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tables/table9.xml" ContentType="application/vnd.openxmlformats-officedocument.spreadsheetml.table+xml"/>
  <Override PartName="/xl/slicers/slicer1.xml" ContentType="application/vnd.ms-excel.slicer+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queryTables/queryTable1.xml" ContentType="application/vnd.openxmlformats-officedocument.spreadsheetml.queryTable+xml"/>
  <Override PartName="/xl/tables/table16.xml" ContentType="application/vnd.openxmlformats-officedocument.spreadsheetml.table+xml"/>
  <Override PartName="/xl/queryTables/queryTable2.xml" ContentType="application/vnd.openxmlformats-officedocument.spreadsheetml.queryTable+xml"/>
  <Override PartName="/xl/tables/table17.xml" ContentType="application/vnd.openxmlformats-officedocument.spreadsheetml.table+xml"/>
  <Override PartName="/xl/queryTables/queryTable3.xml" ContentType="application/vnd.openxmlformats-officedocument.spreadsheetml.queryTable+xml"/>
  <Override PartName="/xl/pivotTables/pivotTable2.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EstaPastaDeTrabalho" hidePivotFieldList="1"/>
  <mc:AlternateContent xmlns:mc="http://schemas.openxmlformats.org/markup-compatibility/2006">
    <mc:Choice Requires="x15">
      <x15ac:absPath xmlns:x15ac="http://schemas.microsoft.com/office/spreadsheetml/2010/11/ac" url="E:\PL_256_2025_TERCEIRIZACAO\FASE EXTERNA\apos adequacao planilha\"/>
    </mc:Choice>
  </mc:AlternateContent>
  <bookViews>
    <workbookView xWindow="-120" yWindow="-120" windowWidth="29040" windowHeight="15720" tabRatio="752"/>
  </bookViews>
  <sheets>
    <sheet name="ORIENTAÇÕES PARA O LICITANTE" sheetId="26" r:id="rId1"/>
    <sheet name="BASE GERAL" sheetId="2" r:id="rId2"/>
    <sheet name="UNIFORMES" sheetId="12" r:id="rId3"/>
    <sheet name="INSUMOS JARDINAGEM" sheetId="19" r:id="rId4"/>
    <sheet name="INSUMOS LAV. VEÍCULO" sheetId="20" r:id="rId5"/>
    <sheet name="INSUMOS GARÇOM" sheetId="22" r:id="rId6"/>
    <sheet name="RELAÇÃO SINDICATOS" sheetId="13" r:id="rId7"/>
    <sheet name="RELAÇÃO POSTOS" sheetId="21" r:id="rId8"/>
    <sheet name="PARAMETROS" sheetId="1" r:id="rId9"/>
    <sheet name="CUSTO UNITARIO" sheetId="4" r:id="rId10"/>
    <sheet name="CUSTO GLOBAL1" sheetId="5" state="hidden" r:id="rId11"/>
    <sheet name="CUSTO GLOBAL" sheetId="10" r:id="rId12"/>
    <sheet name="COMPOSIÇÃO DE CUSTOS" sheetId="6" r:id="rId13"/>
  </sheets>
  <externalReferences>
    <externalReference r:id="rId14"/>
  </externalReferences>
  <definedNames>
    <definedName name="_xlnm._FilterDatabase" localSheetId="1" hidden="1">'BASE GERAL'!$A$1:$C$299</definedName>
    <definedName name="_xlnm._FilterDatabase" localSheetId="10" hidden="1">'CUSTO GLOBAL1'!$A$1:$CD$1</definedName>
    <definedName name="_xlnm.Print_Area" localSheetId="12">'COMPOSIÇÃO DE CUSTOS'!$A$1:$E$131</definedName>
    <definedName name="CARGOS" localSheetId="5">tabCargos[#All]</definedName>
    <definedName name="CARGOS" localSheetId="4">tabCargos[#All]</definedName>
    <definedName name="CARGOS" localSheetId="0">tabCargos[#All]</definedName>
    <definedName name="CARGOS" localSheetId="7">tabCargos[#All]</definedName>
    <definedName name="CARGOS">tabCargos[#All]</definedName>
    <definedName name="COMARCAS" localSheetId="5">tabComarca[#All]</definedName>
    <definedName name="COMARCAS" localSheetId="4">tabComarca[#All]</definedName>
    <definedName name="COMARCAS" localSheetId="0">tabComarca[#All]</definedName>
    <definedName name="COMARCAS" localSheetId="7">tabComarca[#All]</definedName>
    <definedName name="COMARCAS">tabComarca[#All]</definedName>
    <definedName name="DadosExternos_1" localSheetId="9" hidden="1">'CUSTO UNITARIO'!$A$3:$N$341</definedName>
    <definedName name="DadosExternos_1" localSheetId="8" hidden="1">PARAMETROS!$A$3:$C$341</definedName>
    <definedName name="DadosExternos_2" localSheetId="11" hidden="1">'CUSTO GLOBAL'!$A$3:$H$341</definedName>
    <definedName name="DadosExternos_2" localSheetId="10" hidden="1">'CUSTO GLOBAL1'!#REF!</definedName>
    <definedName name="DadosExternos_2" localSheetId="6" hidden="1">'RELAÇÃO SINDICATOS'!#REF!</definedName>
    <definedName name="FromArray_1" localSheetId="0">_xlfn.ANCHORARRAY('CUSTO GLOBAL1'!$C$2)</definedName>
    <definedName name="FromArray_1">_xlfn.ANCHORARRAY('CUSTO GLOBAL1'!$C$2)</definedName>
    <definedName name="FromArray_2" localSheetId="0">_xlfn.ANCHORARRAY('CUSTO GLOBAL1'!$A$1)</definedName>
    <definedName name="FromArray_2">_xlfn.ANCHORARRAY('CUSTO GLOBAL1'!$A$1)</definedName>
    <definedName name="Index_Sheet_Kutools">#REF!</definedName>
    <definedName name="SegmentaçãodeDados_Cargo">#N/A</definedName>
  </definedNames>
  <calcPr calcId="162913"/>
  <pivotCaches>
    <pivotCache cacheId="0" r:id="rId15"/>
    <pivotCache cacheId="1" r:id="rId16"/>
  </pivotCaches>
  <extLst>
    <ext xmlns:x14="http://schemas.microsoft.com/office/spreadsheetml/2009/9/main" uri="{BBE1A952-AA13-448e-AADC-164F8A28A991}">
      <x14:slicerCaches>
        <x14:slicerCache r:id="rId1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2" i="10" l="1"/>
  <c r="H342"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I61" i="10"/>
  <c r="I62" i="10"/>
  <c r="I63" i="10"/>
  <c r="I64" i="10"/>
  <c r="I65" i="10"/>
  <c r="I66" i="10"/>
  <c r="I67" i="10"/>
  <c r="I68" i="10"/>
  <c r="I69" i="10"/>
  <c r="I70" i="10"/>
  <c r="I71" i="10"/>
  <c r="I72" i="10"/>
  <c r="I73" i="10"/>
  <c r="I74" i="10"/>
  <c r="I75" i="10"/>
  <c r="I76" i="10"/>
  <c r="I77" i="10"/>
  <c r="I78" i="10"/>
  <c r="I79" i="10"/>
  <c r="I80" i="10"/>
  <c r="I81" i="10"/>
  <c r="I82" i="10"/>
  <c r="I83" i="10"/>
  <c r="I84" i="10"/>
  <c r="I85" i="10"/>
  <c r="I86" i="10"/>
  <c r="I87" i="10"/>
  <c r="I88" i="10"/>
  <c r="I89" i="10"/>
  <c r="I90" i="10"/>
  <c r="I91" i="10"/>
  <c r="I92" i="10"/>
  <c r="I93" i="10"/>
  <c r="I94" i="10"/>
  <c r="I95" i="10"/>
  <c r="I96" i="10"/>
  <c r="I97" i="10"/>
  <c r="I98" i="10"/>
  <c r="I99" i="10"/>
  <c r="I100" i="10"/>
  <c r="I101" i="10"/>
  <c r="I102" i="10"/>
  <c r="I103" i="10"/>
  <c r="I104" i="10"/>
  <c r="I105" i="10"/>
  <c r="I106" i="10"/>
  <c r="I107" i="10"/>
  <c r="I108" i="10"/>
  <c r="I109" i="10"/>
  <c r="I110" i="10"/>
  <c r="I111" i="10"/>
  <c r="I112" i="10"/>
  <c r="I113" i="10"/>
  <c r="I114" i="10"/>
  <c r="I115" i="10"/>
  <c r="I116" i="10"/>
  <c r="I117" i="10"/>
  <c r="I118" i="10"/>
  <c r="I119" i="10"/>
  <c r="I120" i="10"/>
  <c r="I121" i="10"/>
  <c r="I122" i="10"/>
  <c r="I123" i="10"/>
  <c r="I124" i="10"/>
  <c r="I125" i="10"/>
  <c r="I126" i="10"/>
  <c r="I127" i="10"/>
  <c r="I128" i="10"/>
  <c r="I129" i="10"/>
  <c r="I130" i="10"/>
  <c r="I131" i="10"/>
  <c r="I132" i="10"/>
  <c r="I133" i="10"/>
  <c r="I134" i="10"/>
  <c r="I135" i="10"/>
  <c r="I136" i="10"/>
  <c r="I137" i="10"/>
  <c r="I138" i="10"/>
  <c r="I139" i="10"/>
  <c r="I140" i="10"/>
  <c r="I141" i="10"/>
  <c r="I142" i="10"/>
  <c r="I143" i="10"/>
  <c r="I144" i="10"/>
  <c r="I145" i="10"/>
  <c r="I146" i="10"/>
  <c r="I147" i="10"/>
  <c r="I148" i="10"/>
  <c r="I149" i="10"/>
  <c r="I150" i="10"/>
  <c r="I151" i="10"/>
  <c r="I152" i="10"/>
  <c r="I153" i="10"/>
  <c r="I154" i="10"/>
  <c r="I155" i="10"/>
  <c r="I156" i="10"/>
  <c r="I157" i="10"/>
  <c r="I158" i="10"/>
  <c r="I159" i="10"/>
  <c r="I160" i="10"/>
  <c r="I161" i="10"/>
  <c r="I162" i="10"/>
  <c r="I163" i="10"/>
  <c r="I164" i="10"/>
  <c r="I165" i="10"/>
  <c r="I166" i="10"/>
  <c r="I167" i="10"/>
  <c r="I168" i="10"/>
  <c r="I169" i="10"/>
  <c r="I170" i="10"/>
  <c r="I171" i="10"/>
  <c r="I172" i="10"/>
  <c r="I173" i="10"/>
  <c r="I174" i="10"/>
  <c r="I175" i="10"/>
  <c r="I176" i="10"/>
  <c r="I177" i="10"/>
  <c r="I178" i="10"/>
  <c r="I179" i="10"/>
  <c r="I180" i="10"/>
  <c r="I181" i="10"/>
  <c r="I182" i="10"/>
  <c r="I183" i="10"/>
  <c r="I184" i="10"/>
  <c r="I185" i="10"/>
  <c r="I186" i="10"/>
  <c r="I187" i="10"/>
  <c r="I188" i="10"/>
  <c r="I189" i="10"/>
  <c r="I190" i="10"/>
  <c r="I191" i="10"/>
  <c r="I192" i="10"/>
  <c r="I193" i="10"/>
  <c r="I194" i="10"/>
  <c r="I195" i="10"/>
  <c r="I196" i="10"/>
  <c r="I197" i="10"/>
  <c r="I198" i="10"/>
  <c r="I199" i="10"/>
  <c r="I200" i="10"/>
  <c r="I201" i="10"/>
  <c r="I202" i="10"/>
  <c r="I203" i="10"/>
  <c r="I204" i="10"/>
  <c r="I205" i="10"/>
  <c r="I206" i="10"/>
  <c r="I207" i="10"/>
  <c r="I208" i="10"/>
  <c r="I209" i="10"/>
  <c r="I210" i="10"/>
  <c r="I211" i="10"/>
  <c r="I212" i="10"/>
  <c r="I213" i="10"/>
  <c r="I214" i="10"/>
  <c r="I215" i="10"/>
  <c r="I216" i="10"/>
  <c r="I217" i="10"/>
  <c r="I218" i="10"/>
  <c r="I219" i="10"/>
  <c r="I220" i="10"/>
  <c r="I221" i="10"/>
  <c r="I222" i="10"/>
  <c r="I223" i="10"/>
  <c r="I224" i="10"/>
  <c r="I225" i="10"/>
  <c r="I226" i="10"/>
  <c r="I227" i="10"/>
  <c r="I228" i="10"/>
  <c r="I229" i="10"/>
  <c r="I230" i="10"/>
  <c r="I231" i="10"/>
  <c r="I232" i="10"/>
  <c r="I233" i="10"/>
  <c r="I234" i="10"/>
  <c r="I235" i="10"/>
  <c r="I236" i="10"/>
  <c r="I237" i="10"/>
  <c r="I238" i="10"/>
  <c r="I239" i="10"/>
  <c r="I240" i="10"/>
  <c r="I241" i="10"/>
  <c r="I242" i="10"/>
  <c r="I243" i="10"/>
  <c r="I244" i="10"/>
  <c r="I245" i="10"/>
  <c r="I246" i="10"/>
  <c r="I247" i="10"/>
  <c r="I248" i="10"/>
  <c r="I249" i="10"/>
  <c r="I250" i="10"/>
  <c r="I251" i="10"/>
  <c r="I252" i="10"/>
  <c r="I253" i="10"/>
  <c r="I254" i="10"/>
  <c r="I255" i="10"/>
  <c r="I256" i="10"/>
  <c r="I257" i="10"/>
  <c r="I258" i="10"/>
  <c r="I259" i="10"/>
  <c r="I260" i="10"/>
  <c r="I261" i="10"/>
  <c r="I262" i="10"/>
  <c r="I263" i="10"/>
  <c r="I264" i="10"/>
  <c r="I265" i="10"/>
  <c r="I266" i="10"/>
  <c r="I267" i="10"/>
  <c r="I268" i="10"/>
  <c r="I269" i="10"/>
  <c r="I270" i="10"/>
  <c r="I271" i="10"/>
  <c r="I272" i="10"/>
  <c r="I273" i="10"/>
  <c r="I274" i="10"/>
  <c r="I275" i="10"/>
  <c r="I276" i="10"/>
  <c r="I277" i="10"/>
  <c r="I278" i="10"/>
  <c r="I279" i="10"/>
  <c r="I280" i="10"/>
  <c r="I281" i="10"/>
  <c r="I282" i="10"/>
  <c r="I283" i="10"/>
  <c r="I284" i="10"/>
  <c r="I285" i="10"/>
  <c r="I286" i="10"/>
  <c r="I287" i="10"/>
  <c r="I288" i="10"/>
  <c r="I289" i="10"/>
  <c r="I290" i="10"/>
  <c r="I291" i="10"/>
  <c r="I292" i="10"/>
  <c r="I293" i="10"/>
  <c r="I294" i="10"/>
  <c r="I295" i="10"/>
  <c r="I296" i="10"/>
  <c r="I297" i="10"/>
  <c r="I298" i="10"/>
  <c r="I299" i="10"/>
  <c r="I300" i="10"/>
  <c r="I301" i="10"/>
  <c r="I302" i="10"/>
  <c r="I303" i="10"/>
  <c r="I304" i="10"/>
  <c r="I305" i="10"/>
  <c r="I306" i="10"/>
  <c r="I307" i="10"/>
  <c r="I308" i="10"/>
  <c r="I309" i="10"/>
  <c r="I310" i="10"/>
  <c r="I311" i="10"/>
  <c r="I312" i="10"/>
  <c r="I313" i="10"/>
  <c r="I314" i="10"/>
  <c r="I315" i="10"/>
  <c r="I316" i="10"/>
  <c r="I317" i="10"/>
  <c r="I318" i="10"/>
  <c r="I319" i="10"/>
  <c r="I320" i="10"/>
  <c r="I321" i="10"/>
  <c r="I322" i="10"/>
  <c r="I323" i="10"/>
  <c r="I324" i="10"/>
  <c r="I325" i="10"/>
  <c r="I326" i="10"/>
  <c r="I327" i="10"/>
  <c r="I328" i="10"/>
  <c r="I329" i="10"/>
  <c r="I330" i="10"/>
  <c r="I331" i="10"/>
  <c r="I332" i="10"/>
  <c r="I333" i="10"/>
  <c r="I334" i="10"/>
  <c r="I335" i="10"/>
  <c r="I336" i="10"/>
  <c r="I337" i="10"/>
  <c r="I338" i="10"/>
  <c r="I339" i="10"/>
  <c r="I340" i="10"/>
  <c r="I341" i="10"/>
  <c r="J4" i="10"/>
  <c r="J5" i="10"/>
  <c r="J6" i="10"/>
  <c r="J7" i="10"/>
  <c r="J8" i="10"/>
  <c r="J9" i="10"/>
  <c r="J10" i="10"/>
  <c r="J11" i="10"/>
  <c r="J12" i="10"/>
  <c r="J13" i="10"/>
  <c r="J14" i="10"/>
  <c r="J15" i="10"/>
  <c r="J16" i="10"/>
  <c r="J17" i="10"/>
  <c r="J18" i="10"/>
  <c r="J19" i="10"/>
  <c r="J20" i="10"/>
  <c r="J21" i="10"/>
  <c r="J22" i="10"/>
  <c r="J23" i="10"/>
  <c r="J24" i="10"/>
  <c r="J25" i="10"/>
  <c r="J26" i="10"/>
  <c r="J27" i="10"/>
  <c r="J28" i="10"/>
  <c r="J29" i="10"/>
  <c r="J30" i="10"/>
  <c r="J31" i="10"/>
  <c r="J32" i="10"/>
  <c r="J33" i="10"/>
  <c r="J34" i="10"/>
  <c r="J35" i="10"/>
  <c r="J36" i="10"/>
  <c r="J37" i="10"/>
  <c r="J38" i="10"/>
  <c r="J39" i="10"/>
  <c r="J40" i="10"/>
  <c r="J41" i="10"/>
  <c r="J42" i="10"/>
  <c r="J43" i="10"/>
  <c r="J44" i="10"/>
  <c r="J45" i="10"/>
  <c r="J46" i="10"/>
  <c r="J47" i="10"/>
  <c r="J48" i="10"/>
  <c r="J49" i="10"/>
  <c r="J50" i="10"/>
  <c r="J51" i="10"/>
  <c r="J52" i="10"/>
  <c r="J53" i="10"/>
  <c r="J54" i="10"/>
  <c r="J55" i="10"/>
  <c r="J56" i="10"/>
  <c r="J57" i="10"/>
  <c r="J58" i="10"/>
  <c r="J59" i="10"/>
  <c r="J60" i="10"/>
  <c r="J61" i="10"/>
  <c r="J62" i="10"/>
  <c r="J63" i="10"/>
  <c r="J64" i="10"/>
  <c r="J65" i="10"/>
  <c r="J66" i="10"/>
  <c r="J67" i="10"/>
  <c r="J68" i="10"/>
  <c r="J69" i="10"/>
  <c r="J70" i="10"/>
  <c r="J71" i="10"/>
  <c r="J72" i="10"/>
  <c r="J73" i="10"/>
  <c r="J74" i="10"/>
  <c r="J75" i="10"/>
  <c r="J76" i="10"/>
  <c r="J77" i="10"/>
  <c r="J78" i="10"/>
  <c r="J79" i="10"/>
  <c r="J80" i="10"/>
  <c r="J81" i="10"/>
  <c r="J82" i="10"/>
  <c r="J83" i="10"/>
  <c r="J84" i="10"/>
  <c r="J85" i="10"/>
  <c r="J86" i="10"/>
  <c r="J87" i="10"/>
  <c r="J88" i="10"/>
  <c r="J89" i="10"/>
  <c r="J90" i="10"/>
  <c r="J91" i="10"/>
  <c r="J92" i="10"/>
  <c r="J93" i="10"/>
  <c r="J94" i="10"/>
  <c r="J95" i="10"/>
  <c r="J96" i="10"/>
  <c r="J97" i="10"/>
  <c r="J98" i="10"/>
  <c r="J99" i="10"/>
  <c r="J100" i="10"/>
  <c r="J101" i="10"/>
  <c r="J102" i="10"/>
  <c r="J103" i="10"/>
  <c r="J104" i="10"/>
  <c r="J105" i="10"/>
  <c r="J106" i="10"/>
  <c r="J107" i="10"/>
  <c r="J108" i="10"/>
  <c r="J109" i="10"/>
  <c r="J110" i="10"/>
  <c r="J111" i="10"/>
  <c r="J112" i="10"/>
  <c r="J113" i="10"/>
  <c r="J114" i="10"/>
  <c r="J115" i="10"/>
  <c r="J116" i="10"/>
  <c r="J117" i="10"/>
  <c r="J118" i="10"/>
  <c r="J119" i="10"/>
  <c r="J120" i="10"/>
  <c r="J121" i="10"/>
  <c r="J122" i="10"/>
  <c r="J123" i="10"/>
  <c r="J124" i="10"/>
  <c r="J125" i="10"/>
  <c r="J126" i="10"/>
  <c r="J127" i="10"/>
  <c r="J128" i="10"/>
  <c r="J129" i="10"/>
  <c r="J130" i="10"/>
  <c r="J131" i="10"/>
  <c r="J132" i="10"/>
  <c r="J133" i="10"/>
  <c r="J134" i="10"/>
  <c r="J135" i="10"/>
  <c r="J136" i="10"/>
  <c r="J137" i="10"/>
  <c r="J138" i="10"/>
  <c r="J139" i="10"/>
  <c r="J140" i="10"/>
  <c r="J141" i="10"/>
  <c r="J142" i="10"/>
  <c r="J143" i="10"/>
  <c r="J144" i="10"/>
  <c r="J145" i="10"/>
  <c r="J146" i="10"/>
  <c r="J147" i="10"/>
  <c r="J148" i="10"/>
  <c r="J149" i="10"/>
  <c r="J150" i="10"/>
  <c r="J151" i="10"/>
  <c r="J152" i="10"/>
  <c r="J153" i="10"/>
  <c r="J154" i="10"/>
  <c r="J155" i="10"/>
  <c r="J156" i="10"/>
  <c r="J157" i="10"/>
  <c r="J158" i="10"/>
  <c r="J159" i="10"/>
  <c r="J160" i="10"/>
  <c r="J161" i="10"/>
  <c r="J162" i="10"/>
  <c r="J163" i="10"/>
  <c r="J164" i="10"/>
  <c r="J165" i="10"/>
  <c r="J166" i="10"/>
  <c r="J167" i="10"/>
  <c r="J168" i="10"/>
  <c r="J169" i="10"/>
  <c r="J170" i="10"/>
  <c r="J171" i="10"/>
  <c r="J172" i="10"/>
  <c r="J173" i="10"/>
  <c r="J174" i="10"/>
  <c r="J175" i="10"/>
  <c r="J176" i="10"/>
  <c r="J177" i="10"/>
  <c r="J178" i="10"/>
  <c r="J179" i="10"/>
  <c r="J180" i="10"/>
  <c r="J181" i="10"/>
  <c r="J182" i="10"/>
  <c r="J183" i="10"/>
  <c r="J184" i="10"/>
  <c r="J185" i="10"/>
  <c r="J186" i="10"/>
  <c r="J187" i="10"/>
  <c r="J188" i="10"/>
  <c r="J189" i="10"/>
  <c r="J190" i="10"/>
  <c r="J191" i="10"/>
  <c r="J192" i="10"/>
  <c r="J193" i="10"/>
  <c r="J194" i="10"/>
  <c r="J195" i="10"/>
  <c r="J196" i="10"/>
  <c r="J197" i="10"/>
  <c r="J198" i="10"/>
  <c r="J199" i="10"/>
  <c r="J200" i="10"/>
  <c r="J201" i="10"/>
  <c r="J202" i="10"/>
  <c r="J203" i="10"/>
  <c r="J204" i="10"/>
  <c r="J205" i="10"/>
  <c r="J206" i="10"/>
  <c r="J207" i="10"/>
  <c r="J208" i="10"/>
  <c r="J209" i="10"/>
  <c r="J210" i="10"/>
  <c r="J211" i="10"/>
  <c r="J212" i="10"/>
  <c r="J213" i="10"/>
  <c r="J214" i="10"/>
  <c r="J215" i="10"/>
  <c r="J216" i="10"/>
  <c r="J217" i="10"/>
  <c r="J218" i="10"/>
  <c r="J219" i="10"/>
  <c r="J220" i="10"/>
  <c r="J221" i="10"/>
  <c r="J222" i="10"/>
  <c r="J223" i="10"/>
  <c r="J224" i="10"/>
  <c r="J225" i="10"/>
  <c r="J226" i="10"/>
  <c r="J227" i="10"/>
  <c r="J228" i="10"/>
  <c r="J229" i="10"/>
  <c r="J230" i="10"/>
  <c r="J231" i="10"/>
  <c r="J232" i="10"/>
  <c r="J233" i="10"/>
  <c r="J234" i="10"/>
  <c r="J235" i="10"/>
  <c r="J236" i="10"/>
  <c r="J237" i="10"/>
  <c r="J238" i="10"/>
  <c r="J239" i="10"/>
  <c r="J240" i="10"/>
  <c r="J241" i="10"/>
  <c r="J242" i="10"/>
  <c r="J243" i="10"/>
  <c r="J244" i="10"/>
  <c r="J245" i="10"/>
  <c r="J246" i="10"/>
  <c r="J247" i="10"/>
  <c r="J248" i="10"/>
  <c r="J249" i="10"/>
  <c r="J250" i="10"/>
  <c r="J251" i="10"/>
  <c r="J252" i="10"/>
  <c r="J253" i="10"/>
  <c r="J254" i="10"/>
  <c r="J255" i="10"/>
  <c r="J256" i="10"/>
  <c r="J257" i="10"/>
  <c r="J258" i="10"/>
  <c r="J259" i="10"/>
  <c r="J260" i="10"/>
  <c r="J261" i="10"/>
  <c r="J262" i="10"/>
  <c r="J263" i="10"/>
  <c r="J264" i="10"/>
  <c r="J265" i="10"/>
  <c r="J266" i="10"/>
  <c r="J267" i="10"/>
  <c r="J268" i="10"/>
  <c r="J269" i="10"/>
  <c r="J270" i="10"/>
  <c r="J271" i="10"/>
  <c r="J272" i="10"/>
  <c r="J273" i="10"/>
  <c r="J274" i="10"/>
  <c r="J275" i="10"/>
  <c r="J276" i="10"/>
  <c r="J277" i="10"/>
  <c r="J278" i="10"/>
  <c r="J279" i="10"/>
  <c r="J280" i="10"/>
  <c r="J281" i="10"/>
  <c r="J282" i="10"/>
  <c r="J283" i="10"/>
  <c r="J284" i="10"/>
  <c r="J285" i="10"/>
  <c r="J286" i="10"/>
  <c r="J287" i="10"/>
  <c r="J288" i="10"/>
  <c r="J289" i="10"/>
  <c r="J290" i="10"/>
  <c r="J291" i="10"/>
  <c r="J292" i="10"/>
  <c r="J293" i="10"/>
  <c r="J294" i="10"/>
  <c r="J295" i="10"/>
  <c r="J296" i="10"/>
  <c r="J297" i="10"/>
  <c r="J298" i="10"/>
  <c r="J299" i="10"/>
  <c r="J300" i="10"/>
  <c r="J301" i="10"/>
  <c r="J302" i="10"/>
  <c r="J303" i="10"/>
  <c r="J304" i="10"/>
  <c r="J305" i="10"/>
  <c r="J306" i="10"/>
  <c r="J307" i="10"/>
  <c r="J308" i="10"/>
  <c r="J309" i="10"/>
  <c r="J310" i="10"/>
  <c r="J311" i="10"/>
  <c r="J312" i="10"/>
  <c r="J313" i="10"/>
  <c r="J314" i="10"/>
  <c r="J315" i="10"/>
  <c r="J316" i="10"/>
  <c r="J317" i="10"/>
  <c r="J318" i="10"/>
  <c r="J319" i="10"/>
  <c r="J320" i="10"/>
  <c r="J321" i="10"/>
  <c r="J322" i="10"/>
  <c r="J323" i="10"/>
  <c r="J324" i="10"/>
  <c r="J325" i="10"/>
  <c r="J326" i="10"/>
  <c r="J327" i="10"/>
  <c r="J328" i="10"/>
  <c r="J329" i="10"/>
  <c r="J330" i="10"/>
  <c r="J331" i="10"/>
  <c r="J332" i="10"/>
  <c r="J333" i="10"/>
  <c r="J334" i="10"/>
  <c r="J335" i="10"/>
  <c r="J336" i="10"/>
  <c r="J337" i="10"/>
  <c r="J338" i="10"/>
  <c r="J339" i="10"/>
  <c r="J340" i="10"/>
  <c r="J341" i="10"/>
  <c r="K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K183" i="10"/>
  <c r="K184" i="10"/>
  <c r="K185" i="10"/>
  <c r="K186" i="10"/>
  <c r="K187" i="10"/>
  <c r="K188" i="10"/>
  <c r="K189" i="10"/>
  <c r="K190" i="10"/>
  <c r="K191" i="10"/>
  <c r="K192" i="10"/>
  <c r="K193" i="10"/>
  <c r="K194" i="10"/>
  <c r="K195" i="10"/>
  <c r="K196" i="10"/>
  <c r="K197" i="10"/>
  <c r="K198" i="10"/>
  <c r="K199" i="10"/>
  <c r="K200" i="10"/>
  <c r="K201" i="10"/>
  <c r="K202" i="10"/>
  <c r="K203" i="10"/>
  <c r="K204" i="10"/>
  <c r="K205" i="10"/>
  <c r="K206" i="10"/>
  <c r="K207" i="10"/>
  <c r="K208" i="10"/>
  <c r="K209" i="10"/>
  <c r="K210" i="10"/>
  <c r="K211" i="10"/>
  <c r="K212" i="10"/>
  <c r="K213" i="10"/>
  <c r="K214" i="10"/>
  <c r="K215" i="10"/>
  <c r="K216" i="10"/>
  <c r="K217" i="10"/>
  <c r="K218" i="10"/>
  <c r="K219" i="10"/>
  <c r="K220" i="10"/>
  <c r="K221" i="10"/>
  <c r="K222" i="10"/>
  <c r="K223" i="10"/>
  <c r="K224" i="10"/>
  <c r="K225" i="10"/>
  <c r="K226" i="10"/>
  <c r="K227" i="10"/>
  <c r="K228" i="10"/>
  <c r="K229" i="10"/>
  <c r="K230" i="10"/>
  <c r="K231" i="10"/>
  <c r="K232" i="10"/>
  <c r="K233" i="10"/>
  <c r="K234" i="10"/>
  <c r="K235" i="10"/>
  <c r="K236" i="10"/>
  <c r="K237" i="10"/>
  <c r="K238" i="10"/>
  <c r="K239" i="10"/>
  <c r="K240" i="10"/>
  <c r="K241" i="10"/>
  <c r="K242" i="10"/>
  <c r="K243" i="10"/>
  <c r="K244" i="10"/>
  <c r="K245" i="10"/>
  <c r="K246" i="10"/>
  <c r="K247" i="10"/>
  <c r="K248" i="10"/>
  <c r="K249" i="10"/>
  <c r="K250" i="10"/>
  <c r="K251" i="10"/>
  <c r="K252" i="10"/>
  <c r="K253" i="10"/>
  <c r="K254" i="10"/>
  <c r="K255" i="10"/>
  <c r="K256" i="10"/>
  <c r="K257" i="10"/>
  <c r="K258" i="10"/>
  <c r="K259" i="10"/>
  <c r="K260" i="10"/>
  <c r="K261" i="10"/>
  <c r="K262" i="10"/>
  <c r="K263" i="10"/>
  <c r="K264" i="10"/>
  <c r="K265" i="10"/>
  <c r="K266" i="10"/>
  <c r="K267" i="10"/>
  <c r="K268" i="10"/>
  <c r="K269" i="10"/>
  <c r="K270" i="10"/>
  <c r="K271" i="10"/>
  <c r="K272" i="10"/>
  <c r="K273" i="10"/>
  <c r="K274" i="10"/>
  <c r="K275" i="10"/>
  <c r="K276" i="10"/>
  <c r="K277" i="10"/>
  <c r="K278" i="10"/>
  <c r="K279" i="10"/>
  <c r="K280" i="10"/>
  <c r="K281" i="10"/>
  <c r="K282" i="10"/>
  <c r="K283" i="10"/>
  <c r="K284" i="10"/>
  <c r="K285" i="10"/>
  <c r="K286" i="10"/>
  <c r="K287" i="10"/>
  <c r="K288" i="10"/>
  <c r="K289" i="10"/>
  <c r="K290" i="10"/>
  <c r="K291" i="10"/>
  <c r="K292" i="10"/>
  <c r="K293" i="10"/>
  <c r="K294" i="10"/>
  <c r="K295" i="10"/>
  <c r="K296" i="10"/>
  <c r="K297" i="10"/>
  <c r="K298" i="10"/>
  <c r="K299" i="10"/>
  <c r="K300" i="10"/>
  <c r="K301" i="10"/>
  <c r="K302" i="10"/>
  <c r="K303" i="10"/>
  <c r="K304" i="10"/>
  <c r="K305" i="10"/>
  <c r="K306" i="10"/>
  <c r="K307" i="10"/>
  <c r="K308" i="10"/>
  <c r="K309" i="10"/>
  <c r="K310" i="10"/>
  <c r="K311" i="10"/>
  <c r="K312" i="10"/>
  <c r="K313" i="10"/>
  <c r="K314" i="10"/>
  <c r="K315" i="10"/>
  <c r="K316" i="10"/>
  <c r="K317" i="10"/>
  <c r="K318" i="10"/>
  <c r="K319" i="10"/>
  <c r="K320" i="10"/>
  <c r="K321" i="10"/>
  <c r="K322" i="10"/>
  <c r="K323" i="10"/>
  <c r="K324" i="10"/>
  <c r="K325" i="10"/>
  <c r="K326" i="10"/>
  <c r="K327" i="10"/>
  <c r="K328" i="10"/>
  <c r="K329" i="10"/>
  <c r="K330" i="10"/>
  <c r="K331" i="10"/>
  <c r="K332" i="10"/>
  <c r="K333" i="10"/>
  <c r="K334" i="10"/>
  <c r="K335" i="10"/>
  <c r="K336" i="10"/>
  <c r="K337" i="10"/>
  <c r="K338" i="10"/>
  <c r="K339" i="10"/>
  <c r="K340" i="10"/>
  <c r="K341" i="10"/>
  <c r="L4" i="10"/>
  <c r="L5" i="10"/>
  <c r="L6" i="10"/>
  <c r="L7" i="10"/>
  <c r="L8" i="10"/>
  <c r="L9" i="10"/>
  <c r="L10" i="10"/>
  <c r="L11" i="10"/>
  <c r="L12" i="10"/>
  <c r="L13" i="10"/>
  <c r="L14" i="10"/>
  <c r="L15" i="10"/>
  <c r="L16" i="10"/>
  <c r="L17" i="10"/>
  <c r="L18" i="10"/>
  <c r="L19" i="10"/>
  <c r="L20" i="10"/>
  <c r="L21" i="10"/>
  <c r="L22" i="10"/>
  <c r="L23" i="10"/>
  <c r="L24" i="10"/>
  <c r="L25" i="10"/>
  <c r="L26" i="10"/>
  <c r="L27" i="10"/>
  <c r="L28" i="10"/>
  <c r="L29" i="10"/>
  <c r="L30" i="10"/>
  <c r="L31" i="10"/>
  <c r="L32" i="10"/>
  <c r="L33" i="10"/>
  <c r="L34" i="10"/>
  <c r="L35" i="10"/>
  <c r="L36" i="10"/>
  <c r="L37" i="10"/>
  <c r="L38" i="10"/>
  <c r="L39" i="10"/>
  <c r="L40" i="10"/>
  <c r="L41" i="10"/>
  <c r="L42" i="10"/>
  <c r="L43" i="10"/>
  <c r="L44" i="10"/>
  <c r="L45" i="10"/>
  <c r="L46" i="10"/>
  <c r="L47" i="10"/>
  <c r="L48" i="10"/>
  <c r="L49" i="10"/>
  <c r="L50" i="10"/>
  <c r="L51" i="10"/>
  <c r="L52" i="10"/>
  <c r="L53" i="10"/>
  <c r="L54" i="10"/>
  <c r="L55" i="10"/>
  <c r="L56" i="10"/>
  <c r="L57" i="10"/>
  <c r="L58" i="10"/>
  <c r="L59" i="10"/>
  <c r="L60" i="10"/>
  <c r="L61" i="10"/>
  <c r="L62" i="10"/>
  <c r="L63" i="10"/>
  <c r="L64" i="10"/>
  <c r="L65" i="10"/>
  <c r="L66" i="10"/>
  <c r="L67" i="10"/>
  <c r="L68" i="10"/>
  <c r="L69" i="10"/>
  <c r="L70" i="10"/>
  <c r="L71" i="10"/>
  <c r="L72" i="10"/>
  <c r="L73" i="10"/>
  <c r="L74" i="10"/>
  <c r="L75" i="10"/>
  <c r="L76" i="10"/>
  <c r="L77" i="10"/>
  <c r="L78" i="10"/>
  <c r="L79" i="10"/>
  <c r="L80" i="10"/>
  <c r="L81" i="10"/>
  <c r="L82" i="10"/>
  <c r="L83" i="10"/>
  <c r="L84" i="10"/>
  <c r="L85" i="10"/>
  <c r="L86" i="10"/>
  <c r="L87" i="10"/>
  <c r="L88" i="10"/>
  <c r="L89" i="10"/>
  <c r="L90" i="10"/>
  <c r="L91" i="10"/>
  <c r="L92" i="10"/>
  <c r="L93" i="10"/>
  <c r="L94" i="10"/>
  <c r="L95" i="10"/>
  <c r="L96" i="10"/>
  <c r="L97" i="10"/>
  <c r="L98" i="10"/>
  <c r="L99" i="10"/>
  <c r="L100" i="10"/>
  <c r="L101" i="10"/>
  <c r="L102" i="10"/>
  <c r="L103" i="10"/>
  <c r="L104" i="10"/>
  <c r="L105" i="10"/>
  <c r="L106" i="10"/>
  <c r="L107" i="10"/>
  <c r="L108" i="10"/>
  <c r="L109" i="10"/>
  <c r="L110" i="10"/>
  <c r="L111" i="10"/>
  <c r="L112" i="10"/>
  <c r="L113" i="10"/>
  <c r="L114" i="10"/>
  <c r="L115" i="10"/>
  <c r="L116" i="10"/>
  <c r="L117" i="10"/>
  <c r="L118" i="10"/>
  <c r="L119" i="10"/>
  <c r="L120" i="10"/>
  <c r="L121" i="10"/>
  <c r="L122" i="10"/>
  <c r="L123" i="10"/>
  <c r="L124" i="10"/>
  <c r="L125" i="10"/>
  <c r="L126" i="10"/>
  <c r="L127" i="10"/>
  <c r="L128" i="10"/>
  <c r="L129" i="10"/>
  <c r="L130" i="10"/>
  <c r="L131" i="10"/>
  <c r="L132" i="10"/>
  <c r="L133" i="10"/>
  <c r="L134" i="10"/>
  <c r="L135" i="10"/>
  <c r="L136" i="10"/>
  <c r="L137" i="10"/>
  <c r="L138" i="10"/>
  <c r="L139" i="10"/>
  <c r="L140" i="10"/>
  <c r="L141" i="10"/>
  <c r="L142" i="10"/>
  <c r="L143" i="10"/>
  <c r="L144" i="10"/>
  <c r="L145" i="10"/>
  <c r="L146" i="10"/>
  <c r="L147" i="10"/>
  <c r="L148" i="10"/>
  <c r="L149" i="10"/>
  <c r="L150" i="10"/>
  <c r="L151" i="10"/>
  <c r="L152" i="10"/>
  <c r="L153" i="10"/>
  <c r="L154" i="10"/>
  <c r="L155" i="10"/>
  <c r="L156" i="10"/>
  <c r="L157" i="10"/>
  <c r="L158" i="10"/>
  <c r="L159" i="10"/>
  <c r="L160" i="10"/>
  <c r="L161" i="10"/>
  <c r="L162" i="10"/>
  <c r="L163" i="10"/>
  <c r="L164" i="10"/>
  <c r="L165" i="10"/>
  <c r="L166" i="10"/>
  <c r="L167" i="10"/>
  <c r="L168" i="10"/>
  <c r="L169" i="10"/>
  <c r="L170" i="10"/>
  <c r="L171" i="10"/>
  <c r="L172" i="10"/>
  <c r="L173" i="10"/>
  <c r="L174" i="10"/>
  <c r="L175" i="10"/>
  <c r="L176" i="10"/>
  <c r="L177" i="10"/>
  <c r="L178" i="10"/>
  <c r="L179" i="10"/>
  <c r="L180" i="10"/>
  <c r="L181" i="10"/>
  <c r="L182" i="10"/>
  <c r="L183" i="10"/>
  <c r="L184" i="10"/>
  <c r="L185" i="10"/>
  <c r="L186" i="10"/>
  <c r="L187" i="10"/>
  <c r="L188" i="10"/>
  <c r="L189" i="10"/>
  <c r="L190" i="10"/>
  <c r="L191" i="10"/>
  <c r="L192" i="10"/>
  <c r="L193" i="10"/>
  <c r="L194" i="10"/>
  <c r="L195" i="10"/>
  <c r="L196" i="10"/>
  <c r="L197" i="10"/>
  <c r="L198" i="10"/>
  <c r="L199" i="10"/>
  <c r="L200" i="10"/>
  <c r="L201" i="10"/>
  <c r="L202" i="10"/>
  <c r="L203" i="10"/>
  <c r="L204" i="10"/>
  <c r="L205" i="10"/>
  <c r="L206" i="10"/>
  <c r="L207" i="10"/>
  <c r="L208" i="10"/>
  <c r="L209" i="10"/>
  <c r="L210" i="10"/>
  <c r="L211" i="10"/>
  <c r="L212" i="10"/>
  <c r="L213" i="10"/>
  <c r="L214" i="10"/>
  <c r="L215" i="10"/>
  <c r="L216" i="10"/>
  <c r="L217" i="10"/>
  <c r="L218" i="10"/>
  <c r="L219" i="10"/>
  <c r="L220" i="10"/>
  <c r="L221" i="10"/>
  <c r="L222" i="10"/>
  <c r="L223" i="10"/>
  <c r="L224" i="10"/>
  <c r="L225" i="10"/>
  <c r="L226" i="10"/>
  <c r="L227" i="10"/>
  <c r="L228" i="10"/>
  <c r="L229" i="10"/>
  <c r="L230" i="10"/>
  <c r="L231" i="10"/>
  <c r="L232" i="10"/>
  <c r="L233" i="10"/>
  <c r="L234" i="10"/>
  <c r="L235" i="10"/>
  <c r="L236" i="10"/>
  <c r="L237" i="10"/>
  <c r="L238" i="10"/>
  <c r="L239" i="10"/>
  <c r="L240" i="10"/>
  <c r="L241" i="10"/>
  <c r="L242" i="10"/>
  <c r="L243" i="10"/>
  <c r="L244" i="10"/>
  <c r="L245" i="10"/>
  <c r="L246" i="10"/>
  <c r="L247" i="10"/>
  <c r="L248" i="10"/>
  <c r="L249" i="10"/>
  <c r="L250" i="10"/>
  <c r="L251" i="10"/>
  <c r="L252" i="10"/>
  <c r="L253" i="10"/>
  <c r="L254" i="10"/>
  <c r="L255" i="10"/>
  <c r="L256" i="10"/>
  <c r="L257" i="10"/>
  <c r="L258" i="10"/>
  <c r="L259" i="10"/>
  <c r="L260" i="10"/>
  <c r="L261" i="10"/>
  <c r="L262" i="10"/>
  <c r="L263" i="10"/>
  <c r="L264" i="10"/>
  <c r="L265" i="10"/>
  <c r="L266" i="10"/>
  <c r="L267" i="10"/>
  <c r="L268" i="10"/>
  <c r="L269" i="10"/>
  <c r="L270" i="10"/>
  <c r="L271" i="10"/>
  <c r="L272" i="10"/>
  <c r="L273" i="10"/>
  <c r="L274" i="10"/>
  <c r="L275" i="10"/>
  <c r="L276" i="10"/>
  <c r="L277" i="10"/>
  <c r="L278" i="10"/>
  <c r="L279" i="10"/>
  <c r="L280" i="10"/>
  <c r="L281" i="10"/>
  <c r="L282" i="10"/>
  <c r="L283" i="10"/>
  <c r="L284" i="10"/>
  <c r="L285" i="10"/>
  <c r="L286" i="10"/>
  <c r="L287" i="10"/>
  <c r="L288" i="10"/>
  <c r="L289" i="10"/>
  <c r="L290" i="10"/>
  <c r="L291" i="10"/>
  <c r="L292" i="10"/>
  <c r="L293" i="10"/>
  <c r="L294" i="10"/>
  <c r="L295" i="10"/>
  <c r="L296" i="10"/>
  <c r="L297" i="10"/>
  <c r="L298" i="10"/>
  <c r="L299" i="10"/>
  <c r="L300" i="10"/>
  <c r="L301" i="10"/>
  <c r="L302" i="10"/>
  <c r="L303" i="10"/>
  <c r="L304" i="10"/>
  <c r="L305" i="10"/>
  <c r="L306" i="10"/>
  <c r="L307" i="10"/>
  <c r="L308" i="10"/>
  <c r="L309" i="10"/>
  <c r="L310" i="10"/>
  <c r="L311" i="10"/>
  <c r="L312" i="10"/>
  <c r="L313" i="10"/>
  <c r="L314" i="10"/>
  <c r="L315" i="10"/>
  <c r="L316" i="10"/>
  <c r="L317" i="10"/>
  <c r="L318" i="10"/>
  <c r="L319" i="10"/>
  <c r="L320" i="10"/>
  <c r="L321" i="10"/>
  <c r="L322" i="10"/>
  <c r="L323" i="10"/>
  <c r="L324" i="10"/>
  <c r="L325" i="10"/>
  <c r="L326" i="10"/>
  <c r="L327" i="10"/>
  <c r="L328" i="10"/>
  <c r="L329" i="10"/>
  <c r="L330" i="10"/>
  <c r="L331" i="10"/>
  <c r="L332" i="10"/>
  <c r="L333" i="10"/>
  <c r="L334" i="10"/>
  <c r="L335" i="10"/>
  <c r="L336" i="10"/>
  <c r="L337" i="10"/>
  <c r="L338" i="10"/>
  <c r="L339" i="10"/>
  <c r="L340" i="10"/>
  <c r="L341" i="10"/>
  <c r="M4" i="10"/>
  <c r="M5" i="10"/>
  <c r="M6" i="10"/>
  <c r="M7" i="10"/>
  <c r="M8" i="10"/>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M108" i="10"/>
  <c r="M109" i="10"/>
  <c r="M110" i="10"/>
  <c r="M111" i="10"/>
  <c r="M112" i="10"/>
  <c r="M113" i="10"/>
  <c r="M114" i="10"/>
  <c r="M115" i="10"/>
  <c r="M116" i="10"/>
  <c r="M117" i="10"/>
  <c r="M118" i="10"/>
  <c r="M119" i="10"/>
  <c r="M120" i="10"/>
  <c r="M121" i="10"/>
  <c r="M122" i="10"/>
  <c r="M123" i="10"/>
  <c r="M124" i="10"/>
  <c r="M125" i="10"/>
  <c r="M126" i="10"/>
  <c r="M127" i="10"/>
  <c r="M128" i="10"/>
  <c r="M129" i="10"/>
  <c r="M130" i="10"/>
  <c r="M131" i="10"/>
  <c r="M132" i="10"/>
  <c r="M133" i="10"/>
  <c r="M134" i="10"/>
  <c r="M135" i="10"/>
  <c r="M136" i="10"/>
  <c r="M137" i="10"/>
  <c r="M138" i="10"/>
  <c r="M139" i="10"/>
  <c r="M140" i="10"/>
  <c r="M141" i="10"/>
  <c r="M142" i="10"/>
  <c r="M143" i="10"/>
  <c r="M144" i="10"/>
  <c r="M145" i="10"/>
  <c r="M146" i="10"/>
  <c r="M147" i="10"/>
  <c r="M148" i="10"/>
  <c r="M149" i="10"/>
  <c r="M150" i="10"/>
  <c r="M151" i="10"/>
  <c r="M152" i="10"/>
  <c r="M153" i="10"/>
  <c r="M154" i="10"/>
  <c r="M155" i="10"/>
  <c r="M156" i="10"/>
  <c r="M157" i="10"/>
  <c r="M158" i="10"/>
  <c r="M159" i="10"/>
  <c r="M160" i="10"/>
  <c r="M161" i="10"/>
  <c r="M162" i="10"/>
  <c r="M163" i="10"/>
  <c r="M164" i="10"/>
  <c r="M165" i="10"/>
  <c r="M166" i="10"/>
  <c r="M167" i="10"/>
  <c r="M168" i="10"/>
  <c r="M169" i="10"/>
  <c r="M170" i="10"/>
  <c r="M171" i="10"/>
  <c r="M172" i="10"/>
  <c r="M173" i="10"/>
  <c r="M174" i="10"/>
  <c r="M175" i="10"/>
  <c r="M176" i="10"/>
  <c r="M177" i="10"/>
  <c r="M178" i="10"/>
  <c r="M179" i="10"/>
  <c r="M180" i="10"/>
  <c r="M181" i="10"/>
  <c r="M182" i="10"/>
  <c r="M183" i="10"/>
  <c r="M184" i="10"/>
  <c r="M185" i="10"/>
  <c r="M186" i="10"/>
  <c r="M187" i="10"/>
  <c r="M188" i="10"/>
  <c r="M189" i="10"/>
  <c r="M190" i="10"/>
  <c r="M191" i="10"/>
  <c r="M192" i="10"/>
  <c r="M193" i="10"/>
  <c r="M194" i="10"/>
  <c r="M195" i="10"/>
  <c r="M196" i="10"/>
  <c r="M197" i="10"/>
  <c r="M198" i="10"/>
  <c r="M199" i="10"/>
  <c r="M200" i="10"/>
  <c r="M201" i="10"/>
  <c r="M202" i="10"/>
  <c r="M203" i="10"/>
  <c r="M204" i="10"/>
  <c r="M205" i="10"/>
  <c r="M206" i="10"/>
  <c r="M207" i="10"/>
  <c r="M208" i="10"/>
  <c r="M209" i="10"/>
  <c r="M210" i="10"/>
  <c r="M211" i="10"/>
  <c r="M212" i="10"/>
  <c r="M213" i="10"/>
  <c r="M214" i="10"/>
  <c r="M215" i="10"/>
  <c r="M216" i="10"/>
  <c r="M217" i="10"/>
  <c r="M218" i="10"/>
  <c r="M219" i="10"/>
  <c r="M220" i="10"/>
  <c r="M221" i="10"/>
  <c r="M222" i="10"/>
  <c r="M223" i="10"/>
  <c r="M224" i="10"/>
  <c r="M225" i="10"/>
  <c r="M226" i="10"/>
  <c r="M227" i="10"/>
  <c r="M228" i="10"/>
  <c r="M229" i="10"/>
  <c r="M230" i="10"/>
  <c r="M231" i="10"/>
  <c r="M232" i="10"/>
  <c r="M233" i="10"/>
  <c r="M234" i="10"/>
  <c r="M235" i="10"/>
  <c r="M236" i="10"/>
  <c r="M237" i="10"/>
  <c r="M238" i="10"/>
  <c r="M239" i="10"/>
  <c r="M240" i="10"/>
  <c r="M241" i="10"/>
  <c r="M242" i="10"/>
  <c r="M243" i="10"/>
  <c r="M244" i="10"/>
  <c r="M245" i="10"/>
  <c r="M246" i="10"/>
  <c r="M247" i="10"/>
  <c r="M248" i="10"/>
  <c r="M249" i="10"/>
  <c r="M250" i="10"/>
  <c r="M251" i="10"/>
  <c r="M252" i="10"/>
  <c r="M253" i="10"/>
  <c r="M254" i="10"/>
  <c r="M255" i="10"/>
  <c r="M256" i="10"/>
  <c r="M257" i="10"/>
  <c r="M258" i="10"/>
  <c r="M259" i="10"/>
  <c r="M260" i="10"/>
  <c r="M261" i="10"/>
  <c r="M262" i="10"/>
  <c r="M263" i="10"/>
  <c r="M264" i="10"/>
  <c r="M265" i="10"/>
  <c r="M266" i="10"/>
  <c r="M267" i="10"/>
  <c r="M268" i="10"/>
  <c r="M269" i="10"/>
  <c r="M270" i="10"/>
  <c r="M271" i="10"/>
  <c r="M272" i="10"/>
  <c r="M273" i="10"/>
  <c r="M274" i="10"/>
  <c r="M275" i="10"/>
  <c r="M276" i="10"/>
  <c r="M277" i="10"/>
  <c r="M278" i="10"/>
  <c r="M279" i="10"/>
  <c r="M280" i="10"/>
  <c r="M281" i="10"/>
  <c r="M282" i="10"/>
  <c r="M283" i="10"/>
  <c r="M284" i="10"/>
  <c r="M285" i="10"/>
  <c r="M286" i="10"/>
  <c r="M287" i="10"/>
  <c r="M288" i="10"/>
  <c r="M289" i="10"/>
  <c r="M290" i="10"/>
  <c r="M291" i="10"/>
  <c r="M292" i="10"/>
  <c r="M293" i="10"/>
  <c r="M294" i="10"/>
  <c r="M295" i="10"/>
  <c r="M296" i="10"/>
  <c r="M297" i="10"/>
  <c r="M298" i="10"/>
  <c r="M299" i="10"/>
  <c r="M300" i="10"/>
  <c r="M301" i="10"/>
  <c r="M302" i="10"/>
  <c r="M303" i="10"/>
  <c r="M304" i="10"/>
  <c r="M305" i="10"/>
  <c r="M306" i="10"/>
  <c r="M307" i="10"/>
  <c r="M308" i="10"/>
  <c r="M309" i="10"/>
  <c r="M310" i="10"/>
  <c r="M311" i="10"/>
  <c r="M312" i="10"/>
  <c r="M313" i="10"/>
  <c r="M314" i="10"/>
  <c r="M315" i="10"/>
  <c r="M316" i="10"/>
  <c r="M317" i="10"/>
  <c r="M318" i="10"/>
  <c r="M319" i="10"/>
  <c r="M320" i="10"/>
  <c r="M321" i="10"/>
  <c r="M322" i="10"/>
  <c r="M323" i="10"/>
  <c r="M324" i="10"/>
  <c r="M325" i="10"/>
  <c r="M326" i="10"/>
  <c r="M327" i="10"/>
  <c r="M328" i="10"/>
  <c r="M329" i="10"/>
  <c r="M330" i="10"/>
  <c r="M331" i="10"/>
  <c r="M332" i="10"/>
  <c r="M333" i="10"/>
  <c r="M334" i="10"/>
  <c r="M335" i="10"/>
  <c r="M336" i="10"/>
  <c r="M337" i="10"/>
  <c r="M338" i="10"/>
  <c r="M339" i="10"/>
  <c r="M340" i="10"/>
  <c r="M341" i="10"/>
  <c r="N4" i="10"/>
  <c r="N5" i="10"/>
  <c r="N6" i="10"/>
  <c r="N7" i="10"/>
  <c r="N8" i="10"/>
  <c r="N9" i="10"/>
  <c r="N10" i="10"/>
  <c r="N11" i="10"/>
  <c r="N12" i="10"/>
  <c r="N13" i="10"/>
  <c r="N14" i="10"/>
  <c r="N15" i="10"/>
  <c r="N16" i="10"/>
  <c r="N17" i="10"/>
  <c r="N18" i="10"/>
  <c r="N19" i="10"/>
  <c r="N20" i="10"/>
  <c r="N21" i="10"/>
  <c r="N22" i="10"/>
  <c r="N23" i="10"/>
  <c r="N24" i="10"/>
  <c r="N25" i="10"/>
  <c r="N26" i="10"/>
  <c r="N27" i="10"/>
  <c r="N28" i="10"/>
  <c r="N29" i="10"/>
  <c r="N30" i="10"/>
  <c r="N31" i="10"/>
  <c r="N32" i="10"/>
  <c r="N33" i="10"/>
  <c r="N34" i="10"/>
  <c r="N35" i="10"/>
  <c r="N36" i="10"/>
  <c r="N37" i="10"/>
  <c r="N38" i="10"/>
  <c r="N39" i="10"/>
  <c r="N40" i="10"/>
  <c r="N41" i="10"/>
  <c r="N42" i="10"/>
  <c r="N43" i="10"/>
  <c r="N44" i="10"/>
  <c r="N45" i="10"/>
  <c r="N46" i="10"/>
  <c r="N47" i="10"/>
  <c r="N48" i="10"/>
  <c r="N49" i="10"/>
  <c r="N50" i="10"/>
  <c r="N51" i="10"/>
  <c r="N52" i="10"/>
  <c r="N53" i="10"/>
  <c r="N54" i="10"/>
  <c r="N55" i="10"/>
  <c r="N56" i="10"/>
  <c r="N57" i="10"/>
  <c r="N58" i="10"/>
  <c r="N59" i="10"/>
  <c r="N60" i="10"/>
  <c r="N61" i="10"/>
  <c r="N62" i="10"/>
  <c r="N63" i="10"/>
  <c r="N64" i="10"/>
  <c r="N65" i="10"/>
  <c r="N66" i="10"/>
  <c r="N67" i="10"/>
  <c r="N68" i="10"/>
  <c r="N69" i="10"/>
  <c r="N70" i="10"/>
  <c r="N71" i="10"/>
  <c r="N72" i="10"/>
  <c r="N73" i="10"/>
  <c r="N74" i="10"/>
  <c r="N75" i="10"/>
  <c r="N76" i="10"/>
  <c r="N77" i="10"/>
  <c r="N78" i="10"/>
  <c r="N79" i="10"/>
  <c r="N80" i="10"/>
  <c r="N81" i="10"/>
  <c r="N82" i="10"/>
  <c r="N83" i="10"/>
  <c r="N84" i="10"/>
  <c r="N85" i="10"/>
  <c r="N86" i="10"/>
  <c r="N87" i="10"/>
  <c r="N88" i="10"/>
  <c r="N89" i="10"/>
  <c r="N90" i="10"/>
  <c r="N91" i="10"/>
  <c r="N92" i="10"/>
  <c r="N93" i="10"/>
  <c r="N94" i="10"/>
  <c r="N95" i="10"/>
  <c r="N96" i="10"/>
  <c r="N97" i="10"/>
  <c r="N98" i="10"/>
  <c r="N99" i="10"/>
  <c r="N100" i="10"/>
  <c r="N101" i="10"/>
  <c r="N102" i="10"/>
  <c r="N103" i="10"/>
  <c r="N104" i="10"/>
  <c r="N105" i="10"/>
  <c r="N106" i="10"/>
  <c r="N107" i="10"/>
  <c r="N108" i="10"/>
  <c r="N109" i="10"/>
  <c r="N110" i="10"/>
  <c r="N111" i="10"/>
  <c r="N112" i="10"/>
  <c r="N113" i="10"/>
  <c r="N114" i="10"/>
  <c r="N115" i="10"/>
  <c r="N116" i="10"/>
  <c r="N117" i="10"/>
  <c r="N118" i="10"/>
  <c r="N119" i="10"/>
  <c r="N120" i="10"/>
  <c r="N121" i="10"/>
  <c r="N122" i="10"/>
  <c r="N123" i="10"/>
  <c r="N124" i="10"/>
  <c r="N125" i="10"/>
  <c r="N126" i="10"/>
  <c r="N127" i="10"/>
  <c r="N128" i="10"/>
  <c r="N129" i="10"/>
  <c r="N130" i="10"/>
  <c r="N131" i="10"/>
  <c r="N132" i="10"/>
  <c r="N133" i="10"/>
  <c r="N134" i="10"/>
  <c r="N135" i="10"/>
  <c r="N136" i="10"/>
  <c r="N137" i="10"/>
  <c r="N138" i="10"/>
  <c r="N139" i="10"/>
  <c r="N140" i="10"/>
  <c r="N141" i="10"/>
  <c r="N142" i="10"/>
  <c r="N143" i="10"/>
  <c r="N144" i="10"/>
  <c r="N145" i="10"/>
  <c r="N146" i="10"/>
  <c r="N147" i="10"/>
  <c r="N148" i="10"/>
  <c r="N149" i="10"/>
  <c r="N150" i="10"/>
  <c r="N151" i="10"/>
  <c r="N152" i="10"/>
  <c r="N153" i="10"/>
  <c r="N154" i="10"/>
  <c r="N155" i="10"/>
  <c r="N156" i="10"/>
  <c r="N157" i="10"/>
  <c r="N158" i="10"/>
  <c r="N159" i="10"/>
  <c r="N160" i="10"/>
  <c r="N161" i="10"/>
  <c r="N162" i="10"/>
  <c r="N163" i="10"/>
  <c r="N164" i="10"/>
  <c r="N165" i="10"/>
  <c r="N166" i="10"/>
  <c r="N167" i="10"/>
  <c r="N168" i="10"/>
  <c r="N169" i="10"/>
  <c r="N170" i="10"/>
  <c r="N171" i="10"/>
  <c r="N172" i="10"/>
  <c r="N173" i="10"/>
  <c r="N174" i="10"/>
  <c r="N175" i="10"/>
  <c r="N176" i="10"/>
  <c r="N177" i="10"/>
  <c r="N178" i="10"/>
  <c r="N179" i="10"/>
  <c r="N180" i="10"/>
  <c r="N181" i="10"/>
  <c r="N182" i="10"/>
  <c r="N183" i="10"/>
  <c r="N184" i="10"/>
  <c r="N185" i="10"/>
  <c r="N186" i="10"/>
  <c r="N187" i="10"/>
  <c r="N188" i="10"/>
  <c r="N189" i="10"/>
  <c r="N190" i="10"/>
  <c r="N191" i="10"/>
  <c r="N192" i="10"/>
  <c r="N193" i="10"/>
  <c r="N194" i="10"/>
  <c r="N195" i="10"/>
  <c r="N196" i="10"/>
  <c r="N197" i="10"/>
  <c r="N198" i="10"/>
  <c r="N199" i="10"/>
  <c r="N200" i="10"/>
  <c r="N201" i="10"/>
  <c r="N202" i="10"/>
  <c r="N203" i="10"/>
  <c r="N204" i="10"/>
  <c r="N205" i="10"/>
  <c r="N206" i="10"/>
  <c r="N207" i="10"/>
  <c r="N208" i="10"/>
  <c r="N209" i="10"/>
  <c r="N210" i="10"/>
  <c r="N211" i="10"/>
  <c r="N212" i="10"/>
  <c r="N213" i="10"/>
  <c r="N214" i="10"/>
  <c r="N215" i="10"/>
  <c r="N216" i="10"/>
  <c r="N217" i="10"/>
  <c r="N218" i="10"/>
  <c r="N219" i="10"/>
  <c r="N220" i="10"/>
  <c r="N221" i="10"/>
  <c r="N222" i="10"/>
  <c r="N223" i="10"/>
  <c r="N224" i="10"/>
  <c r="N225" i="10"/>
  <c r="N226" i="10"/>
  <c r="N227" i="10"/>
  <c r="N228" i="10"/>
  <c r="N229" i="10"/>
  <c r="N230" i="10"/>
  <c r="N231" i="10"/>
  <c r="N232" i="10"/>
  <c r="N233" i="10"/>
  <c r="N234" i="10"/>
  <c r="N235" i="10"/>
  <c r="N236" i="10"/>
  <c r="N237" i="10"/>
  <c r="N238" i="10"/>
  <c r="N239" i="10"/>
  <c r="N240" i="10"/>
  <c r="N241" i="10"/>
  <c r="N242" i="10"/>
  <c r="N243" i="10"/>
  <c r="N244" i="10"/>
  <c r="N245" i="10"/>
  <c r="N246" i="10"/>
  <c r="N247" i="10"/>
  <c r="N248" i="10"/>
  <c r="N249" i="10"/>
  <c r="N250" i="10"/>
  <c r="N251" i="10"/>
  <c r="N252" i="10"/>
  <c r="N253" i="10"/>
  <c r="N254" i="10"/>
  <c r="N255" i="10"/>
  <c r="N256" i="10"/>
  <c r="N257" i="10"/>
  <c r="N258" i="10"/>
  <c r="N259" i="10"/>
  <c r="N260" i="10"/>
  <c r="N261" i="10"/>
  <c r="N262" i="10"/>
  <c r="N263" i="10"/>
  <c r="N264" i="10"/>
  <c r="N265" i="10"/>
  <c r="N266" i="10"/>
  <c r="N267" i="10"/>
  <c r="N268" i="10"/>
  <c r="N269" i="10"/>
  <c r="N270" i="10"/>
  <c r="N271" i="10"/>
  <c r="N272" i="10"/>
  <c r="N273" i="10"/>
  <c r="N274" i="10"/>
  <c r="N275" i="10"/>
  <c r="N276" i="10"/>
  <c r="N277" i="10"/>
  <c r="N278" i="10"/>
  <c r="N279" i="10"/>
  <c r="N280" i="10"/>
  <c r="N281" i="10"/>
  <c r="N282" i="10"/>
  <c r="N283" i="10"/>
  <c r="N284" i="10"/>
  <c r="N285" i="10"/>
  <c r="N286" i="10"/>
  <c r="N287" i="10"/>
  <c r="N288" i="10"/>
  <c r="N289" i="10"/>
  <c r="N290" i="10"/>
  <c r="N291" i="10"/>
  <c r="N292" i="10"/>
  <c r="N293" i="10"/>
  <c r="N294" i="10"/>
  <c r="N295" i="10"/>
  <c r="N296" i="10"/>
  <c r="N297" i="10"/>
  <c r="N298" i="10"/>
  <c r="N299" i="10"/>
  <c r="N300" i="10"/>
  <c r="N301" i="10"/>
  <c r="N302" i="10"/>
  <c r="N303" i="10"/>
  <c r="N304" i="10"/>
  <c r="N305" i="10"/>
  <c r="N306" i="10"/>
  <c r="N307" i="10"/>
  <c r="N308" i="10"/>
  <c r="N309" i="10"/>
  <c r="N310" i="10"/>
  <c r="N311" i="10"/>
  <c r="N312" i="10"/>
  <c r="N313" i="10"/>
  <c r="N314" i="10"/>
  <c r="N315" i="10"/>
  <c r="N316" i="10"/>
  <c r="N317" i="10"/>
  <c r="N318" i="10"/>
  <c r="N319" i="10"/>
  <c r="N320" i="10"/>
  <c r="N321" i="10"/>
  <c r="N322" i="10"/>
  <c r="N323" i="10"/>
  <c r="N324" i="10"/>
  <c r="N325" i="10"/>
  <c r="N326" i="10"/>
  <c r="N327" i="10"/>
  <c r="N328" i="10"/>
  <c r="N329" i="10"/>
  <c r="N330" i="10"/>
  <c r="N331" i="10"/>
  <c r="N332" i="10"/>
  <c r="N333" i="10"/>
  <c r="N334" i="10"/>
  <c r="N335" i="10"/>
  <c r="N336" i="10"/>
  <c r="N337" i="10"/>
  <c r="N338" i="10"/>
  <c r="N339" i="10"/>
  <c r="N340" i="10"/>
  <c r="N341" i="10"/>
  <c r="O4" i="10"/>
  <c r="O5" i="10"/>
  <c r="O6" i="10"/>
  <c r="O7" i="10"/>
  <c r="O8" i="10"/>
  <c r="O9" i="10"/>
  <c r="O10" i="10"/>
  <c r="O11" i="10"/>
  <c r="O12" i="10"/>
  <c r="O13" i="10"/>
  <c r="O14" i="10"/>
  <c r="O15" i="10"/>
  <c r="O16" i="10"/>
  <c r="O17" i="10"/>
  <c r="O18" i="10"/>
  <c r="O19" i="10"/>
  <c r="O20" i="10"/>
  <c r="O21" i="10"/>
  <c r="O22" i="10"/>
  <c r="O23" i="10"/>
  <c r="O24" i="10"/>
  <c r="O25" i="10"/>
  <c r="O26" i="10"/>
  <c r="O27" i="10"/>
  <c r="O28" i="10"/>
  <c r="O29" i="10"/>
  <c r="O30" i="10"/>
  <c r="O31" i="10"/>
  <c r="O32" i="10"/>
  <c r="O33" i="10"/>
  <c r="O34" i="10"/>
  <c r="O35" i="10"/>
  <c r="O36" i="10"/>
  <c r="O37" i="10"/>
  <c r="O38" i="10"/>
  <c r="O39" i="10"/>
  <c r="O40" i="10"/>
  <c r="O41" i="10"/>
  <c r="O42" i="10"/>
  <c r="O43" i="10"/>
  <c r="O44" i="10"/>
  <c r="O45" i="10"/>
  <c r="O46" i="10"/>
  <c r="O47" i="10"/>
  <c r="O48" i="10"/>
  <c r="O49" i="10"/>
  <c r="O50" i="10"/>
  <c r="O51" i="10"/>
  <c r="O52" i="10"/>
  <c r="O53" i="10"/>
  <c r="O54" i="10"/>
  <c r="O55" i="10"/>
  <c r="O56" i="10"/>
  <c r="O57" i="10"/>
  <c r="O58" i="10"/>
  <c r="O59" i="10"/>
  <c r="O60" i="10"/>
  <c r="O61" i="10"/>
  <c r="O62" i="10"/>
  <c r="O63" i="10"/>
  <c r="O64" i="10"/>
  <c r="O65" i="10"/>
  <c r="O66" i="10"/>
  <c r="O67" i="10"/>
  <c r="O68" i="10"/>
  <c r="O69" i="10"/>
  <c r="O70" i="10"/>
  <c r="O71" i="10"/>
  <c r="O72" i="10"/>
  <c r="O73" i="10"/>
  <c r="O74" i="10"/>
  <c r="O75" i="10"/>
  <c r="O76" i="10"/>
  <c r="O77" i="10"/>
  <c r="O78" i="10"/>
  <c r="O79" i="10"/>
  <c r="O80" i="10"/>
  <c r="O81" i="10"/>
  <c r="O82" i="10"/>
  <c r="O83" i="10"/>
  <c r="O84" i="10"/>
  <c r="O85" i="10"/>
  <c r="O86" i="10"/>
  <c r="O87" i="10"/>
  <c r="O88" i="10"/>
  <c r="O89" i="10"/>
  <c r="O90" i="10"/>
  <c r="O91" i="10"/>
  <c r="O92" i="10"/>
  <c r="O93" i="10"/>
  <c r="O94" i="10"/>
  <c r="O95" i="10"/>
  <c r="O96" i="10"/>
  <c r="O97" i="10"/>
  <c r="O98" i="10"/>
  <c r="O99" i="10"/>
  <c r="O100" i="10"/>
  <c r="O101" i="10"/>
  <c r="O102" i="10"/>
  <c r="O103" i="10"/>
  <c r="O104" i="10"/>
  <c r="O105" i="10"/>
  <c r="O106" i="10"/>
  <c r="O107" i="10"/>
  <c r="O108" i="10"/>
  <c r="O109" i="10"/>
  <c r="O110" i="10"/>
  <c r="O111" i="10"/>
  <c r="O112" i="10"/>
  <c r="O113" i="10"/>
  <c r="O114" i="10"/>
  <c r="O115" i="10"/>
  <c r="O116" i="10"/>
  <c r="O117" i="10"/>
  <c r="O118" i="10"/>
  <c r="O119" i="10"/>
  <c r="O120" i="10"/>
  <c r="O121" i="10"/>
  <c r="O122" i="10"/>
  <c r="O123" i="10"/>
  <c r="O124" i="10"/>
  <c r="O125" i="10"/>
  <c r="O126" i="10"/>
  <c r="O127" i="10"/>
  <c r="O128" i="10"/>
  <c r="O129" i="10"/>
  <c r="O130" i="10"/>
  <c r="O131" i="10"/>
  <c r="O132" i="10"/>
  <c r="O133" i="10"/>
  <c r="O134" i="10"/>
  <c r="O135" i="10"/>
  <c r="O136" i="10"/>
  <c r="O137" i="10"/>
  <c r="O138" i="10"/>
  <c r="O139" i="10"/>
  <c r="O140" i="10"/>
  <c r="O141" i="10"/>
  <c r="O142" i="10"/>
  <c r="O143" i="10"/>
  <c r="O144" i="10"/>
  <c r="O145" i="10"/>
  <c r="O146" i="10"/>
  <c r="O147" i="10"/>
  <c r="O148" i="10"/>
  <c r="O149" i="10"/>
  <c r="O150" i="10"/>
  <c r="O151" i="10"/>
  <c r="O152" i="10"/>
  <c r="O153" i="10"/>
  <c r="O154" i="10"/>
  <c r="O155" i="10"/>
  <c r="O156" i="10"/>
  <c r="O157" i="10"/>
  <c r="O158" i="10"/>
  <c r="O159" i="10"/>
  <c r="O160" i="10"/>
  <c r="O161" i="10"/>
  <c r="O162" i="10"/>
  <c r="O163" i="10"/>
  <c r="O164" i="10"/>
  <c r="O165" i="10"/>
  <c r="O166" i="10"/>
  <c r="O167" i="10"/>
  <c r="O168" i="10"/>
  <c r="O169" i="10"/>
  <c r="O170" i="10"/>
  <c r="O171" i="10"/>
  <c r="O172" i="10"/>
  <c r="O173" i="10"/>
  <c r="O174" i="10"/>
  <c r="O175" i="10"/>
  <c r="O176" i="10"/>
  <c r="O177" i="10"/>
  <c r="O178" i="10"/>
  <c r="O179" i="10"/>
  <c r="O180" i="10"/>
  <c r="O181" i="10"/>
  <c r="O182" i="10"/>
  <c r="O183" i="10"/>
  <c r="O184" i="10"/>
  <c r="O185" i="10"/>
  <c r="O186" i="10"/>
  <c r="O187" i="10"/>
  <c r="O188" i="10"/>
  <c r="O189" i="10"/>
  <c r="O190" i="10"/>
  <c r="O191" i="10"/>
  <c r="O192" i="10"/>
  <c r="O193" i="10"/>
  <c r="O194" i="10"/>
  <c r="O195" i="10"/>
  <c r="O196" i="10"/>
  <c r="O197" i="10"/>
  <c r="O198" i="10"/>
  <c r="O199" i="10"/>
  <c r="O200" i="10"/>
  <c r="O201" i="10"/>
  <c r="O202" i="10"/>
  <c r="O203" i="10"/>
  <c r="O204" i="10"/>
  <c r="O205" i="10"/>
  <c r="O206" i="10"/>
  <c r="O207" i="10"/>
  <c r="O208" i="10"/>
  <c r="O209" i="10"/>
  <c r="O210" i="10"/>
  <c r="O211" i="10"/>
  <c r="O212" i="10"/>
  <c r="O213" i="10"/>
  <c r="O214" i="10"/>
  <c r="O215" i="10"/>
  <c r="O216" i="10"/>
  <c r="O217" i="10"/>
  <c r="O218" i="10"/>
  <c r="O219" i="10"/>
  <c r="O220" i="10"/>
  <c r="O221" i="10"/>
  <c r="O222" i="10"/>
  <c r="O223" i="10"/>
  <c r="O224" i="10"/>
  <c r="O225" i="10"/>
  <c r="O226" i="10"/>
  <c r="O227" i="10"/>
  <c r="O228" i="10"/>
  <c r="O229" i="10"/>
  <c r="O230" i="10"/>
  <c r="O231" i="10"/>
  <c r="O232" i="10"/>
  <c r="O233" i="10"/>
  <c r="O234" i="10"/>
  <c r="O235" i="10"/>
  <c r="O236" i="10"/>
  <c r="O237" i="10"/>
  <c r="O238" i="10"/>
  <c r="O239" i="10"/>
  <c r="O240" i="10"/>
  <c r="O241" i="10"/>
  <c r="O242" i="10"/>
  <c r="O243" i="10"/>
  <c r="O244" i="10"/>
  <c r="O245" i="10"/>
  <c r="O246" i="10"/>
  <c r="O247" i="10"/>
  <c r="O248" i="10"/>
  <c r="O249" i="10"/>
  <c r="O250" i="10"/>
  <c r="O251" i="10"/>
  <c r="O252" i="10"/>
  <c r="O253" i="10"/>
  <c r="O254" i="10"/>
  <c r="O255" i="10"/>
  <c r="O256" i="10"/>
  <c r="O257" i="10"/>
  <c r="O258" i="10"/>
  <c r="O259" i="10"/>
  <c r="O260" i="10"/>
  <c r="O261" i="10"/>
  <c r="O262" i="10"/>
  <c r="O263" i="10"/>
  <c r="O264" i="10"/>
  <c r="O265" i="10"/>
  <c r="O266" i="10"/>
  <c r="O267" i="10"/>
  <c r="O268" i="10"/>
  <c r="O269" i="10"/>
  <c r="O270" i="10"/>
  <c r="O271" i="10"/>
  <c r="O272" i="10"/>
  <c r="O273" i="10"/>
  <c r="O274" i="10"/>
  <c r="O275" i="10"/>
  <c r="O276" i="10"/>
  <c r="O277" i="10"/>
  <c r="O278" i="10"/>
  <c r="O279" i="10"/>
  <c r="O280" i="10"/>
  <c r="O281" i="10"/>
  <c r="O282" i="10"/>
  <c r="O283" i="10"/>
  <c r="O284" i="10"/>
  <c r="O285" i="10"/>
  <c r="O286" i="10"/>
  <c r="O287" i="10"/>
  <c r="O288" i="10"/>
  <c r="O289" i="10"/>
  <c r="O290" i="10"/>
  <c r="O291" i="10"/>
  <c r="O292" i="10"/>
  <c r="O293" i="10"/>
  <c r="O294" i="10"/>
  <c r="O295" i="10"/>
  <c r="O296" i="10"/>
  <c r="O297" i="10"/>
  <c r="O298" i="10"/>
  <c r="O299" i="10"/>
  <c r="O300" i="10"/>
  <c r="O301" i="10"/>
  <c r="O302" i="10"/>
  <c r="O303" i="10"/>
  <c r="O304" i="10"/>
  <c r="O305" i="10"/>
  <c r="O306" i="10"/>
  <c r="O307" i="10"/>
  <c r="O308" i="10"/>
  <c r="O309" i="10"/>
  <c r="O310" i="10"/>
  <c r="O311" i="10"/>
  <c r="O312" i="10"/>
  <c r="O313" i="10"/>
  <c r="O314" i="10"/>
  <c r="O315" i="10"/>
  <c r="O316" i="10"/>
  <c r="O317" i="10"/>
  <c r="O318" i="10"/>
  <c r="O319" i="10"/>
  <c r="O320" i="10"/>
  <c r="O321" i="10"/>
  <c r="O322" i="10"/>
  <c r="O323" i="10"/>
  <c r="O324" i="10"/>
  <c r="O325" i="10"/>
  <c r="O326" i="10"/>
  <c r="O327" i="10"/>
  <c r="O328" i="10"/>
  <c r="O329" i="10"/>
  <c r="O330" i="10"/>
  <c r="O331" i="10"/>
  <c r="O332" i="10"/>
  <c r="O333" i="10"/>
  <c r="O334" i="10"/>
  <c r="O335" i="10"/>
  <c r="O336" i="10"/>
  <c r="O337" i="10"/>
  <c r="O338" i="10"/>
  <c r="O339" i="10"/>
  <c r="O340" i="10"/>
  <c r="O341" i="10"/>
  <c r="P4" i="10"/>
  <c r="P5" i="10"/>
  <c r="P6" i="10"/>
  <c r="P7" i="10"/>
  <c r="P8" i="10"/>
  <c r="P9" i="10"/>
  <c r="P10" i="10"/>
  <c r="P11" i="10"/>
  <c r="P12" i="10"/>
  <c r="P13" i="10"/>
  <c r="P14" i="10"/>
  <c r="P15" i="10"/>
  <c r="P16" i="10"/>
  <c r="P17" i="10"/>
  <c r="P18" i="10"/>
  <c r="P19" i="10"/>
  <c r="P20" i="10"/>
  <c r="P21" i="10"/>
  <c r="P22" i="10"/>
  <c r="P23" i="10"/>
  <c r="P24" i="10"/>
  <c r="P25" i="10"/>
  <c r="P26" i="10"/>
  <c r="P27" i="10"/>
  <c r="P28" i="10"/>
  <c r="P29" i="10"/>
  <c r="P30" i="10"/>
  <c r="P31" i="10"/>
  <c r="P32" i="10"/>
  <c r="P33" i="10"/>
  <c r="P34" i="10"/>
  <c r="P35" i="10"/>
  <c r="P36" i="10"/>
  <c r="P37" i="10"/>
  <c r="P38" i="10"/>
  <c r="P39" i="10"/>
  <c r="P40" i="10"/>
  <c r="P41" i="10"/>
  <c r="P42" i="10"/>
  <c r="P43" i="10"/>
  <c r="P44" i="10"/>
  <c r="P45" i="10"/>
  <c r="P46" i="10"/>
  <c r="P47" i="10"/>
  <c r="P48" i="10"/>
  <c r="P49" i="10"/>
  <c r="P50" i="10"/>
  <c r="P51" i="10"/>
  <c r="P52" i="10"/>
  <c r="P53" i="10"/>
  <c r="P54" i="10"/>
  <c r="P55" i="10"/>
  <c r="P56" i="10"/>
  <c r="P57" i="10"/>
  <c r="P58" i="10"/>
  <c r="P59" i="10"/>
  <c r="P60" i="10"/>
  <c r="P61" i="10"/>
  <c r="P62" i="10"/>
  <c r="P63" i="10"/>
  <c r="P64" i="10"/>
  <c r="P65" i="10"/>
  <c r="P66" i="10"/>
  <c r="P67" i="10"/>
  <c r="P68" i="10"/>
  <c r="P69" i="10"/>
  <c r="P70" i="10"/>
  <c r="P71" i="10"/>
  <c r="P72" i="10"/>
  <c r="P73" i="10"/>
  <c r="P74" i="10"/>
  <c r="P75" i="10"/>
  <c r="P76" i="10"/>
  <c r="P77" i="10"/>
  <c r="P78" i="10"/>
  <c r="P79" i="10"/>
  <c r="P80" i="10"/>
  <c r="P81" i="10"/>
  <c r="P82" i="10"/>
  <c r="P83" i="10"/>
  <c r="P84" i="10"/>
  <c r="P85" i="10"/>
  <c r="P86" i="10"/>
  <c r="P87" i="10"/>
  <c r="P88" i="10"/>
  <c r="P89" i="10"/>
  <c r="P90" i="10"/>
  <c r="P91" i="10"/>
  <c r="P92" i="10"/>
  <c r="P93" i="10"/>
  <c r="P94" i="10"/>
  <c r="P95" i="10"/>
  <c r="P96" i="10"/>
  <c r="P97" i="10"/>
  <c r="P98" i="10"/>
  <c r="P99" i="10"/>
  <c r="P100" i="10"/>
  <c r="P101" i="10"/>
  <c r="P102" i="10"/>
  <c r="P103" i="10"/>
  <c r="P104" i="10"/>
  <c r="P105" i="10"/>
  <c r="P106" i="10"/>
  <c r="P107" i="10"/>
  <c r="P108" i="10"/>
  <c r="P109" i="10"/>
  <c r="P110" i="10"/>
  <c r="P111" i="10"/>
  <c r="P112" i="10"/>
  <c r="P113" i="10"/>
  <c r="P114" i="10"/>
  <c r="P115" i="10"/>
  <c r="P116" i="10"/>
  <c r="P117" i="10"/>
  <c r="P118" i="10"/>
  <c r="P119" i="10"/>
  <c r="P120" i="10"/>
  <c r="P121" i="10"/>
  <c r="P122" i="10"/>
  <c r="P123" i="10"/>
  <c r="P124" i="10"/>
  <c r="P125" i="10"/>
  <c r="P126" i="10"/>
  <c r="P127" i="10"/>
  <c r="P128" i="10"/>
  <c r="P129" i="10"/>
  <c r="P130" i="10"/>
  <c r="P131" i="10"/>
  <c r="P132" i="10"/>
  <c r="P133" i="10"/>
  <c r="P134" i="10"/>
  <c r="P135" i="10"/>
  <c r="P136" i="10"/>
  <c r="P137" i="10"/>
  <c r="P138" i="10"/>
  <c r="P139" i="10"/>
  <c r="P140" i="10"/>
  <c r="P141" i="10"/>
  <c r="P142" i="10"/>
  <c r="P143" i="10"/>
  <c r="P144" i="10"/>
  <c r="P145" i="10"/>
  <c r="P146" i="10"/>
  <c r="P147" i="10"/>
  <c r="P148" i="10"/>
  <c r="P149" i="10"/>
  <c r="P150" i="10"/>
  <c r="P151" i="10"/>
  <c r="P152" i="10"/>
  <c r="P153" i="10"/>
  <c r="P154" i="10"/>
  <c r="P155" i="10"/>
  <c r="P156" i="10"/>
  <c r="P157" i="10"/>
  <c r="P158" i="10"/>
  <c r="P159" i="10"/>
  <c r="P160" i="10"/>
  <c r="P161" i="10"/>
  <c r="P162" i="10"/>
  <c r="P163" i="10"/>
  <c r="P164" i="10"/>
  <c r="P165" i="10"/>
  <c r="P166" i="10"/>
  <c r="P167" i="10"/>
  <c r="P168" i="10"/>
  <c r="P169" i="10"/>
  <c r="P170" i="10"/>
  <c r="P171" i="10"/>
  <c r="P172" i="10"/>
  <c r="P173" i="10"/>
  <c r="P174" i="10"/>
  <c r="P175" i="10"/>
  <c r="P176" i="10"/>
  <c r="P177" i="10"/>
  <c r="P178" i="10"/>
  <c r="P179" i="10"/>
  <c r="P180" i="10"/>
  <c r="P181" i="10"/>
  <c r="P182" i="10"/>
  <c r="P183" i="10"/>
  <c r="P184" i="10"/>
  <c r="P185" i="10"/>
  <c r="P186" i="10"/>
  <c r="P187" i="10"/>
  <c r="P188" i="10"/>
  <c r="P189" i="10"/>
  <c r="P190" i="10"/>
  <c r="P191" i="10"/>
  <c r="P192" i="10"/>
  <c r="P193" i="10"/>
  <c r="P194" i="10"/>
  <c r="P195" i="10"/>
  <c r="P196" i="10"/>
  <c r="P197" i="10"/>
  <c r="P198" i="10"/>
  <c r="P199" i="10"/>
  <c r="P200" i="10"/>
  <c r="P201" i="10"/>
  <c r="P202" i="10"/>
  <c r="P203" i="10"/>
  <c r="P204" i="10"/>
  <c r="P205" i="10"/>
  <c r="P206" i="10"/>
  <c r="P207" i="10"/>
  <c r="P208" i="10"/>
  <c r="P209" i="10"/>
  <c r="P210" i="10"/>
  <c r="P211" i="10"/>
  <c r="P212" i="10"/>
  <c r="P213" i="10"/>
  <c r="P214" i="10"/>
  <c r="P215" i="10"/>
  <c r="P216" i="10"/>
  <c r="P217" i="10"/>
  <c r="P218" i="10"/>
  <c r="P219" i="10"/>
  <c r="P220" i="10"/>
  <c r="P221" i="10"/>
  <c r="P222" i="10"/>
  <c r="P223" i="10"/>
  <c r="P224" i="10"/>
  <c r="P225" i="10"/>
  <c r="P226" i="10"/>
  <c r="P227" i="10"/>
  <c r="P228" i="10"/>
  <c r="P229" i="10"/>
  <c r="P230" i="10"/>
  <c r="P231" i="10"/>
  <c r="P232" i="10"/>
  <c r="P233" i="10"/>
  <c r="P234" i="10"/>
  <c r="P235" i="10"/>
  <c r="P236" i="10"/>
  <c r="P237" i="10"/>
  <c r="P238" i="10"/>
  <c r="P239" i="10"/>
  <c r="P240" i="10"/>
  <c r="P241" i="10"/>
  <c r="P242" i="10"/>
  <c r="P243" i="10"/>
  <c r="P244" i="10"/>
  <c r="P245" i="10"/>
  <c r="P246" i="10"/>
  <c r="P247" i="10"/>
  <c r="P248" i="10"/>
  <c r="P249" i="10"/>
  <c r="P250" i="10"/>
  <c r="P251" i="10"/>
  <c r="P252" i="10"/>
  <c r="P253" i="10"/>
  <c r="P254" i="10"/>
  <c r="P255" i="10"/>
  <c r="P256" i="10"/>
  <c r="P257" i="10"/>
  <c r="P258" i="10"/>
  <c r="P259" i="10"/>
  <c r="P260" i="10"/>
  <c r="P261" i="10"/>
  <c r="P262" i="10"/>
  <c r="P263" i="10"/>
  <c r="P264" i="10"/>
  <c r="P265" i="10"/>
  <c r="P266" i="10"/>
  <c r="P267" i="10"/>
  <c r="P268" i="10"/>
  <c r="P269" i="10"/>
  <c r="P270" i="10"/>
  <c r="P271" i="10"/>
  <c r="P272" i="10"/>
  <c r="P273" i="10"/>
  <c r="P274" i="10"/>
  <c r="P275" i="10"/>
  <c r="P276" i="10"/>
  <c r="P277" i="10"/>
  <c r="P278" i="10"/>
  <c r="P279" i="10"/>
  <c r="P280" i="10"/>
  <c r="P281" i="10"/>
  <c r="P282" i="10"/>
  <c r="P283" i="10"/>
  <c r="P284" i="10"/>
  <c r="P285" i="10"/>
  <c r="P286" i="10"/>
  <c r="P287" i="10"/>
  <c r="P288" i="10"/>
  <c r="P289" i="10"/>
  <c r="P290" i="10"/>
  <c r="P291" i="10"/>
  <c r="P292" i="10"/>
  <c r="P293" i="10"/>
  <c r="P294" i="10"/>
  <c r="P295" i="10"/>
  <c r="P296" i="10"/>
  <c r="P297" i="10"/>
  <c r="P298" i="10"/>
  <c r="P299" i="10"/>
  <c r="P300" i="10"/>
  <c r="P301" i="10"/>
  <c r="P302" i="10"/>
  <c r="P303" i="10"/>
  <c r="P304" i="10"/>
  <c r="P305" i="10"/>
  <c r="P306" i="10"/>
  <c r="P307" i="10"/>
  <c r="P308" i="10"/>
  <c r="P309" i="10"/>
  <c r="P310" i="10"/>
  <c r="P311" i="10"/>
  <c r="P312" i="10"/>
  <c r="P313" i="10"/>
  <c r="P314" i="10"/>
  <c r="P315" i="10"/>
  <c r="P316" i="10"/>
  <c r="P317" i="10"/>
  <c r="P318" i="10"/>
  <c r="P319" i="10"/>
  <c r="P320" i="10"/>
  <c r="P321" i="10"/>
  <c r="P322" i="10"/>
  <c r="P323" i="10"/>
  <c r="P324" i="10"/>
  <c r="P325" i="10"/>
  <c r="P326" i="10"/>
  <c r="P327" i="10"/>
  <c r="P328" i="10"/>
  <c r="P329" i="10"/>
  <c r="P330" i="10"/>
  <c r="P331" i="10"/>
  <c r="P332" i="10"/>
  <c r="P333" i="10"/>
  <c r="P334" i="10"/>
  <c r="P335" i="10"/>
  <c r="P336" i="10"/>
  <c r="P337" i="10"/>
  <c r="P338" i="10"/>
  <c r="P339" i="10"/>
  <c r="P340" i="10"/>
  <c r="P341" i="10"/>
  <c r="Q4" i="10"/>
  <c r="Q5" i="10"/>
  <c r="Q6" i="10"/>
  <c r="Q7" i="10"/>
  <c r="Q8" i="10"/>
  <c r="Q9" i="10"/>
  <c r="Q10" i="10"/>
  <c r="Q11" i="10"/>
  <c r="Q12" i="10"/>
  <c r="Q13" i="10"/>
  <c r="Q14" i="10"/>
  <c r="Q15" i="10"/>
  <c r="Q16" i="10"/>
  <c r="Q17" i="10"/>
  <c r="Q18" i="10"/>
  <c r="Q19" i="10"/>
  <c r="Q20" i="10"/>
  <c r="Q21" i="10"/>
  <c r="Q22" i="10"/>
  <c r="Q23" i="10"/>
  <c r="Q24" i="10"/>
  <c r="Q25" i="10"/>
  <c r="Q26" i="10"/>
  <c r="Q27" i="10"/>
  <c r="Q28" i="10"/>
  <c r="Q29" i="10"/>
  <c r="Q30" i="10"/>
  <c r="Q31" i="10"/>
  <c r="Q32" i="10"/>
  <c r="Q33" i="10"/>
  <c r="Q34" i="10"/>
  <c r="Q35" i="10"/>
  <c r="Q36" i="10"/>
  <c r="Q37" i="10"/>
  <c r="Q38" i="10"/>
  <c r="Q39" i="10"/>
  <c r="Q40" i="10"/>
  <c r="Q41" i="10"/>
  <c r="Q42" i="10"/>
  <c r="Q43" i="10"/>
  <c r="Q44" i="10"/>
  <c r="Q45" i="10"/>
  <c r="Q46" i="10"/>
  <c r="Q47" i="10"/>
  <c r="Q48" i="10"/>
  <c r="Q49" i="10"/>
  <c r="Q50" i="10"/>
  <c r="Q51" i="10"/>
  <c r="Q52" i="10"/>
  <c r="Q53" i="10"/>
  <c r="Q54" i="10"/>
  <c r="Q55" i="10"/>
  <c r="Q56" i="10"/>
  <c r="Q57" i="10"/>
  <c r="Q58" i="10"/>
  <c r="Q59" i="10"/>
  <c r="Q60" i="10"/>
  <c r="Q61" i="10"/>
  <c r="Q62" i="10"/>
  <c r="Q63" i="10"/>
  <c r="Q64" i="10"/>
  <c r="Q65" i="10"/>
  <c r="Q66" i="10"/>
  <c r="Q67" i="10"/>
  <c r="Q68" i="10"/>
  <c r="Q69" i="10"/>
  <c r="Q70" i="10"/>
  <c r="Q71" i="10"/>
  <c r="Q72" i="10"/>
  <c r="Q73" i="10"/>
  <c r="Q74" i="10"/>
  <c r="Q75" i="10"/>
  <c r="Q76" i="10"/>
  <c r="Q77" i="10"/>
  <c r="Q78" i="10"/>
  <c r="Q79" i="10"/>
  <c r="Q80" i="10"/>
  <c r="Q81" i="10"/>
  <c r="Q82" i="10"/>
  <c r="Q83" i="10"/>
  <c r="Q84" i="10"/>
  <c r="Q85" i="10"/>
  <c r="Q86" i="10"/>
  <c r="Q87" i="10"/>
  <c r="Q88" i="10"/>
  <c r="Q89" i="10"/>
  <c r="Q90" i="10"/>
  <c r="Q91" i="10"/>
  <c r="Q92" i="10"/>
  <c r="Q93" i="10"/>
  <c r="Q94" i="10"/>
  <c r="Q95" i="10"/>
  <c r="Q96" i="10"/>
  <c r="Q97" i="10"/>
  <c r="Q98" i="10"/>
  <c r="Q99" i="10"/>
  <c r="Q100" i="10"/>
  <c r="Q101" i="10"/>
  <c r="Q102" i="10"/>
  <c r="Q103" i="10"/>
  <c r="Q104" i="10"/>
  <c r="Q105" i="10"/>
  <c r="Q106" i="10"/>
  <c r="Q107" i="10"/>
  <c r="Q108" i="10"/>
  <c r="Q109" i="10"/>
  <c r="Q110" i="10"/>
  <c r="Q111" i="10"/>
  <c r="Q112" i="10"/>
  <c r="Q113" i="10"/>
  <c r="Q114" i="10"/>
  <c r="Q115" i="10"/>
  <c r="Q116" i="10"/>
  <c r="Q117" i="10"/>
  <c r="Q118" i="10"/>
  <c r="Q119" i="10"/>
  <c r="Q120" i="10"/>
  <c r="Q121" i="10"/>
  <c r="Q122" i="10"/>
  <c r="Q123" i="10"/>
  <c r="Q124" i="10"/>
  <c r="Q125" i="10"/>
  <c r="Q126" i="10"/>
  <c r="Q127" i="10"/>
  <c r="Q128" i="10"/>
  <c r="Q129" i="10"/>
  <c r="Q130" i="10"/>
  <c r="Q131" i="10"/>
  <c r="Q132" i="10"/>
  <c r="Q133" i="10"/>
  <c r="Q134" i="10"/>
  <c r="Q135" i="10"/>
  <c r="Q136" i="10"/>
  <c r="Q137" i="10"/>
  <c r="Q138" i="10"/>
  <c r="Q139" i="10"/>
  <c r="Q140" i="10"/>
  <c r="Q141" i="10"/>
  <c r="Q142" i="10"/>
  <c r="Q143" i="10"/>
  <c r="Q144" i="10"/>
  <c r="Q145" i="10"/>
  <c r="Q146" i="10"/>
  <c r="Q147" i="10"/>
  <c r="Q148" i="10"/>
  <c r="Q149" i="10"/>
  <c r="Q150" i="10"/>
  <c r="Q151" i="10"/>
  <c r="Q152" i="10"/>
  <c r="Q153" i="10"/>
  <c r="Q154" i="10"/>
  <c r="Q155" i="10"/>
  <c r="Q156" i="10"/>
  <c r="Q157" i="10"/>
  <c r="Q158" i="10"/>
  <c r="Q159" i="10"/>
  <c r="Q160" i="10"/>
  <c r="Q161" i="10"/>
  <c r="Q162" i="10"/>
  <c r="Q163" i="10"/>
  <c r="Q164" i="10"/>
  <c r="Q165" i="10"/>
  <c r="Q166" i="10"/>
  <c r="Q167" i="10"/>
  <c r="Q168" i="10"/>
  <c r="Q169" i="10"/>
  <c r="Q170" i="10"/>
  <c r="Q171" i="10"/>
  <c r="Q172" i="10"/>
  <c r="Q173" i="10"/>
  <c r="Q174" i="10"/>
  <c r="Q175" i="10"/>
  <c r="Q176" i="10"/>
  <c r="Q177" i="10"/>
  <c r="Q178" i="10"/>
  <c r="Q179" i="10"/>
  <c r="Q180" i="10"/>
  <c r="Q181" i="10"/>
  <c r="Q182" i="10"/>
  <c r="Q183" i="10"/>
  <c r="Q184" i="10"/>
  <c r="Q185" i="10"/>
  <c r="Q186" i="10"/>
  <c r="Q187" i="10"/>
  <c r="Q188" i="10"/>
  <c r="Q189" i="10"/>
  <c r="Q190" i="10"/>
  <c r="Q191" i="10"/>
  <c r="Q192" i="10"/>
  <c r="Q193" i="10"/>
  <c r="Q194" i="10"/>
  <c r="Q195" i="10"/>
  <c r="Q196" i="10"/>
  <c r="Q197" i="10"/>
  <c r="Q198" i="10"/>
  <c r="Q199" i="10"/>
  <c r="Q200" i="10"/>
  <c r="Q201" i="10"/>
  <c r="Q202" i="10"/>
  <c r="Q203" i="10"/>
  <c r="Q204" i="10"/>
  <c r="Q205" i="10"/>
  <c r="Q206" i="10"/>
  <c r="Q207" i="10"/>
  <c r="Q208" i="10"/>
  <c r="Q209" i="10"/>
  <c r="Q210" i="10"/>
  <c r="Q211" i="10"/>
  <c r="Q212" i="10"/>
  <c r="Q213" i="10"/>
  <c r="Q214" i="10"/>
  <c r="Q215" i="10"/>
  <c r="Q216" i="10"/>
  <c r="Q217" i="10"/>
  <c r="Q218" i="10"/>
  <c r="Q219" i="10"/>
  <c r="Q220" i="10"/>
  <c r="Q221" i="10"/>
  <c r="Q222" i="10"/>
  <c r="Q223" i="10"/>
  <c r="Q224" i="10"/>
  <c r="Q225" i="10"/>
  <c r="Q226" i="10"/>
  <c r="Q227" i="10"/>
  <c r="Q228" i="10"/>
  <c r="Q229" i="10"/>
  <c r="Q230" i="10"/>
  <c r="Q231" i="10"/>
  <c r="Q232" i="10"/>
  <c r="Q233" i="10"/>
  <c r="Q234" i="10"/>
  <c r="Q235" i="10"/>
  <c r="Q236" i="10"/>
  <c r="Q237" i="10"/>
  <c r="Q238" i="10"/>
  <c r="Q239" i="10"/>
  <c r="Q240" i="10"/>
  <c r="Q241" i="10"/>
  <c r="Q242" i="10"/>
  <c r="Q243" i="10"/>
  <c r="Q244" i="10"/>
  <c r="Q245" i="10"/>
  <c r="Q246" i="10"/>
  <c r="Q247" i="10"/>
  <c r="Q248" i="10"/>
  <c r="Q249" i="10"/>
  <c r="Q250" i="10"/>
  <c r="Q251" i="10"/>
  <c r="Q252" i="10"/>
  <c r="Q253" i="10"/>
  <c r="Q254" i="10"/>
  <c r="Q255" i="10"/>
  <c r="Q256" i="10"/>
  <c r="Q257" i="10"/>
  <c r="Q258" i="10"/>
  <c r="Q259" i="10"/>
  <c r="Q260" i="10"/>
  <c r="Q261" i="10"/>
  <c r="Q262" i="10"/>
  <c r="Q263" i="10"/>
  <c r="Q264" i="10"/>
  <c r="Q265" i="10"/>
  <c r="Q266" i="10"/>
  <c r="Q267" i="10"/>
  <c r="Q268" i="10"/>
  <c r="Q269" i="10"/>
  <c r="Q270" i="10"/>
  <c r="Q271" i="10"/>
  <c r="Q272" i="10"/>
  <c r="Q273" i="10"/>
  <c r="Q274" i="10"/>
  <c r="Q275" i="10"/>
  <c r="Q276" i="10"/>
  <c r="Q277" i="10"/>
  <c r="Q278" i="10"/>
  <c r="Q279" i="10"/>
  <c r="Q280" i="10"/>
  <c r="Q281" i="10"/>
  <c r="Q282" i="10"/>
  <c r="Q283" i="10"/>
  <c r="Q284" i="10"/>
  <c r="Q285" i="10"/>
  <c r="Q286" i="10"/>
  <c r="Q287" i="10"/>
  <c r="Q288" i="10"/>
  <c r="Q289" i="10"/>
  <c r="Q290" i="10"/>
  <c r="Q291" i="10"/>
  <c r="Q292" i="10"/>
  <c r="Q293" i="10"/>
  <c r="Q294" i="10"/>
  <c r="Q295" i="10"/>
  <c r="Q296" i="10"/>
  <c r="Q297" i="10"/>
  <c r="Q298" i="10"/>
  <c r="Q299" i="10"/>
  <c r="Q300" i="10"/>
  <c r="Q301" i="10"/>
  <c r="Q302" i="10"/>
  <c r="Q303" i="10"/>
  <c r="Q304" i="10"/>
  <c r="Q305" i="10"/>
  <c r="Q306" i="10"/>
  <c r="Q307" i="10"/>
  <c r="Q308" i="10"/>
  <c r="Q309" i="10"/>
  <c r="Q310" i="10"/>
  <c r="Q311" i="10"/>
  <c r="Q312" i="10"/>
  <c r="Q313" i="10"/>
  <c r="Q314" i="10"/>
  <c r="Q315" i="10"/>
  <c r="Q316" i="10"/>
  <c r="Q317" i="10"/>
  <c r="Q318" i="10"/>
  <c r="Q319" i="10"/>
  <c r="Q320" i="10"/>
  <c r="Q321" i="10"/>
  <c r="Q322" i="10"/>
  <c r="Q323" i="10"/>
  <c r="Q324" i="10"/>
  <c r="Q325" i="10"/>
  <c r="Q326" i="10"/>
  <c r="Q327" i="10"/>
  <c r="Q328" i="10"/>
  <c r="Q329" i="10"/>
  <c r="Q330" i="10"/>
  <c r="Q331" i="10"/>
  <c r="Q332" i="10"/>
  <c r="Q333" i="10"/>
  <c r="Q334" i="10"/>
  <c r="Q335" i="10"/>
  <c r="Q336" i="10"/>
  <c r="Q337" i="10"/>
  <c r="Q338" i="10"/>
  <c r="Q339" i="10"/>
  <c r="Q340" i="10"/>
  <c r="Q341" i="10"/>
  <c r="R4" i="10"/>
  <c r="R5" i="10"/>
  <c r="R6" i="10"/>
  <c r="R7" i="10"/>
  <c r="R8" i="10"/>
  <c r="R9" i="10"/>
  <c r="R10" i="10"/>
  <c r="R11" i="10"/>
  <c r="R12" i="10"/>
  <c r="R13" i="10"/>
  <c r="R14" i="10"/>
  <c r="R15" i="10"/>
  <c r="R16" i="10"/>
  <c r="R17" i="10"/>
  <c r="R18" i="10"/>
  <c r="R19" i="10"/>
  <c r="R20" i="10"/>
  <c r="R21" i="10"/>
  <c r="R22" i="10"/>
  <c r="R23" i="10"/>
  <c r="R24" i="10"/>
  <c r="R25" i="10"/>
  <c r="R26" i="10"/>
  <c r="R27" i="10"/>
  <c r="R28" i="10"/>
  <c r="R29" i="10"/>
  <c r="R30" i="10"/>
  <c r="R31" i="10"/>
  <c r="R32" i="10"/>
  <c r="R33" i="10"/>
  <c r="R34" i="10"/>
  <c r="R35" i="10"/>
  <c r="R36" i="10"/>
  <c r="R37" i="10"/>
  <c r="R38" i="10"/>
  <c r="R39" i="10"/>
  <c r="R40" i="10"/>
  <c r="R41" i="10"/>
  <c r="R42" i="10"/>
  <c r="R43" i="10"/>
  <c r="R44" i="10"/>
  <c r="R45" i="10"/>
  <c r="R46" i="10"/>
  <c r="R47" i="10"/>
  <c r="R48" i="10"/>
  <c r="R49" i="10"/>
  <c r="R50" i="10"/>
  <c r="R51" i="10"/>
  <c r="R52" i="10"/>
  <c r="R53" i="10"/>
  <c r="R54" i="10"/>
  <c r="R55" i="10"/>
  <c r="R56" i="10"/>
  <c r="R57" i="10"/>
  <c r="R58" i="10"/>
  <c r="R59" i="10"/>
  <c r="R60" i="10"/>
  <c r="R61" i="10"/>
  <c r="R62" i="10"/>
  <c r="R63" i="10"/>
  <c r="R64" i="10"/>
  <c r="R65" i="10"/>
  <c r="R66" i="10"/>
  <c r="R67" i="10"/>
  <c r="R68" i="10"/>
  <c r="R69" i="10"/>
  <c r="R70" i="10"/>
  <c r="R71" i="10"/>
  <c r="R72" i="10"/>
  <c r="R73" i="10"/>
  <c r="R74" i="10"/>
  <c r="R75" i="10"/>
  <c r="R76" i="10"/>
  <c r="R77" i="10"/>
  <c r="R78" i="10"/>
  <c r="R79" i="10"/>
  <c r="R80" i="10"/>
  <c r="R81" i="10"/>
  <c r="R82" i="10"/>
  <c r="R83" i="10"/>
  <c r="R84" i="10"/>
  <c r="R85" i="10"/>
  <c r="R86" i="10"/>
  <c r="R87" i="10"/>
  <c r="R88" i="10"/>
  <c r="R89" i="10"/>
  <c r="R90" i="10"/>
  <c r="R91" i="10"/>
  <c r="R92" i="10"/>
  <c r="R93" i="10"/>
  <c r="R94" i="10"/>
  <c r="R95" i="10"/>
  <c r="R96" i="10"/>
  <c r="R97" i="10"/>
  <c r="R98" i="10"/>
  <c r="R99" i="10"/>
  <c r="R100" i="10"/>
  <c r="R101" i="10"/>
  <c r="R102" i="10"/>
  <c r="R103" i="10"/>
  <c r="R104" i="10"/>
  <c r="R105" i="10"/>
  <c r="R106" i="10"/>
  <c r="R107" i="10"/>
  <c r="R108" i="10"/>
  <c r="R109" i="10"/>
  <c r="R110" i="10"/>
  <c r="R111" i="10"/>
  <c r="R112" i="10"/>
  <c r="R113" i="10"/>
  <c r="R114" i="10"/>
  <c r="R115" i="10"/>
  <c r="R116" i="10"/>
  <c r="R117" i="10"/>
  <c r="R118" i="10"/>
  <c r="R119" i="10"/>
  <c r="R120" i="10"/>
  <c r="R121" i="10"/>
  <c r="R122" i="10"/>
  <c r="R123" i="10"/>
  <c r="R124" i="10"/>
  <c r="R125" i="10"/>
  <c r="R126" i="10"/>
  <c r="R127" i="10"/>
  <c r="R128" i="10"/>
  <c r="R129" i="10"/>
  <c r="R130" i="10"/>
  <c r="R131" i="10"/>
  <c r="R132" i="10"/>
  <c r="R133" i="10"/>
  <c r="R134" i="10"/>
  <c r="R135" i="10"/>
  <c r="R136" i="10"/>
  <c r="R137" i="10"/>
  <c r="R138" i="10"/>
  <c r="R139" i="10"/>
  <c r="R140" i="10"/>
  <c r="R141" i="10"/>
  <c r="R142" i="10"/>
  <c r="R143" i="10"/>
  <c r="R144" i="10"/>
  <c r="R145" i="10"/>
  <c r="R146" i="10"/>
  <c r="R147" i="10"/>
  <c r="R148" i="10"/>
  <c r="R149" i="10"/>
  <c r="R150" i="10"/>
  <c r="R151" i="10"/>
  <c r="R152" i="10"/>
  <c r="R153" i="10"/>
  <c r="R154" i="10"/>
  <c r="R155" i="10"/>
  <c r="R156" i="10"/>
  <c r="R157" i="10"/>
  <c r="R158" i="10"/>
  <c r="R159" i="10"/>
  <c r="R160" i="10"/>
  <c r="R161" i="10"/>
  <c r="R162" i="10"/>
  <c r="R163" i="10"/>
  <c r="R164" i="10"/>
  <c r="R165" i="10"/>
  <c r="R166" i="10"/>
  <c r="R167" i="10"/>
  <c r="R168" i="10"/>
  <c r="R169" i="10"/>
  <c r="R170" i="10"/>
  <c r="R171" i="10"/>
  <c r="R172" i="10"/>
  <c r="R173" i="10"/>
  <c r="R174" i="10"/>
  <c r="R175" i="10"/>
  <c r="R176" i="10"/>
  <c r="R177" i="10"/>
  <c r="R178" i="10"/>
  <c r="R179" i="10"/>
  <c r="R180" i="10"/>
  <c r="R181" i="10"/>
  <c r="R182" i="10"/>
  <c r="R183" i="10"/>
  <c r="R184" i="10"/>
  <c r="R185" i="10"/>
  <c r="R186" i="10"/>
  <c r="R187" i="10"/>
  <c r="R188" i="10"/>
  <c r="R189" i="10"/>
  <c r="R190" i="10"/>
  <c r="R191" i="10"/>
  <c r="R192" i="10"/>
  <c r="R193" i="10"/>
  <c r="R194" i="10"/>
  <c r="R195" i="10"/>
  <c r="R196" i="10"/>
  <c r="R197" i="10"/>
  <c r="R198" i="10"/>
  <c r="R199" i="10"/>
  <c r="R200" i="10"/>
  <c r="R201" i="10"/>
  <c r="R202" i="10"/>
  <c r="R203" i="10"/>
  <c r="R204" i="10"/>
  <c r="R205" i="10"/>
  <c r="R206" i="10"/>
  <c r="R207" i="10"/>
  <c r="R208" i="10"/>
  <c r="R209" i="10"/>
  <c r="R210" i="10"/>
  <c r="R211" i="10"/>
  <c r="R212" i="10"/>
  <c r="R213" i="10"/>
  <c r="R214" i="10"/>
  <c r="R215" i="10"/>
  <c r="R216" i="10"/>
  <c r="R217" i="10"/>
  <c r="R218" i="10"/>
  <c r="R219" i="10"/>
  <c r="R220" i="10"/>
  <c r="R221" i="10"/>
  <c r="R222" i="10"/>
  <c r="R223" i="10"/>
  <c r="R224" i="10"/>
  <c r="R225" i="10"/>
  <c r="R226" i="10"/>
  <c r="R227" i="10"/>
  <c r="R228" i="10"/>
  <c r="R229" i="10"/>
  <c r="R230" i="10"/>
  <c r="R231" i="10"/>
  <c r="R232" i="10"/>
  <c r="R233" i="10"/>
  <c r="R234" i="10"/>
  <c r="R235" i="10"/>
  <c r="R236" i="10"/>
  <c r="R237" i="10"/>
  <c r="R238" i="10"/>
  <c r="R239" i="10"/>
  <c r="R240" i="10"/>
  <c r="R241" i="10"/>
  <c r="R242" i="10"/>
  <c r="R243" i="10"/>
  <c r="R244" i="10"/>
  <c r="R245" i="10"/>
  <c r="R246" i="10"/>
  <c r="R247" i="10"/>
  <c r="R248" i="10"/>
  <c r="R249" i="10"/>
  <c r="R250" i="10"/>
  <c r="R251" i="10"/>
  <c r="R252" i="10"/>
  <c r="R253" i="10"/>
  <c r="R254" i="10"/>
  <c r="R255" i="10"/>
  <c r="R256" i="10"/>
  <c r="R257" i="10"/>
  <c r="R258" i="10"/>
  <c r="R259" i="10"/>
  <c r="R260" i="10"/>
  <c r="R261" i="10"/>
  <c r="R262" i="10"/>
  <c r="R263" i="10"/>
  <c r="R264" i="10"/>
  <c r="R265" i="10"/>
  <c r="R266" i="10"/>
  <c r="R267" i="10"/>
  <c r="R268" i="10"/>
  <c r="R269" i="10"/>
  <c r="R270" i="10"/>
  <c r="R271" i="10"/>
  <c r="R272" i="10"/>
  <c r="R273" i="10"/>
  <c r="R274" i="10"/>
  <c r="R275" i="10"/>
  <c r="R276" i="10"/>
  <c r="R277" i="10"/>
  <c r="R278" i="10"/>
  <c r="R279" i="10"/>
  <c r="R280" i="10"/>
  <c r="R281" i="10"/>
  <c r="R282" i="10"/>
  <c r="R283" i="10"/>
  <c r="R284" i="10"/>
  <c r="R285" i="10"/>
  <c r="R286" i="10"/>
  <c r="R287" i="10"/>
  <c r="R288" i="10"/>
  <c r="R289" i="10"/>
  <c r="R290" i="10"/>
  <c r="R291" i="10"/>
  <c r="R292" i="10"/>
  <c r="R293" i="10"/>
  <c r="R294" i="10"/>
  <c r="R295" i="10"/>
  <c r="R296" i="10"/>
  <c r="R297" i="10"/>
  <c r="R298" i="10"/>
  <c r="R299" i="10"/>
  <c r="R300" i="10"/>
  <c r="R301" i="10"/>
  <c r="R302" i="10"/>
  <c r="R303" i="10"/>
  <c r="R304" i="10"/>
  <c r="R305" i="10"/>
  <c r="R306" i="10"/>
  <c r="R307" i="10"/>
  <c r="R308" i="10"/>
  <c r="R309" i="10"/>
  <c r="R310" i="10"/>
  <c r="R311" i="10"/>
  <c r="R312" i="10"/>
  <c r="R313" i="10"/>
  <c r="R314" i="10"/>
  <c r="R315" i="10"/>
  <c r="R316" i="10"/>
  <c r="R317" i="10"/>
  <c r="R318" i="10"/>
  <c r="R319" i="10"/>
  <c r="R320" i="10"/>
  <c r="R321" i="10"/>
  <c r="R322" i="10"/>
  <c r="R323" i="10"/>
  <c r="R324" i="10"/>
  <c r="R325" i="10"/>
  <c r="R326" i="10"/>
  <c r="R327" i="10"/>
  <c r="R328" i="10"/>
  <c r="R329" i="10"/>
  <c r="R330" i="10"/>
  <c r="R331" i="10"/>
  <c r="R332" i="10"/>
  <c r="R333" i="10"/>
  <c r="R334" i="10"/>
  <c r="R335" i="10"/>
  <c r="R336" i="10"/>
  <c r="R337" i="10"/>
  <c r="R338" i="10"/>
  <c r="R339" i="10"/>
  <c r="R340" i="10"/>
  <c r="R341" i="10"/>
  <c r="S4" i="10"/>
  <c r="S5" i="10"/>
  <c r="S6" i="10"/>
  <c r="S7" i="10"/>
  <c r="S8" i="10"/>
  <c r="S9" i="10"/>
  <c r="S10" i="10"/>
  <c r="S11" i="10"/>
  <c r="S12" i="10"/>
  <c r="S13" i="10"/>
  <c r="S14" i="10"/>
  <c r="S15" i="10"/>
  <c r="S16" i="10"/>
  <c r="S17" i="10"/>
  <c r="S18" i="10"/>
  <c r="S19" i="10"/>
  <c r="S20" i="10"/>
  <c r="S21" i="10"/>
  <c r="S22" i="10"/>
  <c r="S23" i="10"/>
  <c r="S24" i="10"/>
  <c r="S25" i="10"/>
  <c r="S26" i="10"/>
  <c r="S27" i="10"/>
  <c r="S28" i="10"/>
  <c r="S29" i="10"/>
  <c r="S30" i="10"/>
  <c r="S31" i="10"/>
  <c r="S32" i="10"/>
  <c r="S33" i="10"/>
  <c r="S34" i="10"/>
  <c r="S35" i="10"/>
  <c r="S36" i="10"/>
  <c r="S37" i="10"/>
  <c r="S38" i="10"/>
  <c r="S39" i="10"/>
  <c r="S40" i="10"/>
  <c r="S41" i="10"/>
  <c r="S42" i="10"/>
  <c r="S43" i="10"/>
  <c r="S44" i="10"/>
  <c r="S45" i="10"/>
  <c r="S46" i="10"/>
  <c r="S47" i="10"/>
  <c r="S48" i="10"/>
  <c r="S49" i="10"/>
  <c r="S50" i="10"/>
  <c r="S51" i="10"/>
  <c r="S52" i="10"/>
  <c r="S53" i="10"/>
  <c r="S54" i="10"/>
  <c r="S55" i="10"/>
  <c r="S56" i="10"/>
  <c r="S57" i="10"/>
  <c r="S58" i="10"/>
  <c r="S59" i="10"/>
  <c r="S60" i="10"/>
  <c r="S61" i="10"/>
  <c r="S62" i="10"/>
  <c r="S63" i="10"/>
  <c r="S64" i="10"/>
  <c r="S65" i="10"/>
  <c r="S66" i="10"/>
  <c r="S67" i="10"/>
  <c r="S68" i="10"/>
  <c r="S69" i="10"/>
  <c r="S70" i="10"/>
  <c r="S71" i="10"/>
  <c r="S72" i="10"/>
  <c r="S73" i="10"/>
  <c r="S74" i="10"/>
  <c r="S75" i="10"/>
  <c r="S76" i="10"/>
  <c r="S77" i="10"/>
  <c r="S78" i="10"/>
  <c r="S79" i="10"/>
  <c r="S80" i="10"/>
  <c r="S81" i="10"/>
  <c r="S82" i="10"/>
  <c r="S83" i="10"/>
  <c r="S84" i="10"/>
  <c r="S85" i="10"/>
  <c r="S86" i="10"/>
  <c r="S87" i="10"/>
  <c r="S88" i="10"/>
  <c r="S89" i="10"/>
  <c r="S90" i="10"/>
  <c r="S91" i="10"/>
  <c r="S92" i="10"/>
  <c r="S93" i="10"/>
  <c r="S94" i="10"/>
  <c r="S95" i="10"/>
  <c r="S96" i="10"/>
  <c r="S97" i="10"/>
  <c r="S98" i="10"/>
  <c r="S99" i="10"/>
  <c r="S100" i="10"/>
  <c r="S101" i="10"/>
  <c r="S102" i="10"/>
  <c r="S103" i="10"/>
  <c r="S104" i="10"/>
  <c r="S105" i="10"/>
  <c r="S106" i="10"/>
  <c r="S107" i="10"/>
  <c r="S108" i="10"/>
  <c r="S109" i="10"/>
  <c r="S110" i="10"/>
  <c r="S111" i="10"/>
  <c r="S112" i="10"/>
  <c r="S113" i="10"/>
  <c r="S114" i="10"/>
  <c r="S115" i="10"/>
  <c r="S116" i="10"/>
  <c r="S117" i="10"/>
  <c r="S118" i="10"/>
  <c r="S119" i="10"/>
  <c r="S120" i="10"/>
  <c r="S121" i="10"/>
  <c r="S122" i="10"/>
  <c r="S123" i="10"/>
  <c r="S124" i="10"/>
  <c r="S125" i="10"/>
  <c r="S126" i="10"/>
  <c r="S127" i="10"/>
  <c r="S128" i="10"/>
  <c r="S129" i="10"/>
  <c r="S130" i="10"/>
  <c r="S131" i="10"/>
  <c r="S132" i="10"/>
  <c r="S133" i="10"/>
  <c r="S134" i="10"/>
  <c r="S135" i="10"/>
  <c r="S136" i="10"/>
  <c r="S137" i="10"/>
  <c r="S138" i="10"/>
  <c r="S139" i="10"/>
  <c r="S140" i="10"/>
  <c r="S141" i="10"/>
  <c r="S142" i="10"/>
  <c r="S143" i="10"/>
  <c r="S144" i="10"/>
  <c r="S145" i="10"/>
  <c r="S146" i="10"/>
  <c r="S147" i="10"/>
  <c r="S148" i="10"/>
  <c r="S149" i="10"/>
  <c r="S150" i="10"/>
  <c r="S151" i="10"/>
  <c r="S152" i="10"/>
  <c r="S153" i="10"/>
  <c r="S154" i="10"/>
  <c r="S155" i="10"/>
  <c r="S156" i="10"/>
  <c r="S157" i="10"/>
  <c r="S158" i="10"/>
  <c r="S159" i="10"/>
  <c r="S160" i="10"/>
  <c r="S161" i="10"/>
  <c r="S162" i="10"/>
  <c r="S163" i="10"/>
  <c r="S164" i="10"/>
  <c r="S165" i="10"/>
  <c r="S166" i="10"/>
  <c r="S167" i="10"/>
  <c r="S168" i="10"/>
  <c r="S169" i="10"/>
  <c r="S170" i="10"/>
  <c r="S171" i="10"/>
  <c r="S172" i="10"/>
  <c r="S173" i="10"/>
  <c r="S174" i="10"/>
  <c r="S175" i="10"/>
  <c r="S176" i="10"/>
  <c r="S177" i="10"/>
  <c r="S178" i="10"/>
  <c r="S179" i="10"/>
  <c r="S180" i="10"/>
  <c r="S181" i="10"/>
  <c r="S182" i="10"/>
  <c r="S183" i="10"/>
  <c r="S184" i="10"/>
  <c r="S185" i="10"/>
  <c r="S186" i="10"/>
  <c r="S187" i="10"/>
  <c r="S188" i="10"/>
  <c r="S189" i="10"/>
  <c r="S190" i="10"/>
  <c r="S191" i="10"/>
  <c r="S192" i="10"/>
  <c r="S193" i="10"/>
  <c r="S194" i="10"/>
  <c r="S195" i="10"/>
  <c r="S196" i="10"/>
  <c r="S197" i="10"/>
  <c r="S198" i="10"/>
  <c r="S199" i="10"/>
  <c r="S200" i="10"/>
  <c r="S201" i="10"/>
  <c r="S202" i="10"/>
  <c r="S203" i="10"/>
  <c r="S204" i="10"/>
  <c r="S205" i="10"/>
  <c r="S206" i="10"/>
  <c r="S207" i="10"/>
  <c r="S208" i="10"/>
  <c r="S209" i="10"/>
  <c r="S210" i="10"/>
  <c r="S211" i="10"/>
  <c r="S212" i="10"/>
  <c r="S213" i="10"/>
  <c r="S214" i="10"/>
  <c r="S215" i="10"/>
  <c r="S216" i="10"/>
  <c r="S217" i="10"/>
  <c r="S218" i="10"/>
  <c r="S219" i="10"/>
  <c r="S220" i="10"/>
  <c r="S221" i="10"/>
  <c r="S222" i="10"/>
  <c r="S223" i="10"/>
  <c r="S224" i="10"/>
  <c r="S225" i="10"/>
  <c r="S226" i="10"/>
  <c r="S227" i="10"/>
  <c r="S228" i="10"/>
  <c r="S229" i="10"/>
  <c r="S230" i="10"/>
  <c r="S231" i="10"/>
  <c r="S232" i="10"/>
  <c r="S233" i="10"/>
  <c r="S234" i="10"/>
  <c r="S235" i="10"/>
  <c r="S236" i="10"/>
  <c r="S237" i="10"/>
  <c r="S238" i="10"/>
  <c r="S239" i="10"/>
  <c r="S240" i="10"/>
  <c r="S241" i="10"/>
  <c r="S242" i="10"/>
  <c r="S243" i="10"/>
  <c r="S244" i="10"/>
  <c r="S245" i="10"/>
  <c r="S246" i="10"/>
  <c r="S247" i="10"/>
  <c r="S248" i="10"/>
  <c r="S249" i="10"/>
  <c r="S250" i="10"/>
  <c r="S251" i="10"/>
  <c r="S252" i="10"/>
  <c r="S253" i="10"/>
  <c r="S254" i="10"/>
  <c r="S255" i="10"/>
  <c r="S256" i="10"/>
  <c r="S257" i="10"/>
  <c r="S258" i="10"/>
  <c r="S259" i="10"/>
  <c r="S260" i="10"/>
  <c r="S261" i="10"/>
  <c r="S262" i="10"/>
  <c r="S263" i="10"/>
  <c r="S264" i="10"/>
  <c r="S265" i="10"/>
  <c r="S266" i="10"/>
  <c r="S267" i="10"/>
  <c r="S268" i="10"/>
  <c r="S269" i="10"/>
  <c r="S270" i="10"/>
  <c r="S271" i="10"/>
  <c r="S272" i="10"/>
  <c r="S273" i="10"/>
  <c r="S274" i="10"/>
  <c r="S275" i="10"/>
  <c r="S276" i="10"/>
  <c r="S277" i="10"/>
  <c r="S278" i="10"/>
  <c r="S279" i="10"/>
  <c r="S280" i="10"/>
  <c r="S281" i="10"/>
  <c r="S282" i="10"/>
  <c r="S283" i="10"/>
  <c r="S284" i="10"/>
  <c r="S285" i="10"/>
  <c r="S286" i="10"/>
  <c r="S287" i="10"/>
  <c r="S288" i="10"/>
  <c r="S289" i="10"/>
  <c r="S290" i="10"/>
  <c r="S291" i="10"/>
  <c r="S292" i="10"/>
  <c r="S293" i="10"/>
  <c r="S294" i="10"/>
  <c r="S295" i="10"/>
  <c r="S296" i="10"/>
  <c r="S297" i="10"/>
  <c r="S298" i="10"/>
  <c r="S299" i="10"/>
  <c r="S300" i="10"/>
  <c r="S301" i="10"/>
  <c r="S302" i="10"/>
  <c r="S303" i="10"/>
  <c r="S304" i="10"/>
  <c r="S305" i="10"/>
  <c r="S306" i="10"/>
  <c r="S307" i="10"/>
  <c r="S308" i="10"/>
  <c r="S309" i="10"/>
  <c r="S310" i="10"/>
  <c r="S311" i="10"/>
  <c r="S312" i="10"/>
  <c r="S313" i="10"/>
  <c r="S314" i="10"/>
  <c r="S315" i="10"/>
  <c r="S316" i="10"/>
  <c r="S317" i="10"/>
  <c r="S318" i="10"/>
  <c r="S319" i="10"/>
  <c r="S320" i="10"/>
  <c r="S321" i="10"/>
  <c r="S322" i="10"/>
  <c r="S323" i="10"/>
  <c r="S324" i="10"/>
  <c r="S325" i="10"/>
  <c r="S326" i="10"/>
  <c r="S327" i="10"/>
  <c r="S328" i="10"/>
  <c r="S329" i="10"/>
  <c r="S330" i="10"/>
  <c r="S331" i="10"/>
  <c r="S332" i="10"/>
  <c r="S333" i="10"/>
  <c r="S334" i="10"/>
  <c r="S335" i="10"/>
  <c r="S336" i="10"/>
  <c r="S337" i="10"/>
  <c r="S338" i="10"/>
  <c r="S339" i="10"/>
  <c r="S340" i="10"/>
  <c r="S341" i="10"/>
  <c r="T4" i="10"/>
  <c r="T5" i="10"/>
  <c r="T6" i="10"/>
  <c r="T7" i="10"/>
  <c r="T8" i="10"/>
  <c r="T9" i="10"/>
  <c r="T10" i="10"/>
  <c r="T11" i="10"/>
  <c r="T12" i="10"/>
  <c r="T13" i="10"/>
  <c r="T14" i="10"/>
  <c r="T15" i="10"/>
  <c r="T16" i="10"/>
  <c r="T17" i="10"/>
  <c r="T18" i="10"/>
  <c r="T19" i="10"/>
  <c r="T20" i="10"/>
  <c r="T21" i="10"/>
  <c r="T22" i="10"/>
  <c r="T23" i="10"/>
  <c r="T24" i="10"/>
  <c r="T25" i="10"/>
  <c r="T26" i="10"/>
  <c r="T27" i="10"/>
  <c r="T28" i="10"/>
  <c r="T29" i="10"/>
  <c r="T30" i="10"/>
  <c r="T31" i="10"/>
  <c r="T32" i="10"/>
  <c r="T33" i="10"/>
  <c r="T34" i="10"/>
  <c r="T35" i="10"/>
  <c r="T36" i="10"/>
  <c r="T37" i="10"/>
  <c r="T38" i="10"/>
  <c r="T39" i="10"/>
  <c r="T40" i="10"/>
  <c r="T41" i="10"/>
  <c r="T42" i="10"/>
  <c r="T43" i="10"/>
  <c r="T44" i="10"/>
  <c r="T45" i="10"/>
  <c r="T46" i="10"/>
  <c r="T47" i="10"/>
  <c r="T48" i="10"/>
  <c r="T49" i="10"/>
  <c r="T50" i="10"/>
  <c r="T51" i="10"/>
  <c r="T52" i="10"/>
  <c r="T53" i="10"/>
  <c r="T54" i="10"/>
  <c r="T55" i="10"/>
  <c r="T56" i="10"/>
  <c r="T57" i="10"/>
  <c r="T58" i="10"/>
  <c r="T59" i="10"/>
  <c r="T60" i="10"/>
  <c r="T61" i="10"/>
  <c r="T62" i="10"/>
  <c r="T63" i="10"/>
  <c r="T64" i="10"/>
  <c r="T65" i="10"/>
  <c r="T66" i="10"/>
  <c r="T67" i="10"/>
  <c r="T68" i="10"/>
  <c r="T69" i="10"/>
  <c r="T70" i="10"/>
  <c r="T71" i="10"/>
  <c r="T72" i="10"/>
  <c r="T73" i="10"/>
  <c r="T74" i="10"/>
  <c r="T75" i="10"/>
  <c r="T76" i="10"/>
  <c r="T77" i="10"/>
  <c r="T78" i="10"/>
  <c r="T79" i="10"/>
  <c r="T80" i="10"/>
  <c r="T81" i="10"/>
  <c r="T82" i="10"/>
  <c r="T83" i="10"/>
  <c r="T84" i="10"/>
  <c r="T85" i="10"/>
  <c r="T86" i="10"/>
  <c r="T87" i="10"/>
  <c r="T88" i="10"/>
  <c r="T89" i="10"/>
  <c r="T90" i="10"/>
  <c r="T91" i="10"/>
  <c r="T92" i="10"/>
  <c r="T93" i="10"/>
  <c r="T94" i="10"/>
  <c r="T95" i="10"/>
  <c r="T96" i="10"/>
  <c r="T97" i="10"/>
  <c r="T98" i="10"/>
  <c r="T99" i="10"/>
  <c r="T100" i="10"/>
  <c r="T101" i="10"/>
  <c r="T102" i="10"/>
  <c r="T103" i="10"/>
  <c r="T104" i="10"/>
  <c r="T105" i="10"/>
  <c r="T106" i="10"/>
  <c r="T107" i="10"/>
  <c r="T108" i="10"/>
  <c r="T109" i="10"/>
  <c r="T110" i="10"/>
  <c r="T111" i="10"/>
  <c r="T112" i="10"/>
  <c r="T113" i="10"/>
  <c r="T114" i="10"/>
  <c r="T115" i="10"/>
  <c r="T116" i="10"/>
  <c r="T117" i="10"/>
  <c r="T118" i="10"/>
  <c r="T119" i="10"/>
  <c r="T120" i="10"/>
  <c r="T121" i="10"/>
  <c r="T122" i="10"/>
  <c r="T123" i="10"/>
  <c r="T124" i="10"/>
  <c r="T125" i="10"/>
  <c r="T126" i="10"/>
  <c r="T127" i="10"/>
  <c r="T128" i="10"/>
  <c r="T129" i="10"/>
  <c r="T130" i="10"/>
  <c r="T131" i="10"/>
  <c r="T132" i="10"/>
  <c r="T133" i="10"/>
  <c r="T134" i="10"/>
  <c r="T135" i="10"/>
  <c r="T136" i="10"/>
  <c r="T137" i="10"/>
  <c r="T138" i="10"/>
  <c r="T139" i="10"/>
  <c r="T140" i="10"/>
  <c r="T141" i="10"/>
  <c r="T142" i="10"/>
  <c r="T143" i="10"/>
  <c r="T144" i="10"/>
  <c r="T145" i="10"/>
  <c r="T146" i="10"/>
  <c r="T147" i="10"/>
  <c r="T148" i="10"/>
  <c r="T149" i="10"/>
  <c r="T150" i="10"/>
  <c r="T151" i="10"/>
  <c r="T152" i="10"/>
  <c r="T153" i="10"/>
  <c r="T154" i="10"/>
  <c r="T155" i="10"/>
  <c r="T156" i="10"/>
  <c r="T157" i="10"/>
  <c r="T158" i="10"/>
  <c r="T159" i="10"/>
  <c r="T160" i="10"/>
  <c r="T161" i="10"/>
  <c r="T162" i="10"/>
  <c r="T163" i="10"/>
  <c r="T164" i="10"/>
  <c r="T165" i="10"/>
  <c r="T166" i="10"/>
  <c r="T167" i="10"/>
  <c r="T168" i="10"/>
  <c r="T169" i="10"/>
  <c r="T170" i="10"/>
  <c r="T171" i="10"/>
  <c r="T172" i="10"/>
  <c r="T173" i="10"/>
  <c r="T174" i="10"/>
  <c r="T175" i="10"/>
  <c r="T176" i="10"/>
  <c r="T177" i="10"/>
  <c r="T178" i="10"/>
  <c r="T179" i="10"/>
  <c r="T180" i="10"/>
  <c r="T181" i="10"/>
  <c r="T182" i="10"/>
  <c r="T183" i="10"/>
  <c r="T184" i="10"/>
  <c r="T185" i="10"/>
  <c r="T186" i="10"/>
  <c r="T187" i="10"/>
  <c r="T188" i="10"/>
  <c r="T189" i="10"/>
  <c r="T190" i="10"/>
  <c r="T191" i="10"/>
  <c r="T192" i="10"/>
  <c r="T193" i="10"/>
  <c r="T194" i="10"/>
  <c r="T195" i="10"/>
  <c r="T196" i="10"/>
  <c r="T197" i="10"/>
  <c r="T198" i="10"/>
  <c r="T199" i="10"/>
  <c r="T200" i="10"/>
  <c r="T201" i="10"/>
  <c r="T202" i="10"/>
  <c r="T203" i="10"/>
  <c r="T204" i="10"/>
  <c r="T205" i="10"/>
  <c r="T206" i="10"/>
  <c r="T207" i="10"/>
  <c r="T208" i="10"/>
  <c r="T209" i="10"/>
  <c r="T210" i="10"/>
  <c r="T211" i="10"/>
  <c r="T212" i="10"/>
  <c r="T213" i="10"/>
  <c r="T214" i="10"/>
  <c r="T215" i="10"/>
  <c r="T216" i="10"/>
  <c r="T217" i="10"/>
  <c r="T218" i="10"/>
  <c r="T219" i="10"/>
  <c r="T220" i="10"/>
  <c r="T221" i="10"/>
  <c r="T222" i="10"/>
  <c r="T223" i="10"/>
  <c r="T224" i="10"/>
  <c r="T225" i="10"/>
  <c r="T226" i="10"/>
  <c r="T227" i="10"/>
  <c r="T228" i="10"/>
  <c r="T229" i="10"/>
  <c r="T230" i="10"/>
  <c r="T231" i="10"/>
  <c r="T232" i="10"/>
  <c r="T233" i="10"/>
  <c r="T234" i="10"/>
  <c r="T235" i="10"/>
  <c r="T236" i="10"/>
  <c r="T237" i="10"/>
  <c r="T238" i="10"/>
  <c r="T239" i="10"/>
  <c r="T240" i="10"/>
  <c r="T241" i="10"/>
  <c r="T242" i="10"/>
  <c r="T243" i="10"/>
  <c r="T244" i="10"/>
  <c r="T245" i="10"/>
  <c r="T246" i="10"/>
  <c r="T247" i="10"/>
  <c r="T248" i="10"/>
  <c r="T249" i="10"/>
  <c r="T250" i="10"/>
  <c r="T251" i="10"/>
  <c r="T252" i="10"/>
  <c r="T253" i="10"/>
  <c r="T254" i="10"/>
  <c r="T255" i="10"/>
  <c r="T256" i="10"/>
  <c r="T257" i="10"/>
  <c r="T258" i="10"/>
  <c r="T259" i="10"/>
  <c r="T260" i="10"/>
  <c r="T261" i="10"/>
  <c r="T262" i="10"/>
  <c r="T263" i="10"/>
  <c r="T264" i="10"/>
  <c r="T265" i="10"/>
  <c r="T266" i="10"/>
  <c r="T267" i="10"/>
  <c r="T268" i="10"/>
  <c r="T269" i="10"/>
  <c r="T270" i="10"/>
  <c r="T271" i="10"/>
  <c r="T272" i="10"/>
  <c r="T273" i="10"/>
  <c r="T274" i="10"/>
  <c r="T275" i="10"/>
  <c r="T276" i="10"/>
  <c r="T277" i="10"/>
  <c r="T278" i="10"/>
  <c r="T279" i="10"/>
  <c r="T280" i="10"/>
  <c r="T281" i="10"/>
  <c r="T282" i="10"/>
  <c r="T283" i="10"/>
  <c r="T284" i="10"/>
  <c r="T285" i="10"/>
  <c r="T286" i="10"/>
  <c r="T287" i="10"/>
  <c r="T288" i="10"/>
  <c r="T289" i="10"/>
  <c r="T290" i="10"/>
  <c r="T291" i="10"/>
  <c r="T292" i="10"/>
  <c r="T293" i="10"/>
  <c r="T294" i="10"/>
  <c r="T295" i="10"/>
  <c r="T296" i="10"/>
  <c r="T297" i="10"/>
  <c r="T298" i="10"/>
  <c r="T299" i="10"/>
  <c r="T300" i="10"/>
  <c r="T301" i="10"/>
  <c r="T302" i="10"/>
  <c r="T303" i="10"/>
  <c r="T304" i="10"/>
  <c r="T305" i="10"/>
  <c r="T306" i="10"/>
  <c r="T307" i="10"/>
  <c r="T308" i="10"/>
  <c r="T309" i="10"/>
  <c r="T310" i="10"/>
  <c r="T311" i="10"/>
  <c r="T312" i="10"/>
  <c r="T313" i="10"/>
  <c r="T314" i="10"/>
  <c r="T315" i="10"/>
  <c r="T316" i="10"/>
  <c r="T317" i="10"/>
  <c r="T318" i="10"/>
  <c r="T319" i="10"/>
  <c r="T320" i="10"/>
  <c r="T321" i="10"/>
  <c r="T322" i="10"/>
  <c r="T323" i="10"/>
  <c r="T324" i="10"/>
  <c r="T325" i="10"/>
  <c r="T326" i="10"/>
  <c r="T327" i="10"/>
  <c r="T328" i="10"/>
  <c r="T329" i="10"/>
  <c r="T330" i="10"/>
  <c r="T331" i="10"/>
  <c r="T332" i="10"/>
  <c r="T333" i="10"/>
  <c r="T334" i="10"/>
  <c r="T335" i="10"/>
  <c r="T336" i="10"/>
  <c r="T337" i="10"/>
  <c r="T338" i="10"/>
  <c r="T339" i="10"/>
  <c r="T340" i="10"/>
  <c r="T341" i="10"/>
  <c r="U4" i="10"/>
  <c r="U5" i="10"/>
  <c r="U6" i="10"/>
  <c r="U7" i="10"/>
  <c r="U8" i="10"/>
  <c r="U9" i="10"/>
  <c r="U10" i="10"/>
  <c r="U11" i="10"/>
  <c r="U12" i="10"/>
  <c r="U13" i="10"/>
  <c r="U14" i="10"/>
  <c r="U15" i="10"/>
  <c r="U16" i="10"/>
  <c r="U17" i="10"/>
  <c r="U18" i="10"/>
  <c r="U19" i="10"/>
  <c r="U20" i="10"/>
  <c r="U21" i="10"/>
  <c r="U22" i="10"/>
  <c r="U23" i="10"/>
  <c r="U24" i="10"/>
  <c r="U25" i="10"/>
  <c r="U26" i="10"/>
  <c r="U27" i="10"/>
  <c r="U28" i="10"/>
  <c r="U29" i="10"/>
  <c r="U30" i="10"/>
  <c r="U31" i="10"/>
  <c r="U32" i="10"/>
  <c r="U33" i="10"/>
  <c r="U34" i="10"/>
  <c r="U35" i="10"/>
  <c r="U36" i="10"/>
  <c r="U37" i="10"/>
  <c r="U38" i="10"/>
  <c r="U39" i="10"/>
  <c r="U40" i="10"/>
  <c r="U41" i="10"/>
  <c r="U42" i="10"/>
  <c r="U43" i="10"/>
  <c r="U44" i="10"/>
  <c r="U45" i="10"/>
  <c r="U46" i="10"/>
  <c r="U47" i="10"/>
  <c r="U48" i="10"/>
  <c r="U49" i="10"/>
  <c r="U50" i="10"/>
  <c r="U51" i="10"/>
  <c r="U52" i="10"/>
  <c r="U53" i="10"/>
  <c r="U54" i="10"/>
  <c r="U55" i="10"/>
  <c r="U56" i="10"/>
  <c r="U57" i="10"/>
  <c r="U58" i="10"/>
  <c r="U59" i="10"/>
  <c r="U60" i="10"/>
  <c r="U61" i="10"/>
  <c r="U62" i="10"/>
  <c r="U63" i="10"/>
  <c r="U64" i="10"/>
  <c r="U65" i="10"/>
  <c r="U66" i="10"/>
  <c r="U67" i="10"/>
  <c r="U68" i="10"/>
  <c r="U69" i="10"/>
  <c r="U70" i="10"/>
  <c r="U71" i="10"/>
  <c r="U72" i="10"/>
  <c r="U73" i="10"/>
  <c r="U74" i="10"/>
  <c r="U75" i="10"/>
  <c r="U76" i="10"/>
  <c r="U77" i="10"/>
  <c r="U78" i="10"/>
  <c r="U79" i="10"/>
  <c r="U80" i="10"/>
  <c r="U81" i="10"/>
  <c r="U82" i="10"/>
  <c r="U83" i="10"/>
  <c r="U84" i="10"/>
  <c r="U85" i="10"/>
  <c r="U86" i="10"/>
  <c r="U87" i="10"/>
  <c r="U88" i="10"/>
  <c r="U89" i="10"/>
  <c r="U90" i="10"/>
  <c r="U91" i="10"/>
  <c r="U92" i="10"/>
  <c r="U93" i="10"/>
  <c r="U94" i="10"/>
  <c r="U95" i="10"/>
  <c r="U96" i="10"/>
  <c r="U97" i="10"/>
  <c r="U98" i="10"/>
  <c r="U99" i="10"/>
  <c r="U100" i="10"/>
  <c r="U101" i="10"/>
  <c r="U102" i="10"/>
  <c r="U103" i="10"/>
  <c r="U104" i="10"/>
  <c r="U105" i="10"/>
  <c r="U106" i="10"/>
  <c r="U107" i="10"/>
  <c r="U108" i="10"/>
  <c r="U109" i="10"/>
  <c r="U110" i="10"/>
  <c r="U111" i="10"/>
  <c r="U112" i="10"/>
  <c r="U113" i="10"/>
  <c r="U114" i="10"/>
  <c r="U115" i="10"/>
  <c r="U116" i="10"/>
  <c r="U117" i="10"/>
  <c r="U118" i="10"/>
  <c r="U119" i="10"/>
  <c r="U120" i="10"/>
  <c r="U121" i="10"/>
  <c r="U122" i="10"/>
  <c r="U123" i="10"/>
  <c r="U124" i="10"/>
  <c r="U125" i="10"/>
  <c r="U126" i="10"/>
  <c r="U127" i="10"/>
  <c r="U128" i="10"/>
  <c r="U129" i="10"/>
  <c r="U130" i="10"/>
  <c r="U131" i="10"/>
  <c r="U132" i="10"/>
  <c r="U133" i="10"/>
  <c r="U134" i="10"/>
  <c r="U135" i="10"/>
  <c r="U136" i="10"/>
  <c r="U137" i="10"/>
  <c r="U138" i="10"/>
  <c r="U139" i="10"/>
  <c r="U140" i="10"/>
  <c r="U141" i="10"/>
  <c r="U142" i="10"/>
  <c r="U143" i="10"/>
  <c r="U144" i="10"/>
  <c r="U145" i="10"/>
  <c r="U146" i="10"/>
  <c r="U147" i="10"/>
  <c r="U148" i="10"/>
  <c r="U149" i="10"/>
  <c r="U150" i="10"/>
  <c r="U151" i="10"/>
  <c r="U152" i="10"/>
  <c r="U153" i="10"/>
  <c r="U154" i="10"/>
  <c r="U155" i="10"/>
  <c r="U156" i="10"/>
  <c r="U157" i="10"/>
  <c r="U158" i="10"/>
  <c r="U159" i="10"/>
  <c r="U160" i="10"/>
  <c r="U161" i="10"/>
  <c r="U162" i="10"/>
  <c r="U163" i="10"/>
  <c r="U164" i="10"/>
  <c r="U165" i="10"/>
  <c r="U166" i="10"/>
  <c r="U167" i="10"/>
  <c r="U168" i="10"/>
  <c r="U169" i="10"/>
  <c r="U170" i="10"/>
  <c r="U171" i="10"/>
  <c r="U172" i="10"/>
  <c r="U173" i="10"/>
  <c r="U174" i="10"/>
  <c r="U175" i="10"/>
  <c r="U176" i="10"/>
  <c r="U177" i="10"/>
  <c r="U178" i="10"/>
  <c r="U179" i="10"/>
  <c r="U180" i="10"/>
  <c r="U181" i="10"/>
  <c r="U182" i="10"/>
  <c r="U183" i="10"/>
  <c r="U184" i="10"/>
  <c r="U185" i="10"/>
  <c r="U186" i="10"/>
  <c r="U187" i="10"/>
  <c r="U188" i="10"/>
  <c r="U189" i="10"/>
  <c r="U190" i="10"/>
  <c r="U191" i="10"/>
  <c r="U192" i="10"/>
  <c r="U193" i="10"/>
  <c r="U194" i="10"/>
  <c r="U195" i="10"/>
  <c r="U196" i="10"/>
  <c r="U197" i="10"/>
  <c r="U198" i="10"/>
  <c r="U199" i="10"/>
  <c r="U200" i="10"/>
  <c r="U201" i="10"/>
  <c r="U202" i="10"/>
  <c r="U203" i="10"/>
  <c r="U204" i="10"/>
  <c r="U205" i="10"/>
  <c r="U206" i="10"/>
  <c r="U207" i="10"/>
  <c r="U208" i="10"/>
  <c r="U209" i="10"/>
  <c r="U210" i="10"/>
  <c r="U211" i="10"/>
  <c r="U212" i="10"/>
  <c r="U213" i="10"/>
  <c r="U214" i="10"/>
  <c r="U215" i="10"/>
  <c r="U216" i="10"/>
  <c r="U217" i="10"/>
  <c r="U218" i="10"/>
  <c r="U219" i="10"/>
  <c r="U220" i="10"/>
  <c r="U221" i="10"/>
  <c r="U222" i="10"/>
  <c r="U223" i="10"/>
  <c r="U224" i="10"/>
  <c r="U225" i="10"/>
  <c r="U226" i="10"/>
  <c r="U227" i="10"/>
  <c r="U228" i="10"/>
  <c r="U229" i="10"/>
  <c r="U230" i="10"/>
  <c r="U231" i="10"/>
  <c r="U232" i="10"/>
  <c r="U233" i="10"/>
  <c r="U234" i="10"/>
  <c r="U235" i="10"/>
  <c r="U236" i="10"/>
  <c r="U237" i="10"/>
  <c r="U238" i="10"/>
  <c r="U239" i="10"/>
  <c r="U240" i="10"/>
  <c r="U241" i="10"/>
  <c r="U242" i="10"/>
  <c r="U243" i="10"/>
  <c r="U244" i="10"/>
  <c r="U245" i="10"/>
  <c r="U246" i="10"/>
  <c r="U247" i="10"/>
  <c r="U248" i="10"/>
  <c r="U249" i="10"/>
  <c r="U250" i="10"/>
  <c r="U251" i="10"/>
  <c r="U252" i="10"/>
  <c r="U253" i="10"/>
  <c r="U254" i="10"/>
  <c r="U255" i="10"/>
  <c r="U256" i="10"/>
  <c r="U257" i="10"/>
  <c r="U258" i="10"/>
  <c r="U259" i="10"/>
  <c r="U260" i="10"/>
  <c r="U261" i="10"/>
  <c r="U262" i="10"/>
  <c r="U263" i="10"/>
  <c r="U264" i="10"/>
  <c r="U265" i="10"/>
  <c r="U266" i="10"/>
  <c r="U267" i="10"/>
  <c r="U268" i="10"/>
  <c r="U269" i="10"/>
  <c r="U270" i="10"/>
  <c r="U271" i="10"/>
  <c r="U272" i="10"/>
  <c r="U273" i="10"/>
  <c r="U274" i="10"/>
  <c r="U275" i="10"/>
  <c r="U276" i="10"/>
  <c r="U277" i="10"/>
  <c r="U278" i="10"/>
  <c r="U279" i="10"/>
  <c r="U280" i="10"/>
  <c r="U281" i="10"/>
  <c r="U282" i="10"/>
  <c r="U283" i="10"/>
  <c r="U284" i="10"/>
  <c r="U285" i="10"/>
  <c r="U286" i="10"/>
  <c r="U287" i="10"/>
  <c r="U288" i="10"/>
  <c r="U289" i="10"/>
  <c r="U290" i="10"/>
  <c r="U291" i="10"/>
  <c r="U292" i="10"/>
  <c r="U293" i="10"/>
  <c r="U294" i="10"/>
  <c r="U295" i="10"/>
  <c r="U296" i="10"/>
  <c r="U297" i="10"/>
  <c r="U298" i="10"/>
  <c r="U299" i="10"/>
  <c r="U300" i="10"/>
  <c r="U301" i="10"/>
  <c r="U302" i="10"/>
  <c r="U303" i="10"/>
  <c r="U304" i="10"/>
  <c r="U305" i="10"/>
  <c r="U306" i="10"/>
  <c r="U307" i="10"/>
  <c r="U308" i="10"/>
  <c r="U309" i="10"/>
  <c r="U310" i="10"/>
  <c r="U311" i="10"/>
  <c r="U312" i="10"/>
  <c r="U313" i="10"/>
  <c r="U314" i="10"/>
  <c r="U315" i="10"/>
  <c r="U316" i="10"/>
  <c r="U317" i="10"/>
  <c r="U318" i="10"/>
  <c r="U319" i="10"/>
  <c r="U320" i="10"/>
  <c r="U321" i="10"/>
  <c r="U322" i="10"/>
  <c r="U323" i="10"/>
  <c r="U324" i="10"/>
  <c r="U325" i="10"/>
  <c r="U326" i="10"/>
  <c r="U327" i="10"/>
  <c r="U328" i="10"/>
  <c r="U329" i="10"/>
  <c r="U330" i="10"/>
  <c r="U331" i="10"/>
  <c r="U332" i="10"/>
  <c r="U333" i="10"/>
  <c r="U334" i="10"/>
  <c r="U335" i="10"/>
  <c r="U336" i="10"/>
  <c r="U337" i="10"/>
  <c r="U338" i="10"/>
  <c r="U339" i="10"/>
  <c r="U340" i="10"/>
  <c r="U341" i="10"/>
  <c r="V4" i="10"/>
  <c r="V5" i="10"/>
  <c r="V6" i="10"/>
  <c r="V7" i="10"/>
  <c r="V8" i="10"/>
  <c r="V9" i="10"/>
  <c r="V10" i="10"/>
  <c r="V11" i="10"/>
  <c r="V12" i="10"/>
  <c r="V13" i="10"/>
  <c r="V14" i="10"/>
  <c r="V15" i="10"/>
  <c r="V16" i="10"/>
  <c r="V17" i="10"/>
  <c r="V18" i="10"/>
  <c r="V19" i="10"/>
  <c r="V20" i="10"/>
  <c r="V21" i="10"/>
  <c r="V22" i="10"/>
  <c r="V23" i="10"/>
  <c r="V24" i="10"/>
  <c r="V25" i="10"/>
  <c r="V26" i="10"/>
  <c r="V27" i="10"/>
  <c r="V28" i="10"/>
  <c r="V29" i="10"/>
  <c r="V30" i="10"/>
  <c r="V31" i="10"/>
  <c r="V32" i="10"/>
  <c r="V33" i="10"/>
  <c r="V34" i="10"/>
  <c r="V35" i="10"/>
  <c r="V36" i="10"/>
  <c r="V37" i="10"/>
  <c r="V38" i="10"/>
  <c r="V39" i="10"/>
  <c r="V40" i="10"/>
  <c r="V41" i="10"/>
  <c r="V42" i="10"/>
  <c r="V43" i="10"/>
  <c r="V44" i="10"/>
  <c r="V45" i="10"/>
  <c r="V46" i="10"/>
  <c r="V47" i="10"/>
  <c r="V48" i="10"/>
  <c r="V49" i="10"/>
  <c r="V50" i="10"/>
  <c r="V51" i="10"/>
  <c r="V52" i="10"/>
  <c r="V53" i="10"/>
  <c r="V54" i="10"/>
  <c r="V55" i="10"/>
  <c r="V56" i="10"/>
  <c r="V57" i="10"/>
  <c r="V58" i="10"/>
  <c r="V59" i="10"/>
  <c r="V60" i="10"/>
  <c r="V61" i="10"/>
  <c r="V62" i="10"/>
  <c r="V63" i="10"/>
  <c r="V64" i="10"/>
  <c r="V65" i="10"/>
  <c r="V66" i="10"/>
  <c r="V67" i="10"/>
  <c r="V68" i="10"/>
  <c r="V69" i="10"/>
  <c r="V70" i="10"/>
  <c r="V71" i="10"/>
  <c r="V72" i="10"/>
  <c r="V73" i="10"/>
  <c r="V74" i="10"/>
  <c r="V75" i="10"/>
  <c r="V76" i="10"/>
  <c r="V77" i="10"/>
  <c r="V78" i="10"/>
  <c r="V79" i="10"/>
  <c r="V80" i="10"/>
  <c r="V81" i="10"/>
  <c r="V82" i="10"/>
  <c r="V83" i="10"/>
  <c r="V84" i="10"/>
  <c r="V85" i="10"/>
  <c r="V86" i="10"/>
  <c r="V87" i="10"/>
  <c r="V88" i="10"/>
  <c r="V89" i="10"/>
  <c r="V90" i="10"/>
  <c r="V91" i="10"/>
  <c r="V92" i="10"/>
  <c r="V93" i="10"/>
  <c r="V94" i="10"/>
  <c r="V95" i="10"/>
  <c r="V96" i="10"/>
  <c r="V97" i="10"/>
  <c r="V98" i="10"/>
  <c r="V99" i="10"/>
  <c r="V100" i="10"/>
  <c r="V101" i="10"/>
  <c r="V102" i="10"/>
  <c r="V103" i="10"/>
  <c r="V104" i="10"/>
  <c r="V105" i="10"/>
  <c r="V106" i="10"/>
  <c r="V107" i="10"/>
  <c r="V108" i="10"/>
  <c r="V109" i="10"/>
  <c r="V110" i="10"/>
  <c r="V111" i="10"/>
  <c r="V112" i="10"/>
  <c r="V113" i="10"/>
  <c r="V114" i="10"/>
  <c r="V115" i="10"/>
  <c r="V116" i="10"/>
  <c r="V117" i="10"/>
  <c r="V118" i="10"/>
  <c r="V119" i="10"/>
  <c r="V120" i="10"/>
  <c r="V121" i="10"/>
  <c r="V122" i="10"/>
  <c r="V123" i="10"/>
  <c r="V124" i="10"/>
  <c r="V125" i="10"/>
  <c r="V126" i="10"/>
  <c r="V127" i="10"/>
  <c r="V128" i="10"/>
  <c r="V129" i="10"/>
  <c r="V130" i="10"/>
  <c r="V131" i="10"/>
  <c r="V132" i="10"/>
  <c r="V133" i="10"/>
  <c r="V134" i="10"/>
  <c r="V135" i="10"/>
  <c r="V136" i="10"/>
  <c r="V137" i="10"/>
  <c r="V138" i="10"/>
  <c r="V139" i="10"/>
  <c r="V140" i="10"/>
  <c r="V141" i="10"/>
  <c r="V142" i="10"/>
  <c r="V143" i="10"/>
  <c r="V144" i="10"/>
  <c r="V145" i="10"/>
  <c r="V146" i="10"/>
  <c r="V147" i="10"/>
  <c r="V148" i="10"/>
  <c r="V149" i="10"/>
  <c r="V150" i="10"/>
  <c r="V151" i="10"/>
  <c r="V152" i="10"/>
  <c r="V153" i="10"/>
  <c r="V154" i="10"/>
  <c r="V155" i="10"/>
  <c r="V156" i="10"/>
  <c r="V157" i="10"/>
  <c r="V158" i="10"/>
  <c r="V159" i="10"/>
  <c r="V160" i="10"/>
  <c r="V161" i="10"/>
  <c r="V162" i="10"/>
  <c r="V163" i="10"/>
  <c r="V164" i="10"/>
  <c r="V165" i="10"/>
  <c r="V166" i="10"/>
  <c r="V167" i="10"/>
  <c r="V168" i="10"/>
  <c r="V169" i="10"/>
  <c r="V170" i="10"/>
  <c r="V171" i="10"/>
  <c r="V172" i="10"/>
  <c r="V173" i="10"/>
  <c r="V174" i="10"/>
  <c r="V175" i="10"/>
  <c r="V176" i="10"/>
  <c r="V177" i="10"/>
  <c r="V178" i="10"/>
  <c r="V179" i="10"/>
  <c r="V180" i="10"/>
  <c r="V181" i="10"/>
  <c r="V182" i="10"/>
  <c r="V183" i="10"/>
  <c r="V184" i="10"/>
  <c r="V185" i="10"/>
  <c r="V186" i="10"/>
  <c r="V187" i="10"/>
  <c r="V188" i="10"/>
  <c r="V189" i="10"/>
  <c r="V190" i="10"/>
  <c r="V191" i="10"/>
  <c r="V192" i="10"/>
  <c r="V193" i="10"/>
  <c r="V194" i="10"/>
  <c r="V195" i="10"/>
  <c r="V196" i="10"/>
  <c r="V197" i="10"/>
  <c r="V198" i="10"/>
  <c r="V199" i="10"/>
  <c r="V200" i="10"/>
  <c r="V201" i="10"/>
  <c r="V202" i="10"/>
  <c r="V203" i="10"/>
  <c r="V204" i="10"/>
  <c r="V205" i="10"/>
  <c r="V206" i="10"/>
  <c r="V207" i="10"/>
  <c r="V208" i="10"/>
  <c r="V209" i="10"/>
  <c r="V210" i="10"/>
  <c r="V211" i="10"/>
  <c r="V212" i="10"/>
  <c r="V213" i="10"/>
  <c r="V214" i="10"/>
  <c r="V215" i="10"/>
  <c r="V216" i="10"/>
  <c r="V217" i="10"/>
  <c r="V218" i="10"/>
  <c r="V219" i="10"/>
  <c r="V220" i="10"/>
  <c r="V221" i="10"/>
  <c r="V222" i="10"/>
  <c r="V223" i="10"/>
  <c r="V224" i="10"/>
  <c r="V225" i="10"/>
  <c r="V226" i="10"/>
  <c r="V227" i="10"/>
  <c r="V228" i="10"/>
  <c r="V229" i="10"/>
  <c r="V230" i="10"/>
  <c r="V231" i="10"/>
  <c r="V232" i="10"/>
  <c r="V233" i="10"/>
  <c r="V234" i="10"/>
  <c r="V235" i="10"/>
  <c r="V236" i="10"/>
  <c r="V237" i="10"/>
  <c r="V238" i="10"/>
  <c r="V239" i="10"/>
  <c r="V240" i="10"/>
  <c r="V241" i="10"/>
  <c r="V242" i="10"/>
  <c r="V243" i="10"/>
  <c r="V244" i="10"/>
  <c r="V245" i="10"/>
  <c r="V246" i="10"/>
  <c r="V247" i="10"/>
  <c r="V248" i="10"/>
  <c r="V249" i="10"/>
  <c r="V250" i="10"/>
  <c r="V251" i="10"/>
  <c r="V252" i="10"/>
  <c r="V253" i="10"/>
  <c r="V254" i="10"/>
  <c r="V255" i="10"/>
  <c r="V256" i="10"/>
  <c r="V257" i="10"/>
  <c r="V258" i="10"/>
  <c r="V259" i="10"/>
  <c r="V260" i="10"/>
  <c r="V261" i="10"/>
  <c r="V262" i="10"/>
  <c r="V263" i="10"/>
  <c r="V264" i="10"/>
  <c r="V265" i="10"/>
  <c r="V266" i="10"/>
  <c r="V267" i="10"/>
  <c r="V268" i="10"/>
  <c r="V269" i="10"/>
  <c r="V270" i="10"/>
  <c r="V271" i="10"/>
  <c r="V272" i="10"/>
  <c r="V273" i="10"/>
  <c r="V274" i="10"/>
  <c r="V275" i="10"/>
  <c r="V276" i="10"/>
  <c r="V277" i="10"/>
  <c r="V278" i="10"/>
  <c r="V279" i="10"/>
  <c r="V280" i="10"/>
  <c r="V281" i="10"/>
  <c r="V282" i="10"/>
  <c r="V283" i="10"/>
  <c r="V284" i="10"/>
  <c r="V285" i="10"/>
  <c r="V286" i="10"/>
  <c r="V287" i="10"/>
  <c r="V288" i="10"/>
  <c r="V289" i="10"/>
  <c r="V290" i="10"/>
  <c r="V291" i="10"/>
  <c r="V292" i="10"/>
  <c r="V293" i="10"/>
  <c r="V294" i="10"/>
  <c r="V295" i="10"/>
  <c r="V296" i="10"/>
  <c r="V297" i="10"/>
  <c r="V298" i="10"/>
  <c r="V299" i="10"/>
  <c r="V300" i="10"/>
  <c r="V301" i="10"/>
  <c r="V302" i="10"/>
  <c r="V303" i="10"/>
  <c r="V304" i="10"/>
  <c r="V305" i="10"/>
  <c r="V306" i="10"/>
  <c r="V307" i="10"/>
  <c r="V308" i="10"/>
  <c r="V309" i="10"/>
  <c r="V310" i="10"/>
  <c r="V311" i="10"/>
  <c r="V312" i="10"/>
  <c r="V313" i="10"/>
  <c r="V314" i="10"/>
  <c r="V315" i="10"/>
  <c r="V316" i="10"/>
  <c r="V317" i="10"/>
  <c r="V318" i="10"/>
  <c r="V319" i="10"/>
  <c r="V320" i="10"/>
  <c r="V321" i="10"/>
  <c r="V322" i="10"/>
  <c r="V323" i="10"/>
  <c r="V324" i="10"/>
  <c r="V325" i="10"/>
  <c r="V326" i="10"/>
  <c r="V327" i="10"/>
  <c r="V328" i="10"/>
  <c r="V329" i="10"/>
  <c r="V330" i="10"/>
  <c r="V331" i="10"/>
  <c r="V332" i="10"/>
  <c r="V333" i="10"/>
  <c r="V334" i="10"/>
  <c r="V335" i="10"/>
  <c r="V336" i="10"/>
  <c r="V337" i="10"/>
  <c r="V338" i="10"/>
  <c r="V339" i="10"/>
  <c r="V340" i="10"/>
  <c r="V341" i="10"/>
  <c r="W4" i="10"/>
  <c r="W5" i="10"/>
  <c r="W6" i="10"/>
  <c r="W7" i="10"/>
  <c r="W8" i="10"/>
  <c r="W9" i="10"/>
  <c r="W10" i="10"/>
  <c r="W11" i="10"/>
  <c r="W12" i="10"/>
  <c r="W13" i="10"/>
  <c r="W14" i="10"/>
  <c r="W15" i="10"/>
  <c r="W16" i="10"/>
  <c r="W17" i="10"/>
  <c r="W18" i="10"/>
  <c r="W19" i="10"/>
  <c r="W20" i="10"/>
  <c r="W21" i="10"/>
  <c r="W22" i="10"/>
  <c r="W23" i="10"/>
  <c r="W24" i="10"/>
  <c r="W25" i="10"/>
  <c r="W26" i="10"/>
  <c r="W27" i="10"/>
  <c r="W28" i="10"/>
  <c r="W29" i="10"/>
  <c r="W30" i="10"/>
  <c r="W31" i="10"/>
  <c r="W32" i="10"/>
  <c r="W33" i="10"/>
  <c r="W34" i="10"/>
  <c r="W35" i="10"/>
  <c r="W36" i="10"/>
  <c r="W37" i="10"/>
  <c r="W38" i="10"/>
  <c r="W39" i="10"/>
  <c r="W40" i="10"/>
  <c r="W41" i="10"/>
  <c r="W42" i="10"/>
  <c r="W43" i="10"/>
  <c r="W44" i="10"/>
  <c r="W45" i="10"/>
  <c r="W46" i="10"/>
  <c r="W47" i="10"/>
  <c r="W48" i="10"/>
  <c r="W49" i="10"/>
  <c r="W50" i="10"/>
  <c r="W51" i="10"/>
  <c r="W52" i="10"/>
  <c r="W53" i="10"/>
  <c r="W54" i="10"/>
  <c r="W55" i="10"/>
  <c r="W56" i="10"/>
  <c r="W57" i="10"/>
  <c r="W58" i="10"/>
  <c r="W59" i="10"/>
  <c r="W60" i="10"/>
  <c r="W61" i="10"/>
  <c r="W62" i="10"/>
  <c r="W63" i="10"/>
  <c r="W64" i="10"/>
  <c r="W65" i="10"/>
  <c r="W66" i="10"/>
  <c r="W67" i="10"/>
  <c r="W68" i="10"/>
  <c r="W69" i="10"/>
  <c r="W70" i="10"/>
  <c r="W71" i="10"/>
  <c r="W72" i="10"/>
  <c r="W73" i="10"/>
  <c r="W74" i="10"/>
  <c r="W75" i="10"/>
  <c r="W76" i="10"/>
  <c r="W77" i="10"/>
  <c r="W78" i="10"/>
  <c r="W79" i="10"/>
  <c r="W80" i="10"/>
  <c r="W81" i="10"/>
  <c r="W82" i="10"/>
  <c r="W83" i="10"/>
  <c r="W84" i="10"/>
  <c r="W85" i="10"/>
  <c r="W86" i="10"/>
  <c r="W87" i="10"/>
  <c r="W88" i="10"/>
  <c r="W89" i="10"/>
  <c r="W90" i="10"/>
  <c r="W91" i="10"/>
  <c r="W92" i="10"/>
  <c r="W93" i="10"/>
  <c r="W94" i="10"/>
  <c r="W95" i="10"/>
  <c r="W96" i="10"/>
  <c r="W97" i="10"/>
  <c r="W98" i="10"/>
  <c r="W99" i="10"/>
  <c r="W100" i="10"/>
  <c r="W101" i="10"/>
  <c r="W102" i="10"/>
  <c r="W103" i="10"/>
  <c r="W104" i="10"/>
  <c r="W105" i="10"/>
  <c r="W106" i="10"/>
  <c r="W107" i="10"/>
  <c r="W108" i="10"/>
  <c r="W109" i="10"/>
  <c r="W110" i="10"/>
  <c r="W111" i="10"/>
  <c r="W112" i="10"/>
  <c r="W113" i="10"/>
  <c r="W114" i="10"/>
  <c r="W115" i="10"/>
  <c r="W116" i="10"/>
  <c r="W117" i="10"/>
  <c r="W118" i="10"/>
  <c r="W119" i="10"/>
  <c r="W120" i="10"/>
  <c r="W121" i="10"/>
  <c r="W122" i="10"/>
  <c r="W123" i="10"/>
  <c r="W124" i="10"/>
  <c r="W125" i="10"/>
  <c r="W126" i="10"/>
  <c r="W127" i="10"/>
  <c r="W128" i="10"/>
  <c r="W129" i="10"/>
  <c r="W130" i="10"/>
  <c r="W131" i="10"/>
  <c r="W132" i="10"/>
  <c r="W133" i="10"/>
  <c r="W134" i="10"/>
  <c r="W135" i="10"/>
  <c r="W136" i="10"/>
  <c r="W137" i="10"/>
  <c r="W138" i="10"/>
  <c r="W139" i="10"/>
  <c r="W140" i="10"/>
  <c r="W141" i="10"/>
  <c r="W142" i="10"/>
  <c r="W143" i="10"/>
  <c r="W144" i="10"/>
  <c r="W145" i="10"/>
  <c r="W146" i="10"/>
  <c r="W147" i="10"/>
  <c r="W148" i="10"/>
  <c r="W149" i="10"/>
  <c r="W150" i="10"/>
  <c r="W151" i="10"/>
  <c r="W152" i="10"/>
  <c r="W153" i="10"/>
  <c r="W154" i="10"/>
  <c r="W155" i="10"/>
  <c r="W156" i="10"/>
  <c r="W157" i="10"/>
  <c r="W158" i="10"/>
  <c r="W159" i="10"/>
  <c r="W160" i="10"/>
  <c r="W161" i="10"/>
  <c r="W162" i="10"/>
  <c r="W163" i="10"/>
  <c r="W164" i="10"/>
  <c r="W165" i="10"/>
  <c r="W166" i="10"/>
  <c r="W167" i="10"/>
  <c r="W168" i="10"/>
  <c r="W169" i="10"/>
  <c r="W170" i="10"/>
  <c r="W171" i="10"/>
  <c r="W172" i="10"/>
  <c r="W173" i="10"/>
  <c r="W174" i="10"/>
  <c r="W175" i="10"/>
  <c r="W176" i="10"/>
  <c r="W177" i="10"/>
  <c r="W178" i="10"/>
  <c r="W179" i="10"/>
  <c r="W180" i="10"/>
  <c r="W181" i="10"/>
  <c r="W182" i="10"/>
  <c r="W183" i="10"/>
  <c r="W184" i="10"/>
  <c r="W185" i="10"/>
  <c r="W186" i="10"/>
  <c r="W187" i="10"/>
  <c r="W188" i="10"/>
  <c r="W189" i="10"/>
  <c r="W190" i="10"/>
  <c r="W191" i="10"/>
  <c r="W192" i="10"/>
  <c r="W193" i="10"/>
  <c r="W194" i="10"/>
  <c r="W195" i="10"/>
  <c r="W196" i="10"/>
  <c r="W197" i="10"/>
  <c r="W198" i="10"/>
  <c r="W199" i="10"/>
  <c r="W200" i="10"/>
  <c r="W201" i="10"/>
  <c r="W202" i="10"/>
  <c r="W203" i="10"/>
  <c r="W204" i="10"/>
  <c r="W205" i="10"/>
  <c r="W206" i="10"/>
  <c r="W207" i="10"/>
  <c r="W208" i="10"/>
  <c r="W209" i="10"/>
  <c r="W210" i="10"/>
  <c r="W211" i="10"/>
  <c r="W212" i="10"/>
  <c r="W213" i="10"/>
  <c r="W214" i="10"/>
  <c r="W215" i="10"/>
  <c r="W216" i="10"/>
  <c r="W217" i="10"/>
  <c r="W218" i="10"/>
  <c r="W219" i="10"/>
  <c r="W220" i="10"/>
  <c r="W221" i="10"/>
  <c r="W222" i="10"/>
  <c r="W223" i="10"/>
  <c r="W224" i="10"/>
  <c r="W225" i="10"/>
  <c r="W226" i="10"/>
  <c r="W227" i="10"/>
  <c r="W228" i="10"/>
  <c r="W229" i="10"/>
  <c r="W230" i="10"/>
  <c r="W231" i="10"/>
  <c r="W232" i="10"/>
  <c r="W233" i="10"/>
  <c r="W234" i="10"/>
  <c r="W235" i="10"/>
  <c r="W236" i="10"/>
  <c r="W237" i="10"/>
  <c r="W238" i="10"/>
  <c r="W239" i="10"/>
  <c r="W240" i="10"/>
  <c r="W241" i="10"/>
  <c r="W242" i="10"/>
  <c r="W243" i="10"/>
  <c r="W244" i="10"/>
  <c r="W245" i="10"/>
  <c r="W246" i="10"/>
  <c r="W247" i="10"/>
  <c r="W248" i="10"/>
  <c r="W249" i="10"/>
  <c r="W250" i="10"/>
  <c r="W251" i="10"/>
  <c r="W252" i="10"/>
  <c r="W253" i="10"/>
  <c r="W254" i="10"/>
  <c r="W255" i="10"/>
  <c r="W256" i="10"/>
  <c r="W257" i="10"/>
  <c r="W258" i="10"/>
  <c r="W259" i="10"/>
  <c r="W260" i="10"/>
  <c r="W261" i="10"/>
  <c r="W262" i="10"/>
  <c r="W263" i="10"/>
  <c r="W264" i="10"/>
  <c r="W265" i="10"/>
  <c r="W266" i="10"/>
  <c r="W267" i="10"/>
  <c r="W268" i="10"/>
  <c r="W269" i="10"/>
  <c r="W270" i="10"/>
  <c r="W271" i="10"/>
  <c r="W272" i="10"/>
  <c r="W273" i="10"/>
  <c r="W274" i="10"/>
  <c r="W275" i="10"/>
  <c r="W276" i="10"/>
  <c r="W277" i="10"/>
  <c r="W278" i="10"/>
  <c r="W279" i="10"/>
  <c r="W280" i="10"/>
  <c r="W281" i="10"/>
  <c r="W282" i="10"/>
  <c r="W283" i="10"/>
  <c r="W284" i="10"/>
  <c r="W285" i="10"/>
  <c r="W286" i="10"/>
  <c r="W287" i="10"/>
  <c r="W288" i="10"/>
  <c r="W289" i="10"/>
  <c r="W290" i="10"/>
  <c r="W291" i="10"/>
  <c r="W292" i="10"/>
  <c r="W293" i="10"/>
  <c r="W294" i="10"/>
  <c r="W295" i="10"/>
  <c r="W296" i="10"/>
  <c r="W297" i="10"/>
  <c r="W298" i="10"/>
  <c r="W299" i="10"/>
  <c r="W300" i="10"/>
  <c r="W301" i="10"/>
  <c r="W302" i="10"/>
  <c r="W303" i="10"/>
  <c r="W304" i="10"/>
  <c r="W305" i="10"/>
  <c r="W306" i="10"/>
  <c r="W307" i="10"/>
  <c r="W308" i="10"/>
  <c r="W309" i="10"/>
  <c r="W310" i="10"/>
  <c r="W311" i="10"/>
  <c r="W312" i="10"/>
  <c r="W313" i="10"/>
  <c r="W314" i="10"/>
  <c r="W315" i="10"/>
  <c r="W316" i="10"/>
  <c r="W317" i="10"/>
  <c r="W318" i="10"/>
  <c r="W319" i="10"/>
  <c r="W320" i="10"/>
  <c r="W321" i="10"/>
  <c r="W322" i="10"/>
  <c r="W323" i="10"/>
  <c r="W324" i="10"/>
  <c r="W325" i="10"/>
  <c r="W326" i="10"/>
  <c r="W327" i="10"/>
  <c r="W328" i="10"/>
  <c r="W329" i="10"/>
  <c r="W330" i="10"/>
  <c r="W331" i="10"/>
  <c r="W332" i="10"/>
  <c r="W333" i="10"/>
  <c r="W334" i="10"/>
  <c r="W335" i="10"/>
  <c r="W336" i="10"/>
  <c r="W337" i="10"/>
  <c r="W338" i="10"/>
  <c r="W339" i="10"/>
  <c r="W340" i="10"/>
  <c r="W341" i="10"/>
  <c r="X4" i="10"/>
  <c r="X5" i="10"/>
  <c r="X6" i="10"/>
  <c r="X7" i="10"/>
  <c r="X8" i="10"/>
  <c r="X9" i="10"/>
  <c r="X10" i="10"/>
  <c r="X11" i="10"/>
  <c r="X12" i="10"/>
  <c r="X13" i="10"/>
  <c r="X14" i="10"/>
  <c r="X15" i="10"/>
  <c r="X16" i="10"/>
  <c r="X17" i="10"/>
  <c r="X18" i="10"/>
  <c r="X19" i="10"/>
  <c r="X20" i="10"/>
  <c r="X21" i="10"/>
  <c r="X22" i="10"/>
  <c r="X23" i="10"/>
  <c r="X24" i="10"/>
  <c r="X25" i="10"/>
  <c r="X26" i="10"/>
  <c r="X27" i="10"/>
  <c r="X28" i="10"/>
  <c r="X29" i="10"/>
  <c r="X30" i="10"/>
  <c r="X31" i="10"/>
  <c r="X32" i="10"/>
  <c r="X33" i="10"/>
  <c r="X34" i="10"/>
  <c r="X35" i="10"/>
  <c r="X36" i="10"/>
  <c r="X37" i="10"/>
  <c r="X38" i="10"/>
  <c r="X39" i="10"/>
  <c r="X40" i="10"/>
  <c r="X41" i="10"/>
  <c r="X42" i="10"/>
  <c r="X43" i="10"/>
  <c r="X44" i="10"/>
  <c r="X45" i="10"/>
  <c r="X46" i="10"/>
  <c r="X47" i="10"/>
  <c r="X48" i="10"/>
  <c r="X49" i="10"/>
  <c r="X50" i="10"/>
  <c r="X51" i="10"/>
  <c r="X52" i="10"/>
  <c r="X53" i="10"/>
  <c r="X54" i="10"/>
  <c r="X55" i="10"/>
  <c r="X56" i="10"/>
  <c r="X57" i="10"/>
  <c r="X58" i="10"/>
  <c r="X59" i="10"/>
  <c r="X60" i="10"/>
  <c r="X61" i="10"/>
  <c r="X62" i="10"/>
  <c r="X63" i="10"/>
  <c r="X64" i="10"/>
  <c r="X65" i="10"/>
  <c r="X66" i="10"/>
  <c r="X67" i="10"/>
  <c r="X68" i="10"/>
  <c r="X69" i="10"/>
  <c r="X70" i="10"/>
  <c r="X71" i="10"/>
  <c r="X72" i="10"/>
  <c r="X73" i="10"/>
  <c r="X74" i="10"/>
  <c r="X75" i="10"/>
  <c r="X76" i="10"/>
  <c r="X77" i="10"/>
  <c r="X78" i="10"/>
  <c r="X79" i="10"/>
  <c r="X80" i="10"/>
  <c r="X81" i="10"/>
  <c r="X82" i="10"/>
  <c r="X83" i="10"/>
  <c r="X84" i="10"/>
  <c r="X85" i="10"/>
  <c r="X86" i="10"/>
  <c r="X87" i="10"/>
  <c r="X88" i="10"/>
  <c r="X89" i="10"/>
  <c r="X90" i="10"/>
  <c r="X91" i="10"/>
  <c r="X92" i="10"/>
  <c r="X93" i="10"/>
  <c r="X94" i="10"/>
  <c r="X95" i="10"/>
  <c r="X96" i="10"/>
  <c r="X97" i="10"/>
  <c r="X98" i="10"/>
  <c r="X99" i="10"/>
  <c r="X100" i="10"/>
  <c r="X101" i="10"/>
  <c r="X102" i="10"/>
  <c r="X103" i="10"/>
  <c r="X104" i="10"/>
  <c r="X105" i="10"/>
  <c r="X106" i="10"/>
  <c r="X107" i="10"/>
  <c r="X108" i="10"/>
  <c r="X109" i="10"/>
  <c r="X110" i="10"/>
  <c r="X111" i="10"/>
  <c r="X112" i="10"/>
  <c r="X113" i="10"/>
  <c r="X114" i="10"/>
  <c r="X115" i="10"/>
  <c r="X116" i="10"/>
  <c r="X117" i="10"/>
  <c r="X118" i="10"/>
  <c r="X119" i="10"/>
  <c r="X120" i="10"/>
  <c r="X121" i="10"/>
  <c r="X122" i="10"/>
  <c r="X123" i="10"/>
  <c r="X124" i="10"/>
  <c r="X125" i="10"/>
  <c r="X126" i="10"/>
  <c r="X127" i="10"/>
  <c r="X128" i="10"/>
  <c r="X129" i="10"/>
  <c r="X130" i="10"/>
  <c r="X131" i="10"/>
  <c r="X132" i="10"/>
  <c r="X133" i="10"/>
  <c r="X134" i="10"/>
  <c r="X135" i="10"/>
  <c r="X136" i="10"/>
  <c r="X137" i="10"/>
  <c r="X138" i="10"/>
  <c r="X139" i="10"/>
  <c r="X140" i="10"/>
  <c r="X141" i="10"/>
  <c r="X142" i="10"/>
  <c r="X143" i="10"/>
  <c r="X144" i="10"/>
  <c r="X145" i="10"/>
  <c r="X146" i="10"/>
  <c r="X147" i="10"/>
  <c r="X148" i="10"/>
  <c r="X149" i="10"/>
  <c r="X150" i="10"/>
  <c r="X151" i="10"/>
  <c r="X152" i="10"/>
  <c r="X153" i="10"/>
  <c r="X154" i="10"/>
  <c r="X155" i="10"/>
  <c r="X156" i="10"/>
  <c r="X157" i="10"/>
  <c r="X158" i="10"/>
  <c r="X159" i="10"/>
  <c r="X160" i="10"/>
  <c r="X161" i="10"/>
  <c r="X162" i="10"/>
  <c r="X163" i="10"/>
  <c r="X164" i="10"/>
  <c r="X165" i="10"/>
  <c r="X166" i="10"/>
  <c r="X167" i="10"/>
  <c r="X168" i="10"/>
  <c r="X169" i="10"/>
  <c r="X170" i="10"/>
  <c r="X171" i="10"/>
  <c r="X172" i="10"/>
  <c r="X173" i="10"/>
  <c r="X174" i="10"/>
  <c r="X175" i="10"/>
  <c r="X176" i="10"/>
  <c r="X177" i="10"/>
  <c r="X178" i="10"/>
  <c r="X179" i="10"/>
  <c r="X180" i="10"/>
  <c r="X181" i="10"/>
  <c r="X182" i="10"/>
  <c r="X183" i="10"/>
  <c r="X184" i="10"/>
  <c r="X185" i="10"/>
  <c r="X186" i="10"/>
  <c r="X187" i="10"/>
  <c r="X188" i="10"/>
  <c r="X189" i="10"/>
  <c r="X190" i="10"/>
  <c r="X191" i="10"/>
  <c r="X192" i="10"/>
  <c r="X193" i="10"/>
  <c r="X194" i="10"/>
  <c r="X195" i="10"/>
  <c r="X196" i="10"/>
  <c r="X197" i="10"/>
  <c r="X198" i="10"/>
  <c r="X199" i="10"/>
  <c r="X200" i="10"/>
  <c r="X201" i="10"/>
  <c r="X202" i="10"/>
  <c r="X203" i="10"/>
  <c r="X204" i="10"/>
  <c r="X205" i="10"/>
  <c r="X206" i="10"/>
  <c r="X207" i="10"/>
  <c r="X208" i="10"/>
  <c r="X209" i="10"/>
  <c r="X210" i="10"/>
  <c r="X211" i="10"/>
  <c r="X212" i="10"/>
  <c r="X213" i="10"/>
  <c r="X214" i="10"/>
  <c r="X215" i="10"/>
  <c r="X216" i="10"/>
  <c r="X217" i="10"/>
  <c r="X218" i="10"/>
  <c r="X219" i="10"/>
  <c r="X220" i="10"/>
  <c r="X221" i="10"/>
  <c r="X222" i="10"/>
  <c r="X223" i="10"/>
  <c r="X224" i="10"/>
  <c r="X225" i="10"/>
  <c r="X226" i="10"/>
  <c r="X227" i="10"/>
  <c r="X228" i="10"/>
  <c r="X229" i="10"/>
  <c r="X230" i="10"/>
  <c r="X231" i="10"/>
  <c r="X232" i="10"/>
  <c r="X233" i="10"/>
  <c r="X234" i="10"/>
  <c r="X235" i="10"/>
  <c r="X236" i="10"/>
  <c r="X237" i="10"/>
  <c r="X238" i="10"/>
  <c r="X239" i="10"/>
  <c r="X240" i="10"/>
  <c r="X241" i="10"/>
  <c r="X242" i="10"/>
  <c r="X243" i="10"/>
  <c r="X244" i="10"/>
  <c r="X245" i="10"/>
  <c r="X246" i="10"/>
  <c r="X247" i="10"/>
  <c r="X248" i="10"/>
  <c r="X249" i="10"/>
  <c r="X250" i="10"/>
  <c r="X251" i="10"/>
  <c r="X252" i="10"/>
  <c r="X253" i="10"/>
  <c r="X254" i="10"/>
  <c r="X255" i="10"/>
  <c r="X256" i="10"/>
  <c r="X257" i="10"/>
  <c r="X258" i="10"/>
  <c r="X259" i="10"/>
  <c r="X260" i="10"/>
  <c r="X261" i="10"/>
  <c r="X262" i="10"/>
  <c r="X263" i="10"/>
  <c r="X264" i="10"/>
  <c r="X265" i="10"/>
  <c r="X266" i="10"/>
  <c r="X267" i="10"/>
  <c r="X268" i="10"/>
  <c r="X269" i="10"/>
  <c r="X270" i="10"/>
  <c r="X271" i="10"/>
  <c r="X272" i="10"/>
  <c r="X273" i="10"/>
  <c r="X274" i="10"/>
  <c r="X275" i="10"/>
  <c r="X276" i="10"/>
  <c r="X277" i="10"/>
  <c r="X278" i="10"/>
  <c r="X279" i="10"/>
  <c r="X280" i="10"/>
  <c r="X281" i="10"/>
  <c r="X282" i="10"/>
  <c r="X283" i="10"/>
  <c r="X284" i="10"/>
  <c r="X285" i="10"/>
  <c r="X286" i="10"/>
  <c r="X287" i="10"/>
  <c r="X288" i="10"/>
  <c r="X289" i="10"/>
  <c r="X290" i="10"/>
  <c r="X291" i="10"/>
  <c r="X292" i="10"/>
  <c r="X293" i="10"/>
  <c r="X294" i="10"/>
  <c r="X295" i="10"/>
  <c r="X296" i="10"/>
  <c r="X297" i="10"/>
  <c r="X298" i="10"/>
  <c r="X299" i="10"/>
  <c r="X300" i="10"/>
  <c r="X301" i="10"/>
  <c r="X302" i="10"/>
  <c r="X303" i="10"/>
  <c r="X304" i="10"/>
  <c r="X305" i="10"/>
  <c r="X306" i="10"/>
  <c r="X307" i="10"/>
  <c r="X308" i="10"/>
  <c r="X309" i="10"/>
  <c r="X310" i="10"/>
  <c r="X311" i="10"/>
  <c r="X312" i="10"/>
  <c r="X313" i="10"/>
  <c r="X314" i="10"/>
  <c r="X315" i="10"/>
  <c r="X316" i="10"/>
  <c r="X317" i="10"/>
  <c r="X318" i="10"/>
  <c r="X319" i="10"/>
  <c r="X320" i="10"/>
  <c r="X321" i="10"/>
  <c r="X322" i="10"/>
  <c r="X323" i="10"/>
  <c r="X324" i="10"/>
  <c r="X325" i="10"/>
  <c r="X326" i="10"/>
  <c r="X327" i="10"/>
  <c r="X328" i="10"/>
  <c r="X329" i="10"/>
  <c r="X330" i="10"/>
  <c r="X331" i="10"/>
  <c r="X332" i="10"/>
  <c r="X333" i="10"/>
  <c r="X334" i="10"/>
  <c r="X335" i="10"/>
  <c r="X336" i="10"/>
  <c r="X337" i="10"/>
  <c r="X338" i="10"/>
  <c r="X339" i="10"/>
  <c r="X340" i="10"/>
  <c r="X341" i="10"/>
  <c r="Y4" i="10"/>
  <c r="Y5" i="10"/>
  <c r="Y6" i="10"/>
  <c r="Y7" i="10"/>
  <c r="Y8" i="10"/>
  <c r="Y9" i="10"/>
  <c r="Y10" i="10"/>
  <c r="Y11" i="10"/>
  <c r="Y12" i="10"/>
  <c r="Y13" i="10"/>
  <c r="Y14" i="10"/>
  <c r="Y15" i="10"/>
  <c r="Y16" i="10"/>
  <c r="Y17" i="10"/>
  <c r="Y18" i="10"/>
  <c r="Y19" i="10"/>
  <c r="Y20" i="10"/>
  <c r="Y21" i="10"/>
  <c r="Y22" i="10"/>
  <c r="Y23" i="10"/>
  <c r="Y24" i="10"/>
  <c r="Y25" i="10"/>
  <c r="Y26" i="10"/>
  <c r="Y27" i="10"/>
  <c r="Y28" i="10"/>
  <c r="Y29" i="10"/>
  <c r="Y30" i="10"/>
  <c r="Y31" i="10"/>
  <c r="Y32" i="10"/>
  <c r="Y33" i="10"/>
  <c r="Y34" i="10"/>
  <c r="Y35" i="10"/>
  <c r="Y36" i="10"/>
  <c r="Y37" i="10"/>
  <c r="Y38" i="10"/>
  <c r="Y39" i="10"/>
  <c r="Y40" i="10"/>
  <c r="Y41" i="10"/>
  <c r="Y42" i="10"/>
  <c r="Y43" i="10"/>
  <c r="Y44" i="10"/>
  <c r="Y45" i="10"/>
  <c r="Y46" i="10"/>
  <c r="Y47" i="10"/>
  <c r="Y48" i="10"/>
  <c r="Y49" i="10"/>
  <c r="Y50" i="10"/>
  <c r="Y51" i="10"/>
  <c r="Y52" i="10"/>
  <c r="Y53" i="10"/>
  <c r="Y54" i="10"/>
  <c r="Y55" i="10"/>
  <c r="Y56" i="10"/>
  <c r="Y57" i="10"/>
  <c r="Y58" i="10"/>
  <c r="Y59" i="10"/>
  <c r="Y60" i="10"/>
  <c r="Y61" i="10"/>
  <c r="Y62" i="10"/>
  <c r="Y63" i="10"/>
  <c r="Y64" i="10"/>
  <c r="Y65" i="10"/>
  <c r="Y66" i="10"/>
  <c r="Y67" i="10"/>
  <c r="Y68" i="10"/>
  <c r="Y69" i="10"/>
  <c r="Y70" i="10"/>
  <c r="Y71" i="10"/>
  <c r="Y72" i="10"/>
  <c r="Y73" i="10"/>
  <c r="Y74" i="10"/>
  <c r="Y75" i="10"/>
  <c r="Y76" i="10"/>
  <c r="Y77" i="10"/>
  <c r="Y78" i="10"/>
  <c r="Y79" i="10"/>
  <c r="Y80" i="10"/>
  <c r="Y81" i="10"/>
  <c r="Y82" i="10"/>
  <c r="Y83" i="10"/>
  <c r="Y84" i="10"/>
  <c r="Y85" i="10"/>
  <c r="Y86" i="10"/>
  <c r="Y87" i="10"/>
  <c r="Y88" i="10"/>
  <c r="Y89" i="10"/>
  <c r="Y90" i="10"/>
  <c r="Y91" i="10"/>
  <c r="Y92" i="10"/>
  <c r="Y93" i="10"/>
  <c r="Y94" i="10"/>
  <c r="Y95" i="10"/>
  <c r="Y96" i="10"/>
  <c r="Y97" i="10"/>
  <c r="Y98" i="10"/>
  <c r="Y99" i="10"/>
  <c r="Y100" i="10"/>
  <c r="Y101" i="10"/>
  <c r="Y102" i="10"/>
  <c r="Y103" i="10"/>
  <c r="Y104" i="10"/>
  <c r="Y105" i="10"/>
  <c r="Y106" i="10"/>
  <c r="Y107" i="10"/>
  <c r="Y108" i="10"/>
  <c r="Y109" i="10"/>
  <c r="Y110" i="10"/>
  <c r="Y111" i="10"/>
  <c r="Y112" i="10"/>
  <c r="Y113" i="10"/>
  <c r="Y114" i="10"/>
  <c r="Y115" i="10"/>
  <c r="Y116" i="10"/>
  <c r="Y117" i="10"/>
  <c r="Y118" i="10"/>
  <c r="Y119" i="10"/>
  <c r="Y120" i="10"/>
  <c r="Y121" i="10"/>
  <c r="Y122" i="10"/>
  <c r="Y123" i="10"/>
  <c r="Y124" i="10"/>
  <c r="Y125" i="10"/>
  <c r="Y126" i="10"/>
  <c r="Y127" i="10"/>
  <c r="Y128" i="10"/>
  <c r="Y129" i="10"/>
  <c r="Y130" i="10"/>
  <c r="Y131" i="10"/>
  <c r="Y132" i="10"/>
  <c r="Y133" i="10"/>
  <c r="Y134" i="10"/>
  <c r="Y135" i="10"/>
  <c r="Y136" i="10"/>
  <c r="Y137" i="10"/>
  <c r="Y138" i="10"/>
  <c r="Y139" i="10"/>
  <c r="Y140" i="10"/>
  <c r="Y141" i="10"/>
  <c r="Y142" i="10"/>
  <c r="Y143" i="10"/>
  <c r="Y144" i="10"/>
  <c r="Y145" i="10"/>
  <c r="Y146" i="10"/>
  <c r="Y147" i="10"/>
  <c r="Y148" i="10"/>
  <c r="Y149" i="10"/>
  <c r="Y150" i="10"/>
  <c r="Y151" i="10"/>
  <c r="Y152" i="10"/>
  <c r="Y153" i="10"/>
  <c r="Y154" i="10"/>
  <c r="Y155" i="10"/>
  <c r="Y156" i="10"/>
  <c r="Y157" i="10"/>
  <c r="Y158" i="10"/>
  <c r="Y159" i="10"/>
  <c r="Y160" i="10"/>
  <c r="Y161" i="10"/>
  <c r="Y162" i="10"/>
  <c r="Y163" i="10"/>
  <c r="Y164" i="10"/>
  <c r="Y165" i="10"/>
  <c r="Y166" i="10"/>
  <c r="Y167" i="10"/>
  <c r="Y168" i="10"/>
  <c r="Y169" i="10"/>
  <c r="Y170" i="10"/>
  <c r="Y171" i="10"/>
  <c r="Y172" i="10"/>
  <c r="Y173" i="10"/>
  <c r="Y174" i="10"/>
  <c r="Y175" i="10"/>
  <c r="Y176" i="10"/>
  <c r="Y177" i="10"/>
  <c r="Y178" i="10"/>
  <c r="Y179" i="10"/>
  <c r="Y180" i="10"/>
  <c r="Y181" i="10"/>
  <c r="Y182" i="10"/>
  <c r="Y183" i="10"/>
  <c r="Y184" i="10"/>
  <c r="Y185" i="10"/>
  <c r="Y186" i="10"/>
  <c r="Y187" i="10"/>
  <c r="Y188" i="10"/>
  <c r="Y189" i="10"/>
  <c r="Y190" i="10"/>
  <c r="Y191" i="10"/>
  <c r="Y192" i="10"/>
  <c r="Y193" i="10"/>
  <c r="Y194" i="10"/>
  <c r="Y195" i="10"/>
  <c r="Y196" i="10"/>
  <c r="Y197" i="10"/>
  <c r="Y198" i="10"/>
  <c r="Y199" i="10"/>
  <c r="Y200" i="10"/>
  <c r="Y201" i="10"/>
  <c r="Y202" i="10"/>
  <c r="Y203" i="10"/>
  <c r="Y204" i="10"/>
  <c r="Y205" i="10"/>
  <c r="Y206" i="10"/>
  <c r="Y207" i="10"/>
  <c r="Y208" i="10"/>
  <c r="Y209" i="10"/>
  <c r="Y210" i="10"/>
  <c r="Y211" i="10"/>
  <c r="Y212" i="10"/>
  <c r="Y213" i="10"/>
  <c r="Y214" i="10"/>
  <c r="Y215" i="10"/>
  <c r="Y216" i="10"/>
  <c r="Y217" i="10"/>
  <c r="Y218" i="10"/>
  <c r="Y219" i="10"/>
  <c r="Y220" i="10"/>
  <c r="Y221" i="10"/>
  <c r="Y222" i="10"/>
  <c r="Y223" i="10"/>
  <c r="Y224" i="10"/>
  <c r="Y225" i="10"/>
  <c r="Y226" i="10"/>
  <c r="Y227" i="10"/>
  <c r="Y228" i="10"/>
  <c r="Y229" i="10"/>
  <c r="Y230" i="10"/>
  <c r="Y231" i="10"/>
  <c r="Y232" i="10"/>
  <c r="Y233" i="10"/>
  <c r="Y234" i="10"/>
  <c r="Y235" i="10"/>
  <c r="Y236" i="10"/>
  <c r="Y237" i="10"/>
  <c r="Y238" i="10"/>
  <c r="Y239" i="10"/>
  <c r="Y240" i="10"/>
  <c r="Y241" i="10"/>
  <c r="Y242" i="10"/>
  <c r="Y243" i="10"/>
  <c r="Y244" i="10"/>
  <c r="Y245" i="10"/>
  <c r="Y246" i="10"/>
  <c r="Y247" i="10"/>
  <c r="Y248" i="10"/>
  <c r="Y249" i="10"/>
  <c r="Y250" i="10"/>
  <c r="Y251" i="10"/>
  <c r="Y252" i="10"/>
  <c r="Y253" i="10"/>
  <c r="Y254" i="10"/>
  <c r="Y255" i="10"/>
  <c r="Y256" i="10"/>
  <c r="Y257" i="10"/>
  <c r="Y258" i="10"/>
  <c r="Y259" i="10"/>
  <c r="Y260" i="10"/>
  <c r="Y261" i="10"/>
  <c r="Y262" i="10"/>
  <c r="Y263" i="10"/>
  <c r="Y264" i="10"/>
  <c r="Y265" i="10"/>
  <c r="Y266" i="10"/>
  <c r="Y267" i="10"/>
  <c r="Y268" i="10"/>
  <c r="Y269" i="10"/>
  <c r="Y270" i="10"/>
  <c r="Y271" i="10"/>
  <c r="Y272" i="10"/>
  <c r="Y273" i="10"/>
  <c r="Y274" i="10"/>
  <c r="Y275" i="10"/>
  <c r="Y276" i="10"/>
  <c r="Y277" i="10"/>
  <c r="Y278" i="10"/>
  <c r="Y279" i="10"/>
  <c r="Y280" i="10"/>
  <c r="Y281" i="10"/>
  <c r="Y282" i="10"/>
  <c r="Y283" i="10"/>
  <c r="Y284" i="10"/>
  <c r="Y285" i="10"/>
  <c r="Y286" i="10"/>
  <c r="Y287" i="10"/>
  <c r="Y288" i="10"/>
  <c r="Y289" i="10"/>
  <c r="Y290" i="10"/>
  <c r="Y291" i="10"/>
  <c r="Y292" i="10"/>
  <c r="Y293" i="10"/>
  <c r="Y294" i="10"/>
  <c r="Y295" i="10"/>
  <c r="Y296" i="10"/>
  <c r="Y297" i="10"/>
  <c r="Y298" i="10"/>
  <c r="Y299" i="10"/>
  <c r="Y300" i="10"/>
  <c r="Y301" i="10"/>
  <c r="Y302" i="10"/>
  <c r="Y303" i="10"/>
  <c r="Y304" i="10"/>
  <c r="Y305" i="10"/>
  <c r="Y306" i="10"/>
  <c r="Y307" i="10"/>
  <c r="Y308" i="10"/>
  <c r="Y309" i="10"/>
  <c r="Y310" i="10"/>
  <c r="Y311" i="10"/>
  <c r="Y312" i="10"/>
  <c r="Y313" i="10"/>
  <c r="Y314" i="10"/>
  <c r="Y315" i="10"/>
  <c r="Y316" i="10"/>
  <c r="Y317" i="10"/>
  <c r="Y318" i="10"/>
  <c r="Y319" i="10"/>
  <c r="Y320" i="10"/>
  <c r="Y321" i="10"/>
  <c r="Y322" i="10"/>
  <c r="Y323" i="10"/>
  <c r="Y324" i="10"/>
  <c r="Y325" i="10"/>
  <c r="Y326" i="10"/>
  <c r="Y327" i="10"/>
  <c r="Y328" i="10"/>
  <c r="Y329" i="10"/>
  <c r="Y330" i="10"/>
  <c r="Y331" i="10"/>
  <c r="Y332" i="10"/>
  <c r="Y333" i="10"/>
  <c r="Y334" i="10"/>
  <c r="Y335" i="10"/>
  <c r="Y336" i="10"/>
  <c r="Y337" i="10"/>
  <c r="Y338" i="10"/>
  <c r="Y339" i="10"/>
  <c r="Y340" i="10"/>
  <c r="Y341" i="10"/>
  <c r="Z4" i="10"/>
  <c r="Z5" i="10"/>
  <c r="Z6" i="10"/>
  <c r="Z7" i="10"/>
  <c r="Z8" i="10"/>
  <c r="Z9" i="10"/>
  <c r="Z10" i="10"/>
  <c r="Z11" i="10"/>
  <c r="Z12" i="10"/>
  <c r="Z13" i="10"/>
  <c r="Z14" i="10"/>
  <c r="Z15" i="10"/>
  <c r="Z16" i="10"/>
  <c r="Z17" i="10"/>
  <c r="Z18" i="10"/>
  <c r="Z19" i="10"/>
  <c r="Z20" i="10"/>
  <c r="Z21" i="10"/>
  <c r="Z22" i="10"/>
  <c r="Z23" i="10"/>
  <c r="Z24" i="10"/>
  <c r="Z25" i="10"/>
  <c r="Z26" i="10"/>
  <c r="Z27" i="10"/>
  <c r="Z28" i="10"/>
  <c r="Z29" i="10"/>
  <c r="Z30" i="10"/>
  <c r="Z31" i="10"/>
  <c r="Z32" i="10"/>
  <c r="Z33" i="10"/>
  <c r="Z34" i="10"/>
  <c r="Z35" i="10"/>
  <c r="Z36" i="10"/>
  <c r="Z37" i="10"/>
  <c r="Z38" i="10"/>
  <c r="Z39" i="10"/>
  <c r="Z40" i="10"/>
  <c r="Z41" i="10"/>
  <c r="Z42" i="10"/>
  <c r="Z43" i="10"/>
  <c r="Z44" i="10"/>
  <c r="Z45" i="10"/>
  <c r="Z46" i="10"/>
  <c r="Z47" i="10"/>
  <c r="Z48" i="10"/>
  <c r="Z49" i="10"/>
  <c r="Z50" i="10"/>
  <c r="Z51" i="10"/>
  <c r="Z52" i="10"/>
  <c r="Z53" i="10"/>
  <c r="Z54" i="10"/>
  <c r="Z55" i="10"/>
  <c r="Z56" i="10"/>
  <c r="Z57" i="10"/>
  <c r="Z58" i="10"/>
  <c r="Z59" i="10"/>
  <c r="Z60" i="10"/>
  <c r="Z61" i="10"/>
  <c r="Z62" i="10"/>
  <c r="Z63" i="10"/>
  <c r="Z64" i="10"/>
  <c r="Z65" i="10"/>
  <c r="Z66" i="10"/>
  <c r="Z67" i="10"/>
  <c r="Z68" i="10"/>
  <c r="Z69" i="10"/>
  <c r="Z70" i="10"/>
  <c r="Z71" i="10"/>
  <c r="Z72" i="10"/>
  <c r="Z73" i="10"/>
  <c r="Z74" i="10"/>
  <c r="Z75" i="10"/>
  <c r="Z76" i="10"/>
  <c r="Z77" i="10"/>
  <c r="Z78" i="10"/>
  <c r="Z79" i="10"/>
  <c r="Z80" i="10"/>
  <c r="Z81" i="10"/>
  <c r="Z82" i="10"/>
  <c r="Z83" i="10"/>
  <c r="Z84" i="10"/>
  <c r="Z85" i="10"/>
  <c r="Z86" i="10"/>
  <c r="Z87" i="10"/>
  <c r="Z88" i="10"/>
  <c r="Z89" i="10"/>
  <c r="Z90" i="10"/>
  <c r="Z91" i="10"/>
  <c r="Z92" i="10"/>
  <c r="Z93" i="10"/>
  <c r="Z94" i="10"/>
  <c r="Z95" i="10"/>
  <c r="Z96" i="10"/>
  <c r="Z97" i="10"/>
  <c r="Z98" i="10"/>
  <c r="Z99" i="10"/>
  <c r="Z100" i="10"/>
  <c r="Z101" i="10"/>
  <c r="Z102" i="10"/>
  <c r="Z103" i="10"/>
  <c r="Z104" i="10"/>
  <c r="Z105" i="10"/>
  <c r="Z106" i="10"/>
  <c r="Z107" i="10"/>
  <c r="Z108" i="10"/>
  <c r="Z109" i="10"/>
  <c r="Z110" i="10"/>
  <c r="Z111" i="10"/>
  <c r="Z112" i="10"/>
  <c r="Z113" i="10"/>
  <c r="Z114" i="10"/>
  <c r="Z115" i="10"/>
  <c r="Z116" i="10"/>
  <c r="Z117" i="10"/>
  <c r="Z118" i="10"/>
  <c r="Z119" i="10"/>
  <c r="Z120" i="10"/>
  <c r="Z121" i="10"/>
  <c r="Z122" i="10"/>
  <c r="Z123" i="10"/>
  <c r="Z124" i="10"/>
  <c r="Z125" i="10"/>
  <c r="Z126" i="10"/>
  <c r="Z127" i="10"/>
  <c r="Z128" i="10"/>
  <c r="Z129" i="10"/>
  <c r="Z130" i="10"/>
  <c r="Z131" i="10"/>
  <c r="Z132" i="10"/>
  <c r="Z133" i="10"/>
  <c r="Z134" i="10"/>
  <c r="Z135" i="10"/>
  <c r="Z136" i="10"/>
  <c r="Z137" i="10"/>
  <c r="Z138" i="10"/>
  <c r="Z139" i="10"/>
  <c r="Z140" i="10"/>
  <c r="Z141" i="10"/>
  <c r="Z142" i="10"/>
  <c r="Z143" i="10"/>
  <c r="Z144" i="10"/>
  <c r="Z145" i="10"/>
  <c r="Z146" i="10"/>
  <c r="Z147" i="10"/>
  <c r="Z148" i="10"/>
  <c r="Z149" i="10"/>
  <c r="Z150" i="10"/>
  <c r="Z151" i="10"/>
  <c r="Z152" i="10"/>
  <c r="Z153" i="10"/>
  <c r="Z154" i="10"/>
  <c r="Z155" i="10"/>
  <c r="Z156" i="10"/>
  <c r="Z157" i="10"/>
  <c r="Z158" i="10"/>
  <c r="Z159" i="10"/>
  <c r="Z160" i="10"/>
  <c r="Z161" i="10"/>
  <c r="Z162" i="10"/>
  <c r="Z163" i="10"/>
  <c r="Z164" i="10"/>
  <c r="Z165" i="10"/>
  <c r="Z166" i="10"/>
  <c r="Z167" i="10"/>
  <c r="Z168" i="10"/>
  <c r="Z169" i="10"/>
  <c r="Z170" i="10"/>
  <c r="Z171" i="10"/>
  <c r="Z172" i="10"/>
  <c r="Z173" i="10"/>
  <c r="Z174" i="10"/>
  <c r="Z175" i="10"/>
  <c r="Z176" i="10"/>
  <c r="Z177" i="10"/>
  <c r="Z178" i="10"/>
  <c r="Z179" i="10"/>
  <c r="Z180" i="10"/>
  <c r="Z181" i="10"/>
  <c r="Z182" i="10"/>
  <c r="Z183" i="10"/>
  <c r="Z184" i="10"/>
  <c r="Z185" i="10"/>
  <c r="Z186" i="10"/>
  <c r="Z187" i="10"/>
  <c r="Z188" i="10"/>
  <c r="Z189" i="10"/>
  <c r="Z190" i="10"/>
  <c r="Z191" i="10"/>
  <c r="Z192" i="10"/>
  <c r="Z193" i="10"/>
  <c r="Z194" i="10"/>
  <c r="Z195" i="10"/>
  <c r="Z196" i="10"/>
  <c r="Z197" i="10"/>
  <c r="Z198" i="10"/>
  <c r="Z199" i="10"/>
  <c r="Z200" i="10"/>
  <c r="Z201" i="10"/>
  <c r="Z202" i="10"/>
  <c r="Z203" i="10"/>
  <c r="Z204" i="10"/>
  <c r="Z205" i="10"/>
  <c r="Z206" i="10"/>
  <c r="Z207" i="10"/>
  <c r="Z208" i="10"/>
  <c r="Z209" i="10"/>
  <c r="Z210" i="10"/>
  <c r="Z211" i="10"/>
  <c r="Z212" i="10"/>
  <c r="Z213" i="10"/>
  <c r="Z214" i="10"/>
  <c r="Z215" i="10"/>
  <c r="Z216" i="10"/>
  <c r="Z217" i="10"/>
  <c r="Z218" i="10"/>
  <c r="Z219" i="10"/>
  <c r="Z220" i="10"/>
  <c r="Z221" i="10"/>
  <c r="Z222" i="10"/>
  <c r="Z223" i="10"/>
  <c r="Z224" i="10"/>
  <c r="Z225" i="10"/>
  <c r="Z226" i="10"/>
  <c r="Z227" i="10"/>
  <c r="Z228" i="10"/>
  <c r="Z229" i="10"/>
  <c r="Z230" i="10"/>
  <c r="Z231" i="10"/>
  <c r="Z232" i="10"/>
  <c r="Z233" i="10"/>
  <c r="Z234" i="10"/>
  <c r="Z235" i="10"/>
  <c r="Z236" i="10"/>
  <c r="Z237" i="10"/>
  <c r="Z238" i="10"/>
  <c r="Z239" i="10"/>
  <c r="Z240" i="10"/>
  <c r="Z241" i="10"/>
  <c r="Z242" i="10"/>
  <c r="Z243" i="10"/>
  <c r="Z244" i="10"/>
  <c r="Z245" i="10"/>
  <c r="Z246" i="10"/>
  <c r="Z247" i="10"/>
  <c r="Z248" i="10"/>
  <c r="Z249" i="10"/>
  <c r="Z250" i="10"/>
  <c r="Z251" i="10"/>
  <c r="Z252" i="10"/>
  <c r="Z253" i="10"/>
  <c r="Z254" i="10"/>
  <c r="Z255" i="10"/>
  <c r="Z256" i="10"/>
  <c r="Z257" i="10"/>
  <c r="Z258" i="10"/>
  <c r="Z259" i="10"/>
  <c r="Z260" i="10"/>
  <c r="Z261" i="10"/>
  <c r="Z262" i="10"/>
  <c r="Z263" i="10"/>
  <c r="Z264" i="10"/>
  <c r="Z265" i="10"/>
  <c r="Z266" i="10"/>
  <c r="Z267" i="10"/>
  <c r="Z268" i="10"/>
  <c r="Z269" i="10"/>
  <c r="Z270" i="10"/>
  <c r="Z271" i="10"/>
  <c r="Z272" i="10"/>
  <c r="Z273" i="10"/>
  <c r="Z274" i="10"/>
  <c r="Z275" i="10"/>
  <c r="Z276" i="10"/>
  <c r="Z277" i="10"/>
  <c r="Z278" i="10"/>
  <c r="Z279" i="10"/>
  <c r="Z280" i="10"/>
  <c r="Z281" i="10"/>
  <c r="Z282" i="10"/>
  <c r="Z283" i="10"/>
  <c r="Z284" i="10"/>
  <c r="Z285" i="10"/>
  <c r="Z286" i="10"/>
  <c r="Z287" i="10"/>
  <c r="Z288" i="10"/>
  <c r="Z289" i="10"/>
  <c r="Z290" i="10"/>
  <c r="Z291" i="10"/>
  <c r="Z292" i="10"/>
  <c r="Z293" i="10"/>
  <c r="Z294" i="10"/>
  <c r="Z295" i="10"/>
  <c r="Z296" i="10"/>
  <c r="Z297" i="10"/>
  <c r="Z298" i="10"/>
  <c r="Z299" i="10"/>
  <c r="Z300" i="10"/>
  <c r="Z301" i="10"/>
  <c r="Z302" i="10"/>
  <c r="Z303" i="10"/>
  <c r="Z304" i="10"/>
  <c r="Z305" i="10"/>
  <c r="Z306" i="10"/>
  <c r="Z307" i="10"/>
  <c r="Z308" i="10"/>
  <c r="Z309" i="10"/>
  <c r="Z310" i="10"/>
  <c r="Z311" i="10"/>
  <c r="Z312" i="10"/>
  <c r="Z313" i="10"/>
  <c r="Z314" i="10"/>
  <c r="Z315" i="10"/>
  <c r="Z316" i="10"/>
  <c r="Z317" i="10"/>
  <c r="Z318" i="10"/>
  <c r="Z319" i="10"/>
  <c r="Z320" i="10"/>
  <c r="Z321" i="10"/>
  <c r="Z322" i="10"/>
  <c r="Z323" i="10"/>
  <c r="Z324" i="10"/>
  <c r="Z325" i="10"/>
  <c r="Z326" i="10"/>
  <c r="Z327" i="10"/>
  <c r="Z328" i="10"/>
  <c r="Z329" i="10"/>
  <c r="Z330" i="10"/>
  <c r="Z331" i="10"/>
  <c r="Z332" i="10"/>
  <c r="Z333" i="10"/>
  <c r="Z334" i="10"/>
  <c r="Z335" i="10"/>
  <c r="Z336" i="10"/>
  <c r="Z337" i="10"/>
  <c r="Z338" i="10"/>
  <c r="Z339" i="10"/>
  <c r="Z340" i="10"/>
  <c r="Z341" i="10"/>
  <c r="AA4" i="10"/>
  <c r="AA5" i="10"/>
  <c r="AA6" i="10"/>
  <c r="AA7" i="10"/>
  <c r="AA8" i="10"/>
  <c r="AA9" i="10"/>
  <c r="AA10" i="10"/>
  <c r="AA11" i="10"/>
  <c r="AA12" i="10"/>
  <c r="AA13" i="10"/>
  <c r="AA14" i="10"/>
  <c r="AA15" i="10"/>
  <c r="AA16" i="10"/>
  <c r="AA17" i="10"/>
  <c r="AA18" i="10"/>
  <c r="AA19" i="10"/>
  <c r="AA20" i="10"/>
  <c r="AA21" i="10"/>
  <c r="AA22" i="10"/>
  <c r="AA23" i="10"/>
  <c r="AA24" i="10"/>
  <c r="AA25" i="10"/>
  <c r="AA26" i="10"/>
  <c r="AA27" i="10"/>
  <c r="AA28" i="10"/>
  <c r="AA29" i="10"/>
  <c r="AA30" i="10"/>
  <c r="AA31" i="10"/>
  <c r="AA32" i="10"/>
  <c r="AA33" i="10"/>
  <c r="AA34" i="10"/>
  <c r="AA35" i="10"/>
  <c r="AA36" i="10"/>
  <c r="AA37" i="10"/>
  <c r="AA38" i="10"/>
  <c r="AA39" i="10"/>
  <c r="AA40" i="10"/>
  <c r="AA41" i="10"/>
  <c r="AA42" i="10"/>
  <c r="AA43" i="10"/>
  <c r="AA44" i="10"/>
  <c r="AA45" i="10"/>
  <c r="AA46" i="10"/>
  <c r="AA47" i="10"/>
  <c r="AA48" i="10"/>
  <c r="AA49" i="10"/>
  <c r="AA50" i="10"/>
  <c r="AA51" i="10"/>
  <c r="AA52" i="10"/>
  <c r="AA53" i="10"/>
  <c r="AA54" i="10"/>
  <c r="AA55" i="10"/>
  <c r="AA56" i="10"/>
  <c r="AA57" i="10"/>
  <c r="AA58" i="10"/>
  <c r="AA59" i="10"/>
  <c r="AA60" i="10"/>
  <c r="AA61" i="10"/>
  <c r="AA62" i="10"/>
  <c r="AA63" i="10"/>
  <c r="AA64" i="10"/>
  <c r="AA65" i="10"/>
  <c r="AA66" i="10"/>
  <c r="AA67" i="10"/>
  <c r="AA68" i="10"/>
  <c r="AA69" i="10"/>
  <c r="AA70" i="10"/>
  <c r="AA71" i="10"/>
  <c r="AA72" i="10"/>
  <c r="AA73" i="10"/>
  <c r="AA74" i="10"/>
  <c r="AA75" i="10"/>
  <c r="AA76" i="10"/>
  <c r="AA77" i="10"/>
  <c r="AA78" i="10"/>
  <c r="AA79" i="10"/>
  <c r="AA80" i="10"/>
  <c r="AA81" i="10"/>
  <c r="AA82" i="10"/>
  <c r="AA83" i="10"/>
  <c r="AA84" i="10"/>
  <c r="AA85" i="10"/>
  <c r="AA86" i="10"/>
  <c r="AA87" i="10"/>
  <c r="AA88" i="10"/>
  <c r="AA89" i="10"/>
  <c r="AA90" i="10"/>
  <c r="AA91" i="10"/>
  <c r="AA92" i="10"/>
  <c r="AA93" i="10"/>
  <c r="AA94" i="10"/>
  <c r="AA95" i="10"/>
  <c r="AA96" i="10"/>
  <c r="AA97" i="10"/>
  <c r="AA98" i="10"/>
  <c r="AA99" i="10"/>
  <c r="AA100" i="10"/>
  <c r="AA101" i="10"/>
  <c r="AA102" i="10"/>
  <c r="AA103" i="10"/>
  <c r="AA104" i="10"/>
  <c r="AA105" i="10"/>
  <c r="AA106" i="10"/>
  <c r="AA107" i="10"/>
  <c r="AA108" i="10"/>
  <c r="AA109" i="10"/>
  <c r="AA110" i="10"/>
  <c r="AA111" i="10"/>
  <c r="AA112" i="10"/>
  <c r="AA113" i="10"/>
  <c r="AA114" i="10"/>
  <c r="AA115" i="10"/>
  <c r="AA116" i="10"/>
  <c r="AA117" i="10"/>
  <c r="AA118" i="10"/>
  <c r="AA119" i="10"/>
  <c r="AA120" i="10"/>
  <c r="AA121" i="10"/>
  <c r="AA122" i="10"/>
  <c r="AA123" i="10"/>
  <c r="AA124" i="10"/>
  <c r="AA125" i="10"/>
  <c r="AA126" i="10"/>
  <c r="AA127" i="10"/>
  <c r="AA128" i="10"/>
  <c r="AA129" i="10"/>
  <c r="AA130" i="10"/>
  <c r="AA131" i="10"/>
  <c r="AA132" i="10"/>
  <c r="AA133" i="10"/>
  <c r="AA134" i="10"/>
  <c r="AA135" i="10"/>
  <c r="AA136" i="10"/>
  <c r="AA137" i="10"/>
  <c r="AA138" i="10"/>
  <c r="AA139" i="10"/>
  <c r="AA140" i="10"/>
  <c r="AA141" i="10"/>
  <c r="AA142" i="10"/>
  <c r="AA143" i="10"/>
  <c r="AA144" i="10"/>
  <c r="AA145" i="10"/>
  <c r="AA146" i="10"/>
  <c r="AA147" i="10"/>
  <c r="AA148" i="10"/>
  <c r="AA149" i="10"/>
  <c r="AA150" i="10"/>
  <c r="AA151" i="10"/>
  <c r="AA152" i="10"/>
  <c r="AA153" i="10"/>
  <c r="AA154" i="10"/>
  <c r="AA155" i="10"/>
  <c r="AA156" i="10"/>
  <c r="AA157" i="10"/>
  <c r="AA158" i="10"/>
  <c r="AA159" i="10"/>
  <c r="AA160" i="10"/>
  <c r="AA161" i="10"/>
  <c r="AA162" i="10"/>
  <c r="AA163" i="10"/>
  <c r="AA164" i="10"/>
  <c r="AA165" i="10"/>
  <c r="AA166" i="10"/>
  <c r="AA167" i="10"/>
  <c r="AA168" i="10"/>
  <c r="AA169" i="10"/>
  <c r="AA170" i="10"/>
  <c r="AA171" i="10"/>
  <c r="AA172" i="10"/>
  <c r="AA173" i="10"/>
  <c r="AA174" i="10"/>
  <c r="AA175" i="10"/>
  <c r="AA176" i="10"/>
  <c r="AA177" i="10"/>
  <c r="AA178" i="10"/>
  <c r="AA179" i="10"/>
  <c r="AA180" i="10"/>
  <c r="AA181" i="10"/>
  <c r="AA182" i="10"/>
  <c r="AA183" i="10"/>
  <c r="AA184" i="10"/>
  <c r="AA185" i="10"/>
  <c r="AA186" i="10"/>
  <c r="AA187" i="10"/>
  <c r="AA188" i="10"/>
  <c r="AA189" i="10"/>
  <c r="AA190" i="10"/>
  <c r="AA191" i="10"/>
  <c r="AA192" i="10"/>
  <c r="AA193" i="10"/>
  <c r="AA194" i="10"/>
  <c r="AA195" i="10"/>
  <c r="AA196" i="10"/>
  <c r="AA197" i="10"/>
  <c r="AA198" i="10"/>
  <c r="AA199" i="10"/>
  <c r="AA200" i="10"/>
  <c r="AA201" i="10"/>
  <c r="AA202" i="10"/>
  <c r="AA203" i="10"/>
  <c r="AA204" i="10"/>
  <c r="AA205" i="10"/>
  <c r="AA206" i="10"/>
  <c r="AA207" i="10"/>
  <c r="AA208" i="10"/>
  <c r="AA209" i="10"/>
  <c r="AA210" i="10"/>
  <c r="AA211" i="10"/>
  <c r="AA212" i="10"/>
  <c r="AA213" i="10"/>
  <c r="AA214" i="10"/>
  <c r="AA215" i="10"/>
  <c r="AA216" i="10"/>
  <c r="AA217" i="10"/>
  <c r="AA218" i="10"/>
  <c r="AA219" i="10"/>
  <c r="AA220" i="10"/>
  <c r="AA221" i="10"/>
  <c r="AA222" i="10"/>
  <c r="AA223" i="10"/>
  <c r="AA224" i="10"/>
  <c r="AA225" i="10"/>
  <c r="AA226" i="10"/>
  <c r="AA227" i="10"/>
  <c r="AA228" i="10"/>
  <c r="AA229" i="10"/>
  <c r="AA230" i="10"/>
  <c r="AA231" i="10"/>
  <c r="AA232" i="10"/>
  <c r="AA233" i="10"/>
  <c r="AA234" i="10"/>
  <c r="AA235" i="10"/>
  <c r="AA236" i="10"/>
  <c r="AA237" i="10"/>
  <c r="AA238" i="10"/>
  <c r="AA239" i="10"/>
  <c r="AA240" i="10"/>
  <c r="AA241" i="10"/>
  <c r="AA242" i="10"/>
  <c r="AA243" i="10"/>
  <c r="AA244" i="10"/>
  <c r="AA245" i="10"/>
  <c r="AA246" i="10"/>
  <c r="AA247" i="10"/>
  <c r="AA248" i="10"/>
  <c r="AA249" i="10"/>
  <c r="AA250" i="10"/>
  <c r="AA251" i="10"/>
  <c r="AA252" i="10"/>
  <c r="AA253" i="10"/>
  <c r="AA254" i="10"/>
  <c r="AA255" i="10"/>
  <c r="AA256" i="10"/>
  <c r="AA257" i="10"/>
  <c r="AA258" i="10"/>
  <c r="AA259" i="10"/>
  <c r="AA260" i="10"/>
  <c r="AA261" i="10"/>
  <c r="AA262" i="10"/>
  <c r="AA263" i="10"/>
  <c r="AA264" i="10"/>
  <c r="AA265" i="10"/>
  <c r="AA266" i="10"/>
  <c r="AA267" i="10"/>
  <c r="AA268" i="10"/>
  <c r="AA269" i="10"/>
  <c r="AA270" i="10"/>
  <c r="AA271" i="10"/>
  <c r="AA272" i="10"/>
  <c r="AA273" i="10"/>
  <c r="AA274" i="10"/>
  <c r="AA275" i="10"/>
  <c r="AA276" i="10"/>
  <c r="AA277" i="10"/>
  <c r="AA278" i="10"/>
  <c r="AA279" i="10"/>
  <c r="AA280" i="10"/>
  <c r="AA281" i="10"/>
  <c r="AA282" i="10"/>
  <c r="AA283" i="10"/>
  <c r="AA284" i="10"/>
  <c r="AA285" i="10"/>
  <c r="AA286" i="10"/>
  <c r="AA287" i="10"/>
  <c r="AA288" i="10"/>
  <c r="AA289" i="10"/>
  <c r="AA290" i="10"/>
  <c r="AA291" i="10"/>
  <c r="AA292" i="10"/>
  <c r="AA293" i="10"/>
  <c r="AA294" i="10"/>
  <c r="AA295" i="10"/>
  <c r="AA296" i="10"/>
  <c r="AA297" i="10"/>
  <c r="AA298" i="10"/>
  <c r="AA299" i="10"/>
  <c r="AA300" i="10"/>
  <c r="AA301" i="10"/>
  <c r="AA302" i="10"/>
  <c r="AA303" i="10"/>
  <c r="AA304" i="10"/>
  <c r="AA305" i="10"/>
  <c r="AA306" i="10"/>
  <c r="AA307" i="10"/>
  <c r="AA308" i="10"/>
  <c r="AA309" i="10"/>
  <c r="AA310" i="10"/>
  <c r="AA311" i="10"/>
  <c r="AA312" i="10"/>
  <c r="AA313" i="10"/>
  <c r="AA314" i="10"/>
  <c r="AA315" i="10"/>
  <c r="AA316" i="10"/>
  <c r="AA317" i="10"/>
  <c r="AA318" i="10"/>
  <c r="AA319" i="10"/>
  <c r="AA320" i="10"/>
  <c r="AA321" i="10"/>
  <c r="AA322" i="10"/>
  <c r="AA323" i="10"/>
  <c r="AA324" i="10"/>
  <c r="AA325" i="10"/>
  <c r="AA326" i="10"/>
  <c r="AA327" i="10"/>
  <c r="AA328" i="10"/>
  <c r="AA329" i="10"/>
  <c r="AA330" i="10"/>
  <c r="AA331" i="10"/>
  <c r="AA332" i="10"/>
  <c r="AA333" i="10"/>
  <c r="AA334" i="10"/>
  <c r="AA335" i="10"/>
  <c r="AA336" i="10"/>
  <c r="AA337" i="10"/>
  <c r="AA338" i="10"/>
  <c r="AA339" i="10"/>
  <c r="AA340" i="10"/>
  <c r="AA341" i="10"/>
  <c r="AB4" i="10"/>
  <c r="AB5" i="10"/>
  <c r="AB6" i="10"/>
  <c r="AB7" i="10"/>
  <c r="AB8" i="10"/>
  <c r="AB9" i="10"/>
  <c r="AB10" i="10"/>
  <c r="AB11" i="10"/>
  <c r="AB12" i="10"/>
  <c r="AB13" i="10"/>
  <c r="AB14" i="10"/>
  <c r="AB15" i="10"/>
  <c r="AB16" i="10"/>
  <c r="AB17" i="10"/>
  <c r="AB18" i="10"/>
  <c r="AB19" i="10"/>
  <c r="AB20" i="10"/>
  <c r="AB21" i="10"/>
  <c r="AB22" i="10"/>
  <c r="AB23" i="10"/>
  <c r="AB24" i="10"/>
  <c r="AB25" i="10"/>
  <c r="AB26" i="10"/>
  <c r="AB27" i="10"/>
  <c r="AB28" i="10"/>
  <c r="AB29" i="10"/>
  <c r="AB30" i="10"/>
  <c r="AB31" i="10"/>
  <c r="AB32" i="10"/>
  <c r="AB33" i="10"/>
  <c r="AB34" i="10"/>
  <c r="AB35" i="10"/>
  <c r="AB36" i="10"/>
  <c r="AB37" i="10"/>
  <c r="AB38" i="10"/>
  <c r="AB39" i="10"/>
  <c r="AB40" i="10"/>
  <c r="AB41" i="10"/>
  <c r="AB42" i="10"/>
  <c r="AB43" i="10"/>
  <c r="AB44" i="10"/>
  <c r="AB45" i="10"/>
  <c r="AB46" i="10"/>
  <c r="AB47" i="10"/>
  <c r="AB48" i="10"/>
  <c r="AB49" i="10"/>
  <c r="AB50" i="10"/>
  <c r="AB51" i="10"/>
  <c r="AB52" i="10"/>
  <c r="AB53" i="10"/>
  <c r="AB54" i="10"/>
  <c r="AB55" i="10"/>
  <c r="AB56" i="10"/>
  <c r="AB57" i="10"/>
  <c r="AB58" i="10"/>
  <c r="AB59" i="10"/>
  <c r="AB60" i="10"/>
  <c r="AB61" i="10"/>
  <c r="AB62" i="10"/>
  <c r="AB63" i="10"/>
  <c r="AB64" i="10"/>
  <c r="AB65" i="10"/>
  <c r="AB66" i="10"/>
  <c r="AB67" i="10"/>
  <c r="AB68" i="10"/>
  <c r="AB69" i="10"/>
  <c r="AB70" i="10"/>
  <c r="AB71" i="10"/>
  <c r="AB72" i="10"/>
  <c r="AB73" i="10"/>
  <c r="AB74" i="10"/>
  <c r="AB75" i="10"/>
  <c r="AB76" i="10"/>
  <c r="AB77" i="10"/>
  <c r="AB78" i="10"/>
  <c r="AB79" i="10"/>
  <c r="AB80" i="10"/>
  <c r="AB81" i="10"/>
  <c r="AB82" i="10"/>
  <c r="AB83" i="10"/>
  <c r="AB84" i="10"/>
  <c r="AB85" i="10"/>
  <c r="AB86" i="10"/>
  <c r="AB87" i="10"/>
  <c r="AB88" i="10"/>
  <c r="AB89" i="10"/>
  <c r="AB90" i="10"/>
  <c r="AB91" i="10"/>
  <c r="AB92" i="10"/>
  <c r="AB93" i="10"/>
  <c r="AB94" i="10"/>
  <c r="AB95" i="10"/>
  <c r="AB96" i="10"/>
  <c r="AB97" i="10"/>
  <c r="AB98" i="10"/>
  <c r="AB99" i="10"/>
  <c r="AB100" i="10"/>
  <c r="AB101" i="10"/>
  <c r="AB102" i="10"/>
  <c r="AB103" i="10"/>
  <c r="AB104" i="10"/>
  <c r="AB105" i="10"/>
  <c r="AB106" i="10"/>
  <c r="AB107" i="10"/>
  <c r="AB108" i="10"/>
  <c r="AB109" i="10"/>
  <c r="AB110" i="10"/>
  <c r="AB111" i="10"/>
  <c r="AB112" i="10"/>
  <c r="AB113" i="10"/>
  <c r="AB114" i="10"/>
  <c r="AB115" i="10"/>
  <c r="AB116" i="10"/>
  <c r="AB117" i="10"/>
  <c r="AB118" i="10"/>
  <c r="AB119" i="10"/>
  <c r="AB120" i="10"/>
  <c r="AB121" i="10"/>
  <c r="AB122" i="10"/>
  <c r="AB123" i="10"/>
  <c r="AB124" i="10"/>
  <c r="AB125" i="10"/>
  <c r="AB126" i="10"/>
  <c r="AB127" i="10"/>
  <c r="AB128" i="10"/>
  <c r="AB129" i="10"/>
  <c r="AB130" i="10"/>
  <c r="AB131" i="10"/>
  <c r="AB132" i="10"/>
  <c r="AB133" i="10"/>
  <c r="AB134" i="10"/>
  <c r="AB135" i="10"/>
  <c r="AB136" i="10"/>
  <c r="AB137" i="10"/>
  <c r="AB138" i="10"/>
  <c r="AB139" i="10"/>
  <c r="AB140" i="10"/>
  <c r="AB141" i="10"/>
  <c r="AB142" i="10"/>
  <c r="AB143" i="10"/>
  <c r="AB144" i="10"/>
  <c r="AB145" i="10"/>
  <c r="AB146" i="10"/>
  <c r="AB147" i="10"/>
  <c r="AB148" i="10"/>
  <c r="AB149" i="10"/>
  <c r="AB150" i="10"/>
  <c r="AB151" i="10"/>
  <c r="AB152" i="10"/>
  <c r="AB153" i="10"/>
  <c r="AB154" i="10"/>
  <c r="AB155" i="10"/>
  <c r="AB156" i="10"/>
  <c r="AB157" i="10"/>
  <c r="AB158" i="10"/>
  <c r="AB159" i="10"/>
  <c r="AB160" i="10"/>
  <c r="AB161" i="10"/>
  <c r="AB162" i="10"/>
  <c r="AB163" i="10"/>
  <c r="AB164" i="10"/>
  <c r="AB165" i="10"/>
  <c r="AB166" i="10"/>
  <c r="AB167" i="10"/>
  <c r="AB168" i="10"/>
  <c r="AB169" i="10"/>
  <c r="AB170" i="10"/>
  <c r="AB171" i="10"/>
  <c r="AB172" i="10"/>
  <c r="AB173" i="10"/>
  <c r="AB174" i="10"/>
  <c r="AB175" i="10"/>
  <c r="AB176" i="10"/>
  <c r="AB177" i="10"/>
  <c r="AB178" i="10"/>
  <c r="AB179" i="10"/>
  <c r="AB180" i="10"/>
  <c r="AB181" i="10"/>
  <c r="AB182" i="10"/>
  <c r="AB183" i="10"/>
  <c r="AB184" i="10"/>
  <c r="AB185" i="10"/>
  <c r="AB186" i="10"/>
  <c r="AB187" i="10"/>
  <c r="AB188" i="10"/>
  <c r="AB189" i="10"/>
  <c r="AB190" i="10"/>
  <c r="AB191" i="10"/>
  <c r="AB192" i="10"/>
  <c r="AB193" i="10"/>
  <c r="AB194" i="10"/>
  <c r="AB195" i="10"/>
  <c r="AB196" i="10"/>
  <c r="AB197" i="10"/>
  <c r="AB198" i="10"/>
  <c r="AB199" i="10"/>
  <c r="AB200" i="10"/>
  <c r="AB201" i="10"/>
  <c r="AB202" i="10"/>
  <c r="AB203" i="10"/>
  <c r="AB204" i="10"/>
  <c r="AB205" i="10"/>
  <c r="AB206" i="10"/>
  <c r="AB207" i="10"/>
  <c r="AB208" i="10"/>
  <c r="AB209" i="10"/>
  <c r="AB210" i="10"/>
  <c r="AB211" i="10"/>
  <c r="AB212" i="10"/>
  <c r="AB213" i="10"/>
  <c r="AB214" i="10"/>
  <c r="AB215" i="10"/>
  <c r="AB216" i="10"/>
  <c r="AB217" i="10"/>
  <c r="AB218" i="10"/>
  <c r="AB219" i="10"/>
  <c r="AB220" i="10"/>
  <c r="AB221" i="10"/>
  <c r="AB222" i="10"/>
  <c r="AB223" i="10"/>
  <c r="AB224" i="10"/>
  <c r="AB225" i="10"/>
  <c r="AB226" i="10"/>
  <c r="AB227" i="10"/>
  <c r="AB228" i="10"/>
  <c r="AB229" i="10"/>
  <c r="AB230" i="10"/>
  <c r="AB231" i="10"/>
  <c r="AB232" i="10"/>
  <c r="AB233" i="10"/>
  <c r="AB234" i="10"/>
  <c r="AB235" i="10"/>
  <c r="AB236" i="10"/>
  <c r="AB237" i="10"/>
  <c r="AB238" i="10"/>
  <c r="AB239" i="10"/>
  <c r="AB240" i="10"/>
  <c r="AB241" i="10"/>
  <c r="AB242" i="10"/>
  <c r="AB243" i="10"/>
  <c r="AB244" i="10"/>
  <c r="AB245" i="10"/>
  <c r="AB246" i="10"/>
  <c r="AB247" i="10"/>
  <c r="AB248" i="10"/>
  <c r="AB249" i="10"/>
  <c r="AB250" i="10"/>
  <c r="AB251" i="10"/>
  <c r="AB252" i="10"/>
  <c r="AB253" i="10"/>
  <c r="AB254" i="10"/>
  <c r="AB255" i="10"/>
  <c r="AB256" i="10"/>
  <c r="AB257" i="10"/>
  <c r="AB258" i="10"/>
  <c r="AB259" i="10"/>
  <c r="AB260" i="10"/>
  <c r="AB261" i="10"/>
  <c r="AB262" i="10"/>
  <c r="AB263" i="10"/>
  <c r="AB264" i="10"/>
  <c r="AB265" i="10"/>
  <c r="AB266" i="10"/>
  <c r="AB267" i="10"/>
  <c r="AB268" i="10"/>
  <c r="AB269" i="10"/>
  <c r="AB270" i="10"/>
  <c r="AB271" i="10"/>
  <c r="AB272" i="10"/>
  <c r="AB273" i="10"/>
  <c r="AB274" i="10"/>
  <c r="AB275" i="10"/>
  <c r="AB276" i="10"/>
  <c r="AB277" i="10"/>
  <c r="AB278" i="10"/>
  <c r="AB279" i="10"/>
  <c r="AB280" i="10"/>
  <c r="AB281" i="10"/>
  <c r="AB282" i="10"/>
  <c r="AB283" i="10"/>
  <c r="AB284" i="10"/>
  <c r="AB285" i="10"/>
  <c r="AB286" i="10"/>
  <c r="AB287" i="10"/>
  <c r="AB288" i="10"/>
  <c r="AB289" i="10"/>
  <c r="AB290" i="10"/>
  <c r="AB291" i="10"/>
  <c r="AB292" i="10"/>
  <c r="AB293" i="10"/>
  <c r="AB294" i="10"/>
  <c r="AB295" i="10"/>
  <c r="AB296" i="10"/>
  <c r="AB297" i="10"/>
  <c r="AB298" i="10"/>
  <c r="AB299" i="10"/>
  <c r="AB300" i="10"/>
  <c r="AB301" i="10"/>
  <c r="AB302" i="10"/>
  <c r="AB303" i="10"/>
  <c r="AB304" i="10"/>
  <c r="AB305" i="10"/>
  <c r="AB306" i="10"/>
  <c r="AB307" i="10"/>
  <c r="AB308" i="10"/>
  <c r="AB309" i="10"/>
  <c r="AB310" i="10"/>
  <c r="AB311" i="10"/>
  <c r="AB312" i="10"/>
  <c r="AB313" i="10"/>
  <c r="AB314" i="10"/>
  <c r="AB315" i="10"/>
  <c r="AB316" i="10"/>
  <c r="AB317" i="10"/>
  <c r="AB318" i="10"/>
  <c r="AB319" i="10"/>
  <c r="AB320" i="10"/>
  <c r="AB321" i="10"/>
  <c r="AB322" i="10"/>
  <c r="AB323" i="10"/>
  <c r="AB324" i="10"/>
  <c r="AB325" i="10"/>
  <c r="AB326" i="10"/>
  <c r="AB327" i="10"/>
  <c r="AB328" i="10"/>
  <c r="AB329" i="10"/>
  <c r="AB330" i="10"/>
  <c r="AB331" i="10"/>
  <c r="AB332" i="10"/>
  <c r="AB333" i="10"/>
  <c r="AB334" i="10"/>
  <c r="AB335" i="10"/>
  <c r="AB336" i="10"/>
  <c r="AB337" i="10"/>
  <c r="AB338" i="10"/>
  <c r="AB339" i="10"/>
  <c r="AB340" i="10"/>
  <c r="AB341" i="10"/>
  <c r="AC4" i="10"/>
  <c r="AC5" i="10"/>
  <c r="AC6" i="10"/>
  <c r="AC7" i="10"/>
  <c r="AC8" i="10"/>
  <c r="AC9" i="10"/>
  <c r="AC10" i="10"/>
  <c r="AC11" i="10"/>
  <c r="AC12" i="10"/>
  <c r="AC13" i="10"/>
  <c r="AC14" i="10"/>
  <c r="AC15" i="10"/>
  <c r="AC16" i="10"/>
  <c r="AC17" i="10"/>
  <c r="AC18" i="10"/>
  <c r="AC19" i="10"/>
  <c r="AC20" i="10"/>
  <c r="AC21" i="10"/>
  <c r="AC22" i="10"/>
  <c r="AC23" i="10"/>
  <c r="AC24" i="10"/>
  <c r="AC25" i="10"/>
  <c r="AC26" i="10"/>
  <c r="AC27" i="10"/>
  <c r="AC28" i="10"/>
  <c r="AC29" i="10"/>
  <c r="AC30" i="10"/>
  <c r="AC31" i="10"/>
  <c r="AC32" i="10"/>
  <c r="AC33" i="10"/>
  <c r="AC34" i="10"/>
  <c r="AC35" i="10"/>
  <c r="AC36" i="10"/>
  <c r="AC37" i="10"/>
  <c r="AC38" i="10"/>
  <c r="AC39" i="10"/>
  <c r="AC40" i="10"/>
  <c r="AC41" i="10"/>
  <c r="AC42" i="10"/>
  <c r="AC43" i="10"/>
  <c r="AC44" i="10"/>
  <c r="AC45" i="10"/>
  <c r="AC46" i="10"/>
  <c r="AC47" i="10"/>
  <c r="AC48" i="10"/>
  <c r="AC49" i="10"/>
  <c r="AC50" i="10"/>
  <c r="AC51" i="10"/>
  <c r="AC52" i="10"/>
  <c r="AC53" i="10"/>
  <c r="AC54" i="10"/>
  <c r="AC55" i="10"/>
  <c r="AC56" i="10"/>
  <c r="AC57" i="10"/>
  <c r="AC58" i="10"/>
  <c r="AC59" i="10"/>
  <c r="AC60" i="10"/>
  <c r="AC61" i="10"/>
  <c r="AC62" i="10"/>
  <c r="AC63" i="10"/>
  <c r="AC64" i="10"/>
  <c r="AC65" i="10"/>
  <c r="AC66" i="10"/>
  <c r="AC67" i="10"/>
  <c r="AC68" i="10"/>
  <c r="AC69" i="10"/>
  <c r="AC70" i="10"/>
  <c r="AC71" i="10"/>
  <c r="AC72" i="10"/>
  <c r="AC73" i="10"/>
  <c r="AC74" i="10"/>
  <c r="AC75" i="10"/>
  <c r="AC76" i="10"/>
  <c r="AC77" i="10"/>
  <c r="AC78" i="10"/>
  <c r="AC79" i="10"/>
  <c r="AC80" i="10"/>
  <c r="AC81" i="10"/>
  <c r="AC82" i="10"/>
  <c r="AC83" i="10"/>
  <c r="AC84" i="10"/>
  <c r="AC85" i="10"/>
  <c r="AC86" i="10"/>
  <c r="AC87" i="10"/>
  <c r="AC88" i="10"/>
  <c r="AC89" i="10"/>
  <c r="AC90" i="10"/>
  <c r="AC91" i="10"/>
  <c r="AC92" i="10"/>
  <c r="AC93" i="10"/>
  <c r="AC94" i="10"/>
  <c r="AC95" i="10"/>
  <c r="AC96" i="10"/>
  <c r="AC97" i="10"/>
  <c r="AC98" i="10"/>
  <c r="AC99" i="10"/>
  <c r="AC100" i="10"/>
  <c r="AC101" i="10"/>
  <c r="AC102" i="10"/>
  <c r="AC103" i="10"/>
  <c r="AC104" i="10"/>
  <c r="AC105" i="10"/>
  <c r="AC106" i="10"/>
  <c r="AC107" i="10"/>
  <c r="AC108" i="10"/>
  <c r="AC109" i="10"/>
  <c r="AC110" i="10"/>
  <c r="AC111" i="10"/>
  <c r="AC112" i="10"/>
  <c r="AC113" i="10"/>
  <c r="AC114" i="10"/>
  <c r="AC115" i="10"/>
  <c r="AC116" i="10"/>
  <c r="AC117" i="10"/>
  <c r="AC118" i="10"/>
  <c r="AC119" i="10"/>
  <c r="AC120" i="10"/>
  <c r="AC121" i="10"/>
  <c r="AC122" i="10"/>
  <c r="AC123" i="10"/>
  <c r="AC124" i="10"/>
  <c r="AC125" i="10"/>
  <c r="AC126" i="10"/>
  <c r="AC127" i="10"/>
  <c r="AC128" i="10"/>
  <c r="AC129" i="10"/>
  <c r="AC130" i="10"/>
  <c r="AC131" i="10"/>
  <c r="AC132" i="10"/>
  <c r="AC133" i="10"/>
  <c r="AC134" i="10"/>
  <c r="AC135" i="10"/>
  <c r="AC136" i="10"/>
  <c r="AC137" i="10"/>
  <c r="AC138" i="10"/>
  <c r="AC139" i="10"/>
  <c r="AC140" i="10"/>
  <c r="AC141" i="10"/>
  <c r="AC142" i="10"/>
  <c r="AC143" i="10"/>
  <c r="AC144" i="10"/>
  <c r="AC145" i="10"/>
  <c r="AC146" i="10"/>
  <c r="AC147" i="10"/>
  <c r="AC148" i="10"/>
  <c r="AC149" i="10"/>
  <c r="AC150" i="10"/>
  <c r="AC151" i="10"/>
  <c r="AC152" i="10"/>
  <c r="AC153" i="10"/>
  <c r="AC154" i="10"/>
  <c r="AC155" i="10"/>
  <c r="AC156" i="10"/>
  <c r="AC157" i="10"/>
  <c r="AC158" i="10"/>
  <c r="AC159" i="10"/>
  <c r="AC160" i="10"/>
  <c r="AC161" i="10"/>
  <c r="AC162" i="10"/>
  <c r="AC163" i="10"/>
  <c r="AC164" i="10"/>
  <c r="AC165" i="10"/>
  <c r="AC166" i="10"/>
  <c r="AC167" i="10"/>
  <c r="AC168" i="10"/>
  <c r="AC169" i="10"/>
  <c r="AC170" i="10"/>
  <c r="AC171" i="10"/>
  <c r="AC172" i="10"/>
  <c r="AC173" i="10"/>
  <c r="AC174" i="10"/>
  <c r="AC175" i="10"/>
  <c r="AC176" i="10"/>
  <c r="AC177" i="10"/>
  <c r="AC178" i="10"/>
  <c r="AC179" i="10"/>
  <c r="AC180" i="10"/>
  <c r="AC181" i="10"/>
  <c r="AC182" i="10"/>
  <c r="AC183" i="10"/>
  <c r="AC184" i="10"/>
  <c r="AC185" i="10"/>
  <c r="AC186" i="10"/>
  <c r="AC187" i="10"/>
  <c r="AC188" i="10"/>
  <c r="AC189" i="10"/>
  <c r="AC190" i="10"/>
  <c r="AC191" i="10"/>
  <c r="AC192" i="10"/>
  <c r="AC193" i="10"/>
  <c r="AC194" i="10"/>
  <c r="AC195" i="10"/>
  <c r="AC196" i="10"/>
  <c r="AC197" i="10"/>
  <c r="AC198" i="10"/>
  <c r="AC199" i="10"/>
  <c r="AC200" i="10"/>
  <c r="AC201" i="10"/>
  <c r="AC202" i="10"/>
  <c r="AC203" i="10"/>
  <c r="AC204" i="10"/>
  <c r="AC205" i="10"/>
  <c r="AC206" i="10"/>
  <c r="AC207" i="10"/>
  <c r="AC208" i="10"/>
  <c r="AC209" i="10"/>
  <c r="AC210" i="10"/>
  <c r="AC211" i="10"/>
  <c r="AC212" i="10"/>
  <c r="AC213" i="10"/>
  <c r="AC214" i="10"/>
  <c r="AC215" i="10"/>
  <c r="AC216" i="10"/>
  <c r="AC217" i="10"/>
  <c r="AC218" i="10"/>
  <c r="AC219" i="10"/>
  <c r="AC220" i="10"/>
  <c r="AC221" i="10"/>
  <c r="AC222" i="10"/>
  <c r="AC223" i="10"/>
  <c r="AC224" i="10"/>
  <c r="AC225" i="10"/>
  <c r="AC226" i="10"/>
  <c r="AC227" i="10"/>
  <c r="AC228" i="10"/>
  <c r="AC229" i="10"/>
  <c r="AC230" i="10"/>
  <c r="AC231" i="10"/>
  <c r="AC232" i="10"/>
  <c r="AC233" i="10"/>
  <c r="AC234" i="10"/>
  <c r="AC235" i="10"/>
  <c r="AC236" i="10"/>
  <c r="AC237" i="10"/>
  <c r="AC238" i="10"/>
  <c r="AC239" i="10"/>
  <c r="AC240" i="10"/>
  <c r="AC241" i="10"/>
  <c r="AC242" i="10"/>
  <c r="AC243" i="10"/>
  <c r="AC244" i="10"/>
  <c r="AC245" i="10"/>
  <c r="AC246" i="10"/>
  <c r="AC247" i="10"/>
  <c r="AC248" i="10"/>
  <c r="AC249" i="10"/>
  <c r="AC250" i="10"/>
  <c r="AC251" i="10"/>
  <c r="AC252" i="10"/>
  <c r="AC253" i="10"/>
  <c r="AC254" i="10"/>
  <c r="AC255" i="10"/>
  <c r="AC256" i="10"/>
  <c r="AC257" i="10"/>
  <c r="AC258" i="10"/>
  <c r="AC259" i="10"/>
  <c r="AC260" i="10"/>
  <c r="AC261" i="10"/>
  <c r="AC262" i="10"/>
  <c r="AC263" i="10"/>
  <c r="AC264" i="10"/>
  <c r="AC265" i="10"/>
  <c r="AC266" i="10"/>
  <c r="AC267" i="10"/>
  <c r="AC268" i="10"/>
  <c r="AC269" i="10"/>
  <c r="AC270" i="10"/>
  <c r="AC271" i="10"/>
  <c r="AC272" i="10"/>
  <c r="AC273" i="10"/>
  <c r="AC274" i="10"/>
  <c r="AC275" i="10"/>
  <c r="AC276" i="10"/>
  <c r="AC277" i="10"/>
  <c r="AC278" i="10"/>
  <c r="AC279" i="10"/>
  <c r="AC280" i="10"/>
  <c r="AC281" i="10"/>
  <c r="AC282" i="10"/>
  <c r="AC283" i="10"/>
  <c r="AC284" i="10"/>
  <c r="AC285" i="10"/>
  <c r="AC286" i="10"/>
  <c r="AC287" i="10"/>
  <c r="AC288" i="10"/>
  <c r="AC289" i="10"/>
  <c r="AC290" i="10"/>
  <c r="AC291" i="10"/>
  <c r="AC292" i="10"/>
  <c r="AC293" i="10"/>
  <c r="AC294" i="10"/>
  <c r="AC295" i="10"/>
  <c r="AC296" i="10"/>
  <c r="AC297" i="10"/>
  <c r="AC298" i="10"/>
  <c r="AC299" i="10"/>
  <c r="AC300" i="10"/>
  <c r="AC301" i="10"/>
  <c r="AC302" i="10"/>
  <c r="AC303" i="10"/>
  <c r="AC304" i="10"/>
  <c r="AC305" i="10"/>
  <c r="AC306" i="10"/>
  <c r="AC307" i="10"/>
  <c r="AC308" i="10"/>
  <c r="AC309" i="10"/>
  <c r="AC310" i="10"/>
  <c r="AC311" i="10"/>
  <c r="AC312" i="10"/>
  <c r="AC313" i="10"/>
  <c r="AC314" i="10"/>
  <c r="AC315" i="10"/>
  <c r="AC316" i="10"/>
  <c r="AC317" i="10"/>
  <c r="AC318" i="10"/>
  <c r="AC319" i="10"/>
  <c r="AC320" i="10"/>
  <c r="AC321" i="10"/>
  <c r="AC322" i="10"/>
  <c r="AC323" i="10"/>
  <c r="AC324" i="10"/>
  <c r="AC325" i="10"/>
  <c r="AC326" i="10"/>
  <c r="AC327" i="10"/>
  <c r="AC328" i="10"/>
  <c r="AC329" i="10"/>
  <c r="AC330" i="10"/>
  <c r="AC331" i="10"/>
  <c r="AC332" i="10"/>
  <c r="AC333" i="10"/>
  <c r="AC334" i="10"/>
  <c r="AC335" i="10"/>
  <c r="AC336" i="10"/>
  <c r="AC337" i="10"/>
  <c r="AC338" i="10"/>
  <c r="AC339" i="10"/>
  <c r="AC340" i="10"/>
  <c r="AC341" i="10"/>
  <c r="AD4" i="10"/>
  <c r="AD5" i="10"/>
  <c r="AD6" i="10"/>
  <c r="AD7" i="10"/>
  <c r="AD8" i="10"/>
  <c r="AD9" i="10"/>
  <c r="AD10" i="10"/>
  <c r="AD11" i="10"/>
  <c r="AD12" i="10"/>
  <c r="AD13" i="10"/>
  <c r="AD14" i="10"/>
  <c r="AD15" i="10"/>
  <c r="AD16" i="10"/>
  <c r="AD17" i="10"/>
  <c r="AD18" i="10"/>
  <c r="AD19" i="10"/>
  <c r="AD20" i="10"/>
  <c r="AD21" i="10"/>
  <c r="AD22" i="10"/>
  <c r="AD23" i="10"/>
  <c r="AD24" i="10"/>
  <c r="AD25" i="10"/>
  <c r="AD26" i="10"/>
  <c r="AD27" i="10"/>
  <c r="AD28" i="10"/>
  <c r="AD29" i="10"/>
  <c r="AD30" i="10"/>
  <c r="AD31" i="10"/>
  <c r="AD32" i="10"/>
  <c r="AD33" i="10"/>
  <c r="AD34" i="10"/>
  <c r="AD35" i="10"/>
  <c r="AD36" i="10"/>
  <c r="AD37" i="10"/>
  <c r="AD38" i="10"/>
  <c r="AD39" i="10"/>
  <c r="AD40" i="10"/>
  <c r="AD41" i="10"/>
  <c r="AD42" i="10"/>
  <c r="AD43" i="10"/>
  <c r="AD44" i="10"/>
  <c r="AD45" i="10"/>
  <c r="AD46" i="10"/>
  <c r="AD47" i="10"/>
  <c r="AD48" i="10"/>
  <c r="AD49" i="10"/>
  <c r="AD50" i="10"/>
  <c r="AD51" i="10"/>
  <c r="AD52" i="10"/>
  <c r="AD53" i="10"/>
  <c r="AD54" i="10"/>
  <c r="AD55" i="10"/>
  <c r="AD56" i="10"/>
  <c r="AD57" i="10"/>
  <c r="AD58" i="10"/>
  <c r="AD59" i="10"/>
  <c r="AD60" i="10"/>
  <c r="AD61" i="10"/>
  <c r="AD62" i="10"/>
  <c r="AD63" i="10"/>
  <c r="AD64" i="10"/>
  <c r="AD65" i="10"/>
  <c r="AD66" i="10"/>
  <c r="AD67" i="10"/>
  <c r="AD68" i="10"/>
  <c r="AD69" i="10"/>
  <c r="AD70" i="10"/>
  <c r="AD71" i="10"/>
  <c r="AD72" i="10"/>
  <c r="AD73" i="10"/>
  <c r="AD74" i="10"/>
  <c r="AD75" i="10"/>
  <c r="AD76" i="10"/>
  <c r="AD77" i="10"/>
  <c r="AD78" i="10"/>
  <c r="AD79" i="10"/>
  <c r="AD80" i="10"/>
  <c r="AD81" i="10"/>
  <c r="AD82" i="10"/>
  <c r="AD83" i="10"/>
  <c r="AD84" i="10"/>
  <c r="AD85" i="10"/>
  <c r="AD86" i="10"/>
  <c r="AD87" i="10"/>
  <c r="AD88" i="10"/>
  <c r="AD89" i="10"/>
  <c r="AD90" i="10"/>
  <c r="AD91" i="10"/>
  <c r="AD92" i="10"/>
  <c r="AD93" i="10"/>
  <c r="AD94" i="10"/>
  <c r="AD95" i="10"/>
  <c r="AD96" i="10"/>
  <c r="AD97" i="10"/>
  <c r="AD98" i="10"/>
  <c r="AD99" i="10"/>
  <c r="AD100" i="10"/>
  <c r="AD101" i="10"/>
  <c r="AD102" i="10"/>
  <c r="AD103" i="10"/>
  <c r="AD104" i="10"/>
  <c r="AD105" i="10"/>
  <c r="AD106" i="10"/>
  <c r="AD107" i="10"/>
  <c r="AD108" i="10"/>
  <c r="AD109" i="10"/>
  <c r="AD110" i="10"/>
  <c r="AD111" i="10"/>
  <c r="AD112" i="10"/>
  <c r="AD113" i="10"/>
  <c r="AD114" i="10"/>
  <c r="AD115" i="10"/>
  <c r="AD116" i="10"/>
  <c r="AD117" i="10"/>
  <c r="AD118" i="10"/>
  <c r="AD119" i="10"/>
  <c r="AD120" i="10"/>
  <c r="AD121" i="10"/>
  <c r="AD122" i="10"/>
  <c r="AD123" i="10"/>
  <c r="AD124" i="10"/>
  <c r="AD125" i="10"/>
  <c r="AD126" i="10"/>
  <c r="AD127" i="10"/>
  <c r="AD128" i="10"/>
  <c r="AD129" i="10"/>
  <c r="AD130" i="10"/>
  <c r="AD131" i="10"/>
  <c r="AD132" i="10"/>
  <c r="AD133" i="10"/>
  <c r="AD134" i="10"/>
  <c r="AD135" i="10"/>
  <c r="AD136" i="10"/>
  <c r="AD137" i="10"/>
  <c r="AD138" i="10"/>
  <c r="AD139" i="10"/>
  <c r="AD140" i="10"/>
  <c r="AD141" i="10"/>
  <c r="AD142" i="10"/>
  <c r="AD143" i="10"/>
  <c r="AD144" i="10"/>
  <c r="AD145" i="10"/>
  <c r="AD146" i="10"/>
  <c r="AD147" i="10"/>
  <c r="AD148" i="10"/>
  <c r="AD149" i="10"/>
  <c r="AD150" i="10"/>
  <c r="AD151" i="10"/>
  <c r="AD152" i="10"/>
  <c r="AD153" i="10"/>
  <c r="AD154" i="10"/>
  <c r="AD155" i="10"/>
  <c r="AD156" i="10"/>
  <c r="AD157" i="10"/>
  <c r="AD158" i="10"/>
  <c r="AD159" i="10"/>
  <c r="AD160" i="10"/>
  <c r="AD161" i="10"/>
  <c r="AD162" i="10"/>
  <c r="AD163" i="10"/>
  <c r="AD164" i="10"/>
  <c r="AD165" i="10"/>
  <c r="AD166" i="10"/>
  <c r="AD167" i="10"/>
  <c r="AD168" i="10"/>
  <c r="AD169" i="10"/>
  <c r="AD170" i="10"/>
  <c r="AD171" i="10"/>
  <c r="AD172" i="10"/>
  <c r="AD173" i="10"/>
  <c r="AD174" i="10"/>
  <c r="AD175" i="10"/>
  <c r="AD176" i="10"/>
  <c r="AD177" i="10"/>
  <c r="AD178" i="10"/>
  <c r="AD179" i="10"/>
  <c r="AD180" i="10"/>
  <c r="AD181" i="10"/>
  <c r="AD182" i="10"/>
  <c r="AD183" i="10"/>
  <c r="AD184" i="10"/>
  <c r="AD185" i="10"/>
  <c r="AD186" i="10"/>
  <c r="AD187" i="10"/>
  <c r="AD188" i="10"/>
  <c r="AD189" i="10"/>
  <c r="AD190" i="10"/>
  <c r="AD191" i="10"/>
  <c r="AD192" i="10"/>
  <c r="AD193" i="10"/>
  <c r="AD194" i="10"/>
  <c r="AD195" i="10"/>
  <c r="AD196" i="10"/>
  <c r="AD197" i="10"/>
  <c r="AD198" i="10"/>
  <c r="AD199" i="10"/>
  <c r="AD200" i="10"/>
  <c r="AD201" i="10"/>
  <c r="AD202" i="10"/>
  <c r="AD203" i="10"/>
  <c r="AD204" i="10"/>
  <c r="AD205" i="10"/>
  <c r="AD206" i="10"/>
  <c r="AD207" i="10"/>
  <c r="AD208" i="10"/>
  <c r="AD209" i="10"/>
  <c r="AD210" i="10"/>
  <c r="AD211" i="10"/>
  <c r="AD212" i="10"/>
  <c r="AD213" i="10"/>
  <c r="AD214" i="10"/>
  <c r="AD215" i="10"/>
  <c r="AD216" i="10"/>
  <c r="AD217" i="10"/>
  <c r="AD218" i="10"/>
  <c r="AD219" i="10"/>
  <c r="AD220" i="10"/>
  <c r="AD221" i="10"/>
  <c r="AD222" i="10"/>
  <c r="AD223" i="10"/>
  <c r="AD224" i="10"/>
  <c r="AD225" i="10"/>
  <c r="AD226" i="10"/>
  <c r="AD227" i="10"/>
  <c r="AD228" i="10"/>
  <c r="AD229" i="10"/>
  <c r="AD230" i="10"/>
  <c r="AD231" i="10"/>
  <c r="AD232" i="10"/>
  <c r="AD233" i="10"/>
  <c r="AD234" i="10"/>
  <c r="AD235" i="10"/>
  <c r="AD236" i="10"/>
  <c r="AD237" i="10"/>
  <c r="AD238" i="10"/>
  <c r="AD239" i="10"/>
  <c r="AD240" i="10"/>
  <c r="AD241" i="10"/>
  <c r="AD242" i="10"/>
  <c r="AD243" i="10"/>
  <c r="AD244" i="10"/>
  <c r="AD245" i="10"/>
  <c r="AD246" i="10"/>
  <c r="AD247" i="10"/>
  <c r="AD248" i="10"/>
  <c r="AD249" i="10"/>
  <c r="AD250" i="10"/>
  <c r="AD251" i="10"/>
  <c r="AD252" i="10"/>
  <c r="AD253" i="10"/>
  <c r="AD254" i="10"/>
  <c r="AD255" i="10"/>
  <c r="AD256" i="10"/>
  <c r="AD257" i="10"/>
  <c r="AD258" i="10"/>
  <c r="AD259" i="10"/>
  <c r="AD260" i="10"/>
  <c r="AD261" i="10"/>
  <c r="AD262" i="10"/>
  <c r="AD263" i="10"/>
  <c r="AD264" i="10"/>
  <c r="AD265" i="10"/>
  <c r="AD266" i="10"/>
  <c r="AD267" i="10"/>
  <c r="AD268" i="10"/>
  <c r="AD269" i="10"/>
  <c r="AD270" i="10"/>
  <c r="AD271" i="10"/>
  <c r="AD272" i="10"/>
  <c r="AD273" i="10"/>
  <c r="AD274" i="10"/>
  <c r="AD275" i="10"/>
  <c r="AD276" i="10"/>
  <c r="AD277" i="10"/>
  <c r="AD278" i="10"/>
  <c r="AD279" i="10"/>
  <c r="AD280" i="10"/>
  <c r="AD281" i="10"/>
  <c r="AD282" i="10"/>
  <c r="AD283" i="10"/>
  <c r="AD284" i="10"/>
  <c r="AD285" i="10"/>
  <c r="AD286" i="10"/>
  <c r="AD287" i="10"/>
  <c r="AD288" i="10"/>
  <c r="AD289" i="10"/>
  <c r="AD290" i="10"/>
  <c r="AD291" i="10"/>
  <c r="AD292" i="10"/>
  <c r="AD293" i="10"/>
  <c r="AD294" i="10"/>
  <c r="AD295" i="10"/>
  <c r="AD296" i="10"/>
  <c r="AD297" i="10"/>
  <c r="AD298" i="10"/>
  <c r="AD299" i="10"/>
  <c r="AD300" i="10"/>
  <c r="AD301" i="10"/>
  <c r="AD302" i="10"/>
  <c r="AD303" i="10"/>
  <c r="AD304" i="10"/>
  <c r="AD305" i="10"/>
  <c r="AD306" i="10"/>
  <c r="AD307" i="10"/>
  <c r="AD308" i="10"/>
  <c r="AD309" i="10"/>
  <c r="AD310" i="10"/>
  <c r="AD311" i="10"/>
  <c r="AD312" i="10"/>
  <c r="AD313" i="10"/>
  <c r="AD314" i="10"/>
  <c r="AD315" i="10"/>
  <c r="AD316" i="10"/>
  <c r="AD317" i="10"/>
  <c r="AD318" i="10"/>
  <c r="AD319" i="10"/>
  <c r="AD320" i="10"/>
  <c r="AD321" i="10"/>
  <c r="AD322" i="10"/>
  <c r="AD323" i="10"/>
  <c r="AD324" i="10"/>
  <c r="AD325" i="10"/>
  <c r="AD326" i="10"/>
  <c r="AD327" i="10"/>
  <c r="AD328" i="10"/>
  <c r="AD329" i="10"/>
  <c r="AD330" i="10"/>
  <c r="AD331" i="10"/>
  <c r="AD332" i="10"/>
  <c r="AD333" i="10"/>
  <c r="AD334" i="10"/>
  <c r="AD335" i="10"/>
  <c r="AD336" i="10"/>
  <c r="AD337" i="10"/>
  <c r="AD338" i="10"/>
  <c r="AD339" i="10"/>
  <c r="AD340" i="10"/>
  <c r="AD341" i="10"/>
  <c r="AF4" i="10"/>
  <c r="AF5" i="10"/>
  <c r="AF6" i="10"/>
  <c r="AF7" i="10"/>
  <c r="AF8" i="10"/>
  <c r="AF9" i="10"/>
  <c r="AF10" i="10"/>
  <c r="AF11" i="10"/>
  <c r="AF12" i="10"/>
  <c r="AF13" i="10"/>
  <c r="AF14" i="10"/>
  <c r="AF15" i="10"/>
  <c r="AF16" i="10"/>
  <c r="AF17" i="10"/>
  <c r="AF18" i="10"/>
  <c r="AF19" i="10"/>
  <c r="AF20" i="10"/>
  <c r="AF21" i="10"/>
  <c r="AF22" i="10"/>
  <c r="AF23" i="10"/>
  <c r="AF24" i="10"/>
  <c r="AF25" i="10"/>
  <c r="AF26" i="10"/>
  <c r="AF27" i="10"/>
  <c r="AF28" i="10"/>
  <c r="AF29" i="10"/>
  <c r="AF30" i="10"/>
  <c r="AF31" i="10"/>
  <c r="AF32" i="10"/>
  <c r="AF33" i="10"/>
  <c r="AF34" i="10"/>
  <c r="AF35" i="10"/>
  <c r="AF36" i="10"/>
  <c r="AF37" i="10"/>
  <c r="AF38" i="10"/>
  <c r="AF39" i="10"/>
  <c r="AF40" i="10"/>
  <c r="AF41" i="10"/>
  <c r="AF42" i="10"/>
  <c r="AF43" i="10"/>
  <c r="AF44" i="10"/>
  <c r="AF45" i="10"/>
  <c r="AF46" i="10"/>
  <c r="AF47" i="10"/>
  <c r="AF48" i="10"/>
  <c r="AF49" i="10"/>
  <c r="AF50" i="10"/>
  <c r="AF51" i="10"/>
  <c r="AF52" i="10"/>
  <c r="AF53" i="10"/>
  <c r="AF54" i="10"/>
  <c r="AF55" i="10"/>
  <c r="AF56" i="10"/>
  <c r="AF57" i="10"/>
  <c r="AF58" i="10"/>
  <c r="AF59" i="10"/>
  <c r="AF60" i="10"/>
  <c r="AF61" i="10"/>
  <c r="AF62" i="10"/>
  <c r="AF63" i="10"/>
  <c r="AF64" i="10"/>
  <c r="AF65" i="10"/>
  <c r="AF66" i="10"/>
  <c r="AF67" i="10"/>
  <c r="AF68" i="10"/>
  <c r="AF69" i="10"/>
  <c r="AF70" i="10"/>
  <c r="AF71" i="10"/>
  <c r="AF72" i="10"/>
  <c r="AF73" i="10"/>
  <c r="AF74" i="10"/>
  <c r="AF75" i="10"/>
  <c r="AF76" i="10"/>
  <c r="AF77" i="10"/>
  <c r="AF78" i="10"/>
  <c r="AF79" i="10"/>
  <c r="AF80" i="10"/>
  <c r="AF81" i="10"/>
  <c r="AF82" i="10"/>
  <c r="AF83" i="10"/>
  <c r="AF84" i="10"/>
  <c r="AF85" i="10"/>
  <c r="AF86" i="10"/>
  <c r="AF87" i="10"/>
  <c r="AF88" i="10"/>
  <c r="AF89" i="10"/>
  <c r="AF90" i="10"/>
  <c r="AF91" i="10"/>
  <c r="AF92" i="10"/>
  <c r="AF93" i="10"/>
  <c r="AF94" i="10"/>
  <c r="AF95" i="10"/>
  <c r="AF96" i="10"/>
  <c r="AF97" i="10"/>
  <c r="AF98" i="10"/>
  <c r="AF99" i="10"/>
  <c r="AF100" i="10"/>
  <c r="AF101" i="10"/>
  <c r="AF102" i="10"/>
  <c r="AF103" i="10"/>
  <c r="AF104" i="10"/>
  <c r="AF105" i="10"/>
  <c r="AF106" i="10"/>
  <c r="AF107" i="10"/>
  <c r="AF108" i="10"/>
  <c r="AF109" i="10"/>
  <c r="AF110" i="10"/>
  <c r="AF111" i="10"/>
  <c r="AF112" i="10"/>
  <c r="AF113" i="10"/>
  <c r="AF114" i="10"/>
  <c r="AF115" i="10"/>
  <c r="AF116" i="10"/>
  <c r="AF117" i="10"/>
  <c r="AF118" i="10"/>
  <c r="AF119" i="10"/>
  <c r="AF120" i="10"/>
  <c r="AF121" i="10"/>
  <c r="AF122" i="10"/>
  <c r="AF123" i="10"/>
  <c r="AF124" i="10"/>
  <c r="AF125" i="10"/>
  <c r="AF126" i="10"/>
  <c r="AF127" i="10"/>
  <c r="AF128" i="10"/>
  <c r="AF129" i="10"/>
  <c r="AF130" i="10"/>
  <c r="AF131" i="10"/>
  <c r="AF132" i="10"/>
  <c r="AF133" i="10"/>
  <c r="AF134" i="10"/>
  <c r="AF135" i="10"/>
  <c r="AF136" i="10"/>
  <c r="AF137" i="10"/>
  <c r="AF138" i="10"/>
  <c r="AF139" i="10"/>
  <c r="AF140" i="10"/>
  <c r="AF141" i="10"/>
  <c r="AF142" i="10"/>
  <c r="AF143" i="10"/>
  <c r="AF144" i="10"/>
  <c r="AF145" i="10"/>
  <c r="AF146" i="10"/>
  <c r="AF147" i="10"/>
  <c r="AF148" i="10"/>
  <c r="AF149" i="10"/>
  <c r="AF150" i="10"/>
  <c r="AF151" i="10"/>
  <c r="AF152" i="10"/>
  <c r="AF153" i="10"/>
  <c r="AF154" i="10"/>
  <c r="AF155" i="10"/>
  <c r="AF156" i="10"/>
  <c r="AF157" i="10"/>
  <c r="AF158" i="10"/>
  <c r="AF159" i="10"/>
  <c r="AF160" i="10"/>
  <c r="AF161" i="10"/>
  <c r="AF162" i="10"/>
  <c r="AF163" i="10"/>
  <c r="AF164" i="10"/>
  <c r="AF165" i="10"/>
  <c r="AF166" i="10"/>
  <c r="AF167" i="10"/>
  <c r="AF168" i="10"/>
  <c r="AF169" i="10"/>
  <c r="AF170" i="10"/>
  <c r="AF171" i="10"/>
  <c r="AF172" i="10"/>
  <c r="AF173" i="10"/>
  <c r="AF174" i="10"/>
  <c r="AF175" i="10"/>
  <c r="AF176" i="10"/>
  <c r="AF177" i="10"/>
  <c r="AF178" i="10"/>
  <c r="AF179" i="10"/>
  <c r="AF180" i="10"/>
  <c r="AF181" i="10"/>
  <c r="AF182" i="10"/>
  <c r="AF183" i="10"/>
  <c r="AF184" i="10"/>
  <c r="AF185" i="10"/>
  <c r="AF186" i="10"/>
  <c r="AF187" i="10"/>
  <c r="AF188" i="10"/>
  <c r="AF189" i="10"/>
  <c r="AF190" i="10"/>
  <c r="AF191" i="10"/>
  <c r="AF192" i="10"/>
  <c r="AF193" i="10"/>
  <c r="AF194" i="10"/>
  <c r="AF195" i="10"/>
  <c r="AF196" i="10"/>
  <c r="AF197" i="10"/>
  <c r="AF198" i="10"/>
  <c r="AF199" i="10"/>
  <c r="AF200" i="10"/>
  <c r="AF201" i="10"/>
  <c r="AF202" i="10"/>
  <c r="AF203" i="10"/>
  <c r="AF204" i="10"/>
  <c r="AF205" i="10"/>
  <c r="AF206" i="10"/>
  <c r="AF207" i="10"/>
  <c r="AF208" i="10"/>
  <c r="AF209" i="10"/>
  <c r="AF210" i="10"/>
  <c r="AF211" i="10"/>
  <c r="AF212" i="10"/>
  <c r="AF213" i="10"/>
  <c r="AF214" i="10"/>
  <c r="AF215" i="10"/>
  <c r="AF216" i="10"/>
  <c r="AF217" i="10"/>
  <c r="AF218" i="10"/>
  <c r="AF219" i="10"/>
  <c r="AF220" i="10"/>
  <c r="AF221" i="10"/>
  <c r="AF222" i="10"/>
  <c r="AF223" i="10"/>
  <c r="AF224" i="10"/>
  <c r="AF225" i="10"/>
  <c r="AF226" i="10"/>
  <c r="AF227" i="10"/>
  <c r="AF228" i="10"/>
  <c r="AF229" i="10"/>
  <c r="AF230" i="10"/>
  <c r="AF231" i="10"/>
  <c r="AF232" i="10"/>
  <c r="AF233" i="10"/>
  <c r="AF234" i="10"/>
  <c r="AF235" i="10"/>
  <c r="AF236" i="10"/>
  <c r="AF237" i="10"/>
  <c r="AF238" i="10"/>
  <c r="AF239" i="10"/>
  <c r="AF240" i="10"/>
  <c r="AF241" i="10"/>
  <c r="AF242" i="10"/>
  <c r="AF243" i="10"/>
  <c r="AF244" i="10"/>
  <c r="AF245" i="10"/>
  <c r="AF246" i="10"/>
  <c r="AF247" i="10"/>
  <c r="AF248" i="10"/>
  <c r="AF249" i="10"/>
  <c r="AF250" i="10"/>
  <c r="AF251" i="10"/>
  <c r="AF252" i="10"/>
  <c r="AF253" i="10"/>
  <c r="AF254" i="10"/>
  <c r="AF255" i="10"/>
  <c r="AF256" i="10"/>
  <c r="AF257" i="10"/>
  <c r="AF258" i="10"/>
  <c r="AF259" i="10"/>
  <c r="AF260" i="10"/>
  <c r="AF261" i="10"/>
  <c r="AF262" i="10"/>
  <c r="AF263" i="10"/>
  <c r="AF264" i="10"/>
  <c r="AF265" i="10"/>
  <c r="AF266" i="10"/>
  <c r="AF267" i="10"/>
  <c r="AF268" i="10"/>
  <c r="AF269" i="10"/>
  <c r="AF270" i="10"/>
  <c r="AF271" i="10"/>
  <c r="AF272" i="10"/>
  <c r="AF273" i="10"/>
  <c r="AF274" i="10"/>
  <c r="AF275" i="10"/>
  <c r="AF276" i="10"/>
  <c r="AF277" i="10"/>
  <c r="AF278" i="10"/>
  <c r="AF279" i="10"/>
  <c r="AF280" i="10"/>
  <c r="AF281" i="10"/>
  <c r="AF282" i="10"/>
  <c r="AF283" i="10"/>
  <c r="AF284" i="10"/>
  <c r="AF285" i="10"/>
  <c r="AF286" i="10"/>
  <c r="AF287" i="10"/>
  <c r="AF288" i="10"/>
  <c r="AF289" i="10"/>
  <c r="AF290" i="10"/>
  <c r="AF291" i="10"/>
  <c r="AF292" i="10"/>
  <c r="AF293" i="10"/>
  <c r="AF294" i="10"/>
  <c r="AF295" i="10"/>
  <c r="AF296" i="10"/>
  <c r="AF297" i="10"/>
  <c r="AF298" i="10"/>
  <c r="AF299" i="10"/>
  <c r="AF300" i="10"/>
  <c r="AF301" i="10"/>
  <c r="AF302" i="10"/>
  <c r="AF303" i="10"/>
  <c r="AF304" i="10"/>
  <c r="AF305" i="10"/>
  <c r="AF306" i="10"/>
  <c r="AF307" i="10"/>
  <c r="AF308" i="10"/>
  <c r="AF309" i="10"/>
  <c r="AF310" i="10"/>
  <c r="AF311" i="10"/>
  <c r="AF312" i="10"/>
  <c r="AF313" i="10"/>
  <c r="AF314" i="10"/>
  <c r="AF315" i="10"/>
  <c r="AF316" i="10"/>
  <c r="AF317" i="10"/>
  <c r="AF318" i="10"/>
  <c r="AF319" i="10"/>
  <c r="AF320" i="10"/>
  <c r="AF321" i="10"/>
  <c r="AF322" i="10"/>
  <c r="AF323" i="10"/>
  <c r="AF324" i="10"/>
  <c r="AF325" i="10"/>
  <c r="AF326" i="10"/>
  <c r="AF327" i="10"/>
  <c r="AF328" i="10"/>
  <c r="AF329" i="10"/>
  <c r="AF330" i="10"/>
  <c r="AF331" i="10"/>
  <c r="AF332" i="10"/>
  <c r="AF333" i="10"/>
  <c r="AF334" i="10"/>
  <c r="AF335" i="10"/>
  <c r="AF336" i="10"/>
  <c r="AF337" i="10"/>
  <c r="AF338" i="10"/>
  <c r="AF339" i="10"/>
  <c r="AF340" i="10"/>
  <c r="AF341" i="10"/>
  <c r="AG4" i="10"/>
  <c r="AG5" i="10"/>
  <c r="AG6" i="10"/>
  <c r="AG7" i="10"/>
  <c r="AG8" i="10"/>
  <c r="AG9" i="10"/>
  <c r="AG10" i="10"/>
  <c r="AG11" i="10"/>
  <c r="AG12" i="10"/>
  <c r="AG13" i="10"/>
  <c r="AG14" i="10"/>
  <c r="AG15" i="10"/>
  <c r="AG16" i="10"/>
  <c r="AG17" i="10"/>
  <c r="AG18" i="10"/>
  <c r="AG19" i="10"/>
  <c r="AG20" i="10"/>
  <c r="AG21" i="10"/>
  <c r="AG22" i="10"/>
  <c r="AG23" i="10"/>
  <c r="AG24" i="10"/>
  <c r="AG25" i="10"/>
  <c r="AG26" i="10"/>
  <c r="AG27" i="10"/>
  <c r="AG28" i="10"/>
  <c r="AG29" i="10"/>
  <c r="AG30" i="10"/>
  <c r="AG31" i="10"/>
  <c r="AG32" i="10"/>
  <c r="AG33" i="10"/>
  <c r="AG34" i="10"/>
  <c r="AG35" i="10"/>
  <c r="AG36" i="10"/>
  <c r="AG37" i="10"/>
  <c r="AG38" i="10"/>
  <c r="AG39" i="10"/>
  <c r="AG40" i="10"/>
  <c r="AG41" i="10"/>
  <c r="AG42" i="10"/>
  <c r="AG43" i="10"/>
  <c r="AG44" i="10"/>
  <c r="AG45" i="10"/>
  <c r="AG46" i="10"/>
  <c r="AG47" i="10"/>
  <c r="AG48" i="10"/>
  <c r="AG49" i="10"/>
  <c r="AG50" i="10"/>
  <c r="AG51" i="10"/>
  <c r="AG52" i="10"/>
  <c r="AG53" i="10"/>
  <c r="AG54" i="10"/>
  <c r="AG55" i="10"/>
  <c r="AG56" i="10"/>
  <c r="AG57" i="10"/>
  <c r="AG58" i="10"/>
  <c r="AG59" i="10"/>
  <c r="AG60" i="10"/>
  <c r="AG61" i="10"/>
  <c r="AG62" i="10"/>
  <c r="AG63" i="10"/>
  <c r="AG64" i="10"/>
  <c r="AG65" i="10"/>
  <c r="AG66" i="10"/>
  <c r="AG67" i="10"/>
  <c r="AG68" i="10"/>
  <c r="AG69" i="10"/>
  <c r="AG70" i="10"/>
  <c r="AG71" i="10"/>
  <c r="AG72" i="10"/>
  <c r="AG73" i="10"/>
  <c r="AG74" i="10"/>
  <c r="AG75" i="10"/>
  <c r="AG76" i="10"/>
  <c r="AG77" i="10"/>
  <c r="AG78" i="10"/>
  <c r="AG79" i="10"/>
  <c r="AG80" i="10"/>
  <c r="AG81" i="10"/>
  <c r="AG82" i="10"/>
  <c r="AG83" i="10"/>
  <c r="AG84" i="10"/>
  <c r="AG85" i="10"/>
  <c r="AG86" i="10"/>
  <c r="AG87" i="10"/>
  <c r="AG88" i="10"/>
  <c r="AG89" i="10"/>
  <c r="AG90" i="10"/>
  <c r="AG91" i="10"/>
  <c r="AG92" i="10"/>
  <c r="AG93" i="10"/>
  <c r="AG94" i="10"/>
  <c r="AG95" i="10"/>
  <c r="AG96" i="10"/>
  <c r="AG97" i="10"/>
  <c r="AG98" i="10"/>
  <c r="AG99" i="10"/>
  <c r="AG100" i="10"/>
  <c r="AG101" i="10"/>
  <c r="AG102" i="10"/>
  <c r="AG103" i="10"/>
  <c r="AG104" i="10"/>
  <c r="AG105" i="10"/>
  <c r="AG106" i="10"/>
  <c r="AG107" i="10"/>
  <c r="AG108" i="10"/>
  <c r="AG109" i="10"/>
  <c r="AG110" i="10"/>
  <c r="AG111" i="10"/>
  <c r="AG112" i="10"/>
  <c r="AG113" i="10"/>
  <c r="AG114" i="10"/>
  <c r="AG115" i="10"/>
  <c r="AG116" i="10"/>
  <c r="AG117" i="10"/>
  <c r="AG118" i="10"/>
  <c r="AG119" i="10"/>
  <c r="AG120" i="10"/>
  <c r="AG121" i="10"/>
  <c r="AG122" i="10"/>
  <c r="AG123" i="10"/>
  <c r="AG124" i="10"/>
  <c r="AG125" i="10"/>
  <c r="AG126" i="10"/>
  <c r="AG127" i="10"/>
  <c r="AG128" i="10"/>
  <c r="AG129" i="10"/>
  <c r="AG130" i="10"/>
  <c r="AG131" i="10"/>
  <c r="AG132" i="10"/>
  <c r="AG133" i="10"/>
  <c r="AG134" i="10"/>
  <c r="AG135" i="10"/>
  <c r="AG136" i="10"/>
  <c r="AG137" i="10"/>
  <c r="AG138" i="10"/>
  <c r="AG139" i="10"/>
  <c r="AG140" i="10"/>
  <c r="AG141" i="10"/>
  <c r="AG142" i="10"/>
  <c r="AG143" i="10"/>
  <c r="AG144" i="10"/>
  <c r="AG145" i="10"/>
  <c r="AG146" i="10"/>
  <c r="AG147" i="10"/>
  <c r="AG148" i="10"/>
  <c r="AG149" i="10"/>
  <c r="AG150" i="10"/>
  <c r="AG151" i="10"/>
  <c r="AG152" i="10"/>
  <c r="AG153" i="10"/>
  <c r="AG154" i="10"/>
  <c r="AG155" i="10"/>
  <c r="AG156" i="10"/>
  <c r="AG157" i="10"/>
  <c r="AG158" i="10"/>
  <c r="AG159" i="10"/>
  <c r="AG160" i="10"/>
  <c r="AG161" i="10"/>
  <c r="AG162" i="10"/>
  <c r="AG163" i="10"/>
  <c r="AG164" i="10"/>
  <c r="AG165" i="10"/>
  <c r="AG166" i="10"/>
  <c r="AG167" i="10"/>
  <c r="AG168" i="10"/>
  <c r="AG169" i="10"/>
  <c r="AG170" i="10"/>
  <c r="AG171" i="10"/>
  <c r="AG172" i="10"/>
  <c r="AG173" i="10"/>
  <c r="AG174" i="10"/>
  <c r="AG175" i="10"/>
  <c r="AG176" i="10"/>
  <c r="AG177" i="10"/>
  <c r="AG178" i="10"/>
  <c r="AG179" i="10"/>
  <c r="AG180" i="10"/>
  <c r="AG181" i="10"/>
  <c r="AG182" i="10"/>
  <c r="AG183" i="10"/>
  <c r="AG184" i="10"/>
  <c r="AG185" i="10"/>
  <c r="AG186" i="10"/>
  <c r="AG187" i="10"/>
  <c r="AG188" i="10"/>
  <c r="AG189" i="10"/>
  <c r="AG190" i="10"/>
  <c r="AG191" i="10"/>
  <c r="AG192" i="10"/>
  <c r="AG193" i="10"/>
  <c r="AG194" i="10"/>
  <c r="AG195" i="10"/>
  <c r="AG196" i="10"/>
  <c r="AG197" i="10"/>
  <c r="AG198" i="10"/>
  <c r="AG199" i="10"/>
  <c r="AG200" i="10"/>
  <c r="AG201" i="10"/>
  <c r="AG202" i="10"/>
  <c r="AG203" i="10"/>
  <c r="AG204" i="10"/>
  <c r="AG205" i="10"/>
  <c r="AG206" i="10"/>
  <c r="AG207" i="10"/>
  <c r="AG208" i="10"/>
  <c r="AG209" i="10"/>
  <c r="AG210" i="10"/>
  <c r="AG211" i="10"/>
  <c r="AG212" i="10"/>
  <c r="AG213" i="10"/>
  <c r="AG214" i="10"/>
  <c r="AG215" i="10"/>
  <c r="AG216" i="10"/>
  <c r="AG217" i="10"/>
  <c r="AG218" i="10"/>
  <c r="AG219" i="10"/>
  <c r="AG220" i="10"/>
  <c r="AG221" i="10"/>
  <c r="AG222" i="10"/>
  <c r="AG223" i="10"/>
  <c r="AG224" i="10"/>
  <c r="AG225" i="10"/>
  <c r="AG226" i="10"/>
  <c r="AG227" i="10"/>
  <c r="AG228" i="10"/>
  <c r="AG229" i="10"/>
  <c r="AG230" i="10"/>
  <c r="AG231" i="10"/>
  <c r="AG232" i="10"/>
  <c r="AG233" i="10"/>
  <c r="AG234" i="10"/>
  <c r="AG235" i="10"/>
  <c r="AG236" i="10"/>
  <c r="AG237" i="10"/>
  <c r="AG238" i="10"/>
  <c r="AG239" i="10"/>
  <c r="AG240" i="10"/>
  <c r="AG241" i="10"/>
  <c r="AG242" i="10"/>
  <c r="AG243" i="10"/>
  <c r="AG244" i="10"/>
  <c r="AG245" i="10"/>
  <c r="AG246" i="10"/>
  <c r="AG247" i="10"/>
  <c r="AG248" i="10"/>
  <c r="AG249" i="10"/>
  <c r="AG250" i="10"/>
  <c r="AG251" i="10"/>
  <c r="AG252" i="10"/>
  <c r="AG253" i="10"/>
  <c r="AG254" i="10"/>
  <c r="AG255" i="10"/>
  <c r="AG256" i="10"/>
  <c r="AG257" i="10"/>
  <c r="AG258" i="10"/>
  <c r="AG259" i="10"/>
  <c r="AG260" i="10"/>
  <c r="AG261" i="10"/>
  <c r="AG262" i="10"/>
  <c r="AG263" i="10"/>
  <c r="AG264" i="10"/>
  <c r="AG265" i="10"/>
  <c r="AG266" i="10"/>
  <c r="AG267" i="10"/>
  <c r="AG268" i="10"/>
  <c r="AG269" i="10"/>
  <c r="AG270" i="10"/>
  <c r="AG271" i="10"/>
  <c r="AG272" i="10"/>
  <c r="AG273" i="10"/>
  <c r="AG274" i="10"/>
  <c r="AG275" i="10"/>
  <c r="AG276" i="10"/>
  <c r="AG277" i="10"/>
  <c r="AG278" i="10"/>
  <c r="AG279" i="10"/>
  <c r="AG280" i="10"/>
  <c r="AG281" i="10"/>
  <c r="AG282" i="10"/>
  <c r="AG283" i="10"/>
  <c r="AG284" i="10"/>
  <c r="AG285" i="10"/>
  <c r="AG286" i="10"/>
  <c r="AG287" i="10"/>
  <c r="AG288" i="10"/>
  <c r="AG289" i="10"/>
  <c r="AG290" i="10"/>
  <c r="AG291" i="10"/>
  <c r="AG292" i="10"/>
  <c r="AG293" i="10"/>
  <c r="AG294" i="10"/>
  <c r="AG295" i="10"/>
  <c r="AG296" i="10"/>
  <c r="AG297" i="10"/>
  <c r="AG298" i="10"/>
  <c r="AG299" i="10"/>
  <c r="AG300" i="10"/>
  <c r="AG301" i="10"/>
  <c r="AG302" i="10"/>
  <c r="AG303" i="10"/>
  <c r="AG304" i="10"/>
  <c r="AG305" i="10"/>
  <c r="AG306" i="10"/>
  <c r="AG307" i="10"/>
  <c r="AG308" i="10"/>
  <c r="AG309" i="10"/>
  <c r="AG310" i="10"/>
  <c r="AG311" i="10"/>
  <c r="AG312" i="10"/>
  <c r="AG313" i="10"/>
  <c r="AG314" i="10"/>
  <c r="AG315" i="10"/>
  <c r="AG316" i="10"/>
  <c r="AG317" i="10"/>
  <c r="AG318" i="10"/>
  <c r="AG319" i="10"/>
  <c r="AG320" i="10"/>
  <c r="AG321" i="10"/>
  <c r="AG322" i="10"/>
  <c r="AG323" i="10"/>
  <c r="AG324" i="10"/>
  <c r="AG325" i="10"/>
  <c r="AG326" i="10"/>
  <c r="AG327" i="10"/>
  <c r="AG328" i="10"/>
  <c r="AG329" i="10"/>
  <c r="AG330" i="10"/>
  <c r="AG331" i="10"/>
  <c r="AG332" i="10"/>
  <c r="AG333" i="10"/>
  <c r="AG334" i="10"/>
  <c r="AG335" i="10"/>
  <c r="AG336" i="10"/>
  <c r="AG337" i="10"/>
  <c r="AG338" i="10"/>
  <c r="AG339" i="10"/>
  <c r="AG340" i="10"/>
  <c r="AG341" i="10"/>
  <c r="AH4" i="10"/>
  <c r="AH5" i="10"/>
  <c r="AH6" i="10"/>
  <c r="AH7" i="10"/>
  <c r="AH8" i="10"/>
  <c r="AH9" i="10"/>
  <c r="AH10" i="10"/>
  <c r="AH11" i="10"/>
  <c r="AH12" i="10"/>
  <c r="AH13" i="10"/>
  <c r="AH14" i="10"/>
  <c r="AH15" i="10"/>
  <c r="AH16" i="10"/>
  <c r="AH17" i="10"/>
  <c r="AH18" i="10"/>
  <c r="AH19" i="10"/>
  <c r="AH20" i="10"/>
  <c r="AH21" i="10"/>
  <c r="AH22" i="10"/>
  <c r="AH23" i="10"/>
  <c r="AH24" i="10"/>
  <c r="AH25" i="10"/>
  <c r="AH26" i="10"/>
  <c r="AH27" i="10"/>
  <c r="AH28" i="10"/>
  <c r="AH29" i="10"/>
  <c r="AH30" i="10"/>
  <c r="AH31" i="10"/>
  <c r="AH32" i="10"/>
  <c r="AH33" i="10"/>
  <c r="AH34" i="10"/>
  <c r="AH35" i="10"/>
  <c r="AH36" i="10"/>
  <c r="AH37" i="10"/>
  <c r="AH38" i="10"/>
  <c r="AH39" i="10"/>
  <c r="AH40" i="10"/>
  <c r="AH41" i="10"/>
  <c r="AH42" i="10"/>
  <c r="AH43" i="10"/>
  <c r="AH44" i="10"/>
  <c r="AH45" i="10"/>
  <c r="AH46" i="10"/>
  <c r="AH47" i="10"/>
  <c r="AH48" i="10"/>
  <c r="AH49" i="10"/>
  <c r="AH50" i="10"/>
  <c r="AH51" i="10"/>
  <c r="AH52" i="10"/>
  <c r="AH53" i="10"/>
  <c r="AH54" i="10"/>
  <c r="AH55" i="10"/>
  <c r="AH56" i="10"/>
  <c r="AH57" i="10"/>
  <c r="AH58" i="10"/>
  <c r="AH59" i="10"/>
  <c r="AH60" i="10"/>
  <c r="AH61" i="10"/>
  <c r="AH62" i="10"/>
  <c r="AH63" i="10"/>
  <c r="AH64" i="10"/>
  <c r="AH65" i="10"/>
  <c r="AH66" i="10"/>
  <c r="AH67" i="10"/>
  <c r="AH68" i="10"/>
  <c r="AH69" i="10"/>
  <c r="AH70" i="10"/>
  <c r="AH71" i="10"/>
  <c r="AH72" i="10"/>
  <c r="AH73" i="10"/>
  <c r="AH74" i="10"/>
  <c r="AH75" i="10"/>
  <c r="AH76" i="10"/>
  <c r="AH77" i="10"/>
  <c r="AH78" i="10"/>
  <c r="AH79" i="10"/>
  <c r="AH80" i="10"/>
  <c r="AH81" i="10"/>
  <c r="AH82" i="10"/>
  <c r="AH83" i="10"/>
  <c r="AH84" i="10"/>
  <c r="AH85" i="10"/>
  <c r="AH86" i="10"/>
  <c r="AH87" i="10"/>
  <c r="AH88" i="10"/>
  <c r="AH89" i="10"/>
  <c r="AH90" i="10"/>
  <c r="AH91" i="10"/>
  <c r="AH92" i="10"/>
  <c r="AH93" i="10"/>
  <c r="AH94" i="10"/>
  <c r="AH95" i="10"/>
  <c r="AH96" i="10"/>
  <c r="AH97" i="10"/>
  <c r="AH98" i="10"/>
  <c r="AH99" i="10"/>
  <c r="AH100" i="10"/>
  <c r="AH101" i="10"/>
  <c r="AH102" i="10"/>
  <c r="AH103" i="10"/>
  <c r="AH104" i="10"/>
  <c r="AH105" i="10"/>
  <c r="AH106" i="10"/>
  <c r="AH107" i="10"/>
  <c r="AH108" i="10"/>
  <c r="AH109" i="10"/>
  <c r="AH110" i="10"/>
  <c r="AH111" i="10"/>
  <c r="AH112" i="10"/>
  <c r="AH113" i="10"/>
  <c r="AH114" i="10"/>
  <c r="AH115" i="10"/>
  <c r="AH116" i="10"/>
  <c r="AH117" i="10"/>
  <c r="AH118" i="10"/>
  <c r="AH119" i="10"/>
  <c r="AH120" i="10"/>
  <c r="AH121" i="10"/>
  <c r="AH122" i="10"/>
  <c r="AH123" i="10"/>
  <c r="AH124" i="10"/>
  <c r="AH125" i="10"/>
  <c r="AH126" i="10"/>
  <c r="AH127" i="10"/>
  <c r="AH128" i="10"/>
  <c r="AH129" i="10"/>
  <c r="AH130" i="10"/>
  <c r="AH131" i="10"/>
  <c r="AH132" i="10"/>
  <c r="AH133" i="10"/>
  <c r="AH134" i="10"/>
  <c r="AH135" i="10"/>
  <c r="AH136" i="10"/>
  <c r="AH137" i="10"/>
  <c r="AH138" i="10"/>
  <c r="AH139" i="10"/>
  <c r="AH140" i="10"/>
  <c r="AH141" i="10"/>
  <c r="AH142" i="10"/>
  <c r="AH143" i="10"/>
  <c r="AH144" i="10"/>
  <c r="AH145" i="10"/>
  <c r="AH146" i="10"/>
  <c r="AH147" i="10"/>
  <c r="AH148" i="10"/>
  <c r="AH149" i="10"/>
  <c r="AH150" i="10"/>
  <c r="AH151" i="10"/>
  <c r="AH152" i="10"/>
  <c r="AH153" i="10"/>
  <c r="AH154" i="10"/>
  <c r="AH155" i="10"/>
  <c r="AH156" i="10"/>
  <c r="AH157" i="10"/>
  <c r="AH158" i="10"/>
  <c r="AH159" i="10"/>
  <c r="AH160" i="10"/>
  <c r="AH161" i="10"/>
  <c r="AH162" i="10"/>
  <c r="AH163" i="10"/>
  <c r="AH164" i="10"/>
  <c r="AH165" i="10"/>
  <c r="AH166" i="10"/>
  <c r="AH167" i="10"/>
  <c r="AH168" i="10"/>
  <c r="AH169" i="10"/>
  <c r="AH170" i="10"/>
  <c r="AH171" i="10"/>
  <c r="AH172" i="10"/>
  <c r="AH173" i="10"/>
  <c r="AH174" i="10"/>
  <c r="AH175" i="10"/>
  <c r="AH176" i="10"/>
  <c r="AH177" i="10"/>
  <c r="AH178" i="10"/>
  <c r="AH179" i="10"/>
  <c r="AH180" i="10"/>
  <c r="AH181" i="10"/>
  <c r="AH182" i="10"/>
  <c r="AH183" i="10"/>
  <c r="AH184" i="10"/>
  <c r="AH185" i="10"/>
  <c r="AH186" i="10"/>
  <c r="AH187" i="10"/>
  <c r="AH188" i="10"/>
  <c r="AH189" i="10"/>
  <c r="AH190" i="10"/>
  <c r="AH191" i="10"/>
  <c r="AH192" i="10"/>
  <c r="AH193" i="10"/>
  <c r="AH194" i="10"/>
  <c r="AH195" i="10"/>
  <c r="AH196" i="10"/>
  <c r="AH197" i="10"/>
  <c r="AH198" i="10"/>
  <c r="AH199" i="10"/>
  <c r="AH200" i="10"/>
  <c r="AH201" i="10"/>
  <c r="AH202" i="10"/>
  <c r="AH203" i="10"/>
  <c r="AH204" i="10"/>
  <c r="AH205" i="10"/>
  <c r="AH206" i="10"/>
  <c r="AH207" i="10"/>
  <c r="AH208" i="10"/>
  <c r="AH209" i="10"/>
  <c r="AH210" i="10"/>
  <c r="AH211" i="10"/>
  <c r="AH212" i="10"/>
  <c r="AH213" i="10"/>
  <c r="AH214" i="10"/>
  <c r="AH215" i="10"/>
  <c r="AH216" i="10"/>
  <c r="AH217" i="10"/>
  <c r="AH218" i="10"/>
  <c r="AH219" i="10"/>
  <c r="AH220" i="10"/>
  <c r="AH221" i="10"/>
  <c r="AH222" i="10"/>
  <c r="AH223" i="10"/>
  <c r="AH224" i="10"/>
  <c r="AH225" i="10"/>
  <c r="AH226" i="10"/>
  <c r="AH227" i="10"/>
  <c r="AH228" i="10"/>
  <c r="AH229" i="10"/>
  <c r="AH230" i="10"/>
  <c r="AH231" i="10"/>
  <c r="AH232" i="10"/>
  <c r="AH233" i="10"/>
  <c r="AH234" i="10"/>
  <c r="AH235" i="10"/>
  <c r="AH236" i="10"/>
  <c r="AH237" i="10"/>
  <c r="AH238" i="10"/>
  <c r="AH239" i="10"/>
  <c r="AH240" i="10"/>
  <c r="AH241" i="10"/>
  <c r="AH242" i="10"/>
  <c r="AH243" i="10"/>
  <c r="AH244" i="10"/>
  <c r="AH245" i="10"/>
  <c r="AH246" i="10"/>
  <c r="AH247" i="10"/>
  <c r="AH248" i="10"/>
  <c r="AH249" i="10"/>
  <c r="AH250" i="10"/>
  <c r="AH251" i="10"/>
  <c r="AH252" i="10"/>
  <c r="AH253" i="10"/>
  <c r="AH254" i="10"/>
  <c r="AH255" i="10"/>
  <c r="AH256" i="10"/>
  <c r="AH257" i="10"/>
  <c r="AH258" i="10"/>
  <c r="AH259" i="10"/>
  <c r="AH260" i="10"/>
  <c r="AH261" i="10"/>
  <c r="AH262" i="10"/>
  <c r="AH263" i="10"/>
  <c r="AH264" i="10"/>
  <c r="AH265" i="10"/>
  <c r="AH266" i="10"/>
  <c r="AH267" i="10"/>
  <c r="AH268" i="10"/>
  <c r="AH269" i="10"/>
  <c r="AH270" i="10"/>
  <c r="AH271" i="10"/>
  <c r="AH272" i="10"/>
  <c r="AH273" i="10"/>
  <c r="AH274" i="10"/>
  <c r="AH275" i="10"/>
  <c r="AH276" i="10"/>
  <c r="AH277" i="10"/>
  <c r="AH278" i="10"/>
  <c r="AH279" i="10"/>
  <c r="AH280" i="10"/>
  <c r="AH281" i="10"/>
  <c r="AH282" i="10"/>
  <c r="AH283" i="10"/>
  <c r="AH284" i="10"/>
  <c r="AH285" i="10"/>
  <c r="AH286" i="10"/>
  <c r="AH287" i="10"/>
  <c r="AH288" i="10"/>
  <c r="AH289" i="10"/>
  <c r="AH290" i="10"/>
  <c r="AH291" i="10"/>
  <c r="AH292" i="10"/>
  <c r="AH293" i="10"/>
  <c r="AH294" i="10"/>
  <c r="AH295" i="10"/>
  <c r="AH296" i="10"/>
  <c r="AH297" i="10"/>
  <c r="AH298" i="10"/>
  <c r="AH299" i="10"/>
  <c r="AH300" i="10"/>
  <c r="AH301" i="10"/>
  <c r="AH302" i="10"/>
  <c r="AH303" i="10"/>
  <c r="AH304" i="10"/>
  <c r="AH305" i="10"/>
  <c r="AH306" i="10"/>
  <c r="AH307" i="10"/>
  <c r="AH308" i="10"/>
  <c r="AH309" i="10"/>
  <c r="AH310" i="10"/>
  <c r="AH311" i="10"/>
  <c r="AH312" i="10"/>
  <c r="AH313" i="10"/>
  <c r="AH314" i="10"/>
  <c r="AH315" i="10"/>
  <c r="AH316" i="10"/>
  <c r="AH317" i="10"/>
  <c r="AH318" i="10"/>
  <c r="AH319" i="10"/>
  <c r="AH320" i="10"/>
  <c r="AH321" i="10"/>
  <c r="AH322" i="10"/>
  <c r="AH323" i="10"/>
  <c r="AH324" i="10"/>
  <c r="AH325" i="10"/>
  <c r="AH326" i="10"/>
  <c r="AH327" i="10"/>
  <c r="AH328" i="10"/>
  <c r="AH329" i="10"/>
  <c r="AH330" i="10"/>
  <c r="AH331" i="10"/>
  <c r="AH332" i="10"/>
  <c r="AH333" i="10"/>
  <c r="AH334" i="10"/>
  <c r="AH335" i="10"/>
  <c r="AH336" i="10"/>
  <c r="AH337" i="10"/>
  <c r="AH338" i="10"/>
  <c r="AH339" i="10"/>
  <c r="AH340" i="10"/>
  <c r="AH341" i="10"/>
  <c r="AI4" i="10"/>
  <c r="AI5" i="10"/>
  <c r="AI6" i="10"/>
  <c r="AI7" i="10"/>
  <c r="AI8" i="10"/>
  <c r="AI9" i="10"/>
  <c r="AI10" i="10"/>
  <c r="AI11" i="10"/>
  <c r="AI12" i="10"/>
  <c r="AI13" i="10"/>
  <c r="AI14" i="10"/>
  <c r="AI15" i="10"/>
  <c r="AI16" i="10"/>
  <c r="AI17" i="10"/>
  <c r="AI18" i="10"/>
  <c r="AI19" i="10"/>
  <c r="AI20" i="10"/>
  <c r="AI21" i="10"/>
  <c r="AI22" i="10"/>
  <c r="AI23" i="10"/>
  <c r="AI24" i="10"/>
  <c r="AI25" i="10"/>
  <c r="AI26" i="10"/>
  <c r="AI27" i="10"/>
  <c r="AI28" i="10"/>
  <c r="AI29" i="10"/>
  <c r="AI30" i="10"/>
  <c r="AI31" i="10"/>
  <c r="AI32" i="10"/>
  <c r="AI33" i="10"/>
  <c r="AI34" i="10"/>
  <c r="AI35" i="10"/>
  <c r="AI36" i="10"/>
  <c r="AI37" i="10"/>
  <c r="AI38" i="10"/>
  <c r="AI39" i="10"/>
  <c r="AI40" i="10"/>
  <c r="AI41" i="10"/>
  <c r="AI42" i="10"/>
  <c r="AI43" i="10"/>
  <c r="AI44" i="10"/>
  <c r="AI45" i="10"/>
  <c r="AI46" i="10"/>
  <c r="AI47" i="10"/>
  <c r="AI48" i="10"/>
  <c r="AI49" i="10"/>
  <c r="AI50" i="10"/>
  <c r="AI51" i="10"/>
  <c r="AI52" i="10"/>
  <c r="AI53" i="10"/>
  <c r="AI54" i="10"/>
  <c r="AI55" i="10"/>
  <c r="AI56" i="10"/>
  <c r="AI57" i="10"/>
  <c r="AI58" i="10"/>
  <c r="AI59" i="10"/>
  <c r="AI60" i="10"/>
  <c r="AI61" i="10"/>
  <c r="AI62" i="10"/>
  <c r="AI63" i="10"/>
  <c r="AI64" i="10"/>
  <c r="AI65" i="10"/>
  <c r="AI66" i="10"/>
  <c r="AI67" i="10"/>
  <c r="AI68" i="10"/>
  <c r="AI69" i="10"/>
  <c r="AI70" i="10"/>
  <c r="AI71" i="10"/>
  <c r="AI72" i="10"/>
  <c r="AI73" i="10"/>
  <c r="AI74" i="10"/>
  <c r="AI75" i="10"/>
  <c r="AI76" i="10"/>
  <c r="AI77" i="10"/>
  <c r="AI78" i="10"/>
  <c r="AI79" i="10"/>
  <c r="AI80" i="10"/>
  <c r="AI81" i="10"/>
  <c r="AI82" i="10"/>
  <c r="AI83" i="10"/>
  <c r="AI84" i="10"/>
  <c r="AI85" i="10"/>
  <c r="AI86" i="10"/>
  <c r="AI87" i="10"/>
  <c r="AI88" i="10"/>
  <c r="AI89" i="10"/>
  <c r="AI90" i="10"/>
  <c r="AI91" i="10"/>
  <c r="AI92" i="10"/>
  <c r="AI93" i="10"/>
  <c r="AI94" i="10"/>
  <c r="AI95" i="10"/>
  <c r="AI96" i="10"/>
  <c r="AI97" i="10"/>
  <c r="AI98" i="10"/>
  <c r="AI99" i="10"/>
  <c r="AI100" i="10"/>
  <c r="AI101" i="10"/>
  <c r="AI102" i="10"/>
  <c r="AI103" i="10"/>
  <c r="AI104" i="10"/>
  <c r="AI105" i="10"/>
  <c r="AI106" i="10"/>
  <c r="AI107" i="10"/>
  <c r="AI108" i="10"/>
  <c r="AI109" i="10"/>
  <c r="AI110" i="10"/>
  <c r="AI111" i="10"/>
  <c r="AI112" i="10"/>
  <c r="AI113" i="10"/>
  <c r="AI114" i="10"/>
  <c r="AI115" i="10"/>
  <c r="AI116" i="10"/>
  <c r="AI117" i="10"/>
  <c r="AI118" i="10"/>
  <c r="AI119" i="10"/>
  <c r="AI120" i="10"/>
  <c r="AI121" i="10"/>
  <c r="AI122" i="10"/>
  <c r="AI123" i="10"/>
  <c r="AI124" i="10"/>
  <c r="AI125" i="10"/>
  <c r="AI126" i="10"/>
  <c r="AI127" i="10"/>
  <c r="AI128" i="10"/>
  <c r="AI129" i="10"/>
  <c r="AI130" i="10"/>
  <c r="AI131" i="10"/>
  <c r="AI132" i="10"/>
  <c r="AI133" i="10"/>
  <c r="AI134" i="10"/>
  <c r="AI135" i="10"/>
  <c r="AI136" i="10"/>
  <c r="AI137" i="10"/>
  <c r="AI138" i="10"/>
  <c r="AI139" i="10"/>
  <c r="AI140" i="10"/>
  <c r="AI141" i="10"/>
  <c r="AI142" i="10"/>
  <c r="AI143" i="10"/>
  <c r="AI144" i="10"/>
  <c r="AI145" i="10"/>
  <c r="AI146" i="10"/>
  <c r="AI147" i="10"/>
  <c r="AI148" i="10"/>
  <c r="AI149" i="10"/>
  <c r="AI150" i="10"/>
  <c r="AI151" i="10"/>
  <c r="AI152" i="10"/>
  <c r="AI153" i="10"/>
  <c r="AI154" i="10"/>
  <c r="AI155" i="10"/>
  <c r="AI156" i="10"/>
  <c r="AI157" i="10"/>
  <c r="AI158" i="10"/>
  <c r="AI159" i="10"/>
  <c r="AI160" i="10"/>
  <c r="AI161" i="10"/>
  <c r="AI162" i="10"/>
  <c r="AI163" i="10"/>
  <c r="AI164" i="10"/>
  <c r="AI165" i="10"/>
  <c r="AI166" i="10"/>
  <c r="AI167" i="10"/>
  <c r="AI168" i="10"/>
  <c r="AI169" i="10"/>
  <c r="AI170" i="10"/>
  <c r="AI171" i="10"/>
  <c r="AI172" i="10"/>
  <c r="AI173" i="10"/>
  <c r="AI174" i="10"/>
  <c r="AI175" i="10"/>
  <c r="AI176" i="10"/>
  <c r="AI177" i="10"/>
  <c r="AI178" i="10"/>
  <c r="AI179" i="10"/>
  <c r="AI180" i="10"/>
  <c r="AI181" i="10"/>
  <c r="AI182" i="10"/>
  <c r="AI183" i="10"/>
  <c r="AI184" i="10"/>
  <c r="AI185" i="10"/>
  <c r="AI186" i="10"/>
  <c r="AI187" i="10"/>
  <c r="AI188" i="10"/>
  <c r="AI189" i="10"/>
  <c r="AI190" i="10"/>
  <c r="AI191" i="10"/>
  <c r="AI192" i="10"/>
  <c r="AI193" i="10"/>
  <c r="AI194" i="10"/>
  <c r="AI195" i="10"/>
  <c r="AI196" i="10"/>
  <c r="AI197" i="10"/>
  <c r="AI198" i="10"/>
  <c r="AI199" i="10"/>
  <c r="AI200" i="10"/>
  <c r="AI201" i="10"/>
  <c r="AI202" i="10"/>
  <c r="AI203" i="10"/>
  <c r="AI204" i="10"/>
  <c r="AI205" i="10"/>
  <c r="AI206" i="10"/>
  <c r="AI207" i="10"/>
  <c r="AI208" i="10"/>
  <c r="AI209" i="10"/>
  <c r="AI210" i="10"/>
  <c r="AI211" i="10"/>
  <c r="AI212" i="10"/>
  <c r="AI213" i="10"/>
  <c r="AI214" i="10"/>
  <c r="AI215" i="10"/>
  <c r="AI216" i="10"/>
  <c r="AI217" i="10"/>
  <c r="AI218" i="10"/>
  <c r="AI219" i="10"/>
  <c r="AI220" i="10"/>
  <c r="AI221" i="10"/>
  <c r="AI222" i="10"/>
  <c r="AI223" i="10"/>
  <c r="AI224" i="10"/>
  <c r="AI225" i="10"/>
  <c r="AI226" i="10"/>
  <c r="AI227" i="10"/>
  <c r="AI228" i="10"/>
  <c r="AI229" i="10"/>
  <c r="AI230" i="10"/>
  <c r="AI231" i="10"/>
  <c r="AI232" i="10"/>
  <c r="AI233" i="10"/>
  <c r="AI234" i="10"/>
  <c r="AI235" i="10"/>
  <c r="AI236" i="10"/>
  <c r="AI237" i="10"/>
  <c r="AI238" i="10"/>
  <c r="AI239" i="10"/>
  <c r="AI240" i="10"/>
  <c r="AI241" i="10"/>
  <c r="AI242" i="10"/>
  <c r="AI243" i="10"/>
  <c r="AI244" i="10"/>
  <c r="AI245" i="10"/>
  <c r="AI246" i="10"/>
  <c r="AI247" i="10"/>
  <c r="AI248" i="10"/>
  <c r="AI249" i="10"/>
  <c r="AI250" i="10"/>
  <c r="AI251" i="10"/>
  <c r="AI252" i="10"/>
  <c r="AI253" i="10"/>
  <c r="AI254" i="10"/>
  <c r="AI255" i="10"/>
  <c r="AI256" i="10"/>
  <c r="AI257" i="10"/>
  <c r="AI258" i="10"/>
  <c r="AI259" i="10"/>
  <c r="AI260" i="10"/>
  <c r="AI261" i="10"/>
  <c r="AI262" i="10"/>
  <c r="AI263" i="10"/>
  <c r="AI264" i="10"/>
  <c r="AI265" i="10"/>
  <c r="AI266" i="10"/>
  <c r="AI267" i="10"/>
  <c r="AI268" i="10"/>
  <c r="AI269" i="10"/>
  <c r="AI270" i="10"/>
  <c r="AI271" i="10"/>
  <c r="AI272" i="10"/>
  <c r="AI273" i="10"/>
  <c r="AI274" i="10"/>
  <c r="AI275" i="10"/>
  <c r="AI276" i="10"/>
  <c r="AI277" i="10"/>
  <c r="AI278" i="10"/>
  <c r="AI279" i="10"/>
  <c r="AI280" i="10"/>
  <c r="AI281" i="10"/>
  <c r="AI282" i="10"/>
  <c r="AI283" i="10"/>
  <c r="AI284" i="10"/>
  <c r="AI285" i="10"/>
  <c r="AI286" i="10"/>
  <c r="AI287" i="10"/>
  <c r="AI288" i="10"/>
  <c r="AI289" i="10"/>
  <c r="AI290" i="10"/>
  <c r="AI291" i="10"/>
  <c r="AI292" i="10"/>
  <c r="AI293" i="10"/>
  <c r="AI294" i="10"/>
  <c r="AI295" i="10"/>
  <c r="AI296" i="10"/>
  <c r="AI297" i="10"/>
  <c r="AI298" i="10"/>
  <c r="AI299" i="10"/>
  <c r="AI300" i="10"/>
  <c r="AI301" i="10"/>
  <c r="AI302" i="10"/>
  <c r="AI303" i="10"/>
  <c r="AI304" i="10"/>
  <c r="AI305" i="10"/>
  <c r="AI306" i="10"/>
  <c r="AI307" i="10"/>
  <c r="AI308" i="10"/>
  <c r="AI309" i="10"/>
  <c r="AI310" i="10"/>
  <c r="AI311" i="10"/>
  <c r="AI312" i="10"/>
  <c r="AI313" i="10"/>
  <c r="AI314" i="10"/>
  <c r="AI315" i="10"/>
  <c r="AI316" i="10"/>
  <c r="AI317" i="10"/>
  <c r="AI318" i="10"/>
  <c r="AI319" i="10"/>
  <c r="AI320" i="10"/>
  <c r="AI321" i="10"/>
  <c r="AI322" i="10"/>
  <c r="AI323" i="10"/>
  <c r="AI324" i="10"/>
  <c r="AI325" i="10"/>
  <c r="AI326" i="10"/>
  <c r="AI327" i="10"/>
  <c r="AI328" i="10"/>
  <c r="AI329" i="10"/>
  <c r="AI330" i="10"/>
  <c r="AI331" i="10"/>
  <c r="AI332" i="10"/>
  <c r="AI333" i="10"/>
  <c r="AI334" i="10"/>
  <c r="AI335" i="10"/>
  <c r="AI336" i="10"/>
  <c r="AI337" i="10"/>
  <c r="AI338" i="10"/>
  <c r="AI339" i="10"/>
  <c r="AI340" i="10"/>
  <c r="AI341" i="10"/>
  <c r="AK4" i="10"/>
  <c r="AK5" i="10"/>
  <c r="AK6" i="10"/>
  <c r="AK7" i="10"/>
  <c r="AK8" i="10"/>
  <c r="AK9" i="10"/>
  <c r="AK10" i="10"/>
  <c r="AK11" i="10"/>
  <c r="AK12" i="10"/>
  <c r="AK13" i="10"/>
  <c r="AK14" i="10"/>
  <c r="AK15" i="10"/>
  <c r="AK16" i="10"/>
  <c r="AK17" i="10"/>
  <c r="AK18" i="10"/>
  <c r="AK19" i="10"/>
  <c r="AK20" i="10"/>
  <c r="AK21" i="10"/>
  <c r="AK22" i="10"/>
  <c r="AK23" i="10"/>
  <c r="AK24" i="10"/>
  <c r="AK25" i="10"/>
  <c r="AK26" i="10"/>
  <c r="AK27" i="10"/>
  <c r="AK28" i="10"/>
  <c r="AK29" i="10"/>
  <c r="AK30" i="10"/>
  <c r="AK31" i="10"/>
  <c r="AK32" i="10"/>
  <c r="AK33" i="10"/>
  <c r="AK34" i="10"/>
  <c r="AK35" i="10"/>
  <c r="AK36" i="10"/>
  <c r="AK37" i="10"/>
  <c r="AK38" i="10"/>
  <c r="AK39" i="10"/>
  <c r="AK40" i="10"/>
  <c r="AK41" i="10"/>
  <c r="AK42" i="10"/>
  <c r="AK43" i="10"/>
  <c r="AK44" i="10"/>
  <c r="AK45" i="10"/>
  <c r="AK46" i="10"/>
  <c r="AK47" i="10"/>
  <c r="AK48" i="10"/>
  <c r="AK49" i="10"/>
  <c r="AK50" i="10"/>
  <c r="AK51" i="10"/>
  <c r="AK52" i="10"/>
  <c r="AK53" i="10"/>
  <c r="AK54" i="10"/>
  <c r="AK55" i="10"/>
  <c r="AK56" i="10"/>
  <c r="AK57" i="10"/>
  <c r="AK58" i="10"/>
  <c r="AK59" i="10"/>
  <c r="AK60" i="10"/>
  <c r="AK61" i="10"/>
  <c r="AK62" i="10"/>
  <c r="AK63" i="10"/>
  <c r="AK64" i="10"/>
  <c r="AK65" i="10"/>
  <c r="AK66" i="10"/>
  <c r="AK67" i="10"/>
  <c r="AK68" i="10"/>
  <c r="AK69" i="10"/>
  <c r="AK70" i="10"/>
  <c r="AK71" i="10"/>
  <c r="AK72" i="10"/>
  <c r="AK73" i="10"/>
  <c r="AK74" i="10"/>
  <c r="AK75" i="10"/>
  <c r="AK76" i="10"/>
  <c r="AK77" i="10"/>
  <c r="AK78" i="10"/>
  <c r="AK79" i="10"/>
  <c r="AK80" i="10"/>
  <c r="AK81" i="10"/>
  <c r="AK82" i="10"/>
  <c r="AK83" i="10"/>
  <c r="AK84" i="10"/>
  <c r="AK85" i="10"/>
  <c r="AK86" i="10"/>
  <c r="AK87" i="10"/>
  <c r="AK88" i="10"/>
  <c r="AK89" i="10"/>
  <c r="AK90" i="10"/>
  <c r="AK91" i="10"/>
  <c r="AK92" i="10"/>
  <c r="AK93" i="10"/>
  <c r="AK94" i="10"/>
  <c r="AK95" i="10"/>
  <c r="AK96" i="10"/>
  <c r="AK97" i="10"/>
  <c r="AK98" i="10"/>
  <c r="AK99" i="10"/>
  <c r="AK100" i="10"/>
  <c r="AK101" i="10"/>
  <c r="AK102" i="10"/>
  <c r="AK103" i="10"/>
  <c r="AK104" i="10"/>
  <c r="AK105" i="10"/>
  <c r="AK106" i="10"/>
  <c r="AK107" i="10"/>
  <c r="AK108" i="10"/>
  <c r="AK109" i="10"/>
  <c r="AK110" i="10"/>
  <c r="AK111" i="10"/>
  <c r="AK112" i="10"/>
  <c r="AK113" i="10"/>
  <c r="AK114" i="10"/>
  <c r="AK115" i="10"/>
  <c r="AK116" i="10"/>
  <c r="AK117" i="10"/>
  <c r="AK118" i="10"/>
  <c r="AK119" i="10"/>
  <c r="AK120" i="10"/>
  <c r="AK121" i="10"/>
  <c r="AK122" i="10"/>
  <c r="AK123" i="10"/>
  <c r="AK124" i="10"/>
  <c r="AK125" i="10"/>
  <c r="AK126" i="10"/>
  <c r="AK127" i="10"/>
  <c r="AK128" i="10"/>
  <c r="AK129" i="10"/>
  <c r="AK130" i="10"/>
  <c r="AK131" i="10"/>
  <c r="AK132" i="10"/>
  <c r="AK133" i="10"/>
  <c r="AK134" i="10"/>
  <c r="AK135" i="10"/>
  <c r="AK136" i="10"/>
  <c r="AK137" i="10"/>
  <c r="AK138" i="10"/>
  <c r="AK139" i="10"/>
  <c r="AK140" i="10"/>
  <c r="AK141" i="10"/>
  <c r="AK142" i="10"/>
  <c r="AK143" i="10"/>
  <c r="AK144" i="10"/>
  <c r="AK145" i="10"/>
  <c r="AK146" i="10"/>
  <c r="AK147" i="10"/>
  <c r="AK148" i="10"/>
  <c r="AK149" i="10"/>
  <c r="AK150" i="10"/>
  <c r="AK151" i="10"/>
  <c r="AK152" i="10"/>
  <c r="AK153" i="10"/>
  <c r="AK154" i="10"/>
  <c r="AK155" i="10"/>
  <c r="AK156" i="10"/>
  <c r="AK157" i="10"/>
  <c r="AK158" i="10"/>
  <c r="AK159" i="10"/>
  <c r="AK160" i="10"/>
  <c r="AK161" i="10"/>
  <c r="AK162" i="10"/>
  <c r="AK163" i="10"/>
  <c r="AK164" i="10"/>
  <c r="AK165" i="10"/>
  <c r="AK166" i="10"/>
  <c r="AK167" i="10"/>
  <c r="AK168" i="10"/>
  <c r="AK169" i="10"/>
  <c r="AK170" i="10"/>
  <c r="AK171" i="10"/>
  <c r="AK172" i="10"/>
  <c r="AK173" i="10"/>
  <c r="AK174" i="10"/>
  <c r="AK175" i="10"/>
  <c r="AK176" i="10"/>
  <c r="AK177" i="10"/>
  <c r="AK178" i="10"/>
  <c r="AK179" i="10"/>
  <c r="AK180" i="10"/>
  <c r="AK181" i="10"/>
  <c r="AK182" i="10"/>
  <c r="AK183" i="10"/>
  <c r="AK184" i="10"/>
  <c r="AK185" i="10"/>
  <c r="AK186" i="10"/>
  <c r="AK187" i="10"/>
  <c r="AK188" i="10"/>
  <c r="AK189" i="10"/>
  <c r="AK190" i="10"/>
  <c r="AK191" i="10"/>
  <c r="AK192" i="10"/>
  <c r="AK193" i="10"/>
  <c r="AK194" i="10"/>
  <c r="AK195" i="10"/>
  <c r="AK196" i="10"/>
  <c r="AK197" i="10"/>
  <c r="AK198" i="10"/>
  <c r="AK199" i="10"/>
  <c r="AK200" i="10"/>
  <c r="AK201" i="10"/>
  <c r="AK202" i="10"/>
  <c r="AK203" i="10"/>
  <c r="AK204" i="10"/>
  <c r="AK205" i="10"/>
  <c r="AK206" i="10"/>
  <c r="AK207" i="10"/>
  <c r="AK208" i="10"/>
  <c r="AK209" i="10"/>
  <c r="AK210" i="10"/>
  <c r="AK211" i="10"/>
  <c r="AK212" i="10"/>
  <c r="AK213" i="10"/>
  <c r="AK214" i="10"/>
  <c r="AK215" i="10"/>
  <c r="AK216" i="10"/>
  <c r="AK217" i="10"/>
  <c r="AK218" i="10"/>
  <c r="AK219" i="10"/>
  <c r="AK220" i="10"/>
  <c r="AK221" i="10"/>
  <c r="AK222" i="10"/>
  <c r="AK223" i="10"/>
  <c r="AK224" i="10"/>
  <c r="AK225" i="10"/>
  <c r="AK226" i="10"/>
  <c r="AK227" i="10"/>
  <c r="AK228" i="10"/>
  <c r="AK229" i="10"/>
  <c r="AK230" i="10"/>
  <c r="AK231" i="10"/>
  <c r="AK232" i="10"/>
  <c r="AK233" i="10"/>
  <c r="AK234" i="10"/>
  <c r="AK235" i="10"/>
  <c r="AK236" i="10"/>
  <c r="AK237" i="10"/>
  <c r="AK238" i="10"/>
  <c r="AK239" i="10"/>
  <c r="AK240" i="10"/>
  <c r="AK241" i="10"/>
  <c r="AK242" i="10"/>
  <c r="AK243" i="10"/>
  <c r="AK244" i="10"/>
  <c r="AK245" i="10"/>
  <c r="AK246" i="10"/>
  <c r="AK247" i="10"/>
  <c r="AK248" i="10"/>
  <c r="AK249" i="10"/>
  <c r="AK250" i="10"/>
  <c r="AK251" i="10"/>
  <c r="AK252" i="10"/>
  <c r="AK253" i="10"/>
  <c r="AK254" i="10"/>
  <c r="AK255" i="10"/>
  <c r="AK256" i="10"/>
  <c r="AK257" i="10"/>
  <c r="AK258" i="10"/>
  <c r="AK259" i="10"/>
  <c r="AK260" i="10"/>
  <c r="AK261" i="10"/>
  <c r="AK262" i="10"/>
  <c r="AK263" i="10"/>
  <c r="AK264" i="10"/>
  <c r="AK265" i="10"/>
  <c r="AK266" i="10"/>
  <c r="AK267" i="10"/>
  <c r="AK268" i="10"/>
  <c r="AK269" i="10"/>
  <c r="AK270" i="10"/>
  <c r="AK271" i="10"/>
  <c r="AK272" i="10"/>
  <c r="AK273" i="10"/>
  <c r="AK274" i="10"/>
  <c r="AK275" i="10"/>
  <c r="AK276" i="10"/>
  <c r="AK277" i="10"/>
  <c r="AK278" i="10"/>
  <c r="AK279" i="10"/>
  <c r="AK280" i="10"/>
  <c r="AK281" i="10"/>
  <c r="AK282" i="10"/>
  <c r="AK283" i="10"/>
  <c r="AK284" i="10"/>
  <c r="AK285" i="10"/>
  <c r="AK286" i="10"/>
  <c r="AK287" i="10"/>
  <c r="AK288" i="10"/>
  <c r="AK289" i="10"/>
  <c r="AK290" i="10"/>
  <c r="AK291" i="10"/>
  <c r="AK292" i="10"/>
  <c r="AK293" i="10"/>
  <c r="AK294" i="10"/>
  <c r="AK295" i="10"/>
  <c r="AK296" i="10"/>
  <c r="AK297" i="10"/>
  <c r="AK298" i="10"/>
  <c r="AK299" i="10"/>
  <c r="AK300" i="10"/>
  <c r="AK301" i="10"/>
  <c r="AK302" i="10"/>
  <c r="AK303" i="10"/>
  <c r="AK304" i="10"/>
  <c r="AK305" i="10"/>
  <c r="AK306" i="10"/>
  <c r="AK307" i="10"/>
  <c r="AK308" i="10"/>
  <c r="AK309" i="10"/>
  <c r="AK310" i="10"/>
  <c r="AK311" i="10"/>
  <c r="AK312" i="10"/>
  <c r="AK313" i="10"/>
  <c r="AK314" i="10"/>
  <c r="AK315" i="10"/>
  <c r="AK316" i="10"/>
  <c r="AK317" i="10"/>
  <c r="AK318" i="10"/>
  <c r="AK319" i="10"/>
  <c r="AK320" i="10"/>
  <c r="AK321" i="10"/>
  <c r="AK322" i="10"/>
  <c r="AK323" i="10"/>
  <c r="AK324" i="10"/>
  <c r="AK325" i="10"/>
  <c r="AK326" i="10"/>
  <c r="AK327" i="10"/>
  <c r="AK328" i="10"/>
  <c r="AK329" i="10"/>
  <c r="AK330" i="10"/>
  <c r="AK331" i="10"/>
  <c r="AK332" i="10"/>
  <c r="AK333" i="10"/>
  <c r="AK334" i="10"/>
  <c r="AK335" i="10"/>
  <c r="AK336" i="10"/>
  <c r="AK337" i="10"/>
  <c r="AK338" i="10"/>
  <c r="AK339" i="10"/>
  <c r="AK340" i="10"/>
  <c r="AK341" i="10"/>
  <c r="AL4" i="10"/>
  <c r="AL5" i="10"/>
  <c r="AL6" i="10"/>
  <c r="AL7" i="10"/>
  <c r="AL8" i="10"/>
  <c r="AL9" i="10"/>
  <c r="AL10" i="10"/>
  <c r="AL11" i="10"/>
  <c r="AL12" i="10"/>
  <c r="AL13" i="10"/>
  <c r="AL14" i="10"/>
  <c r="AL15" i="10"/>
  <c r="AL16" i="10"/>
  <c r="AL17" i="10"/>
  <c r="AL18" i="10"/>
  <c r="AL19" i="10"/>
  <c r="AL20" i="10"/>
  <c r="AL21" i="10"/>
  <c r="AL22" i="10"/>
  <c r="AL23" i="10"/>
  <c r="AL24" i="10"/>
  <c r="AL25" i="10"/>
  <c r="AL26" i="10"/>
  <c r="AL27" i="10"/>
  <c r="AL28" i="10"/>
  <c r="AL29" i="10"/>
  <c r="AL30" i="10"/>
  <c r="AL31" i="10"/>
  <c r="AL32" i="10"/>
  <c r="AL33" i="10"/>
  <c r="AL34" i="10"/>
  <c r="AL35" i="10"/>
  <c r="AL36" i="10"/>
  <c r="AL37" i="10"/>
  <c r="AL38" i="10"/>
  <c r="AL39" i="10"/>
  <c r="AL40" i="10"/>
  <c r="AL41" i="10"/>
  <c r="AL42" i="10"/>
  <c r="AL43" i="10"/>
  <c r="AL44" i="10"/>
  <c r="AL45" i="10"/>
  <c r="AL46" i="10"/>
  <c r="AL47" i="10"/>
  <c r="AL48" i="10"/>
  <c r="AL49" i="10"/>
  <c r="AL50" i="10"/>
  <c r="AL51" i="10"/>
  <c r="AL52" i="10"/>
  <c r="AL53" i="10"/>
  <c r="AL54" i="10"/>
  <c r="AL55" i="10"/>
  <c r="AL56" i="10"/>
  <c r="AL57" i="10"/>
  <c r="AL58" i="10"/>
  <c r="AL59" i="10"/>
  <c r="AL60" i="10"/>
  <c r="AL61" i="10"/>
  <c r="AL62" i="10"/>
  <c r="AL63" i="10"/>
  <c r="AL64" i="10"/>
  <c r="AL65" i="10"/>
  <c r="AL66" i="10"/>
  <c r="AL67" i="10"/>
  <c r="AL68" i="10"/>
  <c r="AL69" i="10"/>
  <c r="AL70" i="10"/>
  <c r="AL71" i="10"/>
  <c r="AL72" i="10"/>
  <c r="AL73" i="10"/>
  <c r="AL74" i="10"/>
  <c r="AL75" i="10"/>
  <c r="AL76" i="10"/>
  <c r="AL77" i="10"/>
  <c r="AL78" i="10"/>
  <c r="AL79" i="10"/>
  <c r="AL80" i="10"/>
  <c r="AL81" i="10"/>
  <c r="AL82" i="10"/>
  <c r="AL83" i="10"/>
  <c r="AL84" i="10"/>
  <c r="AL85" i="10"/>
  <c r="AL86" i="10"/>
  <c r="AL87" i="10"/>
  <c r="AL88" i="10"/>
  <c r="AL89" i="10"/>
  <c r="AL90" i="10"/>
  <c r="AL91" i="10"/>
  <c r="AL92" i="10"/>
  <c r="AL93" i="10"/>
  <c r="AL94" i="10"/>
  <c r="AL95" i="10"/>
  <c r="AL96" i="10"/>
  <c r="AL97" i="10"/>
  <c r="AL98" i="10"/>
  <c r="AL99" i="10"/>
  <c r="AL100" i="10"/>
  <c r="AL101" i="10"/>
  <c r="AL102" i="10"/>
  <c r="AL103" i="10"/>
  <c r="AL104" i="10"/>
  <c r="AL105" i="10"/>
  <c r="AL106" i="10"/>
  <c r="AL107" i="10"/>
  <c r="AL108" i="10"/>
  <c r="AL109" i="10"/>
  <c r="AL110" i="10"/>
  <c r="AL111" i="10"/>
  <c r="AL112" i="10"/>
  <c r="AL113" i="10"/>
  <c r="AL114" i="10"/>
  <c r="AL115" i="10"/>
  <c r="AL116" i="10"/>
  <c r="AL117" i="10"/>
  <c r="AL118" i="10"/>
  <c r="AL119" i="10"/>
  <c r="AL120" i="10"/>
  <c r="AL121" i="10"/>
  <c r="AL122" i="10"/>
  <c r="AL123" i="10"/>
  <c r="AL124" i="10"/>
  <c r="AL125" i="10"/>
  <c r="AL126" i="10"/>
  <c r="AL127" i="10"/>
  <c r="AL128" i="10"/>
  <c r="AL129" i="10"/>
  <c r="AL130" i="10"/>
  <c r="AL131" i="10"/>
  <c r="AL132" i="10"/>
  <c r="AL133" i="10"/>
  <c r="AL134" i="10"/>
  <c r="AL135" i="10"/>
  <c r="AL136" i="10"/>
  <c r="AL137" i="10"/>
  <c r="AL138" i="10"/>
  <c r="AL139" i="10"/>
  <c r="AL140" i="10"/>
  <c r="AL141" i="10"/>
  <c r="AL142" i="10"/>
  <c r="AL143" i="10"/>
  <c r="AL144" i="10"/>
  <c r="AL145" i="10"/>
  <c r="AL146" i="10"/>
  <c r="AL147" i="10"/>
  <c r="AL148" i="10"/>
  <c r="AL149" i="10"/>
  <c r="AL150" i="10"/>
  <c r="AL151" i="10"/>
  <c r="AL152" i="10"/>
  <c r="AL153" i="10"/>
  <c r="AL154" i="10"/>
  <c r="AL155" i="10"/>
  <c r="AL156" i="10"/>
  <c r="AL157" i="10"/>
  <c r="AL158" i="10"/>
  <c r="AL159" i="10"/>
  <c r="AL160" i="10"/>
  <c r="AL161" i="10"/>
  <c r="AL162" i="10"/>
  <c r="AL163" i="10"/>
  <c r="AL164" i="10"/>
  <c r="AL165" i="10"/>
  <c r="AL166" i="10"/>
  <c r="AL167" i="10"/>
  <c r="AL168" i="10"/>
  <c r="AL169" i="10"/>
  <c r="AL170" i="10"/>
  <c r="AL171" i="10"/>
  <c r="AL172" i="10"/>
  <c r="AL173" i="10"/>
  <c r="AL174" i="10"/>
  <c r="AL175" i="10"/>
  <c r="AL176" i="10"/>
  <c r="AL177" i="10"/>
  <c r="AL178" i="10"/>
  <c r="AL179" i="10"/>
  <c r="AL180" i="10"/>
  <c r="AL181" i="10"/>
  <c r="AL182" i="10"/>
  <c r="AL183" i="10"/>
  <c r="AL184" i="10"/>
  <c r="AL185" i="10"/>
  <c r="AL186" i="10"/>
  <c r="AL187" i="10"/>
  <c r="AL188" i="10"/>
  <c r="AL189" i="10"/>
  <c r="AL190" i="10"/>
  <c r="AL191" i="10"/>
  <c r="AL192" i="10"/>
  <c r="AL193" i="10"/>
  <c r="AL194" i="10"/>
  <c r="AL195" i="10"/>
  <c r="AL196" i="10"/>
  <c r="AL197" i="10"/>
  <c r="AL198" i="10"/>
  <c r="AL199" i="10"/>
  <c r="AL200" i="10"/>
  <c r="AL201" i="10"/>
  <c r="AL202" i="10"/>
  <c r="AL203" i="10"/>
  <c r="AL204" i="10"/>
  <c r="AL205" i="10"/>
  <c r="AL206" i="10"/>
  <c r="AL207" i="10"/>
  <c r="AL208" i="10"/>
  <c r="AL209" i="10"/>
  <c r="AL210" i="10"/>
  <c r="AL211" i="10"/>
  <c r="AL212" i="10"/>
  <c r="AL213" i="10"/>
  <c r="AL214" i="10"/>
  <c r="AL215" i="10"/>
  <c r="AL216" i="10"/>
  <c r="AL217" i="10"/>
  <c r="AL218" i="10"/>
  <c r="AL219" i="10"/>
  <c r="AL220" i="10"/>
  <c r="AL221" i="10"/>
  <c r="AL222" i="10"/>
  <c r="AL223" i="10"/>
  <c r="AL224" i="10"/>
  <c r="AL225" i="10"/>
  <c r="AL226" i="10"/>
  <c r="AL227" i="10"/>
  <c r="AL228" i="10"/>
  <c r="AL229" i="10"/>
  <c r="AL230" i="10"/>
  <c r="AL231" i="10"/>
  <c r="AL232" i="10"/>
  <c r="AL233" i="10"/>
  <c r="AL234" i="10"/>
  <c r="AL235" i="10"/>
  <c r="AL236" i="10"/>
  <c r="AL237" i="10"/>
  <c r="AL238" i="10"/>
  <c r="AL239" i="10"/>
  <c r="AL240" i="10"/>
  <c r="AL241" i="10"/>
  <c r="AL242" i="10"/>
  <c r="AL243" i="10"/>
  <c r="AL244" i="10"/>
  <c r="AL245" i="10"/>
  <c r="AL246" i="10"/>
  <c r="AL247" i="10"/>
  <c r="AL248" i="10"/>
  <c r="AL249" i="10"/>
  <c r="AL250" i="10"/>
  <c r="AL251" i="10"/>
  <c r="AL252" i="10"/>
  <c r="AL253" i="10"/>
  <c r="AL254" i="10"/>
  <c r="AL255" i="10"/>
  <c r="AL256" i="10"/>
  <c r="AL257" i="10"/>
  <c r="AL258" i="10"/>
  <c r="AL259" i="10"/>
  <c r="AL260" i="10"/>
  <c r="AL261" i="10"/>
  <c r="AL262" i="10"/>
  <c r="AL263" i="10"/>
  <c r="AL264" i="10"/>
  <c r="AL265" i="10"/>
  <c r="AL266" i="10"/>
  <c r="AL267" i="10"/>
  <c r="AL268" i="10"/>
  <c r="AL269" i="10"/>
  <c r="AL270" i="10"/>
  <c r="AL271" i="10"/>
  <c r="AL272" i="10"/>
  <c r="AL273" i="10"/>
  <c r="AL274" i="10"/>
  <c r="AL275" i="10"/>
  <c r="AL276" i="10"/>
  <c r="AL277" i="10"/>
  <c r="AL278" i="10"/>
  <c r="AL279" i="10"/>
  <c r="AL280" i="10"/>
  <c r="AL281" i="10"/>
  <c r="AL282" i="10"/>
  <c r="AL283" i="10"/>
  <c r="AL284" i="10"/>
  <c r="AL285" i="10"/>
  <c r="AL286" i="10"/>
  <c r="AL287" i="10"/>
  <c r="AL288" i="10"/>
  <c r="AL289" i="10"/>
  <c r="AL290" i="10"/>
  <c r="AL291" i="10"/>
  <c r="AL292" i="10"/>
  <c r="AL293" i="10"/>
  <c r="AL294" i="10"/>
  <c r="AL295" i="10"/>
  <c r="AL296" i="10"/>
  <c r="AL297" i="10"/>
  <c r="AL298" i="10"/>
  <c r="AL299" i="10"/>
  <c r="AL300" i="10"/>
  <c r="AL301" i="10"/>
  <c r="AL302" i="10"/>
  <c r="AL303" i="10"/>
  <c r="AL304" i="10"/>
  <c r="AL305" i="10"/>
  <c r="AL306" i="10"/>
  <c r="AL307" i="10"/>
  <c r="AL308" i="10"/>
  <c r="AL309" i="10"/>
  <c r="AL310" i="10"/>
  <c r="AL311" i="10"/>
  <c r="AL312" i="10"/>
  <c r="AL313" i="10"/>
  <c r="AL314" i="10"/>
  <c r="AL315" i="10"/>
  <c r="AL316" i="10"/>
  <c r="AL317" i="10"/>
  <c r="AL318" i="10"/>
  <c r="AL319" i="10"/>
  <c r="AL320" i="10"/>
  <c r="AL321" i="10"/>
  <c r="AL322" i="10"/>
  <c r="AL323" i="10"/>
  <c r="AL324" i="10"/>
  <c r="AL325" i="10"/>
  <c r="AL326" i="10"/>
  <c r="AL327" i="10"/>
  <c r="AL328" i="10"/>
  <c r="AL329" i="10"/>
  <c r="AL330" i="10"/>
  <c r="AL331" i="10"/>
  <c r="AL332" i="10"/>
  <c r="AL333" i="10"/>
  <c r="AL334" i="10"/>
  <c r="AL335" i="10"/>
  <c r="AL336" i="10"/>
  <c r="AL337" i="10"/>
  <c r="AL338" i="10"/>
  <c r="AL339" i="10"/>
  <c r="AL340" i="10"/>
  <c r="AL341" i="10"/>
  <c r="AO4" i="10"/>
  <c r="AO5" i="10"/>
  <c r="AO6" i="10"/>
  <c r="AO7" i="10"/>
  <c r="AO8" i="10"/>
  <c r="AO9" i="10"/>
  <c r="AO10" i="10"/>
  <c r="AO11" i="10"/>
  <c r="AO12" i="10"/>
  <c r="AO13" i="10"/>
  <c r="AO14" i="10"/>
  <c r="AO15" i="10"/>
  <c r="AO16" i="10"/>
  <c r="AO17" i="10"/>
  <c r="AO18" i="10"/>
  <c r="AO19" i="10"/>
  <c r="AO20" i="10"/>
  <c r="AO21" i="10"/>
  <c r="AO22" i="10"/>
  <c r="AO23" i="10"/>
  <c r="AO24" i="10"/>
  <c r="AO25" i="10"/>
  <c r="AO26" i="10"/>
  <c r="AO27" i="10"/>
  <c r="AO28" i="10"/>
  <c r="AO29" i="10"/>
  <c r="AO30" i="10"/>
  <c r="AO31" i="10"/>
  <c r="AO32" i="10"/>
  <c r="AO33" i="10"/>
  <c r="AO34" i="10"/>
  <c r="AO35" i="10"/>
  <c r="AO36" i="10"/>
  <c r="AO37" i="10"/>
  <c r="AO38" i="10"/>
  <c r="AO39" i="10"/>
  <c r="AO40" i="10"/>
  <c r="AO41" i="10"/>
  <c r="AO42" i="10"/>
  <c r="AO43" i="10"/>
  <c r="AO44" i="10"/>
  <c r="AO45" i="10"/>
  <c r="AO46" i="10"/>
  <c r="AO47" i="10"/>
  <c r="AO48" i="10"/>
  <c r="AO49" i="10"/>
  <c r="AO50" i="10"/>
  <c r="AO51" i="10"/>
  <c r="AO52" i="10"/>
  <c r="AO53" i="10"/>
  <c r="AO54" i="10"/>
  <c r="AO55" i="10"/>
  <c r="AO56" i="10"/>
  <c r="AO57" i="10"/>
  <c r="AO58" i="10"/>
  <c r="AO59" i="10"/>
  <c r="AO60" i="10"/>
  <c r="AO61" i="10"/>
  <c r="AO62" i="10"/>
  <c r="AO63" i="10"/>
  <c r="AO64" i="10"/>
  <c r="AO65" i="10"/>
  <c r="AO66" i="10"/>
  <c r="AO67" i="10"/>
  <c r="AO68" i="10"/>
  <c r="AO69" i="10"/>
  <c r="AO70" i="10"/>
  <c r="AO71" i="10"/>
  <c r="AO72" i="10"/>
  <c r="AO73" i="10"/>
  <c r="AO74" i="10"/>
  <c r="AO75" i="10"/>
  <c r="AO76" i="10"/>
  <c r="AO77" i="10"/>
  <c r="AO78" i="10"/>
  <c r="AO79" i="10"/>
  <c r="AO80" i="10"/>
  <c r="AO81" i="10"/>
  <c r="AO82" i="10"/>
  <c r="AO83" i="10"/>
  <c r="AO84" i="10"/>
  <c r="AO85" i="10"/>
  <c r="AO86" i="10"/>
  <c r="AO87" i="10"/>
  <c r="AO88" i="10"/>
  <c r="AO89" i="10"/>
  <c r="AO90" i="10"/>
  <c r="AO91" i="10"/>
  <c r="AO92" i="10"/>
  <c r="AO93" i="10"/>
  <c r="AO94" i="10"/>
  <c r="AO95" i="10"/>
  <c r="AO96" i="10"/>
  <c r="AO97" i="10"/>
  <c r="AO98" i="10"/>
  <c r="AO99" i="10"/>
  <c r="AO100" i="10"/>
  <c r="AO101" i="10"/>
  <c r="AO102" i="10"/>
  <c r="AO103" i="10"/>
  <c r="AO104" i="10"/>
  <c r="AO105" i="10"/>
  <c r="AO106" i="10"/>
  <c r="AO107" i="10"/>
  <c r="AO108" i="10"/>
  <c r="AO109" i="10"/>
  <c r="AO110" i="10"/>
  <c r="AO111" i="10"/>
  <c r="AO112" i="10"/>
  <c r="AO113" i="10"/>
  <c r="AO114" i="10"/>
  <c r="AO115" i="10"/>
  <c r="AO116" i="10"/>
  <c r="AO117" i="10"/>
  <c r="AO118" i="10"/>
  <c r="AO119" i="10"/>
  <c r="AO120" i="10"/>
  <c r="AO121" i="10"/>
  <c r="AO122" i="10"/>
  <c r="AO123" i="10"/>
  <c r="AO124" i="10"/>
  <c r="AO125" i="10"/>
  <c r="AO126" i="10"/>
  <c r="AO127" i="10"/>
  <c r="AO128" i="10"/>
  <c r="AO129" i="10"/>
  <c r="AO130" i="10"/>
  <c r="AO131" i="10"/>
  <c r="AO132" i="10"/>
  <c r="AO133" i="10"/>
  <c r="AO134" i="10"/>
  <c r="AO135" i="10"/>
  <c r="AO136" i="10"/>
  <c r="AO137" i="10"/>
  <c r="AO138" i="10"/>
  <c r="AO139" i="10"/>
  <c r="AO140" i="10"/>
  <c r="AO141" i="10"/>
  <c r="AO142" i="10"/>
  <c r="AO143" i="10"/>
  <c r="AO144" i="10"/>
  <c r="AO145" i="10"/>
  <c r="AO146" i="10"/>
  <c r="AO147" i="10"/>
  <c r="AO148" i="10"/>
  <c r="AO149" i="10"/>
  <c r="AO150" i="10"/>
  <c r="AO151" i="10"/>
  <c r="AO152" i="10"/>
  <c r="AO153" i="10"/>
  <c r="AO154" i="10"/>
  <c r="AO155" i="10"/>
  <c r="AO156" i="10"/>
  <c r="AO157" i="10"/>
  <c r="AO158" i="10"/>
  <c r="AO159" i="10"/>
  <c r="AO160" i="10"/>
  <c r="AO161" i="10"/>
  <c r="AO162" i="10"/>
  <c r="AO163" i="10"/>
  <c r="AO164" i="10"/>
  <c r="AO165" i="10"/>
  <c r="AO166" i="10"/>
  <c r="AO167" i="10"/>
  <c r="AO168" i="10"/>
  <c r="AO169" i="10"/>
  <c r="AO170" i="10"/>
  <c r="AO171" i="10"/>
  <c r="AO172" i="10"/>
  <c r="AO173" i="10"/>
  <c r="AO174" i="10"/>
  <c r="AO175" i="10"/>
  <c r="AO176" i="10"/>
  <c r="AO177" i="10"/>
  <c r="AO178" i="10"/>
  <c r="AO179" i="10"/>
  <c r="AO180" i="10"/>
  <c r="AO181" i="10"/>
  <c r="AO182" i="10"/>
  <c r="AO183" i="10"/>
  <c r="AO184" i="10"/>
  <c r="AO185" i="10"/>
  <c r="AO186" i="10"/>
  <c r="AO187" i="10"/>
  <c r="AO188" i="10"/>
  <c r="AO189" i="10"/>
  <c r="AO190" i="10"/>
  <c r="AO191" i="10"/>
  <c r="AO192" i="10"/>
  <c r="AO193" i="10"/>
  <c r="AO194" i="10"/>
  <c r="AO195" i="10"/>
  <c r="AO196" i="10"/>
  <c r="AO197" i="10"/>
  <c r="AO198" i="10"/>
  <c r="AO199" i="10"/>
  <c r="AO200" i="10"/>
  <c r="AO201" i="10"/>
  <c r="AO202" i="10"/>
  <c r="AO203" i="10"/>
  <c r="AO204" i="10"/>
  <c r="AO205" i="10"/>
  <c r="AO206" i="10"/>
  <c r="AO207" i="10"/>
  <c r="AO208" i="10"/>
  <c r="AO209" i="10"/>
  <c r="AO210" i="10"/>
  <c r="AO211" i="10"/>
  <c r="AO212" i="10"/>
  <c r="AO213" i="10"/>
  <c r="AO214" i="10"/>
  <c r="AO215" i="10"/>
  <c r="AO216" i="10"/>
  <c r="AO217" i="10"/>
  <c r="AO218" i="10"/>
  <c r="AO219" i="10"/>
  <c r="AO220" i="10"/>
  <c r="AO221" i="10"/>
  <c r="AO222" i="10"/>
  <c r="AO223" i="10"/>
  <c r="AO224" i="10"/>
  <c r="AO225" i="10"/>
  <c r="AO226" i="10"/>
  <c r="AO227" i="10"/>
  <c r="AO228" i="10"/>
  <c r="AO229" i="10"/>
  <c r="AO230" i="10"/>
  <c r="AO231" i="10"/>
  <c r="AO232" i="10"/>
  <c r="AO233" i="10"/>
  <c r="AO234" i="10"/>
  <c r="AO235" i="10"/>
  <c r="AO236" i="10"/>
  <c r="AO237" i="10"/>
  <c r="AO238" i="10"/>
  <c r="AO239" i="10"/>
  <c r="AO240" i="10"/>
  <c r="AO241" i="10"/>
  <c r="AO242" i="10"/>
  <c r="AO243" i="10"/>
  <c r="AO244" i="10"/>
  <c r="AO245" i="10"/>
  <c r="AO246" i="10"/>
  <c r="AO247" i="10"/>
  <c r="AO248" i="10"/>
  <c r="AO249" i="10"/>
  <c r="AO250" i="10"/>
  <c r="AO251" i="10"/>
  <c r="AO252" i="10"/>
  <c r="AO253" i="10"/>
  <c r="AO254" i="10"/>
  <c r="AO255" i="10"/>
  <c r="AO256" i="10"/>
  <c r="AO257" i="10"/>
  <c r="AO258" i="10"/>
  <c r="AO259" i="10"/>
  <c r="AO260" i="10"/>
  <c r="AO261" i="10"/>
  <c r="AO262" i="10"/>
  <c r="AO263" i="10"/>
  <c r="AO264" i="10"/>
  <c r="AO265" i="10"/>
  <c r="AO266" i="10"/>
  <c r="AO267" i="10"/>
  <c r="AO268" i="10"/>
  <c r="AO269" i="10"/>
  <c r="AO270" i="10"/>
  <c r="AO271" i="10"/>
  <c r="AO272" i="10"/>
  <c r="AO273" i="10"/>
  <c r="AO274" i="10"/>
  <c r="AO275" i="10"/>
  <c r="AO276" i="10"/>
  <c r="AO277" i="10"/>
  <c r="AO278" i="10"/>
  <c r="AO279" i="10"/>
  <c r="AO280" i="10"/>
  <c r="AO281" i="10"/>
  <c r="AO282" i="10"/>
  <c r="AO283" i="10"/>
  <c r="AO284" i="10"/>
  <c r="AO285" i="10"/>
  <c r="AO286" i="10"/>
  <c r="AO287" i="10"/>
  <c r="AO288" i="10"/>
  <c r="AO289" i="10"/>
  <c r="AO290" i="10"/>
  <c r="AO291" i="10"/>
  <c r="AO292" i="10"/>
  <c r="AO293" i="10"/>
  <c r="AO294" i="10"/>
  <c r="AO295" i="10"/>
  <c r="AO296" i="10"/>
  <c r="AO297" i="10"/>
  <c r="AO298" i="10"/>
  <c r="AO299" i="10"/>
  <c r="AO300" i="10"/>
  <c r="AO301" i="10"/>
  <c r="AO302" i="10"/>
  <c r="AO303" i="10"/>
  <c r="AO304" i="10"/>
  <c r="AO305" i="10"/>
  <c r="AO306" i="10"/>
  <c r="AO307" i="10"/>
  <c r="AO308" i="10"/>
  <c r="AO309" i="10"/>
  <c r="AO310" i="10"/>
  <c r="AO311" i="10"/>
  <c r="AO312" i="10"/>
  <c r="AO313" i="10"/>
  <c r="AO314" i="10"/>
  <c r="AO315" i="10"/>
  <c r="AO316" i="10"/>
  <c r="AO317" i="10"/>
  <c r="AO318" i="10"/>
  <c r="AO319" i="10"/>
  <c r="AO320" i="10"/>
  <c r="AO321" i="10"/>
  <c r="AO322" i="10"/>
  <c r="AO323" i="10"/>
  <c r="AO324" i="10"/>
  <c r="AO325" i="10"/>
  <c r="AO326" i="10"/>
  <c r="AO327" i="10"/>
  <c r="AO328" i="10"/>
  <c r="AO329" i="10"/>
  <c r="AO330" i="10"/>
  <c r="AO331" i="10"/>
  <c r="AO332" i="10"/>
  <c r="AO333" i="10"/>
  <c r="AO334" i="10"/>
  <c r="AO335" i="10"/>
  <c r="AO336" i="10"/>
  <c r="AO337" i="10"/>
  <c r="AO338" i="10"/>
  <c r="AO339" i="10"/>
  <c r="AO340" i="10"/>
  <c r="AO341" i="10"/>
  <c r="AP4" i="10"/>
  <c r="AP5" i="10"/>
  <c r="AP6" i="10"/>
  <c r="AP7" i="10"/>
  <c r="AP8" i="10"/>
  <c r="AP9" i="10"/>
  <c r="AP10" i="10"/>
  <c r="AP11" i="10"/>
  <c r="AP12" i="10"/>
  <c r="AP13" i="10"/>
  <c r="AP14" i="10"/>
  <c r="AP15" i="10"/>
  <c r="AP16" i="10"/>
  <c r="AP17" i="10"/>
  <c r="AP18" i="10"/>
  <c r="AP19" i="10"/>
  <c r="AP20" i="10"/>
  <c r="AP21" i="10"/>
  <c r="AP22" i="10"/>
  <c r="AP23" i="10"/>
  <c r="AP24" i="10"/>
  <c r="AP25" i="10"/>
  <c r="AP26" i="10"/>
  <c r="AP27" i="10"/>
  <c r="AP28" i="10"/>
  <c r="AP29" i="10"/>
  <c r="AP30" i="10"/>
  <c r="AP31" i="10"/>
  <c r="AP32" i="10"/>
  <c r="AP33" i="10"/>
  <c r="AP34" i="10"/>
  <c r="AP35" i="10"/>
  <c r="AP36" i="10"/>
  <c r="AP37" i="10"/>
  <c r="AP38" i="10"/>
  <c r="AP39" i="10"/>
  <c r="AP40" i="10"/>
  <c r="AP41" i="10"/>
  <c r="AP42" i="10"/>
  <c r="AP43" i="10"/>
  <c r="AP44" i="10"/>
  <c r="AP45" i="10"/>
  <c r="AP46" i="10"/>
  <c r="AP47" i="10"/>
  <c r="AP48" i="10"/>
  <c r="AP49" i="10"/>
  <c r="AP50" i="10"/>
  <c r="AP51" i="10"/>
  <c r="AP52" i="10"/>
  <c r="AP53" i="10"/>
  <c r="AP54" i="10"/>
  <c r="AP55" i="10"/>
  <c r="AP56" i="10"/>
  <c r="AP57" i="10"/>
  <c r="AP58" i="10"/>
  <c r="AP59" i="10"/>
  <c r="AP60" i="10"/>
  <c r="AP61" i="10"/>
  <c r="AP62" i="10"/>
  <c r="AP63" i="10"/>
  <c r="AP64" i="10"/>
  <c r="AP65" i="10"/>
  <c r="AP66" i="10"/>
  <c r="AP67" i="10"/>
  <c r="AP68" i="10"/>
  <c r="AP69" i="10"/>
  <c r="AP70" i="10"/>
  <c r="AP71" i="10"/>
  <c r="AP72" i="10"/>
  <c r="AP73" i="10"/>
  <c r="AP74" i="10"/>
  <c r="AP75" i="10"/>
  <c r="AP76" i="10"/>
  <c r="AP77" i="10"/>
  <c r="AP78" i="10"/>
  <c r="AP79" i="10"/>
  <c r="AP80" i="10"/>
  <c r="AP81" i="10"/>
  <c r="AP82" i="10"/>
  <c r="AP83" i="10"/>
  <c r="AP84" i="10"/>
  <c r="AP85" i="10"/>
  <c r="AP86" i="10"/>
  <c r="AP87" i="10"/>
  <c r="AP88" i="10"/>
  <c r="AP89" i="10"/>
  <c r="AP90" i="10"/>
  <c r="AP91" i="10"/>
  <c r="AP92" i="10"/>
  <c r="AP93" i="10"/>
  <c r="AP94" i="10"/>
  <c r="AP95" i="10"/>
  <c r="AP96" i="10"/>
  <c r="AP97" i="10"/>
  <c r="AP98" i="10"/>
  <c r="AP99" i="10"/>
  <c r="AP100" i="10"/>
  <c r="AP101" i="10"/>
  <c r="AP102" i="10"/>
  <c r="AP103" i="10"/>
  <c r="AP104" i="10"/>
  <c r="AP105" i="10"/>
  <c r="AP106" i="10"/>
  <c r="AP107" i="10"/>
  <c r="AP108" i="10"/>
  <c r="AP109" i="10"/>
  <c r="AP110" i="10"/>
  <c r="AP111" i="10"/>
  <c r="AP112" i="10"/>
  <c r="AP113" i="10"/>
  <c r="AP114" i="10"/>
  <c r="AP115" i="10"/>
  <c r="AP116" i="10"/>
  <c r="AP117" i="10"/>
  <c r="AP118" i="10"/>
  <c r="AP119" i="10"/>
  <c r="AP120" i="10"/>
  <c r="AP121" i="10"/>
  <c r="AP122" i="10"/>
  <c r="AP123" i="10"/>
  <c r="AP124" i="10"/>
  <c r="AP125" i="10"/>
  <c r="AP126" i="10"/>
  <c r="AP127" i="10"/>
  <c r="AP128" i="10"/>
  <c r="AP129" i="10"/>
  <c r="AP130" i="10"/>
  <c r="AP131" i="10"/>
  <c r="AP132" i="10"/>
  <c r="AP133" i="10"/>
  <c r="AP134" i="10"/>
  <c r="AP135" i="10"/>
  <c r="AP136" i="10"/>
  <c r="AP137" i="10"/>
  <c r="AP138" i="10"/>
  <c r="AP139" i="10"/>
  <c r="AP140" i="10"/>
  <c r="AP141" i="10"/>
  <c r="AP142" i="10"/>
  <c r="AP143" i="10"/>
  <c r="AP144" i="10"/>
  <c r="AP145" i="10"/>
  <c r="AP146" i="10"/>
  <c r="AP147" i="10"/>
  <c r="AP148" i="10"/>
  <c r="AP149" i="10"/>
  <c r="AP150" i="10"/>
  <c r="AP151" i="10"/>
  <c r="AP152" i="10"/>
  <c r="AP153" i="10"/>
  <c r="AP154" i="10"/>
  <c r="AP155" i="10"/>
  <c r="AP156" i="10"/>
  <c r="AP157" i="10"/>
  <c r="AP158" i="10"/>
  <c r="AP159" i="10"/>
  <c r="AP160" i="10"/>
  <c r="AP161" i="10"/>
  <c r="AP162" i="10"/>
  <c r="AP163" i="10"/>
  <c r="AP164" i="10"/>
  <c r="AP165" i="10"/>
  <c r="AP166" i="10"/>
  <c r="AP167" i="10"/>
  <c r="AP168" i="10"/>
  <c r="AP169" i="10"/>
  <c r="AP170" i="10"/>
  <c r="AP171" i="10"/>
  <c r="AP172" i="10"/>
  <c r="AP173" i="10"/>
  <c r="AP174" i="10"/>
  <c r="AP175" i="10"/>
  <c r="AP176" i="10"/>
  <c r="AP177" i="10"/>
  <c r="AP178" i="10"/>
  <c r="AP179" i="10"/>
  <c r="AP180" i="10"/>
  <c r="AP181" i="10"/>
  <c r="AP182" i="10"/>
  <c r="AP183" i="10"/>
  <c r="AP184" i="10"/>
  <c r="AP185" i="10"/>
  <c r="AP186" i="10"/>
  <c r="AP187" i="10"/>
  <c r="AP188" i="10"/>
  <c r="AP189" i="10"/>
  <c r="AP190" i="10"/>
  <c r="AP191" i="10"/>
  <c r="AP192" i="10"/>
  <c r="AP193" i="10"/>
  <c r="AP194" i="10"/>
  <c r="AP195" i="10"/>
  <c r="AP196" i="10"/>
  <c r="AP197" i="10"/>
  <c r="AP198" i="10"/>
  <c r="AP199" i="10"/>
  <c r="AP200" i="10"/>
  <c r="AP201" i="10"/>
  <c r="AP202" i="10"/>
  <c r="AP203" i="10"/>
  <c r="AP204" i="10"/>
  <c r="AP205" i="10"/>
  <c r="AP206" i="10"/>
  <c r="AP207" i="10"/>
  <c r="AP208" i="10"/>
  <c r="AP209" i="10"/>
  <c r="AP210" i="10"/>
  <c r="AP211" i="10"/>
  <c r="AP212" i="10"/>
  <c r="AP213" i="10"/>
  <c r="AP214" i="10"/>
  <c r="AP215" i="10"/>
  <c r="AP216" i="10"/>
  <c r="AP217" i="10"/>
  <c r="AP218" i="10"/>
  <c r="AP219" i="10"/>
  <c r="AP220" i="10"/>
  <c r="AP221" i="10"/>
  <c r="AP222" i="10"/>
  <c r="AP223" i="10"/>
  <c r="AP224" i="10"/>
  <c r="AP225" i="10"/>
  <c r="AP226" i="10"/>
  <c r="AP227" i="10"/>
  <c r="AP228" i="10"/>
  <c r="AP229" i="10"/>
  <c r="AP230" i="10"/>
  <c r="AP231" i="10"/>
  <c r="AP232" i="10"/>
  <c r="AP233" i="10"/>
  <c r="AP234" i="10"/>
  <c r="AP235" i="10"/>
  <c r="AP236" i="10"/>
  <c r="AP237" i="10"/>
  <c r="AP238" i="10"/>
  <c r="AP239" i="10"/>
  <c r="AP240" i="10"/>
  <c r="AP241" i="10"/>
  <c r="AP242" i="10"/>
  <c r="AP243" i="10"/>
  <c r="AP244" i="10"/>
  <c r="AP245" i="10"/>
  <c r="AP246" i="10"/>
  <c r="AP247" i="10"/>
  <c r="AP248" i="10"/>
  <c r="AP249" i="10"/>
  <c r="AP250" i="10"/>
  <c r="AP251" i="10"/>
  <c r="AP252" i="10"/>
  <c r="AP253" i="10"/>
  <c r="AP254" i="10"/>
  <c r="AP255" i="10"/>
  <c r="AP256" i="10"/>
  <c r="AP257" i="10"/>
  <c r="AP258" i="10"/>
  <c r="AP259" i="10"/>
  <c r="AP260" i="10"/>
  <c r="AP261" i="10"/>
  <c r="AP262" i="10"/>
  <c r="AP263" i="10"/>
  <c r="AP264" i="10"/>
  <c r="AP265" i="10"/>
  <c r="AP266" i="10"/>
  <c r="AP267" i="10"/>
  <c r="AP268" i="10"/>
  <c r="AP269" i="10"/>
  <c r="AP270" i="10"/>
  <c r="AP271" i="10"/>
  <c r="AP272" i="10"/>
  <c r="AP273" i="10"/>
  <c r="AP274" i="10"/>
  <c r="AP275" i="10"/>
  <c r="AP276" i="10"/>
  <c r="AP277" i="10"/>
  <c r="AP278" i="10"/>
  <c r="AP279" i="10"/>
  <c r="AP280" i="10"/>
  <c r="AP281" i="10"/>
  <c r="AP282" i="10"/>
  <c r="AP283" i="10"/>
  <c r="AP284" i="10"/>
  <c r="AP285" i="10"/>
  <c r="AP286" i="10"/>
  <c r="AP287" i="10"/>
  <c r="AP288" i="10"/>
  <c r="AP289" i="10"/>
  <c r="AP290" i="10"/>
  <c r="AP291" i="10"/>
  <c r="AP292" i="10"/>
  <c r="AP293" i="10"/>
  <c r="AP294" i="10"/>
  <c r="AP295" i="10"/>
  <c r="AP296" i="10"/>
  <c r="AP297" i="10"/>
  <c r="AP298" i="10"/>
  <c r="AP299" i="10"/>
  <c r="AP300" i="10"/>
  <c r="AP301" i="10"/>
  <c r="AP302" i="10"/>
  <c r="AP303" i="10"/>
  <c r="AP304" i="10"/>
  <c r="AP305" i="10"/>
  <c r="AP306" i="10"/>
  <c r="AP307" i="10"/>
  <c r="AP308" i="10"/>
  <c r="AP309" i="10"/>
  <c r="AP310" i="10"/>
  <c r="AP311" i="10"/>
  <c r="AP312" i="10"/>
  <c r="AP313" i="10"/>
  <c r="AP314" i="10"/>
  <c r="AP315" i="10"/>
  <c r="AP316" i="10"/>
  <c r="AP317" i="10"/>
  <c r="AP318" i="10"/>
  <c r="AP319" i="10"/>
  <c r="AP320" i="10"/>
  <c r="AP321" i="10"/>
  <c r="AP322" i="10"/>
  <c r="AP323" i="10"/>
  <c r="AP324" i="10"/>
  <c r="AP325" i="10"/>
  <c r="AP326" i="10"/>
  <c r="AP327" i="10"/>
  <c r="AP328" i="10"/>
  <c r="AP329" i="10"/>
  <c r="AP330" i="10"/>
  <c r="AP331" i="10"/>
  <c r="AP332" i="10"/>
  <c r="AP333" i="10"/>
  <c r="AP334" i="10"/>
  <c r="AP335" i="10"/>
  <c r="AP336" i="10"/>
  <c r="AP337" i="10"/>
  <c r="AP338" i="10"/>
  <c r="AP339" i="10"/>
  <c r="AP340" i="10"/>
  <c r="AP341" i="10"/>
  <c r="AQ4" i="10"/>
  <c r="AQ5" i="10"/>
  <c r="AQ6" i="10"/>
  <c r="AQ7" i="10"/>
  <c r="AQ8" i="10"/>
  <c r="AQ9" i="10"/>
  <c r="AQ10" i="10"/>
  <c r="AQ11" i="10"/>
  <c r="AQ12" i="10"/>
  <c r="AQ13" i="10"/>
  <c r="AQ14" i="10"/>
  <c r="AQ15" i="10"/>
  <c r="AQ16" i="10"/>
  <c r="AQ17" i="10"/>
  <c r="AQ18" i="10"/>
  <c r="AQ19" i="10"/>
  <c r="AQ20" i="10"/>
  <c r="AQ21" i="10"/>
  <c r="AQ22" i="10"/>
  <c r="AQ23" i="10"/>
  <c r="AQ24" i="10"/>
  <c r="AQ25" i="10"/>
  <c r="AQ26" i="10"/>
  <c r="AQ27" i="10"/>
  <c r="AQ28" i="10"/>
  <c r="AQ29" i="10"/>
  <c r="AQ30" i="10"/>
  <c r="AQ31" i="10"/>
  <c r="AQ32" i="10"/>
  <c r="AQ33" i="10"/>
  <c r="AQ34" i="10"/>
  <c r="AQ35" i="10"/>
  <c r="AQ36" i="10"/>
  <c r="AQ37" i="10"/>
  <c r="AQ38" i="10"/>
  <c r="AQ39" i="10"/>
  <c r="AQ40" i="10"/>
  <c r="AQ41" i="10"/>
  <c r="AQ42" i="10"/>
  <c r="AQ43" i="10"/>
  <c r="AQ44" i="10"/>
  <c r="AQ45" i="10"/>
  <c r="AQ46" i="10"/>
  <c r="AQ47" i="10"/>
  <c r="AQ48" i="10"/>
  <c r="AQ49" i="10"/>
  <c r="AQ50" i="10"/>
  <c r="AQ51" i="10"/>
  <c r="AQ52" i="10"/>
  <c r="AQ53" i="10"/>
  <c r="AQ54" i="10"/>
  <c r="AQ55" i="10"/>
  <c r="AQ56" i="10"/>
  <c r="AQ57" i="10"/>
  <c r="AQ58" i="10"/>
  <c r="AQ59" i="10"/>
  <c r="AQ60" i="10"/>
  <c r="AQ61" i="10"/>
  <c r="AQ62" i="10"/>
  <c r="AQ63" i="10"/>
  <c r="AQ64" i="10"/>
  <c r="AQ65" i="10"/>
  <c r="AQ66" i="10"/>
  <c r="AQ67" i="10"/>
  <c r="AQ68" i="10"/>
  <c r="AQ69" i="10"/>
  <c r="AQ70" i="10"/>
  <c r="AQ71" i="10"/>
  <c r="AQ72" i="10"/>
  <c r="AQ73" i="10"/>
  <c r="AQ74" i="10"/>
  <c r="AQ75" i="10"/>
  <c r="AQ76" i="10"/>
  <c r="AQ77" i="10"/>
  <c r="AQ78" i="10"/>
  <c r="AQ79" i="10"/>
  <c r="AQ80" i="10"/>
  <c r="AQ81" i="10"/>
  <c r="AQ82" i="10"/>
  <c r="AQ83" i="10"/>
  <c r="AQ84" i="10"/>
  <c r="AQ85" i="10"/>
  <c r="AQ86" i="10"/>
  <c r="AQ87" i="10"/>
  <c r="AQ88" i="10"/>
  <c r="AQ89" i="10"/>
  <c r="AQ90" i="10"/>
  <c r="AQ91" i="10"/>
  <c r="AQ92" i="10"/>
  <c r="AQ93" i="10"/>
  <c r="AQ94" i="10"/>
  <c r="AQ95" i="10"/>
  <c r="AQ96" i="10"/>
  <c r="AQ97" i="10"/>
  <c r="AQ98" i="10"/>
  <c r="AQ99" i="10"/>
  <c r="AQ100" i="10"/>
  <c r="AQ101" i="10"/>
  <c r="AQ102" i="10"/>
  <c r="AQ103" i="10"/>
  <c r="AQ104" i="10"/>
  <c r="AQ105" i="10"/>
  <c r="AQ106" i="10"/>
  <c r="AQ107" i="10"/>
  <c r="AQ108" i="10"/>
  <c r="AQ109" i="10"/>
  <c r="AQ110" i="10"/>
  <c r="AQ111" i="10"/>
  <c r="AQ112" i="10"/>
  <c r="AQ113" i="10"/>
  <c r="AQ114" i="10"/>
  <c r="AQ115" i="10"/>
  <c r="AQ116" i="10"/>
  <c r="AQ117" i="10"/>
  <c r="AQ118" i="10"/>
  <c r="AQ119" i="10"/>
  <c r="AQ120" i="10"/>
  <c r="AQ121" i="10"/>
  <c r="AQ122" i="10"/>
  <c r="AQ123" i="10"/>
  <c r="AQ124" i="10"/>
  <c r="AQ125" i="10"/>
  <c r="AQ126" i="10"/>
  <c r="AQ127" i="10"/>
  <c r="AQ128" i="10"/>
  <c r="AQ129" i="10"/>
  <c r="AQ130" i="10"/>
  <c r="AQ131" i="10"/>
  <c r="AQ132" i="10"/>
  <c r="AQ133" i="10"/>
  <c r="AQ134" i="10"/>
  <c r="AQ135" i="10"/>
  <c r="AQ136" i="10"/>
  <c r="AQ137" i="10"/>
  <c r="AQ138" i="10"/>
  <c r="AQ139" i="10"/>
  <c r="AQ140" i="10"/>
  <c r="AQ141" i="10"/>
  <c r="AQ142" i="10"/>
  <c r="AQ143" i="10"/>
  <c r="AQ144" i="10"/>
  <c r="AQ145" i="10"/>
  <c r="AQ146" i="10"/>
  <c r="AQ147" i="10"/>
  <c r="AQ148" i="10"/>
  <c r="AQ149" i="10"/>
  <c r="AQ150" i="10"/>
  <c r="AQ151" i="10"/>
  <c r="AQ152" i="10"/>
  <c r="AQ153" i="10"/>
  <c r="AQ154" i="10"/>
  <c r="AQ155" i="10"/>
  <c r="AQ156" i="10"/>
  <c r="AQ157" i="10"/>
  <c r="AQ158" i="10"/>
  <c r="AQ159" i="10"/>
  <c r="AQ160" i="10"/>
  <c r="AQ161" i="10"/>
  <c r="AQ162" i="10"/>
  <c r="AQ163" i="10"/>
  <c r="AQ164" i="10"/>
  <c r="AQ165" i="10"/>
  <c r="AQ166" i="10"/>
  <c r="AQ167" i="10"/>
  <c r="AQ168" i="10"/>
  <c r="AQ169" i="10"/>
  <c r="AQ170" i="10"/>
  <c r="AQ171" i="10"/>
  <c r="AQ172" i="10"/>
  <c r="AQ173" i="10"/>
  <c r="AQ174" i="10"/>
  <c r="AQ175" i="10"/>
  <c r="AQ176" i="10"/>
  <c r="AQ177" i="10"/>
  <c r="AQ178" i="10"/>
  <c r="AQ179" i="10"/>
  <c r="AQ180" i="10"/>
  <c r="AQ181" i="10"/>
  <c r="AQ182" i="10"/>
  <c r="AQ183" i="10"/>
  <c r="AQ184" i="10"/>
  <c r="AQ185" i="10"/>
  <c r="AQ186" i="10"/>
  <c r="AQ187" i="10"/>
  <c r="AQ188" i="10"/>
  <c r="AQ189" i="10"/>
  <c r="AQ190" i="10"/>
  <c r="AQ191" i="10"/>
  <c r="AQ192" i="10"/>
  <c r="AQ193" i="10"/>
  <c r="AQ194" i="10"/>
  <c r="AQ195" i="10"/>
  <c r="AQ196" i="10"/>
  <c r="AQ197" i="10"/>
  <c r="AQ198" i="10"/>
  <c r="AQ199" i="10"/>
  <c r="AQ200" i="10"/>
  <c r="AQ201" i="10"/>
  <c r="AQ202" i="10"/>
  <c r="AQ203" i="10"/>
  <c r="AQ204" i="10"/>
  <c r="AQ205" i="10"/>
  <c r="AQ206" i="10"/>
  <c r="AQ207" i="10"/>
  <c r="AQ208" i="10"/>
  <c r="AQ209" i="10"/>
  <c r="AQ210" i="10"/>
  <c r="AQ211" i="10"/>
  <c r="AQ212" i="10"/>
  <c r="AQ213" i="10"/>
  <c r="AQ214" i="10"/>
  <c r="AQ215" i="10"/>
  <c r="AQ216" i="10"/>
  <c r="AQ217" i="10"/>
  <c r="AQ218" i="10"/>
  <c r="AQ219" i="10"/>
  <c r="AQ220" i="10"/>
  <c r="AQ221" i="10"/>
  <c r="AQ222" i="10"/>
  <c r="AQ223" i="10"/>
  <c r="AQ224" i="10"/>
  <c r="AQ225" i="10"/>
  <c r="AQ226" i="10"/>
  <c r="AQ227" i="10"/>
  <c r="AQ228" i="10"/>
  <c r="AQ229" i="10"/>
  <c r="AQ230" i="10"/>
  <c r="AQ231" i="10"/>
  <c r="AQ232" i="10"/>
  <c r="AQ233" i="10"/>
  <c r="AQ234" i="10"/>
  <c r="AQ235" i="10"/>
  <c r="AQ236" i="10"/>
  <c r="AQ237" i="10"/>
  <c r="AQ238" i="10"/>
  <c r="AQ239" i="10"/>
  <c r="AQ240" i="10"/>
  <c r="AQ241" i="10"/>
  <c r="AQ242" i="10"/>
  <c r="AQ243" i="10"/>
  <c r="AQ244" i="10"/>
  <c r="AQ245" i="10"/>
  <c r="AQ246" i="10"/>
  <c r="AQ247" i="10"/>
  <c r="AQ248" i="10"/>
  <c r="AQ249" i="10"/>
  <c r="AQ250" i="10"/>
  <c r="AQ251" i="10"/>
  <c r="AQ252" i="10"/>
  <c r="AQ253" i="10"/>
  <c r="AQ254" i="10"/>
  <c r="AQ255" i="10"/>
  <c r="AQ256" i="10"/>
  <c r="AQ257" i="10"/>
  <c r="AQ258" i="10"/>
  <c r="AQ259" i="10"/>
  <c r="AQ260" i="10"/>
  <c r="AQ261" i="10"/>
  <c r="AQ262" i="10"/>
  <c r="AQ263" i="10"/>
  <c r="AQ264" i="10"/>
  <c r="AQ265" i="10"/>
  <c r="AQ266" i="10"/>
  <c r="AQ267" i="10"/>
  <c r="AQ268" i="10"/>
  <c r="AQ269" i="10"/>
  <c r="AQ270" i="10"/>
  <c r="AQ271" i="10"/>
  <c r="AQ272" i="10"/>
  <c r="AQ273" i="10"/>
  <c r="AQ274" i="10"/>
  <c r="AQ275" i="10"/>
  <c r="AQ276" i="10"/>
  <c r="AQ277" i="10"/>
  <c r="AQ278" i="10"/>
  <c r="AQ279" i="10"/>
  <c r="AQ280" i="10"/>
  <c r="AQ281" i="10"/>
  <c r="AQ282" i="10"/>
  <c r="AQ283" i="10"/>
  <c r="AQ284" i="10"/>
  <c r="AQ285" i="10"/>
  <c r="AQ286" i="10"/>
  <c r="AQ287" i="10"/>
  <c r="AQ288" i="10"/>
  <c r="AQ289" i="10"/>
  <c r="AQ290" i="10"/>
  <c r="AQ291" i="10"/>
  <c r="AQ292" i="10"/>
  <c r="AQ293" i="10"/>
  <c r="AQ294" i="10"/>
  <c r="AQ295" i="10"/>
  <c r="AQ296" i="10"/>
  <c r="AQ297" i="10"/>
  <c r="AQ298" i="10"/>
  <c r="AQ299" i="10"/>
  <c r="AQ300" i="10"/>
  <c r="AQ301" i="10"/>
  <c r="AQ302" i="10"/>
  <c r="AQ303" i="10"/>
  <c r="AQ304" i="10"/>
  <c r="AQ305" i="10"/>
  <c r="AQ306" i="10"/>
  <c r="AQ307" i="10"/>
  <c r="AQ308" i="10"/>
  <c r="AQ309" i="10"/>
  <c r="AQ310" i="10"/>
  <c r="AQ311" i="10"/>
  <c r="AQ312" i="10"/>
  <c r="AQ313" i="10"/>
  <c r="AQ314" i="10"/>
  <c r="AQ315" i="10"/>
  <c r="AQ316" i="10"/>
  <c r="AQ317" i="10"/>
  <c r="AQ318" i="10"/>
  <c r="AQ319" i="10"/>
  <c r="AQ320" i="10"/>
  <c r="AQ321" i="10"/>
  <c r="AQ322" i="10"/>
  <c r="AQ323" i="10"/>
  <c r="AQ324" i="10"/>
  <c r="AQ325" i="10"/>
  <c r="AQ326" i="10"/>
  <c r="AQ327" i="10"/>
  <c r="AQ328" i="10"/>
  <c r="AQ329" i="10"/>
  <c r="AQ330" i="10"/>
  <c r="AQ331" i="10"/>
  <c r="AQ332" i="10"/>
  <c r="AQ333" i="10"/>
  <c r="AQ334" i="10"/>
  <c r="AQ335" i="10"/>
  <c r="AQ336" i="10"/>
  <c r="AQ337" i="10"/>
  <c r="AQ338" i="10"/>
  <c r="AQ339" i="10"/>
  <c r="AQ340" i="10"/>
  <c r="AQ341" i="10"/>
  <c r="AR4" i="10"/>
  <c r="AR5" i="10"/>
  <c r="AR6" i="10"/>
  <c r="AR7" i="10"/>
  <c r="AR8" i="10"/>
  <c r="AR9" i="10"/>
  <c r="AR10" i="10"/>
  <c r="AR11" i="10"/>
  <c r="AR12" i="10"/>
  <c r="AR13" i="10"/>
  <c r="AR14" i="10"/>
  <c r="AR15" i="10"/>
  <c r="AR16" i="10"/>
  <c r="AR17" i="10"/>
  <c r="AR18" i="10"/>
  <c r="AR19" i="10"/>
  <c r="AR20" i="10"/>
  <c r="AR21" i="10"/>
  <c r="AR22" i="10"/>
  <c r="AR23" i="10"/>
  <c r="AR24" i="10"/>
  <c r="AR25" i="10"/>
  <c r="AR26" i="10"/>
  <c r="AR27" i="10"/>
  <c r="AR28" i="10"/>
  <c r="AR29" i="10"/>
  <c r="AR30" i="10"/>
  <c r="AR31" i="10"/>
  <c r="AR32" i="10"/>
  <c r="AR33" i="10"/>
  <c r="AR34" i="10"/>
  <c r="AR35" i="10"/>
  <c r="AR36" i="10"/>
  <c r="AR37" i="10"/>
  <c r="AR38" i="10"/>
  <c r="AR39" i="10"/>
  <c r="AR40" i="10"/>
  <c r="AR41" i="10"/>
  <c r="AR42" i="10"/>
  <c r="AR43" i="10"/>
  <c r="AR44" i="10"/>
  <c r="AR45" i="10"/>
  <c r="AR46" i="10"/>
  <c r="AR47" i="10"/>
  <c r="AR48" i="10"/>
  <c r="AR49" i="10"/>
  <c r="AR50" i="10"/>
  <c r="AR51" i="10"/>
  <c r="AR52" i="10"/>
  <c r="AR53" i="10"/>
  <c r="AR54" i="10"/>
  <c r="AR55" i="10"/>
  <c r="AR56" i="10"/>
  <c r="AR57" i="10"/>
  <c r="AR58" i="10"/>
  <c r="AR59" i="10"/>
  <c r="AR60" i="10"/>
  <c r="AR61" i="10"/>
  <c r="AR62" i="10"/>
  <c r="AR63" i="10"/>
  <c r="AR64" i="10"/>
  <c r="AR65" i="10"/>
  <c r="AR66" i="10"/>
  <c r="AR67" i="10"/>
  <c r="AR68" i="10"/>
  <c r="AR69" i="10"/>
  <c r="AR70" i="10"/>
  <c r="AR71" i="10"/>
  <c r="AR72" i="10"/>
  <c r="AR73" i="10"/>
  <c r="AR74" i="10"/>
  <c r="AR75" i="10"/>
  <c r="AR76" i="10"/>
  <c r="AR77" i="10"/>
  <c r="AR78" i="10"/>
  <c r="AR79" i="10"/>
  <c r="AR80" i="10"/>
  <c r="AR81" i="10"/>
  <c r="AR82" i="10"/>
  <c r="AR83" i="10"/>
  <c r="AR84" i="10"/>
  <c r="AR85" i="10"/>
  <c r="AR86" i="10"/>
  <c r="AR87" i="10"/>
  <c r="AR88" i="10"/>
  <c r="AR89" i="10"/>
  <c r="AR90" i="10"/>
  <c r="AR91" i="10"/>
  <c r="AR92" i="10"/>
  <c r="AR93" i="10"/>
  <c r="AR94" i="10"/>
  <c r="AR95" i="10"/>
  <c r="AR96" i="10"/>
  <c r="AR97" i="10"/>
  <c r="AR98" i="10"/>
  <c r="AR99" i="10"/>
  <c r="AR100" i="10"/>
  <c r="AR101" i="10"/>
  <c r="AR102" i="10"/>
  <c r="AR103" i="10"/>
  <c r="AR104" i="10"/>
  <c r="AR105" i="10"/>
  <c r="AR106" i="10"/>
  <c r="AR107" i="10"/>
  <c r="AR108" i="10"/>
  <c r="AR109" i="10"/>
  <c r="AR110" i="10"/>
  <c r="AR111" i="10"/>
  <c r="AR112" i="10"/>
  <c r="AR113" i="10"/>
  <c r="AR114" i="10"/>
  <c r="AR115" i="10"/>
  <c r="AR116" i="10"/>
  <c r="AR117" i="10"/>
  <c r="AR118" i="10"/>
  <c r="AR119" i="10"/>
  <c r="AR120" i="10"/>
  <c r="AR121" i="10"/>
  <c r="AR122" i="10"/>
  <c r="AR123" i="10"/>
  <c r="AR124" i="10"/>
  <c r="AR125" i="10"/>
  <c r="AR126" i="10"/>
  <c r="AR127" i="10"/>
  <c r="AR128" i="10"/>
  <c r="AR129" i="10"/>
  <c r="AR130" i="10"/>
  <c r="AR131" i="10"/>
  <c r="AR132" i="10"/>
  <c r="AR133" i="10"/>
  <c r="AR134" i="10"/>
  <c r="AR135" i="10"/>
  <c r="AR136" i="10"/>
  <c r="AR137" i="10"/>
  <c r="AR138" i="10"/>
  <c r="AR139" i="10"/>
  <c r="AR140" i="10"/>
  <c r="AR141" i="10"/>
  <c r="AR142" i="10"/>
  <c r="AR143" i="10"/>
  <c r="AR144" i="10"/>
  <c r="AR145" i="10"/>
  <c r="AR146" i="10"/>
  <c r="AR147" i="10"/>
  <c r="AR148" i="10"/>
  <c r="AR149" i="10"/>
  <c r="AR150" i="10"/>
  <c r="AR151" i="10"/>
  <c r="AR152" i="10"/>
  <c r="AR153" i="10"/>
  <c r="AR154" i="10"/>
  <c r="AR155" i="10"/>
  <c r="AR156" i="10"/>
  <c r="AR157" i="10"/>
  <c r="AR158" i="10"/>
  <c r="AR159" i="10"/>
  <c r="AR160" i="10"/>
  <c r="AR161" i="10"/>
  <c r="AR162" i="10"/>
  <c r="AR163" i="10"/>
  <c r="AR164" i="10"/>
  <c r="AR165" i="10"/>
  <c r="AR166" i="10"/>
  <c r="AR167" i="10"/>
  <c r="AR168" i="10"/>
  <c r="AR169" i="10"/>
  <c r="AR170" i="10"/>
  <c r="AR171" i="10"/>
  <c r="AR172" i="10"/>
  <c r="AR173" i="10"/>
  <c r="AR174" i="10"/>
  <c r="AR175" i="10"/>
  <c r="AR176" i="10"/>
  <c r="AR177" i="10"/>
  <c r="AR178" i="10"/>
  <c r="AR179" i="10"/>
  <c r="AR180" i="10"/>
  <c r="AR181" i="10"/>
  <c r="AR182" i="10"/>
  <c r="AR183" i="10"/>
  <c r="AR184" i="10"/>
  <c r="AR185" i="10"/>
  <c r="AR186" i="10"/>
  <c r="AR187" i="10"/>
  <c r="AR188" i="10"/>
  <c r="AR189" i="10"/>
  <c r="AR190" i="10"/>
  <c r="AR191" i="10"/>
  <c r="AR192" i="10"/>
  <c r="AR193" i="10"/>
  <c r="AR194" i="10"/>
  <c r="AR195" i="10"/>
  <c r="AR196" i="10"/>
  <c r="AR197" i="10"/>
  <c r="AR198" i="10"/>
  <c r="AR199" i="10"/>
  <c r="AR200" i="10"/>
  <c r="AR201" i="10"/>
  <c r="AR202" i="10"/>
  <c r="AR203" i="10"/>
  <c r="AR204" i="10"/>
  <c r="AR205" i="10"/>
  <c r="AR206" i="10"/>
  <c r="AR207" i="10"/>
  <c r="AR208" i="10"/>
  <c r="AR209" i="10"/>
  <c r="AR210" i="10"/>
  <c r="AR211" i="10"/>
  <c r="AR212" i="10"/>
  <c r="AR213" i="10"/>
  <c r="AR214" i="10"/>
  <c r="AR215" i="10"/>
  <c r="AR216" i="10"/>
  <c r="AR217" i="10"/>
  <c r="AR218" i="10"/>
  <c r="AR219" i="10"/>
  <c r="AR220" i="10"/>
  <c r="AR221" i="10"/>
  <c r="AR222" i="10"/>
  <c r="AR223" i="10"/>
  <c r="AR224" i="10"/>
  <c r="AR225" i="10"/>
  <c r="AR226" i="10"/>
  <c r="AR227" i="10"/>
  <c r="AR228" i="10"/>
  <c r="AR229" i="10"/>
  <c r="AR230" i="10"/>
  <c r="AR231" i="10"/>
  <c r="AR232" i="10"/>
  <c r="AR233" i="10"/>
  <c r="AR234" i="10"/>
  <c r="AR235" i="10"/>
  <c r="AR236" i="10"/>
  <c r="AR237" i="10"/>
  <c r="AR238" i="10"/>
  <c r="AR239" i="10"/>
  <c r="AR240" i="10"/>
  <c r="AR241" i="10"/>
  <c r="AR242" i="10"/>
  <c r="AR243" i="10"/>
  <c r="AR244" i="10"/>
  <c r="AR245" i="10"/>
  <c r="AR246" i="10"/>
  <c r="AR247" i="10"/>
  <c r="AR248" i="10"/>
  <c r="AR249" i="10"/>
  <c r="AR250" i="10"/>
  <c r="AR251" i="10"/>
  <c r="AR252" i="10"/>
  <c r="AR253" i="10"/>
  <c r="AR254" i="10"/>
  <c r="AR255" i="10"/>
  <c r="AR256" i="10"/>
  <c r="AR257" i="10"/>
  <c r="AR258" i="10"/>
  <c r="AR259" i="10"/>
  <c r="AR260" i="10"/>
  <c r="AR261" i="10"/>
  <c r="AR262" i="10"/>
  <c r="AR263" i="10"/>
  <c r="AR264" i="10"/>
  <c r="AR265" i="10"/>
  <c r="AR266" i="10"/>
  <c r="AR267" i="10"/>
  <c r="AR268" i="10"/>
  <c r="AR269" i="10"/>
  <c r="AR270" i="10"/>
  <c r="AR271" i="10"/>
  <c r="AR272" i="10"/>
  <c r="AR273" i="10"/>
  <c r="AR274" i="10"/>
  <c r="AR275" i="10"/>
  <c r="AR276" i="10"/>
  <c r="AR277" i="10"/>
  <c r="AR278" i="10"/>
  <c r="AR279" i="10"/>
  <c r="AR280" i="10"/>
  <c r="AR281" i="10"/>
  <c r="AR282" i="10"/>
  <c r="AR283" i="10"/>
  <c r="AR284" i="10"/>
  <c r="AR285" i="10"/>
  <c r="AR286" i="10"/>
  <c r="AR287" i="10"/>
  <c r="AR288" i="10"/>
  <c r="AR289" i="10"/>
  <c r="AR290" i="10"/>
  <c r="AR291" i="10"/>
  <c r="AR292" i="10"/>
  <c r="AR293" i="10"/>
  <c r="AR294" i="10"/>
  <c r="AR295" i="10"/>
  <c r="AR296" i="10"/>
  <c r="AR297" i="10"/>
  <c r="AR298" i="10"/>
  <c r="AR299" i="10"/>
  <c r="AR300" i="10"/>
  <c r="AR301" i="10"/>
  <c r="AR302" i="10"/>
  <c r="AR303" i="10"/>
  <c r="AR304" i="10"/>
  <c r="AR305" i="10"/>
  <c r="AR306" i="10"/>
  <c r="AR307" i="10"/>
  <c r="AR308" i="10"/>
  <c r="AR309" i="10"/>
  <c r="AR310" i="10"/>
  <c r="AR311" i="10"/>
  <c r="AR312" i="10"/>
  <c r="AR313" i="10"/>
  <c r="AR314" i="10"/>
  <c r="AR315" i="10"/>
  <c r="AR316" i="10"/>
  <c r="AR317" i="10"/>
  <c r="AR318" i="10"/>
  <c r="AR319" i="10"/>
  <c r="AR320" i="10"/>
  <c r="AR321" i="10"/>
  <c r="AR322" i="10"/>
  <c r="AR323" i="10"/>
  <c r="AR324" i="10"/>
  <c r="AR325" i="10"/>
  <c r="AR326" i="10"/>
  <c r="AR327" i="10"/>
  <c r="AR328" i="10"/>
  <c r="AR329" i="10"/>
  <c r="AR330" i="10"/>
  <c r="AR331" i="10"/>
  <c r="AR332" i="10"/>
  <c r="AR333" i="10"/>
  <c r="AR334" i="10"/>
  <c r="AR335" i="10"/>
  <c r="AR336" i="10"/>
  <c r="AR337" i="10"/>
  <c r="AR338" i="10"/>
  <c r="AR339" i="10"/>
  <c r="AR340" i="10"/>
  <c r="AR341" i="10"/>
  <c r="AS4" i="10"/>
  <c r="AS5" i="10"/>
  <c r="AS6" i="10"/>
  <c r="AS7" i="10"/>
  <c r="AS8" i="10"/>
  <c r="AS9" i="10"/>
  <c r="AS10" i="10"/>
  <c r="AS11" i="10"/>
  <c r="AS12" i="10"/>
  <c r="AS13" i="10"/>
  <c r="AS14" i="10"/>
  <c r="AS15" i="10"/>
  <c r="AS16" i="10"/>
  <c r="AS17" i="10"/>
  <c r="AS18" i="10"/>
  <c r="AS19" i="10"/>
  <c r="AS20" i="10"/>
  <c r="AS21" i="10"/>
  <c r="AS22" i="10"/>
  <c r="AS23" i="10"/>
  <c r="AS24" i="10"/>
  <c r="AS25" i="10"/>
  <c r="AS26" i="10"/>
  <c r="AS27" i="10"/>
  <c r="AS28" i="10"/>
  <c r="AS29" i="10"/>
  <c r="AS30" i="10"/>
  <c r="AS31" i="10"/>
  <c r="AS32" i="10"/>
  <c r="AS33" i="10"/>
  <c r="AS34" i="10"/>
  <c r="AS35" i="10"/>
  <c r="AS36" i="10"/>
  <c r="AS37" i="10"/>
  <c r="AS38" i="10"/>
  <c r="AS39" i="10"/>
  <c r="AS40" i="10"/>
  <c r="AS41" i="10"/>
  <c r="AS42" i="10"/>
  <c r="AS43" i="10"/>
  <c r="AS44" i="10"/>
  <c r="AS45" i="10"/>
  <c r="AS46" i="10"/>
  <c r="AS47" i="10"/>
  <c r="AS48" i="10"/>
  <c r="AS49" i="10"/>
  <c r="AS50" i="10"/>
  <c r="AS51" i="10"/>
  <c r="AS52" i="10"/>
  <c r="AS53" i="10"/>
  <c r="AS54" i="10"/>
  <c r="AS55" i="10"/>
  <c r="AS56" i="10"/>
  <c r="AS57" i="10"/>
  <c r="AS58" i="10"/>
  <c r="AS59" i="10"/>
  <c r="AS60" i="10"/>
  <c r="AS61" i="10"/>
  <c r="AS62" i="10"/>
  <c r="AS63" i="10"/>
  <c r="AS64" i="10"/>
  <c r="AS65" i="10"/>
  <c r="AS66" i="10"/>
  <c r="AS67" i="10"/>
  <c r="AS68" i="10"/>
  <c r="AS69" i="10"/>
  <c r="AS70" i="10"/>
  <c r="AS71" i="10"/>
  <c r="AS72" i="10"/>
  <c r="AS73" i="10"/>
  <c r="AS74" i="10"/>
  <c r="AS75" i="10"/>
  <c r="AS76" i="10"/>
  <c r="AS77" i="10"/>
  <c r="AS78" i="10"/>
  <c r="AS79" i="10"/>
  <c r="AS80" i="10"/>
  <c r="AS81" i="10"/>
  <c r="AS82" i="10"/>
  <c r="AS83" i="10"/>
  <c r="AS84" i="10"/>
  <c r="AS85" i="10"/>
  <c r="AS86" i="10"/>
  <c r="AS87" i="10"/>
  <c r="AS88" i="10"/>
  <c r="AS89" i="10"/>
  <c r="AS90" i="10"/>
  <c r="AS91" i="10"/>
  <c r="AS92" i="10"/>
  <c r="AS93" i="10"/>
  <c r="AS94" i="10"/>
  <c r="AS95" i="10"/>
  <c r="AS96" i="10"/>
  <c r="AS97" i="10"/>
  <c r="AS98" i="10"/>
  <c r="AS99" i="10"/>
  <c r="AS100" i="10"/>
  <c r="AS101" i="10"/>
  <c r="AS102" i="10"/>
  <c r="AS103" i="10"/>
  <c r="AS104" i="10"/>
  <c r="AS105" i="10"/>
  <c r="AS106" i="10"/>
  <c r="AS107" i="10"/>
  <c r="AS108" i="10"/>
  <c r="AS109" i="10"/>
  <c r="AS110" i="10"/>
  <c r="AS111" i="10"/>
  <c r="AS112" i="10"/>
  <c r="AS113" i="10"/>
  <c r="AS114" i="10"/>
  <c r="AS115" i="10"/>
  <c r="AS116" i="10"/>
  <c r="AS117" i="10"/>
  <c r="AS118" i="10"/>
  <c r="AS119" i="10"/>
  <c r="AS120" i="10"/>
  <c r="AS121" i="10"/>
  <c r="AS122" i="10"/>
  <c r="AS123" i="10"/>
  <c r="AS124" i="10"/>
  <c r="AS125" i="10"/>
  <c r="AS126" i="10"/>
  <c r="AS127" i="10"/>
  <c r="AS128" i="10"/>
  <c r="AS129" i="10"/>
  <c r="AS130" i="10"/>
  <c r="AS131" i="10"/>
  <c r="AS132" i="10"/>
  <c r="AS133" i="10"/>
  <c r="AS134" i="10"/>
  <c r="AS135" i="10"/>
  <c r="AS136" i="10"/>
  <c r="AS137" i="10"/>
  <c r="AS138" i="10"/>
  <c r="AS139" i="10"/>
  <c r="AS140" i="10"/>
  <c r="AS141" i="10"/>
  <c r="AS142" i="10"/>
  <c r="AS143" i="10"/>
  <c r="AS144" i="10"/>
  <c r="AS145" i="10"/>
  <c r="AS146" i="10"/>
  <c r="AS147" i="10"/>
  <c r="AS148" i="10"/>
  <c r="AS149" i="10"/>
  <c r="AS150" i="10"/>
  <c r="AS151" i="10"/>
  <c r="AS152" i="10"/>
  <c r="AS153" i="10"/>
  <c r="AS154" i="10"/>
  <c r="AS155" i="10"/>
  <c r="AS156" i="10"/>
  <c r="AS157" i="10"/>
  <c r="AS158" i="10"/>
  <c r="AS159" i="10"/>
  <c r="AS160" i="10"/>
  <c r="AS161" i="10"/>
  <c r="AS162" i="10"/>
  <c r="AS163" i="10"/>
  <c r="AS164" i="10"/>
  <c r="AS165" i="10"/>
  <c r="AS166" i="10"/>
  <c r="AS167" i="10"/>
  <c r="AS168" i="10"/>
  <c r="AS169" i="10"/>
  <c r="AS170" i="10"/>
  <c r="AS171" i="10"/>
  <c r="AS172" i="10"/>
  <c r="AS173" i="10"/>
  <c r="AS174" i="10"/>
  <c r="AS175" i="10"/>
  <c r="AS176" i="10"/>
  <c r="AS177" i="10"/>
  <c r="AS178" i="10"/>
  <c r="AS179" i="10"/>
  <c r="AS180" i="10"/>
  <c r="AS181" i="10"/>
  <c r="AS182" i="10"/>
  <c r="AS183" i="10"/>
  <c r="AS184" i="10"/>
  <c r="AS185" i="10"/>
  <c r="AS186" i="10"/>
  <c r="AS187" i="10"/>
  <c r="AS188" i="10"/>
  <c r="AS189" i="10"/>
  <c r="AS190" i="10"/>
  <c r="AS191" i="10"/>
  <c r="AS192" i="10"/>
  <c r="AS193" i="10"/>
  <c r="AS194" i="10"/>
  <c r="AS195" i="10"/>
  <c r="AS196" i="10"/>
  <c r="AS197" i="10"/>
  <c r="AS198" i="10"/>
  <c r="AS199" i="10"/>
  <c r="AS200" i="10"/>
  <c r="AS201" i="10"/>
  <c r="AS202" i="10"/>
  <c r="AS203" i="10"/>
  <c r="AS204" i="10"/>
  <c r="AS205" i="10"/>
  <c r="AS206" i="10"/>
  <c r="AS207" i="10"/>
  <c r="AS208" i="10"/>
  <c r="AS209" i="10"/>
  <c r="AS210" i="10"/>
  <c r="AS211" i="10"/>
  <c r="AS212" i="10"/>
  <c r="AS213" i="10"/>
  <c r="AS214" i="10"/>
  <c r="AS215" i="10"/>
  <c r="AS216" i="10"/>
  <c r="AS217" i="10"/>
  <c r="AS218" i="10"/>
  <c r="AS219" i="10"/>
  <c r="AS220" i="10"/>
  <c r="AS221" i="10"/>
  <c r="AS222" i="10"/>
  <c r="AS223" i="10"/>
  <c r="AS224" i="10"/>
  <c r="AS225" i="10"/>
  <c r="AS226" i="10"/>
  <c r="AS227" i="10"/>
  <c r="AS228" i="10"/>
  <c r="AS229" i="10"/>
  <c r="AS230" i="10"/>
  <c r="AS231" i="10"/>
  <c r="AS232" i="10"/>
  <c r="AS233" i="10"/>
  <c r="AS234" i="10"/>
  <c r="AS235" i="10"/>
  <c r="AS236" i="10"/>
  <c r="AS237" i="10"/>
  <c r="AS238" i="10"/>
  <c r="AS239" i="10"/>
  <c r="AS240" i="10"/>
  <c r="AS241" i="10"/>
  <c r="AS242" i="10"/>
  <c r="AS243" i="10"/>
  <c r="AS244" i="10"/>
  <c r="AS245" i="10"/>
  <c r="AS246" i="10"/>
  <c r="AS247" i="10"/>
  <c r="AS248" i="10"/>
  <c r="AS249" i="10"/>
  <c r="AS250" i="10"/>
  <c r="AS251" i="10"/>
  <c r="AS252" i="10"/>
  <c r="AS253" i="10"/>
  <c r="AS254" i="10"/>
  <c r="AS255" i="10"/>
  <c r="AS256" i="10"/>
  <c r="AS257" i="10"/>
  <c r="AS258" i="10"/>
  <c r="AS259" i="10"/>
  <c r="AS260" i="10"/>
  <c r="AS261" i="10"/>
  <c r="AS262" i="10"/>
  <c r="AS263" i="10"/>
  <c r="AS264" i="10"/>
  <c r="AS265" i="10"/>
  <c r="AS266" i="10"/>
  <c r="AS267" i="10"/>
  <c r="AS268" i="10"/>
  <c r="AS269" i="10"/>
  <c r="AS270" i="10"/>
  <c r="AS271" i="10"/>
  <c r="AS272" i="10"/>
  <c r="AS273" i="10"/>
  <c r="AS274" i="10"/>
  <c r="AS275" i="10"/>
  <c r="AS276" i="10"/>
  <c r="AS277" i="10"/>
  <c r="AS278" i="10"/>
  <c r="AS279" i="10"/>
  <c r="AS280" i="10"/>
  <c r="AS281" i="10"/>
  <c r="AS282" i="10"/>
  <c r="AS283" i="10"/>
  <c r="AS284" i="10"/>
  <c r="AS285" i="10"/>
  <c r="AS286" i="10"/>
  <c r="AS287" i="10"/>
  <c r="AS288" i="10"/>
  <c r="AS289" i="10"/>
  <c r="AS290" i="10"/>
  <c r="AS291" i="10"/>
  <c r="AS292" i="10"/>
  <c r="AS293" i="10"/>
  <c r="AS294" i="10"/>
  <c r="AS295" i="10"/>
  <c r="AS296" i="10"/>
  <c r="AS297" i="10"/>
  <c r="AS298" i="10"/>
  <c r="AS299" i="10"/>
  <c r="AS300" i="10"/>
  <c r="AS301" i="10"/>
  <c r="AS302" i="10"/>
  <c r="AS303" i="10"/>
  <c r="AS304" i="10"/>
  <c r="AS305" i="10"/>
  <c r="AS306" i="10"/>
  <c r="AS307" i="10"/>
  <c r="AS308" i="10"/>
  <c r="AS309" i="10"/>
  <c r="AS310" i="10"/>
  <c r="AS311" i="10"/>
  <c r="AS312" i="10"/>
  <c r="AS313" i="10"/>
  <c r="AS314" i="10"/>
  <c r="AS315" i="10"/>
  <c r="AS316" i="10"/>
  <c r="AS317" i="10"/>
  <c r="AS318" i="10"/>
  <c r="AS319" i="10"/>
  <c r="AS320" i="10"/>
  <c r="AS321" i="10"/>
  <c r="AS322" i="10"/>
  <c r="AS323" i="10"/>
  <c r="AS324" i="10"/>
  <c r="AS325" i="10"/>
  <c r="AS326" i="10"/>
  <c r="AS327" i="10"/>
  <c r="AS328" i="10"/>
  <c r="AS329" i="10"/>
  <c r="AS330" i="10"/>
  <c r="AS331" i="10"/>
  <c r="AS332" i="10"/>
  <c r="AS333" i="10"/>
  <c r="AS334" i="10"/>
  <c r="AS335" i="10"/>
  <c r="AS336" i="10"/>
  <c r="AS337" i="10"/>
  <c r="AS338" i="10"/>
  <c r="AS339" i="10"/>
  <c r="AS340" i="10"/>
  <c r="AS341" i="10"/>
  <c r="AT4" i="10"/>
  <c r="AT5" i="10"/>
  <c r="AT6" i="10"/>
  <c r="AT7" i="10"/>
  <c r="AT8" i="10"/>
  <c r="AT9" i="10"/>
  <c r="AT10" i="10"/>
  <c r="AT11" i="10"/>
  <c r="AT12" i="10"/>
  <c r="AT13" i="10"/>
  <c r="AT14" i="10"/>
  <c r="AT15" i="10"/>
  <c r="AT16" i="10"/>
  <c r="AT17" i="10"/>
  <c r="AT18" i="10"/>
  <c r="AT19" i="10"/>
  <c r="AT20" i="10"/>
  <c r="AT21" i="10"/>
  <c r="AT22" i="10"/>
  <c r="AT23" i="10"/>
  <c r="AT24" i="10"/>
  <c r="AT25" i="10"/>
  <c r="AT26" i="10"/>
  <c r="AT27" i="10"/>
  <c r="AT28" i="10"/>
  <c r="AT29" i="10"/>
  <c r="AT30" i="10"/>
  <c r="AT31" i="10"/>
  <c r="AT32" i="10"/>
  <c r="AT33" i="10"/>
  <c r="AT34" i="10"/>
  <c r="AT35" i="10"/>
  <c r="AT36" i="10"/>
  <c r="AT37" i="10"/>
  <c r="AT38" i="10"/>
  <c r="AT39" i="10"/>
  <c r="AT40" i="10"/>
  <c r="AT41" i="10"/>
  <c r="AT42" i="10"/>
  <c r="AT43" i="10"/>
  <c r="AT44" i="10"/>
  <c r="AT45" i="10"/>
  <c r="AT46" i="10"/>
  <c r="AT47" i="10"/>
  <c r="AT48" i="10"/>
  <c r="AT49" i="10"/>
  <c r="AT50" i="10"/>
  <c r="AT51" i="10"/>
  <c r="AT52" i="10"/>
  <c r="AT53" i="10"/>
  <c r="AT54" i="10"/>
  <c r="AT55" i="10"/>
  <c r="AT56" i="10"/>
  <c r="AT57" i="10"/>
  <c r="AT58" i="10"/>
  <c r="AT59" i="10"/>
  <c r="AT60" i="10"/>
  <c r="AT61" i="10"/>
  <c r="AT62" i="10"/>
  <c r="AT63" i="10"/>
  <c r="AT64" i="10"/>
  <c r="AT65" i="10"/>
  <c r="AT66" i="10"/>
  <c r="AT67" i="10"/>
  <c r="AT68" i="10"/>
  <c r="AT69" i="10"/>
  <c r="AT70" i="10"/>
  <c r="AT71" i="10"/>
  <c r="AT72" i="10"/>
  <c r="AT73" i="10"/>
  <c r="AT74" i="10"/>
  <c r="AT75" i="10"/>
  <c r="AT76" i="10"/>
  <c r="AT77" i="10"/>
  <c r="AT78" i="10"/>
  <c r="AT79" i="10"/>
  <c r="AT80" i="10"/>
  <c r="AT81" i="10"/>
  <c r="AT82" i="10"/>
  <c r="AT83" i="10"/>
  <c r="AT84" i="10"/>
  <c r="AT85" i="10"/>
  <c r="AT86" i="10"/>
  <c r="AT87" i="10"/>
  <c r="AT88" i="10"/>
  <c r="AT89" i="10"/>
  <c r="AT90" i="10"/>
  <c r="AT91" i="10"/>
  <c r="AT92" i="10"/>
  <c r="AT93" i="10"/>
  <c r="AT94" i="10"/>
  <c r="AT95" i="10"/>
  <c r="AT96" i="10"/>
  <c r="AT97" i="10"/>
  <c r="AT98" i="10"/>
  <c r="AT99" i="10"/>
  <c r="AT100" i="10"/>
  <c r="AT101" i="10"/>
  <c r="AT102" i="10"/>
  <c r="AT103" i="10"/>
  <c r="AT104" i="10"/>
  <c r="AT105" i="10"/>
  <c r="AT106" i="10"/>
  <c r="AT107" i="10"/>
  <c r="AT108" i="10"/>
  <c r="AT109" i="10"/>
  <c r="AT110" i="10"/>
  <c r="AT111" i="10"/>
  <c r="AT112" i="10"/>
  <c r="AT113" i="10"/>
  <c r="AT114" i="10"/>
  <c r="AT115" i="10"/>
  <c r="AT116" i="10"/>
  <c r="AT117" i="10"/>
  <c r="AT118" i="10"/>
  <c r="AT119" i="10"/>
  <c r="AT120" i="10"/>
  <c r="AT121" i="10"/>
  <c r="AT122" i="10"/>
  <c r="AT123" i="10"/>
  <c r="AT124" i="10"/>
  <c r="AT125" i="10"/>
  <c r="AT126" i="10"/>
  <c r="AT127" i="10"/>
  <c r="AT128" i="10"/>
  <c r="AT129" i="10"/>
  <c r="AT130" i="10"/>
  <c r="AT131" i="10"/>
  <c r="AT132" i="10"/>
  <c r="AT133" i="10"/>
  <c r="AT134" i="10"/>
  <c r="AT135" i="10"/>
  <c r="AT136" i="10"/>
  <c r="AT137" i="10"/>
  <c r="AT138" i="10"/>
  <c r="AT139" i="10"/>
  <c r="AT140" i="10"/>
  <c r="AT141" i="10"/>
  <c r="AT142" i="10"/>
  <c r="AT143" i="10"/>
  <c r="AT144" i="10"/>
  <c r="AT145" i="10"/>
  <c r="AT146" i="10"/>
  <c r="AT147" i="10"/>
  <c r="AT148" i="10"/>
  <c r="AT149" i="10"/>
  <c r="AT150" i="10"/>
  <c r="AT151" i="10"/>
  <c r="AT152" i="10"/>
  <c r="AT153" i="10"/>
  <c r="AT154" i="10"/>
  <c r="AT155" i="10"/>
  <c r="AT156" i="10"/>
  <c r="AT157" i="10"/>
  <c r="AT158" i="10"/>
  <c r="AT159" i="10"/>
  <c r="AT160" i="10"/>
  <c r="AT161" i="10"/>
  <c r="AT162" i="10"/>
  <c r="AT163" i="10"/>
  <c r="AT164" i="10"/>
  <c r="AT165" i="10"/>
  <c r="AT166" i="10"/>
  <c r="AT167" i="10"/>
  <c r="AT168" i="10"/>
  <c r="AT169" i="10"/>
  <c r="AT170" i="10"/>
  <c r="AT171" i="10"/>
  <c r="AT172" i="10"/>
  <c r="AT173" i="10"/>
  <c r="AT174" i="10"/>
  <c r="AT175" i="10"/>
  <c r="AT176" i="10"/>
  <c r="AT177" i="10"/>
  <c r="AT178" i="10"/>
  <c r="AT179" i="10"/>
  <c r="AT180" i="10"/>
  <c r="AT181" i="10"/>
  <c r="AT182" i="10"/>
  <c r="AT183" i="10"/>
  <c r="AT184" i="10"/>
  <c r="AT185" i="10"/>
  <c r="AT186" i="10"/>
  <c r="AT187" i="10"/>
  <c r="AT188" i="10"/>
  <c r="AT189" i="10"/>
  <c r="AT190" i="10"/>
  <c r="AT191" i="10"/>
  <c r="AT192" i="10"/>
  <c r="AT193" i="10"/>
  <c r="AT194" i="10"/>
  <c r="AT195" i="10"/>
  <c r="AT196" i="10"/>
  <c r="AT197" i="10"/>
  <c r="AT198" i="10"/>
  <c r="AT199" i="10"/>
  <c r="AT200" i="10"/>
  <c r="AT201" i="10"/>
  <c r="AT202" i="10"/>
  <c r="AT203" i="10"/>
  <c r="AT204" i="10"/>
  <c r="AT205" i="10"/>
  <c r="AT206" i="10"/>
  <c r="AT207" i="10"/>
  <c r="AT208" i="10"/>
  <c r="AT209" i="10"/>
  <c r="AT210" i="10"/>
  <c r="AT211" i="10"/>
  <c r="AT212" i="10"/>
  <c r="AT213" i="10"/>
  <c r="AT214" i="10"/>
  <c r="AT215" i="10"/>
  <c r="AT216" i="10"/>
  <c r="AT217" i="10"/>
  <c r="AT218" i="10"/>
  <c r="AT219" i="10"/>
  <c r="AT220" i="10"/>
  <c r="AT221" i="10"/>
  <c r="AT222" i="10"/>
  <c r="AT223" i="10"/>
  <c r="AT224" i="10"/>
  <c r="AT225" i="10"/>
  <c r="AT226" i="10"/>
  <c r="AT227" i="10"/>
  <c r="AT228" i="10"/>
  <c r="AT229" i="10"/>
  <c r="AT230" i="10"/>
  <c r="AT231" i="10"/>
  <c r="AT232" i="10"/>
  <c r="AT233" i="10"/>
  <c r="AT234" i="10"/>
  <c r="AT235" i="10"/>
  <c r="AT236" i="10"/>
  <c r="AT237" i="10"/>
  <c r="AT238" i="10"/>
  <c r="AT239" i="10"/>
  <c r="AT240" i="10"/>
  <c r="AT241" i="10"/>
  <c r="AT242" i="10"/>
  <c r="AT243" i="10"/>
  <c r="AT244" i="10"/>
  <c r="AT245" i="10"/>
  <c r="AT246" i="10"/>
  <c r="AT247" i="10"/>
  <c r="AT248" i="10"/>
  <c r="AT249" i="10"/>
  <c r="AT250" i="10"/>
  <c r="AT251" i="10"/>
  <c r="AT252" i="10"/>
  <c r="AT253" i="10"/>
  <c r="AT254" i="10"/>
  <c r="AT255" i="10"/>
  <c r="AT256" i="10"/>
  <c r="AT257" i="10"/>
  <c r="AT258" i="10"/>
  <c r="AT259" i="10"/>
  <c r="AT260" i="10"/>
  <c r="AT261" i="10"/>
  <c r="AT262" i="10"/>
  <c r="AT263" i="10"/>
  <c r="AT264" i="10"/>
  <c r="AT265" i="10"/>
  <c r="AT266" i="10"/>
  <c r="AT267" i="10"/>
  <c r="AT268" i="10"/>
  <c r="AT269" i="10"/>
  <c r="AT270" i="10"/>
  <c r="AT271" i="10"/>
  <c r="AT272" i="10"/>
  <c r="AT273" i="10"/>
  <c r="AT274" i="10"/>
  <c r="AT275" i="10"/>
  <c r="AT276" i="10"/>
  <c r="AT277" i="10"/>
  <c r="AT278" i="10"/>
  <c r="AT279" i="10"/>
  <c r="AT280" i="10"/>
  <c r="AT281" i="10"/>
  <c r="AT282" i="10"/>
  <c r="AT283" i="10"/>
  <c r="AT284" i="10"/>
  <c r="AT285" i="10"/>
  <c r="AT286" i="10"/>
  <c r="AT287" i="10"/>
  <c r="AT288" i="10"/>
  <c r="AT289" i="10"/>
  <c r="AT290" i="10"/>
  <c r="AT291" i="10"/>
  <c r="AT292" i="10"/>
  <c r="AT293" i="10"/>
  <c r="AT294" i="10"/>
  <c r="AT295" i="10"/>
  <c r="AT296" i="10"/>
  <c r="AT297" i="10"/>
  <c r="AT298" i="10"/>
  <c r="AT299" i="10"/>
  <c r="AT300" i="10"/>
  <c r="AT301" i="10"/>
  <c r="AT302" i="10"/>
  <c r="AT303" i="10"/>
  <c r="AT304" i="10"/>
  <c r="AT305" i="10"/>
  <c r="AT306" i="10"/>
  <c r="AT307" i="10"/>
  <c r="AT308" i="10"/>
  <c r="AT309" i="10"/>
  <c r="AT310" i="10"/>
  <c r="AT311" i="10"/>
  <c r="AT312" i="10"/>
  <c r="AT313" i="10"/>
  <c r="AT314" i="10"/>
  <c r="AT315" i="10"/>
  <c r="AT316" i="10"/>
  <c r="AT317" i="10"/>
  <c r="AT318" i="10"/>
  <c r="AT319" i="10"/>
  <c r="AT320" i="10"/>
  <c r="AT321" i="10"/>
  <c r="AT322" i="10"/>
  <c r="AT323" i="10"/>
  <c r="AT324" i="10"/>
  <c r="AT325" i="10"/>
  <c r="AT326" i="10"/>
  <c r="AT327" i="10"/>
  <c r="AT328" i="10"/>
  <c r="AT329" i="10"/>
  <c r="AT330" i="10"/>
  <c r="AT331" i="10"/>
  <c r="AT332" i="10"/>
  <c r="AT333" i="10"/>
  <c r="AT334" i="10"/>
  <c r="AT335" i="10"/>
  <c r="AT336" i="10"/>
  <c r="AT337" i="10"/>
  <c r="AT338" i="10"/>
  <c r="AT339" i="10"/>
  <c r="AT340" i="10"/>
  <c r="AT341" i="10"/>
  <c r="AU4" i="10"/>
  <c r="AU5" i="10"/>
  <c r="AU6" i="10"/>
  <c r="AU7" i="10"/>
  <c r="AU8" i="10"/>
  <c r="AU9" i="10"/>
  <c r="AU10" i="10"/>
  <c r="AU11" i="10"/>
  <c r="AU12" i="10"/>
  <c r="AU13" i="10"/>
  <c r="AU14" i="10"/>
  <c r="AU15" i="10"/>
  <c r="AU16" i="10"/>
  <c r="AU17" i="10"/>
  <c r="AU18" i="10"/>
  <c r="AU19" i="10"/>
  <c r="AU20" i="10"/>
  <c r="AU21" i="10"/>
  <c r="AU22" i="10"/>
  <c r="AU23" i="10"/>
  <c r="AU24" i="10"/>
  <c r="AU25" i="10"/>
  <c r="AU26" i="10"/>
  <c r="AU27" i="10"/>
  <c r="AU28" i="10"/>
  <c r="AU29" i="10"/>
  <c r="AU30" i="10"/>
  <c r="AU31" i="10"/>
  <c r="AU32" i="10"/>
  <c r="AU33" i="10"/>
  <c r="AU34" i="10"/>
  <c r="AU35" i="10"/>
  <c r="AU36" i="10"/>
  <c r="AU37" i="10"/>
  <c r="AU38" i="10"/>
  <c r="AU39" i="10"/>
  <c r="AU40" i="10"/>
  <c r="AU41" i="10"/>
  <c r="AU42" i="10"/>
  <c r="AU43" i="10"/>
  <c r="AU44" i="10"/>
  <c r="AU45" i="10"/>
  <c r="AU46" i="10"/>
  <c r="AU47" i="10"/>
  <c r="AU48" i="10"/>
  <c r="AU49" i="10"/>
  <c r="AU50" i="10"/>
  <c r="AU51" i="10"/>
  <c r="AU52" i="10"/>
  <c r="AU53" i="10"/>
  <c r="AU54" i="10"/>
  <c r="AU55" i="10"/>
  <c r="AU56" i="10"/>
  <c r="AU57" i="10"/>
  <c r="AU58" i="10"/>
  <c r="AU59" i="10"/>
  <c r="AU60" i="10"/>
  <c r="AU61" i="10"/>
  <c r="AU62" i="10"/>
  <c r="AU63" i="10"/>
  <c r="AU64" i="10"/>
  <c r="AU65" i="10"/>
  <c r="AU66" i="10"/>
  <c r="AU67" i="10"/>
  <c r="AU68" i="10"/>
  <c r="AU69" i="10"/>
  <c r="AU70" i="10"/>
  <c r="AU71" i="10"/>
  <c r="AU72" i="10"/>
  <c r="AU73" i="10"/>
  <c r="AU74" i="10"/>
  <c r="AU75" i="10"/>
  <c r="AU76" i="10"/>
  <c r="AU77" i="10"/>
  <c r="AU78" i="10"/>
  <c r="AU79" i="10"/>
  <c r="AU80" i="10"/>
  <c r="AU81" i="10"/>
  <c r="AU82" i="10"/>
  <c r="AU83" i="10"/>
  <c r="AU84" i="10"/>
  <c r="AU85" i="10"/>
  <c r="AU86" i="10"/>
  <c r="AU87" i="10"/>
  <c r="AU88" i="10"/>
  <c r="AU89" i="10"/>
  <c r="AU90" i="10"/>
  <c r="AU91" i="10"/>
  <c r="AU92" i="10"/>
  <c r="AU93" i="10"/>
  <c r="AU94" i="10"/>
  <c r="AU95" i="10"/>
  <c r="AU96" i="10"/>
  <c r="AU97" i="10"/>
  <c r="AU98" i="10"/>
  <c r="AU99" i="10"/>
  <c r="AU100" i="10"/>
  <c r="AU101" i="10"/>
  <c r="AU102" i="10"/>
  <c r="AU103" i="10"/>
  <c r="AU104" i="10"/>
  <c r="AU105" i="10"/>
  <c r="AU106" i="10"/>
  <c r="AU107" i="10"/>
  <c r="AU108" i="10"/>
  <c r="AU109" i="10"/>
  <c r="AU110" i="10"/>
  <c r="AU111" i="10"/>
  <c r="AU112" i="10"/>
  <c r="AU113" i="10"/>
  <c r="AU114" i="10"/>
  <c r="AU115" i="10"/>
  <c r="AU116" i="10"/>
  <c r="AU117" i="10"/>
  <c r="AU118" i="10"/>
  <c r="AU119" i="10"/>
  <c r="AU120" i="10"/>
  <c r="AU121" i="10"/>
  <c r="AU122" i="10"/>
  <c r="AU123" i="10"/>
  <c r="AU124" i="10"/>
  <c r="AU125" i="10"/>
  <c r="AU126" i="10"/>
  <c r="AU127" i="10"/>
  <c r="AU128" i="10"/>
  <c r="AU129" i="10"/>
  <c r="AU130" i="10"/>
  <c r="AU131" i="10"/>
  <c r="AU132" i="10"/>
  <c r="AU133" i="10"/>
  <c r="AU134" i="10"/>
  <c r="AU135" i="10"/>
  <c r="AU136" i="10"/>
  <c r="AU137" i="10"/>
  <c r="AU138" i="10"/>
  <c r="AU139" i="10"/>
  <c r="AU140" i="10"/>
  <c r="AU141" i="10"/>
  <c r="AU142" i="10"/>
  <c r="AU143" i="10"/>
  <c r="AU144" i="10"/>
  <c r="AU145" i="10"/>
  <c r="AU146" i="10"/>
  <c r="AU147" i="10"/>
  <c r="AU148" i="10"/>
  <c r="AU149" i="10"/>
  <c r="AU150" i="10"/>
  <c r="AU151" i="10"/>
  <c r="AU152" i="10"/>
  <c r="AU153" i="10"/>
  <c r="AU154" i="10"/>
  <c r="AU155" i="10"/>
  <c r="AU156" i="10"/>
  <c r="AU157" i="10"/>
  <c r="AU158" i="10"/>
  <c r="AU159" i="10"/>
  <c r="AU160" i="10"/>
  <c r="AU161" i="10"/>
  <c r="AU162" i="10"/>
  <c r="AU163" i="10"/>
  <c r="AU164" i="10"/>
  <c r="AU165" i="10"/>
  <c r="AU166" i="10"/>
  <c r="AU167" i="10"/>
  <c r="AU168" i="10"/>
  <c r="AU169" i="10"/>
  <c r="AU170" i="10"/>
  <c r="AU171" i="10"/>
  <c r="AU172" i="10"/>
  <c r="AU173" i="10"/>
  <c r="AU174" i="10"/>
  <c r="AU175" i="10"/>
  <c r="AU176" i="10"/>
  <c r="AU177" i="10"/>
  <c r="AU178" i="10"/>
  <c r="AU179" i="10"/>
  <c r="AU180" i="10"/>
  <c r="AU181" i="10"/>
  <c r="AU182" i="10"/>
  <c r="AU183" i="10"/>
  <c r="AU184" i="10"/>
  <c r="AU185" i="10"/>
  <c r="AU186" i="10"/>
  <c r="AU187" i="10"/>
  <c r="AU188" i="10"/>
  <c r="AU189" i="10"/>
  <c r="AU190" i="10"/>
  <c r="AU191" i="10"/>
  <c r="AU192" i="10"/>
  <c r="AU193" i="10"/>
  <c r="AU194" i="10"/>
  <c r="AU195" i="10"/>
  <c r="AU196" i="10"/>
  <c r="AU197" i="10"/>
  <c r="AU198" i="10"/>
  <c r="AU199" i="10"/>
  <c r="AU200" i="10"/>
  <c r="AU201" i="10"/>
  <c r="AU202" i="10"/>
  <c r="AU203" i="10"/>
  <c r="AU204" i="10"/>
  <c r="AU205" i="10"/>
  <c r="AU206" i="10"/>
  <c r="AU207" i="10"/>
  <c r="AU208" i="10"/>
  <c r="AU209" i="10"/>
  <c r="AU210" i="10"/>
  <c r="AU211" i="10"/>
  <c r="AU212" i="10"/>
  <c r="AU213" i="10"/>
  <c r="AU214" i="10"/>
  <c r="AU215" i="10"/>
  <c r="AU216" i="10"/>
  <c r="AU217" i="10"/>
  <c r="AU218" i="10"/>
  <c r="AU219" i="10"/>
  <c r="AU220" i="10"/>
  <c r="AU221" i="10"/>
  <c r="AU222" i="10"/>
  <c r="AU223" i="10"/>
  <c r="AU224" i="10"/>
  <c r="AU225" i="10"/>
  <c r="AU226" i="10"/>
  <c r="AU227" i="10"/>
  <c r="AU228" i="10"/>
  <c r="AU229" i="10"/>
  <c r="AU230" i="10"/>
  <c r="AU231" i="10"/>
  <c r="AU232" i="10"/>
  <c r="AU233" i="10"/>
  <c r="AU234" i="10"/>
  <c r="AU235" i="10"/>
  <c r="AU236" i="10"/>
  <c r="AU237" i="10"/>
  <c r="AU238" i="10"/>
  <c r="AU239" i="10"/>
  <c r="AU240" i="10"/>
  <c r="AU241" i="10"/>
  <c r="AU242" i="10"/>
  <c r="AU243" i="10"/>
  <c r="AU244" i="10"/>
  <c r="AU245" i="10"/>
  <c r="AU246" i="10"/>
  <c r="AU247" i="10"/>
  <c r="AU248" i="10"/>
  <c r="AU249" i="10"/>
  <c r="AU250" i="10"/>
  <c r="AU251" i="10"/>
  <c r="AU252" i="10"/>
  <c r="AU253" i="10"/>
  <c r="AU254" i="10"/>
  <c r="AU255" i="10"/>
  <c r="AU256" i="10"/>
  <c r="AU257" i="10"/>
  <c r="AU258" i="10"/>
  <c r="AU259" i="10"/>
  <c r="AU260" i="10"/>
  <c r="AU261" i="10"/>
  <c r="AU262" i="10"/>
  <c r="AU263" i="10"/>
  <c r="AU264" i="10"/>
  <c r="AU265" i="10"/>
  <c r="AU266" i="10"/>
  <c r="AU267" i="10"/>
  <c r="AU268" i="10"/>
  <c r="AU269" i="10"/>
  <c r="AU270" i="10"/>
  <c r="AU271" i="10"/>
  <c r="AU272" i="10"/>
  <c r="AU273" i="10"/>
  <c r="AU274" i="10"/>
  <c r="AU275" i="10"/>
  <c r="AU276" i="10"/>
  <c r="AU277" i="10"/>
  <c r="AU278" i="10"/>
  <c r="AU279" i="10"/>
  <c r="AU280" i="10"/>
  <c r="AU281" i="10"/>
  <c r="AU282" i="10"/>
  <c r="AU283" i="10"/>
  <c r="AU284" i="10"/>
  <c r="AU285" i="10"/>
  <c r="AU286" i="10"/>
  <c r="AU287" i="10"/>
  <c r="AU288" i="10"/>
  <c r="AU289" i="10"/>
  <c r="AU290" i="10"/>
  <c r="AU291" i="10"/>
  <c r="AU292" i="10"/>
  <c r="AU293" i="10"/>
  <c r="AU294" i="10"/>
  <c r="AU295" i="10"/>
  <c r="AU296" i="10"/>
  <c r="AU297" i="10"/>
  <c r="AU298" i="10"/>
  <c r="AU299" i="10"/>
  <c r="AU300" i="10"/>
  <c r="AU301" i="10"/>
  <c r="AU302" i="10"/>
  <c r="AU303" i="10"/>
  <c r="AU304" i="10"/>
  <c r="AU305" i="10"/>
  <c r="AU306" i="10"/>
  <c r="AU307" i="10"/>
  <c r="AU308" i="10"/>
  <c r="AU309" i="10"/>
  <c r="AU310" i="10"/>
  <c r="AU311" i="10"/>
  <c r="AU312" i="10"/>
  <c r="AU313" i="10"/>
  <c r="AU314" i="10"/>
  <c r="AU315" i="10"/>
  <c r="AU316" i="10"/>
  <c r="AU317" i="10"/>
  <c r="AU318" i="10"/>
  <c r="AU319" i="10"/>
  <c r="AU320" i="10"/>
  <c r="AU321" i="10"/>
  <c r="AU322" i="10"/>
  <c r="AU323" i="10"/>
  <c r="AU324" i="10"/>
  <c r="AU325" i="10"/>
  <c r="AU326" i="10"/>
  <c r="AU327" i="10"/>
  <c r="AU328" i="10"/>
  <c r="AU329" i="10"/>
  <c r="AU330" i="10"/>
  <c r="AU331" i="10"/>
  <c r="AU332" i="10"/>
  <c r="AU333" i="10"/>
  <c r="AU334" i="10"/>
  <c r="AU335" i="10"/>
  <c r="AU336" i="10"/>
  <c r="AU337" i="10"/>
  <c r="AU338" i="10"/>
  <c r="AU339" i="10"/>
  <c r="AU340" i="10"/>
  <c r="AU341" i="10"/>
  <c r="AV4" i="10"/>
  <c r="AV5" i="10"/>
  <c r="AV6" i="10"/>
  <c r="AV7" i="10"/>
  <c r="AV8" i="10"/>
  <c r="AV9" i="10"/>
  <c r="AV10" i="10"/>
  <c r="AV11" i="10"/>
  <c r="AV12" i="10"/>
  <c r="AV13" i="10"/>
  <c r="AV14" i="10"/>
  <c r="AV15" i="10"/>
  <c r="AV16" i="10"/>
  <c r="AV17" i="10"/>
  <c r="AV18" i="10"/>
  <c r="AV19" i="10"/>
  <c r="AV20" i="10"/>
  <c r="AV21" i="10"/>
  <c r="AV22" i="10"/>
  <c r="AV23" i="10"/>
  <c r="AV24" i="10"/>
  <c r="AV25" i="10"/>
  <c r="AV26" i="10"/>
  <c r="AV27" i="10"/>
  <c r="AV28" i="10"/>
  <c r="AV29" i="10"/>
  <c r="AV30" i="10"/>
  <c r="AV31" i="10"/>
  <c r="AV32" i="10"/>
  <c r="AV33" i="10"/>
  <c r="AV34" i="10"/>
  <c r="AV35" i="10"/>
  <c r="AV36" i="10"/>
  <c r="AV37" i="10"/>
  <c r="AV38" i="10"/>
  <c r="AV39" i="10"/>
  <c r="AV40" i="10"/>
  <c r="AV41" i="10"/>
  <c r="AV42" i="10"/>
  <c r="AV43" i="10"/>
  <c r="AV44" i="10"/>
  <c r="AV45" i="10"/>
  <c r="AV46" i="10"/>
  <c r="AV47" i="10"/>
  <c r="AV48" i="10"/>
  <c r="AV49" i="10"/>
  <c r="AV50" i="10"/>
  <c r="AV51" i="10"/>
  <c r="AV52" i="10"/>
  <c r="AV53" i="10"/>
  <c r="AV54" i="10"/>
  <c r="AV55" i="10"/>
  <c r="AV56" i="10"/>
  <c r="AV57" i="10"/>
  <c r="AV58" i="10"/>
  <c r="AV59" i="10"/>
  <c r="AV60" i="10"/>
  <c r="AV61" i="10"/>
  <c r="AV62" i="10"/>
  <c r="AV63" i="10"/>
  <c r="AV64" i="10"/>
  <c r="AV65" i="10"/>
  <c r="AV66" i="10"/>
  <c r="AV67" i="10"/>
  <c r="AV68" i="10"/>
  <c r="AV69" i="10"/>
  <c r="AV70" i="10"/>
  <c r="AV71" i="10"/>
  <c r="AV72" i="10"/>
  <c r="AV73" i="10"/>
  <c r="AV74" i="10"/>
  <c r="AV75" i="10"/>
  <c r="AV76" i="10"/>
  <c r="AV77" i="10"/>
  <c r="AV78" i="10"/>
  <c r="AV79" i="10"/>
  <c r="AV80" i="10"/>
  <c r="AV81" i="10"/>
  <c r="AV82" i="10"/>
  <c r="AV83" i="10"/>
  <c r="AV84" i="10"/>
  <c r="AV85" i="10"/>
  <c r="AV86" i="10"/>
  <c r="AV87" i="10"/>
  <c r="AV88" i="10"/>
  <c r="AV89" i="10"/>
  <c r="AV90" i="10"/>
  <c r="AV91" i="10"/>
  <c r="AV92" i="10"/>
  <c r="AV93" i="10"/>
  <c r="AV94" i="10"/>
  <c r="AV95" i="10"/>
  <c r="AV96" i="10"/>
  <c r="AV97" i="10"/>
  <c r="AV98" i="10"/>
  <c r="AV99" i="10"/>
  <c r="AV100" i="10"/>
  <c r="AV101" i="10"/>
  <c r="AV102" i="10"/>
  <c r="AV103" i="10"/>
  <c r="AV104" i="10"/>
  <c r="AV105" i="10"/>
  <c r="AV106" i="10"/>
  <c r="AV107" i="10"/>
  <c r="AV108" i="10"/>
  <c r="AV109" i="10"/>
  <c r="AV110" i="10"/>
  <c r="AV111" i="10"/>
  <c r="AV112" i="10"/>
  <c r="AV113" i="10"/>
  <c r="AV114" i="10"/>
  <c r="AV115" i="10"/>
  <c r="AV116" i="10"/>
  <c r="AV117" i="10"/>
  <c r="AV118" i="10"/>
  <c r="AV119" i="10"/>
  <c r="AV120" i="10"/>
  <c r="AV121" i="10"/>
  <c r="AV122" i="10"/>
  <c r="AV123" i="10"/>
  <c r="AV124" i="10"/>
  <c r="AV125" i="10"/>
  <c r="AV126" i="10"/>
  <c r="AV127" i="10"/>
  <c r="AV128" i="10"/>
  <c r="AV129" i="10"/>
  <c r="AV130" i="10"/>
  <c r="AV131" i="10"/>
  <c r="AV132" i="10"/>
  <c r="AV133" i="10"/>
  <c r="AV134" i="10"/>
  <c r="AV135" i="10"/>
  <c r="AV136" i="10"/>
  <c r="AV137" i="10"/>
  <c r="AV138" i="10"/>
  <c r="AV139" i="10"/>
  <c r="AV140" i="10"/>
  <c r="AV141" i="10"/>
  <c r="AV142" i="10"/>
  <c r="AV143" i="10"/>
  <c r="AV144" i="10"/>
  <c r="AV145" i="10"/>
  <c r="AV146" i="10"/>
  <c r="AV147" i="10"/>
  <c r="AV148" i="10"/>
  <c r="AV149" i="10"/>
  <c r="AV150" i="10"/>
  <c r="AV151" i="10"/>
  <c r="AV152" i="10"/>
  <c r="AV153" i="10"/>
  <c r="AV154" i="10"/>
  <c r="AV155" i="10"/>
  <c r="AV156" i="10"/>
  <c r="AV157" i="10"/>
  <c r="AV158" i="10"/>
  <c r="AV159" i="10"/>
  <c r="AV160" i="10"/>
  <c r="AV161" i="10"/>
  <c r="AV162" i="10"/>
  <c r="AV163" i="10"/>
  <c r="AV164" i="10"/>
  <c r="AV165" i="10"/>
  <c r="AV166" i="10"/>
  <c r="AV167" i="10"/>
  <c r="AV168" i="10"/>
  <c r="AV169" i="10"/>
  <c r="AV170" i="10"/>
  <c r="AV171" i="10"/>
  <c r="AV172" i="10"/>
  <c r="AV173" i="10"/>
  <c r="AV174" i="10"/>
  <c r="AV175" i="10"/>
  <c r="AV176" i="10"/>
  <c r="AV177" i="10"/>
  <c r="AV178" i="10"/>
  <c r="AV179" i="10"/>
  <c r="AV180" i="10"/>
  <c r="AV181" i="10"/>
  <c r="AV182" i="10"/>
  <c r="AV183" i="10"/>
  <c r="AV184" i="10"/>
  <c r="AV185" i="10"/>
  <c r="AV186" i="10"/>
  <c r="AV187" i="10"/>
  <c r="AV188" i="10"/>
  <c r="AV189" i="10"/>
  <c r="AV190" i="10"/>
  <c r="AV191" i="10"/>
  <c r="AV192" i="10"/>
  <c r="AV193" i="10"/>
  <c r="AV194" i="10"/>
  <c r="AV195" i="10"/>
  <c r="AV196" i="10"/>
  <c r="AV197" i="10"/>
  <c r="AV198" i="10"/>
  <c r="AV199" i="10"/>
  <c r="AV200" i="10"/>
  <c r="AV201" i="10"/>
  <c r="AV202" i="10"/>
  <c r="AV203" i="10"/>
  <c r="AV204" i="10"/>
  <c r="AV205" i="10"/>
  <c r="AV206" i="10"/>
  <c r="AV207" i="10"/>
  <c r="AV208" i="10"/>
  <c r="AV209" i="10"/>
  <c r="AV210" i="10"/>
  <c r="AV211" i="10"/>
  <c r="AV212" i="10"/>
  <c r="AV213" i="10"/>
  <c r="AV214" i="10"/>
  <c r="AV215" i="10"/>
  <c r="AV216" i="10"/>
  <c r="AV217" i="10"/>
  <c r="AV218" i="10"/>
  <c r="AV219" i="10"/>
  <c r="AV220" i="10"/>
  <c r="AV221" i="10"/>
  <c r="AV222" i="10"/>
  <c r="AV223" i="10"/>
  <c r="AV224" i="10"/>
  <c r="AV225" i="10"/>
  <c r="AV226" i="10"/>
  <c r="AV227" i="10"/>
  <c r="AV228" i="10"/>
  <c r="AV229" i="10"/>
  <c r="AV230" i="10"/>
  <c r="AV231" i="10"/>
  <c r="AV232" i="10"/>
  <c r="AV233" i="10"/>
  <c r="AV234" i="10"/>
  <c r="AV235" i="10"/>
  <c r="AV236" i="10"/>
  <c r="AV237" i="10"/>
  <c r="AV238" i="10"/>
  <c r="AV239" i="10"/>
  <c r="AV240" i="10"/>
  <c r="AV241" i="10"/>
  <c r="AV242" i="10"/>
  <c r="AV243" i="10"/>
  <c r="AV244" i="10"/>
  <c r="AV245" i="10"/>
  <c r="AV246" i="10"/>
  <c r="AV247" i="10"/>
  <c r="AV248" i="10"/>
  <c r="AV249" i="10"/>
  <c r="AV250" i="10"/>
  <c r="AV251" i="10"/>
  <c r="AV252" i="10"/>
  <c r="AV253" i="10"/>
  <c r="AV254" i="10"/>
  <c r="AV255" i="10"/>
  <c r="AV256" i="10"/>
  <c r="AV257" i="10"/>
  <c r="AV258" i="10"/>
  <c r="AV259" i="10"/>
  <c r="AV260" i="10"/>
  <c r="AV261" i="10"/>
  <c r="AV262" i="10"/>
  <c r="AV263" i="10"/>
  <c r="AV264" i="10"/>
  <c r="AV265" i="10"/>
  <c r="AV266" i="10"/>
  <c r="AV267" i="10"/>
  <c r="AV268" i="10"/>
  <c r="AV269" i="10"/>
  <c r="AV270" i="10"/>
  <c r="AV271" i="10"/>
  <c r="AV272" i="10"/>
  <c r="AV273" i="10"/>
  <c r="AV274" i="10"/>
  <c r="AV275" i="10"/>
  <c r="AV276" i="10"/>
  <c r="AV277" i="10"/>
  <c r="AV278" i="10"/>
  <c r="AV279" i="10"/>
  <c r="AV280" i="10"/>
  <c r="AV281" i="10"/>
  <c r="AV282" i="10"/>
  <c r="AV283" i="10"/>
  <c r="AV284" i="10"/>
  <c r="AV285" i="10"/>
  <c r="AV286" i="10"/>
  <c r="AV287" i="10"/>
  <c r="AV288" i="10"/>
  <c r="AV289" i="10"/>
  <c r="AV290" i="10"/>
  <c r="AV291" i="10"/>
  <c r="AV292" i="10"/>
  <c r="AV293" i="10"/>
  <c r="AV294" i="10"/>
  <c r="AV295" i="10"/>
  <c r="AV296" i="10"/>
  <c r="AV297" i="10"/>
  <c r="AV298" i="10"/>
  <c r="AV299" i="10"/>
  <c r="AV300" i="10"/>
  <c r="AV301" i="10"/>
  <c r="AV302" i="10"/>
  <c r="AV303" i="10"/>
  <c r="AV304" i="10"/>
  <c r="AV305" i="10"/>
  <c r="AV306" i="10"/>
  <c r="AV307" i="10"/>
  <c r="AV308" i="10"/>
  <c r="AV309" i="10"/>
  <c r="AV310" i="10"/>
  <c r="AV311" i="10"/>
  <c r="AV312" i="10"/>
  <c r="AV313" i="10"/>
  <c r="AV314" i="10"/>
  <c r="AV315" i="10"/>
  <c r="AV316" i="10"/>
  <c r="AV317" i="10"/>
  <c r="AV318" i="10"/>
  <c r="AV319" i="10"/>
  <c r="AV320" i="10"/>
  <c r="AV321" i="10"/>
  <c r="AV322" i="10"/>
  <c r="AV323" i="10"/>
  <c r="AV324" i="10"/>
  <c r="AV325" i="10"/>
  <c r="AV326" i="10"/>
  <c r="AV327" i="10"/>
  <c r="AV328" i="10"/>
  <c r="AV329" i="10"/>
  <c r="AV330" i="10"/>
  <c r="AV331" i="10"/>
  <c r="AV332" i="10"/>
  <c r="AV333" i="10"/>
  <c r="AV334" i="10"/>
  <c r="AV335" i="10"/>
  <c r="AV336" i="10"/>
  <c r="AV337" i="10"/>
  <c r="AV338" i="10"/>
  <c r="AV339" i="10"/>
  <c r="AV340" i="10"/>
  <c r="AV341" i="10"/>
  <c r="AW4" i="10"/>
  <c r="AW5" i="10"/>
  <c r="AW6" i="10"/>
  <c r="AW7" i="10"/>
  <c r="AW8" i="10"/>
  <c r="AW9" i="10"/>
  <c r="AW10" i="10"/>
  <c r="AW11" i="10"/>
  <c r="AW12" i="10"/>
  <c r="AW13" i="10"/>
  <c r="AW14" i="10"/>
  <c r="AW15" i="10"/>
  <c r="AW16" i="10"/>
  <c r="AW17" i="10"/>
  <c r="AW18" i="10"/>
  <c r="AW19" i="10"/>
  <c r="AW20" i="10"/>
  <c r="AW21" i="10"/>
  <c r="AW22" i="10"/>
  <c r="AW23" i="10"/>
  <c r="AW24" i="10"/>
  <c r="AW25" i="10"/>
  <c r="AW26" i="10"/>
  <c r="AW27" i="10"/>
  <c r="AW28" i="10"/>
  <c r="AW29" i="10"/>
  <c r="AW30" i="10"/>
  <c r="AW31" i="10"/>
  <c r="AW32" i="10"/>
  <c r="AW33" i="10"/>
  <c r="AW34" i="10"/>
  <c r="AW35" i="10"/>
  <c r="AW36" i="10"/>
  <c r="AW37" i="10"/>
  <c r="AW38" i="10"/>
  <c r="AW39" i="10"/>
  <c r="AW40" i="10"/>
  <c r="AW41" i="10"/>
  <c r="AW42" i="10"/>
  <c r="AW43" i="10"/>
  <c r="AW44" i="10"/>
  <c r="AW45" i="10"/>
  <c r="AW46" i="10"/>
  <c r="AW47" i="10"/>
  <c r="AW48" i="10"/>
  <c r="AW49" i="10"/>
  <c r="AW50" i="10"/>
  <c r="AW51" i="10"/>
  <c r="AW52" i="10"/>
  <c r="AW53" i="10"/>
  <c r="AW54" i="10"/>
  <c r="AW55" i="10"/>
  <c r="AW56" i="10"/>
  <c r="AW57" i="10"/>
  <c r="AW58" i="10"/>
  <c r="AW59" i="10"/>
  <c r="AW60" i="10"/>
  <c r="AW61" i="10"/>
  <c r="AW62" i="10"/>
  <c r="AW63" i="10"/>
  <c r="AW64" i="10"/>
  <c r="AW65" i="10"/>
  <c r="AW66" i="10"/>
  <c r="AW67" i="10"/>
  <c r="AW68" i="10"/>
  <c r="AW69" i="10"/>
  <c r="AW70" i="10"/>
  <c r="AW71" i="10"/>
  <c r="AW72" i="10"/>
  <c r="AW73" i="10"/>
  <c r="AW74" i="10"/>
  <c r="AW75" i="10"/>
  <c r="AW76" i="10"/>
  <c r="AW77" i="10"/>
  <c r="AW78" i="10"/>
  <c r="AW79" i="10"/>
  <c r="AW80" i="10"/>
  <c r="AW81" i="10"/>
  <c r="AW82" i="10"/>
  <c r="AW83" i="10"/>
  <c r="AW84" i="10"/>
  <c r="AW85" i="10"/>
  <c r="AW86" i="10"/>
  <c r="AW87" i="10"/>
  <c r="AW88" i="10"/>
  <c r="AW89" i="10"/>
  <c r="AW90" i="10"/>
  <c r="AW91" i="10"/>
  <c r="AW92" i="10"/>
  <c r="AW93" i="10"/>
  <c r="AW94" i="10"/>
  <c r="AW95" i="10"/>
  <c r="AW96" i="10"/>
  <c r="AW97" i="10"/>
  <c r="AW98" i="10"/>
  <c r="AW99" i="10"/>
  <c r="AW100" i="10"/>
  <c r="AW101" i="10"/>
  <c r="AW102" i="10"/>
  <c r="AW103" i="10"/>
  <c r="AW104" i="10"/>
  <c r="AW105" i="10"/>
  <c r="AW106" i="10"/>
  <c r="AW107" i="10"/>
  <c r="AW108" i="10"/>
  <c r="AW109" i="10"/>
  <c r="AW110" i="10"/>
  <c r="AW111" i="10"/>
  <c r="AW112" i="10"/>
  <c r="AW113" i="10"/>
  <c r="AW114" i="10"/>
  <c r="AW115" i="10"/>
  <c r="AW116" i="10"/>
  <c r="AW117" i="10"/>
  <c r="AW118" i="10"/>
  <c r="AW119" i="10"/>
  <c r="AW120" i="10"/>
  <c r="AW121" i="10"/>
  <c r="AW122" i="10"/>
  <c r="AW123" i="10"/>
  <c r="AW124" i="10"/>
  <c r="AW125" i="10"/>
  <c r="AW126" i="10"/>
  <c r="AW127" i="10"/>
  <c r="AW128" i="10"/>
  <c r="AW129" i="10"/>
  <c r="AW130" i="10"/>
  <c r="AW131" i="10"/>
  <c r="AW132" i="10"/>
  <c r="AW133" i="10"/>
  <c r="AW134" i="10"/>
  <c r="AW135" i="10"/>
  <c r="AW136" i="10"/>
  <c r="AW137" i="10"/>
  <c r="AW138" i="10"/>
  <c r="AW139" i="10"/>
  <c r="AW140" i="10"/>
  <c r="AW141" i="10"/>
  <c r="AW142" i="10"/>
  <c r="AW143" i="10"/>
  <c r="AW144" i="10"/>
  <c r="AW145" i="10"/>
  <c r="AW146" i="10"/>
  <c r="AW147" i="10"/>
  <c r="AW148" i="10"/>
  <c r="AW149" i="10"/>
  <c r="AW150" i="10"/>
  <c r="AW151" i="10"/>
  <c r="AW152" i="10"/>
  <c r="AW153" i="10"/>
  <c r="AW154" i="10"/>
  <c r="AW155" i="10"/>
  <c r="AW156" i="10"/>
  <c r="AW157" i="10"/>
  <c r="AW158" i="10"/>
  <c r="AW159" i="10"/>
  <c r="AW160" i="10"/>
  <c r="AW161" i="10"/>
  <c r="AW162" i="10"/>
  <c r="AW163" i="10"/>
  <c r="AW164" i="10"/>
  <c r="AW165" i="10"/>
  <c r="AW166" i="10"/>
  <c r="AW167" i="10"/>
  <c r="AW168" i="10"/>
  <c r="AW169" i="10"/>
  <c r="AW170" i="10"/>
  <c r="AW171" i="10"/>
  <c r="AW172" i="10"/>
  <c r="AW173" i="10"/>
  <c r="AW174" i="10"/>
  <c r="AW175" i="10"/>
  <c r="AW176" i="10"/>
  <c r="AW177" i="10"/>
  <c r="AW178" i="10"/>
  <c r="AW179" i="10"/>
  <c r="AW180" i="10"/>
  <c r="AW181" i="10"/>
  <c r="AW182" i="10"/>
  <c r="AW183" i="10"/>
  <c r="AW184" i="10"/>
  <c r="AW185" i="10"/>
  <c r="AW186" i="10"/>
  <c r="AW187" i="10"/>
  <c r="AW188" i="10"/>
  <c r="AW189" i="10"/>
  <c r="AW190" i="10"/>
  <c r="AW191" i="10"/>
  <c r="AW192" i="10"/>
  <c r="AW193" i="10"/>
  <c r="AW194" i="10"/>
  <c r="AW195" i="10"/>
  <c r="AW196" i="10"/>
  <c r="AW197" i="10"/>
  <c r="AW198" i="10"/>
  <c r="AW199" i="10"/>
  <c r="AW200" i="10"/>
  <c r="AW201" i="10"/>
  <c r="AW202" i="10"/>
  <c r="AW203" i="10"/>
  <c r="AW204" i="10"/>
  <c r="AW205" i="10"/>
  <c r="AW206" i="10"/>
  <c r="AW207" i="10"/>
  <c r="AW208" i="10"/>
  <c r="AW209" i="10"/>
  <c r="AW210" i="10"/>
  <c r="AW211" i="10"/>
  <c r="AW212" i="10"/>
  <c r="AW213" i="10"/>
  <c r="AW214" i="10"/>
  <c r="AW215" i="10"/>
  <c r="AW216" i="10"/>
  <c r="AW217" i="10"/>
  <c r="AW218" i="10"/>
  <c r="AW219" i="10"/>
  <c r="AW220" i="10"/>
  <c r="AW221" i="10"/>
  <c r="AW222" i="10"/>
  <c r="AW223" i="10"/>
  <c r="AW224" i="10"/>
  <c r="AW225" i="10"/>
  <c r="AW226" i="10"/>
  <c r="AW227" i="10"/>
  <c r="AW228" i="10"/>
  <c r="AW229" i="10"/>
  <c r="AW230" i="10"/>
  <c r="AW231" i="10"/>
  <c r="AW232" i="10"/>
  <c r="AW233" i="10"/>
  <c r="AW234" i="10"/>
  <c r="AW235" i="10"/>
  <c r="AW236" i="10"/>
  <c r="AW237" i="10"/>
  <c r="AW238" i="10"/>
  <c r="AW239" i="10"/>
  <c r="AW240" i="10"/>
  <c r="AW241" i="10"/>
  <c r="AW242" i="10"/>
  <c r="AW243" i="10"/>
  <c r="AW244" i="10"/>
  <c r="AW245" i="10"/>
  <c r="AW246" i="10"/>
  <c r="AW247" i="10"/>
  <c r="AW248" i="10"/>
  <c r="AW249" i="10"/>
  <c r="AW250" i="10"/>
  <c r="AW251" i="10"/>
  <c r="AW252" i="10"/>
  <c r="AW253" i="10"/>
  <c r="AW254" i="10"/>
  <c r="AW255" i="10"/>
  <c r="AW256" i="10"/>
  <c r="AW257" i="10"/>
  <c r="AW258" i="10"/>
  <c r="AW259" i="10"/>
  <c r="AW260" i="10"/>
  <c r="AW261" i="10"/>
  <c r="AW262" i="10"/>
  <c r="AW263" i="10"/>
  <c r="AW264" i="10"/>
  <c r="AW265" i="10"/>
  <c r="AW266" i="10"/>
  <c r="AW267" i="10"/>
  <c r="AW268" i="10"/>
  <c r="AW269" i="10"/>
  <c r="AW270" i="10"/>
  <c r="AW271" i="10"/>
  <c r="AW272" i="10"/>
  <c r="AW273" i="10"/>
  <c r="AW274" i="10"/>
  <c r="AW275" i="10"/>
  <c r="AW276" i="10"/>
  <c r="AW277" i="10"/>
  <c r="AW278" i="10"/>
  <c r="AW279" i="10"/>
  <c r="AW280" i="10"/>
  <c r="AW281" i="10"/>
  <c r="AW282" i="10"/>
  <c r="AW283" i="10"/>
  <c r="AW284" i="10"/>
  <c r="AW285" i="10"/>
  <c r="AW286" i="10"/>
  <c r="AW287" i="10"/>
  <c r="AW288" i="10"/>
  <c r="AW289" i="10"/>
  <c r="AW290" i="10"/>
  <c r="AW291" i="10"/>
  <c r="AW292" i="10"/>
  <c r="AW293" i="10"/>
  <c r="AW294" i="10"/>
  <c r="AW295" i="10"/>
  <c r="AW296" i="10"/>
  <c r="AW297" i="10"/>
  <c r="AW298" i="10"/>
  <c r="AW299" i="10"/>
  <c r="AW300" i="10"/>
  <c r="AW301" i="10"/>
  <c r="AW302" i="10"/>
  <c r="AW303" i="10"/>
  <c r="AW304" i="10"/>
  <c r="AW305" i="10"/>
  <c r="AW306" i="10"/>
  <c r="AW307" i="10"/>
  <c r="AW308" i="10"/>
  <c r="AW309" i="10"/>
  <c r="AW310" i="10"/>
  <c r="AW311" i="10"/>
  <c r="AW312" i="10"/>
  <c r="AW313" i="10"/>
  <c r="AW314" i="10"/>
  <c r="AW315" i="10"/>
  <c r="AW316" i="10"/>
  <c r="AW317" i="10"/>
  <c r="AW318" i="10"/>
  <c r="AW319" i="10"/>
  <c r="AW320" i="10"/>
  <c r="AW321" i="10"/>
  <c r="AW322" i="10"/>
  <c r="AW323" i="10"/>
  <c r="AW324" i="10"/>
  <c r="AW325" i="10"/>
  <c r="AW326" i="10"/>
  <c r="AW327" i="10"/>
  <c r="AW328" i="10"/>
  <c r="AW329" i="10"/>
  <c r="AW330" i="10"/>
  <c r="AW331" i="10"/>
  <c r="AW332" i="10"/>
  <c r="AW333" i="10"/>
  <c r="AW334" i="10"/>
  <c r="AW335" i="10"/>
  <c r="AW336" i="10"/>
  <c r="AW337" i="10"/>
  <c r="AW338" i="10"/>
  <c r="AW339" i="10"/>
  <c r="AW340" i="10"/>
  <c r="AW341" i="10"/>
  <c r="AX4" i="10"/>
  <c r="AX5" i="10"/>
  <c r="AX6" i="10"/>
  <c r="AX7" i="10"/>
  <c r="AX8" i="10"/>
  <c r="AX9" i="10"/>
  <c r="AX10" i="10"/>
  <c r="AX11" i="10"/>
  <c r="AX12" i="10"/>
  <c r="AX13" i="10"/>
  <c r="AX14" i="10"/>
  <c r="AX15" i="10"/>
  <c r="AX16" i="10"/>
  <c r="AX17" i="10"/>
  <c r="AX18" i="10"/>
  <c r="AX19" i="10"/>
  <c r="AX20" i="10"/>
  <c r="AX21" i="10"/>
  <c r="AX22" i="10"/>
  <c r="AX23" i="10"/>
  <c r="AX24" i="10"/>
  <c r="AX25" i="10"/>
  <c r="AX26" i="10"/>
  <c r="AX27" i="10"/>
  <c r="AX28" i="10"/>
  <c r="AX29" i="10"/>
  <c r="AX30" i="10"/>
  <c r="AX31" i="10"/>
  <c r="AX32" i="10"/>
  <c r="AX33" i="10"/>
  <c r="AX34" i="10"/>
  <c r="AX35" i="10"/>
  <c r="AX36" i="10"/>
  <c r="AX37" i="10"/>
  <c r="AX38" i="10"/>
  <c r="AX39" i="10"/>
  <c r="AX40" i="10"/>
  <c r="AX41" i="10"/>
  <c r="AX42" i="10"/>
  <c r="AX43" i="10"/>
  <c r="AX44" i="10"/>
  <c r="AX45" i="10"/>
  <c r="AX46" i="10"/>
  <c r="AX47" i="10"/>
  <c r="AX48" i="10"/>
  <c r="AX49" i="10"/>
  <c r="AX50" i="10"/>
  <c r="AX51" i="10"/>
  <c r="AX52" i="10"/>
  <c r="AX53" i="10"/>
  <c r="AX54" i="10"/>
  <c r="AX55" i="10"/>
  <c r="AX56" i="10"/>
  <c r="AX57" i="10"/>
  <c r="AX58" i="10"/>
  <c r="AX59" i="10"/>
  <c r="AX60" i="10"/>
  <c r="AX61" i="10"/>
  <c r="AX62" i="10"/>
  <c r="AX63" i="10"/>
  <c r="AX64" i="10"/>
  <c r="AX65" i="10"/>
  <c r="AX66" i="10"/>
  <c r="AX67" i="10"/>
  <c r="AX68" i="10"/>
  <c r="AX69" i="10"/>
  <c r="AX70" i="10"/>
  <c r="AX71" i="10"/>
  <c r="AX72" i="10"/>
  <c r="AX73" i="10"/>
  <c r="AX74" i="10"/>
  <c r="AX75" i="10"/>
  <c r="AX76" i="10"/>
  <c r="AX77" i="10"/>
  <c r="AX78" i="10"/>
  <c r="AX79" i="10"/>
  <c r="AX80" i="10"/>
  <c r="AX81" i="10"/>
  <c r="AX82" i="10"/>
  <c r="AX83" i="10"/>
  <c r="AX84" i="10"/>
  <c r="AX85" i="10"/>
  <c r="AX86" i="10"/>
  <c r="AX87" i="10"/>
  <c r="AX88" i="10"/>
  <c r="AX89" i="10"/>
  <c r="AX90" i="10"/>
  <c r="AX91" i="10"/>
  <c r="AX92" i="10"/>
  <c r="AX93" i="10"/>
  <c r="AX94" i="10"/>
  <c r="AX95" i="10"/>
  <c r="AX96" i="10"/>
  <c r="AX97" i="10"/>
  <c r="AX98" i="10"/>
  <c r="AX99" i="10"/>
  <c r="AX100" i="10"/>
  <c r="AX101" i="10"/>
  <c r="AX102" i="10"/>
  <c r="AX103" i="10"/>
  <c r="AX104" i="10"/>
  <c r="AX105" i="10"/>
  <c r="AX106" i="10"/>
  <c r="AX107" i="10"/>
  <c r="AX108" i="10"/>
  <c r="AX109" i="10"/>
  <c r="AX110" i="10"/>
  <c r="AX111" i="10"/>
  <c r="AX112" i="10"/>
  <c r="AX113" i="10"/>
  <c r="AX114" i="10"/>
  <c r="AX115" i="10"/>
  <c r="AX116" i="10"/>
  <c r="AX117" i="10"/>
  <c r="AX118" i="10"/>
  <c r="AX119" i="10"/>
  <c r="AX120" i="10"/>
  <c r="AX121" i="10"/>
  <c r="AX122" i="10"/>
  <c r="AX123" i="10"/>
  <c r="AX124" i="10"/>
  <c r="AX125" i="10"/>
  <c r="AX126" i="10"/>
  <c r="AX127" i="10"/>
  <c r="AX128" i="10"/>
  <c r="AX129" i="10"/>
  <c r="AX130" i="10"/>
  <c r="AX131" i="10"/>
  <c r="AX132" i="10"/>
  <c r="AX133" i="10"/>
  <c r="AX134" i="10"/>
  <c r="AX135" i="10"/>
  <c r="AX136" i="10"/>
  <c r="AX137" i="10"/>
  <c r="AX138" i="10"/>
  <c r="AX139" i="10"/>
  <c r="AX140" i="10"/>
  <c r="AX141" i="10"/>
  <c r="AX142" i="10"/>
  <c r="AX143" i="10"/>
  <c r="AX144" i="10"/>
  <c r="AX145" i="10"/>
  <c r="AX146" i="10"/>
  <c r="AX147" i="10"/>
  <c r="AX148" i="10"/>
  <c r="AX149" i="10"/>
  <c r="AX150" i="10"/>
  <c r="AX151" i="10"/>
  <c r="AX152" i="10"/>
  <c r="AX153" i="10"/>
  <c r="AX154" i="10"/>
  <c r="AX155" i="10"/>
  <c r="AX156" i="10"/>
  <c r="AX157" i="10"/>
  <c r="AX158" i="10"/>
  <c r="AX159" i="10"/>
  <c r="AX160" i="10"/>
  <c r="AX161" i="10"/>
  <c r="AX162" i="10"/>
  <c r="AX163" i="10"/>
  <c r="AX164" i="10"/>
  <c r="AX165" i="10"/>
  <c r="AX166" i="10"/>
  <c r="AX167" i="10"/>
  <c r="AX168" i="10"/>
  <c r="AX169" i="10"/>
  <c r="AX170" i="10"/>
  <c r="AX171" i="10"/>
  <c r="AX172" i="10"/>
  <c r="AX173" i="10"/>
  <c r="AX174" i="10"/>
  <c r="AX175" i="10"/>
  <c r="AX176" i="10"/>
  <c r="AX177" i="10"/>
  <c r="AX178" i="10"/>
  <c r="AX179" i="10"/>
  <c r="AX180" i="10"/>
  <c r="AX181" i="10"/>
  <c r="AX182" i="10"/>
  <c r="AX183" i="10"/>
  <c r="AX184" i="10"/>
  <c r="AX185" i="10"/>
  <c r="AX186" i="10"/>
  <c r="AX187" i="10"/>
  <c r="AX188" i="10"/>
  <c r="AX189" i="10"/>
  <c r="AX190" i="10"/>
  <c r="AX191" i="10"/>
  <c r="AX192" i="10"/>
  <c r="AX193" i="10"/>
  <c r="AX194" i="10"/>
  <c r="AX195" i="10"/>
  <c r="AX196" i="10"/>
  <c r="AX197" i="10"/>
  <c r="AX198" i="10"/>
  <c r="AX199" i="10"/>
  <c r="AX200" i="10"/>
  <c r="AX201" i="10"/>
  <c r="AX202" i="10"/>
  <c r="AX203" i="10"/>
  <c r="AX204" i="10"/>
  <c r="AX205" i="10"/>
  <c r="AX206" i="10"/>
  <c r="AX207" i="10"/>
  <c r="AX208" i="10"/>
  <c r="AX209" i="10"/>
  <c r="AX210" i="10"/>
  <c r="AX211" i="10"/>
  <c r="AX212" i="10"/>
  <c r="AX213" i="10"/>
  <c r="AX214" i="10"/>
  <c r="AX215" i="10"/>
  <c r="AX216" i="10"/>
  <c r="AX217" i="10"/>
  <c r="AX218" i="10"/>
  <c r="AX219" i="10"/>
  <c r="AX220" i="10"/>
  <c r="AX221" i="10"/>
  <c r="AX222" i="10"/>
  <c r="AX223" i="10"/>
  <c r="AX224" i="10"/>
  <c r="AX225" i="10"/>
  <c r="AX226" i="10"/>
  <c r="AX227" i="10"/>
  <c r="AX228" i="10"/>
  <c r="AX229" i="10"/>
  <c r="AX230" i="10"/>
  <c r="AX231" i="10"/>
  <c r="AX232" i="10"/>
  <c r="AX233" i="10"/>
  <c r="AX234" i="10"/>
  <c r="AX235" i="10"/>
  <c r="AX236" i="10"/>
  <c r="AX237" i="10"/>
  <c r="AX238" i="10"/>
  <c r="AX239" i="10"/>
  <c r="AX240" i="10"/>
  <c r="AX241" i="10"/>
  <c r="AX242" i="10"/>
  <c r="AX243" i="10"/>
  <c r="AX244" i="10"/>
  <c r="AX245" i="10"/>
  <c r="AX246" i="10"/>
  <c r="AX247" i="10"/>
  <c r="AX248" i="10"/>
  <c r="AX249" i="10"/>
  <c r="AX250" i="10"/>
  <c r="AX251" i="10"/>
  <c r="AX252" i="10"/>
  <c r="AX253" i="10"/>
  <c r="AX254" i="10"/>
  <c r="AX255" i="10"/>
  <c r="AX256" i="10"/>
  <c r="AX257" i="10"/>
  <c r="AX258" i="10"/>
  <c r="AX259" i="10"/>
  <c r="AX260" i="10"/>
  <c r="AX261" i="10"/>
  <c r="AX262" i="10"/>
  <c r="AX263" i="10"/>
  <c r="AX264" i="10"/>
  <c r="AX265" i="10"/>
  <c r="AX266" i="10"/>
  <c r="AX267" i="10"/>
  <c r="AX268" i="10"/>
  <c r="AX269" i="10"/>
  <c r="AX270" i="10"/>
  <c r="AX271" i="10"/>
  <c r="AX272" i="10"/>
  <c r="AX273" i="10"/>
  <c r="AX274" i="10"/>
  <c r="AX275" i="10"/>
  <c r="AX276" i="10"/>
  <c r="AX277" i="10"/>
  <c r="AX278" i="10"/>
  <c r="AX279" i="10"/>
  <c r="AX280" i="10"/>
  <c r="AX281" i="10"/>
  <c r="AX282" i="10"/>
  <c r="AX283" i="10"/>
  <c r="AX284" i="10"/>
  <c r="AX285" i="10"/>
  <c r="AX286" i="10"/>
  <c r="AX287" i="10"/>
  <c r="AX288" i="10"/>
  <c r="AX289" i="10"/>
  <c r="AX290" i="10"/>
  <c r="AX291" i="10"/>
  <c r="AX292" i="10"/>
  <c r="AX293" i="10"/>
  <c r="AX294" i="10"/>
  <c r="AX295" i="10"/>
  <c r="AX296" i="10"/>
  <c r="AX297" i="10"/>
  <c r="AX298" i="10"/>
  <c r="AX299" i="10"/>
  <c r="AX300" i="10"/>
  <c r="AX301" i="10"/>
  <c r="AX302" i="10"/>
  <c r="AX303" i="10"/>
  <c r="AX304" i="10"/>
  <c r="AX305" i="10"/>
  <c r="AX306" i="10"/>
  <c r="AX307" i="10"/>
  <c r="AX308" i="10"/>
  <c r="AX309" i="10"/>
  <c r="AX310" i="10"/>
  <c r="AX311" i="10"/>
  <c r="AX312" i="10"/>
  <c r="AX313" i="10"/>
  <c r="AX314" i="10"/>
  <c r="AX315" i="10"/>
  <c r="AX316" i="10"/>
  <c r="AX317" i="10"/>
  <c r="AX318" i="10"/>
  <c r="AX319" i="10"/>
  <c r="AX320" i="10"/>
  <c r="AX321" i="10"/>
  <c r="AX322" i="10"/>
  <c r="AX323" i="10"/>
  <c r="AX324" i="10"/>
  <c r="AX325" i="10"/>
  <c r="AX326" i="10"/>
  <c r="AX327" i="10"/>
  <c r="AX328" i="10"/>
  <c r="AX329" i="10"/>
  <c r="AX330" i="10"/>
  <c r="AX331" i="10"/>
  <c r="AX332" i="10"/>
  <c r="AX333" i="10"/>
  <c r="AX334" i="10"/>
  <c r="AX335" i="10"/>
  <c r="AX336" i="10"/>
  <c r="AX337" i="10"/>
  <c r="AX338" i="10"/>
  <c r="AX339" i="10"/>
  <c r="AX340" i="10"/>
  <c r="AX341" i="10"/>
  <c r="AY4" i="10"/>
  <c r="AY5" i="10"/>
  <c r="AY6" i="10"/>
  <c r="AY7" i="10"/>
  <c r="AY8" i="10"/>
  <c r="AY9" i="10"/>
  <c r="AY10" i="10"/>
  <c r="AY11" i="10"/>
  <c r="AY12" i="10"/>
  <c r="AY13" i="10"/>
  <c r="AY14" i="10"/>
  <c r="AY15" i="10"/>
  <c r="AY16" i="10"/>
  <c r="AY17" i="10"/>
  <c r="AY18" i="10"/>
  <c r="AY19" i="10"/>
  <c r="AY20" i="10"/>
  <c r="AY21" i="10"/>
  <c r="AY22" i="10"/>
  <c r="AY23" i="10"/>
  <c r="AY24" i="10"/>
  <c r="AY25" i="10"/>
  <c r="AY26" i="10"/>
  <c r="AY27" i="10"/>
  <c r="AY28" i="10"/>
  <c r="AY29" i="10"/>
  <c r="AY30" i="10"/>
  <c r="AY31" i="10"/>
  <c r="AY32" i="10"/>
  <c r="AY33" i="10"/>
  <c r="AY34" i="10"/>
  <c r="AY35" i="10"/>
  <c r="AY36" i="10"/>
  <c r="AY37" i="10"/>
  <c r="AY38" i="10"/>
  <c r="AY39" i="10"/>
  <c r="AY40" i="10"/>
  <c r="AY41" i="10"/>
  <c r="AY42" i="10"/>
  <c r="AY43" i="10"/>
  <c r="AY44" i="10"/>
  <c r="AY45" i="10"/>
  <c r="AY46" i="10"/>
  <c r="AY47" i="10"/>
  <c r="AY48" i="10"/>
  <c r="AY49" i="10"/>
  <c r="AY50" i="10"/>
  <c r="AY51" i="10"/>
  <c r="AY52" i="10"/>
  <c r="AY53" i="10"/>
  <c r="AY54" i="10"/>
  <c r="AY55" i="10"/>
  <c r="AY56" i="10"/>
  <c r="AY57" i="10"/>
  <c r="AY58" i="10"/>
  <c r="AY59" i="10"/>
  <c r="AY60" i="10"/>
  <c r="AY61" i="10"/>
  <c r="AY62" i="10"/>
  <c r="AY63" i="10"/>
  <c r="AY64" i="10"/>
  <c r="AY65" i="10"/>
  <c r="AY66" i="10"/>
  <c r="AY67" i="10"/>
  <c r="AY68" i="10"/>
  <c r="AY69" i="10"/>
  <c r="AY70" i="10"/>
  <c r="AY71" i="10"/>
  <c r="AY72" i="10"/>
  <c r="AY73" i="10"/>
  <c r="AY74" i="10"/>
  <c r="AY75" i="10"/>
  <c r="AY76" i="10"/>
  <c r="AY77" i="10"/>
  <c r="AY78" i="10"/>
  <c r="AY79" i="10"/>
  <c r="AY80" i="10"/>
  <c r="AY81" i="10"/>
  <c r="AY82" i="10"/>
  <c r="AY83" i="10"/>
  <c r="AY84" i="10"/>
  <c r="AY85" i="10"/>
  <c r="AY86" i="10"/>
  <c r="AY87" i="10"/>
  <c r="AY88" i="10"/>
  <c r="AY89" i="10"/>
  <c r="AY90" i="10"/>
  <c r="AY91" i="10"/>
  <c r="AY92" i="10"/>
  <c r="AY93" i="10"/>
  <c r="AY94" i="10"/>
  <c r="AY95" i="10"/>
  <c r="AY96" i="10"/>
  <c r="AY97" i="10"/>
  <c r="AY98" i="10"/>
  <c r="AY99" i="10"/>
  <c r="AY100" i="10"/>
  <c r="AY101" i="10"/>
  <c r="AY102" i="10"/>
  <c r="AY103" i="10"/>
  <c r="AY104" i="10"/>
  <c r="AY105" i="10"/>
  <c r="AY106" i="10"/>
  <c r="AY107" i="10"/>
  <c r="AY108" i="10"/>
  <c r="AY109" i="10"/>
  <c r="AY110" i="10"/>
  <c r="AY111" i="10"/>
  <c r="AY112" i="10"/>
  <c r="AY113" i="10"/>
  <c r="AY114" i="10"/>
  <c r="AY115" i="10"/>
  <c r="AY116" i="10"/>
  <c r="AY117" i="10"/>
  <c r="AY118" i="10"/>
  <c r="AY119" i="10"/>
  <c r="AY120" i="10"/>
  <c r="AY121" i="10"/>
  <c r="AY122" i="10"/>
  <c r="AY123" i="10"/>
  <c r="AY124" i="10"/>
  <c r="AY125" i="10"/>
  <c r="AY126" i="10"/>
  <c r="AY127" i="10"/>
  <c r="AY128" i="10"/>
  <c r="AY129" i="10"/>
  <c r="AY130" i="10"/>
  <c r="AY131" i="10"/>
  <c r="AY132" i="10"/>
  <c r="AY133" i="10"/>
  <c r="AY134" i="10"/>
  <c r="AY135" i="10"/>
  <c r="AY136" i="10"/>
  <c r="AY137" i="10"/>
  <c r="AY138" i="10"/>
  <c r="AY139" i="10"/>
  <c r="AY140" i="10"/>
  <c r="AY141" i="10"/>
  <c r="AY142" i="10"/>
  <c r="AY143" i="10"/>
  <c r="AY144" i="10"/>
  <c r="AY145" i="10"/>
  <c r="AY146" i="10"/>
  <c r="AY147" i="10"/>
  <c r="AY148" i="10"/>
  <c r="AY149" i="10"/>
  <c r="AY150" i="10"/>
  <c r="AY151" i="10"/>
  <c r="AY152" i="10"/>
  <c r="AY153" i="10"/>
  <c r="AY154" i="10"/>
  <c r="AY155" i="10"/>
  <c r="AY156" i="10"/>
  <c r="AY157" i="10"/>
  <c r="AY158" i="10"/>
  <c r="AY159" i="10"/>
  <c r="AY160" i="10"/>
  <c r="AY161" i="10"/>
  <c r="AY162" i="10"/>
  <c r="AY163" i="10"/>
  <c r="AY164" i="10"/>
  <c r="AY165" i="10"/>
  <c r="AY166" i="10"/>
  <c r="AY167" i="10"/>
  <c r="AY168" i="10"/>
  <c r="AY169" i="10"/>
  <c r="AY170" i="10"/>
  <c r="AY171" i="10"/>
  <c r="AY172" i="10"/>
  <c r="AY173" i="10"/>
  <c r="AY174" i="10"/>
  <c r="AY175" i="10"/>
  <c r="AY176" i="10"/>
  <c r="AY177" i="10"/>
  <c r="AY178" i="10"/>
  <c r="AY179" i="10"/>
  <c r="AY180" i="10"/>
  <c r="AY181" i="10"/>
  <c r="AY182" i="10"/>
  <c r="AY183" i="10"/>
  <c r="AY184" i="10"/>
  <c r="AY185" i="10"/>
  <c r="AY186" i="10"/>
  <c r="AY187" i="10"/>
  <c r="AY188" i="10"/>
  <c r="AY189" i="10"/>
  <c r="AY190" i="10"/>
  <c r="AY191" i="10"/>
  <c r="AY192" i="10"/>
  <c r="AY193" i="10"/>
  <c r="AY194" i="10"/>
  <c r="AY195" i="10"/>
  <c r="AY196" i="10"/>
  <c r="AY197" i="10"/>
  <c r="AY198" i="10"/>
  <c r="AY199" i="10"/>
  <c r="AY200" i="10"/>
  <c r="AY201" i="10"/>
  <c r="AY202" i="10"/>
  <c r="AY203" i="10"/>
  <c r="AY204" i="10"/>
  <c r="AY205" i="10"/>
  <c r="AY206" i="10"/>
  <c r="AY207" i="10"/>
  <c r="AY208" i="10"/>
  <c r="AY209" i="10"/>
  <c r="AY210" i="10"/>
  <c r="AY211" i="10"/>
  <c r="AY212" i="10"/>
  <c r="AY213" i="10"/>
  <c r="AY214" i="10"/>
  <c r="AY215" i="10"/>
  <c r="AY216" i="10"/>
  <c r="AY217" i="10"/>
  <c r="AY218" i="10"/>
  <c r="AY219" i="10"/>
  <c r="AY220" i="10"/>
  <c r="AY221" i="10"/>
  <c r="AY222" i="10"/>
  <c r="AY223" i="10"/>
  <c r="AY224" i="10"/>
  <c r="AY225" i="10"/>
  <c r="AY226" i="10"/>
  <c r="AY227" i="10"/>
  <c r="AY228" i="10"/>
  <c r="AY229" i="10"/>
  <c r="AY230" i="10"/>
  <c r="AY231" i="10"/>
  <c r="AY232" i="10"/>
  <c r="AY233" i="10"/>
  <c r="AY234" i="10"/>
  <c r="AY235" i="10"/>
  <c r="AY236" i="10"/>
  <c r="AY237" i="10"/>
  <c r="AY238" i="10"/>
  <c r="AY239" i="10"/>
  <c r="AY240" i="10"/>
  <c r="AY241" i="10"/>
  <c r="AY242" i="10"/>
  <c r="AY243" i="10"/>
  <c r="AY244" i="10"/>
  <c r="AY245" i="10"/>
  <c r="AY246" i="10"/>
  <c r="AY247" i="10"/>
  <c r="AY248" i="10"/>
  <c r="AY249" i="10"/>
  <c r="AY250" i="10"/>
  <c r="AY251" i="10"/>
  <c r="AY252" i="10"/>
  <c r="AY253" i="10"/>
  <c r="AY254" i="10"/>
  <c r="AY255" i="10"/>
  <c r="AY256" i="10"/>
  <c r="AY257" i="10"/>
  <c r="AY258" i="10"/>
  <c r="AY259" i="10"/>
  <c r="AY260" i="10"/>
  <c r="AY261" i="10"/>
  <c r="AY262" i="10"/>
  <c r="AY263" i="10"/>
  <c r="AY264" i="10"/>
  <c r="AY265" i="10"/>
  <c r="AY266" i="10"/>
  <c r="AY267" i="10"/>
  <c r="AY268" i="10"/>
  <c r="AY269" i="10"/>
  <c r="AY270" i="10"/>
  <c r="AY271" i="10"/>
  <c r="AY272" i="10"/>
  <c r="AY273" i="10"/>
  <c r="AY274" i="10"/>
  <c r="AY275" i="10"/>
  <c r="AY276" i="10"/>
  <c r="AY277" i="10"/>
  <c r="AY278" i="10"/>
  <c r="AY279" i="10"/>
  <c r="AY280" i="10"/>
  <c r="AY281" i="10"/>
  <c r="AY282" i="10"/>
  <c r="AY283" i="10"/>
  <c r="AY284" i="10"/>
  <c r="AY285" i="10"/>
  <c r="AY286" i="10"/>
  <c r="AY287" i="10"/>
  <c r="AY288" i="10"/>
  <c r="AY289" i="10"/>
  <c r="AY290" i="10"/>
  <c r="AY291" i="10"/>
  <c r="AY292" i="10"/>
  <c r="AY293" i="10"/>
  <c r="AY294" i="10"/>
  <c r="AY295" i="10"/>
  <c r="AY296" i="10"/>
  <c r="AY297" i="10"/>
  <c r="AY298" i="10"/>
  <c r="AY299" i="10"/>
  <c r="AY300" i="10"/>
  <c r="AY301" i="10"/>
  <c r="AY302" i="10"/>
  <c r="AY303" i="10"/>
  <c r="AY304" i="10"/>
  <c r="AY305" i="10"/>
  <c r="AY306" i="10"/>
  <c r="AY307" i="10"/>
  <c r="AY308" i="10"/>
  <c r="AY309" i="10"/>
  <c r="AY310" i="10"/>
  <c r="AY311" i="10"/>
  <c r="AY312" i="10"/>
  <c r="AY313" i="10"/>
  <c r="AY314" i="10"/>
  <c r="AY315" i="10"/>
  <c r="AY316" i="10"/>
  <c r="AY317" i="10"/>
  <c r="AY318" i="10"/>
  <c r="AY319" i="10"/>
  <c r="AY320" i="10"/>
  <c r="AY321" i="10"/>
  <c r="AY322" i="10"/>
  <c r="AY323" i="10"/>
  <c r="AY324" i="10"/>
  <c r="AY325" i="10"/>
  <c r="AY326" i="10"/>
  <c r="AY327" i="10"/>
  <c r="AY328" i="10"/>
  <c r="AY329" i="10"/>
  <c r="AY330" i="10"/>
  <c r="AY331" i="10"/>
  <c r="AY332" i="10"/>
  <c r="AY333" i="10"/>
  <c r="AY334" i="10"/>
  <c r="AY335" i="10"/>
  <c r="AY336" i="10"/>
  <c r="AY337" i="10"/>
  <c r="AY338" i="10"/>
  <c r="AY339" i="10"/>
  <c r="AY340" i="10"/>
  <c r="AY341" i="10"/>
  <c r="AZ4" i="10"/>
  <c r="AZ5" i="10"/>
  <c r="AZ6" i="10"/>
  <c r="AZ7" i="10"/>
  <c r="AZ8" i="10"/>
  <c r="AZ9" i="10"/>
  <c r="AZ10" i="10"/>
  <c r="AZ11" i="10"/>
  <c r="AZ12" i="10"/>
  <c r="AZ13" i="10"/>
  <c r="AZ14" i="10"/>
  <c r="AZ15" i="10"/>
  <c r="AZ16" i="10"/>
  <c r="AZ17" i="10"/>
  <c r="AZ18" i="10"/>
  <c r="AZ19" i="10"/>
  <c r="AZ20" i="10"/>
  <c r="AZ21" i="10"/>
  <c r="AZ22" i="10"/>
  <c r="AZ23" i="10"/>
  <c r="AZ24" i="10"/>
  <c r="AZ25" i="10"/>
  <c r="AZ26" i="10"/>
  <c r="AZ27" i="10"/>
  <c r="AZ28" i="10"/>
  <c r="AZ29" i="10"/>
  <c r="AZ30" i="10"/>
  <c r="AZ31" i="10"/>
  <c r="AZ32" i="10"/>
  <c r="AZ33" i="10"/>
  <c r="AZ34" i="10"/>
  <c r="AZ35" i="10"/>
  <c r="AZ36" i="10"/>
  <c r="AZ37" i="10"/>
  <c r="AZ38" i="10"/>
  <c r="AZ39" i="10"/>
  <c r="AZ40" i="10"/>
  <c r="AZ41" i="10"/>
  <c r="AZ42" i="10"/>
  <c r="AZ43" i="10"/>
  <c r="AZ44" i="10"/>
  <c r="AZ45" i="10"/>
  <c r="AZ46" i="10"/>
  <c r="AZ47" i="10"/>
  <c r="AZ48" i="10"/>
  <c r="AZ49" i="10"/>
  <c r="AZ50" i="10"/>
  <c r="AZ51" i="10"/>
  <c r="AZ52" i="10"/>
  <c r="AZ53" i="10"/>
  <c r="AZ54" i="10"/>
  <c r="AZ55" i="10"/>
  <c r="AZ56" i="10"/>
  <c r="AZ57" i="10"/>
  <c r="AZ58" i="10"/>
  <c r="AZ59" i="10"/>
  <c r="AZ60" i="10"/>
  <c r="AZ61" i="10"/>
  <c r="AZ62" i="10"/>
  <c r="AZ63" i="10"/>
  <c r="AZ64" i="10"/>
  <c r="AZ65" i="10"/>
  <c r="AZ66" i="10"/>
  <c r="AZ67" i="10"/>
  <c r="AZ68" i="10"/>
  <c r="AZ69" i="10"/>
  <c r="AZ70" i="10"/>
  <c r="AZ71" i="10"/>
  <c r="AZ72" i="10"/>
  <c r="AZ73" i="10"/>
  <c r="AZ74" i="10"/>
  <c r="AZ75" i="10"/>
  <c r="AZ76" i="10"/>
  <c r="AZ77" i="10"/>
  <c r="AZ78" i="10"/>
  <c r="AZ79" i="10"/>
  <c r="AZ80" i="10"/>
  <c r="AZ81" i="10"/>
  <c r="AZ82" i="10"/>
  <c r="AZ83" i="10"/>
  <c r="AZ84" i="10"/>
  <c r="AZ85" i="10"/>
  <c r="AZ86" i="10"/>
  <c r="AZ87" i="10"/>
  <c r="AZ88" i="10"/>
  <c r="AZ89" i="10"/>
  <c r="AZ90" i="10"/>
  <c r="AZ91" i="10"/>
  <c r="AZ92" i="10"/>
  <c r="AZ93" i="10"/>
  <c r="AZ94" i="10"/>
  <c r="AZ95" i="10"/>
  <c r="AZ96" i="10"/>
  <c r="AZ97" i="10"/>
  <c r="AZ98" i="10"/>
  <c r="AZ99" i="10"/>
  <c r="AZ100" i="10"/>
  <c r="AZ101" i="10"/>
  <c r="AZ102" i="10"/>
  <c r="AZ103" i="10"/>
  <c r="AZ104" i="10"/>
  <c r="AZ105" i="10"/>
  <c r="AZ106" i="10"/>
  <c r="AZ107" i="10"/>
  <c r="AZ108" i="10"/>
  <c r="AZ109" i="10"/>
  <c r="AZ110" i="10"/>
  <c r="AZ111" i="10"/>
  <c r="AZ112" i="10"/>
  <c r="AZ113" i="10"/>
  <c r="AZ114" i="10"/>
  <c r="AZ115" i="10"/>
  <c r="AZ116" i="10"/>
  <c r="AZ117" i="10"/>
  <c r="AZ118" i="10"/>
  <c r="AZ119" i="10"/>
  <c r="AZ120" i="10"/>
  <c r="AZ121" i="10"/>
  <c r="AZ122" i="10"/>
  <c r="AZ123" i="10"/>
  <c r="AZ124" i="10"/>
  <c r="AZ125" i="10"/>
  <c r="AZ126" i="10"/>
  <c r="AZ127" i="10"/>
  <c r="AZ128" i="10"/>
  <c r="AZ129" i="10"/>
  <c r="AZ130" i="10"/>
  <c r="AZ131" i="10"/>
  <c r="AZ132" i="10"/>
  <c r="AZ133" i="10"/>
  <c r="AZ134" i="10"/>
  <c r="AZ135" i="10"/>
  <c r="AZ136" i="10"/>
  <c r="AZ137" i="10"/>
  <c r="AZ138" i="10"/>
  <c r="AZ139" i="10"/>
  <c r="AZ140" i="10"/>
  <c r="AZ141" i="10"/>
  <c r="AZ142" i="10"/>
  <c r="AZ143" i="10"/>
  <c r="AZ144" i="10"/>
  <c r="AZ145" i="10"/>
  <c r="AZ146" i="10"/>
  <c r="AZ147" i="10"/>
  <c r="AZ148" i="10"/>
  <c r="AZ149" i="10"/>
  <c r="AZ150" i="10"/>
  <c r="AZ151" i="10"/>
  <c r="AZ152" i="10"/>
  <c r="AZ153" i="10"/>
  <c r="AZ154" i="10"/>
  <c r="AZ155" i="10"/>
  <c r="AZ156" i="10"/>
  <c r="AZ157" i="10"/>
  <c r="AZ158" i="10"/>
  <c r="AZ159" i="10"/>
  <c r="AZ160" i="10"/>
  <c r="AZ161" i="10"/>
  <c r="AZ162" i="10"/>
  <c r="AZ163" i="10"/>
  <c r="AZ164" i="10"/>
  <c r="AZ165" i="10"/>
  <c r="AZ166" i="10"/>
  <c r="AZ167" i="10"/>
  <c r="AZ168" i="10"/>
  <c r="AZ169" i="10"/>
  <c r="AZ170" i="10"/>
  <c r="AZ171" i="10"/>
  <c r="AZ172" i="10"/>
  <c r="AZ173" i="10"/>
  <c r="AZ174" i="10"/>
  <c r="AZ175" i="10"/>
  <c r="AZ176" i="10"/>
  <c r="AZ177" i="10"/>
  <c r="AZ178" i="10"/>
  <c r="AZ179" i="10"/>
  <c r="AZ180" i="10"/>
  <c r="AZ181" i="10"/>
  <c r="AZ182" i="10"/>
  <c r="AZ183" i="10"/>
  <c r="AZ184" i="10"/>
  <c r="AZ185" i="10"/>
  <c r="AZ186" i="10"/>
  <c r="AZ187" i="10"/>
  <c r="AZ188" i="10"/>
  <c r="AZ189" i="10"/>
  <c r="AZ190" i="10"/>
  <c r="AZ191" i="10"/>
  <c r="AZ192" i="10"/>
  <c r="AZ193" i="10"/>
  <c r="AZ194" i="10"/>
  <c r="AZ195" i="10"/>
  <c r="AZ196" i="10"/>
  <c r="AZ197" i="10"/>
  <c r="AZ198" i="10"/>
  <c r="AZ199" i="10"/>
  <c r="AZ200" i="10"/>
  <c r="AZ201" i="10"/>
  <c r="AZ202" i="10"/>
  <c r="AZ203" i="10"/>
  <c r="AZ204" i="10"/>
  <c r="AZ205" i="10"/>
  <c r="AZ206" i="10"/>
  <c r="AZ207" i="10"/>
  <c r="AZ208" i="10"/>
  <c r="AZ209" i="10"/>
  <c r="AZ210" i="10"/>
  <c r="AZ211" i="10"/>
  <c r="AZ212" i="10"/>
  <c r="AZ213" i="10"/>
  <c r="AZ214" i="10"/>
  <c r="AZ215" i="10"/>
  <c r="AZ216" i="10"/>
  <c r="AZ217" i="10"/>
  <c r="AZ218" i="10"/>
  <c r="AZ219" i="10"/>
  <c r="AZ220" i="10"/>
  <c r="AZ221" i="10"/>
  <c r="AZ222" i="10"/>
  <c r="AZ223" i="10"/>
  <c r="AZ224" i="10"/>
  <c r="AZ225" i="10"/>
  <c r="AZ226" i="10"/>
  <c r="AZ227" i="10"/>
  <c r="AZ228" i="10"/>
  <c r="AZ229" i="10"/>
  <c r="AZ230" i="10"/>
  <c r="AZ231" i="10"/>
  <c r="AZ232" i="10"/>
  <c r="AZ233" i="10"/>
  <c r="AZ234" i="10"/>
  <c r="AZ235" i="10"/>
  <c r="AZ236" i="10"/>
  <c r="AZ237" i="10"/>
  <c r="AZ238" i="10"/>
  <c r="AZ239" i="10"/>
  <c r="AZ240" i="10"/>
  <c r="AZ241" i="10"/>
  <c r="AZ242" i="10"/>
  <c r="AZ243" i="10"/>
  <c r="AZ244" i="10"/>
  <c r="AZ245" i="10"/>
  <c r="AZ246" i="10"/>
  <c r="AZ247" i="10"/>
  <c r="AZ248" i="10"/>
  <c r="AZ249" i="10"/>
  <c r="AZ250" i="10"/>
  <c r="AZ251" i="10"/>
  <c r="AZ252" i="10"/>
  <c r="AZ253" i="10"/>
  <c r="AZ254" i="10"/>
  <c r="AZ255" i="10"/>
  <c r="AZ256" i="10"/>
  <c r="AZ257" i="10"/>
  <c r="AZ258" i="10"/>
  <c r="AZ259" i="10"/>
  <c r="AZ260" i="10"/>
  <c r="AZ261" i="10"/>
  <c r="AZ262" i="10"/>
  <c r="AZ263" i="10"/>
  <c r="AZ264" i="10"/>
  <c r="AZ265" i="10"/>
  <c r="AZ266" i="10"/>
  <c r="AZ267" i="10"/>
  <c r="AZ268" i="10"/>
  <c r="AZ269" i="10"/>
  <c r="AZ270" i="10"/>
  <c r="AZ271" i="10"/>
  <c r="AZ272" i="10"/>
  <c r="AZ273" i="10"/>
  <c r="AZ274" i="10"/>
  <c r="AZ275" i="10"/>
  <c r="AZ276" i="10"/>
  <c r="AZ277" i="10"/>
  <c r="AZ278" i="10"/>
  <c r="AZ279" i="10"/>
  <c r="AZ280" i="10"/>
  <c r="AZ281" i="10"/>
  <c r="AZ282" i="10"/>
  <c r="AZ283" i="10"/>
  <c r="AZ284" i="10"/>
  <c r="AZ285" i="10"/>
  <c r="AZ286" i="10"/>
  <c r="AZ287" i="10"/>
  <c r="AZ288" i="10"/>
  <c r="AZ289" i="10"/>
  <c r="AZ290" i="10"/>
  <c r="AZ291" i="10"/>
  <c r="AZ292" i="10"/>
  <c r="AZ293" i="10"/>
  <c r="AZ294" i="10"/>
  <c r="AZ295" i="10"/>
  <c r="AZ296" i="10"/>
  <c r="AZ297" i="10"/>
  <c r="AZ298" i="10"/>
  <c r="AZ299" i="10"/>
  <c r="AZ300" i="10"/>
  <c r="AZ301" i="10"/>
  <c r="AZ302" i="10"/>
  <c r="AZ303" i="10"/>
  <c r="AZ304" i="10"/>
  <c r="AZ305" i="10"/>
  <c r="AZ306" i="10"/>
  <c r="AZ307" i="10"/>
  <c r="AZ308" i="10"/>
  <c r="AZ309" i="10"/>
  <c r="AZ310" i="10"/>
  <c r="AZ311" i="10"/>
  <c r="AZ312" i="10"/>
  <c r="AZ313" i="10"/>
  <c r="AZ314" i="10"/>
  <c r="AZ315" i="10"/>
  <c r="AZ316" i="10"/>
  <c r="AZ317" i="10"/>
  <c r="AZ318" i="10"/>
  <c r="AZ319" i="10"/>
  <c r="AZ320" i="10"/>
  <c r="AZ321" i="10"/>
  <c r="AZ322" i="10"/>
  <c r="AZ323" i="10"/>
  <c r="AZ324" i="10"/>
  <c r="AZ325" i="10"/>
  <c r="AZ326" i="10"/>
  <c r="AZ327" i="10"/>
  <c r="AZ328" i="10"/>
  <c r="AZ329" i="10"/>
  <c r="AZ330" i="10"/>
  <c r="AZ331" i="10"/>
  <c r="AZ332" i="10"/>
  <c r="AZ333" i="10"/>
  <c r="AZ334" i="10"/>
  <c r="AZ335" i="10"/>
  <c r="AZ336" i="10"/>
  <c r="AZ337" i="10"/>
  <c r="AZ338" i="10"/>
  <c r="AZ339" i="10"/>
  <c r="AZ340" i="10"/>
  <c r="AZ341" i="10"/>
  <c r="BA4" i="10"/>
  <c r="BA5" i="10"/>
  <c r="BA6" i="10"/>
  <c r="BA7" i="10"/>
  <c r="BA8" i="10"/>
  <c r="BA9" i="10"/>
  <c r="BA10" i="10"/>
  <c r="BA11" i="10"/>
  <c r="BA12" i="10"/>
  <c r="BA13" i="10"/>
  <c r="BA14" i="10"/>
  <c r="BA15" i="10"/>
  <c r="BA16" i="10"/>
  <c r="BA17" i="10"/>
  <c r="BA18" i="10"/>
  <c r="BA19" i="10"/>
  <c r="BA20" i="10"/>
  <c r="BA21" i="10"/>
  <c r="BA22" i="10"/>
  <c r="BA23" i="10"/>
  <c r="BA24" i="10"/>
  <c r="BA25" i="10"/>
  <c r="BA26" i="10"/>
  <c r="BA27" i="10"/>
  <c r="BA28" i="10"/>
  <c r="BA29" i="10"/>
  <c r="BA30" i="10"/>
  <c r="BA31" i="10"/>
  <c r="BA32" i="10"/>
  <c r="BA33" i="10"/>
  <c r="BA34" i="10"/>
  <c r="BA35" i="10"/>
  <c r="BA36" i="10"/>
  <c r="BA37" i="10"/>
  <c r="BA38" i="10"/>
  <c r="BA39" i="10"/>
  <c r="BA40" i="10"/>
  <c r="BA41" i="10"/>
  <c r="BA42" i="10"/>
  <c r="BA43" i="10"/>
  <c r="BA44" i="10"/>
  <c r="BA45" i="10"/>
  <c r="BA46" i="10"/>
  <c r="BA47" i="10"/>
  <c r="BA48" i="10"/>
  <c r="BA49" i="10"/>
  <c r="BA50" i="10"/>
  <c r="BA51" i="10"/>
  <c r="BA52" i="10"/>
  <c r="BA53" i="10"/>
  <c r="BA54" i="10"/>
  <c r="BA55" i="10"/>
  <c r="BA56" i="10"/>
  <c r="BA57" i="10"/>
  <c r="BA58" i="10"/>
  <c r="BA59" i="10"/>
  <c r="BA60" i="10"/>
  <c r="BA61" i="10"/>
  <c r="BA62" i="10"/>
  <c r="BA63" i="10"/>
  <c r="BA64" i="10"/>
  <c r="BA65" i="10"/>
  <c r="BA66" i="10"/>
  <c r="BA67" i="10"/>
  <c r="BA68" i="10"/>
  <c r="BA69" i="10"/>
  <c r="BA70" i="10"/>
  <c r="BA71" i="10"/>
  <c r="BA72" i="10"/>
  <c r="BA73" i="10"/>
  <c r="BA74" i="10"/>
  <c r="BA75" i="10"/>
  <c r="BA76" i="10"/>
  <c r="BA77" i="10"/>
  <c r="BA78" i="10"/>
  <c r="BA79" i="10"/>
  <c r="BA80" i="10"/>
  <c r="BA81" i="10"/>
  <c r="BA82" i="10"/>
  <c r="BA83" i="10"/>
  <c r="BA84" i="10"/>
  <c r="BA85" i="10"/>
  <c r="BA86" i="10"/>
  <c r="BA87" i="10"/>
  <c r="BA88" i="10"/>
  <c r="BA89" i="10"/>
  <c r="BA90" i="10"/>
  <c r="BA91" i="10"/>
  <c r="BA92" i="10"/>
  <c r="BA93" i="10"/>
  <c r="BA94" i="10"/>
  <c r="BA95" i="10"/>
  <c r="BA96" i="10"/>
  <c r="BA97" i="10"/>
  <c r="BA98" i="10"/>
  <c r="BA99" i="10"/>
  <c r="BA100" i="10"/>
  <c r="BA101" i="10"/>
  <c r="BA102" i="10"/>
  <c r="BA103" i="10"/>
  <c r="BA104" i="10"/>
  <c r="BA105" i="10"/>
  <c r="BA106" i="10"/>
  <c r="BA107" i="10"/>
  <c r="BA108" i="10"/>
  <c r="BA109" i="10"/>
  <c r="BA110" i="10"/>
  <c r="BA111" i="10"/>
  <c r="BA112" i="10"/>
  <c r="BA113" i="10"/>
  <c r="BA114" i="10"/>
  <c r="BA115" i="10"/>
  <c r="BA116" i="10"/>
  <c r="BA117" i="10"/>
  <c r="BA118" i="10"/>
  <c r="BA119" i="10"/>
  <c r="BA120" i="10"/>
  <c r="BA121" i="10"/>
  <c r="BA122" i="10"/>
  <c r="BA123" i="10"/>
  <c r="BA124" i="10"/>
  <c r="BA125" i="10"/>
  <c r="BA126" i="10"/>
  <c r="BA127" i="10"/>
  <c r="BA128" i="10"/>
  <c r="BA129" i="10"/>
  <c r="BA130" i="10"/>
  <c r="BA131" i="10"/>
  <c r="BA132" i="10"/>
  <c r="BA133" i="10"/>
  <c r="BA134" i="10"/>
  <c r="BA135" i="10"/>
  <c r="BA136" i="10"/>
  <c r="BA137" i="10"/>
  <c r="BA138" i="10"/>
  <c r="BA139" i="10"/>
  <c r="BA140" i="10"/>
  <c r="BA141" i="10"/>
  <c r="BA142" i="10"/>
  <c r="BA143" i="10"/>
  <c r="BA144" i="10"/>
  <c r="BA145" i="10"/>
  <c r="BA146" i="10"/>
  <c r="BA147" i="10"/>
  <c r="BA148" i="10"/>
  <c r="BA149" i="10"/>
  <c r="BA150" i="10"/>
  <c r="BA151" i="10"/>
  <c r="BA152" i="10"/>
  <c r="BA153" i="10"/>
  <c r="BA154" i="10"/>
  <c r="BA155" i="10"/>
  <c r="BA156" i="10"/>
  <c r="BA157" i="10"/>
  <c r="BA158" i="10"/>
  <c r="BA159" i="10"/>
  <c r="BA160" i="10"/>
  <c r="BA161" i="10"/>
  <c r="BA162" i="10"/>
  <c r="BA163" i="10"/>
  <c r="BA164" i="10"/>
  <c r="BA165" i="10"/>
  <c r="BA166" i="10"/>
  <c r="BA167" i="10"/>
  <c r="BA168" i="10"/>
  <c r="BA169" i="10"/>
  <c r="BA170" i="10"/>
  <c r="BA171" i="10"/>
  <c r="BA172" i="10"/>
  <c r="BA173" i="10"/>
  <c r="BA174" i="10"/>
  <c r="BA175" i="10"/>
  <c r="BA176" i="10"/>
  <c r="BA177" i="10"/>
  <c r="BA178" i="10"/>
  <c r="BA179" i="10"/>
  <c r="BA180" i="10"/>
  <c r="BA181" i="10"/>
  <c r="BA182" i="10"/>
  <c r="BA183" i="10"/>
  <c r="BA184" i="10"/>
  <c r="BA185" i="10"/>
  <c r="BA186" i="10"/>
  <c r="BA187" i="10"/>
  <c r="BA188" i="10"/>
  <c r="BA189" i="10"/>
  <c r="BA190" i="10"/>
  <c r="BA191" i="10"/>
  <c r="BA192" i="10"/>
  <c r="BA193" i="10"/>
  <c r="BA194" i="10"/>
  <c r="BA195" i="10"/>
  <c r="BA196" i="10"/>
  <c r="BA197" i="10"/>
  <c r="BA198" i="10"/>
  <c r="BA199" i="10"/>
  <c r="BA200" i="10"/>
  <c r="BA201" i="10"/>
  <c r="BA202" i="10"/>
  <c r="BA203" i="10"/>
  <c r="BA204" i="10"/>
  <c r="BA205" i="10"/>
  <c r="BA206" i="10"/>
  <c r="BA207" i="10"/>
  <c r="BA208" i="10"/>
  <c r="BA209" i="10"/>
  <c r="BA210" i="10"/>
  <c r="BA211" i="10"/>
  <c r="BA212" i="10"/>
  <c r="BA213" i="10"/>
  <c r="BA214" i="10"/>
  <c r="BA215" i="10"/>
  <c r="BA216" i="10"/>
  <c r="BA217" i="10"/>
  <c r="BA218" i="10"/>
  <c r="BA219" i="10"/>
  <c r="BA220" i="10"/>
  <c r="BA221" i="10"/>
  <c r="BA222" i="10"/>
  <c r="BA223" i="10"/>
  <c r="BA224" i="10"/>
  <c r="BA225" i="10"/>
  <c r="BA226" i="10"/>
  <c r="BA227" i="10"/>
  <c r="BA228" i="10"/>
  <c r="BA229" i="10"/>
  <c r="BA230" i="10"/>
  <c r="BA231" i="10"/>
  <c r="BA232" i="10"/>
  <c r="BA233" i="10"/>
  <c r="BA234" i="10"/>
  <c r="BA235" i="10"/>
  <c r="BA236" i="10"/>
  <c r="BA237" i="10"/>
  <c r="BA238" i="10"/>
  <c r="BA239" i="10"/>
  <c r="BA240" i="10"/>
  <c r="BA241" i="10"/>
  <c r="BA242" i="10"/>
  <c r="BA243" i="10"/>
  <c r="BA244" i="10"/>
  <c r="BA245" i="10"/>
  <c r="BA246" i="10"/>
  <c r="BA247" i="10"/>
  <c r="BA248" i="10"/>
  <c r="BA249" i="10"/>
  <c r="BA250" i="10"/>
  <c r="BA251" i="10"/>
  <c r="BA252" i="10"/>
  <c r="BA253" i="10"/>
  <c r="BA254" i="10"/>
  <c r="BA255" i="10"/>
  <c r="BA256" i="10"/>
  <c r="BA257" i="10"/>
  <c r="BA258" i="10"/>
  <c r="BA259" i="10"/>
  <c r="BA260" i="10"/>
  <c r="BA261" i="10"/>
  <c r="BA262" i="10"/>
  <c r="BA263" i="10"/>
  <c r="BA264" i="10"/>
  <c r="BA265" i="10"/>
  <c r="BA266" i="10"/>
  <c r="BA267" i="10"/>
  <c r="BA268" i="10"/>
  <c r="BA269" i="10"/>
  <c r="BA270" i="10"/>
  <c r="BA271" i="10"/>
  <c r="BA272" i="10"/>
  <c r="BA273" i="10"/>
  <c r="BA274" i="10"/>
  <c r="BA275" i="10"/>
  <c r="BA276" i="10"/>
  <c r="BA277" i="10"/>
  <c r="BA278" i="10"/>
  <c r="BA279" i="10"/>
  <c r="BA280" i="10"/>
  <c r="BA281" i="10"/>
  <c r="BA282" i="10"/>
  <c r="BA283" i="10"/>
  <c r="BA284" i="10"/>
  <c r="BA285" i="10"/>
  <c r="BA286" i="10"/>
  <c r="BA287" i="10"/>
  <c r="BA288" i="10"/>
  <c r="BA289" i="10"/>
  <c r="BA290" i="10"/>
  <c r="BA291" i="10"/>
  <c r="BA292" i="10"/>
  <c r="BA293" i="10"/>
  <c r="BA294" i="10"/>
  <c r="BA295" i="10"/>
  <c r="BA296" i="10"/>
  <c r="BA297" i="10"/>
  <c r="BA298" i="10"/>
  <c r="BA299" i="10"/>
  <c r="BA300" i="10"/>
  <c r="BA301" i="10"/>
  <c r="BA302" i="10"/>
  <c r="BA303" i="10"/>
  <c r="BA304" i="10"/>
  <c r="BA305" i="10"/>
  <c r="BA306" i="10"/>
  <c r="BA307" i="10"/>
  <c r="BA308" i="10"/>
  <c r="BA309" i="10"/>
  <c r="BA310" i="10"/>
  <c r="BA311" i="10"/>
  <c r="BA312" i="10"/>
  <c r="BA313" i="10"/>
  <c r="BA314" i="10"/>
  <c r="BA315" i="10"/>
  <c r="BA316" i="10"/>
  <c r="BA317" i="10"/>
  <c r="BA318" i="10"/>
  <c r="BA319" i="10"/>
  <c r="BA320" i="10"/>
  <c r="BA321" i="10"/>
  <c r="BA322" i="10"/>
  <c r="BA323" i="10"/>
  <c r="BA324" i="10"/>
  <c r="BA325" i="10"/>
  <c r="BA326" i="10"/>
  <c r="BA327" i="10"/>
  <c r="BA328" i="10"/>
  <c r="BA329" i="10"/>
  <c r="BA330" i="10"/>
  <c r="BA331" i="10"/>
  <c r="BA332" i="10"/>
  <c r="BA333" i="10"/>
  <c r="BA334" i="10"/>
  <c r="BA335" i="10"/>
  <c r="BA336" i="10"/>
  <c r="BA337" i="10"/>
  <c r="BA338" i="10"/>
  <c r="BA339" i="10"/>
  <c r="BA340" i="10"/>
  <c r="BA341" i="10"/>
  <c r="BB4" i="10"/>
  <c r="BB5" i="10"/>
  <c r="BB6" i="10"/>
  <c r="BB7" i="10"/>
  <c r="BB8" i="10"/>
  <c r="BB9" i="10"/>
  <c r="BB10" i="10"/>
  <c r="BB11" i="10"/>
  <c r="BB12" i="10"/>
  <c r="BB13" i="10"/>
  <c r="BB14" i="10"/>
  <c r="BB15" i="10"/>
  <c r="BB16" i="10"/>
  <c r="BB17" i="10"/>
  <c r="BB18" i="10"/>
  <c r="BB19" i="10"/>
  <c r="BB20" i="10"/>
  <c r="BB21" i="10"/>
  <c r="BB22" i="10"/>
  <c r="BB23" i="10"/>
  <c r="BB24" i="10"/>
  <c r="BB25" i="10"/>
  <c r="BB26" i="10"/>
  <c r="BB27" i="10"/>
  <c r="BB28" i="10"/>
  <c r="BB29" i="10"/>
  <c r="BB30" i="10"/>
  <c r="BB31" i="10"/>
  <c r="BB32" i="10"/>
  <c r="BB33" i="10"/>
  <c r="BB34" i="10"/>
  <c r="BB35" i="10"/>
  <c r="BB36" i="10"/>
  <c r="BB37" i="10"/>
  <c r="BB38" i="10"/>
  <c r="BB39" i="10"/>
  <c r="BB40" i="10"/>
  <c r="BB41" i="10"/>
  <c r="BB42" i="10"/>
  <c r="BB43" i="10"/>
  <c r="BB44" i="10"/>
  <c r="BB45" i="10"/>
  <c r="BB46" i="10"/>
  <c r="BB47" i="10"/>
  <c r="BB48" i="10"/>
  <c r="BB49" i="10"/>
  <c r="BB50" i="10"/>
  <c r="BB51" i="10"/>
  <c r="BB52" i="10"/>
  <c r="BB53" i="10"/>
  <c r="BB54" i="10"/>
  <c r="BB55" i="10"/>
  <c r="BB56" i="10"/>
  <c r="BB57" i="10"/>
  <c r="BB58" i="10"/>
  <c r="BB59" i="10"/>
  <c r="BB60" i="10"/>
  <c r="BB61" i="10"/>
  <c r="BB62" i="10"/>
  <c r="BB63" i="10"/>
  <c r="BB64" i="10"/>
  <c r="BB65" i="10"/>
  <c r="BB66" i="10"/>
  <c r="BB67" i="10"/>
  <c r="BB68" i="10"/>
  <c r="BB69" i="10"/>
  <c r="BB70" i="10"/>
  <c r="BB71" i="10"/>
  <c r="BB72" i="10"/>
  <c r="BB73" i="10"/>
  <c r="BB74" i="10"/>
  <c r="BB75" i="10"/>
  <c r="BB76" i="10"/>
  <c r="BB77" i="10"/>
  <c r="BB78" i="10"/>
  <c r="BB79" i="10"/>
  <c r="BB80" i="10"/>
  <c r="BB81" i="10"/>
  <c r="BB82" i="10"/>
  <c r="BB83" i="10"/>
  <c r="BB84" i="10"/>
  <c r="BB85" i="10"/>
  <c r="BB86" i="10"/>
  <c r="BB87" i="10"/>
  <c r="BB88" i="10"/>
  <c r="BB89" i="10"/>
  <c r="BB90" i="10"/>
  <c r="BB91" i="10"/>
  <c r="BB92" i="10"/>
  <c r="BB93" i="10"/>
  <c r="BB94" i="10"/>
  <c r="BB95" i="10"/>
  <c r="BB96" i="10"/>
  <c r="BB97" i="10"/>
  <c r="BB98" i="10"/>
  <c r="BB99" i="10"/>
  <c r="BB100" i="10"/>
  <c r="BB101" i="10"/>
  <c r="BB102" i="10"/>
  <c r="BB103" i="10"/>
  <c r="BB104" i="10"/>
  <c r="BB105" i="10"/>
  <c r="BB106" i="10"/>
  <c r="BB107" i="10"/>
  <c r="BB108" i="10"/>
  <c r="BB109" i="10"/>
  <c r="BB110" i="10"/>
  <c r="BB111" i="10"/>
  <c r="BB112" i="10"/>
  <c r="BB113" i="10"/>
  <c r="BB114" i="10"/>
  <c r="BB115" i="10"/>
  <c r="BB116" i="10"/>
  <c r="BB117" i="10"/>
  <c r="BB118" i="10"/>
  <c r="BB119" i="10"/>
  <c r="BB120" i="10"/>
  <c r="BB121" i="10"/>
  <c r="BB122" i="10"/>
  <c r="BB123" i="10"/>
  <c r="BB124" i="10"/>
  <c r="BB125" i="10"/>
  <c r="BB126" i="10"/>
  <c r="BB127" i="10"/>
  <c r="BB128" i="10"/>
  <c r="BB129" i="10"/>
  <c r="BB130" i="10"/>
  <c r="BB131" i="10"/>
  <c r="BB132" i="10"/>
  <c r="BB133" i="10"/>
  <c r="BB134" i="10"/>
  <c r="BB135" i="10"/>
  <c r="BB136" i="10"/>
  <c r="BB137" i="10"/>
  <c r="BB138" i="10"/>
  <c r="BB139" i="10"/>
  <c r="BB140" i="10"/>
  <c r="BB141" i="10"/>
  <c r="BB142" i="10"/>
  <c r="BB143" i="10"/>
  <c r="BB144" i="10"/>
  <c r="BB145" i="10"/>
  <c r="BB146" i="10"/>
  <c r="BB147" i="10"/>
  <c r="BB148" i="10"/>
  <c r="BB149" i="10"/>
  <c r="BB150" i="10"/>
  <c r="BB151" i="10"/>
  <c r="BB152" i="10"/>
  <c r="BB153" i="10"/>
  <c r="BB154" i="10"/>
  <c r="BB155" i="10"/>
  <c r="BB156" i="10"/>
  <c r="BB157" i="10"/>
  <c r="BB158" i="10"/>
  <c r="BB159" i="10"/>
  <c r="BB160" i="10"/>
  <c r="BB161" i="10"/>
  <c r="BB162" i="10"/>
  <c r="BB163" i="10"/>
  <c r="BB164" i="10"/>
  <c r="BB165" i="10"/>
  <c r="BB166" i="10"/>
  <c r="BB167" i="10"/>
  <c r="BB168" i="10"/>
  <c r="BB169" i="10"/>
  <c r="BB170" i="10"/>
  <c r="BB171" i="10"/>
  <c r="BB172" i="10"/>
  <c r="BB173" i="10"/>
  <c r="BB174" i="10"/>
  <c r="BB175" i="10"/>
  <c r="BB176" i="10"/>
  <c r="BB177" i="10"/>
  <c r="BB178" i="10"/>
  <c r="BB179" i="10"/>
  <c r="BB180" i="10"/>
  <c r="BB181" i="10"/>
  <c r="BB182" i="10"/>
  <c r="BB183" i="10"/>
  <c r="BB184" i="10"/>
  <c r="BB185" i="10"/>
  <c r="BB186" i="10"/>
  <c r="BB187" i="10"/>
  <c r="BB188" i="10"/>
  <c r="BB189" i="10"/>
  <c r="BB190" i="10"/>
  <c r="BB191" i="10"/>
  <c r="BB192" i="10"/>
  <c r="BB193" i="10"/>
  <c r="BB194" i="10"/>
  <c r="BB195" i="10"/>
  <c r="BB196" i="10"/>
  <c r="BB197" i="10"/>
  <c r="BB198" i="10"/>
  <c r="BB199" i="10"/>
  <c r="BB200" i="10"/>
  <c r="BB201" i="10"/>
  <c r="BB202" i="10"/>
  <c r="BB203" i="10"/>
  <c r="BB204" i="10"/>
  <c r="BB205" i="10"/>
  <c r="BB206" i="10"/>
  <c r="BB207" i="10"/>
  <c r="BB208" i="10"/>
  <c r="BB209" i="10"/>
  <c r="BB210" i="10"/>
  <c r="BB211" i="10"/>
  <c r="BB212" i="10"/>
  <c r="BB213" i="10"/>
  <c r="BB214" i="10"/>
  <c r="BB215" i="10"/>
  <c r="BB216" i="10"/>
  <c r="BB217" i="10"/>
  <c r="BB218" i="10"/>
  <c r="BB219" i="10"/>
  <c r="BB220" i="10"/>
  <c r="BB221" i="10"/>
  <c r="BB222" i="10"/>
  <c r="BB223" i="10"/>
  <c r="BB224" i="10"/>
  <c r="BB225" i="10"/>
  <c r="BB226" i="10"/>
  <c r="BB227" i="10"/>
  <c r="BB228" i="10"/>
  <c r="BB229" i="10"/>
  <c r="BB230" i="10"/>
  <c r="BB231" i="10"/>
  <c r="BB232" i="10"/>
  <c r="BB233" i="10"/>
  <c r="BB234" i="10"/>
  <c r="BB235" i="10"/>
  <c r="BB236" i="10"/>
  <c r="BB237" i="10"/>
  <c r="BB238" i="10"/>
  <c r="BB239" i="10"/>
  <c r="BB240" i="10"/>
  <c r="BB241" i="10"/>
  <c r="BB242" i="10"/>
  <c r="BB243" i="10"/>
  <c r="BB244" i="10"/>
  <c r="BB245" i="10"/>
  <c r="BB246" i="10"/>
  <c r="BB247" i="10"/>
  <c r="BB248" i="10"/>
  <c r="BB249" i="10"/>
  <c r="BB250" i="10"/>
  <c r="BB251" i="10"/>
  <c r="BB252" i="10"/>
  <c r="BB253" i="10"/>
  <c r="BB254" i="10"/>
  <c r="BB255" i="10"/>
  <c r="BB256" i="10"/>
  <c r="BB257" i="10"/>
  <c r="BB258" i="10"/>
  <c r="BB259" i="10"/>
  <c r="BB260" i="10"/>
  <c r="BB261" i="10"/>
  <c r="BB262" i="10"/>
  <c r="BB263" i="10"/>
  <c r="BB264" i="10"/>
  <c r="BB265" i="10"/>
  <c r="BB266" i="10"/>
  <c r="BB267" i="10"/>
  <c r="BB268" i="10"/>
  <c r="BB269" i="10"/>
  <c r="BB270" i="10"/>
  <c r="BB271" i="10"/>
  <c r="BB272" i="10"/>
  <c r="BB273" i="10"/>
  <c r="BB274" i="10"/>
  <c r="BB275" i="10"/>
  <c r="BB276" i="10"/>
  <c r="BB277" i="10"/>
  <c r="BB278" i="10"/>
  <c r="BB279" i="10"/>
  <c r="BB280" i="10"/>
  <c r="BB281" i="10"/>
  <c r="BB282" i="10"/>
  <c r="BB283" i="10"/>
  <c r="BB284" i="10"/>
  <c r="BB285" i="10"/>
  <c r="BB286" i="10"/>
  <c r="BB287" i="10"/>
  <c r="BB288" i="10"/>
  <c r="BB289" i="10"/>
  <c r="BB290" i="10"/>
  <c r="BB291" i="10"/>
  <c r="BB292" i="10"/>
  <c r="BB293" i="10"/>
  <c r="BB294" i="10"/>
  <c r="BB295" i="10"/>
  <c r="BB296" i="10"/>
  <c r="BB297" i="10"/>
  <c r="BB298" i="10"/>
  <c r="BB299" i="10"/>
  <c r="BB300" i="10"/>
  <c r="BB301" i="10"/>
  <c r="BB302" i="10"/>
  <c r="BB303" i="10"/>
  <c r="BB304" i="10"/>
  <c r="BB305" i="10"/>
  <c r="BB306" i="10"/>
  <c r="BB307" i="10"/>
  <c r="BB308" i="10"/>
  <c r="BB309" i="10"/>
  <c r="BB310" i="10"/>
  <c r="BB311" i="10"/>
  <c r="BB312" i="10"/>
  <c r="BB313" i="10"/>
  <c r="BB314" i="10"/>
  <c r="BB315" i="10"/>
  <c r="BB316" i="10"/>
  <c r="BB317" i="10"/>
  <c r="BB318" i="10"/>
  <c r="BB319" i="10"/>
  <c r="BB320" i="10"/>
  <c r="BB321" i="10"/>
  <c r="BB322" i="10"/>
  <c r="BB323" i="10"/>
  <c r="BB324" i="10"/>
  <c r="BB325" i="10"/>
  <c r="BB326" i="10"/>
  <c r="BB327" i="10"/>
  <c r="BB328" i="10"/>
  <c r="BB329" i="10"/>
  <c r="BB330" i="10"/>
  <c r="BB331" i="10"/>
  <c r="BB332" i="10"/>
  <c r="BB333" i="10"/>
  <c r="BB334" i="10"/>
  <c r="BB335" i="10"/>
  <c r="BB336" i="10"/>
  <c r="BB337" i="10"/>
  <c r="BB338" i="10"/>
  <c r="BB339" i="10"/>
  <c r="BB340" i="10"/>
  <c r="BB341" i="10"/>
  <c r="BC4" i="10"/>
  <c r="BC5" i="10"/>
  <c r="BC6" i="10"/>
  <c r="BC7" i="10"/>
  <c r="BC8" i="10"/>
  <c r="BC9" i="10"/>
  <c r="BC10" i="10"/>
  <c r="BC11" i="10"/>
  <c r="BC12" i="10"/>
  <c r="BC13" i="10"/>
  <c r="BC14" i="10"/>
  <c r="BC15" i="10"/>
  <c r="BC16" i="10"/>
  <c r="BC17" i="10"/>
  <c r="BC18" i="10"/>
  <c r="BC19" i="10"/>
  <c r="BC20" i="10"/>
  <c r="BC21" i="10"/>
  <c r="BC22" i="10"/>
  <c r="BC23" i="10"/>
  <c r="BC24" i="10"/>
  <c r="BC25" i="10"/>
  <c r="BC26" i="10"/>
  <c r="BC27" i="10"/>
  <c r="BC28" i="10"/>
  <c r="BC29" i="10"/>
  <c r="BC30" i="10"/>
  <c r="BC31" i="10"/>
  <c r="BC32" i="10"/>
  <c r="BC33" i="10"/>
  <c r="BC34" i="10"/>
  <c r="BC35" i="10"/>
  <c r="BC36" i="10"/>
  <c r="BC37" i="10"/>
  <c r="BC38" i="10"/>
  <c r="BC39" i="10"/>
  <c r="BC40" i="10"/>
  <c r="BC41" i="10"/>
  <c r="BC42" i="10"/>
  <c r="BC43" i="10"/>
  <c r="BC44" i="10"/>
  <c r="BC45" i="10"/>
  <c r="BC46" i="10"/>
  <c r="BC47" i="10"/>
  <c r="BC48" i="10"/>
  <c r="BC49" i="10"/>
  <c r="BC50" i="10"/>
  <c r="BC51" i="10"/>
  <c r="BC52" i="10"/>
  <c r="BC53" i="10"/>
  <c r="BC54" i="10"/>
  <c r="BC55" i="10"/>
  <c r="BC56" i="10"/>
  <c r="BC57" i="10"/>
  <c r="BC58" i="10"/>
  <c r="BC59" i="10"/>
  <c r="BC60" i="10"/>
  <c r="BC61" i="10"/>
  <c r="BC62" i="10"/>
  <c r="BC63" i="10"/>
  <c r="BC64" i="10"/>
  <c r="BC65" i="10"/>
  <c r="BC66" i="10"/>
  <c r="BC67" i="10"/>
  <c r="BC68" i="10"/>
  <c r="BC69" i="10"/>
  <c r="BC70" i="10"/>
  <c r="BC71" i="10"/>
  <c r="BC72" i="10"/>
  <c r="BC73" i="10"/>
  <c r="BC74" i="10"/>
  <c r="BC75" i="10"/>
  <c r="BC76" i="10"/>
  <c r="BC77" i="10"/>
  <c r="BC78" i="10"/>
  <c r="BC79" i="10"/>
  <c r="BC80" i="10"/>
  <c r="BC81" i="10"/>
  <c r="BC82" i="10"/>
  <c r="BC83" i="10"/>
  <c r="BC84" i="10"/>
  <c r="BC85" i="10"/>
  <c r="BC86" i="10"/>
  <c r="BC87" i="10"/>
  <c r="BC88" i="10"/>
  <c r="BC89" i="10"/>
  <c r="BC90" i="10"/>
  <c r="BC91" i="10"/>
  <c r="BC92" i="10"/>
  <c r="BC93" i="10"/>
  <c r="BC94" i="10"/>
  <c r="BC95" i="10"/>
  <c r="BC96" i="10"/>
  <c r="BC97" i="10"/>
  <c r="BC98" i="10"/>
  <c r="BC99" i="10"/>
  <c r="BC100" i="10"/>
  <c r="BC101" i="10"/>
  <c r="BC102" i="10"/>
  <c r="BC103" i="10"/>
  <c r="BC104" i="10"/>
  <c r="BC105" i="10"/>
  <c r="BC106" i="10"/>
  <c r="BC107" i="10"/>
  <c r="BC108" i="10"/>
  <c r="BC109" i="10"/>
  <c r="BC110" i="10"/>
  <c r="BC111" i="10"/>
  <c r="BC112" i="10"/>
  <c r="BC113" i="10"/>
  <c r="BC114" i="10"/>
  <c r="BC115" i="10"/>
  <c r="BC116" i="10"/>
  <c r="BC117" i="10"/>
  <c r="BC118" i="10"/>
  <c r="BC119" i="10"/>
  <c r="BC120" i="10"/>
  <c r="BC121" i="10"/>
  <c r="BC122" i="10"/>
  <c r="BC123" i="10"/>
  <c r="BC124" i="10"/>
  <c r="BC125" i="10"/>
  <c r="BC126" i="10"/>
  <c r="BC127" i="10"/>
  <c r="BC128" i="10"/>
  <c r="BC129" i="10"/>
  <c r="BC130" i="10"/>
  <c r="BC131" i="10"/>
  <c r="BC132" i="10"/>
  <c r="BC133" i="10"/>
  <c r="BC134" i="10"/>
  <c r="BC135" i="10"/>
  <c r="BC136" i="10"/>
  <c r="BC137" i="10"/>
  <c r="BC138" i="10"/>
  <c r="BC139" i="10"/>
  <c r="BC140" i="10"/>
  <c r="BC141" i="10"/>
  <c r="BC142" i="10"/>
  <c r="BC143" i="10"/>
  <c r="BC144" i="10"/>
  <c r="BC145" i="10"/>
  <c r="BC146" i="10"/>
  <c r="BC147" i="10"/>
  <c r="BC148" i="10"/>
  <c r="BC149" i="10"/>
  <c r="BC150" i="10"/>
  <c r="BC151" i="10"/>
  <c r="BC152" i="10"/>
  <c r="BC153" i="10"/>
  <c r="BC154" i="10"/>
  <c r="BC155" i="10"/>
  <c r="BC156" i="10"/>
  <c r="BC157" i="10"/>
  <c r="BC158" i="10"/>
  <c r="BC159" i="10"/>
  <c r="BC160" i="10"/>
  <c r="BC161" i="10"/>
  <c r="BC162" i="10"/>
  <c r="BC163" i="10"/>
  <c r="BC164" i="10"/>
  <c r="BC165" i="10"/>
  <c r="BC166" i="10"/>
  <c r="BC167" i="10"/>
  <c r="BC168" i="10"/>
  <c r="BC169" i="10"/>
  <c r="BC170" i="10"/>
  <c r="BC171" i="10"/>
  <c r="BC172" i="10"/>
  <c r="BC173" i="10"/>
  <c r="BC174" i="10"/>
  <c r="BC175" i="10"/>
  <c r="BC176" i="10"/>
  <c r="BC177" i="10"/>
  <c r="BC178" i="10"/>
  <c r="BC179" i="10"/>
  <c r="BC180" i="10"/>
  <c r="BC181" i="10"/>
  <c r="BC182" i="10"/>
  <c r="BC183" i="10"/>
  <c r="BC184" i="10"/>
  <c r="BC185" i="10"/>
  <c r="BC186" i="10"/>
  <c r="BC187" i="10"/>
  <c r="BC188" i="10"/>
  <c r="BC189" i="10"/>
  <c r="BC190" i="10"/>
  <c r="BC191" i="10"/>
  <c r="BC192" i="10"/>
  <c r="BC193" i="10"/>
  <c r="BC194" i="10"/>
  <c r="BC195" i="10"/>
  <c r="BC196" i="10"/>
  <c r="BC197" i="10"/>
  <c r="BC198" i="10"/>
  <c r="BC199" i="10"/>
  <c r="BC200" i="10"/>
  <c r="BC201" i="10"/>
  <c r="BC202" i="10"/>
  <c r="BC203" i="10"/>
  <c r="BC204" i="10"/>
  <c r="BC205" i="10"/>
  <c r="BC206" i="10"/>
  <c r="BC207" i="10"/>
  <c r="BC208" i="10"/>
  <c r="BC209" i="10"/>
  <c r="BC210" i="10"/>
  <c r="BC211" i="10"/>
  <c r="BC212" i="10"/>
  <c r="BC213" i="10"/>
  <c r="BC214" i="10"/>
  <c r="BC215" i="10"/>
  <c r="BC216" i="10"/>
  <c r="BC217" i="10"/>
  <c r="BC218" i="10"/>
  <c r="BC219" i="10"/>
  <c r="BC220" i="10"/>
  <c r="BC221" i="10"/>
  <c r="BC222" i="10"/>
  <c r="BC223" i="10"/>
  <c r="BC224" i="10"/>
  <c r="BC225" i="10"/>
  <c r="BC226" i="10"/>
  <c r="BC227" i="10"/>
  <c r="BC228" i="10"/>
  <c r="BC229" i="10"/>
  <c r="BC230" i="10"/>
  <c r="BC231" i="10"/>
  <c r="BC232" i="10"/>
  <c r="BC233" i="10"/>
  <c r="BC234" i="10"/>
  <c r="BC235" i="10"/>
  <c r="BC236" i="10"/>
  <c r="BC237" i="10"/>
  <c r="BC238" i="10"/>
  <c r="BC239" i="10"/>
  <c r="BC240" i="10"/>
  <c r="BC241" i="10"/>
  <c r="BC242" i="10"/>
  <c r="BC243" i="10"/>
  <c r="BC244" i="10"/>
  <c r="BC245" i="10"/>
  <c r="BC246" i="10"/>
  <c r="BC247" i="10"/>
  <c r="BC248" i="10"/>
  <c r="BC249" i="10"/>
  <c r="BC250" i="10"/>
  <c r="BC251" i="10"/>
  <c r="BC252" i="10"/>
  <c r="BC253" i="10"/>
  <c r="BC254" i="10"/>
  <c r="BC255" i="10"/>
  <c r="BC256" i="10"/>
  <c r="BC257" i="10"/>
  <c r="BC258" i="10"/>
  <c r="BC259" i="10"/>
  <c r="BC260" i="10"/>
  <c r="BC261" i="10"/>
  <c r="BC262" i="10"/>
  <c r="BC263" i="10"/>
  <c r="BC264" i="10"/>
  <c r="BC265" i="10"/>
  <c r="BC266" i="10"/>
  <c r="BC267" i="10"/>
  <c r="BC268" i="10"/>
  <c r="BC269" i="10"/>
  <c r="BC270" i="10"/>
  <c r="BC271" i="10"/>
  <c r="BC272" i="10"/>
  <c r="BC273" i="10"/>
  <c r="BC274" i="10"/>
  <c r="BC275" i="10"/>
  <c r="BC276" i="10"/>
  <c r="BC277" i="10"/>
  <c r="BC278" i="10"/>
  <c r="BC279" i="10"/>
  <c r="BC280" i="10"/>
  <c r="BC281" i="10"/>
  <c r="BC282" i="10"/>
  <c r="BC283" i="10"/>
  <c r="BC284" i="10"/>
  <c r="BC285" i="10"/>
  <c r="BC286" i="10"/>
  <c r="BC287" i="10"/>
  <c r="BC288" i="10"/>
  <c r="BC289" i="10"/>
  <c r="BC290" i="10"/>
  <c r="BC291" i="10"/>
  <c r="BC292" i="10"/>
  <c r="BC293" i="10"/>
  <c r="BC294" i="10"/>
  <c r="BC295" i="10"/>
  <c r="BC296" i="10"/>
  <c r="BC297" i="10"/>
  <c r="BC298" i="10"/>
  <c r="BC299" i="10"/>
  <c r="BC300" i="10"/>
  <c r="BC301" i="10"/>
  <c r="BC302" i="10"/>
  <c r="BC303" i="10"/>
  <c r="BC304" i="10"/>
  <c r="BC305" i="10"/>
  <c r="BC306" i="10"/>
  <c r="BC307" i="10"/>
  <c r="BC308" i="10"/>
  <c r="BC309" i="10"/>
  <c r="BC310" i="10"/>
  <c r="BC311" i="10"/>
  <c r="BC312" i="10"/>
  <c r="BC313" i="10"/>
  <c r="BC314" i="10"/>
  <c r="BC315" i="10"/>
  <c r="BC316" i="10"/>
  <c r="BC317" i="10"/>
  <c r="BC318" i="10"/>
  <c r="BC319" i="10"/>
  <c r="BC320" i="10"/>
  <c r="BC321" i="10"/>
  <c r="BC322" i="10"/>
  <c r="BC323" i="10"/>
  <c r="BC324" i="10"/>
  <c r="BC325" i="10"/>
  <c r="BC326" i="10"/>
  <c r="BC327" i="10"/>
  <c r="BC328" i="10"/>
  <c r="BC329" i="10"/>
  <c r="BC330" i="10"/>
  <c r="BC331" i="10"/>
  <c r="BC332" i="10"/>
  <c r="BC333" i="10"/>
  <c r="BC334" i="10"/>
  <c r="BC335" i="10"/>
  <c r="BC336" i="10"/>
  <c r="BC337" i="10"/>
  <c r="BC338" i="10"/>
  <c r="BC339" i="10"/>
  <c r="BC340" i="10"/>
  <c r="BC341" i="10"/>
  <c r="BD4" i="10"/>
  <c r="BD5" i="10"/>
  <c r="BD6" i="10"/>
  <c r="BD7" i="10"/>
  <c r="BD8" i="10"/>
  <c r="BD9" i="10"/>
  <c r="BD10" i="10"/>
  <c r="BD11" i="10"/>
  <c r="BD12" i="10"/>
  <c r="BD13" i="10"/>
  <c r="BD14" i="10"/>
  <c r="BD15" i="10"/>
  <c r="BD16" i="10"/>
  <c r="BD17" i="10"/>
  <c r="BD18" i="10"/>
  <c r="BD19" i="10"/>
  <c r="BD20" i="10"/>
  <c r="BD21" i="10"/>
  <c r="BD22" i="10"/>
  <c r="BD23" i="10"/>
  <c r="BD24" i="10"/>
  <c r="BD25" i="10"/>
  <c r="BD26" i="10"/>
  <c r="BD27" i="10"/>
  <c r="BD28" i="10"/>
  <c r="BD29" i="10"/>
  <c r="BD30" i="10"/>
  <c r="BD31" i="10"/>
  <c r="BD32" i="10"/>
  <c r="BD33" i="10"/>
  <c r="BD34" i="10"/>
  <c r="BD35" i="10"/>
  <c r="BD36" i="10"/>
  <c r="BD37" i="10"/>
  <c r="BD38" i="10"/>
  <c r="BD39" i="10"/>
  <c r="BD40" i="10"/>
  <c r="BD41" i="10"/>
  <c r="BD42" i="10"/>
  <c r="BD43" i="10"/>
  <c r="BD44" i="10"/>
  <c r="BD45" i="10"/>
  <c r="BD46" i="10"/>
  <c r="BD47" i="10"/>
  <c r="BD48" i="10"/>
  <c r="BD49" i="10"/>
  <c r="BD50" i="10"/>
  <c r="BD51" i="10"/>
  <c r="BD52" i="10"/>
  <c r="BD53" i="10"/>
  <c r="BD54" i="10"/>
  <c r="BD55" i="10"/>
  <c r="BD56" i="10"/>
  <c r="BD57" i="10"/>
  <c r="BD58" i="10"/>
  <c r="BD59" i="10"/>
  <c r="BD60" i="10"/>
  <c r="BD61" i="10"/>
  <c r="BD62" i="10"/>
  <c r="BD63" i="10"/>
  <c r="BD64" i="10"/>
  <c r="BD65" i="10"/>
  <c r="BD66" i="10"/>
  <c r="BD67" i="10"/>
  <c r="BD68" i="10"/>
  <c r="BD69" i="10"/>
  <c r="BD70" i="10"/>
  <c r="BD71" i="10"/>
  <c r="BD72" i="10"/>
  <c r="BD73" i="10"/>
  <c r="BD74" i="10"/>
  <c r="BD75" i="10"/>
  <c r="BD76" i="10"/>
  <c r="BD77" i="10"/>
  <c r="BD78" i="10"/>
  <c r="BD79" i="10"/>
  <c r="BD80" i="10"/>
  <c r="BD81" i="10"/>
  <c r="BD82" i="10"/>
  <c r="BD83" i="10"/>
  <c r="BD84" i="10"/>
  <c r="BD85" i="10"/>
  <c r="BD86" i="10"/>
  <c r="BD87" i="10"/>
  <c r="BD88" i="10"/>
  <c r="BD89" i="10"/>
  <c r="BD90" i="10"/>
  <c r="BD91" i="10"/>
  <c r="BD92" i="10"/>
  <c r="BD93" i="10"/>
  <c r="BD94" i="10"/>
  <c r="BD95" i="10"/>
  <c r="BD96" i="10"/>
  <c r="BD97" i="10"/>
  <c r="BD98" i="10"/>
  <c r="BD99" i="10"/>
  <c r="BD100" i="10"/>
  <c r="BD101" i="10"/>
  <c r="BD102" i="10"/>
  <c r="BD103" i="10"/>
  <c r="BD104" i="10"/>
  <c r="BD105" i="10"/>
  <c r="BD106" i="10"/>
  <c r="BD107" i="10"/>
  <c r="BD108" i="10"/>
  <c r="BD109" i="10"/>
  <c r="BD110" i="10"/>
  <c r="BD111" i="10"/>
  <c r="BD112" i="10"/>
  <c r="BD113" i="10"/>
  <c r="BD114" i="10"/>
  <c r="BD115" i="10"/>
  <c r="BD116" i="10"/>
  <c r="BD117" i="10"/>
  <c r="BD118" i="10"/>
  <c r="BD119" i="10"/>
  <c r="BD120" i="10"/>
  <c r="BD121" i="10"/>
  <c r="BD122" i="10"/>
  <c r="BD123" i="10"/>
  <c r="BD124" i="10"/>
  <c r="BD125" i="10"/>
  <c r="BD126" i="10"/>
  <c r="BD127" i="10"/>
  <c r="BD128" i="10"/>
  <c r="BD129" i="10"/>
  <c r="BD130" i="10"/>
  <c r="BD131" i="10"/>
  <c r="BD132" i="10"/>
  <c r="BD133" i="10"/>
  <c r="BD134" i="10"/>
  <c r="BD135" i="10"/>
  <c r="BD136" i="10"/>
  <c r="BD137" i="10"/>
  <c r="BD138" i="10"/>
  <c r="BD139" i="10"/>
  <c r="BD140" i="10"/>
  <c r="BD141" i="10"/>
  <c r="BD142" i="10"/>
  <c r="BD143" i="10"/>
  <c r="BD144" i="10"/>
  <c r="BD145" i="10"/>
  <c r="BD146" i="10"/>
  <c r="BD147" i="10"/>
  <c r="BD148" i="10"/>
  <c r="BD149" i="10"/>
  <c r="BD150" i="10"/>
  <c r="BD151" i="10"/>
  <c r="BD152" i="10"/>
  <c r="BD153" i="10"/>
  <c r="BD154" i="10"/>
  <c r="BD155" i="10"/>
  <c r="BD156" i="10"/>
  <c r="BD157" i="10"/>
  <c r="BD158" i="10"/>
  <c r="BD159" i="10"/>
  <c r="BD160" i="10"/>
  <c r="BD161" i="10"/>
  <c r="BD162" i="10"/>
  <c r="BD163" i="10"/>
  <c r="BD164" i="10"/>
  <c r="BD165" i="10"/>
  <c r="BD166" i="10"/>
  <c r="BD167" i="10"/>
  <c r="BD168" i="10"/>
  <c r="BD169" i="10"/>
  <c r="BD170" i="10"/>
  <c r="BD171" i="10"/>
  <c r="BD172" i="10"/>
  <c r="BD173" i="10"/>
  <c r="BD174" i="10"/>
  <c r="BD175" i="10"/>
  <c r="BD176" i="10"/>
  <c r="BD177" i="10"/>
  <c r="BD178" i="10"/>
  <c r="BD179" i="10"/>
  <c r="BD180" i="10"/>
  <c r="BD181" i="10"/>
  <c r="BD182" i="10"/>
  <c r="BD183" i="10"/>
  <c r="BD184" i="10"/>
  <c r="BD185" i="10"/>
  <c r="BD186" i="10"/>
  <c r="BD187" i="10"/>
  <c r="BD188" i="10"/>
  <c r="BD189" i="10"/>
  <c r="BD190" i="10"/>
  <c r="BD191" i="10"/>
  <c r="BD192" i="10"/>
  <c r="BD193" i="10"/>
  <c r="BD194" i="10"/>
  <c r="BD195" i="10"/>
  <c r="BD196" i="10"/>
  <c r="BD197" i="10"/>
  <c r="BD198" i="10"/>
  <c r="BD199" i="10"/>
  <c r="BD200" i="10"/>
  <c r="BD201" i="10"/>
  <c r="BD202" i="10"/>
  <c r="BD203" i="10"/>
  <c r="BD204" i="10"/>
  <c r="BD205" i="10"/>
  <c r="BD206" i="10"/>
  <c r="BD207" i="10"/>
  <c r="BD208" i="10"/>
  <c r="BD209" i="10"/>
  <c r="BD210" i="10"/>
  <c r="BD211" i="10"/>
  <c r="BD212" i="10"/>
  <c r="BD213" i="10"/>
  <c r="BD214" i="10"/>
  <c r="BD215" i="10"/>
  <c r="BD216" i="10"/>
  <c r="BD217" i="10"/>
  <c r="BD218" i="10"/>
  <c r="BD219" i="10"/>
  <c r="BD220" i="10"/>
  <c r="BD221" i="10"/>
  <c r="BD222" i="10"/>
  <c r="BD223" i="10"/>
  <c r="BD224" i="10"/>
  <c r="BD225" i="10"/>
  <c r="BD226" i="10"/>
  <c r="BD227" i="10"/>
  <c r="BD228" i="10"/>
  <c r="BD229" i="10"/>
  <c r="BD230" i="10"/>
  <c r="BD231" i="10"/>
  <c r="BD232" i="10"/>
  <c r="BD233" i="10"/>
  <c r="BD234" i="10"/>
  <c r="BD235" i="10"/>
  <c r="BD236" i="10"/>
  <c r="BD237" i="10"/>
  <c r="BD238" i="10"/>
  <c r="BD239" i="10"/>
  <c r="BD240" i="10"/>
  <c r="BD241" i="10"/>
  <c r="BD242" i="10"/>
  <c r="BD243" i="10"/>
  <c r="BD244" i="10"/>
  <c r="BD245" i="10"/>
  <c r="BD246" i="10"/>
  <c r="BD247" i="10"/>
  <c r="BD248" i="10"/>
  <c r="BD249" i="10"/>
  <c r="BD250" i="10"/>
  <c r="BD251" i="10"/>
  <c r="BD252" i="10"/>
  <c r="BD253" i="10"/>
  <c r="BD254" i="10"/>
  <c r="BD255" i="10"/>
  <c r="BD256" i="10"/>
  <c r="BD257" i="10"/>
  <c r="BD258" i="10"/>
  <c r="BD259" i="10"/>
  <c r="BD260" i="10"/>
  <c r="BD261" i="10"/>
  <c r="BD262" i="10"/>
  <c r="BD263" i="10"/>
  <c r="BD264" i="10"/>
  <c r="BD265" i="10"/>
  <c r="BD266" i="10"/>
  <c r="BD267" i="10"/>
  <c r="BD268" i="10"/>
  <c r="BD269" i="10"/>
  <c r="BD270" i="10"/>
  <c r="BD271" i="10"/>
  <c r="BD272" i="10"/>
  <c r="BD273" i="10"/>
  <c r="BD274" i="10"/>
  <c r="BD275" i="10"/>
  <c r="BD276" i="10"/>
  <c r="BD277" i="10"/>
  <c r="BD278" i="10"/>
  <c r="BD279" i="10"/>
  <c r="BD280" i="10"/>
  <c r="BD281" i="10"/>
  <c r="BD282" i="10"/>
  <c r="BD283" i="10"/>
  <c r="BD284" i="10"/>
  <c r="BD285" i="10"/>
  <c r="BD286" i="10"/>
  <c r="BD287" i="10"/>
  <c r="BD288" i="10"/>
  <c r="BD289" i="10"/>
  <c r="BD290" i="10"/>
  <c r="BD291" i="10"/>
  <c r="BD292" i="10"/>
  <c r="BD293" i="10"/>
  <c r="BD294" i="10"/>
  <c r="BD295" i="10"/>
  <c r="BD296" i="10"/>
  <c r="BD297" i="10"/>
  <c r="BD298" i="10"/>
  <c r="BD299" i="10"/>
  <c r="BD300" i="10"/>
  <c r="BD301" i="10"/>
  <c r="BD302" i="10"/>
  <c r="BD303" i="10"/>
  <c r="BD304" i="10"/>
  <c r="BD305" i="10"/>
  <c r="BD306" i="10"/>
  <c r="BD307" i="10"/>
  <c r="BD308" i="10"/>
  <c r="BD309" i="10"/>
  <c r="BD310" i="10"/>
  <c r="BD311" i="10"/>
  <c r="BD312" i="10"/>
  <c r="BD313" i="10"/>
  <c r="BD314" i="10"/>
  <c r="BD315" i="10"/>
  <c r="BD316" i="10"/>
  <c r="BD317" i="10"/>
  <c r="BD318" i="10"/>
  <c r="BD319" i="10"/>
  <c r="BD320" i="10"/>
  <c r="BD321" i="10"/>
  <c r="BD322" i="10"/>
  <c r="BD323" i="10"/>
  <c r="BD324" i="10"/>
  <c r="BD325" i="10"/>
  <c r="BD326" i="10"/>
  <c r="BD327" i="10"/>
  <c r="BD328" i="10"/>
  <c r="BD329" i="10"/>
  <c r="BD330" i="10"/>
  <c r="BD331" i="10"/>
  <c r="BD332" i="10"/>
  <c r="BD333" i="10"/>
  <c r="BD334" i="10"/>
  <c r="BD335" i="10"/>
  <c r="BD336" i="10"/>
  <c r="BD337" i="10"/>
  <c r="BD338" i="10"/>
  <c r="BD339" i="10"/>
  <c r="BD340" i="10"/>
  <c r="BD341" i="10"/>
  <c r="BE4" i="10"/>
  <c r="BE5" i="10"/>
  <c r="BE6" i="10"/>
  <c r="BE7" i="10"/>
  <c r="BE8" i="10"/>
  <c r="BE9" i="10"/>
  <c r="BE10" i="10"/>
  <c r="BE11" i="10"/>
  <c r="BE12" i="10"/>
  <c r="BE13" i="10"/>
  <c r="BE14" i="10"/>
  <c r="BE15" i="10"/>
  <c r="BE16" i="10"/>
  <c r="BE17" i="10"/>
  <c r="BE18" i="10"/>
  <c r="BE19" i="10"/>
  <c r="BE20" i="10"/>
  <c r="BE21" i="10"/>
  <c r="BE22" i="10"/>
  <c r="BE23" i="10"/>
  <c r="BE24" i="10"/>
  <c r="BE25" i="10"/>
  <c r="BE26" i="10"/>
  <c r="BE27" i="10"/>
  <c r="BE28" i="10"/>
  <c r="BE29" i="10"/>
  <c r="BE30" i="10"/>
  <c r="BE31" i="10"/>
  <c r="BE32" i="10"/>
  <c r="BE33" i="10"/>
  <c r="BE34" i="10"/>
  <c r="BE35" i="10"/>
  <c r="BE36" i="10"/>
  <c r="BE37" i="10"/>
  <c r="BE38" i="10"/>
  <c r="BE39" i="10"/>
  <c r="BE40" i="10"/>
  <c r="BE41" i="10"/>
  <c r="BE42" i="10"/>
  <c r="BE43" i="10"/>
  <c r="BE44" i="10"/>
  <c r="BE45" i="10"/>
  <c r="BE46" i="10"/>
  <c r="BE47" i="10"/>
  <c r="BE48" i="10"/>
  <c r="BE49" i="10"/>
  <c r="BE50" i="10"/>
  <c r="BE51" i="10"/>
  <c r="BE52" i="10"/>
  <c r="BE53" i="10"/>
  <c r="BE54" i="10"/>
  <c r="BE55" i="10"/>
  <c r="BE56" i="10"/>
  <c r="BE57" i="10"/>
  <c r="BE58" i="10"/>
  <c r="BE59" i="10"/>
  <c r="BE60" i="10"/>
  <c r="BE61" i="10"/>
  <c r="BE62" i="10"/>
  <c r="BE63" i="10"/>
  <c r="BE64" i="10"/>
  <c r="BE65" i="10"/>
  <c r="BE66" i="10"/>
  <c r="BE67" i="10"/>
  <c r="BE68" i="10"/>
  <c r="BE69" i="10"/>
  <c r="BE70" i="10"/>
  <c r="BE71" i="10"/>
  <c r="BE72" i="10"/>
  <c r="BE73" i="10"/>
  <c r="BE74" i="10"/>
  <c r="BE75" i="10"/>
  <c r="BE76" i="10"/>
  <c r="BE77" i="10"/>
  <c r="BE78" i="10"/>
  <c r="BE79" i="10"/>
  <c r="BE80" i="10"/>
  <c r="BE81" i="10"/>
  <c r="BE82" i="10"/>
  <c r="BE83" i="10"/>
  <c r="BE84" i="10"/>
  <c r="BE85" i="10"/>
  <c r="BE86" i="10"/>
  <c r="BE87" i="10"/>
  <c r="BE88" i="10"/>
  <c r="BE89" i="10"/>
  <c r="BE90" i="10"/>
  <c r="BE91" i="10"/>
  <c r="BE92" i="10"/>
  <c r="BE93" i="10"/>
  <c r="BE94" i="10"/>
  <c r="BE95" i="10"/>
  <c r="BE96" i="10"/>
  <c r="BE97" i="10"/>
  <c r="BE98" i="10"/>
  <c r="BE99" i="10"/>
  <c r="BE100" i="10"/>
  <c r="BE101" i="10"/>
  <c r="BE102" i="10"/>
  <c r="BE103" i="10"/>
  <c r="BE104" i="10"/>
  <c r="BE105" i="10"/>
  <c r="BE106" i="10"/>
  <c r="BE107" i="10"/>
  <c r="BE108" i="10"/>
  <c r="BE109" i="10"/>
  <c r="BE110" i="10"/>
  <c r="BE111" i="10"/>
  <c r="BE112" i="10"/>
  <c r="BE113" i="10"/>
  <c r="BE114" i="10"/>
  <c r="BE115" i="10"/>
  <c r="BE116" i="10"/>
  <c r="BE117" i="10"/>
  <c r="BE118" i="10"/>
  <c r="BE119" i="10"/>
  <c r="BE120" i="10"/>
  <c r="BE121" i="10"/>
  <c r="BE122" i="10"/>
  <c r="BE123" i="10"/>
  <c r="BE124" i="10"/>
  <c r="BE125" i="10"/>
  <c r="BE126" i="10"/>
  <c r="BE127" i="10"/>
  <c r="BE128" i="10"/>
  <c r="BE129" i="10"/>
  <c r="BE130" i="10"/>
  <c r="BE131" i="10"/>
  <c r="BE132" i="10"/>
  <c r="BE133" i="10"/>
  <c r="BE134" i="10"/>
  <c r="BE135" i="10"/>
  <c r="BE136" i="10"/>
  <c r="BE137" i="10"/>
  <c r="BE138" i="10"/>
  <c r="BE139" i="10"/>
  <c r="BE140" i="10"/>
  <c r="BE141" i="10"/>
  <c r="BE142" i="10"/>
  <c r="BE143" i="10"/>
  <c r="BE144" i="10"/>
  <c r="BE145" i="10"/>
  <c r="BE146" i="10"/>
  <c r="BE147" i="10"/>
  <c r="BE148" i="10"/>
  <c r="BE149" i="10"/>
  <c r="BE150" i="10"/>
  <c r="BE151" i="10"/>
  <c r="BE152" i="10"/>
  <c r="BE153" i="10"/>
  <c r="BE154" i="10"/>
  <c r="BE155" i="10"/>
  <c r="BE156" i="10"/>
  <c r="BE157" i="10"/>
  <c r="BE158" i="10"/>
  <c r="BE159" i="10"/>
  <c r="BE160" i="10"/>
  <c r="BE161" i="10"/>
  <c r="BE162" i="10"/>
  <c r="BE163" i="10"/>
  <c r="BE164" i="10"/>
  <c r="BE165" i="10"/>
  <c r="BE166" i="10"/>
  <c r="BE167" i="10"/>
  <c r="BE168" i="10"/>
  <c r="BE169" i="10"/>
  <c r="BE170" i="10"/>
  <c r="BE171" i="10"/>
  <c r="BE172" i="10"/>
  <c r="BE173" i="10"/>
  <c r="BE174" i="10"/>
  <c r="BE175" i="10"/>
  <c r="BE176" i="10"/>
  <c r="BE177" i="10"/>
  <c r="BE178" i="10"/>
  <c r="BE179" i="10"/>
  <c r="BE180" i="10"/>
  <c r="BE181" i="10"/>
  <c r="BE182" i="10"/>
  <c r="BE183" i="10"/>
  <c r="BE184" i="10"/>
  <c r="BE185" i="10"/>
  <c r="BE186" i="10"/>
  <c r="BE187" i="10"/>
  <c r="BE188" i="10"/>
  <c r="BE189" i="10"/>
  <c r="BE190" i="10"/>
  <c r="BE191" i="10"/>
  <c r="BE192" i="10"/>
  <c r="BE193" i="10"/>
  <c r="BE194" i="10"/>
  <c r="BE195" i="10"/>
  <c r="BE196" i="10"/>
  <c r="BE197" i="10"/>
  <c r="BE198" i="10"/>
  <c r="BE199" i="10"/>
  <c r="BE200" i="10"/>
  <c r="BE201" i="10"/>
  <c r="BE202" i="10"/>
  <c r="BE203" i="10"/>
  <c r="BE204" i="10"/>
  <c r="BE205" i="10"/>
  <c r="BE206" i="10"/>
  <c r="BE207" i="10"/>
  <c r="BE208" i="10"/>
  <c r="BE209" i="10"/>
  <c r="BE210" i="10"/>
  <c r="BE211" i="10"/>
  <c r="BE212" i="10"/>
  <c r="BE213" i="10"/>
  <c r="BE214" i="10"/>
  <c r="BE215" i="10"/>
  <c r="BE216" i="10"/>
  <c r="BE217" i="10"/>
  <c r="BE218" i="10"/>
  <c r="BE219" i="10"/>
  <c r="BE220" i="10"/>
  <c r="BE221" i="10"/>
  <c r="BE222" i="10"/>
  <c r="BE223" i="10"/>
  <c r="BE224" i="10"/>
  <c r="BE225" i="10"/>
  <c r="BE226" i="10"/>
  <c r="BE227" i="10"/>
  <c r="BE228" i="10"/>
  <c r="BE229" i="10"/>
  <c r="BE230" i="10"/>
  <c r="BE231" i="10"/>
  <c r="BE232" i="10"/>
  <c r="BE233" i="10"/>
  <c r="BE234" i="10"/>
  <c r="BE235" i="10"/>
  <c r="BE236" i="10"/>
  <c r="BE237" i="10"/>
  <c r="BE238" i="10"/>
  <c r="BE239" i="10"/>
  <c r="BE240" i="10"/>
  <c r="BE241" i="10"/>
  <c r="BE242" i="10"/>
  <c r="BE243" i="10"/>
  <c r="BE244" i="10"/>
  <c r="BE245" i="10"/>
  <c r="BE246" i="10"/>
  <c r="BE247" i="10"/>
  <c r="BE248" i="10"/>
  <c r="BE249" i="10"/>
  <c r="BE250" i="10"/>
  <c r="BE251" i="10"/>
  <c r="BE252" i="10"/>
  <c r="BE253" i="10"/>
  <c r="BE254" i="10"/>
  <c r="BE255" i="10"/>
  <c r="BE256" i="10"/>
  <c r="BE257" i="10"/>
  <c r="BE258" i="10"/>
  <c r="BE259" i="10"/>
  <c r="BE260" i="10"/>
  <c r="BE261" i="10"/>
  <c r="BE262" i="10"/>
  <c r="BE263" i="10"/>
  <c r="BE264" i="10"/>
  <c r="BE265" i="10"/>
  <c r="BE266" i="10"/>
  <c r="BE267" i="10"/>
  <c r="BE268" i="10"/>
  <c r="BE269" i="10"/>
  <c r="BE270" i="10"/>
  <c r="BE271" i="10"/>
  <c r="BE272" i="10"/>
  <c r="BE273" i="10"/>
  <c r="BE274" i="10"/>
  <c r="BE275" i="10"/>
  <c r="BE276" i="10"/>
  <c r="BE277" i="10"/>
  <c r="BE278" i="10"/>
  <c r="BE279" i="10"/>
  <c r="BE280" i="10"/>
  <c r="BE281" i="10"/>
  <c r="BE282" i="10"/>
  <c r="BE283" i="10"/>
  <c r="BE284" i="10"/>
  <c r="BE285" i="10"/>
  <c r="BE286" i="10"/>
  <c r="BE287" i="10"/>
  <c r="BE288" i="10"/>
  <c r="BE289" i="10"/>
  <c r="BE290" i="10"/>
  <c r="BE291" i="10"/>
  <c r="BE292" i="10"/>
  <c r="BE293" i="10"/>
  <c r="BE294" i="10"/>
  <c r="BE295" i="10"/>
  <c r="BE296" i="10"/>
  <c r="BE297" i="10"/>
  <c r="BE298" i="10"/>
  <c r="BE299" i="10"/>
  <c r="BE300" i="10"/>
  <c r="BE301" i="10"/>
  <c r="BE302" i="10"/>
  <c r="BE303" i="10"/>
  <c r="BE304" i="10"/>
  <c r="BE305" i="10"/>
  <c r="BE306" i="10"/>
  <c r="BE307" i="10"/>
  <c r="BE308" i="10"/>
  <c r="BE309" i="10"/>
  <c r="BE310" i="10"/>
  <c r="BE311" i="10"/>
  <c r="BE312" i="10"/>
  <c r="BE313" i="10"/>
  <c r="BE314" i="10"/>
  <c r="BE315" i="10"/>
  <c r="BE316" i="10"/>
  <c r="BE317" i="10"/>
  <c r="BE318" i="10"/>
  <c r="BE319" i="10"/>
  <c r="BE320" i="10"/>
  <c r="BE321" i="10"/>
  <c r="BE322" i="10"/>
  <c r="BE323" i="10"/>
  <c r="BE324" i="10"/>
  <c r="BE325" i="10"/>
  <c r="BE326" i="10"/>
  <c r="BE327" i="10"/>
  <c r="BE328" i="10"/>
  <c r="BE329" i="10"/>
  <c r="BE330" i="10"/>
  <c r="BE331" i="10"/>
  <c r="BE332" i="10"/>
  <c r="BE333" i="10"/>
  <c r="BE334" i="10"/>
  <c r="BE335" i="10"/>
  <c r="BE336" i="10"/>
  <c r="BE337" i="10"/>
  <c r="BE338" i="10"/>
  <c r="BE339" i="10"/>
  <c r="BE340" i="10"/>
  <c r="BE341" i="10"/>
  <c r="BF4" i="10"/>
  <c r="BF5" i="10"/>
  <c r="BF6" i="10"/>
  <c r="BF7" i="10"/>
  <c r="BF8" i="10"/>
  <c r="BF9" i="10"/>
  <c r="BF10" i="10"/>
  <c r="BF11" i="10"/>
  <c r="BF12" i="10"/>
  <c r="BF13" i="10"/>
  <c r="BF14" i="10"/>
  <c r="BF15" i="10"/>
  <c r="BF16" i="10"/>
  <c r="BF17" i="10"/>
  <c r="BF18" i="10"/>
  <c r="BF19" i="10"/>
  <c r="BF20" i="10"/>
  <c r="BF21" i="10"/>
  <c r="BF22" i="10"/>
  <c r="BF23" i="10"/>
  <c r="BF24" i="10"/>
  <c r="BF25" i="10"/>
  <c r="BF26" i="10"/>
  <c r="BF27" i="10"/>
  <c r="BF28" i="10"/>
  <c r="BF29" i="10"/>
  <c r="BF30" i="10"/>
  <c r="BF31" i="10"/>
  <c r="BF32" i="10"/>
  <c r="BF33" i="10"/>
  <c r="BF34" i="10"/>
  <c r="BF35" i="10"/>
  <c r="BF36" i="10"/>
  <c r="BF37" i="10"/>
  <c r="BF38" i="10"/>
  <c r="BF39" i="10"/>
  <c r="BF40" i="10"/>
  <c r="BF41" i="10"/>
  <c r="BF42" i="10"/>
  <c r="BF43" i="10"/>
  <c r="BF44" i="10"/>
  <c r="BF45" i="10"/>
  <c r="BF46" i="10"/>
  <c r="BF47" i="10"/>
  <c r="BF48" i="10"/>
  <c r="BF49" i="10"/>
  <c r="BF50" i="10"/>
  <c r="BF51" i="10"/>
  <c r="BF52" i="10"/>
  <c r="BF53" i="10"/>
  <c r="BF54" i="10"/>
  <c r="BF55" i="10"/>
  <c r="BF56" i="10"/>
  <c r="BF57" i="10"/>
  <c r="BF58" i="10"/>
  <c r="BF59" i="10"/>
  <c r="BF60" i="10"/>
  <c r="BF61" i="10"/>
  <c r="BF62" i="10"/>
  <c r="BF63" i="10"/>
  <c r="BF64" i="10"/>
  <c r="BF65" i="10"/>
  <c r="BF66" i="10"/>
  <c r="BF67" i="10"/>
  <c r="BF68" i="10"/>
  <c r="BF69" i="10"/>
  <c r="BF70" i="10"/>
  <c r="BF71" i="10"/>
  <c r="BF72" i="10"/>
  <c r="BF73" i="10"/>
  <c r="BF74" i="10"/>
  <c r="BF75" i="10"/>
  <c r="BF76" i="10"/>
  <c r="BF77" i="10"/>
  <c r="BF78" i="10"/>
  <c r="BF79" i="10"/>
  <c r="BF80" i="10"/>
  <c r="BF81" i="10"/>
  <c r="BF82" i="10"/>
  <c r="BF83" i="10"/>
  <c r="BF84" i="10"/>
  <c r="BF85" i="10"/>
  <c r="BF86" i="10"/>
  <c r="BF87" i="10"/>
  <c r="BF88" i="10"/>
  <c r="BF89" i="10"/>
  <c r="BF90" i="10"/>
  <c r="BF91" i="10"/>
  <c r="BF92" i="10"/>
  <c r="BF93" i="10"/>
  <c r="BF94" i="10"/>
  <c r="BF95" i="10"/>
  <c r="BF96" i="10"/>
  <c r="BF97" i="10"/>
  <c r="BF98" i="10"/>
  <c r="BF99" i="10"/>
  <c r="BF100" i="10"/>
  <c r="BF101" i="10"/>
  <c r="BF102" i="10"/>
  <c r="BF103" i="10"/>
  <c r="BF104" i="10"/>
  <c r="BF105" i="10"/>
  <c r="BF106" i="10"/>
  <c r="BF107" i="10"/>
  <c r="BF108" i="10"/>
  <c r="BF109" i="10"/>
  <c r="BF110" i="10"/>
  <c r="BF111" i="10"/>
  <c r="BF112" i="10"/>
  <c r="BF113" i="10"/>
  <c r="BF114" i="10"/>
  <c r="BF115" i="10"/>
  <c r="BF116" i="10"/>
  <c r="BF117" i="10"/>
  <c r="BF118" i="10"/>
  <c r="BF119" i="10"/>
  <c r="BF120" i="10"/>
  <c r="BF121" i="10"/>
  <c r="BF122" i="10"/>
  <c r="BF123" i="10"/>
  <c r="BF124" i="10"/>
  <c r="BF125" i="10"/>
  <c r="BF126" i="10"/>
  <c r="BF127" i="10"/>
  <c r="BF128" i="10"/>
  <c r="BF129" i="10"/>
  <c r="BF130" i="10"/>
  <c r="BF131" i="10"/>
  <c r="BF132" i="10"/>
  <c r="BF133" i="10"/>
  <c r="BF134" i="10"/>
  <c r="BF135" i="10"/>
  <c r="BF136" i="10"/>
  <c r="BF137" i="10"/>
  <c r="BF138" i="10"/>
  <c r="BF139" i="10"/>
  <c r="BF140" i="10"/>
  <c r="BF141" i="10"/>
  <c r="BF142" i="10"/>
  <c r="BF143" i="10"/>
  <c r="BF144" i="10"/>
  <c r="BF145" i="10"/>
  <c r="BF146" i="10"/>
  <c r="BF147" i="10"/>
  <c r="BF148" i="10"/>
  <c r="BF149" i="10"/>
  <c r="BF150" i="10"/>
  <c r="BF151" i="10"/>
  <c r="BF152" i="10"/>
  <c r="BF153" i="10"/>
  <c r="BF154" i="10"/>
  <c r="BF155" i="10"/>
  <c r="BF156" i="10"/>
  <c r="BF157" i="10"/>
  <c r="BF158" i="10"/>
  <c r="BF159" i="10"/>
  <c r="BF160" i="10"/>
  <c r="BF161" i="10"/>
  <c r="BF162" i="10"/>
  <c r="BF163" i="10"/>
  <c r="BF164" i="10"/>
  <c r="BF165" i="10"/>
  <c r="BF166" i="10"/>
  <c r="BF167" i="10"/>
  <c r="BF168" i="10"/>
  <c r="BF169" i="10"/>
  <c r="BF170" i="10"/>
  <c r="BF171" i="10"/>
  <c r="BF172" i="10"/>
  <c r="BF173" i="10"/>
  <c r="BF174" i="10"/>
  <c r="BF175" i="10"/>
  <c r="BF176" i="10"/>
  <c r="BF177" i="10"/>
  <c r="BF178" i="10"/>
  <c r="BF179" i="10"/>
  <c r="BF180" i="10"/>
  <c r="BF181" i="10"/>
  <c r="BF182" i="10"/>
  <c r="BF183" i="10"/>
  <c r="BF184" i="10"/>
  <c r="BF185" i="10"/>
  <c r="BF186" i="10"/>
  <c r="BF187" i="10"/>
  <c r="BF188" i="10"/>
  <c r="BF189" i="10"/>
  <c r="BF190" i="10"/>
  <c r="BF191" i="10"/>
  <c r="BF192" i="10"/>
  <c r="BF193" i="10"/>
  <c r="BF194" i="10"/>
  <c r="BF195" i="10"/>
  <c r="BF196" i="10"/>
  <c r="BF197" i="10"/>
  <c r="BF198" i="10"/>
  <c r="BF199" i="10"/>
  <c r="BF200" i="10"/>
  <c r="BF201" i="10"/>
  <c r="BF202" i="10"/>
  <c r="BF203" i="10"/>
  <c r="BF204" i="10"/>
  <c r="BF205" i="10"/>
  <c r="BF206" i="10"/>
  <c r="BF207" i="10"/>
  <c r="BF208" i="10"/>
  <c r="BF209" i="10"/>
  <c r="BF210" i="10"/>
  <c r="BF211" i="10"/>
  <c r="BF212" i="10"/>
  <c r="BF213" i="10"/>
  <c r="BF214" i="10"/>
  <c r="BF215" i="10"/>
  <c r="BF216" i="10"/>
  <c r="BF217" i="10"/>
  <c r="BF218" i="10"/>
  <c r="BF219" i="10"/>
  <c r="BF220" i="10"/>
  <c r="BF221" i="10"/>
  <c r="BF222" i="10"/>
  <c r="BF223" i="10"/>
  <c r="BF224" i="10"/>
  <c r="BF225" i="10"/>
  <c r="BF226" i="10"/>
  <c r="BF227" i="10"/>
  <c r="BF228" i="10"/>
  <c r="BF229" i="10"/>
  <c r="BF230" i="10"/>
  <c r="BF231" i="10"/>
  <c r="BF232" i="10"/>
  <c r="BF233" i="10"/>
  <c r="BF234" i="10"/>
  <c r="BF235" i="10"/>
  <c r="BF236" i="10"/>
  <c r="BF237" i="10"/>
  <c r="BF238" i="10"/>
  <c r="BF239" i="10"/>
  <c r="BF240" i="10"/>
  <c r="BF241" i="10"/>
  <c r="BF242" i="10"/>
  <c r="BF243" i="10"/>
  <c r="BF244" i="10"/>
  <c r="BF245" i="10"/>
  <c r="BF246" i="10"/>
  <c r="BF247" i="10"/>
  <c r="BF248" i="10"/>
  <c r="BF249" i="10"/>
  <c r="BF250" i="10"/>
  <c r="BF251" i="10"/>
  <c r="BF252" i="10"/>
  <c r="BF253" i="10"/>
  <c r="BF254" i="10"/>
  <c r="BF255" i="10"/>
  <c r="BF256" i="10"/>
  <c r="BF257" i="10"/>
  <c r="BF258" i="10"/>
  <c r="BF259" i="10"/>
  <c r="BF260" i="10"/>
  <c r="BF261" i="10"/>
  <c r="BF262" i="10"/>
  <c r="BF263" i="10"/>
  <c r="BF264" i="10"/>
  <c r="BF265" i="10"/>
  <c r="BF266" i="10"/>
  <c r="BF267" i="10"/>
  <c r="BF268" i="10"/>
  <c r="BF269" i="10"/>
  <c r="BF270" i="10"/>
  <c r="BF271" i="10"/>
  <c r="BF272" i="10"/>
  <c r="BF273" i="10"/>
  <c r="BF274" i="10"/>
  <c r="BF275" i="10"/>
  <c r="BF276" i="10"/>
  <c r="BF277" i="10"/>
  <c r="BF278" i="10"/>
  <c r="BF279" i="10"/>
  <c r="BF280" i="10"/>
  <c r="BF281" i="10"/>
  <c r="BF282" i="10"/>
  <c r="BF283" i="10"/>
  <c r="BF284" i="10"/>
  <c r="BF285" i="10"/>
  <c r="BF286" i="10"/>
  <c r="BF287" i="10"/>
  <c r="BF288" i="10"/>
  <c r="BF289" i="10"/>
  <c r="BF290" i="10"/>
  <c r="BF291" i="10"/>
  <c r="BF292" i="10"/>
  <c r="BF293" i="10"/>
  <c r="BF294" i="10"/>
  <c r="BF295" i="10"/>
  <c r="BF296" i="10"/>
  <c r="BF297" i="10"/>
  <c r="BF298" i="10"/>
  <c r="BF299" i="10"/>
  <c r="BF300" i="10"/>
  <c r="BF301" i="10"/>
  <c r="BF302" i="10"/>
  <c r="BF303" i="10"/>
  <c r="BF304" i="10"/>
  <c r="BF305" i="10"/>
  <c r="BF306" i="10"/>
  <c r="BF307" i="10"/>
  <c r="BF308" i="10"/>
  <c r="BF309" i="10"/>
  <c r="BF310" i="10"/>
  <c r="BF311" i="10"/>
  <c r="BF312" i="10"/>
  <c r="BF313" i="10"/>
  <c r="BF314" i="10"/>
  <c r="BF315" i="10"/>
  <c r="BF316" i="10"/>
  <c r="BF317" i="10"/>
  <c r="BF318" i="10"/>
  <c r="BF319" i="10"/>
  <c r="BF320" i="10"/>
  <c r="BF321" i="10"/>
  <c r="BF322" i="10"/>
  <c r="BF323" i="10"/>
  <c r="BF324" i="10"/>
  <c r="BF325" i="10"/>
  <c r="BF326" i="10"/>
  <c r="BF327" i="10"/>
  <c r="BF328" i="10"/>
  <c r="BF329" i="10"/>
  <c r="BF330" i="10"/>
  <c r="BF331" i="10"/>
  <c r="BF332" i="10"/>
  <c r="BF333" i="10"/>
  <c r="BF334" i="10"/>
  <c r="BF335" i="10"/>
  <c r="BF336" i="10"/>
  <c r="BF337" i="10"/>
  <c r="BF338" i="10"/>
  <c r="BF339" i="10"/>
  <c r="BF340" i="10"/>
  <c r="BF341" i="10"/>
  <c r="BG4" i="10"/>
  <c r="BG5" i="10"/>
  <c r="BG6" i="10"/>
  <c r="BG7" i="10"/>
  <c r="BG8" i="10"/>
  <c r="BG9" i="10"/>
  <c r="BG10" i="10"/>
  <c r="BG11" i="10"/>
  <c r="BG12" i="10"/>
  <c r="BG13" i="10"/>
  <c r="BG14" i="10"/>
  <c r="BG15" i="10"/>
  <c r="BG16" i="10"/>
  <c r="BG17" i="10"/>
  <c r="BG18" i="10"/>
  <c r="BG19" i="10"/>
  <c r="BG20" i="10"/>
  <c r="BG21" i="10"/>
  <c r="BG22" i="10"/>
  <c r="BG23" i="10"/>
  <c r="BG24" i="10"/>
  <c r="BG25" i="10"/>
  <c r="BG26" i="10"/>
  <c r="BG27" i="10"/>
  <c r="BG28" i="10"/>
  <c r="BG29" i="10"/>
  <c r="BG30" i="10"/>
  <c r="BG31" i="10"/>
  <c r="BG32" i="10"/>
  <c r="BG33" i="10"/>
  <c r="BG34" i="10"/>
  <c r="BG35" i="10"/>
  <c r="BG36" i="10"/>
  <c r="BG37" i="10"/>
  <c r="BG38" i="10"/>
  <c r="BG39" i="10"/>
  <c r="BG40" i="10"/>
  <c r="BG41" i="10"/>
  <c r="BG42" i="10"/>
  <c r="BG43" i="10"/>
  <c r="BG44" i="10"/>
  <c r="BG45" i="10"/>
  <c r="BG46" i="10"/>
  <c r="BG47" i="10"/>
  <c r="BG48" i="10"/>
  <c r="BG49" i="10"/>
  <c r="BG50" i="10"/>
  <c r="BG51" i="10"/>
  <c r="BG52" i="10"/>
  <c r="BG53" i="10"/>
  <c r="BG54" i="10"/>
  <c r="BG55" i="10"/>
  <c r="BG56" i="10"/>
  <c r="BG57" i="10"/>
  <c r="BG58" i="10"/>
  <c r="BG59" i="10"/>
  <c r="BG60" i="10"/>
  <c r="BG61" i="10"/>
  <c r="BG62" i="10"/>
  <c r="BG63" i="10"/>
  <c r="BG64" i="10"/>
  <c r="BG65" i="10"/>
  <c r="BG66" i="10"/>
  <c r="BG67" i="10"/>
  <c r="BG68" i="10"/>
  <c r="BG69" i="10"/>
  <c r="BG70" i="10"/>
  <c r="BG71" i="10"/>
  <c r="BG72" i="10"/>
  <c r="BG73" i="10"/>
  <c r="BG74" i="10"/>
  <c r="BG75" i="10"/>
  <c r="BG76" i="10"/>
  <c r="BG77" i="10"/>
  <c r="BG78" i="10"/>
  <c r="BG79" i="10"/>
  <c r="BG80" i="10"/>
  <c r="BG81" i="10"/>
  <c r="BG82" i="10"/>
  <c r="BG83" i="10"/>
  <c r="BG84" i="10"/>
  <c r="BG85" i="10"/>
  <c r="BG86" i="10"/>
  <c r="BG87" i="10"/>
  <c r="BG88" i="10"/>
  <c r="BG89" i="10"/>
  <c r="BG90" i="10"/>
  <c r="BG91" i="10"/>
  <c r="BG92" i="10"/>
  <c r="BG93" i="10"/>
  <c r="BG94" i="10"/>
  <c r="BG95" i="10"/>
  <c r="BG96" i="10"/>
  <c r="BG97" i="10"/>
  <c r="BG98" i="10"/>
  <c r="BG99" i="10"/>
  <c r="BG100" i="10"/>
  <c r="BG101" i="10"/>
  <c r="BG102" i="10"/>
  <c r="BG103" i="10"/>
  <c r="BG104" i="10"/>
  <c r="BG105" i="10"/>
  <c r="BG106" i="10"/>
  <c r="BG107" i="10"/>
  <c r="BG108" i="10"/>
  <c r="BG109" i="10"/>
  <c r="BG110" i="10"/>
  <c r="BG111" i="10"/>
  <c r="BG112" i="10"/>
  <c r="BG113" i="10"/>
  <c r="BG114" i="10"/>
  <c r="BG115" i="10"/>
  <c r="BG116" i="10"/>
  <c r="BG117" i="10"/>
  <c r="BG118" i="10"/>
  <c r="BG119" i="10"/>
  <c r="BG120" i="10"/>
  <c r="BG121" i="10"/>
  <c r="BG122" i="10"/>
  <c r="BG123" i="10"/>
  <c r="BG124" i="10"/>
  <c r="BG125" i="10"/>
  <c r="BG126" i="10"/>
  <c r="BG127" i="10"/>
  <c r="BG128" i="10"/>
  <c r="BG129" i="10"/>
  <c r="BG130" i="10"/>
  <c r="BG131" i="10"/>
  <c r="BG132" i="10"/>
  <c r="BG133" i="10"/>
  <c r="BG134" i="10"/>
  <c r="BG135" i="10"/>
  <c r="BG136" i="10"/>
  <c r="BG137" i="10"/>
  <c r="BG138" i="10"/>
  <c r="BG139" i="10"/>
  <c r="BG140" i="10"/>
  <c r="BG141" i="10"/>
  <c r="BG142" i="10"/>
  <c r="BG143" i="10"/>
  <c r="BG144" i="10"/>
  <c r="BG145" i="10"/>
  <c r="BG146" i="10"/>
  <c r="BG147" i="10"/>
  <c r="BG148" i="10"/>
  <c r="BG149" i="10"/>
  <c r="BG150" i="10"/>
  <c r="BG151" i="10"/>
  <c r="BG152" i="10"/>
  <c r="BG153" i="10"/>
  <c r="BG154" i="10"/>
  <c r="BG155" i="10"/>
  <c r="BG156" i="10"/>
  <c r="BG157" i="10"/>
  <c r="BG158" i="10"/>
  <c r="BG159" i="10"/>
  <c r="BG160" i="10"/>
  <c r="BG161" i="10"/>
  <c r="BG162" i="10"/>
  <c r="BG163" i="10"/>
  <c r="BG164" i="10"/>
  <c r="BG165" i="10"/>
  <c r="BG166" i="10"/>
  <c r="BG167" i="10"/>
  <c r="BG168" i="10"/>
  <c r="BG169" i="10"/>
  <c r="BG170" i="10"/>
  <c r="BG171" i="10"/>
  <c r="BG172" i="10"/>
  <c r="BG173" i="10"/>
  <c r="BG174" i="10"/>
  <c r="BG175" i="10"/>
  <c r="BG176" i="10"/>
  <c r="BG177" i="10"/>
  <c r="BG178" i="10"/>
  <c r="BG179" i="10"/>
  <c r="BG180" i="10"/>
  <c r="BG181" i="10"/>
  <c r="BG182" i="10"/>
  <c r="BG183" i="10"/>
  <c r="BG184" i="10"/>
  <c r="BG185" i="10"/>
  <c r="BG186" i="10"/>
  <c r="BG187" i="10"/>
  <c r="BG188" i="10"/>
  <c r="BG189" i="10"/>
  <c r="BG190" i="10"/>
  <c r="BG191" i="10"/>
  <c r="BG192" i="10"/>
  <c r="BG193" i="10"/>
  <c r="BG194" i="10"/>
  <c r="BG195" i="10"/>
  <c r="BG196" i="10"/>
  <c r="BG197" i="10"/>
  <c r="BG198" i="10"/>
  <c r="BG199" i="10"/>
  <c r="BG200" i="10"/>
  <c r="BG201" i="10"/>
  <c r="BG202" i="10"/>
  <c r="BG203" i="10"/>
  <c r="BG204" i="10"/>
  <c r="BG205" i="10"/>
  <c r="BG206" i="10"/>
  <c r="BG207" i="10"/>
  <c r="BG208" i="10"/>
  <c r="BG209" i="10"/>
  <c r="BG210" i="10"/>
  <c r="BG211" i="10"/>
  <c r="BG212" i="10"/>
  <c r="BG213" i="10"/>
  <c r="BG214" i="10"/>
  <c r="BG215" i="10"/>
  <c r="BG216" i="10"/>
  <c r="BG217" i="10"/>
  <c r="BG218" i="10"/>
  <c r="BG219" i="10"/>
  <c r="BG220" i="10"/>
  <c r="BG221" i="10"/>
  <c r="BG222" i="10"/>
  <c r="BG223" i="10"/>
  <c r="BG224" i="10"/>
  <c r="BG225" i="10"/>
  <c r="BG226" i="10"/>
  <c r="BG227" i="10"/>
  <c r="BG228" i="10"/>
  <c r="BG229" i="10"/>
  <c r="BG230" i="10"/>
  <c r="BG231" i="10"/>
  <c r="BG232" i="10"/>
  <c r="BG233" i="10"/>
  <c r="BG234" i="10"/>
  <c r="BG235" i="10"/>
  <c r="BG236" i="10"/>
  <c r="BG237" i="10"/>
  <c r="BG238" i="10"/>
  <c r="BG239" i="10"/>
  <c r="BG240" i="10"/>
  <c r="BG241" i="10"/>
  <c r="BG242" i="10"/>
  <c r="BG243" i="10"/>
  <c r="BG244" i="10"/>
  <c r="BG245" i="10"/>
  <c r="BG246" i="10"/>
  <c r="BG247" i="10"/>
  <c r="BG248" i="10"/>
  <c r="BG249" i="10"/>
  <c r="BG250" i="10"/>
  <c r="BG251" i="10"/>
  <c r="BG252" i="10"/>
  <c r="BG253" i="10"/>
  <c r="BG254" i="10"/>
  <c r="BG255" i="10"/>
  <c r="BG256" i="10"/>
  <c r="BG257" i="10"/>
  <c r="BG258" i="10"/>
  <c r="BG259" i="10"/>
  <c r="BG260" i="10"/>
  <c r="BG261" i="10"/>
  <c r="BG262" i="10"/>
  <c r="BG263" i="10"/>
  <c r="BG264" i="10"/>
  <c r="BG265" i="10"/>
  <c r="BG266" i="10"/>
  <c r="BG267" i="10"/>
  <c r="BG268" i="10"/>
  <c r="BG269" i="10"/>
  <c r="BG270" i="10"/>
  <c r="BG271" i="10"/>
  <c r="BG272" i="10"/>
  <c r="BG273" i="10"/>
  <c r="BG274" i="10"/>
  <c r="BG275" i="10"/>
  <c r="BG276" i="10"/>
  <c r="BG277" i="10"/>
  <c r="BG278" i="10"/>
  <c r="BG279" i="10"/>
  <c r="BG280" i="10"/>
  <c r="BG281" i="10"/>
  <c r="BG282" i="10"/>
  <c r="BG283" i="10"/>
  <c r="BG284" i="10"/>
  <c r="BG285" i="10"/>
  <c r="BG286" i="10"/>
  <c r="BG287" i="10"/>
  <c r="BG288" i="10"/>
  <c r="BG289" i="10"/>
  <c r="BG290" i="10"/>
  <c r="BG291" i="10"/>
  <c r="BG292" i="10"/>
  <c r="BG293" i="10"/>
  <c r="BG294" i="10"/>
  <c r="BG295" i="10"/>
  <c r="BG296" i="10"/>
  <c r="BG297" i="10"/>
  <c r="BG298" i="10"/>
  <c r="BG299" i="10"/>
  <c r="BG300" i="10"/>
  <c r="BG301" i="10"/>
  <c r="BG302" i="10"/>
  <c r="BG303" i="10"/>
  <c r="BG304" i="10"/>
  <c r="BG305" i="10"/>
  <c r="BG306" i="10"/>
  <c r="BG307" i="10"/>
  <c r="BG308" i="10"/>
  <c r="BG309" i="10"/>
  <c r="BG310" i="10"/>
  <c r="BG311" i="10"/>
  <c r="BG312" i="10"/>
  <c r="BG313" i="10"/>
  <c r="BG314" i="10"/>
  <c r="BG315" i="10"/>
  <c r="BG316" i="10"/>
  <c r="BG317" i="10"/>
  <c r="BG318" i="10"/>
  <c r="BG319" i="10"/>
  <c r="BG320" i="10"/>
  <c r="BG321" i="10"/>
  <c r="BG322" i="10"/>
  <c r="BG323" i="10"/>
  <c r="BG324" i="10"/>
  <c r="BG325" i="10"/>
  <c r="BG326" i="10"/>
  <c r="BG327" i="10"/>
  <c r="BG328" i="10"/>
  <c r="BG329" i="10"/>
  <c r="BG330" i="10"/>
  <c r="BG331" i="10"/>
  <c r="BG332" i="10"/>
  <c r="BG333" i="10"/>
  <c r="BG334" i="10"/>
  <c r="BG335" i="10"/>
  <c r="BG336" i="10"/>
  <c r="BG337" i="10"/>
  <c r="BG338" i="10"/>
  <c r="BG339" i="10"/>
  <c r="BG340" i="10"/>
  <c r="BG341" i="10"/>
  <c r="BH4" i="10"/>
  <c r="BH5" i="10"/>
  <c r="BH6" i="10"/>
  <c r="BH7" i="10"/>
  <c r="BH8" i="10"/>
  <c r="BH9" i="10"/>
  <c r="BH10" i="10"/>
  <c r="BH11" i="10"/>
  <c r="BH12" i="10"/>
  <c r="BH13" i="10"/>
  <c r="BH14" i="10"/>
  <c r="BH15" i="10"/>
  <c r="BH16" i="10"/>
  <c r="BH17" i="10"/>
  <c r="BH18" i="10"/>
  <c r="BH19" i="10"/>
  <c r="BH20" i="10"/>
  <c r="BH21" i="10"/>
  <c r="BH22" i="10"/>
  <c r="BH23" i="10"/>
  <c r="BH24" i="10"/>
  <c r="BH25" i="10"/>
  <c r="BH26" i="10"/>
  <c r="BH27" i="10"/>
  <c r="BH28" i="10"/>
  <c r="BH29" i="10"/>
  <c r="BH30" i="10"/>
  <c r="BH31" i="10"/>
  <c r="BH32" i="10"/>
  <c r="BH33" i="10"/>
  <c r="BH34" i="10"/>
  <c r="BH35" i="10"/>
  <c r="BH36" i="10"/>
  <c r="BH37" i="10"/>
  <c r="BH38" i="10"/>
  <c r="BH39" i="10"/>
  <c r="BH40" i="10"/>
  <c r="BH41" i="10"/>
  <c r="BH42" i="10"/>
  <c r="BH43" i="10"/>
  <c r="BH44" i="10"/>
  <c r="BH45" i="10"/>
  <c r="BH46" i="10"/>
  <c r="BH47" i="10"/>
  <c r="BH48" i="10"/>
  <c r="BH49" i="10"/>
  <c r="BH50" i="10"/>
  <c r="BH51" i="10"/>
  <c r="BH52" i="10"/>
  <c r="BH53" i="10"/>
  <c r="BH54" i="10"/>
  <c r="BH55" i="10"/>
  <c r="BH56" i="10"/>
  <c r="BH57" i="10"/>
  <c r="BH58" i="10"/>
  <c r="BH59" i="10"/>
  <c r="BH60" i="10"/>
  <c r="BH61" i="10"/>
  <c r="BH62" i="10"/>
  <c r="BH63" i="10"/>
  <c r="BH64" i="10"/>
  <c r="BH65" i="10"/>
  <c r="BH66" i="10"/>
  <c r="BH67" i="10"/>
  <c r="BH68" i="10"/>
  <c r="BH69" i="10"/>
  <c r="BH70" i="10"/>
  <c r="BH71" i="10"/>
  <c r="BH72" i="10"/>
  <c r="BH73" i="10"/>
  <c r="BH74" i="10"/>
  <c r="BH75" i="10"/>
  <c r="BH76" i="10"/>
  <c r="BH77" i="10"/>
  <c r="BH78" i="10"/>
  <c r="BH79" i="10"/>
  <c r="BH80" i="10"/>
  <c r="BH81" i="10"/>
  <c r="BH82" i="10"/>
  <c r="BH83" i="10"/>
  <c r="BH84" i="10"/>
  <c r="BH85" i="10"/>
  <c r="BH86" i="10"/>
  <c r="BH87" i="10"/>
  <c r="BH88" i="10"/>
  <c r="BH89" i="10"/>
  <c r="BH90" i="10"/>
  <c r="BH91" i="10"/>
  <c r="BH92" i="10"/>
  <c r="BH93" i="10"/>
  <c r="BH94" i="10"/>
  <c r="BH95" i="10"/>
  <c r="BH96" i="10"/>
  <c r="BH97" i="10"/>
  <c r="BH98" i="10"/>
  <c r="BH99" i="10"/>
  <c r="BH100" i="10"/>
  <c r="BH101" i="10"/>
  <c r="BH102" i="10"/>
  <c r="BH103" i="10"/>
  <c r="BH104" i="10"/>
  <c r="BH105" i="10"/>
  <c r="BH106" i="10"/>
  <c r="BH107" i="10"/>
  <c r="BH108" i="10"/>
  <c r="BH109" i="10"/>
  <c r="BH110" i="10"/>
  <c r="BH111" i="10"/>
  <c r="BH112" i="10"/>
  <c r="BH113" i="10"/>
  <c r="BH114" i="10"/>
  <c r="BH115" i="10"/>
  <c r="BH116" i="10"/>
  <c r="BH117" i="10"/>
  <c r="BH118" i="10"/>
  <c r="BH119" i="10"/>
  <c r="BH120" i="10"/>
  <c r="BH121" i="10"/>
  <c r="BH122" i="10"/>
  <c r="BH123" i="10"/>
  <c r="BH124" i="10"/>
  <c r="BH125" i="10"/>
  <c r="BH126" i="10"/>
  <c r="BH127" i="10"/>
  <c r="BH128" i="10"/>
  <c r="BH129" i="10"/>
  <c r="BH130" i="10"/>
  <c r="BH131" i="10"/>
  <c r="BH132" i="10"/>
  <c r="BH133" i="10"/>
  <c r="BH134" i="10"/>
  <c r="BH135" i="10"/>
  <c r="BH136" i="10"/>
  <c r="BH137" i="10"/>
  <c r="BH138" i="10"/>
  <c r="BH139" i="10"/>
  <c r="BH140" i="10"/>
  <c r="BH141" i="10"/>
  <c r="BH142" i="10"/>
  <c r="BH143" i="10"/>
  <c r="BH144" i="10"/>
  <c r="BH145" i="10"/>
  <c r="BH146" i="10"/>
  <c r="BH147" i="10"/>
  <c r="BH148" i="10"/>
  <c r="BH149" i="10"/>
  <c r="BH150" i="10"/>
  <c r="BH151" i="10"/>
  <c r="BH152" i="10"/>
  <c r="BH153" i="10"/>
  <c r="BH154" i="10"/>
  <c r="BH155" i="10"/>
  <c r="BH156" i="10"/>
  <c r="BH157" i="10"/>
  <c r="BH158" i="10"/>
  <c r="BH159" i="10"/>
  <c r="BH160" i="10"/>
  <c r="BH161" i="10"/>
  <c r="BH162" i="10"/>
  <c r="BH163" i="10"/>
  <c r="BH164" i="10"/>
  <c r="BH165" i="10"/>
  <c r="BH166" i="10"/>
  <c r="BH167" i="10"/>
  <c r="BH168" i="10"/>
  <c r="BH169" i="10"/>
  <c r="BH170" i="10"/>
  <c r="BH171" i="10"/>
  <c r="BH172" i="10"/>
  <c r="BH173" i="10"/>
  <c r="BH174" i="10"/>
  <c r="BH175" i="10"/>
  <c r="BH176" i="10"/>
  <c r="BH177" i="10"/>
  <c r="BH178" i="10"/>
  <c r="BH179" i="10"/>
  <c r="BH180" i="10"/>
  <c r="BH181" i="10"/>
  <c r="BH182" i="10"/>
  <c r="BH183" i="10"/>
  <c r="BH184" i="10"/>
  <c r="BH185" i="10"/>
  <c r="BH186" i="10"/>
  <c r="BH187" i="10"/>
  <c r="BH188" i="10"/>
  <c r="BH189" i="10"/>
  <c r="BH190" i="10"/>
  <c r="BH191" i="10"/>
  <c r="BH192" i="10"/>
  <c r="BH193" i="10"/>
  <c r="BH194" i="10"/>
  <c r="BH195" i="10"/>
  <c r="BH196" i="10"/>
  <c r="BH197" i="10"/>
  <c r="BH198" i="10"/>
  <c r="BH199" i="10"/>
  <c r="BH200" i="10"/>
  <c r="BH201" i="10"/>
  <c r="BH202" i="10"/>
  <c r="BH203" i="10"/>
  <c r="BH204" i="10"/>
  <c r="BH205" i="10"/>
  <c r="BH206" i="10"/>
  <c r="BH207" i="10"/>
  <c r="BH208" i="10"/>
  <c r="BH209" i="10"/>
  <c r="BH210" i="10"/>
  <c r="BH211" i="10"/>
  <c r="BH212" i="10"/>
  <c r="BH213" i="10"/>
  <c r="BH214" i="10"/>
  <c r="BH215" i="10"/>
  <c r="BH216" i="10"/>
  <c r="BH217" i="10"/>
  <c r="BH218" i="10"/>
  <c r="BH219" i="10"/>
  <c r="BH220" i="10"/>
  <c r="BH221" i="10"/>
  <c r="BH222" i="10"/>
  <c r="BH223" i="10"/>
  <c r="BH224" i="10"/>
  <c r="BH225" i="10"/>
  <c r="BH226" i="10"/>
  <c r="BH227" i="10"/>
  <c r="BH228" i="10"/>
  <c r="BH229" i="10"/>
  <c r="BH230" i="10"/>
  <c r="BH231" i="10"/>
  <c r="BH232" i="10"/>
  <c r="BH233" i="10"/>
  <c r="BH234" i="10"/>
  <c r="BH235" i="10"/>
  <c r="BH236" i="10"/>
  <c r="BH237" i="10"/>
  <c r="BH238" i="10"/>
  <c r="BH239" i="10"/>
  <c r="BH240" i="10"/>
  <c r="BH241" i="10"/>
  <c r="BH242" i="10"/>
  <c r="BH243" i="10"/>
  <c r="BH244" i="10"/>
  <c r="BH245" i="10"/>
  <c r="BH246" i="10"/>
  <c r="BH247" i="10"/>
  <c r="BH248" i="10"/>
  <c r="BH249" i="10"/>
  <c r="BH250" i="10"/>
  <c r="BH251" i="10"/>
  <c r="BH252" i="10"/>
  <c r="BH253" i="10"/>
  <c r="BH254" i="10"/>
  <c r="BH255" i="10"/>
  <c r="BH256" i="10"/>
  <c r="BH257" i="10"/>
  <c r="BH258" i="10"/>
  <c r="BH259" i="10"/>
  <c r="BH260" i="10"/>
  <c r="BH261" i="10"/>
  <c r="BH262" i="10"/>
  <c r="BH263" i="10"/>
  <c r="BH264" i="10"/>
  <c r="BH265" i="10"/>
  <c r="BH266" i="10"/>
  <c r="BH267" i="10"/>
  <c r="BH268" i="10"/>
  <c r="BH269" i="10"/>
  <c r="BH270" i="10"/>
  <c r="BH271" i="10"/>
  <c r="BH272" i="10"/>
  <c r="BH273" i="10"/>
  <c r="BH274" i="10"/>
  <c r="BH275" i="10"/>
  <c r="BH276" i="10"/>
  <c r="BH277" i="10"/>
  <c r="BH278" i="10"/>
  <c r="BH279" i="10"/>
  <c r="BH280" i="10"/>
  <c r="BH281" i="10"/>
  <c r="BH282" i="10"/>
  <c r="BH283" i="10"/>
  <c r="BH284" i="10"/>
  <c r="BH285" i="10"/>
  <c r="BH286" i="10"/>
  <c r="BH287" i="10"/>
  <c r="BH288" i="10"/>
  <c r="BH289" i="10"/>
  <c r="BH290" i="10"/>
  <c r="BH291" i="10"/>
  <c r="BH292" i="10"/>
  <c r="BH293" i="10"/>
  <c r="BH294" i="10"/>
  <c r="BH295" i="10"/>
  <c r="BH296" i="10"/>
  <c r="BH297" i="10"/>
  <c r="BH298" i="10"/>
  <c r="BH299" i="10"/>
  <c r="BH300" i="10"/>
  <c r="BH301" i="10"/>
  <c r="BH302" i="10"/>
  <c r="BH303" i="10"/>
  <c r="BH304" i="10"/>
  <c r="BH305" i="10"/>
  <c r="BH306" i="10"/>
  <c r="BH307" i="10"/>
  <c r="BH308" i="10"/>
  <c r="BH309" i="10"/>
  <c r="BH310" i="10"/>
  <c r="BH311" i="10"/>
  <c r="BH312" i="10"/>
  <c r="BH313" i="10"/>
  <c r="BH314" i="10"/>
  <c r="BH315" i="10"/>
  <c r="BH316" i="10"/>
  <c r="BH317" i="10"/>
  <c r="BH318" i="10"/>
  <c r="BH319" i="10"/>
  <c r="BH320" i="10"/>
  <c r="BH321" i="10"/>
  <c r="BH322" i="10"/>
  <c r="BH323" i="10"/>
  <c r="BH324" i="10"/>
  <c r="BH325" i="10"/>
  <c r="BH326" i="10"/>
  <c r="BH327" i="10"/>
  <c r="BH328" i="10"/>
  <c r="BH329" i="10"/>
  <c r="BH330" i="10"/>
  <c r="BH331" i="10"/>
  <c r="BH332" i="10"/>
  <c r="BH333" i="10"/>
  <c r="BH334" i="10"/>
  <c r="BH335" i="10"/>
  <c r="BH336" i="10"/>
  <c r="BH337" i="10"/>
  <c r="BH338" i="10"/>
  <c r="BH339" i="10"/>
  <c r="BH340" i="10"/>
  <c r="BH341" i="10"/>
  <c r="BI4" i="10"/>
  <c r="BI5" i="10"/>
  <c r="BI6" i="10"/>
  <c r="BI7" i="10"/>
  <c r="BI8" i="10"/>
  <c r="BI9" i="10"/>
  <c r="BI10" i="10"/>
  <c r="BI11" i="10"/>
  <c r="BI12" i="10"/>
  <c r="BI13" i="10"/>
  <c r="BI14" i="10"/>
  <c r="BI15" i="10"/>
  <c r="BI16" i="10"/>
  <c r="BI17" i="10"/>
  <c r="BI18" i="10"/>
  <c r="BI19" i="10"/>
  <c r="BI20" i="10"/>
  <c r="BI21" i="10"/>
  <c r="BI22" i="10"/>
  <c r="BI23" i="10"/>
  <c r="BI24" i="10"/>
  <c r="BI25" i="10"/>
  <c r="BI26" i="10"/>
  <c r="BI27" i="10"/>
  <c r="BI28" i="10"/>
  <c r="BI29" i="10"/>
  <c r="BI30" i="10"/>
  <c r="BI31" i="10"/>
  <c r="BI32" i="10"/>
  <c r="BI33" i="10"/>
  <c r="BI34" i="10"/>
  <c r="BI35" i="10"/>
  <c r="BI36" i="10"/>
  <c r="BI37" i="10"/>
  <c r="BI38" i="10"/>
  <c r="BI39" i="10"/>
  <c r="BI40" i="10"/>
  <c r="BI41" i="10"/>
  <c r="BI42" i="10"/>
  <c r="BI43" i="10"/>
  <c r="BI44" i="10"/>
  <c r="BI45" i="10"/>
  <c r="BI46" i="10"/>
  <c r="BI47" i="10"/>
  <c r="BI48" i="10"/>
  <c r="BI49" i="10"/>
  <c r="BI50" i="10"/>
  <c r="BI51" i="10"/>
  <c r="BI52" i="10"/>
  <c r="BI53" i="10"/>
  <c r="BI54" i="10"/>
  <c r="BI55" i="10"/>
  <c r="BI56" i="10"/>
  <c r="BI57" i="10"/>
  <c r="BI58" i="10"/>
  <c r="BI59" i="10"/>
  <c r="BI60" i="10"/>
  <c r="BI61" i="10"/>
  <c r="BI62" i="10"/>
  <c r="BI63" i="10"/>
  <c r="BI64" i="10"/>
  <c r="BI65" i="10"/>
  <c r="BI66" i="10"/>
  <c r="BI67" i="10"/>
  <c r="BI68" i="10"/>
  <c r="BI69" i="10"/>
  <c r="BI70" i="10"/>
  <c r="BI71" i="10"/>
  <c r="BI72" i="10"/>
  <c r="BI73" i="10"/>
  <c r="BI74" i="10"/>
  <c r="BI75" i="10"/>
  <c r="BI76" i="10"/>
  <c r="BI77" i="10"/>
  <c r="BI78" i="10"/>
  <c r="BI79" i="10"/>
  <c r="BI80" i="10"/>
  <c r="BI81" i="10"/>
  <c r="BI82" i="10"/>
  <c r="BI83" i="10"/>
  <c r="BI84" i="10"/>
  <c r="BI85" i="10"/>
  <c r="BI86" i="10"/>
  <c r="BI87" i="10"/>
  <c r="BI88" i="10"/>
  <c r="BI89" i="10"/>
  <c r="BI90" i="10"/>
  <c r="BI91" i="10"/>
  <c r="BI92" i="10"/>
  <c r="BI93" i="10"/>
  <c r="BI94" i="10"/>
  <c r="BI95" i="10"/>
  <c r="BI96" i="10"/>
  <c r="BI97" i="10"/>
  <c r="BI98" i="10"/>
  <c r="BI99" i="10"/>
  <c r="BI100" i="10"/>
  <c r="BI101" i="10"/>
  <c r="BI102" i="10"/>
  <c r="BI103" i="10"/>
  <c r="BI104" i="10"/>
  <c r="BI105" i="10"/>
  <c r="BI106" i="10"/>
  <c r="BI107" i="10"/>
  <c r="BI108" i="10"/>
  <c r="BI109" i="10"/>
  <c r="BI110" i="10"/>
  <c r="BI111" i="10"/>
  <c r="BI112" i="10"/>
  <c r="BI113" i="10"/>
  <c r="BI114" i="10"/>
  <c r="BI115" i="10"/>
  <c r="BI116" i="10"/>
  <c r="BI117" i="10"/>
  <c r="BI118" i="10"/>
  <c r="BI119" i="10"/>
  <c r="BI120" i="10"/>
  <c r="BI121" i="10"/>
  <c r="BI122" i="10"/>
  <c r="BI123" i="10"/>
  <c r="BI124" i="10"/>
  <c r="BI125" i="10"/>
  <c r="BI126" i="10"/>
  <c r="BI127" i="10"/>
  <c r="BI128" i="10"/>
  <c r="BI129" i="10"/>
  <c r="BI130" i="10"/>
  <c r="BI131" i="10"/>
  <c r="BI132" i="10"/>
  <c r="BI133" i="10"/>
  <c r="BI134" i="10"/>
  <c r="BI135" i="10"/>
  <c r="BI136" i="10"/>
  <c r="BI137" i="10"/>
  <c r="BI138" i="10"/>
  <c r="BI139" i="10"/>
  <c r="BI140" i="10"/>
  <c r="BI141" i="10"/>
  <c r="BI142" i="10"/>
  <c r="BI143" i="10"/>
  <c r="BI144" i="10"/>
  <c r="BI145" i="10"/>
  <c r="BI146" i="10"/>
  <c r="BI147" i="10"/>
  <c r="BI148" i="10"/>
  <c r="BI149" i="10"/>
  <c r="BI150" i="10"/>
  <c r="BI151" i="10"/>
  <c r="BI152" i="10"/>
  <c r="BI153" i="10"/>
  <c r="BI154" i="10"/>
  <c r="BI155" i="10"/>
  <c r="BI156" i="10"/>
  <c r="BI157" i="10"/>
  <c r="BI158" i="10"/>
  <c r="BI159" i="10"/>
  <c r="BI160" i="10"/>
  <c r="BI161" i="10"/>
  <c r="BI162" i="10"/>
  <c r="BI163" i="10"/>
  <c r="BI164" i="10"/>
  <c r="BI165" i="10"/>
  <c r="BI166" i="10"/>
  <c r="BI167" i="10"/>
  <c r="BI168" i="10"/>
  <c r="BI169" i="10"/>
  <c r="BI170" i="10"/>
  <c r="BI171" i="10"/>
  <c r="BI172" i="10"/>
  <c r="BI173" i="10"/>
  <c r="BI174" i="10"/>
  <c r="BI175" i="10"/>
  <c r="BI176" i="10"/>
  <c r="BI177" i="10"/>
  <c r="BI178" i="10"/>
  <c r="BI179" i="10"/>
  <c r="BI180" i="10"/>
  <c r="BI181" i="10"/>
  <c r="BI182" i="10"/>
  <c r="BI183" i="10"/>
  <c r="BI184" i="10"/>
  <c r="BI185" i="10"/>
  <c r="BI186" i="10"/>
  <c r="BI187" i="10"/>
  <c r="BI188" i="10"/>
  <c r="BI189" i="10"/>
  <c r="BI190" i="10"/>
  <c r="BI191" i="10"/>
  <c r="BI192" i="10"/>
  <c r="BI193" i="10"/>
  <c r="BI194" i="10"/>
  <c r="BI195" i="10"/>
  <c r="BI196" i="10"/>
  <c r="BI197" i="10"/>
  <c r="BI198" i="10"/>
  <c r="BI199" i="10"/>
  <c r="BI200" i="10"/>
  <c r="BI201" i="10"/>
  <c r="BI202" i="10"/>
  <c r="BI203" i="10"/>
  <c r="BI204" i="10"/>
  <c r="BI205" i="10"/>
  <c r="BI206" i="10"/>
  <c r="BI207" i="10"/>
  <c r="BI208" i="10"/>
  <c r="BI209" i="10"/>
  <c r="BI210" i="10"/>
  <c r="BI211" i="10"/>
  <c r="BI212" i="10"/>
  <c r="BI213" i="10"/>
  <c r="BI214" i="10"/>
  <c r="BI215" i="10"/>
  <c r="BI216" i="10"/>
  <c r="BI217" i="10"/>
  <c r="BI218" i="10"/>
  <c r="BI219" i="10"/>
  <c r="BI220" i="10"/>
  <c r="BI221" i="10"/>
  <c r="BI222" i="10"/>
  <c r="BI223" i="10"/>
  <c r="BI224" i="10"/>
  <c r="BI225" i="10"/>
  <c r="BI226" i="10"/>
  <c r="BI227" i="10"/>
  <c r="BI228" i="10"/>
  <c r="BI229" i="10"/>
  <c r="BI230" i="10"/>
  <c r="BI231" i="10"/>
  <c r="BI232" i="10"/>
  <c r="BI233" i="10"/>
  <c r="BI234" i="10"/>
  <c r="BI235" i="10"/>
  <c r="BI236" i="10"/>
  <c r="BI237" i="10"/>
  <c r="BI238" i="10"/>
  <c r="BI239" i="10"/>
  <c r="BI240" i="10"/>
  <c r="BI241" i="10"/>
  <c r="BI242" i="10"/>
  <c r="BI243" i="10"/>
  <c r="BI244" i="10"/>
  <c r="BI245" i="10"/>
  <c r="BI246" i="10"/>
  <c r="BI247" i="10"/>
  <c r="BI248" i="10"/>
  <c r="BI249" i="10"/>
  <c r="BI250" i="10"/>
  <c r="BI251" i="10"/>
  <c r="BI252" i="10"/>
  <c r="BI253" i="10"/>
  <c r="BI254" i="10"/>
  <c r="BI255" i="10"/>
  <c r="BI256" i="10"/>
  <c r="BI257" i="10"/>
  <c r="BI258" i="10"/>
  <c r="BI259" i="10"/>
  <c r="BI260" i="10"/>
  <c r="BI261" i="10"/>
  <c r="BI262" i="10"/>
  <c r="BI263" i="10"/>
  <c r="BI264" i="10"/>
  <c r="BI265" i="10"/>
  <c r="BI266" i="10"/>
  <c r="BI267" i="10"/>
  <c r="BI268" i="10"/>
  <c r="BI269" i="10"/>
  <c r="BI270" i="10"/>
  <c r="BI271" i="10"/>
  <c r="BI272" i="10"/>
  <c r="BI273" i="10"/>
  <c r="BI274" i="10"/>
  <c r="BI275" i="10"/>
  <c r="BI276" i="10"/>
  <c r="BI277" i="10"/>
  <c r="BI278" i="10"/>
  <c r="BI279" i="10"/>
  <c r="BI280" i="10"/>
  <c r="BI281" i="10"/>
  <c r="BI282" i="10"/>
  <c r="BI283" i="10"/>
  <c r="BI284" i="10"/>
  <c r="BI285" i="10"/>
  <c r="BI286" i="10"/>
  <c r="BI287" i="10"/>
  <c r="BI288" i="10"/>
  <c r="BI289" i="10"/>
  <c r="BI290" i="10"/>
  <c r="BI291" i="10"/>
  <c r="BI292" i="10"/>
  <c r="BI293" i="10"/>
  <c r="BI294" i="10"/>
  <c r="BI295" i="10"/>
  <c r="BI296" i="10"/>
  <c r="BI297" i="10"/>
  <c r="BI298" i="10"/>
  <c r="BI299" i="10"/>
  <c r="BI300" i="10"/>
  <c r="BI301" i="10"/>
  <c r="BI302" i="10"/>
  <c r="BI303" i="10"/>
  <c r="BI304" i="10"/>
  <c r="BI305" i="10"/>
  <c r="BI306" i="10"/>
  <c r="BI307" i="10"/>
  <c r="BI308" i="10"/>
  <c r="BI309" i="10"/>
  <c r="BI310" i="10"/>
  <c r="BI311" i="10"/>
  <c r="BI312" i="10"/>
  <c r="BI313" i="10"/>
  <c r="BI314" i="10"/>
  <c r="BI315" i="10"/>
  <c r="BI316" i="10"/>
  <c r="BI317" i="10"/>
  <c r="BI318" i="10"/>
  <c r="BI319" i="10"/>
  <c r="BI320" i="10"/>
  <c r="BI321" i="10"/>
  <c r="BI322" i="10"/>
  <c r="BI323" i="10"/>
  <c r="BI324" i="10"/>
  <c r="BI325" i="10"/>
  <c r="BI326" i="10"/>
  <c r="BI327" i="10"/>
  <c r="BI328" i="10"/>
  <c r="BI329" i="10"/>
  <c r="BI330" i="10"/>
  <c r="BI331" i="10"/>
  <c r="BI332" i="10"/>
  <c r="BI333" i="10"/>
  <c r="BI334" i="10"/>
  <c r="BI335" i="10"/>
  <c r="BI336" i="10"/>
  <c r="BI337" i="10"/>
  <c r="BI338" i="10"/>
  <c r="BI339" i="10"/>
  <c r="BI340" i="10"/>
  <c r="BI341" i="10"/>
  <c r="BJ4" i="10"/>
  <c r="BJ5" i="10"/>
  <c r="BJ6" i="10"/>
  <c r="BJ7" i="10"/>
  <c r="BJ8" i="10"/>
  <c r="BJ9" i="10"/>
  <c r="BJ10" i="10"/>
  <c r="BJ11" i="10"/>
  <c r="BJ12" i="10"/>
  <c r="BJ13" i="10"/>
  <c r="BJ14" i="10"/>
  <c r="BJ15" i="10"/>
  <c r="BJ16" i="10"/>
  <c r="BJ17" i="10"/>
  <c r="BJ18" i="10"/>
  <c r="BJ19" i="10"/>
  <c r="BJ20" i="10"/>
  <c r="BJ21" i="10"/>
  <c r="BJ22" i="10"/>
  <c r="BJ23" i="10"/>
  <c r="BJ24" i="10"/>
  <c r="BJ25" i="10"/>
  <c r="BJ26" i="10"/>
  <c r="BJ27" i="10"/>
  <c r="BJ28" i="10"/>
  <c r="BJ29" i="10"/>
  <c r="BJ30" i="10"/>
  <c r="BJ31" i="10"/>
  <c r="BJ32" i="10"/>
  <c r="BJ33" i="10"/>
  <c r="BJ34" i="10"/>
  <c r="BJ35" i="10"/>
  <c r="BJ36" i="10"/>
  <c r="BJ37" i="10"/>
  <c r="BJ38" i="10"/>
  <c r="BJ39" i="10"/>
  <c r="BJ40" i="10"/>
  <c r="BJ41" i="10"/>
  <c r="BJ42" i="10"/>
  <c r="BJ43" i="10"/>
  <c r="BJ44" i="10"/>
  <c r="BJ45" i="10"/>
  <c r="BJ46" i="10"/>
  <c r="BJ47" i="10"/>
  <c r="BJ48" i="10"/>
  <c r="BJ49" i="10"/>
  <c r="BJ50" i="10"/>
  <c r="BJ51" i="10"/>
  <c r="BJ52" i="10"/>
  <c r="BJ53" i="10"/>
  <c r="BJ54" i="10"/>
  <c r="BJ55" i="10"/>
  <c r="BJ56" i="10"/>
  <c r="BJ57" i="10"/>
  <c r="BJ58" i="10"/>
  <c r="BJ59" i="10"/>
  <c r="BJ60" i="10"/>
  <c r="BJ61" i="10"/>
  <c r="BJ62" i="10"/>
  <c r="BJ63" i="10"/>
  <c r="BJ64" i="10"/>
  <c r="BJ65" i="10"/>
  <c r="BJ66" i="10"/>
  <c r="BJ67" i="10"/>
  <c r="BJ68" i="10"/>
  <c r="BJ69" i="10"/>
  <c r="BJ70" i="10"/>
  <c r="BJ71" i="10"/>
  <c r="BJ72" i="10"/>
  <c r="BJ73" i="10"/>
  <c r="BJ74" i="10"/>
  <c r="BJ75" i="10"/>
  <c r="BJ76" i="10"/>
  <c r="BJ77" i="10"/>
  <c r="BJ78" i="10"/>
  <c r="BJ79" i="10"/>
  <c r="BJ80" i="10"/>
  <c r="BJ81" i="10"/>
  <c r="BJ82" i="10"/>
  <c r="BJ83" i="10"/>
  <c r="BJ84" i="10"/>
  <c r="BJ85" i="10"/>
  <c r="BJ86" i="10"/>
  <c r="BJ87" i="10"/>
  <c r="BJ88" i="10"/>
  <c r="BJ89" i="10"/>
  <c r="BJ90" i="10"/>
  <c r="BJ91" i="10"/>
  <c r="BJ92" i="10"/>
  <c r="BJ93" i="10"/>
  <c r="BJ94" i="10"/>
  <c r="BJ95" i="10"/>
  <c r="BJ96" i="10"/>
  <c r="BJ97" i="10"/>
  <c r="BJ98" i="10"/>
  <c r="BJ99" i="10"/>
  <c r="BJ100" i="10"/>
  <c r="BJ101" i="10"/>
  <c r="BJ102" i="10"/>
  <c r="BJ103" i="10"/>
  <c r="BJ104" i="10"/>
  <c r="BJ105" i="10"/>
  <c r="BJ106" i="10"/>
  <c r="BJ107" i="10"/>
  <c r="BJ108" i="10"/>
  <c r="BJ109" i="10"/>
  <c r="BJ110" i="10"/>
  <c r="BJ111" i="10"/>
  <c r="BJ112" i="10"/>
  <c r="BJ113" i="10"/>
  <c r="BJ114" i="10"/>
  <c r="BJ115" i="10"/>
  <c r="BJ116" i="10"/>
  <c r="BJ117" i="10"/>
  <c r="BJ118" i="10"/>
  <c r="BJ119" i="10"/>
  <c r="BJ120" i="10"/>
  <c r="BJ121" i="10"/>
  <c r="BJ122" i="10"/>
  <c r="BJ123" i="10"/>
  <c r="BJ124" i="10"/>
  <c r="BJ125" i="10"/>
  <c r="BJ126" i="10"/>
  <c r="BJ127" i="10"/>
  <c r="BJ128" i="10"/>
  <c r="BJ129" i="10"/>
  <c r="BJ130" i="10"/>
  <c r="BJ131" i="10"/>
  <c r="BJ132" i="10"/>
  <c r="BJ133" i="10"/>
  <c r="BJ134" i="10"/>
  <c r="BJ135" i="10"/>
  <c r="BJ136" i="10"/>
  <c r="BJ137" i="10"/>
  <c r="BJ138" i="10"/>
  <c r="BJ139" i="10"/>
  <c r="BJ140" i="10"/>
  <c r="BJ141" i="10"/>
  <c r="BJ142" i="10"/>
  <c r="BJ143" i="10"/>
  <c r="BJ144" i="10"/>
  <c r="BJ145" i="10"/>
  <c r="BJ146" i="10"/>
  <c r="BJ147" i="10"/>
  <c r="BJ148" i="10"/>
  <c r="BJ149" i="10"/>
  <c r="BJ150" i="10"/>
  <c r="BJ151" i="10"/>
  <c r="BJ152" i="10"/>
  <c r="BJ153" i="10"/>
  <c r="BJ154" i="10"/>
  <c r="BJ155" i="10"/>
  <c r="BJ156" i="10"/>
  <c r="BJ157" i="10"/>
  <c r="BJ158" i="10"/>
  <c r="BJ159" i="10"/>
  <c r="BJ160" i="10"/>
  <c r="BJ161" i="10"/>
  <c r="BJ162" i="10"/>
  <c r="BJ163" i="10"/>
  <c r="BJ164" i="10"/>
  <c r="BJ165" i="10"/>
  <c r="BJ166" i="10"/>
  <c r="BJ167" i="10"/>
  <c r="BJ168" i="10"/>
  <c r="BJ169" i="10"/>
  <c r="BJ170" i="10"/>
  <c r="BJ171" i="10"/>
  <c r="BJ172" i="10"/>
  <c r="BJ173" i="10"/>
  <c r="BJ174" i="10"/>
  <c r="BJ175" i="10"/>
  <c r="BJ176" i="10"/>
  <c r="BJ177" i="10"/>
  <c r="BJ178" i="10"/>
  <c r="BJ179" i="10"/>
  <c r="BJ180" i="10"/>
  <c r="BJ181" i="10"/>
  <c r="BJ182" i="10"/>
  <c r="BJ183" i="10"/>
  <c r="BJ184" i="10"/>
  <c r="BJ185" i="10"/>
  <c r="BJ186" i="10"/>
  <c r="BJ187" i="10"/>
  <c r="BJ188" i="10"/>
  <c r="BJ189" i="10"/>
  <c r="BJ190" i="10"/>
  <c r="BJ191" i="10"/>
  <c r="BJ192" i="10"/>
  <c r="BJ193" i="10"/>
  <c r="BJ194" i="10"/>
  <c r="BJ195" i="10"/>
  <c r="BJ196" i="10"/>
  <c r="BJ197" i="10"/>
  <c r="BJ198" i="10"/>
  <c r="BJ199" i="10"/>
  <c r="BJ200" i="10"/>
  <c r="BJ201" i="10"/>
  <c r="BJ202" i="10"/>
  <c r="BJ203" i="10"/>
  <c r="BJ204" i="10"/>
  <c r="BJ205" i="10"/>
  <c r="BJ206" i="10"/>
  <c r="BJ207" i="10"/>
  <c r="BJ208" i="10"/>
  <c r="BJ209" i="10"/>
  <c r="BJ210" i="10"/>
  <c r="BJ211" i="10"/>
  <c r="BJ212" i="10"/>
  <c r="BJ213" i="10"/>
  <c r="BJ214" i="10"/>
  <c r="BJ215" i="10"/>
  <c r="BJ216" i="10"/>
  <c r="BJ217" i="10"/>
  <c r="BJ218" i="10"/>
  <c r="BJ219" i="10"/>
  <c r="BJ220" i="10"/>
  <c r="BJ221" i="10"/>
  <c r="BJ222" i="10"/>
  <c r="BJ223" i="10"/>
  <c r="BJ224" i="10"/>
  <c r="BJ225" i="10"/>
  <c r="BJ226" i="10"/>
  <c r="BJ227" i="10"/>
  <c r="BJ228" i="10"/>
  <c r="BJ229" i="10"/>
  <c r="BJ230" i="10"/>
  <c r="BJ231" i="10"/>
  <c r="BJ232" i="10"/>
  <c r="BJ233" i="10"/>
  <c r="BJ234" i="10"/>
  <c r="BJ235" i="10"/>
  <c r="BJ236" i="10"/>
  <c r="BJ237" i="10"/>
  <c r="BJ238" i="10"/>
  <c r="BJ239" i="10"/>
  <c r="BJ240" i="10"/>
  <c r="BJ241" i="10"/>
  <c r="BJ242" i="10"/>
  <c r="BJ243" i="10"/>
  <c r="BJ244" i="10"/>
  <c r="BJ245" i="10"/>
  <c r="BJ246" i="10"/>
  <c r="BJ247" i="10"/>
  <c r="BJ248" i="10"/>
  <c r="BJ249" i="10"/>
  <c r="BJ250" i="10"/>
  <c r="BJ251" i="10"/>
  <c r="BJ252" i="10"/>
  <c r="BJ253" i="10"/>
  <c r="BJ254" i="10"/>
  <c r="BJ255" i="10"/>
  <c r="BJ256" i="10"/>
  <c r="BJ257" i="10"/>
  <c r="BJ258" i="10"/>
  <c r="BJ259" i="10"/>
  <c r="BJ260" i="10"/>
  <c r="BJ261" i="10"/>
  <c r="BJ262" i="10"/>
  <c r="BJ263" i="10"/>
  <c r="BJ264" i="10"/>
  <c r="BJ265" i="10"/>
  <c r="BJ266" i="10"/>
  <c r="BJ267" i="10"/>
  <c r="BJ268" i="10"/>
  <c r="BJ269" i="10"/>
  <c r="BJ270" i="10"/>
  <c r="BJ271" i="10"/>
  <c r="BJ272" i="10"/>
  <c r="BJ273" i="10"/>
  <c r="BJ274" i="10"/>
  <c r="BJ275" i="10"/>
  <c r="BJ276" i="10"/>
  <c r="BJ277" i="10"/>
  <c r="BJ278" i="10"/>
  <c r="BJ279" i="10"/>
  <c r="BJ280" i="10"/>
  <c r="BJ281" i="10"/>
  <c r="BJ282" i="10"/>
  <c r="BJ283" i="10"/>
  <c r="BJ284" i="10"/>
  <c r="BJ285" i="10"/>
  <c r="BJ286" i="10"/>
  <c r="BJ287" i="10"/>
  <c r="BJ288" i="10"/>
  <c r="BJ289" i="10"/>
  <c r="BJ290" i="10"/>
  <c r="BJ291" i="10"/>
  <c r="BJ292" i="10"/>
  <c r="BJ293" i="10"/>
  <c r="BJ294" i="10"/>
  <c r="BJ295" i="10"/>
  <c r="BJ296" i="10"/>
  <c r="BJ297" i="10"/>
  <c r="BJ298" i="10"/>
  <c r="BJ299" i="10"/>
  <c r="BJ300" i="10"/>
  <c r="BJ301" i="10"/>
  <c r="BJ302" i="10"/>
  <c r="BJ303" i="10"/>
  <c r="BJ304" i="10"/>
  <c r="BJ305" i="10"/>
  <c r="BJ306" i="10"/>
  <c r="BJ307" i="10"/>
  <c r="BJ308" i="10"/>
  <c r="BJ309" i="10"/>
  <c r="BJ310" i="10"/>
  <c r="BJ311" i="10"/>
  <c r="BJ312" i="10"/>
  <c r="BJ313" i="10"/>
  <c r="BJ314" i="10"/>
  <c r="BJ315" i="10"/>
  <c r="BJ316" i="10"/>
  <c r="BJ317" i="10"/>
  <c r="BJ318" i="10"/>
  <c r="BJ319" i="10"/>
  <c r="BJ320" i="10"/>
  <c r="BJ321" i="10"/>
  <c r="BJ322" i="10"/>
  <c r="BJ323" i="10"/>
  <c r="BJ324" i="10"/>
  <c r="BJ325" i="10"/>
  <c r="BJ326" i="10"/>
  <c r="BJ327" i="10"/>
  <c r="BJ328" i="10"/>
  <c r="BJ329" i="10"/>
  <c r="BJ330" i="10"/>
  <c r="BJ331" i="10"/>
  <c r="BJ332" i="10"/>
  <c r="BJ333" i="10"/>
  <c r="BJ334" i="10"/>
  <c r="BJ335" i="10"/>
  <c r="BJ336" i="10"/>
  <c r="BJ337" i="10"/>
  <c r="BJ338" i="10"/>
  <c r="BJ339" i="10"/>
  <c r="BJ340" i="10"/>
  <c r="BJ341" i="10"/>
  <c r="BK4" i="10"/>
  <c r="BK5" i="10"/>
  <c r="BK6" i="10"/>
  <c r="BK7" i="10"/>
  <c r="BK8" i="10"/>
  <c r="BK9" i="10"/>
  <c r="BK10" i="10"/>
  <c r="BK11" i="10"/>
  <c r="BK12" i="10"/>
  <c r="BK13" i="10"/>
  <c r="BK14" i="10"/>
  <c r="BK15" i="10"/>
  <c r="BK16" i="10"/>
  <c r="BK17" i="10"/>
  <c r="BK18" i="10"/>
  <c r="BK19" i="10"/>
  <c r="BK20" i="10"/>
  <c r="BK21" i="10"/>
  <c r="BK22" i="10"/>
  <c r="BK23" i="10"/>
  <c r="BK24" i="10"/>
  <c r="BK25" i="10"/>
  <c r="BK26" i="10"/>
  <c r="BK27" i="10"/>
  <c r="BK28" i="10"/>
  <c r="BK29" i="10"/>
  <c r="BK30" i="10"/>
  <c r="BK31" i="10"/>
  <c r="BK32" i="10"/>
  <c r="BK33" i="10"/>
  <c r="BK34" i="10"/>
  <c r="BK35" i="10"/>
  <c r="BK36" i="10"/>
  <c r="BK37" i="10"/>
  <c r="BK38" i="10"/>
  <c r="BK39" i="10"/>
  <c r="BK40" i="10"/>
  <c r="BK41" i="10"/>
  <c r="BK42" i="10"/>
  <c r="BK43" i="10"/>
  <c r="BK44" i="10"/>
  <c r="BK45" i="10"/>
  <c r="BK46" i="10"/>
  <c r="BK47" i="10"/>
  <c r="BK48" i="10"/>
  <c r="BK49" i="10"/>
  <c r="BK50" i="10"/>
  <c r="BK51" i="10"/>
  <c r="BK52" i="10"/>
  <c r="BK53" i="10"/>
  <c r="BK54" i="10"/>
  <c r="BK55" i="10"/>
  <c r="BK56" i="10"/>
  <c r="BK57" i="10"/>
  <c r="BK58" i="10"/>
  <c r="BK59" i="10"/>
  <c r="BK60" i="10"/>
  <c r="BK61" i="10"/>
  <c r="BK62" i="10"/>
  <c r="BK63" i="10"/>
  <c r="BK64" i="10"/>
  <c r="BK65" i="10"/>
  <c r="BK66" i="10"/>
  <c r="BK67" i="10"/>
  <c r="BK68" i="10"/>
  <c r="BK69" i="10"/>
  <c r="BK70" i="10"/>
  <c r="BK71" i="10"/>
  <c r="BK72" i="10"/>
  <c r="BK73" i="10"/>
  <c r="BK74" i="10"/>
  <c r="BK75" i="10"/>
  <c r="BK76" i="10"/>
  <c r="BK77" i="10"/>
  <c r="BK78" i="10"/>
  <c r="BK79" i="10"/>
  <c r="BK80" i="10"/>
  <c r="BK81" i="10"/>
  <c r="BK82" i="10"/>
  <c r="BK83" i="10"/>
  <c r="BK84" i="10"/>
  <c r="BK85" i="10"/>
  <c r="BK86" i="10"/>
  <c r="BK87" i="10"/>
  <c r="BK88" i="10"/>
  <c r="BK89" i="10"/>
  <c r="BK90" i="10"/>
  <c r="BK91" i="10"/>
  <c r="BK92" i="10"/>
  <c r="BK93" i="10"/>
  <c r="BK94" i="10"/>
  <c r="BK95" i="10"/>
  <c r="BK96" i="10"/>
  <c r="BK97" i="10"/>
  <c r="BK98" i="10"/>
  <c r="BK99" i="10"/>
  <c r="BK100" i="10"/>
  <c r="BK101" i="10"/>
  <c r="BK102" i="10"/>
  <c r="BK103" i="10"/>
  <c r="BK104" i="10"/>
  <c r="BK105" i="10"/>
  <c r="BK106" i="10"/>
  <c r="BK107" i="10"/>
  <c r="BK108" i="10"/>
  <c r="BK109" i="10"/>
  <c r="BK110" i="10"/>
  <c r="BK111" i="10"/>
  <c r="BK112" i="10"/>
  <c r="BK113" i="10"/>
  <c r="BK114" i="10"/>
  <c r="BK115" i="10"/>
  <c r="BK116" i="10"/>
  <c r="BK117" i="10"/>
  <c r="BK118" i="10"/>
  <c r="BK119" i="10"/>
  <c r="BK120" i="10"/>
  <c r="BK121" i="10"/>
  <c r="BK122" i="10"/>
  <c r="BK123" i="10"/>
  <c r="BK124" i="10"/>
  <c r="BK125" i="10"/>
  <c r="BK126" i="10"/>
  <c r="BK127" i="10"/>
  <c r="BK128" i="10"/>
  <c r="BK129" i="10"/>
  <c r="BK130" i="10"/>
  <c r="BK131" i="10"/>
  <c r="BK132" i="10"/>
  <c r="BK133" i="10"/>
  <c r="BK134" i="10"/>
  <c r="BK135" i="10"/>
  <c r="BK136" i="10"/>
  <c r="BK137" i="10"/>
  <c r="BK138" i="10"/>
  <c r="BK139" i="10"/>
  <c r="BK140" i="10"/>
  <c r="BK141" i="10"/>
  <c r="BK142" i="10"/>
  <c r="BK143" i="10"/>
  <c r="BK144" i="10"/>
  <c r="BK145" i="10"/>
  <c r="BK146" i="10"/>
  <c r="BK147" i="10"/>
  <c r="BK148" i="10"/>
  <c r="BK149" i="10"/>
  <c r="BK150" i="10"/>
  <c r="BK151" i="10"/>
  <c r="BK152" i="10"/>
  <c r="BK153" i="10"/>
  <c r="BK154" i="10"/>
  <c r="BK155" i="10"/>
  <c r="BK156" i="10"/>
  <c r="BK157" i="10"/>
  <c r="BK158" i="10"/>
  <c r="BK159" i="10"/>
  <c r="BK160" i="10"/>
  <c r="BK161" i="10"/>
  <c r="BK162" i="10"/>
  <c r="BK163" i="10"/>
  <c r="BK164" i="10"/>
  <c r="BK165" i="10"/>
  <c r="BK166" i="10"/>
  <c r="BK167" i="10"/>
  <c r="BK168" i="10"/>
  <c r="BK169" i="10"/>
  <c r="BK170" i="10"/>
  <c r="BK171" i="10"/>
  <c r="BK172" i="10"/>
  <c r="BK173" i="10"/>
  <c r="BK174" i="10"/>
  <c r="BK175" i="10"/>
  <c r="BK176" i="10"/>
  <c r="BK177" i="10"/>
  <c r="BK178" i="10"/>
  <c r="BK179" i="10"/>
  <c r="BK180" i="10"/>
  <c r="BK181" i="10"/>
  <c r="BK182" i="10"/>
  <c r="BK183" i="10"/>
  <c r="BK184" i="10"/>
  <c r="BK185" i="10"/>
  <c r="BK186" i="10"/>
  <c r="BK187" i="10"/>
  <c r="BK188" i="10"/>
  <c r="BK189" i="10"/>
  <c r="BK190" i="10"/>
  <c r="BK191" i="10"/>
  <c r="BK192" i="10"/>
  <c r="BK193" i="10"/>
  <c r="BK194" i="10"/>
  <c r="BK195" i="10"/>
  <c r="BK196" i="10"/>
  <c r="BK197" i="10"/>
  <c r="BK198" i="10"/>
  <c r="BK199" i="10"/>
  <c r="BK200" i="10"/>
  <c r="BK201" i="10"/>
  <c r="BK202" i="10"/>
  <c r="BK203" i="10"/>
  <c r="BK204" i="10"/>
  <c r="BK205" i="10"/>
  <c r="BK206" i="10"/>
  <c r="BK207" i="10"/>
  <c r="BK208" i="10"/>
  <c r="BK209" i="10"/>
  <c r="BK210" i="10"/>
  <c r="BK211" i="10"/>
  <c r="BK212" i="10"/>
  <c r="BK213" i="10"/>
  <c r="BK214" i="10"/>
  <c r="BK215" i="10"/>
  <c r="BK216" i="10"/>
  <c r="BK217" i="10"/>
  <c r="BK218" i="10"/>
  <c r="BK219" i="10"/>
  <c r="BK220" i="10"/>
  <c r="BK221" i="10"/>
  <c r="BK222" i="10"/>
  <c r="BK223" i="10"/>
  <c r="BK224" i="10"/>
  <c r="BK225" i="10"/>
  <c r="BK226" i="10"/>
  <c r="BK227" i="10"/>
  <c r="BK228" i="10"/>
  <c r="BK229" i="10"/>
  <c r="BK230" i="10"/>
  <c r="BK231" i="10"/>
  <c r="BK232" i="10"/>
  <c r="BK233" i="10"/>
  <c r="BK234" i="10"/>
  <c r="BK235" i="10"/>
  <c r="BK236" i="10"/>
  <c r="BK237" i="10"/>
  <c r="BK238" i="10"/>
  <c r="BK239" i="10"/>
  <c r="BK240" i="10"/>
  <c r="BK241" i="10"/>
  <c r="BK242" i="10"/>
  <c r="BK243" i="10"/>
  <c r="BK244" i="10"/>
  <c r="BK245" i="10"/>
  <c r="BK246" i="10"/>
  <c r="BK247" i="10"/>
  <c r="BK248" i="10"/>
  <c r="BK249" i="10"/>
  <c r="BK250" i="10"/>
  <c r="BK251" i="10"/>
  <c r="BK252" i="10"/>
  <c r="BK253" i="10"/>
  <c r="BK254" i="10"/>
  <c r="BK255" i="10"/>
  <c r="BK256" i="10"/>
  <c r="BK257" i="10"/>
  <c r="BK258" i="10"/>
  <c r="BK259" i="10"/>
  <c r="BK260" i="10"/>
  <c r="BK261" i="10"/>
  <c r="BK262" i="10"/>
  <c r="BK263" i="10"/>
  <c r="BK264" i="10"/>
  <c r="BK265" i="10"/>
  <c r="BK266" i="10"/>
  <c r="BK267" i="10"/>
  <c r="BK268" i="10"/>
  <c r="BK269" i="10"/>
  <c r="BK270" i="10"/>
  <c r="BK271" i="10"/>
  <c r="BK272" i="10"/>
  <c r="BK273" i="10"/>
  <c r="BK274" i="10"/>
  <c r="BK275" i="10"/>
  <c r="BK276" i="10"/>
  <c r="BK277" i="10"/>
  <c r="BK278" i="10"/>
  <c r="BK279" i="10"/>
  <c r="BK280" i="10"/>
  <c r="BK281" i="10"/>
  <c r="BK282" i="10"/>
  <c r="BK283" i="10"/>
  <c r="BK284" i="10"/>
  <c r="BK285" i="10"/>
  <c r="BK286" i="10"/>
  <c r="BK287" i="10"/>
  <c r="BK288" i="10"/>
  <c r="BK289" i="10"/>
  <c r="BK290" i="10"/>
  <c r="BK291" i="10"/>
  <c r="BK292" i="10"/>
  <c r="BK293" i="10"/>
  <c r="BK294" i="10"/>
  <c r="BK295" i="10"/>
  <c r="BK296" i="10"/>
  <c r="BK297" i="10"/>
  <c r="BK298" i="10"/>
  <c r="BK299" i="10"/>
  <c r="BK300" i="10"/>
  <c r="BK301" i="10"/>
  <c r="BK302" i="10"/>
  <c r="BK303" i="10"/>
  <c r="BK304" i="10"/>
  <c r="BK305" i="10"/>
  <c r="BK306" i="10"/>
  <c r="BK307" i="10"/>
  <c r="BK308" i="10"/>
  <c r="BK309" i="10"/>
  <c r="BK310" i="10"/>
  <c r="BK311" i="10"/>
  <c r="BK312" i="10"/>
  <c r="BK313" i="10"/>
  <c r="BK314" i="10"/>
  <c r="BK315" i="10"/>
  <c r="BK316" i="10"/>
  <c r="BK317" i="10"/>
  <c r="BK318" i="10"/>
  <c r="BK319" i="10"/>
  <c r="BK320" i="10"/>
  <c r="BK321" i="10"/>
  <c r="BK322" i="10"/>
  <c r="BK323" i="10"/>
  <c r="BK324" i="10"/>
  <c r="BK325" i="10"/>
  <c r="BK326" i="10"/>
  <c r="BK327" i="10"/>
  <c r="BK328" i="10"/>
  <c r="BK329" i="10"/>
  <c r="BK330" i="10"/>
  <c r="BK331" i="10"/>
  <c r="BK332" i="10"/>
  <c r="BK333" i="10"/>
  <c r="BK334" i="10"/>
  <c r="BK335" i="10"/>
  <c r="BK336" i="10"/>
  <c r="BK337" i="10"/>
  <c r="BK338" i="10"/>
  <c r="BK339" i="10"/>
  <c r="BK340" i="10"/>
  <c r="BK341" i="10"/>
  <c r="BL4" i="10"/>
  <c r="BL5" i="10"/>
  <c r="BL6" i="10"/>
  <c r="BL7" i="10"/>
  <c r="BL8" i="10"/>
  <c r="BL9" i="10"/>
  <c r="BL10" i="10"/>
  <c r="BL11" i="10"/>
  <c r="BL12" i="10"/>
  <c r="BL13" i="10"/>
  <c r="BL14" i="10"/>
  <c r="BL15" i="10"/>
  <c r="BL16" i="10"/>
  <c r="BL17" i="10"/>
  <c r="BL18" i="10"/>
  <c r="BL19" i="10"/>
  <c r="BL20" i="10"/>
  <c r="BL21" i="10"/>
  <c r="BL22" i="10"/>
  <c r="BL23" i="10"/>
  <c r="BL24" i="10"/>
  <c r="BL25" i="10"/>
  <c r="BL26" i="10"/>
  <c r="BL27" i="10"/>
  <c r="BL28" i="10"/>
  <c r="BL29" i="10"/>
  <c r="BL30" i="10"/>
  <c r="BL31" i="10"/>
  <c r="BL32" i="10"/>
  <c r="BL33" i="10"/>
  <c r="BL34" i="10"/>
  <c r="BL35" i="10"/>
  <c r="BL36" i="10"/>
  <c r="BL37" i="10"/>
  <c r="BL38" i="10"/>
  <c r="BL39" i="10"/>
  <c r="BL40" i="10"/>
  <c r="BL41" i="10"/>
  <c r="BL42" i="10"/>
  <c r="BL43" i="10"/>
  <c r="BL44" i="10"/>
  <c r="BL45" i="10"/>
  <c r="BL46" i="10"/>
  <c r="BL47" i="10"/>
  <c r="BL48" i="10"/>
  <c r="BL49" i="10"/>
  <c r="BL50" i="10"/>
  <c r="BL51" i="10"/>
  <c r="BL52" i="10"/>
  <c r="BL53" i="10"/>
  <c r="BL54" i="10"/>
  <c r="BL55" i="10"/>
  <c r="BL56" i="10"/>
  <c r="BL57" i="10"/>
  <c r="BL58" i="10"/>
  <c r="BL59" i="10"/>
  <c r="BL60" i="10"/>
  <c r="BL61" i="10"/>
  <c r="BL62" i="10"/>
  <c r="BL63" i="10"/>
  <c r="BL64" i="10"/>
  <c r="BL65" i="10"/>
  <c r="BL66" i="10"/>
  <c r="BL67" i="10"/>
  <c r="BL68" i="10"/>
  <c r="BL69" i="10"/>
  <c r="BL70" i="10"/>
  <c r="BL71" i="10"/>
  <c r="BL72" i="10"/>
  <c r="BL73" i="10"/>
  <c r="BL74" i="10"/>
  <c r="BL75" i="10"/>
  <c r="BL76" i="10"/>
  <c r="BL77" i="10"/>
  <c r="BL78" i="10"/>
  <c r="BL79" i="10"/>
  <c r="BL80" i="10"/>
  <c r="BL81" i="10"/>
  <c r="BL82" i="10"/>
  <c r="BL83" i="10"/>
  <c r="BL84" i="10"/>
  <c r="BL85" i="10"/>
  <c r="BL86" i="10"/>
  <c r="BL87" i="10"/>
  <c r="BL88" i="10"/>
  <c r="BL89" i="10"/>
  <c r="BL90" i="10"/>
  <c r="BL91" i="10"/>
  <c r="BL92" i="10"/>
  <c r="BL93" i="10"/>
  <c r="BL94" i="10"/>
  <c r="BL95" i="10"/>
  <c r="BL96" i="10"/>
  <c r="BL97" i="10"/>
  <c r="BL98" i="10"/>
  <c r="BL99" i="10"/>
  <c r="BL100" i="10"/>
  <c r="BL101" i="10"/>
  <c r="BL102" i="10"/>
  <c r="BL103" i="10"/>
  <c r="BL104" i="10"/>
  <c r="BL105" i="10"/>
  <c r="BL106" i="10"/>
  <c r="BL107" i="10"/>
  <c r="BL108" i="10"/>
  <c r="BL109" i="10"/>
  <c r="BL110" i="10"/>
  <c r="BL111" i="10"/>
  <c r="BL112" i="10"/>
  <c r="BL113" i="10"/>
  <c r="BL114" i="10"/>
  <c r="BL115" i="10"/>
  <c r="BL116" i="10"/>
  <c r="BL117" i="10"/>
  <c r="BL118" i="10"/>
  <c r="BL119" i="10"/>
  <c r="BL120" i="10"/>
  <c r="BL121" i="10"/>
  <c r="BL122" i="10"/>
  <c r="BL123" i="10"/>
  <c r="BL124" i="10"/>
  <c r="BL125" i="10"/>
  <c r="BL126" i="10"/>
  <c r="BL127" i="10"/>
  <c r="BL128" i="10"/>
  <c r="BL129" i="10"/>
  <c r="BL130" i="10"/>
  <c r="BL131" i="10"/>
  <c r="BL132" i="10"/>
  <c r="BL133" i="10"/>
  <c r="BL134" i="10"/>
  <c r="BL135" i="10"/>
  <c r="BL136" i="10"/>
  <c r="BL137" i="10"/>
  <c r="BL138" i="10"/>
  <c r="BL139" i="10"/>
  <c r="BL140" i="10"/>
  <c r="BL141" i="10"/>
  <c r="BL142" i="10"/>
  <c r="BL143" i="10"/>
  <c r="BL144" i="10"/>
  <c r="BL145" i="10"/>
  <c r="BL146" i="10"/>
  <c r="BL147" i="10"/>
  <c r="BL148" i="10"/>
  <c r="BL149" i="10"/>
  <c r="BL150" i="10"/>
  <c r="BL151" i="10"/>
  <c r="BL152" i="10"/>
  <c r="BL153" i="10"/>
  <c r="BL154" i="10"/>
  <c r="BL155" i="10"/>
  <c r="BL156" i="10"/>
  <c r="BL157" i="10"/>
  <c r="BL158" i="10"/>
  <c r="BL159" i="10"/>
  <c r="BL160" i="10"/>
  <c r="BL161" i="10"/>
  <c r="BL162" i="10"/>
  <c r="BL163" i="10"/>
  <c r="BL164" i="10"/>
  <c r="BL165" i="10"/>
  <c r="BL166" i="10"/>
  <c r="BL167" i="10"/>
  <c r="BL168" i="10"/>
  <c r="BL169" i="10"/>
  <c r="BL170" i="10"/>
  <c r="BL171" i="10"/>
  <c r="BL172" i="10"/>
  <c r="BL173" i="10"/>
  <c r="BL174" i="10"/>
  <c r="BL175" i="10"/>
  <c r="BL176" i="10"/>
  <c r="BL177" i="10"/>
  <c r="BL178" i="10"/>
  <c r="BL179" i="10"/>
  <c r="BL180" i="10"/>
  <c r="BL181" i="10"/>
  <c r="BL182" i="10"/>
  <c r="BL183" i="10"/>
  <c r="BL184" i="10"/>
  <c r="BL185" i="10"/>
  <c r="BL186" i="10"/>
  <c r="BL187" i="10"/>
  <c r="BL188" i="10"/>
  <c r="BL189" i="10"/>
  <c r="BL190" i="10"/>
  <c r="BL191" i="10"/>
  <c r="BL192" i="10"/>
  <c r="BL193" i="10"/>
  <c r="BL194" i="10"/>
  <c r="BL195" i="10"/>
  <c r="BL196" i="10"/>
  <c r="BL197" i="10"/>
  <c r="BL198" i="10"/>
  <c r="BL199" i="10"/>
  <c r="BL200" i="10"/>
  <c r="BL201" i="10"/>
  <c r="BL202" i="10"/>
  <c r="BL203" i="10"/>
  <c r="BL204" i="10"/>
  <c r="BL205" i="10"/>
  <c r="BL206" i="10"/>
  <c r="BL207" i="10"/>
  <c r="BL208" i="10"/>
  <c r="BL209" i="10"/>
  <c r="BL210" i="10"/>
  <c r="BL211" i="10"/>
  <c r="BL212" i="10"/>
  <c r="BL213" i="10"/>
  <c r="BL214" i="10"/>
  <c r="BL215" i="10"/>
  <c r="BL216" i="10"/>
  <c r="BL217" i="10"/>
  <c r="BL218" i="10"/>
  <c r="BL219" i="10"/>
  <c r="BL220" i="10"/>
  <c r="BL221" i="10"/>
  <c r="BL222" i="10"/>
  <c r="BL223" i="10"/>
  <c r="BL224" i="10"/>
  <c r="BL225" i="10"/>
  <c r="BL226" i="10"/>
  <c r="BL227" i="10"/>
  <c r="BL228" i="10"/>
  <c r="BL229" i="10"/>
  <c r="BL230" i="10"/>
  <c r="BL231" i="10"/>
  <c r="BL232" i="10"/>
  <c r="BL233" i="10"/>
  <c r="BL234" i="10"/>
  <c r="BL235" i="10"/>
  <c r="BL236" i="10"/>
  <c r="BL237" i="10"/>
  <c r="BL238" i="10"/>
  <c r="BL239" i="10"/>
  <c r="BL240" i="10"/>
  <c r="BL241" i="10"/>
  <c r="BL242" i="10"/>
  <c r="BL243" i="10"/>
  <c r="BL244" i="10"/>
  <c r="BL245" i="10"/>
  <c r="BL246" i="10"/>
  <c r="BL247" i="10"/>
  <c r="BL248" i="10"/>
  <c r="BL249" i="10"/>
  <c r="BL250" i="10"/>
  <c r="BL251" i="10"/>
  <c r="BL252" i="10"/>
  <c r="BL253" i="10"/>
  <c r="BL254" i="10"/>
  <c r="BL255" i="10"/>
  <c r="BL256" i="10"/>
  <c r="BL257" i="10"/>
  <c r="BL258" i="10"/>
  <c r="BL259" i="10"/>
  <c r="BL260" i="10"/>
  <c r="BL261" i="10"/>
  <c r="BL262" i="10"/>
  <c r="BL263" i="10"/>
  <c r="BL264" i="10"/>
  <c r="BL265" i="10"/>
  <c r="BL266" i="10"/>
  <c r="BL267" i="10"/>
  <c r="BL268" i="10"/>
  <c r="BL269" i="10"/>
  <c r="BL270" i="10"/>
  <c r="BL271" i="10"/>
  <c r="BL272" i="10"/>
  <c r="BL273" i="10"/>
  <c r="BL274" i="10"/>
  <c r="BL275" i="10"/>
  <c r="BL276" i="10"/>
  <c r="BL277" i="10"/>
  <c r="BL278" i="10"/>
  <c r="BL279" i="10"/>
  <c r="BL280" i="10"/>
  <c r="BL281" i="10"/>
  <c r="BL282" i="10"/>
  <c r="BL283" i="10"/>
  <c r="BL284" i="10"/>
  <c r="BL285" i="10"/>
  <c r="BL286" i="10"/>
  <c r="BL287" i="10"/>
  <c r="BL288" i="10"/>
  <c r="BL289" i="10"/>
  <c r="BL290" i="10"/>
  <c r="BL291" i="10"/>
  <c r="BL292" i="10"/>
  <c r="BL293" i="10"/>
  <c r="BL294" i="10"/>
  <c r="BL295" i="10"/>
  <c r="BL296" i="10"/>
  <c r="BL297" i="10"/>
  <c r="BL298" i="10"/>
  <c r="BL299" i="10"/>
  <c r="BL300" i="10"/>
  <c r="BL301" i="10"/>
  <c r="BL302" i="10"/>
  <c r="BL303" i="10"/>
  <c r="BL304" i="10"/>
  <c r="BL305" i="10"/>
  <c r="BL306" i="10"/>
  <c r="BL307" i="10"/>
  <c r="BL308" i="10"/>
  <c r="BL309" i="10"/>
  <c r="BL310" i="10"/>
  <c r="BL311" i="10"/>
  <c r="BL312" i="10"/>
  <c r="BL313" i="10"/>
  <c r="BL314" i="10"/>
  <c r="BL315" i="10"/>
  <c r="BL316" i="10"/>
  <c r="BL317" i="10"/>
  <c r="BL318" i="10"/>
  <c r="BL319" i="10"/>
  <c r="BL320" i="10"/>
  <c r="BL321" i="10"/>
  <c r="BL322" i="10"/>
  <c r="BL323" i="10"/>
  <c r="BL324" i="10"/>
  <c r="BL325" i="10"/>
  <c r="BL326" i="10"/>
  <c r="BL327" i="10"/>
  <c r="BL328" i="10"/>
  <c r="BL329" i="10"/>
  <c r="BL330" i="10"/>
  <c r="BL331" i="10"/>
  <c r="BL332" i="10"/>
  <c r="BL333" i="10"/>
  <c r="BL334" i="10"/>
  <c r="BL335" i="10"/>
  <c r="BL336" i="10"/>
  <c r="BL337" i="10"/>
  <c r="BL338" i="10"/>
  <c r="BL339" i="10"/>
  <c r="BL340" i="10"/>
  <c r="BL341" i="10"/>
  <c r="BM4" i="10"/>
  <c r="BM5" i="10"/>
  <c r="BM6" i="10"/>
  <c r="BM7" i="10"/>
  <c r="BM8" i="10"/>
  <c r="BM9" i="10"/>
  <c r="BM10" i="10"/>
  <c r="BM11" i="10"/>
  <c r="BM12" i="10"/>
  <c r="BM13" i="10"/>
  <c r="BM14" i="10"/>
  <c r="BM15" i="10"/>
  <c r="BM16" i="10"/>
  <c r="BM17" i="10"/>
  <c r="BM18" i="10"/>
  <c r="BM19" i="10"/>
  <c r="BM20" i="10"/>
  <c r="BM21" i="10"/>
  <c r="BM22" i="10"/>
  <c r="BM23" i="10"/>
  <c r="BM24" i="10"/>
  <c r="BM25" i="10"/>
  <c r="BM26" i="10"/>
  <c r="BM27" i="10"/>
  <c r="BM28" i="10"/>
  <c r="BM29" i="10"/>
  <c r="BM30" i="10"/>
  <c r="BM31" i="10"/>
  <c r="BM32" i="10"/>
  <c r="BM33" i="10"/>
  <c r="BM34" i="10"/>
  <c r="BM35" i="10"/>
  <c r="BM36" i="10"/>
  <c r="BM37" i="10"/>
  <c r="BM38" i="10"/>
  <c r="BM39" i="10"/>
  <c r="BM40" i="10"/>
  <c r="BM41" i="10"/>
  <c r="BM42" i="10"/>
  <c r="BM43" i="10"/>
  <c r="BM44" i="10"/>
  <c r="BM45" i="10"/>
  <c r="BM46" i="10"/>
  <c r="BM47" i="10"/>
  <c r="BM48" i="10"/>
  <c r="BM49" i="10"/>
  <c r="BM50" i="10"/>
  <c r="BM51" i="10"/>
  <c r="BM52" i="10"/>
  <c r="BM53" i="10"/>
  <c r="BM54" i="10"/>
  <c r="BM55" i="10"/>
  <c r="BM56" i="10"/>
  <c r="BM57" i="10"/>
  <c r="BM58" i="10"/>
  <c r="BM59" i="10"/>
  <c r="BM60" i="10"/>
  <c r="BM61" i="10"/>
  <c r="BM62" i="10"/>
  <c r="BM63" i="10"/>
  <c r="BM64" i="10"/>
  <c r="BM65" i="10"/>
  <c r="BM66" i="10"/>
  <c r="BM67" i="10"/>
  <c r="BM68" i="10"/>
  <c r="BM69" i="10"/>
  <c r="BM70" i="10"/>
  <c r="BM71" i="10"/>
  <c r="BM72" i="10"/>
  <c r="BM73" i="10"/>
  <c r="BM74" i="10"/>
  <c r="BM75" i="10"/>
  <c r="BM76" i="10"/>
  <c r="BM77" i="10"/>
  <c r="BM78" i="10"/>
  <c r="BM79" i="10"/>
  <c r="BM80" i="10"/>
  <c r="BM81" i="10"/>
  <c r="BM82" i="10"/>
  <c r="BM83" i="10"/>
  <c r="BM84" i="10"/>
  <c r="BM85" i="10"/>
  <c r="BM86" i="10"/>
  <c r="BM87" i="10"/>
  <c r="BM88" i="10"/>
  <c r="BM89" i="10"/>
  <c r="BM90" i="10"/>
  <c r="BM91" i="10"/>
  <c r="BM92" i="10"/>
  <c r="BM93" i="10"/>
  <c r="BM94" i="10"/>
  <c r="BM95" i="10"/>
  <c r="BM96" i="10"/>
  <c r="BM97" i="10"/>
  <c r="BM98" i="10"/>
  <c r="BM99" i="10"/>
  <c r="BM100" i="10"/>
  <c r="BM101" i="10"/>
  <c r="BM102" i="10"/>
  <c r="BM103" i="10"/>
  <c r="BM104" i="10"/>
  <c r="BM105" i="10"/>
  <c r="BM106" i="10"/>
  <c r="BM107" i="10"/>
  <c r="BM108" i="10"/>
  <c r="BM109" i="10"/>
  <c r="BM110" i="10"/>
  <c r="BM111" i="10"/>
  <c r="BM112" i="10"/>
  <c r="BM113" i="10"/>
  <c r="BM114" i="10"/>
  <c r="BM115" i="10"/>
  <c r="BM116" i="10"/>
  <c r="BM117" i="10"/>
  <c r="BM118" i="10"/>
  <c r="BM119" i="10"/>
  <c r="BM120" i="10"/>
  <c r="BM121" i="10"/>
  <c r="BM122" i="10"/>
  <c r="BM123" i="10"/>
  <c r="BM124" i="10"/>
  <c r="BM125" i="10"/>
  <c r="BM126" i="10"/>
  <c r="BM127" i="10"/>
  <c r="BM128" i="10"/>
  <c r="BM129" i="10"/>
  <c r="BM130" i="10"/>
  <c r="BM131" i="10"/>
  <c r="BM132" i="10"/>
  <c r="BM133" i="10"/>
  <c r="BM134" i="10"/>
  <c r="BM135" i="10"/>
  <c r="BM136" i="10"/>
  <c r="BM137" i="10"/>
  <c r="BM138" i="10"/>
  <c r="BM139" i="10"/>
  <c r="BM140" i="10"/>
  <c r="BM141" i="10"/>
  <c r="BM142" i="10"/>
  <c r="BM143" i="10"/>
  <c r="BM144" i="10"/>
  <c r="BM145" i="10"/>
  <c r="BM146" i="10"/>
  <c r="BM147" i="10"/>
  <c r="BM148" i="10"/>
  <c r="BM149" i="10"/>
  <c r="BM150" i="10"/>
  <c r="BM151" i="10"/>
  <c r="BM152" i="10"/>
  <c r="BM153" i="10"/>
  <c r="BM154" i="10"/>
  <c r="BM155" i="10"/>
  <c r="BM156" i="10"/>
  <c r="BM157" i="10"/>
  <c r="BM158" i="10"/>
  <c r="BM159" i="10"/>
  <c r="BM160" i="10"/>
  <c r="BM161" i="10"/>
  <c r="BM162" i="10"/>
  <c r="BM163" i="10"/>
  <c r="BM164" i="10"/>
  <c r="BM165" i="10"/>
  <c r="BM166" i="10"/>
  <c r="BM167" i="10"/>
  <c r="BM168" i="10"/>
  <c r="BM169" i="10"/>
  <c r="BM170" i="10"/>
  <c r="BM171" i="10"/>
  <c r="BM172" i="10"/>
  <c r="BM173" i="10"/>
  <c r="BM174" i="10"/>
  <c r="BM175" i="10"/>
  <c r="BM176" i="10"/>
  <c r="BM177" i="10"/>
  <c r="BM178" i="10"/>
  <c r="BM179" i="10"/>
  <c r="BM180" i="10"/>
  <c r="BM181" i="10"/>
  <c r="BM182" i="10"/>
  <c r="BM183" i="10"/>
  <c r="BM184" i="10"/>
  <c r="BM185" i="10"/>
  <c r="BM186" i="10"/>
  <c r="BM187" i="10"/>
  <c r="BM188" i="10"/>
  <c r="BM189" i="10"/>
  <c r="BM190" i="10"/>
  <c r="BM191" i="10"/>
  <c r="BM192" i="10"/>
  <c r="BM193" i="10"/>
  <c r="BM194" i="10"/>
  <c r="BM195" i="10"/>
  <c r="BM196" i="10"/>
  <c r="BM197" i="10"/>
  <c r="BM198" i="10"/>
  <c r="BM199" i="10"/>
  <c r="BM200" i="10"/>
  <c r="BM201" i="10"/>
  <c r="BM202" i="10"/>
  <c r="BM203" i="10"/>
  <c r="BM204" i="10"/>
  <c r="BM205" i="10"/>
  <c r="BM206" i="10"/>
  <c r="BM207" i="10"/>
  <c r="BM208" i="10"/>
  <c r="BM209" i="10"/>
  <c r="BM210" i="10"/>
  <c r="BM211" i="10"/>
  <c r="BM212" i="10"/>
  <c r="BM213" i="10"/>
  <c r="BM214" i="10"/>
  <c r="BM215" i="10"/>
  <c r="BM216" i="10"/>
  <c r="BM217" i="10"/>
  <c r="BM218" i="10"/>
  <c r="BM219" i="10"/>
  <c r="BM220" i="10"/>
  <c r="BM221" i="10"/>
  <c r="BM222" i="10"/>
  <c r="BM223" i="10"/>
  <c r="BM224" i="10"/>
  <c r="BM225" i="10"/>
  <c r="BM226" i="10"/>
  <c r="BM227" i="10"/>
  <c r="BM228" i="10"/>
  <c r="BM229" i="10"/>
  <c r="BM230" i="10"/>
  <c r="BM231" i="10"/>
  <c r="BM232" i="10"/>
  <c r="BM233" i="10"/>
  <c r="BM234" i="10"/>
  <c r="BM235" i="10"/>
  <c r="BM236" i="10"/>
  <c r="BM237" i="10"/>
  <c r="BM238" i="10"/>
  <c r="BM239" i="10"/>
  <c r="BM240" i="10"/>
  <c r="BM241" i="10"/>
  <c r="BM242" i="10"/>
  <c r="BM243" i="10"/>
  <c r="BM244" i="10"/>
  <c r="BM245" i="10"/>
  <c r="BM246" i="10"/>
  <c r="BM247" i="10"/>
  <c r="BM248" i="10"/>
  <c r="BM249" i="10"/>
  <c r="BM250" i="10"/>
  <c r="BM251" i="10"/>
  <c r="BM252" i="10"/>
  <c r="BM253" i="10"/>
  <c r="BM254" i="10"/>
  <c r="BM255" i="10"/>
  <c r="BM256" i="10"/>
  <c r="BM257" i="10"/>
  <c r="BM258" i="10"/>
  <c r="BM259" i="10"/>
  <c r="BM260" i="10"/>
  <c r="BM261" i="10"/>
  <c r="BM262" i="10"/>
  <c r="BM263" i="10"/>
  <c r="BM264" i="10"/>
  <c r="BM265" i="10"/>
  <c r="BM266" i="10"/>
  <c r="BM267" i="10"/>
  <c r="BM268" i="10"/>
  <c r="BM269" i="10"/>
  <c r="BM270" i="10"/>
  <c r="BM271" i="10"/>
  <c r="BM272" i="10"/>
  <c r="BM273" i="10"/>
  <c r="BM274" i="10"/>
  <c r="BM275" i="10"/>
  <c r="BM276" i="10"/>
  <c r="BM277" i="10"/>
  <c r="BM278" i="10"/>
  <c r="BM279" i="10"/>
  <c r="BM280" i="10"/>
  <c r="BM281" i="10"/>
  <c r="BM282" i="10"/>
  <c r="BM283" i="10"/>
  <c r="BM284" i="10"/>
  <c r="BM285" i="10"/>
  <c r="BM286" i="10"/>
  <c r="BM287" i="10"/>
  <c r="BM288" i="10"/>
  <c r="BM289" i="10"/>
  <c r="BM290" i="10"/>
  <c r="BM291" i="10"/>
  <c r="BM292" i="10"/>
  <c r="BM293" i="10"/>
  <c r="BM294" i="10"/>
  <c r="BM295" i="10"/>
  <c r="BM296" i="10"/>
  <c r="BM297" i="10"/>
  <c r="BM298" i="10"/>
  <c r="BM299" i="10"/>
  <c r="BM300" i="10"/>
  <c r="BM301" i="10"/>
  <c r="BM302" i="10"/>
  <c r="BM303" i="10"/>
  <c r="BM304" i="10"/>
  <c r="BM305" i="10"/>
  <c r="BM306" i="10"/>
  <c r="BM307" i="10"/>
  <c r="BM308" i="10"/>
  <c r="BM309" i="10"/>
  <c r="BM310" i="10"/>
  <c r="BM311" i="10"/>
  <c r="BM312" i="10"/>
  <c r="BM313" i="10"/>
  <c r="BM314" i="10"/>
  <c r="BM315" i="10"/>
  <c r="BM316" i="10"/>
  <c r="BM317" i="10"/>
  <c r="BM318" i="10"/>
  <c r="BM319" i="10"/>
  <c r="BM320" i="10"/>
  <c r="BM321" i="10"/>
  <c r="BM322" i="10"/>
  <c r="BM323" i="10"/>
  <c r="BM324" i="10"/>
  <c r="BM325" i="10"/>
  <c r="BM326" i="10"/>
  <c r="BM327" i="10"/>
  <c r="BM328" i="10"/>
  <c r="BM329" i="10"/>
  <c r="BM330" i="10"/>
  <c r="BM331" i="10"/>
  <c r="BM332" i="10"/>
  <c r="BM333" i="10"/>
  <c r="BM334" i="10"/>
  <c r="BM335" i="10"/>
  <c r="BM336" i="10"/>
  <c r="BM337" i="10"/>
  <c r="BM338" i="10"/>
  <c r="BM339" i="10"/>
  <c r="BM340" i="10"/>
  <c r="BM341" i="10"/>
  <c r="BN4" i="10"/>
  <c r="BN5" i="10"/>
  <c r="BN6" i="10"/>
  <c r="BN7" i="10"/>
  <c r="BN8" i="10"/>
  <c r="BN9" i="10"/>
  <c r="BN10" i="10"/>
  <c r="BN11" i="10"/>
  <c r="BN12" i="10"/>
  <c r="BN13" i="10"/>
  <c r="BN14" i="10"/>
  <c r="BN15" i="10"/>
  <c r="BN16" i="10"/>
  <c r="BN17" i="10"/>
  <c r="BN18" i="10"/>
  <c r="BN19" i="10"/>
  <c r="BN20" i="10"/>
  <c r="BN21" i="10"/>
  <c r="BN22" i="10"/>
  <c r="BN23" i="10"/>
  <c r="BN24" i="10"/>
  <c r="BN25" i="10"/>
  <c r="BN26" i="10"/>
  <c r="BN27" i="10"/>
  <c r="BN28" i="10"/>
  <c r="BN29" i="10"/>
  <c r="BN30" i="10"/>
  <c r="BN31" i="10"/>
  <c r="BN32" i="10"/>
  <c r="BN33" i="10"/>
  <c r="BN34" i="10"/>
  <c r="BN35" i="10"/>
  <c r="BN36" i="10"/>
  <c r="BN37" i="10"/>
  <c r="BN38" i="10"/>
  <c r="BN39" i="10"/>
  <c r="BN40" i="10"/>
  <c r="BN41" i="10"/>
  <c r="BN42" i="10"/>
  <c r="BN43" i="10"/>
  <c r="BN44" i="10"/>
  <c r="BN45" i="10"/>
  <c r="BN46" i="10"/>
  <c r="BN47" i="10"/>
  <c r="BN48" i="10"/>
  <c r="BN49" i="10"/>
  <c r="BN50" i="10"/>
  <c r="BN51" i="10"/>
  <c r="BN52" i="10"/>
  <c r="BN53" i="10"/>
  <c r="BN54" i="10"/>
  <c r="BN55" i="10"/>
  <c r="BN56" i="10"/>
  <c r="BN57" i="10"/>
  <c r="BN58" i="10"/>
  <c r="BN59" i="10"/>
  <c r="BN60" i="10"/>
  <c r="BN61" i="10"/>
  <c r="BN62" i="10"/>
  <c r="BN63" i="10"/>
  <c r="BN64" i="10"/>
  <c r="BN65" i="10"/>
  <c r="BN66" i="10"/>
  <c r="BN67" i="10"/>
  <c r="BN68" i="10"/>
  <c r="BN69" i="10"/>
  <c r="BN70" i="10"/>
  <c r="BN71" i="10"/>
  <c r="BN72" i="10"/>
  <c r="BN73" i="10"/>
  <c r="BN74" i="10"/>
  <c r="BN75" i="10"/>
  <c r="BN76" i="10"/>
  <c r="BN77" i="10"/>
  <c r="BN78" i="10"/>
  <c r="BN79" i="10"/>
  <c r="BN80" i="10"/>
  <c r="BN81" i="10"/>
  <c r="BN82" i="10"/>
  <c r="BN83" i="10"/>
  <c r="BN84" i="10"/>
  <c r="BN85" i="10"/>
  <c r="BN86" i="10"/>
  <c r="BN87" i="10"/>
  <c r="BN88" i="10"/>
  <c r="BN89" i="10"/>
  <c r="BN90" i="10"/>
  <c r="BN91" i="10"/>
  <c r="BN92" i="10"/>
  <c r="BN93" i="10"/>
  <c r="BN94" i="10"/>
  <c r="BN95" i="10"/>
  <c r="BN96" i="10"/>
  <c r="BN97" i="10"/>
  <c r="BN98" i="10"/>
  <c r="BN99" i="10"/>
  <c r="BN100" i="10"/>
  <c r="BN101" i="10"/>
  <c r="BN102" i="10"/>
  <c r="BN103" i="10"/>
  <c r="BN104" i="10"/>
  <c r="BN105" i="10"/>
  <c r="BN106" i="10"/>
  <c r="BN107" i="10"/>
  <c r="BN108" i="10"/>
  <c r="BN109" i="10"/>
  <c r="BN110" i="10"/>
  <c r="BN111" i="10"/>
  <c r="BN112" i="10"/>
  <c r="BN113" i="10"/>
  <c r="BN114" i="10"/>
  <c r="BN115" i="10"/>
  <c r="BN116" i="10"/>
  <c r="BN117" i="10"/>
  <c r="BN118" i="10"/>
  <c r="BN119" i="10"/>
  <c r="BN120" i="10"/>
  <c r="BN121" i="10"/>
  <c r="BN122" i="10"/>
  <c r="BN123" i="10"/>
  <c r="BN124" i="10"/>
  <c r="BN125" i="10"/>
  <c r="BN126" i="10"/>
  <c r="BN127" i="10"/>
  <c r="BN128" i="10"/>
  <c r="BN129" i="10"/>
  <c r="BN130" i="10"/>
  <c r="BN131" i="10"/>
  <c r="BN132" i="10"/>
  <c r="BN133" i="10"/>
  <c r="BN134" i="10"/>
  <c r="BN135" i="10"/>
  <c r="BN136" i="10"/>
  <c r="BN137" i="10"/>
  <c r="BN138" i="10"/>
  <c r="BN139" i="10"/>
  <c r="BN140" i="10"/>
  <c r="BN141" i="10"/>
  <c r="BN142" i="10"/>
  <c r="BN143" i="10"/>
  <c r="BN144" i="10"/>
  <c r="BN145" i="10"/>
  <c r="BN146" i="10"/>
  <c r="BN147" i="10"/>
  <c r="BN148" i="10"/>
  <c r="BN149" i="10"/>
  <c r="BN150" i="10"/>
  <c r="BN151" i="10"/>
  <c r="BN152" i="10"/>
  <c r="BN153" i="10"/>
  <c r="BN154" i="10"/>
  <c r="BN155" i="10"/>
  <c r="BN156" i="10"/>
  <c r="BN157" i="10"/>
  <c r="BN158" i="10"/>
  <c r="BN159" i="10"/>
  <c r="BN160" i="10"/>
  <c r="BN161" i="10"/>
  <c r="BN162" i="10"/>
  <c r="BN163" i="10"/>
  <c r="BN164" i="10"/>
  <c r="BN165" i="10"/>
  <c r="BN166" i="10"/>
  <c r="BN167" i="10"/>
  <c r="BN168" i="10"/>
  <c r="BN169" i="10"/>
  <c r="BN170" i="10"/>
  <c r="BN171" i="10"/>
  <c r="BN172" i="10"/>
  <c r="BN173" i="10"/>
  <c r="BN174" i="10"/>
  <c r="BN175" i="10"/>
  <c r="BN176" i="10"/>
  <c r="BN177" i="10"/>
  <c r="BN178" i="10"/>
  <c r="BN179" i="10"/>
  <c r="BN180" i="10"/>
  <c r="BN181" i="10"/>
  <c r="BN182" i="10"/>
  <c r="BN183" i="10"/>
  <c r="BN184" i="10"/>
  <c r="BN185" i="10"/>
  <c r="BN186" i="10"/>
  <c r="BN187" i="10"/>
  <c r="BN188" i="10"/>
  <c r="BN189" i="10"/>
  <c r="BN190" i="10"/>
  <c r="BN191" i="10"/>
  <c r="BN192" i="10"/>
  <c r="BN193" i="10"/>
  <c r="BN194" i="10"/>
  <c r="BN195" i="10"/>
  <c r="BN196" i="10"/>
  <c r="BN197" i="10"/>
  <c r="BN198" i="10"/>
  <c r="BN199" i="10"/>
  <c r="BN200" i="10"/>
  <c r="BN201" i="10"/>
  <c r="BN202" i="10"/>
  <c r="BN203" i="10"/>
  <c r="BN204" i="10"/>
  <c r="BN205" i="10"/>
  <c r="BN206" i="10"/>
  <c r="BN207" i="10"/>
  <c r="BN208" i="10"/>
  <c r="BN209" i="10"/>
  <c r="BN210" i="10"/>
  <c r="BN211" i="10"/>
  <c r="BN212" i="10"/>
  <c r="BN213" i="10"/>
  <c r="BN214" i="10"/>
  <c r="BN215" i="10"/>
  <c r="BN216" i="10"/>
  <c r="BN217" i="10"/>
  <c r="BN218" i="10"/>
  <c r="BN219" i="10"/>
  <c r="BN220" i="10"/>
  <c r="BN221" i="10"/>
  <c r="BN222" i="10"/>
  <c r="BN223" i="10"/>
  <c r="BN224" i="10"/>
  <c r="BN225" i="10"/>
  <c r="BN226" i="10"/>
  <c r="BN227" i="10"/>
  <c r="BN228" i="10"/>
  <c r="BN229" i="10"/>
  <c r="BN230" i="10"/>
  <c r="BN231" i="10"/>
  <c r="BN232" i="10"/>
  <c r="BN233" i="10"/>
  <c r="BN234" i="10"/>
  <c r="BN235" i="10"/>
  <c r="BN236" i="10"/>
  <c r="BN237" i="10"/>
  <c r="BN238" i="10"/>
  <c r="BN239" i="10"/>
  <c r="BN240" i="10"/>
  <c r="BN241" i="10"/>
  <c r="BN242" i="10"/>
  <c r="BN243" i="10"/>
  <c r="BN244" i="10"/>
  <c r="BN245" i="10"/>
  <c r="BN246" i="10"/>
  <c r="BN247" i="10"/>
  <c r="BN248" i="10"/>
  <c r="BN249" i="10"/>
  <c r="BN250" i="10"/>
  <c r="BN251" i="10"/>
  <c r="BN252" i="10"/>
  <c r="BN253" i="10"/>
  <c r="BN254" i="10"/>
  <c r="BN255" i="10"/>
  <c r="BN256" i="10"/>
  <c r="BN257" i="10"/>
  <c r="BN258" i="10"/>
  <c r="BN259" i="10"/>
  <c r="BN260" i="10"/>
  <c r="BN261" i="10"/>
  <c r="BN262" i="10"/>
  <c r="BN263" i="10"/>
  <c r="BN264" i="10"/>
  <c r="BN265" i="10"/>
  <c r="BN266" i="10"/>
  <c r="BN267" i="10"/>
  <c r="BN268" i="10"/>
  <c r="BN269" i="10"/>
  <c r="BN270" i="10"/>
  <c r="BN271" i="10"/>
  <c r="BN272" i="10"/>
  <c r="BN273" i="10"/>
  <c r="BN274" i="10"/>
  <c r="BN275" i="10"/>
  <c r="BN276" i="10"/>
  <c r="BN277" i="10"/>
  <c r="BN278" i="10"/>
  <c r="BN279" i="10"/>
  <c r="BN280" i="10"/>
  <c r="BN281" i="10"/>
  <c r="BN282" i="10"/>
  <c r="BN283" i="10"/>
  <c r="BN284" i="10"/>
  <c r="BN285" i="10"/>
  <c r="BN286" i="10"/>
  <c r="BN287" i="10"/>
  <c r="BN288" i="10"/>
  <c r="BN289" i="10"/>
  <c r="BN290" i="10"/>
  <c r="BN291" i="10"/>
  <c r="BN292" i="10"/>
  <c r="BN293" i="10"/>
  <c r="BN294" i="10"/>
  <c r="BN295" i="10"/>
  <c r="BN296" i="10"/>
  <c r="BN297" i="10"/>
  <c r="BN298" i="10"/>
  <c r="BN299" i="10"/>
  <c r="BN300" i="10"/>
  <c r="BN301" i="10"/>
  <c r="BN302" i="10"/>
  <c r="BN303" i="10"/>
  <c r="BN304" i="10"/>
  <c r="BN305" i="10"/>
  <c r="BN306" i="10"/>
  <c r="BN307" i="10"/>
  <c r="BN308" i="10"/>
  <c r="BN309" i="10"/>
  <c r="BN310" i="10"/>
  <c r="BN311" i="10"/>
  <c r="BN312" i="10"/>
  <c r="BN313" i="10"/>
  <c r="BN314" i="10"/>
  <c r="BN315" i="10"/>
  <c r="BN316" i="10"/>
  <c r="BN317" i="10"/>
  <c r="BN318" i="10"/>
  <c r="BN319" i="10"/>
  <c r="BN320" i="10"/>
  <c r="BN321" i="10"/>
  <c r="BN322" i="10"/>
  <c r="BN323" i="10"/>
  <c r="BN324" i="10"/>
  <c r="BN325" i="10"/>
  <c r="BN326" i="10"/>
  <c r="BN327" i="10"/>
  <c r="BN328" i="10"/>
  <c r="BN329" i="10"/>
  <c r="BN330" i="10"/>
  <c r="BN331" i="10"/>
  <c r="BN332" i="10"/>
  <c r="BN333" i="10"/>
  <c r="BN334" i="10"/>
  <c r="BN335" i="10"/>
  <c r="BN336" i="10"/>
  <c r="BN337" i="10"/>
  <c r="BN338" i="10"/>
  <c r="BN339" i="10"/>
  <c r="BN340" i="10"/>
  <c r="BN341" i="10"/>
  <c r="BR4" i="10"/>
  <c r="BR5" i="10"/>
  <c r="BR6" i="10"/>
  <c r="BR7" i="10"/>
  <c r="BR8" i="10"/>
  <c r="BR9" i="10"/>
  <c r="BR10" i="10"/>
  <c r="BR11" i="10"/>
  <c r="BR12" i="10"/>
  <c r="BR13" i="10"/>
  <c r="BR14" i="10"/>
  <c r="BR15" i="10"/>
  <c r="BR16" i="10"/>
  <c r="BR17" i="10"/>
  <c r="BR18" i="10"/>
  <c r="BR19" i="10"/>
  <c r="BR20" i="10"/>
  <c r="BR21" i="10"/>
  <c r="BR22" i="10"/>
  <c r="BR23" i="10"/>
  <c r="BR24" i="10"/>
  <c r="BR25" i="10"/>
  <c r="BR26" i="10"/>
  <c r="BR27" i="10"/>
  <c r="BR28" i="10"/>
  <c r="BR29" i="10"/>
  <c r="BR30" i="10"/>
  <c r="BR31" i="10"/>
  <c r="BR32" i="10"/>
  <c r="BR33" i="10"/>
  <c r="BR34" i="10"/>
  <c r="BR35" i="10"/>
  <c r="BR36" i="10"/>
  <c r="BR37" i="10"/>
  <c r="BR38" i="10"/>
  <c r="BR39" i="10"/>
  <c r="BR40" i="10"/>
  <c r="BR41" i="10"/>
  <c r="BR42" i="10"/>
  <c r="BR43" i="10"/>
  <c r="BR44" i="10"/>
  <c r="BR45" i="10"/>
  <c r="BR46" i="10"/>
  <c r="BR47" i="10"/>
  <c r="BR48" i="10"/>
  <c r="BR49" i="10"/>
  <c r="BR50" i="10"/>
  <c r="BR51" i="10"/>
  <c r="BR52" i="10"/>
  <c r="BR53" i="10"/>
  <c r="BR54" i="10"/>
  <c r="BR55" i="10"/>
  <c r="BR56" i="10"/>
  <c r="BR57" i="10"/>
  <c r="BR58" i="10"/>
  <c r="BR59" i="10"/>
  <c r="BR60" i="10"/>
  <c r="BR61" i="10"/>
  <c r="BR62" i="10"/>
  <c r="BR63" i="10"/>
  <c r="BR64" i="10"/>
  <c r="BR65" i="10"/>
  <c r="BR66" i="10"/>
  <c r="BR67" i="10"/>
  <c r="BR68" i="10"/>
  <c r="BR69" i="10"/>
  <c r="BR70" i="10"/>
  <c r="BR71" i="10"/>
  <c r="BR72" i="10"/>
  <c r="BR73" i="10"/>
  <c r="BR74" i="10"/>
  <c r="BR75" i="10"/>
  <c r="BR76" i="10"/>
  <c r="BR77" i="10"/>
  <c r="BR78" i="10"/>
  <c r="BR79" i="10"/>
  <c r="BR80" i="10"/>
  <c r="BR81" i="10"/>
  <c r="BR82" i="10"/>
  <c r="BR83" i="10"/>
  <c r="BR84" i="10"/>
  <c r="BR85" i="10"/>
  <c r="BR86" i="10"/>
  <c r="BR87" i="10"/>
  <c r="BR88" i="10"/>
  <c r="BR89" i="10"/>
  <c r="BR90" i="10"/>
  <c r="BR91" i="10"/>
  <c r="BR92" i="10"/>
  <c r="BR93" i="10"/>
  <c r="BR94" i="10"/>
  <c r="BR95" i="10"/>
  <c r="BR96" i="10"/>
  <c r="BR97" i="10"/>
  <c r="BR98" i="10"/>
  <c r="BR99" i="10"/>
  <c r="BR100" i="10"/>
  <c r="BR101" i="10"/>
  <c r="BR102" i="10"/>
  <c r="BR103" i="10"/>
  <c r="BR104" i="10"/>
  <c r="BR105" i="10"/>
  <c r="BR106" i="10"/>
  <c r="BR107" i="10"/>
  <c r="BR108" i="10"/>
  <c r="BR109" i="10"/>
  <c r="BR110" i="10"/>
  <c r="BR111" i="10"/>
  <c r="BR112" i="10"/>
  <c r="BR113" i="10"/>
  <c r="BR114" i="10"/>
  <c r="BR115" i="10"/>
  <c r="BR116" i="10"/>
  <c r="BR117" i="10"/>
  <c r="BR118" i="10"/>
  <c r="BR119" i="10"/>
  <c r="BR120" i="10"/>
  <c r="BR121" i="10"/>
  <c r="BR122" i="10"/>
  <c r="BR123" i="10"/>
  <c r="BR124" i="10"/>
  <c r="BR125" i="10"/>
  <c r="BR126" i="10"/>
  <c r="BR127" i="10"/>
  <c r="BR128" i="10"/>
  <c r="BR129" i="10"/>
  <c r="BR130" i="10"/>
  <c r="BR131" i="10"/>
  <c r="BR132" i="10"/>
  <c r="BR133" i="10"/>
  <c r="BR134" i="10"/>
  <c r="BR135" i="10"/>
  <c r="BR136" i="10"/>
  <c r="BR137" i="10"/>
  <c r="BR138" i="10"/>
  <c r="BR139" i="10"/>
  <c r="BR140" i="10"/>
  <c r="BR141" i="10"/>
  <c r="BR142" i="10"/>
  <c r="BR143" i="10"/>
  <c r="BR144" i="10"/>
  <c r="BR145" i="10"/>
  <c r="BR146" i="10"/>
  <c r="BR147" i="10"/>
  <c r="BR148" i="10"/>
  <c r="BR149" i="10"/>
  <c r="BR150" i="10"/>
  <c r="BR151" i="10"/>
  <c r="BR152" i="10"/>
  <c r="BR153" i="10"/>
  <c r="BR154" i="10"/>
  <c r="BR155" i="10"/>
  <c r="BR156" i="10"/>
  <c r="BR157" i="10"/>
  <c r="BR158" i="10"/>
  <c r="BR159" i="10"/>
  <c r="BR160" i="10"/>
  <c r="BR161" i="10"/>
  <c r="BR162" i="10"/>
  <c r="BR163" i="10"/>
  <c r="BR164" i="10"/>
  <c r="BR165" i="10"/>
  <c r="BR166" i="10"/>
  <c r="BR167" i="10"/>
  <c r="BR168" i="10"/>
  <c r="BR169" i="10"/>
  <c r="BR170" i="10"/>
  <c r="BR171" i="10"/>
  <c r="BR172" i="10"/>
  <c r="BR173" i="10"/>
  <c r="BR174" i="10"/>
  <c r="BR175" i="10"/>
  <c r="BR176" i="10"/>
  <c r="BR177" i="10"/>
  <c r="BR178" i="10"/>
  <c r="BR179" i="10"/>
  <c r="BR180" i="10"/>
  <c r="BR181" i="10"/>
  <c r="BR182" i="10"/>
  <c r="BR183" i="10"/>
  <c r="BR184" i="10"/>
  <c r="BR185" i="10"/>
  <c r="BR186" i="10"/>
  <c r="BR187" i="10"/>
  <c r="BR188" i="10"/>
  <c r="BR189" i="10"/>
  <c r="BR190" i="10"/>
  <c r="BR191" i="10"/>
  <c r="BR192" i="10"/>
  <c r="BR193" i="10"/>
  <c r="BR194" i="10"/>
  <c r="BR195" i="10"/>
  <c r="BR196" i="10"/>
  <c r="BR197" i="10"/>
  <c r="BR198" i="10"/>
  <c r="BR199" i="10"/>
  <c r="BR200" i="10"/>
  <c r="BR201" i="10"/>
  <c r="BR202" i="10"/>
  <c r="BR203" i="10"/>
  <c r="BR204" i="10"/>
  <c r="BR205" i="10"/>
  <c r="BR206" i="10"/>
  <c r="BR207" i="10"/>
  <c r="BR208" i="10"/>
  <c r="BR209" i="10"/>
  <c r="BR210" i="10"/>
  <c r="BR211" i="10"/>
  <c r="BR212" i="10"/>
  <c r="BR213" i="10"/>
  <c r="BR214" i="10"/>
  <c r="BR215" i="10"/>
  <c r="BR216" i="10"/>
  <c r="BR217" i="10"/>
  <c r="BR218" i="10"/>
  <c r="BR219" i="10"/>
  <c r="BR220" i="10"/>
  <c r="BR221" i="10"/>
  <c r="BR222" i="10"/>
  <c r="BR223" i="10"/>
  <c r="BR224" i="10"/>
  <c r="BR225" i="10"/>
  <c r="BR226" i="10"/>
  <c r="BR227" i="10"/>
  <c r="BR228" i="10"/>
  <c r="BR229" i="10"/>
  <c r="BR230" i="10"/>
  <c r="BR231" i="10"/>
  <c r="BR232" i="10"/>
  <c r="BR233" i="10"/>
  <c r="BR234" i="10"/>
  <c r="BR235" i="10"/>
  <c r="BR236" i="10"/>
  <c r="BR237" i="10"/>
  <c r="BR238" i="10"/>
  <c r="BR239" i="10"/>
  <c r="BR240" i="10"/>
  <c r="BR241" i="10"/>
  <c r="BR242" i="10"/>
  <c r="BR243" i="10"/>
  <c r="BR244" i="10"/>
  <c r="BR245" i="10"/>
  <c r="BR246" i="10"/>
  <c r="BR247" i="10"/>
  <c r="BR248" i="10"/>
  <c r="BR249" i="10"/>
  <c r="BR250" i="10"/>
  <c r="BR251" i="10"/>
  <c r="BR252" i="10"/>
  <c r="BR253" i="10"/>
  <c r="BR254" i="10"/>
  <c r="BR255" i="10"/>
  <c r="BR256" i="10"/>
  <c r="BR257" i="10"/>
  <c r="BR258" i="10"/>
  <c r="BR259" i="10"/>
  <c r="BR260" i="10"/>
  <c r="BR261" i="10"/>
  <c r="BR262" i="10"/>
  <c r="BR263" i="10"/>
  <c r="BR264" i="10"/>
  <c r="BR265" i="10"/>
  <c r="BR266" i="10"/>
  <c r="BR267" i="10"/>
  <c r="BR268" i="10"/>
  <c r="BR269" i="10"/>
  <c r="BR270" i="10"/>
  <c r="BR271" i="10"/>
  <c r="BR272" i="10"/>
  <c r="BR273" i="10"/>
  <c r="BR274" i="10"/>
  <c r="BR275" i="10"/>
  <c r="BR276" i="10"/>
  <c r="BR277" i="10"/>
  <c r="BR278" i="10"/>
  <c r="BR279" i="10"/>
  <c r="BR280" i="10"/>
  <c r="BR281" i="10"/>
  <c r="BR282" i="10"/>
  <c r="BR283" i="10"/>
  <c r="BR284" i="10"/>
  <c r="BR285" i="10"/>
  <c r="BR286" i="10"/>
  <c r="BR287" i="10"/>
  <c r="BR288" i="10"/>
  <c r="BR289" i="10"/>
  <c r="BR290" i="10"/>
  <c r="BR291" i="10"/>
  <c r="BR292" i="10"/>
  <c r="BR293" i="10"/>
  <c r="BR294" i="10"/>
  <c r="BR295" i="10"/>
  <c r="BR296" i="10"/>
  <c r="BR297" i="10"/>
  <c r="BR298" i="10"/>
  <c r="BR299" i="10"/>
  <c r="BR300" i="10"/>
  <c r="BR301" i="10"/>
  <c r="BR302" i="10"/>
  <c r="BR303" i="10"/>
  <c r="BR304" i="10"/>
  <c r="BR305" i="10"/>
  <c r="BR306" i="10"/>
  <c r="BR307" i="10"/>
  <c r="BR308" i="10"/>
  <c r="BR309" i="10"/>
  <c r="BR310" i="10"/>
  <c r="BR311" i="10"/>
  <c r="BR312" i="10"/>
  <c r="BR313" i="10"/>
  <c r="BR314" i="10"/>
  <c r="BR315" i="10"/>
  <c r="BR316" i="10"/>
  <c r="BR317" i="10"/>
  <c r="BR318" i="10"/>
  <c r="BR319" i="10"/>
  <c r="BR320" i="10"/>
  <c r="BR321" i="10"/>
  <c r="BR322" i="10"/>
  <c r="BR323" i="10"/>
  <c r="BR324" i="10"/>
  <c r="BR325" i="10"/>
  <c r="BR326" i="10"/>
  <c r="BR327" i="10"/>
  <c r="BR328" i="10"/>
  <c r="BR329" i="10"/>
  <c r="BR330" i="10"/>
  <c r="BR331" i="10"/>
  <c r="BR332" i="10"/>
  <c r="BR333" i="10"/>
  <c r="BR334" i="10"/>
  <c r="BR335" i="10"/>
  <c r="BR336" i="10"/>
  <c r="BR337" i="10"/>
  <c r="BR338" i="10"/>
  <c r="BR339" i="10"/>
  <c r="BR340" i="10"/>
  <c r="BR341" i="10"/>
  <c r="BS4" i="10"/>
  <c r="BS5" i="10"/>
  <c r="BS6" i="10"/>
  <c r="BS7" i="10"/>
  <c r="BS8" i="10"/>
  <c r="BS9" i="10"/>
  <c r="BS10" i="10"/>
  <c r="BS11" i="10"/>
  <c r="BS12" i="10"/>
  <c r="BS13" i="10"/>
  <c r="BS14" i="10"/>
  <c r="BS15" i="10"/>
  <c r="BS16" i="10"/>
  <c r="BS17" i="10"/>
  <c r="BS18" i="10"/>
  <c r="BS19" i="10"/>
  <c r="BS20" i="10"/>
  <c r="BS21" i="10"/>
  <c r="BS22" i="10"/>
  <c r="BS23" i="10"/>
  <c r="BS24" i="10"/>
  <c r="BS25" i="10"/>
  <c r="BS26" i="10"/>
  <c r="BS27" i="10"/>
  <c r="BS28" i="10"/>
  <c r="BS29" i="10"/>
  <c r="BS30" i="10"/>
  <c r="BS31" i="10"/>
  <c r="BS32" i="10"/>
  <c r="BS33" i="10"/>
  <c r="BS34" i="10"/>
  <c r="BS35" i="10"/>
  <c r="BS36" i="10"/>
  <c r="BS37" i="10"/>
  <c r="BS38" i="10"/>
  <c r="BS39" i="10"/>
  <c r="BS40" i="10"/>
  <c r="BS41" i="10"/>
  <c r="BS42" i="10"/>
  <c r="BS43" i="10"/>
  <c r="BS44" i="10"/>
  <c r="BS45" i="10"/>
  <c r="BS46" i="10"/>
  <c r="BS47" i="10"/>
  <c r="BS48" i="10"/>
  <c r="BS49" i="10"/>
  <c r="BS50" i="10"/>
  <c r="BS51" i="10"/>
  <c r="BS52" i="10"/>
  <c r="BS53" i="10"/>
  <c r="BS54" i="10"/>
  <c r="BS55" i="10"/>
  <c r="BS56" i="10"/>
  <c r="BS57" i="10"/>
  <c r="BS58" i="10"/>
  <c r="BS59" i="10"/>
  <c r="BS60" i="10"/>
  <c r="BS61" i="10"/>
  <c r="BS62" i="10"/>
  <c r="BS63" i="10"/>
  <c r="BS64" i="10"/>
  <c r="BS65" i="10"/>
  <c r="BS66" i="10"/>
  <c r="BS67" i="10"/>
  <c r="BS68" i="10"/>
  <c r="BS69" i="10"/>
  <c r="BS70" i="10"/>
  <c r="BS71" i="10"/>
  <c r="BS72" i="10"/>
  <c r="BS73" i="10"/>
  <c r="BS74" i="10"/>
  <c r="BS75" i="10"/>
  <c r="BS76" i="10"/>
  <c r="BS77" i="10"/>
  <c r="BS78" i="10"/>
  <c r="BS79" i="10"/>
  <c r="BS80" i="10"/>
  <c r="BS81" i="10"/>
  <c r="BS82" i="10"/>
  <c r="BS83" i="10"/>
  <c r="BS84" i="10"/>
  <c r="BS85" i="10"/>
  <c r="BS86" i="10"/>
  <c r="BS87" i="10"/>
  <c r="BS88" i="10"/>
  <c r="BS89" i="10"/>
  <c r="BS90" i="10"/>
  <c r="BS91" i="10"/>
  <c r="BS92" i="10"/>
  <c r="BS93" i="10"/>
  <c r="BS94" i="10"/>
  <c r="BS95" i="10"/>
  <c r="BS96" i="10"/>
  <c r="BS97" i="10"/>
  <c r="BS98" i="10"/>
  <c r="BS99" i="10"/>
  <c r="BS100" i="10"/>
  <c r="BS101" i="10"/>
  <c r="BS102" i="10"/>
  <c r="BS103" i="10"/>
  <c r="BS104" i="10"/>
  <c r="BS105" i="10"/>
  <c r="BS106" i="10"/>
  <c r="BS107" i="10"/>
  <c r="BS108" i="10"/>
  <c r="BS109" i="10"/>
  <c r="BS110" i="10"/>
  <c r="BS111" i="10"/>
  <c r="BS112" i="10"/>
  <c r="BS113" i="10"/>
  <c r="BS114" i="10"/>
  <c r="BS115" i="10"/>
  <c r="BS116" i="10"/>
  <c r="BS117" i="10"/>
  <c r="BS118" i="10"/>
  <c r="BS119" i="10"/>
  <c r="BS120" i="10"/>
  <c r="BS121" i="10"/>
  <c r="BS122" i="10"/>
  <c r="BS123" i="10"/>
  <c r="BS124" i="10"/>
  <c r="BS125" i="10"/>
  <c r="BS126" i="10"/>
  <c r="BS127" i="10"/>
  <c r="BS128" i="10"/>
  <c r="BS129" i="10"/>
  <c r="BS130" i="10"/>
  <c r="BS131" i="10"/>
  <c r="BS132" i="10"/>
  <c r="BS133" i="10"/>
  <c r="BS134" i="10"/>
  <c r="BS135" i="10"/>
  <c r="BS136" i="10"/>
  <c r="BS137" i="10"/>
  <c r="BS138" i="10"/>
  <c r="BS139" i="10"/>
  <c r="BS140" i="10"/>
  <c r="BS141" i="10"/>
  <c r="BS142" i="10"/>
  <c r="BS143" i="10"/>
  <c r="BS144" i="10"/>
  <c r="BS145" i="10"/>
  <c r="BS146" i="10"/>
  <c r="BS147" i="10"/>
  <c r="BS148" i="10"/>
  <c r="BS149" i="10"/>
  <c r="BS150" i="10"/>
  <c r="BS151" i="10"/>
  <c r="BS152" i="10"/>
  <c r="BS153" i="10"/>
  <c r="BS154" i="10"/>
  <c r="BS155" i="10"/>
  <c r="BS156" i="10"/>
  <c r="BS157" i="10"/>
  <c r="BS158" i="10"/>
  <c r="BS159" i="10"/>
  <c r="BS160" i="10"/>
  <c r="BS161" i="10"/>
  <c r="BS162" i="10"/>
  <c r="BS163" i="10"/>
  <c r="BS164" i="10"/>
  <c r="BS165" i="10"/>
  <c r="BS166" i="10"/>
  <c r="BS167" i="10"/>
  <c r="BS168" i="10"/>
  <c r="BS169" i="10"/>
  <c r="BS170" i="10"/>
  <c r="BS171" i="10"/>
  <c r="BS172" i="10"/>
  <c r="BS173" i="10"/>
  <c r="BS174" i="10"/>
  <c r="BS175" i="10"/>
  <c r="BS176" i="10"/>
  <c r="BS177" i="10"/>
  <c r="BS178" i="10"/>
  <c r="BS179" i="10"/>
  <c r="BS180" i="10"/>
  <c r="BS181" i="10"/>
  <c r="BS182" i="10"/>
  <c r="BS183" i="10"/>
  <c r="BS184" i="10"/>
  <c r="BS185" i="10"/>
  <c r="BS186" i="10"/>
  <c r="BS187" i="10"/>
  <c r="BS188" i="10"/>
  <c r="BS189" i="10"/>
  <c r="BS190" i="10"/>
  <c r="BS191" i="10"/>
  <c r="BS192" i="10"/>
  <c r="BS193" i="10"/>
  <c r="BS194" i="10"/>
  <c r="BS195" i="10"/>
  <c r="BS196" i="10"/>
  <c r="BS197" i="10"/>
  <c r="BS198" i="10"/>
  <c r="BS199" i="10"/>
  <c r="BS200" i="10"/>
  <c r="BS201" i="10"/>
  <c r="BS202" i="10"/>
  <c r="BS203" i="10"/>
  <c r="BS204" i="10"/>
  <c r="BS205" i="10"/>
  <c r="BS206" i="10"/>
  <c r="BS207" i="10"/>
  <c r="BS208" i="10"/>
  <c r="BS209" i="10"/>
  <c r="BS210" i="10"/>
  <c r="BS211" i="10"/>
  <c r="BS212" i="10"/>
  <c r="BS213" i="10"/>
  <c r="BS214" i="10"/>
  <c r="BS215" i="10"/>
  <c r="BS216" i="10"/>
  <c r="BS217" i="10"/>
  <c r="BS218" i="10"/>
  <c r="BS219" i="10"/>
  <c r="BS220" i="10"/>
  <c r="BS221" i="10"/>
  <c r="BS222" i="10"/>
  <c r="BS223" i="10"/>
  <c r="BS224" i="10"/>
  <c r="BS225" i="10"/>
  <c r="BS226" i="10"/>
  <c r="BS227" i="10"/>
  <c r="BS228" i="10"/>
  <c r="BS229" i="10"/>
  <c r="BS230" i="10"/>
  <c r="BS231" i="10"/>
  <c r="BS232" i="10"/>
  <c r="BS233" i="10"/>
  <c r="BS234" i="10"/>
  <c r="BS235" i="10"/>
  <c r="BS236" i="10"/>
  <c r="BS237" i="10"/>
  <c r="BS238" i="10"/>
  <c r="BS239" i="10"/>
  <c r="BS240" i="10"/>
  <c r="BS241" i="10"/>
  <c r="BS242" i="10"/>
  <c r="BS243" i="10"/>
  <c r="BS244" i="10"/>
  <c r="BS245" i="10"/>
  <c r="BS246" i="10"/>
  <c r="BS247" i="10"/>
  <c r="BS248" i="10"/>
  <c r="BS249" i="10"/>
  <c r="BS250" i="10"/>
  <c r="BS251" i="10"/>
  <c r="BS252" i="10"/>
  <c r="BS253" i="10"/>
  <c r="BS254" i="10"/>
  <c r="BS255" i="10"/>
  <c r="BS256" i="10"/>
  <c r="BS257" i="10"/>
  <c r="BS258" i="10"/>
  <c r="BS259" i="10"/>
  <c r="BS260" i="10"/>
  <c r="BS261" i="10"/>
  <c r="BS262" i="10"/>
  <c r="BS263" i="10"/>
  <c r="BS264" i="10"/>
  <c r="BS265" i="10"/>
  <c r="BS266" i="10"/>
  <c r="BS267" i="10"/>
  <c r="BS268" i="10"/>
  <c r="BS269" i="10"/>
  <c r="BS270" i="10"/>
  <c r="BS271" i="10"/>
  <c r="BS272" i="10"/>
  <c r="BS273" i="10"/>
  <c r="BS274" i="10"/>
  <c r="BS275" i="10"/>
  <c r="BS276" i="10"/>
  <c r="BS277" i="10"/>
  <c r="BS278" i="10"/>
  <c r="BS279" i="10"/>
  <c r="BS280" i="10"/>
  <c r="BS281" i="10"/>
  <c r="BS282" i="10"/>
  <c r="BS283" i="10"/>
  <c r="BS284" i="10"/>
  <c r="BS285" i="10"/>
  <c r="BS286" i="10"/>
  <c r="BS287" i="10"/>
  <c r="BS288" i="10"/>
  <c r="BS289" i="10"/>
  <c r="BS290" i="10"/>
  <c r="BS291" i="10"/>
  <c r="BS292" i="10"/>
  <c r="BS293" i="10"/>
  <c r="BS294" i="10"/>
  <c r="BS295" i="10"/>
  <c r="BS296" i="10"/>
  <c r="BS297" i="10"/>
  <c r="BS298" i="10"/>
  <c r="BS299" i="10"/>
  <c r="BS300" i="10"/>
  <c r="BS301" i="10"/>
  <c r="BS302" i="10"/>
  <c r="BS303" i="10"/>
  <c r="BS304" i="10"/>
  <c r="BS305" i="10"/>
  <c r="BS306" i="10"/>
  <c r="BS307" i="10"/>
  <c r="BS308" i="10"/>
  <c r="BS309" i="10"/>
  <c r="BS310" i="10"/>
  <c r="BS311" i="10"/>
  <c r="BS312" i="10"/>
  <c r="BS313" i="10"/>
  <c r="BS314" i="10"/>
  <c r="BS315" i="10"/>
  <c r="BS316" i="10"/>
  <c r="BS317" i="10"/>
  <c r="BS318" i="10"/>
  <c r="BS319" i="10"/>
  <c r="BS320" i="10"/>
  <c r="BS321" i="10"/>
  <c r="BS322" i="10"/>
  <c r="BS323" i="10"/>
  <c r="BS324" i="10"/>
  <c r="BS325" i="10"/>
  <c r="BS326" i="10"/>
  <c r="BS327" i="10"/>
  <c r="BS328" i="10"/>
  <c r="BS329" i="10"/>
  <c r="BS330" i="10"/>
  <c r="BS331" i="10"/>
  <c r="BS332" i="10"/>
  <c r="BS333" i="10"/>
  <c r="BS334" i="10"/>
  <c r="BS335" i="10"/>
  <c r="BS336" i="10"/>
  <c r="BS337" i="10"/>
  <c r="BS338" i="10"/>
  <c r="BS339" i="10"/>
  <c r="BS340" i="10"/>
  <c r="BS341" i="10"/>
  <c r="BT4" i="10"/>
  <c r="BT5" i="10"/>
  <c r="BT6" i="10"/>
  <c r="BT7" i="10"/>
  <c r="BT8" i="10"/>
  <c r="BT9" i="10"/>
  <c r="BT10" i="10"/>
  <c r="BT11" i="10"/>
  <c r="BT12" i="10"/>
  <c r="BT13" i="10"/>
  <c r="BT14" i="10"/>
  <c r="BT15" i="10"/>
  <c r="BT16" i="10"/>
  <c r="BT17" i="10"/>
  <c r="BT18" i="10"/>
  <c r="BT19" i="10"/>
  <c r="BT20" i="10"/>
  <c r="BT21" i="10"/>
  <c r="BT22" i="10"/>
  <c r="BT23" i="10"/>
  <c r="BT24" i="10"/>
  <c r="BT25" i="10"/>
  <c r="BT26" i="10"/>
  <c r="BT27" i="10"/>
  <c r="BT28" i="10"/>
  <c r="BT29" i="10"/>
  <c r="BT30" i="10"/>
  <c r="BT31" i="10"/>
  <c r="BT32" i="10"/>
  <c r="BT33" i="10"/>
  <c r="BT34" i="10"/>
  <c r="BT35" i="10"/>
  <c r="BT36" i="10"/>
  <c r="BT37" i="10"/>
  <c r="BT38" i="10"/>
  <c r="BT39" i="10"/>
  <c r="BT40" i="10"/>
  <c r="BT41" i="10"/>
  <c r="BT42" i="10"/>
  <c r="BT43" i="10"/>
  <c r="BT44" i="10"/>
  <c r="BT45" i="10"/>
  <c r="BT46" i="10"/>
  <c r="BT47" i="10"/>
  <c r="BT48" i="10"/>
  <c r="BT49" i="10"/>
  <c r="BT50" i="10"/>
  <c r="BT51" i="10"/>
  <c r="BT52" i="10"/>
  <c r="BT53" i="10"/>
  <c r="BT54" i="10"/>
  <c r="BT55" i="10"/>
  <c r="BT56" i="10"/>
  <c r="BT57" i="10"/>
  <c r="BT58" i="10"/>
  <c r="BT59" i="10"/>
  <c r="BT60" i="10"/>
  <c r="BT61" i="10"/>
  <c r="BT62" i="10"/>
  <c r="BT63" i="10"/>
  <c r="BT64" i="10"/>
  <c r="BT65" i="10"/>
  <c r="BT66" i="10"/>
  <c r="BT67" i="10"/>
  <c r="BT68" i="10"/>
  <c r="BT69" i="10"/>
  <c r="BT70" i="10"/>
  <c r="BT71" i="10"/>
  <c r="BT72" i="10"/>
  <c r="BT73" i="10"/>
  <c r="BT74" i="10"/>
  <c r="BT75" i="10"/>
  <c r="BT76" i="10"/>
  <c r="BT77" i="10"/>
  <c r="BT78" i="10"/>
  <c r="BT79" i="10"/>
  <c r="BT80" i="10"/>
  <c r="BT81" i="10"/>
  <c r="BT82" i="10"/>
  <c r="BT83" i="10"/>
  <c r="BT84" i="10"/>
  <c r="BT85" i="10"/>
  <c r="BT86" i="10"/>
  <c r="BT87" i="10"/>
  <c r="BT88" i="10"/>
  <c r="BT89" i="10"/>
  <c r="BT90" i="10"/>
  <c r="BT91" i="10"/>
  <c r="BT92" i="10"/>
  <c r="BT93" i="10"/>
  <c r="BT94" i="10"/>
  <c r="BT95" i="10"/>
  <c r="BT96" i="10"/>
  <c r="BT97" i="10"/>
  <c r="BT98" i="10"/>
  <c r="BT99" i="10"/>
  <c r="BT100" i="10"/>
  <c r="BT101" i="10"/>
  <c r="BT102" i="10"/>
  <c r="BT103" i="10"/>
  <c r="BT104" i="10"/>
  <c r="BT105" i="10"/>
  <c r="BT106" i="10"/>
  <c r="BT107" i="10"/>
  <c r="BT108" i="10"/>
  <c r="BT109" i="10"/>
  <c r="BT110" i="10"/>
  <c r="BT111" i="10"/>
  <c r="BT112" i="10"/>
  <c r="BT113" i="10"/>
  <c r="BT114" i="10"/>
  <c r="BT115" i="10"/>
  <c r="BT116" i="10"/>
  <c r="BT117" i="10"/>
  <c r="BT118" i="10"/>
  <c r="BT119" i="10"/>
  <c r="BT120" i="10"/>
  <c r="BT121" i="10"/>
  <c r="BT122" i="10"/>
  <c r="BT123" i="10"/>
  <c r="BT124" i="10"/>
  <c r="BT125" i="10"/>
  <c r="BT126" i="10"/>
  <c r="BT127" i="10"/>
  <c r="BT128" i="10"/>
  <c r="BT129" i="10"/>
  <c r="BT130" i="10"/>
  <c r="BT131" i="10"/>
  <c r="BT132" i="10"/>
  <c r="BT133" i="10"/>
  <c r="BT134" i="10"/>
  <c r="BT135" i="10"/>
  <c r="BT136" i="10"/>
  <c r="BT137" i="10"/>
  <c r="BT138" i="10"/>
  <c r="BT139" i="10"/>
  <c r="BT140" i="10"/>
  <c r="BT141" i="10"/>
  <c r="BT142" i="10"/>
  <c r="BT143" i="10"/>
  <c r="BT144" i="10"/>
  <c r="BT145" i="10"/>
  <c r="BT146" i="10"/>
  <c r="BT147" i="10"/>
  <c r="BT148" i="10"/>
  <c r="BT149" i="10"/>
  <c r="BT150" i="10"/>
  <c r="BT151" i="10"/>
  <c r="BT152" i="10"/>
  <c r="BT153" i="10"/>
  <c r="BT154" i="10"/>
  <c r="BT155" i="10"/>
  <c r="BT156" i="10"/>
  <c r="BT157" i="10"/>
  <c r="BT158" i="10"/>
  <c r="BT159" i="10"/>
  <c r="BT160" i="10"/>
  <c r="BT161" i="10"/>
  <c r="BT162" i="10"/>
  <c r="BT163" i="10"/>
  <c r="BT164" i="10"/>
  <c r="BT165" i="10"/>
  <c r="BT166" i="10"/>
  <c r="BT167" i="10"/>
  <c r="BT168" i="10"/>
  <c r="BT169" i="10"/>
  <c r="BT170" i="10"/>
  <c r="BT171" i="10"/>
  <c r="BT172" i="10"/>
  <c r="BT173" i="10"/>
  <c r="BT174" i="10"/>
  <c r="BT175" i="10"/>
  <c r="BT176" i="10"/>
  <c r="BT177" i="10"/>
  <c r="BT178" i="10"/>
  <c r="BT179" i="10"/>
  <c r="BT180" i="10"/>
  <c r="BT181" i="10"/>
  <c r="BT182" i="10"/>
  <c r="BT183" i="10"/>
  <c r="BT184" i="10"/>
  <c r="BT185" i="10"/>
  <c r="BT186" i="10"/>
  <c r="BT187" i="10"/>
  <c r="BT188" i="10"/>
  <c r="BT189" i="10"/>
  <c r="BT190" i="10"/>
  <c r="BT191" i="10"/>
  <c r="BT192" i="10"/>
  <c r="BT193" i="10"/>
  <c r="BT194" i="10"/>
  <c r="BT195" i="10"/>
  <c r="BT196" i="10"/>
  <c r="BT197" i="10"/>
  <c r="BT198" i="10"/>
  <c r="BT199" i="10"/>
  <c r="BT200" i="10"/>
  <c r="BT201" i="10"/>
  <c r="BT202" i="10"/>
  <c r="BT203" i="10"/>
  <c r="BT204" i="10"/>
  <c r="BT205" i="10"/>
  <c r="BT206" i="10"/>
  <c r="BT207" i="10"/>
  <c r="BT208" i="10"/>
  <c r="BT209" i="10"/>
  <c r="BT210" i="10"/>
  <c r="BT211" i="10"/>
  <c r="BT212" i="10"/>
  <c r="BT213" i="10"/>
  <c r="BT214" i="10"/>
  <c r="BT215" i="10"/>
  <c r="BT216" i="10"/>
  <c r="BT217" i="10"/>
  <c r="BT218" i="10"/>
  <c r="BT219" i="10"/>
  <c r="BT220" i="10"/>
  <c r="BT221" i="10"/>
  <c r="BT222" i="10"/>
  <c r="BT223" i="10"/>
  <c r="BT224" i="10"/>
  <c r="BT225" i="10"/>
  <c r="BT226" i="10"/>
  <c r="BT227" i="10"/>
  <c r="BT228" i="10"/>
  <c r="BT229" i="10"/>
  <c r="BT230" i="10"/>
  <c r="BT231" i="10"/>
  <c r="BT232" i="10"/>
  <c r="BT233" i="10"/>
  <c r="BT234" i="10"/>
  <c r="BT235" i="10"/>
  <c r="BT236" i="10"/>
  <c r="BT237" i="10"/>
  <c r="BT238" i="10"/>
  <c r="BT239" i="10"/>
  <c r="BT240" i="10"/>
  <c r="BT241" i="10"/>
  <c r="BT242" i="10"/>
  <c r="BT243" i="10"/>
  <c r="BT244" i="10"/>
  <c r="BT245" i="10"/>
  <c r="BT246" i="10"/>
  <c r="BT247" i="10"/>
  <c r="BT248" i="10"/>
  <c r="BT249" i="10"/>
  <c r="BT250" i="10"/>
  <c r="BT251" i="10"/>
  <c r="BT252" i="10"/>
  <c r="BT253" i="10"/>
  <c r="BT254" i="10"/>
  <c r="BT255" i="10"/>
  <c r="BT256" i="10"/>
  <c r="BT257" i="10"/>
  <c r="BT258" i="10"/>
  <c r="BT259" i="10"/>
  <c r="BT260" i="10"/>
  <c r="BT261" i="10"/>
  <c r="BT262" i="10"/>
  <c r="BT263" i="10"/>
  <c r="BT264" i="10"/>
  <c r="BT265" i="10"/>
  <c r="BT266" i="10"/>
  <c r="BT267" i="10"/>
  <c r="BT268" i="10"/>
  <c r="BT269" i="10"/>
  <c r="BT270" i="10"/>
  <c r="BT271" i="10"/>
  <c r="BT272" i="10"/>
  <c r="BT273" i="10"/>
  <c r="BT274" i="10"/>
  <c r="BT275" i="10"/>
  <c r="BT276" i="10"/>
  <c r="BT277" i="10"/>
  <c r="BT278" i="10"/>
  <c r="BT279" i="10"/>
  <c r="BT280" i="10"/>
  <c r="BT281" i="10"/>
  <c r="BT282" i="10"/>
  <c r="BT283" i="10"/>
  <c r="BT284" i="10"/>
  <c r="BT285" i="10"/>
  <c r="BT286" i="10"/>
  <c r="BT287" i="10"/>
  <c r="BT288" i="10"/>
  <c r="BT289" i="10"/>
  <c r="BT290" i="10"/>
  <c r="BT291" i="10"/>
  <c r="BT292" i="10"/>
  <c r="BT293" i="10"/>
  <c r="BT294" i="10"/>
  <c r="BT295" i="10"/>
  <c r="BT296" i="10"/>
  <c r="BT297" i="10"/>
  <c r="BT298" i="10"/>
  <c r="BT299" i="10"/>
  <c r="BT300" i="10"/>
  <c r="BT301" i="10"/>
  <c r="BT302" i="10"/>
  <c r="BT303" i="10"/>
  <c r="BT304" i="10"/>
  <c r="BT305" i="10"/>
  <c r="BT306" i="10"/>
  <c r="BT307" i="10"/>
  <c r="BT308" i="10"/>
  <c r="BT309" i="10"/>
  <c r="BT310" i="10"/>
  <c r="BT311" i="10"/>
  <c r="BT312" i="10"/>
  <c r="BT313" i="10"/>
  <c r="BT314" i="10"/>
  <c r="BT315" i="10"/>
  <c r="BT316" i="10"/>
  <c r="BT317" i="10"/>
  <c r="BT318" i="10"/>
  <c r="BT319" i="10"/>
  <c r="BT320" i="10"/>
  <c r="BT321" i="10"/>
  <c r="BT322" i="10"/>
  <c r="BT323" i="10"/>
  <c r="BT324" i="10"/>
  <c r="BT325" i="10"/>
  <c r="BT326" i="10"/>
  <c r="BT327" i="10"/>
  <c r="BT328" i="10"/>
  <c r="BT329" i="10"/>
  <c r="BT330" i="10"/>
  <c r="BT331" i="10"/>
  <c r="BT332" i="10"/>
  <c r="BT333" i="10"/>
  <c r="BT334" i="10"/>
  <c r="BT335" i="10"/>
  <c r="BT336" i="10"/>
  <c r="BT337" i="10"/>
  <c r="BT338" i="10"/>
  <c r="BT339" i="10"/>
  <c r="BT340" i="10"/>
  <c r="BT341" i="10"/>
  <c r="BU4" i="10"/>
  <c r="BU5" i="10"/>
  <c r="BU6" i="10"/>
  <c r="BU7" i="10"/>
  <c r="BU8" i="10"/>
  <c r="BU9" i="10"/>
  <c r="BU10" i="10"/>
  <c r="BU11" i="10"/>
  <c r="BU12" i="10"/>
  <c r="BU13" i="10"/>
  <c r="BU14" i="10"/>
  <c r="BU15" i="10"/>
  <c r="BU16" i="10"/>
  <c r="BU17" i="10"/>
  <c r="BU18" i="10"/>
  <c r="BU19" i="10"/>
  <c r="BU20" i="10"/>
  <c r="BU21" i="10"/>
  <c r="BU22" i="10"/>
  <c r="BU23" i="10"/>
  <c r="BU24" i="10"/>
  <c r="BU25" i="10"/>
  <c r="BU26" i="10"/>
  <c r="BU27" i="10"/>
  <c r="BU28" i="10"/>
  <c r="BU29" i="10"/>
  <c r="BU30" i="10"/>
  <c r="BU31" i="10"/>
  <c r="BU32" i="10"/>
  <c r="BU33" i="10"/>
  <c r="BU34" i="10"/>
  <c r="BU35" i="10"/>
  <c r="BU36" i="10"/>
  <c r="BU37" i="10"/>
  <c r="BU38" i="10"/>
  <c r="BU39" i="10"/>
  <c r="BU40" i="10"/>
  <c r="BU41" i="10"/>
  <c r="BU42" i="10"/>
  <c r="BU43" i="10"/>
  <c r="BU44" i="10"/>
  <c r="BU45" i="10"/>
  <c r="BU46" i="10"/>
  <c r="BU47" i="10"/>
  <c r="BU48" i="10"/>
  <c r="BU49" i="10"/>
  <c r="BU50" i="10"/>
  <c r="BU51" i="10"/>
  <c r="BU52" i="10"/>
  <c r="BU53" i="10"/>
  <c r="BU54" i="10"/>
  <c r="BU55" i="10"/>
  <c r="BU56" i="10"/>
  <c r="BU57" i="10"/>
  <c r="BU58" i="10"/>
  <c r="BU59" i="10"/>
  <c r="BU60" i="10"/>
  <c r="BU61" i="10"/>
  <c r="BU62" i="10"/>
  <c r="BU63" i="10"/>
  <c r="BU64" i="10"/>
  <c r="BU65" i="10"/>
  <c r="BU66" i="10"/>
  <c r="BU67" i="10"/>
  <c r="BU68" i="10"/>
  <c r="BU69" i="10"/>
  <c r="BU70" i="10"/>
  <c r="BU71" i="10"/>
  <c r="BU72" i="10"/>
  <c r="BU73" i="10"/>
  <c r="BU74" i="10"/>
  <c r="BU75" i="10"/>
  <c r="BU76" i="10"/>
  <c r="BU77" i="10"/>
  <c r="BU78" i="10"/>
  <c r="BU79" i="10"/>
  <c r="BU80" i="10"/>
  <c r="BU81" i="10"/>
  <c r="BU82" i="10"/>
  <c r="BU83" i="10"/>
  <c r="BU84" i="10"/>
  <c r="BU85" i="10"/>
  <c r="BU86" i="10"/>
  <c r="BU87" i="10"/>
  <c r="BU88" i="10"/>
  <c r="BU89" i="10"/>
  <c r="BU90" i="10"/>
  <c r="BU91" i="10"/>
  <c r="BU92" i="10"/>
  <c r="BU93" i="10"/>
  <c r="BU94" i="10"/>
  <c r="BU95" i="10"/>
  <c r="BU96" i="10"/>
  <c r="BU97" i="10"/>
  <c r="BU98" i="10"/>
  <c r="BU99" i="10"/>
  <c r="BU100" i="10"/>
  <c r="BU101" i="10"/>
  <c r="BU102" i="10"/>
  <c r="BU103" i="10"/>
  <c r="BU104" i="10"/>
  <c r="BU105" i="10"/>
  <c r="BU106" i="10"/>
  <c r="BU107" i="10"/>
  <c r="BU108" i="10"/>
  <c r="BU109" i="10"/>
  <c r="BU110" i="10"/>
  <c r="BU111" i="10"/>
  <c r="BU112" i="10"/>
  <c r="BU113" i="10"/>
  <c r="BU114" i="10"/>
  <c r="BU115" i="10"/>
  <c r="BU116" i="10"/>
  <c r="BU117" i="10"/>
  <c r="BU118" i="10"/>
  <c r="BU119" i="10"/>
  <c r="BU120" i="10"/>
  <c r="BU121" i="10"/>
  <c r="BU122" i="10"/>
  <c r="BU123" i="10"/>
  <c r="BU124" i="10"/>
  <c r="BU125" i="10"/>
  <c r="BU126" i="10"/>
  <c r="BU127" i="10"/>
  <c r="BU128" i="10"/>
  <c r="BU129" i="10"/>
  <c r="BU130" i="10"/>
  <c r="BU131" i="10"/>
  <c r="BU132" i="10"/>
  <c r="BU133" i="10"/>
  <c r="BU134" i="10"/>
  <c r="BU135" i="10"/>
  <c r="BU136" i="10"/>
  <c r="BU137" i="10"/>
  <c r="BU138" i="10"/>
  <c r="BU139" i="10"/>
  <c r="BU140" i="10"/>
  <c r="BU141" i="10"/>
  <c r="BU142" i="10"/>
  <c r="BU143" i="10"/>
  <c r="BU144" i="10"/>
  <c r="BU145" i="10"/>
  <c r="BU146" i="10"/>
  <c r="BU147" i="10"/>
  <c r="BU148" i="10"/>
  <c r="BU149" i="10"/>
  <c r="BU150" i="10"/>
  <c r="BU151" i="10"/>
  <c r="BU152" i="10"/>
  <c r="BU153" i="10"/>
  <c r="BU154" i="10"/>
  <c r="BU155" i="10"/>
  <c r="BU156" i="10"/>
  <c r="BU157" i="10"/>
  <c r="BU158" i="10"/>
  <c r="BU159" i="10"/>
  <c r="BU160" i="10"/>
  <c r="BU161" i="10"/>
  <c r="BU162" i="10"/>
  <c r="BU163" i="10"/>
  <c r="BU164" i="10"/>
  <c r="BU165" i="10"/>
  <c r="BU166" i="10"/>
  <c r="BU167" i="10"/>
  <c r="BU168" i="10"/>
  <c r="BU169" i="10"/>
  <c r="BU170" i="10"/>
  <c r="BU171" i="10"/>
  <c r="BU172" i="10"/>
  <c r="BU173" i="10"/>
  <c r="BU174" i="10"/>
  <c r="BU175" i="10"/>
  <c r="BU176" i="10"/>
  <c r="BU177" i="10"/>
  <c r="BU178" i="10"/>
  <c r="BU179" i="10"/>
  <c r="BU180" i="10"/>
  <c r="BU181" i="10"/>
  <c r="BU182" i="10"/>
  <c r="BU183" i="10"/>
  <c r="BU184" i="10"/>
  <c r="BU185" i="10"/>
  <c r="BU186" i="10"/>
  <c r="BU187" i="10"/>
  <c r="BU188" i="10"/>
  <c r="BU189" i="10"/>
  <c r="BU190" i="10"/>
  <c r="BU191" i="10"/>
  <c r="BU192" i="10"/>
  <c r="BU193" i="10"/>
  <c r="BU194" i="10"/>
  <c r="BU195" i="10"/>
  <c r="BU196" i="10"/>
  <c r="BU197" i="10"/>
  <c r="BU198" i="10"/>
  <c r="BU199" i="10"/>
  <c r="BU200" i="10"/>
  <c r="BU201" i="10"/>
  <c r="BU202" i="10"/>
  <c r="BU203" i="10"/>
  <c r="BU204" i="10"/>
  <c r="BU205" i="10"/>
  <c r="BU206" i="10"/>
  <c r="BU207" i="10"/>
  <c r="BU208" i="10"/>
  <c r="BU209" i="10"/>
  <c r="BU210" i="10"/>
  <c r="BU211" i="10"/>
  <c r="BU212" i="10"/>
  <c r="BU213" i="10"/>
  <c r="BU214" i="10"/>
  <c r="BU215" i="10"/>
  <c r="BU216" i="10"/>
  <c r="BU217" i="10"/>
  <c r="BU218" i="10"/>
  <c r="BU219" i="10"/>
  <c r="BU220" i="10"/>
  <c r="BU221" i="10"/>
  <c r="BU222" i="10"/>
  <c r="BU223" i="10"/>
  <c r="BU224" i="10"/>
  <c r="BU225" i="10"/>
  <c r="BU226" i="10"/>
  <c r="BU227" i="10"/>
  <c r="BU228" i="10"/>
  <c r="BU229" i="10"/>
  <c r="BU230" i="10"/>
  <c r="BU231" i="10"/>
  <c r="BU232" i="10"/>
  <c r="BU233" i="10"/>
  <c r="BU234" i="10"/>
  <c r="BU235" i="10"/>
  <c r="BU236" i="10"/>
  <c r="BU237" i="10"/>
  <c r="BU238" i="10"/>
  <c r="BU239" i="10"/>
  <c r="BU240" i="10"/>
  <c r="BU241" i="10"/>
  <c r="BU242" i="10"/>
  <c r="BU243" i="10"/>
  <c r="BU244" i="10"/>
  <c r="BU245" i="10"/>
  <c r="BU246" i="10"/>
  <c r="BU247" i="10"/>
  <c r="BU248" i="10"/>
  <c r="BU249" i="10"/>
  <c r="BU250" i="10"/>
  <c r="BU251" i="10"/>
  <c r="BU252" i="10"/>
  <c r="BU253" i="10"/>
  <c r="BU254" i="10"/>
  <c r="BU255" i="10"/>
  <c r="BU256" i="10"/>
  <c r="BU257" i="10"/>
  <c r="BU258" i="10"/>
  <c r="BU259" i="10"/>
  <c r="BU260" i="10"/>
  <c r="BU261" i="10"/>
  <c r="BU262" i="10"/>
  <c r="BU263" i="10"/>
  <c r="BU264" i="10"/>
  <c r="BU265" i="10"/>
  <c r="BU266" i="10"/>
  <c r="BU267" i="10"/>
  <c r="BU268" i="10"/>
  <c r="BU269" i="10"/>
  <c r="BU270" i="10"/>
  <c r="BU271" i="10"/>
  <c r="BU272" i="10"/>
  <c r="BU273" i="10"/>
  <c r="BU274" i="10"/>
  <c r="BU275" i="10"/>
  <c r="BU276" i="10"/>
  <c r="BU277" i="10"/>
  <c r="BU278" i="10"/>
  <c r="BU279" i="10"/>
  <c r="BU280" i="10"/>
  <c r="BU281" i="10"/>
  <c r="BU282" i="10"/>
  <c r="BU283" i="10"/>
  <c r="BU284" i="10"/>
  <c r="BU285" i="10"/>
  <c r="BU286" i="10"/>
  <c r="BU287" i="10"/>
  <c r="BU288" i="10"/>
  <c r="BU289" i="10"/>
  <c r="BU290" i="10"/>
  <c r="BU291" i="10"/>
  <c r="BU292" i="10"/>
  <c r="BU293" i="10"/>
  <c r="BU294" i="10"/>
  <c r="BU295" i="10"/>
  <c r="BU296" i="10"/>
  <c r="BU297" i="10"/>
  <c r="BU298" i="10"/>
  <c r="BU299" i="10"/>
  <c r="BU300" i="10"/>
  <c r="BU301" i="10"/>
  <c r="BU302" i="10"/>
  <c r="BU303" i="10"/>
  <c r="BU304" i="10"/>
  <c r="BU305" i="10"/>
  <c r="BU306" i="10"/>
  <c r="BU307" i="10"/>
  <c r="BU308" i="10"/>
  <c r="BU309" i="10"/>
  <c r="BU310" i="10"/>
  <c r="BU311" i="10"/>
  <c r="BU312" i="10"/>
  <c r="BU313" i="10"/>
  <c r="BU314" i="10"/>
  <c r="BU315" i="10"/>
  <c r="BU316" i="10"/>
  <c r="BU317" i="10"/>
  <c r="BU318" i="10"/>
  <c r="BU319" i="10"/>
  <c r="BU320" i="10"/>
  <c r="BU321" i="10"/>
  <c r="BU322" i="10"/>
  <c r="BU323" i="10"/>
  <c r="BU324" i="10"/>
  <c r="BU325" i="10"/>
  <c r="BU326" i="10"/>
  <c r="BU327" i="10"/>
  <c r="BU328" i="10"/>
  <c r="BU329" i="10"/>
  <c r="BU330" i="10"/>
  <c r="BU331" i="10"/>
  <c r="BU332" i="10"/>
  <c r="BU333" i="10"/>
  <c r="BU334" i="10"/>
  <c r="BU335" i="10"/>
  <c r="BU336" i="10"/>
  <c r="BU337" i="10"/>
  <c r="BU338" i="10"/>
  <c r="BU339" i="10"/>
  <c r="BU340" i="10"/>
  <c r="BU341" i="10"/>
  <c r="BV4" i="10"/>
  <c r="BV5" i="10"/>
  <c r="BV6" i="10"/>
  <c r="BV7" i="10"/>
  <c r="BV8" i="10"/>
  <c r="BV9" i="10"/>
  <c r="BV10" i="10"/>
  <c r="BV11" i="10"/>
  <c r="BV12" i="10"/>
  <c r="BV13" i="10"/>
  <c r="BV14" i="10"/>
  <c r="BV15" i="10"/>
  <c r="BV16" i="10"/>
  <c r="BV17" i="10"/>
  <c r="BV18" i="10"/>
  <c r="BV19" i="10"/>
  <c r="BV20" i="10"/>
  <c r="BV21" i="10"/>
  <c r="BV22" i="10"/>
  <c r="BV23" i="10"/>
  <c r="BV24" i="10"/>
  <c r="BV25" i="10"/>
  <c r="BV26" i="10"/>
  <c r="BV27" i="10"/>
  <c r="BV28" i="10"/>
  <c r="BV29" i="10"/>
  <c r="BV30" i="10"/>
  <c r="BV31" i="10"/>
  <c r="BV32" i="10"/>
  <c r="BV33" i="10"/>
  <c r="BV34" i="10"/>
  <c r="BV35" i="10"/>
  <c r="BV36" i="10"/>
  <c r="BV37" i="10"/>
  <c r="BV38" i="10"/>
  <c r="BV39" i="10"/>
  <c r="BV40" i="10"/>
  <c r="BV41" i="10"/>
  <c r="BV42" i="10"/>
  <c r="BV43" i="10"/>
  <c r="BV44" i="10"/>
  <c r="BV45" i="10"/>
  <c r="BV46" i="10"/>
  <c r="BV47" i="10"/>
  <c r="BV48" i="10"/>
  <c r="BV49" i="10"/>
  <c r="BV50" i="10"/>
  <c r="BV51" i="10"/>
  <c r="BV52" i="10"/>
  <c r="BV53" i="10"/>
  <c r="BV54" i="10"/>
  <c r="BV55" i="10"/>
  <c r="BV56" i="10"/>
  <c r="BV57" i="10"/>
  <c r="BV58" i="10"/>
  <c r="BV59" i="10"/>
  <c r="BV60" i="10"/>
  <c r="BV61" i="10"/>
  <c r="BV62" i="10"/>
  <c r="BV63" i="10"/>
  <c r="BV64" i="10"/>
  <c r="BV65" i="10"/>
  <c r="BV66" i="10"/>
  <c r="BV67" i="10"/>
  <c r="BV68" i="10"/>
  <c r="BV69" i="10"/>
  <c r="BV70" i="10"/>
  <c r="BV71" i="10"/>
  <c r="BV72" i="10"/>
  <c r="BV73" i="10"/>
  <c r="BV74" i="10"/>
  <c r="BV75" i="10"/>
  <c r="BV76" i="10"/>
  <c r="BV77" i="10"/>
  <c r="BV78" i="10"/>
  <c r="BV79" i="10"/>
  <c r="BV80" i="10"/>
  <c r="BV81" i="10"/>
  <c r="BV82" i="10"/>
  <c r="BV83" i="10"/>
  <c r="BV84" i="10"/>
  <c r="BV85" i="10"/>
  <c r="BV86" i="10"/>
  <c r="BV87" i="10"/>
  <c r="BV88" i="10"/>
  <c r="BV89" i="10"/>
  <c r="BV90" i="10"/>
  <c r="BV91" i="10"/>
  <c r="BV92" i="10"/>
  <c r="BV93" i="10"/>
  <c r="BV94" i="10"/>
  <c r="BV95" i="10"/>
  <c r="BV96" i="10"/>
  <c r="BV97" i="10"/>
  <c r="BV98" i="10"/>
  <c r="BV99" i="10"/>
  <c r="BV100" i="10"/>
  <c r="BV101" i="10"/>
  <c r="BV102" i="10"/>
  <c r="BV103" i="10"/>
  <c r="BV104" i="10"/>
  <c r="BV105" i="10"/>
  <c r="BV106" i="10"/>
  <c r="BV107" i="10"/>
  <c r="BV108" i="10"/>
  <c r="BV109" i="10"/>
  <c r="BV110" i="10"/>
  <c r="BV111" i="10"/>
  <c r="BV112" i="10"/>
  <c r="BV113" i="10"/>
  <c r="BV114" i="10"/>
  <c r="BV115" i="10"/>
  <c r="BV116" i="10"/>
  <c r="BV117" i="10"/>
  <c r="BV118" i="10"/>
  <c r="BV119" i="10"/>
  <c r="BV120" i="10"/>
  <c r="BV121" i="10"/>
  <c r="BV122" i="10"/>
  <c r="BV123" i="10"/>
  <c r="BV124" i="10"/>
  <c r="BV125" i="10"/>
  <c r="BV126" i="10"/>
  <c r="BV127" i="10"/>
  <c r="BV128" i="10"/>
  <c r="BV129" i="10"/>
  <c r="BV130" i="10"/>
  <c r="BV131" i="10"/>
  <c r="BV132" i="10"/>
  <c r="BV133" i="10"/>
  <c r="BV134" i="10"/>
  <c r="BV135" i="10"/>
  <c r="BV136" i="10"/>
  <c r="BV137" i="10"/>
  <c r="BV138" i="10"/>
  <c r="BV139" i="10"/>
  <c r="BV140" i="10"/>
  <c r="BV141" i="10"/>
  <c r="BV142" i="10"/>
  <c r="BV143" i="10"/>
  <c r="BV144" i="10"/>
  <c r="BV145" i="10"/>
  <c r="BV146" i="10"/>
  <c r="BV147" i="10"/>
  <c r="BV148" i="10"/>
  <c r="BV149" i="10"/>
  <c r="BV150" i="10"/>
  <c r="BV151" i="10"/>
  <c r="BV152" i="10"/>
  <c r="BV153" i="10"/>
  <c r="BV154" i="10"/>
  <c r="BV155" i="10"/>
  <c r="BV156" i="10"/>
  <c r="BV157" i="10"/>
  <c r="BV158" i="10"/>
  <c r="BV159" i="10"/>
  <c r="BV160" i="10"/>
  <c r="BV161" i="10"/>
  <c r="BV162" i="10"/>
  <c r="BV163" i="10"/>
  <c r="BV164" i="10"/>
  <c r="BV165" i="10"/>
  <c r="BV166" i="10"/>
  <c r="BV167" i="10"/>
  <c r="BV168" i="10"/>
  <c r="BV169" i="10"/>
  <c r="BV170" i="10"/>
  <c r="BV171" i="10"/>
  <c r="BV172" i="10"/>
  <c r="BV173" i="10"/>
  <c r="BV174" i="10"/>
  <c r="BV175" i="10"/>
  <c r="BV176" i="10"/>
  <c r="BV177" i="10"/>
  <c r="BV178" i="10"/>
  <c r="BV179" i="10"/>
  <c r="BV180" i="10"/>
  <c r="BV181" i="10"/>
  <c r="BV182" i="10"/>
  <c r="BV183" i="10"/>
  <c r="BV184" i="10"/>
  <c r="BV185" i="10"/>
  <c r="BV186" i="10"/>
  <c r="BV187" i="10"/>
  <c r="BV188" i="10"/>
  <c r="BV189" i="10"/>
  <c r="BV190" i="10"/>
  <c r="BV191" i="10"/>
  <c r="BV192" i="10"/>
  <c r="BV193" i="10"/>
  <c r="BV194" i="10"/>
  <c r="BV195" i="10"/>
  <c r="BV196" i="10"/>
  <c r="BV197" i="10"/>
  <c r="BV198" i="10"/>
  <c r="BV199" i="10"/>
  <c r="BV200" i="10"/>
  <c r="BV201" i="10"/>
  <c r="BV202" i="10"/>
  <c r="BV203" i="10"/>
  <c r="BV204" i="10"/>
  <c r="BV205" i="10"/>
  <c r="BV206" i="10"/>
  <c r="BV207" i="10"/>
  <c r="BV208" i="10"/>
  <c r="BV209" i="10"/>
  <c r="BV210" i="10"/>
  <c r="BV211" i="10"/>
  <c r="BV212" i="10"/>
  <c r="BV213" i="10"/>
  <c r="BV214" i="10"/>
  <c r="BV215" i="10"/>
  <c r="BV216" i="10"/>
  <c r="BV217" i="10"/>
  <c r="BV218" i="10"/>
  <c r="BV219" i="10"/>
  <c r="BV220" i="10"/>
  <c r="BV221" i="10"/>
  <c r="BV222" i="10"/>
  <c r="BV223" i="10"/>
  <c r="BV224" i="10"/>
  <c r="BV225" i="10"/>
  <c r="BV226" i="10"/>
  <c r="BV227" i="10"/>
  <c r="BV228" i="10"/>
  <c r="BV229" i="10"/>
  <c r="BV230" i="10"/>
  <c r="BV231" i="10"/>
  <c r="BV232" i="10"/>
  <c r="BV233" i="10"/>
  <c r="BV234" i="10"/>
  <c r="BV235" i="10"/>
  <c r="BV236" i="10"/>
  <c r="BV237" i="10"/>
  <c r="BV238" i="10"/>
  <c r="BV239" i="10"/>
  <c r="BV240" i="10"/>
  <c r="BV241" i="10"/>
  <c r="BV242" i="10"/>
  <c r="BV243" i="10"/>
  <c r="BV244" i="10"/>
  <c r="BV245" i="10"/>
  <c r="BV246" i="10"/>
  <c r="BV247" i="10"/>
  <c r="BV248" i="10"/>
  <c r="BV249" i="10"/>
  <c r="BV250" i="10"/>
  <c r="BV251" i="10"/>
  <c r="BV252" i="10"/>
  <c r="BV253" i="10"/>
  <c r="BV254" i="10"/>
  <c r="BV255" i="10"/>
  <c r="BV256" i="10"/>
  <c r="BV257" i="10"/>
  <c r="BV258" i="10"/>
  <c r="BV259" i="10"/>
  <c r="BV260" i="10"/>
  <c r="BV261" i="10"/>
  <c r="BV262" i="10"/>
  <c r="BV263" i="10"/>
  <c r="BV264" i="10"/>
  <c r="BV265" i="10"/>
  <c r="BV266" i="10"/>
  <c r="BV267" i="10"/>
  <c r="BV268" i="10"/>
  <c r="BV269" i="10"/>
  <c r="BV270" i="10"/>
  <c r="BV271" i="10"/>
  <c r="BV272" i="10"/>
  <c r="BV273" i="10"/>
  <c r="BV274" i="10"/>
  <c r="BV275" i="10"/>
  <c r="BV276" i="10"/>
  <c r="BV277" i="10"/>
  <c r="BV278" i="10"/>
  <c r="BV279" i="10"/>
  <c r="BV280" i="10"/>
  <c r="BV281" i="10"/>
  <c r="BV282" i="10"/>
  <c r="BV283" i="10"/>
  <c r="BV284" i="10"/>
  <c r="BV285" i="10"/>
  <c r="BV286" i="10"/>
  <c r="BV287" i="10"/>
  <c r="BV288" i="10"/>
  <c r="BV289" i="10"/>
  <c r="BV290" i="10"/>
  <c r="BV291" i="10"/>
  <c r="BV292" i="10"/>
  <c r="BV293" i="10"/>
  <c r="BV294" i="10"/>
  <c r="BV295" i="10"/>
  <c r="BV296" i="10"/>
  <c r="BV297" i="10"/>
  <c r="BV298" i="10"/>
  <c r="BV299" i="10"/>
  <c r="BV300" i="10"/>
  <c r="BV301" i="10"/>
  <c r="BV302" i="10"/>
  <c r="BV303" i="10"/>
  <c r="BV304" i="10"/>
  <c r="BV305" i="10"/>
  <c r="BV306" i="10"/>
  <c r="BV307" i="10"/>
  <c r="BV308" i="10"/>
  <c r="BV309" i="10"/>
  <c r="BV310" i="10"/>
  <c r="BV311" i="10"/>
  <c r="BV312" i="10"/>
  <c r="BV313" i="10"/>
  <c r="BV314" i="10"/>
  <c r="BV315" i="10"/>
  <c r="BV316" i="10"/>
  <c r="BV317" i="10"/>
  <c r="BV318" i="10"/>
  <c r="BV319" i="10"/>
  <c r="BV320" i="10"/>
  <c r="BV321" i="10"/>
  <c r="BV322" i="10"/>
  <c r="BV323" i="10"/>
  <c r="BV324" i="10"/>
  <c r="BV325" i="10"/>
  <c r="BV326" i="10"/>
  <c r="BV327" i="10"/>
  <c r="BV328" i="10"/>
  <c r="BV329" i="10"/>
  <c r="BV330" i="10"/>
  <c r="BV331" i="10"/>
  <c r="BV332" i="10"/>
  <c r="BV333" i="10"/>
  <c r="BV334" i="10"/>
  <c r="BV335" i="10"/>
  <c r="BV336" i="10"/>
  <c r="BV337" i="10"/>
  <c r="BV338" i="10"/>
  <c r="BV339" i="10"/>
  <c r="BV340" i="10"/>
  <c r="BV341" i="10"/>
  <c r="BW4" i="10"/>
  <c r="BW5" i="10"/>
  <c r="BW6" i="10"/>
  <c r="BW7" i="10"/>
  <c r="BW8" i="10"/>
  <c r="BW9" i="10"/>
  <c r="BW10" i="10"/>
  <c r="BW11" i="10"/>
  <c r="BW12" i="10"/>
  <c r="BW13" i="10"/>
  <c r="BW14" i="10"/>
  <c r="BW15" i="10"/>
  <c r="BW16" i="10"/>
  <c r="BW17" i="10"/>
  <c r="BW18" i="10"/>
  <c r="BW19" i="10"/>
  <c r="BW20" i="10"/>
  <c r="BW21" i="10"/>
  <c r="BW22" i="10"/>
  <c r="BW23" i="10"/>
  <c r="BW24" i="10"/>
  <c r="BW25" i="10"/>
  <c r="BW26" i="10"/>
  <c r="BW27" i="10"/>
  <c r="BW28" i="10"/>
  <c r="BW29" i="10"/>
  <c r="BW30" i="10"/>
  <c r="BW31" i="10"/>
  <c r="BW32" i="10"/>
  <c r="BW33" i="10"/>
  <c r="BW34" i="10"/>
  <c r="BW35" i="10"/>
  <c r="BW36" i="10"/>
  <c r="BW37" i="10"/>
  <c r="BW38" i="10"/>
  <c r="BW39" i="10"/>
  <c r="BW40" i="10"/>
  <c r="BW41" i="10"/>
  <c r="BW42" i="10"/>
  <c r="BW43" i="10"/>
  <c r="BW44" i="10"/>
  <c r="BW45" i="10"/>
  <c r="BW46" i="10"/>
  <c r="BW47" i="10"/>
  <c r="BW48" i="10"/>
  <c r="BW49" i="10"/>
  <c r="BW50" i="10"/>
  <c r="BW51" i="10"/>
  <c r="BW52" i="10"/>
  <c r="BW53" i="10"/>
  <c r="BW54" i="10"/>
  <c r="BW55" i="10"/>
  <c r="BW56" i="10"/>
  <c r="BW57" i="10"/>
  <c r="BW58" i="10"/>
  <c r="BW59" i="10"/>
  <c r="BW60" i="10"/>
  <c r="BW61" i="10"/>
  <c r="BW62" i="10"/>
  <c r="BW63" i="10"/>
  <c r="BW64" i="10"/>
  <c r="BW65" i="10"/>
  <c r="BW66" i="10"/>
  <c r="BW67" i="10"/>
  <c r="BW68" i="10"/>
  <c r="BW69" i="10"/>
  <c r="BW70" i="10"/>
  <c r="BW71" i="10"/>
  <c r="BW72" i="10"/>
  <c r="BW73" i="10"/>
  <c r="BW74" i="10"/>
  <c r="BW75" i="10"/>
  <c r="BW76" i="10"/>
  <c r="BW77" i="10"/>
  <c r="BW78" i="10"/>
  <c r="BW79" i="10"/>
  <c r="BW80" i="10"/>
  <c r="BW81" i="10"/>
  <c r="BW82" i="10"/>
  <c r="BW83" i="10"/>
  <c r="BW84" i="10"/>
  <c r="BW85" i="10"/>
  <c r="BW86" i="10"/>
  <c r="BW87" i="10"/>
  <c r="BW88" i="10"/>
  <c r="BW89" i="10"/>
  <c r="BW90" i="10"/>
  <c r="BW91" i="10"/>
  <c r="BW92" i="10"/>
  <c r="BW93" i="10"/>
  <c r="BW94" i="10"/>
  <c r="BW95" i="10"/>
  <c r="BW96" i="10"/>
  <c r="BW97" i="10"/>
  <c r="BW98" i="10"/>
  <c r="BW99" i="10"/>
  <c r="BW100" i="10"/>
  <c r="BW101" i="10"/>
  <c r="BW102" i="10"/>
  <c r="BW103" i="10"/>
  <c r="BW104" i="10"/>
  <c r="BW105" i="10"/>
  <c r="BW106" i="10"/>
  <c r="BW107" i="10"/>
  <c r="BW108" i="10"/>
  <c r="BW109" i="10"/>
  <c r="BW110" i="10"/>
  <c r="BW111" i="10"/>
  <c r="BW112" i="10"/>
  <c r="BW113" i="10"/>
  <c r="BW114" i="10"/>
  <c r="BW115" i="10"/>
  <c r="BW116" i="10"/>
  <c r="BW117" i="10"/>
  <c r="BW118" i="10"/>
  <c r="BW119" i="10"/>
  <c r="BW120" i="10"/>
  <c r="BW121" i="10"/>
  <c r="BW122" i="10"/>
  <c r="BW123" i="10"/>
  <c r="BW124" i="10"/>
  <c r="BW125" i="10"/>
  <c r="BW126" i="10"/>
  <c r="BW127" i="10"/>
  <c r="BW128" i="10"/>
  <c r="BW129" i="10"/>
  <c r="BW130" i="10"/>
  <c r="BW131" i="10"/>
  <c r="BW132" i="10"/>
  <c r="BW133" i="10"/>
  <c r="BW134" i="10"/>
  <c r="BW135" i="10"/>
  <c r="BW136" i="10"/>
  <c r="BW137" i="10"/>
  <c r="BW138" i="10"/>
  <c r="BW139" i="10"/>
  <c r="BW140" i="10"/>
  <c r="BW141" i="10"/>
  <c r="BW142" i="10"/>
  <c r="BW143" i="10"/>
  <c r="BW144" i="10"/>
  <c r="BW145" i="10"/>
  <c r="BW146" i="10"/>
  <c r="BW147" i="10"/>
  <c r="BW148" i="10"/>
  <c r="BW149" i="10"/>
  <c r="BW150" i="10"/>
  <c r="BW151" i="10"/>
  <c r="BW152" i="10"/>
  <c r="BW153" i="10"/>
  <c r="BW154" i="10"/>
  <c r="BW155" i="10"/>
  <c r="BW156" i="10"/>
  <c r="BW157" i="10"/>
  <c r="BW158" i="10"/>
  <c r="BW159" i="10"/>
  <c r="BW160" i="10"/>
  <c r="BW161" i="10"/>
  <c r="BW162" i="10"/>
  <c r="BW163" i="10"/>
  <c r="BW164" i="10"/>
  <c r="BW165" i="10"/>
  <c r="BW166" i="10"/>
  <c r="BW167" i="10"/>
  <c r="BW168" i="10"/>
  <c r="BW169" i="10"/>
  <c r="BW170" i="10"/>
  <c r="BW171" i="10"/>
  <c r="BW172" i="10"/>
  <c r="BW173" i="10"/>
  <c r="BW174" i="10"/>
  <c r="BW175" i="10"/>
  <c r="BW176" i="10"/>
  <c r="BW177" i="10"/>
  <c r="BW178" i="10"/>
  <c r="BW179" i="10"/>
  <c r="BW180" i="10"/>
  <c r="BW181" i="10"/>
  <c r="BW182" i="10"/>
  <c r="BW183" i="10"/>
  <c r="BW184" i="10"/>
  <c r="BW185" i="10"/>
  <c r="BW186" i="10"/>
  <c r="BW187" i="10"/>
  <c r="BW188" i="10"/>
  <c r="BW189" i="10"/>
  <c r="BW190" i="10"/>
  <c r="BW191" i="10"/>
  <c r="BW192" i="10"/>
  <c r="BW193" i="10"/>
  <c r="BW194" i="10"/>
  <c r="BW195" i="10"/>
  <c r="BW196" i="10"/>
  <c r="BW197" i="10"/>
  <c r="BW198" i="10"/>
  <c r="BW199" i="10"/>
  <c r="BW200" i="10"/>
  <c r="BW201" i="10"/>
  <c r="BW202" i="10"/>
  <c r="BW203" i="10"/>
  <c r="BW204" i="10"/>
  <c r="BW205" i="10"/>
  <c r="BW206" i="10"/>
  <c r="BW207" i="10"/>
  <c r="BW208" i="10"/>
  <c r="BW209" i="10"/>
  <c r="BW210" i="10"/>
  <c r="BW211" i="10"/>
  <c r="BW212" i="10"/>
  <c r="BW213" i="10"/>
  <c r="BW214" i="10"/>
  <c r="BW215" i="10"/>
  <c r="BW216" i="10"/>
  <c r="BW217" i="10"/>
  <c r="BW218" i="10"/>
  <c r="BW219" i="10"/>
  <c r="BW220" i="10"/>
  <c r="BW221" i="10"/>
  <c r="BW222" i="10"/>
  <c r="BW223" i="10"/>
  <c r="BW224" i="10"/>
  <c r="BW225" i="10"/>
  <c r="BW226" i="10"/>
  <c r="BW227" i="10"/>
  <c r="BW228" i="10"/>
  <c r="BW229" i="10"/>
  <c r="BW230" i="10"/>
  <c r="BW231" i="10"/>
  <c r="BW232" i="10"/>
  <c r="BW233" i="10"/>
  <c r="BW234" i="10"/>
  <c r="BW235" i="10"/>
  <c r="BW236" i="10"/>
  <c r="BW237" i="10"/>
  <c r="BW238" i="10"/>
  <c r="BW239" i="10"/>
  <c r="BW240" i="10"/>
  <c r="BW241" i="10"/>
  <c r="BW242" i="10"/>
  <c r="BW243" i="10"/>
  <c r="BW244" i="10"/>
  <c r="BW245" i="10"/>
  <c r="BW246" i="10"/>
  <c r="BW247" i="10"/>
  <c r="BW248" i="10"/>
  <c r="BW249" i="10"/>
  <c r="BW250" i="10"/>
  <c r="BW251" i="10"/>
  <c r="BW252" i="10"/>
  <c r="BW253" i="10"/>
  <c r="BW254" i="10"/>
  <c r="BW255" i="10"/>
  <c r="BW256" i="10"/>
  <c r="BW257" i="10"/>
  <c r="BW258" i="10"/>
  <c r="BW259" i="10"/>
  <c r="BW260" i="10"/>
  <c r="BW261" i="10"/>
  <c r="BW262" i="10"/>
  <c r="BW263" i="10"/>
  <c r="BW264" i="10"/>
  <c r="BW265" i="10"/>
  <c r="BW266" i="10"/>
  <c r="BW267" i="10"/>
  <c r="BW268" i="10"/>
  <c r="BW269" i="10"/>
  <c r="BW270" i="10"/>
  <c r="BW271" i="10"/>
  <c r="BW272" i="10"/>
  <c r="BW273" i="10"/>
  <c r="BW274" i="10"/>
  <c r="BW275" i="10"/>
  <c r="BW276" i="10"/>
  <c r="BW277" i="10"/>
  <c r="BW278" i="10"/>
  <c r="BW279" i="10"/>
  <c r="BW280" i="10"/>
  <c r="BW281" i="10"/>
  <c r="BW282" i="10"/>
  <c r="BW283" i="10"/>
  <c r="BW284" i="10"/>
  <c r="BW285" i="10"/>
  <c r="BW286" i="10"/>
  <c r="BW287" i="10"/>
  <c r="BW288" i="10"/>
  <c r="BW289" i="10"/>
  <c r="BW290" i="10"/>
  <c r="BW291" i="10"/>
  <c r="BW292" i="10"/>
  <c r="BW293" i="10"/>
  <c r="BW294" i="10"/>
  <c r="BW295" i="10"/>
  <c r="BW296" i="10"/>
  <c r="BW297" i="10"/>
  <c r="BW298" i="10"/>
  <c r="BW299" i="10"/>
  <c r="BW300" i="10"/>
  <c r="BW301" i="10"/>
  <c r="BW302" i="10"/>
  <c r="BW303" i="10"/>
  <c r="BW304" i="10"/>
  <c r="BW305" i="10"/>
  <c r="BW306" i="10"/>
  <c r="BW307" i="10"/>
  <c r="BW308" i="10"/>
  <c r="BW309" i="10"/>
  <c r="BW310" i="10"/>
  <c r="BW311" i="10"/>
  <c r="BW312" i="10"/>
  <c r="BW313" i="10"/>
  <c r="BW314" i="10"/>
  <c r="BW315" i="10"/>
  <c r="BW316" i="10"/>
  <c r="BW317" i="10"/>
  <c r="BW318" i="10"/>
  <c r="BW319" i="10"/>
  <c r="BW320" i="10"/>
  <c r="BW321" i="10"/>
  <c r="BW322" i="10"/>
  <c r="BW323" i="10"/>
  <c r="BW324" i="10"/>
  <c r="BW325" i="10"/>
  <c r="BW326" i="10"/>
  <c r="BW327" i="10"/>
  <c r="BW328" i="10"/>
  <c r="BW329" i="10"/>
  <c r="BW330" i="10"/>
  <c r="BW331" i="10"/>
  <c r="BW332" i="10"/>
  <c r="BW333" i="10"/>
  <c r="BW334" i="10"/>
  <c r="BW335" i="10"/>
  <c r="BW336" i="10"/>
  <c r="BW337" i="10"/>
  <c r="BW338" i="10"/>
  <c r="BW339" i="10"/>
  <c r="BW340" i="10"/>
  <c r="BW341" i="10"/>
  <c r="CB4" i="10"/>
  <c r="CB5" i="10"/>
  <c r="CB6" i="10"/>
  <c r="CB7" i="10"/>
  <c r="CB8" i="10"/>
  <c r="CB9" i="10"/>
  <c r="CB10" i="10"/>
  <c r="CB11" i="10"/>
  <c r="CB12" i="10"/>
  <c r="CB13" i="10"/>
  <c r="CB14" i="10"/>
  <c r="CB15" i="10"/>
  <c r="CB16" i="10"/>
  <c r="CB17" i="10"/>
  <c r="CB18" i="10"/>
  <c r="CB19" i="10"/>
  <c r="CB20" i="10"/>
  <c r="CB21" i="10"/>
  <c r="CB22" i="10"/>
  <c r="CB23" i="10"/>
  <c r="CB24" i="10"/>
  <c r="CB25" i="10"/>
  <c r="CB26" i="10"/>
  <c r="CB27" i="10"/>
  <c r="CB28" i="10"/>
  <c r="CB29" i="10"/>
  <c r="CB30" i="10"/>
  <c r="CB31" i="10"/>
  <c r="CB32" i="10"/>
  <c r="CB33" i="10"/>
  <c r="CB34" i="10"/>
  <c r="CB35" i="10"/>
  <c r="CB36" i="10"/>
  <c r="CB37" i="10"/>
  <c r="CB38" i="10"/>
  <c r="CB39" i="10"/>
  <c r="CB40" i="10"/>
  <c r="CB41" i="10"/>
  <c r="CB42" i="10"/>
  <c r="CB43" i="10"/>
  <c r="CB44" i="10"/>
  <c r="CB45" i="10"/>
  <c r="CB46" i="10"/>
  <c r="CB47" i="10"/>
  <c r="CB48" i="10"/>
  <c r="CB49" i="10"/>
  <c r="CB50" i="10"/>
  <c r="CB51" i="10"/>
  <c r="CB52" i="10"/>
  <c r="CB53" i="10"/>
  <c r="CB54" i="10"/>
  <c r="CB55" i="10"/>
  <c r="CB56" i="10"/>
  <c r="CB57" i="10"/>
  <c r="CB58" i="10"/>
  <c r="CB59" i="10"/>
  <c r="CB60" i="10"/>
  <c r="CB61" i="10"/>
  <c r="CB62" i="10"/>
  <c r="CB63" i="10"/>
  <c r="CB64" i="10"/>
  <c r="CB65" i="10"/>
  <c r="CB66" i="10"/>
  <c r="CB67" i="10"/>
  <c r="CB68" i="10"/>
  <c r="CB69" i="10"/>
  <c r="CB70" i="10"/>
  <c r="CB71" i="10"/>
  <c r="CB72" i="10"/>
  <c r="CB73" i="10"/>
  <c r="CB74" i="10"/>
  <c r="CB75" i="10"/>
  <c r="CB76" i="10"/>
  <c r="CB77" i="10"/>
  <c r="CB78" i="10"/>
  <c r="CB79" i="10"/>
  <c r="CB80" i="10"/>
  <c r="CB81" i="10"/>
  <c r="CB82" i="10"/>
  <c r="CB83" i="10"/>
  <c r="CB84" i="10"/>
  <c r="CB85" i="10"/>
  <c r="CB86" i="10"/>
  <c r="CB87" i="10"/>
  <c r="CB88" i="10"/>
  <c r="CB89" i="10"/>
  <c r="CB90" i="10"/>
  <c r="CB91" i="10"/>
  <c r="CB92" i="10"/>
  <c r="CB93" i="10"/>
  <c r="CB94" i="10"/>
  <c r="CB95" i="10"/>
  <c r="CB96" i="10"/>
  <c r="CB97" i="10"/>
  <c r="CB98" i="10"/>
  <c r="CB99" i="10"/>
  <c r="CB100" i="10"/>
  <c r="CB101" i="10"/>
  <c r="CB102" i="10"/>
  <c r="CB103" i="10"/>
  <c r="CB104" i="10"/>
  <c r="CB105" i="10"/>
  <c r="CB106" i="10"/>
  <c r="CB107" i="10"/>
  <c r="CB108" i="10"/>
  <c r="CB109" i="10"/>
  <c r="CB110" i="10"/>
  <c r="CB111" i="10"/>
  <c r="CB112" i="10"/>
  <c r="CB113" i="10"/>
  <c r="CB114" i="10"/>
  <c r="CB115" i="10"/>
  <c r="CB116" i="10"/>
  <c r="CB117" i="10"/>
  <c r="CB118" i="10"/>
  <c r="CB119" i="10"/>
  <c r="CB120" i="10"/>
  <c r="CB121" i="10"/>
  <c r="CB122" i="10"/>
  <c r="CB123" i="10"/>
  <c r="CB124" i="10"/>
  <c r="CB125" i="10"/>
  <c r="CB126" i="10"/>
  <c r="CB127" i="10"/>
  <c r="CB128" i="10"/>
  <c r="CB129" i="10"/>
  <c r="CB130" i="10"/>
  <c r="CB131" i="10"/>
  <c r="CB132" i="10"/>
  <c r="CB133" i="10"/>
  <c r="CB134" i="10"/>
  <c r="CB135" i="10"/>
  <c r="CB136" i="10"/>
  <c r="CB137" i="10"/>
  <c r="CB138" i="10"/>
  <c r="CB139" i="10"/>
  <c r="CB140" i="10"/>
  <c r="CB141" i="10"/>
  <c r="CB142" i="10"/>
  <c r="CB143" i="10"/>
  <c r="CB144" i="10"/>
  <c r="CB145" i="10"/>
  <c r="CB146" i="10"/>
  <c r="CB147" i="10"/>
  <c r="CB148" i="10"/>
  <c r="CB149" i="10"/>
  <c r="CB150" i="10"/>
  <c r="CB151" i="10"/>
  <c r="CB152" i="10"/>
  <c r="CB153" i="10"/>
  <c r="CB154" i="10"/>
  <c r="CB155" i="10"/>
  <c r="CB156" i="10"/>
  <c r="CB157" i="10"/>
  <c r="CB158" i="10"/>
  <c r="CB159" i="10"/>
  <c r="CB160" i="10"/>
  <c r="CB161" i="10"/>
  <c r="CB162" i="10"/>
  <c r="CB163" i="10"/>
  <c r="CB164" i="10"/>
  <c r="CB165" i="10"/>
  <c r="CB166" i="10"/>
  <c r="CB167" i="10"/>
  <c r="CB168" i="10"/>
  <c r="CB169" i="10"/>
  <c r="CB170" i="10"/>
  <c r="CB171" i="10"/>
  <c r="CB172" i="10"/>
  <c r="CB173" i="10"/>
  <c r="CB174" i="10"/>
  <c r="CB175" i="10"/>
  <c r="CB176" i="10"/>
  <c r="CB177" i="10"/>
  <c r="CB178" i="10"/>
  <c r="CB179" i="10"/>
  <c r="CB180" i="10"/>
  <c r="CB181" i="10"/>
  <c r="CB182" i="10"/>
  <c r="CB183" i="10"/>
  <c r="CB184" i="10"/>
  <c r="CB185" i="10"/>
  <c r="CB186" i="10"/>
  <c r="CB187" i="10"/>
  <c r="CB188" i="10"/>
  <c r="CB189" i="10"/>
  <c r="CB190" i="10"/>
  <c r="CB191" i="10"/>
  <c r="CB192" i="10"/>
  <c r="CB193" i="10"/>
  <c r="CB194" i="10"/>
  <c r="CB195" i="10"/>
  <c r="CB196" i="10"/>
  <c r="CB197" i="10"/>
  <c r="CB198" i="10"/>
  <c r="CB199" i="10"/>
  <c r="CB200" i="10"/>
  <c r="CB201" i="10"/>
  <c r="CB202" i="10"/>
  <c r="CB203" i="10"/>
  <c r="CB204" i="10"/>
  <c r="CB205" i="10"/>
  <c r="CB206" i="10"/>
  <c r="CB207" i="10"/>
  <c r="CB208" i="10"/>
  <c r="CB209" i="10"/>
  <c r="CB210" i="10"/>
  <c r="CB211" i="10"/>
  <c r="CB212" i="10"/>
  <c r="CB213" i="10"/>
  <c r="CB214" i="10"/>
  <c r="CB215" i="10"/>
  <c r="CB216" i="10"/>
  <c r="CB217" i="10"/>
  <c r="CB218" i="10"/>
  <c r="CB219" i="10"/>
  <c r="CB220" i="10"/>
  <c r="CB221" i="10"/>
  <c r="CB222" i="10"/>
  <c r="CB223" i="10"/>
  <c r="CB224" i="10"/>
  <c r="CB225" i="10"/>
  <c r="CB226" i="10"/>
  <c r="CB227" i="10"/>
  <c r="CB228" i="10"/>
  <c r="CB229" i="10"/>
  <c r="CB230" i="10"/>
  <c r="CB231" i="10"/>
  <c r="CB232" i="10"/>
  <c r="CB233" i="10"/>
  <c r="CB234" i="10"/>
  <c r="CB235" i="10"/>
  <c r="CB236" i="10"/>
  <c r="CB237" i="10"/>
  <c r="CB238" i="10"/>
  <c r="CB239" i="10"/>
  <c r="CB240" i="10"/>
  <c r="CB241" i="10"/>
  <c r="CB242" i="10"/>
  <c r="CB243" i="10"/>
  <c r="CB244" i="10"/>
  <c r="CB245" i="10"/>
  <c r="CB246" i="10"/>
  <c r="CB247" i="10"/>
  <c r="CB248" i="10"/>
  <c r="CB249" i="10"/>
  <c r="CB250" i="10"/>
  <c r="CB251" i="10"/>
  <c r="CB252" i="10"/>
  <c r="CB253" i="10"/>
  <c r="CB254" i="10"/>
  <c r="CB255" i="10"/>
  <c r="CB256" i="10"/>
  <c r="CB257" i="10"/>
  <c r="CB258" i="10"/>
  <c r="CB259" i="10"/>
  <c r="CB260" i="10"/>
  <c r="CB261" i="10"/>
  <c r="CB262" i="10"/>
  <c r="CB263" i="10"/>
  <c r="CB264" i="10"/>
  <c r="CB265" i="10"/>
  <c r="CB266" i="10"/>
  <c r="CB267" i="10"/>
  <c r="CB268" i="10"/>
  <c r="CB269" i="10"/>
  <c r="CB270" i="10"/>
  <c r="CB271" i="10"/>
  <c r="CB272" i="10"/>
  <c r="CB273" i="10"/>
  <c r="CB274" i="10"/>
  <c r="CB275" i="10"/>
  <c r="CB276" i="10"/>
  <c r="CB277" i="10"/>
  <c r="CB278" i="10"/>
  <c r="CB279" i="10"/>
  <c r="CB280" i="10"/>
  <c r="CB281" i="10"/>
  <c r="CB282" i="10"/>
  <c r="CB283" i="10"/>
  <c r="CB284" i="10"/>
  <c r="CB285" i="10"/>
  <c r="CB286" i="10"/>
  <c r="CB287" i="10"/>
  <c r="CB288" i="10"/>
  <c r="CB289" i="10"/>
  <c r="CB290" i="10"/>
  <c r="CB291" i="10"/>
  <c r="CB292" i="10"/>
  <c r="CB293" i="10"/>
  <c r="CB294" i="10"/>
  <c r="CB295" i="10"/>
  <c r="CB296" i="10"/>
  <c r="CB297" i="10"/>
  <c r="CB298" i="10"/>
  <c r="CB299" i="10"/>
  <c r="CB300" i="10"/>
  <c r="CB301" i="10"/>
  <c r="CB302" i="10"/>
  <c r="CB303" i="10"/>
  <c r="CB304" i="10"/>
  <c r="CB305" i="10"/>
  <c r="CB306" i="10"/>
  <c r="CB307" i="10"/>
  <c r="CB308" i="10"/>
  <c r="CB309" i="10"/>
  <c r="CB310" i="10"/>
  <c r="CB311" i="10"/>
  <c r="CB312" i="10"/>
  <c r="CB313" i="10"/>
  <c r="CB314" i="10"/>
  <c r="CB315" i="10"/>
  <c r="CB316" i="10"/>
  <c r="CB317" i="10"/>
  <c r="CB318" i="10"/>
  <c r="CB319" i="10"/>
  <c r="CB320" i="10"/>
  <c r="CB321" i="10"/>
  <c r="CB322" i="10"/>
  <c r="CB323" i="10"/>
  <c r="CB324" i="10"/>
  <c r="CB325" i="10"/>
  <c r="CB326" i="10"/>
  <c r="CB327" i="10"/>
  <c r="CB328" i="10"/>
  <c r="CB329" i="10"/>
  <c r="CB330" i="10"/>
  <c r="CB331" i="10"/>
  <c r="CB332" i="10"/>
  <c r="CB333" i="10"/>
  <c r="CB334" i="10"/>
  <c r="CB335" i="10"/>
  <c r="CB336" i="10"/>
  <c r="CB337" i="10"/>
  <c r="CB338" i="10"/>
  <c r="CB339" i="10"/>
  <c r="CB340" i="10"/>
  <c r="CB341" i="10"/>
  <c r="CC4" i="10"/>
  <c r="CC5" i="10"/>
  <c r="CC6" i="10"/>
  <c r="CC7" i="10"/>
  <c r="CC8" i="10"/>
  <c r="CC9" i="10"/>
  <c r="CC10" i="10"/>
  <c r="CC11" i="10"/>
  <c r="CC12" i="10"/>
  <c r="CC13" i="10"/>
  <c r="CC14" i="10"/>
  <c r="CC15" i="10"/>
  <c r="CC16" i="10"/>
  <c r="CC17" i="10"/>
  <c r="CC18" i="10"/>
  <c r="CC19" i="10"/>
  <c r="CC20" i="10"/>
  <c r="CC21" i="10"/>
  <c r="CC22" i="10"/>
  <c r="CC23" i="10"/>
  <c r="CC24" i="10"/>
  <c r="CC25" i="10"/>
  <c r="CC26" i="10"/>
  <c r="CC27" i="10"/>
  <c r="CC28" i="10"/>
  <c r="CC29" i="10"/>
  <c r="CC30" i="10"/>
  <c r="CC31" i="10"/>
  <c r="CC32" i="10"/>
  <c r="CC33" i="10"/>
  <c r="CC34" i="10"/>
  <c r="CC35" i="10"/>
  <c r="CC36" i="10"/>
  <c r="CC37" i="10"/>
  <c r="CC38" i="10"/>
  <c r="CC39" i="10"/>
  <c r="CC40" i="10"/>
  <c r="CC41" i="10"/>
  <c r="CC42" i="10"/>
  <c r="CC43" i="10"/>
  <c r="CC44" i="10"/>
  <c r="CC45" i="10"/>
  <c r="CC46" i="10"/>
  <c r="CC47" i="10"/>
  <c r="CC48" i="10"/>
  <c r="CC49" i="10"/>
  <c r="CC50" i="10"/>
  <c r="CC51" i="10"/>
  <c r="CC52" i="10"/>
  <c r="CC53" i="10"/>
  <c r="CC54" i="10"/>
  <c r="CC55" i="10"/>
  <c r="CC56" i="10"/>
  <c r="CC57" i="10"/>
  <c r="CC58" i="10"/>
  <c r="CC59" i="10"/>
  <c r="CC60" i="10"/>
  <c r="CC61" i="10"/>
  <c r="CC62" i="10"/>
  <c r="CC63" i="10"/>
  <c r="CC64" i="10"/>
  <c r="CC65" i="10"/>
  <c r="CC66" i="10"/>
  <c r="CC67" i="10"/>
  <c r="CC68" i="10"/>
  <c r="CC69" i="10"/>
  <c r="CC70" i="10"/>
  <c r="CC71" i="10"/>
  <c r="CC72" i="10"/>
  <c r="CC73" i="10"/>
  <c r="CC74" i="10"/>
  <c r="CC75" i="10"/>
  <c r="CC76" i="10"/>
  <c r="CC77" i="10"/>
  <c r="CC78" i="10"/>
  <c r="CC79" i="10"/>
  <c r="CC80" i="10"/>
  <c r="CC81" i="10"/>
  <c r="CC82" i="10"/>
  <c r="CC83" i="10"/>
  <c r="CC84" i="10"/>
  <c r="CC85" i="10"/>
  <c r="CC86" i="10"/>
  <c r="CC87" i="10"/>
  <c r="CC88" i="10"/>
  <c r="CC89" i="10"/>
  <c r="CC90" i="10"/>
  <c r="CC91" i="10"/>
  <c r="CC92" i="10"/>
  <c r="CC93" i="10"/>
  <c r="CC94" i="10"/>
  <c r="CC95" i="10"/>
  <c r="CC96" i="10"/>
  <c r="CC97" i="10"/>
  <c r="CC98" i="10"/>
  <c r="CC99" i="10"/>
  <c r="CC100" i="10"/>
  <c r="CC101" i="10"/>
  <c r="CC102" i="10"/>
  <c r="CC103" i="10"/>
  <c r="CC104" i="10"/>
  <c r="CC105" i="10"/>
  <c r="CC106" i="10"/>
  <c r="CC107" i="10"/>
  <c r="CC108" i="10"/>
  <c r="CC109" i="10"/>
  <c r="CC110" i="10"/>
  <c r="CC111" i="10"/>
  <c r="CC112" i="10"/>
  <c r="CC113" i="10"/>
  <c r="CC114" i="10"/>
  <c r="CC115" i="10"/>
  <c r="CC116" i="10"/>
  <c r="CC117" i="10"/>
  <c r="CC118" i="10"/>
  <c r="CC119" i="10"/>
  <c r="CC120" i="10"/>
  <c r="CC121" i="10"/>
  <c r="CC122" i="10"/>
  <c r="CC123" i="10"/>
  <c r="CC124" i="10"/>
  <c r="CC125" i="10"/>
  <c r="CC126" i="10"/>
  <c r="CC127" i="10"/>
  <c r="CC128" i="10"/>
  <c r="CC129" i="10"/>
  <c r="CC130" i="10"/>
  <c r="CC131" i="10"/>
  <c r="CC132" i="10"/>
  <c r="CC133" i="10"/>
  <c r="CC134" i="10"/>
  <c r="CC135" i="10"/>
  <c r="CC136" i="10"/>
  <c r="CC137" i="10"/>
  <c r="CC138" i="10"/>
  <c r="CC139" i="10"/>
  <c r="CC140" i="10"/>
  <c r="CC141" i="10"/>
  <c r="CC142" i="10"/>
  <c r="CC143" i="10"/>
  <c r="CC144" i="10"/>
  <c r="CC145" i="10"/>
  <c r="CC146" i="10"/>
  <c r="CC147" i="10"/>
  <c r="CC148" i="10"/>
  <c r="CC149" i="10"/>
  <c r="CC150" i="10"/>
  <c r="CC151" i="10"/>
  <c r="CC152" i="10"/>
  <c r="CC153" i="10"/>
  <c r="CC154" i="10"/>
  <c r="CC155" i="10"/>
  <c r="CC156" i="10"/>
  <c r="CC157" i="10"/>
  <c r="CC158" i="10"/>
  <c r="CC159" i="10"/>
  <c r="CC160" i="10"/>
  <c r="CC161" i="10"/>
  <c r="CC162" i="10"/>
  <c r="CC163" i="10"/>
  <c r="CC164" i="10"/>
  <c r="CC165" i="10"/>
  <c r="CC166" i="10"/>
  <c r="CC167" i="10"/>
  <c r="CC168" i="10"/>
  <c r="CC169" i="10"/>
  <c r="CC170" i="10"/>
  <c r="CC171" i="10"/>
  <c r="CC172" i="10"/>
  <c r="CC173" i="10"/>
  <c r="CC174" i="10"/>
  <c r="CC175" i="10"/>
  <c r="CC176" i="10"/>
  <c r="CC177" i="10"/>
  <c r="CC178" i="10"/>
  <c r="CC179" i="10"/>
  <c r="CC180" i="10"/>
  <c r="CC181" i="10"/>
  <c r="CC182" i="10"/>
  <c r="CC183" i="10"/>
  <c r="CC184" i="10"/>
  <c r="CC185" i="10"/>
  <c r="CC186" i="10"/>
  <c r="CC187" i="10"/>
  <c r="CC188" i="10"/>
  <c r="CC189" i="10"/>
  <c r="CC190" i="10"/>
  <c r="CC191" i="10"/>
  <c r="CC192" i="10"/>
  <c r="CC193" i="10"/>
  <c r="CC194" i="10"/>
  <c r="CC195" i="10"/>
  <c r="CC196" i="10"/>
  <c r="CC197" i="10"/>
  <c r="CC198" i="10"/>
  <c r="CC199" i="10"/>
  <c r="CC200" i="10"/>
  <c r="CC201" i="10"/>
  <c r="CC202" i="10"/>
  <c r="CC203" i="10"/>
  <c r="CC204" i="10"/>
  <c r="CC205" i="10"/>
  <c r="CC206" i="10"/>
  <c r="CC207" i="10"/>
  <c r="CC208" i="10"/>
  <c r="CC209" i="10"/>
  <c r="CC210" i="10"/>
  <c r="CC211" i="10"/>
  <c r="CC212" i="10"/>
  <c r="CC213" i="10"/>
  <c r="CC214" i="10"/>
  <c r="CC215" i="10"/>
  <c r="CC216" i="10"/>
  <c r="CC217" i="10"/>
  <c r="CC218" i="10"/>
  <c r="CC219" i="10"/>
  <c r="CC220" i="10"/>
  <c r="CC221" i="10"/>
  <c r="CC222" i="10"/>
  <c r="CC223" i="10"/>
  <c r="CC224" i="10"/>
  <c r="CC225" i="10"/>
  <c r="CC226" i="10"/>
  <c r="CC227" i="10"/>
  <c r="CC228" i="10"/>
  <c r="CC229" i="10"/>
  <c r="CC230" i="10"/>
  <c r="CC231" i="10"/>
  <c r="CC232" i="10"/>
  <c r="CC233" i="10"/>
  <c r="CC234" i="10"/>
  <c r="CC235" i="10"/>
  <c r="CC236" i="10"/>
  <c r="CC237" i="10"/>
  <c r="CC238" i="10"/>
  <c r="CC239" i="10"/>
  <c r="CC240" i="10"/>
  <c r="CC241" i="10"/>
  <c r="CC242" i="10"/>
  <c r="CC243" i="10"/>
  <c r="CC244" i="10"/>
  <c r="CC245" i="10"/>
  <c r="CC246" i="10"/>
  <c r="CC247" i="10"/>
  <c r="CC248" i="10"/>
  <c r="CC249" i="10"/>
  <c r="CC250" i="10"/>
  <c r="CC251" i="10"/>
  <c r="CC252" i="10"/>
  <c r="CC253" i="10"/>
  <c r="CC254" i="10"/>
  <c r="CC255" i="10"/>
  <c r="CC256" i="10"/>
  <c r="CC257" i="10"/>
  <c r="CC258" i="10"/>
  <c r="CC259" i="10"/>
  <c r="CC260" i="10"/>
  <c r="CC261" i="10"/>
  <c r="CC262" i="10"/>
  <c r="CC263" i="10"/>
  <c r="CC264" i="10"/>
  <c r="CC265" i="10"/>
  <c r="CC266" i="10"/>
  <c r="CC267" i="10"/>
  <c r="CC268" i="10"/>
  <c r="CC269" i="10"/>
  <c r="CC270" i="10"/>
  <c r="CC271" i="10"/>
  <c r="CC272" i="10"/>
  <c r="CC273" i="10"/>
  <c r="CC274" i="10"/>
  <c r="CC275" i="10"/>
  <c r="CC276" i="10"/>
  <c r="CC277" i="10"/>
  <c r="CC278" i="10"/>
  <c r="CC279" i="10"/>
  <c r="CC280" i="10"/>
  <c r="CC281" i="10"/>
  <c r="CC282" i="10"/>
  <c r="CC283" i="10"/>
  <c r="CC284" i="10"/>
  <c r="CC285" i="10"/>
  <c r="CC286" i="10"/>
  <c r="CC287" i="10"/>
  <c r="CC288" i="10"/>
  <c r="CC289" i="10"/>
  <c r="CC290" i="10"/>
  <c r="CC291" i="10"/>
  <c r="CC292" i="10"/>
  <c r="CC293" i="10"/>
  <c r="CC294" i="10"/>
  <c r="CC295" i="10"/>
  <c r="CC296" i="10"/>
  <c r="CC297" i="10"/>
  <c r="CC298" i="10"/>
  <c r="CC299" i="10"/>
  <c r="CC300" i="10"/>
  <c r="CC301" i="10"/>
  <c r="CC302" i="10"/>
  <c r="CC303" i="10"/>
  <c r="CC304" i="10"/>
  <c r="CC305" i="10"/>
  <c r="CC306" i="10"/>
  <c r="CC307" i="10"/>
  <c r="CC308" i="10"/>
  <c r="CC309" i="10"/>
  <c r="CC310" i="10"/>
  <c r="CC311" i="10"/>
  <c r="CC312" i="10"/>
  <c r="CC313" i="10"/>
  <c r="CC314" i="10"/>
  <c r="CC315" i="10"/>
  <c r="CC316" i="10"/>
  <c r="CC317" i="10"/>
  <c r="CC318" i="10"/>
  <c r="CC319" i="10"/>
  <c r="CC320" i="10"/>
  <c r="CC321" i="10"/>
  <c r="CC322" i="10"/>
  <c r="CC323" i="10"/>
  <c r="CC324" i="10"/>
  <c r="CC325" i="10"/>
  <c r="CC326" i="10"/>
  <c r="CC327" i="10"/>
  <c r="CC328" i="10"/>
  <c r="CC329" i="10"/>
  <c r="CC330" i="10"/>
  <c r="CC331" i="10"/>
  <c r="CC332" i="10"/>
  <c r="CC333" i="10"/>
  <c r="CC334" i="10"/>
  <c r="CC335" i="10"/>
  <c r="CC336" i="10"/>
  <c r="CC337" i="10"/>
  <c r="CC338" i="10"/>
  <c r="CC339" i="10"/>
  <c r="CC340" i="10"/>
  <c r="CC341" i="10"/>
  <c r="CD4" i="10"/>
  <c r="CD5" i="10"/>
  <c r="CD6" i="10"/>
  <c r="CD7" i="10"/>
  <c r="CD8" i="10"/>
  <c r="CD9" i="10"/>
  <c r="CD10" i="10"/>
  <c r="CD11" i="10"/>
  <c r="CD12" i="10"/>
  <c r="CD13" i="10"/>
  <c r="CD14" i="10"/>
  <c r="CD15" i="10"/>
  <c r="CD16" i="10"/>
  <c r="CD17" i="10"/>
  <c r="CD18" i="10"/>
  <c r="CD19" i="10"/>
  <c r="CD20" i="10"/>
  <c r="CD21" i="10"/>
  <c r="CD22" i="10"/>
  <c r="CD23" i="10"/>
  <c r="CD24" i="10"/>
  <c r="CD25" i="10"/>
  <c r="CD26" i="10"/>
  <c r="CD27" i="10"/>
  <c r="CD28" i="10"/>
  <c r="CD29" i="10"/>
  <c r="CD30" i="10"/>
  <c r="CD31" i="10"/>
  <c r="CD32" i="10"/>
  <c r="CD33" i="10"/>
  <c r="CD34" i="10"/>
  <c r="CD35" i="10"/>
  <c r="CD36" i="10"/>
  <c r="CD37" i="10"/>
  <c r="CD38" i="10"/>
  <c r="CD39" i="10"/>
  <c r="CD40" i="10"/>
  <c r="CD41" i="10"/>
  <c r="CD42" i="10"/>
  <c r="CD43" i="10"/>
  <c r="CD44" i="10"/>
  <c r="CD45" i="10"/>
  <c r="CD46" i="10"/>
  <c r="CD47" i="10"/>
  <c r="CD48" i="10"/>
  <c r="CD49" i="10"/>
  <c r="CD50" i="10"/>
  <c r="CD51" i="10"/>
  <c r="CD52" i="10"/>
  <c r="CD53" i="10"/>
  <c r="CD54" i="10"/>
  <c r="CD55" i="10"/>
  <c r="CD56" i="10"/>
  <c r="CD57" i="10"/>
  <c r="CD58" i="10"/>
  <c r="CD59" i="10"/>
  <c r="CD60" i="10"/>
  <c r="CD61" i="10"/>
  <c r="CD62" i="10"/>
  <c r="CD63" i="10"/>
  <c r="CD64" i="10"/>
  <c r="CD65" i="10"/>
  <c r="CD66" i="10"/>
  <c r="CD67" i="10"/>
  <c r="CD68" i="10"/>
  <c r="CD69" i="10"/>
  <c r="CD70" i="10"/>
  <c r="CD71" i="10"/>
  <c r="CD72" i="10"/>
  <c r="CD73" i="10"/>
  <c r="CD74" i="10"/>
  <c r="CD75" i="10"/>
  <c r="CD76" i="10"/>
  <c r="CD77" i="10"/>
  <c r="CD78" i="10"/>
  <c r="CD79" i="10"/>
  <c r="CD80" i="10"/>
  <c r="CD81" i="10"/>
  <c r="CD82" i="10"/>
  <c r="CD83" i="10"/>
  <c r="CD84" i="10"/>
  <c r="CD85" i="10"/>
  <c r="CD86" i="10"/>
  <c r="CD87" i="10"/>
  <c r="CD88" i="10"/>
  <c r="CD89" i="10"/>
  <c r="CD90" i="10"/>
  <c r="CD91" i="10"/>
  <c r="CD92" i="10"/>
  <c r="CD93" i="10"/>
  <c r="CD94" i="10"/>
  <c r="CD95" i="10"/>
  <c r="CD96" i="10"/>
  <c r="CD97" i="10"/>
  <c r="CD98" i="10"/>
  <c r="CD99" i="10"/>
  <c r="CD100" i="10"/>
  <c r="CD101" i="10"/>
  <c r="CD102" i="10"/>
  <c r="CD103" i="10"/>
  <c r="CD104" i="10"/>
  <c r="CD105" i="10"/>
  <c r="CD106" i="10"/>
  <c r="CD107" i="10"/>
  <c r="CD108" i="10"/>
  <c r="CD109" i="10"/>
  <c r="CD110" i="10"/>
  <c r="CD111" i="10"/>
  <c r="CD112" i="10"/>
  <c r="CD113" i="10"/>
  <c r="CD114" i="10"/>
  <c r="CD115" i="10"/>
  <c r="CD116" i="10"/>
  <c r="CD117" i="10"/>
  <c r="CD118" i="10"/>
  <c r="CD119" i="10"/>
  <c r="CD120" i="10"/>
  <c r="CD121" i="10"/>
  <c r="CD122" i="10"/>
  <c r="CD123" i="10"/>
  <c r="CD124" i="10"/>
  <c r="CD125" i="10"/>
  <c r="CD126" i="10"/>
  <c r="CD127" i="10"/>
  <c r="CD128" i="10"/>
  <c r="CD129" i="10"/>
  <c r="CD130" i="10"/>
  <c r="CD131" i="10"/>
  <c r="CD132" i="10"/>
  <c r="CD133" i="10"/>
  <c r="CD134" i="10"/>
  <c r="CD135" i="10"/>
  <c r="CD136" i="10"/>
  <c r="CD137" i="10"/>
  <c r="CD138" i="10"/>
  <c r="CD139" i="10"/>
  <c r="CD140" i="10"/>
  <c r="CD141" i="10"/>
  <c r="CD142" i="10"/>
  <c r="CD143" i="10"/>
  <c r="CD144" i="10"/>
  <c r="CD145" i="10"/>
  <c r="CD146" i="10"/>
  <c r="CD147" i="10"/>
  <c r="CD148" i="10"/>
  <c r="CD149" i="10"/>
  <c r="CD150" i="10"/>
  <c r="CD151" i="10"/>
  <c r="CD152" i="10"/>
  <c r="CD153" i="10"/>
  <c r="CD154" i="10"/>
  <c r="CD155" i="10"/>
  <c r="CD156" i="10"/>
  <c r="CD157" i="10"/>
  <c r="CD158" i="10"/>
  <c r="CD159" i="10"/>
  <c r="CD160" i="10"/>
  <c r="CD161" i="10"/>
  <c r="CD162" i="10"/>
  <c r="CD163" i="10"/>
  <c r="CD164" i="10"/>
  <c r="CD165" i="10"/>
  <c r="CD166" i="10"/>
  <c r="CD167" i="10"/>
  <c r="CD168" i="10"/>
  <c r="CD169" i="10"/>
  <c r="CD170" i="10"/>
  <c r="CD171" i="10"/>
  <c r="CD172" i="10"/>
  <c r="CD173" i="10"/>
  <c r="CD174" i="10"/>
  <c r="CD175" i="10"/>
  <c r="CD176" i="10"/>
  <c r="CD177" i="10"/>
  <c r="CD178" i="10"/>
  <c r="CD179" i="10"/>
  <c r="CD180" i="10"/>
  <c r="CD181" i="10"/>
  <c r="CD182" i="10"/>
  <c r="CD183" i="10"/>
  <c r="CD184" i="10"/>
  <c r="CD185" i="10"/>
  <c r="CD186" i="10"/>
  <c r="CD187" i="10"/>
  <c r="CD188" i="10"/>
  <c r="CD189" i="10"/>
  <c r="CD190" i="10"/>
  <c r="CD191" i="10"/>
  <c r="CD192" i="10"/>
  <c r="CD193" i="10"/>
  <c r="CD194" i="10"/>
  <c r="CD195" i="10"/>
  <c r="CD196" i="10"/>
  <c r="CD197" i="10"/>
  <c r="CD198" i="10"/>
  <c r="CD199" i="10"/>
  <c r="CD200" i="10"/>
  <c r="CD201" i="10"/>
  <c r="CD202" i="10"/>
  <c r="CD203" i="10"/>
  <c r="CD204" i="10"/>
  <c r="CD205" i="10"/>
  <c r="CD206" i="10"/>
  <c r="CD207" i="10"/>
  <c r="CD208" i="10"/>
  <c r="CD209" i="10"/>
  <c r="CD210" i="10"/>
  <c r="CD211" i="10"/>
  <c r="CD212" i="10"/>
  <c r="CD213" i="10"/>
  <c r="CD214" i="10"/>
  <c r="CD215" i="10"/>
  <c r="CD216" i="10"/>
  <c r="CD217" i="10"/>
  <c r="CD218" i="10"/>
  <c r="CD219" i="10"/>
  <c r="CD220" i="10"/>
  <c r="CD221" i="10"/>
  <c r="CD222" i="10"/>
  <c r="CD223" i="10"/>
  <c r="CD224" i="10"/>
  <c r="CD225" i="10"/>
  <c r="CD226" i="10"/>
  <c r="CD227" i="10"/>
  <c r="CD228" i="10"/>
  <c r="CD229" i="10"/>
  <c r="CD230" i="10"/>
  <c r="CD231" i="10"/>
  <c r="CD232" i="10"/>
  <c r="CD233" i="10"/>
  <c r="CD234" i="10"/>
  <c r="CD235" i="10"/>
  <c r="CD236" i="10"/>
  <c r="CD237" i="10"/>
  <c r="CD238" i="10"/>
  <c r="CD239" i="10"/>
  <c r="CD240" i="10"/>
  <c r="CD241" i="10"/>
  <c r="CD242" i="10"/>
  <c r="CD243" i="10"/>
  <c r="CD244" i="10"/>
  <c r="CD245" i="10"/>
  <c r="CD246" i="10"/>
  <c r="CD247" i="10"/>
  <c r="CD248" i="10"/>
  <c r="CD249" i="10"/>
  <c r="CD250" i="10"/>
  <c r="CD251" i="10"/>
  <c r="CD252" i="10"/>
  <c r="CD253" i="10"/>
  <c r="CD254" i="10"/>
  <c r="CD255" i="10"/>
  <c r="CD256" i="10"/>
  <c r="CD257" i="10"/>
  <c r="CD258" i="10"/>
  <c r="CD259" i="10"/>
  <c r="CD260" i="10"/>
  <c r="CD261" i="10"/>
  <c r="CD262" i="10"/>
  <c r="CD263" i="10"/>
  <c r="CD264" i="10"/>
  <c r="CD265" i="10"/>
  <c r="CD266" i="10"/>
  <c r="CD267" i="10"/>
  <c r="CD268" i="10"/>
  <c r="CD269" i="10"/>
  <c r="CD270" i="10"/>
  <c r="CD271" i="10"/>
  <c r="CD272" i="10"/>
  <c r="CD273" i="10"/>
  <c r="CD274" i="10"/>
  <c r="CD275" i="10"/>
  <c r="CD276" i="10"/>
  <c r="CD277" i="10"/>
  <c r="CD278" i="10"/>
  <c r="CD279" i="10"/>
  <c r="CD280" i="10"/>
  <c r="CD281" i="10"/>
  <c r="CD282" i="10"/>
  <c r="CD283" i="10"/>
  <c r="CD284" i="10"/>
  <c r="CD285" i="10"/>
  <c r="CD286" i="10"/>
  <c r="CD287" i="10"/>
  <c r="CD288" i="10"/>
  <c r="CD289" i="10"/>
  <c r="CD290" i="10"/>
  <c r="CD291" i="10"/>
  <c r="CD292" i="10"/>
  <c r="CD293" i="10"/>
  <c r="CD294" i="10"/>
  <c r="CD295" i="10"/>
  <c r="CD296" i="10"/>
  <c r="CD297" i="10"/>
  <c r="CD298" i="10"/>
  <c r="CD299" i="10"/>
  <c r="CD300" i="10"/>
  <c r="CD301" i="10"/>
  <c r="CD302" i="10"/>
  <c r="CD303" i="10"/>
  <c r="CD304" i="10"/>
  <c r="CD305" i="10"/>
  <c r="CD306" i="10"/>
  <c r="CD307" i="10"/>
  <c r="CD308" i="10"/>
  <c r="CD309" i="10"/>
  <c r="CD310" i="10"/>
  <c r="CD311" i="10"/>
  <c r="CD312" i="10"/>
  <c r="CD313" i="10"/>
  <c r="CD314" i="10"/>
  <c r="CD315" i="10"/>
  <c r="CD316" i="10"/>
  <c r="CD317" i="10"/>
  <c r="CD318" i="10"/>
  <c r="CD319" i="10"/>
  <c r="CD320" i="10"/>
  <c r="CD321" i="10"/>
  <c r="CD322" i="10"/>
  <c r="CD323" i="10"/>
  <c r="CD324" i="10"/>
  <c r="CD325" i="10"/>
  <c r="CD326" i="10"/>
  <c r="CD327" i="10"/>
  <c r="CD328" i="10"/>
  <c r="CD329" i="10"/>
  <c r="CD330" i="10"/>
  <c r="CD331" i="10"/>
  <c r="CD332" i="10"/>
  <c r="CD333" i="10"/>
  <c r="CD334" i="10"/>
  <c r="CD335" i="10"/>
  <c r="CD336" i="10"/>
  <c r="CD337" i="10"/>
  <c r="CD338" i="10"/>
  <c r="CD339" i="10"/>
  <c r="CD340" i="10"/>
  <c r="CD341" i="10"/>
  <c r="G342" i="4"/>
  <c r="H342" i="4"/>
  <c r="I342" i="4"/>
  <c r="J342" i="4"/>
  <c r="K342" i="4"/>
  <c r="L342" i="4"/>
  <c r="M342" i="4"/>
  <c r="N342" i="4"/>
  <c r="O4" i="4"/>
  <c r="O5" i="4"/>
  <c r="P5" i="4" s="1"/>
  <c r="O6" i="4"/>
  <c r="P6" i="4" s="1"/>
  <c r="O7" i="4"/>
  <c r="O8" i="4"/>
  <c r="O9" i="4"/>
  <c r="O10" i="4"/>
  <c r="O11" i="4"/>
  <c r="P11" i="4" s="1"/>
  <c r="O12" i="4"/>
  <c r="P12" i="4" s="1"/>
  <c r="O13" i="4"/>
  <c r="O14" i="4"/>
  <c r="O15" i="4"/>
  <c r="O16" i="4"/>
  <c r="O17" i="4"/>
  <c r="P17" i="4" s="1"/>
  <c r="O18" i="4"/>
  <c r="P18" i="4" s="1"/>
  <c r="O19" i="4"/>
  <c r="O20" i="4"/>
  <c r="O21" i="4"/>
  <c r="O22" i="4"/>
  <c r="O23" i="4"/>
  <c r="P23" i="4" s="1"/>
  <c r="O24" i="4"/>
  <c r="P24" i="4" s="1"/>
  <c r="O25" i="4"/>
  <c r="O26" i="4"/>
  <c r="O27" i="4"/>
  <c r="O28" i="4"/>
  <c r="O29" i="4"/>
  <c r="P29" i="4" s="1"/>
  <c r="O30" i="4"/>
  <c r="P30" i="4" s="1"/>
  <c r="O31" i="4"/>
  <c r="O32" i="4"/>
  <c r="O33" i="4"/>
  <c r="O34" i="4"/>
  <c r="O35" i="4"/>
  <c r="P35" i="4" s="1"/>
  <c r="O36" i="4"/>
  <c r="P36" i="4" s="1"/>
  <c r="O37" i="4"/>
  <c r="O38" i="4"/>
  <c r="O39" i="4"/>
  <c r="O40" i="4"/>
  <c r="O41" i="4"/>
  <c r="P41" i="4" s="1"/>
  <c r="O42" i="4"/>
  <c r="P42" i="4" s="1"/>
  <c r="O43" i="4"/>
  <c r="O44" i="4"/>
  <c r="O45" i="4"/>
  <c r="O46" i="4"/>
  <c r="O47" i="4"/>
  <c r="P47" i="4" s="1"/>
  <c r="O48" i="4"/>
  <c r="P48" i="4" s="1"/>
  <c r="O49" i="4"/>
  <c r="O50" i="4"/>
  <c r="O51" i="4"/>
  <c r="O52" i="4"/>
  <c r="O53" i="4"/>
  <c r="P53" i="4" s="1"/>
  <c r="O54" i="4"/>
  <c r="P54" i="4" s="1"/>
  <c r="O55" i="4"/>
  <c r="O56" i="4"/>
  <c r="O57" i="4"/>
  <c r="O58" i="4"/>
  <c r="O59" i="4"/>
  <c r="P59" i="4" s="1"/>
  <c r="O60" i="4"/>
  <c r="P60" i="4" s="1"/>
  <c r="O61" i="4"/>
  <c r="O62" i="4"/>
  <c r="O63" i="4"/>
  <c r="O64" i="4"/>
  <c r="O65" i="4"/>
  <c r="P65" i="4" s="1"/>
  <c r="O66" i="4"/>
  <c r="P66" i="4" s="1"/>
  <c r="O67" i="4"/>
  <c r="O68" i="4"/>
  <c r="O69" i="4"/>
  <c r="O70" i="4"/>
  <c r="O71" i="4"/>
  <c r="P71" i="4" s="1"/>
  <c r="O72" i="4"/>
  <c r="P72" i="4" s="1"/>
  <c r="O73" i="4"/>
  <c r="O74" i="4"/>
  <c r="O75" i="4"/>
  <c r="O76" i="4"/>
  <c r="O77" i="4"/>
  <c r="P77" i="4" s="1"/>
  <c r="O78" i="4"/>
  <c r="P78" i="4" s="1"/>
  <c r="O79" i="4"/>
  <c r="O80" i="4"/>
  <c r="O81" i="4"/>
  <c r="O82" i="4"/>
  <c r="O83" i="4"/>
  <c r="P83" i="4" s="1"/>
  <c r="O84" i="4"/>
  <c r="P84" i="4" s="1"/>
  <c r="O85" i="4"/>
  <c r="O86" i="4"/>
  <c r="O87" i="4"/>
  <c r="O88" i="4"/>
  <c r="O89" i="4"/>
  <c r="P89" i="4" s="1"/>
  <c r="O90" i="4"/>
  <c r="P90" i="4" s="1"/>
  <c r="O91" i="4"/>
  <c r="O92" i="4"/>
  <c r="O93" i="4"/>
  <c r="O94" i="4"/>
  <c r="O95" i="4"/>
  <c r="P95" i="4" s="1"/>
  <c r="O96" i="4"/>
  <c r="P96" i="4" s="1"/>
  <c r="O97" i="4"/>
  <c r="O98" i="4"/>
  <c r="O99" i="4"/>
  <c r="O100" i="4"/>
  <c r="O101" i="4"/>
  <c r="P101" i="4" s="1"/>
  <c r="O102" i="4"/>
  <c r="P102" i="4" s="1"/>
  <c r="O103" i="4"/>
  <c r="O104" i="4"/>
  <c r="O105" i="4"/>
  <c r="O106" i="4"/>
  <c r="O107" i="4"/>
  <c r="P107" i="4" s="1"/>
  <c r="O108" i="4"/>
  <c r="P108" i="4" s="1"/>
  <c r="O109" i="4"/>
  <c r="O110" i="4"/>
  <c r="O111" i="4"/>
  <c r="O112" i="4"/>
  <c r="O113" i="4"/>
  <c r="P113" i="4" s="1"/>
  <c r="O114" i="4"/>
  <c r="P114" i="4" s="1"/>
  <c r="O115" i="4"/>
  <c r="O116" i="4"/>
  <c r="O117" i="4"/>
  <c r="O118" i="4"/>
  <c r="O119" i="4"/>
  <c r="P119" i="4" s="1"/>
  <c r="O120" i="4"/>
  <c r="P120" i="4" s="1"/>
  <c r="O121" i="4"/>
  <c r="O122" i="4"/>
  <c r="O123" i="4"/>
  <c r="O124" i="4"/>
  <c r="O125" i="4"/>
  <c r="P125" i="4" s="1"/>
  <c r="O126" i="4"/>
  <c r="P126" i="4" s="1"/>
  <c r="O127" i="4"/>
  <c r="O128" i="4"/>
  <c r="O129" i="4"/>
  <c r="O130" i="4"/>
  <c r="O131" i="4"/>
  <c r="P131" i="4" s="1"/>
  <c r="O132" i="4"/>
  <c r="P132" i="4" s="1"/>
  <c r="O133" i="4"/>
  <c r="O134" i="4"/>
  <c r="O135" i="4"/>
  <c r="O136" i="4"/>
  <c r="O137" i="4"/>
  <c r="P137" i="4" s="1"/>
  <c r="O138" i="4"/>
  <c r="P138" i="4" s="1"/>
  <c r="O139" i="4"/>
  <c r="O140" i="4"/>
  <c r="O141" i="4"/>
  <c r="O142" i="4"/>
  <c r="O143" i="4"/>
  <c r="P143" i="4" s="1"/>
  <c r="O144" i="4"/>
  <c r="P144" i="4" s="1"/>
  <c r="O145" i="4"/>
  <c r="O146" i="4"/>
  <c r="O147" i="4"/>
  <c r="O148" i="4"/>
  <c r="O149" i="4"/>
  <c r="P149" i="4" s="1"/>
  <c r="O150" i="4"/>
  <c r="P150" i="4" s="1"/>
  <c r="O151" i="4"/>
  <c r="O152" i="4"/>
  <c r="O153" i="4"/>
  <c r="O154" i="4"/>
  <c r="O155" i="4"/>
  <c r="P155" i="4" s="1"/>
  <c r="O156" i="4"/>
  <c r="P156" i="4" s="1"/>
  <c r="O157" i="4"/>
  <c r="O158" i="4"/>
  <c r="O159" i="4"/>
  <c r="O160" i="4"/>
  <c r="O161" i="4"/>
  <c r="P161" i="4" s="1"/>
  <c r="O162" i="4"/>
  <c r="P162" i="4" s="1"/>
  <c r="O163" i="4"/>
  <c r="O164" i="4"/>
  <c r="O165" i="4"/>
  <c r="O166" i="4"/>
  <c r="O167" i="4"/>
  <c r="P167" i="4" s="1"/>
  <c r="O168" i="4"/>
  <c r="P168" i="4" s="1"/>
  <c r="O169" i="4"/>
  <c r="O170" i="4"/>
  <c r="O171" i="4"/>
  <c r="O172" i="4"/>
  <c r="O173" i="4"/>
  <c r="P173" i="4" s="1"/>
  <c r="O174" i="4"/>
  <c r="P174" i="4" s="1"/>
  <c r="O175" i="4"/>
  <c r="O176" i="4"/>
  <c r="O177" i="4"/>
  <c r="O178" i="4"/>
  <c r="O179" i="4"/>
  <c r="P179" i="4" s="1"/>
  <c r="O180" i="4"/>
  <c r="P180" i="4" s="1"/>
  <c r="O181" i="4"/>
  <c r="O182" i="4"/>
  <c r="O183" i="4"/>
  <c r="O184" i="4"/>
  <c r="O185" i="4"/>
  <c r="P185" i="4" s="1"/>
  <c r="O186" i="4"/>
  <c r="P186" i="4" s="1"/>
  <c r="O187" i="4"/>
  <c r="O188" i="4"/>
  <c r="O189" i="4"/>
  <c r="O190" i="4"/>
  <c r="O191" i="4"/>
  <c r="P191" i="4" s="1"/>
  <c r="O192" i="4"/>
  <c r="P192" i="4" s="1"/>
  <c r="O193" i="4"/>
  <c r="O194" i="4"/>
  <c r="O195" i="4"/>
  <c r="O196" i="4"/>
  <c r="O197" i="4"/>
  <c r="P197" i="4" s="1"/>
  <c r="O198" i="4"/>
  <c r="P198" i="4" s="1"/>
  <c r="O199" i="4"/>
  <c r="O200" i="4"/>
  <c r="O201" i="4"/>
  <c r="O202" i="4"/>
  <c r="O203" i="4"/>
  <c r="P203" i="4" s="1"/>
  <c r="O204" i="4"/>
  <c r="P204" i="4" s="1"/>
  <c r="O205" i="4"/>
  <c r="O206" i="4"/>
  <c r="O207" i="4"/>
  <c r="O208" i="4"/>
  <c r="O209" i="4"/>
  <c r="P209" i="4" s="1"/>
  <c r="O210" i="4"/>
  <c r="P210" i="4" s="1"/>
  <c r="O211" i="4"/>
  <c r="O212" i="4"/>
  <c r="O213" i="4"/>
  <c r="O214" i="4"/>
  <c r="O215" i="4"/>
  <c r="P215" i="4" s="1"/>
  <c r="O216" i="4"/>
  <c r="P216" i="4" s="1"/>
  <c r="O217" i="4"/>
  <c r="O218" i="4"/>
  <c r="O219" i="4"/>
  <c r="O220" i="4"/>
  <c r="O221" i="4"/>
  <c r="P221" i="4" s="1"/>
  <c r="O222" i="4"/>
  <c r="P222" i="4" s="1"/>
  <c r="O223" i="4"/>
  <c r="O224" i="4"/>
  <c r="O225" i="4"/>
  <c r="O226" i="4"/>
  <c r="O227" i="4"/>
  <c r="P227" i="4" s="1"/>
  <c r="O228" i="4"/>
  <c r="P228" i="4" s="1"/>
  <c r="O229" i="4"/>
  <c r="O230" i="4"/>
  <c r="O231" i="4"/>
  <c r="O232" i="4"/>
  <c r="O233" i="4"/>
  <c r="P233" i="4" s="1"/>
  <c r="O234" i="4"/>
  <c r="P234" i="4" s="1"/>
  <c r="O235" i="4"/>
  <c r="O236" i="4"/>
  <c r="O237" i="4"/>
  <c r="O238" i="4"/>
  <c r="O239" i="4"/>
  <c r="P239" i="4" s="1"/>
  <c r="O240" i="4"/>
  <c r="P240" i="4" s="1"/>
  <c r="O241" i="4"/>
  <c r="O242" i="4"/>
  <c r="O243" i="4"/>
  <c r="O244" i="4"/>
  <c r="O245" i="4"/>
  <c r="P245" i="4" s="1"/>
  <c r="O246" i="4"/>
  <c r="P246" i="4" s="1"/>
  <c r="O247" i="4"/>
  <c r="O248" i="4"/>
  <c r="O249" i="4"/>
  <c r="O250" i="4"/>
  <c r="O251" i="4"/>
  <c r="P251" i="4" s="1"/>
  <c r="O252" i="4"/>
  <c r="P252" i="4" s="1"/>
  <c r="O253" i="4"/>
  <c r="O254" i="4"/>
  <c r="O255" i="4"/>
  <c r="O256" i="4"/>
  <c r="O257" i="4"/>
  <c r="P257" i="4" s="1"/>
  <c r="O258" i="4"/>
  <c r="P258" i="4" s="1"/>
  <c r="O259" i="4"/>
  <c r="O260" i="4"/>
  <c r="O261" i="4"/>
  <c r="O262" i="4"/>
  <c r="O263" i="4"/>
  <c r="P263" i="4" s="1"/>
  <c r="O264" i="4"/>
  <c r="P264" i="4" s="1"/>
  <c r="O265" i="4"/>
  <c r="O266" i="4"/>
  <c r="O267" i="4"/>
  <c r="O268" i="4"/>
  <c r="O269" i="4"/>
  <c r="P269" i="4" s="1"/>
  <c r="O270" i="4"/>
  <c r="P270" i="4" s="1"/>
  <c r="O271" i="4"/>
  <c r="O272" i="4"/>
  <c r="O273" i="4"/>
  <c r="O274" i="4"/>
  <c r="O275" i="4"/>
  <c r="P275" i="4" s="1"/>
  <c r="O276" i="4"/>
  <c r="P276" i="4" s="1"/>
  <c r="O277" i="4"/>
  <c r="O278" i="4"/>
  <c r="O279" i="4"/>
  <c r="O280" i="4"/>
  <c r="O281" i="4"/>
  <c r="P281" i="4" s="1"/>
  <c r="O282" i="4"/>
  <c r="P282" i="4" s="1"/>
  <c r="O283" i="4"/>
  <c r="O284" i="4"/>
  <c r="O285" i="4"/>
  <c r="O286" i="4"/>
  <c r="O287" i="4"/>
  <c r="P287" i="4" s="1"/>
  <c r="O288" i="4"/>
  <c r="P288" i="4" s="1"/>
  <c r="O289" i="4"/>
  <c r="O290" i="4"/>
  <c r="O291" i="4"/>
  <c r="O292" i="4"/>
  <c r="O293" i="4"/>
  <c r="P293" i="4" s="1"/>
  <c r="O294" i="4"/>
  <c r="P294" i="4" s="1"/>
  <c r="O295" i="4"/>
  <c r="O296" i="4"/>
  <c r="O297" i="4"/>
  <c r="O298" i="4"/>
  <c r="O299" i="4"/>
  <c r="P299" i="4" s="1"/>
  <c r="O300" i="4"/>
  <c r="P300" i="4" s="1"/>
  <c r="O301" i="4"/>
  <c r="O302" i="4"/>
  <c r="O303" i="4"/>
  <c r="O304" i="4"/>
  <c r="O305" i="4"/>
  <c r="P305" i="4" s="1"/>
  <c r="O306" i="4"/>
  <c r="P306" i="4" s="1"/>
  <c r="O307" i="4"/>
  <c r="O308" i="4"/>
  <c r="O309" i="4"/>
  <c r="O310" i="4"/>
  <c r="O311" i="4"/>
  <c r="P311" i="4" s="1"/>
  <c r="O312" i="4"/>
  <c r="P312" i="4" s="1"/>
  <c r="O313" i="4"/>
  <c r="O314" i="4"/>
  <c r="O315" i="4"/>
  <c r="O316" i="4"/>
  <c r="O317" i="4"/>
  <c r="P317" i="4" s="1"/>
  <c r="O318" i="4"/>
  <c r="P318" i="4" s="1"/>
  <c r="O319" i="4"/>
  <c r="O320" i="4"/>
  <c r="O321" i="4"/>
  <c r="O322" i="4"/>
  <c r="O323" i="4"/>
  <c r="P323" i="4" s="1"/>
  <c r="O324" i="4"/>
  <c r="P324" i="4" s="1"/>
  <c r="O325" i="4"/>
  <c r="O326" i="4"/>
  <c r="O327" i="4"/>
  <c r="O328" i="4"/>
  <c r="O329" i="4"/>
  <c r="P329" i="4" s="1"/>
  <c r="O330" i="4"/>
  <c r="P330" i="4" s="1"/>
  <c r="O331" i="4"/>
  <c r="O332" i="4"/>
  <c r="O333" i="4"/>
  <c r="O334" i="4"/>
  <c r="O335" i="4"/>
  <c r="P335" i="4" s="1"/>
  <c r="O336" i="4"/>
  <c r="P336" i="4" s="1"/>
  <c r="O337" i="4"/>
  <c r="O338" i="4"/>
  <c r="O339" i="4"/>
  <c r="O340" i="4"/>
  <c r="O341" i="4"/>
  <c r="P341" i="4" s="1"/>
  <c r="P4" i="4"/>
  <c r="P7" i="4"/>
  <c r="P8" i="4"/>
  <c r="P9" i="4"/>
  <c r="P10" i="4"/>
  <c r="P13" i="4"/>
  <c r="P14" i="4"/>
  <c r="P15" i="4"/>
  <c r="P16" i="4"/>
  <c r="P19" i="4"/>
  <c r="P20" i="4"/>
  <c r="P21" i="4"/>
  <c r="P22" i="4"/>
  <c r="P25" i="4"/>
  <c r="P26" i="4"/>
  <c r="P27" i="4"/>
  <c r="P28" i="4"/>
  <c r="P31" i="4"/>
  <c r="P32" i="4"/>
  <c r="P33" i="4"/>
  <c r="P34" i="4"/>
  <c r="P37" i="4"/>
  <c r="P38" i="4"/>
  <c r="P39" i="4"/>
  <c r="P40" i="4"/>
  <c r="P43" i="4"/>
  <c r="P44" i="4"/>
  <c r="P45" i="4"/>
  <c r="P46" i="4"/>
  <c r="P49" i="4"/>
  <c r="P50" i="4"/>
  <c r="P51" i="4"/>
  <c r="P52" i="4"/>
  <c r="P55" i="4"/>
  <c r="P56" i="4"/>
  <c r="P57" i="4"/>
  <c r="P58" i="4"/>
  <c r="P61" i="4"/>
  <c r="P62" i="4"/>
  <c r="P63" i="4"/>
  <c r="P64" i="4"/>
  <c r="P67" i="4"/>
  <c r="P68" i="4"/>
  <c r="P69" i="4"/>
  <c r="P70" i="4"/>
  <c r="P73" i="4"/>
  <c r="P74" i="4"/>
  <c r="P75" i="4"/>
  <c r="P76" i="4"/>
  <c r="P79" i="4"/>
  <c r="P80" i="4"/>
  <c r="P81" i="4"/>
  <c r="P82" i="4"/>
  <c r="P85" i="4"/>
  <c r="P86" i="4"/>
  <c r="P87" i="4"/>
  <c r="P88" i="4"/>
  <c r="P91" i="4"/>
  <c r="P92" i="4"/>
  <c r="P93" i="4"/>
  <c r="P94" i="4"/>
  <c r="P97" i="4"/>
  <c r="P98" i="4"/>
  <c r="P99" i="4"/>
  <c r="P100" i="4"/>
  <c r="P103" i="4"/>
  <c r="P104" i="4"/>
  <c r="P105" i="4"/>
  <c r="P106" i="4"/>
  <c r="P109" i="4"/>
  <c r="P110" i="4"/>
  <c r="P111" i="4"/>
  <c r="P112" i="4"/>
  <c r="P115" i="4"/>
  <c r="P116" i="4"/>
  <c r="P117" i="4"/>
  <c r="P118" i="4"/>
  <c r="P121" i="4"/>
  <c r="P122" i="4"/>
  <c r="P123" i="4"/>
  <c r="P124" i="4"/>
  <c r="P127" i="4"/>
  <c r="P128" i="4"/>
  <c r="P129" i="4"/>
  <c r="P130" i="4"/>
  <c r="P133" i="4"/>
  <c r="P134" i="4"/>
  <c r="P135" i="4"/>
  <c r="P136" i="4"/>
  <c r="P139" i="4"/>
  <c r="P140" i="4"/>
  <c r="P141" i="4"/>
  <c r="P142" i="4"/>
  <c r="P145" i="4"/>
  <c r="P146" i="4"/>
  <c r="P147" i="4"/>
  <c r="P148" i="4"/>
  <c r="P151" i="4"/>
  <c r="P152" i="4"/>
  <c r="P153" i="4"/>
  <c r="P154" i="4"/>
  <c r="P157" i="4"/>
  <c r="P158" i="4"/>
  <c r="P159" i="4"/>
  <c r="P160" i="4"/>
  <c r="P163" i="4"/>
  <c r="P164" i="4"/>
  <c r="P165" i="4"/>
  <c r="P166" i="4"/>
  <c r="P169" i="4"/>
  <c r="P170" i="4"/>
  <c r="P171" i="4"/>
  <c r="P172" i="4"/>
  <c r="P175" i="4"/>
  <c r="P176" i="4"/>
  <c r="P177" i="4"/>
  <c r="P178" i="4"/>
  <c r="P181" i="4"/>
  <c r="P182" i="4"/>
  <c r="P183" i="4"/>
  <c r="P184" i="4"/>
  <c r="P187" i="4"/>
  <c r="P188" i="4"/>
  <c r="P189" i="4"/>
  <c r="P190" i="4"/>
  <c r="P193" i="4"/>
  <c r="P194" i="4"/>
  <c r="P195" i="4"/>
  <c r="P196" i="4"/>
  <c r="P199" i="4"/>
  <c r="P200" i="4"/>
  <c r="P201" i="4"/>
  <c r="P202" i="4"/>
  <c r="P205" i="4"/>
  <c r="P206" i="4"/>
  <c r="P207" i="4"/>
  <c r="P208" i="4"/>
  <c r="P211" i="4"/>
  <c r="P212" i="4"/>
  <c r="P213" i="4"/>
  <c r="P214" i="4"/>
  <c r="P217" i="4"/>
  <c r="P218" i="4"/>
  <c r="P219" i="4"/>
  <c r="P220" i="4"/>
  <c r="P223" i="4"/>
  <c r="P224" i="4"/>
  <c r="P225" i="4"/>
  <c r="P226" i="4"/>
  <c r="P229" i="4"/>
  <c r="P230" i="4"/>
  <c r="P231" i="4"/>
  <c r="P232" i="4"/>
  <c r="P235" i="4"/>
  <c r="P236" i="4"/>
  <c r="P237" i="4"/>
  <c r="P238" i="4"/>
  <c r="P241" i="4"/>
  <c r="P242" i="4"/>
  <c r="P243" i="4"/>
  <c r="P244" i="4"/>
  <c r="P247" i="4"/>
  <c r="P248" i="4"/>
  <c r="P249" i="4"/>
  <c r="P250" i="4"/>
  <c r="P253" i="4"/>
  <c r="P254" i="4"/>
  <c r="P255" i="4"/>
  <c r="P256" i="4"/>
  <c r="P259" i="4"/>
  <c r="P260" i="4"/>
  <c r="P261" i="4"/>
  <c r="P262" i="4"/>
  <c r="P265" i="4"/>
  <c r="P266" i="4"/>
  <c r="P267" i="4"/>
  <c r="P268" i="4"/>
  <c r="P271" i="4"/>
  <c r="P272" i="4"/>
  <c r="P273" i="4"/>
  <c r="P274" i="4"/>
  <c r="P277" i="4"/>
  <c r="P278" i="4"/>
  <c r="P279" i="4"/>
  <c r="P280" i="4"/>
  <c r="P283" i="4"/>
  <c r="P284" i="4"/>
  <c r="P285" i="4"/>
  <c r="P286" i="4"/>
  <c r="P289" i="4"/>
  <c r="P290" i="4"/>
  <c r="P291" i="4"/>
  <c r="P292" i="4"/>
  <c r="P295" i="4"/>
  <c r="P296" i="4"/>
  <c r="P297" i="4"/>
  <c r="P298" i="4"/>
  <c r="P301" i="4"/>
  <c r="P302" i="4"/>
  <c r="P303" i="4"/>
  <c r="P304" i="4"/>
  <c r="P307" i="4"/>
  <c r="P308" i="4"/>
  <c r="P309" i="4"/>
  <c r="P310" i="4"/>
  <c r="P313" i="4"/>
  <c r="P314" i="4"/>
  <c r="P315" i="4"/>
  <c r="P316" i="4"/>
  <c r="P319" i="4"/>
  <c r="P320" i="4"/>
  <c r="P321" i="4"/>
  <c r="P322" i="4"/>
  <c r="P325" i="4"/>
  <c r="P326" i="4"/>
  <c r="P327" i="4"/>
  <c r="P328" i="4"/>
  <c r="P331" i="4"/>
  <c r="P332" i="4"/>
  <c r="P333" i="4"/>
  <c r="P334" i="4"/>
  <c r="P337" i="4"/>
  <c r="P338" i="4"/>
  <c r="P339" i="4"/>
  <c r="P340" i="4"/>
  <c r="Q4" i="4"/>
  <c r="Q5" i="4"/>
  <c r="Q6" i="4"/>
  <c r="Q7" i="4"/>
  <c r="Q8" i="4"/>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Q108" i="4"/>
  <c r="Q109" i="4"/>
  <c r="Q110" i="4"/>
  <c r="Q111" i="4"/>
  <c r="Q112" i="4"/>
  <c r="Q113" i="4"/>
  <c r="Q114" i="4"/>
  <c r="Q115" i="4"/>
  <c r="Q116" i="4"/>
  <c r="Q117" i="4"/>
  <c r="Q118" i="4"/>
  <c r="Q119" i="4"/>
  <c r="Q120" i="4"/>
  <c r="Q121" i="4"/>
  <c r="Q122" i="4"/>
  <c r="Q123" i="4"/>
  <c r="Q124" i="4"/>
  <c r="Q125" i="4"/>
  <c r="Q126" i="4"/>
  <c r="Q127" i="4"/>
  <c r="Q128" i="4"/>
  <c r="Q129" i="4"/>
  <c r="Q130" i="4"/>
  <c r="Q131" i="4"/>
  <c r="Q132" i="4"/>
  <c r="Q133" i="4"/>
  <c r="Q134" i="4"/>
  <c r="Q135" i="4"/>
  <c r="Q136" i="4"/>
  <c r="Q137" i="4"/>
  <c r="Q138" i="4"/>
  <c r="Q139" i="4"/>
  <c r="Q140" i="4"/>
  <c r="Q141" i="4"/>
  <c r="Q142" i="4"/>
  <c r="Q143" i="4"/>
  <c r="Q144" i="4"/>
  <c r="Q145" i="4"/>
  <c r="Q146" i="4"/>
  <c r="Q147" i="4"/>
  <c r="Q148" i="4"/>
  <c r="Q149" i="4"/>
  <c r="Q150" i="4"/>
  <c r="Q151" i="4"/>
  <c r="Q152" i="4"/>
  <c r="Q153" i="4"/>
  <c r="Q154" i="4"/>
  <c r="Q155" i="4"/>
  <c r="Q156" i="4"/>
  <c r="Q157" i="4"/>
  <c r="Q158" i="4"/>
  <c r="Q159" i="4"/>
  <c r="Q160" i="4"/>
  <c r="Q161" i="4"/>
  <c r="Q162" i="4"/>
  <c r="Q163" i="4"/>
  <c r="Q164" i="4"/>
  <c r="Q165" i="4"/>
  <c r="Q166" i="4"/>
  <c r="Q167" i="4"/>
  <c r="Q168" i="4"/>
  <c r="Q169" i="4"/>
  <c r="Q170" i="4"/>
  <c r="Q171" i="4"/>
  <c r="Q172" i="4"/>
  <c r="Q173" i="4"/>
  <c r="Q174" i="4"/>
  <c r="Q175" i="4"/>
  <c r="Q176" i="4"/>
  <c r="Q177" i="4"/>
  <c r="Q178" i="4"/>
  <c r="Q179" i="4"/>
  <c r="Q180" i="4"/>
  <c r="Q181" i="4"/>
  <c r="Q182" i="4"/>
  <c r="Q183" i="4"/>
  <c r="Q184" i="4"/>
  <c r="Q185" i="4"/>
  <c r="Q186" i="4"/>
  <c r="Q187" i="4"/>
  <c r="Q188" i="4"/>
  <c r="Q189" i="4"/>
  <c r="Q190" i="4"/>
  <c r="Q191" i="4"/>
  <c r="Q192" i="4"/>
  <c r="Q193" i="4"/>
  <c r="Q194" i="4"/>
  <c r="Q195" i="4"/>
  <c r="Q196" i="4"/>
  <c r="Q197" i="4"/>
  <c r="Q198" i="4"/>
  <c r="Q199" i="4"/>
  <c r="Q200" i="4"/>
  <c r="Q201" i="4"/>
  <c r="Q202" i="4"/>
  <c r="Q203" i="4"/>
  <c r="Q204" i="4"/>
  <c r="Q205" i="4"/>
  <c r="Q206" i="4"/>
  <c r="Q207" i="4"/>
  <c r="Q208" i="4"/>
  <c r="Q209" i="4"/>
  <c r="Q210" i="4"/>
  <c r="Q211" i="4"/>
  <c r="Q212" i="4"/>
  <c r="Q213" i="4"/>
  <c r="Q214" i="4"/>
  <c r="Q215" i="4"/>
  <c r="Q216" i="4"/>
  <c r="Q217" i="4"/>
  <c r="Q218" i="4"/>
  <c r="Q219" i="4"/>
  <c r="Q220" i="4"/>
  <c r="Q221" i="4"/>
  <c r="Q222" i="4"/>
  <c r="Q223" i="4"/>
  <c r="Q224" i="4"/>
  <c r="Q225" i="4"/>
  <c r="Q226" i="4"/>
  <c r="Q227" i="4"/>
  <c r="Q228" i="4"/>
  <c r="Q229" i="4"/>
  <c r="Q230" i="4"/>
  <c r="Q231" i="4"/>
  <c r="Q232" i="4"/>
  <c r="Q233" i="4"/>
  <c r="Q234" i="4"/>
  <c r="Q235" i="4"/>
  <c r="Q236" i="4"/>
  <c r="Q237" i="4"/>
  <c r="Q238" i="4"/>
  <c r="Q239" i="4"/>
  <c r="Q240" i="4"/>
  <c r="Q241" i="4"/>
  <c r="Q242" i="4"/>
  <c r="Q243" i="4"/>
  <c r="Q244" i="4"/>
  <c r="Q245" i="4"/>
  <c r="Q246" i="4"/>
  <c r="Q247" i="4"/>
  <c r="Q248" i="4"/>
  <c r="Q249" i="4"/>
  <c r="Q250" i="4"/>
  <c r="Q251" i="4"/>
  <c r="Q252" i="4"/>
  <c r="Q253" i="4"/>
  <c r="Q254" i="4"/>
  <c r="Q255" i="4"/>
  <c r="Q256" i="4"/>
  <c r="Q257" i="4"/>
  <c r="Q258" i="4"/>
  <c r="Q259" i="4"/>
  <c r="Q260" i="4"/>
  <c r="Q261" i="4"/>
  <c r="Q262" i="4"/>
  <c r="Q263" i="4"/>
  <c r="Q264" i="4"/>
  <c r="Q265" i="4"/>
  <c r="Q266" i="4"/>
  <c r="Q267" i="4"/>
  <c r="Q268" i="4"/>
  <c r="Q269" i="4"/>
  <c r="Q270" i="4"/>
  <c r="Q271" i="4"/>
  <c r="Q272" i="4"/>
  <c r="Q273" i="4"/>
  <c r="Q274" i="4"/>
  <c r="Q275" i="4"/>
  <c r="Q276" i="4"/>
  <c r="Q277" i="4"/>
  <c r="Q278" i="4"/>
  <c r="Q279" i="4"/>
  <c r="Q280" i="4"/>
  <c r="Q281" i="4"/>
  <c r="Q282" i="4"/>
  <c r="Q283" i="4"/>
  <c r="Q284" i="4"/>
  <c r="Q285" i="4"/>
  <c r="Q286" i="4"/>
  <c r="Q287" i="4"/>
  <c r="Q288" i="4"/>
  <c r="Q289" i="4"/>
  <c r="Q290" i="4"/>
  <c r="Q291" i="4"/>
  <c r="Q292" i="4"/>
  <c r="Q293" i="4"/>
  <c r="Q294" i="4"/>
  <c r="Q295" i="4"/>
  <c r="Q296" i="4"/>
  <c r="Q297" i="4"/>
  <c r="Q298" i="4"/>
  <c r="Q299" i="4"/>
  <c r="Q300" i="4"/>
  <c r="Q301" i="4"/>
  <c r="Q302" i="4"/>
  <c r="Q303" i="4"/>
  <c r="Q304" i="4"/>
  <c r="Q305" i="4"/>
  <c r="Q306" i="4"/>
  <c r="Q307" i="4"/>
  <c r="Q308" i="4"/>
  <c r="Q309" i="4"/>
  <c r="Q310" i="4"/>
  <c r="Q311" i="4"/>
  <c r="Q312" i="4"/>
  <c r="Q313" i="4"/>
  <c r="Q314" i="4"/>
  <c r="Q315" i="4"/>
  <c r="Q316" i="4"/>
  <c r="Q317" i="4"/>
  <c r="Q318" i="4"/>
  <c r="Q319" i="4"/>
  <c r="Q320" i="4"/>
  <c r="Q321" i="4"/>
  <c r="Q322" i="4"/>
  <c r="Q323" i="4"/>
  <c r="Q324" i="4"/>
  <c r="Q325" i="4"/>
  <c r="Q326" i="4"/>
  <c r="Q327" i="4"/>
  <c r="Q328" i="4"/>
  <c r="Q329" i="4"/>
  <c r="Q330" i="4"/>
  <c r="Q331" i="4"/>
  <c r="Q332" i="4"/>
  <c r="Q333" i="4"/>
  <c r="Q334" i="4"/>
  <c r="Q335" i="4"/>
  <c r="Q336" i="4"/>
  <c r="Q337" i="4"/>
  <c r="Q338" i="4"/>
  <c r="Q339" i="4"/>
  <c r="Q340" i="4"/>
  <c r="Q341" i="4"/>
  <c r="R4" i="4"/>
  <c r="R5" i="4"/>
  <c r="R6" i="4"/>
  <c r="R7" i="4"/>
  <c r="R8" i="4"/>
  <c r="R9" i="4"/>
  <c r="R10" i="4"/>
  <c r="R11" i="4"/>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46" i="4"/>
  <c r="R47" i="4"/>
  <c r="R48" i="4"/>
  <c r="R49" i="4"/>
  <c r="R50" i="4"/>
  <c r="R51" i="4"/>
  <c r="R52" i="4"/>
  <c r="R53" i="4"/>
  <c r="R54" i="4"/>
  <c r="R55" i="4"/>
  <c r="R56" i="4"/>
  <c r="R57" i="4"/>
  <c r="R58" i="4"/>
  <c r="R59" i="4"/>
  <c r="R60" i="4"/>
  <c r="R61" i="4"/>
  <c r="R62" i="4"/>
  <c r="R63" i="4"/>
  <c r="R64" i="4"/>
  <c r="R65" i="4"/>
  <c r="R66" i="4"/>
  <c r="R67" i="4"/>
  <c r="R68" i="4"/>
  <c r="R69" i="4"/>
  <c r="R70" i="4"/>
  <c r="R71" i="4"/>
  <c r="R72" i="4"/>
  <c r="R73" i="4"/>
  <c r="R74" i="4"/>
  <c r="R75" i="4"/>
  <c r="R76" i="4"/>
  <c r="R77" i="4"/>
  <c r="R78" i="4"/>
  <c r="R79" i="4"/>
  <c r="R80" i="4"/>
  <c r="R81" i="4"/>
  <c r="R82" i="4"/>
  <c r="R83" i="4"/>
  <c r="R84" i="4"/>
  <c r="R85" i="4"/>
  <c r="R86" i="4"/>
  <c r="R87" i="4"/>
  <c r="R88" i="4"/>
  <c r="R89" i="4"/>
  <c r="R90" i="4"/>
  <c r="R91" i="4"/>
  <c r="R92" i="4"/>
  <c r="R93" i="4"/>
  <c r="R94" i="4"/>
  <c r="R95" i="4"/>
  <c r="R96" i="4"/>
  <c r="R97" i="4"/>
  <c r="R98" i="4"/>
  <c r="R99" i="4"/>
  <c r="R100" i="4"/>
  <c r="R101" i="4"/>
  <c r="R102" i="4"/>
  <c r="R103" i="4"/>
  <c r="R104" i="4"/>
  <c r="R105" i="4"/>
  <c r="R106" i="4"/>
  <c r="R107" i="4"/>
  <c r="R108" i="4"/>
  <c r="R109" i="4"/>
  <c r="R110" i="4"/>
  <c r="R111" i="4"/>
  <c r="R112" i="4"/>
  <c r="R113" i="4"/>
  <c r="R114" i="4"/>
  <c r="R115" i="4"/>
  <c r="R116" i="4"/>
  <c r="R117" i="4"/>
  <c r="R118" i="4"/>
  <c r="R119" i="4"/>
  <c r="R120" i="4"/>
  <c r="R121" i="4"/>
  <c r="R122" i="4"/>
  <c r="R123" i="4"/>
  <c r="R124" i="4"/>
  <c r="R125" i="4"/>
  <c r="R126" i="4"/>
  <c r="R127" i="4"/>
  <c r="R128" i="4"/>
  <c r="R129" i="4"/>
  <c r="R130" i="4"/>
  <c r="R131" i="4"/>
  <c r="R132" i="4"/>
  <c r="R133" i="4"/>
  <c r="R134" i="4"/>
  <c r="R135" i="4"/>
  <c r="R136" i="4"/>
  <c r="R137" i="4"/>
  <c r="R138" i="4"/>
  <c r="R139" i="4"/>
  <c r="R140" i="4"/>
  <c r="R141" i="4"/>
  <c r="R142" i="4"/>
  <c r="R143" i="4"/>
  <c r="R144" i="4"/>
  <c r="R145" i="4"/>
  <c r="R146" i="4"/>
  <c r="R147" i="4"/>
  <c r="R148" i="4"/>
  <c r="R149" i="4"/>
  <c r="R150" i="4"/>
  <c r="R151" i="4"/>
  <c r="R152" i="4"/>
  <c r="R153" i="4"/>
  <c r="R154" i="4"/>
  <c r="R155" i="4"/>
  <c r="R156" i="4"/>
  <c r="R157" i="4"/>
  <c r="R158" i="4"/>
  <c r="R159" i="4"/>
  <c r="R160" i="4"/>
  <c r="R161" i="4"/>
  <c r="R162" i="4"/>
  <c r="R163" i="4"/>
  <c r="R164" i="4"/>
  <c r="R165" i="4"/>
  <c r="R166" i="4"/>
  <c r="R167" i="4"/>
  <c r="R168" i="4"/>
  <c r="R169" i="4"/>
  <c r="R170" i="4"/>
  <c r="R171" i="4"/>
  <c r="R172" i="4"/>
  <c r="R173" i="4"/>
  <c r="R174" i="4"/>
  <c r="R175" i="4"/>
  <c r="R176" i="4"/>
  <c r="R177" i="4"/>
  <c r="R178" i="4"/>
  <c r="R179" i="4"/>
  <c r="R180" i="4"/>
  <c r="R181" i="4"/>
  <c r="R182" i="4"/>
  <c r="R183" i="4"/>
  <c r="R184" i="4"/>
  <c r="R185" i="4"/>
  <c r="R186" i="4"/>
  <c r="R187" i="4"/>
  <c r="R188" i="4"/>
  <c r="R189" i="4"/>
  <c r="R190" i="4"/>
  <c r="R191" i="4"/>
  <c r="R192" i="4"/>
  <c r="R193" i="4"/>
  <c r="R194" i="4"/>
  <c r="R195" i="4"/>
  <c r="R196" i="4"/>
  <c r="R197" i="4"/>
  <c r="R198" i="4"/>
  <c r="R199" i="4"/>
  <c r="R200" i="4"/>
  <c r="R201" i="4"/>
  <c r="R202" i="4"/>
  <c r="R203" i="4"/>
  <c r="R204" i="4"/>
  <c r="R205" i="4"/>
  <c r="R206" i="4"/>
  <c r="R207" i="4"/>
  <c r="R208" i="4"/>
  <c r="R209" i="4"/>
  <c r="R210" i="4"/>
  <c r="R211" i="4"/>
  <c r="R212" i="4"/>
  <c r="R213" i="4"/>
  <c r="R214" i="4"/>
  <c r="R215" i="4"/>
  <c r="R216" i="4"/>
  <c r="R217" i="4"/>
  <c r="R218" i="4"/>
  <c r="R219" i="4"/>
  <c r="R220" i="4"/>
  <c r="R221" i="4"/>
  <c r="R222" i="4"/>
  <c r="R223" i="4"/>
  <c r="R224" i="4"/>
  <c r="R225" i="4"/>
  <c r="R226" i="4"/>
  <c r="R227" i="4"/>
  <c r="R228" i="4"/>
  <c r="R229" i="4"/>
  <c r="R230" i="4"/>
  <c r="R231" i="4"/>
  <c r="R232" i="4"/>
  <c r="R233" i="4"/>
  <c r="R234" i="4"/>
  <c r="R235" i="4"/>
  <c r="R236" i="4"/>
  <c r="R237" i="4"/>
  <c r="R238" i="4"/>
  <c r="R239" i="4"/>
  <c r="R240" i="4"/>
  <c r="R241" i="4"/>
  <c r="R242" i="4"/>
  <c r="R243" i="4"/>
  <c r="R244" i="4"/>
  <c r="R245" i="4"/>
  <c r="R246" i="4"/>
  <c r="R247" i="4"/>
  <c r="R248" i="4"/>
  <c r="R249" i="4"/>
  <c r="R250" i="4"/>
  <c r="R251" i="4"/>
  <c r="R252" i="4"/>
  <c r="R253" i="4"/>
  <c r="R254" i="4"/>
  <c r="R255" i="4"/>
  <c r="R256" i="4"/>
  <c r="R257" i="4"/>
  <c r="R258" i="4"/>
  <c r="R259" i="4"/>
  <c r="R260" i="4"/>
  <c r="R261" i="4"/>
  <c r="R262" i="4"/>
  <c r="R263" i="4"/>
  <c r="R264" i="4"/>
  <c r="R265" i="4"/>
  <c r="R266" i="4"/>
  <c r="R267" i="4"/>
  <c r="R268" i="4"/>
  <c r="R269" i="4"/>
  <c r="R270" i="4"/>
  <c r="R271" i="4"/>
  <c r="R272" i="4"/>
  <c r="R273" i="4"/>
  <c r="R274" i="4"/>
  <c r="R275" i="4"/>
  <c r="R276" i="4"/>
  <c r="R277" i="4"/>
  <c r="R278" i="4"/>
  <c r="R279" i="4"/>
  <c r="R280" i="4"/>
  <c r="R281" i="4"/>
  <c r="R282" i="4"/>
  <c r="R283" i="4"/>
  <c r="R284" i="4"/>
  <c r="R285" i="4"/>
  <c r="R286" i="4"/>
  <c r="R287" i="4"/>
  <c r="R288" i="4"/>
  <c r="R289" i="4"/>
  <c r="R290" i="4"/>
  <c r="R291" i="4"/>
  <c r="R292" i="4"/>
  <c r="R293" i="4"/>
  <c r="R294" i="4"/>
  <c r="R295" i="4"/>
  <c r="R296" i="4"/>
  <c r="R297" i="4"/>
  <c r="R298" i="4"/>
  <c r="R299" i="4"/>
  <c r="R300" i="4"/>
  <c r="R301" i="4"/>
  <c r="R302" i="4"/>
  <c r="R303" i="4"/>
  <c r="R304" i="4"/>
  <c r="R305" i="4"/>
  <c r="R306" i="4"/>
  <c r="R307" i="4"/>
  <c r="R308" i="4"/>
  <c r="R309" i="4"/>
  <c r="R310" i="4"/>
  <c r="R311" i="4"/>
  <c r="R312" i="4"/>
  <c r="R313" i="4"/>
  <c r="R314" i="4"/>
  <c r="R315" i="4"/>
  <c r="R316" i="4"/>
  <c r="R317" i="4"/>
  <c r="R318" i="4"/>
  <c r="R319" i="4"/>
  <c r="R320" i="4"/>
  <c r="R321" i="4"/>
  <c r="R322" i="4"/>
  <c r="R323" i="4"/>
  <c r="R324" i="4"/>
  <c r="R325" i="4"/>
  <c r="R326" i="4"/>
  <c r="R327" i="4"/>
  <c r="R328" i="4"/>
  <c r="R329" i="4"/>
  <c r="R330" i="4"/>
  <c r="R331" i="4"/>
  <c r="R332" i="4"/>
  <c r="R333" i="4"/>
  <c r="R334" i="4"/>
  <c r="R335" i="4"/>
  <c r="R336" i="4"/>
  <c r="R337" i="4"/>
  <c r="R338" i="4"/>
  <c r="R339" i="4"/>
  <c r="R340" i="4"/>
  <c r="R341" i="4"/>
  <c r="S4" i="4"/>
  <c r="S5" i="4"/>
  <c r="S6" i="4"/>
  <c r="S7" i="4"/>
  <c r="S8" i="4"/>
  <c r="S9" i="4"/>
  <c r="S10" i="4"/>
  <c r="S11" i="4"/>
  <c r="S12" i="4"/>
  <c r="S13" i="4"/>
  <c r="S14" i="4"/>
  <c r="S15" i="4"/>
  <c r="S16" i="4"/>
  <c r="S17" i="4"/>
  <c r="S18"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99" i="4"/>
  <c r="S100" i="4"/>
  <c r="S101" i="4"/>
  <c r="S102" i="4"/>
  <c r="S103" i="4"/>
  <c r="S104" i="4"/>
  <c r="S105" i="4"/>
  <c r="S106" i="4"/>
  <c r="S107" i="4"/>
  <c r="S108" i="4"/>
  <c r="S109" i="4"/>
  <c r="S110" i="4"/>
  <c r="S111" i="4"/>
  <c r="S112" i="4"/>
  <c r="S113" i="4"/>
  <c r="S114" i="4"/>
  <c r="S115" i="4"/>
  <c r="S116" i="4"/>
  <c r="S117" i="4"/>
  <c r="S118" i="4"/>
  <c r="S119" i="4"/>
  <c r="S120" i="4"/>
  <c r="S121" i="4"/>
  <c r="S122" i="4"/>
  <c r="S123" i="4"/>
  <c r="S124" i="4"/>
  <c r="S125" i="4"/>
  <c r="S126" i="4"/>
  <c r="S127" i="4"/>
  <c r="S128" i="4"/>
  <c r="S129" i="4"/>
  <c r="S130" i="4"/>
  <c r="S131" i="4"/>
  <c r="S132" i="4"/>
  <c r="S133" i="4"/>
  <c r="S134" i="4"/>
  <c r="S135" i="4"/>
  <c r="S136" i="4"/>
  <c r="S137" i="4"/>
  <c r="S138" i="4"/>
  <c r="S139" i="4"/>
  <c r="S140" i="4"/>
  <c r="S141" i="4"/>
  <c r="S142" i="4"/>
  <c r="S143" i="4"/>
  <c r="S144" i="4"/>
  <c r="S145" i="4"/>
  <c r="S146" i="4"/>
  <c r="S147" i="4"/>
  <c r="S148" i="4"/>
  <c r="S149" i="4"/>
  <c r="S150" i="4"/>
  <c r="S151" i="4"/>
  <c r="S152" i="4"/>
  <c r="S153" i="4"/>
  <c r="S154" i="4"/>
  <c r="S155" i="4"/>
  <c r="S156" i="4"/>
  <c r="S157" i="4"/>
  <c r="S158" i="4"/>
  <c r="S159" i="4"/>
  <c r="S160" i="4"/>
  <c r="S161" i="4"/>
  <c r="S162" i="4"/>
  <c r="S163" i="4"/>
  <c r="S164" i="4"/>
  <c r="S165" i="4"/>
  <c r="S166" i="4"/>
  <c r="S167" i="4"/>
  <c r="S168" i="4"/>
  <c r="S169" i="4"/>
  <c r="S170" i="4"/>
  <c r="S171" i="4"/>
  <c r="S172" i="4"/>
  <c r="S173" i="4"/>
  <c r="S174" i="4"/>
  <c r="S175" i="4"/>
  <c r="S176" i="4"/>
  <c r="S177" i="4"/>
  <c r="S178" i="4"/>
  <c r="S179" i="4"/>
  <c r="S180" i="4"/>
  <c r="S181" i="4"/>
  <c r="S182" i="4"/>
  <c r="S183" i="4"/>
  <c r="S184" i="4"/>
  <c r="S185" i="4"/>
  <c r="S186" i="4"/>
  <c r="S187" i="4"/>
  <c r="S188" i="4"/>
  <c r="S189" i="4"/>
  <c r="S190" i="4"/>
  <c r="S191" i="4"/>
  <c r="S192" i="4"/>
  <c r="S193" i="4"/>
  <c r="S194" i="4"/>
  <c r="S195" i="4"/>
  <c r="S196" i="4"/>
  <c r="S197" i="4"/>
  <c r="S198" i="4"/>
  <c r="S199" i="4"/>
  <c r="S200" i="4"/>
  <c r="S201" i="4"/>
  <c r="S202" i="4"/>
  <c r="S203" i="4"/>
  <c r="S204" i="4"/>
  <c r="S205" i="4"/>
  <c r="S206" i="4"/>
  <c r="S207" i="4"/>
  <c r="S208" i="4"/>
  <c r="S209" i="4"/>
  <c r="S210" i="4"/>
  <c r="S211" i="4"/>
  <c r="S212" i="4"/>
  <c r="S213" i="4"/>
  <c r="S214" i="4"/>
  <c r="S215" i="4"/>
  <c r="S216" i="4"/>
  <c r="S217" i="4"/>
  <c r="S218" i="4"/>
  <c r="S219" i="4"/>
  <c r="S220" i="4"/>
  <c r="S221" i="4"/>
  <c r="S222" i="4"/>
  <c r="S223" i="4"/>
  <c r="S224" i="4"/>
  <c r="S225" i="4"/>
  <c r="S226" i="4"/>
  <c r="S227" i="4"/>
  <c r="S228" i="4"/>
  <c r="S229" i="4"/>
  <c r="S230" i="4"/>
  <c r="S231" i="4"/>
  <c r="S232" i="4"/>
  <c r="S233" i="4"/>
  <c r="S234" i="4"/>
  <c r="S235" i="4"/>
  <c r="S236" i="4"/>
  <c r="S237" i="4"/>
  <c r="S238" i="4"/>
  <c r="S239" i="4"/>
  <c r="S240" i="4"/>
  <c r="S241" i="4"/>
  <c r="S242" i="4"/>
  <c r="S243" i="4"/>
  <c r="S244" i="4"/>
  <c r="S245" i="4"/>
  <c r="S246" i="4"/>
  <c r="S247" i="4"/>
  <c r="S248" i="4"/>
  <c r="S249" i="4"/>
  <c r="S250" i="4"/>
  <c r="S251" i="4"/>
  <c r="S252" i="4"/>
  <c r="S253" i="4"/>
  <c r="S254" i="4"/>
  <c r="S255" i="4"/>
  <c r="S256" i="4"/>
  <c r="S257" i="4"/>
  <c r="S258" i="4"/>
  <c r="S259" i="4"/>
  <c r="S260" i="4"/>
  <c r="S261" i="4"/>
  <c r="S262" i="4"/>
  <c r="S263" i="4"/>
  <c r="S264" i="4"/>
  <c r="S265" i="4"/>
  <c r="S266" i="4"/>
  <c r="S267" i="4"/>
  <c r="S268" i="4"/>
  <c r="S269" i="4"/>
  <c r="S270" i="4"/>
  <c r="S271" i="4"/>
  <c r="S272" i="4"/>
  <c r="S273" i="4"/>
  <c r="S274" i="4"/>
  <c r="S275" i="4"/>
  <c r="S276" i="4"/>
  <c r="S277" i="4"/>
  <c r="S278" i="4"/>
  <c r="S279" i="4"/>
  <c r="S280" i="4"/>
  <c r="S281" i="4"/>
  <c r="S282" i="4"/>
  <c r="S283" i="4"/>
  <c r="S284" i="4"/>
  <c r="S285" i="4"/>
  <c r="S286" i="4"/>
  <c r="S287" i="4"/>
  <c r="S288" i="4"/>
  <c r="S289" i="4"/>
  <c r="S290" i="4"/>
  <c r="S291" i="4"/>
  <c r="S292" i="4"/>
  <c r="S293" i="4"/>
  <c r="S294" i="4"/>
  <c r="S295" i="4"/>
  <c r="S296" i="4"/>
  <c r="S297" i="4"/>
  <c r="S298" i="4"/>
  <c r="S299" i="4"/>
  <c r="S300" i="4"/>
  <c r="S301" i="4"/>
  <c r="S302" i="4"/>
  <c r="S303" i="4"/>
  <c r="S304" i="4"/>
  <c r="S305" i="4"/>
  <c r="S306" i="4"/>
  <c r="S307" i="4"/>
  <c r="S308" i="4"/>
  <c r="S309" i="4"/>
  <c r="S310" i="4"/>
  <c r="S311" i="4"/>
  <c r="S312" i="4"/>
  <c r="S313" i="4"/>
  <c r="S314" i="4"/>
  <c r="S315" i="4"/>
  <c r="S316" i="4"/>
  <c r="S317" i="4"/>
  <c r="S318" i="4"/>
  <c r="S319" i="4"/>
  <c r="S320" i="4"/>
  <c r="S321" i="4"/>
  <c r="S322" i="4"/>
  <c r="S323" i="4"/>
  <c r="S324" i="4"/>
  <c r="S325" i="4"/>
  <c r="S326" i="4"/>
  <c r="S327" i="4"/>
  <c r="S328" i="4"/>
  <c r="S329" i="4"/>
  <c r="S330" i="4"/>
  <c r="S331" i="4"/>
  <c r="S332" i="4"/>
  <c r="S333" i="4"/>
  <c r="S334" i="4"/>
  <c r="S335" i="4"/>
  <c r="S336" i="4"/>
  <c r="S337" i="4"/>
  <c r="S338" i="4"/>
  <c r="S339" i="4"/>
  <c r="S340" i="4"/>
  <c r="S341" i="4"/>
  <c r="T4" i="4"/>
  <c r="T5" i="4"/>
  <c r="T6" i="4"/>
  <c r="T7" i="4"/>
  <c r="T8" i="4"/>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U4" i="4"/>
  <c r="U5" i="4"/>
  <c r="U6" i="4"/>
  <c r="U7" i="4"/>
  <c r="U8" i="4"/>
  <c r="U9" i="4"/>
  <c r="U10" i="4"/>
  <c r="U11" i="4"/>
  <c r="U12" i="4"/>
  <c r="U13" i="4"/>
  <c r="U14" i="4"/>
  <c r="U15" i="4"/>
  <c r="U16" i="4"/>
  <c r="U17" i="4"/>
  <c r="U18" i="4"/>
  <c r="U19" i="4"/>
  <c r="U20" i="4"/>
  <c r="U21" i="4"/>
  <c r="U22" i="4"/>
  <c r="U23" i="4"/>
  <c r="U24" i="4"/>
  <c r="U25" i="4"/>
  <c r="U26" i="4"/>
  <c r="U27" i="4"/>
  <c r="U28" i="4"/>
  <c r="U29" i="4"/>
  <c r="U30" i="4"/>
  <c r="U31" i="4"/>
  <c r="U32" i="4"/>
  <c r="U33" i="4"/>
  <c r="U34" i="4"/>
  <c r="U35" i="4"/>
  <c r="U36" i="4"/>
  <c r="U37" i="4"/>
  <c r="U38" i="4"/>
  <c r="U39" i="4"/>
  <c r="U40" i="4"/>
  <c r="U41" i="4"/>
  <c r="U42" i="4"/>
  <c r="U43" i="4"/>
  <c r="U44" i="4"/>
  <c r="U45" i="4"/>
  <c r="U46" i="4"/>
  <c r="U47" i="4"/>
  <c r="U48" i="4"/>
  <c r="U49" i="4"/>
  <c r="U50" i="4"/>
  <c r="U51" i="4"/>
  <c r="U52" i="4"/>
  <c r="U53" i="4"/>
  <c r="U54" i="4"/>
  <c r="U55" i="4"/>
  <c r="U56" i="4"/>
  <c r="U57" i="4"/>
  <c r="U58" i="4"/>
  <c r="U59" i="4"/>
  <c r="U60" i="4"/>
  <c r="U61" i="4"/>
  <c r="U62" i="4"/>
  <c r="U63" i="4"/>
  <c r="U64" i="4"/>
  <c r="U65" i="4"/>
  <c r="U66" i="4"/>
  <c r="U67" i="4"/>
  <c r="U68" i="4"/>
  <c r="U69" i="4"/>
  <c r="U70" i="4"/>
  <c r="U71" i="4"/>
  <c r="U72" i="4"/>
  <c r="U73" i="4"/>
  <c r="U74" i="4"/>
  <c r="U75" i="4"/>
  <c r="U76" i="4"/>
  <c r="U77" i="4"/>
  <c r="U78" i="4"/>
  <c r="U79" i="4"/>
  <c r="U80" i="4"/>
  <c r="U81" i="4"/>
  <c r="U82" i="4"/>
  <c r="U83" i="4"/>
  <c r="U84" i="4"/>
  <c r="U85" i="4"/>
  <c r="U86" i="4"/>
  <c r="U87" i="4"/>
  <c r="U88" i="4"/>
  <c r="U89" i="4"/>
  <c r="U90" i="4"/>
  <c r="U91" i="4"/>
  <c r="U92" i="4"/>
  <c r="U93" i="4"/>
  <c r="U94" i="4"/>
  <c r="U95" i="4"/>
  <c r="U96" i="4"/>
  <c r="U97" i="4"/>
  <c r="U98" i="4"/>
  <c r="U99" i="4"/>
  <c r="U100" i="4"/>
  <c r="U101" i="4"/>
  <c r="U102" i="4"/>
  <c r="U103" i="4"/>
  <c r="U104" i="4"/>
  <c r="U105" i="4"/>
  <c r="U106" i="4"/>
  <c r="U107" i="4"/>
  <c r="U108" i="4"/>
  <c r="U109" i="4"/>
  <c r="U110" i="4"/>
  <c r="U111" i="4"/>
  <c r="U112" i="4"/>
  <c r="U113" i="4"/>
  <c r="U114" i="4"/>
  <c r="U115" i="4"/>
  <c r="U116" i="4"/>
  <c r="U117" i="4"/>
  <c r="U118" i="4"/>
  <c r="U119" i="4"/>
  <c r="U120" i="4"/>
  <c r="U121" i="4"/>
  <c r="U122" i="4"/>
  <c r="U123" i="4"/>
  <c r="U124" i="4"/>
  <c r="U125" i="4"/>
  <c r="U126" i="4"/>
  <c r="U127" i="4"/>
  <c r="U128" i="4"/>
  <c r="U129" i="4"/>
  <c r="U130" i="4"/>
  <c r="U131" i="4"/>
  <c r="U132" i="4"/>
  <c r="U133" i="4"/>
  <c r="U134" i="4"/>
  <c r="U135" i="4"/>
  <c r="U136" i="4"/>
  <c r="U137" i="4"/>
  <c r="U138" i="4"/>
  <c r="U139" i="4"/>
  <c r="U140" i="4"/>
  <c r="U141" i="4"/>
  <c r="U142" i="4"/>
  <c r="U143" i="4"/>
  <c r="U144" i="4"/>
  <c r="U145" i="4"/>
  <c r="U146" i="4"/>
  <c r="U147" i="4"/>
  <c r="U148" i="4"/>
  <c r="U149" i="4"/>
  <c r="U150" i="4"/>
  <c r="U151" i="4"/>
  <c r="U152" i="4"/>
  <c r="U153" i="4"/>
  <c r="U154" i="4"/>
  <c r="U155" i="4"/>
  <c r="U156" i="4"/>
  <c r="U157" i="4"/>
  <c r="U158" i="4"/>
  <c r="U159" i="4"/>
  <c r="U160" i="4"/>
  <c r="U161" i="4"/>
  <c r="U162" i="4"/>
  <c r="U163" i="4"/>
  <c r="U164" i="4"/>
  <c r="U165" i="4"/>
  <c r="U166" i="4"/>
  <c r="U167" i="4"/>
  <c r="U168" i="4"/>
  <c r="U169" i="4"/>
  <c r="U170" i="4"/>
  <c r="U171" i="4"/>
  <c r="U172" i="4"/>
  <c r="U173" i="4"/>
  <c r="U174" i="4"/>
  <c r="U175" i="4"/>
  <c r="U176" i="4"/>
  <c r="U177" i="4"/>
  <c r="U178" i="4"/>
  <c r="U179" i="4"/>
  <c r="U180" i="4"/>
  <c r="U181" i="4"/>
  <c r="U182" i="4"/>
  <c r="U183" i="4"/>
  <c r="U184" i="4"/>
  <c r="U185" i="4"/>
  <c r="U186" i="4"/>
  <c r="U187" i="4"/>
  <c r="U188" i="4"/>
  <c r="U189" i="4"/>
  <c r="U190" i="4"/>
  <c r="U191" i="4"/>
  <c r="U192" i="4"/>
  <c r="U193" i="4"/>
  <c r="U194" i="4"/>
  <c r="U195" i="4"/>
  <c r="U196" i="4"/>
  <c r="U197" i="4"/>
  <c r="U198" i="4"/>
  <c r="U199" i="4"/>
  <c r="U200" i="4"/>
  <c r="U201" i="4"/>
  <c r="U202" i="4"/>
  <c r="U203" i="4"/>
  <c r="U204" i="4"/>
  <c r="U205" i="4"/>
  <c r="U206" i="4"/>
  <c r="U207" i="4"/>
  <c r="U208" i="4"/>
  <c r="U209" i="4"/>
  <c r="U210" i="4"/>
  <c r="U211" i="4"/>
  <c r="U212" i="4"/>
  <c r="U213" i="4"/>
  <c r="U214" i="4"/>
  <c r="U215" i="4"/>
  <c r="U216" i="4"/>
  <c r="U217" i="4"/>
  <c r="U218" i="4"/>
  <c r="U219" i="4"/>
  <c r="U220" i="4"/>
  <c r="U221" i="4"/>
  <c r="U222" i="4"/>
  <c r="U223" i="4"/>
  <c r="U224" i="4"/>
  <c r="U225" i="4"/>
  <c r="U226" i="4"/>
  <c r="U227" i="4"/>
  <c r="U228" i="4"/>
  <c r="U229" i="4"/>
  <c r="U230" i="4"/>
  <c r="U231" i="4"/>
  <c r="U232" i="4"/>
  <c r="U233" i="4"/>
  <c r="U234" i="4"/>
  <c r="U235" i="4"/>
  <c r="U236" i="4"/>
  <c r="U237" i="4"/>
  <c r="U238" i="4"/>
  <c r="U239" i="4"/>
  <c r="U240" i="4"/>
  <c r="U241" i="4"/>
  <c r="U242" i="4"/>
  <c r="U243" i="4"/>
  <c r="U244" i="4"/>
  <c r="U245" i="4"/>
  <c r="U246" i="4"/>
  <c r="U247" i="4"/>
  <c r="U248" i="4"/>
  <c r="U249" i="4"/>
  <c r="U250" i="4"/>
  <c r="U251" i="4"/>
  <c r="U252" i="4"/>
  <c r="U253" i="4"/>
  <c r="U254" i="4"/>
  <c r="U255" i="4"/>
  <c r="U256" i="4"/>
  <c r="U257" i="4"/>
  <c r="U258" i="4"/>
  <c r="U259" i="4"/>
  <c r="U260" i="4"/>
  <c r="U261" i="4"/>
  <c r="U262" i="4"/>
  <c r="U263" i="4"/>
  <c r="U264" i="4"/>
  <c r="U265" i="4"/>
  <c r="U266" i="4"/>
  <c r="U267" i="4"/>
  <c r="U268" i="4"/>
  <c r="U269" i="4"/>
  <c r="U270" i="4"/>
  <c r="U271" i="4"/>
  <c r="U272" i="4"/>
  <c r="U273" i="4"/>
  <c r="U274" i="4"/>
  <c r="U275" i="4"/>
  <c r="U276" i="4"/>
  <c r="U277" i="4"/>
  <c r="U278" i="4"/>
  <c r="U279" i="4"/>
  <c r="U280" i="4"/>
  <c r="U281" i="4"/>
  <c r="U282" i="4"/>
  <c r="U283" i="4"/>
  <c r="U284" i="4"/>
  <c r="U285" i="4"/>
  <c r="U286" i="4"/>
  <c r="U287" i="4"/>
  <c r="U288" i="4"/>
  <c r="U289" i="4"/>
  <c r="U290" i="4"/>
  <c r="U291" i="4"/>
  <c r="U292" i="4"/>
  <c r="U293" i="4"/>
  <c r="U294" i="4"/>
  <c r="U295" i="4"/>
  <c r="U296" i="4"/>
  <c r="U297" i="4"/>
  <c r="U298" i="4"/>
  <c r="U299" i="4"/>
  <c r="U300" i="4"/>
  <c r="U301" i="4"/>
  <c r="U302" i="4"/>
  <c r="U303" i="4"/>
  <c r="U304" i="4"/>
  <c r="U305" i="4"/>
  <c r="U306" i="4"/>
  <c r="U307" i="4"/>
  <c r="U308" i="4"/>
  <c r="U309" i="4"/>
  <c r="U310" i="4"/>
  <c r="U311" i="4"/>
  <c r="U312" i="4"/>
  <c r="U313" i="4"/>
  <c r="U314" i="4"/>
  <c r="U315" i="4"/>
  <c r="U316" i="4"/>
  <c r="U317" i="4"/>
  <c r="U318" i="4"/>
  <c r="U319" i="4"/>
  <c r="U320" i="4"/>
  <c r="U321" i="4"/>
  <c r="U322" i="4"/>
  <c r="U323" i="4"/>
  <c r="U324" i="4"/>
  <c r="U325" i="4"/>
  <c r="U326" i="4"/>
  <c r="U327" i="4"/>
  <c r="U328" i="4"/>
  <c r="U329" i="4"/>
  <c r="U330" i="4"/>
  <c r="U331" i="4"/>
  <c r="U332" i="4"/>
  <c r="U333" i="4"/>
  <c r="U334" i="4"/>
  <c r="U335" i="4"/>
  <c r="U336" i="4"/>
  <c r="U337" i="4"/>
  <c r="U338" i="4"/>
  <c r="U339" i="4"/>
  <c r="U340" i="4"/>
  <c r="U341" i="4"/>
  <c r="V4" i="4"/>
  <c r="V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V108" i="4"/>
  <c r="V109" i="4"/>
  <c r="V110" i="4"/>
  <c r="V111" i="4"/>
  <c r="V112" i="4"/>
  <c r="V113" i="4"/>
  <c r="V114" i="4"/>
  <c r="V115" i="4"/>
  <c r="V116" i="4"/>
  <c r="V117" i="4"/>
  <c r="X117" i="4" s="1"/>
  <c r="AA117" i="4" s="1"/>
  <c r="V118" i="4"/>
  <c r="V119" i="4"/>
  <c r="V120" i="4"/>
  <c r="V121" i="4"/>
  <c r="V122" i="4"/>
  <c r="V123" i="4"/>
  <c r="V124" i="4"/>
  <c r="V125" i="4"/>
  <c r="V126" i="4"/>
  <c r="V127" i="4"/>
  <c r="V128" i="4"/>
  <c r="V129" i="4"/>
  <c r="V130" i="4"/>
  <c r="V131" i="4"/>
  <c r="V132" i="4"/>
  <c r="V133" i="4"/>
  <c r="V134" i="4"/>
  <c r="V135" i="4"/>
  <c r="X135" i="4" s="1"/>
  <c r="V136" i="4"/>
  <c r="V137" i="4"/>
  <c r="V138" i="4"/>
  <c r="V139" i="4"/>
  <c r="V140" i="4"/>
  <c r="V141" i="4"/>
  <c r="V142" i="4"/>
  <c r="V143" i="4"/>
  <c r="V144" i="4"/>
  <c r="V145" i="4"/>
  <c r="V146" i="4"/>
  <c r="V147" i="4"/>
  <c r="X147" i="4" s="1"/>
  <c r="V148" i="4"/>
  <c r="V149" i="4"/>
  <c r="V150" i="4"/>
  <c r="V151" i="4"/>
  <c r="V152" i="4"/>
  <c r="V153" i="4"/>
  <c r="V154" i="4"/>
  <c r="V155" i="4"/>
  <c r="V156" i="4"/>
  <c r="V157" i="4"/>
  <c r="V158" i="4"/>
  <c r="V159" i="4"/>
  <c r="V160" i="4"/>
  <c r="V161" i="4"/>
  <c r="V162" i="4"/>
  <c r="V163" i="4"/>
  <c r="V164" i="4"/>
  <c r="V165" i="4"/>
  <c r="X165" i="4" s="1"/>
  <c r="V166" i="4"/>
  <c r="V167" i="4"/>
  <c r="V168" i="4"/>
  <c r="V169" i="4"/>
  <c r="V170" i="4"/>
  <c r="V171" i="4"/>
  <c r="X171" i="4" s="1"/>
  <c r="V172" i="4"/>
  <c r="V173" i="4"/>
  <c r="V174" i="4"/>
  <c r="V175" i="4"/>
  <c r="V176" i="4"/>
  <c r="V177" i="4"/>
  <c r="X177" i="4" s="1"/>
  <c r="V178" i="4"/>
  <c r="V179" i="4"/>
  <c r="V180" i="4"/>
  <c r="V181" i="4"/>
  <c r="V182" i="4"/>
  <c r="V183" i="4"/>
  <c r="X183" i="4" s="1"/>
  <c r="AA183" i="4" s="1"/>
  <c r="AB183" i="4" s="1"/>
  <c r="V184" i="4"/>
  <c r="V185" i="4"/>
  <c r="V186" i="4"/>
  <c r="V187" i="4"/>
  <c r="V188" i="4"/>
  <c r="V189" i="4"/>
  <c r="X189" i="4" s="1"/>
  <c r="V190" i="4"/>
  <c r="V191" i="4"/>
  <c r="V192" i="4"/>
  <c r="V193" i="4"/>
  <c r="V194" i="4"/>
  <c r="V195" i="4"/>
  <c r="X195" i="4" s="1"/>
  <c r="AA195" i="4" s="1"/>
  <c r="AB195" i="4" s="1"/>
  <c r="V196" i="4"/>
  <c r="V197" i="4"/>
  <c r="V198" i="4"/>
  <c r="V199" i="4"/>
  <c r="V200" i="4"/>
  <c r="V201" i="4"/>
  <c r="X201" i="4" s="1"/>
  <c r="V202" i="4"/>
  <c r="V203" i="4"/>
  <c r="V204" i="4"/>
  <c r="V205" i="4"/>
  <c r="V206" i="4"/>
  <c r="V207" i="4"/>
  <c r="X207" i="4" s="1"/>
  <c r="V208" i="4"/>
  <c r="V209" i="4"/>
  <c r="V210" i="4"/>
  <c r="V211" i="4"/>
  <c r="V212" i="4"/>
  <c r="V213" i="4"/>
  <c r="X213" i="4" s="1"/>
  <c r="AA213" i="4" s="1"/>
  <c r="AB213" i="4" s="1"/>
  <c r="V214" i="4"/>
  <c r="V215" i="4"/>
  <c r="V216" i="4"/>
  <c r="V217" i="4"/>
  <c r="V218" i="4"/>
  <c r="V219" i="4"/>
  <c r="X219" i="4" s="1"/>
  <c r="AA219" i="4" s="1"/>
  <c r="AB219" i="4" s="1"/>
  <c r="V220" i="4"/>
  <c r="V221" i="4"/>
  <c r="V222" i="4"/>
  <c r="V223" i="4"/>
  <c r="V224" i="4"/>
  <c r="V225" i="4"/>
  <c r="X225" i="4" s="1"/>
  <c r="AA225" i="4" s="1"/>
  <c r="V226" i="4"/>
  <c r="V227" i="4"/>
  <c r="V228" i="4"/>
  <c r="V229" i="4"/>
  <c r="V230" i="4"/>
  <c r="V231" i="4"/>
  <c r="X231" i="4" s="1"/>
  <c r="AA231" i="4" s="1"/>
  <c r="AB231" i="4" s="1"/>
  <c r="V232" i="4"/>
  <c r="V233" i="4"/>
  <c r="V234" i="4"/>
  <c r="V235" i="4"/>
  <c r="V236" i="4"/>
  <c r="X236" i="4" s="1"/>
  <c r="V237" i="4"/>
  <c r="X237" i="4" s="1"/>
  <c r="V238" i="4"/>
  <c r="V239" i="4"/>
  <c r="V240" i="4"/>
  <c r="V241" i="4"/>
  <c r="V242" i="4"/>
  <c r="V243" i="4"/>
  <c r="X243" i="4" s="1"/>
  <c r="V244" i="4"/>
  <c r="V245" i="4"/>
  <c r="V246" i="4"/>
  <c r="V247" i="4"/>
  <c r="V248" i="4"/>
  <c r="X248" i="4" s="1"/>
  <c r="AA248" i="4" s="1"/>
  <c r="AB248" i="4" s="1"/>
  <c r="V249" i="4"/>
  <c r="X249" i="4" s="1"/>
  <c r="AA249" i="4" s="1"/>
  <c r="AB249" i="4" s="1"/>
  <c r="V250" i="4"/>
  <c r="V251" i="4"/>
  <c r="V252" i="4"/>
  <c r="V253" i="4"/>
  <c r="V254" i="4"/>
  <c r="V255" i="4"/>
  <c r="X255" i="4" s="1"/>
  <c r="AA255" i="4" s="1"/>
  <c r="AB255" i="4" s="1"/>
  <c r="V256" i="4"/>
  <c r="V257" i="4"/>
  <c r="V258" i="4"/>
  <c r="V259" i="4"/>
  <c r="V260" i="4"/>
  <c r="X260" i="4" s="1"/>
  <c r="AA260" i="4" s="1"/>
  <c r="AB260" i="4" s="1"/>
  <c r="V261" i="4"/>
  <c r="X261" i="4" s="1"/>
  <c r="AA261" i="4" s="1"/>
  <c r="V262" i="4"/>
  <c r="V263" i="4"/>
  <c r="V264" i="4"/>
  <c r="V265" i="4"/>
  <c r="V266" i="4"/>
  <c r="V267" i="4"/>
  <c r="X267" i="4" s="1"/>
  <c r="V268" i="4"/>
  <c r="V269" i="4"/>
  <c r="V270" i="4"/>
  <c r="V271" i="4"/>
  <c r="V272" i="4"/>
  <c r="X272" i="4" s="1"/>
  <c r="AA272" i="4" s="1"/>
  <c r="AB272" i="4" s="1"/>
  <c r="V273" i="4"/>
  <c r="X273" i="4" s="1"/>
  <c r="AA273" i="4" s="1"/>
  <c r="AB273" i="4" s="1"/>
  <c r="V274" i="4"/>
  <c r="V275" i="4"/>
  <c r="V276" i="4"/>
  <c r="V277" i="4"/>
  <c r="V278" i="4"/>
  <c r="V279" i="4"/>
  <c r="X279" i="4" s="1"/>
  <c r="AA279" i="4" s="1"/>
  <c r="AB279" i="4" s="1"/>
  <c r="V280" i="4"/>
  <c r="V281" i="4"/>
  <c r="V282" i="4"/>
  <c r="V283" i="4"/>
  <c r="V284" i="4"/>
  <c r="X284" i="4" s="1"/>
  <c r="AA284" i="4" s="1"/>
  <c r="AB284" i="4" s="1"/>
  <c r="V285" i="4"/>
  <c r="X285" i="4" s="1"/>
  <c r="V286" i="4"/>
  <c r="V287" i="4"/>
  <c r="V288" i="4"/>
  <c r="V289" i="4"/>
  <c r="V290" i="4"/>
  <c r="V291" i="4"/>
  <c r="X291" i="4" s="1"/>
  <c r="AA291" i="4" s="1"/>
  <c r="V292" i="4"/>
  <c r="V293" i="4"/>
  <c r="V294" i="4"/>
  <c r="V295" i="4"/>
  <c r="V296" i="4"/>
  <c r="X296" i="4" s="1"/>
  <c r="AA296" i="4" s="1"/>
  <c r="AB296" i="4" s="1"/>
  <c r="V297" i="4"/>
  <c r="X297" i="4" s="1"/>
  <c r="AA297" i="4" s="1"/>
  <c r="AB297" i="4" s="1"/>
  <c r="V298" i="4"/>
  <c r="V299" i="4"/>
  <c r="V300" i="4"/>
  <c r="V301" i="4"/>
  <c r="V302" i="4"/>
  <c r="V303" i="4"/>
  <c r="X303" i="4" s="1"/>
  <c r="V304" i="4"/>
  <c r="V305" i="4"/>
  <c r="V306" i="4"/>
  <c r="V307" i="4"/>
  <c r="V308" i="4"/>
  <c r="X308" i="4" s="1"/>
  <c r="AA308" i="4" s="1"/>
  <c r="AB308" i="4" s="1"/>
  <c r="V309" i="4"/>
  <c r="X309" i="4" s="1"/>
  <c r="AA309" i="4" s="1"/>
  <c r="AB309" i="4" s="1"/>
  <c r="V310" i="4"/>
  <c r="V311" i="4"/>
  <c r="V312" i="4"/>
  <c r="V313" i="4"/>
  <c r="V314" i="4"/>
  <c r="V315" i="4"/>
  <c r="X315" i="4" s="1"/>
  <c r="AA315" i="4" s="1"/>
  <c r="AB315" i="4" s="1"/>
  <c r="V316" i="4"/>
  <c r="V317" i="4"/>
  <c r="V318" i="4"/>
  <c r="V319" i="4"/>
  <c r="V320" i="4"/>
  <c r="X320" i="4" s="1"/>
  <c r="AA320" i="4" s="1"/>
  <c r="V321" i="4"/>
  <c r="X321" i="4" s="1"/>
  <c r="V322" i="4"/>
  <c r="V323" i="4"/>
  <c r="V324" i="4"/>
  <c r="V325" i="4"/>
  <c r="V326" i="4"/>
  <c r="V327" i="4"/>
  <c r="X327" i="4" s="1"/>
  <c r="AA327" i="4" s="1"/>
  <c r="V328" i="4"/>
  <c r="V329" i="4"/>
  <c r="V330" i="4"/>
  <c r="V331" i="4"/>
  <c r="V332" i="4"/>
  <c r="X332" i="4" s="1"/>
  <c r="V333" i="4"/>
  <c r="X333" i="4" s="1"/>
  <c r="AA333" i="4" s="1"/>
  <c r="V334" i="4"/>
  <c r="V335" i="4"/>
  <c r="V336" i="4"/>
  <c r="V337" i="4"/>
  <c r="V338" i="4"/>
  <c r="V339" i="4"/>
  <c r="X339" i="4" s="1"/>
  <c r="V340" i="4"/>
  <c r="V341" i="4"/>
  <c r="W4" i="4"/>
  <c r="W5" i="4"/>
  <c r="W6" i="4"/>
  <c r="X6" i="4" s="1"/>
  <c r="W7" i="4"/>
  <c r="X7" i="4" s="1"/>
  <c r="W8" i="4"/>
  <c r="W9" i="4"/>
  <c r="W10" i="4"/>
  <c r="W11" i="4"/>
  <c r="W12" i="4"/>
  <c r="W13" i="4"/>
  <c r="X13" i="4" s="1"/>
  <c r="W14" i="4"/>
  <c r="W15" i="4"/>
  <c r="W16" i="4"/>
  <c r="W17" i="4"/>
  <c r="W18" i="4"/>
  <c r="X18" i="4" s="1"/>
  <c r="W19" i="4"/>
  <c r="X19" i="4" s="1"/>
  <c r="W20" i="4"/>
  <c r="W21" i="4"/>
  <c r="W22" i="4"/>
  <c r="W23" i="4"/>
  <c r="W24" i="4"/>
  <c r="X24" i="4" s="1"/>
  <c r="W25" i="4"/>
  <c r="X25" i="4" s="1"/>
  <c r="W26" i="4"/>
  <c r="W27" i="4"/>
  <c r="W28" i="4"/>
  <c r="W29" i="4"/>
  <c r="W30" i="4"/>
  <c r="X30" i="4" s="1"/>
  <c r="W31" i="4"/>
  <c r="X31" i="4" s="1"/>
  <c r="W32" i="4"/>
  <c r="W33" i="4"/>
  <c r="W34" i="4"/>
  <c r="W35" i="4"/>
  <c r="W36" i="4"/>
  <c r="W37" i="4"/>
  <c r="X37" i="4" s="1"/>
  <c r="W38" i="4"/>
  <c r="W39" i="4"/>
  <c r="W40" i="4"/>
  <c r="W41" i="4"/>
  <c r="W42" i="4"/>
  <c r="X42" i="4" s="1"/>
  <c r="W43" i="4"/>
  <c r="X43" i="4" s="1"/>
  <c r="W44" i="4"/>
  <c r="W45" i="4"/>
  <c r="W46" i="4"/>
  <c r="W47" i="4"/>
  <c r="W48" i="4"/>
  <c r="W49" i="4"/>
  <c r="X49" i="4" s="1"/>
  <c r="W50" i="4"/>
  <c r="W51" i="4"/>
  <c r="W52" i="4"/>
  <c r="W53" i="4"/>
  <c r="W54" i="4"/>
  <c r="X54" i="4" s="1"/>
  <c r="AA54" i="4" s="1"/>
  <c r="AB54" i="4" s="1"/>
  <c r="W55" i="4"/>
  <c r="X55" i="4" s="1"/>
  <c r="W56" i="4"/>
  <c r="W57" i="4"/>
  <c r="W58" i="4"/>
  <c r="W59" i="4"/>
  <c r="W60" i="4"/>
  <c r="X60" i="4" s="1"/>
  <c r="W61" i="4"/>
  <c r="X61" i="4" s="1"/>
  <c r="W62" i="4"/>
  <c r="W63" i="4"/>
  <c r="W64" i="4"/>
  <c r="W65" i="4"/>
  <c r="W66" i="4"/>
  <c r="W67" i="4"/>
  <c r="X67" i="4" s="1"/>
  <c r="W68" i="4"/>
  <c r="W69" i="4"/>
  <c r="W70" i="4"/>
  <c r="W71" i="4"/>
  <c r="W72" i="4"/>
  <c r="W73" i="4"/>
  <c r="X73" i="4" s="1"/>
  <c r="W74" i="4"/>
  <c r="W75" i="4"/>
  <c r="W76" i="4"/>
  <c r="W77" i="4"/>
  <c r="W78" i="4"/>
  <c r="X78" i="4" s="1"/>
  <c r="W79" i="4"/>
  <c r="X79" i="4" s="1"/>
  <c r="W80" i="4"/>
  <c r="W81" i="4"/>
  <c r="W82" i="4"/>
  <c r="W83" i="4"/>
  <c r="W84" i="4"/>
  <c r="W85" i="4"/>
  <c r="X85" i="4" s="1"/>
  <c r="W86" i="4"/>
  <c r="W87" i="4"/>
  <c r="W88" i="4"/>
  <c r="W89" i="4"/>
  <c r="W90" i="4"/>
  <c r="X90" i="4" s="1"/>
  <c r="AA90" i="4" s="1"/>
  <c r="AB90" i="4" s="1"/>
  <c r="W91" i="4"/>
  <c r="X91" i="4" s="1"/>
  <c r="W92" i="4"/>
  <c r="W93" i="4"/>
  <c r="W94" i="4"/>
  <c r="W95" i="4"/>
  <c r="W96" i="4"/>
  <c r="X96" i="4" s="1"/>
  <c r="W97" i="4"/>
  <c r="X97" i="4" s="1"/>
  <c r="W98" i="4"/>
  <c r="W99" i="4"/>
  <c r="W100" i="4"/>
  <c r="W101" i="4"/>
  <c r="W102" i="4"/>
  <c r="W103" i="4"/>
  <c r="X103" i="4" s="1"/>
  <c r="W104" i="4"/>
  <c r="W105" i="4"/>
  <c r="W106" i="4"/>
  <c r="W107" i="4"/>
  <c r="W108" i="4"/>
  <c r="W109" i="4"/>
  <c r="X109" i="4" s="1"/>
  <c r="W110" i="4"/>
  <c r="W111" i="4"/>
  <c r="W112" i="4"/>
  <c r="W113" i="4"/>
  <c r="W114" i="4"/>
  <c r="W115" i="4"/>
  <c r="X115" i="4" s="1"/>
  <c r="W116" i="4"/>
  <c r="W117" i="4"/>
  <c r="W118" i="4"/>
  <c r="W119" i="4"/>
  <c r="W120" i="4"/>
  <c r="X120" i="4" s="1"/>
  <c r="W121" i="4"/>
  <c r="X121" i="4" s="1"/>
  <c r="W122" i="4"/>
  <c r="W123" i="4"/>
  <c r="W124" i="4"/>
  <c r="W125" i="4"/>
  <c r="W126" i="4"/>
  <c r="X126" i="4" s="1"/>
  <c r="AA126" i="4" s="1"/>
  <c r="AB126" i="4" s="1"/>
  <c r="W127" i="4"/>
  <c r="X127" i="4" s="1"/>
  <c r="W128" i="4"/>
  <c r="W129" i="4"/>
  <c r="W130" i="4"/>
  <c r="W131" i="4"/>
  <c r="W132" i="4"/>
  <c r="X132" i="4" s="1"/>
  <c r="W133" i="4"/>
  <c r="X133" i="4" s="1"/>
  <c r="W134" i="4"/>
  <c r="W135" i="4"/>
  <c r="W136" i="4"/>
  <c r="W137" i="4"/>
  <c r="W138" i="4"/>
  <c r="W139" i="4"/>
  <c r="X139" i="4" s="1"/>
  <c r="W140" i="4"/>
  <c r="W141" i="4"/>
  <c r="W142" i="4"/>
  <c r="W143" i="4"/>
  <c r="W144" i="4"/>
  <c r="W145" i="4"/>
  <c r="X145" i="4" s="1"/>
  <c r="W146" i="4"/>
  <c r="W147" i="4"/>
  <c r="W148" i="4"/>
  <c r="W149" i="4"/>
  <c r="W150" i="4"/>
  <c r="W151" i="4"/>
  <c r="X151" i="4" s="1"/>
  <c r="W152" i="4"/>
  <c r="W153" i="4"/>
  <c r="W154" i="4"/>
  <c r="W155" i="4"/>
  <c r="W156" i="4"/>
  <c r="X156" i="4" s="1"/>
  <c r="AA156" i="4" s="1"/>
  <c r="W157" i="4"/>
  <c r="X157" i="4" s="1"/>
  <c r="W158" i="4"/>
  <c r="W159" i="4"/>
  <c r="W160" i="4"/>
  <c r="W161" i="4"/>
  <c r="W162" i="4"/>
  <c r="X162" i="4" s="1"/>
  <c r="AA162" i="4" s="1"/>
  <c r="AB162" i="4" s="1"/>
  <c r="W163" i="4"/>
  <c r="X163" i="4" s="1"/>
  <c r="W164" i="4"/>
  <c r="W165" i="4"/>
  <c r="W166" i="4"/>
  <c r="W167" i="4"/>
  <c r="W168" i="4"/>
  <c r="X168" i="4" s="1"/>
  <c r="W169" i="4"/>
  <c r="X169" i="4" s="1"/>
  <c r="W170" i="4"/>
  <c r="W171" i="4"/>
  <c r="W172" i="4"/>
  <c r="W173" i="4"/>
  <c r="W174" i="4"/>
  <c r="W175" i="4"/>
  <c r="X175" i="4" s="1"/>
  <c r="W176" i="4"/>
  <c r="W177" i="4"/>
  <c r="W178" i="4"/>
  <c r="W179" i="4"/>
  <c r="W180" i="4"/>
  <c r="W181" i="4"/>
  <c r="X181" i="4" s="1"/>
  <c r="W182" i="4"/>
  <c r="W183" i="4"/>
  <c r="W184" i="4"/>
  <c r="W185" i="4"/>
  <c r="W186" i="4"/>
  <c r="W187" i="4"/>
  <c r="X187" i="4" s="1"/>
  <c r="W188" i="4"/>
  <c r="W189" i="4"/>
  <c r="W190" i="4"/>
  <c r="W191" i="4"/>
  <c r="W192" i="4"/>
  <c r="W193" i="4"/>
  <c r="X193" i="4" s="1"/>
  <c r="W194" i="4"/>
  <c r="W195" i="4"/>
  <c r="W196" i="4"/>
  <c r="W197" i="4"/>
  <c r="W198" i="4"/>
  <c r="W199" i="4"/>
  <c r="X199" i="4" s="1"/>
  <c r="W200" i="4"/>
  <c r="W201" i="4"/>
  <c r="W202" i="4"/>
  <c r="W203" i="4"/>
  <c r="W204" i="4"/>
  <c r="W205" i="4"/>
  <c r="X205" i="4" s="1"/>
  <c r="W206" i="4"/>
  <c r="W207" i="4"/>
  <c r="W208" i="4"/>
  <c r="W209" i="4"/>
  <c r="W210" i="4"/>
  <c r="W211" i="4"/>
  <c r="X211" i="4" s="1"/>
  <c r="W212" i="4"/>
  <c r="W213" i="4"/>
  <c r="W214" i="4"/>
  <c r="W215" i="4"/>
  <c r="W216" i="4"/>
  <c r="W217" i="4"/>
  <c r="X217" i="4" s="1"/>
  <c r="W218" i="4"/>
  <c r="W219" i="4"/>
  <c r="W220" i="4"/>
  <c r="W221" i="4"/>
  <c r="W222" i="4"/>
  <c r="W223" i="4"/>
  <c r="X223" i="4" s="1"/>
  <c r="W224" i="4"/>
  <c r="W225" i="4"/>
  <c r="W226" i="4"/>
  <c r="W227" i="4"/>
  <c r="W228" i="4"/>
  <c r="W229" i="4"/>
  <c r="X229" i="4" s="1"/>
  <c r="W230" i="4"/>
  <c r="W231" i="4"/>
  <c r="W232" i="4"/>
  <c r="W233" i="4"/>
  <c r="W234" i="4"/>
  <c r="W235" i="4"/>
  <c r="X235" i="4" s="1"/>
  <c r="W236" i="4"/>
  <c r="W237" i="4"/>
  <c r="W238" i="4"/>
  <c r="W239" i="4"/>
  <c r="W240" i="4"/>
  <c r="W241" i="4"/>
  <c r="X241" i="4" s="1"/>
  <c r="W242" i="4"/>
  <c r="W243" i="4"/>
  <c r="W244" i="4"/>
  <c r="W245" i="4"/>
  <c r="W246" i="4"/>
  <c r="W247" i="4"/>
  <c r="X247" i="4" s="1"/>
  <c r="W248" i="4"/>
  <c r="W249" i="4"/>
  <c r="W250" i="4"/>
  <c r="W251" i="4"/>
  <c r="W252" i="4"/>
  <c r="W253" i="4"/>
  <c r="X253" i="4" s="1"/>
  <c r="W254" i="4"/>
  <c r="W255" i="4"/>
  <c r="W256" i="4"/>
  <c r="W257" i="4"/>
  <c r="W258" i="4"/>
  <c r="W259" i="4"/>
  <c r="X259" i="4" s="1"/>
  <c r="W260" i="4"/>
  <c r="W261" i="4"/>
  <c r="W262" i="4"/>
  <c r="W263" i="4"/>
  <c r="W264" i="4"/>
  <c r="W265" i="4"/>
  <c r="X265" i="4" s="1"/>
  <c r="W266" i="4"/>
  <c r="W267" i="4"/>
  <c r="W268" i="4"/>
  <c r="W269" i="4"/>
  <c r="W270" i="4"/>
  <c r="W271" i="4"/>
  <c r="X271" i="4" s="1"/>
  <c r="W272" i="4"/>
  <c r="W273" i="4"/>
  <c r="W274" i="4"/>
  <c r="W275" i="4"/>
  <c r="W276" i="4"/>
  <c r="W277" i="4"/>
  <c r="X277" i="4" s="1"/>
  <c r="W278" i="4"/>
  <c r="W279" i="4"/>
  <c r="W280" i="4"/>
  <c r="X280" i="4" s="1"/>
  <c r="AA280" i="4" s="1"/>
  <c r="W281" i="4"/>
  <c r="W282" i="4"/>
  <c r="W283" i="4"/>
  <c r="X283" i="4" s="1"/>
  <c r="W284" i="4"/>
  <c r="W285" i="4"/>
  <c r="W286" i="4"/>
  <c r="W287" i="4"/>
  <c r="W288" i="4"/>
  <c r="W289" i="4"/>
  <c r="X289" i="4" s="1"/>
  <c r="W290" i="4"/>
  <c r="W291" i="4"/>
  <c r="W292" i="4"/>
  <c r="X292" i="4" s="1"/>
  <c r="W293" i="4"/>
  <c r="W294" i="4"/>
  <c r="W295" i="4"/>
  <c r="X295" i="4" s="1"/>
  <c r="W296" i="4"/>
  <c r="W297" i="4"/>
  <c r="W298" i="4"/>
  <c r="W299" i="4"/>
  <c r="W300" i="4"/>
  <c r="W301" i="4"/>
  <c r="X301" i="4" s="1"/>
  <c r="W302" i="4"/>
  <c r="W303" i="4"/>
  <c r="W304" i="4"/>
  <c r="X304" i="4" s="1"/>
  <c r="W305" i="4"/>
  <c r="W306" i="4"/>
  <c r="W307" i="4"/>
  <c r="X307" i="4" s="1"/>
  <c r="W308" i="4"/>
  <c r="W309" i="4"/>
  <c r="W310" i="4"/>
  <c r="W311" i="4"/>
  <c r="W312" i="4"/>
  <c r="W313" i="4"/>
  <c r="X313" i="4" s="1"/>
  <c r="W314" i="4"/>
  <c r="W315" i="4"/>
  <c r="W316" i="4"/>
  <c r="X316" i="4" s="1"/>
  <c r="AA316" i="4" s="1"/>
  <c r="W317" i="4"/>
  <c r="W318" i="4"/>
  <c r="W319" i="4"/>
  <c r="X319" i="4" s="1"/>
  <c r="W320" i="4"/>
  <c r="W321" i="4"/>
  <c r="W322" i="4"/>
  <c r="W323" i="4"/>
  <c r="W324" i="4"/>
  <c r="W325" i="4"/>
  <c r="X325" i="4" s="1"/>
  <c r="W326" i="4"/>
  <c r="W327" i="4"/>
  <c r="W328" i="4"/>
  <c r="X328" i="4" s="1"/>
  <c r="W329" i="4"/>
  <c r="W330" i="4"/>
  <c r="W331" i="4"/>
  <c r="X331" i="4" s="1"/>
  <c r="W332" i="4"/>
  <c r="W333" i="4"/>
  <c r="W334" i="4"/>
  <c r="W335" i="4"/>
  <c r="W336" i="4"/>
  <c r="W337" i="4"/>
  <c r="X337" i="4" s="1"/>
  <c r="W338" i="4"/>
  <c r="W339" i="4"/>
  <c r="W340" i="4"/>
  <c r="X340" i="4" s="1"/>
  <c r="W341" i="4"/>
  <c r="X4" i="4"/>
  <c r="X5" i="4"/>
  <c r="X9" i="4"/>
  <c r="X10" i="4"/>
  <c r="X11" i="4"/>
  <c r="X12" i="4"/>
  <c r="X14" i="4"/>
  <c r="X15" i="4"/>
  <c r="X16" i="4"/>
  <c r="X17" i="4"/>
  <c r="X20" i="4"/>
  <c r="AA20" i="4" s="1"/>
  <c r="X21" i="4"/>
  <c r="X22" i="4"/>
  <c r="X23" i="4"/>
  <c r="X26" i="4"/>
  <c r="X27" i="4"/>
  <c r="X28" i="4"/>
  <c r="X32" i="4"/>
  <c r="X33" i="4"/>
  <c r="X34" i="4"/>
  <c r="X35" i="4"/>
  <c r="X39" i="4"/>
  <c r="X40" i="4"/>
  <c r="X41" i="4"/>
  <c r="X45" i="4"/>
  <c r="X46" i="4"/>
  <c r="X47" i="4"/>
  <c r="X48" i="4"/>
  <c r="X50" i="4"/>
  <c r="X51" i="4"/>
  <c r="X52" i="4"/>
  <c r="X53" i="4"/>
  <c r="X56" i="4"/>
  <c r="AA56" i="4" s="1"/>
  <c r="X57" i="4"/>
  <c r="X58" i="4"/>
  <c r="X59" i="4"/>
  <c r="X62" i="4"/>
  <c r="X63" i="4"/>
  <c r="X64" i="4"/>
  <c r="X68" i="4"/>
  <c r="X69" i="4"/>
  <c r="X70" i="4"/>
  <c r="X71" i="4"/>
  <c r="X75" i="4"/>
  <c r="X76" i="4"/>
  <c r="X77" i="4"/>
  <c r="X81" i="4"/>
  <c r="X82" i="4"/>
  <c r="X83" i="4"/>
  <c r="X84" i="4"/>
  <c r="X86" i="4"/>
  <c r="X87" i="4"/>
  <c r="X88" i="4"/>
  <c r="X89" i="4"/>
  <c r="X92" i="4"/>
  <c r="AA92" i="4" s="1"/>
  <c r="X93" i="4"/>
  <c r="X94" i="4"/>
  <c r="X98" i="4"/>
  <c r="X99" i="4"/>
  <c r="X100" i="4"/>
  <c r="X104" i="4"/>
  <c r="X105" i="4"/>
  <c r="X106" i="4"/>
  <c r="X107" i="4"/>
  <c r="X111" i="4"/>
  <c r="X112" i="4"/>
  <c r="X113" i="4"/>
  <c r="X114" i="4"/>
  <c r="X118" i="4"/>
  <c r="X119" i="4"/>
  <c r="X122" i="4"/>
  <c r="X123" i="4"/>
  <c r="X124" i="4"/>
  <c r="X125" i="4"/>
  <c r="X128" i="4"/>
  <c r="X129" i="4"/>
  <c r="X130" i="4"/>
  <c r="X134" i="4"/>
  <c r="X136" i="4"/>
  <c r="X140" i="4"/>
  <c r="X141" i="4"/>
  <c r="X142" i="4"/>
  <c r="X143" i="4"/>
  <c r="X148" i="4"/>
  <c r="X149" i="4"/>
  <c r="X150" i="4"/>
  <c r="X153" i="4"/>
  <c r="X154" i="4"/>
  <c r="X155" i="4"/>
  <c r="X158" i="4"/>
  <c r="X159" i="4"/>
  <c r="X160" i="4"/>
  <c r="X161" i="4"/>
  <c r="X164" i="4"/>
  <c r="X166" i="4"/>
  <c r="X170" i="4"/>
  <c r="X172" i="4"/>
  <c r="X176" i="4"/>
  <c r="X178" i="4"/>
  <c r="X182" i="4"/>
  <c r="X184" i="4"/>
  <c r="X188" i="4"/>
  <c r="X190" i="4"/>
  <c r="X194" i="4"/>
  <c r="X196" i="4"/>
  <c r="X200" i="4"/>
  <c r="X202" i="4"/>
  <c r="X206" i="4"/>
  <c r="X208" i="4"/>
  <c r="X212" i="4"/>
  <c r="X214" i="4"/>
  <c r="X218" i="4"/>
  <c r="X220" i="4"/>
  <c r="X224" i="4"/>
  <c r="X226" i="4"/>
  <c r="X230" i="4"/>
  <c r="X232" i="4"/>
  <c r="X238" i="4"/>
  <c r="X242" i="4"/>
  <c r="X244" i="4"/>
  <c r="X250" i="4"/>
  <c r="X254" i="4"/>
  <c r="X256" i="4"/>
  <c r="X262" i="4"/>
  <c r="X266" i="4"/>
  <c r="X268" i="4"/>
  <c r="X274" i="4"/>
  <c r="X278" i="4"/>
  <c r="X286" i="4"/>
  <c r="X290" i="4"/>
  <c r="X298" i="4"/>
  <c r="X302" i="4"/>
  <c r="X310" i="4"/>
  <c r="X314" i="4"/>
  <c r="X322" i="4"/>
  <c r="X326" i="4"/>
  <c r="X334" i="4"/>
  <c r="X338" i="4"/>
  <c r="Y4" i="4"/>
  <c r="Y5" i="4"/>
  <c r="Y6" i="4"/>
  <c r="Y7" i="4"/>
  <c r="AA7" i="4" s="1"/>
  <c r="Y8" i="4"/>
  <c r="Y9" i="4"/>
  <c r="Y10" i="4"/>
  <c r="Y11" i="4"/>
  <c r="Y12" i="4"/>
  <c r="Y13" i="4"/>
  <c r="AA13" i="4" s="1"/>
  <c r="Y14" i="4"/>
  <c r="Y15" i="4"/>
  <c r="Y16" i="4"/>
  <c r="Y17" i="4"/>
  <c r="Y18" i="4"/>
  <c r="Y19" i="4"/>
  <c r="Y20" i="4"/>
  <c r="Y21" i="4"/>
  <c r="Y22" i="4"/>
  <c r="Y23" i="4"/>
  <c r="Y24" i="4"/>
  <c r="Y25" i="4"/>
  <c r="AA25" i="4" s="1"/>
  <c r="Y26" i="4"/>
  <c r="Y27" i="4"/>
  <c r="Y28" i="4"/>
  <c r="Y29" i="4"/>
  <c r="Y30" i="4"/>
  <c r="Y31" i="4"/>
  <c r="Y32" i="4"/>
  <c r="Y33" i="4"/>
  <c r="Y34" i="4"/>
  <c r="Y35" i="4"/>
  <c r="Y36" i="4"/>
  <c r="Y37" i="4"/>
  <c r="AA37" i="4" s="1"/>
  <c r="Y38" i="4"/>
  <c r="Y39" i="4"/>
  <c r="Y40" i="4"/>
  <c r="Y41" i="4"/>
  <c r="Y42" i="4"/>
  <c r="Y43" i="4"/>
  <c r="AA43" i="4" s="1"/>
  <c r="Y44" i="4"/>
  <c r="Y45" i="4"/>
  <c r="Y46" i="4"/>
  <c r="Y47" i="4"/>
  <c r="Y48" i="4"/>
  <c r="Y49" i="4"/>
  <c r="AA49" i="4" s="1"/>
  <c r="Y50" i="4"/>
  <c r="Y51" i="4"/>
  <c r="Y52" i="4"/>
  <c r="Y53" i="4"/>
  <c r="Y54" i="4"/>
  <c r="Y55" i="4"/>
  <c r="AA55" i="4" s="1"/>
  <c r="Y56" i="4"/>
  <c r="Y57" i="4"/>
  <c r="Y58" i="4"/>
  <c r="Y59" i="4"/>
  <c r="Y60" i="4"/>
  <c r="Y61" i="4"/>
  <c r="Y62" i="4"/>
  <c r="Y63" i="4"/>
  <c r="Y64" i="4"/>
  <c r="Y65" i="4"/>
  <c r="Y66" i="4"/>
  <c r="Y67" i="4"/>
  <c r="AA67" i="4" s="1"/>
  <c r="AB67" i="4" s="1"/>
  <c r="Y68" i="4"/>
  <c r="Y69" i="4"/>
  <c r="Y70" i="4"/>
  <c r="Y71" i="4"/>
  <c r="Y72" i="4"/>
  <c r="Y73" i="4"/>
  <c r="Y74" i="4"/>
  <c r="Y75" i="4"/>
  <c r="Y76" i="4"/>
  <c r="Y77" i="4"/>
  <c r="Y78" i="4"/>
  <c r="Y79" i="4"/>
  <c r="AA79" i="4" s="1"/>
  <c r="Y80" i="4"/>
  <c r="Y81" i="4"/>
  <c r="Y82" i="4"/>
  <c r="Y83" i="4"/>
  <c r="Y84" i="4"/>
  <c r="Y85" i="4"/>
  <c r="AA85" i="4" s="1"/>
  <c r="Y86" i="4"/>
  <c r="Y87" i="4"/>
  <c r="Y88" i="4"/>
  <c r="Y89" i="4"/>
  <c r="Y90" i="4"/>
  <c r="Y91" i="4"/>
  <c r="Y92" i="4"/>
  <c r="Y93" i="4"/>
  <c r="Y94" i="4"/>
  <c r="Y95" i="4"/>
  <c r="Y96" i="4"/>
  <c r="Y97" i="4"/>
  <c r="AA97" i="4" s="1"/>
  <c r="AB97" i="4" s="1"/>
  <c r="Y98" i="4"/>
  <c r="Y99" i="4"/>
  <c r="Y100" i="4"/>
  <c r="Y101" i="4"/>
  <c r="Y102" i="4"/>
  <c r="Y103" i="4"/>
  <c r="Y104" i="4"/>
  <c r="Y105" i="4"/>
  <c r="Y106" i="4"/>
  <c r="Y107" i="4"/>
  <c r="Y108" i="4"/>
  <c r="Y109" i="4"/>
  <c r="AA109" i="4" s="1"/>
  <c r="Y110" i="4"/>
  <c r="Y111" i="4"/>
  <c r="Y112" i="4"/>
  <c r="Y113" i="4"/>
  <c r="Y114" i="4"/>
  <c r="Y115" i="4"/>
  <c r="AA115" i="4" s="1"/>
  <c r="Y116" i="4"/>
  <c r="Y117" i="4"/>
  <c r="Y118" i="4"/>
  <c r="Y119" i="4"/>
  <c r="Y120" i="4"/>
  <c r="Y121" i="4"/>
  <c r="AA121" i="4" s="1"/>
  <c r="Y122" i="4"/>
  <c r="Y123" i="4"/>
  <c r="Y124" i="4"/>
  <c r="Y125" i="4"/>
  <c r="Y126" i="4"/>
  <c r="Y127" i="4"/>
  <c r="AA127" i="4" s="1"/>
  <c r="Y128" i="4"/>
  <c r="Y129" i="4"/>
  <c r="Y130" i="4"/>
  <c r="Y131" i="4"/>
  <c r="Y132" i="4"/>
  <c r="Y133" i="4"/>
  <c r="Y134" i="4"/>
  <c r="Y135" i="4"/>
  <c r="Y136" i="4"/>
  <c r="Y137" i="4"/>
  <c r="Y138" i="4"/>
  <c r="Y139" i="4"/>
  <c r="AA139" i="4" s="1"/>
  <c r="AB139" i="4" s="1"/>
  <c r="Y140" i="4"/>
  <c r="Y141" i="4"/>
  <c r="Y142" i="4"/>
  <c r="Y143" i="4"/>
  <c r="Y144" i="4"/>
  <c r="Y145" i="4"/>
  <c r="Y146" i="4"/>
  <c r="Y147" i="4"/>
  <c r="Y148" i="4"/>
  <c r="Y149" i="4"/>
  <c r="Y150" i="4"/>
  <c r="Y151" i="4"/>
  <c r="AA151" i="4" s="1"/>
  <c r="Y152" i="4"/>
  <c r="Y153" i="4"/>
  <c r="Y154" i="4"/>
  <c r="Y155" i="4"/>
  <c r="Y156" i="4"/>
  <c r="Y157" i="4"/>
  <c r="AA157" i="4" s="1"/>
  <c r="Y158" i="4"/>
  <c r="Y159" i="4"/>
  <c r="Y160" i="4"/>
  <c r="Y161" i="4"/>
  <c r="Y162" i="4"/>
  <c r="Y163" i="4"/>
  <c r="Y164" i="4"/>
  <c r="Y165" i="4"/>
  <c r="Y166" i="4"/>
  <c r="Y167" i="4"/>
  <c r="Y168" i="4"/>
  <c r="AA168" i="4" s="1"/>
  <c r="AB168" i="4" s="1"/>
  <c r="Y169" i="4"/>
  <c r="AA169" i="4" s="1"/>
  <c r="Y170" i="4"/>
  <c r="Y171" i="4"/>
  <c r="Y172" i="4"/>
  <c r="Y173" i="4"/>
  <c r="Y174" i="4"/>
  <c r="Y175" i="4"/>
  <c r="Y176" i="4"/>
  <c r="Y177" i="4"/>
  <c r="Y178" i="4"/>
  <c r="Y179" i="4"/>
  <c r="Y180" i="4"/>
  <c r="Y181" i="4"/>
  <c r="AA181" i="4" s="1"/>
  <c r="Y182" i="4"/>
  <c r="Y183" i="4"/>
  <c r="Y184" i="4"/>
  <c r="Y185" i="4"/>
  <c r="Y186" i="4"/>
  <c r="Y187" i="4"/>
  <c r="AA187" i="4" s="1"/>
  <c r="Y188" i="4"/>
  <c r="Y189" i="4"/>
  <c r="Y190" i="4"/>
  <c r="Y191" i="4"/>
  <c r="Y192" i="4"/>
  <c r="Y193" i="4"/>
  <c r="AA193" i="4" s="1"/>
  <c r="Y194" i="4"/>
  <c r="Y195" i="4"/>
  <c r="Y196" i="4"/>
  <c r="Y197" i="4"/>
  <c r="Y198" i="4"/>
  <c r="Y199" i="4"/>
  <c r="Y200" i="4"/>
  <c r="Y201" i="4"/>
  <c r="Y202" i="4"/>
  <c r="Y203" i="4"/>
  <c r="Y204" i="4"/>
  <c r="Y205" i="4"/>
  <c r="AA205" i="4" s="1"/>
  <c r="Y206" i="4"/>
  <c r="Y207" i="4"/>
  <c r="Y208" i="4"/>
  <c r="Y209" i="4"/>
  <c r="Y210" i="4"/>
  <c r="Y211" i="4"/>
  <c r="AA211" i="4" s="1"/>
  <c r="AB211" i="4" s="1"/>
  <c r="Y212" i="4"/>
  <c r="Y213" i="4"/>
  <c r="Y214" i="4"/>
  <c r="Y215" i="4"/>
  <c r="Y216" i="4"/>
  <c r="Y217" i="4"/>
  <c r="AA217" i="4" s="1"/>
  <c r="Y218" i="4"/>
  <c r="Y219" i="4"/>
  <c r="Y220" i="4"/>
  <c r="Y221" i="4"/>
  <c r="Y222" i="4"/>
  <c r="Y223" i="4"/>
  <c r="AA223" i="4" s="1"/>
  <c r="Y224" i="4"/>
  <c r="Y225" i="4"/>
  <c r="Y226" i="4"/>
  <c r="Y227" i="4"/>
  <c r="Y228" i="4"/>
  <c r="Y229" i="4"/>
  <c r="AA229" i="4" s="1"/>
  <c r="Y230" i="4"/>
  <c r="Y231" i="4"/>
  <c r="Y232" i="4"/>
  <c r="Y233" i="4"/>
  <c r="Y234" i="4"/>
  <c r="Y235" i="4"/>
  <c r="AA235" i="4" s="1"/>
  <c r="Y236" i="4"/>
  <c r="Y237" i="4"/>
  <c r="Y238" i="4"/>
  <c r="Y239" i="4"/>
  <c r="Y240" i="4"/>
  <c r="Y241" i="4"/>
  <c r="AA241" i="4" s="1"/>
  <c r="Y242" i="4"/>
  <c r="Y243" i="4"/>
  <c r="Y244" i="4"/>
  <c r="Y245" i="4"/>
  <c r="Y246" i="4"/>
  <c r="Y247" i="4"/>
  <c r="AA247" i="4" s="1"/>
  <c r="AB247" i="4" s="1"/>
  <c r="Y248" i="4"/>
  <c r="Y249" i="4"/>
  <c r="Y250" i="4"/>
  <c r="Y251" i="4"/>
  <c r="Y252" i="4"/>
  <c r="Y253" i="4"/>
  <c r="AA253" i="4" s="1"/>
  <c r="Y254" i="4"/>
  <c r="Y255" i="4"/>
  <c r="Y256" i="4"/>
  <c r="Y257" i="4"/>
  <c r="Y258" i="4"/>
  <c r="Y259" i="4"/>
  <c r="AA259" i="4" s="1"/>
  <c r="Y260" i="4"/>
  <c r="Y261" i="4"/>
  <c r="Y262" i="4"/>
  <c r="Y263" i="4"/>
  <c r="Y264" i="4"/>
  <c r="Y265" i="4"/>
  <c r="AA265" i="4" s="1"/>
  <c r="Y266" i="4"/>
  <c r="Y267" i="4"/>
  <c r="Y268" i="4"/>
  <c r="Y269" i="4"/>
  <c r="Y270" i="4"/>
  <c r="Y271" i="4"/>
  <c r="AA271" i="4" s="1"/>
  <c r="Y272" i="4"/>
  <c r="Y273" i="4"/>
  <c r="Y274" i="4"/>
  <c r="Y275" i="4"/>
  <c r="Y276" i="4"/>
  <c r="Y277" i="4"/>
  <c r="AA277" i="4" s="1"/>
  <c r="Y278" i="4"/>
  <c r="Y279" i="4"/>
  <c r="Y280" i="4"/>
  <c r="Y281" i="4"/>
  <c r="Y282" i="4"/>
  <c r="Y283" i="4"/>
  <c r="AA283" i="4" s="1"/>
  <c r="Y284" i="4"/>
  <c r="Y285" i="4"/>
  <c r="Y286" i="4"/>
  <c r="Y287" i="4"/>
  <c r="Y288" i="4"/>
  <c r="Y289" i="4"/>
  <c r="AA289" i="4" s="1"/>
  <c r="Y290" i="4"/>
  <c r="Y291" i="4"/>
  <c r="Y292" i="4"/>
  <c r="Y293" i="4"/>
  <c r="Y294" i="4"/>
  <c r="Y295" i="4"/>
  <c r="AA295" i="4" s="1"/>
  <c r="Y296" i="4"/>
  <c r="Y297" i="4"/>
  <c r="Y298" i="4"/>
  <c r="Y299" i="4"/>
  <c r="Y300" i="4"/>
  <c r="Y301" i="4"/>
  <c r="AA301" i="4" s="1"/>
  <c r="Y302" i="4"/>
  <c r="Y303" i="4"/>
  <c r="Y304" i="4"/>
  <c r="Y305" i="4"/>
  <c r="Y306" i="4"/>
  <c r="Y307" i="4"/>
  <c r="AA307" i="4" s="1"/>
  <c r="Y308" i="4"/>
  <c r="Y309" i="4"/>
  <c r="Y310" i="4"/>
  <c r="Y311" i="4"/>
  <c r="Y312" i="4"/>
  <c r="Y313" i="4"/>
  <c r="AA313" i="4" s="1"/>
  <c r="Y314" i="4"/>
  <c r="Y315" i="4"/>
  <c r="Y316" i="4"/>
  <c r="Y317" i="4"/>
  <c r="Y318" i="4"/>
  <c r="Y319" i="4"/>
  <c r="AA319" i="4" s="1"/>
  <c r="Y320" i="4"/>
  <c r="Y321" i="4"/>
  <c r="Y322" i="4"/>
  <c r="Y323" i="4"/>
  <c r="Y324" i="4"/>
  <c r="Y325" i="4"/>
  <c r="AA325" i="4" s="1"/>
  <c r="Y326" i="4"/>
  <c r="Y327" i="4"/>
  <c r="Y328" i="4"/>
  <c r="Y329" i="4"/>
  <c r="Y330" i="4"/>
  <c r="Y331" i="4"/>
  <c r="AA331" i="4" s="1"/>
  <c r="Y332" i="4"/>
  <c r="Y333" i="4"/>
  <c r="Y334" i="4"/>
  <c r="Y335" i="4"/>
  <c r="Y336" i="4"/>
  <c r="Y337" i="4"/>
  <c r="AA337" i="4" s="1"/>
  <c r="Y338" i="4"/>
  <c r="Y339" i="4"/>
  <c r="Y340" i="4"/>
  <c r="Y341" i="4"/>
  <c r="Z4" i="4"/>
  <c r="AA4" i="4" s="1"/>
  <c r="Z5" i="4"/>
  <c r="Z6" i="4"/>
  <c r="Z7" i="4"/>
  <c r="Z8" i="4"/>
  <c r="Z9" i="4"/>
  <c r="Z10" i="4"/>
  <c r="Z11" i="4"/>
  <c r="Z12" i="4"/>
  <c r="Z13" i="4"/>
  <c r="Z14" i="4"/>
  <c r="Z15" i="4"/>
  <c r="Z16" i="4"/>
  <c r="Z17" i="4"/>
  <c r="Z18" i="4"/>
  <c r="Z19" i="4"/>
  <c r="Z20" i="4"/>
  <c r="Z21" i="4"/>
  <c r="Z22" i="4"/>
  <c r="AA22" i="4" s="1"/>
  <c r="Z23" i="4"/>
  <c r="Z24" i="4"/>
  <c r="Z25" i="4"/>
  <c r="Z26" i="4"/>
  <c r="Z27" i="4"/>
  <c r="AA27" i="4" s="1"/>
  <c r="Z28" i="4"/>
  <c r="Z29" i="4"/>
  <c r="Z30" i="4"/>
  <c r="Z31" i="4"/>
  <c r="Z32" i="4"/>
  <c r="Z33" i="4"/>
  <c r="Z34" i="4"/>
  <c r="Z35" i="4"/>
  <c r="Z36" i="4"/>
  <c r="Z37" i="4"/>
  <c r="Z38" i="4"/>
  <c r="Z39" i="4"/>
  <c r="Z40" i="4"/>
  <c r="Z41" i="4"/>
  <c r="Z42" i="4"/>
  <c r="Z43" i="4"/>
  <c r="Z44" i="4"/>
  <c r="Z45" i="4"/>
  <c r="Z46" i="4"/>
  <c r="Z47" i="4"/>
  <c r="Z48" i="4"/>
  <c r="Z49" i="4"/>
  <c r="Z50" i="4"/>
  <c r="Z51" i="4"/>
  <c r="Z52" i="4"/>
  <c r="Z53" i="4"/>
  <c r="Z54" i="4"/>
  <c r="Z55" i="4"/>
  <c r="Z56" i="4"/>
  <c r="Z57" i="4"/>
  <c r="Z58" i="4"/>
  <c r="Z59" i="4"/>
  <c r="Z60" i="4"/>
  <c r="Z61" i="4"/>
  <c r="Z62" i="4"/>
  <c r="Z63" i="4"/>
  <c r="AA63" i="4" s="1"/>
  <c r="Z64" i="4"/>
  <c r="Z65" i="4"/>
  <c r="Z66" i="4"/>
  <c r="Z67" i="4"/>
  <c r="Z68" i="4"/>
  <c r="Z69" i="4"/>
  <c r="Z70" i="4"/>
  <c r="Z71" i="4"/>
  <c r="Z72" i="4"/>
  <c r="Z73" i="4"/>
  <c r="Z74" i="4"/>
  <c r="Z75" i="4"/>
  <c r="Z76" i="4"/>
  <c r="Z77" i="4"/>
  <c r="Z78" i="4"/>
  <c r="Z79" i="4"/>
  <c r="Z80" i="4"/>
  <c r="Z81" i="4"/>
  <c r="Z82" i="4"/>
  <c r="Z83" i="4"/>
  <c r="Z84" i="4"/>
  <c r="Z85" i="4"/>
  <c r="Z86" i="4"/>
  <c r="Z87" i="4"/>
  <c r="Z88" i="4"/>
  <c r="Z89" i="4"/>
  <c r="Z90" i="4"/>
  <c r="Z91" i="4"/>
  <c r="Z92" i="4"/>
  <c r="Z93" i="4"/>
  <c r="Z94" i="4"/>
  <c r="Z95" i="4"/>
  <c r="Z96" i="4"/>
  <c r="Z97" i="4"/>
  <c r="Z98" i="4"/>
  <c r="Z99" i="4"/>
  <c r="AA99" i="4" s="1"/>
  <c r="Z100" i="4"/>
  <c r="Z101" i="4"/>
  <c r="Z102" i="4"/>
  <c r="Z103" i="4"/>
  <c r="Z104" i="4"/>
  <c r="Z105" i="4"/>
  <c r="Z106" i="4"/>
  <c r="Z107" i="4"/>
  <c r="Z108" i="4"/>
  <c r="Z109" i="4"/>
  <c r="Z110" i="4"/>
  <c r="Z111" i="4"/>
  <c r="Z112" i="4"/>
  <c r="AA112" i="4" s="1"/>
  <c r="Z113" i="4"/>
  <c r="Z114" i="4"/>
  <c r="Z115" i="4"/>
  <c r="Z116" i="4"/>
  <c r="Z117" i="4"/>
  <c r="Z118" i="4"/>
  <c r="Z119" i="4"/>
  <c r="Z120" i="4"/>
  <c r="Z121" i="4"/>
  <c r="Z122" i="4"/>
  <c r="Z123" i="4"/>
  <c r="Z124" i="4"/>
  <c r="AA124" i="4" s="1"/>
  <c r="Z125" i="4"/>
  <c r="Z126" i="4"/>
  <c r="Z127" i="4"/>
  <c r="Z128" i="4"/>
  <c r="Z129" i="4"/>
  <c r="Z130" i="4"/>
  <c r="Z131" i="4"/>
  <c r="Z132" i="4"/>
  <c r="Z133" i="4"/>
  <c r="Z134" i="4"/>
  <c r="Z135" i="4"/>
  <c r="Z136" i="4"/>
  <c r="Z137" i="4"/>
  <c r="Z138" i="4"/>
  <c r="Z139" i="4"/>
  <c r="Z140" i="4"/>
  <c r="Z141" i="4"/>
  <c r="Z142" i="4"/>
  <c r="Z143" i="4"/>
  <c r="Z144" i="4"/>
  <c r="Z145" i="4"/>
  <c r="Z146" i="4"/>
  <c r="Z147" i="4"/>
  <c r="Z148" i="4"/>
  <c r="Z149" i="4"/>
  <c r="Z150" i="4"/>
  <c r="Z151" i="4"/>
  <c r="Z152" i="4"/>
  <c r="Z153" i="4"/>
  <c r="Z154" i="4"/>
  <c r="AA154" i="4" s="1"/>
  <c r="Z155" i="4"/>
  <c r="Z156" i="4"/>
  <c r="Z157" i="4"/>
  <c r="Z158" i="4"/>
  <c r="Z159" i="4"/>
  <c r="Z160" i="4"/>
  <c r="Z161" i="4"/>
  <c r="Z162" i="4"/>
  <c r="Z163" i="4"/>
  <c r="Z164" i="4"/>
  <c r="Z165" i="4"/>
  <c r="Z166" i="4"/>
  <c r="Z167" i="4"/>
  <c r="Z168" i="4"/>
  <c r="Z169" i="4"/>
  <c r="Z170" i="4"/>
  <c r="Z171" i="4"/>
  <c r="Z172" i="4"/>
  <c r="Z173" i="4"/>
  <c r="Z174" i="4"/>
  <c r="Z175" i="4"/>
  <c r="Z176" i="4"/>
  <c r="Z177" i="4"/>
  <c r="Z178" i="4"/>
  <c r="Z179" i="4"/>
  <c r="Z180" i="4"/>
  <c r="Z181" i="4"/>
  <c r="Z182" i="4"/>
  <c r="Z183" i="4"/>
  <c r="Z184" i="4"/>
  <c r="AA184" i="4" s="1"/>
  <c r="Z185" i="4"/>
  <c r="Z186" i="4"/>
  <c r="Z187" i="4"/>
  <c r="Z188" i="4"/>
  <c r="Z189" i="4"/>
  <c r="Z190" i="4"/>
  <c r="Z191" i="4"/>
  <c r="Z192" i="4"/>
  <c r="Z193" i="4"/>
  <c r="Z194" i="4"/>
  <c r="Z195" i="4"/>
  <c r="Z196" i="4"/>
  <c r="Z197" i="4"/>
  <c r="Z198" i="4"/>
  <c r="Z199" i="4"/>
  <c r="Z200" i="4"/>
  <c r="Z201" i="4"/>
  <c r="Z202" i="4"/>
  <c r="AA202" i="4" s="1"/>
  <c r="Z203" i="4"/>
  <c r="Z204" i="4"/>
  <c r="Z205" i="4"/>
  <c r="Z206" i="4"/>
  <c r="Z207" i="4"/>
  <c r="Z208" i="4"/>
  <c r="Z209" i="4"/>
  <c r="Z210" i="4"/>
  <c r="Z211" i="4"/>
  <c r="Z212" i="4"/>
  <c r="Z213" i="4"/>
  <c r="Z214" i="4"/>
  <c r="Z215" i="4"/>
  <c r="Z216" i="4"/>
  <c r="Z217" i="4"/>
  <c r="Z218" i="4"/>
  <c r="Z219" i="4"/>
  <c r="Z220" i="4"/>
  <c r="AA220" i="4" s="1"/>
  <c r="Z221" i="4"/>
  <c r="Z222" i="4"/>
  <c r="Z223" i="4"/>
  <c r="Z224" i="4"/>
  <c r="Z225" i="4"/>
  <c r="Z226" i="4"/>
  <c r="Z227" i="4"/>
  <c r="Z228" i="4"/>
  <c r="Z229" i="4"/>
  <c r="Z230" i="4"/>
  <c r="Z231" i="4"/>
  <c r="Z232" i="4"/>
  <c r="Z233" i="4"/>
  <c r="Z234" i="4"/>
  <c r="Z235" i="4"/>
  <c r="Z236" i="4"/>
  <c r="Z237" i="4"/>
  <c r="Z238" i="4"/>
  <c r="Z239" i="4"/>
  <c r="Z240" i="4"/>
  <c r="Z241" i="4"/>
  <c r="Z242" i="4"/>
  <c r="Z243" i="4"/>
  <c r="Z244" i="4"/>
  <c r="Z245" i="4"/>
  <c r="Z246" i="4"/>
  <c r="Z247" i="4"/>
  <c r="Z248" i="4"/>
  <c r="Z249" i="4"/>
  <c r="Z250" i="4"/>
  <c r="Z251" i="4"/>
  <c r="Z252" i="4"/>
  <c r="Z253" i="4"/>
  <c r="Z254" i="4"/>
  <c r="AA254" i="4" s="1"/>
  <c r="AB254" i="4" s="1"/>
  <c r="Z255" i="4"/>
  <c r="Z256" i="4"/>
  <c r="Z257" i="4"/>
  <c r="Z258" i="4"/>
  <c r="Z259" i="4"/>
  <c r="Z260" i="4"/>
  <c r="Z261" i="4"/>
  <c r="Z262" i="4"/>
  <c r="Z263" i="4"/>
  <c r="Z264" i="4"/>
  <c r="Z265" i="4"/>
  <c r="Z266" i="4"/>
  <c r="AA266" i="4" s="1"/>
  <c r="Z267" i="4"/>
  <c r="Z268" i="4"/>
  <c r="Z269" i="4"/>
  <c r="Z270" i="4"/>
  <c r="Z271" i="4"/>
  <c r="Z272" i="4"/>
  <c r="Z273" i="4"/>
  <c r="Z274" i="4"/>
  <c r="AA274" i="4" s="1"/>
  <c r="Z275" i="4"/>
  <c r="Z276" i="4"/>
  <c r="Z277" i="4"/>
  <c r="Z278" i="4"/>
  <c r="AB278" i="4" s="1"/>
  <c r="Z279" i="4"/>
  <c r="Z280" i="4"/>
  <c r="Z281" i="4"/>
  <c r="Z282" i="4"/>
  <c r="Z283" i="4"/>
  <c r="Z284" i="4"/>
  <c r="Z285" i="4"/>
  <c r="Z286" i="4"/>
  <c r="Z287" i="4"/>
  <c r="Z288" i="4"/>
  <c r="Z289" i="4"/>
  <c r="Z290" i="4"/>
  <c r="AA290" i="4" s="1"/>
  <c r="AB290" i="4" s="1"/>
  <c r="Z291" i="4"/>
  <c r="Z292" i="4"/>
  <c r="Z293" i="4"/>
  <c r="Z294" i="4"/>
  <c r="Z295" i="4"/>
  <c r="Z296" i="4"/>
  <c r="Z297" i="4"/>
  <c r="Z298" i="4"/>
  <c r="AA298" i="4" s="1"/>
  <c r="Z299" i="4"/>
  <c r="Z300" i="4"/>
  <c r="Z301" i="4"/>
  <c r="Z302" i="4"/>
  <c r="Z303" i="4"/>
  <c r="Z304" i="4"/>
  <c r="Z305" i="4"/>
  <c r="Z306" i="4"/>
  <c r="Z307" i="4"/>
  <c r="Z308" i="4"/>
  <c r="Z309" i="4"/>
  <c r="Z310" i="4"/>
  <c r="AA310" i="4" s="1"/>
  <c r="Z311" i="4"/>
  <c r="Z312" i="4"/>
  <c r="Z313" i="4"/>
  <c r="Z314" i="4"/>
  <c r="Z315" i="4"/>
  <c r="Z316" i="4"/>
  <c r="Z317" i="4"/>
  <c r="Z318" i="4"/>
  <c r="Z319" i="4"/>
  <c r="Z320" i="4"/>
  <c r="Z321" i="4"/>
  <c r="Z322" i="4"/>
  <c r="Z323" i="4"/>
  <c r="Z324" i="4"/>
  <c r="Z325" i="4"/>
  <c r="Z326" i="4"/>
  <c r="Z327" i="4"/>
  <c r="Z328" i="4"/>
  <c r="Z329" i="4"/>
  <c r="Z330" i="4"/>
  <c r="Z331" i="4"/>
  <c r="Z332" i="4"/>
  <c r="Z333" i="4"/>
  <c r="AB333" i="4" s="1"/>
  <c r="Z334" i="4"/>
  <c r="Z335" i="4"/>
  <c r="Z336" i="4"/>
  <c r="Z337" i="4"/>
  <c r="Z338" i="4"/>
  <c r="Z339" i="4"/>
  <c r="Z340" i="4"/>
  <c r="Z341" i="4"/>
  <c r="AA9" i="4"/>
  <c r="AA12" i="4"/>
  <c r="AA14" i="4"/>
  <c r="AB14" i="4" s="1"/>
  <c r="AA15" i="4"/>
  <c r="AB15" i="4" s="1"/>
  <c r="AA19" i="4"/>
  <c r="AA21" i="4"/>
  <c r="AA24" i="4"/>
  <c r="AA26" i="4"/>
  <c r="AB26" i="4" s="1"/>
  <c r="AA30" i="4"/>
  <c r="AA31" i="4"/>
  <c r="AB31" i="4" s="1"/>
  <c r="AA32" i="4"/>
  <c r="AB32" i="4" s="1"/>
  <c r="AA33" i="4"/>
  <c r="AA39" i="4"/>
  <c r="AA40" i="4"/>
  <c r="AA45" i="4"/>
  <c r="AB45" i="4" s="1"/>
  <c r="AA50" i="4"/>
  <c r="AA51" i="4"/>
  <c r="AA52" i="4"/>
  <c r="AA60" i="4"/>
  <c r="AA61" i="4"/>
  <c r="AA62" i="4"/>
  <c r="AB62" i="4" s="1"/>
  <c r="AA68" i="4"/>
  <c r="AA69" i="4"/>
  <c r="AA73" i="4"/>
  <c r="AA75" i="4"/>
  <c r="AB75" i="4" s="1"/>
  <c r="AA81" i="4"/>
  <c r="AB81" i="4" s="1"/>
  <c r="AA82" i="4"/>
  <c r="AA84" i="4"/>
  <c r="AA86" i="4"/>
  <c r="AA87" i="4"/>
  <c r="AA91" i="4"/>
  <c r="AA94" i="4"/>
  <c r="AA96" i="4"/>
  <c r="AA98" i="4"/>
  <c r="AA103" i="4"/>
  <c r="AB103" i="4" s="1"/>
  <c r="AA104" i="4"/>
  <c r="AB104" i="4" s="1"/>
  <c r="AA105" i="4"/>
  <c r="AB105" i="4" s="1"/>
  <c r="AA111" i="4"/>
  <c r="AA122" i="4"/>
  <c r="AB122" i="4" s="1"/>
  <c r="AA123" i="4"/>
  <c r="AA128" i="4"/>
  <c r="AB128" i="4" s="1"/>
  <c r="AA132" i="4"/>
  <c r="AB132" i="4" s="1"/>
  <c r="AA133" i="4"/>
  <c r="AB133" i="4" s="1"/>
  <c r="AA134" i="4"/>
  <c r="AA140" i="4"/>
  <c r="AA141" i="4"/>
  <c r="AA153" i="4"/>
  <c r="AA158" i="4"/>
  <c r="AA163" i="4"/>
  <c r="AA164" i="4"/>
  <c r="AA170" i="4"/>
  <c r="AB170" i="4" s="1"/>
  <c r="AA175" i="4"/>
  <c r="AB175" i="4" s="1"/>
  <c r="AA176" i="4"/>
  <c r="AB176" i="4" s="1"/>
  <c r="AA182" i="4"/>
  <c r="AB182" i="4" s="1"/>
  <c r="AA188" i="4"/>
  <c r="AA194" i="4"/>
  <c r="AB194" i="4" s="1"/>
  <c r="AA200" i="4"/>
  <c r="AB200" i="4" s="1"/>
  <c r="AA206" i="4"/>
  <c r="AB206" i="4" s="1"/>
  <c r="AA212" i="4"/>
  <c r="AB212" i="4" s="1"/>
  <c r="AA218" i="4"/>
  <c r="AB218" i="4" s="1"/>
  <c r="AA224" i="4"/>
  <c r="AB224" i="4" s="1"/>
  <c r="AA230" i="4"/>
  <c r="AB230" i="4" s="1"/>
  <c r="AA232" i="4"/>
  <c r="AA242" i="4"/>
  <c r="AB242" i="4" s="1"/>
  <c r="AA262" i="4"/>
  <c r="AA278" i="4"/>
  <c r="AA302" i="4"/>
  <c r="AA326" i="4"/>
  <c r="AB326" i="4" s="1"/>
  <c r="AA334" i="4"/>
  <c r="AB7" i="4"/>
  <c r="AB9" i="4"/>
  <c r="AB13" i="4"/>
  <c r="AB20" i="4"/>
  <c r="AB21" i="4"/>
  <c r="AB24" i="4"/>
  <c r="AB25" i="4"/>
  <c r="AB27" i="4"/>
  <c r="AB33" i="4"/>
  <c r="AB39" i="4"/>
  <c r="AB43" i="4"/>
  <c r="AB49" i="4"/>
  <c r="AB50" i="4"/>
  <c r="AB51" i="4"/>
  <c r="AB56" i="4"/>
  <c r="AB60" i="4"/>
  <c r="AB61" i="4"/>
  <c r="AB63" i="4"/>
  <c r="AB68" i="4"/>
  <c r="AB69" i="4"/>
  <c r="AB79" i="4"/>
  <c r="AB85" i="4"/>
  <c r="AB86" i="4"/>
  <c r="AB87" i="4"/>
  <c r="AB92" i="4"/>
  <c r="AB96" i="4"/>
  <c r="AB98" i="4"/>
  <c r="AB111" i="4"/>
  <c r="AB121" i="4"/>
  <c r="AB123" i="4"/>
  <c r="AB134" i="4"/>
  <c r="AB140" i="4"/>
  <c r="AB141" i="4"/>
  <c r="AB157" i="4"/>
  <c r="AB158" i="4"/>
  <c r="AB164" i="4"/>
  <c r="AB187" i="4"/>
  <c r="AB188" i="4"/>
  <c r="AB223" i="4"/>
  <c r="AB265" i="4"/>
  <c r="AB283" i="4"/>
  <c r="AB302" i="4"/>
  <c r="AB331" i="4"/>
  <c r="AD4" i="4"/>
  <c r="AD5" i="4"/>
  <c r="AD6" i="4"/>
  <c r="AD7" i="4"/>
  <c r="AD8" i="4"/>
  <c r="AD9" i="4"/>
  <c r="AD10" i="4"/>
  <c r="AD11" i="4"/>
  <c r="AD12"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E4" i="4"/>
  <c r="AE5" i="4"/>
  <c r="AE6" i="4"/>
  <c r="AE7" i="4"/>
  <c r="AE8" i="4"/>
  <c r="AE9" i="4"/>
  <c r="AE10" i="4"/>
  <c r="AE11" i="4"/>
  <c r="AE12"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F4" i="4"/>
  <c r="AF5" i="4"/>
  <c r="AF6" i="4"/>
  <c r="AF7" i="4"/>
  <c r="AF8" i="4"/>
  <c r="AF9" i="4"/>
  <c r="AF10" i="4"/>
  <c r="AF11" i="4"/>
  <c r="AF12"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G4" i="4"/>
  <c r="AG5" i="4"/>
  <c r="AG6" i="4"/>
  <c r="AG7" i="4"/>
  <c r="AG8" i="4"/>
  <c r="AG9" i="4"/>
  <c r="AG10" i="4"/>
  <c r="AG11" i="4"/>
  <c r="AG12" i="4"/>
  <c r="AG13" i="4"/>
  <c r="AG14" i="4"/>
  <c r="AG15" i="4"/>
  <c r="AG16" i="4"/>
  <c r="AG17" i="4"/>
  <c r="AG18" i="4"/>
  <c r="AG19" i="4"/>
  <c r="AG20" i="4"/>
  <c r="AG21" i="4"/>
  <c r="AG22" i="4"/>
  <c r="AG23" i="4"/>
  <c r="AG24" i="4"/>
  <c r="AG25" i="4"/>
  <c r="AG26" i="4"/>
  <c r="AG27" i="4"/>
  <c r="AG28" i="4"/>
  <c r="AG29" i="4"/>
  <c r="AG30" i="4"/>
  <c r="AG31" i="4"/>
  <c r="AG32" i="4"/>
  <c r="AG33" i="4"/>
  <c r="AG34" i="4"/>
  <c r="AG35" i="4"/>
  <c r="AG36" i="4"/>
  <c r="AG37" i="4"/>
  <c r="AG38" i="4"/>
  <c r="AG39" i="4"/>
  <c r="AG40" i="4"/>
  <c r="AG41" i="4"/>
  <c r="AG42" i="4"/>
  <c r="AG43" i="4"/>
  <c r="AG44" i="4"/>
  <c r="AG45" i="4"/>
  <c r="AG46" i="4"/>
  <c r="AG47" i="4"/>
  <c r="AG48" i="4"/>
  <c r="AG49" i="4"/>
  <c r="AG50" i="4"/>
  <c r="AG51" i="4"/>
  <c r="AG52" i="4"/>
  <c r="AG53" i="4"/>
  <c r="AG54" i="4"/>
  <c r="AG55" i="4"/>
  <c r="AG56" i="4"/>
  <c r="AG57" i="4"/>
  <c r="AG58" i="4"/>
  <c r="AG59" i="4"/>
  <c r="AG60" i="4"/>
  <c r="AG61" i="4"/>
  <c r="AG62" i="4"/>
  <c r="AG63" i="4"/>
  <c r="AG64" i="4"/>
  <c r="AG65" i="4"/>
  <c r="AG66" i="4"/>
  <c r="AG67" i="4"/>
  <c r="AG68" i="4"/>
  <c r="AG69" i="4"/>
  <c r="AG70" i="4"/>
  <c r="AG71" i="4"/>
  <c r="AG72" i="4"/>
  <c r="AG73" i="4"/>
  <c r="AG74" i="4"/>
  <c r="AG75" i="4"/>
  <c r="AG76" i="4"/>
  <c r="AG77" i="4"/>
  <c r="AG78" i="4"/>
  <c r="AG79" i="4"/>
  <c r="AG80" i="4"/>
  <c r="AG81" i="4"/>
  <c r="AG82" i="4"/>
  <c r="AG83" i="4"/>
  <c r="AG84" i="4"/>
  <c r="AG85" i="4"/>
  <c r="AG86" i="4"/>
  <c r="AG87" i="4"/>
  <c r="AG88" i="4"/>
  <c r="AG89" i="4"/>
  <c r="AG90" i="4"/>
  <c r="AG91" i="4"/>
  <c r="AG92" i="4"/>
  <c r="AG93" i="4"/>
  <c r="AG94" i="4"/>
  <c r="AG95" i="4"/>
  <c r="AG96" i="4"/>
  <c r="AG97" i="4"/>
  <c r="AG98" i="4"/>
  <c r="AG99" i="4"/>
  <c r="AG100" i="4"/>
  <c r="AG101" i="4"/>
  <c r="AG102" i="4"/>
  <c r="AG103" i="4"/>
  <c r="AG104" i="4"/>
  <c r="AG105" i="4"/>
  <c r="AG106" i="4"/>
  <c r="AG107" i="4"/>
  <c r="AG108" i="4"/>
  <c r="AG109" i="4"/>
  <c r="AG110" i="4"/>
  <c r="AG111" i="4"/>
  <c r="AG112" i="4"/>
  <c r="AG113" i="4"/>
  <c r="AG114" i="4"/>
  <c r="AG115" i="4"/>
  <c r="AG116" i="4"/>
  <c r="AG117" i="4"/>
  <c r="AG118" i="4"/>
  <c r="AG119" i="4"/>
  <c r="AG120" i="4"/>
  <c r="AG121" i="4"/>
  <c r="AG122" i="4"/>
  <c r="AG123" i="4"/>
  <c r="AG124" i="4"/>
  <c r="AG125" i="4"/>
  <c r="AG126" i="4"/>
  <c r="AG127" i="4"/>
  <c r="AG128" i="4"/>
  <c r="AG129" i="4"/>
  <c r="AG130" i="4"/>
  <c r="AG131" i="4"/>
  <c r="AG132" i="4"/>
  <c r="AG133" i="4"/>
  <c r="AG134" i="4"/>
  <c r="AG135" i="4"/>
  <c r="AG136" i="4"/>
  <c r="AG137" i="4"/>
  <c r="AG138" i="4"/>
  <c r="AG139" i="4"/>
  <c r="AG140" i="4"/>
  <c r="AG141" i="4"/>
  <c r="AG142" i="4"/>
  <c r="AG143" i="4"/>
  <c r="AG144" i="4"/>
  <c r="AG145" i="4"/>
  <c r="AG146" i="4"/>
  <c r="AG147" i="4"/>
  <c r="AG148" i="4"/>
  <c r="AG149" i="4"/>
  <c r="AG150" i="4"/>
  <c r="AG151" i="4"/>
  <c r="AG152" i="4"/>
  <c r="AG153" i="4"/>
  <c r="AG154" i="4"/>
  <c r="AG155" i="4"/>
  <c r="AG156" i="4"/>
  <c r="AG157" i="4"/>
  <c r="AG158" i="4"/>
  <c r="AG159" i="4"/>
  <c r="AG160" i="4"/>
  <c r="AG161" i="4"/>
  <c r="AG162" i="4"/>
  <c r="AG163" i="4"/>
  <c r="AG164" i="4"/>
  <c r="AG165" i="4"/>
  <c r="AG166" i="4"/>
  <c r="AG167" i="4"/>
  <c r="AG168" i="4"/>
  <c r="AG169" i="4"/>
  <c r="AG170" i="4"/>
  <c r="AG171" i="4"/>
  <c r="AG172" i="4"/>
  <c r="AG173" i="4"/>
  <c r="AG174" i="4"/>
  <c r="AG175" i="4"/>
  <c r="AG176" i="4"/>
  <c r="AG177" i="4"/>
  <c r="AG178" i="4"/>
  <c r="AG179" i="4"/>
  <c r="AG180" i="4"/>
  <c r="AG181" i="4"/>
  <c r="AG182" i="4"/>
  <c r="AG183" i="4"/>
  <c r="AG184" i="4"/>
  <c r="AG185" i="4"/>
  <c r="AG186" i="4"/>
  <c r="AG187" i="4"/>
  <c r="AG188" i="4"/>
  <c r="AG189" i="4"/>
  <c r="AG190" i="4"/>
  <c r="AG191" i="4"/>
  <c r="AG192" i="4"/>
  <c r="AG193" i="4"/>
  <c r="AG194" i="4"/>
  <c r="AG195" i="4"/>
  <c r="AG196" i="4"/>
  <c r="AG197" i="4"/>
  <c r="AG198" i="4"/>
  <c r="AG199" i="4"/>
  <c r="AG200" i="4"/>
  <c r="AG201" i="4"/>
  <c r="AG202" i="4"/>
  <c r="AG203" i="4"/>
  <c r="AG204" i="4"/>
  <c r="AG205" i="4"/>
  <c r="AG206" i="4"/>
  <c r="AG207" i="4"/>
  <c r="AG208" i="4"/>
  <c r="AG209" i="4"/>
  <c r="AG210" i="4"/>
  <c r="AG211" i="4"/>
  <c r="AG212" i="4"/>
  <c r="AG213" i="4"/>
  <c r="AG214" i="4"/>
  <c r="AG215" i="4"/>
  <c r="AG216" i="4"/>
  <c r="AG217" i="4"/>
  <c r="AG218" i="4"/>
  <c r="AG219" i="4"/>
  <c r="AG220" i="4"/>
  <c r="AG221" i="4"/>
  <c r="AG222" i="4"/>
  <c r="AG223" i="4"/>
  <c r="AG224" i="4"/>
  <c r="AG225" i="4"/>
  <c r="AG226" i="4"/>
  <c r="AG227" i="4"/>
  <c r="AG228" i="4"/>
  <c r="AG229" i="4"/>
  <c r="AG230" i="4"/>
  <c r="AG231" i="4"/>
  <c r="AG232" i="4"/>
  <c r="AG233" i="4"/>
  <c r="AG234" i="4"/>
  <c r="AG235" i="4"/>
  <c r="AG236" i="4"/>
  <c r="AG237" i="4"/>
  <c r="AG238" i="4"/>
  <c r="AG239" i="4"/>
  <c r="AG240" i="4"/>
  <c r="AG241" i="4"/>
  <c r="AG242" i="4"/>
  <c r="AG243" i="4"/>
  <c r="AG244" i="4"/>
  <c r="AG245" i="4"/>
  <c r="AG246" i="4"/>
  <c r="AG247" i="4"/>
  <c r="AG248" i="4"/>
  <c r="AG249" i="4"/>
  <c r="AG250" i="4"/>
  <c r="AG251" i="4"/>
  <c r="AG252" i="4"/>
  <c r="AG253" i="4"/>
  <c r="AG254" i="4"/>
  <c r="AG255" i="4"/>
  <c r="AG256" i="4"/>
  <c r="AG257" i="4"/>
  <c r="AG258" i="4"/>
  <c r="AG259" i="4"/>
  <c r="AG260" i="4"/>
  <c r="AG261" i="4"/>
  <c r="AG262" i="4"/>
  <c r="AG263" i="4"/>
  <c r="AG264" i="4"/>
  <c r="AG265" i="4"/>
  <c r="AG266" i="4"/>
  <c r="AG267" i="4"/>
  <c r="AG268" i="4"/>
  <c r="AG269" i="4"/>
  <c r="AG270" i="4"/>
  <c r="AG271" i="4"/>
  <c r="AG272" i="4"/>
  <c r="AG273" i="4"/>
  <c r="AG274" i="4"/>
  <c r="AG275" i="4"/>
  <c r="AG276" i="4"/>
  <c r="AG277" i="4"/>
  <c r="AG278" i="4"/>
  <c r="AG279" i="4"/>
  <c r="AG280" i="4"/>
  <c r="AG281" i="4"/>
  <c r="AG282" i="4"/>
  <c r="AG283" i="4"/>
  <c r="AG284" i="4"/>
  <c r="AG285" i="4"/>
  <c r="AG286" i="4"/>
  <c r="AG287" i="4"/>
  <c r="AG288" i="4"/>
  <c r="AG289" i="4"/>
  <c r="AG290" i="4"/>
  <c r="AG291" i="4"/>
  <c r="AG292" i="4"/>
  <c r="AG293" i="4"/>
  <c r="AG294" i="4"/>
  <c r="AG295" i="4"/>
  <c r="AG296" i="4"/>
  <c r="AG297" i="4"/>
  <c r="AG298" i="4"/>
  <c r="AG299" i="4"/>
  <c r="AG300" i="4"/>
  <c r="AG301" i="4"/>
  <c r="AG302" i="4"/>
  <c r="AG303" i="4"/>
  <c r="AG304" i="4"/>
  <c r="AG305" i="4"/>
  <c r="AG306" i="4"/>
  <c r="AG307" i="4"/>
  <c r="AG308" i="4"/>
  <c r="AG309" i="4"/>
  <c r="AG310" i="4"/>
  <c r="AG311" i="4"/>
  <c r="AG312" i="4"/>
  <c r="AG313" i="4"/>
  <c r="AG314" i="4"/>
  <c r="AG315" i="4"/>
  <c r="AG316" i="4"/>
  <c r="AG317" i="4"/>
  <c r="AG318" i="4"/>
  <c r="AG319" i="4"/>
  <c r="AG320" i="4"/>
  <c r="AG321" i="4"/>
  <c r="AG322" i="4"/>
  <c r="AG323" i="4"/>
  <c r="AG324" i="4"/>
  <c r="AG325" i="4"/>
  <c r="AG326" i="4"/>
  <c r="AG327" i="4"/>
  <c r="AG328" i="4"/>
  <c r="AG329" i="4"/>
  <c r="AG330" i="4"/>
  <c r="AG331" i="4"/>
  <c r="AG332" i="4"/>
  <c r="AG333" i="4"/>
  <c r="AG334" i="4"/>
  <c r="AG335" i="4"/>
  <c r="AG336" i="4"/>
  <c r="AG337" i="4"/>
  <c r="AG338" i="4"/>
  <c r="AG339" i="4"/>
  <c r="AG340" i="4"/>
  <c r="AG341" i="4"/>
  <c r="AH4" i="4"/>
  <c r="AH5" i="4"/>
  <c r="AH6" i="4"/>
  <c r="AH7" i="4"/>
  <c r="AH8" i="4"/>
  <c r="AH9" i="4"/>
  <c r="AH10" i="4"/>
  <c r="AH11" i="4"/>
  <c r="AH12" i="4"/>
  <c r="AH13" i="4"/>
  <c r="AH14" i="4"/>
  <c r="AH15" i="4"/>
  <c r="AH16" i="4"/>
  <c r="AH17" i="4"/>
  <c r="AH18" i="4"/>
  <c r="AH19" i="4"/>
  <c r="AH20" i="4"/>
  <c r="AH21" i="4"/>
  <c r="AH22" i="4"/>
  <c r="AH23" i="4"/>
  <c r="AH24" i="4"/>
  <c r="AH25" i="4"/>
  <c r="AH26" i="4"/>
  <c r="AH27" i="4"/>
  <c r="AH28" i="4"/>
  <c r="AH29" i="4"/>
  <c r="AH30" i="4"/>
  <c r="AH31" i="4"/>
  <c r="AH32" i="4"/>
  <c r="AH33" i="4"/>
  <c r="AH34" i="4"/>
  <c r="AH35" i="4"/>
  <c r="AH36" i="4"/>
  <c r="AH37" i="4"/>
  <c r="AH38" i="4"/>
  <c r="AH39" i="4"/>
  <c r="AH40" i="4"/>
  <c r="AH41" i="4"/>
  <c r="AH42" i="4"/>
  <c r="AH43" i="4"/>
  <c r="AH44" i="4"/>
  <c r="AH45" i="4"/>
  <c r="AH46" i="4"/>
  <c r="AH47" i="4"/>
  <c r="AH48" i="4"/>
  <c r="AH49" i="4"/>
  <c r="AH50" i="4"/>
  <c r="AH51" i="4"/>
  <c r="AH52" i="4"/>
  <c r="AH53" i="4"/>
  <c r="AH54" i="4"/>
  <c r="AH55" i="4"/>
  <c r="AH56" i="4"/>
  <c r="AH57" i="4"/>
  <c r="AH58" i="4"/>
  <c r="AH59" i="4"/>
  <c r="AH60" i="4"/>
  <c r="AH61" i="4"/>
  <c r="AH62" i="4"/>
  <c r="AH63" i="4"/>
  <c r="AH64" i="4"/>
  <c r="AH65" i="4"/>
  <c r="AH66" i="4"/>
  <c r="AH67" i="4"/>
  <c r="AH68" i="4"/>
  <c r="AH69" i="4"/>
  <c r="AH70" i="4"/>
  <c r="AH71" i="4"/>
  <c r="AH72" i="4"/>
  <c r="AH73" i="4"/>
  <c r="AH74" i="4"/>
  <c r="AH75" i="4"/>
  <c r="AH76" i="4"/>
  <c r="AH77" i="4"/>
  <c r="AH78" i="4"/>
  <c r="AH79" i="4"/>
  <c r="AH80" i="4"/>
  <c r="AH81" i="4"/>
  <c r="AH82" i="4"/>
  <c r="AH83" i="4"/>
  <c r="AH84" i="4"/>
  <c r="AH85" i="4"/>
  <c r="AH86" i="4"/>
  <c r="AH87" i="4"/>
  <c r="AH88" i="4"/>
  <c r="AH89" i="4"/>
  <c r="AH90" i="4"/>
  <c r="AH91" i="4"/>
  <c r="AH92" i="4"/>
  <c r="AH93" i="4"/>
  <c r="AH94" i="4"/>
  <c r="AH95" i="4"/>
  <c r="AH96" i="4"/>
  <c r="AH97" i="4"/>
  <c r="AH98" i="4"/>
  <c r="AH99" i="4"/>
  <c r="AH100" i="4"/>
  <c r="AH101" i="4"/>
  <c r="AH102" i="4"/>
  <c r="AH103" i="4"/>
  <c r="AH104" i="4"/>
  <c r="AH105" i="4"/>
  <c r="AH106" i="4"/>
  <c r="AH107" i="4"/>
  <c r="AH108" i="4"/>
  <c r="AH109" i="4"/>
  <c r="AH110" i="4"/>
  <c r="AH111" i="4"/>
  <c r="AH112" i="4"/>
  <c r="AH113" i="4"/>
  <c r="AH114" i="4"/>
  <c r="AH115" i="4"/>
  <c r="AH116" i="4"/>
  <c r="AH117" i="4"/>
  <c r="AH118" i="4"/>
  <c r="AH119" i="4"/>
  <c r="AH120" i="4"/>
  <c r="AH121" i="4"/>
  <c r="AH122" i="4"/>
  <c r="AH123" i="4"/>
  <c r="AH124" i="4"/>
  <c r="AH125" i="4"/>
  <c r="AH126" i="4"/>
  <c r="AH127" i="4"/>
  <c r="AH128" i="4"/>
  <c r="AH129" i="4"/>
  <c r="AH130" i="4"/>
  <c r="AH131" i="4"/>
  <c r="AH132" i="4"/>
  <c r="AH133" i="4"/>
  <c r="AH134" i="4"/>
  <c r="AH135" i="4"/>
  <c r="AH136" i="4"/>
  <c r="AH137" i="4"/>
  <c r="AH138" i="4"/>
  <c r="AH139" i="4"/>
  <c r="AH140" i="4"/>
  <c r="AH141" i="4"/>
  <c r="AH142" i="4"/>
  <c r="AH143" i="4"/>
  <c r="AH144" i="4"/>
  <c r="AH145" i="4"/>
  <c r="AH146" i="4"/>
  <c r="AH147" i="4"/>
  <c r="AH148" i="4"/>
  <c r="AH149" i="4"/>
  <c r="AH150" i="4"/>
  <c r="AH151" i="4"/>
  <c r="AH152" i="4"/>
  <c r="AH153" i="4"/>
  <c r="AH154" i="4"/>
  <c r="AH155" i="4"/>
  <c r="AH156" i="4"/>
  <c r="AH157" i="4"/>
  <c r="AH158" i="4"/>
  <c r="AH159" i="4"/>
  <c r="AH160" i="4"/>
  <c r="AH161" i="4"/>
  <c r="AH162" i="4"/>
  <c r="AH163" i="4"/>
  <c r="AH164" i="4"/>
  <c r="AH165" i="4"/>
  <c r="AH166" i="4"/>
  <c r="AH167" i="4"/>
  <c r="AH168" i="4"/>
  <c r="AH169" i="4"/>
  <c r="AH170" i="4"/>
  <c r="AH171" i="4"/>
  <c r="AH172" i="4"/>
  <c r="AH173" i="4"/>
  <c r="AH174" i="4"/>
  <c r="AH175" i="4"/>
  <c r="AH176" i="4"/>
  <c r="AH177" i="4"/>
  <c r="AH178" i="4"/>
  <c r="AH179" i="4"/>
  <c r="AH180" i="4"/>
  <c r="AH181" i="4"/>
  <c r="AH182" i="4"/>
  <c r="AH183" i="4"/>
  <c r="AH184" i="4"/>
  <c r="AH185" i="4"/>
  <c r="AH186" i="4"/>
  <c r="AH187" i="4"/>
  <c r="AH188" i="4"/>
  <c r="AH189" i="4"/>
  <c r="AH190" i="4"/>
  <c r="AH191" i="4"/>
  <c r="AH192" i="4"/>
  <c r="AH193" i="4"/>
  <c r="AH194" i="4"/>
  <c r="AH195" i="4"/>
  <c r="AH196" i="4"/>
  <c r="AH197" i="4"/>
  <c r="AH198" i="4"/>
  <c r="AH199" i="4"/>
  <c r="AH200" i="4"/>
  <c r="AH201" i="4"/>
  <c r="AH202" i="4"/>
  <c r="AH203" i="4"/>
  <c r="AH204" i="4"/>
  <c r="AH205" i="4"/>
  <c r="AH206" i="4"/>
  <c r="AH207" i="4"/>
  <c r="AH208" i="4"/>
  <c r="AH209" i="4"/>
  <c r="AH210" i="4"/>
  <c r="AH211" i="4"/>
  <c r="AH212" i="4"/>
  <c r="AH213" i="4"/>
  <c r="AH214" i="4"/>
  <c r="AH215" i="4"/>
  <c r="AH216" i="4"/>
  <c r="AH217" i="4"/>
  <c r="AH218" i="4"/>
  <c r="AH219" i="4"/>
  <c r="AH220" i="4"/>
  <c r="AH221" i="4"/>
  <c r="AH222" i="4"/>
  <c r="AH223" i="4"/>
  <c r="AH224" i="4"/>
  <c r="AH225" i="4"/>
  <c r="AH226" i="4"/>
  <c r="AH227" i="4"/>
  <c r="AH228" i="4"/>
  <c r="AH229" i="4"/>
  <c r="AH230" i="4"/>
  <c r="AH231" i="4"/>
  <c r="AH232" i="4"/>
  <c r="AH233" i="4"/>
  <c r="AH234" i="4"/>
  <c r="AH235" i="4"/>
  <c r="AH236" i="4"/>
  <c r="AH237" i="4"/>
  <c r="AH238" i="4"/>
  <c r="AH239" i="4"/>
  <c r="AH240" i="4"/>
  <c r="AH241" i="4"/>
  <c r="AH242" i="4"/>
  <c r="AH243" i="4"/>
  <c r="AH244" i="4"/>
  <c r="AH245" i="4"/>
  <c r="AH246" i="4"/>
  <c r="AH247" i="4"/>
  <c r="AH248" i="4"/>
  <c r="AH249" i="4"/>
  <c r="AH250" i="4"/>
  <c r="AH251" i="4"/>
  <c r="AH252" i="4"/>
  <c r="AH253" i="4"/>
  <c r="AH254" i="4"/>
  <c r="AH255" i="4"/>
  <c r="AH256" i="4"/>
  <c r="AH257" i="4"/>
  <c r="AH258" i="4"/>
  <c r="AH259" i="4"/>
  <c r="AH260" i="4"/>
  <c r="AH261" i="4"/>
  <c r="AH262" i="4"/>
  <c r="AH263" i="4"/>
  <c r="AH264" i="4"/>
  <c r="AH265" i="4"/>
  <c r="AH266" i="4"/>
  <c r="AH267" i="4"/>
  <c r="AH268" i="4"/>
  <c r="AH269" i="4"/>
  <c r="AH270" i="4"/>
  <c r="AH271" i="4"/>
  <c r="AH272" i="4"/>
  <c r="AH273" i="4"/>
  <c r="AH274" i="4"/>
  <c r="AH275" i="4"/>
  <c r="AH276" i="4"/>
  <c r="AH277" i="4"/>
  <c r="AH278" i="4"/>
  <c r="AH279" i="4"/>
  <c r="AH280" i="4"/>
  <c r="AH281" i="4"/>
  <c r="AH282" i="4"/>
  <c r="AH283" i="4"/>
  <c r="AH284" i="4"/>
  <c r="AH285" i="4"/>
  <c r="AH286" i="4"/>
  <c r="AH287" i="4"/>
  <c r="AH288" i="4"/>
  <c r="AH289" i="4"/>
  <c r="AH290" i="4"/>
  <c r="AH291" i="4"/>
  <c r="AH292" i="4"/>
  <c r="AH293" i="4"/>
  <c r="AH294" i="4"/>
  <c r="AH295" i="4"/>
  <c r="AH296" i="4"/>
  <c r="AH297" i="4"/>
  <c r="AH298" i="4"/>
  <c r="AH299" i="4"/>
  <c r="AH300" i="4"/>
  <c r="AH301" i="4"/>
  <c r="AH302" i="4"/>
  <c r="AH303" i="4"/>
  <c r="AH304" i="4"/>
  <c r="AH305" i="4"/>
  <c r="AH306" i="4"/>
  <c r="AH307" i="4"/>
  <c r="AH308" i="4"/>
  <c r="AH309" i="4"/>
  <c r="AH310" i="4"/>
  <c r="AH311" i="4"/>
  <c r="AH312" i="4"/>
  <c r="AH313" i="4"/>
  <c r="AH314" i="4"/>
  <c r="AH315" i="4"/>
  <c r="AH316" i="4"/>
  <c r="AH317" i="4"/>
  <c r="AH318" i="4"/>
  <c r="AH319" i="4"/>
  <c r="AH320" i="4"/>
  <c r="AH321" i="4"/>
  <c r="AH322" i="4"/>
  <c r="AH323" i="4"/>
  <c r="AH324" i="4"/>
  <c r="AH325" i="4"/>
  <c r="AH326" i="4"/>
  <c r="AH327" i="4"/>
  <c r="AH328" i="4"/>
  <c r="AH329" i="4"/>
  <c r="AH330" i="4"/>
  <c r="AH331" i="4"/>
  <c r="AH332" i="4"/>
  <c r="AH333" i="4"/>
  <c r="AH334" i="4"/>
  <c r="AH335" i="4"/>
  <c r="AH336" i="4"/>
  <c r="AH337" i="4"/>
  <c r="AH338" i="4"/>
  <c r="AH339" i="4"/>
  <c r="AH340" i="4"/>
  <c r="AH341" i="4"/>
  <c r="AJ4" i="4"/>
  <c r="AJ5" i="4"/>
  <c r="AJ6" i="4"/>
  <c r="AJ7" i="4"/>
  <c r="AJ8" i="4"/>
  <c r="AJ9" i="4"/>
  <c r="AJ10" i="4"/>
  <c r="AJ11" i="4"/>
  <c r="AJ12" i="4"/>
  <c r="AJ13"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M4" i="4"/>
  <c r="AM5" i="4"/>
  <c r="AM6" i="4"/>
  <c r="AM7" i="4"/>
  <c r="AM8" i="4"/>
  <c r="AM9" i="4"/>
  <c r="AM10" i="4"/>
  <c r="AM11" i="4"/>
  <c r="AM12" i="4"/>
  <c r="AM13" i="4"/>
  <c r="AM14" i="4"/>
  <c r="AM15" i="4"/>
  <c r="AM16" i="4"/>
  <c r="AM17" i="4"/>
  <c r="AM18" i="4"/>
  <c r="AM19" i="4"/>
  <c r="AM20" i="4"/>
  <c r="AM21" i="4"/>
  <c r="AM22" i="4"/>
  <c r="AM23" i="4"/>
  <c r="AM24" i="4"/>
  <c r="AM25" i="4"/>
  <c r="AM26" i="4"/>
  <c r="AM27" i="4"/>
  <c r="AM28" i="4"/>
  <c r="AM29" i="4"/>
  <c r="AM30" i="4"/>
  <c r="AM31" i="4"/>
  <c r="AM32" i="4"/>
  <c r="AM33" i="4"/>
  <c r="AM34" i="4"/>
  <c r="AM35" i="4"/>
  <c r="AM36" i="4"/>
  <c r="AM37" i="4"/>
  <c r="AM38" i="4"/>
  <c r="AM39" i="4"/>
  <c r="AM40" i="4"/>
  <c r="AM41" i="4"/>
  <c r="AM42" i="4"/>
  <c r="AM43" i="4"/>
  <c r="AM44" i="4"/>
  <c r="AM45" i="4"/>
  <c r="AM46" i="4"/>
  <c r="AM47" i="4"/>
  <c r="AM48" i="4"/>
  <c r="AM49" i="4"/>
  <c r="AM50" i="4"/>
  <c r="AM51" i="4"/>
  <c r="AM52" i="4"/>
  <c r="AM53" i="4"/>
  <c r="AM54" i="4"/>
  <c r="AM55" i="4"/>
  <c r="AM56" i="4"/>
  <c r="AM57" i="4"/>
  <c r="AM58" i="4"/>
  <c r="AM59" i="4"/>
  <c r="AM60" i="4"/>
  <c r="AM61" i="4"/>
  <c r="AM62" i="4"/>
  <c r="AM63" i="4"/>
  <c r="AM64" i="4"/>
  <c r="AM65" i="4"/>
  <c r="AM66" i="4"/>
  <c r="AM67" i="4"/>
  <c r="AM68" i="4"/>
  <c r="AM69" i="4"/>
  <c r="AM70" i="4"/>
  <c r="AM71" i="4"/>
  <c r="AM72" i="4"/>
  <c r="AM73" i="4"/>
  <c r="AM74" i="4"/>
  <c r="AM75" i="4"/>
  <c r="AM76" i="4"/>
  <c r="AM77" i="4"/>
  <c r="AM78" i="4"/>
  <c r="AM79" i="4"/>
  <c r="AM80" i="4"/>
  <c r="AM81" i="4"/>
  <c r="AM82" i="4"/>
  <c r="AM83" i="4"/>
  <c r="AM84" i="4"/>
  <c r="AM85" i="4"/>
  <c r="AM86" i="4"/>
  <c r="AM87" i="4"/>
  <c r="AM88" i="4"/>
  <c r="AM89" i="4"/>
  <c r="AM90" i="4"/>
  <c r="AM91" i="4"/>
  <c r="AM92" i="4"/>
  <c r="AM93" i="4"/>
  <c r="AM94" i="4"/>
  <c r="AM95" i="4"/>
  <c r="AM96" i="4"/>
  <c r="AM97" i="4"/>
  <c r="AM98" i="4"/>
  <c r="AM99" i="4"/>
  <c r="AM100" i="4"/>
  <c r="AM101" i="4"/>
  <c r="AM102" i="4"/>
  <c r="AM103" i="4"/>
  <c r="AM104" i="4"/>
  <c r="AM105" i="4"/>
  <c r="AM106" i="4"/>
  <c r="AM107" i="4"/>
  <c r="AM108" i="4"/>
  <c r="AM109" i="4"/>
  <c r="AM110" i="4"/>
  <c r="AM111" i="4"/>
  <c r="AM112" i="4"/>
  <c r="AM113" i="4"/>
  <c r="AM114" i="4"/>
  <c r="AM115" i="4"/>
  <c r="AM116" i="4"/>
  <c r="AM117" i="4"/>
  <c r="AM118" i="4"/>
  <c r="AM119" i="4"/>
  <c r="AM120" i="4"/>
  <c r="AM121" i="4"/>
  <c r="AM122" i="4"/>
  <c r="AM123" i="4"/>
  <c r="AM124" i="4"/>
  <c r="AM125" i="4"/>
  <c r="AM126" i="4"/>
  <c r="AM127" i="4"/>
  <c r="AM128" i="4"/>
  <c r="AM129" i="4"/>
  <c r="AM130" i="4"/>
  <c r="AM131" i="4"/>
  <c r="AM132" i="4"/>
  <c r="AM133" i="4"/>
  <c r="AM134" i="4"/>
  <c r="AM135" i="4"/>
  <c r="AM136" i="4"/>
  <c r="AM137" i="4"/>
  <c r="AM138" i="4"/>
  <c r="AM139" i="4"/>
  <c r="AM140" i="4"/>
  <c r="AM141" i="4"/>
  <c r="AM142" i="4"/>
  <c r="AM143" i="4"/>
  <c r="AM144" i="4"/>
  <c r="AM145" i="4"/>
  <c r="AM146" i="4"/>
  <c r="AM147" i="4"/>
  <c r="AM148" i="4"/>
  <c r="AM149" i="4"/>
  <c r="AM150" i="4"/>
  <c r="AM151" i="4"/>
  <c r="AM152" i="4"/>
  <c r="AM153" i="4"/>
  <c r="AM154" i="4"/>
  <c r="AM155" i="4"/>
  <c r="AM156" i="4"/>
  <c r="AM157" i="4"/>
  <c r="AM158" i="4"/>
  <c r="AM159" i="4"/>
  <c r="AM160" i="4"/>
  <c r="AM161" i="4"/>
  <c r="AM162" i="4"/>
  <c r="AM163" i="4"/>
  <c r="AM164" i="4"/>
  <c r="AM165" i="4"/>
  <c r="AM166" i="4"/>
  <c r="AM167" i="4"/>
  <c r="AM168" i="4"/>
  <c r="AM169" i="4"/>
  <c r="AM170" i="4"/>
  <c r="AM171" i="4"/>
  <c r="AM172" i="4"/>
  <c r="AM173" i="4"/>
  <c r="AM174" i="4"/>
  <c r="AM175" i="4"/>
  <c r="AM176" i="4"/>
  <c r="AM177" i="4"/>
  <c r="AM178" i="4"/>
  <c r="AM179" i="4"/>
  <c r="AM180" i="4"/>
  <c r="AM181" i="4"/>
  <c r="AM182" i="4"/>
  <c r="AM183" i="4"/>
  <c r="AM184" i="4"/>
  <c r="AM185" i="4"/>
  <c r="AM186" i="4"/>
  <c r="AM187" i="4"/>
  <c r="AM188" i="4"/>
  <c r="AM189" i="4"/>
  <c r="AM190" i="4"/>
  <c r="AM191" i="4"/>
  <c r="AM192" i="4"/>
  <c r="AM193" i="4"/>
  <c r="AM194" i="4"/>
  <c r="AM195" i="4"/>
  <c r="AM196" i="4"/>
  <c r="AM197" i="4"/>
  <c r="AM198" i="4"/>
  <c r="AM199" i="4"/>
  <c r="AM200" i="4"/>
  <c r="AM201" i="4"/>
  <c r="AM202" i="4"/>
  <c r="AM203" i="4"/>
  <c r="AM204" i="4"/>
  <c r="AM205" i="4"/>
  <c r="AM206" i="4"/>
  <c r="AM207" i="4"/>
  <c r="AM208" i="4"/>
  <c r="AM209" i="4"/>
  <c r="AM210" i="4"/>
  <c r="AM211" i="4"/>
  <c r="AM212" i="4"/>
  <c r="AM213" i="4"/>
  <c r="AM214" i="4"/>
  <c r="AM215" i="4"/>
  <c r="AM216" i="4"/>
  <c r="AM217" i="4"/>
  <c r="AM218" i="4"/>
  <c r="AM219" i="4"/>
  <c r="AM220" i="4"/>
  <c r="AM221" i="4"/>
  <c r="AM222" i="4"/>
  <c r="AM223" i="4"/>
  <c r="AM224" i="4"/>
  <c r="AM225" i="4"/>
  <c r="AM226" i="4"/>
  <c r="AM227" i="4"/>
  <c r="AM228" i="4"/>
  <c r="AM229" i="4"/>
  <c r="AM230" i="4"/>
  <c r="AM231" i="4"/>
  <c r="AM232" i="4"/>
  <c r="AM233" i="4"/>
  <c r="AM234" i="4"/>
  <c r="AM235" i="4"/>
  <c r="AM236" i="4"/>
  <c r="AM237" i="4"/>
  <c r="AM238" i="4"/>
  <c r="AM239" i="4"/>
  <c r="AM240" i="4"/>
  <c r="AM241" i="4"/>
  <c r="AM242" i="4"/>
  <c r="AM243" i="4"/>
  <c r="AM244" i="4"/>
  <c r="AM245" i="4"/>
  <c r="AM246" i="4"/>
  <c r="AM247" i="4"/>
  <c r="AM248" i="4"/>
  <c r="AM249" i="4"/>
  <c r="AM250" i="4"/>
  <c r="AM251" i="4"/>
  <c r="AM252" i="4"/>
  <c r="AM253" i="4"/>
  <c r="AM254" i="4"/>
  <c r="AM255" i="4"/>
  <c r="AM256" i="4"/>
  <c r="AM257" i="4"/>
  <c r="AM258" i="4"/>
  <c r="AM259" i="4"/>
  <c r="AM260" i="4"/>
  <c r="AM261" i="4"/>
  <c r="AM262" i="4"/>
  <c r="AM263" i="4"/>
  <c r="AM264" i="4"/>
  <c r="AM265" i="4"/>
  <c r="AM266" i="4"/>
  <c r="AM267" i="4"/>
  <c r="AM268" i="4"/>
  <c r="AM269" i="4"/>
  <c r="AM270" i="4"/>
  <c r="AM271" i="4"/>
  <c r="AM272" i="4"/>
  <c r="AM273" i="4"/>
  <c r="AM274" i="4"/>
  <c r="AM275" i="4"/>
  <c r="AM276" i="4"/>
  <c r="AM277" i="4"/>
  <c r="AM278" i="4"/>
  <c r="AM279" i="4"/>
  <c r="AM280" i="4"/>
  <c r="AM281" i="4"/>
  <c r="AM282" i="4"/>
  <c r="AM283" i="4"/>
  <c r="AM284" i="4"/>
  <c r="AM285" i="4"/>
  <c r="AM286" i="4"/>
  <c r="AM287" i="4"/>
  <c r="AM288" i="4"/>
  <c r="AM289" i="4"/>
  <c r="AM290" i="4"/>
  <c r="AM291" i="4"/>
  <c r="AM292" i="4"/>
  <c r="AM293" i="4"/>
  <c r="AM294" i="4"/>
  <c r="AM295" i="4"/>
  <c r="AM296" i="4"/>
  <c r="AM297" i="4"/>
  <c r="AM298" i="4"/>
  <c r="AM299" i="4"/>
  <c r="AM300" i="4"/>
  <c r="AM301" i="4"/>
  <c r="AM302" i="4"/>
  <c r="AM303" i="4"/>
  <c r="AM304" i="4"/>
  <c r="AM305" i="4"/>
  <c r="AM306" i="4"/>
  <c r="AM307" i="4"/>
  <c r="AM308" i="4"/>
  <c r="AM309" i="4"/>
  <c r="AM310" i="4"/>
  <c r="AM311" i="4"/>
  <c r="AM312" i="4"/>
  <c r="AM313" i="4"/>
  <c r="AM314" i="4"/>
  <c r="AM315" i="4"/>
  <c r="AM316" i="4"/>
  <c r="AM317" i="4"/>
  <c r="AM318" i="4"/>
  <c r="AM319" i="4"/>
  <c r="AM320" i="4"/>
  <c r="AM321" i="4"/>
  <c r="AM322" i="4"/>
  <c r="AM323" i="4"/>
  <c r="AM324" i="4"/>
  <c r="AM325" i="4"/>
  <c r="AM326" i="4"/>
  <c r="AM327" i="4"/>
  <c r="AM328" i="4"/>
  <c r="AM329" i="4"/>
  <c r="AM330" i="4"/>
  <c r="AM331" i="4"/>
  <c r="AM332" i="4"/>
  <c r="AM333" i="4"/>
  <c r="AM334" i="4"/>
  <c r="AM335" i="4"/>
  <c r="AM336" i="4"/>
  <c r="AM337" i="4"/>
  <c r="AM338" i="4"/>
  <c r="AM339" i="4"/>
  <c r="AM340" i="4"/>
  <c r="AM341" i="4"/>
  <c r="AN4" i="4"/>
  <c r="AN5" i="4"/>
  <c r="AN6" i="4"/>
  <c r="AN7" i="4"/>
  <c r="AN8" i="4"/>
  <c r="AN9" i="4"/>
  <c r="AN10" i="4"/>
  <c r="AN11" i="4"/>
  <c r="AN12" i="4"/>
  <c r="AN13" i="4"/>
  <c r="AN14" i="4"/>
  <c r="AN15" i="4"/>
  <c r="AN16" i="4"/>
  <c r="AN17" i="4"/>
  <c r="AN18" i="4"/>
  <c r="AN19" i="4"/>
  <c r="AN20" i="4"/>
  <c r="AN21" i="4"/>
  <c r="AN22" i="4"/>
  <c r="AN23" i="4"/>
  <c r="AN24" i="4"/>
  <c r="AN25" i="4"/>
  <c r="AN26" i="4"/>
  <c r="AN27" i="4"/>
  <c r="AN28" i="4"/>
  <c r="AN29" i="4"/>
  <c r="AN30" i="4"/>
  <c r="AN31" i="4"/>
  <c r="AN32" i="4"/>
  <c r="AN33" i="4"/>
  <c r="AN34" i="4"/>
  <c r="AN35" i="4"/>
  <c r="AN36" i="4"/>
  <c r="AN37" i="4"/>
  <c r="AN38" i="4"/>
  <c r="AN39" i="4"/>
  <c r="AN40" i="4"/>
  <c r="AN41" i="4"/>
  <c r="AN42" i="4"/>
  <c r="AN43" i="4"/>
  <c r="AN44" i="4"/>
  <c r="AN45" i="4"/>
  <c r="AN46" i="4"/>
  <c r="AN47" i="4"/>
  <c r="AN48" i="4"/>
  <c r="AN49" i="4"/>
  <c r="AN50" i="4"/>
  <c r="AN51" i="4"/>
  <c r="AN52" i="4"/>
  <c r="AN53" i="4"/>
  <c r="AN54" i="4"/>
  <c r="AN55" i="4"/>
  <c r="AN56" i="4"/>
  <c r="AN57" i="4"/>
  <c r="AN58" i="4"/>
  <c r="AN59" i="4"/>
  <c r="AN60" i="4"/>
  <c r="AN61" i="4"/>
  <c r="AN62" i="4"/>
  <c r="AN63" i="4"/>
  <c r="AN64" i="4"/>
  <c r="AN65" i="4"/>
  <c r="AN66" i="4"/>
  <c r="AN67" i="4"/>
  <c r="AN68" i="4"/>
  <c r="AN69" i="4"/>
  <c r="AN70" i="4"/>
  <c r="AN71" i="4"/>
  <c r="AN72" i="4"/>
  <c r="AN73" i="4"/>
  <c r="AN74" i="4"/>
  <c r="AN75" i="4"/>
  <c r="AN76" i="4"/>
  <c r="AN77" i="4"/>
  <c r="AN78" i="4"/>
  <c r="AN79" i="4"/>
  <c r="AN80" i="4"/>
  <c r="AN81" i="4"/>
  <c r="AN82" i="4"/>
  <c r="AN83" i="4"/>
  <c r="AN84" i="4"/>
  <c r="AN85" i="4"/>
  <c r="AN86" i="4"/>
  <c r="AN87" i="4"/>
  <c r="AN88" i="4"/>
  <c r="AN89" i="4"/>
  <c r="AN90" i="4"/>
  <c r="AN91" i="4"/>
  <c r="AN92" i="4"/>
  <c r="AN93" i="4"/>
  <c r="AN94" i="4"/>
  <c r="AN95" i="4"/>
  <c r="AN96" i="4"/>
  <c r="AN97" i="4"/>
  <c r="AN98" i="4"/>
  <c r="AN99" i="4"/>
  <c r="AN100" i="4"/>
  <c r="AN101" i="4"/>
  <c r="AN102" i="4"/>
  <c r="AN103" i="4"/>
  <c r="AN104" i="4"/>
  <c r="AN105" i="4"/>
  <c r="AN106" i="4"/>
  <c r="AN107" i="4"/>
  <c r="AN108" i="4"/>
  <c r="AN109" i="4"/>
  <c r="AN110" i="4"/>
  <c r="AN111" i="4"/>
  <c r="AN112" i="4"/>
  <c r="AN113" i="4"/>
  <c r="AN114" i="4"/>
  <c r="AN115" i="4"/>
  <c r="AN116" i="4"/>
  <c r="AN117" i="4"/>
  <c r="AN118" i="4"/>
  <c r="AN119" i="4"/>
  <c r="AN120" i="4"/>
  <c r="AN121" i="4"/>
  <c r="AN122" i="4"/>
  <c r="AN123" i="4"/>
  <c r="AN124" i="4"/>
  <c r="AN125" i="4"/>
  <c r="AN126" i="4"/>
  <c r="AN127" i="4"/>
  <c r="AN128" i="4"/>
  <c r="AN129" i="4"/>
  <c r="AN130" i="4"/>
  <c r="AN131" i="4"/>
  <c r="AN132" i="4"/>
  <c r="AN133" i="4"/>
  <c r="AN134" i="4"/>
  <c r="AN135" i="4"/>
  <c r="AN136" i="4"/>
  <c r="AN137" i="4"/>
  <c r="AN138" i="4"/>
  <c r="AN139" i="4"/>
  <c r="AN140" i="4"/>
  <c r="AN141" i="4"/>
  <c r="AN142" i="4"/>
  <c r="AN143" i="4"/>
  <c r="AN144" i="4"/>
  <c r="AN145" i="4"/>
  <c r="AN146" i="4"/>
  <c r="AN147" i="4"/>
  <c r="AN148" i="4"/>
  <c r="AN149" i="4"/>
  <c r="AN150" i="4"/>
  <c r="AN151" i="4"/>
  <c r="AN152" i="4"/>
  <c r="AN153" i="4"/>
  <c r="AN154" i="4"/>
  <c r="AN155" i="4"/>
  <c r="AN156" i="4"/>
  <c r="AN157" i="4"/>
  <c r="AN158" i="4"/>
  <c r="AN159" i="4"/>
  <c r="AN160" i="4"/>
  <c r="AN161" i="4"/>
  <c r="AN162" i="4"/>
  <c r="AN163" i="4"/>
  <c r="AN164" i="4"/>
  <c r="AN165" i="4"/>
  <c r="AN166" i="4"/>
  <c r="AN167" i="4"/>
  <c r="AN168" i="4"/>
  <c r="AN169" i="4"/>
  <c r="AN170" i="4"/>
  <c r="AN171" i="4"/>
  <c r="AN172" i="4"/>
  <c r="AN173" i="4"/>
  <c r="AN174" i="4"/>
  <c r="AN175" i="4"/>
  <c r="AN176" i="4"/>
  <c r="AN177" i="4"/>
  <c r="AN178" i="4"/>
  <c r="AN179" i="4"/>
  <c r="AN180" i="4"/>
  <c r="AN181" i="4"/>
  <c r="AN182" i="4"/>
  <c r="AN183" i="4"/>
  <c r="AN184" i="4"/>
  <c r="AN185" i="4"/>
  <c r="AN186" i="4"/>
  <c r="AN187" i="4"/>
  <c r="AN188" i="4"/>
  <c r="AN189" i="4"/>
  <c r="AN190" i="4"/>
  <c r="AN191" i="4"/>
  <c r="AN192" i="4"/>
  <c r="AN193" i="4"/>
  <c r="AN194" i="4"/>
  <c r="AN195" i="4"/>
  <c r="AN196" i="4"/>
  <c r="AN197" i="4"/>
  <c r="AN198" i="4"/>
  <c r="AN199" i="4"/>
  <c r="AN200" i="4"/>
  <c r="AN201" i="4"/>
  <c r="AN202" i="4"/>
  <c r="AN203" i="4"/>
  <c r="AN204" i="4"/>
  <c r="AN205" i="4"/>
  <c r="AN206" i="4"/>
  <c r="AN207" i="4"/>
  <c r="AN208" i="4"/>
  <c r="AN209" i="4"/>
  <c r="AN210" i="4"/>
  <c r="AN211" i="4"/>
  <c r="AN212" i="4"/>
  <c r="AN213" i="4"/>
  <c r="AN214" i="4"/>
  <c r="AN215" i="4"/>
  <c r="AN216" i="4"/>
  <c r="AN217" i="4"/>
  <c r="AN218" i="4"/>
  <c r="AN219" i="4"/>
  <c r="AN220" i="4"/>
  <c r="AN221" i="4"/>
  <c r="AN222" i="4"/>
  <c r="AN223" i="4"/>
  <c r="AN224" i="4"/>
  <c r="AN225" i="4"/>
  <c r="AN226" i="4"/>
  <c r="AN227" i="4"/>
  <c r="AN228" i="4"/>
  <c r="AN229" i="4"/>
  <c r="AN230" i="4"/>
  <c r="AN231" i="4"/>
  <c r="AN232" i="4"/>
  <c r="AN233" i="4"/>
  <c r="AN234" i="4"/>
  <c r="AN235" i="4"/>
  <c r="AN236" i="4"/>
  <c r="AN237" i="4"/>
  <c r="AN238" i="4"/>
  <c r="AN239" i="4"/>
  <c r="AN240" i="4"/>
  <c r="AN241" i="4"/>
  <c r="AN242" i="4"/>
  <c r="AN243" i="4"/>
  <c r="AN244" i="4"/>
  <c r="AN245" i="4"/>
  <c r="AN246" i="4"/>
  <c r="AN247" i="4"/>
  <c r="AN248" i="4"/>
  <c r="AN249" i="4"/>
  <c r="AN250" i="4"/>
  <c r="AN251" i="4"/>
  <c r="AN252" i="4"/>
  <c r="AN253" i="4"/>
  <c r="AN254" i="4"/>
  <c r="AN255" i="4"/>
  <c r="AN256" i="4"/>
  <c r="AN257" i="4"/>
  <c r="AN258" i="4"/>
  <c r="AN259" i="4"/>
  <c r="AN260" i="4"/>
  <c r="AN261" i="4"/>
  <c r="AN262" i="4"/>
  <c r="AN263" i="4"/>
  <c r="AN264" i="4"/>
  <c r="AN265" i="4"/>
  <c r="AN266" i="4"/>
  <c r="AN267" i="4"/>
  <c r="AN268" i="4"/>
  <c r="AN269" i="4"/>
  <c r="AN270" i="4"/>
  <c r="AN271" i="4"/>
  <c r="AN272" i="4"/>
  <c r="AN273" i="4"/>
  <c r="AN274" i="4"/>
  <c r="AN275" i="4"/>
  <c r="AN276" i="4"/>
  <c r="AN277" i="4"/>
  <c r="AN278" i="4"/>
  <c r="AN279" i="4"/>
  <c r="AN280" i="4"/>
  <c r="AN281" i="4"/>
  <c r="AN282" i="4"/>
  <c r="AN283" i="4"/>
  <c r="AN284" i="4"/>
  <c r="AN285" i="4"/>
  <c r="AN286" i="4"/>
  <c r="AN287" i="4"/>
  <c r="AN288" i="4"/>
  <c r="AN289" i="4"/>
  <c r="AN290" i="4"/>
  <c r="AN291" i="4"/>
  <c r="AN292" i="4"/>
  <c r="AN293" i="4"/>
  <c r="AN294" i="4"/>
  <c r="AN295" i="4"/>
  <c r="AN296" i="4"/>
  <c r="AN297" i="4"/>
  <c r="AN298" i="4"/>
  <c r="AN299" i="4"/>
  <c r="AN300" i="4"/>
  <c r="AN301" i="4"/>
  <c r="AN302" i="4"/>
  <c r="AN303" i="4"/>
  <c r="AN304" i="4"/>
  <c r="AN305" i="4"/>
  <c r="AN306" i="4"/>
  <c r="AN307" i="4"/>
  <c r="AN308" i="4"/>
  <c r="AN309" i="4"/>
  <c r="AN310" i="4"/>
  <c r="AN311" i="4"/>
  <c r="AN312" i="4"/>
  <c r="AN313" i="4"/>
  <c r="AN314" i="4"/>
  <c r="AN315" i="4"/>
  <c r="AN316" i="4"/>
  <c r="AN317" i="4"/>
  <c r="AN318" i="4"/>
  <c r="AN319" i="4"/>
  <c r="AN320" i="4"/>
  <c r="AN321" i="4"/>
  <c r="AN322" i="4"/>
  <c r="AN323" i="4"/>
  <c r="AN324" i="4"/>
  <c r="AN325" i="4"/>
  <c r="AN326" i="4"/>
  <c r="AN327" i="4"/>
  <c r="AN328" i="4"/>
  <c r="AN329" i="4"/>
  <c r="AN330" i="4"/>
  <c r="AN331" i="4"/>
  <c r="AN332" i="4"/>
  <c r="AN333" i="4"/>
  <c r="AN334" i="4"/>
  <c r="AN335" i="4"/>
  <c r="AN336" i="4"/>
  <c r="AN337" i="4"/>
  <c r="AN338" i="4"/>
  <c r="AN339" i="4"/>
  <c r="AN340" i="4"/>
  <c r="AN341" i="4"/>
  <c r="AO4" i="4"/>
  <c r="AO5" i="4"/>
  <c r="AO6" i="4"/>
  <c r="AO7" i="4"/>
  <c r="AO8" i="4"/>
  <c r="AO9" i="4"/>
  <c r="AO10" i="4"/>
  <c r="AO11" i="4"/>
  <c r="AO12" i="4"/>
  <c r="AO13" i="4"/>
  <c r="AO14" i="4"/>
  <c r="AO15" i="4"/>
  <c r="AO16" i="4"/>
  <c r="AO17" i="4"/>
  <c r="AO18" i="4"/>
  <c r="AO19" i="4"/>
  <c r="AO20" i="4"/>
  <c r="AO21" i="4"/>
  <c r="AO22" i="4"/>
  <c r="AO23" i="4"/>
  <c r="AO24" i="4"/>
  <c r="AO25" i="4"/>
  <c r="AO26" i="4"/>
  <c r="AO27" i="4"/>
  <c r="AO28" i="4"/>
  <c r="AO29" i="4"/>
  <c r="AO30" i="4"/>
  <c r="AO31" i="4"/>
  <c r="AO32" i="4"/>
  <c r="AO33" i="4"/>
  <c r="AO34" i="4"/>
  <c r="AO35" i="4"/>
  <c r="AO36" i="4"/>
  <c r="AO37" i="4"/>
  <c r="AO38" i="4"/>
  <c r="AO39" i="4"/>
  <c r="AO40" i="4"/>
  <c r="AO41" i="4"/>
  <c r="AO42" i="4"/>
  <c r="AO43" i="4"/>
  <c r="AO44" i="4"/>
  <c r="AO45" i="4"/>
  <c r="AO46" i="4"/>
  <c r="AO47" i="4"/>
  <c r="AO48" i="4"/>
  <c r="AO49" i="4"/>
  <c r="AO50" i="4"/>
  <c r="AO51" i="4"/>
  <c r="AO52" i="4"/>
  <c r="AO53" i="4"/>
  <c r="AO54" i="4"/>
  <c r="AO55" i="4"/>
  <c r="AO56" i="4"/>
  <c r="AO57" i="4"/>
  <c r="AO58" i="4"/>
  <c r="AO59" i="4"/>
  <c r="AO60" i="4"/>
  <c r="AO61" i="4"/>
  <c r="AO62" i="4"/>
  <c r="AO63" i="4"/>
  <c r="AO64" i="4"/>
  <c r="AO65" i="4"/>
  <c r="AO66" i="4"/>
  <c r="AO67" i="4"/>
  <c r="AO68" i="4"/>
  <c r="AO69" i="4"/>
  <c r="AO70" i="4"/>
  <c r="AO71" i="4"/>
  <c r="AO72" i="4"/>
  <c r="AO73" i="4"/>
  <c r="AO74" i="4"/>
  <c r="AO75" i="4"/>
  <c r="AO76" i="4"/>
  <c r="AO77" i="4"/>
  <c r="AO78" i="4"/>
  <c r="AO79" i="4"/>
  <c r="AO80" i="4"/>
  <c r="AO81" i="4"/>
  <c r="AO82" i="4"/>
  <c r="AO83" i="4"/>
  <c r="AO84" i="4"/>
  <c r="AO85" i="4"/>
  <c r="AO86" i="4"/>
  <c r="AO87" i="4"/>
  <c r="AO88" i="4"/>
  <c r="AO89" i="4"/>
  <c r="AO90" i="4"/>
  <c r="AO91" i="4"/>
  <c r="AO92" i="4"/>
  <c r="AO93" i="4"/>
  <c r="AO94" i="4"/>
  <c r="AO95" i="4"/>
  <c r="AO96" i="4"/>
  <c r="AO97" i="4"/>
  <c r="AO98" i="4"/>
  <c r="AO99" i="4"/>
  <c r="AO100" i="4"/>
  <c r="AO101" i="4"/>
  <c r="AO102" i="4"/>
  <c r="AO103" i="4"/>
  <c r="AO104" i="4"/>
  <c r="AO105" i="4"/>
  <c r="AO106" i="4"/>
  <c r="AO107" i="4"/>
  <c r="AO108" i="4"/>
  <c r="AO109" i="4"/>
  <c r="AO110" i="4"/>
  <c r="AO111" i="4"/>
  <c r="AO112" i="4"/>
  <c r="AO113" i="4"/>
  <c r="AO114" i="4"/>
  <c r="AO115" i="4"/>
  <c r="AO116" i="4"/>
  <c r="AO117" i="4"/>
  <c r="AO118" i="4"/>
  <c r="AO119" i="4"/>
  <c r="AO120" i="4"/>
  <c r="AO121" i="4"/>
  <c r="AO122" i="4"/>
  <c r="AO123" i="4"/>
  <c r="AO124" i="4"/>
  <c r="AO125" i="4"/>
  <c r="AO126" i="4"/>
  <c r="AO127" i="4"/>
  <c r="AO128" i="4"/>
  <c r="AO129" i="4"/>
  <c r="AO130" i="4"/>
  <c r="AO131" i="4"/>
  <c r="AO132" i="4"/>
  <c r="AO133" i="4"/>
  <c r="AO134" i="4"/>
  <c r="AO135" i="4"/>
  <c r="AO136" i="4"/>
  <c r="AO137" i="4"/>
  <c r="AO138" i="4"/>
  <c r="AO139" i="4"/>
  <c r="AO140" i="4"/>
  <c r="AO141" i="4"/>
  <c r="AO142" i="4"/>
  <c r="AO143" i="4"/>
  <c r="AO144" i="4"/>
  <c r="AO145" i="4"/>
  <c r="AO146" i="4"/>
  <c r="AO147" i="4"/>
  <c r="AO148" i="4"/>
  <c r="AO149" i="4"/>
  <c r="AO150" i="4"/>
  <c r="AO151" i="4"/>
  <c r="AO152" i="4"/>
  <c r="AO153" i="4"/>
  <c r="AO154" i="4"/>
  <c r="AO155" i="4"/>
  <c r="AO156" i="4"/>
  <c r="AO157" i="4"/>
  <c r="AO158" i="4"/>
  <c r="AO159" i="4"/>
  <c r="AO160" i="4"/>
  <c r="AO161" i="4"/>
  <c r="AO162" i="4"/>
  <c r="AO163" i="4"/>
  <c r="AO164" i="4"/>
  <c r="AO165" i="4"/>
  <c r="AO166" i="4"/>
  <c r="AO167" i="4"/>
  <c r="AO168" i="4"/>
  <c r="AO169" i="4"/>
  <c r="AO170" i="4"/>
  <c r="AO171" i="4"/>
  <c r="AO172" i="4"/>
  <c r="AO173" i="4"/>
  <c r="AO174" i="4"/>
  <c r="AO175" i="4"/>
  <c r="AO176" i="4"/>
  <c r="AO177" i="4"/>
  <c r="AO178" i="4"/>
  <c r="AO179" i="4"/>
  <c r="AO180" i="4"/>
  <c r="AO181" i="4"/>
  <c r="AO182" i="4"/>
  <c r="AO183" i="4"/>
  <c r="AO184" i="4"/>
  <c r="AO185" i="4"/>
  <c r="AO186" i="4"/>
  <c r="AO187" i="4"/>
  <c r="AO188" i="4"/>
  <c r="AO189" i="4"/>
  <c r="AO190" i="4"/>
  <c r="AO191" i="4"/>
  <c r="AO192" i="4"/>
  <c r="AO193" i="4"/>
  <c r="AO194" i="4"/>
  <c r="AO195" i="4"/>
  <c r="AO196" i="4"/>
  <c r="AO197" i="4"/>
  <c r="AO198" i="4"/>
  <c r="AO199" i="4"/>
  <c r="AO200" i="4"/>
  <c r="AO201" i="4"/>
  <c r="AO202" i="4"/>
  <c r="AO203" i="4"/>
  <c r="AO204" i="4"/>
  <c r="AO205" i="4"/>
  <c r="AO206" i="4"/>
  <c r="AO207" i="4"/>
  <c r="AO208" i="4"/>
  <c r="AO209" i="4"/>
  <c r="AO210" i="4"/>
  <c r="AO211" i="4"/>
  <c r="AO212" i="4"/>
  <c r="AO213" i="4"/>
  <c r="AO214" i="4"/>
  <c r="AO215" i="4"/>
  <c r="AO216" i="4"/>
  <c r="AO217" i="4"/>
  <c r="AO218" i="4"/>
  <c r="AO219" i="4"/>
  <c r="AO220" i="4"/>
  <c r="AO221" i="4"/>
  <c r="AO222" i="4"/>
  <c r="AO223" i="4"/>
  <c r="AO224" i="4"/>
  <c r="AO225" i="4"/>
  <c r="AO226" i="4"/>
  <c r="AO227" i="4"/>
  <c r="AO228" i="4"/>
  <c r="AO229" i="4"/>
  <c r="AO230" i="4"/>
  <c r="AO231" i="4"/>
  <c r="AO232" i="4"/>
  <c r="AO233" i="4"/>
  <c r="AO234" i="4"/>
  <c r="AO235" i="4"/>
  <c r="AO236" i="4"/>
  <c r="AO237" i="4"/>
  <c r="AO238" i="4"/>
  <c r="AO239" i="4"/>
  <c r="AO240" i="4"/>
  <c r="AO241" i="4"/>
  <c r="AO242" i="4"/>
  <c r="AO243" i="4"/>
  <c r="AO244" i="4"/>
  <c r="AO245" i="4"/>
  <c r="AO246" i="4"/>
  <c r="AO247" i="4"/>
  <c r="AO248" i="4"/>
  <c r="AO249" i="4"/>
  <c r="AO250" i="4"/>
  <c r="AO251" i="4"/>
  <c r="AO252" i="4"/>
  <c r="AO253" i="4"/>
  <c r="AO254" i="4"/>
  <c r="AO255" i="4"/>
  <c r="AO256" i="4"/>
  <c r="AO257" i="4"/>
  <c r="AO258" i="4"/>
  <c r="AO259" i="4"/>
  <c r="AO260" i="4"/>
  <c r="AO261" i="4"/>
  <c r="AO262" i="4"/>
  <c r="AO263" i="4"/>
  <c r="AO264" i="4"/>
  <c r="AO265" i="4"/>
  <c r="AO266" i="4"/>
  <c r="AO267" i="4"/>
  <c r="AO268" i="4"/>
  <c r="AO269" i="4"/>
  <c r="AO270" i="4"/>
  <c r="AO271" i="4"/>
  <c r="AO272" i="4"/>
  <c r="AO273" i="4"/>
  <c r="AO274" i="4"/>
  <c r="AO275" i="4"/>
  <c r="AO276" i="4"/>
  <c r="AO277" i="4"/>
  <c r="AO278" i="4"/>
  <c r="AO279" i="4"/>
  <c r="AO280" i="4"/>
  <c r="AO281" i="4"/>
  <c r="AO282" i="4"/>
  <c r="AO283" i="4"/>
  <c r="AO284" i="4"/>
  <c r="AO285" i="4"/>
  <c r="AO286" i="4"/>
  <c r="AO287" i="4"/>
  <c r="AO288" i="4"/>
  <c r="AO289" i="4"/>
  <c r="AO290" i="4"/>
  <c r="AO291" i="4"/>
  <c r="AO292" i="4"/>
  <c r="AO293" i="4"/>
  <c r="AO294" i="4"/>
  <c r="AO295" i="4"/>
  <c r="AO296" i="4"/>
  <c r="AO297" i="4"/>
  <c r="AO298" i="4"/>
  <c r="AO299" i="4"/>
  <c r="AO300" i="4"/>
  <c r="AO301" i="4"/>
  <c r="AO302" i="4"/>
  <c r="AO303" i="4"/>
  <c r="AO304" i="4"/>
  <c r="AO305" i="4"/>
  <c r="AO306" i="4"/>
  <c r="AO307" i="4"/>
  <c r="AO308" i="4"/>
  <c r="AO309" i="4"/>
  <c r="AO310" i="4"/>
  <c r="AO311" i="4"/>
  <c r="AO312" i="4"/>
  <c r="AO313" i="4"/>
  <c r="AO314" i="4"/>
  <c r="AO315" i="4"/>
  <c r="AO316" i="4"/>
  <c r="AO317" i="4"/>
  <c r="AO318" i="4"/>
  <c r="AO319" i="4"/>
  <c r="AO320" i="4"/>
  <c r="AO321" i="4"/>
  <c r="AO322" i="4"/>
  <c r="AO323" i="4"/>
  <c r="AO324" i="4"/>
  <c r="AO325" i="4"/>
  <c r="AO326" i="4"/>
  <c r="AO327" i="4"/>
  <c r="AO328" i="4"/>
  <c r="AO329" i="4"/>
  <c r="AO330" i="4"/>
  <c r="AO331" i="4"/>
  <c r="AO332" i="4"/>
  <c r="AO333" i="4"/>
  <c r="AO334" i="4"/>
  <c r="AO335" i="4"/>
  <c r="AO336" i="4"/>
  <c r="AO337" i="4"/>
  <c r="AO338" i="4"/>
  <c r="AO339" i="4"/>
  <c r="AO340" i="4"/>
  <c r="AO341" i="4"/>
  <c r="AP4" i="4"/>
  <c r="AP5" i="4"/>
  <c r="AP6" i="4"/>
  <c r="AP7" i="4"/>
  <c r="AP8" i="4"/>
  <c r="AP9" i="4"/>
  <c r="AP10" i="4"/>
  <c r="AP11" i="4"/>
  <c r="AP12" i="4"/>
  <c r="AP13" i="4"/>
  <c r="AP14" i="4"/>
  <c r="AP15" i="4"/>
  <c r="AP16" i="4"/>
  <c r="AP17" i="4"/>
  <c r="AP18" i="4"/>
  <c r="AP19" i="4"/>
  <c r="AP20" i="4"/>
  <c r="AP21" i="4"/>
  <c r="AP22" i="4"/>
  <c r="AP23" i="4"/>
  <c r="AP24" i="4"/>
  <c r="AP25" i="4"/>
  <c r="AP26" i="4"/>
  <c r="AP27" i="4"/>
  <c r="AP28" i="4"/>
  <c r="AP29" i="4"/>
  <c r="AP30" i="4"/>
  <c r="AP31" i="4"/>
  <c r="AP32" i="4"/>
  <c r="AP33" i="4"/>
  <c r="AP34" i="4"/>
  <c r="AP35" i="4"/>
  <c r="AP36" i="4"/>
  <c r="AP37" i="4"/>
  <c r="AP38" i="4"/>
  <c r="AP39" i="4"/>
  <c r="AP40" i="4"/>
  <c r="AP41" i="4"/>
  <c r="AP42" i="4"/>
  <c r="AP43" i="4"/>
  <c r="AP44" i="4"/>
  <c r="AP45" i="4"/>
  <c r="AP46" i="4"/>
  <c r="AP47" i="4"/>
  <c r="AP48" i="4"/>
  <c r="AP49" i="4"/>
  <c r="AP50" i="4"/>
  <c r="AP51" i="4"/>
  <c r="AP52" i="4"/>
  <c r="AP53" i="4"/>
  <c r="AP54" i="4"/>
  <c r="AP55" i="4"/>
  <c r="AP56" i="4"/>
  <c r="AP57" i="4"/>
  <c r="AP58" i="4"/>
  <c r="AP59" i="4"/>
  <c r="AP60" i="4"/>
  <c r="AP61" i="4"/>
  <c r="AP62" i="4"/>
  <c r="AP63" i="4"/>
  <c r="AP64" i="4"/>
  <c r="AP65" i="4"/>
  <c r="AP66" i="4"/>
  <c r="AP67" i="4"/>
  <c r="AP68" i="4"/>
  <c r="AP69" i="4"/>
  <c r="AP70" i="4"/>
  <c r="AP71" i="4"/>
  <c r="AP72" i="4"/>
  <c r="AP73" i="4"/>
  <c r="AP74" i="4"/>
  <c r="AP75" i="4"/>
  <c r="AP76" i="4"/>
  <c r="AP77" i="4"/>
  <c r="AP78" i="4"/>
  <c r="AP79" i="4"/>
  <c r="AP80" i="4"/>
  <c r="AP81" i="4"/>
  <c r="AP82" i="4"/>
  <c r="AP83" i="4"/>
  <c r="AP84" i="4"/>
  <c r="AP85" i="4"/>
  <c r="AP86" i="4"/>
  <c r="AP87" i="4"/>
  <c r="AP88" i="4"/>
  <c r="AP89" i="4"/>
  <c r="AP90" i="4"/>
  <c r="AP91" i="4"/>
  <c r="AP92" i="4"/>
  <c r="AP93" i="4"/>
  <c r="AP94" i="4"/>
  <c r="AP95" i="4"/>
  <c r="AP96" i="4"/>
  <c r="AP97" i="4"/>
  <c r="AP98" i="4"/>
  <c r="AP99" i="4"/>
  <c r="AP100" i="4"/>
  <c r="AP101" i="4"/>
  <c r="AP102" i="4"/>
  <c r="AP103" i="4"/>
  <c r="AP104" i="4"/>
  <c r="AP105" i="4"/>
  <c r="AP106" i="4"/>
  <c r="AP107" i="4"/>
  <c r="AP108" i="4"/>
  <c r="AP109" i="4"/>
  <c r="AP110" i="4"/>
  <c r="AP111" i="4"/>
  <c r="AP112" i="4"/>
  <c r="AP113" i="4"/>
  <c r="AP114" i="4"/>
  <c r="AP115" i="4"/>
  <c r="AP116" i="4"/>
  <c r="AP117" i="4"/>
  <c r="AP118" i="4"/>
  <c r="AP119" i="4"/>
  <c r="AP120" i="4"/>
  <c r="AP121" i="4"/>
  <c r="AP122" i="4"/>
  <c r="AP123" i="4"/>
  <c r="AP124" i="4"/>
  <c r="AP125" i="4"/>
  <c r="AP126" i="4"/>
  <c r="AP127" i="4"/>
  <c r="AP128" i="4"/>
  <c r="AP129" i="4"/>
  <c r="AP130" i="4"/>
  <c r="AP131" i="4"/>
  <c r="AP132" i="4"/>
  <c r="AP133" i="4"/>
  <c r="AP134" i="4"/>
  <c r="AP135" i="4"/>
  <c r="AP136" i="4"/>
  <c r="AP137" i="4"/>
  <c r="AP138" i="4"/>
  <c r="AP139" i="4"/>
  <c r="AP140" i="4"/>
  <c r="AP141" i="4"/>
  <c r="AP142" i="4"/>
  <c r="AP143" i="4"/>
  <c r="AP144" i="4"/>
  <c r="AP145" i="4"/>
  <c r="AP146" i="4"/>
  <c r="AP147" i="4"/>
  <c r="AP148" i="4"/>
  <c r="AP149" i="4"/>
  <c r="AP150" i="4"/>
  <c r="AP151" i="4"/>
  <c r="AP152" i="4"/>
  <c r="AP153" i="4"/>
  <c r="AP154" i="4"/>
  <c r="AP155" i="4"/>
  <c r="AP156" i="4"/>
  <c r="AP157" i="4"/>
  <c r="AP158" i="4"/>
  <c r="AP159" i="4"/>
  <c r="AP160" i="4"/>
  <c r="AP161" i="4"/>
  <c r="AP162" i="4"/>
  <c r="AP163" i="4"/>
  <c r="AP164" i="4"/>
  <c r="AP165" i="4"/>
  <c r="AP166" i="4"/>
  <c r="AP167" i="4"/>
  <c r="AP168" i="4"/>
  <c r="AP169" i="4"/>
  <c r="AP170" i="4"/>
  <c r="AP171" i="4"/>
  <c r="AP172" i="4"/>
  <c r="AP173" i="4"/>
  <c r="AP174" i="4"/>
  <c r="AP175" i="4"/>
  <c r="AP176" i="4"/>
  <c r="AP177" i="4"/>
  <c r="AP178" i="4"/>
  <c r="AP179" i="4"/>
  <c r="AP180" i="4"/>
  <c r="AP181" i="4"/>
  <c r="AP182" i="4"/>
  <c r="AP183" i="4"/>
  <c r="AP184" i="4"/>
  <c r="AP185" i="4"/>
  <c r="AP186" i="4"/>
  <c r="AP187" i="4"/>
  <c r="AP188" i="4"/>
  <c r="AP189" i="4"/>
  <c r="AP190" i="4"/>
  <c r="AP191" i="4"/>
  <c r="AP192" i="4"/>
  <c r="AP193" i="4"/>
  <c r="AP194" i="4"/>
  <c r="AP195" i="4"/>
  <c r="AP196" i="4"/>
  <c r="AP197" i="4"/>
  <c r="AP198" i="4"/>
  <c r="AP199" i="4"/>
  <c r="AP200" i="4"/>
  <c r="AP201" i="4"/>
  <c r="AP202" i="4"/>
  <c r="AP203" i="4"/>
  <c r="AP204" i="4"/>
  <c r="AP205" i="4"/>
  <c r="AP206" i="4"/>
  <c r="AP207" i="4"/>
  <c r="AP208" i="4"/>
  <c r="AP209" i="4"/>
  <c r="AP210" i="4"/>
  <c r="AP211" i="4"/>
  <c r="AP212" i="4"/>
  <c r="AP213" i="4"/>
  <c r="AP214" i="4"/>
  <c r="AP215" i="4"/>
  <c r="AP216" i="4"/>
  <c r="AP217" i="4"/>
  <c r="AP218" i="4"/>
  <c r="AP219" i="4"/>
  <c r="AP220" i="4"/>
  <c r="AP221" i="4"/>
  <c r="AP222" i="4"/>
  <c r="AP223" i="4"/>
  <c r="AP224" i="4"/>
  <c r="AP225" i="4"/>
  <c r="AP226" i="4"/>
  <c r="AP227" i="4"/>
  <c r="AP228" i="4"/>
  <c r="AP229" i="4"/>
  <c r="AP230" i="4"/>
  <c r="AP231" i="4"/>
  <c r="AP232" i="4"/>
  <c r="AP233" i="4"/>
  <c r="AP234" i="4"/>
  <c r="AP235" i="4"/>
  <c r="AP236" i="4"/>
  <c r="AP237" i="4"/>
  <c r="AP238" i="4"/>
  <c r="AP239" i="4"/>
  <c r="AP240" i="4"/>
  <c r="AP241" i="4"/>
  <c r="AP242" i="4"/>
  <c r="AP243" i="4"/>
  <c r="AP244" i="4"/>
  <c r="AP245" i="4"/>
  <c r="AP246" i="4"/>
  <c r="AP247" i="4"/>
  <c r="AP248" i="4"/>
  <c r="AP249" i="4"/>
  <c r="AP250" i="4"/>
  <c r="AP251" i="4"/>
  <c r="AP252" i="4"/>
  <c r="AP253" i="4"/>
  <c r="AP254" i="4"/>
  <c r="AP255" i="4"/>
  <c r="AP256" i="4"/>
  <c r="AP257" i="4"/>
  <c r="AP258" i="4"/>
  <c r="AP259" i="4"/>
  <c r="AP260" i="4"/>
  <c r="AP261" i="4"/>
  <c r="AP262" i="4"/>
  <c r="AP263" i="4"/>
  <c r="AP264" i="4"/>
  <c r="AP265" i="4"/>
  <c r="AP266" i="4"/>
  <c r="AP267" i="4"/>
  <c r="AP268" i="4"/>
  <c r="AP269" i="4"/>
  <c r="AP270" i="4"/>
  <c r="AP271" i="4"/>
  <c r="AP272" i="4"/>
  <c r="AP273" i="4"/>
  <c r="AP274" i="4"/>
  <c r="AP275" i="4"/>
  <c r="AP276" i="4"/>
  <c r="AP277" i="4"/>
  <c r="AP278" i="4"/>
  <c r="AP279" i="4"/>
  <c r="AP280" i="4"/>
  <c r="AP281" i="4"/>
  <c r="AP282" i="4"/>
  <c r="AP283" i="4"/>
  <c r="AP284" i="4"/>
  <c r="AP285" i="4"/>
  <c r="AP286" i="4"/>
  <c r="AP287" i="4"/>
  <c r="AP288" i="4"/>
  <c r="AP289" i="4"/>
  <c r="AP290" i="4"/>
  <c r="AP291" i="4"/>
  <c r="AP292" i="4"/>
  <c r="AP293" i="4"/>
  <c r="AP294" i="4"/>
  <c r="AP295" i="4"/>
  <c r="AP296" i="4"/>
  <c r="AP297" i="4"/>
  <c r="AP298" i="4"/>
  <c r="AP299" i="4"/>
  <c r="AP300" i="4"/>
  <c r="AP301" i="4"/>
  <c r="AP302" i="4"/>
  <c r="AP303" i="4"/>
  <c r="AP304" i="4"/>
  <c r="AP305" i="4"/>
  <c r="AP306" i="4"/>
  <c r="AP307" i="4"/>
  <c r="AP308" i="4"/>
  <c r="AP309" i="4"/>
  <c r="AP310" i="4"/>
  <c r="AP311" i="4"/>
  <c r="AP312" i="4"/>
  <c r="AP313" i="4"/>
  <c r="AP314" i="4"/>
  <c r="AP315" i="4"/>
  <c r="AP316" i="4"/>
  <c r="AP317" i="4"/>
  <c r="AP318" i="4"/>
  <c r="AP319" i="4"/>
  <c r="AP320" i="4"/>
  <c r="AP321" i="4"/>
  <c r="AP322" i="4"/>
  <c r="AP323" i="4"/>
  <c r="AP324" i="4"/>
  <c r="AP325" i="4"/>
  <c r="AP326" i="4"/>
  <c r="AP327" i="4"/>
  <c r="AP328" i="4"/>
  <c r="AP329" i="4"/>
  <c r="AP330" i="4"/>
  <c r="AP331" i="4"/>
  <c r="AP332" i="4"/>
  <c r="AP333" i="4"/>
  <c r="AP334" i="4"/>
  <c r="AP335" i="4"/>
  <c r="AP336" i="4"/>
  <c r="AP337" i="4"/>
  <c r="AP338" i="4"/>
  <c r="AP339" i="4"/>
  <c r="AP340" i="4"/>
  <c r="AP341" i="4"/>
  <c r="AR4" i="4"/>
  <c r="AR5" i="4"/>
  <c r="AR6" i="4"/>
  <c r="AR7" i="4"/>
  <c r="AR8" i="4"/>
  <c r="AR9" i="4"/>
  <c r="AR10" i="4"/>
  <c r="AR11" i="4"/>
  <c r="AR12" i="4"/>
  <c r="AR13" i="4"/>
  <c r="AR14" i="4"/>
  <c r="AR15" i="4"/>
  <c r="AR16" i="4"/>
  <c r="AR17" i="4"/>
  <c r="AR18" i="4"/>
  <c r="AR19" i="4"/>
  <c r="AR20" i="4"/>
  <c r="AR21" i="4"/>
  <c r="AR22" i="4"/>
  <c r="AR23" i="4"/>
  <c r="AR24" i="4"/>
  <c r="AR25" i="4"/>
  <c r="AR26" i="4"/>
  <c r="AR27" i="4"/>
  <c r="AR28" i="4"/>
  <c r="AR29" i="4"/>
  <c r="AR30" i="4"/>
  <c r="AR31" i="4"/>
  <c r="AR32" i="4"/>
  <c r="AR33" i="4"/>
  <c r="AR34" i="4"/>
  <c r="AR35" i="4"/>
  <c r="AR36" i="4"/>
  <c r="AR37" i="4"/>
  <c r="AR38" i="4"/>
  <c r="AR39" i="4"/>
  <c r="AR40" i="4"/>
  <c r="AR41" i="4"/>
  <c r="AR42" i="4"/>
  <c r="AR43" i="4"/>
  <c r="AR44" i="4"/>
  <c r="AR45" i="4"/>
  <c r="AR46" i="4"/>
  <c r="AR47" i="4"/>
  <c r="AR48" i="4"/>
  <c r="AR49" i="4"/>
  <c r="AR50" i="4"/>
  <c r="AR51" i="4"/>
  <c r="AR52" i="4"/>
  <c r="AR53" i="4"/>
  <c r="AR54" i="4"/>
  <c r="AR55" i="4"/>
  <c r="AR56" i="4"/>
  <c r="AR57" i="4"/>
  <c r="AR58" i="4"/>
  <c r="AR59" i="4"/>
  <c r="AR60" i="4"/>
  <c r="AR61" i="4"/>
  <c r="AR62" i="4"/>
  <c r="AR63" i="4"/>
  <c r="AR64" i="4"/>
  <c r="AR65" i="4"/>
  <c r="AR66" i="4"/>
  <c r="AR67" i="4"/>
  <c r="AR68" i="4"/>
  <c r="AR69" i="4"/>
  <c r="AR70" i="4"/>
  <c r="AR71" i="4"/>
  <c r="AR72" i="4"/>
  <c r="AR73" i="4"/>
  <c r="AR74" i="4"/>
  <c r="AR75" i="4"/>
  <c r="AR76" i="4"/>
  <c r="AR77" i="4"/>
  <c r="AR78" i="4"/>
  <c r="AR79" i="4"/>
  <c r="AR80" i="4"/>
  <c r="AR81" i="4"/>
  <c r="AR82" i="4"/>
  <c r="AR83" i="4"/>
  <c r="AR84" i="4"/>
  <c r="AR85" i="4"/>
  <c r="AR86" i="4"/>
  <c r="AR87" i="4"/>
  <c r="AR88" i="4"/>
  <c r="AR89" i="4"/>
  <c r="AR90" i="4"/>
  <c r="AR91" i="4"/>
  <c r="AR92" i="4"/>
  <c r="AR93" i="4"/>
  <c r="AR94" i="4"/>
  <c r="AR95" i="4"/>
  <c r="AR96" i="4"/>
  <c r="AR97" i="4"/>
  <c r="AR98" i="4"/>
  <c r="AR99" i="4"/>
  <c r="AR100" i="4"/>
  <c r="AR101" i="4"/>
  <c r="AR102" i="4"/>
  <c r="AR103" i="4"/>
  <c r="AR104" i="4"/>
  <c r="AR105" i="4"/>
  <c r="AR106" i="4"/>
  <c r="AR107" i="4"/>
  <c r="AR108" i="4"/>
  <c r="AR109" i="4"/>
  <c r="AR110" i="4"/>
  <c r="AR111" i="4"/>
  <c r="AR112" i="4"/>
  <c r="AR113" i="4"/>
  <c r="AR114" i="4"/>
  <c r="AR115" i="4"/>
  <c r="AR116" i="4"/>
  <c r="AR117" i="4"/>
  <c r="AR118" i="4"/>
  <c r="AR119" i="4"/>
  <c r="AR120" i="4"/>
  <c r="AR121" i="4"/>
  <c r="AR122" i="4"/>
  <c r="AR123" i="4"/>
  <c r="AR124" i="4"/>
  <c r="AR125" i="4"/>
  <c r="AR126" i="4"/>
  <c r="AR127" i="4"/>
  <c r="AR128" i="4"/>
  <c r="AR129" i="4"/>
  <c r="AR130" i="4"/>
  <c r="AR131" i="4"/>
  <c r="AR132" i="4"/>
  <c r="AR133" i="4"/>
  <c r="AR134" i="4"/>
  <c r="AR135" i="4"/>
  <c r="AR136" i="4"/>
  <c r="AR137" i="4"/>
  <c r="AR138" i="4"/>
  <c r="AR139" i="4"/>
  <c r="AR140" i="4"/>
  <c r="AR141" i="4"/>
  <c r="AR142" i="4"/>
  <c r="AR143" i="4"/>
  <c r="AR144" i="4"/>
  <c r="AR145" i="4"/>
  <c r="AR146" i="4"/>
  <c r="AR147" i="4"/>
  <c r="AR148" i="4"/>
  <c r="AR149" i="4"/>
  <c r="AR150" i="4"/>
  <c r="AR151" i="4"/>
  <c r="AR152" i="4"/>
  <c r="AR153" i="4"/>
  <c r="AR154" i="4"/>
  <c r="AR155" i="4"/>
  <c r="AR156" i="4"/>
  <c r="AR157" i="4"/>
  <c r="AR158" i="4"/>
  <c r="AR159" i="4"/>
  <c r="AR160" i="4"/>
  <c r="AR161" i="4"/>
  <c r="AR162" i="4"/>
  <c r="AR163" i="4"/>
  <c r="AR164" i="4"/>
  <c r="AR165" i="4"/>
  <c r="AR166" i="4"/>
  <c r="AR167" i="4"/>
  <c r="AR168" i="4"/>
  <c r="AR169" i="4"/>
  <c r="AR170" i="4"/>
  <c r="AR171" i="4"/>
  <c r="AR172" i="4"/>
  <c r="AR173" i="4"/>
  <c r="AR174" i="4"/>
  <c r="AR175" i="4"/>
  <c r="AR176" i="4"/>
  <c r="AR177" i="4"/>
  <c r="AR178" i="4"/>
  <c r="AR179" i="4"/>
  <c r="AR180" i="4"/>
  <c r="AR181" i="4"/>
  <c r="AR182" i="4"/>
  <c r="AR183" i="4"/>
  <c r="AR184" i="4"/>
  <c r="AR185" i="4"/>
  <c r="AR186" i="4"/>
  <c r="AR187" i="4"/>
  <c r="AR188" i="4"/>
  <c r="AR189" i="4"/>
  <c r="AR190" i="4"/>
  <c r="AR191" i="4"/>
  <c r="AR192" i="4"/>
  <c r="AR193" i="4"/>
  <c r="AR194" i="4"/>
  <c r="AR195" i="4"/>
  <c r="AR196" i="4"/>
  <c r="AR197" i="4"/>
  <c r="AR198" i="4"/>
  <c r="AR199" i="4"/>
  <c r="AR200" i="4"/>
  <c r="AR201" i="4"/>
  <c r="AR202" i="4"/>
  <c r="AR203" i="4"/>
  <c r="AR204" i="4"/>
  <c r="AR205" i="4"/>
  <c r="AR206" i="4"/>
  <c r="AR207" i="4"/>
  <c r="AR208" i="4"/>
  <c r="AR209" i="4"/>
  <c r="AR210" i="4"/>
  <c r="AR211" i="4"/>
  <c r="AR212" i="4"/>
  <c r="AR213" i="4"/>
  <c r="AR214" i="4"/>
  <c r="AR215" i="4"/>
  <c r="AR216" i="4"/>
  <c r="AR217" i="4"/>
  <c r="AR218" i="4"/>
  <c r="AR219" i="4"/>
  <c r="AR220" i="4"/>
  <c r="AR221" i="4"/>
  <c r="AR222" i="4"/>
  <c r="AR223" i="4"/>
  <c r="AR224" i="4"/>
  <c r="AR225" i="4"/>
  <c r="AR226" i="4"/>
  <c r="AR227" i="4"/>
  <c r="AR228" i="4"/>
  <c r="AR229" i="4"/>
  <c r="AR230" i="4"/>
  <c r="AR231" i="4"/>
  <c r="AR232" i="4"/>
  <c r="AR233" i="4"/>
  <c r="AR234" i="4"/>
  <c r="AR235" i="4"/>
  <c r="AR236" i="4"/>
  <c r="AR237" i="4"/>
  <c r="AR238" i="4"/>
  <c r="AR239" i="4"/>
  <c r="AR240" i="4"/>
  <c r="AR241" i="4"/>
  <c r="AR242" i="4"/>
  <c r="AR243" i="4"/>
  <c r="AR244" i="4"/>
  <c r="AR245" i="4"/>
  <c r="AR246" i="4"/>
  <c r="AR247" i="4"/>
  <c r="AR248" i="4"/>
  <c r="AR249" i="4"/>
  <c r="AR250" i="4"/>
  <c r="AR251" i="4"/>
  <c r="AR252" i="4"/>
  <c r="AR253" i="4"/>
  <c r="AR254" i="4"/>
  <c r="AR255" i="4"/>
  <c r="AR256" i="4"/>
  <c r="AR257" i="4"/>
  <c r="AR258" i="4"/>
  <c r="AR259" i="4"/>
  <c r="AR260" i="4"/>
  <c r="AR261" i="4"/>
  <c r="AR262" i="4"/>
  <c r="AR263" i="4"/>
  <c r="AR264" i="4"/>
  <c r="AR265" i="4"/>
  <c r="AR266" i="4"/>
  <c r="AR267" i="4"/>
  <c r="AR268" i="4"/>
  <c r="AR269" i="4"/>
  <c r="AR270" i="4"/>
  <c r="AR271" i="4"/>
  <c r="AR272" i="4"/>
  <c r="AR273" i="4"/>
  <c r="AR274" i="4"/>
  <c r="AR275" i="4"/>
  <c r="AR276" i="4"/>
  <c r="AR277" i="4"/>
  <c r="AR278" i="4"/>
  <c r="AR279" i="4"/>
  <c r="AR280" i="4"/>
  <c r="AR281" i="4"/>
  <c r="AR282" i="4"/>
  <c r="AR283" i="4"/>
  <c r="AR284" i="4"/>
  <c r="AR285" i="4"/>
  <c r="AR286" i="4"/>
  <c r="AR287" i="4"/>
  <c r="AR288" i="4"/>
  <c r="AR289" i="4"/>
  <c r="AR290" i="4"/>
  <c r="AR291" i="4"/>
  <c r="AR292" i="4"/>
  <c r="AR293" i="4"/>
  <c r="AR294" i="4"/>
  <c r="AR295" i="4"/>
  <c r="AR296" i="4"/>
  <c r="AR297" i="4"/>
  <c r="AR298" i="4"/>
  <c r="AR299" i="4"/>
  <c r="AR300" i="4"/>
  <c r="AR301" i="4"/>
  <c r="AR302" i="4"/>
  <c r="AR303" i="4"/>
  <c r="AR304" i="4"/>
  <c r="AR305" i="4"/>
  <c r="AR306" i="4"/>
  <c r="AR307" i="4"/>
  <c r="AR308" i="4"/>
  <c r="AR309" i="4"/>
  <c r="AR310" i="4"/>
  <c r="AR311" i="4"/>
  <c r="AR312" i="4"/>
  <c r="AR313" i="4"/>
  <c r="AR314" i="4"/>
  <c r="AR315" i="4"/>
  <c r="AR316" i="4"/>
  <c r="AR317" i="4"/>
  <c r="AR318" i="4"/>
  <c r="AR319" i="4"/>
  <c r="AR320" i="4"/>
  <c r="AR321" i="4"/>
  <c r="AR322" i="4"/>
  <c r="AR323" i="4"/>
  <c r="AR324" i="4"/>
  <c r="AR325" i="4"/>
  <c r="AR326" i="4"/>
  <c r="AR327" i="4"/>
  <c r="AR328" i="4"/>
  <c r="AR329" i="4"/>
  <c r="AR330" i="4"/>
  <c r="AR331" i="4"/>
  <c r="AR332" i="4"/>
  <c r="AR333" i="4"/>
  <c r="AR334" i="4"/>
  <c r="AR335" i="4"/>
  <c r="AR336" i="4"/>
  <c r="AR337" i="4"/>
  <c r="AR338" i="4"/>
  <c r="AR339" i="4"/>
  <c r="AR340" i="4"/>
  <c r="AR341" i="4"/>
  <c r="AS4" i="4"/>
  <c r="AS5" i="4"/>
  <c r="AS6" i="4"/>
  <c r="AS7" i="4"/>
  <c r="AS8" i="4"/>
  <c r="AS9" i="4"/>
  <c r="AS10" i="4"/>
  <c r="AS11" i="4"/>
  <c r="AS12"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U4" i="4"/>
  <c r="AU5" i="4"/>
  <c r="AU6" i="4"/>
  <c r="AU7" i="4"/>
  <c r="AU8" i="4"/>
  <c r="AU9" i="4"/>
  <c r="AU10" i="4"/>
  <c r="AU11" i="4"/>
  <c r="AU12" i="4"/>
  <c r="AU13" i="4"/>
  <c r="AU14" i="4"/>
  <c r="AU15" i="4"/>
  <c r="AU16" i="4"/>
  <c r="AU17" i="4"/>
  <c r="AU18" i="4"/>
  <c r="AU19" i="4"/>
  <c r="AU20" i="4"/>
  <c r="AU21" i="4"/>
  <c r="AU22" i="4"/>
  <c r="AU23" i="4"/>
  <c r="AU24" i="4"/>
  <c r="AU25" i="4"/>
  <c r="AU26" i="4"/>
  <c r="AU27" i="4"/>
  <c r="AU28" i="4"/>
  <c r="AU29" i="4"/>
  <c r="AU30" i="4"/>
  <c r="AU31" i="4"/>
  <c r="AU32" i="4"/>
  <c r="AU33" i="4"/>
  <c r="AU34" i="4"/>
  <c r="AU35" i="4"/>
  <c r="AU36" i="4"/>
  <c r="AU37" i="4"/>
  <c r="AU38" i="4"/>
  <c r="AU39" i="4"/>
  <c r="AU40" i="4"/>
  <c r="AU41" i="4"/>
  <c r="AU42" i="4"/>
  <c r="AU43" i="4"/>
  <c r="AU44" i="4"/>
  <c r="AU45" i="4"/>
  <c r="AU46" i="4"/>
  <c r="AU47" i="4"/>
  <c r="AU48" i="4"/>
  <c r="AU49" i="4"/>
  <c r="AU50" i="4"/>
  <c r="AU51" i="4"/>
  <c r="AU52" i="4"/>
  <c r="AU53" i="4"/>
  <c r="AU54" i="4"/>
  <c r="AU55" i="4"/>
  <c r="AU56" i="4"/>
  <c r="AU57" i="4"/>
  <c r="AU58" i="4"/>
  <c r="AU59" i="4"/>
  <c r="AU60" i="4"/>
  <c r="AU61" i="4"/>
  <c r="AU62" i="4"/>
  <c r="AU63" i="4"/>
  <c r="AU64" i="4"/>
  <c r="AU65" i="4"/>
  <c r="AU66" i="4"/>
  <c r="AU67" i="4"/>
  <c r="AU68" i="4"/>
  <c r="AU69" i="4"/>
  <c r="AU70" i="4"/>
  <c r="AU71" i="4"/>
  <c r="AU72" i="4"/>
  <c r="AU73" i="4"/>
  <c r="AU74" i="4"/>
  <c r="AU75" i="4"/>
  <c r="AU76" i="4"/>
  <c r="AU77" i="4"/>
  <c r="AU78" i="4"/>
  <c r="AU79" i="4"/>
  <c r="AU80" i="4"/>
  <c r="AU81" i="4"/>
  <c r="AU82" i="4"/>
  <c r="AU83" i="4"/>
  <c r="AU84" i="4"/>
  <c r="AU85" i="4"/>
  <c r="AU86" i="4"/>
  <c r="AU87" i="4"/>
  <c r="AU88" i="4"/>
  <c r="AU89" i="4"/>
  <c r="AU90" i="4"/>
  <c r="AU91" i="4"/>
  <c r="AU92" i="4"/>
  <c r="AU93" i="4"/>
  <c r="AU94" i="4"/>
  <c r="AU95" i="4"/>
  <c r="AU96" i="4"/>
  <c r="AU97" i="4"/>
  <c r="AU98" i="4"/>
  <c r="AU99" i="4"/>
  <c r="AU100" i="4"/>
  <c r="AU101" i="4"/>
  <c r="AU102" i="4"/>
  <c r="AU103" i="4"/>
  <c r="AU104" i="4"/>
  <c r="AU105" i="4"/>
  <c r="AU106" i="4"/>
  <c r="AU107" i="4"/>
  <c r="AU108" i="4"/>
  <c r="AU109" i="4"/>
  <c r="AU110" i="4"/>
  <c r="AU111" i="4"/>
  <c r="AU112" i="4"/>
  <c r="AU113" i="4"/>
  <c r="AU114" i="4"/>
  <c r="AU115" i="4"/>
  <c r="AU116" i="4"/>
  <c r="AU117" i="4"/>
  <c r="AU118" i="4"/>
  <c r="AU119" i="4"/>
  <c r="AU120" i="4"/>
  <c r="AU121" i="4"/>
  <c r="AU122" i="4"/>
  <c r="AU123" i="4"/>
  <c r="AU124" i="4"/>
  <c r="AU125" i="4"/>
  <c r="AU126" i="4"/>
  <c r="AU127" i="4"/>
  <c r="AU128" i="4"/>
  <c r="AU129" i="4"/>
  <c r="AU130" i="4"/>
  <c r="AU131" i="4"/>
  <c r="AU132" i="4"/>
  <c r="AU133" i="4"/>
  <c r="AU134" i="4"/>
  <c r="AU135" i="4"/>
  <c r="AU136" i="4"/>
  <c r="AU137" i="4"/>
  <c r="AU138" i="4"/>
  <c r="AU139" i="4"/>
  <c r="AU140" i="4"/>
  <c r="AU141" i="4"/>
  <c r="AU142" i="4"/>
  <c r="AU143" i="4"/>
  <c r="AU144" i="4"/>
  <c r="AU145" i="4"/>
  <c r="AU146" i="4"/>
  <c r="AU147" i="4"/>
  <c r="AU148" i="4"/>
  <c r="AU149" i="4"/>
  <c r="AU150" i="4"/>
  <c r="AU151" i="4"/>
  <c r="AU152" i="4"/>
  <c r="AU153" i="4"/>
  <c r="AU154" i="4"/>
  <c r="AU155" i="4"/>
  <c r="AU156" i="4"/>
  <c r="AU157" i="4"/>
  <c r="AU158" i="4"/>
  <c r="AU159" i="4"/>
  <c r="AU160" i="4"/>
  <c r="AU161" i="4"/>
  <c r="AU162" i="4"/>
  <c r="AU163" i="4"/>
  <c r="AU164" i="4"/>
  <c r="AU165" i="4"/>
  <c r="AU166" i="4"/>
  <c r="AU167" i="4"/>
  <c r="AU168" i="4"/>
  <c r="AU169" i="4"/>
  <c r="AU170" i="4"/>
  <c r="AU171" i="4"/>
  <c r="AU172" i="4"/>
  <c r="AU173" i="4"/>
  <c r="AU174" i="4"/>
  <c r="AU175" i="4"/>
  <c r="AU176" i="4"/>
  <c r="AU177" i="4"/>
  <c r="AU178" i="4"/>
  <c r="AU179" i="4"/>
  <c r="AU180" i="4"/>
  <c r="AU181" i="4"/>
  <c r="AU182" i="4"/>
  <c r="AU183" i="4"/>
  <c r="AU184" i="4"/>
  <c r="AU185" i="4"/>
  <c r="AU186" i="4"/>
  <c r="AU187" i="4"/>
  <c r="AU188" i="4"/>
  <c r="AU189" i="4"/>
  <c r="AU190" i="4"/>
  <c r="AU191" i="4"/>
  <c r="AU192" i="4"/>
  <c r="AU193" i="4"/>
  <c r="AU194" i="4"/>
  <c r="AU195" i="4"/>
  <c r="AU196" i="4"/>
  <c r="AU197" i="4"/>
  <c r="AU198" i="4"/>
  <c r="AU199" i="4"/>
  <c r="AU200" i="4"/>
  <c r="AU201" i="4"/>
  <c r="AU202" i="4"/>
  <c r="AU203" i="4"/>
  <c r="AU204" i="4"/>
  <c r="AU205" i="4"/>
  <c r="AU206" i="4"/>
  <c r="AU207" i="4"/>
  <c r="AU208" i="4"/>
  <c r="AU209" i="4"/>
  <c r="AU210" i="4"/>
  <c r="AU211" i="4"/>
  <c r="AU212" i="4"/>
  <c r="AU213" i="4"/>
  <c r="AU214" i="4"/>
  <c r="AU215" i="4"/>
  <c r="AU216" i="4"/>
  <c r="AU217" i="4"/>
  <c r="AU218" i="4"/>
  <c r="AU219" i="4"/>
  <c r="AU220" i="4"/>
  <c r="AU221" i="4"/>
  <c r="AU222" i="4"/>
  <c r="AU223" i="4"/>
  <c r="AU224" i="4"/>
  <c r="AU225" i="4"/>
  <c r="AU226" i="4"/>
  <c r="AU227" i="4"/>
  <c r="AU228" i="4"/>
  <c r="AU229" i="4"/>
  <c r="AU230" i="4"/>
  <c r="AU231" i="4"/>
  <c r="AU232" i="4"/>
  <c r="AU233" i="4"/>
  <c r="AU234" i="4"/>
  <c r="AU235" i="4"/>
  <c r="AU236" i="4"/>
  <c r="AU237" i="4"/>
  <c r="AU238" i="4"/>
  <c r="AU239" i="4"/>
  <c r="AU240" i="4"/>
  <c r="AU241" i="4"/>
  <c r="AU242" i="4"/>
  <c r="AU243" i="4"/>
  <c r="AU244" i="4"/>
  <c r="AU245" i="4"/>
  <c r="AU246" i="4"/>
  <c r="AU247" i="4"/>
  <c r="AU248" i="4"/>
  <c r="AU249" i="4"/>
  <c r="AU250" i="4"/>
  <c r="AU251" i="4"/>
  <c r="AU252" i="4"/>
  <c r="AU253" i="4"/>
  <c r="AU254" i="4"/>
  <c r="AU255" i="4"/>
  <c r="AU256" i="4"/>
  <c r="AU257" i="4"/>
  <c r="AU258" i="4"/>
  <c r="AU259" i="4"/>
  <c r="AU260" i="4"/>
  <c r="AU261" i="4"/>
  <c r="AU262" i="4"/>
  <c r="AU263" i="4"/>
  <c r="AU264" i="4"/>
  <c r="AU265" i="4"/>
  <c r="AU266" i="4"/>
  <c r="AU267" i="4"/>
  <c r="AU268" i="4"/>
  <c r="AU269" i="4"/>
  <c r="AU270" i="4"/>
  <c r="AU271" i="4"/>
  <c r="AU272" i="4"/>
  <c r="AU273" i="4"/>
  <c r="AU274" i="4"/>
  <c r="AU275" i="4"/>
  <c r="AU276" i="4"/>
  <c r="AU277" i="4"/>
  <c r="AU278" i="4"/>
  <c r="AU279" i="4"/>
  <c r="AU280" i="4"/>
  <c r="AU281" i="4"/>
  <c r="AU282" i="4"/>
  <c r="AU283" i="4"/>
  <c r="AU284" i="4"/>
  <c r="AU285" i="4"/>
  <c r="AU286" i="4"/>
  <c r="AU287" i="4"/>
  <c r="AU288" i="4"/>
  <c r="AU289" i="4"/>
  <c r="AU290" i="4"/>
  <c r="AU291" i="4"/>
  <c r="AU292" i="4"/>
  <c r="AU293" i="4"/>
  <c r="AU294" i="4"/>
  <c r="AU295" i="4"/>
  <c r="AU296" i="4"/>
  <c r="AU297" i="4"/>
  <c r="AU298" i="4"/>
  <c r="AU299" i="4"/>
  <c r="AU300" i="4"/>
  <c r="AU301" i="4"/>
  <c r="AU302" i="4"/>
  <c r="AU303" i="4"/>
  <c r="AU304" i="4"/>
  <c r="AU305" i="4"/>
  <c r="AU306" i="4"/>
  <c r="AU307" i="4"/>
  <c r="AU308" i="4"/>
  <c r="AU309" i="4"/>
  <c r="AU310" i="4"/>
  <c r="AU311" i="4"/>
  <c r="AU312" i="4"/>
  <c r="AU313" i="4"/>
  <c r="AU314" i="4"/>
  <c r="AU315" i="4"/>
  <c r="AU316" i="4"/>
  <c r="AU317" i="4"/>
  <c r="AU318" i="4"/>
  <c r="AU319" i="4"/>
  <c r="AU320" i="4"/>
  <c r="AU321" i="4"/>
  <c r="AU322" i="4"/>
  <c r="AU323" i="4"/>
  <c r="AU324" i="4"/>
  <c r="AU325" i="4"/>
  <c r="AU326" i="4"/>
  <c r="AU327" i="4"/>
  <c r="AU328" i="4"/>
  <c r="AU329" i="4"/>
  <c r="AU330" i="4"/>
  <c r="AU331" i="4"/>
  <c r="AU332" i="4"/>
  <c r="AU333" i="4"/>
  <c r="AU334" i="4"/>
  <c r="AU335" i="4"/>
  <c r="AU336" i="4"/>
  <c r="AU337" i="4"/>
  <c r="AU338" i="4"/>
  <c r="AU339" i="4"/>
  <c r="AU340" i="4"/>
  <c r="AU341" i="4"/>
  <c r="AV4" i="4"/>
  <c r="AV5" i="4"/>
  <c r="AV6" i="4"/>
  <c r="AV7" i="4"/>
  <c r="AV8" i="4"/>
  <c r="AV9" i="4"/>
  <c r="AV10" i="4"/>
  <c r="AV11" i="4"/>
  <c r="AV12"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W4" i="4"/>
  <c r="AW5" i="4"/>
  <c r="AW6" i="4"/>
  <c r="AW7" i="4"/>
  <c r="AW8" i="4"/>
  <c r="AW9" i="4"/>
  <c r="AW10" i="4"/>
  <c r="AW11" i="4"/>
  <c r="AW12" i="4"/>
  <c r="AW13" i="4"/>
  <c r="AW14" i="4"/>
  <c r="AW15" i="4"/>
  <c r="AW16" i="4"/>
  <c r="AW17" i="4"/>
  <c r="AW18" i="4"/>
  <c r="AW19" i="4"/>
  <c r="AW20" i="4"/>
  <c r="AW21" i="4"/>
  <c r="AW22" i="4"/>
  <c r="AW23" i="4"/>
  <c r="AW24" i="4"/>
  <c r="AW25" i="4"/>
  <c r="AW26" i="4"/>
  <c r="AW27" i="4"/>
  <c r="AW28" i="4"/>
  <c r="AW29" i="4"/>
  <c r="AW30" i="4"/>
  <c r="AW31" i="4"/>
  <c r="AW32" i="4"/>
  <c r="AW33" i="4"/>
  <c r="AW34" i="4"/>
  <c r="AW35" i="4"/>
  <c r="AW36" i="4"/>
  <c r="AW37" i="4"/>
  <c r="AW38" i="4"/>
  <c r="AW39" i="4"/>
  <c r="AW40" i="4"/>
  <c r="AW41" i="4"/>
  <c r="AW42" i="4"/>
  <c r="AW43" i="4"/>
  <c r="AW44" i="4"/>
  <c r="AW45" i="4"/>
  <c r="AW46" i="4"/>
  <c r="AW47" i="4"/>
  <c r="AW48" i="4"/>
  <c r="AW49" i="4"/>
  <c r="AW50" i="4"/>
  <c r="AW51" i="4"/>
  <c r="AW52" i="4"/>
  <c r="AW53" i="4"/>
  <c r="AW54" i="4"/>
  <c r="AW55" i="4"/>
  <c r="AW56" i="4"/>
  <c r="AW57" i="4"/>
  <c r="AW58" i="4"/>
  <c r="AW59" i="4"/>
  <c r="AW60" i="4"/>
  <c r="AW61" i="4"/>
  <c r="AW62" i="4"/>
  <c r="AW63" i="4"/>
  <c r="AW64" i="4"/>
  <c r="AW65" i="4"/>
  <c r="AW66" i="4"/>
  <c r="AW67" i="4"/>
  <c r="AW68" i="4"/>
  <c r="AW69" i="4"/>
  <c r="AW70" i="4"/>
  <c r="AW71" i="4"/>
  <c r="AW72" i="4"/>
  <c r="AW73" i="4"/>
  <c r="AW74" i="4"/>
  <c r="AW75" i="4"/>
  <c r="AW76" i="4"/>
  <c r="AW77" i="4"/>
  <c r="AW78" i="4"/>
  <c r="AW79" i="4"/>
  <c r="AW80" i="4"/>
  <c r="AW81" i="4"/>
  <c r="AW82" i="4"/>
  <c r="AW83" i="4"/>
  <c r="AW84" i="4"/>
  <c r="AW85" i="4"/>
  <c r="AW86" i="4"/>
  <c r="AW87" i="4"/>
  <c r="AW88" i="4"/>
  <c r="AW89" i="4"/>
  <c r="AW90" i="4"/>
  <c r="AW91" i="4"/>
  <c r="AW92" i="4"/>
  <c r="AW93" i="4"/>
  <c r="AW94" i="4"/>
  <c r="AW95" i="4"/>
  <c r="AW96" i="4"/>
  <c r="AW97" i="4"/>
  <c r="AW98" i="4"/>
  <c r="AW99" i="4"/>
  <c r="AW100" i="4"/>
  <c r="AW101" i="4"/>
  <c r="AW102" i="4"/>
  <c r="AW103" i="4"/>
  <c r="AW104" i="4"/>
  <c r="AW105" i="4"/>
  <c r="AW106" i="4"/>
  <c r="AW107" i="4"/>
  <c r="AW108" i="4"/>
  <c r="AW109" i="4"/>
  <c r="AW110" i="4"/>
  <c r="AW111" i="4"/>
  <c r="AW112" i="4"/>
  <c r="AW113" i="4"/>
  <c r="AW114" i="4"/>
  <c r="AW115" i="4"/>
  <c r="AW116" i="4"/>
  <c r="AW117" i="4"/>
  <c r="AW118" i="4"/>
  <c r="AW119" i="4"/>
  <c r="AW120" i="4"/>
  <c r="AW121" i="4"/>
  <c r="AW122" i="4"/>
  <c r="AW123" i="4"/>
  <c r="AW124" i="4"/>
  <c r="AW125" i="4"/>
  <c r="AW126" i="4"/>
  <c r="AW127" i="4"/>
  <c r="AW128" i="4"/>
  <c r="AW129" i="4"/>
  <c r="AW130" i="4"/>
  <c r="AW131" i="4"/>
  <c r="AW132" i="4"/>
  <c r="AW133" i="4"/>
  <c r="AW134" i="4"/>
  <c r="AW135" i="4"/>
  <c r="AW136" i="4"/>
  <c r="AW137" i="4"/>
  <c r="AW138" i="4"/>
  <c r="AW139" i="4"/>
  <c r="AW140" i="4"/>
  <c r="AW141" i="4"/>
  <c r="AW142" i="4"/>
  <c r="AW143" i="4"/>
  <c r="AW144" i="4"/>
  <c r="AW145" i="4"/>
  <c r="AW146" i="4"/>
  <c r="AW147" i="4"/>
  <c r="AW148" i="4"/>
  <c r="AW149" i="4"/>
  <c r="AW150" i="4"/>
  <c r="AW151" i="4"/>
  <c r="AW152" i="4"/>
  <c r="AW153" i="4"/>
  <c r="AW154" i="4"/>
  <c r="AW155" i="4"/>
  <c r="AW156" i="4"/>
  <c r="AW157" i="4"/>
  <c r="AW158" i="4"/>
  <c r="AW159" i="4"/>
  <c r="AW160" i="4"/>
  <c r="AW161" i="4"/>
  <c r="AW162" i="4"/>
  <c r="AW163" i="4"/>
  <c r="AW164" i="4"/>
  <c r="AW165" i="4"/>
  <c r="AW166" i="4"/>
  <c r="AW167" i="4"/>
  <c r="AW168" i="4"/>
  <c r="AW169" i="4"/>
  <c r="AW170" i="4"/>
  <c r="AW171" i="4"/>
  <c r="AW172" i="4"/>
  <c r="AW173" i="4"/>
  <c r="AW174" i="4"/>
  <c r="AW175" i="4"/>
  <c r="AW176" i="4"/>
  <c r="AW177" i="4"/>
  <c r="AW178" i="4"/>
  <c r="AW179" i="4"/>
  <c r="AW180" i="4"/>
  <c r="AW181" i="4"/>
  <c r="AW182" i="4"/>
  <c r="AW183" i="4"/>
  <c r="AW184" i="4"/>
  <c r="AW185" i="4"/>
  <c r="AW186" i="4"/>
  <c r="AW187" i="4"/>
  <c r="AW188" i="4"/>
  <c r="AW189" i="4"/>
  <c r="AW190" i="4"/>
  <c r="AW191" i="4"/>
  <c r="AW192" i="4"/>
  <c r="AW193" i="4"/>
  <c r="AW194" i="4"/>
  <c r="AW195" i="4"/>
  <c r="AW196" i="4"/>
  <c r="AW197" i="4"/>
  <c r="AW198" i="4"/>
  <c r="AW199" i="4"/>
  <c r="AW200" i="4"/>
  <c r="AW201" i="4"/>
  <c r="AW202" i="4"/>
  <c r="AW203" i="4"/>
  <c r="AW204" i="4"/>
  <c r="AW205" i="4"/>
  <c r="AW206" i="4"/>
  <c r="AW207" i="4"/>
  <c r="AW208" i="4"/>
  <c r="AW209" i="4"/>
  <c r="AW210" i="4"/>
  <c r="AW211" i="4"/>
  <c r="AW212" i="4"/>
  <c r="AW213" i="4"/>
  <c r="AW214" i="4"/>
  <c r="AW215" i="4"/>
  <c r="AW216" i="4"/>
  <c r="AW217" i="4"/>
  <c r="AW218" i="4"/>
  <c r="AW219" i="4"/>
  <c r="AW220" i="4"/>
  <c r="AW221" i="4"/>
  <c r="AW222" i="4"/>
  <c r="AW223" i="4"/>
  <c r="AW224" i="4"/>
  <c r="AW225" i="4"/>
  <c r="AW226" i="4"/>
  <c r="AW227" i="4"/>
  <c r="AW228" i="4"/>
  <c r="AW229" i="4"/>
  <c r="AW230" i="4"/>
  <c r="AW231" i="4"/>
  <c r="AW232" i="4"/>
  <c r="AW233" i="4"/>
  <c r="AW234" i="4"/>
  <c r="AW235" i="4"/>
  <c r="AW236" i="4"/>
  <c r="AW237" i="4"/>
  <c r="AW238" i="4"/>
  <c r="AW239" i="4"/>
  <c r="AW240" i="4"/>
  <c r="AW241" i="4"/>
  <c r="AW242" i="4"/>
  <c r="AW243" i="4"/>
  <c r="AW244" i="4"/>
  <c r="AW245" i="4"/>
  <c r="AW246" i="4"/>
  <c r="AW247" i="4"/>
  <c r="AW248" i="4"/>
  <c r="AW249" i="4"/>
  <c r="AW250" i="4"/>
  <c r="AW251" i="4"/>
  <c r="AW252" i="4"/>
  <c r="AW253" i="4"/>
  <c r="AW254" i="4"/>
  <c r="AW255" i="4"/>
  <c r="AW256" i="4"/>
  <c r="AW257" i="4"/>
  <c r="AW258" i="4"/>
  <c r="AW259" i="4"/>
  <c r="AW260" i="4"/>
  <c r="AW261" i="4"/>
  <c r="AW262" i="4"/>
  <c r="AW263" i="4"/>
  <c r="AW264" i="4"/>
  <c r="AW265" i="4"/>
  <c r="AW266" i="4"/>
  <c r="AW267" i="4"/>
  <c r="AW268" i="4"/>
  <c r="AW269" i="4"/>
  <c r="AW270" i="4"/>
  <c r="AW271" i="4"/>
  <c r="AW272" i="4"/>
  <c r="AW273" i="4"/>
  <c r="AW274" i="4"/>
  <c r="AW275" i="4"/>
  <c r="AW276" i="4"/>
  <c r="AW277" i="4"/>
  <c r="AW278" i="4"/>
  <c r="AW279" i="4"/>
  <c r="AW280" i="4"/>
  <c r="AW281" i="4"/>
  <c r="AW282" i="4"/>
  <c r="AW283" i="4"/>
  <c r="AW284" i="4"/>
  <c r="AW285" i="4"/>
  <c r="AW286" i="4"/>
  <c r="AW287" i="4"/>
  <c r="AW288" i="4"/>
  <c r="AW289" i="4"/>
  <c r="AW290" i="4"/>
  <c r="AW291" i="4"/>
  <c r="AW292" i="4"/>
  <c r="AW293" i="4"/>
  <c r="AW294" i="4"/>
  <c r="AW295" i="4"/>
  <c r="AW296" i="4"/>
  <c r="AW297" i="4"/>
  <c r="AW298" i="4"/>
  <c r="AW299" i="4"/>
  <c r="AW300" i="4"/>
  <c r="AW301" i="4"/>
  <c r="AW302" i="4"/>
  <c r="AW303" i="4"/>
  <c r="AW304" i="4"/>
  <c r="AW305" i="4"/>
  <c r="AW306" i="4"/>
  <c r="AW307" i="4"/>
  <c r="AW308" i="4"/>
  <c r="AW309" i="4"/>
  <c r="AW310" i="4"/>
  <c r="AW311" i="4"/>
  <c r="AW312" i="4"/>
  <c r="AW313" i="4"/>
  <c r="AW314" i="4"/>
  <c r="AW315" i="4"/>
  <c r="AW316" i="4"/>
  <c r="AW317" i="4"/>
  <c r="AW318" i="4"/>
  <c r="AW319" i="4"/>
  <c r="AW320" i="4"/>
  <c r="AW321" i="4"/>
  <c r="AW322" i="4"/>
  <c r="AW323" i="4"/>
  <c r="AW324" i="4"/>
  <c r="AW325" i="4"/>
  <c r="AW326" i="4"/>
  <c r="AW327" i="4"/>
  <c r="AW328" i="4"/>
  <c r="AW329" i="4"/>
  <c r="AW330" i="4"/>
  <c r="AW331" i="4"/>
  <c r="AW332" i="4"/>
  <c r="AW333" i="4"/>
  <c r="AW334" i="4"/>
  <c r="AW335" i="4"/>
  <c r="AW336" i="4"/>
  <c r="AW337" i="4"/>
  <c r="AW338" i="4"/>
  <c r="AW339" i="4"/>
  <c r="AW340" i="4"/>
  <c r="AW341" i="4"/>
  <c r="AX4" i="4"/>
  <c r="AX5" i="4"/>
  <c r="AX6" i="4"/>
  <c r="AX7" i="4"/>
  <c r="AX8" i="4"/>
  <c r="AX9" i="4"/>
  <c r="AX10" i="4"/>
  <c r="AX11" i="4"/>
  <c r="AX12" i="4"/>
  <c r="AX13" i="4"/>
  <c r="AX14" i="4"/>
  <c r="AX15" i="4"/>
  <c r="AX16" i="4"/>
  <c r="AX17" i="4"/>
  <c r="AX18" i="4"/>
  <c r="AX19" i="4"/>
  <c r="AX20" i="4"/>
  <c r="AX21" i="4"/>
  <c r="AX22" i="4"/>
  <c r="AX23" i="4"/>
  <c r="AX24" i="4"/>
  <c r="AX25" i="4"/>
  <c r="AX26" i="4"/>
  <c r="AX27" i="4"/>
  <c r="AX28" i="4"/>
  <c r="AX29" i="4"/>
  <c r="AX30" i="4"/>
  <c r="AX31" i="4"/>
  <c r="AX32" i="4"/>
  <c r="AX33" i="4"/>
  <c r="AX34" i="4"/>
  <c r="AX35" i="4"/>
  <c r="AX36" i="4"/>
  <c r="AX37" i="4"/>
  <c r="AX38" i="4"/>
  <c r="AX39" i="4"/>
  <c r="AX40" i="4"/>
  <c r="AX41" i="4"/>
  <c r="AX42" i="4"/>
  <c r="AX43" i="4"/>
  <c r="AX44" i="4"/>
  <c r="AX45" i="4"/>
  <c r="AX46" i="4"/>
  <c r="AX47" i="4"/>
  <c r="AX48" i="4"/>
  <c r="AX49" i="4"/>
  <c r="AX50" i="4"/>
  <c r="AX51" i="4"/>
  <c r="AX52" i="4"/>
  <c r="AX53" i="4"/>
  <c r="AX54" i="4"/>
  <c r="AX55" i="4"/>
  <c r="AX56" i="4"/>
  <c r="AX57" i="4"/>
  <c r="AX58" i="4"/>
  <c r="AX59" i="4"/>
  <c r="AX60" i="4"/>
  <c r="AX61" i="4"/>
  <c r="AX62" i="4"/>
  <c r="AX63" i="4"/>
  <c r="AX64" i="4"/>
  <c r="AX65" i="4"/>
  <c r="AX66" i="4"/>
  <c r="AX67" i="4"/>
  <c r="AX68" i="4"/>
  <c r="AX69" i="4"/>
  <c r="AX70" i="4"/>
  <c r="AX71" i="4"/>
  <c r="AX72" i="4"/>
  <c r="AX73" i="4"/>
  <c r="AX74" i="4"/>
  <c r="AX75" i="4"/>
  <c r="AX76" i="4"/>
  <c r="AX77" i="4"/>
  <c r="AX78" i="4"/>
  <c r="AX79" i="4"/>
  <c r="AX80" i="4"/>
  <c r="AX81" i="4"/>
  <c r="AX82" i="4"/>
  <c r="AX83" i="4"/>
  <c r="AX84" i="4"/>
  <c r="AX85" i="4"/>
  <c r="AX86" i="4"/>
  <c r="AX87" i="4"/>
  <c r="AX88" i="4"/>
  <c r="AX89" i="4"/>
  <c r="AX90" i="4"/>
  <c r="AX91" i="4"/>
  <c r="AX92" i="4"/>
  <c r="AX93" i="4"/>
  <c r="AX94" i="4"/>
  <c r="AX95" i="4"/>
  <c r="AX96" i="4"/>
  <c r="AX97" i="4"/>
  <c r="AX98" i="4"/>
  <c r="AX99" i="4"/>
  <c r="AX100" i="4"/>
  <c r="AX101" i="4"/>
  <c r="AX102" i="4"/>
  <c r="AX103" i="4"/>
  <c r="AX104" i="4"/>
  <c r="AX105" i="4"/>
  <c r="AX106" i="4"/>
  <c r="AX107" i="4"/>
  <c r="AX108" i="4"/>
  <c r="AX109" i="4"/>
  <c r="AX110" i="4"/>
  <c r="AX111" i="4"/>
  <c r="AX112" i="4"/>
  <c r="AX113" i="4"/>
  <c r="AX114" i="4"/>
  <c r="AX115" i="4"/>
  <c r="AX116" i="4"/>
  <c r="AX117" i="4"/>
  <c r="AX118" i="4"/>
  <c r="AX119" i="4"/>
  <c r="AX120" i="4"/>
  <c r="AX121" i="4"/>
  <c r="AX122" i="4"/>
  <c r="AX123" i="4"/>
  <c r="AX124" i="4"/>
  <c r="AX125" i="4"/>
  <c r="AX126" i="4"/>
  <c r="AX127" i="4"/>
  <c r="AX128" i="4"/>
  <c r="AX129" i="4"/>
  <c r="AX130" i="4"/>
  <c r="AX131" i="4"/>
  <c r="AX132" i="4"/>
  <c r="AX133" i="4"/>
  <c r="AX134" i="4"/>
  <c r="AX135" i="4"/>
  <c r="AX136" i="4"/>
  <c r="AX137" i="4"/>
  <c r="AX138" i="4"/>
  <c r="AX139" i="4"/>
  <c r="AX140" i="4"/>
  <c r="AX141" i="4"/>
  <c r="AX142" i="4"/>
  <c r="AX143" i="4"/>
  <c r="AX144" i="4"/>
  <c r="AX145" i="4"/>
  <c r="AX146" i="4"/>
  <c r="AX147" i="4"/>
  <c r="AX148" i="4"/>
  <c r="AX149" i="4"/>
  <c r="AX150" i="4"/>
  <c r="AX151" i="4"/>
  <c r="AX152" i="4"/>
  <c r="AX153" i="4"/>
  <c r="AX154" i="4"/>
  <c r="AX155" i="4"/>
  <c r="AX156" i="4"/>
  <c r="AX157" i="4"/>
  <c r="AX158" i="4"/>
  <c r="AX159" i="4"/>
  <c r="AX160" i="4"/>
  <c r="AX161" i="4"/>
  <c r="AX162" i="4"/>
  <c r="AX163" i="4"/>
  <c r="AX164" i="4"/>
  <c r="AX165" i="4"/>
  <c r="AX166" i="4"/>
  <c r="AX167" i="4"/>
  <c r="AX168" i="4"/>
  <c r="AX169" i="4"/>
  <c r="AX170" i="4"/>
  <c r="AX171" i="4"/>
  <c r="AX172" i="4"/>
  <c r="AX173" i="4"/>
  <c r="AX174" i="4"/>
  <c r="AX175" i="4"/>
  <c r="AX176" i="4"/>
  <c r="AX177" i="4"/>
  <c r="AX178" i="4"/>
  <c r="AX179" i="4"/>
  <c r="AX180" i="4"/>
  <c r="AX181" i="4"/>
  <c r="AX182" i="4"/>
  <c r="AX183" i="4"/>
  <c r="AX184" i="4"/>
  <c r="AX185" i="4"/>
  <c r="AX186" i="4"/>
  <c r="AX187" i="4"/>
  <c r="AX188" i="4"/>
  <c r="AX189" i="4"/>
  <c r="AX190" i="4"/>
  <c r="AX191" i="4"/>
  <c r="AX192" i="4"/>
  <c r="AX193" i="4"/>
  <c r="AX194" i="4"/>
  <c r="AX195" i="4"/>
  <c r="AX196" i="4"/>
  <c r="AX197" i="4"/>
  <c r="AX198" i="4"/>
  <c r="AX199" i="4"/>
  <c r="AX200" i="4"/>
  <c r="AX201" i="4"/>
  <c r="AX202" i="4"/>
  <c r="AX203" i="4"/>
  <c r="AX204" i="4"/>
  <c r="AX205" i="4"/>
  <c r="AX206" i="4"/>
  <c r="AX207" i="4"/>
  <c r="AX208" i="4"/>
  <c r="AX209" i="4"/>
  <c r="AX210" i="4"/>
  <c r="AX211" i="4"/>
  <c r="AX212" i="4"/>
  <c r="AX213" i="4"/>
  <c r="AX214" i="4"/>
  <c r="AX215" i="4"/>
  <c r="AX216" i="4"/>
  <c r="AX217" i="4"/>
  <c r="AX218" i="4"/>
  <c r="AX219" i="4"/>
  <c r="AX220" i="4"/>
  <c r="AX221" i="4"/>
  <c r="AX222" i="4"/>
  <c r="AX223" i="4"/>
  <c r="AX224" i="4"/>
  <c r="AX225" i="4"/>
  <c r="AX226" i="4"/>
  <c r="AX227" i="4"/>
  <c r="AX228" i="4"/>
  <c r="AX229" i="4"/>
  <c r="AX230" i="4"/>
  <c r="AX231" i="4"/>
  <c r="AX232" i="4"/>
  <c r="AX233" i="4"/>
  <c r="AX234" i="4"/>
  <c r="AX235" i="4"/>
  <c r="AX236" i="4"/>
  <c r="AX237" i="4"/>
  <c r="AX238" i="4"/>
  <c r="AX239" i="4"/>
  <c r="AX240" i="4"/>
  <c r="AX241" i="4"/>
  <c r="AX242" i="4"/>
  <c r="AX243" i="4"/>
  <c r="AX244" i="4"/>
  <c r="AX245" i="4"/>
  <c r="AX246" i="4"/>
  <c r="AX247" i="4"/>
  <c r="AX248" i="4"/>
  <c r="AX249" i="4"/>
  <c r="AX250" i="4"/>
  <c r="AX251" i="4"/>
  <c r="AX252" i="4"/>
  <c r="AX253" i="4"/>
  <c r="AX254" i="4"/>
  <c r="AX255" i="4"/>
  <c r="AX256" i="4"/>
  <c r="AX257" i="4"/>
  <c r="AX258" i="4"/>
  <c r="AX259" i="4"/>
  <c r="AX260" i="4"/>
  <c r="AX261" i="4"/>
  <c r="AX262" i="4"/>
  <c r="AX263" i="4"/>
  <c r="AX264" i="4"/>
  <c r="AX265" i="4"/>
  <c r="AX266" i="4"/>
  <c r="AX267" i="4"/>
  <c r="AX268" i="4"/>
  <c r="AX269" i="4"/>
  <c r="AX270" i="4"/>
  <c r="AX271" i="4"/>
  <c r="AX272" i="4"/>
  <c r="AX273" i="4"/>
  <c r="AX274" i="4"/>
  <c r="AX275" i="4"/>
  <c r="AX276" i="4"/>
  <c r="AX277" i="4"/>
  <c r="AX278" i="4"/>
  <c r="AX279" i="4"/>
  <c r="AX280" i="4"/>
  <c r="AX281" i="4"/>
  <c r="AX282" i="4"/>
  <c r="AX283" i="4"/>
  <c r="AX284" i="4"/>
  <c r="AX285" i="4"/>
  <c r="AX286" i="4"/>
  <c r="AX287" i="4"/>
  <c r="AX288" i="4"/>
  <c r="AX289" i="4"/>
  <c r="AX290" i="4"/>
  <c r="AX291" i="4"/>
  <c r="AX292" i="4"/>
  <c r="AX293" i="4"/>
  <c r="AX294" i="4"/>
  <c r="AX295" i="4"/>
  <c r="AX296" i="4"/>
  <c r="AX297" i="4"/>
  <c r="AX298" i="4"/>
  <c r="AX299" i="4"/>
  <c r="AX300" i="4"/>
  <c r="AX301" i="4"/>
  <c r="AX302" i="4"/>
  <c r="AX303" i="4"/>
  <c r="AX304" i="4"/>
  <c r="AX305" i="4"/>
  <c r="AX306" i="4"/>
  <c r="AX307" i="4"/>
  <c r="AX308" i="4"/>
  <c r="AX309" i="4"/>
  <c r="AX310" i="4"/>
  <c r="AX311" i="4"/>
  <c r="AX312" i="4"/>
  <c r="AX313" i="4"/>
  <c r="AX314" i="4"/>
  <c r="AX315" i="4"/>
  <c r="AX316" i="4"/>
  <c r="AX317" i="4"/>
  <c r="AX318" i="4"/>
  <c r="AX319" i="4"/>
  <c r="AX320" i="4"/>
  <c r="AX321" i="4"/>
  <c r="AX322" i="4"/>
  <c r="AX323" i="4"/>
  <c r="AX324" i="4"/>
  <c r="AX325" i="4"/>
  <c r="AX326" i="4"/>
  <c r="AX327" i="4"/>
  <c r="AX328" i="4"/>
  <c r="AX329" i="4"/>
  <c r="AX330" i="4"/>
  <c r="AX331" i="4"/>
  <c r="AX332" i="4"/>
  <c r="AX333" i="4"/>
  <c r="AX334" i="4"/>
  <c r="AX335" i="4"/>
  <c r="AX336" i="4"/>
  <c r="AX337" i="4"/>
  <c r="AX338" i="4"/>
  <c r="AX339" i="4"/>
  <c r="AX340" i="4"/>
  <c r="AX341" i="4"/>
  <c r="AY4" i="4"/>
  <c r="AY5" i="4"/>
  <c r="AY6" i="4"/>
  <c r="AY7" i="4"/>
  <c r="AY8" i="4"/>
  <c r="AY9" i="4"/>
  <c r="AY10" i="4"/>
  <c r="AY11" i="4"/>
  <c r="AY12" i="4"/>
  <c r="AY13" i="4"/>
  <c r="AY14" i="4"/>
  <c r="AY15" i="4"/>
  <c r="AY16" i="4"/>
  <c r="AY17" i="4"/>
  <c r="AY18" i="4"/>
  <c r="AY19" i="4"/>
  <c r="AY20" i="4"/>
  <c r="AY21" i="4"/>
  <c r="AY22" i="4"/>
  <c r="AY23" i="4"/>
  <c r="AY24" i="4"/>
  <c r="AY25" i="4"/>
  <c r="AY26" i="4"/>
  <c r="AY27" i="4"/>
  <c r="AY28" i="4"/>
  <c r="AY29" i="4"/>
  <c r="AY30" i="4"/>
  <c r="AY31" i="4"/>
  <c r="AY32" i="4"/>
  <c r="AY33" i="4"/>
  <c r="AY34" i="4"/>
  <c r="AY35" i="4"/>
  <c r="AY36" i="4"/>
  <c r="AY37" i="4"/>
  <c r="AY38" i="4"/>
  <c r="AY39" i="4"/>
  <c r="AY40" i="4"/>
  <c r="AY41" i="4"/>
  <c r="AY42" i="4"/>
  <c r="AY43" i="4"/>
  <c r="AY44" i="4"/>
  <c r="AY45" i="4"/>
  <c r="AY46" i="4"/>
  <c r="AY47" i="4"/>
  <c r="AY48" i="4"/>
  <c r="AY49" i="4"/>
  <c r="AY50" i="4"/>
  <c r="AY51" i="4"/>
  <c r="AY52" i="4"/>
  <c r="AY53" i="4"/>
  <c r="AY54" i="4"/>
  <c r="AY55" i="4"/>
  <c r="AY56" i="4"/>
  <c r="AY57" i="4"/>
  <c r="AY58" i="4"/>
  <c r="AY59" i="4"/>
  <c r="AY60" i="4"/>
  <c r="AY61" i="4"/>
  <c r="AY62" i="4"/>
  <c r="AY63" i="4"/>
  <c r="AY64" i="4"/>
  <c r="AY65" i="4"/>
  <c r="AY66" i="4"/>
  <c r="AY67" i="4"/>
  <c r="AY68" i="4"/>
  <c r="AY69" i="4"/>
  <c r="AY70" i="4"/>
  <c r="AY71" i="4"/>
  <c r="AY72" i="4"/>
  <c r="AY73" i="4"/>
  <c r="AY74" i="4"/>
  <c r="AY75" i="4"/>
  <c r="AY76" i="4"/>
  <c r="AY77" i="4"/>
  <c r="AY78" i="4"/>
  <c r="AY79" i="4"/>
  <c r="AY80" i="4"/>
  <c r="AY81" i="4"/>
  <c r="AY82" i="4"/>
  <c r="AY83" i="4"/>
  <c r="AY84" i="4"/>
  <c r="AY85" i="4"/>
  <c r="AY86" i="4"/>
  <c r="AY87" i="4"/>
  <c r="AY88" i="4"/>
  <c r="AY89" i="4"/>
  <c r="AY90" i="4"/>
  <c r="AY91" i="4"/>
  <c r="AY92" i="4"/>
  <c r="AY93" i="4"/>
  <c r="AY94" i="4"/>
  <c r="AY95" i="4"/>
  <c r="AY96" i="4"/>
  <c r="AY97" i="4"/>
  <c r="AY98" i="4"/>
  <c r="AY99" i="4"/>
  <c r="AY100" i="4"/>
  <c r="AY101" i="4"/>
  <c r="AY102" i="4"/>
  <c r="AY103" i="4"/>
  <c r="AY104" i="4"/>
  <c r="AY105" i="4"/>
  <c r="AY106" i="4"/>
  <c r="AY107" i="4"/>
  <c r="AY108" i="4"/>
  <c r="AY109" i="4"/>
  <c r="AY110" i="4"/>
  <c r="AY111" i="4"/>
  <c r="AY112" i="4"/>
  <c r="AY113" i="4"/>
  <c r="AY114" i="4"/>
  <c r="AY115" i="4"/>
  <c r="AY116" i="4"/>
  <c r="AY117" i="4"/>
  <c r="AY118" i="4"/>
  <c r="AY119" i="4"/>
  <c r="AY120" i="4"/>
  <c r="AY121" i="4"/>
  <c r="AY122" i="4"/>
  <c r="AY123" i="4"/>
  <c r="AY124" i="4"/>
  <c r="AY125" i="4"/>
  <c r="AY126" i="4"/>
  <c r="AY127" i="4"/>
  <c r="AY128" i="4"/>
  <c r="AY129" i="4"/>
  <c r="AY130" i="4"/>
  <c r="AY131" i="4"/>
  <c r="AY132" i="4"/>
  <c r="AY133" i="4"/>
  <c r="AY134" i="4"/>
  <c r="AY135" i="4"/>
  <c r="AY136" i="4"/>
  <c r="AY137" i="4"/>
  <c r="AY138" i="4"/>
  <c r="AY139" i="4"/>
  <c r="AY140" i="4"/>
  <c r="AY141" i="4"/>
  <c r="AY142" i="4"/>
  <c r="AY143" i="4"/>
  <c r="AY144" i="4"/>
  <c r="AY145" i="4"/>
  <c r="AY146" i="4"/>
  <c r="AY147" i="4"/>
  <c r="AY148" i="4"/>
  <c r="AY149" i="4"/>
  <c r="AY150" i="4"/>
  <c r="AY151" i="4"/>
  <c r="AY152" i="4"/>
  <c r="AY153" i="4"/>
  <c r="AY154" i="4"/>
  <c r="AY155" i="4"/>
  <c r="AY156" i="4"/>
  <c r="AY157" i="4"/>
  <c r="AY158" i="4"/>
  <c r="AY159" i="4"/>
  <c r="AY160" i="4"/>
  <c r="AY161" i="4"/>
  <c r="AY162" i="4"/>
  <c r="AY163" i="4"/>
  <c r="AY164" i="4"/>
  <c r="AY165" i="4"/>
  <c r="AY166" i="4"/>
  <c r="AY167" i="4"/>
  <c r="AY168" i="4"/>
  <c r="AY169" i="4"/>
  <c r="AY170" i="4"/>
  <c r="AY171" i="4"/>
  <c r="AY172" i="4"/>
  <c r="AY173" i="4"/>
  <c r="AY174" i="4"/>
  <c r="AY175" i="4"/>
  <c r="AY176" i="4"/>
  <c r="AY177" i="4"/>
  <c r="AY178" i="4"/>
  <c r="AY179" i="4"/>
  <c r="AY180" i="4"/>
  <c r="AY181" i="4"/>
  <c r="AY182" i="4"/>
  <c r="AY183" i="4"/>
  <c r="AY184" i="4"/>
  <c r="AY185" i="4"/>
  <c r="AY186" i="4"/>
  <c r="AY187" i="4"/>
  <c r="AY188" i="4"/>
  <c r="AY189" i="4"/>
  <c r="AY190" i="4"/>
  <c r="AY191" i="4"/>
  <c r="AY192" i="4"/>
  <c r="AY193" i="4"/>
  <c r="AY194" i="4"/>
  <c r="AY195" i="4"/>
  <c r="AY196" i="4"/>
  <c r="AY197" i="4"/>
  <c r="AY198" i="4"/>
  <c r="AY199" i="4"/>
  <c r="AY200" i="4"/>
  <c r="AY201" i="4"/>
  <c r="AY202" i="4"/>
  <c r="AY203" i="4"/>
  <c r="AY204" i="4"/>
  <c r="AY205" i="4"/>
  <c r="AY206" i="4"/>
  <c r="AY207" i="4"/>
  <c r="AY208" i="4"/>
  <c r="AY209" i="4"/>
  <c r="AY210" i="4"/>
  <c r="AY211" i="4"/>
  <c r="AY212" i="4"/>
  <c r="AY213" i="4"/>
  <c r="AY214" i="4"/>
  <c r="AY215" i="4"/>
  <c r="AY216" i="4"/>
  <c r="AY217" i="4"/>
  <c r="AY218" i="4"/>
  <c r="AY219" i="4"/>
  <c r="AY220" i="4"/>
  <c r="AY221" i="4"/>
  <c r="AY222" i="4"/>
  <c r="AY223" i="4"/>
  <c r="AY224" i="4"/>
  <c r="AY225" i="4"/>
  <c r="AY226" i="4"/>
  <c r="AY227" i="4"/>
  <c r="AY228" i="4"/>
  <c r="AY229" i="4"/>
  <c r="AY230" i="4"/>
  <c r="AY231" i="4"/>
  <c r="AY232" i="4"/>
  <c r="AY233" i="4"/>
  <c r="AY234" i="4"/>
  <c r="AY235" i="4"/>
  <c r="AY236" i="4"/>
  <c r="AY237" i="4"/>
  <c r="AY238" i="4"/>
  <c r="AY239" i="4"/>
  <c r="AY240" i="4"/>
  <c r="AY241" i="4"/>
  <c r="AY242" i="4"/>
  <c r="AY243" i="4"/>
  <c r="AY244" i="4"/>
  <c r="AY245" i="4"/>
  <c r="AY246" i="4"/>
  <c r="AY247" i="4"/>
  <c r="AY248" i="4"/>
  <c r="AY249" i="4"/>
  <c r="AY250" i="4"/>
  <c r="AY251" i="4"/>
  <c r="AY252" i="4"/>
  <c r="AY253" i="4"/>
  <c r="AY254" i="4"/>
  <c r="AY255" i="4"/>
  <c r="AY256" i="4"/>
  <c r="AY257" i="4"/>
  <c r="AY258" i="4"/>
  <c r="AY259" i="4"/>
  <c r="AY260" i="4"/>
  <c r="AY261" i="4"/>
  <c r="AY262" i="4"/>
  <c r="AY263" i="4"/>
  <c r="AY264" i="4"/>
  <c r="AY265" i="4"/>
  <c r="AY266" i="4"/>
  <c r="AY267" i="4"/>
  <c r="AY268" i="4"/>
  <c r="AY269" i="4"/>
  <c r="AY270" i="4"/>
  <c r="AY271" i="4"/>
  <c r="AY272" i="4"/>
  <c r="AY273" i="4"/>
  <c r="AY274" i="4"/>
  <c r="AY275" i="4"/>
  <c r="AY276" i="4"/>
  <c r="AY277" i="4"/>
  <c r="AY278" i="4"/>
  <c r="AY279" i="4"/>
  <c r="AY280" i="4"/>
  <c r="AY281" i="4"/>
  <c r="AY282" i="4"/>
  <c r="AY283" i="4"/>
  <c r="AY284" i="4"/>
  <c r="AY285" i="4"/>
  <c r="AY286" i="4"/>
  <c r="AY287" i="4"/>
  <c r="AY288" i="4"/>
  <c r="AY289" i="4"/>
  <c r="AY290" i="4"/>
  <c r="AY291" i="4"/>
  <c r="AY292" i="4"/>
  <c r="AY293" i="4"/>
  <c r="AY294" i="4"/>
  <c r="AY295" i="4"/>
  <c r="AY296" i="4"/>
  <c r="AY297" i="4"/>
  <c r="AY298" i="4"/>
  <c r="AY299" i="4"/>
  <c r="AY300" i="4"/>
  <c r="AY301" i="4"/>
  <c r="AY302" i="4"/>
  <c r="AY303" i="4"/>
  <c r="AY304" i="4"/>
  <c r="AY305" i="4"/>
  <c r="AY306" i="4"/>
  <c r="AY307" i="4"/>
  <c r="AY308" i="4"/>
  <c r="AY309" i="4"/>
  <c r="AY310" i="4"/>
  <c r="AY311" i="4"/>
  <c r="AY312" i="4"/>
  <c r="AY313" i="4"/>
  <c r="AY314" i="4"/>
  <c r="AY315" i="4"/>
  <c r="AY316" i="4"/>
  <c r="AY317" i="4"/>
  <c r="AY318" i="4"/>
  <c r="AY319" i="4"/>
  <c r="AY320" i="4"/>
  <c r="AY321" i="4"/>
  <c r="AY322" i="4"/>
  <c r="AY323" i="4"/>
  <c r="AY324" i="4"/>
  <c r="AY325" i="4"/>
  <c r="AY326" i="4"/>
  <c r="AY327" i="4"/>
  <c r="AY328" i="4"/>
  <c r="AY329" i="4"/>
  <c r="AY330" i="4"/>
  <c r="AY331" i="4"/>
  <c r="AY332" i="4"/>
  <c r="AY333" i="4"/>
  <c r="AY334" i="4"/>
  <c r="AY335" i="4"/>
  <c r="AY336" i="4"/>
  <c r="AY337" i="4"/>
  <c r="AY338" i="4"/>
  <c r="AY339" i="4"/>
  <c r="AY340" i="4"/>
  <c r="AY341" i="4"/>
  <c r="BG4" i="4"/>
  <c r="BG5" i="4"/>
  <c r="BG6" i="4"/>
  <c r="BG7" i="4"/>
  <c r="BG8" i="4"/>
  <c r="BG9" i="4"/>
  <c r="BG10" i="4"/>
  <c r="BG11" i="4"/>
  <c r="BG12" i="4"/>
  <c r="BG13" i="4"/>
  <c r="BG14" i="4"/>
  <c r="BG15" i="4"/>
  <c r="BG16" i="4"/>
  <c r="BG17" i="4"/>
  <c r="BG18" i="4"/>
  <c r="BG19" i="4"/>
  <c r="BG20" i="4"/>
  <c r="BG21" i="4"/>
  <c r="BG22" i="4"/>
  <c r="BG23" i="4"/>
  <c r="BG24" i="4"/>
  <c r="BG25" i="4"/>
  <c r="BG26" i="4"/>
  <c r="BG27" i="4"/>
  <c r="BG28" i="4"/>
  <c r="BG29" i="4"/>
  <c r="BG30" i="4"/>
  <c r="BG31" i="4"/>
  <c r="BG32" i="4"/>
  <c r="BG33" i="4"/>
  <c r="BG34" i="4"/>
  <c r="BG35" i="4"/>
  <c r="BG36" i="4"/>
  <c r="BG37" i="4"/>
  <c r="BG38" i="4"/>
  <c r="BG39" i="4"/>
  <c r="BG40" i="4"/>
  <c r="BG41" i="4"/>
  <c r="BG42" i="4"/>
  <c r="BG43" i="4"/>
  <c r="BG44" i="4"/>
  <c r="BG45" i="4"/>
  <c r="BG46" i="4"/>
  <c r="BG47" i="4"/>
  <c r="BG48" i="4"/>
  <c r="BG49" i="4"/>
  <c r="BG50" i="4"/>
  <c r="BG51" i="4"/>
  <c r="BG52" i="4"/>
  <c r="BG53" i="4"/>
  <c r="BG54" i="4"/>
  <c r="BG55" i="4"/>
  <c r="BG56" i="4"/>
  <c r="BG57" i="4"/>
  <c r="BG58" i="4"/>
  <c r="BG59" i="4"/>
  <c r="BG60" i="4"/>
  <c r="BG61" i="4"/>
  <c r="BG62" i="4"/>
  <c r="BG63" i="4"/>
  <c r="BG64" i="4"/>
  <c r="BG65" i="4"/>
  <c r="BG66" i="4"/>
  <c r="BG67" i="4"/>
  <c r="BG68" i="4"/>
  <c r="BG69" i="4"/>
  <c r="BG70" i="4"/>
  <c r="BG71" i="4"/>
  <c r="BG72" i="4"/>
  <c r="BG73" i="4"/>
  <c r="BG74" i="4"/>
  <c r="BG75" i="4"/>
  <c r="BG76" i="4"/>
  <c r="BG77" i="4"/>
  <c r="BG78" i="4"/>
  <c r="BG79" i="4"/>
  <c r="BG80" i="4"/>
  <c r="BG81" i="4"/>
  <c r="BG82" i="4"/>
  <c r="BG83" i="4"/>
  <c r="BG84" i="4"/>
  <c r="BG85" i="4"/>
  <c r="BG86" i="4"/>
  <c r="BG87" i="4"/>
  <c r="BG88" i="4"/>
  <c r="BG89" i="4"/>
  <c r="BG90" i="4"/>
  <c r="BG91" i="4"/>
  <c r="BG92" i="4"/>
  <c r="BG93" i="4"/>
  <c r="BG94" i="4"/>
  <c r="BG95" i="4"/>
  <c r="BG96" i="4"/>
  <c r="BG97" i="4"/>
  <c r="BG98" i="4"/>
  <c r="BG99" i="4"/>
  <c r="BG100" i="4"/>
  <c r="BG101" i="4"/>
  <c r="BG102" i="4"/>
  <c r="BG103" i="4"/>
  <c r="BG104" i="4"/>
  <c r="BG105" i="4"/>
  <c r="BG106" i="4"/>
  <c r="BG107" i="4"/>
  <c r="BG108" i="4"/>
  <c r="BG109" i="4"/>
  <c r="BG110" i="4"/>
  <c r="BG111" i="4"/>
  <c r="BG112" i="4"/>
  <c r="BG113" i="4"/>
  <c r="BG114" i="4"/>
  <c r="BG115" i="4"/>
  <c r="BG116" i="4"/>
  <c r="BG117" i="4"/>
  <c r="BG118" i="4"/>
  <c r="BG119" i="4"/>
  <c r="BG120" i="4"/>
  <c r="BG121" i="4"/>
  <c r="BG122" i="4"/>
  <c r="BG123" i="4"/>
  <c r="BG124" i="4"/>
  <c r="BG125" i="4"/>
  <c r="BG126" i="4"/>
  <c r="BG127" i="4"/>
  <c r="BG128" i="4"/>
  <c r="BG129" i="4"/>
  <c r="BG130" i="4"/>
  <c r="BG131" i="4"/>
  <c r="BG132" i="4"/>
  <c r="BG133" i="4"/>
  <c r="BG134" i="4"/>
  <c r="BG135" i="4"/>
  <c r="BG136" i="4"/>
  <c r="BG137" i="4"/>
  <c r="BG138" i="4"/>
  <c r="BG139" i="4"/>
  <c r="BG140" i="4"/>
  <c r="BG141" i="4"/>
  <c r="BG142" i="4"/>
  <c r="BG143" i="4"/>
  <c r="BG144" i="4"/>
  <c r="BG145" i="4"/>
  <c r="BG146" i="4"/>
  <c r="BG147" i="4"/>
  <c r="BG148" i="4"/>
  <c r="BG149" i="4"/>
  <c r="BG150" i="4"/>
  <c r="BG151" i="4"/>
  <c r="BG152" i="4"/>
  <c r="BG153" i="4"/>
  <c r="BG154" i="4"/>
  <c r="BG155" i="4"/>
  <c r="BG156" i="4"/>
  <c r="BG157" i="4"/>
  <c r="BG158" i="4"/>
  <c r="BG159" i="4"/>
  <c r="BG160" i="4"/>
  <c r="BG161" i="4"/>
  <c r="BG162" i="4"/>
  <c r="BG163" i="4"/>
  <c r="BG164" i="4"/>
  <c r="BG165" i="4"/>
  <c r="BG166" i="4"/>
  <c r="BG167" i="4"/>
  <c r="BG168" i="4"/>
  <c r="BG169" i="4"/>
  <c r="BG170" i="4"/>
  <c r="BG171" i="4"/>
  <c r="BG172" i="4"/>
  <c r="BG173" i="4"/>
  <c r="BG174" i="4"/>
  <c r="BG175" i="4"/>
  <c r="BG176" i="4"/>
  <c r="BG177" i="4"/>
  <c r="BG178" i="4"/>
  <c r="BG179" i="4"/>
  <c r="BG180" i="4"/>
  <c r="BG181" i="4"/>
  <c r="BG182" i="4"/>
  <c r="BG183" i="4"/>
  <c r="BG184" i="4"/>
  <c r="BG185" i="4"/>
  <c r="BG186" i="4"/>
  <c r="BG187" i="4"/>
  <c r="BG188" i="4"/>
  <c r="BG189" i="4"/>
  <c r="BG190" i="4"/>
  <c r="BG191" i="4"/>
  <c r="BG192" i="4"/>
  <c r="BG193" i="4"/>
  <c r="BG194" i="4"/>
  <c r="BG195" i="4"/>
  <c r="BG196" i="4"/>
  <c r="BG197" i="4"/>
  <c r="BG198" i="4"/>
  <c r="BG199" i="4"/>
  <c r="BG200" i="4"/>
  <c r="BG201" i="4"/>
  <c r="BG202" i="4"/>
  <c r="BG203" i="4"/>
  <c r="BG204" i="4"/>
  <c r="BG205" i="4"/>
  <c r="BG206" i="4"/>
  <c r="BG207" i="4"/>
  <c r="BG208" i="4"/>
  <c r="BG209" i="4"/>
  <c r="BG210" i="4"/>
  <c r="BG211" i="4"/>
  <c r="BG212" i="4"/>
  <c r="BG213" i="4"/>
  <c r="BG214" i="4"/>
  <c r="BG215" i="4"/>
  <c r="BG216" i="4"/>
  <c r="BG217" i="4"/>
  <c r="BG218" i="4"/>
  <c r="BG219" i="4"/>
  <c r="BG220" i="4"/>
  <c r="BG221" i="4"/>
  <c r="BG222" i="4"/>
  <c r="BG223" i="4"/>
  <c r="BG224" i="4"/>
  <c r="BG225" i="4"/>
  <c r="BG226" i="4"/>
  <c r="BG227" i="4"/>
  <c r="BG228" i="4"/>
  <c r="BG229" i="4"/>
  <c r="BG230" i="4"/>
  <c r="BG231" i="4"/>
  <c r="BG232" i="4"/>
  <c r="BG233" i="4"/>
  <c r="BG234" i="4"/>
  <c r="BG235" i="4"/>
  <c r="BG236" i="4"/>
  <c r="BG237" i="4"/>
  <c r="BG238" i="4"/>
  <c r="BG239" i="4"/>
  <c r="BG240" i="4"/>
  <c r="BG241" i="4"/>
  <c r="BG242" i="4"/>
  <c r="BG243" i="4"/>
  <c r="BG244" i="4"/>
  <c r="BG245" i="4"/>
  <c r="BG246" i="4"/>
  <c r="BG247" i="4"/>
  <c r="BG248" i="4"/>
  <c r="BG249" i="4"/>
  <c r="BG250" i="4"/>
  <c r="BG251" i="4"/>
  <c r="BG252" i="4"/>
  <c r="BG253" i="4"/>
  <c r="BG254" i="4"/>
  <c r="BG255" i="4"/>
  <c r="BG256" i="4"/>
  <c r="BG257" i="4"/>
  <c r="BG258" i="4"/>
  <c r="BG259" i="4"/>
  <c r="BG260" i="4"/>
  <c r="BG261" i="4"/>
  <c r="BG262" i="4"/>
  <c r="BG263" i="4"/>
  <c r="BG264" i="4"/>
  <c r="BG265" i="4"/>
  <c r="BG266" i="4"/>
  <c r="BG267" i="4"/>
  <c r="BG268" i="4"/>
  <c r="BG269" i="4"/>
  <c r="BG270" i="4"/>
  <c r="BG271" i="4"/>
  <c r="BG272" i="4"/>
  <c r="BG273" i="4"/>
  <c r="BG274" i="4"/>
  <c r="BG275" i="4"/>
  <c r="BG276" i="4"/>
  <c r="BG277" i="4"/>
  <c r="BG278" i="4"/>
  <c r="BG279" i="4"/>
  <c r="BG280" i="4"/>
  <c r="BG281" i="4"/>
  <c r="BG282" i="4"/>
  <c r="BG283" i="4"/>
  <c r="BG284" i="4"/>
  <c r="BG285" i="4"/>
  <c r="BG286" i="4"/>
  <c r="BG287" i="4"/>
  <c r="BG288" i="4"/>
  <c r="BG289" i="4"/>
  <c r="BG290" i="4"/>
  <c r="BG291" i="4"/>
  <c r="BG292" i="4"/>
  <c r="BG293" i="4"/>
  <c r="BG294" i="4"/>
  <c r="BG295" i="4"/>
  <c r="BG296" i="4"/>
  <c r="BG297" i="4"/>
  <c r="BG298" i="4"/>
  <c r="BG299" i="4"/>
  <c r="BG300" i="4"/>
  <c r="BG301" i="4"/>
  <c r="BG302" i="4"/>
  <c r="BG303" i="4"/>
  <c r="BG304" i="4"/>
  <c r="BG305" i="4"/>
  <c r="BG306" i="4"/>
  <c r="BG307" i="4"/>
  <c r="BG308" i="4"/>
  <c r="BG309" i="4"/>
  <c r="BG310" i="4"/>
  <c r="BG311" i="4"/>
  <c r="BG312" i="4"/>
  <c r="BG313" i="4"/>
  <c r="BG314" i="4"/>
  <c r="BG315" i="4"/>
  <c r="BG316" i="4"/>
  <c r="BG317" i="4"/>
  <c r="BG318" i="4"/>
  <c r="BG319" i="4"/>
  <c r="BG320" i="4"/>
  <c r="BG321" i="4"/>
  <c r="BG322" i="4"/>
  <c r="BG323" i="4"/>
  <c r="BG324" i="4"/>
  <c r="BG325" i="4"/>
  <c r="BG326" i="4"/>
  <c r="BG327" i="4"/>
  <c r="BG328" i="4"/>
  <c r="BG329" i="4"/>
  <c r="BG330" i="4"/>
  <c r="BG331" i="4"/>
  <c r="BG332" i="4"/>
  <c r="BG333" i="4"/>
  <c r="BG334" i="4"/>
  <c r="BG335" i="4"/>
  <c r="BG336" i="4"/>
  <c r="BG337" i="4"/>
  <c r="BG338" i="4"/>
  <c r="BG339" i="4"/>
  <c r="BG340" i="4"/>
  <c r="BG341" i="4"/>
  <c r="BH4" i="4"/>
  <c r="BH5" i="4"/>
  <c r="BH6" i="4"/>
  <c r="BH7" i="4"/>
  <c r="BH8" i="4"/>
  <c r="BH9" i="4"/>
  <c r="BH10" i="4"/>
  <c r="BH11" i="4"/>
  <c r="BH12" i="4"/>
  <c r="BH13" i="4"/>
  <c r="BH14" i="4"/>
  <c r="BH15" i="4"/>
  <c r="BH16" i="4"/>
  <c r="BH17" i="4"/>
  <c r="BH18" i="4"/>
  <c r="BH19" i="4"/>
  <c r="BH20" i="4"/>
  <c r="BH21" i="4"/>
  <c r="BH22" i="4"/>
  <c r="BH23" i="4"/>
  <c r="BH24" i="4"/>
  <c r="BH25" i="4"/>
  <c r="BH26" i="4"/>
  <c r="BH27" i="4"/>
  <c r="BH28" i="4"/>
  <c r="BH29" i="4"/>
  <c r="BH30" i="4"/>
  <c r="BH31" i="4"/>
  <c r="BH32" i="4"/>
  <c r="BH33" i="4"/>
  <c r="BH34" i="4"/>
  <c r="BH35" i="4"/>
  <c r="BH36" i="4"/>
  <c r="BH37" i="4"/>
  <c r="BH38" i="4"/>
  <c r="BH39" i="4"/>
  <c r="BH40" i="4"/>
  <c r="BH41" i="4"/>
  <c r="BH42" i="4"/>
  <c r="BH43" i="4"/>
  <c r="BH44" i="4"/>
  <c r="BH45" i="4"/>
  <c r="BH46" i="4"/>
  <c r="BH47" i="4"/>
  <c r="BH48" i="4"/>
  <c r="BH49" i="4"/>
  <c r="BH50" i="4"/>
  <c r="BH51" i="4"/>
  <c r="BH52" i="4"/>
  <c r="BH53" i="4"/>
  <c r="BH54" i="4"/>
  <c r="BH55" i="4"/>
  <c r="BH56" i="4"/>
  <c r="BH57" i="4"/>
  <c r="BH58" i="4"/>
  <c r="BH59" i="4"/>
  <c r="BH60" i="4"/>
  <c r="BH61" i="4"/>
  <c r="BH62" i="4"/>
  <c r="BH63" i="4"/>
  <c r="BH64" i="4"/>
  <c r="BH65" i="4"/>
  <c r="BH66" i="4"/>
  <c r="BH67" i="4"/>
  <c r="BH68" i="4"/>
  <c r="BH69" i="4"/>
  <c r="BH70" i="4"/>
  <c r="BH71" i="4"/>
  <c r="BH72" i="4"/>
  <c r="BH73" i="4"/>
  <c r="BH74" i="4"/>
  <c r="BH75" i="4"/>
  <c r="BH76" i="4"/>
  <c r="BH77" i="4"/>
  <c r="BH78" i="4"/>
  <c r="BH79" i="4"/>
  <c r="BH80" i="4"/>
  <c r="BH81" i="4"/>
  <c r="BH82" i="4"/>
  <c r="BH83" i="4"/>
  <c r="BH84" i="4"/>
  <c r="BH85" i="4"/>
  <c r="BH86" i="4"/>
  <c r="BH87" i="4"/>
  <c r="BH88" i="4"/>
  <c r="BH89" i="4"/>
  <c r="BH90" i="4"/>
  <c r="BH91" i="4"/>
  <c r="BH92" i="4"/>
  <c r="BH93" i="4"/>
  <c r="BH94" i="4"/>
  <c r="BH95" i="4"/>
  <c r="BH96" i="4"/>
  <c r="BH97" i="4"/>
  <c r="BH98" i="4"/>
  <c r="BH99" i="4"/>
  <c r="BH100" i="4"/>
  <c r="BH101" i="4"/>
  <c r="BH102" i="4"/>
  <c r="BH103" i="4"/>
  <c r="BH104" i="4"/>
  <c r="BH105" i="4"/>
  <c r="BH106" i="4"/>
  <c r="BH107" i="4"/>
  <c r="BH108" i="4"/>
  <c r="BH109" i="4"/>
  <c r="BH110" i="4"/>
  <c r="BH111" i="4"/>
  <c r="BH112" i="4"/>
  <c r="BH113" i="4"/>
  <c r="BH114" i="4"/>
  <c r="BH115" i="4"/>
  <c r="BH116" i="4"/>
  <c r="BH117" i="4"/>
  <c r="BH118" i="4"/>
  <c r="BH119" i="4"/>
  <c r="BH120" i="4"/>
  <c r="BH121" i="4"/>
  <c r="BH122" i="4"/>
  <c r="BH123" i="4"/>
  <c r="BH124" i="4"/>
  <c r="BH125" i="4"/>
  <c r="BH126" i="4"/>
  <c r="BH127" i="4"/>
  <c r="BH128" i="4"/>
  <c r="BH129" i="4"/>
  <c r="BH130" i="4"/>
  <c r="BH131" i="4"/>
  <c r="BH132" i="4"/>
  <c r="BH133" i="4"/>
  <c r="BH134" i="4"/>
  <c r="BH135" i="4"/>
  <c r="BH136" i="4"/>
  <c r="BH137" i="4"/>
  <c r="BH138" i="4"/>
  <c r="BH139" i="4"/>
  <c r="BH140" i="4"/>
  <c r="BH141" i="4"/>
  <c r="BH142" i="4"/>
  <c r="BH143" i="4"/>
  <c r="BH144" i="4"/>
  <c r="BH145" i="4"/>
  <c r="BH146" i="4"/>
  <c r="BH147" i="4"/>
  <c r="BH148" i="4"/>
  <c r="BH149" i="4"/>
  <c r="BH150" i="4"/>
  <c r="BH151" i="4"/>
  <c r="BH152" i="4"/>
  <c r="BH153" i="4"/>
  <c r="BH154" i="4"/>
  <c r="BH155" i="4"/>
  <c r="BH156" i="4"/>
  <c r="BH157" i="4"/>
  <c r="BH158" i="4"/>
  <c r="BH159" i="4"/>
  <c r="BH160" i="4"/>
  <c r="BH161" i="4"/>
  <c r="BH162" i="4"/>
  <c r="BH163" i="4"/>
  <c r="BH164" i="4"/>
  <c r="BH165" i="4"/>
  <c r="BH166" i="4"/>
  <c r="BH167" i="4"/>
  <c r="BH168" i="4"/>
  <c r="BH169" i="4"/>
  <c r="BH170" i="4"/>
  <c r="BH171" i="4"/>
  <c r="BH172" i="4"/>
  <c r="BH173" i="4"/>
  <c r="BH174" i="4"/>
  <c r="BH175" i="4"/>
  <c r="BH176" i="4"/>
  <c r="BH177" i="4"/>
  <c r="BH178" i="4"/>
  <c r="BH179" i="4"/>
  <c r="BH180" i="4"/>
  <c r="BH181" i="4"/>
  <c r="BH182" i="4"/>
  <c r="BH183" i="4"/>
  <c r="BH184" i="4"/>
  <c r="BH185" i="4"/>
  <c r="BH186" i="4"/>
  <c r="BH187" i="4"/>
  <c r="BH188" i="4"/>
  <c r="BH189" i="4"/>
  <c r="BH190" i="4"/>
  <c r="BH191" i="4"/>
  <c r="BH192" i="4"/>
  <c r="BH193" i="4"/>
  <c r="BH194" i="4"/>
  <c r="BH195" i="4"/>
  <c r="BH196" i="4"/>
  <c r="BH197" i="4"/>
  <c r="BH198" i="4"/>
  <c r="BH199" i="4"/>
  <c r="BH200" i="4"/>
  <c r="BH201" i="4"/>
  <c r="BH202" i="4"/>
  <c r="BH203" i="4"/>
  <c r="BH204" i="4"/>
  <c r="BH205" i="4"/>
  <c r="BH206" i="4"/>
  <c r="BH207" i="4"/>
  <c r="BH208" i="4"/>
  <c r="BH209" i="4"/>
  <c r="BH210" i="4"/>
  <c r="BH211" i="4"/>
  <c r="BH212" i="4"/>
  <c r="BH213" i="4"/>
  <c r="BH214" i="4"/>
  <c r="BH215" i="4"/>
  <c r="BH216" i="4"/>
  <c r="BH217" i="4"/>
  <c r="BH218" i="4"/>
  <c r="BH219" i="4"/>
  <c r="BH220" i="4"/>
  <c r="BH221" i="4"/>
  <c r="BH222" i="4"/>
  <c r="BH223" i="4"/>
  <c r="BH224" i="4"/>
  <c r="BH225" i="4"/>
  <c r="BH226" i="4"/>
  <c r="BH227" i="4"/>
  <c r="BH228" i="4"/>
  <c r="BH229" i="4"/>
  <c r="BH230" i="4"/>
  <c r="BH231" i="4"/>
  <c r="BH232" i="4"/>
  <c r="BH233" i="4"/>
  <c r="BH234" i="4"/>
  <c r="BH235" i="4"/>
  <c r="BH236" i="4"/>
  <c r="BH237" i="4"/>
  <c r="BH238" i="4"/>
  <c r="BH239" i="4"/>
  <c r="BH240" i="4"/>
  <c r="BH241" i="4"/>
  <c r="BH242" i="4"/>
  <c r="BH243" i="4"/>
  <c r="BH244" i="4"/>
  <c r="BH245" i="4"/>
  <c r="BH246" i="4"/>
  <c r="BH247" i="4"/>
  <c r="BH248" i="4"/>
  <c r="BH249" i="4"/>
  <c r="BH250" i="4"/>
  <c r="BH251" i="4"/>
  <c r="BH252" i="4"/>
  <c r="BH253" i="4"/>
  <c r="BH254" i="4"/>
  <c r="BH255" i="4"/>
  <c r="BH256" i="4"/>
  <c r="BH257" i="4"/>
  <c r="BH258" i="4"/>
  <c r="BH259" i="4"/>
  <c r="BH260" i="4"/>
  <c r="BH261" i="4"/>
  <c r="BH262" i="4"/>
  <c r="BH263" i="4"/>
  <c r="BH264" i="4"/>
  <c r="BH265" i="4"/>
  <c r="BH266" i="4"/>
  <c r="BH267" i="4"/>
  <c r="BH268" i="4"/>
  <c r="BH269" i="4"/>
  <c r="BH270" i="4"/>
  <c r="BH271" i="4"/>
  <c r="BH272" i="4"/>
  <c r="BH273" i="4"/>
  <c r="BH274" i="4"/>
  <c r="BH275" i="4"/>
  <c r="BH276" i="4"/>
  <c r="BH277" i="4"/>
  <c r="BH278" i="4"/>
  <c r="BH279" i="4"/>
  <c r="BH280" i="4"/>
  <c r="BH281" i="4"/>
  <c r="BH282" i="4"/>
  <c r="BH283" i="4"/>
  <c r="BH284" i="4"/>
  <c r="BH285" i="4"/>
  <c r="BH286" i="4"/>
  <c r="BH287" i="4"/>
  <c r="BH288" i="4"/>
  <c r="BH289" i="4"/>
  <c r="BH290" i="4"/>
  <c r="BH291" i="4"/>
  <c r="BH292" i="4"/>
  <c r="BH293" i="4"/>
  <c r="BH294" i="4"/>
  <c r="BH295" i="4"/>
  <c r="BH296" i="4"/>
  <c r="BH297" i="4"/>
  <c r="BH298" i="4"/>
  <c r="BH299" i="4"/>
  <c r="BH300" i="4"/>
  <c r="BH301" i="4"/>
  <c r="BH302" i="4"/>
  <c r="BH303" i="4"/>
  <c r="BH304" i="4"/>
  <c r="BH305" i="4"/>
  <c r="BH306" i="4"/>
  <c r="BH307" i="4"/>
  <c r="BH308" i="4"/>
  <c r="BH309" i="4"/>
  <c r="BH310" i="4"/>
  <c r="BH311" i="4"/>
  <c r="BH312" i="4"/>
  <c r="BH313" i="4"/>
  <c r="BH314" i="4"/>
  <c r="BH315" i="4"/>
  <c r="BH316" i="4"/>
  <c r="BH317" i="4"/>
  <c r="BH318" i="4"/>
  <c r="BH319" i="4"/>
  <c r="BH320" i="4"/>
  <c r="BH321" i="4"/>
  <c r="BH322" i="4"/>
  <c r="BH323" i="4"/>
  <c r="BH324" i="4"/>
  <c r="BH325" i="4"/>
  <c r="BH326" i="4"/>
  <c r="BH327" i="4"/>
  <c r="BH328" i="4"/>
  <c r="BH329" i="4"/>
  <c r="BH330" i="4"/>
  <c r="BH331" i="4"/>
  <c r="BH332" i="4"/>
  <c r="BH333" i="4"/>
  <c r="BH334" i="4"/>
  <c r="BH335" i="4"/>
  <c r="BH336" i="4"/>
  <c r="BH337" i="4"/>
  <c r="BH338" i="4"/>
  <c r="BH339" i="4"/>
  <c r="BH340" i="4"/>
  <c r="BH341" i="4"/>
  <c r="BI4" i="4"/>
  <c r="BI5" i="4"/>
  <c r="BI6" i="4"/>
  <c r="BI7" i="4"/>
  <c r="BI8" i="4"/>
  <c r="BI9" i="4"/>
  <c r="BI10" i="4"/>
  <c r="BI11" i="4"/>
  <c r="BI12" i="4"/>
  <c r="BI13" i="4"/>
  <c r="BI14" i="4"/>
  <c r="BI15" i="4"/>
  <c r="BI16" i="4"/>
  <c r="BI17" i="4"/>
  <c r="BI18" i="4"/>
  <c r="BI19" i="4"/>
  <c r="BI20" i="4"/>
  <c r="BI21" i="4"/>
  <c r="BI22" i="4"/>
  <c r="BI23" i="4"/>
  <c r="BI24" i="4"/>
  <c r="BI25" i="4"/>
  <c r="BI26" i="4"/>
  <c r="BI27" i="4"/>
  <c r="BI28" i="4"/>
  <c r="BI29" i="4"/>
  <c r="BI30" i="4"/>
  <c r="BI31" i="4"/>
  <c r="BI32" i="4"/>
  <c r="BI33" i="4"/>
  <c r="BI34" i="4"/>
  <c r="BI35" i="4"/>
  <c r="BI36" i="4"/>
  <c r="BI37" i="4"/>
  <c r="BI38" i="4"/>
  <c r="BI39" i="4"/>
  <c r="BI40" i="4"/>
  <c r="BI41" i="4"/>
  <c r="BI42" i="4"/>
  <c r="BI43" i="4"/>
  <c r="BI44" i="4"/>
  <c r="BI45" i="4"/>
  <c r="BI46" i="4"/>
  <c r="BI47" i="4"/>
  <c r="BI48" i="4"/>
  <c r="BI49" i="4"/>
  <c r="BI50" i="4"/>
  <c r="BI51" i="4"/>
  <c r="BI52" i="4"/>
  <c r="BI53" i="4"/>
  <c r="BI54" i="4"/>
  <c r="BI55" i="4"/>
  <c r="BI56" i="4"/>
  <c r="BI57" i="4"/>
  <c r="BI58" i="4"/>
  <c r="BI59" i="4"/>
  <c r="BI60" i="4"/>
  <c r="BI61" i="4"/>
  <c r="BI62" i="4"/>
  <c r="BI63" i="4"/>
  <c r="BI64" i="4"/>
  <c r="BI65" i="4"/>
  <c r="BI66" i="4"/>
  <c r="BI67" i="4"/>
  <c r="BI68" i="4"/>
  <c r="BI69" i="4"/>
  <c r="BI70" i="4"/>
  <c r="BI71" i="4"/>
  <c r="BI72" i="4"/>
  <c r="BI73" i="4"/>
  <c r="BI74" i="4"/>
  <c r="BI75" i="4"/>
  <c r="BI76" i="4"/>
  <c r="BI77" i="4"/>
  <c r="BI78" i="4"/>
  <c r="BI79" i="4"/>
  <c r="BI80" i="4"/>
  <c r="BI81" i="4"/>
  <c r="BI82" i="4"/>
  <c r="BI83" i="4"/>
  <c r="BI84" i="4"/>
  <c r="BI85" i="4"/>
  <c r="BI86" i="4"/>
  <c r="BI87" i="4"/>
  <c r="BI88" i="4"/>
  <c r="BI89" i="4"/>
  <c r="BI90" i="4"/>
  <c r="BI91" i="4"/>
  <c r="BI92" i="4"/>
  <c r="BI93" i="4"/>
  <c r="BI94" i="4"/>
  <c r="BI95" i="4"/>
  <c r="BI96" i="4"/>
  <c r="BI97" i="4"/>
  <c r="BI98" i="4"/>
  <c r="BI99" i="4"/>
  <c r="BI100" i="4"/>
  <c r="BI101" i="4"/>
  <c r="BI102" i="4"/>
  <c r="BI103" i="4"/>
  <c r="BI104" i="4"/>
  <c r="BI105" i="4"/>
  <c r="BI106" i="4"/>
  <c r="BI107" i="4"/>
  <c r="BI108" i="4"/>
  <c r="BI109" i="4"/>
  <c r="BI110" i="4"/>
  <c r="BI111" i="4"/>
  <c r="BI112" i="4"/>
  <c r="BI113" i="4"/>
  <c r="BI114" i="4"/>
  <c r="BI115" i="4"/>
  <c r="BI116" i="4"/>
  <c r="BI117" i="4"/>
  <c r="BI118" i="4"/>
  <c r="BI119" i="4"/>
  <c r="BI120" i="4"/>
  <c r="BI121" i="4"/>
  <c r="BI122" i="4"/>
  <c r="BI123" i="4"/>
  <c r="BI124" i="4"/>
  <c r="BI125" i="4"/>
  <c r="BI126" i="4"/>
  <c r="BI127" i="4"/>
  <c r="BI128" i="4"/>
  <c r="BI129" i="4"/>
  <c r="BI130" i="4"/>
  <c r="BI131" i="4"/>
  <c r="BI132" i="4"/>
  <c r="BI133" i="4"/>
  <c r="BI134" i="4"/>
  <c r="BI135" i="4"/>
  <c r="BI136" i="4"/>
  <c r="BI137" i="4"/>
  <c r="BI138" i="4"/>
  <c r="BI139" i="4"/>
  <c r="BI140" i="4"/>
  <c r="BI141" i="4"/>
  <c r="BI142" i="4"/>
  <c r="BI143" i="4"/>
  <c r="BI144" i="4"/>
  <c r="BI145" i="4"/>
  <c r="BI146" i="4"/>
  <c r="BI147" i="4"/>
  <c r="BI148" i="4"/>
  <c r="BI149" i="4"/>
  <c r="BI150" i="4"/>
  <c r="BI151" i="4"/>
  <c r="BI152" i="4"/>
  <c r="BI153" i="4"/>
  <c r="BI154" i="4"/>
  <c r="BI155" i="4"/>
  <c r="BI156" i="4"/>
  <c r="BI157" i="4"/>
  <c r="BI158" i="4"/>
  <c r="BI159" i="4"/>
  <c r="BI160" i="4"/>
  <c r="BI161" i="4"/>
  <c r="BI162" i="4"/>
  <c r="BI163" i="4"/>
  <c r="BI164" i="4"/>
  <c r="BI165" i="4"/>
  <c r="BI166" i="4"/>
  <c r="BI167" i="4"/>
  <c r="BI168" i="4"/>
  <c r="BI169" i="4"/>
  <c r="BI170" i="4"/>
  <c r="BI171" i="4"/>
  <c r="BI172" i="4"/>
  <c r="BI173" i="4"/>
  <c r="BI174" i="4"/>
  <c r="BI175" i="4"/>
  <c r="BI176" i="4"/>
  <c r="BI177" i="4"/>
  <c r="BI178" i="4"/>
  <c r="BI179" i="4"/>
  <c r="BI180" i="4"/>
  <c r="BI181" i="4"/>
  <c r="BI182" i="4"/>
  <c r="BI183" i="4"/>
  <c r="BI184" i="4"/>
  <c r="BI185" i="4"/>
  <c r="BI186" i="4"/>
  <c r="BI187" i="4"/>
  <c r="BI188" i="4"/>
  <c r="BI189" i="4"/>
  <c r="BI190" i="4"/>
  <c r="BI191" i="4"/>
  <c r="BI192" i="4"/>
  <c r="BI193" i="4"/>
  <c r="BI194" i="4"/>
  <c r="BI195" i="4"/>
  <c r="BI196" i="4"/>
  <c r="BI197" i="4"/>
  <c r="BI198" i="4"/>
  <c r="BI199" i="4"/>
  <c r="BI200" i="4"/>
  <c r="BI201" i="4"/>
  <c r="BI202" i="4"/>
  <c r="BI203" i="4"/>
  <c r="BI204" i="4"/>
  <c r="BI205" i="4"/>
  <c r="BI206" i="4"/>
  <c r="BI207" i="4"/>
  <c r="BI208" i="4"/>
  <c r="BI209" i="4"/>
  <c r="BI210" i="4"/>
  <c r="BI211" i="4"/>
  <c r="BI212" i="4"/>
  <c r="BI213" i="4"/>
  <c r="BI214" i="4"/>
  <c r="BI215" i="4"/>
  <c r="BI216" i="4"/>
  <c r="BI217" i="4"/>
  <c r="BI218" i="4"/>
  <c r="BI219" i="4"/>
  <c r="BI220" i="4"/>
  <c r="BI221" i="4"/>
  <c r="BI222" i="4"/>
  <c r="BI223" i="4"/>
  <c r="BI224" i="4"/>
  <c r="BI225" i="4"/>
  <c r="BI226" i="4"/>
  <c r="BI227" i="4"/>
  <c r="BI228" i="4"/>
  <c r="BI229" i="4"/>
  <c r="BI230" i="4"/>
  <c r="BI231" i="4"/>
  <c r="BI232" i="4"/>
  <c r="BI233" i="4"/>
  <c r="BI234" i="4"/>
  <c r="BI235" i="4"/>
  <c r="BI236" i="4"/>
  <c r="BI237" i="4"/>
  <c r="BI238" i="4"/>
  <c r="BI239" i="4"/>
  <c r="BI240" i="4"/>
  <c r="BI241" i="4"/>
  <c r="BI242" i="4"/>
  <c r="BI243" i="4"/>
  <c r="BI244" i="4"/>
  <c r="BI245" i="4"/>
  <c r="BI246" i="4"/>
  <c r="BI247" i="4"/>
  <c r="BI248" i="4"/>
  <c r="BI249" i="4"/>
  <c r="BI250" i="4"/>
  <c r="BI251" i="4"/>
  <c r="BI252" i="4"/>
  <c r="BI253" i="4"/>
  <c r="BI254" i="4"/>
  <c r="BI255" i="4"/>
  <c r="BI256" i="4"/>
  <c r="BI257" i="4"/>
  <c r="BI258" i="4"/>
  <c r="BI259" i="4"/>
  <c r="BI260" i="4"/>
  <c r="BI261" i="4"/>
  <c r="BI262" i="4"/>
  <c r="BI263" i="4"/>
  <c r="BI264" i="4"/>
  <c r="BI265" i="4"/>
  <c r="BI266" i="4"/>
  <c r="BI267" i="4"/>
  <c r="BI268" i="4"/>
  <c r="BI269" i="4"/>
  <c r="BI270" i="4"/>
  <c r="BI271" i="4"/>
  <c r="BI272" i="4"/>
  <c r="BI273" i="4"/>
  <c r="BL273" i="4" s="1"/>
  <c r="BI274" i="4"/>
  <c r="BI275" i="4"/>
  <c r="BI276" i="4"/>
  <c r="BI277" i="4"/>
  <c r="BI278" i="4"/>
  <c r="BI279" i="4"/>
  <c r="BL279" i="4" s="1"/>
  <c r="BI280" i="4"/>
  <c r="BI281" i="4"/>
  <c r="BI282" i="4"/>
  <c r="BI283" i="4"/>
  <c r="BI284" i="4"/>
  <c r="BI285" i="4"/>
  <c r="BI286" i="4"/>
  <c r="BI287" i="4"/>
  <c r="BI288" i="4"/>
  <c r="BI289" i="4"/>
  <c r="BI290" i="4"/>
  <c r="BI291" i="4"/>
  <c r="BI292" i="4"/>
  <c r="BI293" i="4"/>
  <c r="BI294" i="4"/>
  <c r="BI295" i="4"/>
  <c r="BI296" i="4"/>
  <c r="BI297" i="4"/>
  <c r="BI298" i="4"/>
  <c r="BI299" i="4"/>
  <c r="BI300" i="4"/>
  <c r="BI301" i="4"/>
  <c r="BI302" i="4"/>
  <c r="BI303" i="4"/>
  <c r="BI304" i="4"/>
  <c r="BI305" i="4"/>
  <c r="BI306" i="4"/>
  <c r="BI307" i="4"/>
  <c r="BI308" i="4"/>
  <c r="BI309" i="4"/>
  <c r="BI310" i="4"/>
  <c r="BI311" i="4"/>
  <c r="BI312" i="4"/>
  <c r="BI313" i="4"/>
  <c r="BI314" i="4"/>
  <c r="BI315" i="4"/>
  <c r="BI316" i="4"/>
  <c r="BI317" i="4"/>
  <c r="BI318" i="4"/>
  <c r="BI319" i="4"/>
  <c r="BI320" i="4"/>
  <c r="BI321" i="4"/>
  <c r="BI322" i="4"/>
  <c r="BI323" i="4"/>
  <c r="BI324" i="4"/>
  <c r="BI325" i="4"/>
  <c r="BI326" i="4"/>
  <c r="BI327" i="4"/>
  <c r="BI328" i="4"/>
  <c r="BI329" i="4"/>
  <c r="BI330" i="4"/>
  <c r="BI331" i="4"/>
  <c r="BI332" i="4"/>
  <c r="BI333" i="4"/>
  <c r="BI334" i="4"/>
  <c r="BI335" i="4"/>
  <c r="BI336" i="4"/>
  <c r="BI337" i="4"/>
  <c r="BI338" i="4"/>
  <c r="BI339" i="4"/>
  <c r="BI340" i="4"/>
  <c r="BI341" i="4"/>
  <c r="BJ4" i="4"/>
  <c r="BJ5" i="4"/>
  <c r="BJ6" i="4"/>
  <c r="BJ7" i="4"/>
  <c r="BL7" i="4" s="1"/>
  <c r="BJ8" i="4"/>
  <c r="BJ9" i="4"/>
  <c r="BJ10" i="4"/>
  <c r="BJ11" i="4"/>
  <c r="BJ12" i="4"/>
  <c r="BJ13" i="4"/>
  <c r="BL13" i="4" s="1"/>
  <c r="BJ14" i="4"/>
  <c r="BJ15" i="4"/>
  <c r="BJ16" i="4"/>
  <c r="BJ17" i="4"/>
  <c r="BJ18" i="4"/>
  <c r="BJ19" i="4"/>
  <c r="BJ20" i="4"/>
  <c r="BJ21" i="4"/>
  <c r="BJ22" i="4"/>
  <c r="BJ23" i="4"/>
  <c r="BJ24" i="4"/>
  <c r="BJ25" i="4"/>
  <c r="BJ26" i="4"/>
  <c r="BJ27" i="4"/>
  <c r="BJ28" i="4"/>
  <c r="BJ29" i="4"/>
  <c r="BJ30" i="4"/>
  <c r="BJ31" i="4"/>
  <c r="BJ32" i="4"/>
  <c r="BJ33" i="4"/>
  <c r="BJ34" i="4"/>
  <c r="BJ35" i="4"/>
  <c r="BJ36" i="4"/>
  <c r="BJ37" i="4"/>
  <c r="BL37" i="4" s="1"/>
  <c r="BJ38" i="4"/>
  <c r="BJ39" i="4"/>
  <c r="BJ40" i="4"/>
  <c r="BJ41" i="4"/>
  <c r="BJ42" i="4"/>
  <c r="BJ43" i="4"/>
  <c r="BL43" i="4" s="1"/>
  <c r="BJ44" i="4"/>
  <c r="BJ45" i="4"/>
  <c r="BJ46" i="4"/>
  <c r="BJ47" i="4"/>
  <c r="BJ48" i="4"/>
  <c r="BJ49" i="4"/>
  <c r="BL49" i="4" s="1"/>
  <c r="BJ50" i="4"/>
  <c r="BJ51" i="4"/>
  <c r="BJ52" i="4"/>
  <c r="BJ53" i="4"/>
  <c r="BJ54" i="4"/>
  <c r="BJ55" i="4"/>
  <c r="BJ56" i="4"/>
  <c r="BJ57" i="4"/>
  <c r="BJ58" i="4"/>
  <c r="BJ59" i="4"/>
  <c r="BJ60" i="4"/>
  <c r="BJ61" i="4"/>
  <c r="BJ62" i="4"/>
  <c r="BJ63" i="4"/>
  <c r="BJ64" i="4"/>
  <c r="BJ65" i="4"/>
  <c r="BJ66" i="4"/>
  <c r="BJ67" i="4"/>
  <c r="BJ68" i="4"/>
  <c r="BJ69" i="4"/>
  <c r="BJ70" i="4"/>
  <c r="BJ71" i="4"/>
  <c r="BJ72" i="4"/>
  <c r="BJ73" i="4"/>
  <c r="BL73" i="4" s="1"/>
  <c r="BJ74" i="4"/>
  <c r="BJ75" i="4"/>
  <c r="BJ76" i="4"/>
  <c r="BJ77" i="4"/>
  <c r="BJ78" i="4"/>
  <c r="BJ79" i="4"/>
  <c r="BL79" i="4" s="1"/>
  <c r="BJ80" i="4"/>
  <c r="BJ81" i="4"/>
  <c r="BJ82" i="4"/>
  <c r="BJ83" i="4"/>
  <c r="BJ84" i="4"/>
  <c r="BJ85" i="4"/>
  <c r="BL85" i="4" s="1"/>
  <c r="BJ86" i="4"/>
  <c r="BJ87" i="4"/>
  <c r="BJ88" i="4"/>
  <c r="BJ89" i="4"/>
  <c r="BJ90" i="4"/>
  <c r="BJ91" i="4"/>
  <c r="BJ92" i="4"/>
  <c r="BJ93" i="4"/>
  <c r="BJ94" i="4"/>
  <c r="BJ95" i="4"/>
  <c r="BJ96" i="4"/>
  <c r="BJ97" i="4"/>
  <c r="BJ98" i="4"/>
  <c r="BJ99" i="4"/>
  <c r="BJ100" i="4"/>
  <c r="BJ101" i="4"/>
  <c r="BJ102" i="4"/>
  <c r="BJ103" i="4"/>
  <c r="BJ104" i="4"/>
  <c r="BJ105" i="4"/>
  <c r="BJ106" i="4"/>
  <c r="BJ107" i="4"/>
  <c r="BJ108" i="4"/>
  <c r="BJ109" i="4"/>
  <c r="BJ110" i="4"/>
  <c r="BJ111" i="4"/>
  <c r="BJ112" i="4"/>
  <c r="BJ113" i="4"/>
  <c r="BJ114" i="4"/>
  <c r="BJ115" i="4"/>
  <c r="BJ116" i="4"/>
  <c r="BJ117" i="4"/>
  <c r="BJ118" i="4"/>
  <c r="BJ119" i="4"/>
  <c r="BJ120" i="4"/>
  <c r="BJ121" i="4"/>
  <c r="BJ122" i="4"/>
  <c r="BJ123" i="4"/>
  <c r="BJ124" i="4"/>
  <c r="BJ125" i="4"/>
  <c r="BJ126" i="4"/>
  <c r="BJ127" i="4"/>
  <c r="BJ128" i="4"/>
  <c r="BJ129" i="4"/>
  <c r="BJ130" i="4"/>
  <c r="BJ131" i="4"/>
  <c r="BJ132" i="4"/>
  <c r="BJ133" i="4"/>
  <c r="BJ134" i="4"/>
  <c r="BJ135" i="4"/>
  <c r="BJ136" i="4"/>
  <c r="BJ137" i="4"/>
  <c r="BJ138" i="4"/>
  <c r="BJ139" i="4"/>
  <c r="BJ140" i="4"/>
  <c r="BJ141" i="4"/>
  <c r="BJ142" i="4"/>
  <c r="BJ143" i="4"/>
  <c r="BJ144" i="4"/>
  <c r="BJ145" i="4"/>
  <c r="BJ146" i="4"/>
  <c r="BJ147" i="4"/>
  <c r="BJ148" i="4"/>
  <c r="BJ149" i="4"/>
  <c r="BJ150" i="4"/>
  <c r="BJ151" i="4"/>
  <c r="BJ152" i="4"/>
  <c r="BJ153" i="4"/>
  <c r="BJ154" i="4"/>
  <c r="BJ155" i="4"/>
  <c r="BJ156" i="4"/>
  <c r="BJ157" i="4"/>
  <c r="BL157" i="4" s="1"/>
  <c r="BJ158" i="4"/>
  <c r="BJ159" i="4"/>
  <c r="BJ160" i="4"/>
  <c r="BJ161" i="4"/>
  <c r="BJ162" i="4"/>
  <c r="BJ163" i="4"/>
  <c r="BL163" i="4" s="1"/>
  <c r="BJ164" i="4"/>
  <c r="BJ165" i="4"/>
  <c r="BJ166" i="4"/>
  <c r="BJ167" i="4"/>
  <c r="BJ168" i="4"/>
  <c r="BJ169" i="4"/>
  <c r="BL169" i="4" s="1"/>
  <c r="BJ170" i="4"/>
  <c r="BJ171" i="4"/>
  <c r="BJ172" i="4"/>
  <c r="BJ173" i="4"/>
  <c r="BJ174" i="4"/>
  <c r="BJ175" i="4"/>
  <c r="BL175" i="4" s="1"/>
  <c r="BJ176" i="4"/>
  <c r="BJ177" i="4"/>
  <c r="BJ178" i="4"/>
  <c r="BJ179" i="4"/>
  <c r="BJ180" i="4"/>
  <c r="BJ181" i="4"/>
  <c r="BL181" i="4" s="1"/>
  <c r="BJ182" i="4"/>
  <c r="BJ183" i="4"/>
  <c r="BJ184" i="4"/>
  <c r="BJ185" i="4"/>
  <c r="BJ186" i="4"/>
  <c r="BJ187" i="4"/>
  <c r="BL187" i="4" s="1"/>
  <c r="BJ188" i="4"/>
  <c r="BJ189" i="4"/>
  <c r="BJ190" i="4"/>
  <c r="BJ191" i="4"/>
  <c r="BJ192" i="4"/>
  <c r="BJ193" i="4"/>
  <c r="BL193" i="4" s="1"/>
  <c r="BJ194" i="4"/>
  <c r="BJ195" i="4"/>
  <c r="BJ196" i="4"/>
  <c r="BJ197" i="4"/>
  <c r="BJ198" i="4"/>
  <c r="BJ199" i="4"/>
  <c r="BL199" i="4" s="1"/>
  <c r="BJ200" i="4"/>
  <c r="BJ201" i="4"/>
  <c r="BJ202" i="4"/>
  <c r="BJ203" i="4"/>
  <c r="BJ204" i="4"/>
  <c r="BJ205" i="4"/>
  <c r="BL205" i="4" s="1"/>
  <c r="BJ206" i="4"/>
  <c r="BJ207" i="4"/>
  <c r="BJ208" i="4"/>
  <c r="BJ209" i="4"/>
  <c r="BJ210" i="4"/>
  <c r="BJ211" i="4"/>
  <c r="BL211" i="4" s="1"/>
  <c r="BJ212" i="4"/>
  <c r="BJ213" i="4"/>
  <c r="BJ214" i="4"/>
  <c r="BJ215" i="4"/>
  <c r="BJ216" i="4"/>
  <c r="BJ217" i="4"/>
  <c r="BL217" i="4" s="1"/>
  <c r="BJ218" i="4"/>
  <c r="BJ219" i="4"/>
  <c r="BJ220" i="4"/>
  <c r="BJ221" i="4"/>
  <c r="BJ222" i="4"/>
  <c r="BJ223" i="4"/>
  <c r="BL223" i="4" s="1"/>
  <c r="BJ224" i="4"/>
  <c r="BJ225" i="4"/>
  <c r="BJ226" i="4"/>
  <c r="BJ227" i="4"/>
  <c r="BJ228" i="4"/>
  <c r="BJ229" i="4"/>
  <c r="BL229" i="4" s="1"/>
  <c r="BJ230" i="4"/>
  <c r="BJ231" i="4"/>
  <c r="BJ232" i="4"/>
  <c r="BJ233" i="4"/>
  <c r="BJ234" i="4"/>
  <c r="BJ235" i="4"/>
  <c r="BL235" i="4" s="1"/>
  <c r="BJ236" i="4"/>
  <c r="BJ237" i="4"/>
  <c r="BJ238" i="4"/>
  <c r="BJ239" i="4"/>
  <c r="BJ240" i="4"/>
  <c r="BJ241" i="4"/>
  <c r="BL241" i="4" s="1"/>
  <c r="BJ242" i="4"/>
  <c r="BJ243" i="4"/>
  <c r="BJ244" i="4"/>
  <c r="BJ245" i="4"/>
  <c r="BJ246" i="4"/>
  <c r="BJ247" i="4"/>
  <c r="BL247" i="4" s="1"/>
  <c r="BJ248" i="4"/>
  <c r="BJ249" i="4"/>
  <c r="BJ250" i="4"/>
  <c r="BJ251" i="4"/>
  <c r="BJ252" i="4"/>
  <c r="BJ253" i="4"/>
  <c r="BL253" i="4" s="1"/>
  <c r="BJ254" i="4"/>
  <c r="BJ255" i="4"/>
  <c r="BJ256" i="4"/>
  <c r="BJ257" i="4"/>
  <c r="BJ258" i="4"/>
  <c r="BJ259" i="4"/>
  <c r="BL259" i="4" s="1"/>
  <c r="BJ260" i="4"/>
  <c r="BJ261" i="4"/>
  <c r="BJ262" i="4"/>
  <c r="BJ263" i="4"/>
  <c r="BJ264" i="4"/>
  <c r="BJ265" i="4"/>
  <c r="BL265" i="4" s="1"/>
  <c r="BJ266" i="4"/>
  <c r="BJ267" i="4"/>
  <c r="BJ268" i="4"/>
  <c r="BJ269" i="4"/>
  <c r="BJ270" i="4"/>
  <c r="BJ271" i="4"/>
  <c r="BL271" i="4" s="1"/>
  <c r="BJ272" i="4"/>
  <c r="BJ273" i="4"/>
  <c r="BJ274" i="4"/>
  <c r="BJ275" i="4"/>
  <c r="BJ276" i="4"/>
  <c r="BJ277" i="4"/>
  <c r="BJ278" i="4"/>
  <c r="BJ279" i="4"/>
  <c r="BJ280" i="4"/>
  <c r="BJ281" i="4"/>
  <c r="BJ282" i="4"/>
  <c r="BJ283" i="4"/>
  <c r="BJ284" i="4"/>
  <c r="BJ285" i="4"/>
  <c r="BJ286" i="4"/>
  <c r="BJ287" i="4"/>
  <c r="BJ288" i="4"/>
  <c r="BJ289" i="4"/>
  <c r="BL289" i="4" s="1"/>
  <c r="BJ290" i="4"/>
  <c r="BJ291" i="4"/>
  <c r="BJ292" i="4"/>
  <c r="BJ293" i="4"/>
  <c r="BJ294" i="4"/>
  <c r="BJ295" i="4"/>
  <c r="BL295" i="4" s="1"/>
  <c r="BJ296" i="4"/>
  <c r="BJ297" i="4"/>
  <c r="BJ298" i="4"/>
  <c r="BJ299" i="4"/>
  <c r="BJ300" i="4"/>
  <c r="BJ301" i="4"/>
  <c r="BJ302" i="4"/>
  <c r="BJ303" i="4"/>
  <c r="BJ304" i="4"/>
  <c r="BJ305" i="4"/>
  <c r="BJ306" i="4"/>
  <c r="BJ307" i="4"/>
  <c r="BL307" i="4" s="1"/>
  <c r="BJ308" i="4"/>
  <c r="BJ309" i="4"/>
  <c r="BJ310" i="4"/>
  <c r="BJ311" i="4"/>
  <c r="BJ312" i="4"/>
  <c r="BJ313" i="4"/>
  <c r="BL313" i="4" s="1"/>
  <c r="BJ314" i="4"/>
  <c r="BJ315" i="4"/>
  <c r="BJ316" i="4"/>
  <c r="BJ317" i="4"/>
  <c r="BJ318" i="4"/>
  <c r="BJ319" i="4"/>
  <c r="BJ320" i="4"/>
  <c r="BJ321" i="4"/>
  <c r="BJ322" i="4"/>
  <c r="BJ323" i="4"/>
  <c r="BJ324" i="4"/>
  <c r="BJ325" i="4"/>
  <c r="BL325" i="4" s="1"/>
  <c r="BJ326" i="4"/>
  <c r="BJ327" i="4"/>
  <c r="BJ328" i="4"/>
  <c r="BJ329" i="4"/>
  <c r="BJ330" i="4"/>
  <c r="BJ331" i="4"/>
  <c r="BL331" i="4" s="1"/>
  <c r="BJ332" i="4"/>
  <c r="BJ333" i="4"/>
  <c r="BJ334" i="4"/>
  <c r="BJ335" i="4"/>
  <c r="BJ336" i="4"/>
  <c r="BJ337" i="4"/>
  <c r="BL337" i="4" s="1"/>
  <c r="BJ338" i="4"/>
  <c r="BJ339" i="4"/>
  <c r="BJ340" i="4"/>
  <c r="BJ341" i="4"/>
  <c r="BK4" i="4"/>
  <c r="BK5" i="4"/>
  <c r="BL5" i="4" s="1"/>
  <c r="BK6" i="4"/>
  <c r="BL6" i="4" s="1"/>
  <c r="BK7" i="4"/>
  <c r="BK8" i="4"/>
  <c r="BK9" i="4"/>
  <c r="BK10" i="4"/>
  <c r="BK11" i="4"/>
  <c r="BL11" i="4" s="1"/>
  <c r="BK12" i="4"/>
  <c r="BK13" i="4"/>
  <c r="BK14" i="4"/>
  <c r="BK15" i="4"/>
  <c r="BK16" i="4"/>
  <c r="BK17" i="4"/>
  <c r="BL17" i="4" s="1"/>
  <c r="BK18" i="4"/>
  <c r="BK19" i="4"/>
  <c r="BK20" i="4"/>
  <c r="BK21" i="4"/>
  <c r="BK22" i="4"/>
  <c r="BK23" i="4"/>
  <c r="BL23" i="4" s="1"/>
  <c r="BK24" i="4"/>
  <c r="BK25" i="4"/>
  <c r="BK26" i="4"/>
  <c r="BK27" i="4"/>
  <c r="BK28" i="4"/>
  <c r="BK29" i="4"/>
  <c r="BL29" i="4" s="1"/>
  <c r="BK30" i="4"/>
  <c r="BL30" i="4" s="1"/>
  <c r="BK31" i="4"/>
  <c r="BK32" i="4"/>
  <c r="BK33" i="4"/>
  <c r="BK34" i="4"/>
  <c r="BL34" i="4" s="1"/>
  <c r="BK35" i="4"/>
  <c r="BL35" i="4" s="1"/>
  <c r="BK36" i="4"/>
  <c r="BL36" i="4" s="1"/>
  <c r="BK37" i="4"/>
  <c r="BK38" i="4"/>
  <c r="BK39" i="4"/>
  <c r="BK40" i="4"/>
  <c r="BK41" i="4"/>
  <c r="BL41" i="4" s="1"/>
  <c r="BK42" i="4"/>
  <c r="BL42" i="4" s="1"/>
  <c r="BK43" i="4"/>
  <c r="BK44" i="4"/>
  <c r="BK45" i="4"/>
  <c r="BK46" i="4"/>
  <c r="BK47" i="4"/>
  <c r="BL47" i="4" s="1"/>
  <c r="BK48" i="4"/>
  <c r="BK49" i="4"/>
  <c r="BK50" i="4"/>
  <c r="BK51" i="4"/>
  <c r="BK52" i="4"/>
  <c r="BK53" i="4"/>
  <c r="BL53" i="4" s="1"/>
  <c r="BK54" i="4"/>
  <c r="BK55" i="4"/>
  <c r="BK56" i="4"/>
  <c r="BK57" i="4"/>
  <c r="BK58" i="4"/>
  <c r="BK59" i="4"/>
  <c r="BL59" i="4" s="1"/>
  <c r="BK60" i="4"/>
  <c r="BK61" i="4"/>
  <c r="BK62" i="4"/>
  <c r="BK63" i="4"/>
  <c r="BK64" i="4"/>
  <c r="BL64" i="4" s="1"/>
  <c r="BK65" i="4"/>
  <c r="BL65" i="4" s="1"/>
  <c r="BK66" i="4"/>
  <c r="BL66" i="4" s="1"/>
  <c r="BK67" i="4"/>
  <c r="BK68" i="4"/>
  <c r="BK69" i="4"/>
  <c r="BK70" i="4"/>
  <c r="BL70" i="4" s="1"/>
  <c r="BK71" i="4"/>
  <c r="BL71" i="4" s="1"/>
  <c r="BK72" i="4"/>
  <c r="BL72" i="4" s="1"/>
  <c r="BK73" i="4"/>
  <c r="BK74" i="4"/>
  <c r="BK75" i="4"/>
  <c r="BK76" i="4"/>
  <c r="BK77" i="4"/>
  <c r="BL77" i="4" s="1"/>
  <c r="BK78" i="4"/>
  <c r="BL78" i="4" s="1"/>
  <c r="BK79" i="4"/>
  <c r="BK80" i="4"/>
  <c r="BK81" i="4"/>
  <c r="BK82" i="4"/>
  <c r="BK83" i="4"/>
  <c r="BL83" i="4" s="1"/>
  <c r="BK84" i="4"/>
  <c r="BK85" i="4"/>
  <c r="BK86" i="4"/>
  <c r="BK87" i="4"/>
  <c r="BK88" i="4"/>
  <c r="BK89" i="4"/>
  <c r="BL89" i="4" s="1"/>
  <c r="BK90" i="4"/>
  <c r="BK91" i="4"/>
  <c r="BK92" i="4"/>
  <c r="BK93" i="4"/>
  <c r="BK94" i="4"/>
  <c r="BK95" i="4"/>
  <c r="BL95" i="4" s="1"/>
  <c r="BK96" i="4"/>
  <c r="BK97" i="4"/>
  <c r="BK98" i="4"/>
  <c r="BK99" i="4"/>
  <c r="BK100" i="4"/>
  <c r="BL100" i="4" s="1"/>
  <c r="BK101" i="4"/>
  <c r="BL101" i="4" s="1"/>
  <c r="BK102" i="4"/>
  <c r="BL102" i="4" s="1"/>
  <c r="BK103" i="4"/>
  <c r="BK104" i="4"/>
  <c r="BK105" i="4"/>
  <c r="BK106" i="4"/>
  <c r="BL106" i="4" s="1"/>
  <c r="BK107" i="4"/>
  <c r="BL107" i="4" s="1"/>
  <c r="BK108" i="4"/>
  <c r="BL108" i="4" s="1"/>
  <c r="BK109" i="4"/>
  <c r="BK110" i="4"/>
  <c r="BK111" i="4"/>
  <c r="BK112" i="4"/>
  <c r="BL112" i="4" s="1"/>
  <c r="BK113" i="4"/>
  <c r="BL113" i="4" s="1"/>
  <c r="BK114" i="4"/>
  <c r="BL114" i="4" s="1"/>
  <c r="BK115" i="4"/>
  <c r="BK116" i="4"/>
  <c r="BK117" i="4"/>
  <c r="BK118" i="4"/>
  <c r="BL118" i="4" s="1"/>
  <c r="BK119" i="4"/>
  <c r="BL119" i="4" s="1"/>
  <c r="BK120" i="4"/>
  <c r="BL120" i="4" s="1"/>
  <c r="BK121" i="4"/>
  <c r="BK122" i="4"/>
  <c r="BK123" i="4"/>
  <c r="BK124" i="4"/>
  <c r="BL124" i="4" s="1"/>
  <c r="BK125" i="4"/>
  <c r="BL125" i="4" s="1"/>
  <c r="BK126" i="4"/>
  <c r="BL126" i="4" s="1"/>
  <c r="BK127" i="4"/>
  <c r="BK128" i="4"/>
  <c r="BK129" i="4"/>
  <c r="BK130" i="4"/>
  <c r="BL130" i="4" s="1"/>
  <c r="BK131" i="4"/>
  <c r="BL131" i="4" s="1"/>
  <c r="BK132" i="4"/>
  <c r="BL132" i="4" s="1"/>
  <c r="BK133" i="4"/>
  <c r="BK134" i="4"/>
  <c r="BK135" i="4"/>
  <c r="BK136" i="4"/>
  <c r="BL136" i="4" s="1"/>
  <c r="BK137" i="4"/>
  <c r="BL137" i="4" s="1"/>
  <c r="BK138" i="4"/>
  <c r="BL138" i="4" s="1"/>
  <c r="BK139" i="4"/>
  <c r="BK140" i="4"/>
  <c r="BK141" i="4"/>
  <c r="BK142" i="4"/>
  <c r="BL142" i="4" s="1"/>
  <c r="BK143" i="4"/>
  <c r="BL143" i="4" s="1"/>
  <c r="BK144" i="4"/>
  <c r="BL144" i="4" s="1"/>
  <c r="BK145" i="4"/>
  <c r="BK146" i="4"/>
  <c r="BK147" i="4"/>
  <c r="BK148" i="4"/>
  <c r="BL148" i="4" s="1"/>
  <c r="BK149" i="4"/>
  <c r="BL149" i="4" s="1"/>
  <c r="BK150" i="4"/>
  <c r="BL150" i="4" s="1"/>
  <c r="BK151" i="4"/>
  <c r="BK152" i="4"/>
  <c r="BK153" i="4"/>
  <c r="BK154" i="4"/>
  <c r="BL154" i="4" s="1"/>
  <c r="BK155" i="4"/>
  <c r="BL155" i="4" s="1"/>
  <c r="BK156" i="4"/>
  <c r="BL156" i="4" s="1"/>
  <c r="BK157" i="4"/>
  <c r="BK158" i="4"/>
  <c r="BK159" i="4"/>
  <c r="BK160" i="4"/>
  <c r="BL160" i="4" s="1"/>
  <c r="BK161" i="4"/>
  <c r="BL161" i="4" s="1"/>
  <c r="BK162" i="4"/>
  <c r="BL162" i="4" s="1"/>
  <c r="BK163" i="4"/>
  <c r="BK164" i="4"/>
  <c r="BK165" i="4"/>
  <c r="BK166" i="4"/>
  <c r="BL166" i="4" s="1"/>
  <c r="BK167" i="4"/>
  <c r="BL167" i="4" s="1"/>
  <c r="BK168" i="4"/>
  <c r="BL168" i="4" s="1"/>
  <c r="BK169" i="4"/>
  <c r="BK170" i="4"/>
  <c r="BK171" i="4"/>
  <c r="BK172" i="4"/>
  <c r="BL172" i="4" s="1"/>
  <c r="BK173" i="4"/>
  <c r="BL173" i="4" s="1"/>
  <c r="BK174" i="4"/>
  <c r="BL174" i="4" s="1"/>
  <c r="BK175" i="4"/>
  <c r="BK176" i="4"/>
  <c r="BK177" i="4"/>
  <c r="BK178" i="4"/>
  <c r="BL178" i="4" s="1"/>
  <c r="BK179" i="4"/>
  <c r="BL179" i="4" s="1"/>
  <c r="BK180" i="4"/>
  <c r="BL180" i="4" s="1"/>
  <c r="BK181" i="4"/>
  <c r="BK182" i="4"/>
  <c r="BK183" i="4"/>
  <c r="BK184" i="4"/>
  <c r="BL184" i="4" s="1"/>
  <c r="BK185" i="4"/>
  <c r="BL185" i="4" s="1"/>
  <c r="BK186" i="4"/>
  <c r="BL186" i="4" s="1"/>
  <c r="BK187" i="4"/>
  <c r="BK188" i="4"/>
  <c r="BK189" i="4"/>
  <c r="BK190" i="4"/>
  <c r="BL190" i="4" s="1"/>
  <c r="BK191" i="4"/>
  <c r="BL191" i="4" s="1"/>
  <c r="BK192" i="4"/>
  <c r="BL192" i="4" s="1"/>
  <c r="BK193" i="4"/>
  <c r="BK194" i="4"/>
  <c r="BK195" i="4"/>
  <c r="BK196" i="4"/>
  <c r="BL196" i="4" s="1"/>
  <c r="BK197" i="4"/>
  <c r="BL197" i="4" s="1"/>
  <c r="BK198" i="4"/>
  <c r="BL198" i="4" s="1"/>
  <c r="BK199" i="4"/>
  <c r="BK200" i="4"/>
  <c r="BK201" i="4"/>
  <c r="BK202" i="4"/>
  <c r="BL202" i="4" s="1"/>
  <c r="BK203" i="4"/>
  <c r="BL203" i="4" s="1"/>
  <c r="BK204" i="4"/>
  <c r="BL204" i="4" s="1"/>
  <c r="BK205" i="4"/>
  <c r="BK206" i="4"/>
  <c r="BK207" i="4"/>
  <c r="BK208" i="4"/>
  <c r="BL208" i="4" s="1"/>
  <c r="BK209" i="4"/>
  <c r="BL209" i="4" s="1"/>
  <c r="BK210" i="4"/>
  <c r="BL210" i="4" s="1"/>
  <c r="BK211" i="4"/>
  <c r="BK212" i="4"/>
  <c r="BK213" i="4"/>
  <c r="BK214" i="4"/>
  <c r="BL214" i="4" s="1"/>
  <c r="BK215" i="4"/>
  <c r="BL215" i="4" s="1"/>
  <c r="BK216" i="4"/>
  <c r="BL216" i="4" s="1"/>
  <c r="BK217" i="4"/>
  <c r="BK218" i="4"/>
  <c r="BK219" i="4"/>
  <c r="BK220" i="4"/>
  <c r="BL220" i="4" s="1"/>
  <c r="BK221" i="4"/>
  <c r="BL221" i="4" s="1"/>
  <c r="BK222" i="4"/>
  <c r="BL222" i="4" s="1"/>
  <c r="BK223" i="4"/>
  <c r="BK224" i="4"/>
  <c r="BK225" i="4"/>
  <c r="BK226" i="4"/>
  <c r="BL226" i="4" s="1"/>
  <c r="BK227" i="4"/>
  <c r="BL227" i="4" s="1"/>
  <c r="BK228" i="4"/>
  <c r="BL228" i="4" s="1"/>
  <c r="BK229" i="4"/>
  <c r="BK230" i="4"/>
  <c r="BK231" i="4"/>
  <c r="BK232" i="4"/>
  <c r="BL232" i="4" s="1"/>
  <c r="BK233" i="4"/>
  <c r="BL233" i="4" s="1"/>
  <c r="BK234" i="4"/>
  <c r="BL234" i="4" s="1"/>
  <c r="BK235" i="4"/>
  <c r="BK236" i="4"/>
  <c r="BK237" i="4"/>
  <c r="BK238" i="4"/>
  <c r="BL238" i="4" s="1"/>
  <c r="BK239" i="4"/>
  <c r="BL239" i="4" s="1"/>
  <c r="BK240" i="4"/>
  <c r="BL240" i="4" s="1"/>
  <c r="BK241" i="4"/>
  <c r="BK242" i="4"/>
  <c r="BK243" i="4"/>
  <c r="BK244" i="4"/>
  <c r="BL244" i="4" s="1"/>
  <c r="BK245" i="4"/>
  <c r="BL245" i="4" s="1"/>
  <c r="BK246" i="4"/>
  <c r="BL246" i="4" s="1"/>
  <c r="BK247" i="4"/>
  <c r="BK248" i="4"/>
  <c r="BK249" i="4"/>
  <c r="BK250" i="4"/>
  <c r="BL250" i="4" s="1"/>
  <c r="BK251" i="4"/>
  <c r="BL251" i="4" s="1"/>
  <c r="BK252" i="4"/>
  <c r="BL252" i="4" s="1"/>
  <c r="BK253" i="4"/>
  <c r="BK254" i="4"/>
  <c r="BK255" i="4"/>
  <c r="BK256" i="4"/>
  <c r="BK257" i="4"/>
  <c r="BL257" i="4" s="1"/>
  <c r="BK258" i="4"/>
  <c r="BL258" i="4" s="1"/>
  <c r="BK259" i="4"/>
  <c r="BK260" i="4"/>
  <c r="BK261" i="4"/>
  <c r="BK262" i="4"/>
  <c r="BK263" i="4"/>
  <c r="BL263" i="4" s="1"/>
  <c r="BK264" i="4"/>
  <c r="BL264" i="4" s="1"/>
  <c r="BK265" i="4"/>
  <c r="BK266" i="4"/>
  <c r="BK267" i="4"/>
  <c r="BK268" i="4"/>
  <c r="BK269" i="4"/>
  <c r="BK270" i="4"/>
  <c r="BK271" i="4"/>
  <c r="BK272" i="4"/>
  <c r="BK273" i="4"/>
  <c r="BK274" i="4"/>
  <c r="BL274" i="4" s="1"/>
  <c r="BK275" i="4"/>
  <c r="BL275" i="4" s="1"/>
  <c r="BK276" i="4"/>
  <c r="BK277" i="4"/>
  <c r="BK278" i="4"/>
  <c r="BK279" i="4"/>
  <c r="BK280" i="4"/>
  <c r="BL280" i="4" s="1"/>
  <c r="BK281" i="4"/>
  <c r="BL281" i="4" s="1"/>
  <c r="BK282" i="4"/>
  <c r="BL282" i="4" s="1"/>
  <c r="BK283" i="4"/>
  <c r="BK284" i="4"/>
  <c r="BK285" i="4"/>
  <c r="BK286" i="4"/>
  <c r="BL286" i="4" s="1"/>
  <c r="BK287" i="4"/>
  <c r="BL287" i="4" s="1"/>
  <c r="BK288" i="4"/>
  <c r="BL288" i="4" s="1"/>
  <c r="BK289" i="4"/>
  <c r="BK290" i="4"/>
  <c r="BK291" i="4"/>
  <c r="BK292" i="4"/>
  <c r="BK293" i="4"/>
  <c r="BL293" i="4" s="1"/>
  <c r="BK294" i="4"/>
  <c r="BL294" i="4" s="1"/>
  <c r="BK295" i="4"/>
  <c r="BK296" i="4"/>
  <c r="BK297" i="4"/>
  <c r="BK298" i="4"/>
  <c r="BL298" i="4" s="1"/>
  <c r="BK299" i="4"/>
  <c r="BL299" i="4" s="1"/>
  <c r="BK300" i="4"/>
  <c r="BK301" i="4"/>
  <c r="BK302" i="4"/>
  <c r="BK303" i="4"/>
  <c r="BK304" i="4"/>
  <c r="BL304" i="4" s="1"/>
  <c r="BK305" i="4"/>
  <c r="BL305" i="4" s="1"/>
  <c r="BK306" i="4"/>
  <c r="BL306" i="4" s="1"/>
  <c r="BK307" i="4"/>
  <c r="BK308" i="4"/>
  <c r="BK309" i="4"/>
  <c r="BK310" i="4"/>
  <c r="BK311" i="4"/>
  <c r="BL311" i="4" s="1"/>
  <c r="BK312" i="4"/>
  <c r="BL312" i="4" s="1"/>
  <c r="BK313" i="4"/>
  <c r="BK314" i="4"/>
  <c r="BK315" i="4"/>
  <c r="BK316" i="4"/>
  <c r="BL316" i="4" s="1"/>
  <c r="BK317" i="4"/>
  <c r="BL317" i="4" s="1"/>
  <c r="BK318" i="4"/>
  <c r="BL318" i="4" s="1"/>
  <c r="BK319" i="4"/>
  <c r="BK320" i="4"/>
  <c r="BK321" i="4"/>
  <c r="BK322" i="4"/>
  <c r="BK323" i="4"/>
  <c r="BL323" i="4" s="1"/>
  <c r="BK324" i="4"/>
  <c r="BL324" i="4" s="1"/>
  <c r="BK325" i="4"/>
  <c r="BK326" i="4"/>
  <c r="BK327" i="4"/>
  <c r="BK328" i="4"/>
  <c r="BK329" i="4"/>
  <c r="BK330" i="4"/>
  <c r="BK331" i="4"/>
  <c r="BK332" i="4"/>
  <c r="BK333" i="4"/>
  <c r="BK334" i="4"/>
  <c r="BL334" i="4" s="1"/>
  <c r="BK335" i="4"/>
  <c r="BL335" i="4" s="1"/>
  <c r="BK336" i="4"/>
  <c r="BL336" i="4" s="1"/>
  <c r="BK337" i="4"/>
  <c r="BK338" i="4"/>
  <c r="BK339" i="4"/>
  <c r="BK340" i="4"/>
  <c r="BK341" i="4"/>
  <c r="BL341" i="4" s="1"/>
  <c r="BL4" i="4"/>
  <c r="BL8" i="4"/>
  <c r="BL9" i="4"/>
  <c r="BL10" i="4"/>
  <c r="BL12" i="4"/>
  <c r="BL14" i="4"/>
  <c r="BL15" i="4"/>
  <c r="BL16" i="4"/>
  <c r="BL18" i="4"/>
  <c r="BL19" i="4"/>
  <c r="BL20" i="4"/>
  <c r="BL21" i="4"/>
  <c r="BL22" i="4"/>
  <c r="BL24" i="4"/>
  <c r="BL25" i="4"/>
  <c r="BL26" i="4"/>
  <c r="BL27" i="4"/>
  <c r="BL28" i="4"/>
  <c r="BL31" i="4"/>
  <c r="BL32" i="4"/>
  <c r="BL33" i="4"/>
  <c r="BL38" i="4"/>
  <c r="BL39" i="4"/>
  <c r="BL40" i="4"/>
  <c r="BL44" i="4"/>
  <c r="BL45" i="4"/>
  <c r="BL46" i="4"/>
  <c r="BL48" i="4"/>
  <c r="BL50" i="4"/>
  <c r="BL51" i="4"/>
  <c r="BL52" i="4"/>
  <c r="BL54" i="4"/>
  <c r="BL55" i="4"/>
  <c r="BL56" i="4"/>
  <c r="BL57" i="4"/>
  <c r="BL58" i="4"/>
  <c r="BL60" i="4"/>
  <c r="BL61" i="4"/>
  <c r="BL62" i="4"/>
  <c r="BL63" i="4"/>
  <c r="BL67" i="4"/>
  <c r="BL68" i="4"/>
  <c r="BL69" i="4"/>
  <c r="BL74" i="4"/>
  <c r="BL75" i="4"/>
  <c r="BL76" i="4"/>
  <c r="BL80" i="4"/>
  <c r="BL81" i="4"/>
  <c r="BL82" i="4"/>
  <c r="BL84" i="4"/>
  <c r="BL86" i="4"/>
  <c r="BL87" i="4"/>
  <c r="BL88" i="4"/>
  <c r="BL90" i="4"/>
  <c r="BL91" i="4"/>
  <c r="BL92" i="4"/>
  <c r="BL93" i="4"/>
  <c r="BL94" i="4"/>
  <c r="BL96" i="4"/>
  <c r="BL97" i="4"/>
  <c r="BL98" i="4"/>
  <c r="BL99" i="4"/>
  <c r="BL103" i="4"/>
  <c r="BL104" i="4"/>
  <c r="BL105" i="4"/>
  <c r="BL109" i="4"/>
  <c r="BL110" i="4"/>
  <c r="BL111" i="4"/>
  <c r="BL115" i="4"/>
  <c r="BL116" i="4"/>
  <c r="BL117" i="4"/>
  <c r="BL121" i="4"/>
  <c r="BL122" i="4"/>
  <c r="BL123" i="4"/>
  <c r="BL127" i="4"/>
  <c r="BL128" i="4"/>
  <c r="BL129" i="4"/>
  <c r="BL133" i="4"/>
  <c r="BL134" i="4"/>
  <c r="BL135" i="4"/>
  <c r="BL139" i="4"/>
  <c r="BL140" i="4"/>
  <c r="BL141" i="4"/>
  <c r="BL145" i="4"/>
  <c r="BL146" i="4"/>
  <c r="BL147" i="4"/>
  <c r="BL151" i="4"/>
  <c r="BL152" i="4"/>
  <c r="BL153" i="4"/>
  <c r="BL158" i="4"/>
  <c r="BL159" i="4"/>
  <c r="BL164" i="4"/>
  <c r="BL165" i="4"/>
  <c r="BL170" i="4"/>
  <c r="BL171" i="4"/>
  <c r="BL176" i="4"/>
  <c r="BL177" i="4"/>
  <c r="BL182" i="4"/>
  <c r="BL183" i="4"/>
  <c r="BL188" i="4"/>
  <c r="BL189" i="4"/>
  <c r="BL194" i="4"/>
  <c r="BL195" i="4"/>
  <c r="BL200" i="4"/>
  <c r="BL201" i="4"/>
  <c r="BL206" i="4"/>
  <c r="BL207" i="4"/>
  <c r="BL212" i="4"/>
  <c r="BL213" i="4"/>
  <c r="BL218" i="4"/>
  <c r="BL219" i="4"/>
  <c r="BL224" i="4"/>
  <c r="BL225" i="4"/>
  <c r="BL230" i="4"/>
  <c r="BL231" i="4"/>
  <c r="BL236" i="4"/>
  <c r="BL237" i="4"/>
  <c r="BL242" i="4"/>
  <c r="BL243" i="4"/>
  <c r="BL248" i="4"/>
  <c r="BL249" i="4"/>
  <c r="BL255" i="4"/>
  <c r="BL256" i="4"/>
  <c r="BL261" i="4"/>
  <c r="BL262" i="4"/>
  <c r="BL267" i="4"/>
  <c r="BL268" i="4"/>
  <c r="BL269" i="4"/>
  <c r="BL270" i="4"/>
  <c r="BL276" i="4"/>
  <c r="BL277" i="4"/>
  <c r="BL283" i="4"/>
  <c r="BL285" i="4"/>
  <c r="BL292" i="4"/>
  <c r="BL300" i="4"/>
  <c r="BL301" i="4"/>
  <c r="BL310" i="4"/>
  <c r="BL319" i="4"/>
  <c r="BL322" i="4"/>
  <c r="BL328" i="4"/>
  <c r="BL329" i="4"/>
  <c r="BL330" i="4"/>
  <c r="BL340" i="4"/>
  <c r="BR4" i="4"/>
  <c r="BR5" i="4"/>
  <c r="BR6" i="4"/>
  <c r="BR7" i="4"/>
  <c r="BR8" i="4"/>
  <c r="BR9" i="4"/>
  <c r="BR10" i="4"/>
  <c r="BR11" i="4"/>
  <c r="BR12" i="4"/>
  <c r="BR13" i="4"/>
  <c r="BR14" i="4"/>
  <c r="BR15" i="4"/>
  <c r="BR16" i="4"/>
  <c r="BR17" i="4"/>
  <c r="BR18" i="4"/>
  <c r="BR19" i="4"/>
  <c r="BR20" i="4"/>
  <c r="BR21" i="4"/>
  <c r="BR22" i="4"/>
  <c r="BR23" i="4"/>
  <c r="BR24" i="4"/>
  <c r="BR25" i="4"/>
  <c r="BR26" i="4"/>
  <c r="BR27" i="4"/>
  <c r="BR28" i="4"/>
  <c r="BR29" i="4"/>
  <c r="BR30" i="4"/>
  <c r="BR31" i="4"/>
  <c r="BR32" i="4"/>
  <c r="BR33" i="4"/>
  <c r="BR34" i="4"/>
  <c r="BR35" i="4"/>
  <c r="BR36" i="4"/>
  <c r="BR37" i="4"/>
  <c r="BR38" i="4"/>
  <c r="BR39" i="4"/>
  <c r="BR40" i="4"/>
  <c r="BR41" i="4"/>
  <c r="BR42" i="4"/>
  <c r="BR43" i="4"/>
  <c r="BR44" i="4"/>
  <c r="BR45" i="4"/>
  <c r="BR46" i="4"/>
  <c r="BR47" i="4"/>
  <c r="BR48" i="4"/>
  <c r="BR49" i="4"/>
  <c r="BR50" i="4"/>
  <c r="BR51" i="4"/>
  <c r="BR52" i="4"/>
  <c r="BR53" i="4"/>
  <c r="BR54" i="4"/>
  <c r="BR55" i="4"/>
  <c r="BR56" i="4"/>
  <c r="BR57" i="4"/>
  <c r="BR58" i="4"/>
  <c r="BR59" i="4"/>
  <c r="BR60" i="4"/>
  <c r="BR61" i="4"/>
  <c r="BR62" i="4"/>
  <c r="BR63" i="4"/>
  <c r="BR64" i="4"/>
  <c r="BR65" i="4"/>
  <c r="BR66" i="4"/>
  <c r="BR67" i="4"/>
  <c r="BR68" i="4"/>
  <c r="BR69" i="4"/>
  <c r="BR70" i="4"/>
  <c r="BR71" i="4"/>
  <c r="BR72" i="4"/>
  <c r="BR73" i="4"/>
  <c r="BR74" i="4"/>
  <c r="BR75" i="4"/>
  <c r="BR76" i="4"/>
  <c r="BR77" i="4"/>
  <c r="BR78" i="4"/>
  <c r="BR79" i="4"/>
  <c r="BR80" i="4"/>
  <c r="BR81" i="4"/>
  <c r="BR82" i="4"/>
  <c r="BR83" i="4"/>
  <c r="BR84" i="4"/>
  <c r="BR85" i="4"/>
  <c r="BR86" i="4"/>
  <c r="BR87" i="4"/>
  <c r="BR88" i="4"/>
  <c r="BR89" i="4"/>
  <c r="BR90" i="4"/>
  <c r="BR91" i="4"/>
  <c r="BR92" i="4"/>
  <c r="BR93" i="4"/>
  <c r="BR94" i="4"/>
  <c r="BR95" i="4"/>
  <c r="BR96" i="4"/>
  <c r="BR97" i="4"/>
  <c r="BR98" i="4"/>
  <c r="BR99" i="4"/>
  <c r="BR100" i="4"/>
  <c r="BR101" i="4"/>
  <c r="BR102" i="4"/>
  <c r="BR103" i="4"/>
  <c r="BR104" i="4"/>
  <c r="BR105" i="4"/>
  <c r="BR106" i="4"/>
  <c r="BR107" i="4"/>
  <c r="BR108" i="4"/>
  <c r="BR109" i="4"/>
  <c r="BR110" i="4"/>
  <c r="BR111" i="4"/>
  <c r="BR112" i="4"/>
  <c r="BR113" i="4"/>
  <c r="BR114" i="4"/>
  <c r="BR115" i="4"/>
  <c r="BR116" i="4"/>
  <c r="BR117" i="4"/>
  <c r="BR118" i="4"/>
  <c r="BR119" i="4"/>
  <c r="BR120" i="4"/>
  <c r="BR121" i="4"/>
  <c r="BR122" i="4"/>
  <c r="BR123" i="4"/>
  <c r="BR124" i="4"/>
  <c r="BR125" i="4"/>
  <c r="BR126" i="4"/>
  <c r="BR127" i="4"/>
  <c r="BR128" i="4"/>
  <c r="BR129" i="4"/>
  <c r="BR130" i="4"/>
  <c r="BR131" i="4"/>
  <c r="BR132" i="4"/>
  <c r="BR133" i="4"/>
  <c r="BR134" i="4"/>
  <c r="BR135" i="4"/>
  <c r="BR136" i="4"/>
  <c r="BR137" i="4"/>
  <c r="BR138" i="4"/>
  <c r="BR139" i="4"/>
  <c r="BR140" i="4"/>
  <c r="BR141" i="4"/>
  <c r="BR142" i="4"/>
  <c r="BR143" i="4"/>
  <c r="BR144" i="4"/>
  <c r="BR145" i="4"/>
  <c r="BR146" i="4"/>
  <c r="BR147" i="4"/>
  <c r="BR148" i="4"/>
  <c r="BR149" i="4"/>
  <c r="BR150" i="4"/>
  <c r="BR151" i="4"/>
  <c r="BR152" i="4"/>
  <c r="BR153" i="4"/>
  <c r="BR154" i="4"/>
  <c r="BR155" i="4"/>
  <c r="BR156" i="4"/>
  <c r="BR157" i="4"/>
  <c r="BR158" i="4"/>
  <c r="BR159" i="4"/>
  <c r="BR160" i="4"/>
  <c r="BR161" i="4"/>
  <c r="BR162" i="4"/>
  <c r="BR163" i="4"/>
  <c r="BR164" i="4"/>
  <c r="BR165" i="4"/>
  <c r="BR166" i="4"/>
  <c r="BR167" i="4"/>
  <c r="BR168" i="4"/>
  <c r="BR169" i="4"/>
  <c r="BR170" i="4"/>
  <c r="BR171" i="4"/>
  <c r="BR172" i="4"/>
  <c r="BR173" i="4"/>
  <c r="BR174" i="4"/>
  <c r="BR175" i="4"/>
  <c r="BR176" i="4"/>
  <c r="BR177" i="4"/>
  <c r="BR178" i="4"/>
  <c r="BR179" i="4"/>
  <c r="BR180" i="4"/>
  <c r="BR181" i="4"/>
  <c r="BR182" i="4"/>
  <c r="BR183" i="4"/>
  <c r="BR184" i="4"/>
  <c r="BR185" i="4"/>
  <c r="BR186" i="4"/>
  <c r="BR187" i="4"/>
  <c r="BR188" i="4"/>
  <c r="BR189" i="4"/>
  <c r="BR190" i="4"/>
  <c r="BR191" i="4"/>
  <c r="BR192" i="4"/>
  <c r="BR193" i="4"/>
  <c r="BR194" i="4"/>
  <c r="BR195" i="4"/>
  <c r="BR196" i="4"/>
  <c r="BR197" i="4"/>
  <c r="BR198" i="4"/>
  <c r="BR199" i="4"/>
  <c r="BR200" i="4"/>
  <c r="BR201" i="4"/>
  <c r="BR202" i="4"/>
  <c r="BR203" i="4"/>
  <c r="BR204" i="4"/>
  <c r="BR205" i="4"/>
  <c r="BR206" i="4"/>
  <c r="BR207" i="4"/>
  <c r="BR208" i="4"/>
  <c r="BR209" i="4"/>
  <c r="BR210" i="4"/>
  <c r="BR211" i="4"/>
  <c r="BR212" i="4"/>
  <c r="BR213" i="4"/>
  <c r="BR214" i="4"/>
  <c r="BR215" i="4"/>
  <c r="BR216" i="4"/>
  <c r="BR217" i="4"/>
  <c r="BR218" i="4"/>
  <c r="BR219" i="4"/>
  <c r="BR220" i="4"/>
  <c r="BR221" i="4"/>
  <c r="BR222" i="4"/>
  <c r="BR223" i="4"/>
  <c r="BR224" i="4"/>
  <c r="BR225" i="4"/>
  <c r="BR226" i="4"/>
  <c r="BR227" i="4"/>
  <c r="BR228" i="4"/>
  <c r="BR229" i="4"/>
  <c r="BR230" i="4"/>
  <c r="BR231" i="4"/>
  <c r="BR232" i="4"/>
  <c r="BR233" i="4"/>
  <c r="BR234" i="4"/>
  <c r="BR235" i="4"/>
  <c r="BR236" i="4"/>
  <c r="BR237" i="4"/>
  <c r="BR238" i="4"/>
  <c r="BR239" i="4"/>
  <c r="BR240" i="4"/>
  <c r="BR241" i="4"/>
  <c r="BR242" i="4"/>
  <c r="BR243" i="4"/>
  <c r="BR244" i="4"/>
  <c r="BR245" i="4"/>
  <c r="BR246" i="4"/>
  <c r="BR247" i="4"/>
  <c r="BR248" i="4"/>
  <c r="BR249" i="4"/>
  <c r="BR250" i="4"/>
  <c r="BR251" i="4"/>
  <c r="BR252" i="4"/>
  <c r="BR253" i="4"/>
  <c r="BR254" i="4"/>
  <c r="BR255" i="4"/>
  <c r="BR256" i="4"/>
  <c r="BR257" i="4"/>
  <c r="BR258" i="4"/>
  <c r="BR259" i="4"/>
  <c r="BR260" i="4"/>
  <c r="BR261" i="4"/>
  <c r="BR262" i="4"/>
  <c r="BR263" i="4"/>
  <c r="BR264" i="4"/>
  <c r="BR265" i="4"/>
  <c r="BR266" i="4"/>
  <c r="BR267" i="4"/>
  <c r="BR268" i="4"/>
  <c r="BR269" i="4"/>
  <c r="BR270" i="4"/>
  <c r="BR271" i="4"/>
  <c r="BR272" i="4"/>
  <c r="BR273" i="4"/>
  <c r="BR274" i="4"/>
  <c r="BR275" i="4"/>
  <c r="BR276" i="4"/>
  <c r="BR277" i="4"/>
  <c r="BR278" i="4"/>
  <c r="BR279" i="4"/>
  <c r="BR280" i="4"/>
  <c r="BR281" i="4"/>
  <c r="BR282" i="4"/>
  <c r="BR283" i="4"/>
  <c r="BR284" i="4"/>
  <c r="BR285" i="4"/>
  <c r="BR286" i="4"/>
  <c r="BR287" i="4"/>
  <c r="BR288" i="4"/>
  <c r="BR289" i="4"/>
  <c r="BR290" i="4"/>
  <c r="BR291" i="4"/>
  <c r="BR292" i="4"/>
  <c r="BR293" i="4"/>
  <c r="BR294" i="4"/>
  <c r="BR295" i="4"/>
  <c r="BR296" i="4"/>
  <c r="BR297" i="4"/>
  <c r="BR298" i="4"/>
  <c r="BR299" i="4"/>
  <c r="BR300" i="4"/>
  <c r="BR301" i="4"/>
  <c r="BR302" i="4"/>
  <c r="BR303" i="4"/>
  <c r="BR304" i="4"/>
  <c r="BR305" i="4"/>
  <c r="BR306" i="4"/>
  <c r="BR307" i="4"/>
  <c r="BR308" i="4"/>
  <c r="BR309" i="4"/>
  <c r="BR310" i="4"/>
  <c r="BR311" i="4"/>
  <c r="BR312" i="4"/>
  <c r="BR313" i="4"/>
  <c r="BR314" i="4"/>
  <c r="BR315" i="4"/>
  <c r="BR316" i="4"/>
  <c r="BR317" i="4"/>
  <c r="BR318" i="4"/>
  <c r="BR319" i="4"/>
  <c r="BR320" i="4"/>
  <c r="BR321" i="4"/>
  <c r="BR322" i="4"/>
  <c r="BR323" i="4"/>
  <c r="BR324" i="4"/>
  <c r="BR325" i="4"/>
  <c r="BR326" i="4"/>
  <c r="BR327" i="4"/>
  <c r="BR328" i="4"/>
  <c r="BR329" i="4"/>
  <c r="BR330" i="4"/>
  <c r="BR331" i="4"/>
  <c r="BR332" i="4"/>
  <c r="BR333" i="4"/>
  <c r="BR334" i="4"/>
  <c r="BR335" i="4"/>
  <c r="BR336" i="4"/>
  <c r="BR337" i="4"/>
  <c r="BR338" i="4"/>
  <c r="BR339" i="4"/>
  <c r="BR340" i="4"/>
  <c r="BR341" i="4"/>
  <c r="BT4" i="4"/>
  <c r="BP4" i="4" s="1"/>
  <c r="BT5" i="4"/>
  <c r="BP5" i="4" s="1"/>
  <c r="BT6" i="4"/>
  <c r="BS6" i="4" s="1"/>
  <c r="BT7" i="4"/>
  <c r="BS7" i="4" s="1"/>
  <c r="BT8" i="4"/>
  <c r="BP8" i="4" s="1"/>
  <c r="BT9" i="4"/>
  <c r="BT10" i="4"/>
  <c r="BQ10" i="4" s="1"/>
  <c r="BT11" i="4"/>
  <c r="BP11" i="4" s="1"/>
  <c r="BT12" i="4"/>
  <c r="BS12" i="4" s="1"/>
  <c r="BT13" i="4"/>
  <c r="BS13" i="4" s="1"/>
  <c r="BT14" i="4"/>
  <c r="BP14" i="4" s="1"/>
  <c r="BT15" i="4"/>
  <c r="BP15" i="4" s="1"/>
  <c r="BT16" i="4"/>
  <c r="BP16" i="4" s="1"/>
  <c r="BT17" i="4"/>
  <c r="BP17" i="4" s="1"/>
  <c r="BT18" i="4"/>
  <c r="BS18" i="4" s="1"/>
  <c r="BT19" i="4"/>
  <c r="BS19" i="4" s="1"/>
  <c r="BT20" i="4"/>
  <c r="BP20" i="4" s="1"/>
  <c r="BT21" i="4"/>
  <c r="BT22" i="4"/>
  <c r="BS22" i="4" s="1"/>
  <c r="BT23" i="4"/>
  <c r="BP23" i="4" s="1"/>
  <c r="BT24" i="4"/>
  <c r="BS24" i="4" s="1"/>
  <c r="BT25" i="4"/>
  <c r="BQ25" i="4" s="1"/>
  <c r="BT26" i="4"/>
  <c r="BP26" i="4" s="1"/>
  <c r="BT27" i="4"/>
  <c r="BP27" i="4" s="1"/>
  <c r="BT28" i="4"/>
  <c r="BP28" i="4" s="1"/>
  <c r="BT29" i="4"/>
  <c r="BP29" i="4" s="1"/>
  <c r="BT30" i="4"/>
  <c r="BS30" i="4" s="1"/>
  <c r="BT31" i="4"/>
  <c r="BS31" i="4" s="1"/>
  <c r="BT32" i="4"/>
  <c r="BP32" i="4" s="1"/>
  <c r="BT33" i="4"/>
  <c r="BQ33" i="4" s="1"/>
  <c r="BT34" i="4"/>
  <c r="BQ34" i="4" s="1"/>
  <c r="BT35" i="4"/>
  <c r="BP35" i="4" s="1"/>
  <c r="BT36" i="4"/>
  <c r="BS36" i="4" s="1"/>
  <c r="BT37" i="4"/>
  <c r="BS37" i="4" s="1"/>
  <c r="BT38" i="4"/>
  <c r="BP38" i="4" s="1"/>
  <c r="BT39" i="4"/>
  <c r="BP39" i="4" s="1"/>
  <c r="BT40" i="4"/>
  <c r="BP40" i="4" s="1"/>
  <c r="BT41" i="4"/>
  <c r="BP41" i="4" s="1"/>
  <c r="BT42" i="4"/>
  <c r="BS42" i="4" s="1"/>
  <c r="BT43" i="4"/>
  <c r="BS43" i="4" s="1"/>
  <c r="BT44" i="4"/>
  <c r="BP44" i="4" s="1"/>
  <c r="BT45" i="4"/>
  <c r="BT46" i="4"/>
  <c r="BQ46" i="4" s="1"/>
  <c r="BT47" i="4"/>
  <c r="BP47" i="4" s="1"/>
  <c r="BT48" i="4"/>
  <c r="BS48" i="4" s="1"/>
  <c r="BT49" i="4"/>
  <c r="BS49" i="4" s="1"/>
  <c r="BT50" i="4"/>
  <c r="BP50" i="4" s="1"/>
  <c r="BT51" i="4"/>
  <c r="BP51" i="4" s="1"/>
  <c r="BT52" i="4"/>
  <c r="BP52" i="4" s="1"/>
  <c r="BT53" i="4"/>
  <c r="BP53" i="4" s="1"/>
  <c r="BT54" i="4"/>
  <c r="BS54" i="4" s="1"/>
  <c r="BT55" i="4"/>
  <c r="BS55" i="4" s="1"/>
  <c r="BT56" i="4"/>
  <c r="BP56" i="4" s="1"/>
  <c r="BT57" i="4"/>
  <c r="BS57" i="4" s="1"/>
  <c r="BT58" i="4"/>
  <c r="BS58" i="4" s="1"/>
  <c r="BT59" i="4"/>
  <c r="BP59" i="4" s="1"/>
  <c r="BT60" i="4"/>
  <c r="BS60" i="4" s="1"/>
  <c r="BT61" i="4"/>
  <c r="BQ61" i="4" s="1"/>
  <c r="BT62" i="4"/>
  <c r="BP62" i="4" s="1"/>
  <c r="BT63" i="4"/>
  <c r="BP63" i="4" s="1"/>
  <c r="BT64" i="4"/>
  <c r="BP64" i="4" s="1"/>
  <c r="BT65" i="4"/>
  <c r="BP65" i="4" s="1"/>
  <c r="BT66" i="4"/>
  <c r="BS66" i="4" s="1"/>
  <c r="BT67" i="4"/>
  <c r="BS67" i="4" s="1"/>
  <c r="BT68" i="4"/>
  <c r="BP68" i="4" s="1"/>
  <c r="BT69" i="4"/>
  <c r="BQ69" i="4" s="1"/>
  <c r="BT70" i="4"/>
  <c r="BQ70" i="4" s="1"/>
  <c r="BT71" i="4"/>
  <c r="BP71" i="4" s="1"/>
  <c r="BT72" i="4"/>
  <c r="BS72" i="4" s="1"/>
  <c r="BT73" i="4"/>
  <c r="BS73" i="4" s="1"/>
  <c r="BT74" i="4"/>
  <c r="BP74" i="4" s="1"/>
  <c r="BT75" i="4"/>
  <c r="BP75" i="4" s="1"/>
  <c r="BT76" i="4"/>
  <c r="BP76" i="4" s="1"/>
  <c r="BT77" i="4"/>
  <c r="BP77" i="4" s="1"/>
  <c r="BT78" i="4"/>
  <c r="BS78" i="4" s="1"/>
  <c r="BT79" i="4"/>
  <c r="BS79" i="4" s="1"/>
  <c r="BT80" i="4"/>
  <c r="BP80" i="4" s="1"/>
  <c r="BT81" i="4"/>
  <c r="BS81" i="4" s="1"/>
  <c r="BT82" i="4"/>
  <c r="BQ82" i="4" s="1"/>
  <c r="BT83" i="4"/>
  <c r="BP83" i="4" s="1"/>
  <c r="BT84" i="4"/>
  <c r="BS84" i="4" s="1"/>
  <c r="BT85" i="4"/>
  <c r="BS85" i="4" s="1"/>
  <c r="BT86" i="4"/>
  <c r="BP86" i="4" s="1"/>
  <c r="BT87" i="4"/>
  <c r="BP87" i="4" s="1"/>
  <c r="BT88" i="4"/>
  <c r="BP88" i="4" s="1"/>
  <c r="BT89" i="4"/>
  <c r="BP89" i="4" s="1"/>
  <c r="BT90" i="4"/>
  <c r="BS90" i="4" s="1"/>
  <c r="BT91" i="4"/>
  <c r="BS91" i="4" s="1"/>
  <c r="BT92" i="4"/>
  <c r="BP92" i="4" s="1"/>
  <c r="BT93" i="4"/>
  <c r="BS93" i="4" s="1"/>
  <c r="BT94" i="4"/>
  <c r="BS94" i="4" s="1"/>
  <c r="BT95" i="4"/>
  <c r="BP95" i="4" s="1"/>
  <c r="BT96" i="4"/>
  <c r="BS96" i="4" s="1"/>
  <c r="BT97" i="4"/>
  <c r="BQ97" i="4" s="1"/>
  <c r="BT98" i="4"/>
  <c r="BP98" i="4" s="1"/>
  <c r="BT99" i="4"/>
  <c r="BP99" i="4" s="1"/>
  <c r="BT100" i="4"/>
  <c r="BP100" i="4" s="1"/>
  <c r="BT101" i="4"/>
  <c r="BP101" i="4" s="1"/>
  <c r="BT102" i="4"/>
  <c r="BQ102" i="4" s="1"/>
  <c r="BT103" i="4"/>
  <c r="BS103" i="4" s="1"/>
  <c r="BT104" i="4"/>
  <c r="BP104" i="4" s="1"/>
  <c r="BT105" i="4"/>
  <c r="BQ105" i="4" s="1"/>
  <c r="BT106" i="4"/>
  <c r="BQ106" i="4" s="1"/>
  <c r="BT107" i="4"/>
  <c r="BP107" i="4" s="1"/>
  <c r="BT108" i="4"/>
  <c r="BQ108" i="4" s="1"/>
  <c r="BT109" i="4"/>
  <c r="BS109" i="4" s="1"/>
  <c r="BT110" i="4"/>
  <c r="BP110" i="4" s="1"/>
  <c r="BT111" i="4"/>
  <c r="BQ111" i="4" s="1"/>
  <c r="BT112" i="4"/>
  <c r="BQ112" i="4" s="1"/>
  <c r="BT113" i="4"/>
  <c r="BP113" i="4" s="1"/>
  <c r="BT114" i="4"/>
  <c r="BQ114" i="4" s="1"/>
  <c r="BT115" i="4"/>
  <c r="BS115" i="4" s="1"/>
  <c r="BT116" i="4"/>
  <c r="BP116" i="4" s="1"/>
  <c r="BT117" i="4"/>
  <c r="BP117" i="4" s="1"/>
  <c r="BT118" i="4"/>
  <c r="BQ118" i="4" s="1"/>
  <c r="BT119" i="4"/>
  <c r="BP119" i="4" s="1"/>
  <c r="BT120" i="4"/>
  <c r="BQ120" i="4" s="1"/>
  <c r="BT121" i="4"/>
  <c r="BS121" i="4" s="1"/>
  <c r="BT122" i="4"/>
  <c r="BP122" i="4" s="1"/>
  <c r="BT123" i="4"/>
  <c r="BS123" i="4" s="1"/>
  <c r="BT124" i="4"/>
  <c r="BS124" i="4" s="1"/>
  <c r="BT125" i="4"/>
  <c r="BP125" i="4" s="1"/>
  <c r="BT126" i="4"/>
  <c r="BQ126" i="4" s="1"/>
  <c r="BT127" i="4"/>
  <c r="BS127" i="4" s="1"/>
  <c r="BT128" i="4"/>
  <c r="BP128" i="4" s="1"/>
  <c r="BT129" i="4"/>
  <c r="BP129" i="4" s="1"/>
  <c r="BT130" i="4"/>
  <c r="BP130" i="4" s="1"/>
  <c r="BT131" i="4"/>
  <c r="BP131" i="4" s="1"/>
  <c r="BT132" i="4"/>
  <c r="BQ132" i="4" s="1"/>
  <c r="BT133" i="4"/>
  <c r="BQ133" i="4" s="1"/>
  <c r="BT134" i="4"/>
  <c r="BP134" i="4" s="1"/>
  <c r="BT135" i="4"/>
  <c r="BP135" i="4" s="1"/>
  <c r="BT136" i="4"/>
  <c r="BP136" i="4" s="1"/>
  <c r="BT137" i="4"/>
  <c r="BP137" i="4" s="1"/>
  <c r="BT138" i="4"/>
  <c r="BQ138" i="4" s="1"/>
  <c r="BT139" i="4"/>
  <c r="BS139" i="4" s="1"/>
  <c r="BT140" i="4"/>
  <c r="BP140" i="4" s="1"/>
  <c r="BT141" i="4"/>
  <c r="BQ141" i="4" s="1"/>
  <c r="BT142" i="4"/>
  <c r="BQ142" i="4" s="1"/>
  <c r="BT143" i="4"/>
  <c r="BP143" i="4" s="1"/>
  <c r="BT144" i="4"/>
  <c r="BQ144" i="4" s="1"/>
  <c r="BT145" i="4"/>
  <c r="BS145" i="4" s="1"/>
  <c r="BT146" i="4"/>
  <c r="BP146" i="4" s="1"/>
  <c r="BT147" i="4"/>
  <c r="BQ147" i="4" s="1"/>
  <c r="BT148" i="4"/>
  <c r="BQ148" i="4" s="1"/>
  <c r="BT149" i="4"/>
  <c r="BP149" i="4" s="1"/>
  <c r="BT150" i="4"/>
  <c r="BQ150" i="4" s="1"/>
  <c r="BT151" i="4"/>
  <c r="BS151" i="4" s="1"/>
  <c r="BT152" i="4"/>
  <c r="BP152" i="4" s="1"/>
  <c r="BT153" i="4"/>
  <c r="BP153" i="4" s="1"/>
  <c r="BT154" i="4"/>
  <c r="BQ154" i="4" s="1"/>
  <c r="BT155" i="4"/>
  <c r="BP155" i="4" s="1"/>
  <c r="BT156" i="4"/>
  <c r="BQ156" i="4" s="1"/>
  <c r="BT157" i="4"/>
  <c r="BS157" i="4" s="1"/>
  <c r="BT158" i="4"/>
  <c r="BP158" i="4" s="1"/>
  <c r="BT159" i="4"/>
  <c r="BS159" i="4" s="1"/>
  <c r="BT160" i="4"/>
  <c r="BS160" i="4" s="1"/>
  <c r="BT161" i="4"/>
  <c r="BP161" i="4" s="1"/>
  <c r="BT162" i="4"/>
  <c r="BQ162" i="4" s="1"/>
  <c r="BT163" i="4"/>
  <c r="BS163" i="4" s="1"/>
  <c r="BT164" i="4"/>
  <c r="BP164" i="4" s="1"/>
  <c r="BT165" i="4"/>
  <c r="BS165" i="4" s="1"/>
  <c r="BT166" i="4"/>
  <c r="BS166" i="4" s="1"/>
  <c r="BT167" i="4"/>
  <c r="BS167" i="4" s="1"/>
  <c r="BT168" i="4"/>
  <c r="BQ168" i="4" s="1"/>
  <c r="BT169" i="4"/>
  <c r="BQ169" i="4" s="1"/>
  <c r="BT170" i="4"/>
  <c r="BP170" i="4" s="1"/>
  <c r="BT171" i="4"/>
  <c r="BP171" i="4" s="1"/>
  <c r="BT172" i="4"/>
  <c r="BP172" i="4" s="1"/>
  <c r="BT173" i="4"/>
  <c r="BP173" i="4" s="1"/>
  <c r="BT174" i="4"/>
  <c r="BQ174" i="4" s="1"/>
  <c r="BT175" i="4"/>
  <c r="BP175" i="4" s="1"/>
  <c r="BT176" i="4"/>
  <c r="BP176" i="4" s="1"/>
  <c r="BT177" i="4"/>
  <c r="BP177" i="4" s="1"/>
  <c r="BT178" i="4"/>
  <c r="BP178" i="4" s="1"/>
  <c r="BT179" i="4"/>
  <c r="BP179" i="4" s="1"/>
  <c r="BT180" i="4"/>
  <c r="BQ180" i="4" s="1"/>
  <c r="BT181" i="4"/>
  <c r="BS181" i="4" s="1"/>
  <c r="BT182" i="4"/>
  <c r="BP182" i="4" s="1"/>
  <c r="BT183" i="4"/>
  <c r="BP183" i="4" s="1"/>
  <c r="BT184" i="4"/>
  <c r="BP184" i="4" s="1"/>
  <c r="BT185" i="4"/>
  <c r="BP185" i="4" s="1"/>
  <c r="BT186" i="4"/>
  <c r="BQ186" i="4" s="1"/>
  <c r="BT187" i="4"/>
  <c r="BS187" i="4" s="1"/>
  <c r="BT188" i="4"/>
  <c r="BP188" i="4" s="1"/>
  <c r="BT189" i="4"/>
  <c r="BS189" i="4" s="1"/>
  <c r="BT190" i="4"/>
  <c r="BP190" i="4" s="1"/>
  <c r="BT191" i="4"/>
  <c r="BP191" i="4" s="1"/>
  <c r="BT192" i="4"/>
  <c r="BQ192" i="4" s="1"/>
  <c r="BT193" i="4"/>
  <c r="BS193" i="4" s="1"/>
  <c r="BT194" i="4"/>
  <c r="BP194" i="4" s="1"/>
  <c r="BT195" i="4"/>
  <c r="BS195" i="4" s="1"/>
  <c r="BT196" i="4"/>
  <c r="BS196" i="4" s="1"/>
  <c r="BT197" i="4"/>
  <c r="BP197" i="4" s="1"/>
  <c r="BT198" i="4"/>
  <c r="BQ198" i="4" s="1"/>
  <c r="BT199" i="4"/>
  <c r="BS199" i="4" s="1"/>
  <c r="BT200" i="4"/>
  <c r="BP200" i="4" s="1"/>
  <c r="BT201" i="4"/>
  <c r="BS201" i="4" s="1"/>
  <c r="BT202" i="4"/>
  <c r="BS202" i="4" s="1"/>
  <c r="BT203" i="4"/>
  <c r="BS203" i="4" s="1"/>
  <c r="BT204" i="4"/>
  <c r="BQ204" i="4" s="1"/>
  <c r="BT205" i="4"/>
  <c r="BQ205" i="4" s="1"/>
  <c r="BT206" i="4"/>
  <c r="BP206" i="4" s="1"/>
  <c r="BT207" i="4"/>
  <c r="BP207" i="4" s="1"/>
  <c r="BT208" i="4"/>
  <c r="BP208" i="4" s="1"/>
  <c r="BT209" i="4"/>
  <c r="BP209" i="4" s="1"/>
  <c r="BT210" i="4"/>
  <c r="BQ210" i="4" s="1"/>
  <c r="BT211" i="4"/>
  <c r="BP211" i="4" s="1"/>
  <c r="BT212" i="4"/>
  <c r="BP212" i="4" s="1"/>
  <c r="BT213" i="4"/>
  <c r="BP213" i="4" s="1"/>
  <c r="BT214" i="4"/>
  <c r="BP214" i="4" s="1"/>
  <c r="BT215" i="4"/>
  <c r="BP215" i="4" s="1"/>
  <c r="BT216" i="4"/>
  <c r="BQ216" i="4" s="1"/>
  <c r="BT217" i="4"/>
  <c r="BS217" i="4" s="1"/>
  <c r="BT218" i="4"/>
  <c r="BP218" i="4" s="1"/>
  <c r="BT219" i="4"/>
  <c r="BP219" i="4" s="1"/>
  <c r="BT220" i="4"/>
  <c r="BP220" i="4" s="1"/>
  <c r="BT221" i="4"/>
  <c r="BP221" i="4" s="1"/>
  <c r="BT222" i="4"/>
  <c r="BQ222" i="4" s="1"/>
  <c r="BT223" i="4"/>
  <c r="BS223" i="4" s="1"/>
  <c r="BT224" i="4"/>
  <c r="BP224" i="4" s="1"/>
  <c r="BT225" i="4"/>
  <c r="BS225" i="4" s="1"/>
  <c r="BT226" i="4"/>
  <c r="BP226" i="4" s="1"/>
  <c r="BT227" i="4"/>
  <c r="BP227" i="4" s="1"/>
  <c r="BT228" i="4"/>
  <c r="BQ228" i="4" s="1"/>
  <c r="BT229" i="4"/>
  <c r="BS229" i="4" s="1"/>
  <c r="BT230" i="4"/>
  <c r="BP230" i="4" s="1"/>
  <c r="BT231" i="4"/>
  <c r="BS231" i="4" s="1"/>
  <c r="BT232" i="4"/>
  <c r="BS232" i="4" s="1"/>
  <c r="BT233" i="4"/>
  <c r="BP233" i="4" s="1"/>
  <c r="BT234" i="4"/>
  <c r="BQ234" i="4" s="1"/>
  <c r="BT235" i="4"/>
  <c r="BS235" i="4" s="1"/>
  <c r="BT236" i="4"/>
  <c r="BP236" i="4" s="1"/>
  <c r="BT237" i="4"/>
  <c r="BS237" i="4" s="1"/>
  <c r="BT238" i="4"/>
  <c r="BS238" i="4" s="1"/>
  <c r="BT239" i="4"/>
  <c r="BS239" i="4" s="1"/>
  <c r="BT240" i="4"/>
  <c r="BQ240" i="4" s="1"/>
  <c r="BT241" i="4"/>
  <c r="BQ241" i="4" s="1"/>
  <c r="BT242" i="4"/>
  <c r="BP242" i="4" s="1"/>
  <c r="BT243" i="4"/>
  <c r="BP243" i="4" s="1"/>
  <c r="BT244" i="4"/>
  <c r="BP244" i="4" s="1"/>
  <c r="BT245" i="4"/>
  <c r="BP245" i="4" s="1"/>
  <c r="BT246" i="4"/>
  <c r="BQ246" i="4" s="1"/>
  <c r="BT247" i="4"/>
  <c r="BP247" i="4" s="1"/>
  <c r="BT248" i="4"/>
  <c r="BP248" i="4" s="1"/>
  <c r="BT249" i="4"/>
  <c r="BP249" i="4" s="1"/>
  <c r="BT250" i="4"/>
  <c r="BP250" i="4" s="1"/>
  <c r="BT251" i="4"/>
  <c r="BP251" i="4" s="1"/>
  <c r="BT252" i="4"/>
  <c r="BQ252" i="4" s="1"/>
  <c r="BT253" i="4"/>
  <c r="BS253" i="4" s="1"/>
  <c r="BT254" i="4"/>
  <c r="BP254" i="4" s="1"/>
  <c r="BT255" i="4"/>
  <c r="BP255" i="4" s="1"/>
  <c r="BT256" i="4"/>
  <c r="BP256" i="4" s="1"/>
  <c r="BT257" i="4"/>
  <c r="BP257" i="4" s="1"/>
  <c r="BT258" i="4"/>
  <c r="BQ258" i="4" s="1"/>
  <c r="BT259" i="4"/>
  <c r="BS259" i="4" s="1"/>
  <c r="BT260" i="4"/>
  <c r="BP260" i="4" s="1"/>
  <c r="BT261" i="4"/>
  <c r="BS261" i="4" s="1"/>
  <c r="BT262" i="4"/>
  <c r="BP262" i="4" s="1"/>
  <c r="BT263" i="4"/>
  <c r="BP263" i="4" s="1"/>
  <c r="BT264" i="4"/>
  <c r="BQ264" i="4" s="1"/>
  <c r="BT265" i="4"/>
  <c r="BS265" i="4" s="1"/>
  <c r="BT266" i="4"/>
  <c r="BP266" i="4" s="1"/>
  <c r="BT267" i="4"/>
  <c r="BS267" i="4" s="1"/>
  <c r="BT268" i="4"/>
  <c r="BS268" i="4" s="1"/>
  <c r="BT269" i="4"/>
  <c r="BP269" i="4" s="1"/>
  <c r="BT270" i="4"/>
  <c r="BQ270" i="4" s="1"/>
  <c r="BT271" i="4"/>
  <c r="BS271" i="4" s="1"/>
  <c r="BT272" i="4"/>
  <c r="BP272" i="4" s="1"/>
  <c r="BT273" i="4"/>
  <c r="BS273" i="4" s="1"/>
  <c r="BT274" i="4"/>
  <c r="BS274" i="4" s="1"/>
  <c r="BT275" i="4"/>
  <c r="BS275" i="4" s="1"/>
  <c r="BT276" i="4"/>
  <c r="BQ276" i="4" s="1"/>
  <c r="BT277" i="4"/>
  <c r="BQ277" i="4" s="1"/>
  <c r="BT278" i="4"/>
  <c r="BP278" i="4" s="1"/>
  <c r="BT279" i="4"/>
  <c r="BP279" i="4" s="1"/>
  <c r="BT280" i="4"/>
  <c r="BP280" i="4" s="1"/>
  <c r="BT281" i="4"/>
  <c r="BP281" i="4" s="1"/>
  <c r="BT282" i="4"/>
  <c r="BQ282" i="4" s="1"/>
  <c r="BT283" i="4"/>
  <c r="BP283" i="4" s="1"/>
  <c r="BT284" i="4"/>
  <c r="BP284" i="4" s="1"/>
  <c r="BT285" i="4"/>
  <c r="BP285" i="4" s="1"/>
  <c r="BT286" i="4"/>
  <c r="BP286" i="4" s="1"/>
  <c r="BT287" i="4"/>
  <c r="BP287" i="4" s="1"/>
  <c r="BT288" i="4"/>
  <c r="BQ288" i="4" s="1"/>
  <c r="BT289" i="4"/>
  <c r="BS289" i="4" s="1"/>
  <c r="BT290" i="4"/>
  <c r="BP290" i="4" s="1"/>
  <c r="BT291" i="4"/>
  <c r="BP291" i="4" s="1"/>
  <c r="BT292" i="4"/>
  <c r="BP292" i="4" s="1"/>
  <c r="BT293" i="4"/>
  <c r="BP293" i="4" s="1"/>
  <c r="BT294" i="4"/>
  <c r="BQ294" i="4" s="1"/>
  <c r="BT295" i="4"/>
  <c r="BS295" i="4" s="1"/>
  <c r="BT296" i="4"/>
  <c r="BT297" i="4"/>
  <c r="BS297" i="4" s="1"/>
  <c r="BT298" i="4"/>
  <c r="BP298" i="4" s="1"/>
  <c r="BT299" i="4"/>
  <c r="BP299" i="4" s="1"/>
  <c r="BT300" i="4"/>
  <c r="BQ300" i="4" s="1"/>
  <c r="BT301" i="4"/>
  <c r="BS301" i="4" s="1"/>
  <c r="BT302" i="4"/>
  <c r="BT303" i="4"/>
  <c r="BS303" i="4" s="1"/>
  <c r="BT304" i="4"/>
  <c r="BS304" i="4" s="1"/>
  <c r="BT305" i="4"/>
  <c r="BP305" i="4" s="1"/>
  <c r="BT306" i="4"/>
  <c r="BT307" i="4"/>
  <c r="BS307" i="4" s="1"/>
  <c r="BT308" i="4"/>
  <c r="BT309" i="4"/>
  <c r="BS309" i="4" s="1"/>
  <c r="BT310" i="4"/>
  <c r="BS310" i="4" s="1"/>
  <c r="BT311" i="4"/>
  <c r="BS311" i="4" s="1"/>
  <c r="BT312" i="4"/>
  <c r="BT313" i="4"/>
  <c r="BQ313" i="4" s="1"/>
  <c r="BT314" i="4"/>
  <c r="BT315" i="4"/>
  <c r="BP315" i="4" s="1"/>
  <c r="BT316" i="4"/>
  <c r="BP316" i="4" s="1"/>
  <c r="BT317" i="4"/>
  <c r="BP317" i="4" s="1"/>
  <c r="BT318" i="4"/>
  <c r="BT319" i="4"/>
  <c r="BP319" i="4" s="1"/>
  <c r="BT320" i="4"/>
  <c r="BT321" i="4"/>
  <c r="BP321" i="4" s="1"/>
  <c r="BT322" i="4"/>
  <c r="BP322" i="4" s="1"/>
  <c r="BT323" i="4"/>
  <c r="BP323" i="4" s="1"/>
  <c r="BT324" i="4"/>
  <c r="BT325" i="4"/>
  <c r="BS325" i="4" s="1"/>
  <c r="BT326" i="4"/>
  <c r="BT327" i="4"/>
  <c r="BP327" i="4" s="1"/>
  <c r="BT328" i="4"/>
  <c r="BP328" i="4" s="1"/>
  <c r="BT329" i="4"/>
  <c r="BT330" i="4"/>
  <c r="BT331" i="4"/>
  <c r="BS331" i="4" s="1"/>
  <c r="BT332" i="4"/>
  <c r="BT333" i="4"/>
  <c r="BS333" i="4" s="1"/>
  <c r="BT334" i="4"/>
  <c r="BP334" i="4" s="1"/>
  <c r="BT335" i="4"/>
  <c r="BT336" i="4"/>
  <c r="BT337" i="4"/>
  <c r="BS337" i="4" s="1"/>
  <c r="BT338" i="4"/>
  <c r="BT339" i="4"/>
  <c r="BS339" i="4" s="1"/>
  <c r="BT340" i="4"/>
  <c r="BS340" i="4" s="1"/>
  <c r="BT341" i="4"/>
  <c r="BZ4" i="4"/>
  <c r="BZ5" i="4"/>
  <c r="BZ6" i="4"/>
  <c r="BZ7" i="4"/>
  <c r="BZ8" i="4"/>
  <c r="BZ9" i="4"/>
  <c r="BZ10" i="4"/>
  <c r="BZ11" i="4"/>
  <c r="BZ12" i="4"/>
  <c r="BZ13" i="4"/>
  <c r="BZ14" i="4"/>
  <c r="BZ15" i="4"/>
  <c r="BZ16" i="4"/>
  <c r="BZ17" i="4"/>
  <c r="BZ18" i="4"/>
  <c r="BZ19" i="4"/>
  <c r="BZ20" i="4"/>
  <c r="BZ21" i="4"/>
  <c r="BZ22" i="4"/>
  <c r="BZ23" i="4"/>
  <c r="BZ24" i="4"/>
  <c r="BZ25" i="4"/>
  <c r="BZ26" i="4"/>
  <c r="BZ27" i="4"/>
  <c r="BZ28" i="4"/>
  <c r="BZ29" i="4"/>
  <c r="BZ30" i="4"/>
  <c r="BZ31" i="4"/>
  <c r="BZ32" i="4"/>
  <c r="BZ33" i="4"/>
  <c r="BZ34" i="4"/>
  <c r="BZ35" i="4"/>
  <c r="BZ36" i="4"/>
  <c r="BZ37" i="4"/>
  <c r="BZ38" i="4"/>
  <c r="BZ39" i="4"/>
  <c r="BZ40" i="4"/>
  <c r="BZ41" i="4"/>
  <c r="BZ42" i="4"/>
  <c r="BZ43" i="4"/>
  <c r="BZ44" i="4"/>
  <c r="BZ45" i="4"/>
  <c r="BZ46" i="4"/>
  <c r="BZ47" i="4"/>
  <c r="BZ48" i="4"/>
  <c r="BZ49" i="4"/>
  <c r="BZ50" i="4"/>
  <c r="BZ51" i="4"/>
  <c r="BZ52" i="4"/>
  <c r="BZ53" i="4"/>
  <c r="BZ54" i="4"/>
  <c r="BZ55" i="4"/>
  <c r="BZ56" i="4"/>
  <c r="BZ57" i="4"/>
  <c r="BZ58" i="4"/>
  <c r="BZ59" i="4"/>
  <c r="BZ60" i="4"/>
  <c r="BZ61" i="4"/>
  <c r="BZ62" i="4"/>
  <c r="BZ63" i="4"/>
  <c r="BZ64" i="4"/>
  <c r="BZ65" i="4"/>
  <c r="BZ66" i="4"/>
  <c r="BZ67" i="4"/>
  <c r="BZ68" i="4"/>
  <c r="BZ69" i="4"/>
  <c r="BZ70" i="4"/>
  <c r="BZ71" i="4"/>
  <c r="BZ72" i="4"/>
  <c r="BZ73" i="4"/>
  <c r="BZ74" i="4"/>
  <c r="BZ75" i="4"/>
  <c r="BZ76" i="4"/>
  <c r="BZ77" i="4"/>
  <c r="BZ78" i="4"/>
  <c r="BZ79" i="4"/>
  <c r="BZ80" i="4"/>
  <c r="BZ81" i="4"/>
  <c r="BZ82" i="4"/>
  <c r="BZ83" i="4"/>
  <c r="BZ84" i="4"/>
  <c r="BZ85" i="4"/>
  <c r="BZ86" i="4"/>
  <c r="BZ87" i="4"/>
  <c r="BZ88" i="4"/>
  <c r="BZ89" i="4"/>
  <c r="BZ90" i="4"/>
  <c r="BZ91" i="4"/>
  <c r="BZ92" i="4"/>
  <c r="BZ93" i="4"/>
  <c r="BZ94" i="4"/>
  <c r="BZ95" i="4"/>
  <c r="BZ96" i="4"/>
  <c r="BZ97" i="4"/>
  <c r="BZ98" i="4"/>
  <c r="BZ99" i="4"/>
  <c r="BZ100" i="4"/>
  <c r="BZ101" i="4"/>
  <c r="BZ102" i="4"/>
  <c r="BZ103" i="4"/>
  <c r="BZ104" i="4"/>
  <c r="BZ105" i="4"/>
  <c r="BZ106" i="4"/>
  <c r="BZ107" i="4"/>
  <c r="BZ108" i="4"/>
  <c r="BZ109" i="4"/>
  <c r="BZ110" i="4"/>
  <c r="BZ111" i="4"/>
  <c r="BZ112" i="4"/>
  <c r="BZ113" i="4"/>
  <c r="BZ114" i="4"/>
  <c r="BZ115" i="4"/>
  <c r="BZ116" i="4"/>
  <c r="BZ117" i="4"/>
  <c r="BZ118" i="4"/>
  <c r="BZ119" i="4"/>
  <c r="BZ120" i="4"/>
  <c r="BZ121" i="4"/>
  <c r="BZ122" i="4"/>
  <c r="BZ123" i="4"/>
  <c r="BZ124" i="4"/>
  <c r="BZ125" i="4"/>
  <c r="BZ126" i="4"/>
  <c r="BZ127" i="4"/>
  <c r="BZ128" i="4"/>
  <c r="BZ129" i="4"/>
  <c r="BZ130" i="4"/>
  <c r="BZ131" i="4"/>
  <c r="BZ132" i="4"/>
  <c r="BZ133" i="4"/>
  <c r="BZ134" i="4"/>
  <c r="BZ135" i="4"/>
  <c r="BZ136" i="4"/>
  <c r="BZ137" i="4"/>
  <c r="BZ138" i="4"/>
  <c r="BZ139" i="4"/>
  <c r="BZ140" i="4"/>
  <c r="BZ141" i="4"/>
  <c r="BZ142" i="4"/>
  <c r="BZ143" i="4"/>
  <c r="BZ144" i="4"/>
  <c r="BZ145" i="4"/>
  <c r="BZ146" i="4"/>
  <c r="BZ147" i="4"/>
  <c r="BZ148" i="4"/>
  <c r="BZ149" i="4"/>
  <c r="BZ150" i="4"/>
  <c r="BZ151" i="4"/>
  <c r="BZ152" i="4"/>
  <c r="BZ153" i="4"/>
  <c r="BZ154" i="4"/>
  <c r="BZ155" i="4"/>
  <c r="BZ156" i="4"/>
  <c r="BZ157" i="4"/>
  <c r="BZ158" i="4"/>
  <c r="BZ159" i="4"/>
  <c r="BZ160" i="4"/>
  <c r="BZ161" i="4"/>
  <c r="BZ162" i="4"/>
  <c r="BZ163" i="4"/>
  <c r="BZ164" i="4"/>
  <c r="BZ165" i="4"/>
  <c r="BZ166" i="4"/>
  <c r="BZ167" i="4"/>
  <c r="BZ168" i="4"/>
  <c r="BZ169" i="4"/>
  <c r="BZ170" i="4"/>
  <c r="BZ171" i="4"/>
  <c r="BZ172" i="4"/>
  <c r="BZ173" i="4"/>
  <c r="BZ174" i="4"/>
  <c r="BZ175" i="4"/>
  <c r="BZ176" i="4"/>
  <c r="BZ177" i="4"/>
  <c r="BZ178" i="4"/>
  <c r="BZ179" i="4"/>
  <c r="BZ180" i="4"/>
  <c r="BZ181" i="4"/>
  <c r="BZ182" i="4"/>
  <c r="BZ183" i="4"/>
  <c r="BZ184" i="4"/>
  <c r="BZ185" i="4"/>
  <c r="BZ186" i="4"/>
  <c r="BZ187" i="4"/>
  <c r="BZ188" i="4"/>
  <c r="BZ189" i="4"/>
  <c r="BZ190" i="4"/>
  <c r="BZ191" i="4"/>
  <c r="BZ192" i="4"/>
  <c r="BZ193" i="4"/>
  <c r="BZ194" i="4"/>
  <c r="BZ195" i="4"/>
  <c r="BZ196" i="4"/>
  <c r="BZ197" i="4"/>
  <c r="BZ198" i="4"/>
  <c r="BZ199" i="4"/>
  <c r="BZ200" i="4"/>
  <c r="BZ201" i="4"/>
  <c r="BZ202" i="4"/>
  <c r="BZ203" i="4"/>
  <c r="BZ204" i="4"/>
  <c r="BZ205" i="4"/>
  <c r="BZ206" i="4"/>
  <c r="BZ207" i="4"/>
  <c r="BZ208" i="4"/>
  <c r="BZ209" i="4"/>
  <c r="BZ210" i="4"/>
  <c r="BZ211" i="4"/>
  <c r="BZ212" i="4"/>
  <c r="BZ213" i="4"/>
  <c r="BZ214" i="4"/>
  <c r="BZ215" i="4"/>
  <c r="BZ216" i="4"/>
  <c r="BZ217" i="4"/>
  <c r="BZ218" i="4"/>
  <c r="BZ219" i="4"/>
  <c r="BZ220" i="4"/>
  <c r="BZ221" i="4"/>
  <c r="BZ222" i="4"/>
  <c r="BZ223" i="4"/>
  <c r="BZ224" i="4"/>
  <c r="BZ225" i="4"/>
  <c r="BZ226" i="4"/>
  <c r="BZ227" i="4"/>
  <c r="BZ228" i="4"/>
  <c r="BZ229" i="4"/>
  <c r="BZ230" i="4"/>
  <c r="BZ231" i="4"/>
  <c r="BZ232" i="4"/>
  <c r="BZ233" i="4"/>
  <c r="BZ234" i="4"/>
  <c r="BZ235" i="4"/>
  <c r="BZ236" i="4"/>
  <c r="BZ237" i="4"/>
  <c r="BZ238" i="4"/>
  <c r="BZ239" i="4"/>
  <c r="BZ240" i="4"/>
  <c r="BZ241" i="4"/>
  <c r="BZ242" i="4"/>
  <c r="BZ243" i="4"/>
  <c r="BZ244" i="4"/>
  <c r="BZ245" i="4"/>
  <c r="BZ246" i="4"/>
  <c r="BZ247" i="4"/>
  <c r="BZ248" i="4"/>
  <c r="BZ249" i="4"/>
  <c r="BZ250" i="4"/>
  <c r="BZ251" i="4"/>
  <c r="BZ252" i="4"/>
  <c r="BZ253" i="4"/>
  <c r="BZ254" i="4"/>
  <c r="BZ255" i="4"/>
  <c r="BZ256" i="4"/>
  <c r="BZ257" i="4"/>
  <c r="BZ258" i="4"/>
  <c r="BZ259" i="4"/>
  <c r="BZ260" i="4"/>
  <c r="BZ261" i="4"/>
  <c r="BZ262" i="4"/>
  <c r="BZ263" i="4"/>
  <c r="BZ264" i="4"/>
  <c r="BZ265" i="4"/>
  <c r="BZ266" i="4"/>
  <c r="BZ267" i="4"/>
  <c r="BZ268" i="4"/>
  <c r="BZ269" i="4"/>
  <c r="BZ270" i="4"/>
  <c r="BZ271" i="4"/>
  <c r="BZ272" i="4"/>
  <c r="BZ273" i="4"/>
  <c r="BZ274" i="4"/>
  <c r="BZ275" i="4"/>
  <c r="BZ276" i="4"/>
  <c r="BZ277" i="4"/>
  <c r="BZ278" i="4"/>
  <c r="BZ279" i="4"/>
  <c r="BZ280" i="4"/>
  <c r="BZ281" i="4"/>
  <c r="BZ282" i="4"/>
  <c r="BZ283" i="4"/>
  <c r="BZ284" i="4"/>
  <c r="BZ285" i="4"/>
  <c r="BZ286" i="4"/>
  <c r="BZ287" i="4"/>
  <c r="BZ288" i="4"/>
  <c r="BZ289" i="4"/>
  <c r="BZ290" i="4"/>
  <c r="BZ291" i="4"/>
  <c r="BZ292" i="4"/>
  <c r="BZ293" i="4"/>
  <c r="BZ294" i="4"/>
  <c r="BZ295" i="4"/>
  <c r="BZ296" i="4"/>
  <c r="BZ297" i="4"/>
  <c r="BZ298" i="4"/>
  <c r="BZ299" i="4"/>
  <c r="BZ300" i="4"/>
  <c r="BZ301" i="4"/>
  <c r="BZ302" i="4"/>
  <c r="BZ303" i="4"/>
  <c r="BZ304" i="4"/>
  <c r="BZ305" i="4"/>
  <c r="BZ306" i="4"/>
  <c r="BZ307" i="4"/>
  <c r="BZ308" i="4"/>
  <c r="BZ309" i="4"/>
  <c r="BZ310" i="4"/>
  <c r="BZ311" i="4"/>
  <c r="BZ312" i="4"/>
  <c r="BZ313" i="4"/>
  <c r="BZ314" i="4"/>
  <c r="BZ315" i="4"/>
  <c r="BZ316" i="4"/>
  <c r="BZ317" i="4"/>
  <c r="BZ318" i="4"/>
  <c r="BZ319" i="4"/>
  <c r="BZ320" i="4"/>
  <c r="BZ321" i="4"/>
  <c r="BZ322" i="4"/>
  <c r="BZ323" i="4"/>
  <c r="BZ324" i="4"/>
  <c r="BZ325" i="4"/>
  <c r="BZ326" i="4"/>
  <c r="BZ327" i="4"/>
  <c r="BZ328" i="4"/>
  <c r="BZ329" i="4"/>
  <c r="BZ330" i="4"/>
  <c r="BZ331" i="4"/>
  <c r="BZ332" i="4"/>
  <c r="BZ333" i="4"/>
  <c r="BZ334" i="4"/>
  <c r="BZ335" i="4"/>
  <c r="BZ336" i="4"/>
  <c r="BZ337" i="4"/>
  <c r="BZ338" i="4"/>
  <c r="BZ339" i="4"/>
  <c r="BZ340" i="4"/>
  <c r="BZ341" i="4"/>
  <c r="CA4" i="4"/>
  <c r="CA5" i="4"/>
  <c r="CA6" i="4"/>
  <c r="CA7" i="4"/>
  <c r="CA8" i="4"/>
  <c r="CA9" i="4"/>
  <c r="CA10" i="4"/>
  <c r="CA11" i="4"/>
  <c r="CA12" i="4"/>
  <c r="CA13" i="4"/>
  <c r="CA14" i="4"/>
  <c r="CA15" i="4"/>
  <c r="CA16" i="4"/>
  <c r="CA17" i="4"/>
  <c r="CA18" i="4"/>
  <c r="CA19" i="4"/>
  <c r="CA20" i="4"/>
  <c r="CA21" i="4"/>
  <c r="CA22" i="4"/>
  <c r="CA23" i="4"/>
  <c r="CA24" i="4"/>
  <c r="CA25" i="4"/>
  <c r="CA26" i="4"/>
  <c r="CA27" i="4"/>
  <c r="CA28" i="4"/>
  <c r="CA29" i="4"/>
  <c r="CA30" i="4"/>
  <c r="CA31" i="4"/>
  <c r="CA32" i="4"/>
  <c r="CA33" i="4"/>
  <c r="CA34" i="4"/>
  <c r="CA35" i="4"/>
  <c r="CA36" i="4"/>
  <c r="CA37" i="4"/>
  <c r="CA38" i="4"/>
  <c r="CA39" i="4"/>
  <c r="CA40" i="4"/>
  <c r="CA41" i="4"/>
  <c r="CA42" i="4"/>
  <c r="CA43" i="4"/>
  <c r="CA44" i="4"/>
  <c r="CA45" i="4"/>
  <c r="CA46" i="4"/>
  <c r="CA47" i="4"/>
  <c r="CA48" i="4"/>
  <c r="CA49" i="4"/>
  <c r="CA50" i="4"/>
  <c r="CA51" i="4"/>
  <c r="CA52" i="4"/>
  <c r="CA53" i="4"/>
  <c r="CA54" i="4"/>
  <c r="CA55" i="4"/>
  <c r="CA56" i="4"/>
  <c r="CA57" i="4"/>
  <c r="CA58" i="4"/>
  <c r="CA59" i="4"/>
  <c r="CA60" i="4"/>
  <c r="CA61" i="4"/>
  <c r="CA62" i="4"/>
  <c r="CA63" i="4"/>
  <c r="CA64" i="4"/>
  <c r="CA65" i="4"/>
  <c r="CA66" i="4"/>
  <c r="CA67" i="4"/>
  <c r="CA68" i="4"/>
  <c r="CA69" i="4"/>
  <c r="CA70" i="4"/>
  <c r="CA71" i="4"/>
  <c r="CA72" i="4"/>
  <c r="CA73" i="4"/>
  <c r="CA74" i="4"/>
  <c r="CA75" i="4"/>
  <c r="CA76" i="4"/>
  <c r="CA77" i="4"/>
  <c r="CA78" i="4"/>
  <c r="CA79" i="4"/>
  <c r="CA80" i="4"/>
  <c r="CA81" i="4"/>
  <c r="CA82" i="4"/>
  <c r="CA83" i="4"/>
  <c r="CA84" i="4"/>
  <c r="CA85" i="4"/>
  <c r="CA86" i="4"/>
  <c r="CA87" i="4"/>
  <c r="CA88" i="4"/>
  <c r="CA89" i="4"/>
  <c r="CA90" i="4"/>
  <c r="CA91" i="4"/>
  <c r="CA92" i="4"/>
  <c r="CA93" i="4"/>
  <c r="CA94" i="4"/>
  <c r="CA95" i="4"/>
  <c r="CA96" i="4"/>
  <c r="CA97" i="4"/>
  <c r="CA98" i="4"/>
  <c r="CA99" i="4"/>
  <c r="CA100" i="4"/>
  <c r="CA101" i="4"/>
  <c r="CA102" i="4"/>
  <c r="CA103" i="4"/>
  <c r="CA104" i="4"/>
  <c r="CA105" i="4"/>
  <c r="CA106" i="4"/>
  <c r="CA107" i="4"/>
  <c r="CA108" i="4"/>
  <c r="CA109" i="4"/>
  <c r="CA110" i="4"/>
  <c r="CA111" i="4"/>
  <c r="CA112" i="4"/>
  <c r="CA113" i="4"/>
  <c r="CA114" i="4"/>
  <c r="CA115" i="4"/>
  <c r="CA116" i="4"/>
  <c r="CA117" i="4"/>
  <c r="CA118" i="4"/>
  <c r="CA119" i="4"/>
  <c r="CA120" i="4"/>
  <c r="CA121" i="4"/>
  <c r="CA122" i="4"/>
  <c r="CA123" i="4"/>
  <c r="CA124" i="4"/>
  <c r="CA125" i="4"/>
  <c r="CA126" i="4"/>
  <c r="CA127" i="4"/>
  <c r="CA128" i="4"/>
  <c r="CA129" i="4"/>
  <c r="CA130" i="4"/>
  <c r="CA131" i="4"/>
  <c r="CA132" i="4"/>
  <c r="CA133" i="4"/>
  <c r="CA134" i="4"/>
  <c r="CA135" i="4"/>
  <c r="CA136" i="4"/>
  <c r="CA137" i="4"/>
  <c r="CA138" i="4"/>
  <c r="CA139" i="4"/>
  <c r="CA140" i="4"/>
  <c r="CA141" i="4"/>
  <c r="CA142" i="4"/>
  <c r="CA143" i="4"/>
  <c r="CA144" i="4"/>
  <c r="CA145" i="4"/>
  <c r="CA146" i="4"/>
  <c r="CA147" i="4"/>
  <c r="CA148" i="4"/>
  <c r="CA149" i="4"/>
  <c r="CA150" i="4"/>
  <c r="CA151" i="4"/>
  <c r="CA152" i="4"/>
  <c r="CA153" i="4"/>
  <c r="CA154" i="4"/>
  <c r="CA155" i="4"/>
  <c r="CA156" i="4"/>
  <c r="CA157" i="4"/>
  <c r="CA158" i="4"/>
  <c r="CA159" i="4"/>
  <c r="CA160" i="4"/>
  <c r="CA161" i="4"/>
  <c r="CA162" i="4"/>
  <c r="CA163" i="4"/>
  <c r="CA164" i="4"/>
  <c r="CA165" i="4"/>
  <c r="CA166" i="4"/>
  <c r="CA167" i="4"/>
  <c r="CA168" i="4"/>
  <c r="CA169" i="4"/>
  <c r="CA170" i="4"/>
  <c r="CA171" i="4"/>
  <c r="CA172" i="4"/>
  <c r="CA173" i="4"/>
  <c r="CA174" i="4"/>
  <c r="CA175" i="4"/>
  <c r="CA176" i="4"/>
  <c r="CA177" i="4"/>
  <c r="CA178" i="4"/>
  <c r="CA179" i="4"/>
  <c r="CA180" i="4"/>
  <c r="CA181" i="4"/>
  <c r="CA182" i="4"/>
  <c r="CA183" i="4"/>
  <c r="CA184" i="4"/>
  <c r="CA185" i="4"/>
  <c r="CA186" i="4"/>
  <c r="CA187" i="4"/>
  <c r="CA188" i="4"/>
  <c r="CA189" i="4"/>
  <c r="CA190" i="4"/>
  <c r="CA191" i="4"/>
  <c r="CA192" i="4"/>
  <c r="CA193" i="4"/>
  <c r="CA194" i="4"/>
  <c r="CA195" i="4"/>
  <c r="CA196" i="4"/>
  <c r="CA197" i="4"/>
  <c r="CA198" i="4"/>
  <c r="CA199" i="4"/>
  <c r="CA200" i="4"/>
  <c r="CA201" i="4"/>
  <c r="CA202" i="4"/>
  <c r="CA203" i="4"/>
  <c r="CA204" i="4"/>
  <c r="CA205" i="4"/>
  <c r="CA206" i="4"/>
  <c r="CA207" i="4"/>
  <c r="CA208" i="4"/>
  <c r="CA209" i="4"/>
  <c r="CA210" i="4"/>
  <c r="CA211" i="4"/>
  <c r="CA212" i="4"/>
  <c r="CA213" i="4"/>
  <c r="CA214" i="4"/>
  <c r="CA215" i="4"/>
  <c r="CA216" i="4"/>
  <c r="CA217" i="4"/>
  <c r="CA218" i="4"/>
  <c r="CA219" i="4"/>
  <c r="CA220" i="4"/>
  <c r="CA221" i="4"/>
  <c r="CA222" i="4"/>
  <c r="CA223" i="4"/>
  <c r="CA224" i="4"/>
  <c r="CA225" i="4"/>
  <c r="CA226" i="4"/>
  <c r="CA227" i="4"/>
  <c r="CA228" i="4"/>
  <c r="CA229" i="4"/>
  <c r="CA230" i="4"/>
  <c r="CA231" i="4"/>
  <c r="CA232" i="4"/>
  <c r="CA233" i="4"/>
  <c r="CA234" i="4"/>
  <c r="CA235" i="4"/>
  <c r="CA236" i="4"/>
  <c r="CA237" i="4"/>
  <c r="CA238" i="4"/>
  <c r="CA239" i="4"/>
  <c r="CA240" i="4"/>
  <c r="CA241" i="4"/>
  <c r="CA242" i="4"/>
  <c r="CA243" i="4"/>
  <c r="CA244" i="4"/>
  <c r="CA245" i="4"/>
  <c r="CA246" i="4"/>
  <c r="CA247" i="4"/>
  <c r="CA248" i="4"/>
  <c r="CA249" i="4"/>
  <c r="CA250" i="4"/>
  <c r="CA251" i="4"/>
  <c r="CA252" i="4"/>
  <c r="CA253" i="4"/>
  <c r="CA254" i="4"/>
  <c r="CA255" i="4"/>
  <c r="CA256" i="4"/>
  <c r="CA257" i="4"/>
  <c r="CA258" i="4"/>
  <c r="CA259" i="4"/>
  <c r="CA260" i="4"/>
  <c r="CA261" i="4"/>
  <c r="CA262" i="4"/>
  <c r="CA263" i="4"/>
  <c r="CA264" i="4"/>
  <c r="CA265" i="4"/>
  <c r="CA266" i="4"/>
  <c r="CA267" i="4"/>
  <c r="CA268" i="4"/>
  <c r="CA269" i="4"/>
  <c r="CA270" i="4"/>
  <c r="CA271" i="4"/>
  <c r="CA272" i="4"/>
  <c r="CA273" i="4"/>
  <c r="CA274" i="4"/>
  <c r="CA275" i="4"/>
  <c r="CA276" i="4"/>
  <c r="CA277" i="4"/>
  <c r="CA278" i="4"/>
  <c r="CA279" i="4"/>
  <c r="CA280" i="4"/>
  <c r="CA281" i="4"/>
  <c r="CA282" i="4"/>
  <c r="CA283" i="4"/>
  <c r="CA284" i="4"/>
  <c r="CA285" i="4"/>
  <c r="CA286" i="4"/>
  <c r="CA287" i="4"/>
  <c r="CA288" i="4"/>
  <c r="CA289" i="4"/>
  <c r="CA290" i="4"/>
  <c r="CA291" i="4"/>
  <c r="CA292" i="4"/>
  <c r="CA293" i="4"/>
  <c r="CA294" i="4"/>
  <c r="CA295" i="4"/>
  <c r="CA296" i="4"/>
  <c r="CA297" i="4"/>
  <c r="CA298" i="4"/>
  <c r="CA299" i="4"/>
  <c r="CA300" i="4"/>
  <c r="CA301" i="4"/>
  <c r="CA302" i="4"/>
  <c r="CA303" i="4"/>
  <c r="CA304" i="4"/>
  <c r="CA305" i="4"/>
  <c r="CA306" i="4"/>
  <c r="CA307" i="4"/>
  <c r="CA308" i="4"/>
  <c r="CA309" i="4"/>
  <c r="CA310" i="4"/>
  <c r="CA311" i="4"/>
  <c r="CA312" i="4"/>
  <c r="CA313" i="4"/>
  <c r="CA314" i="4"/>
  <c r="CA315" i="4"/>
  <c r="CA316" i="4"/>
  <c r="CA317" i="4"/>
  <c r="CA318" i="4"/>
  <c r="CA319" i="4"/>
  <c r="CA320" i="4"/>
  <c r="CA321" i="4"/>
  <c r="CA322" i="4"/>
  <c r="CA323" i="4"/>
  <c r="CA324" i="4"/>
  <c r="CA325" i="4"/>
  <c r="CA326" i="4"/>
  <c r="CA327" i="4"/>
  <c r="CA328" i="4"/>
  <c r="CA329" i="4"/>
  <c r="CA330" i="4"/>
  <c r="CA331" i="4"/>
  <c r="CA332" i="4"/>
  <c r="CA333" i="4"/>
  <c r="CA334" i="4"/>
  <c r="CA335" i="4"/>
  <c r="CA336" i="4"/>
  <c r="CA337" i="4"/>
  <c r="CA338" i="4"/>
  <c r="CA339" i="4"/>
  <c r="CA340" i="4"/>
  <c r="CA341" i="4"/>
  <c r="CB4" i="4"/>
  <c r="CB5" i="4"/>
  <c r="CB6" i="4"/>
  <c r="CB7" i="4"/>
  <c r="CB8" i="4"/>
  <c r="CB9" i="4"/>
  <c r="CB10" i="4"/>
  <c r="CB11" i="4"/>
  <c r="CB12" i="4"/>
  <c r="CB13" i="4"/>
  <c r="CB14" i="4"/>
  <c r="CB15" i="4"/>
  <c r="CB16" i="4"/>
  <c r="CB17" i="4"/>
  <c r="CB18" i="4"/>
  <c r="CB19" i="4"/>
  <c r="CB20" i="4"/>
  <c r="CB21" i="4"/>
  <c r="CB22" i="4"/>
  <c r="CB23" i="4"/>
  <c r="CB24" i="4"/>
  <c r="CB25" i="4"/>
  <c r="CB26" i="4"/>
  <c r="CB27" i="4"/>
  <c r="CB28" i="4"/>
  <c r="CB29" i="4"/>
  <c r="CB30" i="4"/>
  <c r="CB31" i="4"/>
  <c r="CB32" i="4"/>
  <c r="CB33" i="4"/>
  <c r="CB34" i="4"/>
  <c r="CB35" i="4"/>
  <c r="CB36" i="4"/>
  <c r="CB37" i="4"/>
  <c r="CB38" i="4"/>
  <c r="CB39" i="4"/>
  <c r="CB40" i="4"/>
  <c r="CB41" i="4"/>
  <c r="CB42" i="4"/>
  <c r="CB43" i="4"/>
  <c r="CB44" i="4"/>
  <c r="CB45" i="4"/>
  <c r="CB46" i="4"/>
  <c r="CB47" i="4"/>
  <c r="CB48" i="4"/>
  <c r="CB49" i="4"/>
  <c r="CB50" i="4"/>
  <c r="CB51" i="4"/>
  <c r="CB52" i="4"/>
  <c r="CB53" i="4"/>
  <c r="CB54" i="4"/>
  <c r="CB55" i="4"/>
  <c r="CB56" i="4"/>
  <c r="CB57" i="4"/>
  <c r="CB58" i="4"/>
  <c r="CB59" i="4"/>
  <c r="CB60" i="4"/>
  <c r="CB61" i="4"/>
  <c r="CB62" i="4"/>
  <c r="CB63" i="4"/>
  <c r="CB64" i="4"/>
  <c r="CB65" i="4"/>
  <c r="CB66" i="4"/>
  <c r="CB67" i="4"/>
  <c r="CB68" i="4"/>
  <c r="CB69" i="4"/>
  <c r="CB70" i="4"/>
  <c r="CB71" i="4"/>
  <c r="CB72" i="4"/>
  <c r="CB73" i="4"/>
  <c r="CB74" i="4"/>
  <c r="CB75" i="4"/>
  <c r="CB76" i="4"/>
  <c r="CB77" i="4"/>
  <c r="CB78" i="4"/>
  <c r="CB79" i="4"/>
  <c r="CB80" i="4"/>
  <c r="CB81" i="4"/>
  <c r="CB82" i="4"/>
  <c r="CB83" i="4"/>
  <c r="CB84" i="4"/>
  <c r="CB85" i="4"/>
  <c r="CB86" i="4"/>
  <c r="CB87" i="4"/>
  <c r="CB88" i="4"/>
  <c r="CB89" i="4"/>
  <c r="CB90" i="4"/>
  <c r="CB91" i="4"/>
  <c r="CB92" i="4"/>
  <c r="CB93" i="4"/>
  <c r="CB94" i="4"/>
  <c r="CB95" i="4"/>
  <c r="CB96" i="4"/>
  <c r="CB97" i="4"/>
  <c r="CB98" i="4"/>
  <c r="CB99" i="4"/>
  <c r="CB100" i="4"/>
  <c r="CB101" i="4"/>
  <c r="CB102" i="4"/>
  <c r="CB103" i="4"/>
  <c r="CB104" i="4"/>
  <c r="CB105" i="4"/>
  <c r="CB106" i="4"/>
  <c r="CB107" i="4"/>
  <c r="CB108" i="4"/>
  <c r="CB109" i="4"/>
  <c r="CB110" i="4"/>
  <c r="CB111" i="4"/>
  <c r="CB112" i="4"/>
  <c r="CB113" i="4"/>
  <c r="CB114" i="4"/>
  <c r="CB115" i="4"/>
  <c r="CB116" i="4"/>
  <c r="CB117" i="4"/>
  <c r="CB118" i="4"/>
  <c r="CB119" i="4"/>
  <c r="CB120" i="4"/>
  <c r="CB121" i="4"/>
  <c r="CB122" i="4"/>
  <c r="CB123" i="4"/>
  <c r="CB124" i="4"/>
  <c r="CB125" i="4"/>
  <c r="CB126" i="4"/>
  <c r="CB127" i="4"/>
  <c r="CB128" i="4"/>
  <c r="CB129" i="4"/>
  <c r="CB130" i="4"/>
  <c r="CB131" i="4"/>
  <c r="CB132" i="4"/>
  <c r="CB133" i="4"/>
  <c r="CB134" i="4"/>
  <c r="CB135" i="4"/>
  <c r="CB136" i="4"/>
  <c r="CB137" i="4"/>
  <c r="CB138" i="4"/>
  <c r="CB139" i="4"/>
  <c r="CB140" i="4"/>
  <c r="CB141" i="4"/>
  <c r="CB142" i="4"/>
  <c r="CB143" i="4"/>
  <c r="CB144" i="4"/>
  <c r="CB145" i="4"/>
  <c r="CB146" i="4"/>
  <c r="CB147" i="4"/>
  <c r="CB148" i="4"/>
  <c r="CB149" i="4"/>
  <c r="CB150" i="4"/>
  <c r="CB151" i="4"/>
  <c r="CB152" i="4"/>
  <c r="CB153" i="4"/>
  <c r="CB154" i="4"/>
  <c r="CB155" i="4"/>
  <c r="CB156" i="4"/>
  <c r="CB157" i="4"/>
  <c r="CB158" i="4"/>
  <c r="CB159" i="4"/>
  <c r="CB160" i="4"/>
  <c r="CB161" i="4"/>
  <c r="CB162" i="4"/>
  <c r="CB163" i="4"/>
  <c r="CB164" i="4"/>
  <c r="CB165" i="4"/>
  <c r="CB166" i="4"/>
  <c r="CB167" i="4"/>
  <c r="CB168" i="4"/>
  <c r="CB169" i="4"/>
  <c r="CB170" i="4"/>
  <c r="CB171" i="4"/>
  <c r="CB172" i="4"/>
  <c r="CB173" i="4"/>
  <c r="CB174" i="4"/>
  <c r="CB175" i="4"/>
  <c r="CB176" i="4"/>
  <c r="CB177" i="4"/>
  <c r="CB178" i="4"/>
  <c r="CB179" i="4"/>
  <c r="CB180" i="4"/>
  <c r="CB181" i="4"/>
  <c r="CB182" i="4"/>
  <c r="CB183" i="4"/>
  <c r="CB184" i="4"/>
  <c r="CB185" i="4"/>
  <c r="CB186" i="4"/>
  <c r="CB187" i="4"/>
  <c r="CB188" i="4"/>
  <c r="CB189" i="4"/>
  <c r="CB190" i="4"/>
  <c r="CB191" i="4"/>
  <c r="CB192" i="4"/>
  <c r="CB193" i="4"/>
  <c r="CB194" i="4"/>
  <c r="CB195" i="4"/>
  <c r="CB196" i="4"/>
  <c r="CB197" i="4"/>
  <c r="CB198" i="4"/>
  <c r="CB199" i="4"/>
  <c r="CB200" i="4"/>
  <c r="CB201" i="4"/>
  <c r="CB202" i="4"/>
  <c r="CB203" i="4"/>
  <c r="CB204" i="4"/>
  <c r="CB205" i="4"/>
  <c r="CB206" i="4"/>
  <c r="CB207" i="4"/>
  <c r="CB208" i="4"/>
  <c r="CB209" i="4"/>
  <c r="CB210" i="4"/>
  <c r="CB211" i="4"/>
  <c r="CB212" i="4"/>
  <c r="CB213" i="4"/>
  <c r="CB214" i="4"/>
  <c r="CB215" i="4"/>
  <c r="CB216" i="4"/>
  <c r="CB217" i="4"/>
  <c r="CB218" i="4"/>
  <c r="CB219" i="4"/>
  <c r="CB220" i="4"/>
  <c r="CB221" i="4"/>
  <c r="CB222" i="4"/>
  <c r="CB223" i="4"/>
  <c r="CB224" i="4"/>
  <c r="CB225" i="4"/>
  <c r="CB226" i="4"/>
  <c r="CB227" i="4"/>
  <c r="CB228" i="4"/>
  <c r="CB229" i="4"/>
  <c r="CB230" i="4"/>
  <c r="CB231" i="4"/>
  <c r="CB232" i="4"/>
  <c r="CB233" i="4"/>
  <c r="CB234" i="4"/>
  <c r="CB235" i="4"/>
  <c r="CB236" i="4"/>
  <c r="CB237" i="4"/>
  <c r="CB238" i="4"/>
  <c r="CB239" i="4"/>
  <c r="CB240" i="4"/>
  <c r="CB241" i="4"/>
  <c r="CB242" i="4"/>
  <c r="CB243" i="4"/>
  <c r="CB244" i="4"/>
  <c r="CB245" i="4"/>
  <c r="CB246" i="4"/>
  <c r="CB247" i="4"/>
  <c r="CB248" i="4"/>
  <c r="CB249" i="4"/>
  <c r="CB250" i="4"/>
  <c r="CB251" i="4"/>
  <c r="CB252" i="4"/>
  <c r="CB253" i="4"/>
  <c r="CB254" i="4"/>
  <c r="CB255" i="4"/>
  <c r="CB256" i="4"/>
  <c r="CB257" i="4"/>
  <c r="CB258" i="4"/>
  <c r="CB259" i="4"/>
  <c r="CB260" i="4"/>
  <c r="CB261" i="4"/>
  <c r="CB262" i="4"/>
  <c r="CB263" i="4"/>
  <c r="CB264" i="4"/>
  <c r="CB265" i="4"/>
  <c r="CB266" i="4"/>
  <c r="CB267" i="4"/>
  <c r="CB268" i="4"/>
  <c r="CB269" i="4"/>
  <c r="CB270" i="4"/>
  <c r="CB271" i="4"/>
  <c r="CB272" i="4"/>
  <c r="CB273" i="4"/>
  <c r="CB274" i="4"/>
  <c r="CB275" i="4"/>
  <c r="CB276" i="4"/>
  <c r="CB277" i="4"/>
  <c r="CB278" i="4"/>
  <c r="CB279" i="4"/>
  <c r="CB280" i="4"/>
  <c r="CB281" i="4"/>
  <c r="CB282" i="4"/>
  <c r="CB283" i="4"/>
  <c r="CB284" i="4"/>
  <c r="CB285" i="4"/>
  <c r="CB286" i="4"/>
  <c r="CB287" i="4"/>
  <c r="CB288" i="4"/>
  <c r="CB289" i="4"/>
  <c r="CB290" i="4"/>
  <c r="CB291" i="4"/>
  <c r="CB292" i="4"/>
  <c r="CB293" i="4"/>
  <c r="CB294" i="4"/>
  <c r="CB295" i="4"/>
  <c r="CB296" i="4"/>
  <c r="CB297" i="4"/>
  <c r="CB298" i="4"/>
  <c r="CB299" i="4"/>
  <c r="CB300" i="4"/>
  <c r="CB301" i="4"/>
  <c r="CB302" i="4"/>
  <c r="CB303" i="4"/>
  <c r="CB304" i="4"/>
  <c r="CB305" i="4"/>
  <c r="CB306" i="4"/>
  <c r="CB307" i="4"/>
  <c r="CB308" i="4"/>
  <c r="CB309" i="4"/>
  <c r="CB310" i="4"/>
  <c r="CB311" i="4"/>
  <c r="CB312" i="4"/>
  <c r="CB313" i="4"/>
  <c r="CB314" i="4"/>
  <c r="CB315" i="4"/>
  <c r="CB316" i="4"/>
  <c r="CB317" i="4"/>
  <c r="CB318" i="4"/>
  <c r="CB319" i="4"/>
  <c r="CB320" i="4"/>
  <c r="CB321" i="4"/>
  <c r="CB322" i="4"/>
  <c r="CB323" i="4"/>
  <c r="CB324" i="4"/>
  <c r="CB325" i="4"/>
  <c r="CB326" i="4"/>
  <c r="CB327" i="4"/>
  <c r="CB328" i="4"/>
  <c r="CB329" i="4"/>
  <c r="CB330" i="4"/>
  <c r="CB331" i="4"/>
  <c r="CB332" i="4"/>
  <c r="CB333" i="4"/>
  <c r="CB334" i="4"/>
  <c r="CB335" i="4"/>
  <c r="CB336" i="4"/>
  <c r="CB337" i="4"/>
  <c r="CB338" i="4"/>
  <c r="CB339" i="4"/>
  <c r="CB340" i="4"/>
  <c r="CB341" i="4"/>
  <c r="AC8" i="4"/>
  <c r="AC14" i="4"/>
  <c r="AC20" i="4"/>
  <c r="AC26" i="4"/>
  <c r="AC32" i="4"/>
  <c r="AC38" i="4"/>
  <c r="AC4" i="4"/>
  <c r="AC11" i="4"/>
  <c r="AC18" i="4"/>
  <c r="AC25" i="4"/>
  <c r="AC33" i="4"/>
  <c r="AC40" i="4"/>
  <c r="AC46" i="4"/>
  <c r="AC52" i="4"/>
  <c r="AC58" i="4"/>
  <c r="AC64" i="4"/>
  <c r="AC70" i="4"/>
  <c r="AC76" i="4"/>
  <c r="AC82" i="4"/>
  <c r="AC88" i="4"/>
  <c r="AC94" i="4"/>
  <c r="AC100" i="4"/>
  <c r="AC106" i="4"/>
  <c r="AC112" i="4"/>
  <c r="AC118" i="4"/>
  <c r="AC124" i="4"/>
  <c r="AC130" i="4"/>
  <c r="AC136" i="4"/>
  <c r="AC142" i="4"/>
  <c r="AC148" i="4"/>
  <c r="AC154" i="4"/>
  <c r="AC160" i="4"/>
  <c r="AC166" i="4"/>
  <c r="AC172" i="4"/>
  <c r="AC178" i="4"/>
  <c r="AC184" i="4"/>
  <c r="AC190" i="4"/>
  <c r="AC196" i="4"/>
  <c r="AC202" i="4"/>
  <c r="AC208" i="4"/>
  <c r="AC214" i="4"/>
  <c r="AC220" i="4"/>
  <c r="AC226" i="4"/>
  <c r="AC232" i="4"/>
  <c r="AC238" i="4"/>
  <c r="AC244" i="4"/>
  <c r="AC250" i="4"/>
  <c r="AC256" i="4"/>
  <c r="AC262" i="4"/>
  <c r="AC268" i="4"/>
  <c r="AC274" i="4"/>
  <c r="AC280" i="4"/>
  <c r="AC286" i="4"/>
  <c r="AC292" i="4"/>
  <c r="AC298" i="4"/>
  <c r="AC304" i="4"/>
  <c r="AC310" i="4"/>
  <c r="AC316" i="4"/>
  <c r="AC322" i="4"/>
  <c r="AC328" i="4"/>
  <c r="AC334" i="4"/>
  <c r="AC340" i="4"/>
  <c r="AC5" i="4"/>
  <c r="AC12" i="4"/>
  <c r="AC19" i="4"/>
  <c r="AC27" i="4"/>
  <c r="AC34" i="4"/>
  <c r="AC41" i="4"/>
  <c r="AC47" i="4"/>
  <c r="AC53" i="4"/>
  <c r="AC59" i="4"/>
  <c r="AC65" i="4"/>
  <c r="AC71" i="4"/>
  <c r="AC77" i="4"/>
  <c r="AC83" i="4"/>
  <c r="AC89" i="4"/>
  <c r="AC95" i="4"/>
  <c r="AC101" i="4"/>
  <c r="AC107" i="4"/>
  <c r="AC113" i="4"/>
  <c r="AC119" i="4"/>
  <c r="AC125" i="4"/>
  <c r="AC131" i="4"/>
  <c r="AC137" i="4"/>
  <c r="AC143" i="4"/>
  <c r="AC149" i="4"/>
  <c r="AC155" i="4"/>
  <c r="AC161" i="4"/>
  <c r="AC167" i="4"/>
  <c r="AC173" i="4"/>
  <c r="AC179" i="4"/>
  <c r="AC185" i="4"/>
  <c r="AC191" i="4"/>
  <c r="AC197" i="4"/>
  <c r="AC203" i="4"/>
  <c r="AC209" i="4"/>
  <c r="AC215" i="4"/>
  <c r="AC221" i="4"/>
  <c r="AC227" i="4"/>
  <c r="AC233" i="4"/>
  <c r="AC239" i="4"/>
  <c r="AC245" i="4"/>
  <c r="AC251" i="4"/>
  <c r="AC257" i="4"/>
  <c r="AC263" i="4"/>
  <c r="AC269" i="4"/>
  <c r="AC275" i="4"/>
  <c r="AC281" i="4"/>
  <c r="AC287" i="4"/>
  <c r="AC293" i="4"/>
  <c r="AC299" i="4"/>
  <c r="AC305" i="4"/>
  <c r="AC311" i="4"/>
  <c r="AC317" i="4"/>
  <c r="AC323" i="4"/>
  <c r="AC329" i="4"/>
  <c r="AC335" i="4"/>
  <c r="AC341" i="4"/>
  <c r="AC6" i="4"/>
  <c r="AC13" i="4"/>
  <c r="AC21" i="4"/>
  <c r="AC28" i="4"/>
  <c r="AC35" i="4"/>
  <c r="AC42" i="4"/>
  <c r="AC48" i="4"/>
  <c r="AC54" i="4"/>
  <c r="AC60" i="4"/>
  <c r="AC66" i="4"/>
  <c r="AC72" i="4"/>
  <c r="AC78" i="4"/>
  <c r="AC84" i="4"/>
  <c r="AC90" i="4"/>
  <c r="AC96" i="4"/>
  <c r="AC102" i="4"/>
  <c r="AC108" i="4"/>
  <c r="AC114" i="4"/>
  <c r="AC120" i="4"/>
  <c r="AC126" i="4"/>
  <c r="AC132" i="4"/>
  <c r="AC138" i="4"/>
  <c r="AC144" i="4"/>
  <c r="AC150" i="4"/>
  <c r="AC156" i="4"/>
  <c r="AC162" i="4"/>
  <c r="AC168" i="4"/>
  <c r="AC174" i="4"/>
  <c r="AC180" i="4"/>
  <c r="AC186" i="4"/>
  <c r="AC192" i="4"/>
  <c r="AC198" i="4"/>
  <c r="AC204" i="4"/>
  <c r="AC210" i="4"/>
  <c r="AC216" i="4"/>
  <c r="AC222" i="4"/>
  <c r="AC228" i="4"/>
  <c r="AC234" i="4"/>
  <c r="AC240" i="4"/>
  <c r="AC246" i="4"/>
  <c r="AC252" i="4"/>
  <c r="AC258" i="4"/>
  <c r="AC264" i="4"/>
  <c r="AC270" i="4"/>
  <c r="AC276" i="4"/>
  <c r="AC282" i="4"/>
  <c r="AC288" i="4"/>
  <c r="AC294" i="4"/>
  <c r="AC300" i="4"/>
  <c r="AC306" i="4"/>
  <c r="AC312" i="4"/>
  <c r="AC318" i="4"/>
  <c r="AC324" i="4"/>
  <c r="AC330" i="4"/>
  <c r="AC336" i="4"/>
  <c r="AC10" i="4"/>
  <c r="AC17" i="4"/>
  <c r="AC24" i="4"/>
  <c r="AC31" i="4"/>
  <c r="AC39" i="4"/>
  <c r="AC45" i="4"/>
  <c r="AC51" i="4"/>
  <c r="AC57" i="4"/>
  <c r="AC63" i="4"/>
  <c r="AC69" i="4"/>
  <c r="AC75" i="4"/>
  <c r="AC81" i="4"/>
  <c r="AC87" i="4"/>
  <c r="AC93" i="4"/>
  <c r="AC99" i="4"/>
  <c r="AC105" i="4"/>
  <c r="AC111" i="4"/>
  <c r="AC117" i="4"/>
  <c r="AC123" i="4"/>
  <c r="AC129" i="4"/>
  <c r="AC135" i="4"/>
  <c r="AC141" i="4"/>
  <c r="AC147" i="4"/>
  <c r="AC153" i="4"/>
  <c r="AC159" i="4"/>
  <c r="AC165" i="4"/>
  <c r="AC171" i="4"/>
  <c r="AC177" i="4"/>
  <c r="AC183" i="4"/>
  <c r="AC189" i="4"/>
  <c r="AC195" i="4"/>
  <c r="AC201" i="4"/>
  <c r="AC207" i="4"/>
  <c r="AC213" i="4"/>
  <c r="AC219" i="4"/>
  <c r="AC225" i="4"/>
  <c r="AC231" i="4"/>
  <c r="AC237" i="4"/>
  <c r="AC243" i="4"/>
  <c r="AC249" i="4"/>
  <c r="AC15" i="4"/>
  <c r="AC36" i="4"/>
  <c r="AC55" i="4"/>
  <c r="AC73" i="4"/>
  <c r="AC91" i="4"/>
  <c r="AC109" i="4"/>
  <c r="AC127" i="4"/>
  <c r="AC145" i="4"/>
  <c r="AC163" i="4"/>
  <c r="AC181" i="4"/>
  <c r="AC199" i="4"/>
  <c r="AC217" i="4"/>
  <c r="AC235" i="4"/>
  <c r="AC253" i="4"/>
  <c r="AC265" i="4"/>
  <c r="AC277" i="4"/>
  <c r="AC289" i="4"/>
  <c r="AC301" i="4"/>
  <c r="AC313" i="4"/>
  <c r="AC325" i="4"/>
  <c r="AC337" i="4"/>
  <c r="AC16" i="4"/>
  <c r="AC37" i="4"/>
  <c r="AC56" i="4"/>
  <c r="AC74" i="4"/>
  <c r="AC92" i="4"/>
  <c r="AC110" i="4"/>
  <c r="AC128" i="4"/>
  <c r="AC146" i="4"/>
  <c r="AC164" i="4"/>
  <c r="AC182" i="4"/>
  <c r="AC200" i="4"/>
  <c r="AC218" i="4"/>
  <c r="AC236" i="4"/>
  <c r="AC254" i="4"/>
  <c r="AC266" i="4"/>
  <c r="AC278" i="4"/>
  <c r="AC290" i="4"/>
  <c r="AC302" i="4"/>
  <c r="AC314" i="4"/>
  <c r="AC326" i="4"/>
  <c r="AC338" i="4"/>
  <c r="AC22" i="4"/>
  <c r="AC43" i="4"/>
  <c r="AC61" i="4"/>
  <c r="AC79" i="4"/>
  <c r="AC97" i="4"/>
  <c r="AC115" i="4"/>
  <c r="AC133" i="4"/>
  <c r="AC151" i="4"/>
  <c r="AC169" i="4"/>
  <c r="AC187" i="4"/>
  <c r="AC205" i="4"/>
  <c r="AC223" i="4"/>
  <c r="AC241" i="4"/>
  <c r="AC255" i="4"/>
  <c r="AC267" i="4"/>
  <c r="AC279" i="4"/>
  <c r="AC291" i="4"/>
  <c r="AC303" i="4"/>
  <c r="AC315" i="4"/>
  <c r="AC327" i="4"/>
  <c r="AC339" i="4"/>
  <c r="AC23" i="4"/>
  <c r="AC44" i="4"/>
  <c r="AC62" i="4"/>
  <c r="AC80" i="4"/>
  <c r="AC98" i="4"/>
  <c r="AC116" i="4"/>
  <c r="AC134" i="4"/>
  <c r="AC152" i="4"/>
  <c r="AC170" i="4"/>
  <c r="AC188" i="4"/>
  <c r="AC206" i="4"/>
  <c r="AC224" i="4"/>
  <c r="AC242" i="4"/>
  <c r="AC259" i="4"/>
  <c r="AC271" i="4"/>
  <c r="AC283" i="4"/>
  <c r="AC295" i="4"/>
  <c r="AC307" i="4"/>
  <c r="AC319" i="4"/>
  <c r="AC331" i="4"/>
  <c r="AC7" i="4"/>
  <c r="AC29" i="4"/>
  <c r="AC49" i="4"/>
  <c r="AC67" i="4"/>
  <c r="AC85" i="4"/>
  <c r="AC103" i="4"/>
  <c r="AC121" i="4"/>
  <c r="AC139" i="4"/>
  <c r="AC157" i="4"/>
  <c r="AC175" i="4"/>
  <c r="AC193" i="4"/>
  <c r="AC211" i="4"/>
  <c r="AC229" i="4"/>
  <c r="AC247" i="4"/>
  <c r="AC260" i="4"/>
  <c r="AC272" i="4"/>
  <c r="AC284" i="4"/>
  <c r="AC296" i="4"/>
  <c r="AC308" i="4"/>
  <c r="AC320" i="4"/>
  <c r="AC332" i="4"/>
  <c r="AC9" i="4"/>
  <c r="AC30" i="4"/>
  <c r="AC50" i="4"/>
  <c r="AC68" i="4"/>
  <c r="AC86" i="4"/>
  <c r="AC104" i="4"/>
  <c r="AC122" i="4"/>
  <c r="AC140" i="4"/>
  <c r="AC158" i="4"/>
  <c r="AC176" i="4"/>
  <c r="AC194" i="4"/>
  <c r="AC212" i="4"/>
  <c r="AC230" i="4"/>
  <c r="AC248" i="4"/>
  <c r="AC261" i="4"/>
  <c r="AC273" i="4"/>
  <c r="AC285" i="4"/>
  <c r="AC297" i="4"/>
  <c r="AC309" i="4"/>
  <c r="AC321" i="4"/>
  <c r="AC333" i="4"/>
  <c r="AE333" i="10" l="1"/>
  <c r="AE321" i="10"/>
  <c r="AE309" i="10"/>
  <c r="AE297" i="10"/>
  <c r="AE285" i="10"/>
  <c r="AE273" i="10"/>
  <c r="AE261" i="10"/>
  <c r="AE248" i="10"/>
  <c r="AE230" i="10"/>
  <c r="AE212" i="10"/>
  <c r="AE194" i="10"/>
  <c r="AE176" i="10"/>
  <c r="AE158" i="10"/>
  <c r="AE140" i="10"/>
  <c r="AE122" i="10"/>
  <c r="AE104" i="10"/>
  <c r="AE86" i="10"/>
  <c r="AE68" i="10"/>
  <c r="AE50" i="10"/>
  <c r="AE30" i="10"/>
  <c r="AE9" i="10"/>
  <c r="AE332" i="10"/>
  <c r="AE320" i="10"/>
  <c r="AE308" i="10"/>
  <c r="AE296" i="10"/>
  <c r="AE284" i="10"/>
  <c r="AE272" i="10"/>
  <c r="AE260" i="10"/>
  <c r="AE247" i="10"/>
  <c r="AE229" i="10"/>
  <c r="AE211" i="10"/>
  <c r="AE193" i="10"/>
  <c r="AE175" i="10"/>
  <c r="AE157" i="10"/>
  <c r="AE139" i="10"/>
  <c r="AE121" i="10"/>
  <c r="AE103" i="10"/>
  <c r="AE85" i="10"/>
  <c r="AE67" i="10"/>
  <c r="AE49" i="10"/>
  <c r="AE29" i="10"/>
  <c r="AE7" i="10"/>
  <c r="AE331" i="10"/>
  <c r="AE319" i="10"/>
  <c r="AE307" i="10"/>
  <c r="AE295" i="10"/>
  <c r="AE283" i="10"/>
  <c r="AE271" i="10"/>
  <c r="AE259" i="10"/>
  <c r="AE242" i="10"/>
  <c r="AE224" i="10"/>
  <c r="AE206" i="10"/>
  <c r="AE188" i="10"/>
  <c r="AE170" i="10"/>
  <c r="AE152" i="10"/>
  <c r="AE134" i="10"/>
  <c r="AE116" i="10"/>
  <c r="AE98" i="10"/>
  <c r="AE80" i="10"/>
  <c r="AE62" i="10"/>
  <c r="AE44" i="10"/>
  <c r="AE23" i="10"/>
  <c r="AE339" i="10"/>
  <c r="AE327" i="10"/>
  <c r="AE315" i="10"/>
  <c r="AE303" i="10"/>
  <c r="AE291" i="10"/>
  <c r="AE279" i="10"/>
  <c r="AE267" i="10"/>
  <c r="AE255" i="10"/>
  <c r="AE241" i="10"/>
  <c r="AE223" i="10"/>
  <c r="AE205" i="10"/>
  <c r="AE187" i="10"/>
  <c r="AE169" i="10"/>
  <c r="AE151" i="10"/>
  <c r="AE133" i="10"/>
  <c r="AE115" i="10"/>
  <c r="AE97" i="10"/>
  <c r="AE79" i="10"/>
  <c r="AE61" i="10"/>
  <c r="AE43" i="10"/>
  <c r="AE22" i="10"/>
  <c r="AE338" i="10"/>
  <c r="AE326" i="10"/>
  <c r="AE314" i="10"/>
  <c r="AE302" i="10"/>
  <c r="AE290" i="10"/>
  <c r="AE278" i="10"/>
  <c r="AE266" i="10"/>
  <c r="AE254" i="10"/>
  <c r="AE236" i="10"/>
  <c r="AE218" i="10"/>
  <c r="AE200" i="10"/>
  <c r="AE182" i="10"/>
  <c r="AE164" i="10"/>
  <c r="AE146" i="10"/>
  <c r="AE128" i="10"/>
  <c r="AE110" i="10"/>
  <c r="AE92" i="10"/>
  <c r="AE74" i="10"/>
  <c r="AE56" i="10"/>
  <c r="AE37" i="10"/>
  <c r="AE16" i="10"/>
  <c r="AE337" i="10"/>
  <c r="AE325" i="10"/>
  <c r="AE313" i="10"/>
  <c r="AE301" i="10"/>
  <c r="AE289" i="10"/>
  <c r="AE277" i="10"/>
  <c r="AE265" i="10"/>
  <c r="AE253" i="10"/>
  <c r="AE235" i="10"/>
  <c r="AE217" i="10"/>
  <c r="AE199" i="10"/>
  <c r="AE181" i="10"/>
  <c r="AE163" i="10"/>
  <c r="AE145" i="10"/>
  <c r="AE127" i="10"/>
  <c r="AE109" i="10"/>
  <c r="AE91" i="10"/>
  <c r="AE73" i="10"/>
  <c r="AE55" i="10"/>
  <c r="AE36" i="10"/>
  <c r="AE15" i="10"/>
  <c r="AE249" i="10"/>
  <c r="AE243" i="10"/>
  <c r="AE237" i="10"/>
  <c r="AE231" i="10"/>
  <c r="AE225" i="10"/>
  <c r="AE219" i="10"/>
  <c r="AE213" i="10"/>
  <c r="AE207" i="10"/>
  <c r="AE201" i="10"/>
  <c r="AE195" i="10"/>
  <c r="AE189" i="10"/>
  <c r="AE183" i="10"/>
  <c r="AE177" i="10"/>
  <c r="AE171" i="10"/>
  <c r="AE165" i="10"/>
  <c r="AE159" i="10"/>
  <c r="AE153" i="10"/>
  <c r="AE147" i="10"/>
  <c r="AE141" i="10"/>
  <c r="AE135" i="10"/>
  <c r="AE129" i="10"/>
  <c r="AE123" i="10"/>
  <c r="AE117" i="10"/>
  <c r="AE111" i="10"/>
  <c r="AE105" i="10"/>
  <c r="AE99" i="10"/>
  <c r="AE93" i="10"/>
  <c r="AE87" i="10"/>
  <c r="AE81" i="10"/>
  <c r="AE75" i="10"/>
  <c r="AE69" i="10"/>
  <c r="AE63" i="10"/>
  <c r="AE57" i="10"/>
  <c r="AE51" i="10"/>
  <c r="AE45" i="10"/>
  <c r="AE39" i="10"/>
  <c r="AE31" i="10"/>
  <c r="AE24" i="10"/>
  <c r="AE17" i="10"/>
  <c r="AE10" i="10"/>
  <c r="AE336" i="10"/>
  <c r="AE330" i="10"/>
  <c r="AE324" i="10"/>
  <c r="AE318" i="10"/>
  <c r="AE312" i="10"/>
  <c r="AE306" i="10"/>
  <c r="AE300" i="10"/>
  <c r="AE294" i="10"/>
  <c r="AE288" i="10"/>
  <c r="AE282" i="10"/>
  <c r="AE276" i="10"/>
  <c r="AE270" i="10"/>
  <c r="AE264" i="10"/>
  <c r="AE258" i="10"/>
  <c r="AE252" i="10"/>
  <c r="AE246" i="10"/>
  <c r="AE240" i="10"/>
  <c r="AE234" i="10"/>
  <c r="AE228" i="10"/>
  <c r="AE222" i="10"/>
  <c r="AE216" i="10"/>
  <c r="AE210" i="10"/>
  <c r="AE204" i="10"/>
  <c r="AE198" i="10"/>
  <c r="AE192" i="10"/>
  <c r="AE186" i="10"/>
  <c r="AE180" i="10"/>
  <c r="AE174" i="10"/>
  <c r="AE168" i="10"/>
  <c r="AE162" i="10"/>
  <c r="AE156" i="10"/>
  <c r="AE150" i="10"/>
  <c r="AE144" i="10"/>
  <c r="AE138" i="10"/>
  <c r="AE132" i="10"/>
  <c r="AE126" i="10"/>
  <c r="AE120" i="10"/>
  <c r="AE114" i="10"/>
  <c r="AE108" i="10"/>
  <c r="AE102" i="10"/>
  <c r="AE96" i="10"/>
  <c r="AE90" i="10"/>
  <c r="AE84" i="10"/>
  <c r="AE78" i="10"/>
  <c r="AE72" i="10"/>
  <c r="AE66" i="10"/>
  <c r="AE60" i="10"/>
  <c r="AE54" i="10"/>
  <c r="AE48" i="10"/>
  <c r="AE42" i="10"/>
  <c r="AE35" i="10"/>
  <c r="AE28" i="10"/>
  <c r="AE21" i="10"/>
  <c r="AE13" i="10"/>
  <c r="AE6" i="10"/>
  <c r="AE341" i="10"/>
  <c r="AE335" i="10"/>
  <c r="AE329" i="10"/>
  <c r="AE323" i="10"/>
  <c r="AE317" i="10"/>
  <c r="AE311" i="10"/>
  <c r="AE305" i="10"/>
  <c r="AE299" i="10"/>
  <c r="AE293" i="10"/>
  <c r="AE287" i="10"/>
  <c r="AE281" i="10"/>
  <c r="AE275" i="10"/>
  <c r="AE269" i="10"/>
  <c r="AE263" i="10"/>
  <c r="AE257" i="10"/>
  <c r="AE251" i="10"/>
  <c r="AE245" i="10"/>
  <c r="AE239" i="10"/>
  <c r="AE233" i="10"/>
  <c r="AE227" i="10"/>
  <c r="AE221" i="10"/>
  <c r="AE215" i="10"/>
  <c r="AE209" i="10"/>
  <c r="AE203" i="10"/>
  <c r="AE197" i="10"/>
  <c r="AE191" i="10"/>
  <c r="AE185" i="10"/>
  <c r="AE179" i="10"/>
  <c r="AE173" i="10"/>
  <c r="AE167" i="10"/>
  <c r="AE161" i="10"/>
  <c r="AE155" i="10"/>
  <c r="AE149" i="10"/>
  <c r="AE143" i="10"/>
  <c r="AE137" i="10"/>
  <c r="AE131" i="10"/>
  <c r="AE125" i="10"/>
  <c r="AE119" i="10"/>
  <c r="AE113" i="10"/>
  <c r="AE107" i="10"/>
  <c r="AE101" i="10"/>
  <c r="AE95" i="10"/>
  <c r="AE89" i="10"/>
  <c r="AE83" i="10"/>
  <c r="AE77" i="10"/>
  <c r="AE71" i="10"/>
  <c r="AE65" i="10"/>
  <c r="AE59" i="10"/>
  <c r="AE53" i="10"/>
  <c r="AE47" i="10"/>
  <c r="AE41" i="10"/>
  <c r="AE34" i="10"/>
  <c r="AE27" i="10"/>
  <c r="AE19" i="10"/>
  <c r="AE12" i="10"/>
  <c r="AE5" i="10"/>
  <c r="AE340" i="10"/>
  <c r="AE334" i="10"/>
  <c r="AE328" i="10"/>
  <c r="AE322" i="10"/>
  <c r="AE316" i="10"/>
  <c r="AE310" i="10"/>
  <c r="AE304" i="10"/>
  <c r="AE298" i="10"/>
  <c r="AE292" i="10"/>
  <c r="AE286" i="10"/>
  <c r="AE280" i="10"/>
  <c r="AE274" i="10"/>
  <c r="AE268" i="10"/>
  <c r="AE262" i="10"/>
  <c r="AE256" i="10"/>
  <c r="AE250" i="10"/>
  <c r="AE244" i="10"/>
  <c r="AE238" i="10"/>
  <c r="AE232" i="10"/>
  <c r="AE226" i="10"/>
  <c r="AE220" i="10"/>
  <c r="AE214" i="10"/>
  <c r="AE208" i="10"/>
  <c r="AE202" i="10"/>
  <c r="AE196" i="10"/>
  <c r="AE190" i="10"/>
  <c r="AE184" i="10"/>
  <c r="AE178" i="10"/>
  <c r="AE172" i="10"/>
  <c r="AE166" i="10"/>
  <c r="AE160" i="10"/>
  <c r="AE154" i="10"/>
  <c r="AE148" i="10"/>
  <c r="AE142" i="10"/>
  <c r="AE136" i="10"/>
  <c r="AE130" i="10"/>
  <c r="AE124" i="10"/>
  <c r="AE118" i="10"/>
  <c r="AE112" i="10"/>
  <c r="AE106" i="10"/>
  <c r="AE100" i="10"/>
  <c r="AE94" i="10"/>
  <c r="AE88" i="10"/>
  <c r="AE82" i="10"/>
  <c r="AE76" i="10"/>
  <c r="AE70" i="10"/>
  <c r="AE64" i="10"/>
  <c r="AE58" i="10"/>
  <c r="AE52" i="10"/>
  <c r="AE46" i="10"/>
  <c r="AE40" i="10"/>
  <c r="AE33" i="10"/>
  <c r="AE25" i="10"/>
  <c r="AE18" i="10"/>
  <c r="AE11" i="10"/>
  <c r="AE4" i="10"/>
  <c r="AE38" i="10"/>
  <c r="AE32" i="10"/>
  <c r="AE26" i="10"/>
  <c r="AE20" i="10"/>
  <c r="AE14" i="10"/>
  <c r="AE8" i="10"/>
  <c r="BS45" i="4"/>
  <c r="BS21" i="4"/>
  <c r="BS9" i="4"/>
  <c r="BS4" i="4"/>
  <c r="BL339" i="4"/>
  <c r="BL333" i="4"/>
  <c r="BL327" i="4"/>
  <c r="BL321" i="4"/>
  <c r="BL315" i="4"/>
  <c r="BL309" i="4"/>
  <c r="BL303" i="4"/>
  <c r="BL297" i="4"/>
  <c r="BL291" i="4"/>
  <c r="BL338" i="4"/>
  <c r="AB338" i="4"/>
  <c r="AB289" i="4"/>
  <c r="AB266" i="4"/>
  <c r="AB241" i="4"/>
  <c r="AB229" i="4"/>
  <c r="AB205" i="4"/>
  <c r="AB193" i="4"/>
  <c r="AB151" i="4"/>
  <c r="AA338" i="4"/>
  <c r="AA48" i="4"/>
  <c r="AB30" i="4"/>
  <c r="AA18" i="4"/>
  <c r="AB18" i="4" s="1"/>
  <c r="AB12" i="4"/>
  <c r="AA6" i="4"/>
  <c r="AB6" i="4" s="1"/>
  <c r="AA332" i="4"/>
  <c r="AB332" i="4" s="1"/>
  <c r="AB320" i="4"/>
  <c r="AA314" i="4"/>
  <c r="AB314" i="4" s="1"/>
  <c r="AA236" i="4"/>
  <c r="AB236" i="4" s="1"/>
  <c r="X152" i="4"/>
  <c r="AA152" i="4" s="1"/>
  <c r="AB152" i="4" s="1"/>
  <c r="X146" i="4"/>
  <c r="AA146" i="4" s="1"/>
  <c r="AB146" i="4" s="1"/>
  <c r="X116" i="4"/>
  <c r="AA116" i="4" s="1"/>
  <c r="AB116" i="4" s="1"/>
  <c r="X110" i="4"/>
  <c r="AA110" i="4" s="1"/>
  <c r="AB110" i="4" s="1"/>
  <c r="X80" i="4"/>
  <c r="AA80" i="4" s="1"/>
  <c r="AB80" i="4" s="1"/>
  <c r="X74" i="4"/>
  <c r="AA74" i="4" s="1"/>
  <c r="AB74" i="4" s="1"/>
  <c r="X44" i="4"/>
  <c r="AA44" i="4" s="1"/>
  <c r="AB44" i="4" s="1"/>
  <c r="X38" i="4"/>
  <c r="AA38" i="4" s="1"/>
  <c r="AB38" i="4" s="1"/>
  <c r="X8" i="4"/>
  <c r="AA8" i="4" s="1"/>
  <c r="AB8" i="4" s="1"/>
  <c r="AB253" i="4"/>
  <c r="AB199" i="4"/>
  <c r="AB181" i="4"/>
  <c r="AB91" i="4"/>
  <c r="AB73" i="4"/>
  <c r="AB19" i="4"/>
  <c r="X336" i="4"/>
  <c r="X330" i="4"/>
  <c r="X324" i="4"/>
  <c r="X318" i="4"/>
  <c r="X312" i="4"/>
  <c r="X306" i="4"/>
  <c r="X300" i="4"/>
  <c r="X294" i="4"/>
  <c r="X288" i="4"/>
  <c r="X282" i="4"/>
  <c r="X276" i="4"/>
  <c r="X270" i="4"/>
  <c r="X264" i="4"/>
  <c r="X258" i="4"/>
  <c r="X252" i="4"/>
  <c r="X246" i="4"/>
  <c r="AA246" i="4" s="1"/>
  <c r="AB246" i="4" s="1"/>
  <c r="X240" i="4"/>
  <c r="AA240" i="4" s="1"/>
  <c r="AB240" i="4" s="1"/>
  <c r="X234" i="4"/>
  <c r="AA234" i="4" s="1"/>
  <c r="AB234" i="4" s="1"/>
  <c r="X228" i="4"/>
  <c r="AA228" i="4" s="1"/>
  <c r="AB228" i="4" s="1"/>
  <c r="X222" i="4"/>
  <c r="X216" i="4"/>
  <c r="X210" i="4"/>
  <c r="AA210" i="4" s="1"/>
  <c r="X204" i="4"/>
  <c r="AA204" i="4" s="1"/>
  <c r="AB204" i="4" s="1"/>
  <c r="X198" i="4"/>
  <c r="X192" i="4"/>
  <c r="AA192" i="4" s="1"/>
  <c r="X186" i="4"/>
  <c r="X180" i="4"/>
  <c r="X174" i="4"/>
  <c r="AA174" i="4" s="1"/>
  <c r="AB174" i="4" s="1"/>
  <c r="X144" i="4"/>
  <c r="X138" i="4"/>
  <c r="AA138" i="4" s="1"/>
  <c r="AB138" i="4" s="1"/>
  <c r="X108" i="4"/>
  <c r="X102" i="4"/>
  <c r="AA102" i="4" s="1"/>
  <c r="X72" i="4"/>
  <c r="X66" i="4"/>
  <c r="AA66" i="4" s="1"/>
  <c r="AB66" i="4" s="1"/>
  <c r="X36" i="4"/>
  <c r="AA36" i="4" s="1"/>
  <c r="AB36" i="4" s="1"/>
  <c r="AA328" i="4"/>
  <c r="AA292" i="4"/>
  <c r="AB210" i="4"/>
  <c r="AA198" i="4"/>
  <c r="AB198" i="4" s="1"/>
  <c r="AB192" i="4"/>
  <c r="AB156" i="4"/>
  <c r="AA120" i="4"/>
  <c r="AB102" i="4"/>
  <c r="AB84" i="4"/>
  <c r="X341" i="4"/>
  <c r="X335" i="4"/>
  <c r="X329" i="4"/>
  <c r="X323" i="4"/>
  <c r="X317" i="4"/>
  <c r="X311" i="4"/>
  <c r="AA311" i="4" s="1"/>
  <c r="AB311" i="4" s="1"/>
  <c r="X305" i="4"/>
  <c r="X299" i="4"/>
  <c r="X293" i="4"/>
  <c r="AA293" i="4" s="1"/>
  <c r="AB293" i="4" s="1"/>
  <c r="X287" i="4"/>
  <c r="AA287" i="4" s="1"/>
  <c r="AB287" i="4" s="1"/>
  <c r="X281" i="4"/>
  <c r="AA281" i="4" s="1"/>
  <c r="AB281" i="4" s="1"/>
  <c r="X275" i="4"/>
  <c r="AA275" i="4" s="1"/>
  <c r="AB275" i="4" s="1"/>
  <c r="X269" i="4"/>
  <c r="AA269" i="4" s="1"/>
  <c r="AB269" i="4" s="1"/>
  <c r="X263" i="4"/>
  <c r="AA263" i="4" s="1"/>
  <c r="X257" i="4"/>
  <c r="X251" i="4"/>
  <c r="X245" i="4"/>
  <c r="X239" i="4"/>
  <c r="X233" i="4"/>
  <c r="X227" i="4"/>
  <c r="X221" i="4"/>
  <c r="X215" i="4"/>
  <c r="X209" i="4"/>
  <c r="X203" i="4"/>
  <c r="X197" i="4"/>
  <c r="X191" i="4"/>
  <c r="X185" i="4"/>
  <c r="X179" i="4"/>
  <c r="X173" i="4"/>
  <c r="X167" i="4"/>
  <c r="X137" i="4"/>
  <c r="X131" i="4"/>
  <c r="X101" i="4"/>
  <c r="X95" i="4"/>
  <c r="X65" i="4"/>
  <c r="X29" i="4"/>
  <c r="AB325" i="4"/>
  <c r="AB259" i="4"/>
  <c r="AA145" i="4"/>
  <c r="AB145" i="4" s="1"/>
  <c r="AA339" i="4"/>
  <c r="AB339" i="4" s="1"/>
  <c r="AA321" i="4"/>
  <c r="AA303" i="4"/>
  <c r="AB303" i="4" s="1"/>
  <c r="AA285" i="4"/>
  <c r="AA267" i="4"/>
  <c r="AB267" i="4" s="1"/>
  <c r="AB261" i="4"/>
  <c r="AA243" i="4"/>
  <c r="AA237" i="4"/>
  <c r="AB237" i="4" s="1"/>
  <c r="AB225" i="4"/>
  <c r="AA207" i="4"/>
  <c r="AA201" i="4"/>
  <c r="AB201" i="4" s="1"/>
  <c r="AA177" i="4"/>
  <c r="AB177" i="4" s="1"/>
  <c r="AA171" i="4"/>
  <c r="AA165" i="4"/>
  <c r="AB165" i="4" s="1"/>
  <c r="AA159" i="4"/>
  <c r="AB159" i="4" s="1"/>
  <c r="AB153" i="4"/>
  <c r="AA147" i="4"/>
  <c r="AB147" i="4" s="1"/>
  <c r="AA135" i="4"/>
  <c r="AA129" i="4"/>
  <c r="AB129" i="4" s="1"/>
  <c r="AB117" i="4"/>
  <c r="AA93" i="4"/>
  <c r="AB93" i="4" s="1"/>
  <c r="AA57" i="4"/>
  <c r="AB57" i="4" s="1"/>
  <c r="AB319" i="4"/>
  <c r="BL332" i="4"/>
  <c r="BL326" i="4"/>
  <c r="BL320" i="4"/>
  <c r="BL314" i="4"/>
  <c r="BL308" i="4"/>
  <c r="BL302" i="4"/>
  <c r="BL296" i="4"/>
  <c r="BL290" i="4"/>
  <c r="BL284" i="4"/>
  <c r="BL278" i="4"/>
  <c r="BL272" i="4"/>
  <c r="BL266" i="4"/>
  <c r="BL260" i="4"/>
  <c r="BL254" i="4"/>
  <c r="AB295" i="4"/>
  <c r="AB169" i="4"/>
  <c r="AB115" i="4"/>
  <c r="AA199" i="4"/>
  <c r="AK333" i="4"/>
  <c r="AK321" i="4"/>
  <c r="AM321" i="10" s="1"/>
  <c r="AK309" i="4"/>
  <c r="AK297" i="4"/>
  <c r="AK285" i="4"/>
  <c r="AM285" i="10" s="1"/>
  <c r="AK273" i="4"/>
  <c r="AK261" i="4"/>
  <c r="AK248" i="4"/>
  <c r="AK230" i="4"/>
  <c r="AK212" i="4"/>
  <c r="AK194" i="4"/>
  <c r="AK176" i="4"/>
  <c r="AK158" i="4"/>
  <c r="AK140" i="4"/>
  <c r="AK122" i="4"/>
  <c r="AK104" i="4"/>
  <c r="AK86" i="4"/>
  <c r="AK68" i="4"/>
  <c r="AK50" i="4"/>
  <c r="AK30" i="4"/>
  <c r="AK9" i="4"/>
  <c r="AK332" i="4"/>
  <c r="AK320" i="4"/>
  <c r="AK308" i="4"/>
  <c r="AK296" i="4"/>
  <c r="AK284" i="4"/>
  <c r="AK272" i="4"/>
  <c r="AK260" i="4"/>
  <c r="AK247" i="4"/>
  <c r="AK229" i="4"/>
  <c r="AM229" i="10" s="1"/>
  <c r="AK211" i="4"/>
  <c r="AK193" i="4"/>
  <c r="AK175" i="4"/>
  <c r="AK157" i="4"/>
  <c r="AK139" i="4"/>
  <c r="AK121" i="4"/>
  <c r="AK103" i="4"/>
  <c r="AK85" i="4"/>
  <c r="AK67" i="4"/>
  <c r="AK49" i="4"/>
  <c r="AK29" i="4"/>
  <c r="AM29" i="10" s="1"/>
  <c r="AK7" i="4"/>
  <c r="AK331" i="4"/>
  <c r="AK319" i="4"/>
  <c r="AK307" i="4"/>
  <c r="AM307" i="10" s="1"/>
  <c r="AK295" i="4"/>
  <c r="AK283" i="4"/>
  <c r="AK271" i="4"/>
  <c r="AM271" i="10" s="1"/>
  <c r="AK259" i="4"/>
  <c r="AK242" i="4"/>
  <c r="AK224" i="4"/>
  <c r="AK206" i="4"/>
  <c r="AK188" i="4"/>
  <c r="AK170" i="4"/>
  <c r="AK152" i="4"/>
  <c r="AK134" i="4"/>
  <c r="AK116" i="4"/>
  <c r="AK98" i="4"/>
  <c r="AK80" i="4"/>
  <c r="AK62" i="4"/>
  <c r="AK44" i="4"/>
  <c r="AK23" i="4"/>
  <c r="AM23" i="10" s="1"/>
  <c r="AK339" i="4"/>
  <c r="AK327" i="4"/>
  <c r="AM327" i="10" s="1"/>
  <c r="AK315" i="4"/>
  <c r="AK303" i="4"/>
  <c r="AM303" i="10" s="1"/>
  <c r="AK291" i="4"/>
  <c r="AM291" i="10" s="1"/>
  <c r="AK279" i="4"/>
  <c r="AK267" i="4"/>
  <c r="AK255" i="4"/>
  <c r="AK241" i="4"/>
  <c r="AK223" i="4"/>
  <c r="AK205" i="4"/>
  <c r="AK187" i="4"/>
  <c r="AK169" i="4"/>
  <c r="AK151" i="4"/>
  <c r="AK133" i="4"/>
  <c r="AK115" i="4"/>
  <c r="AM115" i="10" s="1"/>
  <c r="AK97" i="4"/>
  <c r="AK79" i="4"/>
  <c r="AK61" i="4"/>
  <c r="AK43" i="4"/>
  <c r="AK22" i="4"/>
  <c r="AM22" i="10" s="1"/>
  <c r="AK338" i="4"/>
  <c r="AM338" i="10" s="1"/>
  <c r="AK326" i="4"/>
  <c r="AK314" i="4"/>
  <c r="AK302" i="4"/>
  <c r="AK290" i="4"/>
  <c r="AK278" i="4"/>
  <c r="AK266" i="4"/>
  <c r="AM266" i="10" s="1"/>
  <c r="AK254" i="4"/>
  <c r="AK236" i="4"/>
  <c r="AK218" i="4"/>
  <c r="AK200" i="4"/>
  <c r="AK182" i="4"/>
  <c r="AK164" i="4"/>
  <c r="AK146" i="4"/>
  <c r="AK128" i="4"/>
  <c r="AK110" i="4"/>
  <c r="AK92" i="4"/>
  <c r="AK74" i="4"/>
  <c r="AK56" i="4"/>
  <c r="AK37" i="4"/>
  <c r="AM37" i="10" s="1"/>
  <c r="AK16" i="4"/>
  <c r="AM16" i="10" s="1"/>
  <c r="AK337" i="4"/>
  <c r="AM337" i="10" s="1"/>
  <c r="AK325" i="4"/>
  <c r="AK313" i="4"/>
  <c r="AM313" i="10" s="1"/>
  <c r="AK301" i="4"/>
  <c r="AM301" i="10" s="1"/>
  <c r="AK289" i="4"/>
  <c r="AK277" i="4"/>
  <c r="AM277" i="10" s="1"/>
  <c r="AK265" i="4"/>
  <c r="AK253" i="4"/>
  <c r="AK235" i="4"/>
  <c r="AM235" i="10" s="1"/>
  <c r="AK217" i="4"/>
  <c r="AM217" i="10" s="1"/>
  <c r="AK199" i="4"/>
  <c r="AK181" i="4"/>
  <c r="AK163" i="4"/>
  <c r="AM163" i="10" s="1"/>
  <c r="AK145" i="4"/>
  <c r="AM145" i="10" s="1"/>
  <c r="AK127" i="4"/>
  <c r="AM127" i="10" s="1"/>
  <c r="AK109" i="4"/>
  <c r="AM109" i="10" s="1"/>
  <c r="AK91" i="4"/>
  <c r="AK73" i="4"/>
  <c r="AK55" i="4"/>
  <c r="AM55" i="10" s="1"/>
  <c r="AK36" i="4"/>
  <c r="AM36" i="10" s="1"/>
  <c r="AK15" i="4"/>
  <c r="AK249" i="4"/>
  <c r="AK243" i="4"/>
  <c r="AM243" i="10" s="1"/>
  <c r="AK237" i="4"/>
  <c r="AK231" i="4"/>
  <c r="AK225" i="4"/>
  <c r="AK219" i="4"/>
  <c r="AK213" i="4"/>
  <c r="AK207" i="4"/>
  <c r="AM207" i="10" s="1"/>
  <c r="AK201" i="4"/>
  <c r="AK195" i="4"/>
  <c r="AK189" i="4"/>
  <c r="AM189" i="10" s="1"/>
  <c r="AK183" i="4"/>
  <c r="AK177" i="4"/>
  <c r="AM177" i="10" s="1"/>
  <c r="AK171" i="4"/>
  <c r="AM171" i="10" s="1"/>
  <c r="AK165" i="4"/>
  <c r="AK159" i="4"/>
  <c r="AK153" i="4"/>
  <c r="AK147" i="4"/>
  <c r="AK141" i="4"/>
  <c r="AK135" i="4"/>
  <c r="AM135" i="10" s="1"/>
  <c r="AK129" i="4"/>
  <c r="AK123" i="4"/>
  <c r="AK117" i="4"/>
  <c r="AK111" i="4"/>
  <c r="AK105" i="4"/>
  <c r="AK99" i="4"/>
  <c r="AM99" i="10" s="1"/>
  <c r="AK93" i="4"/>
  <c r="AK87" i="4"/>
  <c r="AK81" i="4"/>
  <c r="AK75" i="4"/>
  <c r="AK69" i="4"/>
  <c r="AK63" i="4"/>
  <c r="AK57" i="4"/>
  <c r="AK51" i="4"/>
  <c r="AK45" i="4"/>
  <c r="AK39" i="4"/>
  <c r="AK31" i="4"/>
  <c r="AK24" i="4"/>
  <c r="AK17" i="4"/>
  <c r="AM17" i="10" s="1"/>
  <c r="AK10" i="4"/>
  <c r="AM10" i="10" s="1"/>
  <c r="AK336" i="4"/>
  <c r="AM336" i="10" s="1"/>
  <c r="AK330" i="4"/>
  <c r="AM330" i="10" s="1"/>
  <c r="AK324" i="4"/>
  <c r="AM324" i="10" s="1"/>
  <c r="AK318" i="4"/>
  <c r="AM318" i="10" s="1"/>
  <c r="AK312" i="4"/>
  <c r="AM312" i="10" s="1"/>
  <c r="AK306" i="4"/>
  <c r="AM306" i="10" s="1"/>
  <c r="AK300" i="4"/>
  <c r="AM300" i="10" s="1"/>
  <c r="AK294" i="4"/>
  <c r="AM294" i="10" s="1"/>
  <c r="AK288" i="4"/>
  <c r="AM288" i="10" s="1"/>
  <c r="AK282" i="4"/>
  <c r="AM282" i="10" s="1"/>
  <c r="AK276" i="4"/>
  <c r="AM276" i="10" s="1"/>
  <c r="AK270" i="4"/>
  <c r="AM270" i="10" s="1"/>
  <c r="AK264" i="4"/>
  <c r="AM264" i="10" s="1"/>
  <c r="AK258" i="4"/>
  <c r="AM258" i="10" s="1"/>
  <c r="AK252" i="4"/>
  <c r="AM252" i="10" s="1"/>
  <c r="AK246" i="4"/>
  <c r="AM246" i="10" s="1"/>
  <c r="AK240" i="4"/>
  <c r="AM240" i="10" s="1"/>
  <c r="AK234" i="4"/>
  <c r="AM234" i="10" s="1"/>
  <c r="AK228" i="4"/>
  <c r="AM228" i="10" s="1"/>
  <c r="AK222" i="4"/>
  <c r="AM222" i="10" s="1"/>
  <c r="AK216" i="4"/>
  <c r="AM216" i="10" s="1"/>
  <c r="AK210" i="4"/>
  <c r="AK204" i="4"/>
  <c r="AK198" i="4"/>
  <c r="AK192" i="4"/>
  <c r="AK186" i="4"/>
  <c r="AM186" i="10" s="1"/>
  <c r="AK180" i="4"/>
  <c r="AM180" i="10" s="1"/>
  <c r="AK174" i="4"/>
  <c r="AM174" i="10" s="1"/>
  <c r="AK168" i="4"/>
  <c r="AK162" i="4"/>
  <c r="AK156" i="4"/>
  <c r="AK150" i="4"/>
  <c r="AM150" i="10" s="1"/>
  <c r="AK144" i="4"/>
  <c r="AM144" i="10" s="1"/>
  <c r="AK138" i="4"/>
  <c r="AM138" i="10" s="1"/>
  <c r="AK132" i="4"/>
  <c r="AK126" i="4"/>
  <c r="AK120" i="4"/>
  <c r="AM120" i="10" s="1"/>
  <c r="AK114" i="4"/>
  <c r="AM114" i="10" s="1"/>
  <c r="AK108" i="4"/>
  <c r="AM108" i="10" s="1"/>
  <c r="AK102" i="4"/>
  <c r="AK96" i="4"/>
  <c r="AK90" i="4"/>
  <c r="AK84" i="4"/>
  <c r="AK78" i="4"/>
  <c r="AM78" i="10" s="1"/>
  <c r="AK72" i="4"/>
  <c r="AM72" i="10" s="1"/>
  <c r="AK66" i="4"/>
  <c r="AM66" i="10" s="1"/>
  <c r="AK60" i="4"/>
  <c r="AK54" i="4"/>
  <c r="AK48" i="4"/>
  <c r="AM48" i="10" s="1"/>
  <c r="AK42" i="4"/>
  <c r="AM42" i="10" s="1"/>
  <c r="AK35" i="4"/>
  <c r="AM35" i="10" s="1"/>
  <c r="AK28" i="4"/>
  <c r="AM28" i="10" s="1"/>
  <c r="AK21" i="4"/>
  <c r="AK13" i="4"/>
  <c r="AK6" i="4"/>
  <c r="AK341" i="4"/>
  <c r="AM341" i="10" s="1"/>
  <c r="AK335" i="4"/>
  <c r="AM335" i="10" s="1"/>
  <c r="AK329" i="4"/>
  <c r="AM329" i="10" s="1"/>
  <c r="AK323" i="4"/>
  <c r="AM323" i="10" s="1"/>
  <c r="AK317" i="4"/>
  <c r="AM317" i="10" s="1"/>
  <c r="AK311" i="4"/>
  <c r="AM311" i="10" s="1"/>
  <c r="AK305" i="4"/>
  <c r="AM305" i="10" s="1"/>
  <c r="AK299" i="4"/>
  <c r="AM299" i="10" s="1"/>
  <c r="AK293" i="4"/>
  <c r="AM293" i="10" s="1"/>
  <c r="AK287" i="4"/>
  <c r="AM287" i="10" s="1"/>
  <c r="AK281" i="4"/>
  <c r="AK275" i="4"/>
  <c r="AM275" i="10" s="1"/>
  <c r="AK269" i="4"/>
  <c r="AM269" i="10" s="1"/>
  <c r="AK263" i="4"/>
  <c r="AM263" i="10" s="1"/>
  <c r="AK257" i="4"/>
  <c r="AM257" i="10" s="1"/>
  <c r="AK251" i="4"/>
  <c r="AM251" i="10" s="1"/>
  <c r="AK245" i="4"/>
  <c r="AM245" i="10" s="1"/>
  <c r="AK239" i="4"/>
  <c r="AM239" i="10" s="1"/>
  <c r="AK233" i="4"/>
  <c r="AM233" i="10" s="1"/>
  <c r="AK227" i="4"/>
  <c r="AM227" i="10" s="1"/>
  <c r="AK221" i="4"/>
  <c r="AM221" i="10" s="1"/>
  <c r="AK215" i="4"/>
  <c r="AM215" i="10" s="1"/>
  <c r="AK209" i="4"/>
  <c r="AM209" i="10" s="1"/>
  <c r="AK203" i="4"/>
  <c r="AM203" i="10" s="1"/>
  <c r="AK197" i="4"/>
  <c r="AM197" i="10" s="1"/>
  <c r="AK191" i="4"/>
  <c r="AM191" i="10" s="1"/>
  <c r="AK185" i="4"/>
  <c r="AM185" i="10" s="1"/>
  <c r="AK179" i="4"/>
  <c r="AM179" i="10" s="1"/>
  <c r="AK173" i="4"/>
  <c r="AM173" i="10" s="1"/>
  <c r="AK167" i="4"/>
  <c r="AM167" i="10" s="1"/>
  <c r="AK161" i="4"/>
  <c r="AM161" i="10" s="1"/>
  <c r="AK155" i="4"/>
  <c r="AM155" i="10" s="1"/>
  <c r="AK149" i="4"/>
  <c r="AM149" i="10" s="1"/>
  <c r="AK143" i="4"/>
  <c r="AM143" i="10" s="1"/>
  <c r="AK137" i="4"/>
  <c r="AM137" i="10" s="1"/>
  <c r="AK131" i="4"/>
  <c r="AM131" i="10" s="1"/>
  <c r="AK125" i="4"/>
  <c r="AM125" i="10" s="1"/>
  <c r="AK119" i="4"/>
  <c r="AM119" i="10" s="1"/>
  <c r="AK113" i="4"/>
  <c r="AM113" i="10" s="1"/>
  <c r="AK107" i="4"/>
  <c r="AM107" i="10" s="1"/>
  <c r="AK101" i="4"/>
  <c r="AM101" i="10" s="1"/>
  <c r="AK95" i="4"/>
  <c r="AM95" i="10" s="1"/>
  <c r="AK89" i="4"/>
  <c r="AM89" i="10" s="1"/>
  <c r="AK83" i="4"/>
  <c r="AM83" i="10" s="1"/>
  <c r="AK77" i="4"/>
  <c r="AM77" i="10" s="1"/>
  <c r="AK71" i="4"/>
  <c r="AM71" i="10" s="1"/>
  <c r="AK65" i="4"/>
  <c r="AM65" i="10" s="1"/>
  <c r="AK59" i="4"/>
  <c r="AM59" i="10" s="1"/>
  <c r="AK53" i="4"/>
  <c r="AM53" i="10" s="1"/>
  <c r="AK47" i="4"/>
  <c r="AM47" i="10" s="1"/>
  <c r="AK41" i="4"/>
  <c r="AM41" i="10" s="1"/>
  <c r="AK34" i="4"/>
  <c r="AM34" i="10" s="1"/>
  <c r="AK27" i="4"/>
  <c r="AK19" i="4"/>
  <c r="AK12" i="4"/>
  <c r="AK5" i="4"/>
  <c r="AM5" i="10" s="1"/>
  <c r="AK340" i="4"/>
  <c r="AM340" i="10" s="1"/>
  <c r="AK334" i="4"/>
  <c r="AM334" i="10" s="1"/>
  <c r="AK328" i="4"/>
  <c r="AM328" i="10" s="1"/>
  <c r="AK322" i="4"/>
  <c r="AM322" i="10" s="1"/>
  <c r="AK316" i="4"/>
  <c r="AM316" i="10" s="1"/>
  <c r="AK310" i="4"/>
  <c r="AM310" i="10" s="1"/>
  <c r="AK304" i="4"/>
  <c r="AM304" i="10" s="1"/>
  <c r="AK298" i="4"/>
  <c r="AM298" i="10" s="1"/>
  <c r="AK292" i="4"/>
  <c r="AM292" i="10" s="1"/>
  <c r="AK286" i="4"/>
  <c r="AM286" i="10" s="1"/>
  <c r="AK280" i="4"/>
  <c r="AM280" i="10" s="1"/>
  <c r="AK274" i="4"/>
  <c r="AM274" i="10" s="1"/>
  <c r="AK268" i="4"/>
  <c r="AM268" i="10" s="1"/>
  <c r="AK262" i="4"/>
  <c r="AM262" i="10" s="1"/>
  <c r="AK256" i="4"/>
  <c r="AM256" i="10" s="1"/>
  <c r="AK250" i="4"/>
  <c r="AM250" i="10" s="1"/>
  <c r="AK244" i="4"/>
  <c r="AM244" i="10" s="1"/>
  <c r="AK238" i="4"/>
  <c r="AM238" i="10" s="1"/>
  <c r="AK232" i="4"/>
  <c r="AM232" i="10" s="1"/>
  <c r="AK226" i="4"/>
  <c r="AM226" i="10" s="1"/>
  <c r="AK220" i="4"/>
  <c r="AM220" i="10" s="1"/>
  <c r="AK214" i="4"/>
  <c r="AM214" i="10" s="1"/>
  <c r="AK208" i="4"/>
  <c r="AM208" i="10" s="1"/>
  <c r="AK202" i="4"/>
  <c r="AM202" i="10" s="1"/>
  <c r="AK196" i="4"/>
  <c r="AM196" i="10" s="1"/>
  <c r="AK190" i="4"/>
  <c r="AM190" i="10" s="1"/>
  <c r="AK184" i="4"/>
  <c r="AM184" i="10" s="1"/>
  <c r="AK178" i="4"/>
  <c r="AM178" i="10" s="1"/>
  <c r="AK172" i="4"/>
  <c r="AM172" i="10" s="1"/>
  <c r="AK166" i="4"/>
  <c r="AM166" i="10" s="1"/>
  <c r="AK160" i="4"/>
  <c r="AM160" i="10" s="1"/>
  <c r="AK154" i="4"/>
  <c r="AM154" i="10" s="1"/>
  <c r="AK148" i="4"/>
  <c r="AM148" i="10" s="1"/>
  <c r="AK142" i="4"/>
  <c r="AM142" i="10" s="1"/>
  <c r="AK136" i="4"/>
  <c r="AM136" i="10" s="1"/>
  <c r="AK130" i="4"/>
  <c r="AM130" i="10" s="1"/>
  <c r="AK124" i="4"/>
  <c r="AM124" i="10" s="1"/>
  <c r="AK118" i="4"/>
  <c r="AM118" i="10" s="1"/>
  <c r="AK112" i="4"/>
  <c r="AM112" i="10" s="1"/>
  <c r="AK106" i="4"/>
  <c r="AM106" i="10" s="1"/>
  <c r="AK100" i="4"/>
  <c r="AM100" i="10" s="1"/>
  <c r="AK94" i="4"/>
  <c r="AM94" i="10" s="1"/>
  <c r="AK88" i="4"/>
  <c r="AM88" i="10" s="1"/>
  <c r="AK82" i="4"/>
  <c r="AM82" i="10" s="1"/>
  <c r="AK76" i="4"/>
  <c r="AM76" i="10" s="1"/>
  <c r="AK70" i="4"/>
  <c r="AM70" i="10" s="1"/>
  <c r="AK64" i="4"/>
  <c r="AM64" i="10" s="1"/>
  <c r="AK58" i="4"/>
  <c r="AM58" i="10" s="1"/>
  <c r="AK52" i="4"/>
  <c r="AM52" i="10" s="1"/>
  <c r="AK46" i="4"/>
  <c r="AM46" i="10" s="1"/>
  <c r="AK40" i="4"/>
  <c r="AM40" i="10" s="1"/>
  <c r="AK33" i="4"/>
  <c r="AK25" i="4"/>
  <c r="AK18" i="4"/>
  <c r="AK11" i="4"/>
  <c r="AM11" i="10" s="1"/>
  <c r="AK4" i="4"/>
  <c r="AM4" i="10" s="1"/>
  <c r="AK38" i="4"/>
  <c r="AK32" i="4"/>
  <c r="AK26" i="4"/>
  <c r="AK20" i="4"/>
  <c r="AK14" i="4"/>
  <c r="AK8" i="4"/>
  <c r="BP338" i="4"/>
  <c r="BU338" i="4" s="1"/>
  <c r="BS338" i="4"/>
  <c r="BQ338" i="4"/>
  <c r="BP332" i="4"/>
  <c r="BS332" i="4"/>
  <c r="BQ332" i="4"/>
  <c r="BP326" i="4"/>
  <c r="BU326" i="4" s="1"/>
  <c r="BS326" i="4"/>
  <c r="BQ326" i="4"/>
  <c r="BP320" i="4"/>
  <c r="BQ320" i="4"/>
  <c r="BS320" i="4"/>
  <c r="BP314" i="4"/>
  <c r="BU314" i="4" s="1"/>
  <c r="BQ314" i="4"/>
  <c r="BS314" i="4"/>
  <c r="BP308" i="4"/>
  <c r="BS308" i="4"/>
  <c r="BQ308" i="4"/>
  <c r="BP302" i="4"/>
  <c r="BU302" i="4" s="1"/>
  <c r="BS302" i="4"/>
  <c r="BQ302" i="4"/>
  <c r="BP296" i="4"/>
  <c r="BS296" i="4"/>
  <c r="BQ296" i="4"/>
  <c r="BQ336" i="4"/>
  <c r="BP336" i="4"/>
  <c r="BS336" i="4"/>
  <c r="BQ330" i="4"/>
  <c r="BP330" i="4"/>
  <c r="BS330" i="4"/>
  <c r="BQ324" i="4"/>
  <c r="BP324" i="4"/>
  <c r="BS324" i="4"/>
  <c r="BQ318" i="4"/>
  <c r="BP318" i="4"/>
  <c r="BS318" i="4"/>
  <c r="BQ312" i="4"/>
  <c r="BP312" i="4"/>
  <c r="BS312" i="4"/>
  <c r="BQ306" i="4"/>
  <c r="BP306" i="4"/>
  <c r="BU306" i="4" s="1"/>
  <c r="BS306" i="4"/>
  <c r="BP341" i="4"/>
  <c r="BQ341" i="4"/>
  <c r="BS341" i="4"/>
  <c r="BP335" i="4"/>
  <c r="BQ335" i="4"/>
  <c r="BS335" i="4"/>
  <c r="BP329" i="4"/>
  <c r="BQ329" i="4"/>
  <c r="BS329" i="4"/>
  <c r="BS300" i="4"/>
  <c r="BS294" i="4"/>
  <c r="BS288" i="4"/>
  <c r="BS282" i="4"/>
  <c r="BS276" i="4"/>
  <c r="BS270" i="4"/>
  <c r="BS264" i="4"/>
  <c r="BS258" i="4"/>
  <c r="BS252" i="4"/>
  <c r="BS246" i="4"/>
  <c r="BS240" i="4"/>
  <c r="BS234" i="4"/>
  <c r="BS228" i="4"/>
  <c r="BS222" i="4"/>
  <c r="BS216" i="4"/>
  <c r="BS210" i="4"/>
  <c r="BS204" i="4"/>
  <c r="BS198" i="4"/>
  <c r="BS192" i="4"/>
  <c r="BS186" i="4"/>
  <c r="BS180" i="4"/>
  <c r="BS174" i="4"/>
  <c r="BS168" i="4"/>
  <c r="BS162" i="4"/>
  <c r="BS156" i="4"/>
  <c r="BS150" i="4"/>
  <c r="BS144" i="4"/>
  <c r="BS138" i="4"/>
  <c r="BS132" i="4"/>
  <c r="BS126" i="4"/>
  <c r="BS120" i="4"/>
  <c r="BS114" i="4"/>
  <c r="BS108" i="4"/>
  <c r="BS102" i="4"/>
  <c r="BQ340" i="4"/>
  <c r="BQ333" i="4"/>
  <c r="BQ319" i="4"/>
  <c r="BQ311" i="4"/>
  <c r="BQ304" i="4"/>
  <c r="BQ297" i="4"/>
  <c r="BQ290" i="4"/>
  <c r="BQ283" i="4"/>
  <c r="BQ275" i="4"/>
  <c r="BQ268" i="4"/>
  <c r="BQ261" i="4"/>
  <c r="BQ254" i="4"/>
  <c r="BQ247" i="4"/>
  <c r="BQ239" i="4"/>
  <c r="BQ232" i="4"/>
  <c r="BQ225" i="4"/>
  <c r="BQ218" i="4"/>
  <c r="BQ211" i="4"/>
  <c r="BQ203" i="4"/>
  <c r="BQ196" i="4"/>
  <c r="BQ189" i="4"/>
  <c r="BQ182" i="4"/>
  <c r="BQ175" i="4"/>
  <c r="BQ167" i="4"/>
  <c r="BQ160" i="4"/>
  <c r="BQ153" i="4"/>
  <c r="BQ146" i="4"/>
  <c r="BQ139" i="4"/>
  <c r="BQ131" i="4"/>
  <c r="BQ124" i="4"/>
  <c r="BQ117" i="4"/>
  <c r="BQ110" i="4"/>
  <c r="BQ103" i="4"/>
  <c r="BQ95" i="4"/>
  <c r="BQ88" i="4"/>
  <c r="BQ81" i="4"/>
  <c r="BQ74" i="4"/>
  <c r="BQ67" i="4"/>
  <c r="BQ59" i="4"/>
  <c r="BQ52" i="4"/>
  <c r="BQ45" i="4"/>
  <c r="BQ38" i="4"/>
  <c r="BQ31" i="4"/>
  <c r="BQ23" i="4"/>
  <c r="BQ16" i="4"/>
  <c r="BQ9" i="4"/>
  <c r="BP340" i="4"/>
  <c r="BU340" i="4" s="1"/>
  <c r="BP333" i="4"/>
  <c r="BU333" i="4" s="1"/>
  <c r="BP325" i="4"/>
  <c r="BP311" i="4"/>
  <c r="BU311" i="4" s="1"/>
  <c r="BP304" i="4"/>
  <c r="BP297" i="4"/>
  <c r="BU297" i="4" s="1"/>
  <c r="BP289" i="4"/>
  <c r="BP282" i="4"/>
  <c r="BU282" i="4" s="1"/>
  <c r="BP275" i="4"/>
  <c r="BU275" i="4" s="1"/>
  <c r="BP268" i="4"/>
  <c r="BU268" i="4" s="1"/>
  <c r="BP261" i="4"/>
  <c r="BP253" i="4"/>
  <c r="BP246" i="4"/>
  <c r="BU246" i="4" s="1"/>
  <c r="BP239" i="4"/>
  <c r="BU239" i="4" s="1"/>
  <c r="BP232" i="4"/>
  <c r="BU232" i="4" s="1"/>
  <c r="BP225" i="4"/>
  <c r="BU225" i="4" s="1"/>
  <c r="BP217" i="4"/>
  <c r="BP210" i="4"/>
  <c r="BU210" i="4" s="1"/>
  <c r="BP203" i="4"/>
  <c r="BU203" i="4" s="1"/>
  <c r="BP196" i="4"/>
  <c r="BU196" i="4" s="1"/>
  <c r="BP189" i="4"/>
  <c r="BU189" i="4" s="1"/>
  <c r="BP181" i="4"/>
  <c r="BP174" i="4"/>
  <c r="BU174" i="4" s="1"/>
  <c r="BP167" i="4"/>
  <c r="BU167" i="4" s="1"/>
  <c r="BP160" i="4"/>
  <c r="BU160" i="4" s="1"/>
  <c r="BP151" i="4"/>
  <c r="BP142" i="4"/>
  <c r="BP133" i="4"/>
  <c r="BP124" i="4"/>
  <c r="BP115" i="4"/>
  <c r="BP106" i="4"/>
  <c r="BP97" i="4"/>
  <c r="BP85" i="4"/>
  <c r="BP73" i="4"/>
  <c r="BP61" i="4"/>
  <c r="BP49" i="4"/>
  <c r="BP37" i="4"/>
  <c r="BP25" i="4"/>
  <c r="BP13" i="4"/>
  <c r="BS323" i="4"/>
  <c r="BS317" i="4"/>
  <c r="BS305" i="4"/>
  <c r="BS299" i="4"/>
  <c r="BS293" i="4"/>
  <c r="BS287" i="4"/>
  <c r="BS281" i="4"/>
  <c r="BS269" i="4"/>
  <c r="BS263" i="4"/>
  <c r="BS257" i="4"/>
  <c r="BS251" i="4"/>
  <c r="BS245" i="4"/>
  <c r="BS233" i="4"/>
  <c r="BS227" i="4"/>
  <c r="BS221" i="4"/>
  <c r="BS215" i="4"/>
  <c r="BS209" i="4"/>
  <c r="BS197" i="4"/>
  <c r="BS191" i="4"/>
  <c r="BS185" i="4"/>
  <c r="BS179" i="4"/>
  <c r="BS173" i="4"/>
  <c r="BS161" i="4"/>
  <c r="BS155" i="4"/>
  <c r="BS149" i="4"/>
  <c r="BS143" i="4"/>
  <c r="BS137" i="4"/>
  <c r="BS131" i="4"/>
  <c r="BS125" i="4"/>
  <c r="BS119" i="4"/>
  <c r="BS113" i="4"/>
  <c r="BS107" i="4"/>
  <c r="BS101" i="4"/>
  <c r="BS95" i="4"/>
  <c r="BS89" i="4"/>
  <c r="BS83" i="4"/>
  <c r="BS77" i="4"/>
  <c r="BS71" i="4"/>
  <c r="BS65" i="4"/>
  <c r="BS59" i="4"/>
  <c r="BS53" i="4"/>
  <c r="BS47" i="4"/>
  <c r="BS41" i="4"/>
  <c r="BS35" i="4"/>
  <c r="BS29" i="4"/>
  <c r="BS23" i="4"/>
  <c r="BS17" i="4"/>
  <c r="BS11" i="4"/>
  <c r="BS5" i="4"/>
  <c r="BQ339" i="4"/>
  <c r="BQ325" i="4"/>
  <c r="BQ317" i="4"/>
  <c r="BU317" i="4" s="1"/>
  <c r="BQ310" i="4"/>
  <c r="BQ303" i="4"/>
  <c r="BQ289" i="4"/>
  <c r="BQ281" i="4"/>
  <c r="BU281" i="4" s="1"/>
  <c r="BQ274" i="4"/>
  <c r="BQ267" i="4"/>
  <c r="BQ260" i="4"/>
  <c r="BQ253" i="4"/>
  <c r="BQ245" i="4"/>
  <c r="BQ238" i="4"/>
  <c r="BQ231" i="4"/>
  <c r="BQ224" i="4"/>
  <c r="BQ217" i="4"/>
  <c r="BQ209" i="4"/>
  <c r="BU209" i="4" s="1"/>
  <c r="BQ202" i="4"/>
  <c r="BQ195" i="4"/>
  <c r="BQ188" i="4"/>
  <c r="BQ181" i="4"/>
  <c r="BQ173" i="4"/>
  <c r="BU173" i="4" s="1"/>
  <c r="BQ166" i="4"/>
  <c r="BQ159" i="4"/>
  <c r="BQ152" i="4"/>
  <c r="BQ145" i="4"/>
  <c r="BQ137" i="4"/>
  <c r="BU137" i="4" s="1"/>
  <c r="BQ130" i="4"/>
  <c r="BQ123" i="4"/>
  <c r="BQ116" i="4"/>
  <c r="BQ109" i="4"/>
  <c r="BQ101" i="4"/>
  <c r="BU101" i="4" s="1"/>
  <c r="BQ94" i="4"/>
  <c r="BQ87" i="4"/>
  <c r="BQ80" i="4"/>
  <c r="BQ73" i="4"/>
  <c r="BQ65" i="4"/>
  <c r="BU65" i="4" s="1"/>
  <c r="BQ58" i="4"/>
  <c r="BQ51" i="4"/>
  <c r="BQ44" i="4"/>
  <c r="BQ37" i="4"/>
  <c r="BQ29" i="4"/>
  <c r="BU29" i="4" s="1"/>
  <c r="BQ22" i="4"/>
  <c r="BQ15" i="4"/>
  <c r="BQ8" i="4"/>
  <c r="BP339" i="4"/>
  <c r="BU339" i="4" s="1"/>
  <c r="BP331" i="4"/>
  <c r="BP310" i="4"/>
  <c r="BP303" i="4"/>
  <c r="BP295" i="4"/>
  <c r="BP288" i="4"/>
  <c r="BU288" i="4" s="1"/>
  <c r="BP274" i="4"/>
  <c r="BU274" i="4" s="1"/>
  <c r="BP267" i="4"/>
  <c r="BU267" i="4" s="1"/>
  <c r="BP259" i="4"/>
  <c r="BP252" i="4"/>
  <c r="BU252" i="4" s="1"/>
  <c r="BP238" i="4"/>
  <c r="BU238" i="4" s="1"/>
  <c r="BP231" i="4"/>
  <c r="BU231" i="4" s="1"/>
  <c r="BP223" i="4"/>
  <c r="BP216" i="4"/>
  <c r="BU216" i="4" s="1"/>
  <c r="BP202" i="4"/>
  <c r="BU202" i="4" s="1"/>
  <c r="BP195" i="4"/>
  <c r="BU195" i="4" s="1"/>
  <c r="BP187" i="4"/>
  <c r="BP180" i="4"/>
  <c r="BU180" i="4" s="1"/>
  <c r="BP166" i="4"/>
  <c r="BU166" i="4" s="1"/>
  <c r="BP159" i="4"/>
  <c r="BU159" i="4" s="1"/>
  <c r="BP150" i="4"/>
  <c r="BU150" i="4" s="1"/>
  <c r="BP141" i="4"/>
  <c r="BP132" i="4"/>
  <c r="BU132" i="4" s="1"/>
  <c r="BP123" i="4"/>
  <c r="BU123" i="4" s="1"/>
  <c r="BP114" i="4"/>
  <c r="BU114" i="4" s="1"/>
  <c r="BP105" i="4"/>
  <c r="BP94" i="4"/>
  <c r="BU94" i="4" s="1"/>
  <c r="BP82" i="4"/>
  <c r="BP70" i="4"/>
  <c r="BP58" i="4"/>
  <c r="BU58" i="4" s="1"/>
  <c r="BP46" i="4"/>
  <c r="BU46" i="4" s="1"/>
  <c r="BP34" i="4"/>
  <c r="BP22" i="4"/>
  <c r="BU22" i="4" s="1"/>
  <c r="BP10" i="4"/>
  <c r="BS334" i="4"/>
  <c r="BS328" i="4"/>
  <c r="BS322" i="4"/>
  <c r="BS316" i="4"/>
  <c r="BS298" i="4"/>
  <c r="BS292" i="4"/>
  <c r="BS286" i="4"/>
  <c r="BS280" i="4"/>
  <c r="BS262" i="4"/>
  <c r="BS256" i="4"/>
  <c r="BS250" i="4"/>
  <c r="BS244" i="4"/>
  <c r="BS226" i="4"/>
  <c r="BS220" i="4"/>
  <c r="BS214" i="4"/>
  <c r="BS208" i="4"/>
  <c r="BS190" i="4"/>
  <c r="BS184" i="4"/>
  <c r="BS178" i="4"/>
  <c r="BS172" i="4"/>
  <c r="BS154" i="4"/>
  <c r="BS148" i="4"/>
  <c r="BS142" i="4"/>
  <c r="BS136" i="4"/>
  <c r="BS130" i="4"/>
  <c r="BS118" i="4"/>
  <c r="BS112" i="4"/>
  <c r="BS106" i="4"/>
  <c r="BS100" i="4"/>
  <c r="BS88" i="4"/>
  <c r="BS82" i="4"/>
  <c r="BS76" i="4"/>
  <c r="BS70" i="4"/>
  <c r="BS64" i="4"/>
  <c r="BS52" i="4"/>
  <c r="BS46" i="4"/>
  <c r="BS40" i="4"/>
  <c r="BS34" i="4"/>
  <c r="BS28" i="4"/>
  <c r="BS16" i="4"/>
  <c r="BS10" i="4"/>
  <c r="BQ331" i="4"/>
  <c r="BQ323" i="4"/>
  <c r="BU323" i="4" s="1"/>
  <c r="BQ316" i="4"/>
  <c r="BQ309" i="4"/>
  <c r="BQ295" i="4"/>
  <c r="BQ287" i="4"/>
  <c r="BU287" i="4" s="1"/>
  <c r="BQ280" i="4"/>
  <c r="BQ273" i="4"/>
  <c r="BQ266" i="4"/>
  <c r="BQ259" i="4"/>
  <c r="BQ251" i="4"/>
  <c r="BU251" i="4" s="1"/>
  <c r="BQ244" i="4"/>
  <c r="BU244" i="4" s="1"/>
  <c r="BQ237" i="4"/>
  <c r="BQ230" i="4"/>
  <c r="BQ223" i="4"/>
  <c r="BQ215" i="4"/>
  <c r="BU215" i="4" s="1"/>
  <c r="BQ208" i="4"/>
  <c r="BU208" i="4" s="1"/>
  <c r="BQ201" i="4"/>
  <c r="BQ194" i="4"/>
  <c r="BQ187" i="4"/>
  <c r="BQ179" i="4"/>
  <c r="BU179" i="4" s="1"/>
  <c r="BQ172" i="4"/>
  <c r="BU172" i="4" s="1"/>
  <c r="BQ165" i="4"/>
  <c r="BQ158" i="4"/>
  <c r="BQ151" i="4"/>
  <c r="BQ143" i="4"/>
  <c r="BU143" i="4" s="1"/>
  <c r="BQ136" i="4"/>
  <c r="BU136" i="4" s="1"/>
  <c r="BQ129" i="4"/>
  <c r="BQ122" i="4"/>
  <c r="BQ115" i="4"/>
  <c r="BQ107" i="4"/>
  <c r="BU107" i="4" s="1"/>
  <c r="BQ100" i="4"/>
  <c r="BU100" i="4" s="1"/>
  <c r="BQ93" i="4"/>
  <c r="BQ86" i="4"/>
  <c r="BQ79" i="4"/>
  <c r="BQ71" i="4"/>
  <c r="BU71" i="4" s="1"/>
  <c r="BQ64" i="4"/>
  <c r="BQ57" i="4"/>
  <c r="BQ50" i="4"/>
  <c r="BQ43" i="4"/>
  <c r="BQ35" i="4"/>
  <c r="BU35" i="4" s="1"/>
  <c r="BQ28" i="4"/>
  <c r="BQ21" i="4"/>
  <c r="BQ14" i="4"/>
  <c r="BQ7" i="4"/>
  <c r="BP337" i="4"/>
  <c r="BP309" i="4"/>
  <c r="BU309" i="4" s="1"/>
  <c r="BP301" i="4"/>
  <c r="BP294" i="4"/>
  <c r="BU294" i="4" s="1"/>
  <c r="BP273" i="4"/>
  <c r="BU273" i="4" s="1"/>
  <c r="BP265" i="4"/>
  <c r="BP258" i="4"/>
  <c r="BU258" i="4" s="1"/>
  <c r="BP237" i="4"/>
  <c r="BU237" i="4" s="1"/>
  <c r="BP229" i="4"/>
  <c r="BP222" i="4"/>
  <c r="BU222" i="4" s="1"/>
  <c r="BP201" i="4"/>
  <c r="BU201" i="4" s="1"/>
  <c r="BP193" i="4"/>
  <c r="BP186" i="4"/>
  <c r="BU186" i="4" s="1"/>
  <c r="BP165" i="4"/>
  <c r="BU165" i="4" s="1"/>
  <c r="BP157" i="4"/>
  <c r="BP148" i="4"/>
  <c r="BU148" i="4" s="1"/>
  <c r="BP139" i="4"/>
  <c r="BU139" i="4" s="1"/>
  <c r="BP121" i="4"/>
  <c r="BP112" i="4"/>
  <c r="BU112" i="4" s="1"/>
  <c r="BP103" i="4"/>
  <c r="BU103" i="4" s="1"/>
  <c r="BP93" i="4"/>
  <c r="BU93" i="4" s="1"/>
  <c r="BP81" i="4"/>
  <c r="BU81" i="4" s="1"/>
  <c r="BP69" i="4"/>
  <c r="BP57" i="4"/>
  <c r="BU57" i="4" s="1"/>
  <c r="BP45" i="4"/>
  <c r="BU45" i="4" s="1"/>
  <c r="BP33" i="4"/>
  <c r="BU33" i="4" s="1"/>
  <c r="BP21" i="4"/>
  <c r="BU21" i="4" s="1"/>
  <c r="BP9" i="4"/>
  <c r="BU9" i="4" s="1"/>
  <c r="BS327" i="4"/>
  <c r="BS321" i="4"/>
  <c r="BS315" i="4"/>
  <c r="BS291" i="4"/>
  <c r="BS285" i="4"/>
  <c r="BS279" i="4"/>
  <c r="BS255" i="4"/>
  <c r="BS249" i="4"/>
  <c r="BS243" i="4"/>
  <c r="BS219" i="4"/>
  <c r="BS213" i="4"/>
  <c r="BS207" i="4"/>
  <c r="BS183" i="4"/>
  <c r="BS177" i="4"/>
  <c r="BS171" i="4"/>
  <c r="BS153" i="4"/>
  <c r="BS147" i="4"/>
  <c r="BS141" i="4"/>
  <c r="BS135" i="4"/>
  <c r="BS129" i="4"/>
  <c r="BS117" i="4"/>
  <c r="BS111" i="4"/>
  <c r="BS105" i="4"/>
  <c r="BS99" i="4"/>
  <c r="BS87" i="4"/>
  <c r="BS75" i="4"/>
  <c r="BS69" i="4"/>
  <c r="BS63" i="4"/>
  <c r="BS51" i="4"/>
  <c r="BS39" i="4"/>
  <c r="BS33" i="4"/>
  <c r="BS27" i="4"/>
  <c r="BS15" i="4"/>
  <c r="BQ337" i="4"/>
  <c r="BQ322" i="4"/>
  <c r="BU322" i="4" s="1"/>
  <c r="BQ315" i="4"/>
  <c r="BQ301" i="4"/>
  <c r="BQ293" i="4"/>
  <c r="BU293" i="4" s="1"/>
  <c r="BQ286" i="4"/>
  <c r="BU286" i="4" s="1"/>
  <c r="BQ279" i="4"/>
  <c r="BU279" i="4" s="1"/>
  <c r="BQ272" i="4"/>
  <c r="BQ265" i="4"/>
  <c r="BQ257" i="4"/>
  <c r="BU257" i="4" s="1"/>
  <c r="BQ250" i="4"/>
  <c r="BU250" i="4" s="1"/>
  <c r="BQ243" i="4"/>
  <c r="BU243" i="4" s="1"/>
  <c r="BQ236" i="4"/>
  <c r="BQ229" i="4"/>
  <c r="BQ221" i="4"/>
  <c r="BU221" i="4" s="1"/>
  <c r="BQ214" i="4"/>
  <c r="BU214" i="4" s="1"/>
  <c r="BQ207" i="4"/>
  <c r="BU207" i="4" s="1"/>
  <c r="BQ200" i="4"/>
  <c r="BQ193" i="4"/>
  <c r="BQ185" i="4"/>
  <c r="BU185" i="4" s="1"/>
  <c r="BQ178" i="4"/>
  <c r="BU178" i="4" s="1"/>
  <c r="BQ171" i="4"/>
  <c r="BQ164" i="4"/>
  <c r="BQ157" i="4"/>
  <c r="BQ149" i="4"/>
  <c r="BU149" i="4" s="1"/>
  <c r="BQ135" i="4"/>
  <c r="BU135" i="4" s="1"/>
  <c r="BQ128" i="4"/>
  <c r="BQ121" i="4"/>
  <c r="BQ113" i="4"/>
  <c r="BU113" i="4" s="1"/>
  <c r="BQ99" i="4"/>
  <c r="BU99" i="4" s="1"/>
  <c r="BQ92" i="4"/>
  <c r="BQ85" i="4"/>
  <c r="BQ77" i="4"/>
  <c r="BU77" i="4" s="1"/>
  <c r="BQ63" i="4"/>
  <c r="BU63" i="4" s="1"/>
  <c r="BQ56" i="4"/>
  <c r="BQ49" i="4"/>
  <c r="BQ41" i="4"/>
  <c r="BU41" i="4" s="1"/>
  <c r="BQ27" i="4"/>
  <c r="BU27" i="4" s="1"/>
  <c r="BQ20" i="4"/>
  <c r="BQ13" i="4"/>
  <c r="BQ5" i="4"/>
  <c r="BU5" i="4" s="1"/>
  <c r="BP307" i="4"/>
  <c r="BU307" i="4" s="1"/>
  <c r="BP300" i="4"/>
  <c r="BU300" i="4" s="1"/>
  <c r="BP271" i="4"/>
  <c r="BP264" i="4"/>
  <c r="BU264" i="4" s="1"/>
  <c r="BP235" i="4"/>
  <c r="BP228" i="4"/>
  <c r="BU228" i="4" s="1"/>
  <c r="BP199" i="4"/>
  <c r="BP192" i="4"/>
  <c r="BU192" i="4" s="1"/>
  <c r="BP163" i="4"/>
  <c r="BP156" i="4"/>
  <c r="BU156" i="4" s="1"/>
  <c r="BP147" i="4"/>
  <c r="BU147" i="4" s="1"/>
  <c r="BP138" i="4"/>
  <c r="BU138" i="4" s="1"/>
  <c r="BP120" i="4"/>
  <c r="BU120" i="4" s="1"/>
  <c r="BP111" i="4"/>
  <c r="BU111" i="4" s="1"/>
  <c r="BP102" i="4"/>
  <c r="BU102" i="4" s="1"/>
  <c r="BP91" i="4"/>
  <c r="BP79" i="4"/>
  <c r="BU79" i="4" s="1"/>
  <c r="BP67" i="4"/>
  <c r="BU67" i="4" s="1"/>
  <c r="BP55" i="4"/>
  <c r="BP43" i="4"/>
  <c r="BU43" i="4" s="1"/>
  <c r="BP31" i="4"/>
  <c r="BU31" i="4" s="1"/>
  <c r="BP19" i="4"/>
  <c r="BP7" i="4"/>
  <c r="BU7" i="4" s="1"/>
  <c r="BP96" i="4"/>
  <c r="BQ96" i="4"/>
  <c r="BP90" i="4"/>
  <c r="BU90" i="4" s="1"/>
  <c r="BQ90" i="4"/>
  <c r="BP84" i="4"/>
  <c r="BQ84" i="4"/>
  <c r="BP78" i="4"/>
  <c r="BQ78" i="4"/>
  <c r="BP72" i="4"/>
  <c r="BU72" i="4" s="1"/>
  <c r="BQ72" i="4"/>
  <c r="BP66" i="4"/>
  <c r="BQ66" i="4"/>
  <c r="BP60" i="4"/>
  <c r="BQ60" i="4"/>
  <c r="BP54" i="4"/>
  <c r="BU54" i="4" s="1"/>
  <c r="BQ54" i="4"/>
  <c r="BP48" i="4"/>
  <c r="BQ48" i="4"/>
  <c r="BP42" i="4"/>
  <c r="BQ42" i="4"/>
  <c r="BP36" i="4"/>
  <c r="BU36" i="4" s="1"/>
  <c r="BQ36" i="4"/>
  <c r="BP30" i="4"/>
  <c r="BQ30" i="4"/>
  <c r="BP24" i="4"/>
  <c r="BQ24" i="4"/>
  <c r="BP18" i="4"/>
  <c r="BU18" i="4" s="1"/>
  <c r="BQ18" i="4"/>
  <c r="BP12" i="4"/>
  <c r="BQ12" i="4"/>
  <c r="BP6" i="4"/>
  <c r="BQ6" i="4"/>
  <c r="BS290" i="4"/>
  <c r="BS284" i="4"/>
  <c r="BS278" i="4"/>
  <c r="BS272" i="4"/>
  <c r="BS266" i="4"/>
  <c r="BS260" i="4"/>
  <c r="BS254" i="4"/>
  <c r="BS248" i="4"/>
  <c r="BS242" i="4"/>
  <c r="BS236" i="4"/>
  <c r="BS230" i="4"/>
  <c r="BS224" i="4"/>
  <c r="BS218" i="4"/>
  <c r="BS212" i="4"/>
  <c r="BS206" i="4"/>
  <c r="BS200" i="4"/>
  <c r="BS194" i="4"/>
  <c r="BS188" i="4"/>
  <c r="BS182" i="4"/>
  <c r="BS176" i="4"/>
  <c r="BS170" i="4"/>
  <c r="BS164" i="4"/>
  <c r="BS158" i="4"/>
  <c r="BS152" i="4"/>
  <c r="BS146" i="4"/>
  <c r="BS140" i="4"/>
  <c r="BS134" i="4"/>
  <c r="BS128" i="4"/>
  <c r="BS122" i="4"/>
  <c r="BS116" i="4"/>
  <c r="BS110" i="4"/>
  <c r="BS104" i="4"/>
  <c r="BS98" i="4"/>
  <c r="BS92" i="4"/>
  <c r="BS86" i="4"/>
  <c r="BS80" i="4"/>
  <c r="BS74" i="4"/>
  <c r="BS68" i="4"/>
  <c r="BS62" i="4"/>
  <c r="BS56" i="4"/>
  <c r="BS50" i="4"/>
  <c r="BS44" i="4"/>
  <c r="BS38" i="4"/>
  <c r="BS32" i="4"/>
  <c r="BS26" i="4"/>
  <c r="BS20" i="4"/>
  <c r="BS14" i="4"/>
  <c r="BS8" i="4"/>
  <c r="BQ328" i="4"/>
  <c r="BU328" i="4" s="1"/>
  <c r="BQ321" i="4"/>
  <c r="BU321" i="4" s="1"/>
  <c r="BQ307" i="4"/>
  <c r="BQ299" i="4"/>
  <c r="BU299" i="4" s="1"/>
  <c r="BQ292" i="4"/>
  <c r="BU292" i="4" s="1"/>
  <c r="BQ285" i="4"/>
  <c r="BU285" i="4" s="1"/>
  <c r="BQ278" i="4"/>
  <c r="BU278" i="4" s="1"/>
  <c r="BQ271" i="4"/>
  <c r="BQ263" i="4"/>
  <c r="BU263" i="4" s="1"/>
  <c r="BQ256" i="4"/>
  <c r="BU256" i="4" s="1"/>
  <c r="BQ249" i="4"/>
  <c r="BU249" i="4" s="1"/>
  <c r="BQ242" i="4"/>
  <c r="BU242" i="4" s="1"/>
  <c r="BQ235" i="4"/>
  <c r="BQ227" i="4"/>
  <c r="BU227" i="4" s="1"/>
  <c r="BQ220" i="4"/>
  <c r="BU220" i="4" s="1"/>
  <c r="BQ213" i="4"/>
  <c r="BU213" i="4" s="1"/>
  <c r="BQ206" i="4"/>
  <c r="BU206" i="4" s="1"/>
  <c r="BQ199" i="4"/>
  <c r="BQ191" i="4"/>
  <c r="BU191" i="4" s="1"/>
  <c r="BQ184" i="4"/>
  <c r="BU184" i="4" s="1"/>
  <c r="BQ177" i="4"/>
  <c r="BU177" i="4" s="1"/>
  <c r="BQ170" i="4"/>
  <c r="BU170" i="4" s="1"/>
  <c r="BQ163" i="4"/>
  <c r="BQ155" i="4"/>
  <c r="BU155" i="4" s="1"/>
  <c r="BQ134" i="4"/>
  <c r="BU134" i="4" s="1"/>
  <c r="BQ127" i="4"/>
  <c r="BQ119" i="4"/>
  <c r="BU119" i="4" s="1"/>
  <c r="BQ98" i="4"/>
  <c r="BU98" i="4" s="1"/>
  <c r="BQ91" i="4"/>
  <c r="BQ83" i="4"/>
  <c r="BU83" i="4" s="1"/>
  <c r="BQ76" i="4"/>
  <c r="BU76" i="4" s="1"/>
  <c r="BQ62" i="4"/>
  <c r="BU62" i="4" s="1"/>
  <c r="BQ55" i="4"/>
  <c r="BQ47" i="4"/>
  <c r="BU47" i="4" s="1"/>
  <c r="BQ40" i="4"/>
  <c r="BU40" i="4" s="1"/>
  <c r="BQ26" i="4"/>
  <c r="BU26" i="4" s="1"/>
  <c r="BQ19" i="4"/>
  <c r="BQ11" i="4"/>
  <c r="BU11" i="4" s="1"/>
  <c r="BQ4" i="4"/>
  <c r="BU4" i="4" s="1"/>
  <c r="BP313" i="4"/>
  <c r="BP277" i="4"/>
  <c r="BP270" i="4"/>
  <c r="BU270" i="4" s="1"/>
  <c r="BP241" i="4"/>
  <c r="BP234" i="4"/>
  <c r="BU234" i="4" s="1"/>
  <c r="BP205" i="4"/>
  <c r="BP198" i="4"/>
  <c r="BU198" i="4" s="1"/>
  <c r="BP169" i="4"/>
  <c r="BP162" i="4"/>
  <c r="BU162" i="4" s="1"/>
  <c r="BP154" i="4"/>
  <c r="BU154" i="4" s="1"/>
  <c r="BP145" i="4"/>
  <c r="BU145" i="4" s="1"/>
  <c r="BP127" i="4"/>
  <c r="BP118" i="4"/>
  <c r="BU118" i="4" s="1"/>
  <c r="BP109" i="4"/>
  <c r="BU109" i="4" s="1"/>
  <c r="BS319" i="4"/>
  <c r="BU319" i="4" s="1"/>
  <c r="BS313" i="4"/>
  <c r="BS283" i="4"/>
  <c r="BS277" i="4"/>
  <c r="BS247" i="4"/>
  <c r="BS241" i="4"/>
  <c r="BS211" i="4"/>
  <c r="BS205" i="4"/>
  <c r="BS175" i="4"/>
  <c r="BS169" i="4"/>
  <c r="BS133" i="4"/>
  <c r="BS97" i="4"/>
  <c r="BS61" i="4"/>
  <c r="BS25" i="4"/>
  <c r="BQ334" i="4"/>
  <c r="BU334" i="4" s="1"/>
  <c r="BQ327" i="4"/>
  <c r="BU327" i="4" s="1"/>
  <c r="BQ305" i="4"/>
  <c r="BU305" i="4" s="1"/>
  <c r="BQ298" i="4"/>
  <c r="BU298" i="4" s="1"/>
  <c r="BQ291" i="4"/>
  <c r="BU291" i="4" s="1"/>
  <c r="BQ284" i="4"/>
  <c r="BU284" i="4" s="1"/>
  <c r="BQ269" i="4"/>
  <c r="BU269" i="4" s="1"/>
  <c r="BQ262" i="4"/>
  <c r="BU262" i="4" s="1"/>
  <c r="BQ255" i="4"/>
  <c r="BU255" i="4" s="1"/>
  <c r="BQ248" i="4"/>
  <c r="BU248" i="4" s="1"/>
  <c r="BQ233" i="4"/>
  <c r="BU233" i="4" s="1"/>
  <c r="BQ226" i="4"/>
  <c r="BU226" i="4" s="1"/>
  <c r="BQ219" i="4"/>
  <c r="BU219" i="4" s="1"/>
  <c r="BQ212" i="4"/>
  <c r="BU212" i="4" s="1"/>
  <c r="BQ197" i="4"/>
  <c r="BU197" i="4" s="1"/>
  <c r="BQ190" i="4"/>
  <c r="BU190" i="4" s="1"/>
  <c r="BQ183" i="4"/>
  <c r="BU183" i="4" s="1"/>
  <c r="BQ176" i="4"/>
  <c r="BU176" i="4" s="1"/>
  <c r="BQ161" i="4"/>
  <c r="BU161" i="4" s="1"/>
  <c r="BQ140" i="4"/>
  <c r="BU140" i="4" s="1"/>
  <c r="BQ125" i="4"/>
  <c r="BU125" i="4" s="1"/>
  <c r="BQ104" i="4"/>
  <c r="BU104" i="4" s="1"/>
  <c r="BQ89" i="4"/>
  <c r="BU89" i="4" s="1"/>
  <c r="BQ75" i="4"/>
  <c r="BU75" i="4" s="1"/>
  <c r="BQ68" i="4"/>
  <c r="BU68" i="4" s="1"/>
  <c r="BQ53" i="4"/>
  <c r="BU53" i="4" s="1"/>
  <c r="BQ39" i="4"/>
  <c r="BU39" i="4" s="1"/>
  <c r="BQ32" i="4"/>
  <c r="BU32" i="4" s="1"/>
  <c r="BQ17" i="4"/>
  <c r="BU17" i="4" s="1"/>
  <c r="BP276" i="4"/>
  <c r="BU276" i="4" s="1"/>
  <c r="BP240" i="4"/>
  <c r="BU240" i="4" s="1"/>
  <c r="BP204" i="4"/>
  <c r="BU204" i="4" s="1"/>
  <c r="BP168" i="4"/>
  <c r="BU168" i="4" s="1"/>
  <c r="BP144" i="4"/>
  <c r="BU144" i="4" s="1"/>
  <c r="BP126" i="4"/>
  <c r="BU126" i="4" s="1"/>
  <c r="BP108" i="4"/>
  <c r="BU108" i="4" s="1"/>
  <c r="AA341" i="4"/>
  <c r="AB341" i="4" s="1"/>
  <c r="AA329" i="4"/>
  <c r="AB329" i="4" s="1"/>
  <c r="AL329" i="4" s="1"/>
  <c r="AN329" i="10" s="1"/>
  <c r="AA323" i="4"/>
  <c r="AB323" i="4" s="1"/>
  <c r="AL323" i="4" s="1"/>
  <c r="AN323" i="10" s="1"/>
  <c r="AA305" i="4"/>
  <c r="AB305" i="4"/>
  <c r="AB163" i="4"/>
  <c r="AL163" i="4" s="1"/>
  <c r="AN163" i="10" s="1"/>
  <c r="AB327" i="4"/>
  <c r="AL327" i="4" s="1"/>
  <c r="AN327" i="10" s="1"/>
  <c r="AB291" i="4"/>
  <c r="AL291" i="4" s="1"/>
  <c r="AN291" i="10" s="1"/>
  <c r="AA335" i="4"/>
  <c r="AB335" i="4" s="1"/>
  <c r="AA317" i="4"/>
  <c r="AB317" i="4" s="1"/>
  <c r="AA299" i="4"/>
  <c r="AB299" i="4" s="1"/>
  <c r="AB263" i="4"/>
  <c r="AB245" i="4"/>
  <c r="AL245" i="4" s="1"/>
  <c r="AN245" i="10" s="1"/>
  <c r="AB167" i="4"/>
  <c r="AL167" i="4" s="1"/>
  <c r="AN167" i="10" s="1"/>
  <c r="AA161" i="4"/>
  <c r="AB161" i="4" s="1"/>
  <c r="AL161" i="4" s="1"/>
  <c r="AN161" i="10" s="1"/>
  <c r="AA155" i="4"/>
  <c r="AB155" i="4" s="1"/>
  <c r="AA143" i="4"/>
  <c r="AB143" i="4" s="1"/>
  <c r="AL143" i="4" s="1"/>
  <c r="AN143" i="10" s="1"/>
  <c r="AA125" i="4"/>
  <c r="AB125" i="4" s="1"/>
  <c r="AL125" i="4" s="1"/>
  <c r="AN125" i="10" s="1"/>
  <c r="AA119" i="4"/>
  <c r="AB119" i="4" s="1"/>
  <c r="AA107" i="4"/>
  <c r="AB107" i="4" s="1"/>
  <c r="AA89" i="4"/>
  <c r="AB89" i="4"/>
  <c r="AA83" i="4"/>
  <c r="AB83" i="4" s="1"/>
  <c r="AA71" i="4"/>
  <c r="AB71" i="4" s="1"/>
  <c r="AA59" i="4"/>
  <c r="AB59" i="4" s="1"/>
  <c r="AL59" i="4" s="1"/>
  <c r="AN59" i="10" s="1"/>
  <c r="AA53" i="4"/>
  <c r="AB53" i="4" s="1"/>
  <c r="AL53" i="4" s="1"/>
  <c r="AN53" i="10" s="1"/>
  <c r="AA47" i="4"/>
  <c r="AB47" i="4" s="1"/>
  <c r="AA35" i="4"/>
  <c r="AB35" i="4" s="1"/>
  <c r="AA23" i="4"/>
  <c r="AB23" i="4" s="1"/>
  <c r="AL23" i="4" s="1"/>
  <c r="AN23" i="10" s="1"/>
  <c r="AA17" i="4"/>
  <c r="AB17" i="4"/>
  <c r="AL17" i="4" s="1"/>
  <c r="AN17" i="10" s="1"/>
  <c r="AA11" i="4"/>
  <c r="AB11" i="4" s="1"/>
  <c r="AL11" i="4" s="1"/>
  <c r="AN11" i="10" s="1"/>
  <c r="AA142" i="4"/>
  <c r="AB142" i="4" s="1"/>
  <c r="AL142" i="4" s="1"/>
  <c r="AN142" i="10" s="1"/>
  <c r="AB334" i="4"/>
  <c r="AB328" i="4"/>
  <c r="AB316" i="4"/>
  <c r="AL316" i="4" s="1"/>
  <c r="AN316" i="10" s="1"/>
  <c r="AB310" i="4"/>
  <c r="AB298" i="4"/>
  <c r="AL298" i="4" s="1"/>
  <c r="AN298" i="10" s="1"/>
  <c r="AB292" i="4"/>
  <c r="AL292" i="4" s="1"/>
  <c r="AN292" i="10" s="1"/>
  <c r="AB280" i="4"/>
  <c r="AB274" i="4"/>
  <c r="AB268" i="4"/>
  <c r="AL268" i="4" s="1"/>
  <c r="AN268" i="10" s="1"/>
  <c r="AB262" i="4"/>
  <c r="AL262" i="4" s="1"/>
  <c r="AN262" i="10" s="1"/>
  <c r="AA250" i="4"/>
  <c r="AB250" i="4" s="1"/>
  <c r="AL250" i="4" s="1"/>
  <c r="AN250" i="10" s="1"/>
  <c r="AA244" i="4"/>
  <c r="AB244" i="4" s="1"/>
  <c r="AB232" i="4"/>
  <c r="AL232" i="4" s="1"/>
  <c r="AN232" i="10" s="1"/>
  <c r="AB220" i="4"/>
  <c r="AL220" i="4" s="1"/>
  <c r="AN220" i="10" s="1"/>
  <c r="AA214" i="4"/>
  <c r="AB214" i="4" s="1"/>
  <c r="AL214" i="4" s="1"/>
  <c r="AN214" i="10" s="1"/>
  <c r="AA208" i="4"/>
  <c r="AB208" i="4" s="1"/>
  <c r="AL208" i="4" s="1"/>
  <c r="AN208" i="10" s="1"/>
  <c r="AB202" i="4"/>
  <c r="AL202" i="4" s="1"/>
  <c r="AN202" i="10" s="1"/>
  <c r="AB184" i="4"/>
  <c r="AA178" i="4"/>
  <c r="AB178" i="4"/>
  <c r="AL178" i="4" s="1"/>
  <c r="AN178" i="10" s="1"/>
  <c r="AB172" i="4"/>
  <c r="AL172" i="4" s="1"/>
  <c r="AN172" i="10" s="1"/>
  <c r="AA172" i="4"/>
  <c r="AB154" i="4"/>
  <c r="AA136" i="4"/>
  <c r="AB136" i="4" s="1"/>
  <c r="AL136" i="4" s="1"/>
  <c r="AN136" i="10" s="1"/>
  <c r="AB130" i="4"/>
  <c r="AB124" i="4"/>
  <c r="AL124" i="4" s="1"/>
  <c r="AN124" i="10" s="1"/>
  <c r="AB112" i="4"/>
  <c r="AA106" i="4"/>
  <c r="AB106" i="4" s="1"/>
  <c r="AL106" i="4" s="1"/>
  <c r="AN106" i="10" s="1"/>
  <c r="AA100" i="4"/>
  <c r="AB100" i="4" s="1"/>
  <c r="AL100" i="4" s="1"/>
  <c r="AN100" i="10" s="1"/>
  <c r="AB94" i="4"/>
  <c r="AB82" i="4"/>
  <c r="AL82" i="4" s="1"/>
  <c r="AN82" i="10" s="1"/>
  <c r="AA70" i="4"/>
  <c r="AB70" i="4" s="1"/>
  <c r="AA64" i="4"/>
  <c r="AB64" i="4" s="1"/>
  <c r="AL64" i="4" s="1"/>
  <c r="AN64" i="10" s="1"/>
  <c r="AB52" i="4"/>
  <c r="AL52" i="4" s="1"/>
  <c r="AN52" i="10" s="1"/>
  <c r="AB40" i="4"/>
  <c r="AL40" i="4" s="1"/>
  <c r="AN40" i="10" s="1"/>
  <c r="AA34" i="4"/>
  <c r="AB34" i="4" s="1"/>
  <c r="AA28" i="4"/>
  <c r="AB28" i="4" s="1"/>
  <c r="AL28" i="4" s="1"/>
  <c r="AN28" i="10" s="1"/>
  <c r="AB22" i="4"/>
  <c r="AL22" i="4" s="1"/>
  <c r="AN22" i="10" s="1"/>
  <c r="AB10" i="4"/>
  <c r="AL10" i="4" s="1"/>
  <c r="AN10" i="10" s="1"/>
  <c r="AB4" i="4"/>
  <c r="AL4" i="4" s="1"/>
  <c r="AN4" i="10" s="1"/>
  <c r="AA336" i="4"/>
  <c r="AB336" i="4" s="1"/>
  <c r="AL336" i="4" s="1"/>
  <c r="AN336" i="10" s="1"/>
  <c r="AA330" i="4"/>
  <c r="AB330" i="4" s="1"/>
  <c r="AL330" i="4" s="1"/>
  <c r="AN330" i="10" s="1"/>
  <c r="AA324" i="4"/>
  <c r="AB324" i="4" s="1"/>
  <c r="AA318" i="4"/>
  <c r="AB318" i="4" s="1"/>
  <c r="AL318" i="4" s="1"/>
  <c r="AN318" i="10" s="1"/>
  <c r="AA312" i="4"/>
  <c r="AB312" i="4" s="1"/>
  <c r="AL312" i="4" s="1"/>
  <c r="AN312" i="10" s="1"/>
  <c r="AA306" i="4"/>
  <c r="AB306" i="4" s="1"/>
  <c r="AL306" i="4" s="1"/>
  <c r="AN306" i="10" s="1"/>
  <c r="AA300" i="4"/>
  <c r="AA294" i="4"/>
  <c r="AB294" i="4" s="1"/>
  <c r="AA288" i="4"/>
  <c r="AB288" i="4" s="1"/>
  <c r="AA282" i="4"/>
  <c r="AB282" i="4" s="1"/>
  <c r="AL282" i="4" s="1"/>
  <c r="AN282" i="10" s="1"/>
  <c r="AA276" i="4"/>
  <c r="AB276" i="4" s="1"/>
  <c r="AL276" i="4" s="1"/>
  <c r="AN276" i="10" s="1"/>
  <c r="AA270" i="4"/>
  <c r="AA264" i="4"/>
  <c r="AA258" i="4"/>
  <c r="AB258" i="4" s="1"/>
  <c r="AA252" i="4"/>
  <c r="AB252" i="4" s="1"/>
  <c r="AA222" i="4"/>
  <c r="AB222" i="4" s="1"/>
  <c r="AL222" i="4" s="1"/>
  <c r="AN222" i="10" s="1"/>
  <c r="AA216" i="4"/>
  <c r="AB216" i="4" s="1"/>
  <c r="AA186" i="4"/>
  <c r="AB186" i="4" s="1"/>
  <c r="AL186" i="4" s="1"/>
  <c r="AN186" i="10" s="1"/>
  <c r="AA180" i="4"/>
  <c r="AB180" i="4" s="1"/>
  <c r="AL180" i="4" s="1"/>
  <c r="AN180" i="10" s="1"/>
  <c r="AA150" i="4"/>
  <c r="AB150" i="4" s="1"/>
  <c r="AA144" i="4"/>
  <c r="AB144" i="4" s="1"/>
  <c r="AA114" i="4"/>
  <c r="AB114" i="4" s="1"/>
  <c r="AL114" i="4" s="1"/>
  <c r="AN114" i="10" s="1"/>
  <c r="AA108" i="4"/>
  <c r="AB108" i="4" s="1"/>
  <c r="AA78" i="4"/>
  <c r="AB78" i="4" s="1"/>
  <c r="AL78" i="4" s="1"/>
  <c r="AN78" i="10" s="1"/>
  <c r="AA72" i="4"/>
  <c r="AB72" i="4" s="1"/>
  <c r="AL72" i="4" s="1"/>
  <c r="AN72" i="10" s="1"/>
  <c r="AA42" i="4"/>
  <c r="AB42" i="4" s="1"/>
  <c r="AB337" i="4"/>
  <c r="AL337" i="4" s="1"/>
  <c r="AN337" i="10" s="1"/>
  <c r="AB301" i="4"/>
  <c r="AA190" i="4"/>
  <c r="AB190" i="4" s="1"/>
  <c r="AL190" i="4" s="1"/>
  <c r="AN190" i="10" s="1"/>
  <c r="AA160" i="4"/>
  <c r="AB160" i="4" s="1"/>
  <c r="AL160" i="4" s="1"/>
  <c r="AN160" i="10" s="1"/>
  <c r="AA130" i="4"/>
  <c r="AA10" i="4"/>
  <c r="AB321" i="4"/>
  <c r="AL321" i="4" s="1"/>
  <c r="AN321" i="10" s="1"/>
  <c r="AB307" i="4"/>
  <c r="AL307" i="4" s="1"/>
  <c r="AN307" i="10" s="1"/>
  <c r="AB300" i="4"/>
  <c r="AL300" i="4" s="1"/>
  <c r="AN300" i="10" s="1"/>
  <c r="AB285" i="4"/>
  <c r="AL285" i="4" s="1"/>
  <c r="AN285" i="10" s="1"/>
  <c r="AB271" i="4"/>
  <c r="AL271" i="4" s="1"/>
  <c r="AN271" i="10" s="1"/>
  <c r="AB264" i="4"/>
  <c r="AL264" i="4" s="1"/>
  <c r="AN264" i="10" s="1"/>
  <c r="AB120" i="4"/>
  <c r="AB48" i="4"/>
  <c r="AA340" i="4"/>
  <c r="AB340" i="4" s="1"/>
  <c r="AL340" i="4" s="1"/>
  <c r="AN340" i="10" s="1"/>
  <c r="AA322" i="4"/>
  <c r="AB322" i="4" s="1"/>
  <c r="AL322" i="4" s="1"/>
  <c r="AN322" i="10" s="1"/>
  <c r="AA304" i="4"/>
  <c r="AB304" i="4" s="1"/>
  <c r="AL304" i="4" s="1"/>
  <c r="AN304" i="10" s="1"/>
  <c r="AA286" i="4"/>
  <c r="AB286" i="4" s="1"/>
  <c r="AA268" i="4"/>
  <c r="AA238" i="4"/>
  <c r="AB238" i="4" s="1"/>
  <c r="AA189" i="4"/>
  <c r="AB189" i="4" s="1"/>
  <c r="AL189" i="4" s="1"/>
  <c r="AN189" i="10" s="1"/>
  <c r="AA148" i="4"/>
  <c r="AB148" i="4" s="1"/>
  <c r="AL148" i="4" s="1"/>
  <c r="AN148" i="10" s="1"/>
  <c r="AA88" i="4"/>
  <c r="AB88" i="4" s="1"/>
  <c r="AL88" i="4" s="1"/>
  <c r="AN88" i="10" s="1"/>
  <c r="AA58" i="4"/>
  <c r="AB58" i="4" s="1"/>
  <c r="AB313" i="4"/>
  <c r="AL313" i="4" s="1"/>
  <c r="AN313" i="10" s="1"/>
  <c r="AB277" i="4"/>
  <c r="AL277" i="4" s="1"/>
  <c r="AN277" i="10" s="1"/>
  <c r="AB270" i="4"/>
  <c r="AL270" i="4" s="1"/>
  <c r="AN270" i="10" s="1"/>
  <c r="AB243" i="4"/>
  <c r="AL243" i="4" s="1"/>
  <c r="AN243" i="10" s="1"/>
  <c r="AB235" i="4"/>
  <c r="AL235" i="4" s="1"/>
  <c r="AN235" i="10" s="1"/>
  <c r="AB217" i="4"/>
  <c r="AB207" i="4"/>
  <c r="AL207" i="4" s="1"/>
  <c r="AN207" i="10" s="1"/>
  <c r="AB171" i="4"/>
  <c r="AL171" i="4" s="1"/>
  <c r="AN171" i="10" s="1"/>
  <c r="AB135" i="4"/>
  <c r="AL135" i="4" s="1"/>
  <c r="AN135" i="10" s="1"/>
  <c r="AB127" i="4"/>
  <c r="AL127" i="4" s="1"/>
  <c r="AN127" i="10" s="1"/>
  <c r="AB109" i="4"/>
  <c r="AL109" i="4" s="1"/>
  <c r="AN109" i="10" s="1"/>
  <c r="AB99" i="4"/>
  <c r="AL99" i="4" s="1"/>
  <c r="AN99" i="10" s="1"/>
  <c r="AB55" i="4"/>
  <c r="AL55" i="4" s="1"/>
  <c r="AN55" i="10" s="1"/>
  <c r="AB37" i="4"/>
  <c r="AL37" i="4" s="1"/>
  <c r="AN37" i="10" s="1"/>
  <c r="AA256" i="4"/>
  <c r="AB256" i="4" s="1"/>
  <c r="AL256" i="4" s="1"/>
  <c r="AN256" i="10" s="1"/>
  <c r="AA226" i="4"/>
  <c r="AB226" i="4" s="1"/>
  <c r="AL226" i="4" s="1"/>
  <c r="AN226" i="10" s="1"/>
  <c r="AA196" i="4"/>
  <c r="AB196" i="4" s="1"/>
  <c r="AL196" i="4" s="1"/>
  <c r="AN196" i="10" s="1"/>
  <c r="AA166" i="4"/>
  <c r="AB166" i="4" s="1"/>
  <c r="AA118" i="4"/>
  <c r="AB118" i="4" s="1"/>
  <c r="AA76" i="4"/>
  <c r="AB76" i="4" s="1"/>
  <c r="AL76" i="4" s="1"/>
  <c r="AN76" i="10" s="1"/>
  <c r="AA46" i="4"/>
  <c r="AB46" i="4" s="1"/>
  <c r="AL46" i="4" s="1"/>
  <c r="AN46" i="10" s="1"/>
  <c r="AA16" i="4"/>
  <c r="AB16" i="4" s="1"/>
  <c r="AL16" i="4" s="1"/>
  <c r="AN16" i="10" s="1"/>
  <c r="AA77" i="4"/>
  <c r="AB77" i="4" s="1"/>
  <c r="AL77" i="4" s="1"/>
  <c r="AN77" i="10" s="1"/>
  <c r="AA41" i="4"/>
  <c r="AB41" i="4" s="1"/>
  <c r="AL41" i="4" s="1"/>
  <c r="AN41" i="10" s="1"/>
  <c r="AA5" i="4"/>
  <c r="AB5" i="4" s="1"/>
  <c r="AA113" i="4"/>
  <c r="AB113" i="4" s="1"/>
  <c r="AL113" i="4" s="1"/>
  <c r="AN113" i="10" s="1"/>
  <c r="AA257" i="4"/>
  <c r="AB257" i="4" s="1"/>
  <c r="AL257" i="4" s="1"/>
  <c r="AN257" i="10" s="1"/>
  <c r="AA251" i="4"/>
  <c r="AB251" i="4" s="1"/>
  <c r="AL251" i="4" s="1"/>
  <c r="AN251" i="10" s="1"/>
  <c r="AA245" i="4"/>
  <c r="AA239" i="4"/>
  <c r="AB239" i="4" s="1"/>
  <c r="AL239" i="4" s="1"/>
  <c r="AN239" i="10" s="1"/>
  <c r="AA233" i="4"/>
  <c r="AB233" i="4" s="1"/>
  <c r="AL233" i="4" s="1"/>
  <c r="AN233" i="10" s="1"/>
  <c r="AA227" i="4"/>
  <c r="AB227" i="4" s="1"/>
  <c r="AA221" i="4"/>
  <c r="AB221" i="4" s="1"/>
  <c r="AL221" i="4" s="1"/>
  <c r="AN221" i="10" s="1"/>
  <c r="AA215" i="4"/>
  <c r="AB215" i="4" s="1"/>
  <c r="AL215" i="4" s="1"/>
  <c r="AN215" i="10" s="1"/>
  <c r="AA209" i="4"/>
  <c r="AB209" i="4" s="1"/>
  <c r="AA203" i="4"/>
  <c r="AB203" i="4" s="1"/>
  <c r="AA197" i="4"/>
  <c r="AB197" i="4" s="1"/>
  <c r="AL197" i="4" s="1"/>
  <c r="AN197" i="10" s="1"/>
  <c r="AA191" i="4"/>
  <c r="AB191" i="4" s="1"/>
  <c r="AA185" i="4"/>
  <c r="AB185" i="4" s="1"/>
  <c r="AL185" i="4" s="1"/>
  <c r="AN185" i="10" s="1"/>
  <c r="AA179" i="4"/>
  <c r="AB179" i="4" s="1"/>
  <c r="AL179" i="4" s="1"/>
  <c r="AN179" i="10" s="1"/>
  <c r="AA173" i="4"/>
  <c r="AB173" i="4" s="1"/>
  <c r="AL173" i="4" s="1"/>
  <c r="AN173" i="10" s="1"/>
  <c r="AA167" i="4"/>
  <c r="AA137" i="4"/>
  <c r="AB137" i="4" s="1"/>
  <c r="AA131" i="4"/>
  <c r="AB131" i="4" s="1"/>
  <c r="AL131" i="4" s="1"/>
  <c r="AN131" i="10" s="1"/>
  <c r="AA101" i="4"/>
  <c r="AB101" i="4" s="1"/>
  <c r="AL101" i="4" s="1"/>
  <c r="AN101" i="10" s="1"/>
  <c r="AA95" i="4"/>
  <c r="AB95" i="4" s="1"/>
  <c r="AL95" i="4" s="1"/>
  <c r="AN95" i="10" s="1"/>
  <c r="AA65" i="4"/>
  <c r="AB65" i="4" s="1"/>
  <c r="AL65" i="4" s="1"/>
  <c r="AN65" i="10" s="1"/>
  <c r="AA29" i="4"/>
  <c r="AB29" i="4" s="1"/>
  <c r="AL29" i="4" s="1"/>
  <c r="AN29" i="10" s="1"/>
  <c r="AA149" i="4"/>
  <c r="AB149" i="4" s="1"/>
  <c r="AL149" i="4" s="1"/>
  <c r="AN149" i="10" s="1"/>
  <c r="G344" i="21"/>
  <c r="AL166" i="4" l="1"/>
  <c r="AN166" i="10" s="1"/>
  <c r="AL217" i="4"/>
  <c r="AN217" i="10" s="1"/>
  <c r="AL58" i="4"/>
  <c r="AN58" i="10" s="1"/>
  <c r="AL47" i="4"/>
  <c r="AN47" i="10" s="1"/>
  <c r="AL335" i="4"/>
  <c r="AN335" i="10" s="1"/>
  <c r="AL310" i="4"/>
  <c r="AN310" i="10" s="1"/>
  <c r="AL119" i="4"/>
  <c r="AN119" i="10" s="1"/>
  <c r="AL108" i="4"/>
  <c r="AN108" i="10" s="1"/>
  <c r="AL216" i="4"/>
  <c r="AN216" i="10" s="1"/>
  <c r="AL263" i="4"/>
  <c r="AN263" i="10" s="1"/>
  <c r="AL238" i="4"/>
  <c r="AN238" i="10" s="1"/>
  <c r="AL301" i="4"/>
  <c r="AN301" i="10" s="1"/>
  <c r="AL299" i="4"/>
  <c r="AN299" i="10" s="1"/>
  <c r="AL191" i="4"/>
  <c r="AN191" i="10" s="1"/>
  <c r="AL227" i="4"/>
  <c r="AN227" i="10" s="1"/>
  <c r="AL5" i="4"/>
  <c r="AN5" i="10" s="1"/>
  <c r="AL144" i="4"/>
  <c r="AN144" i="10" s="1"/>
  <c r="AL252" i="4"/>
  <c r="AN252" i="10" s="1"/>
  <c r="AL288" i="4"/>
  <c r="AN288" i="10" s="1"/>
  <c r="AL324" i="4"/>
  <c r="AN324" i="10" s="1"/>
  <c r="AL35" i="4"/>
  <c r="AN35" i="10" s="1"/>
  <c r="AL94" i="4"/>
  <c r="AN94" i="10" s="1"/>
  <c r="AL14" i="4"/>
  <c r="AN14" i="10" s="1"/>
  <c r="AM14" i="10"/>
  <c r="AL102" i="4"/>
  <c r="AN102" i="10" s="1"/>
  <c r="AM102" i="10"/>
  <c r="AL210" i="4"/>
  <c r="AN210" i="10" s="1"/>
  <c r="AM210" i="10"/>
  <c r="AL24" i="4"/>
  <c r="AN24" i="10" s="1"/>
  <c r="AM24" i="10"/>
  <c r="AL63" i="4"/>
  <c r="AN63" i="10" s="1"/>
  <c r="AM63" i="10"/>
  <c r="AL91" i="4"/>
  <c r="AN91" i="10" s="1"/>
  <c r="AM91" i="10"/>
  <c r="AL199" i="4"/>
  <c r="AN199" i="10" s="1"/>
  <c r="AM199" i="10"/>
  <c r="AL289" i="4"/>
  <c r="AN289" i="10" s="1"/>
  <c r="AM289" i="10"/>
  <c r="AL146" i="4"/>
  <c r="AN146" i="10" s="1"/>
  <c r="AM146" i="10"/>
  <c r="AL254" i="4"/>
  <c r="AN254" i="10" s="1"/>
  <c r="AM254" i="10"/>
  <c r="AL326" i="4"/>
  <c r="AN326" i="10" s="1"/>
  <c r="AM326" i="10"/>
  <c r="AL97" i="4"/>
  <c r="AN97" i="10" s="1"/>
  <c r="AM97" i="10"/>
  <c r="AL205" i="4"/>
  <c r="AN205" i="10" s="1"/>
  <c r="AM205" i="10"/>
  <c r="AL44" i="4"/>
  <c r="AN44" i="10" s="1"/>
  <c r="AM44" i="10"/>
  <c r="AL152" i="4"/>
  <c r="AN152" i="10" s="1"/>
  <c r="AM152" i="10"/>
  <c r="AL259" i="4"/>
  <c r="AN259" i="10" s="1"/>
  <c r="AM259" i="10"/>
  <c r="AL331" i="4"/>
  <c r="AN331" i="10" s="1"/>
  <c r="AM331" i="10"/>
  <c r="AL103" i="4"/>
  <c r="AN103" i="10" s="1"/>
  <c r="AM103" i="10"/>
  <c r="AL211" i="4"/>
  <c r="AN211" i="10" s="1"/>
  <c r="AM211" i="10"/>
  <c r="AL296" i="4"/>
  <c r="AN296" i="10" s="1"/>
  <c r="AM296" i="10"/>
  <c r="AL50" i="4"/>
  <c r="AN50" i="10" s="1"/>
  <c r="AM50" i="10"/>
  <c r="AL158" i="4"/>
  <c r="AN158" i="10" s="1"/>
  <c r="AM158" i="10"/>
  <c r="AL261" i="4"/>
  <c r="AN261" i="10" s="1"/>
  <c r="AM261" i="10"/>
  <c r="AL333" i="4"/>
  <c r="AN333" i="10" s="1"/>
  <c r="AM333" i="10"/>
  <c r="AL293" i="4"/>
  <c r="AN293" i="10" s="1"/>
  <c r="AL20" i="4"/>
  <c r="AN20" i="10" s="1"/>
  <c r="AM20" i="10"/>
  <c r="AL18" i="4"/>
  <c r="AN18" i="10" s="1"/>
  <c r="AM18" i="10"/>
  <c r="AL31" i="4"/>
  <c r="AN31" i="10" s="1"/>
  <c r="AM31" i="10"/>
  <c r="AL69" i="4"/>
  <c r="AN69" i="10" s="1"/>
  <c r="AM69" i="10"/>
  <c r="AL105" i="4"/>
  <c r="AN105" i="10" s="1"/>
  <c r="AM105" i="10"/>
  <c r="AL141" i="4"/>
  <c r="AN141" i="10" s="1"/>
  <c r="AM141" i="10"/>
  <c r="AL213" i="4"/>
  <c r="AN213" i="10" s="1"/>
  <c r="AM213" i="10"/>
  <c r="AL249" i="4"/>
  <c r="AN249" i="10" s="1"/>
  <c r="AM249" i="10"/>
  <c r="AL56" i="4"/>
  <c r="AN56" i="10" s="1"/>
  <c r="AM56" i="10"/>
  <c r="AL164" i="4"/>
  <c r="AN164" i="10" s="1"/>
  <c r="AM164" i="10"/>
  <c r="AL223" i="4"/>
  <c r="AN223" i="10" s="1"/>
  <c r="AM223" i="10"/>
  <c r="AL62" i="4"/>
  <c r="AN62" i="10" s="1"/>
  <c r="AM62" i="10"/>
  <c r="AL170" i="4"/>
  <c r="AN170" i="10" s="1"/>
  <c r="AM170" i="10"/>
  <c r="AL7" i="4"/>
  <c r="AN7" i="10" s="1"/>
  <c r="AM7" i="10"/>
  <c r="AL121" i="4"/>
  <c r="AN121" i="10" s="1"/>
  <c r="AM121" i="10"/>
  <c r="AL308" i="4"/>
  <c r="AN308" i="10" s="1"/>
  <c r="AM308" i="10"/>
  <c r="AL68" i="4"/>
  <c r="AN68" i="10" s="1"/>
  <c r="AM68" i="10"/>
  <c r="AL176" i="4"/>
  <c r="AN176" i="10" s="1"/>
  <c r="AM176" i="10"/>
  <c r="AL273" i="4"/>
  <c r="AN273" i="10" s="1"/>
  <c r="AM273" i="10"/>
  <c r="AL26" i="4"/>
  <c r="AN26" i="10" s="1"/>
  <c r="AM26" i="10"/>
  <c r="AL25" i="4"/>
  <c r="AN25" i="10" s="1"/>
  <c r="AM25" i="10"/>
  <c r="AL12" i="4"/>
  <c r="AN12" i="10" s="1"/>
  <c r="AM12" i="10"/>
  <c r="AL39" i="4"/>
  <c r="AN39" i="10" s="1"/>
  <c r="AM39" i="10"/>
  <c r="AL75" i="4"/>
  <c r="AN75" i="10" s="1"/>
  <c r="AM75" i="10"/>
  <c r="AL111" i="4"/>
  <c r="AN111" i="10" s="1"/>
  <c r="AM111" i="10"/>
  <c r="AL147" i="4"/>
  <c r="AN147" i="10" s="1"/>
  <c r="AM147" i="10"/>
  <c r="AL183" i="4"/>
  <c r="AN183" i="10" s="1"/>
  <c r="AM183" i="10"/>
  <c r="AL219" i="4"/>
  <c r="AN219" i="10" s="1"/>
  <c r="AM219" i="10"/>
  <c r="AL15" i="4"/>
  <c r="AN15" i="10" s="1"/>
  <c r="AM15" i="10"/>
  <c r="AL74" i="4"/>
  <c r="AN74" i="10" s="1"/>
  <c r="AM74" i="10"/>
  <c r="AL182" i="4"/>
  <c r="AN182" i="10" s="1"/>
  <c r="AM182" i="10"/>
  <c r="AL278" i="4"/>
  <c r="AN278" i="10" s="1"/>
  <c r="AM278" i="10"/>
  <c r="AL133" i="4"/>
  <c r="AN133" i="10" s="1"/>
  <c r="AM133" i="10"/>
  <c r="AL241" i="4"/>
  <c r="AN241" i="10" s="1"/>
  <c r="AM241" i="10"/>
  <c r="AL315" i="4"/>
  <c r="AN315" i="10" s="1"/>
  <c r="AM315" i="10"/>
  <c r="AL80" i="4"/>
  <c r="AN80" i="10" s="1"/>
  <c r="AM80" i="10"/>
  <c r="AL188" i="4"/>
  <c r="AN188" i="10" s="1"/>
  <c r="AM188" i="10"/>
  <c r="AL283" i="4"/>
  <c r="AN283" i="10" s="1"/>
  <c r="AM283" i="10"/>
  <c r="AL139" i="4"/>
  <c r="AN139" i="10" s="1"/>
  <c r="AM139" i="10"/>
  <c r="AL247" i="4"/>
  <c r="AN247" i="10" s="1"/>
  <c r="AM247" i="10"/>
  <c r="AL320" i="4"/>
  <c r="AN320" i="10" s="1"/>
  <c r="AM320" i="10"/>
  <c r="AL86" i="4"/>
  <c r="AN86" i="10" s="1"/>
  <c r="AM86" i="10"/>
  <c r="AL194" i="4"/>
  <c r="AN194" i="10" s="1"/>
  <c r="AM194" i="10"/>
  <c r="AL269" i="4"/>
  <c r="AN269" i="10" s="1"/>
  <c r="AL32" i="4"/>
  <c r="AN32" i="10" s="1"/>
  <c r="AM32" i="10"/>
  <c r="AL33" i="4"/>
  <c r="AN33" i="10" s="1"/>
  <c r="AM33" i="10"/>
  <c r="AL19" i="4"/>
  <c r="AN19" i="10" s="1"/>
  <c r="AM19" i="10"/>
  <c r="AL6" i="4"/>
  <c r="AN6" i="10" s="1"/>
  <c r="AM6" i="10"/>
  <c r="AL84" i="4"/>
  <c r="AN84" i="10" s="1"/>
  <c r="AM84" i="10"/>
  <c r="AL156" i="4"/>
  <c r="AN156" i="10" s="1"/>
  <c r="AM156" i="10"/>
  <c r="AL192" i="4"/>
  <c r="AN192" i="10" s="1"/>
  <c r="AM192" i="10"/>
  <c r="AL45" i="4"/>
  <c r="AN45" i="10" s="1"/>
  <c r="AM45" i="10"/>
  <c r="AL81" i="4"/>
  <c r="AN81" i="10" s="1"/>
  <c r="AM81" i="10"/>
  <c r="AL117" i="4"/>
  <c r="AN117" i="10" s="1"/>
  <c r="AM117" i="10"/>
  <c r="AL153" i="4"/>
  <c r="AN153" i="10" s="1"/>
  <c r="AM153" i="10"/>
  <c r="AL225" i="4"/>
  <c r="AN225" i="10" s="1"/>
  <c r="AM225" i="10"/>
  <c r="AL253" i="4"/>
  <c r="AN253" i="10" s="1"/>
  <c r="AM253" i="10"/>
  <c r="AL325" i="4"/>
  <c r="AN325" i="10" s="1"/>
  <c r="AM325" i="10"/>
  <c r="AL92" i="4"/>
  <c r="AN92" i="10" s="1"/>
  <c r="AM92" i="10"/>
  <c r="AL200" i="4"/>
  <c r="AN200" i="10" s="1"/>
  <c r="AM200" i="10"/>
  <c r="AL290" i="4"/>
  <c r="AN290" i="10" s="1"/>
  <c r="AM290" i="10"/>
  <c r="AL43" i="4"/>
  <c r="AN43" i="10" s="1"/>
  <c r="AM43" i="10"/>
  <c r="AL151" i="4"/>
  <c r="AN151" i="10" s="1"/>
  <c r="AM151" i="10"/>
  <c r="AL255" i="4"/>
  <c r="AN255" i="10" s="1"/>
  <c r="AM255" i="10"/>
  <c r="AL98" i="4"/>
  <c r="AN98" i="10" s="1"/>
  <c r="AM98" i="10"/>
  <c r="AL206" i="4"/>
  <c r="AN206" i="10" s="1"/>
  <c r="AM206" i="10"/>
  <c r="AL295" i="4"/>
  <c r="AN295" i="10" s="1"/>
  <c r="AM295" i="10"/>
  <c r="AL49" i="4"/>
  <c r="AN49" i="10" s="1"/>
  <c r="AM49" i="10"/>
  <c r="AL157" i="4"/>
  <c r="AN157" i="10" s="1"/>
  <c r="AM157" i="10"/>
  <c r="AL260" i="4"/>
  <c r="AN260" i="10" s="1"/>
  <c r="AM260" i="10"/>
  <c r="AL332" i="4"/>
  <c r="AN332" i="10" s="1"/>
  <c r="AM332" i="10"/>
  <c r="AL104" i="4"/>
  <c r="AN104" i="10" s="1"/>
  <c r="AM104" i="10"/>
  <c r="AL212" i="4"/>
  <c r="AN212" i="10" s="1"/>
  <c r="AM212" i="10"/>
  <c r="AL297" i="4"/>
  <c r="AN297" i="10" s="1"/>
  <c r="AM297" i="10"/>
  <c r="AL274" i="4"/>
  <c r="AN274" i="10" s="1"/>
  <c r="AL83" i="4"/>
  <c r="AN83" i="10" s="1"/>
  <c r="AL38" i="4"/>
  <c r="AN38" i="10" s="1"/>
  <c r="AM38" i="10"/>
  <c r="AL27" i="4"/>
  <c r="AN27" i="10" s="1"/>
  <c r="AM27" i="10"/>
  <c r="AL281" i="4"/>
  <c r="AN281" i="10" s="1"/>
  <c r="AM281" i="10"/>
  <c r="AL13" i="4"/>
  <c r="AN13" i="10" s="1"/>
  <c r="AM13" i="10"/>
  <c r="AL54" i="4"/>
  <c r="AN54" i="10" s="1"/>
  <c r="AM54" i="10"/>
  <c r="AL90" i="4"/>
  <c r="AN90" i="10" s="1"/>
  <c r="AM90" i="10"/>
  <c r="AL126" i="4"/>
  <c r="AN126" i="10" s="1"/>
  <c r="AM126" i="10"/>
  <c r="AL162" i="4"/>
  <c r="AN162" i="10" s="1"/>
  <c r="AM162" i="10"/>
  <c r="AL198" i="4"/>
  <c r="AN198" i="10" s="1"/>
  <c r="AM198" i="10"/>
  <c r="AL51" i="4"/>
  <c r="AN51" i="10" s="1"/>
  <c r="AM51" i="10"/>
  <c r="AL87" i="4"/>
  <c r="AN87" i="10" s="1"/>
  <c r="AM87" i="10"/>
  <c r="AL123" i="4"/>
  <c r="AN123" i="10" s="1"/>
  <c r="AM123" i="10"/>
  <c r="AL159" i="4"/>
  <c r="AN159" i="10" s="1"/>
  <c r="AM159" i="10"/>
  <c r="AL195" i="4"/>
  <c r="AN195" i="10" s="1"/>
  <c r="AM195" i="10"/>
  <c r="AL231" i="4"/>
  <c r="AN231" i="10" s="1"/>
  <c r="AM231" i="10"/>
  <c r="AL265" i="4"/>
  <c r="AN265" i="10" s="1"/>
  <c r="AM265" i="10"/>
  <c r="AL110" i="4"/>
  <c r="AN110" i="10" s="1"/>
  <c r="AM110" i="10"/>
  <c r="AL218" i="4"/>
  <c r="AN218" i="10" s="1"/>
  <c r="AM218" i="10"/>
  <c r="AL302" i="4"/>
  <c r="AN302" i="10" s="1"/>
  <c r="AM302" i="10"/>
  <c r="AL61" i="4"/>
  <c r="AN61" i="10" s="1"/>
  <c r="AM61" i="10"/>
  <c r="AL169" i="4"/>
  <c r="AN169" i="10" s="1"/>
  <c r="AM169" i="10"/>
  <c r="AL267" i="4"/>
  <c r="AN267" i="10" s="1"/>
  <c r="AM267" i="10"/>
  <c r="AL339" i="4"/>
  <c r="AN339" i="10" s="1"/>
  <c r="AM339" i="10"/>
  <c r="AL116" i="4"/>
  <c r="AN116" i="10" s="1"/>
  <c r="AM116" i="10"/>
  <c r="AL224" i="4"/>
  <c r="AN224" i="10" s="1"/>
  <c r="AM224" i="10"/>
  <c r="AL67" i="4"/>
  <c r="AN67" i="10" s="1"/>
  <c r="AM67" i="10"/>
  <c r="AL175" i="4"/>
  <c r="AN175" i="10" s="1"/>
  <c r="AM175" i="10"/>
  <c r="AL272" i="4"/>
  <c r="AN272" i="10" s="1"/>
  <c r="AM272" i="10"/>
  <c r="AL9" i="4"/>
  <c r="AN9" i="10" s="1"/>
  <c r="AM9" i="10"/>
  <c r="AL122" i="4"/>
  <c r="AN122" i="10" s="1"/>
  <c r="AM122" i="10"/>
  <c r="AL230" i="4"/>
  <c r="AN230" i="10" s="1"/>
  <c r="AM230" i="10"/>
  <c r="AL309" i="4"/>
  <c r="AN309" i="10" s="1"/>
  <c r="AM309" i="10"/>
  <c r="AL228" i="4"/>
  <c r="AN228" i="10" s="1"/>
  <c r="AL130" i="4"/>
  <c r="AN130" i="10" s="1"/>
  <c r="AL89" i="4"/>
  <c r="AN89" i="10" s="1"/>
  <c r="AL155" i="4"/>
  <c r="AN155" i="10" s="1"/>
  <c r="AL8" i="4"/>
  <c r="AN8" i="10" s="1"/>
  <c r="AM8" i="10"/>
  <c r="AL21" i="4"/>
  <c r="AN21" i="10" s="1"/>
  <c r="AM21" i="10"/>
  <c r="AL60" i="4"/>
  <c r="AN60" i="10" s="1"/>
  <c r="AM60" i="10"/>
  <c r="AL96" i="4"/>
  <c r="AN96" i="10" s="1"/>
  <c r="AM96" i="10"/>
  <c r="AL132" i="4"/>
  <c r="AN132" i="10" s="1"/>
  <c r="AM132" i="10"/>
  <c r="AL168" i="4"/>
  <c r="AN168" i="10" s="1"/>
  <c r="AM168" i="10"/>
  <c r="AL204" i="4"/>
  <c r="AN204" i="10" s="1"/>
  <c r="AM204" i="10"/>
  <c r="AL57" i="4"/>
  <c r="AN57" i="10" s="1"/>
  <c r="AM57" i="10"/>
  <c r="AL93" i="4"/>
  <c r="AN93" i="10" s="1"/>
  <c r="AM93" i="10"/>
  <c r="AL129" i="4"/>
  <c r="AN129" i="10" s="1"/>
  <c r="AM129" i="10"/>
  <c r="AL165" i="4"/>
  <c r="AN165" i="10" s="1"/>
  <c r="AM165" i="10"/>
  <c r="AL201" i="4"/>
  <c r="AN201" i="10" s="1"/>
  <c r="AM201" i="10"/>
  <c r="AL237" i="4"/>
  <c r="AN237" i="10" s="1"/>
  <c r="AM237" i="10"/>
  <c r="AL73" i="4"/>
  <c r="AN73" i="10" s="1"/>
  <c r="AM73" i="10"/>
  <c r="AL181" i="4"/>
  <c r="AN181" i="10" s="1"/>
  <c r="AM181" i="10"/>
  <c r="AL128" i="4"/>
  <c r="AN128" i="10" s="1"/>
  <c r="AM128" i="10"/>
  <c r="AL236" i="4"/>
  <c r="AN236" i="10" s="1"/>
  <c r="AM236" i="10"/>
  <c r="AL314" i="4"/>
  <c r="AN314" i="10" s="1"/>
  <c r="AM314" i="10"/>
  <c r="AL79" i="4"/>
  <c r="AN79" i="10" s="1"/>
  <c r="AM79" i="10"/>
  <c r="AL187" i="4"/>
  <c r="AN187" i="10" s="1"/>
  <c r="AM187" i="10"/>
  <c r="AL279" i="4"/>
  <c r="AN279" i="10" s="1"/>
  <c r="AM279" i="10"/>
  <c r="AL134" i="4"/>
  <c r="AN134" i="10" s="1"/>
  <c r="AM134" i="10"/>
  <c r="AL242" i="4"/>
  <c r="AN242" i="10" s="1"/>
  <c r="AM242" i="10"/>
  <c r="AL319" i="4"/>
  <c r="AN319" i="10" s="1"/>
  <c r="AM319" i="10"/>
  <c r="AL85" i="4"/>
  <c r="AN85" i="10" s="1"/>
  <c r="AM85" i="10"/>
  <c r="AL193" i="4"/>
  <c r="AN193" i="10" s="1"/>
  <c r="AM193" i="10"/>
  <c r="AL284" i="4"/>
  <c r="AN284" i="10" s="1"/>
  <c r="AM284" i="10"/>
  <c r="AL30" i="4"/>
  <c r="AN30" i="10" s="1"/>
  <c r="AM30" i="10"/>
  <c r="AL140" i="4"/>
  <c r="AN140" i="10" s="1"/>
  <c r="AM140" i="10"/>
  <c r="AL248" i="4"/>
  <c r="AN248" i="10" s="1"/>
  <c r="AM248" i="10"/>
  <c r="AL287" i="4"/>
  <c r="AN287" i="10" s="1"/>
  <c r="AL138" i="4"/>
  <c r="AN138" i="10" s="1"/>
  <c r="BU124" i="4"/>
  <c r="AL177" i="4"/>
  <c r="AN177" i="10" s="1"/>
  <c r="AL266" i="4"/>
  <c r="AN266" i="10" s="1"/>
  <c r="AL338" i="4"/>
  <c r="AN338" i="10" s="1"/>
  <c r="AL115" i="4"/>
  <c r="AN115" i="10" s="1"/>
  <c r="AL303" i="4"/>
  <c r="AN303" i="10" s="1"/>
  <c r="AL229" i="4"/>
  <c r="AN229" i="10" s="1"/>
  <c r="BU28" i="4"/>
  <c r="BU310" i="4"/>
  <c r="BU245" i="4"/>
  <c r="BU283" i="4"/>
  <c r="BU331" i="4"/>
  <c r="BU247" i="4"/>
  <c r="BU290" i="4"/>
  <c r="BU312" i="4"/>
  <c r="BU324" i="4"/>
  <c r="BU336" i="4"/>
  <c r="AL275" i="4"/>
  <c r="AN275" i="10" s="1"/>
  <c r="AL311" i="4"/>
  <c r="AN311" i="10" s="1"/>
  <c r="AL36" i="4"/>
  <c r="AN36" i="10" s="1"/>
  <c r="AL145" i="4"/>
  <c r="AN145" i="10" s="1"/>
  <c r="BU55" i="4"/>
  <c r="BU211" i="4"/>
  <c r="AL234" i="4"/>
  <c r="AN234" i="10" s="1"/>
  <c r="BU169" i="4"/>
  <c r="BU277" i="4"/>
  <c r="BU265" i="4"/>
  <c r="BU316" i="4"/>
  <c r="BU175" i="4"/>
  <c r="AL240" i="4"/>
  <c r="AN240" i="10" s="1"/>
  <c r="BU318" i="4"/>
  <c r="AL66" i="4"/>
  <c r="AN66" i="10" s="1"/>
  <c r="AL174" i="4"/>
  <c r="AN174" i="10" s="1"/>
  <c r="AL246" i="4"/>
  <c r="AN246" i="10" s="1"/>
  <c r="AL120" i="4"/>
  <c r="AN120" i="10" s="1"/>
  <c r="AL42" i="4"/>
  <c r="AN42" i="10" s="1"/>
  <c r="AL150" i="4"/>
  <c r="AN150" i="10" s="1"/>
  <c r="AL258" i="4"/>
  <c r="AN258" i="10" s="1"/>
  <c r="AL294" i="4"/>
  <c r="AN294" i="10" s="1"/>
  <c r="AL34" i="4"/>
  <c r="AN34" i="10" s="1"/>
  <c r="AL112" i="4"/>
  <c r="AN112" i="10" s="1"/>
  <c r="AL244" i="4"/>
  <c r="AN244" i="10" s="1"/>
  <c r="AL286" i="4"/>
  <c r="AN286" i="10" s="1"/>
  <c r="AL334" i="4"/>
  <c r="AN334" i="10" s="1"/>
  <c r="AL209" i="4"/>
  <c r="AN209" i="10" s="1"/>
  <c r="AL317" i="4"/>
  <c r="AN317" i="10" s="1"/>
  <c r="AL305" i="4"/>
  <c r="AN305" i="10" s="1"/>
  <c r="AL137" i="4"/>
  <c r="AN137" i="10" s="1"/>
  <c r="AL118" i="4"/>
  <c r="AN118" i="10" s="1"/>
  <c r="AL48" i="4"/>
  <c r="AN48" i="10" s="1"/>
  <c r="AL70" i="4"/>
  <c r="AN70" i="10" s="1"/>
  <c r="AL154" i="4"/>
  <c r="AN154" i="10" s="1"/>
  <c r="AL184" i="4"/>
  <c r="AN184" i="10" s="1"/>
  <c r="AL280" i="4"/>
  <c r="AN280" i="10" s="1"/>
  <c r="AL328" i="4"/>
  <c r="AN328" i="10" s="1"/>
  <c r="AL71" i="4"/>
  <c r="AN71" i="10" s="1"/>
  <c r="AL107" i="4"/>
  <c r="AN107" i="10" s="1"/>
  <c r="AL203" i="4"/>
  <c r="AN203" i="10" s="1"/>
  <c r="AL341" i="4"/>
  <c r="AN341" i="10" s="1"/>
  <c r="BU127" i="4"/>
  <c r="BU205" i="4"/>
  <c r="BU12" i="4"/>
  <c r="BU30" i="4"/>
  <c r="BU48" i="4"/>
  <c r="BU66" i="4"/>
  <c r="BU84" i="4"/>
  <c r="BU19" i="4"/>
  <c r="BU91" i="4"/>
  <c r="BU20" i="4"/>
  <c r="BU128" i="4"/>
  <c r="BU315" i="4"/>
  <c r="BU64" i="4"/>
  <c r="BU194" i="4"/>
  <c r="BU280" i="4"/>
  <c r="BU10" i="4"/>
  <c r="BU82" i="4"/>
  <c r="BU141" i="4"/>
  <c r="BU303" i="4"/>
  <c r="BU152" i="4"/>
  <c r="BU61" i="4"/>
  <c r="BU217" i="4"/>
  <c r="BU261" i="4"/>
  <c r="BU304" i="4"/>
  <c r="BU16" i="4"/>
  <c r="BU59" i="4"/>
  <c r="BU146" i="4"/>
  <c r="BU296" i="4"/>
  <c r="BU308" i="4"/>
  <c r="BU320" i="4"/>
  <c r="BU332" i="4"/>
  <c r="BU163" i="4"/>
  <c r="BU271" i="4"/>
  <c r="BU272" i="4"/>
  <c r="BU157" i="4"/>
  <c r="BU229" i="4"/>
  <c r="BU301" i="4"/>
  <c r="BU158" i="4"/>
  <c r="BU259" i="4"/>
  <c r="BU116" i="4"/>
  <c r="BU73" i="4"/>
  <c r="BU133" i="4"/>
  <c r="BU181" i="4"/>
  <c r="BU23" i="4"/>
  <c r="BU110" i="4"/>
  <c r="BU153" i="4"/>
  <c r="BU241" i="4"/>
  <c r="BU92" i="4"/>
  <c r="BU236" i="4"/>
  <c r="BU122" i="4"/>
  <c r="BU34" i="4"/>
  <c r="BU105" i="4"/>
  <c r="BU80" i="4"/>
  <c r="BU13" i="4"/>
  <c r="BU85" i="4"/>
  <c r="BU142" i="4"/>
  <c r="BU325" i="4"/>
  <c r="BU74" i="4"/>
  <c r="BU117" i="4"/>
  <c r="BU329" i="4"/>
  <c r="BU341" i="4"/>
  <c r="BU199" i="4"/>
  <c r="BU200" i="4"/>
  <c r="BU337" i="4"/>
  <c r="BU86" i="4"/>
  <c r="BU129" i="4"/>
  <c r="BU223" i="4"/>
  <c r="BU44" i="4"/>
  <c r="BU87" i="4"/>
  <c r="BU130" i="4"/>
  <c r="BU260" i="4"/>
  <c r="BU25" i="4"/>
  <c r="BU97" i="4"/>
  <c r="BU151" i="4"/>
  <c r="BU38" i="4"/>
  <c r="BU254" i="4"/>
  <c r="BU6" i="4"/>
  <c r="BU24" i="4"/>
  <c r="BU42" i="4"/>
  <c r="BU60" i="4"/>
  <c r="BU78" i="4"/>
  <c r="BU96" i="4"/>
  <c r="BU56" i="4"/>
  <c r="BU164" i="4"/>
  <c r="BU121" i="4"/>
  <c r="BU193" i="4"/>
  <c r="BU50" i="4"/>
  <c r="BU266" i="4"/>
  <c r="BU8" i="4"/>
  <c r="BU51" i="4"/>
  <c r="BU224" i="4"/>
  <c r="BU37" i="4"/>
  <c r="BU106" i="4"/>
  <c r="BU289" i="4"/>
  <c r="BU88" i="4"/>
  <c r="BU131" i="4"/>
  <c r="BU218" i="4"/>
  <c r="BU330" i="4"/>
  <c r="BU313" i="4"/>
  <c r="BU235" i="4"/>
  <c r="BU171" i="4"/>
  <c r="BU69" i="4"/>
  <c r="BU14" i="4"/>
  <c r="BU230" i="4"/>
  <c r="BU70" i="4"/>
  <c r="BU187" i="4"/>
  <c r="BU295" i="4"/>
  <c r="BU15" i="4"/>
  <c r="BU188" i="4"/>
  <c r="BU49" i="4"/>
  <c r="BU115" i="4"/>
  <c r="BU253" i="4"/>
  <c r="BU52" i="4"/>
  <c r="BU95" i="4"/>
  <c r="BU182" i="4"/>
  <c r="BU335" i="4"/>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7" i="1"/>
  <c r="L48" i="1"/>
  <c r="L49" i="1"/>
  <c r="L51" i="1"/>
  <c r="L52" i="1"/>
  <c r="L53" i="1"/>
  <c r="L54" i="1"/>
  <c r="L55" i="1"/>
  <c r="L56" i="1"/>
  <c r="L57" i="1"/>
  <c r="L58" i="1"/>
  <c r="L59" i="1"/>
  <c r="L60" i="1"/>
  <c r="L61" i="1"/>
  <c r="L62" i="1"/>
  <c r="L63" i="1"/>
  <c r="L64" i="1"/>
  <c r="L65" i="1"/>
  <c r="L67" i="1"/>
  <c r="L68" i="1"/>
  <c r="L69" i="1"/>
  <c r="L70" i="1"/>
  <c r="L71" i="1"/>
  <c r="L72" i="1"/>
  <c r="L73" i="1"/>
  <c r="L74" i="1"/>
  <c r="L75" i="1"/>
  <c r="L76" i="1"/>
  <c r="L77" i="1"/>
  <c r="L78" i="1"/>
  <c r="L79"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5" i="1"/>
  <c r="L166" i="1"/>
  <c r="L167" i="1"/>
  <c r="L168" i="1"/>
  <c r="L169" i="1"/>
  <c r="L170" i="1"/>
  <c r="L171" i="1"/>
  <c r="L172" i="1"/>
  <c r="L173" i="1"/>
  <c r="L174"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9" i="1"/>
  <c r="L210" i="1"/>
  <c r="L211" i="1"/>
  <c r="L212" i="1"/>
  <c r="L213" i="1"/>
  <c r="L214" i="1"/>
  <c r="L215" i="1"/>
  <c r="L216" i="1"/>
  <c r="L217" i="1"/>
  <c r="L218" i="1"/>
  <c r="L219" i="1"/>
  <c r="L220" i="1"/>
  <c r="L221" i="1"/>
  <c r="L222" i="1"/>
  <c r="L224" i="1"/>
  <c r="L225" i="1"/>
  <c r="L226" i="1"/>
  <c r="L227" i="1"/>
  <c r="L228" i="1"/>
  <c r="L229" i="1"/>
  <c r="L230"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90" i="1"/>
  <c r="L291" i="1"/>
  <c r="L293" i="1"/>
  <c r="L294" i="1"/>
  <c r="L295" i="1"/>
  <c r="L296" i="1"/>
  <c r="L297" i="1"/>
  <c r="L298" i="1"/>
  <c r="L299" i="1"/>
  <c r="L301" i="1"/>
  <c r="L302" i="1"/>
  <c r="L303" i="1"/>
  <c r="L304" i="1"/>
  <c r="L305"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4" i="1"/>
  <c r="L335" i="1"/>
  <c r="L336" i="1"/>
  <c r="L337" i="1"/>
  <c r="L338" i="1"/>
  <c r="L339" i="1"/>
  <c r="L340" i="1"/>
  <c r="L341" i="1"/>
  <c r="M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O4" i="1"/>
  <c r="O5" i="1"/>
  <c r="O6" i="1"/>
  <c r="O7" i="1"/>
  <c r="O8" i="1"/>
  <c r="O9" i="1"/>
  <c r="O10" i="1"/>
  <c r="O11" i="1"/>
  <c r="O12" i="1"/>
  <c r="O13" i="1"/>
  <c r="O14" i="1"/>
  <c r="O15" i="1"/>
  <c r="O16" i="1"/>
  <c r="O17" i="1"/>
  <c r="O18" i="1"/>
  <c r="O19" i="1"/>
  <c r="O20" i="1"/>
  <c r="O21" i="1"/>
  <c r="O22" i="1"/>
  <c r="O23" i="1"/>
  <c r="O24" i="1"/>
  <c r="O25" i="1"/>
  <c r="O26" i="1"/>
  <c r="O27" i="1"/>
  <c r="O28" i="1"/>
  <c r="O29" i="1"/>
  <c r="O30"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P4" i="1"/>
  <c r="P5" i="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R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S4" i="1"/>
  <c r="S5" i="1"/>
  <c r="S6" i="1"/>
  <c r="S7" i="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290" i="1"/>
  <c r="U291" i="1"/>
  <c r="U292" i="1"/>
  <c r="U293" i="1"/>
  <c r="U294" i="1"/>
  <c r="U295" i="1"/>
  <c r="U296" i="1"/>
  <c r="U297" i="1"/>
  <c r="U298" i="1"/>
  <c r="U299" i="1"/>
  <c r="U300" i="1"/>
  <c r="U301" i="1"/>
  <c r="U302" i="1"/>
  <c r="U303" i="1"/>
  <c r="U304" i="1"/>
  <c r="U305" i="1"/>
  <c r="U306" i="1"/>
  <c r="U307" i="1"/>
  <c r="U308" i="1"/>
  <c r="U309" i="1"/>
  <c r="U310" i="1"/>
  <c r="U311" i="1"/>
  <c r="U312" i="1"/>
  <c r="U313" i="1"/>
  <c r="U314" i="1"/>
  <c r="U315" i="1"/>
  <c r="U316" i="1"/>
  <c r="U317" i="1"/>
  <c r="U318" i="1"/>
  <c r="U319" i="1"/>
  <c r="U320" i="1"/>
  <c r="U321" i="1"/>
  <c r="U322" i="1"/>
  <c r="U323" i="1"/>
  <c r="U324" i="1"/>
  <c r="U325" i="1"/>
  <c r="U326" i="1"/>
  <c r="U327" i="1"/>
  <c r="U328" i="1"/>
  <c r="U329" i="1"/>
  <c r="U330" i="1"/>
  <c r="U331" i="1"/>
  <c r="U332" i="1"/>
  <c r="U333" i="1"/>
  <c r="U334" i="1"/>
  <c r="U335" i="1"/>
  <c r="U336" i="1"/>
  <c r="U337" i="1"/>
  <c r="U338" i="1"/>
  <c r="U339" i="1"/>
  <c r="U340" i="1"/>
  <c r="U341"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W4" i="1"/>
  <c r="W5"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W320" i="1"/>
  <c r="W321" i="1"/>
  <c r="W322" i="1"/>
  <c r="W323" i="1"/>
  <c r="W324" i="1"/>
  <c r="W325" i="1"/>
  <c r="W326" i="1"/>
  <c r="W327" i="1"/>
  <c r="W328" i="1"/>
  <c r="W329" i="1"/>
  <c r="W330" i="1"/>
  <c r="W331" i="1"/>
  <c r="W332" i="1"/>
  <c r="W333" i="1"/>
  <c r="W334" i="1"/>
  <c r="W335" i="1"/>
  <c r="W336" i="1"/>
  <c r="W337" i="1"/>
  <c r="W338" i="1"/>
  <c r="W339" i="1"/>
  <c r="W340" i="1"/>
  <c r="W341" i="1"/>
  <c r="X4" i="1"/>
  <c r="X5" i="1"/>
  <c r="X6" i="1"/>
  <c r="X7" i="1"/>
  <c r="X8"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202" i="1"/>
  <c r="Y203" i="1"/>
  <c r="Y204" i="1"/>
  <c r="Y205" i="1"/>
  <c r="Y206" i="1"/>
  <c r="Y207" i="1"/>
  <c r="Y208" i="1"/>
  <c r="Y209" i="1"/>
  <c r="Y210" i="1"/>
  <c r="Y211" i="1"/>
  <c r="Y212" i="1"/>
  <c r="Y213" i="1"/>
  <c r="Y214" i="1"/>
  <c r="Y215" i="1"/>
  <c r="Y216" i="1"/>
  <c r="Y217" i="1"/>
  <c r="Y218" i="1"/>
  <c r="Y219" i="1"/>
  <c r="Y220" i="1"/>
  <c r="Y221" i="1"/>
  <c r="Y222" i="1"/>
  <c r="Y223" i="1"/>
  <c r="Y224" i="1"/>
  <c r="Y225" i="1"/>
  <c r="Y226" i="1"/>
  <c r="Y227" i="1"/>
  <c r="Y228" i="1"/>
  <c r="Y229" i="1"/>
  <c r="Y230" i="1"/>
  <c r="Y231" i="1"/>
  <c r="Y232" i="1"/>
  <c r="Y233" i="1"/>
  <c r="Y234" i="1"/>
  <c r="Y235" i="1"/>
  <c r="Y236" i="1"/>
  <c r="Y237" i="1"/>
  <c r="Y238" i="1"/>
  <c r="Y239" i="1"/>
  <c r="Y240" i="1"/>
  <c r="Y241" i="1"/>
  <c r="Y242" i="1"/>
  <c r="Y243" i="1"/>
  <c r="Y244" i="1"/>
  <c r="Y245" i="1"/>
  <c r="Y246" i="1"/>
  <c r="Y247" i="1"/>
  <c r="Y248" i="1"/>
  <c r="Y249" i="1"/>
  <c r="Y250" i="1"/>
  <c r="Y251" i="1"/>
  <c r="Y252" i="1"/>
  <c r="Y253" i="1"/>
  <c r="Y254" i="1"/>
  <c r="Y255" i="1"/>
  <c r="Y256" i="1"/>
  <c r="Y257" i="1"/>
  <c r="Y258" i="1"/>
  <c r="Y259" i="1"/>
  <c r="Y260" i="1"/>
  <c r="Y261" i="1"/>
  <c r="Y262" i="1"/>
  <c r="Y263" i="1"/>
  <c r="Y264" i="1"/>
  <c r="Y265" i="1"/>
  <c r="Y266" i="1"/>
  <c r="Y267" i="1"/>
  <c r="Y268" i="1"/>
  <c r="Y269" i="1"/>
  <c r="Y270" i="1"/>
  <c r="Y271" i="1"/>
  <c r="Y272" i="1"/>
  <c r="Y273" i="1"/>
  <c r="Y274" i="1"/>
  <c r="Y275" i="1"/>
  <c r="Y276" i="1"/>
  <c r="Y277" i="1"/>
  <c r="Y278" i="1"/>
  <c r="Y279" i="1"/>
  <c r="Y280" i="1"/>
  <c r="Y281" i="1"/>
  <c r="Y282" i="1"/>
  <c r="Y283" i="1"/>
  <c r="Y284" i="1"/>
  <c r="Y285" i="1"/>
  <c r="Y286" i="1"/>
  <c r="Y287" i="1"/>
  <c r="Y288" i="1"/>
  <c r="Y289" i="1"/>
  <c r="Y290" i="1"/>
  <c r="Y291" i="1"/>
  <c r="Y292" i="1"/>
  <c r="Y293" i="1"/>
  <c r="Y294" i="1"/>
  <c r="Y295" i="1"/>
  <c r="Y296" i="1"/>
  <c r="Y297" i="1"/>
  <c r="Y298" i="1"/>
  <c r="Y299" i="1"/>
  <c r="Y300" i="1"/>
  <c r="Y301" i="1"/>
  <c r="Y302" i="1"/>
  <c r="Y303" i="1"/>
  <c r="Y304" i="1"/>
  <c r="Y305" i="1"/>
  <c r="Y306" i="1"/>
  <c r="Y307" i="1"/>
  <c r="Y308" i="1"/>
  <c r="Y309" i="1"/>
  <c r="Y310" i="1"/>
  <c r="Y311" i="1"/>
  <c r="Y312" i="1"/>
  <c r="Y313" i="1"/>
  <c r="Y314" i="1"/>
  <c r="Y315" i="1"/>
  <c r="Y316" i="1"/>
  <c r="Y317" i="1"/>
  <c r="Y318" i="1"/>
  <c r="Y319" i="1"/>
  <c r="Y320" i="1"/>
  <c r="Y321" i="1"/>
  <c r="Y322" i="1"/>
  <c r="Y323" i="1"/>
  <c r="Y324" i="1"/>
  <c r="Y325" i="1"/>
  <c r="Y326" i="1"/>
  <c r="Y327" i="1"/>
  <c r="Y328" i="1"/>
  <c r="Y329" i="1"/>
  <c r="Y330" i="1"/>
  <c r="Y331" i="1"/>
  <c r="Y332" i="1"/>
  <c r="Y333" i="1"/>
  <c r="Y334" i="1"/>
  <c r="Y335" i="1"/>
  <c r="Y336" i="1"/>
  <c r="Y337" i="1"/>
  <c r="Y338" i="1"/>
  <c r="Y339" i="1"/>
  <c r="Y340" i="1"/>
  <c r="Y341" i="1"/>
  <c r="Z4" i="1"/>
  <c r="Z5" i="1"/>
  <c r="Z6" i="1"/>
  <c r="Z7"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AA4" i="1"/>
  <c r="AA5" i="1"/>
  <c r="AA6" i="1"/>
  <c r="AA7" i="1"/>
  <c r="AA8" i="1"/>
  <c r="AA9" i="1"/>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1" i="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1" i="1"/>
  <c r="AA212" i="1"/>
  <c r="AA213" i="1"/>
  <c r="AA214" i="1"/>
  <c r="AA215" i="1"/>
  <c r="AA216"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A256" i="1"/>
  <c r="AA257" i="1"/>
  <c r="AA258" i="1"/>
  <c r="AA259" i="1"/>
  <c r="AA260" i="1"/>
  <c r="AA261" i="1"/>
  <c r="AA262" i="1"/>
  <c r="AA263" i="1"/>
  <c r="AA264" i="1"/>
  <c r="AA265" i="1"/>
  <c r="AA266" i="1"/>
  <c r="AA267" i="1"/>
  <c r="AA268" i="1"/>
  <c r="AA269" i="1"/>
  <c r="AA270" i="1"/>
  <c r="AA271" i="1"/>
  <c r="AA272" i="1"/>
  <c r="AA273" i="1"/>
  <c r="AA274" i="1"/>
  <c r="AA275" i="1"/>
  <c r="AA276" i="1"/>
  <c r="AA277" i="1"/>
  <c r="AA278" i="1"/>
  <c r="AA279" i="1"/>
  <c r="AA280" i="1"/>
  <c r="AA281" i="1"/>
  <c r="AA282" i="1"/>
  <c r="AA283" i="1"/>
  <c r="AA284" i="1"/>
  <c r="AA285" i="1"/>
  <c r="AA286" i="1"/>
  <c r="AA287" i="1"/>
  <c r="AA288" i="1"/>
  <c r="AA289" i="1"/>
  <c r="AA290" i="1"/>
  <c r="AA291" i="1"/>
  <c r="AA292" i="1"/>
  <c r="AA293" i="1"/>
  <c r="AA294" i="1"/>
  <c r="AA295" i="1"/>
  <c r="AA296" i="1"/>
  <c r="AA297" i="1"/>
  <c r="AA298" i="1"/>
  <c r="AA299" i="1"/>
  <c r="AA300" i="1"/>
  <c r="AA301" i="1"/>
  <c r="AA302" i="1"/>
  <c r="AA303" i="1"/>
  <c r="AA304" i="1"/>
  <c r="AA305" i="1"/>
  <c r="AA306" i="1"/>
  <c r="AA307" i="1"/>
  <c r="AA308" i="1"/>
  <c r="AA309" i="1"/>
  <c r="AA310" i="1"/>
  <c r="AA311" i="1"/>
  <c r="AA312" i="1"/>
  <c r="AA313" i="1"/>
  <c r="AA314" i="1"/>
  <c r="AA315" i="1"/>
  <c r="AA316" i="1"/>
  <c r="AA317" i="1"/>
  <c r="AA318" i="1"/>
  <c r="AA319" i="1"/>
  <c r="AA320" i="1"/>
  <c r="AA321" i="1"/>
  <c r="AA322" i="1"/>
  <c r="AA323" i="1"/>
  <c r="AA324" i="1"/>
  <c r="AA325" i="1"/>
  <c r="AA326" i="1"/>
  <c r="AA327" i="1"/>
  <c r="AA328" i="1"/>
  <c r="AA329" i="1"/>
  <c r="AA330" i="1"/>
  <c r="AA331" i="1"/>
  <c r="AA332" i="1"/>
  <c r="AA333" i="1"/>
  <c r="AA334" i="1"/>
  <c r="AA335" i="1"/>
  <c r="AA336" i="1"/>
  <c r="AA337" i="1"/>
  <c r="AA338" i="1"/>
  <c r="AA339" i="1"/>
  <c r="AA340" i="1"/>
  <c r="AA341" i="1"/>
  <c r="AH4" i="1"/>
  <c r="AH5" i="1"/>
  <c r="AH6" i="1"/>
  <c r="AH7" i="1"/>
  <c r="AH8" i="1"/>
  <c r="AH9" i="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H76" i="1"/>
  <c r="AH77" i="1"/>
  <c r="AH78" i="1"/>
  <c r="AH79" i="1"/>
  <c r="AH80" i="1"/>
  <c r="AH81" i="1"/>
  <c r="AH82" i="1"/>
  <c r="AH83" i="1"/>
  <c r="AH84" i="1"/>
  <c r="AH85" i="1"/>
  <c r="AH86" i="1"/>
  <c r="AH87" i="1"/>
  <c r="AH88" i="1"/>
  <c r="AH89" i="1"/>
  <c r="AH90" i="1"/>
  <c r="AH91" i="1"/>
  <c r="AH92" i="1"/>
  <c r="AH93" i="1"/>
  <c r="AH94" i="1"/>
  <c r="AH95" i="1"/>
  <c r="AH96" i="1"/>
  <c r="AH97" i="1"/>
  <c r="AH98" i="1"/>
  <c r="AH99" i="1"/>
  <c r="AH100" i="1"/>
  <c r="AH101" i="1"/>
  <c r="AH102" i="1"/>
  <c r="AH103"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132" i="1"/>
  <c r="AH133" i="1"/>
  <c r="AH134" i="1"/>
  <c r="AH135" i="1"/>
  <c r="AH136" i="1"/>
  <c r="AH137" i="1"/>
  <c r="AH138" i="1"/>
  <c r="AH139" i="1"/>
  <c r="AH140" i="1"/>
  <c r="AH141" i="1"/>
  <c r="AH142" i="1"/>
  <c r="AH143" i="1"/>
  <c r="AH144" i="1"/>
  <c r="AH145" i="1"/>
  <c r="AH146" i="1"/>
  <c r="AH147" i="1"/>
  <c r="AH148" i="1"/>
  <c r="AH149" i="1"/>
  <c r="AH150" i="1"/>
  <c r="AH151" i="1"/>
  <c r="AH152" i="1"/>
  <c r="AH153" i="1"/>
  <c r="AH154" i="1"/>
  <c r="AH155" i="1"/>
  <c r="AH156" i="1"/>
  <c r="AH157" i="1"/>
  <c r="AH158" i="1"/>
  <c r="AH159" i="1"/>
  <c r="AH160" i="1"/>
  <c r="AH161" i="1"/>
  <c r="AH162" i="1"/>
  <c r="AH163" i="1"/>
  <c r="AH164" i="1"/>
  <c r="AH165" i="1"/>
  <c r="AH166" i="1"/>
  <c r="AH167" i="1"/>
  <c r="AH168" i="1"/>
  <c r="AH169" i="1"/>
  <c r="AH170" i="1"/>
  <c r="AH171" i="1"/>
  <c r="AH172" i="1"/>
  <c r="AH173" i="1"/>
  <c r="AH174" i="1"/>
  <c r="AH175"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228" i="1"/>
  <c r="AH229" i="1"/>
  <c r="AH230" i="1"/>
  <c r="AH231" i="1"/>
  <c r="AH232" i="1"/>
  <c r="AH233" i="1"/>
  <c r="AH234" i="1"/>
  <c r="AH235" i="1"/>
  <c r="AH236" i="1"/>
  <c r="AH237" i="1"/>
  <c r="AH238" i="1"/>
  <c r="AH239" i="1"/>
  <c r="AH240" i="1"/>
  <c r="AH241" i="1"/>
  <c r="AH242" i="1"/>
  <c r="AH243" i="1"/>
  <c r="AH244" i="1"/>
  <c r="AH245" i="1"/>
  <c r="AH246" i="1"/>
  <c r="AH247" i="1"/>
  <c r="AH248" i="1"/>
  <c r="AH249" i="1"/>
  <c r="AH250" i="1"/>
  <c r="AH251" i="1"/>
  <c r="AH252" i="1"/>
  <c r="AH253" i="1"/>
  <c r="AH254" i="1"/>
  <c r="AH255" i="1"/>
  <c r="AH256" i="1"/>
  <c r="AH257" i="1"/>
  <c r="AH258" i="1"/>
  <c r="AH259" i="1"/>
  <c r="AH260" i="1"/>
  <c r="AH261" i="1"/>
  <c r="AH262" i="1"/>
  <c r="AH263" i="1"/>
  <c r="AH264" i="1"/>
  <c r="AH265" i="1"/>
  <c r="AH266" i="1"/>
  <c r="AH267" i="1"/>
  <c r="AH268" i="1"/>
  <c r="AH269" i="1"/>
  <c r="AH270" i="1"/>
  <c r="AH271" i="1"/>
  <c r="AH272" i="1"/>
  <c r="AH273" i="1"/>
  <c r="AH274" i="1"/>
  <c r="AH275" i="1"/>
  <c r="AH276" i="1"/>
  <c r="AH277" i="1"/>
  <c r="AH278" i="1"/>
  <c r="AH279" i="1"/>
  <c r="AH280" i="1"/>
  <c r="AH281" i="1"/>
  <c r="AH282" i="1"/>
  <c r="AH283" i="1"/>
  <c r="AH284" i="1"/>
  <c r="AH285" i="1"/>
  <c r="AH286" i="1"/>
  <c r="AH287" i="1"/>
  <c r="AH288" i="1"/>
  <c r="AH289" i="1"/>
  <c r="AH290" i="1"/>
  <c r="AH291" i="1"/>
  <c r="AH292" i="1"/>
  <c r="AH293" i="1"/>
  <c r="AH294" i="1"/>
  <c r="AH295" i="1"/>
  <c r="AH296" i="1"/>
  <c r="AH297" i="1"/>
  <c r="AH298" i="1"/>
  <c r="AH299" i="1"/>
  <c r="AH300" i="1"/>
  <c r="AH301" i="1"/>
  <c r="AH302" i="1"/>
  <c r="AH303" i="1"/>
  <c r="AH304" i="1"/>
  <c r="AH305" i="1"/>
  <c r="AH306" i="1"/>
  <c r="AH307" i="1"/>
  <c r="AH308" i="1"/>
  <c r="AH309" i="1"/>
  <c r="AH310" i="1"/>
  <c r="AH311" i="1"/>
  <c r="AH312" i="1"/>
  <c r="AH313" i="1"/>
  <c r="AH314" i="1"/>
  <c r="AH315" i="1"/>
  <c r="AH316" i="1"/>
  <c r="AH317" i="1"/>
  <c r="AH318" i="1"/>
  <c r="AH319" i="1"/>
  <c r="AH320" i="1"/>
  <c r="AH321" i="1"/>
  <c r="AH322" i="1"/>
  <c r="AH323" i="1"/>
  <c r="AH324" i="1"/>
  <c r="AH325" i="1"/>
  <c r="AH326" i="1"/>
  <c r="AH327" i="1"/>
  <c r="AH328" i="1"/>
  <c r="AH329" i="1"/>
  <c r="AH330" i="1"/>
  <c r="AH331" i="1"/>
  <c r="AH332" i="1"/>
  <c r="AH333" i="1"/>
  <c r="AH334" i="1"/>
  <c r="AH335" i="1"/>
  <c r="AH336" i="1"/>
  <c r="AH337" i="1"/>
  <c r="AH338" i="1"/>
  <c r="AH339" i="1"/>
  <c r="AH340" i="1"/>
  <c r="AH341" i="1"/>
  <c r="AI4" i="1"/>
  <c r="AI5" i="1"/>
  <c r="AI6" i="1"/>
  <c r="AK6" i="1" s="1"/>
  <c r="AI7" i="1"/>
  <c r="AI8" i="1"/>
  <c r="AI9" i="1"/>
  <c r="AJ9" i="1" s="1"/>
  <c r="AI10" i="1"/>
  <c r="AJ10" i="1" s="1"/>
  <c r="AI11" i="1"/>
  <c r="AI12" i="1"/>
  <c r="AK12" i="1" s="1"/>
  <c r="AI13" i="1"/>
  <c r="AI14" i="1"/>
  <c r="AI15" i="1"/>
  <c r="AJ15" i="1" s="1"/>
  <c r="AI16" i="1"/>
  <c r="AK16" i="1" s="1"/>
  <c r="AI17" i="1"/>
  <c r="AI18" i="1"/>
  <c r="AK18" i="1" s="1"/>
  <c r="AI19" i="1"/>
  <c r="AJ19" i="1" s="1"/>
  <c r="AI20" i="1"/>
  <c r="AI21" i="1"/>
  <c r="AJ21" i="1" s="1"/>
  <c r="AI22" i="1"/>
  <c r="AI23" i="1"/>
  <c r="AI24" i="1"/>
  <c r="AI25" i="1"/>
  <c r="AK25" i="1" s="1"/>
  <c r="AI26" i="1"/>
  <c r="AJ26" i="1" s="1"/>
  <c r="AI27" i="1"/>
  <c r="AJ27" i="1" s="1"/>
  <c r="AI28" i="1"/>
  <c r="AI29" i="1"/>
  <c r="AI30" i="1"/>
  <c r="AK30" i="1" s="1"/>
  <c r="AI31" i="1"/>
  <c r="AJ31" i="1" s="1"/>
  <c r="AI32" i="1"/>
  <c r="AI33" i="1"/>
  <c r="AJ33" i="1" s="1"/>
  <c r="AI34" i="1"/>
  <c r="AI35" i="1"/>
  <c r="AI36" i="1"/>
  <c r="AK36" i="1" s="1"/>
  <c r="AI37" i="1"/>
  <c r="AK37" i="1" s="1"/>
  <c r="AI38" i="1"/>
  <c r="AJ38" i="1" s="1"/>
  <c r="AI39" i="1"/>
  <c r="AJ39" i="1" s="1"/>
  <c r="AI40" i="1"/>
  <c r="AI41" i="1"/>
  <c r="AI42" i="1"/>
  <c r="AK42" i="1" s="1"/>
  <c r="AI43" i="1"/>
  <c r="AJ43" i="1" s="1"/>
  <c r="AI44" i="1"/>
  <c r="AJ44" i="1" s="1"/>
  <c r="AI45" i="1"/>
  <c r="AJ45" i="1" s="1"/>
  <c r="AI46" i="1"/>
  <c r="AJ46" i="1" s="1"/>
  <c r="AI47" i="1"/>
  <c r="AI48" i="1"/>
  <c r="AK48" i="1" s="1"/>
  <c r="AI49" i="1"/>
  <c r="AJ49" i="1" s="1"/>
  <c r="AI50" i="1"/>
  <c r="AI51" i="1"/>
  <c r="AJ51" i="1" s="1"/>
  <c r="AI52" i="1"/>
  <c r="AJ52" i="1" s="1"/>
  <c r="AI53" i="1"/>
  <c r="AI54" i="1"/>
  <c r="AK54" i="1" s="1"/>
  <c r="AI55" i="1"/>
  <c r="AJ55" i="1" s="1"/>
  <c r="AI56" i="1"/>
  <c r="AI57" i="1"/>
  <c r="AJ57" i="1" s="1"/>
  <c r="AI58" i="1"/>
  <c r="AI59" i="1"/>
  <c r="AI60" i="1"/>
  <c r="AI61" i="1"/>
  <c r="AJ61" i="1" s="1"/>
  <c r="AI62" i="1"/>
  <c r="AI63" i="1"/>
  <c r="AJ63" i="1" s="1"/>
  <c r="AI64" i="1"/>
  <c r="AI65" i="1"/>
  <c r="AI66" i="1"/>
  <c r="AK66" i="1" s="1"/>
  <c r="AI67" i="1"/>
  <c r="AJ67" i="1" s="1"/>
  <c r="AI68" i="1"/>
  <c r="AJ68" i="1" s="1"/>
  <c r="AI69" i="1"/>
  <c r="AJ69" i="1" s="1"/>
  <c r="AI70" i="1"/>
  <c r="AI71" i="1"/>
  <c r="AI72" i="1"/>
  <c r="AK72" i="1" s="1"/>
  <c r="AI73" i="1"/>
  <c r="AJ73" i="1" s="1"/>
  <c r="AI74" i="1"/>
  <c r="AJ74" i="1" s="1"/>
  <c r="AI75" i="1"/>
  <c r="AJ75" i="1" s="1"/>
  <c r="AI76" i="1"/>
  <c r="AI77" i="1"/>
  <c r="AI78" i="1"/>
  <c r="AK78" i="1" s="1"/>
  <c r="AI79" i="1"/>
  <c r="AI80" i="1"/>
  <c r="AI81" i="1"/>
  <c r="AJ81" i="1" s="1"/>
  <c r="AI82" i="1"/>
  <c r="AJ82" i="1" s="1"/>
  <c r="AI83" i="1"/>
  <c r="AI84" i="1"/>
  <c r="AK84" i="1" s="1"/>
  <c r="AI85" i="1"/>
  <c r="AJ85" i="1" s="1"/>
  <c r="AI86" i="1"/>
  <c r="AJ86" i="1" s="1"/>
  <c r="AI87" i="1"/>
  <c r="AJ87" i="1" s="1"/>
  <c r="AI88" i="1"/>
  <c r="AK88" i="1" s="1"/>
  <c r="AI89" i="1"/>
  <c r="AI90" i="1"/>
  <c r="AK90" i="1" s="1"/>
  <c r="AI91" i="1"/>
  <c r="AJ91" i="1" s="1"/>
  <c r="AI92" i="1"/>
  <c r="AJ92" i="1" s="1"/>
  <c r="AI93" i="1"/>
  <c r="AJ93" i="1" s="1"/>
  <c r="AI94" i="1"/>
  <c r="AI95" i="1"/>
  <c r="AI96" i="1"/>
  <c r="AI97" i="1"/>
  <c r="AK97" i="1" s="1"/>
  <c r="AI98" i="1"/>
  <c r="AI99" i="1"/>
  <c r="AJ99" i="1" s="1"/>
  <c r="AI100" i="1"/>
  <c r="AI101" i="1"/>
  <c r="AI102" i="1"/>
  <c r="AK102" i="1" s="1"/>
  <c r="AI103" i="1"/>
  <c r="AJ103" i="1" s="1"/>
  <c r="AI104" i="1"/>
  <c r="AI105" i="1"/>
  <c r="AJ105" i="1" s="1"/>
  <c r="AI106" i="1"/>
  <c r="AI107" i="1"/>
  <c r="AI108" i="1"/>
  <c r="AK108" i="1" s="1"/>
  <c r="AI109" i="1"/>
  <c r="AJ109" i="1" s="1"/>
  <c r="AI110" i="1"/>
  <c r="AJ110" i="1" s="1"/>
  <c r="AI111" i="1"/>
  <c r="AJ111" i="1" s="1"/>
  <c r="AI112" i="1"/>
  <c r="AI113" i="1"/>
  <c r="AI114" i="1"/>
  <c r="AK114" i="1" s="1"/>
  <c r="AI115" i="1"/>
  <c r="AJ115" i="1" s="1"/>
  <c r="AI116" i="1"/>
  <c r="AI117" i="1"/>
  <c r="AJ117" i="1" s="1"/>
  <c r="AI118" i="1"/>
  <c r="AJ118" i="1" s="1"/>
  <c r="AI119" i="1"/>
  <c r="AI120" i="1"/>
  <c r="AK120" i="1" s="1"/>
  <c r="AI121" i="1"/>
  <c r="AK121" i="1" s="1"/>
  <c r="AI122" i="1"/>
  <c r="AI123" i="1"/>
  <c r="AJ123" i="1" s="1"/>
  <c r="AI124" i="1"/>
  <c r="AK124" i="1" s="1"/>
  <c r="AI125" i="1"/>
  <c r="AI126" i="1"/>
  <c r="AK126" i="1" s="1"/>
  <c r="AI127" i="1"/>
  <c r="AJ127" i="1" s="1"/>
  <c r="AI128" i="1"/>
  <c r="AI129" i="1"/>
  <c r="AJ129" i="1" s="1"/>
  <c r="AI130" i="1"/>
  <c r="AI131" i="1"/>
  <c r="AI132" i="1"/>
  <c r="AI133" i="1"/>
  <c r="AK133" i="1" s="1"/>
  <c r="AI134" i="1"/>
  <c r="AJ134" i="1" s="1"/>
  <c r="AI135" i="1"/>
  <c r="AJ135" i="1" s="1"/>
  <c r="AI136" i="1"/>
  <c r="AI137" i="1"/>
  <c r="AI138" i="1"/>
  <c r="AK138" i="1" s="1"/>
  <c r="AI139" i="1"/>
  <c r="AJ139" i="1" s="1"/>
  <c r="AI140" i="1"/>
  <c r="AK140" i="1" s="1"/>
  <c r="AI141" i="1"/>
  <c r="AJ141" i="1" s="1"/>
  <c r="AI142" i="1"/>
  <c r="AI143" i="1"/>
  <c r="AI144" i="1"/>
  <c r="AK144" i="1" s="1"/>
  <c r="AI145" i="1"/>
  <c r="AK145" i="1" s="1"/>
  <c r="AI146" i="1"/>
  <c r="AJ146" i="1" s="1"/>
  <c r="AI147" i="1"/>
  <c r="AJ147" i="1" s="1"/>
  <c r="AI148" i="1"/>
  <c r="AI149" i="1"/>
  <c r="AI150" i="1"/>
  <c r="AK150" i="1" s="1"/>
  <c r="AI151" i="1"/>
  <c r="AJ151" i="1" s="1"/>
  <c r="AI152" i="1"/>
  <c r="AJ152" i="1" s="1"/>
  <c r="AI153" i="1"/>
  <c r="AJ153" i="1" s="1"/>
  <c r="AI154" i="1"/>
  <c r="AJ154" i="1" s="1"/>
  <c r="AI155" i="1"/>
  <c r="AI156" i="1"/>
  <c r="AK156" i="1" s="1"/>
  <c r="AI157" i="1"/>
  <c r="AK157" i="1" s="1"/>
  <c r="AI158" i="1"/>
  <c r="AJ158" i="1" s="1"/>
  <c r="AI159" i="1"/>
  <c r="AJ159" i="1" s="1"/>
  <c r="AI160" i="1"/>
  <c r="AJ160" i="1" s="1"/>
  <c r="AI161" i="1"/>
  <c r="AI162" i="1"/>
  <c r="AK162" i="1" s="1"/>
  <c r="AI163" i="1"/>
  <c r="AJ163" i="1" s="1"/>
  <c r="AI164" i="1"/>
  <c r="AI165" i="1"/>
  <c r="AJ165" i="1" s="1"/>
  <c r="AI166" i="1"/>
  <c r="AI167" i="1"/>
  <c r="AI168" i="1"/>
  <c r="AI169" i="1"/>
  <c r="AI170" i="1"/>
  <c r="AI171" i="1"/>
  <c r="AJ171" i="1" s="1"/>
  <c r="AI172" i="1"/>
  <c r="AI173" i="1"/>
  <c r="AI174" i="1"/>
  <c r="AK174" i="1" s="1"/>
  <c r="AI175" i="1"/>
  <c r="AI176" i="1"/>
  <c r="AJ176" i="1" s="1"/>
  <c r="AI177" i="1"/>
  <c r="AJ177" i="1" s="1"/>
  <c r="AI178" i="1"/>
  <c r="AI179" i="1"/>
  <c r="AI180" i="1"/>
  <c r="AK180" i="1" s="1"/>
  <c r="AI181" i="1"/>
  <c r="AI182" i="1"/>
  <c r="AJ182" i="1" s="1"/>
  <c r="AI183" i="1"/>
  <c r="AJ183" i="1" s="1"/>
  <c r="AI184" i="1"/>
  <c r="AI185" i="1"/>
  <c r="AI186" i="1"/>
  <c r="AK186" i="1" s="1"/>
  <c r="AI187" i="1"/>
  <c r="AI188" i="1"/>
  <c r="AI189" i="1"/>
  <c r="AJ189" i="1" s="1"/>
  <c r="AI190" i="1"/>
  <c r="AJ190" i="1" s="1"/>
  <c r="AI191" i="1"/>
  <c r="AI192" i="1"/>
  <c r="AK192" i="1" s="1"/>
  <c r="AI193" i="1"/>
  <c r="AI194" i="1"/>
  <c r="AJ194" i="1" s="1"/>
  <c r="AI195" i="1"/>
  <c r="AJ195" i="1" s="1"/>
  <c r="AI196" i="1"/>
  <c r="AK196" i="1" s="1"/>
  <c r="AI197" i="1"/>
  <c r="AI198" i="1"/>
  <c r="AK198" i="1" s="1"/>
  <c r="AI199" i="1"/>
  <c r="AJ199" i="1" s="1"/>
  <c r="AI200" i="1"/>
  <c r="AJ200" i="1" s="1"/>
  <c r="AI201" i="1"/>
  <c r="AJ201" i="1" s="1"/>
  <c r="AI202" i="1"/>
  <c r="AI203" i="1"/>
  <c r="AI204" i="1"/>
  <c r="AI205" i="1"/>
  <c r="AI206" i="1"/>
  <c r="AI207" i="1"/>
  <c r="AJ207" i="1" s="1"/>
  <c r="AI208" i="1"/>
  <c r="AI209" i="1"/>
  <c r="AI210" i="1"/>
  <c r="AK210" i="1" s="1"/>
  <c r="AI211" i="1"/>
  <c r="AI212" i="1"/>
  <c r="AK212" i="1" s="1"/>
  <c r="AI213" i="1"/>
  <c r="AJ213" i="1" s="1"/>
  <c r="AI214" i="1"/>
  <c r="AI215" i="1"/>
  <c r="AI216" i="1"/>
  <c r="AK216" i="1" s="1"/>
  <c r="AI217" i="1"/>
  <c r="AI218" i="1"/>
  <c r="AJ218" i="1" s="1"/>
  <c r="AI219" i="1"/>
  <c r="AJ219" i="1" s="1"/>
  <c r="AI220" i="1"/>
  <c r="AI221" i="1"/>
  <c r="AI222" i="1"/>
  <c r="AK222" i="1" s="1"/>
  <c r="AI223" i="1"/>
  <c r="AJ223" i="1" s="1"/>
  <c r="AI224" i="1"/>
  <c r="AJ224" i="1" s="1"/>
  <c r="AI225" i="1"/>
  <c r="AJ225" i="1" s="1"/>
  <c r="AI226" i="1"/>
  <c r="AI227" i="1"/>
  <c r="AI228" i="1"/>
  <c r="AK228" i="1" s="1"/>
  <c r="AI229" i="1"/>
  <c r="AI230" i="1"/>
  <c r="AJ230" i="1" s="1"/>
  <c r="AI231" i="1"/>
  <c r="AJ231" i="1" s="1"/>
  <c r="AI232" i="1"/>
  <c r="AJ232" i="1" s="1"/>
  <c r="AI233" i="1"/>
  <c r="AI234" i="1"/>
  <c r="AK234" i="1" s="1"/>
  <c r="AI235" i="1"/>
  <c r="AJ235" i="1" s="1"/>
  <c r="AI236" i="1"/>
  <c r="AJ236" i="1" s="1"/>
  <c r="AI237" i="1"/>
  <c r="AI238" i="1"/>
  <c r="AI239" i="1"/>
  <c r="AI240" i="1"/>
  <c r="AK240" i="1" s="1"/>
  <c r="AI241" i="1"/>
  <c r="AK241" i="1" s="1"/>
  <c r="AI242" i="1"/>
  <c r="AJ242" i="1" s="1"/>
  <c r="AI243" i="1"/>
  <c r="AI244" i="1"/>
  <c r="AI245" i="1"/>
  <c r="AI246" i="1"/>
  <c r="AK246" i="1" s="1"/>
  <c r="AI247" i="1"/>
  <c r="AI248" i="1"/>
  <c r="AJ248" i="1" s="1"/>
  <c r="AI249" i="1"/>
  <c r="AI250" i="1"/>
  <c r="AI251" i="1"/>
  <c r="AI252" i="1"/>
  <c r="AK252" i="1" s="1"/>
  <c r="AI253" i="1"/>
  <c r="AI254" i="1"/>
  <c r="AJ254" i="1" s="1"/>
  <c r="AI255" i="1"/>
  <c r="AJ255" i="1" s="1"/>
  <c r="AI256" i="1"/>
  <c r="AI257" i="1"/>
  <c r="AI258" i="1"/>
  <c r="AK258" i="1" s="1"/>
  <c r="AI259" i="1"/>
  <c r="AJ259" i="1" s="1"/>
  <c r="AI260" i="1"/>
  <c r="AJ260" i="1" s="1"/>
  <c r="AI261" i="1"/>
  <c r="AJ261" i="1" s="1"/>
  <c r="AI262" i="1"/>
  <c r="AI263" i="1"/>
  <c r="AI264" i="1"/>
  <c r="AK264" i="1" s="1"/>
  <c r="AI265" i="1"/>
  <c r="AI266" i="1"/>
  <c r="AJ266" i="1" s="1"/>
  <c r="AI267" i="1"/>
  <c r="AJ267" i="1" s="1"/>
  <c r="AI268" i="1"/>
  <c r="AJ268" i="1" s="1"/>
  <c r="AI269" i="1"/>
  <c r="AI270" i="1"/>
  <c r="AK270" i="1" s="1"/>
  <c r="AI271" i="1"/>
  <c r="AJ271" i="1" s="1"/>
  <c r="AI272" i="1"/>
  <c r="AJ272" i="1" s="1"/>
  <c r="AI273" i="1"/>
  <c r="AI274" i="1"/>
  <c r="AI275" i="1"/>
  <c r="AI276" i="1"/>
  <c r="AK276" i="1" s="1"/>
  <c r="AI277" i="1"/>
  <c r="AK277" i="1" s="1"/>
  <c r="AI278" i="1"/>
  <c r="AJ278" i="1" s="1"/>
  <c r="AI279" i="1"/>
  <c r="AI280" i="1"/>
  <c r="AI281" i="1"/>
  <c r="AI282" i="1"/>
  <c r="AK282" i="1" s="1"/>
  <c r="AI283" i="1"/>
  <c r="AI284" i="1"/>
  <c r="AJ284" i="1" s="1"/>
  <c r="AI285" i="1"/>
  <c r="AI286" i="1"/>
  <c r="AI287" i="1"/>
  <c r="AI288" i="1"/>
  <c r="AK288" i="1" s="1"/>
  <c r="AI289" i="1"/>
  <c r="AI290" i="1"/>
  <c r="AJ290" i="1" s="1"/>
  <c r="AI291" i="1"/>
  <c r="AJ291" i="1" s="1"/>
  <c r="AI292" i="1"/>
  <c r="AI293" i="1"/>
  <c r="AI294" i="1"/>
  <c r="AK294" i="1" s="1"/>
  <c r="AI295" i="1"/>
  <c r="AJ295" i="1" s="1"/>
  <c r="AI296" i="1"/>
  <c r="AJ296" i="1" s="1"/>
  <c r="AI297" i="1"/>
  <c r="AJ297" i="1" s="1"/>
  <c r="AI298" i="1"/>
  <c r="AI299" i="1"/>
  <c r="AI300" i="1"/>
  <c r="AK300" i="1" s="1"/>
  <c r="AI301" i="1"/>
  <c r="AJ301" i="1" s="1"/>
  <c r="AI302" i="1"/>
  <c r="AJ302" i="1" s="1"/>
  <c r="AI303" i="1"/>
  <c r="AJ303" i="1" s="1"/>
  <c r="AI304" i="1"/>
  <c r="AJ304" i="1" s="1"/>
  <c r="AI305" i="1"/>
  <c r="AI306" i="1"/>
  <c r="AK306" i="1" s="1"/>
  <c r="AI307" i="1"/>
  <c r="AJ307" i="1" s="1"/>
  <c r="AI308" i="1"/>
  <c r="AJ308" i="1" s="1"/>
  <c r="AI309" i="1"/>
  <c r="AI310" i="1"/>
  <c r="AI311" i="1"/>
  <c r="AI312" i="1"/>
  <c r="AK312" i="1" s="1"/>
  <c r="AI313" i="1"/>
  <c r="AK313" i="1" s="1"/>
  <c r="AI314" i="1"/>
  <c r="AJ314" i="1" s="1"/>
  <c r="AI315" i="1"/>
  <c r="AI316" i="1"/>
  <c r="AI317" i="1"/>
  <c r="AI318" i="1"/>
  <c r="AK318" i="1" s="1"/>
  <c r="AI319" i="1"/>
  <c r="AI320" i="1"/>
  <c r="AJ320" i="1" s="1"/>
  <c r="AI321" i="1"/>
  <c r="AI322" i="1"/>
  <c r="AI323" i="1"/>
  <c r="AI324" i="1"/>
  <c r="AK324" i="1" s="1"/>
  <c r="AI325" i="1"/>
  <c r="AI326" i="1"/>
  <c r="AJ326" i="1" s="1"/>
  <c r="AI327" i="1"/>
  <c r="AJ327" i="1" s="1"/>
  <c r="AI328" i="1"/>
  <c r="AI329" i="1"/>
  <c r="AI330" i="1"/>
  <c r="AK330" i="1" s="1"/>
  <c r="AI331" i="1"/>
  <c r="AJ331" i="1" s="1"/>
  <c r="AI332" i="1"/>
  <c r="AJ332" i="1" s="1"/>
  <c r="AI333" i="1"/>
  <c r="AJ333" i="1" s="1"/>
  <c r="AI334" i="1"/>
  <c r="AJ334" i="1" s="1"/>
  <c r="AI335" i="1"/>
  <c r="AI336" i="1"/>
  <c r="AK336" i="1" s="1"/>
  <c r="AI337" i="1"/>
  <c r="AJ337" i="1" s="1"/>
  <c r="AI338" i="1"/>
  <c r="AJ338" i="1" s="1"/>
  <c r="AI339" i="1"/>
  <c r="AJ339" i="1" s="1"/>
  <c r="AI340" i="1"/>
  <c r="AJ340" i="1" s="1"/>
  <c r="AI341" i="1"/>
  <c r="AJ4" i="1"/>
  <c r="AJ5" i="1"/>
  <c r="AJ6" i="1"/>
  <c r="AJ8" i="1"/>
  <c r="AJ11" i="1"/>
  <c r="AJ12" i="1"/>
  <c r="AJ13" i="1"/>
  <c r="AJ14" i="1"/>
  <c r="AJ16" i="1"/>
  <c r="AJ17" i="1"/>
  <c r="AJ20" i="1"/>
  <c r="AJ22" i="1"/>
  <c r="AJ23" i="1"/>
  <c r="AJ28" i="1"/>
  <c r="AJ29" i="1"/>
  <c r="AJ30" i="1"/>
  <c r="AJ32" i="1"/>
  <c r="AJ34" i="1"/>
  <c r="AJ35" i="1"/>
  <c r="AJ36" i="1"/>
  <c r="AJ37" i="1"/>
  <c r="AJ40" i="1"/>
  <c r="AJ41" i="1"/>
  <c r="AJ42" i="1"/>
  <c r="AJ47" i="1"/>
  <c r="AJ48" i="1"/>
  <c r="AJ50" i="1"/>
  <c r="AJ53" i="1"/>
  <c r="AJ54" i="1"/>
  <c r="AJ56" i="1"/>
  <c r="AJ59" i="1"/>
  <c r="AJ62" i="1"/>
  <c r="AJ64" i="1"/>
  <c r="AJ65" i="1"/>
  <c r="AJ66" i="1"/>
  <c r="AJ70" i="1"/>
  <c r="AJ71" i="1"/>
  <c r="AJ72" i="1"/>
  <c r="AJ76" i="1"/>
  <c r="AJ77" i="1"/>
  <c r="AJ78" i="1"/>
  <c r="AJ79" i="1"/>
  <c r="AJ80" i="1"/>
  <c r="AJ83" i="1"/>
  <c r="AJ84" i="1"/>
  <c r="AJ88" i="1"/>
  <c r="AJ89" i="1"/>
  <c r="AJ90" i="1"/>
  <c r="AJ94" i="1"/>
  <c r="AJ98" i="1"/>
  <c r="AJ100" i="1"/>
  <c r="AJ101" i="1"/>
  <c r="AJ102" i="1"/>
  <c r="AJ104" i="1"/>
  <c r="AJ106" i="1"/>
  <c r="AJ107" i="1"/>
  <c r="AJ108" i="1"/>
  <c r="AJ112" i="1"/>
  <c r="AJ113" i="1"/>
  <c r="AJ114" i="1"/>
  <c r="AJ116" i="1"/>
  <c r="AJ119" i="1"/>
  <c r="AJ120" i="1"/>
  <c r="AJ121" i="1"/>
  <c r="AJ122" i="1"/>
  <c r="AJ124" i="1"/>
  <c r="AJ125" i="1"/>
  <c r="AJ128" i="1"/>
  <c r="AJ130" i="1"/>
  <c r="AJ131" i="1"/>
  <c r="AJ136" i="1"/>
  <c r="AJ137" i="1"/>
  <c r="AJ140" i="1"/>
  <c r="AJ142" i="1"/>
  <c r="AJ143" i="1"/>
  <c r="AJ144" i="1"/>
  <c r="AJ145" i="1"/>
  <c r="AJ148" i="1"/>
  <c r="AJ149" i="1"/>
  <c r="AJ150" i="1"/>
  <c r="AJ155" i="1"/>
  <c r="AJ156" i="1"/>
  <c r="AJ162" i="1"/>
  <c r="AJ164" i="1"/>
  <c r="AJ166" i="1"/>
  <c r="AJ167" i="1"/>
  <c r="AJ170" i="1"/>
  <c r="AJ172" i="1"/>
  <c r="AJ173" i="1"/>
  <c r="AJ174" i="1"/>
  <c r="AJ178" i="1"/>
  <c r="AJ184" i="1"/>
  <c r="AJ185" i="1"/>
  <c r="AJ186" i="1"/>
  <c r="AJ187" i="1"/>
  <c r="AJ188" i="1"/>
  <c r="AJ191" i="1"/>
  <c r="AJ192" i="1"/>
  <c r="AJ196" i="1"/>
  <c r="AJ197" i="1"/>
  <c r="AJ198" i="1"/>
  <c r="AJ202" i="1"/>
  <c r="AJ203" i="1"/>
  <c r="AJ206" i="1"/>
  <c r="AJ208" i="1"/>
  <c r="AJ209" i="1"/>
  <c r="AJ210" i="1"/>
  <c r="AJ212" i="1"/>
  <c r="AJ214" i="1"/>
  <c r="AJ215" i="1"/>
  <c r="AJ216" i="1"/>
  <c r="AJ220" i="1"/>
  <c r="AJ221" i="1"/>
  <c r="AJ226" i="1"/>
  <c r="AJ228" i="1"/>
  <c r="AJ233" i="1"/>
  <c r="AJ234" i="1"/>
  <c r="AJ237" i="1"/>
  <c r="AJ238" i="1"/>
  <c r="AJ239" i="1"/>
  <c r="AJ240" i="1"/>
  <c r="AJ241" i="1"/>
  <c r="AJ243" i="1"/>
  <c r="AJ244" i="1"/>
  <c r="AJ245" i="1"/>
  <c r="AJ249" i="1"/>
  <c r="AJ250" i="1"/>
  <c r="AJ251" i="1"/>
  <c r="AJ252" i="1"/>
  <c r="AJ256" i="1"/>
  <c r="AJ257" i="1"/>
  <c r="AJ258" i="1"/>
  <c r="AJ262" i="1"/>
  <c r="AJ263" i="1"/>
  <c r="AJ264" i="1"/>
  <c r="AJ269" i="1"/>
  <c r="AJ270" i="1"/>
  <c r="AJ273" i="1"/>
  <c r="AJ274" i="1"/>
  <c r="AJ275" i="1"/>
  <c r="AJ276" i="1"/>
  <c r="AJ277" i="1"/>
  <c r="AJ279" i="1"/>
  <c r="AJ280" i="1"/>
  <c r="AJ281" i="1"/>
  <c r="AJ285" i="1"/>
  <c r="AJ286" i="1"/>
  <c r="AJ287" i="1"/>
  <c r="AJ288" i="1"/>
  <c r="AJ292" i="1"/>
  <c r="AJ293" i="1"/>
  <c r="AJ294" i="1"/>
  <c r="AJ298" i="1"/>
  <c r="AJ299" i="1"/>
  <c r="AJ300" i="1"/>
  <c r="AJ305" i="1"/>
  <c r="AJ306" i="1"/>
  <c r="AJ309" i="1"/>
  <c r="AJ311" i="1"/>
  <c r="AJ312" i="1"/>
  <c r="AJ315" i="1"/>
  <c r="AJ316" i="1"/>
  <c r="AJ317" i="1"/>
  <c r="AJ321" i="1"/>
  <c r="AJ322" i="1"/>
  <c r="AJ323" i="1"/>
  <c r="AJ324" i="1"/>
  <c r="AJ328" i="1"/>
  <c r="AJ329" i="1"/>
  <c r="AJ330" i="1"/>
  <c r="AJ335" i="1"/>
  <c r="AJ336" i="1"/>
  <c r="AJ341" i="1"/>
  <c r="AK4" i="1"/>
  <c r="AK5" i="1"/>
  <c r="AK8" i="1"/>
  <c r="AK10" i="1"/>
  <c r="AK11" i="1"/>
  <c r="AK13" i="1"/>
  <c r="AK14" i="1"/>
  <c r="AK15" i="1"/>
  <c r="AK17" i="1"/>
  <c r="AK19" i="1"/>
  <c r="AK20" i="1"/>
  <c r="AK21" i="1"/>
  <c r="AK22" i="1"/>
  <c r="AK23" i="1"/>
  <c r="AK26" i="1"/>
  <c r="AK27" i="1"/>
  <c r="AK28" i="1"/>
  <c r="AK32" i="1"/>
  <c r="AK33" i="1"/>
  <c r="AK34" i="1"/>
  <c r="AK35" i="1"/>
  <c r="AK40" i="1"/>
  <c r="AK41" i="1"/>
  <c r="AK43" i="1"/>
  <c r="AK44" i="1"/>
  <c r="AK47" i="1"/>
  <c r="AK49" i="1"/>
  <c r="AK50" i="1"/>
  <c r="AK51" i="1"/>
  <c r="AK53" i="1"/>
  <c r="AK55" i="1"/>
  <c r="AK56" i="1"/>
  <c r="AK57" i="1"/>
  <c r="AK58" i="1"/>
  <c r="AK59" i="1"/>
  <c r="AK62" i="1"/>
  <c r="AK63" i="1"/>
  <c r="AK64" i="1"/>
  <c r="AK65" i="1"/>
  <c r="AK68" i="1"/>
  <c r="AK69" i="1"/>
  <c r="AK70" i="1"/>
  <c r="AK71" i="1"/>
  <c r="AK76" i="1"/>
  <c r="AK77" i="1"/>
  <c r="AK79" i="1"/>
  <c r="AK80" i="1"/>
  <c r="AK82" i="1"/>
  <c r="AK83" i="1"/>
  <c r="AK86" i="1"/>
  <c r="AK87" i="1"/>
  <c r="AK89" i="1"/>
  <c r="AK91" i="1"/>
  <c r="AK92" i="1"/>
  <c r="AK93" i="1"/>
  <c r="AK94" i="1"/>
  <c r="AK95" i="1"/>
  <c r="AK98" i="1"/>
  <c r="AK99" i="1"/>
  <c r="AK100" i="1"/>
  <c r="AK101" i="1"/>
  <c r="AK104" i="1"/>
  <c r="AK105" i="1"/>
  <c r="AK106" i="1"/>
  <c r="AK107" i="1"/>
  <c r="AK115" i="1"/>
  <c r="AK118" i="1"/>
  <c r="AK119" i="1"/>
  <c r="AK122" i="1"/>
  <c r="AK123" i="1"/>
  <c r="AK125" i="1"/>
  <c r="AK127" i="1"/>
  <c r="AK128" i="1"/>
  <c r="AK129" i="1"/>
  <c r="AK130" i="1"/>
  <c r="AK131" i="1"/>
  <c r="AK134" i="1"/>
  <c r="AK135" i="1"/>
  <c r="AK136" i="1"/>
  <c r="AK137" i="1"/>
  <c r="AK141" i="1"/>
  <c r="AK142" i="1"/>
  <c r="AK143" i="1"/>
  <c r="AK148" i="1"/>
  <c r="AK149" i="1"/>
  <c r="AK151" i="1"/>
  <c r="AK152" i="1"/>
  <c r="AK154" i="1"/>
  <c r="AK155" i="1"/>
  <c r="AK158" i="1"/>
  <c r="AK161" i="1"/>
  <c r="AK163" i="1"/>
  <c r="AK164" i="1"/>
  <c r="AK165" i="1"/>
  <c r="AK166" i="1"/>
  <c r="AK167" i="1"/>
  <c r="AK170" i="1"/>
  <c r="AK171" i="1"/>
  <c r="AK172" i="1"/>
  <c r="AK173" i="1"/>
  <c r="AK177" i="1"/>
  <c r="AK178" i="1"/>
  <c r="AK179" i="1"/>
  <c r="AK184" i="1"/>
  <c r="AK185" i="1"/>
  <c r="AK187" i="1"/>
  <c r="AK188" i="1"/>
  <c r="AK190" i="1"/>
  <c r="AK191" i="1"/>
  <c r="AK194" i="1"/>
  <c r="AK197" i="1"/>
  <c r="AK199" i="1"/>
  <c r="AK200" i="1"/>
  <c r="AK201" i="1"/>
  <c r="AK202" i="1"/>
  <c r="AK203" i="1"/>
  <c r="AK206" i="1"/>
  <c r="AK207" i="1"/>
  <c r="AK208" i="1"/>
  <c r="AK209" i="1"/>
  <c r="AK213" i="1"/>
  <c r="AK214" i="1"/>
  <c r="AK215" i="1"/>
  <c r="AK220" i="1"/>
  <c r="AK221" i="1"/>
  <c r="AK223" i="1"/>
  <c r="AK224" i="1"/>
  <c r="AK226" i="1"/>
  <c r="AK230" i="1"/>
  <c r="AK233" i="1"/>
  <c r="AK235" i="1"/>
  <c r="AK236" i="1"/>
  <c r="AK237" i="1"/>
  <c r="AK238" i="1"/>
  <c r="AK239" i="1"/>
  <c r="AK242" i="1"/>
  <c r="AK243" i="1"/>
  <c r="AK244" i="1"/>
  <c r="AK245" i="1"/>
  <c r="AK250" i="1"/>
  <c r="AK251" i="1"/>
  <c r="AK256" i="1"/>
  <c r="AK257" i="1"/>
  <c r="AK259" i="1"/>
  <c r="AK260" i="1"/>
  <c r="AK262" i="1"/>
  <c r="AK263" i="1"/>
  <c r="AK266" i="1"/>
  <c r="AK269" i="1"/>
  <c r="AK272" i="1"/>
  <c r="AK273" i="1"/>
  <c r="AK274" i="1"/>
  <c r="AK275" i="1"/>
  <c r="AK278" i="1"/>
  <c r="AK279" i="1"/>
  <c r="AK280" i="1"/>
  <c r="AK281" i="1"/>
  <c r="AK285" i="1"/>
  <c r="AK286" i="1"/>
  <c r="AK287" i="1"/>
  <c r="AK292" i="1"/>
  <c r="AK295" i="1"/>
  <c r="AK296" i="1"/>
  <c r="AK298" i="1"/>
  <c r="AK299" i="1"/>
  <c r="AK301" i="1"/>
  <c r="AK302" i="1"/>
  <c r="AK305" i="1"/>
  <c r="AK308" i="1"/>
  <c r="AK309" i="1"/>
  <c r="AK310" i="1"/>
  <c r="AK314" i="1"/>
  <c r="AK316" i="1"/>
  <c r="AK317" i="1"/>
  <c r="AK321" i="1"/>
  <c r="AK322" i="1"/>
  <c r="AK323" i="1"/>
  <c r="AK328" i="1"/>
  <c r="AK329" i="1"/>
  <c r="AK331" i="1"/>
  <c r="AK334" i="1"/>
  <c r="AK335" i="1"/>
  <c r="AK338" i="1"/>
  <c r="AK341" i="1"/>
  <c r="AL4" i="1"/>
  <c r="AL5" i="1"/>
  <c r="AM5" i="1" s="1"/>
  <c r="AQ5" i="4" s="1"/>
  <c r="AT5" i="4" s="1"/>
  <c r="AL6" i="1"/>
  <c r="AM6" i="1" s="1"/>
  <c r="AQ6" i="4" s="1"/>
  <c r="AT6" i="4" s="1"/>
  <c r="AL7" i="1"/>
  <c r="AL8" i="1"/>
  <c r="AL9" i="1"/>
  <c r="AL10" i="1"/>
  <c r="AL11" i="1"/>
  <c r="AM11" i="1" s="1"/>
  <c r="AQ11" i="4" s="1"/>
  <c r="AT11" i="4" s="1"/>
  <c r="AL12" i="1"/>
  <c r="AL13" i="1"/>
  <c r="AM13" i="1" s="1"/>
  <c r="AQ13" i="4" s="1"/>
  <c r="AT13" i="4" s="1"/>
  <c r="AL14" i="1"/>
  <c r="AM14" i="1" s="1"/>
  <c r="AQ14" i="4" s="1"/>
  <c r="AT14" i="4" s="1"/>
  <c r="AL15" i="1"/>
  <c r="AL16" i="1"/>
  <c r="AL17" i="1"/>
  <c r="AL18" i="1"/>
  <c r="AM18" i="1" s="1"/>
  <c r="AQ18" i="4" s="1"/>
  <c r="AT18" i="4" s="1"/>
  <c r="AL19" i="1"/>
  <c r="AL20" i="1"/>
  <c r="AM20" i="1" s="1"/>
  <c r="AL21" i="1"/>
  <c r="AL22" i="1"/>
  <c r="AL23" i="1"/>
  <c r="AL24" i="1"/>
  <c r="AL25" i="1"/>
  <c r="AL26" i="1"/>
  <c r="AM26" i="1" s="1"/>
  <c r="AL27" i="1"/>
  <c r="AL28" i="1"/>
  <c r="AL29" i="1"/>
  <c r="AL30" i="1"/>
  <c r="AL31" i="1"/>
  <c r="AL32" i="1"/>
  <c r="AM32" i="1" s="1"/>
  <c r="AQ32" i="4" s="1"/>
  <c r="AT32" i="4" s="1"/>
  <c r="AL33" i="1"/>
  <c r="AL34" i="1"/>
  <c r="AL35" i="1"/>
  <c r="AM35" i="1" s="1"/>
  <c r="AQ35" i="4" s="1"/>
  <c r="AT35" i="4" s="1"/>
  <c r="AL36" i="1"/>
  <c r="AM36" i="1" s="1"/>
  <c r="AQ36" i="4" s="1"/>
  <c r="AT36" i="4" s="1"/>
  <c r="AL37" i="1"/>
  <c r="AL38" i="1"/>
  <c r="AM38" i="1" s="1"/>
  <c r="AQ38" i="4" s="1"/>
  <c r="AT38" i="4" s="1"/>
  <c r="AL39" i="1"/>
  <c r="AL40" i="1"/>
  <c r="AL41" i="1"/>
  <c r="AM41" i="1" s="1"/>
  <c r="AQ41" i="4" s="1"/>
  <c r="AT41" i="4" s="1"/>
  <c r="AL42" i="1"/>
  <c r="AM42" i="1" s="1"/>
  <c r="AQ42" i="4" s="1"/>
  <c r="AT42" i="4" s="1"/>
  <c r="AL43" i="1"/>
  <c r="AL44" i="1"/>
  <c r="AM44" i="1" s="1"/>
  <c r="AQ44" i="4" s="1"/>
  <c r="AT44" i="4" s="1"/>
  <c r="AL45" i="1"/>
  <c r="AL46" i="1"/>
  <c r="AL47" i="1"/>
  <c r="AL48" i="1"/>
  <c r="AM48" i="1" s="1"/>
  <c r="AQ48" i="4" s="1"/>
  <c r="AT48" i="4" s="1"/>
  <c r="AL49" i="1"/>
  <c r="AM49" i="1" s="1"/>
  <c r="AQ49" i="4" s="1"/>
  <c r="AT49" i="4" s="1"/>
  <c r="AL50" i="1"/>
  <c r="AM50" i="1" s="1"/>
  <c r="AQ50" i="4" s="1"/>
  <c r="AT50" i="4" s="1"/>
  <c r="AL51" i="1"/>
  <c r="AL52" i="1"/>
  <c r="AL53" i="1"/>
  <c r="AM53" i="1" s="1"/>
  <c r="AQ53" i="4" s="1"/>
  <c r="AT53" i="4" s="1"/>
  <c r="AL54" i="1"/>
  <c r="AL55" i="1"/>
  <c r="AL56" i="1"/>
  <c r="AL57" i="1"/>
  <c r="AM57" i="1" s="1"/>
  <c r="AQ57" i="4" s="1"/>
  <c r="AT57" i="4" s="1"/>
  <c r="AL58" i="1"/>
  <c r="AL59" i="1"/>
  <c r="AM59" i="1" s="1"/>
  <c r="AQ59" i="4" s="1"/>
  <c r="AT59" i="4" s="1"/>
  <c r="AL60" i="1"/>
  <c r="AM60" i="1" s="1"/>
  <c r="AQ60" i="4" s="1"/>
  <c r="AT60" i="4" s="1"/>
  <c r="AL61" i="1"/>
  <c r="AL62" i="1"/>
  <c r="AL63" i="1"/>
  <c r="AM63" i="1" s="1"/>
  <c r="AQ63" i="4" s="1"/>
  <c r="AT63" i="4" s="1"/>
  <c r="AL64" i="1"/>
  <c r="AL65" i="1"/>
  <c r="AL66" i="1"/>
  <c r="AM66" i="1" s="1"/>
  <c r="AQ66" i="4" s="1"/>
  <c r="AT66" i="4" s="1"/>
  <c r="AL67" i="1"/>
  <c r="AL68" i="1"/>
  <c r="AL69" i="1"/>
  <c r="AM69" i="1" s="1"/>
  <c r="AQ69" i="4" s="1"/>
  <c r="AT69" i="4" s="1"/>
  <c r="AL70" i="1"/>
  <c r="AL71" i="1"/>
  <c r="AL72" i="1"/>
  <c r="AL73" i="1"/>
  <c r="AL74" i="1"/>
  <c r="AL75" i="1"/>
  <c r="AM75" i="1" s="1"/>
  <c r="AQ75" i="4" s="1"/>
  <c r="AT75" i="4" s="1"/>
  <c r="AL76" i="1"/>
  <c r="AL77" i="1"/>
  <c r="AL78" i="1"/>
  <c r="AL79" i="1"/>
  <c r="AL80" i="1"/>
  <c r="AL81" i="1"/>
  <c r="AM81" i="1" s="1"/>
  <c r="AQ81" i="4" s="1"/>
  <c r="AT81" i="4" s="1"/>
  <c r="AL82" i="1"/>
  <c r="AL83" i="1"/>
  <c r="AM83" i="1" s="1"/>
  <c r="AQ83" i="4" s="1"/>
  <c r="AT83" i="4" s="1"/>
  <c r="AL84" i="1"/>
  <c r="AL85" i="1"/>
  <c r="AL86" i="1"/>
  <c r="AL87" i="1"/>
  <c r="AL88" i="1"/>
  <c r="AL89" i="1"/>
  <c r="AM89" i="1" s="1"/>
  <c r="AQ89" i="4" s="1"/>
  <c r="AT89" i="4" s="1"/>
  <c r="AL90" i="1"/>
  <c r="AM90" i="1" s="1"/>
  <c r="AQ90" i="4" s="1"/>
  <c r="AT90" i="4" s="1"/>
  <c r="AL91" i="1"/>
  <c r="AL92" i="1"/>
  <c r="AL93" i="1"/>
  <c r="AM93" i="1" s="1"/>
  <c r="AQ93" i="4" s="1"/>
  <c r="AT93" i="4" s="1"/>
  <c r="AL94" i="1"/>
  <c r="AL95" i="1"/>
  <c r="AL96" i="1"/>
  <c r="AL97" i="1"/>
  <c r="AL98" i="1"/>
  <c r="AL99" i="1"/>
  <c r="AM99" i="1" s="1"/>
  <c r="AQ99" i="4" s="1"/>
  <c r="AT99" i="4" s="1"/>
  <c r="AL100" i="1"/>
  <c r="AL101" i="1"/>
  <c r="AL102" i="1"/>
  <c r="AM102" i="1" s="1"/>
  <c r="AQ102" i="4" s="1"/>
  <c r="AT102" i="4" s="1"/>
  <c r="AL103" i="1"/>
  <c r="AL104" i="1"/>
  <c r="AL105" i="1"/>
  <c r="AM105" i="1" s="1"/>
  <c r="AQ105" i="4" s="1"/>
  <c r="AT105" i="4" s="1"/>
  <c r="AL106" i="1"/>
  <c r="AL107" i="1"/>
  <c r="AL108" i="1"/>
  <c r="AL109" i="1"/>
  <c r="AL110" i="1"/>
  <c r="AL111" i="1"/>
  <c r="AM111" i="1" s="1"/>
  <c r="AQ111" i="4" s="1"/>
  <c r="AT111" i="4" s="1"/>
  <c r="AL112" i="1"/>
  <c r="AL113" i="1"/>
  <c r="AL114" i="1"/>
  <c r="AL115" i="1"/>
  <c r="AL116" i="1"/>
  <c r="AL117" i="1"/>
  <c r="AL118" i="1"/>
  <c r="AL119" i="1"/>
  <c r="AM119" i="1" s="1"/>
  <c r="AQ119" i="4" s="1"/>
  <c r="AT119" i="4" s="1"/>
  <c r="AL120" i="1"/>
  <c r="AL121" i="1"/>
  <c r="AL122" i="1"/>
  <c r="AL123" i="1"/>
  <c r="AM123" i="1" s="1"/>
  <c r="AQ123" i="4" s="1"/>
  <c r="AT123" i="4" s="1"/>
  <c r="AL124" i="1"/>
  <c r="AL125" i="1"/>
  <c r="AM125" i="1" s="1"/>
  <c r="AQ125" i="4" s="1"/>
  <c r="AT125" i="4" s="1"/>
  <c r="AL126" i="1"/>
  <c r="AM126" i="1" s="1"/>
  <c r="AQ126" i="4" s="1"/>
  <c r="AT126" i="4" s="1"/>
  <c r="AL127" i="1"/>
  <c r="AL128" i="1"/>
  <c r="AL129" i="1"/>
  <c r="AM129" i="1" s="1"/>
  <c r="AQ129" i="4" s="1"/>
  <c r="AT129" i="4" s="1"/>
  <c r="AL130" i="1"/>
  <c r="AL131" i="1"/>
  <c r="AL132" i="1"/>
  <c r="AM132" i="1" s="1"/>
  <c r="AQ132" i="4" s="1"/>
  <c r="AT132" i="4" s="1"/>
  <c r="AL133" i="1"/>
  <c r="AL134" i="1"/>
  <c r="AL135" i="1"/>
  <c r="AM135" i="1" s="1"/>
  <c r="AQ135" i="4" s="1"/>
  <c r="AT135" i="4" s="1"/>
  <c r="AL136" i="1"/>
  <c r="AL137" i="1"/>
  <c r="AL138" i="1"/>
  <c r="AM138" i="1" s="1"/>
  <c r="AQ138" i="4" s="1"/>
  <c r="AT138" i="4" s="1"/>
  <c r="AL139" i="1"/>
  <c r="AL140" i="1"/>
  <c r="AL141" i="1"/>
  <c r="AM141" i="1" s="1"/>
  <c r="AQ141" i="4" s="1"/>
  <c r="AT141" i="4" s="1"/>
  <c r="AL142" i="1"/>
  <c r="AL143" i="1"/>
  <c r="AL144" i="1"/>
  <c r="AL145" i="1"/>
  <c r="AL146" i="1"/>
  <c r="AL147" i="1"/>
  <c r="AM147" i="1" s="1"/>
  <c r="AQ147" i="4" s="1"/>
  <c r="AT147" i="4" s="1"/>
  <c r="AL148" i="1"/>
  <c r="AL149" i="1"/>
  <c r="AL150" i="1"/>
  <c r="AL151" i="1"/>
  <c r="AL152" i="1"/>
  <c r="AL153" i="1"/>
  <c r="AL154" i="1"/>
  <c r="AL155" i="1"/>
  <c r="AM155" i="1" s="1"/>
  <c r="AQ155" i="4" s="1"/>
  <c r="AT155" i="4" s="1"/>
  <c r="AL156" i="1"/>
  <c r="AL157" i="1"/>
  <c r="AL158" i="1"/>
  <c r="AL159" i="1"/>
  <c r="AM159" i="1" s="1"/>
  <c r="AQ159" i="4" s="1"/>
  <c r="AT159" i="4" s="1"/>
  <c r="AL160" i="1"/>
  <c r="AL161" i="1"/>
  <c r="AL162" i="1"/>
  <c r="AL163" i="1"/>
  <c r="AL164" i="1"/>
  <c r="AL165" i="1"/>
  <c r="AM165" i="1" s="1"/>
  <c r="AQ165" i="4" s="1"/>
  <c r="AT165" i="4" s="1"/>
  <c r="AL166" i="1"/>
  <c r="AL167" i="1"/>
  <c r="AM167" i="1" s="1"/>
  <c r="AQ167" i="4" s="1"/>
  <c r="AT167" i="4" s="1"/>
  <c r="AL168" i="1"/>
  <c r="AM168" i="1" s="1"/>
  <c r="AQ168" i="4" s="1"/>
  <c r="AT168" i="4" s="1"/>
  <c r="AL169" i="1"/>
  <c r="AL170" i="1"/>
  <c r="AL171" i="1"/>
  <c r="AM171" i="1" s="1"/>
  <c r="AQ171" i="4" s="1"/>
  <c r="AT171" i="4" s="1"/>
  <c r="AL172" i="1"/>
  <c r="AL173" i="1"/>
  <c r="AL174" i="1"/>
  <c r="AM174" i="1" s="1"/>
  <c r="AQ174" i="4" s="1"/>
  <c r="AT174" i="4" s="1"/>
  <c r="AL175" i="1"/>
  <c r="AL176" i="1"/>
  <c r="AL177" i="1"/>
  <c r="AM177" i="1" s="1"/>
  <c r="AQ177" i="4" s="1"/>
  <c r="AT177" i="4" s="1"/>
  <c r="AL178" i="1"/>
  <c r="AL179" i="1"/>
  <c r="AL180" i="1"/>
  <c r="AL181" i="1"/>
  <c r="AL182" i="1"/>
  <c r="AL183" i="1"/>
  <c r="AL184" i="1"/>
  <c r="AL185" i="1"/>
  <c r="AL186" i="1"/>
  <c r="AL187" i="1"/>
  <c r="AL188" i="1"/>
  <c r="AL189" i="1"/>
  <c r="AM189" i="1" s="1"/>
  <c r="AQ189" i="4" s="1"/>
  <c r="AT189" i="4" s="1"/>
  <c r="AL190" i="1"/>
  <c r="AL191" i="1"/>
  <c r="AM191" i="1" s="1"/>
  <c r="AQ191" i="4" s="1"/>
  <c r="AT191" i="4" s="1"/>
  <c r="AL192" i="1"/>
  <c r="AL193" i="1"/>
  <c r="AL194" i="1"/>
  <c r="AL195" i="1"/>
  <c r="AM195" i="1" s="1"/>
  <c r="AQ195" i="4" s="1"/>
  <c r="AT195" i="4" s="1"/>
  <c r="AL196" i="1"/>
  <c r="AL197" i="1"/>
  <c r="AL198" i="1"/>
  <c r="AM198" i="1" s="1"/>
  <c r="AQ198" i="4" s="1"/>
  <c r="AT198" i="4" s="1"/>
  <c r="AL199" i="1"/>
  <c r="AL200" i="1"/>
  <c r="AL201" i="1"/>
  <c r="AM201" i="1" s="1"/>
  <c r="AQ201" i="4" s="1"/>
  <c r="AT201" i="4" s="1"/>
  <c r="AL202" i="1"/>
  <c r="AL203" i="1"/>
  <c r="AM203" i="1" s="1"/>
  <c r="AQ203" i="4" s="1"/>
  <c r="AT203" i="4" s="1"/>
  <c r="AL204" i="1"/>
  <c r="AM204" i="1" s="1"/>
  <c r="AQ204" i="4" s="1"/>
  <c r="AT204" i="4" s="1"/>
  <c r="AL205" i="1"/>
  <c r="AL206" i="1"/>
  <c r="AL207" i="1"/>
  <c r="AM207" i="1" s="1"/>
  <c r="AQ207" i="4" s="1"/>
  <c r="AT207" i="4" s="1"/>
  <c r="AL208" i="1"/>
  <c r="AL209" i="1"/>
  <c r="AL210" i="1"/>
  <c r="AL211" i="1"/>
  <c r="AL212" i="1"/>
  <c r="AL213" i="1"/>
  <c r="AM213" i="1" s="1"/>
  <c r="AQ213" i="4" s="1"/>
  <c r="AT213" i="4" s="1"/>
  <c r="AL214" i="1"/>
  <c r="AL215" i="1"/>
  <c r="AL216" i="1"/>
  <c r="AL217" i="1"/>
  <c r="AL218" i="1"/>
  <c r="AL219" i="1"/>
  <c r="AL220" i="1"/>
  <c r="AL221" i="1"/>
  <c r="AL222" i="1"/>
  <c r="AL223" i="1"/>
  <c r="AL224" i="1"/>
  <c r="AL225" i="1"/>
  <c r="AM225" i="1" s="1"/>
  <c r="AQ225" i="4" s="1"/>
  <c r="AT225" i="4" s="1"/>
  <c r="AL226" i="1"/>
  <c r="AL227" i="1"/>
  <c r="AL228" i="1"/>
  <c r="AL229" i="1"/>
  <c r="AL230" i="1"/>
  <c r="AL231" i="1"/>
  <c r="AL232" i="1"/>
  <c r="AL233" i="1"/>
  <c r="AM233" i="1" s="1"/>
  <c r="AQ233" i="4" s="1"/>
  <c r="AT233" i="4" s="1"/>
  <c r="AL234" i="1"/>
  <c r="AM234" i="1" s="1"/>
  <c r="AQ234" i="4" s="1"/>
  <c r="AT234" i="4" s="1"/>
  <c r="AL235" i="1"/>
  <c r="AL236" i="1"/>
  <c r="AL237" i="1"/>
  <c r="AM237" i="1" s="1"/>
  <c r="AQ237" i="4" s="1"/>
  <c r="AT237" i="4" s="1"/>
  <c r="AL238" i="1"/>
  <c r="AL239" i="1"/>
  <c r="AM239" i="1" s="1"/>
  <c r="AQ239" i="4" s="1"/>
  <c r="AT239" i="4" s="1"/>
  <c r="AL240" i="1"/>
  <c r="AM240" i="1" s="1"/>
  <c r="AQ240" i="4" s="1"/>
  <c r="AT240" i="4" s="1"/>
  <c r="AL241" i="1"/>
  <c r="AL242" i="1"/>
  <c r="AL243" i="1"/>
  <c r="AM243" i="1" s="1"/>
  <c r="AQ243" i="4" s="1"/>
  <c r="AT243" i="4" s="1"/>
  <c r="AL244" i="1"/>
  <c r="AL245" i="1"/>
  <c r="AL246" i="1"/>
  <c r="AM246" i="1" s="1"/>
  <c r="AQ246" i="4" s="1"/>
  <c r="AT246" i="4" s="1"/>
  <c r="AL247" i="1"/>
  <c r="AL248" i="1"/>
  <c r="AL249" i="1"/>
  <c r="AL250" i="1"/>
  <c r="AL251" i="1"/>
  <c r="AL252" i="1"/>
  <c r="AL253" i="1"/>
  <c r="AL254" i="1"/>
  <c r="AL255" i="1"/>
  <c r="AM255" i="1" s="1"/>
  <c r="AQ255" i="4" s="1"/>
  <c r="AT255" i="4" s="1"/>
  <c r="AL256" i="1"/>
  <c r="AL257" i="1"/>
  <c r="AL258" i="1"/>
  <c r="AL259" i="1"/>
  <c r="AL260" i="1"/>
  <c r="AL261" i="1"/>
  <c r="AM261" i="1" s="1"/>
  <c r="AQ261" i="4" s="1"/>
  <c r="AT261" i="4" s="1"/>
  <c r="AL262" i="1"/>
  <c r="AL263" i="1"/>
  <c r="AL264" i="1"/>
  <c r="AL265" i="1"/>
  <c r="AL266" i="1"/>
  <c r="AL267" i="1"/>
  <c r="AM267" i="1" s="1"/>
  <c r="AQ267" i="4" s="1"/>
  <c r="AT267" i="4" s="1"/>
  <c r="AL268" i="1"/>
  <c r="AL269" i="1"/>
  <c r="AM269" i="1" s="1"/>
  <c r="AQ269" i="4" s="1"/>
  <c r="AT269" i="4" s="1"/>
  <c r="AL270" i="1"/>
  <c r="AM270" i="1" s="1"/>
  <c r="AQ270" i="4" s="1"/>
  <c r="AT270" i="4" s="1"/>
  <c r="AL271" i="1"/>
  <c r="AL272" i="1"/>
  <c r="AL273" i="1"/>
  <c r="AM273" i="1" s="1"/>
  <c r="AQ273" i="4" s="1"/>
  <c r="AT273" i="4" s="1"/>
  <c r="AL274" i="1"/>
  <c r="AL275" i="1"/>
  <c r="AL276" i="1"/>
  <c r="AL277" i="1"/>
  <c r="AL278" i="1"/>
  <c r="AL279" i="1"/>
  <c r="AM279" i="1" s="1"/>
  <c r="AQ279" i="4" s="1"/>
  <c r="AT279" i="4" s="1"/>
  <c r="AL280" i="1"/>
  <c r="AL281" i="1"/>
  <c r="AL282" i="1"/>
  <c r="AM282" i="1" s="1"/>
  <c r="AQ282" i="4" s="1"/>
  <c r="AT282" i="4" s="1"/>
  <c r="AL283" i="1"/>
  <c r="AL284" i="1"/>
  <c r="AL285" i="1"/>
  <c r="AL286" i="1"/>
  <c r="AL287" i="1"/>
  <c r="AL288" i="1"/>
  <c r="AL289" i="1"/>
  <c r="AL290" i="1"/>
  <c r="AL291" i="1"/>
  <c r="AM291" i="1" s="1"/>
  <c r="AQ291" i="4" s="1"/>
  <c r="AT291" i="4" s="1"/>
  <c r="AL292" i="1"/>
  <c r="AL293" i="1"/>
  <c r="AL294" i="1"/>
  <c r="AL295" i="1"/>
  <c r="AL296" i="1"/>
  <c r="AL297" i="1"/>
  <c r="AL298" i="1"/>
  <c r="AL299" i="1"/>
  <c r="AM299" i="1" s="1"/>
  <c r="AQ299" i="4" s="1"/>
  <c r="AT299" i="4" s="1"/>
  <c r="AL300" i="1"/>
  <c r="AL301" i="1"/>
  <c r="AL302" i="1"/>
  <c r="AL303" i="1"/>
  <c r="AM303" i="1" s="1"/>
  <c r="AQ303" i="4" s="1"/>
  <c r="AT303" i="4" s="1"/>
  <c r="AL304" i="1"/>
  <c r="AL305" i="1"/>
  <c r="AM305" i="1" s="1"/>
  <c r="AQ305" i="4" s="1"/>
  <c r="AT305" i="4" s="1"/>
  <c r="AL306" i="1"/>
  <c r="AM306" i="1" s="1"/>
  <c r="AQ306" i="4" s="1"/>
  <c r="AT306" i="4" s="1"/>
  <c r="AL307" i="1"/>
  <c r="AL308" i="1"/>
  <c r="AL309" i="1"/>
  <c r="AM309" i="1" s="1"/>
  <c r="AQ309" i="4" s="1"/>
  <c r="AT309" i="4" s="1"/>
  <c r="AL310" i="1"/>
  <c r="AL311" i="1"/>
  <c r="AM311" i="1" s="1"/>
  <c r="AQ311" i="4" s="1"/>
  <c r="AT311" i="4" s="1"/>
  <c r="AL312" i="1"/>
  <c r="AM312" i="1" s="1"/>
  <c r="AQ312" i="4" s="1"/>
  <c r="AT312" i="4" s="1"/>
  <c r="AL313" i="1"/>
  <c r="AL314" i="1"/>
  <c r="AL315" i="1"/>
  <c r="AL316" i="1"/>
  <c r="AL317" i="1"/>
  <c r="AL318" i="1"/>
  <c r="AL319" i="1"/>
  <c r="AL320" i="1"/>
  <c r="AL321" i="1"/>
  <c r="AM321" i="1" s="1"/>
  <c r="AQ321" i="4" s="1"/>
  <c r="AT321" i="4" s="1"/>
  <c r="AL322" i="1"/>
  <c r="AL323" i="1"/>
  <c r="AL324" i="1"/>
  <c r="AL325" i="1"/>
  <c r="AL326" i="1"/>
  <c r="AL327" i="1"/>
  <c r="AM327" i="1" s="1"/>
  <c r="AQ327" i="4" s="1"/>
  <c r="AT327" i="4" s="1"/>
  <c r="AL328" i="1"/>
  <c r="AL329" i="1"/>
  <c r="AL330" i="1"/>
  <c r="AL331" i="1"/>
  <c r="AL332" i="1"/>
  <c r="AL333" i="1"/>
  <c r="AM333" i="1" s="1"/>
  <c r="AQ333" i="4" s="1"/>
  <c r="AT333" i="4" s="1"/>
  <c r="AL334" i="1"/>
  <c r="AL335" i="1"/>
  <c r="AM335" i="1" s="1"/>
  <c r="AQ335" i="4" s="1"/>
  <c r="AT335" i="4" s="1"/>
  <c r="AL336" i="1"/>
  <c r="AL337" i="1"/>
  <c r="AL338" i="1"/>
  <c r="AL339" i="1"/>
  <c r="AM339" i="1" s="1"/>
  <c r="AQ339" i="4" s="1"/>
  <c r="AT339" i="4" s="1"/>
  <c r="AL340" i="1"/>
  <c r="AL341" i="1"/>
  <c r="AM4" i="1"/>
  <c r="AQ4" i="4" s="1"/>
  <c r="AT4" i="4" s="1"/>
  <c r="AM9" i="1"/>
  <c r="AQ9" i="4" s="1"/>
  <c r="AT9" i="4" s="1"/>
  <c r="AM10" i="1"/>
  <c r="AQ10" i="4" s="1"/>
  <c r="AT10" i="4" s="1"/>
  <c r="AM15" i="1"/>
  <c r="AQ15" i="4" s="1"/>
  <c r="AT15" i="4" s="1"/>
  <c r="AM16" i="1"/>
  <c r="AQ16" i="4" s="1"/>
  <c r="AT16" i="4" s="1"/>
  <c r="AM17" i="1"/>
  <c r="AQ17" i="4" s="1"/>
  <c r="AT17" i="4" s="1"/>
  <c r="AM19" i="1"/>
  <c r="AQ19" i="4" s="1"/>
  <c r="AT19" i="4" s="1"/>
  <c r="AM22" i="1"/>
  <c r="AQ22" i="4" s="1"/>
  <c r="AT22" i="4" s="1"/>
  <c r="AM23" i="1"/>
  <c r="AQ23" i="4" s="1"/>
  <c r="AT23" i="4" s="1"/>
  <c r="AM24" i="1"/>
  <c r="AQ24" i="4" s="1"/>
  <c r="AT24" i="4" s="1"/>
  <c r="AM25" i="1"/>
  <c r="AQ25" i="4" s="1"/>
  <c r="AT25" i="4" s="1"/>
  <c r="AM27" i="1"/>
  <c r="AQ27" i="4" s="1"/>
  <c r="AT27" i="4" s="1"/>
  <c r="AM28" i="1"/>
  <c r="AQ28" i="4" s="1"/>
  <c r="AT28" i="4" s="1"/>
  <c r="AM31" i="1"/>
  <c r="AQ31" i="4" s="1"/>
  <c r="AT31" i="4" s="1"/>
  <c r="AM33" i="1"/>
  <c r="AQ33" i="4" s="1"/>
  <c r="AT33" i="4" s="1"/>
  <c r="AM34" i="1"/>
  <c r="AQ34" i="4" s="1"/>
  <c r="AT34" i="4" s="1"/>
  <c r="AM37" i="1"/>
  <c r="AQ37" i="4" s="1"/>
  <c r="AT37" i="4" s="1"/>
  <c r="AM40" i="1"/>
  <c r="AQ40" i="4" s="1"/>
  <c r="AT40" i="4" s="1"/>
  <c r="AM45" i="1"/>
  <c r="AQ45" i="4" s="1"/>
  <c r="AT45" i="4" s="1"/>
  <c r="AM47" i="1"/>
  <c r="AQ47" i="4" s="1"/>
  <c r="AT47" i="4" s="1"/>
  <c r="AM52" i="1"/>
  <c r="AQ52" i="4" s="1"/>
  <c r="AT52" i="4" s="1"/>
  <c r="AM54" i="1"/>
  <c r="AQ54" i="4" s="1"/>
  <c r="AT54" i="4" s="1"/>
  <c r="AM55" i="1"/>
  <c r="AQ55" i="4" s="1"/>
  <c r="AT55" i="4" s="1"/>
  <c r="AM58" i="1"/>
  <c r="AQ58" i="4" s="1"/>
  <c r="AT58" i="4" s="1"/>
  <c r="AM61" i="1"/>
  <c r="AQ61" i="4" s="1"/>
  <c r="AT61" i="4" s="1"/>
  <c r="AM62" i="1"/>
  <c r="AQ62" i="4" s="1"/>
  <c r="AT62" i="4" s="1"/>
  <c r="AM64" i="1"/>
  <c r="AQ64" i="4" s="1"/>
  <c r="AT64" i="4" s="1"/>
  <c r="AM65" i="1"/>
  <c r="AQ65" i="4" s="1"/>
  <c r="AT65" i="4" s="1"/>
  <c r="AM67" i="1"/>
  <c r="AQ67" i="4" s="1"/>
  <c r="AT67" i="4" s="1"/>
  <c r="AM68" i="1"/>
  <c r="AQ68" i="4" s="1"/>
  <c r="AT68" i="4" s="1"/>
  <c r="AM70" i="1"/>
  <c r="AQ70" i="4" s="1"/>
  <c r="AT70" i="4" s="1"/>
  <c r="AM71" i="1"/>
  <c r="AQ71" i="4" s="1"/>
  <c r="AT71" i="4" s="1"/>
  <c r="AM72" i="1"/>
  <c r="AQ72" i="4" s="1"/>
  <c r="AT72" i="4" s="1"/>
  <c r="AM74" i="1"/>
  <c r="AQ74" i="4" s="1"/>
  <c r="AT74" i="4" s="1"/>
  <c r="AM76" i="1"/>
  <c r="AQ76" i="4" s="1"/>
  <c r="AT76" i="4" s="1"/>
  <c r="AM77" i="1"/>
  <c r="AQ77" i="4" s="1"/>
  <c r="AT77" i="4" s="1"/>
  <c r="AM80" i="1"/>
  <c r="AQ80" i="4" s="1"/>
  <c r="AT80" i="4" s="1"/>
  <c r="AM82" i="1"/>
  <c r="AQ82" i="4" s="1"/>
  <c r="AT82" i="4" s="1"/>
  <c r="AM84" i="1"/>
  <c r="AQ84" i="4" s="1"/>
  <c r="AT84" i="4" s="1"/>
  <c r="AM85" i="1"/>
  <c r="AQ85" i="4" s="1"/>
  <c r="AT85" i="4" s="1"/>
  <c r="AM86" i="1"/>
  <c r="AQ86" i="4" s="1"/>
  <c r="AT86" i="4" s="1"/>
  <c r="AM88" i="1"/>
  <c r="AQ88" i="4" s="1"/>
  <c r="AT88" i="4" s="1"/>
  <c r="AM91" i="1"/>
  <c r="AQ91" i="4" s="1"/>
  <c r="AT91" i="4" s="1"/>
  <c r="AM92" i="1"/>
  <c r="AM94" i="1"/>
  <c r="AQ94" i="4" s="1"/>
  <c r="AT94" i="4" s="1"/>
  <c r="AM97" i="1"/>
  <c r="AQ97" i="4" s="1"/>
  <c r="AT97" i="4" s="1"/>
  <c r="AM98" i="1"/>
  <c r="AQ98" i="4" s="1"/>
  <c r="AT98" i="4" s="1"/>
  <c r="AM100" i="1"/>
  <c r="AQ100" i="4" s="1"/>
  <c r="AT100" i="4" s="1"/>
  <c r="AM103" i="1"/>
  <c r="AQ103" i="4" s="1"/>
  <c r="AT103" i="4" s="1"/>
  <c r="AM104" i="1"/>
  <c r="AQ104" i="4" s="1"/>
  <c r="AT104" i="4" s="1"/>
  <c r="AM106" i="1"/>
  <c r="AQ106" i="4" s="1"/>
  <c r="AT106" i="4" s="1"/>
  <c r="AM107" i="1"/>
  <c r="AQ107" i="4" s="1"/>
  <c r="AT107" i="4" s="1"/>
  <c r="AM108" i="1"/>
  <c r="AQ108" i="4" s="1"/>
  <c r="AT108" i="4" s="1"/>
  <c r="AM109" i="1"/>
  <c r="AQ109" i="4" s="1"/>
  <c r="AT109" i="4" s="1"/>
  <c r="AM110" i="1"/>
  <c r="AQ110" i="4" s="1"/>
  <c r="AT110" i="4" s="1"/>
  <c r="AM113" i="1"/>
  <c r="AQ113" i="4" s="1"/>
  <c r="AT113" i="4" s="1"/>
  <c r="AM114" i="1"/>
  <c r="AQ114" i="4" s="1"/>
  <c r="AT114" i="4" s="1"/>
  <c r="AM115" i="1"/>
  <c r="AQ115" i="4" s="1"/>
  <c r="AT115" i="4" s="1"/>
  <c r="AM116" i="1"/>
  <c r="AQ116" i="4" s="1"/>
  <c r="AT116" i="4" s="1"/>
  <c r="AM118" i="1"/>
  <c r="AQ118" i="4" s="1"/>
  <c r="AT118" i="4" s="1"/>
  <c r="AM120" i="1"/>
  <c r="AQ120" i="4" s="1"/>
  <c r="AT120" i="4" s="1"/>
  <c r="AM121" i="1"/>
  <c r="AQ121" i="4" s="1"/>
  <c r="AT121" i="4" s="1"/>
  <c r="AM122" i="1"/>
  <c r="AQ122" i="4" s="1"/>
  <c r="AT122" i="4" s="1"/>
  <c r="AM124" i="1"/>
  <c r="AQ124" i="4" s="1"/>
  <c r="AT124" i="4" s="1"/>
  <c r="AM127" i="1"/>
  <c r="AQ127" i="4" s="1"/>
  <c r="AT127" i="4" s="1"/>
  <c r="AM128" i="1"/>
  <c r="AM130" i="1"/>
  <c r="AQ130" i="4" s="1"/>
  <c r="AT130" i="4" s="1"/>
  <c r="AM133" i="1"/>
  <c r="AQ133" i="4" s="1"/>
  <c r="AT133" i="4" s="1"/>
  <c r="AM134" i="1"/>
  <c r="AQ134" i="4" s="1"/>
  <c r="AT134" i="4" s="1"/>
  <c r="AM136" i="1"/>
  <c r="AQ136" i="4" s="1"/>
  <c r="AT136" i="4" s="1"/>
  <c r="AM137" i="1"/>
  <c r="AQ137" i="4" s="1"/>
  <c r="AT137" i="4" s="1"/>
  <c r="AM139" i="1"/>
  <c r="AQ139" i="4" s="1"/>
  <c r="AT139" i="4" s="1"/>
  <c r="AM140" i="1"/>
  <c r="AQ140" i="4" s="1"/>
  <c r="AT140" i="4" s="1"/>
  <c r="AM142" i="1"/>
  <c r="AQ142" i="4" s="1"/>
  <c r="AT142" i="4" s="1"/>
  <c r="AM143" i="1"/>
  <c r="AQ143" i="4" s="1"/>
  <c r="AT143" i="4" s="1"/>
  <c r="AM146" i="1"/>
  <c r="AQ146" i="4" s="1"/>
  <c r="AT146" i="4" s="1"/>
  <c r="AM149" i="1"/>
  <c r="AQ149" i="4" s="1"/>
  <c r="AT149" i="4" s="1"/>
  <c r="AM150" i="1"/>
  <c r="AQ150" i="4" s="1"/>
  <c r="AT150" i="4" s="1"/>
  <c r="AM151" i="1"/>
  <c r="AQ151" i="4" s="1"/>
  <c r="AT151" i="4" s="1"/>
  <c r="AM152" i="1"/>
  <c r="AQ152" i="4" s="1"/>
  <c r="AT152" i="4" s="1"/>
  <c r="AM154" i="1"/>
  <c r="AQ154" i="4" s="1"/>
  <c r="AT154" i="4" s="1"/>
  <c r="AM156" i="1"/>
  <c r="AQ156" i="4" s="1"/>
  <c r="AT156" i="4" s="1"/>
  <c r="AM157" i="1"/>
  <c r="AQ157" i="4" s="1"/>
  <c r="AT157" i="4" s="1"/>
  <c r="AM158" i="1"/>
  <c r="AQ158" i="4" s="1"/>
  <c r="AT158" i="4" s="1"/>
  <c r="AM160" i="1"/>
  <c r="AQ160" i="4" s="1"/>
  <c r="AT160" i="4" s="1"/>
  <c r="AM163" i="1"/>
  <c r="AQ163" i="4" s="1"/>
  <c r="AT163" i="4" s="1"/>
  <c r="AM164" i="1"/>
  <c r="AM166" i="1"/>
  <c r="AQ166" i="4" s="1"/>
  <c r="AT166" i="4" s="1"/>
  <c r="AM169" i="1"/>
  <c r="AQ169" i="4" s="1"/>
  <c r="AT169" i="4" s="1"/>
  <c r="AM170" i="1"/>
  <c r="AQ170" i="4" s="1"/>
  <c r="AT170" i="4" s="1"/>
  <c r="AM172" i="1"/>
  <c r="AQ172" i="4" s="1"/>
  <c r="AT172" i="4" s="1"/>
  <c r="AM173" i="1"/>
  <c r="AQ173" i="4" s="1"/>
  <c r="AT173" i="4" s="1"/>
  <c r="AM175" i="1"/>
  <c r="AQ175" i="4" s="1"/>
  <c r="AT175" i="4" s="1"/>
  <c r="AM176" i="1"/>
  <c r="AQ176" i="4" s="1"/>
  <c r="AT176" i="4" s="1"/>
  <c r="AM180" i="1"/>
  <c r="AQ180" i="4" s="1"/>
  <c r="AT180" i="4" s="1"/>
  <c r="AM181" i="1"/>
  <c r="AQ181" i="4" s="1"/>
  <c r="AT181" i="4" s="1"/>
  <c r="AM182" i="1"/>
  <c r="AQ182" i="4" s="1"/>
  <c r="AT182" i="4" s="1"/>
  <c r="AM185" i="1"/>
  <c r="AQ185" i="4" s="1"/>
  <c r="AT185" i="4" s="1"/>
  <c r="AM186" i="1"/>
  <c r="AQ186" i="4" s="1"/>
  <c r="AT186" i="4" s="1"/>
  <c r="AM187" i="1"/>
  <c r="AQ187" i="4" s="1"/>
  <c r="AT187" i="4" s="1"/>
  <c r="AM188" i="1"/>
  <c r="AQ188" i="4" s="1"/>
  <c r="AT188" i="4" s="1"/>
  <c r="AM190" i="1"/>
  <c r="AQ190" i="4" s="1"/>
  <c r="AT190" i="4" s="1"/>
  <c r="AM192" i="1"/>
  <c r="AQ192" i="4" s="1"/>
  <c r="AT192" i="4" s="1"/>
  <c r="AM193" i="1"/>
  <c r="AQ193" i="4" s="1"/>
  <c r="AT193" i="4" s="1"/>
  <c r="AM194" i="1"/>
  <c r="AQ194" i="4" s="1"/>
  <c r="AT194" i="4" s="1"/>
  <c r="AM196" i="1"/>
  <c r="AQ196" i="4" s="1"/>
  <c r="AT196" i="4" s="1"/>
  <c r="AM199" i="1"/>
  <c r="AQ199" i="4" s="1"/>
  <c r="AT199" i="4" s="1"/>
  <c r="AM200" i="1"/>
  <c r="AM202" i="1"/>
  <c r="AQ202" i="4" s="1"/>
  <c r="AT202" i="4" s="1"/>
  <c r="AM205" i="1"/>
  <c r="AQ205" i="4" s="1"/>
  <c r="AT205" i="4" s="1"/>
  <c r="AM206" i="1"/>
  <c r="AQ206" i="4" s="1"/>
  <c r="AT206" i="4" s="1"/>
  <c r="AM208" i="1"/>
  <c r="AQ208" i="4" s="1"/>
  <c r="AT208" i="4" s="1"/>
  <c r="AM209" i="1"/>
  <c r="AQ209" i="4" s="1"/>
  <c r="AT209" i="4" s="1"/>
  <c r="AM214" i="1"/>
  <c r="AQ214" i="4" s="1"/>
  <c r="AT214" i="4" s="1"/>
  <c r="AM216" i="1"/>
  <c r="AQ216" i="4" s="1"/>
  <c r="AT216" i="4" s="1"/>
  <c r="AM217" i="1"/>
  <c r="AQ217" i="4" s="1"/>
  <c r="AT217" i="4" s="1"/>
  <c r="AM218" i="1"/>
  <c r="AQ218" i="4" s="1"/>
  <c r="AT218" i="4" s="1"/>
  <c r="AM220" i="1"/>
  <c r="AQ220" i="4" s="1"/>
  <c r="AT220" i="4" s="1"/>
  <c r="AM221" i="1"/>
  <c r="AQ221" i="4" s="1"/>
  <c r="AT221" i="4" s="1"/>
  <c r="AM222" i="1"/>
  <c r="AQ222" i="4" s="1"/>
  <c r="AT222" i="4" s="1"/>
  <c r="AM223" i="1"/>
  <c r="AQ223" i="4" s="1"/>
  <c r="AT223" i="4" s="1"/>
  <c r="AM224" i="1"/>
  <c r="AQ224" i="4" s="1"/>
  <c r="AT224" i="4" s="1"/>
  <c r="AM226" i="1"/>
  <c r="AQ226" i="4" s="1"/>
  <c r="AT226" i="4" s="1"/>
  <c r="AM228" i="1"/>
  <c r="AQ228" i="4" s="1"/>
  <c r="AT228" i="4" s="1"/>
  <c r="AM229" i="1"/>
  <c r="AQ229" i="4" s="1"/>
  <c r="AT229" i="4" s="1"/>
  <c r="AM230" i="1"/>
  <c r="AQ230" i="4" s="1"/>
  <c r="AT230" i="4" s="1"/>
  <c r="AM232" i="1"/>
  <c r="AQ232" i="4" s="1"/>
  <c r="AT232" i="4" s="1"/>
  <c r="AM235" i="1"/>
  <c r="AQ235" i="4" s="1"/>
  <c r="AT235" i="4" s="1"/>
  <c r="AM236" i="1"/>
  <c r="AM238" i="1"/>
  <c r="AQ238" i="4" s="1"/>
  <c r="AT238" i="4" s="1"/>
  <c r="AM241" i="1"/>
  <c r="AQ241" i="4" s="1"/>
  <c r="AT241" i="4" s="1"/>
  <c r="AM242" i="1"/>
  <c r="AQ242" i="4" s="1"/>
  <c r="AT242" i="4" s="1"/>
  <c r="AM247" i="1"/>
  <c r="AQ247" i="4" s="1"/>
  <c r="AT247" i="4" s="1"/>
  <c r="AM251" i="1"/>
  <c r="AQ251" i="4" s="1"/>
  <c r="AT251" i="4" s="1"/>
  <c r="AM252" i="1"/>
  <c r="AQ252" i="4" s="1"/>
  <c r="AT252" i="4" s="1"/>
  <c r="AM253" i="1"/>
  <c r="AQ253" i="4" s="1"/>
  <c r="AT253" i="4" s="1"/>
  <c r="AM254" i="1"/>
  <c r="AQ254" i="4" s="1"/>
  <c r="AT254" i="4" s="1"/>
  <c r="AM256" i="1"/>
  <c r="AQ256" i="4" s="1"/>
  <c r="AT256" i="4" s="1"/>
  <c r="AM257" i="1"/>
  <c r="AQ257" i="4" s="1"/>
  <c r="AT257" i="4" s="1"/>
  <c r="AM258" i="1"/>
  <c r="AQ258" i="4" s="1"/>
  <c r="AT258" i="4" s="1"/>
  <c r="AM259" i="1"/>
  <c r="AQ259" i="4" s="1"/>
  <c r="AT259" i="4" s="1"/>
  <c r="AM260" i="1"/>
  <c r="AQ260" i="4" s="1"/>
  <c r="AT260" i="4" s="1"/>
  <c r="AM262" i="1"/>
  <c r="AQ262" i="4" s="1"/>
  <c r="AT262" i="4" s="1"/>
  <c r="AM264" i="1"/>
  <c r="AQ264" i="4" s="1"/>
  <c r="AT264" i="4" s="1"/>
  <c r="AM265" i="1"/>
  <c r="AQ265" i="4" s="1"/>
  <c r="AT265" i="4" s="1"/>
  <c r="AM266" i="1"/>
  <c r="AQ266" i="4" s="1"/>
  <c r="AT266" i="4" s="1"/>
  <c r="AM268" i="1"/>
  <c r="AQ268" i="4" s="1"/>
  <c r="AT268" i="4" s="1"/>
  <c r="AM272" i="1"/>
  <c r="AM274" i="1"/>
  <c r="AQ274" i="4" s="1"/>
  <c r="AT274" i="4" s="1"/>
  <c r="AM280" i="1"/>
  <c r="AQ280" i="4" s="1"/>
  <c r="AT280" i="4" s="1"/>
  <c r="AM283" i="1"/>
  <c r="AQ283" i="4" s="1"/>
  <c r="AT283" i="4" s="1"/>
  <c r="AM286" i="1"/>
  <c r="AQ286" i="4" s="1"/>
  <c r="AT286" i="4" s="1"/>
  <c r="AM287" i="1"/>
  <c r="AQ287" i="4" s="1"/>
  <c r="AT287" i="4" s="1"/>
  <c r="AM288" i="1"/>
  <c r="AQ288" i="4" s="1"/>
  <c r="AT288" i="4" s="1"/>
  <c r="AM289" i="1"/>
  <c r="AQ289" i="4" s="1"/>
  <c r="AT289" i="4" s="1"/>
  <c r="AM290" i="1"/>
  <c r="AQ290" i="4" s="1"/>
  <c r="AT290" i="4" s="1"/>
  <c r="AM292" i="1"/>
  <c r="AQ292" i="4" s="1"/>
  <c r="AT292" i="4" s="1"/>
  <c r="AM294" i="1"/>
  <c r="AQ294" i="4" s="1"/>
  <c r="AT294" i="4" s="1"/>
  <c r="AM295" i="1"/>
  <c r="AQ295" i="4" s="1"/>
  <c r="AT295" i="4" s="1"/>
  <c r="AM296" i="1"/>
  <c r="AQ296" i="4" s="1"/>
  <c r="AT296" i="4" s="1"/>
  <c r="AM298" i="1"/>
  <c r="AQ298" i="4" s="1"/>
  <c r="AT298" i="4" s="1"/>
  <c r="AM300" i="1"/>
  <c r="AQ300" i="4" s="1"/>
  <c r="AT300" i="4" s="1"/>
  <c r="AM301" i="1"/>
  <c r="AQ301" i="4" s="1"/>
  <c r="AT301" i="4" s="1"/>
  <c r="AM302" i="1"/>
  <c r="AQ302" i="4" s="1"/>
  <c r="AT302" i="4" s="1"/>
  <c r="AM304" i="1"/>
  <c r="AQ304" i="4" s="1"/>
  <c r="AT304" i="4" s="1"/>
  <c r="AM307" i="1"/>
  <c r="AQ307" i="4" s="1"/>
  <c r="AT307" i="4" s="1"/>
  <c r="AM308" i="1"/>
  <c r="AM313" i="1"/>
  <c r="AQ313" i="4" s="1"/>
  <c r="AT313" i="4" s="1"/>
  <c r="AM319" i="1"/>
  <c r="AQ319" i="4" s="1"/>
  <c r="AT319" i="4" s="1"/>
  <c r="AM320" i="1"/>
  <c r="AQ320" i="4" s="1"/>
  <c r="AT320" i="4" s="1"/>
  <c r="AM322" i="1"/>
  <c r="AQ322" i="4" s="1"/>
  <c r="AT322" i="4" s="1"/>
  <c r="AM323" i="1"/>
  <c r="AQ323" i="4" s="1"/>
  <c r="AT323" i="4" s="1"/>
  <c r="AM324" i="1"/>
  <c r="AQ324" i="4" s="1"/>
  <c r="AT324" i="4" s="1"/>
  <c r="AM325" i="1"/>
  <c r="AQ325" i="4" s="1"/>
  <c r="AT325" i="4" s="1"/>
  <c r="AM326" i="1"/>
  <c r="AQ326" i="4" s="1"/>
  <c r="AT326" i="4" s="1"/>
  <c r="AM328" i="1"/>
  <c r="AQ328" i="4" s="1"/>
  <c r="AT328" i="4" s="1"/>
  <c r="AM330" i="1"/>
  <c r="AQ330" i="4" s="1"/>
  <c r="AT330" i="4" s="1"/>
  <c r="AM331" i="1"/>
  <c r="AQ331" i="4" s="1"/>
  <c r="AT331" i="4" s="1"/>
  <c r="AM332" i="1"/>
  <c r="AQ332" i="4" s="1"/>
  <c r="AT332" i="4" s="1"/>
  <c r="AM334" i="1"/>
  <c r="AQ334" i="4" s="1"/>
  <c r="AT334" i="4" s="1"/>
  <c r="AM336" i="1"/>
  <c r="AQ336" i="4" s="1"/>
  <c r="AT336" i="4" s="1"/>
  <c r="AM337" i="1"/>
  <c r="AQ337" i="4" s="1"/>
  <c r="AT337" i="4" s="1"/>
  <c r="AM338" i="1"/>
  <c r="AQ338" i="4" s="1"/>
  <c r="AT338" i="4" s="1"/>
  <c r="AM340" i="1"/>
  <c r="AQ340" i="4" s="1"/>
  <c r="AT340" i="4" s="1"/>
  <c r="AN4" i="1"/>
  <c r="AN5" i="1"/>
  <c r="AN6" i="1"/>
  <c r="AN7" i="1"/>
  <c r="AN8" i="1"/>
  <c r="AN9" i="1"/>
  <c r="AN10" i="1"/>
  <c r="AN11" i="1"/>
  <c r="AN12" i="1"/>
  <c r="AN13" i="1"/>
  <c r="AN14" i="1"/>
  <c r="AN15" i="1"/>
  <c r="AN16" i="1"/>
  <c r="AN17" i="1"/>
  <c r="AN18" i="1"/>
  <c r="AN19" i="1"/>
  <c r="AN20" i="1"/>
  <c r="AN21" i="1"/>
  <c r="AN22" i="1"/>
  <c r="AN23" i="1"/>
  <c r="AN24" i="1"/>
  <c r="AN25" i="1"/>
  <c r="AN26" i="1"/>
  <c r="AN27" i="1"/>
  <c r="AN28" i="1"/>
  <c r="AN29" i="1"/>
  <c r="AN30" i="1"/>
  <c r="AN31" i="1"/>
  <c r="AN32" i="1"/>
  <c r="AN33" i="1"/>
  <c r="AN34" i="1"/>
  <c r="AN35" i="1"/>
  <c r="AN36" i="1"/>
  <c r="AN37" i="1"/>
  <c r="AN38" i="1"/>
  <c r="AN39" i="1"/>
  <c r="AN40" i="1"/>
  <c r="AN41" i="1"/>
  <c r="AN42" i="1"/>
  <c r="AN43" i="1"/>
  <c r="AN44" i="1"/>
  <c r="AN45" i="1"/>
  <c r="AN46" i="1"/>
  <c r="AN47" i="1"/>
  <c r="AN48" i="1"/>
  <c r="AN49" i="1"/>
  <c r="AN50" i="1"/>
  <c r="AN51" i="1"/>
  <c r="AN52" i="1"/>
  <c r="AN53" i="1"/>
  <c r="AN54" i="1"/>
  <c r="AN55" i="1"/>
  <c r="AN56" i="1"/>
  <c r="AN57" i="1"/>
  <c r="AN58" i="1"/>
  <c r="AN59" i="1"/>
  <c r="AN60" i="1"/>
  <c r="AN61" i="1"/>
  <c r="AN62" i="1"/>
  <c r="AN63" i="1"/>
  <c r="AN64" i="1"/>
  <c r="AN65" i="1"/>
  <c r="AN66" i="1"/>
  <c r="AN67" i="1"/>
  <c r="AN68" i="1"/>
  <c r="AN69" i="1"/>
  <c r="AN70" i="1"/>
  <c r="AN71" i="1"/>
  <c r="AN72" i="1"/>
  <c r="AN73" i="1"/>
  <c r="AN74" i="1"/>
  <c r="AN75" i="1"/>
  <c r="AN76" i="1"/>
  <c r="AN77" i="1"/>
  <c r="AN78" i="1"/>
  <c r="AN79" i="1"/>
  <c r="AN80" i="1"/>
  <c r="AN81" i="1"/>
  <c r="AN82" i="1"/>
  <c r="AN83" i="1"/>
  <c r="AN84" i="1"/>
  <c r="AN85" i="1"/>
  <c r="AN86" i="1"/>
  <c r="AN87" i="1"/>
  <c r="AN88" i="1"/>
  <c r="AN89" i="1"/>
  <c r="AN90" i="1"/>
  <c r="AN91" i="1"/>
  <c r="AN92" i="1"/>
  <c r="AN93" i="1"/>
  <c r="AN94" i="1"/>
  <c r="AN95" i="1"/>
  <c r="AN96" i="1"/>
  <c r="AN97" i="1"/>
  <c r="AN98" i="1"/>
  <c r="AN99" i="1"/>
  <c r="AN100" i="1"/>
  <c r="AN101" i="1"/>
  <c r="AN102" i="1"/>
  <c r="AN103" i="1"/>
  <c r="AN104" i="1"/>
  <c r="AN105" i="1"/>
  <c r="AN106" i="1"/>
  <c r="AN107" i="1"/>
  <c r="AN108" i="1"/>
  <c r="AN109" i="1"/>
  <c r="AN110" i="1"/>
  <c r="AN111" i="1"/>
  <c r="AN112" i="1"/>
  <c r="AN113" i="1"/>
  <c r="AN114" i="1"/>
  <c r="AN115" i="1"/>
  <c r="AN116" i="1"/>
  <c r="AN117" i="1"/>
  <c r="AN118" i="1"/>
  <c r="AN119" i="1"/>
  <c r="AN120" i="1"/>
  <c r="AN121" i="1"/>
  <c r="AN122" i="1"/>
  <c r="AN123" i="1"/>
  <c r="AN124" i="1"/>
  <c r="AN125" i="1"/>
  <c r="AN126" i="1"/>
  <c r="AN127" i="1"/>
  <c r="AN128"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0" i="1"/>
  <c r="AN161" i="1"/>
  <c r="AN162" i="1"/>
  <c r="AN163" i="1"/>
  <c r="AN164" i="1"/>
  <c r="AN165" i="1"/>
  <c r="AN166" i="1"/>
  <c r="AN167" i="1"/>
  <c r="AN168" i="1"/>
  <c r="AN169" i="1"/>
  <c r="AN170" i="1"/>
  <c r="AN171" i="1"/>
  <c r="AN172" i="1"/>
  <c r="AN173" i="1"/>
  <c r="AN174" i="1"/>
  <c r="AN175" i="1"/>
  <c r="AN176" i="1"/>
  <c r="AN177" i="1"/>
  <c r="AN178" i="1"/>
  <c r="AN179" i="1"/>
  <c r="AN180" i="1"/>
  <c r="AN181" i="1"/>
  <c r="AN182" i="1"/>
  <c r="AN183" i="1"/>
  <c r="AN184" i="1"/>
  <c r="AN185" i="1"/>
  <c r="AN186" i="1"/>
  <c r="AN187" i="1"/>
  <c r="AN188" i="1"/>
  <c r="AN189" i="1"/>
  <c r="AN190" i="1"/>
  <c r="AN191" i="1"/>
  <c r="AN192" i="1"/>
  <c r="AN193" i="1"/>
  <c r="AN194" i="1"/>
  <c r="AN195" i="1"/>
  <c r="AN196" i="1"/>
  <c r="AN197" i="1"/>
  <c r="AN198" i="1"/>
  <c r="AN199" i="1"/>
  <c r="AN200" i="1"/>
  <c r="AN201" i="1"/>
  <c r="AN202" i="1"/>
  <c r="AN203" i="1"/>
  <c r="AN204" i="1"/>
  <c r="AN205" i="1"/>
  <c r="AN206"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234" i="1"/>
  <c r="AN235" i="1"/>
  <c r="AN236" i="1"/>
  <c r="AN237" i="1"/>
  <c r="AN238" i="1"/>
  <c r="AN239" i="1"/>
  <c r="AN240" i="1"/>
  <c r="AN241" i="1"/>
  <c r="AN242" i="1"/>
  <c r="AN243" i="1"/>
  <c r="AN244" i="1"/>
  <c r="AN245" i="1"/>
  <c r="AN246" i="1"/>
  <c r="AN247" i="1"/>
  <c r="AN248" i="1"/>
  <c r="AN249" i="1"/>
  <c r="AN250" i="1"/>
  <c r="AN251" i="1"/>
  <c r="AN252" i="1"/>
  <c r="AN253" i="1"/>
  <c r="AN254" i="1"/>
  <c r="AN255" i="1"/>
  <c r="AN256" i="1"/>
  <c r="AN257" i="1"/>
  <c r="AN258" i="1"/>
  <c r="AN259" i="1"/>
  <c r="AN260" i="1"/>
  <c r="AN261" i="1"/>
  <c r="AN262" i="1"/>
  <c r="AN263" i="1"/>
  <c r="AN264" i="1"/>
  <c r="AN265" i="1"/>
  <c r="AN266" i="1"/>
  <c r="AN267" i="1"/>
  <c r="AN268" i="1"/>
  <c r="AN269" i="1"/>
  <c r="AN270" i="1"/>
  <c r="AN271" i="1"/>
  <c r="AN272" i="1"/>
  <c r="AN273" i="1"/>
  <c r="AN274" i="1"/>
  <c r="AN275" i="1"/>
  <c r="AN276" i="1"/>
  <c r="AN277" i="1"/>
  <c r="AN278" i="1"/>
  <c r="AN279" i="1"/>
  <c r="AN280" i="1"/>
  <c r="AN281" i="1"/>
  <c r="AN282" i="1"/>
  <c r="AN283" i="1"/>
  <c r="AN284" i="1"/>
  <c r="AN285" i="1"/>
  <c r="AN286" i="1"/>
  <c r="AN287" i="1"/>
  <c r="AN288" i="1"/>
  <c r="AN289" i="1"/>
  <c r="AN290" i="1"/>
  <c r="AN291" i="1"/>
  <c r="AN292" i="1"/>
  <c r="AN293" i="1"/>
  <c r="AN294" i="1"/>
  <c r="AN295" i="1"/>
  <c r="AN296" i="1"/>
  <c r="AN297" i="1"/>
  <c r="AN298" i="1"/>
  <c r="AN299" i="1"/>
  <c r="AN300" i="1"/>
  <c r="AN301" i="1"/>
  <c r="AN302" i="1"/>
  <c r="AN303" i="1"/>
  <c r="AN304" i="1"/>
  <c r="AN305" i="1"/>
  <c r="AN306" i="1"/>
  <c r="AN307" i="1"/>
  <c r="AN308" i="1"/>
  <c r="AN309" i="1"/>
  <c r="AN310" i="1"/>
  <c r="AN311" i="1"/>
  <c r="AN312" i="1"/>
  <c r="AN313" i="1"/>
  <c r="AN314" i="1"/>
  <c r="AN315" i="1"/>
  <c r="AN316" i="1"/>
  <c r="AN317" i="1"/>
  <c r="AN318" i="1"/>
  <c r="AN319" i="1"/>
  <c r="AN320" i="1"/>
  <c r="AN321" i="1"/>
  <c r="AN322" i="1"/>
  <c r="AN323" i="1"/>
  <c r="AN324" i="1"/>
  <c r="AN325" i="1"/>
  <c r="AN326" i="1"/>
  <c r="AN327" i="1"/>
  <c r="AN328" i="1"/>
  <c r="AN329" i="1"/>
  <c r="AN330" i="1"/>
  <c r="AN331" i="1"/>
  <c r="AN332" i="1"/>
  <c r="AN333" i="1"/>
  <c r="AN334" i="1"/>
  <c r="AN335" i="1"/>
  <c r="AN336" i="1"/>
  <c r="AN337" i="1"/>
  <c r="AN338" i="1"/>
  <c r="AN339" i="1"/>
  <c r="AN340" i="1"/>
  <c r="AN341" i="1"/>
  <c r="AO4" i="1"/>
  <c r="AO5" i="1"/>
  <c r="AO6" i="1"/>
  <c r="AO7" i="1"/>
  <c r="AO8" i="1"/>
  <c r="AO9" i="1"/>
  <c r="AO10" i="1"/>
  <c r="AO11" i="1"/>
  <c r="AO12" i="1"/>
  <c r="AO13" i="1"/>
  <c r="AO14" i="1"/>
  <c r="AO15" i="1"/>
  <c r="AO16" i="1"/>
  <c r="AO17" i="1"/>
  <c r="AO18" i="1"/>
  <c r="AO19" i="1"/>
  <c r="AO20" i="1"/>
  <c r="AO21" i="1"/>
  <c r="AO22" i="1"/>
  <c r="AO23" i="1"/>
  <c r="AO24" i="1"/>
  <c r="AO25" i="1"/>
  <c r="AO26" i="1"/>
  <c r="AO27" i="1"/>
  <c r="AO28" i="1"/>
  <c r="AO29" i="1"/>
  <c r="AO30" i="1"/>
  <c r="AO31" i="1"/>
  <c r="AO32" i="1"/>
  <c r="AO33" i="1"/>
  <c r="AO34" i="1"/>
  <c r="AO35" i="1"/>
  <c r="AO36" i="1"/>
  <c r="AO37" i="1"/>
  <c r="AO38" i="1"/>
  <c r="AO39" i="1"/>
  <c r="AO40" i="1"/>
  <c r="AO41" i="1"/>
  <c r="AO42" i="1"/>
  <c r="AO43" i="1"/>
  <c r="AO44" i="1"/>
  <c r="AO45" i="1"/>
  <c r="AO46" i="1"/>
  <c r="AO47" i="1"/>
  <c r="AO48" i="1"/>
  <c r="AO49" i="1"/>
  <c r="AO50" i="1"/>
  <c r="AO51" i="1"/>
  <c r="AO52" i="1"/>
  <c r="AO53" i="1"/>
  <c r="AO54" i="1"/>
  <c r="AO55" i="1"/>
  <c r="AO56" i="1"/>
  <c r="AO57" i="1"/>
  <c r="AO58" i="1"/>
  <c r="AO59" i="1"/>
  <c r="AO60" i="1"/>
  <c r="AO61" i="1"/>
  <c r="AO62" i="1"/>
  <c r="AO63" i="1"/>
  <c r="AO64" i="1"/>
  <c r="AO65" i="1"/>
  <c r="AO66" i="1"/>
  <c r="AO67" i="1"/>
  <c r="AO68" i="1"/>
  <c r="AO69" i="1"/>
  <c r="AO70" i="1"/>
  <c r="AO71" i="1"/>
  <c r="AO72" i="1"/>
  <c r="AO73" i="1"/>
  <c r="AO74" i="1"/>
  <c r="AO75" i="1"/>
  <c r="AO76" i="1"/>
  <c r="AO77" i="1"/>
  <c r="AO78" i="1"/>
  <c r="AO79" i="1"/>
  <c r="AO80" i="1"/>
  <c r="AO81" i="1"/>
  <c r="AO82" i="1"/>
  <c r="AO83" i="1"/>
  <c r="AO84" i="1"/>
  <c r="AO85" i="1"/>
  <c r="AO86" i="1"/>
  <c r="AO87" i="1"/>
  <c r="AO88" i="1"/>
  <c r="AO89" i="1"/>
  <c r="AO90" i="1"/>
  <c r="AO91" i="1"/>
  <c r="AO92" i="1"/>
  <c r="AO93" i="1"/>
  <c r="AO94" i="1"/>
  <c r="AO95" i="1"/>
  <c r="AO96" i="1"/>
  <c r="AO97" i="1"/>
  <c r="AO98" i="1"/>
  <c r="AO99" i="1"/>
  <c r="AO100" i="1"/>
  <c r="AO101" i="1"/>
  <c r="AO102" i="1"/>
  <c r="AO103" i="1"/>
  <c r="AO104" i="1"/>
  <c r="AO105" i="1"/>
  <c r="AO106" i="1"/>
  <c r="AO107" i="1"/>
  <c r="AO108" i="1"/>
  <c r="AO109" i="1"/>
  <c r="AO110" i="1"/>
  <c r="AO111" i="1"/>
  <c r="AO112" i="1"/>
  <c r="AO113" i="1"/>
  <c r="AO114" i="1"/>
  <c r="AO115" i="1"/>
  <c r="AO116" i="1"/>
  <c r="AO117" i="1"/>
  <c r="AO118" i="1"/>
  <c r="AO119" i="1"/>
  <c r="AO120" i="1"/>
  <c r="AO121" i="1"/>
  <c r="AO122" i="1"/>
  <c r="AO123" i="1"/>
  <c r="AO124" i="1"/>
  <c r="AO125" i="1"/>
  <c r="AO126" i="1"/>
  <c r="AO127" i="1"/>
  <c r="AO128" i="1"/>
  <c r="AO129" i="1"/>
  <c r="AO130" i="1"/>
  <c r="AO131" i="1"/>
  <c r="AO132" i="1"/>
  <c r="AO133" i="1"/>
  <c r="AO134" i="1"/>
  <c r="AO135" i="1"/>
  <c r="AO136" i="1"/>
  <c r="AO137" i="1"/>
  <c r="AO138" i="1"/>
  <c r="AO139" i="1"/>
  <c r="AO140" i="1"/>
  <c r="AO141" i="1"/>
  <c r="AO142" i="1"/>
  <c r="AO143" i="1"/>
  <c r="AO144" i="1"/>
  <c r="AO145" i="1"/>
  <c r="AO146" i="1"/>
  <c r="AO147" i="1"/>
  <c r="AO148" i="1"/>
  <c r="AO149" i="1"/>
  <c r="AO150" i="1"/>
  <c r="AO151" i="1"/>
  <c r="AO152" i="1"/>
  <c r="AO153" i="1"/>
  <c r="AO154" i="1"/>
  <c r="AO155" i="1"/>
  <c r="AO156" i="1"/>
  <c r="AO157" i="1"/>
  <c r="AO158" i="1"/>
  <c r="AO159" i="1"/>
  <c r="AO160" i="1"/>
  <c r="AO161" i="1"/>
  <c r="AO162" i="1"/>
  <c r="AO163" i="1"/>
  <c r="AO164" i="1"/>
  <c r="AO165" i="1"/>
  <c r="AO166" i="1"/>
  <c r="AO167" i="1"/>
  <c r="AO168" i="1"/>
  <c r="AO169" i="1"/>
  <c r="AO170" i="1"/>
  <c r="AO171" i="1"/>
  <c r="AO172" i="1"/>
  <c r="AO173" i="1"/>
  <c r="AO174" i="1"/>
  <c r="AO175" i="1"/>
  <c r="AO176" i="1"/>
  <c r="AO177" i="1"/>
  <c r="AO178" i="1"/>
  <c r="AO179" i="1"/>
  <c r="AO180" i="1"/>
  <c r="AO181" i="1"/>
  <c r="AO182" i="1"/>
  <c r="AO183" i="1"/>
  <c r="AO184" i="1"/>
  <c r="AO185" i="1"/>
  <c r="AO186" i="1"/>
  <c r="AO187" i="1"/>
  <c r="AO188" i="1"/>
  <c r="AO189" i="1"/>
  <c r="AO190" i="1"/>
  <c r="AO191" i="1"/>
  <c r="AO192" i="1"/>
  <c r="AO193" i="1"/>
  <c r="AO194" i="1"/>
  <c r="AO195" i="1"/>
  <c r="AO196" i="1"/>
  <c r="AO197" i="1"/>
  <c r="AO198" i="1"/>
  <c r="AO199" i="1"/>
  <c r="AO200" i="1"/>
  <c r="AO201" i="1"/>
  <c r="AO202" i="1"/>
  <c r="AO203" i="1"/>
  <c r="AO204" i="1"/>
  <c r="AO205" i="1"/>
  <c r="AO206" i="1"/>
  <c r="AO207" i="1"/>
  <c r="AO208" i="1"/>
  <c r="AO209" i="1"/>
  <c r="AO210" i="1"/>
  <c r="AO211" i="1"/>
  <c r="AO212" i="1"/>
  <c r="AO213" i="1"/>
  <c r="AO214" i="1"/>
  <c r="AO215" i="1"/>
  <c r="AO216" i="1"/>
  <c r="AO217" i="1"/>
  <c r="AO218" i="1"/>
  <c r="AO219" i="1"/>
  <c r="AO220" i="1"/>
  <c r="AO221" i="1"/>
  <c r="AO222" i="1"/>
  <c r="AO223" i="1"/>
  <c r="AO224" i="1"/>
  <c r="AO225" i="1"/>
  <c r="AO226" i="1"/>
  <c r="AO227" i="1"/>
  <c r="AO228" i="1"/>
  <c r="AO229" i="1"/>
  <c r="AO230" i="1"/>
  <c r="AO231" i="1"/>
  <c r="AO232" i="1"/>
  <c r="AO233" i="1"/>
  <c r="AO234" i="1"/>
  <c r="AO235" i="1"/>
  <c r="AO236" i="1"/>
  <c r="AO237" i="1"/>
  <c r="AO238" i="1"/>
  <c r="AO239" i="1"/>
  <c r="AO240" i="1"/>
  <c r="AO241" i="1"/>
  <c r="AO242" i="1"/>
  <c r="AO243" i="1"/>
  <c r="AO244" i="1"/>
  <c r="AO245" i="1"/>
  <c r="AO246" i="1"/>
  <c r="AO247" i="1"/>
  <c r="AO248" i="1"/>
  <c r="AO249" i="1"/>
  <c r="AO250" i="1"/>
  <c r="AO251" i="1"/>
  <c r="AO252" i="1"/>
  <c r="AO253" i="1"/>
  <c r="AO254" i="1"/>
  <c r="AO255" i="1"/>
  <c r="AO256" i="1"/>
  <c r="AO257" i="1"/>
  <c r="AO258" i="1"/>
  <c r="AO259" i="1"/>
  <c r="AO260" i="1"/>
  <c r="AO261" i="1"/>
  <c r="AO262" i="1"/>
  <c r="AO263" i="1"/>
  <c r="AO264" i="1"/>
  <c r="AO265" i="1"/>
  <c r="AO266" i="1"/>
  <c r="AO267" i="1"/>
  <c r="AO268" i="1"/>
  <c r="AO269" i="1"/>
  <c r="AO270" i="1"/>
  <c r="AO271" i="1"/>
  <c r="AO272" i="1"/>
  <c r="AO273" i="1"/>
  <c r="AO274" i="1"/>
  <c r="AO275" i="1"/>
  <c r="AO276" i="1"/>
  <c r="AO277" i="1"/>
  <c r="AO278" i="1"/>
  <c r="AO279" i="1"/>
  <c r="AO280" i="1"/>
  <c r="AO281" i="1"/>
  <c r="AO282" i="1"/>
  <c r="AO283" i="1"/>
  <c r="AO284" i="1"/>
  <c r="AO285" i="1"/>
  <c r="AO286" i="1"/>
  <c r="AO287" i="1"/>
  <c r="AO288" i="1"/>
  <c r="AO289" i="1"/>
  <c r="AO290" i="1"/>
  <c r="AO291" i="1"/>
  <c r="AO292" i="1"/>
  <c r="AO293" i="1"/>
  <c r="AO294" i="1"/>
  <c r="AO295" i="1"/>
  <c r="AO296" i="1"/>
  <c r="AO297" i="1"/>
  <c r="AO298" i="1"/>
  <c r="AO299" i="1"/>
  <c r="AO300" i="1"/>
  <c r="AO301" i="1"/>
  <c r="AO302" i="1"/>
  <c r="AO303" i="1"/>
  <c r="AO304" i="1"/>
  <c r="AO305" i="1"/>
  <c r="AO306" i="1"/>
  <c r="AO307" i="1"/>
  <c r="AO308" i="1"/>
  <c r="AO309" i="1"/>
  <c r="AO310" i="1"/>
  <c r="AO311" i="1"/>
  <c r="AO312" i="1"/>
  <c r="AO313" i="1"/>
  <c r="AO314" i="1"/>
  <c r="AO315" i="1"/>
  <c r="AO316" i="1"/>
  <c r="AO317" i="1"/>
  <c r="AO318" i="1"/>
  <c r="AO319" i="1"/>
  <c r="AO320" i="1"/>
  <c r="AO321" i="1"/>
  <c r="AO322" i="1"/>
  <c r="AO323" i="1"/>
  <c r="AO324" i="1"/>
  <c r="AO325" i="1"/>
  <c r="AO326" i="1"/>
  <c r="AO327" i="1"/>
  <c r="AO328" i="1"/>
  <c r="AO329" i="1"/>
  <c r="AO330" i="1"/>
  <c r="AO331" i="1"/>
  <c r="AO332" i="1"/>
  <c r="AO333" i="1"/>
  <c r="AO334" i="1"/>
  <c r="AO335" i="1"/>
  <c r="AO336" i="1"/>
  <c r="AO337" i="1"/>
  <c r="AO338" i="1"/>
  <c r="AO339" i="1"/>
  <c r="AO340" i="1"/>
  <c r="AO341" i="1"/>
  <c r="AP4" i="1"/>
  <c r="AP5" i="1"/>
  <c r="AP6" i="1"/>
  <c r="AP7" i="1"/>
  <c r="AU7" i="1" s="1"/>
  <c r="AZ7" i="4" s="1"/>
  <c r="BA7" i="4" s="1"/>
  <c r="AP8" i="1"/>
  <c r="AP9" i="1"/>
  <c r="AP10" i="1"/>
  <c r="AP11" i="1"/>
  <c r="AP12" i="1"/>
  <c r="AP13" i="1"/>
  <c r="AP14" i="1"/>
  <c r="AU14" i="1" s="1"/>
  <c r="AP15" i="1"/>
  <c r="AP16" i="1"/>
  <c r="AP17" i="1"/>
  <c r="AP18" i="1"/>
  <c r="AP19" i="1"/>
  <c r="AP20" i="1"/>
  <c r="AU20" i="1" s="1"/>
  <c r="AZ20" i="4" s="1"/>
  <c r="BA20" i="4" s="1"/>
  <c r="AP21" i="1"/>
  <c r="AP22" i="1"/>
  <c r="AP23" i="1"/>
  <c r="AP24" i="1"/>
  <c r="AP25" i="1"/>
  <c r="AP26" i="1"/>
  <c r="AP27" i="1"/>
  <c r="AP28" i="1"/>
  <c r="AP29" i="1"/>
  <c r="AP30" i="1"/>
  <c r="AP31" i="1"/>
  <c r="AP32" i="1"/>
  <c r="AP33" i="1"/>
  <c r="AP34" i="1"/>
  <c r="AP35" i="1"/>
  <c r="AP36" i="1"/>
  <c r="AP37" i="1"/>
  <c r="AP38" i="1"/>
  <c r="AP39" i="1"/>
  <c r="AP40" i="1"/>
  <c r="AP41" i="1"/>
  <c r="AP42" i="1"/>
  <c r="AP43" i="1"/>
  <c r="AP44" i="1"/>
  <c r="AP45" i="1"/>
  <c r="AP46" i="1"/>
  <c r="AP47" i="1"/>
  <c r="AP48" i="1"/>
  <c r="AP49" i="1"/>
  <c r="AP50" i="1"/>
  <c r="AU50" i="1" s="1"/>
  <c r="AZ50" i="4" s="1"/>
  <c r="BA50" i="4" s="1"/>
  <c r="AP51" i="1"/>
  <c r="AP52" i="1"/>
  <c r="AP53" i="1"/>
  <c r="AP54" i="1"/>
  <c r="AP55" i="1"/>
  <c r="AP56" i="1"/>
  <c r="AP57" i="1"/>
  <c r="AP58" i="1"/>
  <c r="AP59" i="1"/>
  <c r="AP60" i="1"/>
  <c r="AP61" i="1"/>
  <c r="AP62" i="1"/>
  <c r="AP63" i="1"/>
  <c r="AP64" i="1"/>
  <c r="AP65" i="1"/>
  <c r="AP66" i="1"/>
  <c r="AP67" i="1"/>
  <c r="AP68" i="1"/>
  <c r="AP69" i="1"/>
  <c r="AP70" i="1"/>
  <c r="AP71" i="1"/>
  <c r="AP72" i="1"/>
  <c r="AP73" i="1"/>
  <c r="AP74" i="1"/>
  <c r="AP75" i="1"/>
  <c r="AP76" i="1"/>
  <c r="AP77" i="1"/>
  <c r="AP78" i="1"/>
  <c r="AP79" i="1"/>
  <c r="AP80" i="1"/>
  <c r="AP81" i="1"/>
  <c r="AP82" i="1"/>
  <c r="AP83" i="1"/>
  <c r="AP84" i="1"/>
  <c r="AP85" i="1"/>
  <c r="AP86" i="1"/>
  <c r="AU86" i="1" s="1"/>
  <c r="AZ86" i="4" s="1"/>
  <c r="BA86" i="4" s="1"/>
  <c r="AP87" i="1"/>
  <c r="AP88" i="1"/>
  <c r="AP89" i="1"/>
  <c r="AP90" i="1"/>
  <c r="AP91" i="1"/>
  <c r="AP92" i="1"/>
  <c r="AU92" i="1" s="1"/>
  <c r="AZ92" i="4" s="1"/>
  <c r="BA92" i="4" s="1"/>
  <c r="AP93" i="1"/>
  <c r="AP94" i="1"/>
  <c r="AP95" i="1"/>
  <c r="AP96" i="1"/>
  <c r="AP97" i="1"/>
  <c r="AP98" i="1"/>
  <c r="AP99" i="1"/>
  <c r="AP100" i="1"/>
  <c r="AP101" i="1"/>
  <c r="AP102" i="1"/>
  <c r="AP103" i="1"/>
  <c r="AP104" i="1"/>
  <c r="AP105" i="1"/>
  <c r="AP106" i="1"/>
  <c r="AP107" i="1"/>
  <c r="AP108" i="1"/>
  <c r="AP109" i="1"/>
  <c r="AP110" i="1"/>
  <c r="AP111" i="1"/>
  <c r="AP112" i="1"/>
  <c r="AP113" i="1"/>
  <c r="AP114" i="1"/>
  <c r="AP115" i="1"/>
  <c r="AU115" i="1" s="1"/>
  <c r="AZ115" i="4" s="1"/>
  <c r="BA115" i="4" s="1"/>
  <c r="AP116" i="1"/>
  <c r="AP117" i="1"/>
  <c r="AP118" i="1"/>
  <c r="AP119" i="1"/>
  <c r="AP120" i="1"/>
  <c r="AP121" i="1"/>
  <c r="AP122" i="1"/>
  <c r="AP123" i="1"/>
  <c r="AP124" i="1"/>
  <c r="AP125" i="1"/>
  <c r="AP126" i="1"/>
  <c r="AP127" i="1"/>
  <c r="AP128" i="1"/>
  <c r="AP129" i="1"/>
  <c r="AP130" i="1"/>
  <c r="AP131" i="1"/>
  <c r="AP132" i="1"/>
  <c r="AP133" i="1"/>
  <c r="AP134" i="1"/>
  <c r="AP135" i="1"/>
  <c r="AP136" i="1"/>
  <c r="AP137" i="1"/>
  <c r="AP138" i="1"/>
  <c r="AP139" i="1"/>
  <c r="AP140" i="1"/>
  <c r="AP141" i="1"/>
  <c r="AP142" i="1"/>
  <c r="AP143" i="1"/>
  <c r="AP144" i="1"/>
  <c r="AP145" i="1"/>
  <c r="AP146" i="1"/>
  <c r="AP147" i="1"/>
  <c r="AP148" i="1"/>
  <c r="AP149" i="1"/>
  <c r="AP150" i="1"/>
  <c r="AP151" i="1"/>
  <c r="AU151" i="1" s="1"/>
  <c r="AZ151" i="4" s="1"/>
  <c r="BA151" i="4" s="1"/>
  <c r="AP152" i="1"/>
  <c r="AP153" i="1"/>
  <c r="AP154" i="1"/>
  <c r="AP155" i="1"/>
  <c r="AP156" i="1"/>
  <c r="AP157" i="1"/>
  <c r="AP158" i="1"/>
  <c r="AU158" i="1" s="1"/>
  <c r="AZ158" i="4" s="1"/>
  <c r="BA158" i="4" s="1"/>
  <c r="AP159" i="1"/>
  <c r="AP160" i="1"/>
  <c r="AP161" i="1"/>
  <c r="AP162" i="1"/>
  <c r="AP163" i="1"/>
  <c r="AP164" i="1"/>
  <c r="AP165" i="1"/>
  <c r="AP166" i="1"/>
  <c r="AP167" i="1"/>
  <c r="AP168" i="1"/>
  <c r="AP169" i="1"/>
  <c r="AP170" i="1"/>
  <c r="AP171" i="1"/>
  <c r="AP172" i="1"/>
  <c r="AP173" i="1"/>
  <c r="AP174" i="1"/>
  <c r="AP175" i="1"/>
  <c r="AP176" i="1"/>
  <c r="AP177" i="1"/>
  <c r="AP178" i="1"/>
  <c r="AP179" i="1"/>
  <c r="AP180" i="1"/>
  <c r="AP181" i="1"/>
  <c r="AP182" i="1"/>
  <c r="AP183" i="1"/>
  <c r="AP184" i="1"/>
  <c r="AP185" i="1"/>
  <c r="AP186" i="1"/>
  <c r="AP187" i="1"/>
  <c r="AP188" i="1"/>
  <c r="AP189" i="1"/>
  <c r="AP190" i="1"/>
  <c r="AP191" i="1"/>
  <c r="AP192" i="1"/>
  <c r="AP193" i="1"/>
  <c r="AP194" i="1"/>
  <c r="AP195" i="1"/>
  <c r="AP196" i="1"/>
  <c r="AP197" i="1"/>
  <c r="AP198" i="1"/>
  <c r="AP199" i="1"/>
  <c r="AP200" i="1"/>
  <c r="AP201" i="1"/>
  <c r="AP202" i="1"/>
  <c r="AP203" i="1"/>
  <c r="AP204" i="1"/>
  <c r="AP205" i="1"/>
  <c r="AP206" i="1"/>
  <c r="AP207" i="1"/>
  <c r="AP208" i="1"/>
  <c r="AP209" i="1"/>
  <c r="AP210" i="1"/>
  <c r="AP211" i="1"/>
  <c r="AP212" i="1"/>
  <c r="AP213" i="1"/>
  <c r="AP214" i="1"/>
  <c r="AP215" i="1"/>
  <c r="AP216" i="1"/>
  <c r="AP217" i="1"/>
  <c r="AP218" i="1"/>
  <c r="AP219" i="1"/>
  <c r="AP220" i="1"/>
  <c r="AP221" i="1"/>
  <c r="AP222" i="1"/>
  <c r="AP223" i="1"/>
  <c r="AP224" i="1"/>
  <c r="AP225" i="1"/>
  <c r="AP226" i="1"/>
  <c r="AP227" i="1"/>
  <c r="AP228" i="1"/>
  <c r="AP229" i="1"/>
  <c r="AP230" i="1"/>
  <c r="AP231" i="1"/>
  <c r="AP232" i="1"/>
  <c r="AP233" i="1"/>
  <c r="AP234" i="1"/>
  <c r="AP235" i="1"/>
  <c r="AP236" i="1"/>
  <c r="AP237" i="1"/>
  <c r="AP238" i="1"/>
  <c r="AP239" i="1"/>
  <c r="AP240" i="1"/>
  <c r="AP241" i="1"/>
  <c r="AP242" i="1"/>
  <c r="AP243" i="1"/>
  <c r="AP244" i="1"/>
  <c r="AP245" i="1"/>
  <c r="AP246" i="1"/>
  <c r="AP247" i="1"/>
  <c r="AP248" i="1"/>
  <c r="AP249" i="1"/>
  <c r="AP250" i="1"/>
  <c r="AP251" i="1"/>
  <c r="AP252" i="1"/>
  <c r="AP253" i="1"/>
  <c r="AP254" i="1"/>
  <c r="AP255" i="1"/>
  <c r="AP256" i="1"/>
  <c r="AP257" i="1"/>
  <c r="AP258" i="1"/>
  <c r="AP259" i="1"/>
  <c r="AP260" i="1"/>
  <c r="AP261" i="1"/>
  <c r="AP262" i="1"/>
  <c r="AP263" i="1"/>
  <c r="AP264" i="1"/>
  <c r="AP265" i="1"/>
  <c r="AP266" i="1"/>
  <c r="AP267" i="1"/>
  <c r="AP268" i="1"/>
  <c r="AP269" i="1"/>
  <c r="AP270" i="1"/>
  <c r="AP271" i="1"/>
  <c r="AP272" i="1"/>
  <c r="AP273" i="1"/>
  <c r="AP274" i="1"/>
  <c r="AP275" i="1"/>
  <c r="AP276" i="1"/>
  <c r="AP277" i="1"/>
  <c r="AP278" i="1"/>
  <c r="AP279" i="1"/>
  <c r="AP280" i="1"/>
  <c r="AP281" i="1"/>
  <c r="AP282" i="1"/>
  <c r="AP283" i="1"/>
  <c r="AP284" i="1"/>
  <c r="AP285" i="1"/>
  <c r="AP286" i="1"/>
  <c r="AP287" i="1"/>
  <c r="AP288" i="1"/>
  <c r="AP289" i="1"/>
  <c r="AP290" i="1"/>
  <c r="AP291" i="1"/>
  <c r="AP292" i="1"/>
  <c r="AP293" i="1"/>
  <c r="AP294" i="1"/>
  <c r="AP295" i="1"/>
  <c r="AP296" i="1"/>
  <c r="AP297" i="1"/>
  <c r="AP298" i="1"/>
  <c r="AP299" i="1"/>
  <c r="AP300" i="1"/>
  <c r="AP301" i="1"/>
  <c r="AP302" i="1"/>
  <c r="AP303" i="1"/>
  <c r="AP304" i="1"/>
  <c r="AP305" i="1"/>
  <c r="AP306" i="1"/>
  <c r="AP307" i="1"/>
  <c r="AP308" i="1"/>
  <c r="AP309" i="1"/>
  <c r="AP310" i="1"/>
  <c r="AP311" i="1"/>
  <c r="AP312" i="1"/>
  <c r="AP313" i="1"/>
  <c r="AP314" i="1"/>
  <c r="AP315" i="1"/>
  <c r="AP316" i="1"/>
  <c r="AP317" i="1"/>
  <c r="AP318" i="1"/>
  <c r="AP319" i="1"/>
  <c r="AP320" i="1"/>
  <c r="AP321" i="1"/>
  <c r="AP322" i="1"/>
  <c r="AP323" i="1"/>
  <c r="AP324" i="1"/>
  <c r="AP325" i="1"/>
  <c r="AP326" i="1"/>
  <c r="AP327" i="1"/>
  <c r="AP328" i="1"/>
  <c r="AP329" i="1"/>
  <c r="AP330" i="1"/>
  <c r="AP331" i="1"/>
  <c r="AP332" i="1"/>
  <c r="AP333" i="1"/>
  <c r="AP334" i="1"/>
  <c r="AP335" i="1"/>
  <c r="AP336" i="1"/>
  <c r="AP337" i="1"/>
  <c r="AP338" i="1"/>
  <c r="AP339" i="1"/>
  <c r="AP340" i="1"/>
  <c r="AP341" i="1"/>
  <c r="AQ4" i="1"/>
  <c r="AQ5" i="1"/>
  <c r="AQ6" i="1"/>
  <c r="AU6" i="1" s="1"/>
  <c r="AZ6" i="4" s="1"/>
  <c r="BA6" i="4" s="1"/>
  <c r="AQ7" i="1"/>
  <c r="AQ8" i="1"/>
  <c r="AQ9" i="1"/>
  <c r="AQ10" i="1"/>
  <c r="AQ11" i="1"/>
  <c r="AQ12" i="1"/>
  <c r="AQ13" i="1"/>
  <c r="AQ14" i="1"/>
  <c r="AQ15" i="1"/>
  <c r="AQ16" i="1"/>
  <c r="AQ17" i="1"/>
  <c r="AQ18" i="1"/>
  <c r="AQ19" i="1"/>
  <c r="AQ20" i="1"/>
  <c r="AQ21" i="1"/>
  <c r="AQ22" i="1"/>
  <c r="AQ23" i="1"/>
  <c r="AQ24" i="1"/>
  <c r="AQ25" i="1"/>
  <c r="AQ26" i="1"/>
  <c r="AQ27" i="1"/>
  <c r="AQ28" i="1"/>
  <c r="AU28" i="1" s="1"/>
  <c r="AZ28" i="4" s="1"/>
  <c r="BA28" i="4" s="1"/>
  <c r="AQ29" i="1"/>
  <c r="AQ30" i="1"/>
  <c r="AU30" i="1" s="1"/>
  <c r="AQ31" i="1"/>
  <c r="AQ32" i="1"/>
  <c r="AQ33" i="1"/>
  <c r="AQ34" i="1"/>
  <c r="AQ35" i="1"/>
  <c r="AQ36" i="1"/>
  <c r="AU36" i="1" s="1"/>
  <c r="AQ37" i="1"/>
  <c r="AQ38" i="1"/>
  <c r="AQ39" i="1"/>
  <c r="AQ40" i="1"/>
  <c r="AQ41" i="1"/>
  <c r="AQ42" i="1"/>
  <c r="AU42" i="1" s="1"/>
  <c r="AZ42" i="4" s="1"/>
  <c r="BA42" i="4" s="1"/>
  <c r="AQ43" i="1"/>
  <c r="AQ44" i="1"/>
  <c r="AQ45" i="1"/>
  <c r="AQ46" i="1"/>
  <c r="AQ47" i="1"/>
  <c r="AQ48" i="1"/>
  <c r="AQ49" i="1"/>
  <c r="AQ50" i="1"/>
  <c r="AQ51" i="1"/>
  <c r="AQ52" i="1"/>
  <c r="AQ53" i="1"/>
  <c r="AQ54" i="1"/>
  <c r="AQ55" i="1"/>
  <c r="AQ56" i="1"/>
  <c r="AQ57" i="1"/>
  <c r="AQ58" i="1"/>
  <c r="AQ59" i="1"/>
  <c r="AQ60" i="1"/>
  <c r="AQ61" i="1"/>
  <c r="AQ62" i="1"/>
  <c r="AQ63" i="1"/>
  <c r="AQ64" i="1"/>
  <c r="AQ65" i="1"/>
  <c r="AQ66" i="1"/>
  <c r="AU66" i="1" s="1"/>
  <c r="AQ67" i="1"/>
  <c r="AQ68" i="1"/>
  <c r="AQ69" i="1"/>
  <c r="AQ70" i="1"/>
  <c r="AQ71" i="1"/>
  <c r="AQ72" i="1"/>
  <c r="AU72" i="1" s="1"/>
  <c r="AQ73" i="1"/>
  <c r="AQ74" i="1"/>
  <c r="AQ75" i="1"/>
  <c r="AQ76" i="1"/>
  <c r="AQ77" i="1"/>
  <c r="AQ78" i="1"/>
  <c r="AU78" i="1" s="1"/>
  <c r="AZ78" i="4" s="1"/>
  <c r="BA78" i="4" s="1"/>
  <c r="AQ79" i="1"/>
  <c r="AQ80" i="1"/>
  <c r="AQ81" i="1"/>
  <c r="AQ82" i="1"/>
  <c r="AQ83" i="1"/>
  <c r="AQ84" i="1"/>
  <c r="AQ85" i="1"/>
  <c r="AQ86" i="1"/>
  <c r="AQ87" i="1"/>
  <c r="AQ88" i="1"/>
  <c r="AQ89" i="1"/>
  <c r="AQ90" i="1"/>
  <c r="AQ91" i="1"/>
  <c r="AQ92" i="1"/>
  <c r="AQ93" i="1"/>
  <c r="AQ94" i="1"/>
  <c r="AQ95" i="1"/>
  <c r="AQ96" i="1"/>
  <c r="AQ97" i="1"/>
  <c r="AQ98" i="1"/>
  <c r="AQ99" i="1"/>
  <c r="AQ100" i="1"/>
  <c r="AQ101" i="1"/>
  <c r="AQ102" i="1"/>
  <c r="AU102" i="1" s="1"/>
  <c r="AQ103" i="1"/>
  <c r="AQ104" i="1"/>
  <c r="AQ105" i="1"/>
  <c r="AQ106" i="1"/>
  <c r="AQ107" i="1"/>
  <c r="AQ108" i="1"/>
  <c r="AU108" i="1" s="1"/>
  <c r="AQ109" i="1"/>
  <c r="AQ110" i="1"/>
  <c r="AQ111" i="1"/>
  <c r="AQ112" i="1"/>
  <c r="AQ113" i="1"/>
  <c r="AQ114" i="1"/>
  <c r="AU114" i="1" s="1"/>
  <c r="AZ114" i="4" s="1"/>
  <c r="BA114" i="4" s="1"/>
  <c r="AQ115" i="1"/>
  <c r="AQ116" i="1"/>
  <c r="AQ117" i="1"/>
  <c r="AQ118" i="1"/>
  <c r="AQ119" i="1"/>
  <c r="AQ120" i="1"/>
  <c r="AQ121" i="1"/>
  <c r="AQ122" i="1"/>
  <c r="AQ123" i="1"/>
  <c r="AQ124" i="1"/>
  <c r="AQ125" i="1"/>
  <c r="AQ126" i="1"/>
  <c r="AQ127" i="1"/>
  <c r="AQ128" i="1"/>
  <c r="AQ129" i="1"/>
  <c r="AQ130" i="1"/>
  <c r="AQ131" i="1"/>
  <c r="AQ132" i="1"/>
  <c r="AQ133" i="1"/>
  <c r="AQ134" i="1"/>
  <c r="AQ135" i="1"/>
  <c r="AQ136" i="1"/>
  <c r="AQ137" i="1"/>
  <c r="AQ138" i="1"/>
  <c r="AU138" i="1" s="1"/>
  <c r="AQ139" i="1"/>
  <c r="AQ140" i="1"/>
  <c r="AQ141" i="1"/>
  <c r="AQ142" i="1"/>
  <c r="AQ143" i="1"/>
  <c r="AQ144" i="1"/>
  <c r="AU144" i="1" s="1"/>
  <c r="AQ145" i="1"/>
  <c r="AQ146" i="1"/>
  <c r="AQ147" i="1"/>
  <c r="AQ148" i="1"/>
  <c r="AQ149" i="1"/>
  <c r="AQ150" i="1"/>
  <c r="AU150" i="1" s="1"/>
  <c r="AZ150" i="4" s="1"/>
  <c r="BA150" i="4" s="1"/>
  <c r="AQ151" i="1"/>
  <c r="AQ152" i="1"/>
  <c r="AQ153" i="1"/>
  <c r="AQ154" i="1"/>
  <c r="AQ155" i="1"/>
  <c r="AQ156" i="1"/>
  <c r="AQ157" i="1"/>
  <c r="AQ158" i="1"/>
  <c r="AQ159" i="1"/>
  <c r="AQ160" i="1"/>
  <c r="AQ161" i="1"/>
  <c r="AQ162" i="1"/>
  <c r="AQ163" i="1"/>
  <c r="AQ164" i="1"/>
  <c r="AQ165" i="1"/>
  <c r="AQ166" i="1"/>
  <c r="AQ167" i="1"/>
  <c r="AQ168" i="1"/>
  <c r="AQ169" i="1"/>
  <c r="AQ170" i="1"/>
  <c r="AQ171" i="1"/>
  <c r="AQ172" i="1"/>
  <c r="AQ173" i="1"/>
  <c r="AQ174" i="1"/>
  <c r="AQ175" i="1"/>
  <c r="AQ176" i="1"/>
  <c r="AQ177" i="1"/>
  <c r="AQ178" i="1"/>
  <c r="AQ179" i="1"/>
  <c r="AU179" i="1" s="1"/>
  <c r="AQ180" i="1"/>
  <c r="AQ181" i="1"/>
  <c r="AQ182" i="1"/>
  <c r="AQ183" i="1"/>
  <c r="AQ184" i="1"/>
  <c r="AQ185" i="1"/>
  <c r="AU185" i="1" s="1"/>
  <c r="AZ185" i="4" s="1"/>
  <c r="BA185" i="4" s="1"/>
  <c r="AQ186" i="1"/>
  <c r="AQ187" i="1"/>
  <c r="AQ188" i="1"/>
  <c r="AQ189" i="1"/>
  <c r="AQ190" i="1"/>
  <c r="AQ191" i="1"/>
  <c r="AU191" i="1" s="1"/>
  <c r="AZ191" i="4" s="1"/>
  <c r="BA191" i="4" s="1"/>
  <c r="AQ192" i="1"/>
  <c r="AQ193" i="1"/>
  <c r="AQ194" i="1"/>
  <c r="AQ195" i="1"/>
  <c r="AQ196" i="1"/>
  <c r="AQ197" i="1"/>
  <c r="AU197" i="1" s="1"/>
  <c r="AZ197" i="4" s="1"/>
  <c r="BA197" i="4" s="1"/>
  <c r="AQ198" i="1"/>
  <c r="AQ199" i="1"/>
  <c r="AQ200" i="1"/>
  <c r="AQ201" i="1"/>
  <c r="AQ202" i="1"/>
  <c r="AQ203" i="1"/>
  <c r="AU203" i="1" s="1"/>
  <c r="AZ203" i="4" s="1"/>
  <c r="BA203" i="4" s="1"/>
  <c r="AQ204" i="1"/>
  <c r="AQ205" i="1"/>
  <c r="AQ206" i="1"/>
  <c r="AQ207" i="1"/>
  <c r="AQ208" i="1"/>
  <c r="AQ209" i="1"/>
  <c r="AU209" i="1" s="1"/>
  <c r="AZ209" i="4" s="1"/>
  <c r="BA209" i="4" s="1"/>
  <c r="AQ210" i="1"/>
  <c r="AQ211" i="1"/>
  <c r="AQ212" i="1"/>
  <c r="AQ213" i="1"/>
  <c r="AQ214" i="1"/>
  <c r="AQ215" i="1"/>
  <c r="AU215" i="1" s="1"/>
  <c r="AZ215" i="4" s="1"/>
  <c r="BA215" i="4" s="1"/>
  <c r="AQ216" i="1"/>
  <c r="AQ217" i="1"/>
  <c r="AQ218" i="1"/>
  <c r="AQ219" i="1"/>
  <c r="AQ220" i="1"/>
  <c r="AQ221" i="1"/>
  <c r="AQ222" i="1"/>
  <c r="AQ223" i="1"/>
  <c r="AQ224" i="1"/>
  <c r="AQ225" i="1"/>
  <c r="AQ226" i="1"/>
  <c r="AQ227" i="1"/>
  <c r="AU227" i="1" s="1"/>
  <c r="AZ227" i="4" s="1"/>
  <c r="BA227" i="4" s="1"/>
  <c r="AQ228" i="1"/>
  <c r="AQ229" i="1"/>
  <c r="AQ230" i="1"/>
  <c r="AQ231" i="1"/>
  <c r="AQ232" i="1"/>
  <c r="AQ233" i="1"/>
  <c r="AQ234" i="1"/>
  <c r="AQ235" i="1"/>
  <c r="AQ236" i="1"/>
  <c r="AQ237" i="1"/>
  <c r="AQ238" i="1"/>
  <c r="AQ239" i="1"/>
  <c r="AU239" i="1" s="1"/>
  <c r="AQ240" i="1"/>
  <c r="AQ241" i="1"/>
  <c r="AQ242" i="1"/>
  <c r="AQ243" i="1"/>
  <c r="AQ244" i="1"/>
  <c r="AQ245" i="1"/>
  <c r="AU245" i="1" s="1"/>
  <c r="AQ246" i="1"/>
  <c r="AQ247" i="1"/>
  <c r="AQ248" i="1"/>
  <c r="AQ249" i="1"/>
  <c r="AQ250" i="1"/>
  <c r="AQ251" i="1"/>
  <c r="AU251" i="1" s="1"/>
  <c r="AZ251" i="4" s="1"/>
  <c r="BA251" i="4" s="1"/>
  <c r="AQ252" i="1"/>
  <c r="AQ253" i="1"/>
  <c r="AQ254" i="1"/>
  <c r="AQ255" i="1"/>
  <c r="AQ256" i="1"/>
  <c r="AQ257" i="1"/>
  <c r="AU257" i="1" s="1"/>
  <c r="AZ257" i="4" s="1"/>
  <c r="BA257" i="4" s="1"/>
  <c r="AQ258" i="1"/>
  <c r="AQ259" i="1"/>
  <c r="AQ260" i="1"/>
  <c r="AQ261" i="1"/>
  <c r="AQ262" i="1"/>
  <c r="AQ263" i="1"/>
  <c r="AU263" i="1" s="1"/>
  <c r="AZ263" i="4" s="1"/>
  <c r="BA263" i="4" s="1"/>
  <c r="AQ264" i="1"/>
  <c r="AQ265" i="1"/>
  <c r="AQ266" i="1"/>
  <c r="AQ267" i="1"/>
  <c r="AQ268" i="1"/>
  <c r="AQ269" i="1"/>
  <c r="AU269" i="1" s="1"/>
  <c r="AZ269" i="4" s="1"/>
  <c r="BA269" i="4" s="1"/>
  <c r="AQ270" i="1"/>
  <c r="AQ271" i="1"/>
  <c r="AQ272" i="1"/>
  <c r="AQ273" i="1"/>
  <c r="AQ274" i="1"/>
  <c r="AQ275" i="1"/>
  <c r="AU275" i="1" s="1"/>
  <c r="AZ275" i="4" s="1"/>
  <c r="BA275" i="4" s="1"/>
  <c r="AQ276" i="1"/>
  <c r="AQ277" i="1"/>
  <c r="AQ278" i="1"/>
  <c r="AQ279" i="1"/>
  <c r="AQ280" i="1"/>
  <c r="AQ281" i="1"/>
  <c r="AU281" i="1" s="1"/>
  <c r="AZ281" i="4" s="1"/>
  <c r="BA281" i="4" s="1"/>
  <c r="AQ282" i="1"/>
  <c r="AQ283" i="1"/>
  <c r="AQ284" i="1"/>
  <c r="AQ285" i="1"/>
  <c r="AQ286" i="1"/>
  <c r="AQ287" i="1"/>
  <c r="AQ288" i="1"/>
  <c r="AQ289" i="1"/>
  <c r="AQ290" i="1"/>
  <c r="AQ291" i="1"/>
  <c r="AQ292" i="1"/>
  <c r="AQ293" i="1"/>
  <c r="AU293" i="1" s="1"/>
  <c r="AZ293" i="4" s="1"/>
  <c r="BA293" i="4" s="1"/>
  <c r="AQ294" i="1"/>
  <c r="AQ295" i="1"/>
  <c r="AQ296" i="1"/>
  <c r="AQ297" i="1"/>
  <c r="AQ298" i="1"/>
  <c r="AQ299" i="1"/>
  <c r="AQ300" i="1"/>
  <c r="AQ301" i="1"/>
  <c r="AQ302" i="1"/>
  <c r="AQ303" i="1"/>
  <c r="AQ304" i="1"/>
  <c r="AQ305" i="1"/>
  <c r="AU305" i="1" s="1"/>
  <c r="AZ305" i="4" s="1"/>
  <c r="BA305" i="4" s="1"/>
  <c r="AQ306" i="1"/>
  <c r="AQ307" i="1"/>
  <c r="AQ308" i="1"/>
  <c r="AQ309" i="1"/>
  <c r="AQ310" i="1"/>
  <c r="AQ311" i="1"/>
  <c r="AU311" i="1" s="1"/>
  <c r="AZ311" i="4" s="1"/>
  <c r="BA311" i="4" s="1"/>
  <c r="AQ312" i="1"/>
  <c r="AQ313" i="1"/>
  <c r="AQ314" i="1"/>
  <c r="AQ315" i="1"/>
  <c r="AQ316" i="1"/>
  <c r="AQ317" i="1"/>
  <c r="AU317" i="1" s="1"/>
  <c r="AZ317" i="4" s="1"/>
  <c r="BA317" i="4" s="1"/>
  <c r="AQ318" i="1"/>
  <c r="AQ319" i="1"/>
  <c r="AQ320" i="1"/>
  <c r="AQ321" i="1"/>
  <c r="AQ322" i="1"/>
  <c r="AQ323" i="1"/>
  <c r="AU323" i="1" s="1"/>
  <c r="AQ324" i="1"/>
  <c r="AQ325" i="1"/>
  <c r="AQ326" i="1"/>
  <c r="AQ327" i="1"/>
  <c r="AQ328" i="1"/>
  <c r="AQ329" i="1"/>
  <c r="AU329" i="1" s="1"/>
  <c r="AZ329" i="4" s="1"/>
  <c r="BA329" i="4" s="1"/>
  <c r="AQ330" i="1"/>
  <c r="AQ331" i="1"/>
  <c r="AQ332" i="1"/>
  <c r="AQ333" i="1"/>
  <c r="AQ334" i="1"/>
  <c r="AQ335" i="1"/>
  <c r="AU335" i="1" s="1"/>
  <c r="AQ336" i="1"/>
  <c r="AQ337" i="1"/>
  <c r="AQ338" i="1"/>
  <c r="AQ339" i="1"/>
  <c r="AQ340" i="1"/>
  <c r="AQ341" i="1"/>
  <c r="AU341" i="1" s="1"/>
  <c r="AZ341" i="4" s="1"/>
  <c r="BA341" i="4" s="1"/>
  <c r="AR4" i="1"/>
  <c r="AR5" i="1"/>
  <c r="AR6" i="1"/>
  <c r="AR7" i="1"/>
  <c r="AR8" i="1"/>
  <c r="AR9" i="1"/>
  <c r="AR10" i="1"/>
  <c r="AR11" i="1"/>
  <c r="AR12" i="1"/>
  <c r="AR13" i="1"/>
  <c r="AR14" i="1"/>
  <c r="AR15" i="1"/>
  <c r="AU15" i="1" s="1"/>
  <c r="AZ15" i="4" s="1"/>
  <c r="BA15" i="4" s="1"/>
  <c r="AR16" i="1"/>
  <c r="AR17" i="1"/>
  <c r="AR18" i="1"/>
  <c r="AR19" i="1"/>
  <c r="AR20" i="1"/>
  <c r="AR21" i="1"/>
  <c r="AU21" i="1" s="1"/>
  <c r="AZ21" i="4" s="1"/>
  <c r="BA21" i="4" s="1"/>
  <c r="AR22" i="1"/>
  <c r="AU22" i="1" s="1"/>
  <c r="AZ22" i="4" s="1"/>
  <c r="BA22" i="4" s="1"/>
  <c r="AR23" i="1"/>
  <c r="AR24" i="1"/>
  <c r="AR25" i="1"/>
  <c r="AR26" i="1"/>
  <c r="AR27" i="1"/>
  <c r="AU27" i="1" s="1"/>
  <c r="AZ27" i="4" s="1"/>
  <c r="BA27" i="4" s="1"/>
  <c r="AR28" i="1"/>
  <c r="AR29" i="1"/>
  <c r="AR30" i="1"/>
  <c r="AR31" i="1"/>
  <c r="AR32" i="1"/>
  <c r="AR33" i="1"/>
  <c r="AR34" i="1"/>
  <c r="AU34" i="1" s="1"/>
  <c r="AZ34" i="4" s="1"/>
  <c r="BA34" i="4" s="1"/>
  <c r="AR35" i="1"/>
  <c r="AR36" i="1"/>
  <c r="AR37" i="1"/>
  <c r="AR38" i="1"/>
  <c r="AR39" i="1"/>
  <c r="AR40" i="1"/>
  <c r="AR41" i="1"/>
  <c r="AR42" i="1"/>
  <c r="AR43" i="1"/>
  <c r="AR44" i="1"/>
  <c r="AR45" i="1"/>
  <c r="AR46" i="1"/>
  <c r="AR47" i="1"/>
  <c r="AR48" i="1"/>
  <c r="AR49" i="1"/>
  <c r="AR50" i="1"/>
  <c r="AR51" i="1"/>
  <c r="AU51" i="1" s="1"/>
  <c r="AZ51" i="4" s="1"/>
  <c r="BA51" i="4" s="1"/>
  <c r="AR52" i="1"/>
  <c r="AR53" i="1"/>
  <c r="AR54" i="1"/>
  <c r="AR55" i="1"/>
  <c r="AR56" i="1"/>
  <c r="AR57" i="1"/>
  <c r="AU57" i="1" s="1"/>
  <c r="AZ57" i="4" s="1"/>
  <c r="BA57" i="4" s="1"/>
  <c r="AR58" i="1"/>
  <c r="AU58" i="1" s="1"/>
  <c r="AZ58" i="4" s="1"/>
  <c r="BA58" i="4" s="1"/>
  <c r="AR59" i="1"/>
  <c r="AR60" i="1"/>
  <c r="AR61" i="1"/>
  <c r="AR62" i="1"/>
  <c r="AR63" i="1"/>
  <c r="AU63" i="1" s="1"/>
  <c r="AZ63" i="4" s="1"/>
  <c r="BA63" i="4" s="1"/>
  <c r="AR64" i="1"/>
  <c r="AU64" i="1" s="1"/>
  <c r="AZ64" i="4" s="1"/>
  <c r="BA64" i="4" s="1"/>
  <c r="AR65" i="1"/>
  <c r="AR66" i="1"/>
  <c r="AR67" i="1"/>
  <c r="AR68" i="1"/>
  <c r="AR69" i="1"/>
  <c r="AR70" i="1"/>
  <c r="AU70" i="1" s="1"/>
  <c r="AZ70" i="4" s="1"/>
  <c r="BA70" i="4" s="1"/>
  <c r="AR71" i="1"/>
  <c r="AR72" i="1"/>
  <c r="AR73" i="1"/>
  <c r="AR74" i="1"/>
  <c r="AR75" i="1"/>
  <c r="AR76" i="1"/>
  <c r="AR77" i="1"/>
  <c r="AR78" i="1"/>
  <c r="AR79" i="1"/>
  <c r="AR80" i="1"/>
  <c r="AR81" i="1"/>
  <c r="AR82" i="1"/>
  <c r="AR83" i="1"/>
  <c r="AR84" i="1"/>
  <c r="AR85" i="1"/>
  <c r="AR86" i="1"/>
  <c r="AR87" i="1"/>
  <c r="AU87" i="1" s="1"/>
  <c r="AZ87" i="4" s="1"/>
  <c r="BA87" i="4" s="1"/>
  <c r="AR88" i="1"/>
  <c r="AR89" i="1"/>
  <c r="AR90" i="1"/>
  <c r="AR91" i="1"/>
  <c r="AR92" i="1"/>
  <c r="AR93" i="1"/>
  <c r="AU93" i="1" s="1"/>
  <c r="AZ93" i="4" s="1"/>
  <c r="BA93" i="4" s="1"/>
  <c r="AR94" i="1"/>
  <c r="AU94" i="1" s="1"/>
  <c r="AZ94" i="4" s="1"/>
  <c r="BA94" i="4" s="1"/>
  <c r="AR95" i="1"/>
  <c r="AR96" i="1"/>
  <c r="AR97" i="1"/>
  <c r="AR98" i="1"/>
  <c r="AR99" i="1"/>
  <c r="AU99" i="1" s="1"/>
  <c r="AZ99" i="4" s="1"/>
  <c r="BA99" i="4" s="1"/>
  <c r="AR100" i="1"/>
  <c r="AU100" i="1" s="1"/>
  <c r="AZ100" i="4" s="1"/>
  <c r="BA100" i="4" s="1"/>
  <c r="AR101" i="1"/>
  <c r="AR102" i="1"/>
  <c r="AR103" i="1"/>
  <c r="AR104" i="1"/>
  <c r="AR105" i="1"/>
  <c r="AR106" i="1"/>
  <c r="AU106" i="1" s="1"/>
  <c r="AZ106" i="4" s="1"/>
  <c r="BA106" i="4" s="1"/>
  <c r="AR107" i="1"/>
  <c r="AR108" i="1"/>
  <c r="AR109" i="1"/>
  <c r="AR110" i="1"/>
  <c r="AR111" i="1"/>
  <c r="AR112" i="1"/>
  <c r="AR113" i="1"/>
  <c r="AR114" i="1"/>
  <c r="AR115" i="1"/>
  <c r="AR116" i="1"/>
  <c r="AR117" i="1"/>
  <c r="AR118" i="1"/>
  <c r="AR119" i="1"/>
  <c r="AR120" i="1"/>
  <c r="AR121" i="1"/>
  <c r="AR122" i="1"/>
  <c r="AR123" i="1"/>
  <c r="AU123" i="1" s="1"/>
  <c r="AZ123" i="4" s="1"/>
  <c r="BA123" i="4" s="1"/>
  <c r="AR124" i="1"/>
  <c r="AR125" i="1"/>
  <c r="AR126" i="1"/>
  <c r="AR127" i="1"/>
  <c r="AR128" i="1"/>
  <c r="AR129" i="1"/>
  <c r="AU129" i="1" s="1"/>
  <c r="AZ129" i="4" s="1"/>
  <c r="BA129" i="4" s="1"/>
  <c r="AR130" i="1"/>
  <c r="AU130" i="1" s="1"/>
  <c r="AZ130" i="4" s="1"/>
  <c r="BA130" i="4" s="1"/>
  <c r="AR131" i="1"/>
  <c r="AR132" i="1"/>
  <c r="AR133" i="1"/>
  <c r="AR134" i="1"/>
  <c r="AR135" i="1"/>
  <c r="AU135" i="1" s="1"/>
  <c r="AZ135" i="4" s="1"/>
  <c r="BA135" i="4" s="1"/>
  <c r="AR136" i="1"/>
  <c r="AU136" i="1" s="1"/>
  <c r="AZ136" i="4" s="1"/>
  <c r="BA136" i="4" s="1"/>
  <c r="AR137" i="1"/>
  <c r="AR138" i="1"/>
  <c r="AR139" i="1"/>
  <c r="AR140" i="1"/>
  <c r="AR141" i="1"/>
  <c r="AR142" i="1"/>
  <c r="AU142" i="1" s="1"/>
  <c r="AZ142" i="4" s="1"/>
  <c r="BA142" i="4" s="1"/>
  <c r="AR143" i="1"/>
  <c r="AR144" i="1"/>
  <c r="AR145" i="1"/>
  <c r="AR146" i="1"/>
  <c r="AR147" i="1"/>
  <c r="AR148" i="1"/>
  <c r="AR149" i="1"/>
  <c r="AR150" i="1"/>
  <c r="AR151" i="1"/>
  <c r="AR152" i="1"/>
  <c r="AR153" i="1"/>
  <c r="AR154" i="1"/>
  <c r="AR155" i="1"/>
  <c r="AR156" i="1"/>
  <c r="AR157" i="1"/>
  <c r="AR158" i="1"/>
  <c r="AR159" i="1"/>
  <c r="AU159" i="1" s="1"/>
  <c r="AZ159" i="4" s="1"/>
  <c r="BA159" i="4" s="1"/>
  <c r="AR160" i="1"/>
  <c r="AR161" i="1"/>
  <c r="AR162" i="1"/>
  <c r="AR163" i="1"/>
  <c r="AR164" i="1"/>
  <c r="AR165" i="1"/>
  <c r="AU165" i="1" s="1"/>
  <c r="AZ165" i="4" s="1"/>
  <c r="BA165" i="4" s="1"/>
  <c r="AR166" i="1"/>
  <c r="AU166" i="1" s="1"/>
  <c r="AZ166" i="4" s="1"/>
  <c r="BA166" i="4" s="1"/>
  <c r="AR167" i="1"/>
  <c r="AR168" i="1"/>
  <c r="AR169" i="1"/>
  <c r="AR170" i="1"/>
  <c r="AR171" i="1"/>
  <c r="AU171" i="1" s="1"/>
  <c r="AZ171" i="4" s="1"/>
  <c r="BA171" i="4" s="1"/>
  <c r="AR172" i="1"/>
  <c r="AU172" i="1" s="1"/>
  <c r="AZ172" i="4" s="1"/>
  <c r="BA172" i="4" s="1"/>
  <c r="AR173" i="1"/>
  <c r="AR174" i="1"/>
  <c r="AR175" i="1"/>
  <c r="AR176" i="1"/>
  <c r="AR177" i="1"/>
  <c r="AR178" i="1"/>
  <c r="AU178" i="1" s="1"/>
  <c r="AZ178" i="4" s="1"/>
  <c r="BA178" i="4" s="1"/>
  <c r="AR179" i="1"/>
  <c r="AR180" i="1"/>
  <c r="AR181" i="1"/>
  <c r="AR182" i="1"/>
  <c r="AR183" i="1"/>
  <c r="AR184" i="1"/>
  <c r="AU184" i="1" s="1"/>
  <c r="AZ184" i="4" s="1"/>
  <c r="BA184" i="4" s="1"/>
  <c r="AR185" i="1"/>
  <c r="AR186" i="1"/>
  <c r="AR187" i="1"/>
  <c r="AR188" i="1"/>
  <c r="AR189" i="1"/>
  <c r="AR190" i="1"/>
  <c r="AU190" i="1" s="1"/>
  <c r="AZ190" i="4" s="1"/>
  <c r="BA190" i="4" s="1"/>
  <c r="AR191" i="1"/>
  <c r="AR192" i="1"/>
  <c r="AR193" i="1"/>
  <c r="AR194" i="1"/>
  <c r="AR195" i="1"/>
  <c r="AR196" i="1"/>
  <c r="AU196" i="1" s="1"/>
  <c r="AZ196" i="4" s="1"/>
  <c r="BA196" i="4" s="1"/>
  <c r="AR197" i="1"/>
  <c r="AR198" i="1"/>
  <c r="AR199" i="1"/>
  <c r="AR200" i="1"/>
  <c r="AR201" i="1"/>
  <c r="AR202" i="1"/>
  <c r="AU202" i="1" s="1"/>
  <c r="AZ202" i="4" s="1"/>
  <c r="BA202" i="4" s="1"/>
  <c r="AR203" i="1"/>
  <c r="AR204" i="1"/>
  <c r="AR205" i="1"/>
  <c r="AR206" i="1"/>
  <c r="AR207" i="1"/>
  <c r="AR208" i="1"/>
  <c r="AU208" i="1" s="1"/>
  <c r="AZ208" i="4" s="1"/>
  <c r="BA208" i="4" s="1"/>
  <c r="AR209" i="1"/>
  <c r="AR210" i="1"/>
  <c r="AR211" i="1"/>
  <c r="AR212" i="1"/>
  <c r="AR213" i="1"/>
  <c r="AR214" i="1"/>
  <c r="AR215" i="1"/>
  <c r="AR216" i="1"/>
  <c r="AR217" i="1"/>
  <c r="AR218" i="1"/>
  <c r="AR219" i="1"/>
  <c r="AR220" i="1"/>
  <c r="AU220" i="1" s="1"/>
  <c r="AZ220" i="4" s="1"/>
  <c r="BA220" i="4" s="1"/>
  <c r="AR221" i="1"/>
  <c r="AR222" i="1"/>
  <c r="AR223" i="1"/>
  <c r="AR224" i="1"/>
  <c r="AR225" i="1"/>
  <c r="AR226" i="1"/>
  <c r="AU226" i="1" s="1"/>
  <c r="AZ226" i="4" s="1"/>
  <c r="BA226" i="4" s="1"/>
  <c r="AR227" i="1"/>
  <c r="AR228" i="1"/>
  <c r="AR229" i="1"/>
  <c r="AR230" i="1"/>
  <c r="AR231" i="1"/>
  <c r="AR232" i="1"/>
  <c r="AU232" i="1" s="1"/>
  <c r="AZ232" i="4" s="1"/>
  <c r="BA232" i="4" s="1"/>
  <c r="AR233" i="1"/>
  <c r="AR234" i="1"/>
  <c r="AR235" i="1"/>
  <c r="AR236" i="1"/>
  <c r="AR237" i="1"/>
  <c r="AR238" i="1"/>
  <c r="AU238" i="1" s="1"/>
  <c r="AR239" i="1"/>
  <c r="AR240" i="1"/>
  <c r="AR241" i="1"/>
  <c r="AR242" i="1"/>
  <c r="AR243" i="1"/>
  <c r="AR244" i="1"/>
  <c r="AU244" i="1" s="1"/>
  <c r="AZ244" i="4" s="1"/>
  <c r="BA244" i="4" s="1"/>
  <c r="AR245" i="1"/>
  <c r="AR246" i="1"/>
  <c r="AR247" i="1"/>
  <c r="AR248" i="1"/>
  <c r="AR249" i="1"/>
  <c r="AR250" i="1"/>
  <c r="AU250" i="1" s="1"/>
  <c r="AZ250" i="4" s="1"/>
  <c r="BA250" i="4" s="1"/>
  <c r="AR251" i="1"/>
  <c r="AR252" i="1"/>
  <c r="AR253" i="1"/>
  <c r="AR254" i="1"/>
  <c r="AR255" i="1"/>
  <c r="AR256" i="1"/>
  <c r="AU256" i="1" s="1"/>
  <c r="AZ256" i="4" s="1"/>
  <c r="BA256" i="4" s="1"/>
  <c r="AR257" i="1"/>
  <c r="AR258" i="1"/>
  <c r="AR259" i="1"/>
  <c r="AR260" i="1"/>
  <c r="AR261" i="1"/>
  <c r="AR262" i="1"/>
  <c r="AU262" i="1" s="1"/>
  <c r="AZ262" i="4" s="1"/>
  <c r="BA262" i="4" s="1"/>
  <c r="AR263" i="1"/>
  <c r="AR264" i="1"/>
  <c r="AR265" i="1"/>
  <c r="AR266" i="1"/>
  <c r="AR267" i="1"/>
  <c r="AR268" i="1"/>
  <c r="AU268" i="1" s="1"/>
  <c r="AZ268" i="4" s="1"/>
  <c r="BA268" i="4" s="1"/>
  <c r="AR269" i="1"/>
  <c r="AR270" i="1"/>
  <c r="AR271" i="1"/>
  <c r="AR272" i="1"/>
  <c r="AR273" i="1"/>
  <c r="AR274" i="1"/>
  <c r="AU274" i="1" s="1"/>
  <c r="AZ274" i="4" s="1"/>
  <c r="BA274" i="4" s="1"/>
  <c r="AR275" i="1"/>
  <c r="AR276" i="1"/>
  <c r="AR277" i="1"/>
  <c r="AR278" i="1"/>
  <c r="AR279" i="1"/>
  <c r="AR280" i="1"/>
  <c r="AR281" i="1"/>
  <c r="AR282" i="1"/>
  <c r="AR283" i="1"/>
  <c r="AR284" i="1"/>
  <c r="AR285" i="1"/>
  <c r="AR286" i="1"/>
  <c r="AU286" i="1" s="1"/>
  <c r="AZ286" i="4" s="1"/>
  <c r="BA286" i="4" s="1"/>
  <c r="AR287" i="1"/>
  <c r="AR288" i="1"/>
  <c r="AR289" i="1"/>
  <c r="AR290" i="1"/>
  <c r="AR291" i="1"/>
  <c r="AR292" i="1"/>
  <c r="AU292" i="1" s="1"/>
  <c r="AZ292" i="4" s="1"/>
  <c r="BA292" i="4" s="1"/>
  <c r="AR293" i="1"/>
  <c r="AR294" i="1"/>
  <c r="AR295" i="1"/>
  <c r="AR296" i="1"/>
  <c r="AR297" i="1"/>
  <c r="AR298" i="1"/>
  <c r="AU298" i="1" s="1"/>
  <c r="AZ298" i="4" s="1"/>
  <c r="BA298" i="4" s="1"/>
  <c r="AR299" i="1"/>
  <c r="AR300" i="1"/>
  <c r="AR301" i="1"/>
  <c r="AR302" i="1"/>
  <c r="AR303" i="1"/>
  <c r="AR304" i="1"/>
  <c r="AU304" i="1" s="1"/>
  <c r="AZ304" i="4" s="1"/>
  <c r="BA304" i="4" s="1"/>
  <c r="AR305" i="1"/>
  <c r="AR306" i="1"/>
  <c r="AR307" i="1"/>
  <c r="AR308" i="1"/>
  <c r="AR309" i="1"/>
  <c r="AR310" i="1"/>
  <c r="AU310" i="1" s="1"/>
  <c r="AZ310" i="4" s="1"/>
  <c r="BA310" i="4" s="1"/>
  <c r="AR311" i="1"/>
  <c r="AR312" i="1"/>
  <c r="AR313" i="1"/>
  <c r="AR314" i="1"/>
  <c r="AR315" i="1"/>
  <c r="AR316" i="1"/>
  <c r="AU316" i="1" s="1"/>
  <c r="AZ316" i="4" s="1"/>
  <c r="BA316" i="4" s="1"/>
  <c r="AR317" i="1"/>
  <c r="AR318" i="1"/>
  <c r="AR319" i="1"/>
  <c r="AR320" i="1"/>
  <c r="AR321" i="1"/>
  <c r="AR322" i="1"/>
  <c r="AU322" i="1" s="1"/>
  <c r="AZ322" i="4" s="1"/>
  <c r="BA322" i="4" s="1"/>
  <c r="AR323" i="1"/>
  <c r="AR324" i="1"/>
  <c r="AR325" i="1"/>
  <c r="AR326" i="1"/>
  <c r="AR327" i="1"/>
  <c r="AR328" i="1"/>
  <c r="AR329" i="1"/>
  <c r="AR330" i="1"/>
  <c r="AR331" i="1"/>
  <c r="AR332" i="1"/>
  <c r="AR333" i="1"/>
  <c r="AR334" i="1"/>
  <c r="AU334" i="1" s="1"/>
  <c r="AZ334" i="4" s="1"/>
  <c r="BA334" i="4" s="1"/>
  <c r="AR335" i="1"/>
  <c r="AR336" i="1"/>
  <c r="AR337" i="1"/>
  <c r="AR338" i="1"/>
  <c r="AR339" i="1"/>
  <c r="AR340" i="1"/>
  <c r="AU340" i="1" s="1"/>
  <c r="AZ340" i="4" s="1"/>
  <c r="BA340" i="4" s="1"/>
  <c r="AR341" i="1"/>
  <c r="AS4" i="1"/>
  <c r="AS5" i="1"/>
  <c r="AS6" i="1"/>
  <c r="AS7" i="1"/>
  <c r="AS8" i="1"/>
  <c r="AS9" i="1"/>
  <c r="AS10" i="1"/>
  <c r="AS11" i="1"/>
  <c r="AS12" i="1"/>
  <c r="AS13" i="1"/>
  <c r="AS14" i="1"/>
  <c r="AS15" i="1"/>
  <c r="AS16" i="1"/>
  <c r="AS17" i="1"/>
  <c r="AS18" i="1"/>
  <c r="AS19" i="1"/>
  <c r="AS20" i="1"/>
  <c r="AS21" i="1"/>
  <c r="AS22" i="1"/>
  <c r="AS23" i="1"/>
  <c r="AS24" i="1"/>
  <c r="AS25" i="1"/>
  <c r="AS26" i="1"/>
  <c r="AS27" i="1"/>
  <c r="AS28" i="1"/>
  <c r="AS29" i="1"/>
  <c r="AS30" i="1"/>
  <c r="AS31" i="1"/>
  <c r="AS32" i="1"/>
  <c r="AS33" i="1"/>
  <c r="AS34" i="1"/>
  <c r="AS35" i="1"/>
  <c r="AS36" i="1"/>
  <c r="AS37" i="1"/>
  <c r="AU37" i="1" s="1"/>
  <c r="AZ37" i="4" s="1"/>
  <c r="BA37" i="4" s="1"/>
  <c r="AS38" i="1"/>
  <c r="AS39" i="1"/>
  <c r="AS40" i="1"/>
  <c r="AS41" i="1"/>
  <c r="AS42" i="1"/>
  <c r="AS43" i="1"/>
  <c r="AS44" i="1"/>
  <c r="AU44" i="1" s="1"/>
  <c r="AZ44" i="4" s="1"/>
  <c r="BA44" i="4" s="1"/>
  <c r="AS45" i="1"/>
  <c r="AS46" i="1"/>
  <c r="AS47" i="1"/>
  <c r="AS48" i="1"/>
  <c r="AS49" i="1"/>
  <c r="AU49" i="1" s="1"/>
  <c r="AZ49" i="4" s="1"/>
  <c r="BA49" i="4" s="1"/>
  <c r="AS50" i="1"/>
  <c r="AS51" i="1"/>
  <c r="AS52" i="1"/>
  <c r="AS53" i="1"/>
  <c r="AS54" i="1"/>
  <c r="AS55" i="1"/>
  <c r="AS56" i="1"/>
  <c r="AS57" i="1"/>
  <c r="AS58" i="1"/>
  <c r="AS59" i="1"/>
  <c r="AS60" i="1"/>
  <c r="AS61" i="1"/>
  <c r="AS62" i="1"/>
  <c r="AS63" i="1"/>
  <c r="AS64" i="1"/>
  <c r="AS65" i="1"/>
  <c r="AS66" i="1"/>
  <c r="AS67" i="1"/>
  <c r="AS68" i="1"/>
  <c r="AS69" i="1"/>
  <c r="AS70" i="1"/>
  <c r="AS71" i="1"/>
  <c r="AS72" i="1"/>
  <c r="AS73" i="1"/>
  <c r="AS74" i="1"/>
  <c r="AS75" i="1"/>
  <c r="AS76" i="1"/>
  <c r="AS77" i="1"/>
  <c r="AS78" i="1"/>
  <c r="AS79" i="1"/>
  <c r="AS80" i="1"/>
  <c r="AU80" i="1" s="1"/>
  <c r="AZ80" i="4" s="1"/>
  <c r="BA80" i="4" s="1"/>
  <c r="AS81" i="1"/>
  <c r="AS82" i="1"/>
  <c r="AS83" i="1"/>
  <c r="AS84" i="1"/>
  <c r="AS85" i="1"/>
  <c r="AU85" i="1" s="1"/>
  <c r="AZ85" i="4" s="1"/>
  <c r="BA85" i="4" s="1"/>
  <c r="AS86" i="1"/>
  <c r="AS87" i="1"/>
  <c r="AS88" i="1"/>
  <c r="AS89" i="1"/>
  <c r="AS90" i="1"/>
  <c r="AS91" i="1"/>
  <c r="AS92" i="1"/>
  <c r="AS93" i="1"/>
  <c r="AS94" i="1"/>
  <c r="AS95" i="1"/>
  <c r="AS96" i="1"/>
  <c r="AS97" i="1"/>
  <c r="AS98" i="1"/>
  <c r="AS99" i="1"/>
  <c r="AS100" i="1"/>
  <c r="AS101" i="1"/>
  <c r="AS102" i="1"/>
  <c r="AS103" i="1"/>
  <c r="AS104" i="1"/>
  <c r="AS105" i="1"/>
  <c r="AS106" i="1"/>
  <c r="AS107" i="1"/>
  <c r="AS108" i="1"/>
  <c r="AS109" i="1"/>
  <c r="AS110" i="1"/>
  <c r="AS111" i="1"/>
  <c r="AS112" i="1"/>
  <c r="AS113" i="1"/>
  <c r="AS114" i="1"/>
  <c r="AS115" i="1"/>
  <c r="AS116" i="1"/>
  <c r="AU116" i="1" s="1"/>
  <c r="AZ116" i="4" s="1"/>
  <c r="BA116" i="4" s="1"/>
  <c r="AS117" i="1"/>
  <c r="AS118" i="1"/>
  <c r="AS119" i="1"/>
  <c r="AS120" i="1"/>
  <c r="AS121" i="1"/>
  <c r="AU121" i="1" s="1"/>
  <c r="AZ121" i="4" s="1"/>
  <c r="BA121" i="4" s="1"/>
  <c r="AS122" i="1"/>
  <c r="AS123" i="1"/>
  <c r="AS124" i="1"/>
  <c r="AS125" i="1"/>
  <c r="AS126" i="1"/>
  <c r="AS127" i="1"/>
  <c r="AS128" i="1"/>
  <c r="AU128" i="1" s="1"/>
  <c r="AZ128" i="4" s="1"/>
  <c r="BA128" i="4" s="1"/>
  <c r="AS129" i="1"/>
  <c r="AS130" i="1"/>
  <c r="AS131" i="1"/>
  <c r="AS132" i="1"/>
  <c r="AS133" i="1"/>
  <c r="AS134" i="1"/>
  <c r="AS135" i="1"/>
  <c r="AS136" i="1"/>
  <c r="AS137" i="1"/>
  <c r="AS138" i="1"/>
  <c r="AS139" i="1"/>
  <c r="AS140" i="1"/>
  <c r="AS141" i="1"/>
  <c r="AS142" i="1"/>
  <c r="AS143" i="1"/>
  <c r="AS144" i="1"/>
  <c r="AS145" i="1"/>
  <c r="AU145" i="1" s="1"/>
  <c r="AZ145" i="4" s="1"/>
  <c r="BA145" i="4" s="1"/>
  <c r="AS146" i="1"/>
  <c r="AS147" i="1"/>
  <c r="AS148" i="1"/>
  <c r="AS149" i="1"/>
  <c r="AS150" i="1"/>
  <c r="AS151" i="1"/>
  <c r="AS152" i="1"/>
  <c r="AU152" i="1" s="1"/>
  <c r="AZ152" i="4" s="1"/>
  <c r="BA152" i="4" s="1"/>
  <c r="AS153" i="1"/>
  <c r="AS154" i="1"/>
  <c r="AS155" i="1"/>
  <c r="AS156" i="1"/>
  <c r="AS157" i="1"/>
  <c r="AU157" i="1" s="1"/>
  <c r="AZ157" i="4" s="1"/>
  <c r="BA157" i="4" s="1"/>
  <c r="AS158" i="1"/>
  <c r="AS159" i="1"/>
  <c r="AS160" i="1"/>
  <c r="AS161" i="1"/>
  <c r="AS162" i="1"/>
  <c r="AS163" i="1"/>
  <c r="AS164" i="1"/>
  <c r="AU164" i="1" s="1"/>
  <c r="AZ164" i="4" s="1"/>
  <c r="BA164" i="4" s="1"/>
  <c r="AS165" i="1"/>
  <c r="AS166" i="1"/>
  <c r="AS167" i="1"/>
  <c r="AS168" i="1"/>
  <c r="AS169" i="1"/>
  <c r="AS170" i="1"/>
  <c r="AS171" i="1"/>
  <c r="AS172" i="1"/>
  <c r="AS173" i="1"/>
  <c r="AS174" i="1"/>
  <c r="AS175" i="1"/>
  <c r="AS176" i="1"/>
  <c r="AS177" i="1"/>
  <c r="AS178" i="1"/>
  <c r="AS179" i="1"/>
  <c r="AS180" i="1"/>
  <c r="AS181" i="1"/>
  <c r="AS182" i="1"/>
  <c r="AS183" i="1"/>
  <c r="AS184" i="1"/>
  <c r="AS185" i="1"/>
  <c r="AS186" i="1"/>
  <c r="AS187" i="1"/>
  <c r="AS188" i="1"/>
  <c r="AS189" i="1"/>
  <c r="AS190" i="1"/>
  <c r="AS191" i="1"/>
  <c r="AS192" i="1"/>
  <c r="AS193" i="1"/>
  <c r="AS194" i="1"/>
  <c r="AS195" i="1"/>
  <c r="AS196" i="1"/>
  <c r="AS197" i="1"/>
  <c r="AS198" i="1"/>
  <c r="AS199" i="1"/>
  <c r="AS200" i="1"/>
  <c r="AS201" i="1"/>
  <c r="AS202" i="1"/>
  <c r="AS203" i="1"/>
  <c r="AS204" i="1"/>
  <c r="AS205" i="1"/>
  <c r="AS206" i="1"/>
  <c r="AS207" i="1"/>
  <c r="AS208" i="1"/>
  <c r="AS209" i="1"/>
  <c r="AS210" i="1"/>
  <c r="AS211" i="1"/>
  <c r="AS212" i="1"/>
  <c r="AS213" i="1"/>
  <c r="AS214" i="1"/>
  <c r="AS215" i="1"/>
  <c r="AS216" i="1"/>
  <c r="AS217" i="1"/>
  <c r="AS218" i="1"/>
  <c r="AS219" i="1"/>
  <c r="AS220" i="1"/>
  <c r="AS221" i="1"/>
  <c r="AS222" i="1"/>
  <c r="AS223" i="1"/>
  <c r="AS224" i="1"/>
  <c r="AS225" i="1"/>
  <c r="AS226" i="1"/>
  <c r="AS227" i="1"/>
  <c r="AS228" i="1"/>
  <c r="AS229" i="1"/>
  <c r="AS230" i="1"/>
  <c r="AS231" i="1"/>
  <c r="AS232" i="1"/>
  <c r="AS233" i="1"/>
  <c r="AS234" i="1"/>
  <c r="AS235" i="1"/>
  <c r="AS236" i="1"/>
  <c r="AS237" i="1"/>
  <c r="AS238" i="1"/>
  <c r="AS239" i="1"/>
  <c r="AS240" i="1"/>
  <c r="AS241" i="1"/>
  <c r="AS242" i="1"/>
  <c r="AS243" i="1"/>
  <c r="AS244" i="1"/>
  <c r="AS245" i="1"/>
  <c r="AS246" i="1"/>
  <c r="AS247" i="1"/>
  <c r="AS248" i="1"/>
  <c r="AS249" i="1"/>
  <c r="AS250" i="1"/>
  <c r="AS251" i="1"/>
  <c r="AS252" i="1"/>
  <c r="AS253" i="1"/>
  <c r="AS254" i="1"/>
  <c r="AS255" i="1"/>
  <c r="AS256" i="1"/>
  <c r="AS257" i="1"/>
  <c r="AS258" i="1"/>
  <c r="AS259" i="1"/>
  <c r="AS260" i="1"/>
  <c r="AS261" i="1"/>
  <c r="AS262" i="1"/>
  <c r="AS263" i="1"/>
  <c r="AS264" i="1"/>
  <c r="AS265" i="1"/>
  <c r="AS266" i="1"/>
  <c r="AS267" i="1"/>
  <c r="AS268" i="1"/>
  <c r="AS269" i="1"/>
  <c r="AS270" i="1"/>
  <c r="AS271" i="1"/>
  <c r="AS272" i="1"/>
  <c r="AS273" i="1"/>
  <c r="AS274" i="1"/>
  <c r="AS275" i="1"/>
  <c r="AS276" i="1"/>
  <c r="AS277" i="1"/>
  <c r="AS278" i="1"/>
  <c r="AS279" i="1"/>
  <c r="AS280" i="1"/>
  <c r="AS281" i="1"/>
  <c r="AS282" i="1"/>
  <c r="AS283" i="1"/>
  <c r="AS284" i="1"/>
  <c r="AS285" i="1"/>
  <c r="AS286" i="1"/>
  <c r="AS287" i="1"/>
  <c r="AS288" i="1"/>
  <c r="AS289" i="1"/>
  <c r="AS290" i="1"/>
  <c r="AS291" i="1"/>
  <c r="AS292" i="1"/>
  <c r="AS293" i="1"/>
  <c r="AS294" i="1"/>
  <c r="AS295" i="1"/>
  <c r="AS296" i="1"/>
  <c r="AS297" i="1"/>
  <c r="AS298" i="1"/>
  <c r="AS299" i="1"/>
  <c r="AS300" i="1"/>
  <c r="AS301" i="1"/>
  <c r="AS302" i="1"/>
  <c r="AS303" i="1"/>
  <c r="AS304" i="1"/>
  <c r="AS305" i="1"/>
  <c r="AS306" i="1"/>
  <c r="AS307" i="1"/>
  <c r="AS308" i="1"/>
  <c r="AS309" i="1"/>
  <c r="AS310" i="1"/>
  <c r="AS311" i="1"/>
  <c r="AS312" i="1"/>
  <c r="AS313" i="1"/>
  <c r="AS314" i="1"/>
  <c r="AS315" i="1"/>
  <c r="AS316" i="1"/>
  <c r="AS317" i="1"/>
  <c r="AS318" i="1"/>
  <c r="AS319" i="1"/>
  <c r="AS320" i="1"/>
  <c r="AS321" i="1"/>
  <c r="AS322" i="1"/>
  <c r="AS323" i="1"/>
  <c r="AS324" i="1"/>
  <c r="AS325" i="1"/>
  <c r="AS326" i="1"/>
  <c r="AS327" i="1"/>
  <c r="AS328" i="1"/>
  <c r="AS329" i="1"/>
  <c r="AS330" i="1"/>
  <c r="AS331" i="1"/>
  <c r="AS332" i="1"/>
  <c r="AS333" i="1"/>
  <c r="AS334" i="1"/>
  <c r="AS335" i="1"/>
  <c r="AS336" i="1"/>
  <c r="AS337" i="1"/>
  <c r="AS338" i="1"/>
  <c r="AS339" i="1"/>
  <c r="AS340" i="1"/>
  <c r="AS341" i="1"/>
  <c r="AT4" i="1"/>
  <c r="AT5" i="1"/>
  <c r="AT6" i="1"/>
  <c r="AT7" i="1"/>
  <c r="AT8" i="1"/>
  <c r="AT9" i="1"/>
  <c r="AT10" i="1"/>
  <c r="AT11" i="1"/>
  <c r="AT12" i="1"/>
  <c r="AT13" i="1"/>
  <c r="AT14" i="1"/>
  <c r="AT15" i="1"/>
  <c r="AT16" i="1"/>
  <c r="AT17" i="1"/>
  <c r="AT18" i="1"/>
  <c r="AT19" i="1"/>
  <c r="AT20" i="1"/>
  <c r="AT21" i="1"/>
  <c r="AT22" i="1"/>
  <c r="AT23" i="1"/>
  <c r="AT24" i="1"/>
  <c r="AU24" i="1" s="1"/>
  <c r="AZ24" i="4" s="1"/>
  <c r="BA24" i="4" s="1"/>
  <c r="AT25" i="1"/>
  <c r="AT26" i="1"/>
  <c r="AT27" i="1"/>
  <c r="AT28" i="1"/>
  <c r="AT29" i="1"/>
  <c r="AT30" i="1"/>
  <c r="AT31" i="1"/>
  <c r="AT32" i="1"/>
  <c r="AT33" i="1"/>
  <c r="AT34" i="1"/>
  <c r="AT35" i="1"/>
  <c r="AT36" i="1"/>
  <c r="AT37" i="1"/>
  <c r="AT38" i="1"/>
  <c r="AT39" i="1"/>
  <c r="AT40" i="1"/>
  <c r="AT41" i="1"/>
  <c r="AT42" i="1"/>
  <c r="AT43" i="1"/>
  <c r="AT44" i="1"/>
  <c r="AT45" i="1"/>
  <c r="AT46" i="1"/>
  <c r="AT47" i="1"/>
  <c r="AT48" i="1"/>
  <c r="AT49" i="1"/>
  <c r="AT50" i="1"/>
  <c r="AT51" i="1"/>
  <c r="AT52" i="1"/>
  <c r="AT53" i="1"/>
  <c r="AT54" i="1"/>
  <c r="AT55" i="1"/>
  <c r="AT56" i="1"/>
  <c r="AT57" i="1"/>
  <c r="AT58" i="1"/>
  <c r="AT59" i="1"/>
  <c r="AT60" i="1"/>
  <c r="AU60" i="1" s="1"/>
  <c r="AZ60" i="4" s="1"/>
  <c r="BA60" i="4" s="1"/>
  <c r="AT61" i="1"/>
  <c r="AT62" i="1"/>
  <c r="AT63" i="1"/>
  <c r="AT64" i="1"/>
  <c r="AT65" i="1"/>
  <c r="AT66" i="1"/>
  <c r="AT67" i="1"/>
  <c r="AT68" i="1"/>
  <c r="AT69" i="1"/>
  <c r="AT70" i="1"/>
  <c r="AT71" i="1"/>
  <c r="AT72" i="1"/>
  <c r="AT73" i="1"/>
  <c r="AT74" i="1"/>
  <c r="AT75" i="1"/>
  <c r="AT76" i="1"/>
  <c r="AT77" i="1"/>
  <c r="AT78" i="1"/>
  <c r="AT79" i="1"/>
  <c r="AT80" i="1"/>
  <c r="AT81" i="1"/>
  <c r="AT82" i="1"/>
  <c r="AT83" i="1"/>
  <c r="AT84" i="1"/>
  <c r="AT85" i="1"/>
  <c r="AT86" i="1"/>
  <c r="AT87" i="1"/>
  <c r="AT88" i="1"/>
  <c r="AT89" i="1"/>
  <c r="AT90" i="1"/>
  <c r="AT91" i="1"/>
  <c r="AT92" i="1"/>
  <c r="AT93" i="1"/>
  <c r="AT94" i="1"/>
  <c r="AT95" i="1"/>
  <c r="AT96" i="1"/>
  <c r="AU96" i="1" s="1"/>
  <c r="AZ96" i="4" s="1"/>
  <c r="BA96" i="4" s="1"/>
  <c r="AT97" i="1"/>
  <c r="AT98" i="1"/>
  <c r="AT99" i="1"/>
  <c r="AT100" i="1"/>
  <c r="AT101" i="1"/>
  <c r="AT102" i="1"/>
  <c r="AT103" i="1"/>
  <c r="AT104" i="1"/>
  <c r="AT105" i="1"/>
  <c r="AT106" i="1"/>
  <c r="AT107" i="1"/>
  <c r="AT108" i="1"/>
  <c r="AT109" i="1"/>
  <c r="AT110" i="1"/>
  <c r="AT111" i="1"/>
  <c r="AT112" i="1"/>
  <c r="AT113" i="1"/>
  <c r="AT114" i="1"/>
  <c r="AT115" i="1"/>
  <c r="AT116" i="1"/>
  <c r="AT117" i="1"/>
  <c r="AT118" i="1"/>
  <c r="AT119" i="1"/>
  <c r="AT120" i="1"/>
  <c r="AT121" i="1"/>
  <c r="AT122" i="1"/>
  <c r="AT123" i="1"/>
  <c r="AT124" i="1"/>
  <c r="AT125" i="1"/>
  <c r="AT126" i="1"/>
  <c r="AT127" i="1"/>
  <c r="AT128" i="1"/>
  <c r="AT129" i="1"/>
  <c r="AT130" i="1"/>
  <c r="AT131" i="1"/>
  <c r="AT132" i="1"/>
  <c r="AU132" i="1" s="1"/>
  <c r="AZ132" i="4" s="1"/>
  <c r="BA132" i="4" s="1"/>
  <c r="AT133" i="1"/>
  <c r="AT134" i="1"/>
  <c r="AT135" i="1"/>
  <c r="AT136" i="1"/>
  <c r="AT137" i="1"/>
  <c r="AT138" i="1"/>
  <c r="AT139" i="1"/>
  <c r="AT140" i="1"/>
  <c r="AT141" i="1"/>
  <c r="AT142" i="1"/>
  <c r="AT143" i="1"/>
  <c r="AT144" i="1"/>
  <c r="AT145" i="1"/>
  <c r="AT146" i="1"/>
  <c r="AT147" i="1"/>
  <c r="AT148" i="1"/>
  <c r="AT149" i="1"/>
  <c r="AT150" i="1"/>
  <c r="AT151" i="1"/>
  <c r="AT152" i="1"/>
  <c r="AT153" i="1"/>
  <c r="AT154" i="1"/>
  <c r="AT155" i="1"/>
  <c r="AT156" i="1"/>
  <c r="AT157" i="1"/>
  <c r="AT158" i="1"/>
  <c r="AT159" i="1"/>
  <c r="AT160" i="1"/>
  <c r="AT161" i="1"/>
  <c r="AT162" i="1"/>
  <c r="AT163" i="1"/>
  <c r="AT164" i="1"/>
  <c r="AT165" i="1"/>
  <c r="AT166" i="1"/>
  <c r="AT167" i="1"/>
  <c r="AT168" i="1"/>
  <c r="AU168" i="1" s="1"/>
  <c r="AZ168" i="4" s="1"/>
  <c r="BA168" i="4" s="1"/>
  <c r="AT169" i="1"/>
  <c r="AT170" i="1"/>
  <c r="AT171" i="1"/>
  <c r="AT172" i="1"/>
  <c r="AT173" i="1"/>
  <c r="AT174" i="1"/>
  <c r="AU174" i="1" s="1"/>
  <c r="AT175" i="1"/>
  <c r="AT176" i="1"/>
  <c r="AT177" i="1"/>
  <c r="AT178" i="1"/>
  <c r="AT179" i="1"/>
  <c r="AT180" i="1"/>
  <c r="AU180" i="1" s="1"/>
  <c r="AZ180" i="4" s="1"/>
  <c r="BA180" i="4" s="1"/>
  <c r="AT181" i="1"/>
  <c r="AT182" i="1"/>
  <c r="AT183" i="1"/>
  <c r="AT184" i="1"/>
  <c r="AT185" i="1"/>
  <c r="AT186" i="1"/>
  <c r="AU186" i="1" s="1"/>
  <c r="AZ186" i="4" s="1"/>
  <c r="BA186" i="4" s="1"/>
  <c r="AT187" i="1"/>
  <c r="AT188" i="1"/>
  <c r="AT189" i="1"/>
  <c r="AT190" i="1"/>
  <c r="AT191" i="1"/>
  <c r="AT192" i="1"/>
  <c r="AU192" i="1" s="1"/>
  <c r="AZ192" i="4" s="1"/>
  <c r="BA192" i="4" s="1"/>
  <c r="AT193" i="1"/>
  <c r="AT194" i="1"/>
  <c r="AT195" i="1"/>
  <c r="AT196" i="1"/>
  <c r="AT197" i="1"/>
  <c r="AT198" i="1"/>
  <c r="AU198" i="1" s="1"/>
  <c r="AZ198" i="4" s="1"/>
  <c r="BA198" i="4" s="1"/>
  <c r="AT199" i="1"/>
  <c r="AT200" i="1"/>
  <c r="AT201" i="1"/>
  <c r="AT202" i="1"/>
  <c r="AT203" i="1"/>
  <c r="AT204" i="1"/>
  <c r="AU204" i="1" s="1"/>
  <c r="AZ204" i="4" s="1"/>
  <c r="BA204" i="4" s="1"/>
  <c r="AT205" i="1"/>
  <c r="AT206" i="1"/>
  <c r="AT207" i="1"/>
  <c r="AT208" i="1"/>
  <c r="AT209" i="1"/>
  <c r="AT210" i="1"/>
  <c r="AU210" i="1" s="1"/>
  <c r="AZ210" i="4" s="1"/>
  <c r="BA210" i="4" s="1"/>
  <c r="AT211" i="1"/>
  <c r="AT212" i="1"/>
  <c r="AT213" i="1"/>
  <c r="AT214" i="1"/>
  <c r="AT215" i="1"/>
  <c r="AT216" i="1"/>
  <c r="AU216" i="1" s="1"/>
  <c r="AT217" i="1"/>
  <c r="AT218" i="1"/>
  <c r="AT219" i="1"/>
  <c r="AT220" i="1"/>
  <c r="AT221" i="1"/>
  <c r="AT222" i="1"/>
  <c r="AU222" i="1" s="1"/>
  <c r="AZ222" i="4" s="1"/>
  <c r="BA222" i="4" s="1"/>
  <c r="AT223" i="1"/>
  <c r="AT224" i="1"/>
  <c r="AT225" i="1"/>
  <c r="AT226" i="1"/>
  <c r="AT227" i="1"/>
  <c r="AT228" i="1"/>
  <c r="AU228" i="1" s="1"/>
  <c r="AZ228" i="4" s="1"/>
  <c r="BA228" i="4" s="1"/>
  <c r="AT229" i="1"/>
  <c r="AT230" i="1"/>
  <c r="AT231" i="1"/>
  <c r="AT232" i="1"/>
  <c r="AT233" i="1"/>
  <c r="AT234" i="1"/>
  <c r="AU234" i="1" s="1"/>
  <c r="AZ234" i="4" s="1"/>
  <c r="BA234" i="4" s="1"/>
  <c r="AT235" i="1"/>
  <c r="AT236" i="1"/>
  <c r="AT237" i="1"/>
  <c r="AT238" i="1"/>
  <c r="AT239" i="1"/>
  <c r="AT240" i="1"/>
  <c r="AU240" i="1" s="1"/>
  <c r="AT241" i="1"/>
  <c r="AT242" i="1"/>
  <c r="AT243" i="1"/>
  <c r="AT244" i="1"/>
  <c r="AT245" i="1"/>
  <c r="AT246" i="1"/>
  <c r="AU246" i="1" s="1"/>
  <c r="AZ246" i="4" s="1"/>
  <c r="BA246" i="4" s="1"/>
  <c r="AT247" i="1"/>
  <c r="AT248" i="1"/>
  <c r="AT249" i="1"/>
  <c r="AT250" i="1"/>
  <c r="AT251" i="1"/>
  <c r="AT252" i="1"/>
  <c r="AU252" i="1" s="1"/>
  <c r="AZ252" i="4" s="1"/>
  <c r="BA252" i="4" s="1"/>
  <c r="AT253" i="1"/>
  <c r="AT254" i="1"/>
  <c r="AT255" i="1"/>
  <c r="AT256" i="1"/>
  <c r="AT257" i="1"/>
  <c r="AT258" i="1"/>
  <c r="AU258" i="1" s="1"/>
  <c r="AZ258" i="4" s="1"/>
  <c r="BA258" i="4" s="1"/>
  <c r="AT259" i="1"/>
  <c r="AT260" i="1"/>
  <c r="AT261" i="1"/>
  <c r="AT262" i="1"/>
  <c r="AT263" i="1"/>
  <c r="AT264" i="1"/>
  <c r="AU264" i="1" s="1"/>
  <c r="AZ264" i="4" s="1"/>
  <c r="BA264" i="4" s="1"/>
  <c r="AT265" i="1"/>
  <c r="AT266" i="1"/>
  <c r="AT267" i="1"/>
  <c r="AT268" i="1"/>
  <c r="AT269" i="1"/>
  <c r="AT270" i="1"/>
  <c r="AU270" i="1" s="1"/>
  <c r="AZ270" i="4" s="1"/>
  <c r="BA270" i="4" s="1"/>
  <c r="AT271" i="1"/>
  <c r="AT272" i="1"/>
  <c r="AT273" i="1"/>
  <c r="AT274" i="1"/>
  <c r="AT275" i="1"/>
  <c r="AT276" i="1"/>
  <c r="AU276" i="1" s="1"/>
  <c r="AT277" i="1"/>
  <c r="AT278" i="1"/>
  <c r="AT279" i="1"/>
  <c r="AT280" i="1"/>
  <c r="AT281" i="1"/>
  <c r="AT282" i="1"/>
  <c r="AU282" i="1" s="1"/>
  <c r="AZ282" i="4" s="1"/>
  <c r="BA282" i="4" s="1"/>
  <c r="AT283" i="1"/>
  <c r="AT284" i="1"/>
  <c r="AT285" i="1"/>
  <c r="AT286" i="1"/>
  <c r="AT287" i="1"/>
  <c r="AT288" i="1"/>
  <c r="AU288" i="1" s="1"/>
  <c r="AZ288" i="4" s="1"/>
  <c r="BA288" i="4" s="1"/>
  <c r="AT289" i="1"/>
  <c r="AT290" i="1"/>
  <c r="AT291" i="1"/>
  <c r="AT292" i="1"/>
  <c r="AT293" i="1"/>
  <c r="AT294" i="1"/>
  <c r="AU294" i="1" s="1"/>
  <c r="AZ294" i="4" s="1"/>
  <c r="BA294" i="4" s="1"/>
  <c r="AT295" i="1"/>
  <c r="AT296" i="1"/>
  <c r="AT297" i="1"/>
  <c r="AT298" i="1"/>
  <c r="AT299" i="1"/>
  <c r="AT300" i="1"/>
  <c r="AU300" i="1" s="1"/>
  <c r="AZ300" i="4" s="1"/>
  <c r="BA300" i="4" s="1"/>
  <c r="AT301" i="1"/>
  <c r="AT302" i="1"/>
  <c r="AT303" i="1"/>
  <c r="AT304" i="1"/>
  <c r="AT305" i="1"/>
  <c r="AT306" i="1"/>
  <c r="AU306" i="1" s="1"/>
  <c r="AZ306" i="4" s="1"/>
  <c r="BA306" i="4" s="1"/>
  <c r="AT307" i="1"/>
  <c r="AT308" i="1"/>
  <c r="AT309" i="1"/>
  <c r="AT310" i="1"/>
  <c r="AT311" i="1"/>
  <c r="AT312" i="1"/>
  <c r="AU312" i="1" s="1"/>
  <c r="AT313" i="1"/>
  <c r="AT314" i="1"/>
  <c r="AT315" i="1"/>
  <c r="AT316" i="1"/>
  <c r="AT317" i="1"/>
  <c r="AT318" i="1"/>
  <c r="AU318" i="1" s="1"/>
  <c r="AZ318" i="4" s="1"/>
  <c r="BA318" i="4" s="1"/>
  <c r="AT319" i="1"/>
  <c r="AT320" i="1"/>
  <c r="AT321" i="1"/>
  <c r="AT322" i="1"/>
  <c r="AT323" i="1"/>
  <c r="AT324" i="1"/>
  <c r="AU324" i="1" s="1"/>
  <c r="AZ324" i="4" s="1"/>
  <c r="BA324" i="4" s="1"/>
  <c r="AT325" i="1"/>
  <c r="AT326" i="1"/>
  <c r="AT327" i="1"/>
  <c r="AT328" i="1"/>
  <c r="AT329" i="1"/>
  <c r="AT330" i="1"/>
  <c r="AU330" i="1" s="1"/>
  <c r="AZ330" i="4" s="1"/>
  <c r="BA330" i="4" s="1"/>
  <c r="AT331" i="1"/>
  <c r="AT332" i="1"/>
  <c r="AT333" i="1"/>
  <c r="AT334" i="1"/>
  <c r="AT335" i="1"/>
  <c r="AT336" i="1"/>
  <c r="AU336" i="1" s="1"/>
  <c r="AZ336" i="4" s="1"/>
  <c r="BA336" i="4" s="1"/>
  <c r="AT337" i="1"/>
  <c r="AT338" i="1"/>
  <c r="AT339" i="1"/>
  <c r="AT340" i="1"/>
  <c r="AT341" i="1"/>
  <c r="AU4" i="1"/>
  <c r="AZ4" i="4" s="1"/>
  <c r="BA4" i="4" s="1"/>
  <c r="AU9" i="1"/>
  <c r="AZ9" i="4" s="1"/>
  <c r="BA9" i="4" s="1"/>
  <c r="AU10" i="1"/>
  <c r="AZ10" i="4" s="1"/>
  <c r="BA10" i="4" s="1"/>
  <c r="AU12" i="1"/>
  <c r="AZ12" i="4" s="1"/>
  <c r="BA12" i="4" s="1"/>
  <c r="AU16" i="1"/>
  <c r="AZ16" i="4" s="1"/>
  <c r="BA16" i="4" s="1"/>
  <c r="AU18" i="1"/>
  <c r="AZ18" i="4" s="1"/>
  <c r="BA18" i="4" s="1"/>
  <c r="AU19" i="1"/>
  <c r="AU25" i="1"/>
  <c r="AZ25" i="4" s="1"/>
  <c r="BA25" i="4" s="1"/>
  <c r="AU26" i="1"/>
  <c r="AZ26" i="4" s="1"/>
  <c r="BA26" i="4" s="1"/>
  <c r="AU32" i="1"/>
  <c r="AU33" i="1"/>
  <c r="AZ33" i="4" s="1"/>
  <c r="BA33" i="4" s="1"/>
  <c r="AU39" i="1"/>
  <c r="AZ39" i="4" s="1"/>
  <c r="BA39" i="4" s="1"/>
  <c r="AU40" i="1"/>
  <c r="AZ40" i="4" s="1"/>
  <c r="BA40" i="4" s="1"/>
  <c r="AU45" i="1"/>
  <c r="AZ45" i="4" s="1"/>
  <c r="BA45" i="4" s="1"/>
  <c r="AU46" i="1"/>
  <c r="AZ46" i="4" s="1"/>
  <c r="BA46" i="4" s="1"/>
  <c r="AU48" i="1"/>
  <c r="AZ48" i="4" s="1"/>
  <c r="BA48" i="4" s="1"/>
  <c r="AU52" i="1"/>
  <c r="AZ52" i="4" s="1"/>
  <c r="BA52" i="4" s="1"/>
  <c r="AU54" i="1"/>
  <c r="AZ54" i="4" s="1"/>
  <c r="BA54" i="4" s="1"/>
  <c r="AU55" i="1"/>
  <c r="AZ55" i="4" s="1"/>
  <c r="BA55" i="4" s="1"/>
  <c r="AU61" i="1"/>
  <c r="AU62" i="1"/>
  <c r="AZ62" i="4" s="1"/>
  <c r="BA62" i="4" s="1"/>
  <c r="AU67" i="1"/>
  <c r="AZ67" i="4" s="1"/>
  <c r="BA67" i="4" s="1"/>
  <c r="AU68" i="1"/>
  <c r="AZ68" i="4" s="1"/>
  <c r="BA68" i="4" s="1"/>
  <c r="AU69" i="1"/>
  <c r="AZ69" i="4" s="1"/>
  <c r="BA69" i="4" s="1"/>
  <c r="AU74" i="1"/>
  <c r="AZ74" i="4" s="1"/>
  <c r="BA74" i="4" s="1"/>
  <c r="AU75" i="1"/>
  <c r="AU76" i="1"/>
  <c r="AZ76" i="4" s="1"/>
  <c r="BA76" i="4" s="1"/>
  <c r="AU81" i="1"/>
  <c r="AZ81" i="4" s="1"/>
  <c r="BA81" i="4" s="1"/>
  <c r="AU82" i="1"/>
  <c r="AZ82" i="4" s="1"/>
  <c r="BA82" i="4" s="1"/>
  <c r="AU84" i="1"/>
  <c r="AZ84" i="4" s="1"/>
  <c r="BA84" i="4" s="1"/>
  <c r="AU88" i="1"/>
  <c r="AZ88" i="4" s="1"/>
  <c r="BA88" i="4" s="1"/>
  <c r="AU90" i="1"/>
  <c r="AZ90" i="4" s="1"/>
  <c r="BA90" i="4" s="1"/>
  <c r="AU91" i="1"/>
  <c r="AU97" i="1"/>
  <c r="AZ97" i="4" s="1"/>
  <c r="BA97" i="4" s="1"/>
  <c r="AU98" i="1"/>
  <c r="AZ98" i="4" s="1"/>
  <c r="BA98" i="4" s="1"/>
  <c r="AU103" i="1"/>
  <c r="AZ103" i="4" s="1"/>
  <c r="BA103" i="4" s="1"/>
  <c r="AU104" i="1"/>
  <c r="AZ104" i="4" s="1"/>
  <c r="BA104" i="4" s="1"/>
  <c r="AU105" i="1"/>
  <c r="AZ105" i="4" s="1"/>
  <c r="BA105" i="4" s="1"/>
  <c r="AU110" i="1"/>
  <c r="AZ110" i="4" s="1"/>
  <c r="BA110" i="4" s="1"/>
  <c r="AU111" i="1"/>
  <c r="AZ111" i="4" s="1"/>
  <c r="BA111" i="4" s="1"/>
  <c r="AU112" i="1"/>
  <c r="AZ112" i="4" s="1"/>
  <c r="BA112" i="4" s="1"/>
  <c r="AU117" i="1"/>
  <c r="AU118" i="1"/>
  <c r="AZ118" i="4" s="1"/>
  <c r="BA118" i="4" s="1"/>
  <c r="AU120" i="1"/>
  <c r="AZ120" i="4" s="1"/>
  <c r="BA120" i="4" s="1"/>
  <c r="AU124" i="1"/>
  <c r="AZ124" i="4" s="1"/>
  <c r="BA124" i="4" s="1"/>
  <c r="AU126" i="1"/>
  <c r="AZ126" i="4" s="1"/>
  <c r="BA126" i="4" s="1"/>
  <c r="AU127" i="1"/>
  <c r="AU133" i="1"/>
  <c r="AZ133" i="4" s="1"/>
  <c r="BA133" i="4" s="1"/>
  <c r="AU134" i="1"/>
  <c r="AZ134" i="4" s="1"/>
  <c r="BA134" i="4" s="1"/>
  <c r="AU139" i="1"/>
  <c r="AZ139" i="4" s="1"/>
  <c r="BA139" i="4" s="1"/>
  <c r="AU140" i="1"/>
  <c r="AU146" i="1"/>
  <c r="AZ146" i="4" s="1"/>
  <c r="BA146" i="4" s="1"/>
  <c r="AU147" i="1"/>
  <c r="AU154" i="1"/>
  <c r="AZ154" i="4" s="1"/>
  <c r="BA154" i="4" s="1"/>
  <c r="AU156" i="1"/>
  <c r="AZ156" i="4" s="1"/>
  <c r="BA156" i="4" s="1"/>
  <c r="AU160" i="1"/>
  <c r="AZ160" i="4" s="1"/>
  <c r="BA160" i="4" s="1"/>
  <c r="AU162" i="1"/>
  <c r="AZ162" i="4" s="1"/>
  <c r="BA162" i="4" s="1"/>
  <c r="AU163" i="1"/>
  <c r="AZ163" i="4" s="1"/>
  <c r="BA163" i="4" s="1"/>
  <c r="AU169" i="1"/>
  <c r="AZ169" i="4" s="1"/>
  <c r="BA169" i="4" s="1"/>
  <c r="AU170" i="1"/>
  <c r="AZ170" i="4" s="1"/>
  <c r="BA170" i="4" s="1"/>
  <c r="AU176" i="1"/>
  <c r="AZ176" i="4" s="1"/>
  <c r="BA176" i="4" s="1"/>
  <c r="AU177" i="1"/>
  <c r="AZ177" i="4" s="1"/>
  <c r="BA177" i="4" s="1"/>
  <c r="AU181" i="1"/>
  <c r="AZ181" i="4" s="1"/>
  <c r="BA181" i="4" s="1"/>
  <c r="AU182" i="1"/>
  <c r="AZ182" i="4" s="1"/>
  <c r="BA182" i="4" s="1"/>
  <c r="AU183" i="1"/>
  <c r="AZ183" i="4" s="1"/>
  <c r="BA183" i="4" s="1"/>
  <c r="AU187" i="1"/>
  <c r="AZ187" i="4" s="1"/>
  <c r="BA187" i="4" s="1"/>
  <c r="AU188" i="1"/>
  <c r="AZ188" i="4" s="1"/>
  <c r="BA188" i="4" s="1"/>
  <c r="AU189" i="1"/>
  <c r="AZ189" i="4" s="1"/>
  <c r="BA189" i="4" s="1"/>
  <c r="AU193" i="1"/>
  <c r="AZ193" i="4" s="1"/>
  <c r="BA193" i="4" s="1"/>
  <c r="AU194" i="1"/>
  <c r="AZ194" i="4" s="1"/>
  <c r="BA194" i="4" s="1"/>
  <c r="AU199" i="1"/>
  <c r="AU200" i="1"/>
  <c r="AZ200" i="4" s="1"/>
  <c r="BA200" i="4" s="1"/>
  <c r="AU201" i="1"/>
  <c r="AZ201" i="4" s="1"/>
  <c r="BA201" i="4" s="1"/>
  <c r="AU206" i="1"/>
  <c r="AZ206" i="4" s="1"/>
  <c r="BA206" i="4" s="1"/>
  <c r="AU207" i="1"/>
  <c r="AZ207" i="4" s="1"/>
  <c r="BA207" i="4" s="1"/>
  <c r="AU212" i="1"/>
  <c r="AZ212" i="4" s="1"/>
  <c r="BA212" i="4" s="1"/>
  <c r="AU213" i="1"/>
  <c r="AZ213" i="4" s="1"/>
  <c r="BA213" i="4" s="1"/>
  <c r="AU217" i="1"/>
  <c r="AZ217" i="4" s="1"/>
  <c r="BA217" i="4" s="1"/>
  <c r="AU218" i="1"/>
  <c r="AZ218" i="4" s="1"/>
  <c r="BA218" i="4" s="1"/>
  <c r="AU219" i="1"/>
  <c r="AU223" i="1"/>
  <c r="AZ223" i="4" s="1"/>
  <c r="BA223" i="4" s="1"/>
  <c r="AU224" i="1"/>
  <c r="AZ224" i="4" s="1"/>
  <c r="BA224" i="4" s="1"/>
  <c r="AU225" i="1"/>
  <c r="AZ225" i="4" s="1"/>
  <c r="BA225" i="4" s="1"/>
  <c r="AU229" i="1"/>
  <c r="AZ229" i="4" s="1"/>
  <c r="BA229" i="4" s="1"/>
  <c r="AU230" i="1"/>
  <c r="AU231" i="1"/>
  <c r="AZ231" i="4" s="1"/>
  <c r="BA231" i="4" s="1"/>
  <c r="AU235" i="1"/>
  <c r="AU236" i="1"/>
  <c r="AZ236" i="4" s="1"/>
  <c r="BA236" i="4" s="1"/>
  <c r="AU242" i="1"/>
  <c r="AZ242" i="4" s="1"/>
  <c r="BA242" i="4" s="1"/>
  <c r="AU247" i="1"/>
  <c r="AZ247" i="4" s="1"/>
  <c r="BA247" i="4" s="1"/>
  <c r="AU248" i="1"/>
  <c r="AZ248" i="4" s="1"/>
  <c r="BA248" i="4" s="1"/>
  <c r="AU249" i="1"/>
  <c r="AZ249" i="4" s="1"/>
  <c r="BA249" i="4" s="1"/>
  <c r="AU253" i="1"/>
  <c r="AZ253" i="4" s="1"/>
  <c r="BA253" i="4" s="1"/>
  <c r="AU254" i="1"/>
  <c r="AZ254" i="4" s="1"/>
  <c r="BA254" i="4" s="1"/>
  <c r="AU255" i="1"/>
  <c r="AZ255" i="4" s="1"/>
  <c r="BA255" i="4" s="1"/>
  <c r="AU259" i="1"/>
  <c r="AZ259" i="4" s="1"/>
  <c r="BA259" i="4" s="1"/>
  <c r="AU260" i="1"/>
  <c r="AZ260" i="4" s="1"/>
  <c r="BA260" i="4" s="1"/>
  <c r="AU261" i="1"/>
  <c r="AZ261" i="4" s="1"/>
  <c r="BA261" i="4" s="1"/>
  <c r="AU265" i="1"/>
  <c r="AZ265" i="4" s="1"/>
  <c r="BA265" i="4" s="1"/>
  <c r="AU266" i="1"/>
  <c r="AZ266" i="4" s="1"/>
  <c r="BA266" i="4" s="1"/>
  <c r="AU267" i="1"/>
  <c r="AZ267" i="4" s="1"/>
  <c r="BA267" i="4" s="1"/>
  <c r="AU271" i="1"/>
  <c r="AU272" i="1"/>
  <c r="AZ272" i="4" s="1"/>
  <c r="BA272" i="4" s="1"/>
  <c r="AU273" i="1"/>
  <c r="AZ273" i="4" s="1"/>
  <c r="BA273" i="4" s="1"/>
  <c r="AU278" i="1"/>
  <c r="AZ278" i="4" s="1"/>
  <c r="BA278" i="4" s="1"/>
  <c r="AU279" i="1"/>
  <c r="AZ279" i="4" s="1"/>
  <c r="BA279" i="4" s="1"/>
  <c r="AU283" i="1"/>
  <c r="AZ283" i="4" s="1"/>
  <c r="BA283" i="4" s="1"/>
  <c r="AU289" i="1"/>
  <c r="AZ289" i="4" s="1"/>
  <c r="BA289" i="4" s="1"/>
  <c r="AU290" i="1"/>
  <c r="AZ290" i="4" s="1"/>
  <c r="BA290" i="4" s="1"/>
  <c r="AU291" i="1"/>
  <c r="AZ291" i="4" s="1"/>
  <c r="BA291" i="4" s="1"/>
  <c r="AU295" i="1"/>
  <c r="AZ295" i="4" s="1"/>
  <c r="BA295" i="4" s="1"/>
  <c r="AU296" i="1"/>
  <c r="AZ296" i="4" s="1"/>
  <c r="BA296" i="4" s="1"/>
  <c r="AU297" i="1"/>
  <c r="AZ297" i="4" s="1"/>
  <c r="BA297" i="4" s="1"/>
  <c r="AU301" i="1"/>
  <c r="AZ301" i="4" s="1"/>
  <c r="BA301" i="4" s="1"/>
  <c r="AU302" i="1"/>
  <c r="AZ302" i="4" s="1"/>
  <c r="BA302" i="4" s="1"/>
  <c r="AU303" i="1"/>
  <c r="AZ303" i="4" s="1"/>
  <c r="BA303" i="4" s="1"/>
  <c r="AU308" i="1"/>
  <c r="AZ308" i="4" s="1"/>
  <c r="BA308" i="4" s="1"/>
  <c r="AU309" i="1"/>
  <c r="AU313" i="1"/>
  <c r="AZ313" i="4" s="1"/>
  <c r="BA313" i="4" s="1"/>
  <c r="AU314" i="1"/>
  <c r="AZ314" i="4" s="1"/>
  <c r="BA314" i="4" s="1"/>
  <c r="AU315" i="1"/>
  <c r="AZ315" i="4" s="1"/>
  <c r="BA315" i="4" s="1"/>
  <c r="AU319" i="1"/>
  <c r="AZ319" i="4" s="1"/>
  <c r="BA319" i="4" s="1"/>
  <c r="AU320" i="1"/>
  <c r="AZ320" i="4" s="1"/>
  <c r="BA320" i="4" s="1"/>
  <c r="AU321" i="1"/>
  <c r="AZ321" i="4" s="1"/>
  <c r="BA321" i="4" s="1"/>
  <c r="AU325" i="1"/>
  <c r="AZ325" i="4" s="1"/>
  <c r="BA325" i="4" s="1"/>
  <c r="AU326" i="1"/>
  <c r="AZ326" i="4" s="1"/>
  <c r="BA326" i="4" s="1"/>
  <c r="AU331" i="1"/>
  <c r="AZ331" i="4" s="1"/>
  <c r="BA331" i="4" s="1"/>
  <c r="AU332" i="1"/>
  <c r="AZ332" i="4" s="1"/>
  <c r="BA332" i="4" s="1"/>
  <c r="AU333" i="1"/>
  <c r="AZ333" i="4" s="1"/>
  <c r="BA333" i="4" s="1"/>
  <c r="AU338" i="1"/>
  <c r="AU339" i="1"/>
  <c r="AZ339" i="4" s="1"/>
  <c r="BA339" i="4" s="1"/>
  <c r="AV4" i="1"/>
  <c r="BB4" i="4" s="1"/>
  <c r="BC4" i="4" s="1"/>
  <c r="AV5" i="1"/>
  <c r="BB5" i="4" s="1"/>
  <c r="BC5" i="4" s="1"/>
  <c r="AV8" i="1"/>
  <c r="BB8" i="4" s="1"/>
  <c r="BC8" i="4" s="1"/>
  <c r="AV9" i="1"/>
  <c r="BB9" i="4" s="1"/>
  <c r="BC9" i="4" s="1"/>
  <c r="AV10" i="1"/>
  <c r="BB10" i="4" s="1"/>
  <c r="BC10" i="4" s="1"/>
  <c r="AV11" i="1"/>
  <c r="BB11" i="4" s="1"/>
  <c r="BC11" i="4" s="1"/>
  <c r="AV12" i="1"/>
  <c r="BB12" i="4" s="1"/>
  <c r="BC12" i="4" s="1"/>
  <c r="AV15" i="1"/>
  <c r="BB15" i="4" s="1"/>
  <c r="BC15" i="4" s="1"/>
  <c r="AV16" i="1"/>
  <c r="BB16" i="4" s="1"/>
  <c r="BC16" i="4" s="1"/>
  <c r="AV17" i="1"/>
  <c r="BB17" i="4" s="1"/>
  <c r="BC17" i="4" s="1"/>
  <c r="AV18" i="1"/>
  <c r="BB18" i="4" s="1"/>
  <c r="BC18" i="4" s="1"/>
  <c r="AV19" i="1"/>
  <c r="BB19" i="4" s="1"/>
  <c r="BC19" i="4" s="1"/>
  <c r="AV20" i="1"/>
  <c r="BB20" i="4" s="1"/>
  <c r="BC20" i="4" s="1"/>
  <c r="AV21" i="1"/>
  <c r="BB21" i="4" s="1"/>
  <c r="BC21" i="4" s="1"/>
  <c r="AV23" i="1"/>
  <c r="BB23" i="4" s="1"/>
  <c r="BC23" i="4" s="1"/>
  <c r="AV24" i="1"/>
  <c r="BB24" i="4" s="1"/>
  <c r="BC24" i="4" s="1"/>
  <c r="AV25" i="1"/>
  <c r="BB25" i="4" s="1"/>
  <c r="BC25" i="4" s="1"/>
  <c r="AV26" i="1"/>
  <c r="BB26" i="4" s="1"/>
  <c r="BC26" i="4" s="1"/>
  <c r="AV27" i="1"/>
  <c r="BB27" i="4" s="1"/>
  <c r="BC27" i="4" s="1"/>
  <c r="AV28" i="1"/>
  <c r="BB28" i="4" s="1"/>
  <c r="BC28" i="4" s="1"/>
  <c r="AV29" i="1"/>
  <c r="BB29" i="4" s="1"/>
  <c r="BC29" i="4" s="1"/>
  <c r="AV30" i="1"/>
  <c r="BB30" i="4" s="1"/>
  <c r="BC30" i="4" s="1"/>
  <c r="AV31" i="1"/>
  <c r="BB31" i="4" s="1"/>
  <c r="BC31" i="4" s="1"/>
  <c r="AV32" i="1"/>
  <c r="BB32" i="4" s="1"/>
  <c r="BC32" i="4" s="1"/>
  <c r="AV33" i="1"/>
  <c r="BB33" i="4" s="1"/>
  <c r="BC33" i="4" s="1"/>
  <c r="AV34" i="1"/>
  <c r="BB34" i="4" s="1"/>
  <c r="BC34" i="4" s="1"/>
  <c r="AV35" i="1"/>
  <c r="BB35" i="4" s="1"/>
  <c r="BC35" i="4" s="1"/>
  <c r="AV36" i="1"/>
  <c r="BB36" i="4" s="1"/>
  <c r="BC36" i="4" s="1"/>
  <c r="AV37" i="1"/>
  <c r="BB37" i="4" s="1"/>
  <c r="BC37" i="4" s="1"/>
  <c r="AV38" i="1"/>
  <c r="BB38" i="4" s="1"/>
  <c r="BC38" i="4" s="1"/>
  <c r="AV39" i="1"/>
  <c r="BB39" i="4" s="1"/>
  <c r="BC39" i="4" s="1"/>
  <c r="AV40" i="1"/>
  <c r="BB40" i="4" s="1"/>
  <c r="BC40" i="4" s="1"/>
  <c r="AV41" i="1"/>
  <c r="BB41" i="4" s="1"/>
  <c r="BC41" i="4" s="1"/>
  <c r="AV42" i="1"/>
  <c r="BB42" i="4" s="1"/>
  <c r="BC42" i="4" s="1"/>
  <c r="AV43" i="1"/>
  <c r="BB43" i="4" s="1"/>
  <c r="BC43" i="4" s="1"/>
  <c r="AV44" i="1"/>
  <c r="BB44" i="4" s="1"/>
  <c r="BC44" i="4" s="1"/>
  <c r="AV47" i="1"/>
  <c r="BB47" i="4" s="1"/>
  <c r="BC47" i="4" s="1"/>
  <c r="AV48" i="1"/>
  <c r="BB48" i="4" s="1"/>
  <c r="BC48" i="4" s="1"/>
  <c r="AV51" i="1"/>
  <c r="BB51" i="4" s="1"/>
  <c r="BC51" i="4" s="1"/>
  <c r="AV52" i="1"/>
  <c r="BB52" i="4" s="1"/>
  <c r="BC52" i="4" s="1"/>
  <c r="AV53" i="1"/>
  <c r="BB53" i="4" s="1"/>
  <c r="BC53" i="4" s="1"/>
  <c r="AV54" i="1"/>
  <c r="BB54" i="4" s="1"/>
  <c r="BC54" i="4" s="1"/>
  <c r="AV55" i="1"/>
  <c r="BB55" i="4" s="1"/>
  <c r="BC55" i="4" s="1"/>
  <c r="AV56" i="1"/>
  <c r="BB56" i="4" s="1"/>
  <c r="BC56" i="4" s="1"/>
  <c r="AV58" i="1"/>
  <c r="BB58" i="4" s="1"/>
  <c r="BC58" i="4" s="1"/>
  <c r="AV59" i="1"/>
  <c r="BB59" i="4" s="1"/>
  <c r="BC59" i="4" s="1"/>
  <c r="AV60" i="1"/>
  <c r="BB60" i="4" s="1"/>
  <c r="BC60" i="4" s="1"/>
  <c r="AV61" i="1"/>
  <c r="BB61" i="4" s="1"/>
  <c r="BC61" i="4" s="1"/>
  <c r="AV62" i="1"/>
  <c r="BB62" i="4" s="1"/>
  <c r="BC62" i="4" s="1"/>
  <c r="AV63" i="1"/>
  <c r="BB63" i="4" s="1"/>
  <c r="BC63" i="4" s="1"/>
  <c r="AV64" i="1"/>
  <c r="BB64" i="4" s="1"/>
  <c r="BC64" i="4" s="1"/>
  <c r="AV68" i="1"/>
  <c r="BB68" i="4" s="1"/>
  <c r="BC68" i="4" s="1"/>
  <c r="AV69" i="1"/>
  <c r="BB69" i="4" s="1"/>
  <c r="BC69" i="4" s="1"/>
  <c r="AV70" i="1"/>
  <c r="BB70" i="4" s="1"/>
  <c r="BC70" i="4" s="1"/>
  <c r="AV71" i="1"/>
  <c r="BB71" i="4" s="1"/>
  <c r="BC71" i="4" s="1"/>
  <c r="AV72" i="1"/>
  <c r="BB72" i="4" s="1"/>
  <c r="BC72" i="4" s="1"/>
  <c r="AV73" i="1"/>
  <c r="BB73" i="4" s="1"/>
  <c r="BC73" i="4" s="1"/>
  <c r="AV74" i="1"/>
  <c r="BB74" i="4" s="1"/>
  <c r="BC74" i="4" s="1"/>
  <c r="AV75" i="1"/>
  <c r="BB75" i="4" s="1"/>
  <c r="BC75" i="4" s="1"/>
  <c r="AV76" i="1"/>
  <c r="BB76" i="4" s="1"/>
  <c r="BC76" i="4" s="1"/>
  <c r="AV77" i="1"/>
  <c r="BB77" i="4" s="1"/>
  <c r="BC77" i="4" s="1"/>
  <c r="AV78" i="1"/>
  <c r="BB78" i="4" s="1"/>
  <c r="BC78" i="4" s="1"/>
  <c r="AV81" i="1"/>
  <c r="BB81" i="4" s="1"/>
  <c r="BC81" i="4" s="1"/>
  <c r="AV82" i="1"/>
  <c r="BB82" i="4" s="1"/>
  <c r="BC82" i="4" s="1"/>
  <c r="AV83" i="1"/>
  <c r="BB83" i="4" s="1"/>
  <c r="BC83" i="4" s="1"/>
  <c r="AV84" i="1"/>
  <c r="BB84" i="4" s="1"/>
  <c r="BC84" i="4" s="1"/>
  <c r="AV85" i="1"/>
  <c r="BB85" i="4" s="1"/>
  <c r="BC85" i="4" s="1"/>
  <c r="AV86" i="1"/>
  <c r="BB86" i="4" s="1"/>
  <c r="BC86" i="4" s="1"/>
  <c r="AV87" i="1"/>
  <c r="BB87" i="4" s="1"/>
  <c r="BC87" i="4" s="1"/>
  <c r="AV88" i="1"/>
  <c r="BB88" i="4" s="1"/>
  <c r="BC88" i="4" s="1"/>
  <c r="AV89" i="1"/>
  <c r="BB89" i="4" s="1"/>
  <c r="BC89" i="4" s="1"/>
  <c r="AV90" i="1"/>
  <c r="BB90" i="4" s="1"/>
  <c r="BC90" i="4" s="1"/>
  <c r="AV91" i="1"/>
  <c r="BB91" i="4" s="1"/>
  <c r="BC91" i="4" s="1"/>
  <c r="AV92" i="1"/>
  <c r="BB92" i="4" s="1"/>
  <c r="BC92" i="4" s="1"/>
  <c r="AV93" i="1"/>
  <c r="BB93" i="4" s="1"/>
  <c r="BC93" i="4" s="1"/>
  <c r="AV94" i="1"/>
  <c r="BB94" i="4" s="1"/>
  <c r="BC94" i="4" s="1"/>
  <c r="AV96" i="1"/>
  <c r="BB96" i="4" s="1"/>
  <c r="BC96" i="4" s="1"/>
  <c r="AV98" i="1"/>
  <c r="BB98" i="4" s="1"/>
  <c r="BC98" i="4" s="1"/>
  <c r="AV100" i="1"/>
  <c r="BB100" i="4" s="1"/>
  <c r="BC100" i="4" s="1"/>
  <c r="AV103" i="1"/>
  <c r="BB103" i="4" s="1"/>
  <c r="BC103" i="4" s="1"/>
  <c r="AV104" i="1"/>
  <c r="BB104" i="4" s="1"/>
  <c r="BC104" i="4" s="1"/>
  <c r="AV105" i="1"/>
  <c r="BB105" i="4" s="1"/>
  <c r="BC105" i="4" s="1"/>
  <c r="AV106" i="1"/>
  <c r="BB106" i="4" s="1"/>
  <c r="BC106" i="4" s="1"/>
  <c r="AV107" i="1"/>
  <c r="BB107" i="4" s="1"/>
  <c r="BC107" i="4" s="1"/>
  <c r="AV109" i="1"/>
  <c r="BB109" i="4" s="1"/>
  <c r="BC109" i="4" s="1"/>
  <c r="AV110" i="1"/>
  <c r="BB110" i="4" s="1"/>
  <c r="BC110" i="4" s="1"/>
  <c r="AV111" i="1"/>
  <c r="BB111" i="4" s="1"/>
  <c r="BC111" i="4" s="1"/>
  <c r="AV112" i="1"/>
  <c r="BB112" i="4" s="1"/>
  <c r="BC112" i="4" s="1"/>
  <c r="AV114" i="1"/>
  <c r="BB114" i="4" s="1"/>
  <c r="BC114" i="4" s="1"/>
  <c r="AV115" i="1"/>
  <c r="BB115" i="4" s="1"/>
  <c r="BC115" i="4" s="1"/>
  <c r="AV116" i="1"/>
  <c r="BB116" i="4" s="1"/>
  <c r="BC116" i="4" s="1"/>
  <c r="AV117" i="1"/>
  <c r="BB117" i="4" s="1"/>
  <c r="BC117" i="4" s="1"/>
  <c r="AV118" i="1"/>
  <c r="BB118" i="4" s="1"/>
  <c r="BC118" i="4" s="1"/>
  <c r="AV119" i="1"/>
  <c r="BB119" i="4" s="1"/>
  <c r="BC119" i="4" s="1"/>
  <c r="AV120" i="1"/>
  <c r="BB120" i="4" s="1"/>
  <c r="BC120" i="4" s="1"/>
  <c r="AV123" i="1"/>
  <c r="BB123" i="4" s="1"/>
  <c r="BC123" i="4" s="1"/>
  <c r="AV124" i="1"/>
  <c r="BB124" i="4" s="1"/>
  <c r="BC124" i="4" s="1"/>
  <c r="AV126" i="1"/>
  <c r="BB126" i="4" s="1"/>
  <c r="BC126" i="4" s="1"/>
  <c r="AV128" i="1"/>
  <c r="BB128" i="4" s="1"/>
  <c r="BC128" i="4" s="1"/>
  <c r="AV129" i="1"/>
  <c r="BB129" i="4" s="1"/>
  <c r="BC129" i="4" s="1"/>
  <c r="AV130" i="1"/>
  <c r="BB130" i="4" s="1"/>
  <c r="BC130" i="4" s="1"/>
  <c r="AV131" i="1"/>
  <c r="BB131" i="4" s="1"/>
  <c r="BC131" i="4" s="1"/>
  <c r="AV132" i="1"/>
  <c r="BB132" i="4" s="1"/>
  <c r="BC132" i="4" s="1"/>
  <c r="AV133" i="1"/>
  <c r="BB133" i="4" s="1"/>
  <c r="BC133" i="4" s="1"/>
  <c r="AV135" i="1"/>
  <c r="BB135" i="4" s="1"/>
  <c r="BC135" i="4" s="1"/>
  <c r="AV136" i="1"/>
  <c r="BB136" i="4" s="1"/>
  <c r="BC136" i="4" s="1"/>
  <c r="AV137" i="1"/>
  <c r="BB137" i="4" s="1"/>
  <c r="BC137" i="4" s="1"/>
  <c r="AV138" i="1"/>
  <c r="BB138" i="4" s="1"/>
  <c r="BC138" i="4" s="1"/>
  <c r="AV139" i="1"/>
  <c r="BB139" i="4" s="1"/>
  <c r="BC139" i="4" s="1"/>
  <c r="AV141" i="1"/>
  <c r="BB141" i="4" s="1"/>
  <c r="BC141" i="4" s="1"/>
  <c r="AV142" i="1"/>
  <c r="BB142" i="4" s="1"/>
  <c r="BC142" i="4" s="1"/>
  <c r="AV143" i="1"/>
  <c r="BB143" i="4" s="1"/>
  <c r="BC143" i="4" s="1"/>
  <c r="AV145" i="1"/>
  <c r="BB145" i="4" s="1"/>
  <c r="BC145" i="4" s="1"/>
  <c r="AV146" i="1"/>
  <c r="BB146" i="4" s="1"/>
  <c r="BC146" i="4" s="1"/>
  <c r="AV147" i="1"/>
  <c r="BB147" i="4" s="1"/>
  <c r="BC147" i="4" s="1"/>
  <c r="AV148" i="1"/>
  <c r="BB148" i="4" s="1"/>
  <c r="BC148" i="4" s="1"/>
  <c r="AV151" i="1"/>
  <c r="BB151" i="4" s="1"/>
  <c r="BC151" i="4" s="1"/>
  <c r="AV152" i="1"/>
  <c r="BB152" i="4" s="1"/>
  <c r="BC152" i="4" s="1"/>
  <c r="AV153" i="1"/>
  <c r="BB153" i="4" s="1"/>
  <c r="BC153" i="4" s="1"/>
  <c r="AV154" i="1"/>
  <c r="BB154" i="4" s="1"/>
  <c r="BC154" i="4" s="1"/>
  <c r="AV157" i="1"/>
  <c r="BB157" i="4" s="1"/>
  <c r="BC157" i="4" s="1"/>
  <c r="AV158" i="1"/>
  <c r="BB158" i="4" s="1"/>
  <c r="BC158" i="4" s="1"/>
  <c r="AV159" i="1"/>
  <c r="BB159" i="4" s="1"/>
  <c r="BC159" i="4" s="1"/>
  <c r="AV161" i="1"/>
  <c r="BB161" i="4" s="1"/>
  <c r="BC161" i="4" s="1"/>
  <c r="AV165" i="1"/>
  <c r="BB165" i="4" s="1"/>
  <c r="BC165" i="4" s="1"/>
  <c r="AV166" i="1"/>
  <c r="BB166" i="4" s="1"/>
  <c r="BC166" i="4" s="1"/>
  <c r="AV168" i="1"/>
  <c r="BB168" i="4" s="1"/>
  <c r="BC168" i="4" s="1"/>
  <c r="AV169" i="1"/>
  <c r="BB169" i="4" s="1"/>
  <c r="BC169" i="4" s="1"/>
  <c r="AV170" i="1"/>
  <c r="BB170" i="4" s="1"/>
  <c r="BC170" i="4" s="1"/>
  <c r="AV171" i="1"/>
  <c r="BB171" i="4" s="1"/>
  <c r="BC171" i="4" s="1"/>
  <c r="AV172" i="1"/>
  <c r="BB172" i="4" s="1"/>
  <c r="BC172" i="4" s="1"/>
  <c r="AV173" i="1"/>
  <c r="BB173" i="4" s="1"/>
  <c r="BC173" i="4" s="1"/>
  <c r="AV176" i="1"/>
  <c r="BB176" i="4" s="1"/>
  <c r="BC176" i="4" s="1"/>
  <c r="AV178" i="1"/>
  <c r="BB178" i="4" s="1"/>
  <c r="BC178" i="4" s="1"/>
  <c r="AV179" i="1"/>
  <c r="BB179" i="4" s="1"/>
  <c r="BC179" i="4" s="1"/>
  <c r="AV180" i="1"/>
  <c r="BB180" i="4" s="1"/>
  <c r="BC180" i="4" s="1"/>
  <c r="AV181" i="1"/>
  <c r="BB181" i="4" s="1"/>
  <c r="BC181" i="4" s="1"/>
  <c r="AV183" i="1"/>
  <c r="BB183" i="4" s="1"/>
  <c r="BC183" i="4" s="1"/>
  <c r="AV184" i="1"/>
  <c r="BB184" i="4" s="1"/>
  <c r="BC184" i="4" s="1"/>
  <c r="AV186" i="1"/>
  <c r="BB186" i="4" s="1"/>
  <c r="BC186" i="4" s="1"/>
  <c r="AV187" i="1"/>
  <c r="BB187" i="4" s="1"/>
  <c r="BC187" i="4" s="1"/>
  <c r="AV189" i="1"/>
  <c r="BB189" i="4" s="1"/>
  <c r="BC189" i="4" s="1"/>
  <c r="AV191" i="1"/>
  <c r="BB191" i="4" s="1"/>
  <c r="BC191" i="4" s="1"/>
  <c r="AV192" i="1"/>
  <c r="BB192" i="4" s="1"/>
  <c r="BC192" i="4" s="1"/>
  <c r="AV193" i="1"/>
  <c r="BB193" i="4" s="1"/>
  <c r="BC193" i="4" s="1"/>
  <c r="AV194" i="1"/>
  <c r="BB194" i="4" s="1"/>
  <c r="BC194" i="4" s="1"/>
  <c r="AV195" i="1"/>
  <c r="BB195" i="4" s="1"/>
  <c r="BC195" i="4" s="1"/>
  <c r="AV197" i="1"/>
  <c r="BB197" i="4" s="1"/>
  <c r="BC197" i="4" s="1"/>
  <c r="AV198" i="1"/>
  <c r="BB198" i="4" s="1"/>
  <c r="BC198" i="4" s="1"/>
  <c r="AV199" i="1"/>
  <c r="BB199" i="4" s="1"/>
  <c r="BC199" i="4" s="1"/>
  <c r="AV200" i="1"/>
  <c r="BB200" i="4" s="1"/>
  <c r="BC200" i="4" s="1"/>
  <c r="AV202" i="1"/>
  <c r="BB202" i="4" s="1"/>
  <c r="BC202" i="4" s="1"/>
  <c r="AV203" i="1"/>
  <c r="BB203" i="4" s="1"/>
  <c r="BC203" i="4" s="1"/>
  <c r="AV204" i="1"/>
  <c r="BB204" i="4" s="1"/>
  <c r="BC204" i="4" s="1"/>
  <c r="AV205" i="1"/>
  <c r="BB205" i="4" s="1"/>
  <c r="BC205" i="4" s="1"/>
  <c r="AV206" i="1"/>
  <c r="BB206" i="4" s="1"/>
  <c r="BC206" i="4" s="1"/>
  <c r="AV210" i="1"/>
  <c r="BB210" i="4" s="1"/>
  <c r="BC210" i="4" s="1"/>
  <c r="AV211" i="1"/>
  <c r="BB211" i="4" s="1"/>
  <c r="BC211" i="4" s="1"/>
  <c r="AV212" i="1"/>
  <c r="BB212" i="4" s="1"/>
  <c r="BC212" i="4" s="1"/>
  <c r="AV213" i="1"/>
  <c r="BB213" i="4" s="1"/>
  <c r="BC213" i="4" s="1"/>
  <c r="AV214" i="1"/>
  <c r="BB214" i="4" s="1"/>
  <c r="BC214" i="4" s="1"/>
  <c r="AV215" i="1"/>
  <c r="BB215" i="4" s="1"/>
  <c r="BC215" i="4" s="1"/>
  <c r="AV218" i="1"/>
  <c r="BB218" i="4" s="1"/>
  <c r="BC218" i="4" s="1"/>
  <c r="AV219" i="1"/>
  <c r="BB219" i="4" s="1"/>
  <c r="BC219" i="4" s="1"/>
  <c r="AV220" i="1"/>
  <c r="BB220" i="4" s="1"/>
  <c r="BC220" i="4" s="1"/>
  <c r="AV221" i="1"/>
  <c r="BB221" i="4" s="1"/>
  <c r="BC221" i="4" s="1"/>
  <c r="AV224" i="1"/>
  <c r="BB224" i="4" s="1"/>
  <c r="BC224" i="4" s="1"/>
  <c r="AV225" i="1"/>
  <c r="BB225" i="4" s="1"/>
  <c r="BC225" i="4" s="1"/>
  <c r="AV226" i="1"/>
  <c r="BB226" i="4" s="1"/>
  <c r="BC226" i="4" s="1"/>
  <c r="AV227" i="1"/>
  <c r="BB227" i="4" s="1"/>
  <c r="BC227" i="4" s="1"/>
  <c r="AV229" i="1"/>
  <c r="BB229" i="4" s="1"/>
  <c r="BC229" i="4" s="1"/>
  <c r="AV232" i="1"/>
  <c r="BB232" i="4" s="1"/>
  <c r="BC232" i="4" s="1"/>
  <c r="AV233" i="1"/>
  <c r="BB233" i="4" s="1"/>
  <c r="BC233" i="4" s="1"/>
  <c r="AV234" i="1"/>
  <c r="BB234" i="4" s="1"/>
  <c r="BC234" i="4" s="1"/>
  <c r="AV235" i="1"/>
  <c r="BB235" i="4" s="1"/>
  <c r="BC235" i="4" s="1"/>
  <c r="AV237" i="1"/>
  <c r="BB237" i="4" s="1"/>
  <c r="BC237" i="4" s="1"/>
  <c r="AV238" i="1"/>
  <c r="BB238" i="4" s="1"/>
  <c r="BC238" i="4" s="1"/>
  <c r="AV240" i="1"/>
  <c r="BB240" i="4" s="1"/>
  <c r="BC240" i="4" s="1"/>
  <c r="AV243" i="1"/>
  <c r="BB243" i="4" s="1"/>
  <c r="BC243" i="4" s="1"/>
  <c r="AV244" i="1"/>
  <c r="BB244" i="4" s="1"/>
  <c r="BC244" i="4" s="1"/>
  <c r="AV246" i="1"/>
  <c r="BB246" i="4" s="1"/>
  <c r="BC246" i="4" s="1"/>
  <c r="AV247" i="1"/>
  <c r="BB247" i="4" s="1"/>
  <c r="BC247" i="4" s="1"/>
  <c r="AV248" i="1"/>
  <c r="BB248" i="4" s="1"/>
  <c r="BC248" i="4" s="1"/>
  <c r="AV250" i="1"/>
  <c r="BB250" i="4" s="1"/>
  <c r="BC250" i="4" s="1"/>
  <c r="AV251" i="1"/>
  <c r="BB251" i="4" s="1"/>
  <c r="BC251" i="4" s="1"/>
  <c r="AV252" i="1"/>
  <c r="BB252" i="4" s="1"/>
  <c r="BC252" i="4" s="1"/>
  <c r="AV253" i="1"/>
  <c r="BB253" i="4" s="1"/>
  <c r="BC253" i="4" s="1"/>
  <c r="AV254" i="1"/>
  <c r="BB254" i="4" s="1"/>
  <c r="BC254" i="4" s="1"/>
  <c r="AV255" i="1"/>
  <c r="BB255" i="4" s="1"/>
  <c r="BC255" i="4" s="1"/>
  <c r="AV256" i="1"/>
  <c r="BB256" i="4" s="1"/>
  <c r="BC256" i="4" s="1"/>
  <c r="AV257" i="1"/>
  <c r="BB257" i="4" s="1"/>
  <c r="BC257" i="4" s="1"/>
  <c r="AV258" i="1"/>
  <c r="BB258" i="4" s="1"/>
  <c r="BC258" i="4" s="1"/>
  <c r="AV260" i="1"/>
  <c r="BB260" i="4" s="1"/>
  <c r="BC260" i="4" s="1"/>
  <c r="AV261" i="1"/>
  <c r="BB261" i="4" s="1"/>
  <c r="BC261" i="4" s="1"/>
  <c r="AV264" i="1"/>
  <c r="BB264" i="4" s="1"/>
  <c r="BC264" i="4" s="1"/>
  <c r="AV265" i="1"/>
  <c r="BB265" i="4" s="1"/>
  <c r="BC265" i="4" s="1"/>
  <c r="AV267" i="1"/>
  <c r="BB267" i="4" s="1"/>
  <c r="BC267" i="4" s="1"/>
  <c r="AV268" i="1"/>
  <c r="BB268" i="4" s="1"/>
  <c r="BC268" i="4" s="1"/>
  <c r="AV269" i="1"/>
  <c r="BB269" i="4" s="1"/>
  <c r="BC269" i="4" s="1"/>
  <c r="AV271" i="1"/>
  <c r="BB271" i="4" s="1"/>
  <c r="BC271" i="4" s="1"/>
  <c r="AV276" i="1"/>
  <c r="BB276" i="4" s="1"/>
  <c r="BC276" i="4" s="1"/>
  <c r="AV277" i="1"/>
  <c r="BB277" i="4" s="1"/>
  <c r="BC277" i="4" s="1"/>
  <c r="AV278" i="1"/>
  <c r="BB278" i="4" s="1"/>
  <c r="BC278" i="4" s="1"/>
  <c r="AV279" i="1"/>
  <c r="BB279" i="4" s="1"/>
  <c r="BC279" i="4" s="1"/>
  <c r="AV280" i="1"/>
  <c r="BB280" i="4" s="1"/>
  <c r="BC280" i="4" s="1"/>
  <c r="AV282" i="1"/>
  <c r="BB282" i="4" s="1"/>
  <c r="BC282" i="4" s="1"/>
  <c r="AV283" i="1"/>
  <c r="BB283" i="4" s="1"/>
  <c r="BC283" i="4" s="1"/>
  <c r="AV285" i="1"/>
  <c r="BB285" i="4" s="1"/>
  <c r="BC285" i="4" s="1"/>
  <c r="AV287" i="1"/>
  <c r="BB287" i="4" s="1"/>
  <c r="BC287" i="4" s="1"/>
  <c r="AV290" i="1"/>
  <c r="BB290" i="4" s="1"/>
  <c r="BC290" i="4" s="1"/>
  <c r="AV294" i="1"/>
  <c r="BB294" i="4" s="1"/>
  <c r="BC294" i="4" s="1"/>
  <c r="AV297" i="1"/>
  <c r="BB297" i="4" s="1"/>
  <c r="BC297" i="4" s="1"/>
  <c r="AV298" i="1"/>
  <c r="BB298" i="4" s="1"/>
  <c r="BC298" i="4" s="1"/>
  <c r="AV302" i="1"/>
  <c r="BB302" i="4" s="1"/>
  <c r="BC302" i="4" s="1"/>
  <c r="AV303" i="1"/>
  <c r="BB303" i="4" s="1"/>
  <c r="BC303" i="4" s="1"/>
  <c r="AV304" i="1"/>
  <c r="BB304" i="4" s="1"/>
  <c r="BC304" i="4" s="1"/>
  <c r="AV307" i="1"/>
  <c r="BB307" i="4" s="1"/>
  <c r="BC307" i="4" s="1"/>
  <c r="AV309" i="1"/>
  <c r="BB309" i="4" s="1"/>
  <c r="BC309" i="4" s="1"/>
  <c r="AV310" i="1"/>
  <c r="BB310" i="4" s="1"/>
  <c r="BC310" i="4" s="1"/>
  <c r="AV311" i="1"/>
  <c r="BB311" i="4" s="1"/>
  <c r="BC311" i="4" s="1"/>
  <c r="AV313" i="1"/>
  <c r="BB313" i="4" s="1"/>
  <c r="BC313" i="4" s="1"/>
  <c r="AV314" i="1"/>
  <c r="BB314" i="4" s="1"/>
  <c r="BC314" i="4" s="1"/>
  <c r="AV315" i="1"/>
  <c r="BB315" i="4" s="1"/>
  <c r="BC315" i="4" s="1"/>
  <c r="AV316" i="1"/>
  <c r="BB316" i="4" s="1"/>
  <c r="BC316" i="4" s="1"/>
  <c r="AV318" i="1"/>
  <c r="BB318" i="4" s="1"/>
  <c r="BC318" i="4" s="1"/>
  <c r="AV319" i="1"/>
  <c r="BB319" i="4" s="1"/>
  <c r="BC319" i="4" s="1"/>
  <c r="AV320" i="1"/>
  <c r="BB320" i="4" s="1"/>
  <c r="BC320" i="4" s="1"/>
  <c r="AV321" i="1"/>
  <c r="BB321" i="4" s="1"/>
  <c r="BC321" i="4" s="1"/>
  <c r="AV322" i="1"/>
  <c r="BB322" i="4" s="1"/>
  <c r="BC322" i="4" s="1"/>
  <c r="AV323" i="1"/>
  <c r="BB323" i="4" s="1"/>
  <c r="BC323" i="4" s="1"/>
  <c r="AV324" i="1"/>
  <c r="BB324" i="4" s="1"/>
  <c r="BC324" i="4" s="1"/>
  <c r="AV326" i="1"/>
  <c r="BB326" i="4" s="1"/>
  <c r="BC326" i="4" s="1"/>
  <c r="AV327" i="1"/>
  <c r="BB327" i="4" s="1"/>
  <c r="BC327" i="4" s="1"/>
  <c r="AV329" i="1"/>
  <c r="BB329" i="4" s="1"/>
  <c r="BC329" i="4" s="1"/>
  <c r="AV331" i="1"/>
  <c r="BB331" i="4" s="1"/>
  <c r="BC331" i="4" s="1"/>
  <c r="AV334" i="1"/>
  <c r="BB334" i="4" s="1"/>
  <c r="BC334" i="4" s="1"/>
  <c r="AV335" i="1"/>
  <c r="BB335" i="4" s="1"/>
  <c r="BC335" i="4" s="1"/>
  <c r="AV336" i="1"/>
  <c r="BB336" i="4" s="1"/>
  <c r="BC336" i="4" s="1"/>
  <c r="AV338" i="1"/>
  <c r="BB338" i="4" s="1"/>
  <c r="BC338" i="4" s="1"/>
  <c r="AV339" i="1"/>
  <c r="BB339" i="4" s="1"/>
  <c r="BC339" i="4" s="1"/>
  <c r="AV340" i="1"/>
  <c r="BB340" i="4" s="1"/>
  <c r="BC340" i="4" s="1"/>
  <c r="AX6" i="1"/>
  <c r="AX7" i="1"/>
  <c r="AX8" i="1"/>
  <c r="AX9" i="1"/>
  <c r="AX11" i="1"/>
  <c r="AX12" i="1"/>
  <c r="AX13" i="1"/>
  <c r="AX14" i="1"/>
  <c r="AX15" i="1"/>
  <c r="AX16" i="1"/>
  <c r="AX18" i="1"/>
  <c r="AX19" i="1"/>
  <c r="AX20" i="1"/>
  <c r="AX21" i="1"/>
  <c r="AX22" i="1"/>
  <c r="AX23" i="1"/>
  <c r="AX25" i="1"/>
  <c r="AX31" i="1"/>
  <c r="AX32" i="1"/>
  <c r="AX40" i="1"/>
  <c r="AX43" i="1"/>
  <c r="AX45" i="1"/>
  <c r="AX46" i="1"/>
  <c r="AX47" i="1"/>
  <c r="AX49" i="1"/>
  <c r="AX50" i="1"/>
  <c r="AX51" i="1"/>
  <c r="AX65" i="1"/>
  <c r="AX66" i="1"/>
  <c r="AX67" i="1"/>
  <c r="AX68" i="1"/>
  <c r="AX69" i="1"/>
  <c r="AX70" i="1"/>
  <c r="AX86" i="1"/>
  <c r="AX87" i="1"/>
  <c r="AX90" i="1"/>
  <c r="AX91" i="1"/>
  <c r="AX93" i="1"/>
  <c r="AX94" i="1"/>
  <c r="AX95" i="1"/>
  <c r="AX96" i="1"/>
  <c r="AX97" i="1"/>
  <c r="AX98" i="1"/>
  <c r="AX99" i="1"/>
  <c r="AX100" i="1"/>
  <c r="AX101" i="1"/>
  <c r="AX102" i="1"/>
  <c r="AX104" i="1"/>
  <c r="AX105" i="1"/>
  <c r="AX106" i="1"/>
  <c r="AX107" i="1"/>
  <c r="AX108" i="1"/>
  <c r="AX109" i="1"/>
  <c r="AX110" i="1"/>
  <c r="AX111" i="1"/>
  <c r="AX113" i="1"/>
  <c r="AX114" i="1"/>
  <c r="AX115" i="1"/>
  <c r="AX117" i="1"/>
  <c r="AX120" i="1"/>
  <c r="AX121" i="1"/>
  <c r="AX122" i="1"/>
  <c r="AX123" i="1"/>
  <c r="AX125" i="1"/>
  <c r="AX126" i="1"/>
  <c r="AX127" i="1"/>
  <c r="AX132" i="1"/>
  <c r="AX134" i="1"/>
  <c r="AX135" i="1"/>
  <c r="AX136" i="1"/>
  <c r="AX137" i="1"/>
  <c r="AX138" i="1"/>
  <c r="AX140" i="1"/>
  <c r="AX141" i="1"/>
  <c r="AX144" i="1"/>
  <c r="AX147" i="1"/>
  <c r="AX148" i="1"/>
  <c r="AX149" i="1"/>
  <c r="AX150" i="1"/>
  <c r="AX151" i="1"/>
  <c r="AX152" i="1"/>
  <c r="AX153" i="1"/>
  <c r="AX154" i="1"/>
  <c r="AX155" i="1"/>
  <c r="AX156" i="1"/>
  <c r="AX160" i="1"/>
  <c r="AX161" i="1"/>
  <c r="AX162" i="1"/>
  <c r="AX163" i="1"/>
  <c r="AX164" i="1"/>
  <c r="AX165" i="1"/>
  <c r="AX166" i="1"/>
  <c r="AX167" i="1"/>
  <c r="AX168" i="1"/>
  <c r="AX172" i="1"/>
  <c r="AX173" i="1"/>
  <c r="AX174" i="1"/>
  <c r="AX175" i="1"/>
  <c r="AX176" i="1"/>
  <c r="AX177" i="1"/>
  <c r="AX178" i="1"/>
  <c r="AX179" i="1"/>
  <c r="AX180" i="1"/>
  <c r="AX181" i="1"/>
  <c r="AX182" i="1"/>
  <c r="AX183" i="1"/>
  <c r="AX185" i="1"/>
  <c r="AX186" i="1"/>
  <c r="AX187" i="1"/>
  <c r="AX188" i="1"/>
  <c r="AX189" i="1"/>
  <c r="AX190" i="1"/>
  <c r="AX191" i="1"/>
  <c r="AX194" i="1"/>
  <c r="AX195" i="1"/>
  <c r="AX196" i="1"/>
  <c r="AX197" i="1"/>
  <c r="AX201" i="1"/>
  <c r="AX202" i="1"/>
  <c r="AX203" i="1"/>
  <c r="AX204" i="1"/>
  <c r="AX205" i="1"/>
  <c r="AX206" i="1"/>
  <c r="AX207" i="1"/>
  <c r="AX208" i="1"/>
  <c r="AX209" i="1"/>
  <c r="AX210" i="1"/>
  <c r="AX211" i="1"/>
  <c r="AX212" i="1"/>
  <c r="AX213" i="1"/>
  <c r="AX214" i="1"/>
  <c r="AX215" i="1"/>
  <c r="AX216" i="1"/>
  <c r="AX217" i="1"/>
  <c r="AX219" i="1"/>
  <c r="AX222" i="1"/>
  <c r="AX223" i="1"/>
  <c r="AX224" i="1"/>
  <c r="AX225" i="1"/>
  <c r="AX226" i="1"/>
  <c r="AX227" i="1"/>
  <c r="AX228" i="1"/>
  <c r="AX230" i="1"/>
  <c r="AX231" i="1"/>
  <c r="AX232" i="1"/>
  <c r="AX233" i="1"/>
  <c r="AX234" i="1"/>
  <c r="AX235" i="1"/>
  <c r="AX236" i="1"/>
  <c r="AX237" i="1"/>
  <c r="AX238" i="1"/>
  <c r="AX239" i="1"/>
  <c r="AX240" i="1"/>
  <c r="AX241" i="1"/>
  <c r="AX242" i="1"/>
  <c r="AX245" i="1"/>
  <c r="AX246" i="1"/>
  <c r="AX248" i="1"/>
  <c r="AX249" i="1"/>
  <c r="AX250" i="1"/>
  <c r="AX251" i="1"/>
  <c r="AX252" i="1"/>
  <c r="AX253" i="1"/>
  <c r="AX254" i="1"/>
  <c r="AX255" i="1"/>
  <c r="AX256" i="1"/>
  <c r="AX259" i="1"/>
  <c r="AX262" i="1"/>
  <c r="AX263" i="1"/>
  <c r="AX266" i="1"/>
  <c r="AX267" i="1"/>
  <c r="AX270" i="1"/>
  <c r="AX271" i="1"/>
  <c r="AX272" i="1"/>
  <c r="AX273" i="1"/>
  <c r="AX274" i="1"/>
  <c r="AX275" i="1"/>
  <c r="AX276" i="1"/>
  <c r="AX277" i="1"/>
  <c r="AX279" i="1"/>
  <c r="AX280" i="1"/>
  <c r="AX281" i="1"/>
  <c r="AX282" i="1"/>
  <c r="AX284" i="1"/>
  <c r="AX285" i="1"/>
  <c r="AX286" i="1"/>
  <c r="AX288" i="1"/>
  <c r="AX289" i="1"/>
  <c r="AX290" i="1"/>
  <c r="AX291" i="1"/>
  <c r="AX292" i="1"/>
  <c r="AX293" i="1"/>
  <c r="AX294" i="1"/>
  <c r="AX295" i="1"/>
  <c r="AX296" i="1"/>
  <c r="AX297" i="1"/>
  <c r="AX299" i="1"/>
  <c r="AX300" i="1"/>
  <c r="AX301" i="1"/>
  <c r="AX305" i="1"/>
  <c r="AX306" i="1"/>
  <c r="AX307" i="1"/>
  <c r="AX308" i="1"/>
  <c r="AX309" i="1"/>
  <c r="AX310" i="1"/>
  <c r="AX312" i="1"/>
  <c r="AX313" i="1"/>
  <c r="AX314" i="1"/>
  <c r="AX317" i="1"/>
  <c r="AX318" i="1"/>
  <c r="AX320" i="1"/>
  <c r="AX321" i="1"/>
  <c r="AX325" i="1"/>
  <c r="AX326" i="1"/>
  <c r="AX327" i="1"/>
  <c r="AX328" i="1"/>
  <c r="AX330" i="1"/>
  <c r="AX332" i="1"/>
  <c r="AX333" i="1"/>
  <c r="AX334" i="1"/>
  <c r="AX337" i="1"/>
  <c r="AX338" i="1"/>
  <c r="AX341" i="1"/>
  <c r="AY6" i="1"/>
  <c r="AY7" i="1"/>
  <c r="AY8" i="1"/>
  <c r="AY9" i="1"/>
  <c r="AY11" i="1"/>
  <c r="AY12" i="1"/>
  <c r="AY13" i="1"/>
  <c r="AY14" i="1"/>
  <c r="AY15" i="1"/>
  <c r="AY16" i="1"/>
  <c r="AY17" i="1"/>
  <c r="AY18" i="1"/>
  <c r="AY19" i="1"/>
  <c r="AY20" i="1"/>
  <c r="AY21" i="1"/>
  <c r="AY22" i="1"/>
  <c r="AY23" i="1"/>
  <c r="AY24" i="1"/>
  <c r="AY25" i="1"/>
  <c r="AY26" i="1"/>
  <c r="AY27" i="1"/>
  <c r="AY28" i="1"/>
  <c r="AY29" i="1"/>
  <c r="AY30" i="1"/>
  <c r="AY31" i="1"/>
  <c r="AY32" i="1"/>
  <c r="AY33" i="1"/>
  <c r="AY34" i="1"/>
  <c r="AY35" i="1"/>
  <c r="AY36" i="1"/>
  <c r="AY37" i="1"/>
  <c r="AY38" i="1"/>
  <c r="AY39" i="1"/>
  <c r="AY40" i="1"/>
  <c r="AY41" i="1"/>
  <c r="AY42" i="1"/>
  <c r="AY43" i="1"/>
  <c r="AY44" i="1"/>
  <c r="AY45" i="1"/>
  <c r="AY46" i="1"/>
  <c r="AY47" i="1"/>
  <c r="AY48" i="1"/>
  <c r="AY49" i="1"/>
  <c r="AY50" i="1"/>
  <c r="AY51" i="1"/>
  <c r="AY53" i="1"/>
  <c r="AY55" i="1"/>
  <c r="AY56" i="1"/>
  <c r="AY57" i="1"/>
  <c r="AY58" i="1"/>
  <c r="AY59" i="1"/>
  <c r="AY60" i="1"/>
  <c r="AY61" i="1"/>
  <c r="AY62" i="1"/>
  <c r="AY63" i="1"/>
  <c r="AY64" i="1"/>
  <c r="AY65" i="1"/>
  <c r="AY66" i="1"/>
  <c r="AY67" i="1"/>
  <c r="AY68" i="1"/>
  <c r="AY69" i="1"/>
  <c r="AY70" i="1"/>
  <c r="AY71" i="1"/>
  <c r="AY72" i="1"/>
  <c r="AY73" i="1"/>
  <c r="AY74" i="1"/>
  <c r="AY75" i="1"/>
  <c r="AY76" i="1"/>
  <c r="AY77" i="1"/>
  <c r="AY78" i="1"/>
  <c r="AY79" i="1"/>
  <c r="AY80" i="1"/>
  <c r="AY81" i="1"/>
  <c r="AY82" i="1"/>
  <c r="AY83" i="1"/>
  <c r="AY84" i="1"/>
  <c r="AY85" i="1"/>
  <c r="AY86" i="1"/>
  <c r="AY87" i="1"/>
  <c r="AY88" i="1"/>
  <c r="AY89" i="1"/>
  <c r="AY90" i="1"/>
  <c r="AY91" i="1"/>
  <c r="AY92" i="1"/>
  <c r="AY93" i="1"/>
  <c r="AY94" i="1"/>
  <c r="AY95" i="1"/>
  <c r="AY96" i="1"/>
  <c r="AY97" i="1"/>
  <c r="AY98" i="1"/>
  <c r="AY99" i="1"/>
  <c r="AY100" i="1"/>
  <c r="AY101" i="1"/>
  <c r="AY102" i="1"/>
  <c r="AY103" i="1"/>
  <c r="AY104" i="1"/>
  <c r="AY105" i="1"/>
  <c r="AY106" i="1"/>
  <c r="AY107" i="1"/>
  <c r="AY108" i="1"/>
  <c r="AY109" i="1"/>
  <c r="AY110" i="1"/>
  <c r="AY111" i="1"/>
  <c r="AY113" i="1"/>
  <c r="AY114" i="1"/>
  <c r="AY115" i="1"/>
  <c r="AY116" i="1"/>
  <c r="AY117" i="1"/>
  <c r="AY120" i="1"/>
  <c r="AY121" i="1"/>
  <c r="AY122" i="1"/>
  <c r="AY123" i="1"/>
  <c r="AY124" i="1"/>
  <c r="AY125" i="1"/>
  <c r="AY126" i="1"/>
  <c r="AY127" i="1"/>
  <c r="AY128" i="1"/>
  <c r="AY129" i="1"/>
  <c r="AY130" i="1"/>
  <c r="AY131" i="1"/>
  <c r="AY132" i="1"/>
  <c r="AY133" i="1"/>
  <c r="AY134" i="1"/>
  <c r="AY135" i="1"/>
  <c r="AY136" i="1"/>
  <c r="AY137" i="1"/>
  <c r="AY138" i="1"/>
  <c r="AY139" i="1"/>
  <c r="AY140" i="1"/>
  <c r="AY141" i="1"/>
  <c r="AY144" i="1"/>
  <c r="AY145" i="1"/>
  <c r="AY146" i="1"/>
  <c r="AY147" i="1"/>
  <c r="AY148" i="1"/>
  <c r="AY149" i="1"/>
  <c r="AY150" i="1"/>
  <c r="AY151" i="1"/>
  <c r="AY152" i="1"/>
  <c r="AY153" i="1"/>
  <c r="AY154" i="1"/>
  <c r="AY155" i="1"/>
  <c r="AY156" i="1"/>
  <c r="AY159" i="1"/>
  <c r="AY160" i="1"/>
  <c r="AY161" i="1"/>
  <c r="AY162" i="1"/>
  <c r="AY163" i="1"/>
  <c r="AY164" i="1"/>
  <c r="AY165" i="1"/>
  <c r="AY166" i="1"/>
  <c r="AY167" i="1"/>
  <c r="AY168" i="1"/>
  <c r="AY171" i="1"/>
  <c r="AY172" i="1"/>
  <c r="AY173" i="1"/>
  <c r="AY174" i="1"/>
  <c r="AY175" i="1"/>
  <c r="AY176" i="1"/>
  <c r="AY177" i="1"/>
  <c r="AY178" i="1"/>
  <c r="AY179" i="1"/>
  <c r="AY180" i="1"/>
  <c r="AY181" i="1"/>
  <c r="AY182" i="1"/>
  <c r="AY183" i="1"/>
  <c r="AY184" i="1"/>
  <c r="AY185" i="1"/>
  <c r="AY186" i="1"/>
  <c r="AY187" i="1"/>
  <c r="AY188" i="1"/>
  <c r="AY189" i="1"/>
  <c r="AY190" i="1"/>
  <c r="AY191" i="1"/>
  <c r="AY192" i="1"/>
  <c r="AY193" i="1"/>
  <c r="AY194" i="1"/>
  <c r="AY195" i="1"/>
  <c r="AY196" i="1"/>
  <c r="AY197" i="1"/>
  <c r="AY200" i="1"/>
  <c r="AY201" i="1"/>
  <c r="AY202" i="1"/>
  <c r="AY203" i="1"/>
  <c r="AY204" i="1"/>
  <c r="AY205" i="1"/>
  <c r="AY206" i="1"/>
  <c r="AY207" i="1"/>
  <c r="AY208" i="1"/>
  <c r="AY209" i="1"/>
  <c r="AY210" i="1"/>
  <c r="AY211" i="1"/>
  <c r="AY212" i="1"/>
  <c r="AY213" i="1"/>
  <c r="AY214" i="1"/>
  <c r="AY215" i="1"/>
  <c r="AY216" i="1"/>
  <c r="AY217" i="1"/>
  <c r="AY218" i="1"/>
  <c r="AY219" i="1"/>
  <c r="AY221" i="1"/>
  <c r="AY222" i="1"/>
  <c r="AY223" i="1"/>
  <c r="AY224" i="1"/>
  <c r="AY225" i="1"/>
  <c r="AY226" i="1"/>
  <c r="AY227" i="1"/>
  <c r="AY228" i="1"/>
  <c r="AY229" i="1"/>
  <c r="AY230" i="1"/>
  <c r="AY231" i="1"/>
  <c r="AY232" i="1"/>
  <c r="AY233" i="1"/>
  <c r="AY234" i="1"/>
  <c r="AY235" i="1"/>
  <c r="AY236" i="1"/>
  <c r="AY237" i="1"/>
  <c r="AY238" i="1"/>
  <c r="AY239" i="1"/>
  <c r="AY240" i="1"/>
  <c r="AY241" i="1"/>
  <c r="AY242" i="1"/>
  <c r="AY243" i="1"/>
  <c r="AY244" i="1"/>
  <c r="AY245" i="1"/>
  <c r="AY246" i="1"/>
  <c r="AY247" i="1"/>
  <c r="AY248" i="1"/>
  <c r="AY249" i="1"/>
  <c r="AY250" i="1"/>
  <c r="AY251" i="1"/>
  <c r="AY252" i="1"/>
  <c r="AY253" i="1"/>
  <c r="AY254" i="1"/>
  <c r="AY255" i="1"/>
  <c r="AY256" i="1"/>
  <c r="AY257" i="1"/>
  <c r="AY258" i="1"/>
  <c r="AY259" i="1"/>
  <c r="AY262" i="1"/>
  <c r="AY263" i="1"/>
  <c r="AY264" i="1"/>
  <c r="AY265" i="1"/>
  <c r="AY266" i="1"/>
  <c r="AY267" i="1"/>
  <c r="AY268" i="1"/>
  <c r="AY269" i="1"/>
  <c r="AY270" i="1"/>
  <c r="AY271" i="1"/>
  <c r="AY272" i="1"/>
  <c r="AY273" i="1"/>
  <c r="AY274" i="1"/>
  <c r="AY275" i="1"/>
  <c r="AY276" i="1"/>
  <c r="AY277" i="1"/>
  <c r="AY278" i="1"/>
  <c r="AY279" i="1"/>
  <c r="AY280" i="1"/>
  <c r="AY281" i="1"/>
  <c r="AY282" i="1"/>
  <c r="AY284" i="1"/>
  <c r="AY285" i="1"/>
  <c r="AY286" i="1"/>
  <c r="AY287" i="1"/>
  <c r="AY288" i="1"/>
  <c r="AY289" i="1"/>
  <c r="AY290" i="1"/>
  <c r="AY291" i="1"/>
  <c r="AY292" i="1"/>
  <c r="AY293" i="1"/>
  <c r="AY294" i="1"/>
  <c r="AY295" i="1"/>
  <c r="AY296" i="1"/>
  <c r="AY297" i="1"/>
  <c r="AY298" i="1"/>
  <c r="AY299" i="1"/>
  <c r="AY300" i="1"/>
  <c r="AY301" i="1"/>
  <c r="AY303" i="1"/>
  <c r="AY304" i="1"/>
  <c r="AY305" i="1"/>
  <c r="AY306" i="1"/>
  <c r="AY307" i="1"/>
  <c r="AY308" i="1"/>
  <c r="AY309" i="1"/>
  <c r="AY310" i="1"/>
  <c r="AY311" i="1"/>
  <c r="AY312" i="1"/>
  <c r="AY313" i="1"/>
  <c r="AY314" i="1"/>
  <c r="AY316" i="1"/>
  <c r="AY317" i="1"/>
  <c r="AY318" i="1"/>
  <c r="AY319" i="1"/>
  <c r="AY320" i="1"/>
  <c r="AY321" i="1"/>
  <c r="AY323" i="1"/>
  <c r="AY324" i="1"/>
  <c r="AY325" i="1"/>
  <c r="AY326" i="1"/>
  <c r="AY327" i="1"/>
  <c r="AY328" i="1"/>
  <c r="AY329" i="1"/>
  <c r="AY330" i="1"/>
  <c r="AY331" i="1"/>
  <c r="AY332" i="1"/>
  <c r="AY333" i="1"/>
  <c r="AY334" i="1"/>
  <c r="AY337" i="1"/>
  <c r="AY338" i="1"/>
  <c r="AY341" i="1"/>
  <c r="AZ6" i="1"/>
  <c r="AZ7" i="1"/>
  <c r="AZ8" i="1"/>
  <c r="AZ9" i="1"/>
  <c r="AZ11" i="1"/>
  <c r="AZ12" i="1"/>
  <c r="AZ13" i="1"/>
  <c r="AZ14" i="1"/>
  <c r="AZ15" i="1"/>
  <c r="AZ16" i="1"/>
  <c r="AZ17" i="1"/>
  <c r="AZ18" i="1"/>
  <c r="AZ19" i="1"/>
  <c r="AZ20" i="1"/>
  <c r="AZ21" i="1"/>
  <c r="AZ22" i="1"/>
  <c r="AZ23" i="1"/>
  <c r="AZ24" i="1"/>
  <c r="AZ25" i="1"/>
  <c r="AZ26" i="1"/>
  <c r="AZ27" i="1"/>
  <c r="AZ28" i="1"/>
  <c r="AZ29" i="1"/>
  <c r="AZ30" i="1"/>
  <c r="AZ31" i="1"/>
  <c r="AZ32" i="1"/>
  <c r="AZ33" i="1"/>
  <c r="AZ34" i="1"/>
  <c r="AZ35" i="1"/>
  <c r="AZ36" i="1"/>
  <c r="AZ37" i="1"/>
  <c r="AZ38" i="1"/>
  <c r="AZ39" i="1"/>
  <c r="AZ40" i="1"/>
  <c r="AZ41" i="1"/>
  <c r="AZ42" i="1"/>
  <c r="AZ43" i="1"/>
  <c r="AZ44" i="1"/>
  <c r="AZ45" i="1"/>
  <c r="AZ46" i="1"/>
  <c r="AZ47" i="1"/>
  <c r="AZ48" i="1"/>
  <c r="AZ53" i="1"/>
  <c r="AZ55" i="1"/>
  <c r="AZ56" i="1"/>
  <c r="AZ57" i="1"/>
  <c r="AZ58" i="1"/>
  <c r="AZ59" i="1"/>
  <c r="AZ60" i="1"/>
  <c r="AZ61" i="1"/>
  <c r="AZ62" i="1"/>
  <c r="AZ63" i="1"/>
  <c r="AZ64" i="1"/>
  <c r="AZ65" i="1"/>
  <c r="AZ66" i="1"/>
  <c r="AZ67" i="1"/>
  <c r="AZ68" i="1"/>
  <c r="AZ69" i="1"/>
  <c r="AZ70" i="1"/>
  <c r="AZ71" i="1"/>
  <c r="AZ72" i="1"/>
  <c r="AZ73" i="1"/>
  <c r="AZ74" i="1"/>
  <c r="AZ75" i="1"/>
  <c r="AZ76" i="1"/>
  <c r="AZ77" i="1"/>
  <c r="AZ78" i="1"/>
  <c r="AZ79" i="1"/>
  <c r="AZ80" i="1"/>
  <c r="AZ81" i="1"/>
  <c r="AZ82" i="1"/>
  <c r="AZ83" i="1"/>
  <c r="AZ84" i="1"/>
  <c r="AZ85" i="1"/>
  <c r="AZ86" i="1"/>
  <c r="AZ87" i="1"/>
  <c r="AZ88" i="1"/>
  <c r="AZ89" i="1"/>
  <c r="AZ90" i="1"/>
  <c r="AZ91" i="1"/>
  <c r="AZ92" i="1"/>
  <c r="AZ93" i="1"/>
  <c r="AZ94" i="1"/>
  <c r="AZ95" i="1"/>
  <c r="AZ96" i="1"/>
  <c r="AZ97" i="1"/>
  <c r="AZ98" i="1"/>
  <c r="AZ99" i="1"/>
  <c r="AZ100" i="1"/>
  <c r="AZ101" i="1"/>
  <c r="AZ102" i="1"/>
  <c r="AZ103" i="1"/>
  <c r="AZ104" i="1"/>
  <c r="AZ105" i="1"/>
  <c r="AZ106" i="1"/>
  <c r="AZ107" i="1"/>
  <c r="AZ108" i="1"/>
  <c r="AZ109" i="1"/>
  <c r="AZ110" i="1"/>
  <c r="AZ111" i="1"/>
  <c r="AZ113" i="1"/>
  <c r="AZ114" i="1"/>
  <c r="AZ115" i="1"/>
  <c r="AZ116" i="1"/>
  <c r="AZ117" i="1"/>
  <c r="AZ120" i="1"/>
  <c r="AZ121" i="1"/>
  <c r="AZ122" i="1"/>
  <c r="AZ123" i="1"/>
  <c r="AZ124" i="1"/>
  <c r="AZ125" i="1"/>
  <c r="AZ126" i="1"/>
  <c r="AZ127" i="1"/>
  <c r="AZ128" i="1"/>
  <c r="AZ129" i="1"/>
  <c r="AZ130" i="1"/>
  <c r="AZ131" i="1"/>
  <c r="AZ132" i="1"/>
  <c r="AZ133" i="1"/>
  <c r="AZ134" i="1"/>
  <c r="AZ135" i="1"/>
  <c r="AZ136" i="1"/>
  <c r="AZ137" i="1"/>
  <c r="AZ138" i="1"/>
  <c r="AZ139" i="1"/>
  <c r="AZ140" i="1"/>
  <c r="AZ141" i="1"/>
  <c r="AZ144" i="1"/>
  <c r="AZ145" i="1"/>
  <c r="AZ146" i="1"/>
  <c r="AZ147" i="1"/>
  <c r="AZ148" i="1"/>
  <c r="AZ149" i="1"/>
  <c r="AZ150" i="1"/>
  <c r="AZ151" i="1"/>
  <c r="AZ152" i="1"/>
  <c r="AZ153" i="1"/>
  <c r="AZ154" i="1"/>
  <c r="AZ155" i="1"/>
  <c r="AZ156" i="1"/>
  <c r="AZ159" i="1"/>
  <c r="AZ160" i="1"/>
  <c r="AZ161" i="1"/>
  <c r="AZ162" i="1"/>
  <c r="AZ163" i="1"/>
  <c r="AZ164" i="1"/>
  <c r="AZ165" i="1"/>
  <c r="AZ166" i="1"/>
  <c r="AZ167" i="1"/>
  <c r="AZ168" i="1"/>
  <c r="AZ171" i="1"/>
  <c r="AZ172" i="1"/>
  <c r="AZ173" i="1"/>
  <c r="AZ174" i="1"/>
  <c r="AZ175" i="1"/>
  <c r="AZ176" i="1"/>
  <c r="AZ177" i="1"/>
  <c r="AZ178" i="1"/>
  <c r="AZ179" i="1"/>
  <c r="AZ180" i="1"/>
  <c r="AZ181" i="1"/>
  <c r="AZ182" i="1"/>
  <c r="AZ183" i="1"/>
  <c r="AZ184" i="1"/>
  <c r="AZ185" i="1"/>
  <c r="AZ186" i="1"/>
  <c r="AZ187" i="1"/>
  <c r="AZ188" i="1"/>
  <c r="AZ189" i="1"/>
  <c r="AZ190" i="1"/>
  <c r="AZ191" i="1"/>
  <c r="AZ192" i="1"/>
  <c r="AZ193" i="1"/>
  <c r="AZ194" i="1"/>
  <c r="AZ195" i="1"/>
  <c r="AZ196" i="1"/>
  <c r="AZ197" i="1"/>
  <c r="AZ200" i="1"/>
  <c r="AZ201" i="1"/>
  <c r="AZ202" i="1"/>
  <c r="AZ203" i="1"/>
  <c r="AZ204" i="1"/>
  <c r="AZ205" i="1"/>
  <c r="AZ206" i="1"/>
  <c r="AZ207" i="1"/>
  <c r="AZ208" i="1"/>
  <c r="AZ209" i="1"/>
  <c r="AZ210" i="1"/>
  <c r="AZ211" i="1"/>
  <c r="AZ212" i="1"/>
  <c r="AZ213" i="1"/>
  <c r="AZ214" i="1"/>
  <c r="AZ215" i="1"/>
  <c r="AZ216" i="1"/>
  <c r="AZ217" i="1"/>
  <c r="AZ218" i="1"/>
  <c r="AZ219" i="1"/>
  <c r="AZ221" i="1"/>
  <c r="AZ222" i="1"/>
  <c r="AZ223" i="1"/>
  <c r="AZ224" i="1"/>
  <c r="AZ225" i="1"/>
  <c r="AZ226" i="1"/>
  <c r="AZ227" i="1"/>
  <c r="AZ228" i="1"/>
  <c r="AZ229" i="1"/>
  <c r="AZ230" i="1"/>
  <c r="AZ231" i="1"/>
  <c r="AZ232" i="1"/>
  <c r="AZ233" i="1"/>
  <c r="AZ234" i="1"/>
  <c r="AZ235" i="1"/>
  <c r="AZ236" i="1"/>
  <c r="AZ237" i="1"/>
  <c r="AZ238" i="1"/>
  <c r="AZ239" i="1"/>
  <c r="AZ240" i="1"/>
  <c r="AZ241" i="1"/>
  <c r="AZ242" i="1"/>
  <c r="AZ243" i="1"/>
  <c r="AZ244" i="1"/>
  <c r="AZ245" i="1"/>
  <c r="AZ246" i="1"/>
  <c r="AZ247" i="1"/>
  <c r="AZ248" i="1"/>
  <c r="AZ249" i="1"/>
  <c r="AZ250" i="1"/>
  <c r="AZ251" i="1"/>
  <c r="AZ252" i="1"/>
  <c r="AZ253" i="1"/>
  <c r="AZ254" i="1"/>
  <c r="AZ255" i="1"/>
  <c r="AZ256" i="1"/>
  <c r="AZ257" i="1"/>
  <c r="AZ258" i="1"/>
  <c r="AZ259" i="1"/>
  <c r="AZ262" i="1"/>
  <c r="AZ263" i="1"/>
  <c r="AZ264" i="1"/>
  <c r="AZ265" i="1"/>
  <c r="AZ266" i="1"/>
  <c r="AZ267" i="1"/>
  <c r="AZ268" i="1"/>
  <c r="AZ269" i="1"/>
  <c r="AZ270" i="1"/>
  <c r="AZ271" i="1"/>
  <c r="AZ272" i="1"/>
  <c r="AZ273" i="1"/>
  <c r="AZ274" i="1"/>
  <c r="AZ275" i="1"/>
  <c r="AZ276" i="1"/>
  <c r="AZ277" i="1"/>
  <c r="AZ278" i="1"/>
  <c r="AZ279" i="1"/>
  <c r="AZ280" i="1"/>
  <c r="AZ281" i="1"/>
  <c r="AZ282" i="1"/>
  <c r="AZ284" i="1"/>
  <c r="AZ285" i="1"/>
  <c r="AZ286" i="1"/>
  <c r="AZ287" i="1"/>
  <c r="AZ288" i="1"/>
  <c r="AZ289" i="1"/>
  <c r="AZ290" i="1"/>
  <c r="AZ291" i="1"/>
  <c r="AZ292" i="1"/>
  <c r="AZ293" i="1"/>
  <c r="AZ294" i="1"/>
  <c r="AZ295" i="1"/>
  <c r="AZ296" i="1"/>
  <c r="AZ297" i="1"/>
  <c r="AZ298" i="1"/>
  <c r="AZ299" i="1"/>
  <c r="AZ300" i="1"/>
  <c r="AZ301" i="1"/>
  <c r="AZ303" i="1"/>
  <c r="AZ304" i="1"/>
  <c r="AZ305" i="1"/>
  <c r="AZ306" i="1"/>
  <c r="AZ307" i="1"/>
  <c r="AZ308" i="1"/>
  <c r="AZ309" i="1"/>
  <c r="AZ310" i="1"/>
  <c r="AZ311" i="1"/>
  <c r="AZ312" i="1"/>
  <c r="AZ313" i="1"/>
  <c r="AZ314" i="1"/>
  <c r="AZ316" i="1"/>
  <c r="AZ317" i="1"/>
  <c r="AZ318" i="1"/>
  <c r="AZ319" i="1"/>
  <c r="AZ320" i="1"/>
  <c r="AZ321" i="1"/>
  <c r="AZ323" i="1"/>
  <c r="AZ324" i="1"/>
  <c r="AZ325" i="1"/>
  <c r="AZ326" i="1"/>
  <c r="AZ327" i="1"/>
  <c r="AZ328" i="1"/>
  <c r="AZ329" i="1"/>
  <c r="AZ330" i="1"/>
  <c r="AZ331" i="1"/>
  <c r="AZ332" i="1"/>
  <c r="AZ333" i="1"/>
  <c r="AZ334" i="1"/>
  <c r="AZ337" i="1"/>
  <c r="AZ338" i="1"/>
  <c r="AZ341" i="1"/>
  <c r="BA4" i="1"/>
  <c r="BA5" i="1"/>
  <c r="BA6" i="1"/>
  <c r="BA7" i="1"/>
  <c r="BA8" i="1"/>
  <c r="BA9" i="1"/>
  <c r="BA10" i="1"/>
  <c r="BA11" i="1"/>
  <c r="BA12" i="1"/>
  <c r="BA13" i="1"/>
  <c r="BA14" i="1"/>
  <c r="BA15" i="1"/>
  <c r="BA16" i="1"/>
  <c r="BA17" i="1"/>
  <c r="BA18" i="1"/>
  <c r="BA19" i="1"/>
  <c r="BA20" i="1"/>
  <c r="BA21" i="1"/>
  <c r="BA22" i="1"/>
  <c r="BA23" i="1"/>
  <c r="BA24" i="1"/>
  <c r="BA25" i="1"/>
  <c r="BA26" i="1"/>
  <c r="BA27" i="1"/>
  <c r="BA28" i="1"/>
  <c r="BA29" i="1"/>
  <c r="BA30" i="1"/>
  <c r="BA31" i="1"/>
  <c r="BA32" i="1"/>
  <c r="BA33" i="1"/>
  <c r="BA34" i="1"/>
  <c r="BA35" i="1"/>
  <c r="BA36" i="1"/>
  <c r="BA37" i="1"/>
  <c r="BA38" i="1"/>
  <c r="BA39" i="1"/>
  <c r="BA40" i="1"/>
  <c r="BA41" i="1"/>
  <c r="BA42" i="1"/>
  <c r="BA43" i="1"/>
  <c r="BA44" i="1"/>
  <c r="BA45" i="1"/>
  <c r="BA46" i="1"/>
  <c r="BA47" i="1"/>
  <c r="BA48" i="1"/>
  <c r="BA49" i="1"/>
  <c r="BA50" i="1"/>
  <c r="BA51" i="1"/>
  <c r="BA52" i="1"/>
  <c r="BA53" i="1"/>
  <c r="BA55" i="1"/>
  <c r="BA56" i="1"/>
  <c r="BA57" i="1"/>
  <c r="BA58" i="1"/>
  <c r="BA59" i="1"/>
  <c r="BA60" i="1"/>
  <c r="BA61" i="1"/>
  <c r="BA62" i="1"/>
  <c r="BA63" i="1"/>
  <c r="BA64" i="1"/>
  <c r="BA65" i="1"/>
  <c r="BA66" i="1"/>
  <c r="BA67" i="1"/>
  <c r="BA68" i="1"/>
  <c r="BA69" i="1"/>
  <c r="BA70" i="1"/>
  <c r="BA71" i="1"/>
  <c r="BA72" i="1"/>
  <c r="BA73" i="1"/>
  <c r="BA74" i="1"/>
  <c r="BA75" i="1"/>
  <c r="BA76" i="1"/>
  <c r="BA77" i="1"/>
  <c r="BA78" i="1"/>
  <c r="BA79" i="1"/>
  <c r="BA80" i="1"/>
  <c r="BA81" i="1"/>
  <c r="BA82" i="1"/>
  <c r="BA83" i="1"/>
  <c r="BA84" i="1"/>
  <c r="BA85" i="1"/>
  <c r="BA86" i="1"/>
  <c r="BA87" i="1"/>
  <c r="BA88" i="1"/>
  <c r="BA89" i="1"/>
  <c r="BA90" i="1"/>
  <c r="BA91" i="1"/>
  <c r="BA92" i="1"/>
  <c r="BA93" i="1"/>
  <c r="BA94" i="1"/>
  <c r="BA95" i="1"/>
  <c r="BA96" i="1"/>
  <c r="BA97" i="1"/>
  <c r="BA98" i="1"/>
  <c r="BA99" i="1"/>
  <c r="BA100" i="1"/>
  <c r="BA101" i="1"/>
  <c r="BA102" i="1"/>
  <c r="BA103" i="1"/>
  <c r="BA104" i="1"/>
  <c r="BA105" i="1"/>
  <c r="BA106" i="1"/>
  <c r="BA107" i="1"/>
  <c r="BA108" i="1"/>
  <c r="BA109" i="1"/>
  <c r="BA110" i="1"/>
  <c r="BA111" i="1"/>
  <c r="BA112" i="1"/>
  <c r="BA113" i="1"/>
  <c r="BA114" i="1"/>
  <c r="BA115" i="1"/>
  <c r="BA116" i="1"/>
  <c r="BA117" i="1"/>
  <c r="BA118" i="1"/>
  <c r="BA119" i="1"/>
  <c r="BA120" i="1"/>
  <c r="BA121" i="1"/>
  <c r="BA122" i="1"/>
  <c r="BA123" i="1"/>
  <c r="BA124" i="1"/>
  <c r="BA125" i="1"/>
  <c r="BA126" i="1"/>
  <c r="BA127" i="1"/>
  <c r="BA128" i="1"/>
  <c r="BA129" i="1"/>
  <c r="BA130" i="1"/>
  <c r="BA131" i="1"/>
  <c r="BA132" i="1"/>
  <c r="BA133" i="1"/>
  <c r="BA134" i="1"/>
  <c r="BA135" i="1"/>
  <c r="BA136" i="1"/>
  <c r="BA137" i="1"/>
  <c r="BA138" i="1"/>
  <c r="BA139" i="1"/>
  <c r="BA140" i="1"/>
  <c r="BA141" i="1"/>
  <c r="BA142" i="1"/>
  <c r="BA143" i="1"/>
  <c r="BA144" i="1"/>
  <c r="BA145" i="1"/>
  <c r="BA146" i="1"/>
  <c r="BA147" i="1"/>
  <c r="BA148" i="1"/>
  <c r="BA149" i="1"/>
  <c r="BA150" i="1"/>
  <c r="BA151" i="1"/>
  <c r="BA152" i="1"/>
  <c r="BA153" i="1"/>
  <c r="BA154" i="1"/>
  <c r="BA155" i="1"/>
  <c r="BA156" i="1"/>
  <c r="BA157" i="1"/>
  <c r="BA158" i="1"/>
  <c r="BA159" i="1"/>
  <c r="BA160" i="1"/>
  <c r="BA161" i="1"/>
  <c r="BA162" i="1"/>
  <c r="BA163" i="1"/>
  <c r="BA164" i="1"/>
  <c r="BA165" i="1"/>
  <c r="BA166" i="1"/>
  <c r="BA167" i="1"/>
  <c r="BA168" i="1"/>
  <c r="BA169" i="1"/>
  <c r="BA170" i="1"/>
  <c r="BA171" i="1"/>
  <c r="BA172" i="1"/>
  <c r="BA173" i="1"/>
  <c r="BA174" i="1"/>
  <c r="BA175" i="1"/>
  <c r="BA176" i="1"/>
  <c r="BA177" i="1"/>
  <c r="BA178" i="1"/>
  <c r="BA179" i="1"/>
  <c r="BA180" i="1"/>
  <c r="BA181" i="1"/>
  <c r="BA182" i="1"/>
  <c r="BA183" i="1"/>
  <c r="BA184" i="1"/>
  <c r="BA185" i="1"/>
  <c r="BA186" i="1"/>
  <c r="BA187" i="1"/>
  <c r="BA188" i="1"/>
  <c r="BA189" i="1"/>
  <c r="BA190" i="1"/>
  <c r="BA191" i="1"/>
  <c r="BA192" i="1"/>
  <c r="BA193" i="1"/>
  <c r="BA194" i="1"/>
  <c r="BA195" i="1"/>
  <c r="BA196" i="1"/>
  <c r="BA197" i="1"/>
  <c r="BA198" i="1"/>
  <c r="BA199" i="1"/>
  <c r="BA200" i="1"/>
  <c r="BA201" i="1"/>
  <c r="BA202" i="1"/>
  <c r="BA203" i="1"/>
  <c r="BA204" i="1"/>
  <c r="BA205" i="1"/>
  <c r="BA206" i="1"/>
  <c r="BA207" i="1"/>
  <c r="BA208" i="1"/>
  <c r="BA209" i="1"/>
  <c r="BA210" i="1"/>
  <c r="BA211" i="1"/>
  <c r="BA212" i="1"/>
  <c r="BA213" i="1"/>
  <c r="BA214" i="1"/>
  <c r="BA215" i="1"/>
  <c r="BA216" i="1"/>
  <c r="BA217" i="1"/>
  <c r="BA218" i="1"/>
  <c r="BA219" i="1"/>
  <c r="BA220" i="1"/>
  <c r="BA221" i="1"/>
  <c r="BA222" i="1"/>
  <c r="BA223" i="1"/>
  <c r="BA224" i="1"/>
  <c r="BA225" i="1"/>
  <c r="BA226" i="1"/>
  <c r="BA227" i="1"/>
  <c r="BA228" i="1"/>
  <c r="BA229" i="1"/>
  <c r="BA230" i="1"/>
  <c r="BA231" i="1"/>
  <c r="BA232" i="1"/>
  <c r="BA233" i="1"/>
  <c r="BA234" i="1"/>
  <c r="BA235" i="1"/>
  <c r="BA236" i="1"/>
  <c r="BA237" i="1"/>
  <c r="BA238" i="1"/>
  <c r="BA239" i="1"/>
  <c r="BA240" i="1"/>
  <c r="BA241" i="1"/>
  <c r="BA242" i="1"/>
  <c r="BA243" i="1"/>
  <c r="BA244" i="1"/>
  <c r="BA245" i="1"/>
  <c r="BA246" i="1"/>
  <c r="BA247" i="1"/>
  <c r="BA248" i="1"/>
  <c r="BA249" i="1"/>
  <c r="BA250" i="1"/>
  <c r="BA251" i="1"/>
  <c r="BA252" i="1"/>
  <c r="BA253" i="1"/>
  <c r="BA254" i="1"/>
  <c r="BA255" i="1"/>
  <c r="BA256" i="1"/>
  <c r="BA257" i="1"/>
  <c r="BA258" i="1"/>
  <c r="BA259" i="1"/>
  <c r="BA260" i="1"/>
  <c r="BA261" i="1"/>
  <c r="BA262" i="1"/>
  <c r="BA263" i="1"/>
  <c r="BA264" i="1"/>
  <c r="BA265" i="1"/>
  <c r="BA266" i="1"/>
  <c r="BA267" i="1"/>
  <c r="BA268" i="1"/>
  <c r="BA269" i="1"/>
  <c r="BA270" i="1"/>
  <c r="BA271" i="1"/>
  <c r="BA272" i="1"/>
  <c r="BA273" i="1"/>
  <c r="BA274" i="1"/>
  <c r="BA275" i="1"/>
  <c r="BA276" i="1"/>
  <c r="BA277" i="1"/>
  <c r="BA278" i="1"/>
  <c r="BA279" i="1"/>
  <c r="BA280" i="1"/>
  <c r="BA281" i="1"/>
  <c r="BA282" i="1"/>
  <c r="BA283" i="1"/>
  <c r="BA284" i="1"/>
  <c r="BA285" i="1"/>
  <c r="BA286" i="1"/>
  <c r="BA287" i="1"/>
  <c r="BA288" i="1"/>
  <c r="BA289" i="1"/>
  <c r="BA290" i="1"/>
  <c r="BA291" i="1"/>
  <c r="BA292" i="1"/>
  <c r="BA293" i="1"/>
  <c r="BA294" i="1"/>
  <c r="BA295" i="1"/>
  <c r="BA296" i="1"/>
  <c r="BA297" i="1"/>
  <c r="BA298" i="1"/>
  <c r="BA299" i="1"/>
  <c r="BA300" i="1"/>
  <c r="BA301" i="1"/>
  <c r="BA302" i="1"/>
  <c r="BA303" i="1"/>
  <c r="BA304" i="1"/>
  <c r="BA305" i="1"/>
  <c r="BA306" i="1"/>
  <c r="BA307" i="1"/>
  <c r="BA308" i="1"/>
  <c r="BA309" i="1"/>
  <c r="BA310" i="1"/>
  <c r="BA311" i="1"/>
  <c r="BA312" i="1"/>
  <c r="BA313" i="1"/>
  <c r="BA314" i="1"/>
  <c r="BA315" i="1"/>
  <c r="BA316" i="1"/>
  <c r="BA317" i="1"/>
  <c r="BA318" i="1"/>
  <c r="BA319" i="1"/>
  <c r="BA320" i="1"/>
  <c r="BA321" i="1"/>
  <c r="BA322" i="1"/>
  <c r="BA323" i="1"/>
  <c r="BA324" i="1"/>
  <c r="BA325" i="1"/>
  <c r="BA326" i="1"/>
  <c r="BA327" i="1"/>
  <c r="BA328" i="1"/>
  <c r="BA329" i="1"/>
  <c r="BA330" i="1"/>
  <c r="BA331" i="1"/>
  <c r="BA332" i="1"/>
  <c r="BA333" i="1"/>
  <c r="BA334" i="1"/>
  <c r="BA335" i="1"/>
  <c r="BA336" i="1"/>
  <c r="BA337" i="1"/>
  <c r="BA338" i="1"/>
  <c r="BA339" i="1"/>
  <c r="BA340" i="1"/>
  <c r="BA341" i="1"/>
  <c r="BE4" i="1"/>
  <c r="BE5" i="1"/>
  <c r="BE6" i="1"/>
  <c r="BE7" i="1"/>
  <c r="BE8" i="1"/>
  <c r="BE9" i="1"/>
  <c r="BE10" i="1"/>
  <c r="BE11" i="1"/>
  <c r="BE12" i="1"/>
  <c r="BE13" i="1"/>
  <c r="BE14" i="1"/>
  <c r="BE15" i="1"/>
  <c r="BE16" i="1"/>
  <c r="BE17" i="1"/>
  <c r="BE18" i="1"/>
  <c r="BE19" i="1"/>
  <c r="BE20" i="1"/>
  <c r="BE21" i="1"/>
  <c r="BE22" i="1"/>
  <c r="BE23" i="1"/>
  <c r="BE24" i="1"/>
  <c r="BE25" i="1"/>
  <c r="BE26" i="1"/>
  <c r="BE27" i="1"/>
  <c r="BE28" i="1"/>
  <c r="BE29" i="1"/>
  <c r="BE30" i="1"/>
  <c r="BE31" i="1"/>
  <c r="BE32" i="1"/>
  <c r="BE33" i="1"/>
  <c r="BE34" i="1"/>
  <c r="BE35" i="1"/>
  <c r="BE36" i="1"/>
  <c r="BE37" i="1"/>
  <c r="BE38" i="1"/>
  <c r="BE39" i="1"/>
  <c r="BE40" i="1"/>
  <c r="BE41" i="1"/>
  <c r="BE42" i="1"/>
  <c r="BE43" i="1"/>
  <c r="BE44" i="1"/>
  <c r="BE45" i="1"/>
  <c r="BE46" i="1"/>
  <c r="BE47" i="1"/>
  <c r="BE48" i="1"/>
  <c r="BE49" i="1"/>
  <c r="BE50" i="1"/>
  <c r="BE51" i="1"/>
  <c r="BE52" i="1"/>
  <c r="BE53" i="1"/>
  <c r="BE54" i="1"/>
  <c r="BE55" i="1"/>
  <c r="BE56" i="1"/>
  <c r="BE57" i="1"/>
  <c r="BE58" i="1"/>
  <c r="BE59" i="1"/>
  <c r="BE60" i="1"/>
  <c r="BE61" i="1"/>
  <c r="BE62" i="1"/>
  <c r="BE63" i="1"/>
  <c r="BE64" i="1"/>
  <c r="BE65" i="1"/>
  <c r="BE66" i="1"/>
  <c r="BE67" i="1"/>
  <c r="BE68" i="1"/>
  <c r="BE69" i="1"/>
  <c r="BE70" i="1"/>
  <c r="BE71" i="1"/>
  <c r="BE72" i="1"/>
  <c r="BE73" i="1"/>
  <c r="BE74" i="1"/>
  <c r="BE75" i="1"/>
  <c r="BE76" i="1"/>
  <c r="BE77" i="1"/>
  <c r="BE78" i="1"/>
  <c r="BE79" i="1"/>
  <c r="BE80" i="1"/>
  <c r="BE81" i="1"/>
  <c r="BE82" i="1"/>
  <c r="BE83" i="1"/>
  <c r="BE84" i="1"/>
  <c r="BE85" i="1"/>
  <c r="BE86" i="1"/>
  <c r="BE87" i="1"/>
  <c r="BE88" i="1"/>
  <c r="BE89" i="1"/>
  <c r="BE90" i="1"/>
  <c r="BE91" i="1"/>
  <c r="BE92" i="1"/>
  <c r="BE93" i="1"/>
  <c r="BE94" i="1"/>
  <c r="BE95" i="1"/>
  <c r="BE96" i="1"/>
  <c r="BE97" i="1"/>
  <c r="BE98" i="1"/>
  <c r="BE99" i="1"/>
  <c r="BE100" i="1"/>
  <c r="BE101" i="1"/>
  <c r="BE102" i="1"/>
  <c r="BE103" i="1"/>
  <c r="BE104" i="1"/>
  <c r="BE105" i="1"/>
  <c r="BE106" i="1"/>
  <c r="BE107" i="1"/>
  <c r="BE108" i="1"/>
  <c r="BE109" i="1"/>
  <c r="BE110" i="1"/>
  <c r="BE111" i="1"/>
  <c r="BE112" i="1"/>
  <c r="BE113" i="1"/>
  <c r="BE114" i="1"/>
  <c r="BE115" i="1"/>
  <c r="BE116" i="1"/>
  <c r="BE117" i="1"/>
  <c r="BE118" i="1"/>
  <c r="BE119" i="1"/>
  <c r="BE120" i="1"/>
  <c r="BE121" i="1"/>
  <c r="BE122" i="1"/>
  <c r="BE123" i="1"/>
  <c r="BE124" i="1"/>
  <c r="BE125" i="1"/>
  <c r="BE126" i="1"/>
  <c r="BE127" i="1"/>
  <c r="BE128" i="1"/>
  <c r="BE129" i="1"/>
  <c r="BE130" i="1"/>
  <c r="BE131" i="1"/>
  <c r="BE132" i="1"/>
  <c r="BE133" i="1"/>
  <c r="BE134" i="1"/>
  <c r="BE135" i="1"/>
  <c r="BE136" i="1"/>
  <c r="BE137" i="1"/>
  <c r="BE138" i="1"/>
  <c r="BE139" i="1"/>
  <c r="BE140" i="1"/>
  <c r="BE141" i="1"/>
  <c r="BE142" i="1"/>
  <c r="BE143" i="1"/>
  <c r="BE144" i="1"/>
  <c r="BE145" i="1"/>
  <c r="BE146" i="1"/>
  <c r="BE147" i="1"/>
  <c r="BE148" i="1"/>
  <c r="BE149" i="1"/>
  <c r="BE150" i="1"/>
  <c r="BE151" i="1"/>
  <c r="BE152" i="1"/>
  <c r="BE153" i="1"/>
  <c r="BE154" i="1"/>
  <c r="BE155" i="1"/>
  <c r="BE156" i="1"/>
  <c r="BE157" i="1"/>
  <c r="BE158" i="1"/>
  <c r="BE159" i="1"/>
  <c r="BE160" i="1"/>
  <c r="BE161" i="1"/>
  <c r="BE162" i="1"/>
  <c r="BE163" i="1"/>
  <c r="BE164" i="1"/>
  <c r="BE165" i="1"/>
  <c r="BE166" i="1"/>
  <c r="BE167" i="1"/>
  <c r="BE168" i="1"/>
  <c r="BE169" i="1"/>
  <c r="BE170" i="1"/>
  <c r="BE171" i="1"/>
  <c r="BE172" i="1"/>
  <c r="BE173" i="1"/>
  <c r="BE174" i="1"/>
  <c r="BE175" i="1"/>
  <c r="BE176" i="1"/>
  <c r="BE177" i="1"/>
  <c r="BE178" i="1"/>
  <c r="BE179" i="1"/>
  <c r="BE180" i="1"/>
  <c r="BE181" i="1"/>
  <c r="BE182" i="1"/>
  <c r="BE183" i="1"/>
  <c r="BE184" i="1"/>
  <c r="BE185" i="1"/>
  <c r="BE186" i="1"/>
  <c r="BE187" i="1"/>
  <c r="BE188" i="1"/>
  <c r="BE189" i="1"/>
  <c r="BE190" i="1"/>
  <c r="BE191" i="1"/>
  <c r="BE192" i="1"/>
  <c r="BE193" i="1"/>
  <c r="BE194" i="1"/>
  <c r="BE195" i="1"/>
  <c r="BE196" i="1"/>
  <c r="BE197" i="1"/>
  <c r="BE198" i="1"/>
  <c r="BE199" i="1"/>
  <c r="BE200" i="1"/>
  <c r="BE201" i="1"/>
  <c r="BE202" i="1"/>
  <c r="BE203" i="1"/>
  <c r="BE204" i="1"/>
  <c r="BE205" i="1"/>
  <c r="BE206" i="1"/>
  <c r="BE207" i="1"/>
  <c r="BE208" i="1"/>
  <c r="BE209" i="1"/>
  <c r="BE210" i="1"/>
  <c r="BE211" i="1"/>
  <c r="BE212" i="1"/>
  <c r="BE213" i="1"/>
  <c r="BE214" i="1"/>
  <c r="BE215" i="1"/>
  <c r="BE216" i="1"/>
  <c r="BE217" i="1"/>
  <c r="BE218" i="1"/>
  <c r="BE219" i="1"/>
  <c r="BE220" i="1"/>
  <c r="BE221" i="1"/>
  <c r="BE222" i="1"/>
  <c r="BE223" i="1"/>
  <c r="BE224" i="1"/>
  <c r="BE225" i="1"/>
  <c r="BE226" i="1"/>
  <c r="BE227" i="1"/>
  <c r="BE228" i="1"/>
  <c r="BE229" i="1"/>
  <c r="BE230" i="1"/>
  <c r="BE231" i="1"/>
  <c r="BE232" i="1"/>
  <c r="BE233" i="1"/>
  <c r="BE234" i="1"/>
  <c r="BE235" i="1"/>
  <c r="BE236" i="1"/>
  <c r="BE237" i="1"/>
  <c r="BE238" i="1"/>
  <c r="BE239" i="1"/>
  <c r="BE240" i="1"/>
  <c r="BE241" i="1"/>
  <c r="BE242" i="1"/>
  <c r="BE243" i="1"/>
  <c r="BE244" i="1"/>
  <c r="BE245" i="1"/>
  <c r="BE246" i="1"/>
  <c r="BE247" i="1"/>
  <c r="BE248" i="1"/>
  <c r="BE249" i="1"/>
  <c r="BE250" i="1"/>
  <c r="BE251" i="1"/>
  <c r="BE252" i="1"/>
  <c r="BE253" i="1"/>
  <c r="BE254" i="1"/>
  <c r="BE255" i="1"/>
  <c r="BE256" i="1"/>
  <c r="BE257" i="1"/>
  <c r="BE258" i="1"/>
  <c r="BE259" i="1"/>
  <c r="BE260" i="1"/>
  <c r="BE261" i="1"/>
  <c r="BE262" i="1"/>
  <c r="BE263" i="1"/>
  <c r="BE264" i="1"/>
  <c r="BE265" i="1"/>
  <c r="BE266" i="1"/>
  <c r="BE267" i="1"/>
  <c r="BE268" i="1"/>
  <c r="BE269" i="1"/>
  <c r="BE270" i="1"/>
  <c r="BE271" i="1"/>
  <c r="BE272" i="1"/>
  <c r="BE273" i="1"/>
  <c r="BE274" i="1"/>
  <c r="BE275" i="1"/>
  <c r="BE276" i="1"/>
  <c r="BE277" i="1"/>
  <c r="BE278" i="1"/>
  <c r="BE279" i="1"/>
  <c r="BE280" i="1"/>
  <c r="BE281" i="1"/>
  <c r="BE282" i="1"/>
  <c r="BE283" i="1"/>
  <c r="BE284" i="1"/>
  <c r="BE285" i="1"/>
  <c r="BE286" i="1"/>
  <c r="BE287" i="1"/>
  <c r="BE288" i="1"/>
  <c r="BE289" i="1"/>
  <c r="BE290" i="1"/>
  <c r="BE291" i="1"/>
  <c r="BE292" i="1"/>
  <c r="BE293" i="1"/>
  <c r="BE294" i="1"/>
  <c r="BE295" i="1"/>
  <c r="BE296" i="1"/>
  <c r="BE297" i="1"/>
  <c r="BE298" i="1"/>
  <c r="BE299" i="1"/>
  <c r="BE300" i="1"/>
  <c r="BE301" i="1"/>
  <c r="BE302" i="1"/>
  <c r="BE303" i="1"/>
  <c r="BE304" i="1"/>
  <c r="BE305" i="1"/>
  <c r="BE306" i="1"/>
  <c r="BE307" i="1"/>
  <c r="BE308" i="1"/>
  <c r="BE309" i="1"/>
  <c r="BE310" i="1"/>
  <c r="BE311" i="1"/>
  <c r="BE312" i="1"/>
  <c r="BE313" i="1"/>
  <c r="BE314" i="1"/>
  <c r="BE315" i="1"/>
  <c r="BE316" i="1"/>
  <c r="BE317" i="1"/>
  <c r="BE318" i="1"/>
  <c r="BE319" i="1"/>
  <c r="BE320" i="1"/>
  <c r="BE321" i="1"/>
  <c r="BE322" i="1"/>
  <c r="BE323" i="1"/>
  <c r="BE324" i="1"/>
  <c r="BE325" i="1"/>
  <c r="BE326" i="1"/>
  <c r="BE327" i="1"/>
  <c r="BE328" i="1"/>
  <c r="BE329" i="1"/>
  <c r="BE330" i="1"/>
  <c r="BE331" i="1"/>
  <c r="BE332" i="1"/>
  <c r="BE333" i="1"/>
  <c r="BE334" i="1"/>
  <c r="BE335" i="1"/>
  <c r="BE336" i="1"/>
  <c r="BE337" i="1"/>
  <c r="BE338" i="1"/>
  <c r="BE339" i="1"/>
  <c r="BE340" i="1"/>
  <c r="BE341" i="1"/>
  <c r="BF4" i="1"/>
  <c r="BF5" i="1"/>
  <c r="BF6" i="1"/>
  <c r="BF7" i="1"/>
  <c r="BF8" i="1"/>
  <c r="BF9" i="1"/>
  <c r="BF10" i="1"/>
  <c r="BF11" i="1"/>
  <c r="BF12" i="1"/>
  <c r="BF13" i="1"/>
  <c r="BF14" i="1"/>
  <c r="BF15" i="1"/>
  <c r="BF16" i="1"/>
  <c r="BF17" i="1"/>
  <c r="BF18" i="1"/>
  <c r="BF19" i="1"/>
  <c r="BF20" i="1"/>
  <c r="BF21" i="1"/>
  <c r="BF22" i="1"/>
  <c r="BF23" i="1"/>
  <c r="BF24" i="1"/>
  <c r="BF25" i="1"/>
  <c r="BF26" i="1"/>
  <c r="BF27" i="1"/>
  <c r="BF28" i="1"/>
  <c r="BF29" i="1"/>
  <c r="BF30" i="1"/>
  <c r="BF31" i="1"/>
  <c r="BF32" i="1"/>
  <c r="BF33" i="1"/>
  <c r="BF34" i="1"/>
  <c r="BF35" i="1"/>
  <c r="BF36" i="1"/>
  <c r="BF37" i="1"/>
  <c r="BF38" i="1"/>
  <c r="BF39" i="1"/>
  <c r="BF40" i="1"/>
  <c r="BF41" i="1"/>
  <c r="BF42" i="1"/>
  <c r="BF43" i="1"/>
  <c r="BF44" i="1"/>
  <c r="BF45" i="1"/>
  <c r="BF46" i="1"/>
  <c r="BF47" i="1"/>
  <c r="BF48" i="1"/>
  <c r="BF49" i="1"/>
  <c r="BF50" i="1"/>
  <c r="BF51" i="1"/>
  <c r="BF52" i="1"/>
  <c r="BF53" i="1"/>
  <c r="BF54" i="1"/>
  <c r="BF55" i="1"/>
  <c r="BF56" i="1"/>
  <c r="BF57" i="1"/>
  <c r="BF58" i="1"/>
  <c r="BF59" i="1"/>
  <c r="BF60" i="1"/>
  <c r="BF61" i="1"/>
  <c r="BF62" i="1"/>
  <c r="BF63" i="1"/>
  <c r="BF64" i="1"/>
  <c r="BF65" i="1"/>
  <c r="BF66" i="1"/>
  <c r="BF67" i="1"/>
  <c r="BF68" i="1"/>
  <c r="BF69" i="1"/>
  <c r="BF70" i="1"/>
  <c r="BF71" i="1"/>
  <c r="BF72" i="1"/>
  <c r="BF73" i="1"/>
  <c r="BF74" i="1"/>
  <c r="BF75" i="1"/>
  <c r="BF76" i="1"/>
  <c r="BF77" i="1"/>
  <c r="BF78" i="1"/>
  <c r="BF79" i="1"/>
  <c r="BF80" i="1"/>
  <c r="BF81" i="1"/>
  <c r="BF82" i="1"/>
  <c r="BF83" i="1"/>
  <c r="BF84" i="1"/>
  <c r="BF85" i="1"/>
  <c r="BF86" i="1"/>
  <c r="BF87" i="1"/>
  <c r="BF88" i="1"/>
  <c r="BF89" i="1"/>
  <c r="BF90" i="1"/>
  <c r="BF91" i="1"/>
  <c r="BF92" i="1"/>
  <c r="BF93" i="1"/>
  <c r="BF94" i="1"/>
  <c r="BF95" i="1"/>
  <c r="BF96" i="1"/>
  <c r="BF97" i="1"/>
  <c r="BF98" i="1"/>
  <c r="BF99" i="1"/>
  <c r="BF100" i="1"/>
  <c r="BF101" i="1"/>
  <c r="BF102" i="1"/>
  <c r="BF103" i="1"/>
  <c r="BF104" i="1"/>
  <c r="BF105" i="1"/>
  <c r="BF106" i="1"/>
  <c r="BF107" i="1"/>
  <c r="BF108" i="1"/>
  <c r="BF109" i="1"/>
  <c r="BF110" i="1"/>
  <c r="BF111" i="1"/>
  <c r="BF112" i="1"/>
  <c r="BF113" i="1"/>
  <c r="BF114" i="1"/>
  <c r="BF115" i="1"/>
  <c r="BF116" i="1"/>
  <c r="BF117" i="1"/>
  <c r="BF118" i="1"/>
  <c r="BF119" i="1"/>
  <c r="BF120" i="1"/>
  <c r="BF121" i="1"/>
  <c r="BF122" i="1"/>
  <c r="BF123" i="1"/>
  <c r="BF124" i="1"/>
  <c r="BF125" i="1"/>
  <c r="BF126" i="1"/>
  <c r="BF127" i="1"/>
  <c r="BF128" i="1"/>
  <c r="BF129" i="1"/>
  <c r="BF130" i="1"/>
  <c r="BF131" i="1"/>
  <c r="BF132" i="1"/>
  <c r="BF133" i="1"/>
  <c r="BF134" i="1"/>
  <c r="BF135" i="1"/>
  <c r="BF136" i="1"/>
  <c r="BF137" i="1"/>
  <c r="BF138" i="1"/>
  <c r="BF139" i="1"/>
  <c r="BF140" i="1"/>
  <c r="BF141" i="1"/>
  <c r="BF142" i="1"/>
  <c r="BF143" i="1"/>
  <c r="BF144" i="1"/>
  <c r="BF145" i="1"/>
  <c r="BF146" i="1"/>
  <c r="BF147" i="1"/>
  <c r="BF148" i="1"/>
  <c r="BF149" i="1"/>
  <c r="BF150" i="1"/>
  <c r="BF151" i="1"/>
  <c r="BF152" i="1"/>
  <c r="BF153" i="1"/>
  <c r="BF154" i="1"/>
  <c r="BF155" i="1"/>
  <c r="BF156" i="1"/>
  <c r="BF157" i="1"/>
  <c r="BF158" i="1"/>
  <c r="BF159" i="1"/>
  <c r="BF160" i="1"/>
  <c r="BF161" i="1"/>
  <c r="BF162" i="1"/>
  <c r="BF163" i="1"/>
  <c r="BF164" i="1"/>
  <c r="BF165" i="1"/>
  <c r="BF166" i="1"/>
  <c r="BF167" i="1"/>
  <c r="BF168" i="1"/>
  <c r="BF169" i="1"/>
  <c r="BF170" i="1"/>
  <c r="BF171" i="1"/>
  <c r="BF172" i="1"/>
  <c r="BF173" i="1"/>
  <c r="BF174" i="1"/>
  <c r="BF175" i="1"/>
  <c r="BF176" i="1"/>
  <c r="BF177" i="1"/>
  <c r="BF178" i="1"/>
  <c r="BF179" i="1"/>
  <c r="BF180" i="1"/>
  <c r="BF181" i="1"/>
  <c r="BF182" i="1"/>
  <c r="BF183" i="1"/>
  <c r="BF184" i="1"/>
  <c r="BF185" i="1"/>
  <c r="BF186" i="1"/>
  <c r="BF187" i="1"/>
  <c r="BF188" i="1"/>
  <c r="BF189" i="1"/>
  <c r="BF190" i="1"/>
  <c r="BF191" i="1"/>
  <c r="BF192" i="1"/>
  <c r="BF193" i="1"/>
  <c r="BF194" i="1"/>
  <c r="BF195" i="1"/>
  <c r="BF196" i="1"/>
  <c r="BF197" i="1"/>
  <c r="BF198" i="1"/>
  <c r="BF199" i="1"/>
  <c r="BF200" i="1"/>
  <c r="BF201" i="1"/>
  <c r="BF202" i="1"/>
  <c r="BF203" i="1"/>
  <c r="BF204" i="1"/>
  <c r="BF205" i="1"/>
  <c r="BF206" i="1"/>
  <c r="BF207" i="1"/>
  <c r="BF208" i="1"/>
  <c r="BF209" i="1"/>
  <c r="BF210" i="1"/>
  <c r="BF211" i="1"/>
  <c r="BF212" i="1"/>
  <c r="BF213" i="1"/>
  <c r="BF214" i="1"/>
  <c r="BF215" i="1"/>
  <c r="BF216" i="1"/>
  <c r="BF217" i="1"/>
  <c r="BF218" i="1"/>
  <c r="BF219" i="1"/>
  <c r="BF220" i="1"/>
  <c r="BF221" i="1"/>
  <c r="BF222" i="1"/>
  <c r="BF223" i="1"/>
  <c r="BF224" i="1"/>
  <c r="BF225" i="1"/>
  <c r="BF226" i="1"/>
  <c r="BF227" i="1"/>
  <c r="BF228" i="1"/>
  <c r="BF229" i="1"/>
  <c r="BF230" i="1"/>
  <c r="BF231" i="1"/>
  <c r="BF232" i="1"/>
  <c r="BF233" i="1"/>
  <c r="BF234" i="1"/>
  <c r="BF235" i="1"/>
  <c r="BF236" i="1"/>
  <c r="BF237" i="1"/>
  <c r="BF238" i="1"/>
  <c r="BF239" i="1"/>
  <c r="BF240" i="1"/>
  <c r="BF241" i="1"/>
  <c r="BF242" i="1"/>
  <c r="BF243" i="1"/>
  <c r="BF244" i="1"/>
  <c r="BF245" i="1"/>
  <c r="BF246" i="1"/>
  <c r="BF247" i="1"/>
  <c r="BF248" i="1"/>
  <c r="BF249" i="1"/>
  <c r="BF250" i="1"/>
  <c r="BF251" i="1"/>
  <c r="BF252" i="1"/>
  <c r="BF253" i="1"/>
  <c r="BF254" i="1"/>
  <c r="BF255" i="1"/>
  <c r="BF256" i="1"/>
  <c r="BF257" i="1"/>
  <c r="BF258" i="1"/>
  <c r="BF259" i="1"/>
  <c r="BF260" i="1"/>
  <c r="BF261" i="1"/>
  <c r="BF262" i="1"/>
  <c r="BF263" i="1"/>
  <c r="BF264" i="1"/>
  <c r="BF265" i="1"/>
  <c r="BF266" i="1"/>
  <c r="BF267" i="1"/>
  <c r="BF268" i="1"/>
  <c r="BF269" i="1"/>
  <c r="BF270" i="1"/>
  <c r="BF271" i="1"/>
  <c r="BF272" i="1"/>
  <c r="BF273" i="1"/>
  <c r="BF274" i="1"/>
  <c r="BF275" i="1"/>
  <c r="BF276" i="1"/>
  <c r="BF277" i="1"/>
  <c r="BF278" i="1"/>
  <c r="BF279" i="1"/>
  <c r="BF280" i="1"/>
  <c r="BF281" i="1"/>
  <c r="BF282" i="1"/>
  <c r="BF283" i="1"/>
  <c r="BF284" i="1"/>
  <c r="BF285" i="1"/>
  <c r="BF286" i="1"/>
  <c r="BF287" i="1"/>
  <c r="BF288" i="1"/>
  <c r="BF289" i="1"/>
  <c r="BF290" i="1"/>
  <c r="BF291" i="1"/>
  <c r="BF292" i="1"/>
  <c r="BF293" i="1"/>
  <c r="BF294" i="1"/>
  <c r="BF295" i="1"/>
  <c r="BF296" i="1"/>
  <c r="BF297" i="1"/>
  <c r="BF298" i="1"/>
  <c r="BF299" i="1"/>
  <c r="BF300" i="1"/>
  <c r="BF301" i="1"/>
  <c r="BF302" i="1"/>
  <c r="BF303" i="1"/>
  <c r="BF304" i="1"/>
  <c r="BF305" i="1"/>
  <c r="BF306" i="1"/>
  <c r="BF307" i="1"/>
  <c r="BF308" i="1"/>
  <c r="BF309" i="1"/>
  <c r="BF310" i="1"/>
  <c r="BF311" i="1"/>
  <c r="BF312" i="1"/>
  <c r="BF313" i="1"/>
  <c r="BF314" i="1"/>
  <c r="BF315" i="1"/>
  <c r="BF316" i="1"/>
  <c r="BF317" i="1"/>
  <c r="BF318" i="1"/>
  <c r="BF319" i="1"/>
  <c r="BF320" i="1"/>
  <c r="BF321" i="1"/>
  <c r="BF322" i="1"/>
  <c r="BF323" i="1"/>
  <c r="BF324" i="1"/>
  <c r="BF325" i="1"/>
  <c r="BF326" i="1"/>
  <c r="BF327" i="1"/>
  <c r="BF328" i="1"/>
  <c r="BF329" i="1"/>
  <c r="BF330" i="1"/>
  <c r="BF331" i="1"/>
  <c r="BF332" i="1"/>
  <c r="BF333" i="1"/>
  <c r="BF334" i="1"/>
  <c r="BF335" i="1"/>
  <c r="BF336" i="1"/>
  <c r="BF337" i="1"/>
  <c r="BF338" i="1"/>
  <c r="BF339" i="1"/>
  <c r="BF340" i="1"/>
  <c r="BF341" i="1"/>
  <c r="BG4" i="1"/>
  <c r="BG5" i="1"/>
  <c r="BG6" i="1"/>
  <c r="BG7" i="1"/>
  <c r="BG8" i="1"/>
  <c r="BG9" i="1"/>
  <c r="BG10" i="1"/>
  <c r="BG11" i="1"/>
  <c r="BG12" i="1"/>
  <c r="BG13" i="1"/>
  <c r="BG14" i="1"/>
  <c r="BG15" i="1"/>
  <c r="BG16" i="1"/>
  <c r="BG17" i="1"/>
  <c r="BG18" i="1"/>
  <c r="BG19" i="1"/>
  <c r="BG20" i="1"/>
  <c r="BG21" i="1"/>
  <c r="BG22" i="1"/>
  <c r="BG23" i="1"/>
  <c r="BG24" i="1"/>
  <c r="BG25" i="1"/>
  <c r="BG26" i="1"/>
  <c r="BG27" i="1"/>
  <c r="BG28" i="1"/>
  <c r="BG29" i="1"/>
  <c r="BG30" i="1"/>
  <c r="BG31" i="1"/>
  <c r="BG32" i="1"/>
  <c r="BG33" i="1"/>
  <c r="BG34" i="1"/>
  <c r="BG35" i="1"/>
  <c r="BG36" i="1"/>
  <c r="BG37" i="1"/>
  <c r="BG38" i="1"/>
  <c r="BG39" i="1"/>
  <c r="BG40" i="1"/>
  <c r="BG41" i="1"/>
  <c r="BG42" i="1"/>
  <c r="BG43" i="1"/>
  <c r="BG44" i="1"/>
  <c r="BG45" i="1"/>
  <c r="BG46" i="1"/>
  <c r="BG47" i="1"/>
  <c r="BG48" i="1"/>
  <c r="BG49" i="1"/>
  <c r="BG50" i="1"/>
  <c r="BG51" i="1"/>
  <c r="BG52" i="1"/>
  <c r="BG53" i="1"/>
  <c r="BG54" i="1"/>
  <c r="BG55" i="1"/>
  <c r="BG56" i="1"/>
  <c r="BG57" i="1"/>
  <c r="BG58" i="1"/>
  <c r="BG59" i="1"/>
  <c r="BG60" i="1"/>
  <c r="BG61" i="1"/>
  <c r="BG62" i="1"/>
  <c r="BG63" i="1"/>
  <c r="BG64" i="1"/>
  <c r="BG65" i="1"/>
  <c r="BG66" i="1"/>
  <c r="BG67" i="1"/>
  <c r="BG68" i="1"/>
  <c r="BG69" i="1"/>
  <c r="BG70" i="1"/>
  <c r="BG71" i="1"/>
  <c r="BG72" i="1"/>
  <c r="BG73" i="1"/>
  <c r="BG74" i="1"/>
  <c r="BG75" i="1"/>
  <c r="BG76" i="1"/>
  <c r="BG77" i="1"/>
  <c r="BG78" i="1"/>
  <c r="BG79" i="1"/>
  <c r="BG80" i="1"/>
  <c r="BG81" i="1"/>
  <c r="BG82" i="1"/>
  <c r="BG83" i="1"/>
  <c r="BG84" i="1"/>
  <c r="BG85" i="1"/>
  <c r="BG86" i="1"/>
  <c r="BG87" i="1"/>
  <c r="BG88" i="1"/>
  <c r="BG89" i="1"/>
  <c r="BG90" i="1"/>
  <c r="BG91" i="1"/>
  <c r="BG92" i="1"/>
  <c r="BG93" i="1"/>
  <c r="BG94" i="1"/>
  <c r="BG95" i="1"/>
  <c r="BG96" i="1"/>
  <c r="BG97" i="1"/>
  <c r="BG98" i="1"/>
  <c r="BG99" i="1"/>
  <c r="BG100" i="1"/>
  <c r="BG101" i="1"/>
  <c r="BG102" i="1"/>
  <c r="BG103" i="1"/>
  <c r="BG104" i="1"/>
  <c r="BG105" i="1"/>
  <c r="BG106" i="1"/>
  <c r="BG107" i="1"/>
  <c r="BG108" i="1"/>
  <c r="BG109" i="1"/>
  <c r="BG110" i="1"/>
  <c r="BG111" i="1"/>
  <c r="BG112" i="1"/>
  <c r="BG113" i="1"/>
  <c r="BG114" i="1"/>
  <c r="BG115" i="1"/>
  <c r="BG116" i="1"/>
  <c r="BG117" i="1"/>
  <c r="BG118" i="1"/>
  <c r="BG119" i="1"/>
  <c r="BG120" i="1"/>
  <c r="BG121" i="1"/>
  <c r="BG122" i="1"/>
  <c r="BG123" i="1"/>
  <c r="BG124" i="1"/>
  <c r="BG125" i="1"/>
  <c r="BG126" i="1"/>
  <c r="BG127" i="1"/>
  <c r="BG128" i="1"/>
  <c r="BG129" i="1"/>
  <c r="BG130" i="1"/>
  <c r="BG131" i="1"/>
  <c r="BG132" i="1"/>
  <c r="BG133" i="1"/>
  <c r="BG134" i="1"/>
  <c r="BG135" i="1"/>
  <c r="BG136" i="1"/>
  <c r="BG137" i="1"/>
  <c r="BG138" i="1"/>
  <c r="BG139" i="1"/>
  <c r="BG140" i="1"/>
  <c r="BG141" i="1"/>
  <c r="BG142" i="1"/>
  <c r="BG143" i="1"/>
  <c r="BG144" i="1"/>
  <c r="BG145" i="1"/>
  <c r="BG146" i="1"/>
  <c r="BG147" i="1"/>
  <c r="BG148" i="1"/>
  <c r="BG149" i="1"/>
  <c r="BG150" i="1"/>
  <c r="BG151" i="1"/>
  <c r="BG152" i="1"/>
  <c r="BG153" i="1"/>
  <c r="BG154" i="1"/>
  <c r="BG155" i="1"/>
  <c r="BG156" i="1"/>
  <c r="BG157" i="1"/>
  <c r="BG158" i="1"/>
  <c r="BG159" i="1"/>
  <c r="BG160" i="1"/>
  <c r="BG161" i="1"/>
  <c r="BG162" i="1"/>
  <c r="BG163" i="1"/>
  <c r="BG164" i="1"/>
  <c r="BG165" i="1"/>
  <c r="BG166" i="1"/>
  <c r="BG167" i="1"/>
  <c r="BG168" i="1"/>
  <c r="BG169" i="1"/>
  <c r="BG170" i="1"/>
  <c r="BG171" i="1"/>
  <c r="BG172" i="1"/>
  <c r="BG173" i="1"/>
  <c r="BG174" i="1"/>
  <c r="BG175" i="1"/>
  <c r="BG176" i="1"/>
  <c r="BG177" i="1"/>
  <c r="BG178" i="1"/>
  <c r="BG179" i="1"/>
  <c r="BG180" i="1"/>
  <c r="BG181" i="1"/>
  <c r="BG182" i="1"/>
  <c r="BG183" i="1"/>
  <c r="BG184" i="1"/>
  <c r="BG185" i="1"/>
  <c r="BG186" i="1"/>
  <c r="BG187" i="1"/>
  <c r="BG188" i="1"/>
  <c r="BG189" i="1"/>
  <c r="BG190" i="1"/>
  <c r="BG191" i="1"/>
  <c r="BG192" i="1"/>
  <c r="BG193" i="1"/>
  <c r="BG194" i="1"/>
  <c r="BG195" i="1"/>
  <c r="BG196" i="1"/>
  <c r="BG197" i="1"/>
  <c r="BG198" i="1"/>
  <c r="BG199" i="1"/>
  <c r="BG200" i="1"/>
  <c r="BG201" i="1"/>
  <c r="BG202" i="1"/>
  <c r="BG203" i="1"/>
  <c r="BG204" i="1"/>
  <c r="BG205" i="1"/>
  <c r="BG206" i="1"/>
  <c r="BG207" i="1"/>
  <c r="BG208" i="1"/>
  <c r="BG209" i="1"/>
  <c r="BG210" i="1"/>
  <c r="BG211" i="1"/>
  <c r="BG212" i="1"/>
  <c r="BG213" i="1"/>
  <c r="BG214" i="1"/>
  <c r="BG215" i="1"/>
  <c r="BG216" i="1"/>
  <c r="BG217" i="1"/>
  <c r="BG218" i="1"/>
  <c r="BG219" i="1"/>
  <c r="BG220" i="1"/>
  <c r="BG221" i="1"/>
  <c r="BG222" i="1"/>
  <c r="BG223" i="1"/>
  <c r="BG224" i="1"/>
  <c r="BG225" i="1"/>
  <c r="BG226" i="1"/>
  <c r="BG227" i="1"/>
  <c r="BG228" i="1"/>
  <c r="BG229" i="1"/>
  <c r="BG230" i="1"/>
  <c r="BG231" i="1"/>
  <c r="BG232" i="1"/>
  <c r="BG233" i="1"/>
  <c r="BG234" i="1"/>
  <c r="BG235" i="1"/>
  <c r="BG236" i="1"/>
  <c r="BG237" i="1"/>
  <c r="BG238" i="1"/>
  <c r="BG239" i="1"/>
  <c r="BG240" i="1"/>
  <c r="BG241" i="1"/>
  <c r="BG242" i="1"/>
  <c r="BG243" i="1"/>
  <c r="BG244" i="1"/>
  <c r="BG245" i="1"/>
  <c r="BG246" i="1"/>
  <c r="BG247" i="1"/>
  <c r="BG248" i="1"/>
  <c r="BG249" i="1"/>
  <c r="BG250" i="1"/>
  <c r="BG251" i="1"/>
  <c r="BG252" i="1"/>
  <c r="BG253" i="1"/>
  <c r="BG254" i="1"/>
  <c r="BG255" i="1"/>
  <c r="BG256" i="1"/>
  <c r="BG257" i="1"/>
  <c r="BG258" i="1"/>
  <c r="BG259" i="1"/>
  <c r="BG260" i="1"/>
  <c r="BG261" i="1"/>
  <c r="BG262" i="1"/>
  <c r="BG263" i="1"/>
  <c r="BG264" i="1"/>
  <c r="BG265" i="1"/>
  <c r="BG266" i="1"/>
  <c r="BG267" i="1"/>
  <c r="BG268" i="1"/>
  <c r="BG269" i="1"/>
  <c r="BG270" i="1"/>
  <c r="BG271" i="1"/>
  <c r="BG272" i="1"/>
  <c r="BG273" i="1"/>
  <c r="BG274" i="1"/>
  <c r="BG275" i="1"/>
  <c r="BG276" i="1"/>
  <c r="BG277" i="1"/>
  <c r="BG278" i="1"/>
  <c r="BG279" i="1"/>
  <c r="BG280" i="1"/>
  <c r="BG281" i="1"/>
  <c r="BG282" i="1"/>
  <c r="BG283" i="1"/>
  <c r="BG284" i="1"/>
  <c r="BG285" i="1"/>
  <c r="BG286" i="1"/>
  <c r="BG287" i="1"/>
  <c r="BG288" i="1"/>
  <c r="BG289" i="1"/>
  <c r="BG290" i="1"/>
  <c r="BG291" i="1"/>
  <c r="BG292" i="1"/>
  <c r="BG293" i="1"/>
  <c r="BG294" i="1"/>
  <c r="BG295" i="1"/>
  <c r="BG296" i="1"/>
  <c r="BG297" i="1"/>
  <c r="BG298" i="1"/>
  <c r="BG299" i="1"/>
  <c r="BG300" i="1"/>
  <c r="BG301" i="1"/>
  <c r="BG302" i="1"/>
  <c r="BG303" i="1"/>
  <c r="BG304" i="1"/>
  <c r="BG305" i="1"/>
  <c r="BG306" i="1"/>
  <c r="BG307" i="1"/>
  <c r="BG308" i="1"/>
  <c r="BG309" i="1"/>
  <c r="BG310" i="1"/>
  <c r="BG311" i="1"/>
  <c r="BG312" i="1"/>
  <c r="BG313" i="1"/>
  <c r="BG314" i="1"/>
  <c r="BG315" i="1"/>
  <c r="BG316" i="1"/>
  <c r="BG317" i="1"/>
  <c r="BG318" i="1"/>
  <c r="BG319" i="1"/>
  <c r="BG320" i="1"/>
  <c r="BG321" i="1"/>
  <c r="BG322" i="1"/>
  <c r="BG323" i="1"/>
  <c r="BG324" i="1"/>
  <c r="BG325" i="1"/>
  <c r="BG326" i="1"/>
  <c r="BG327" i="1"/>
  <c r="BG328" i="1"/>
  <c r="BG329" i="1"/>
  <c r="BG330" i="1"/>
  <c r="BG331" i="1"/>
  <c r="BG332" i="1"/>
  <c r="BG333" i="1"/>
  <c r="BG334" i="1"/>
  <c r="BG335" i="1"/>
  <c r="BG336" i="1"/>
  <c r="BG337" i="1"/>
  <c r="BG338" i="1"/>
  <c r="BG339" i="1"/>
  <c r="BG340" i="1"/>
  <c r="BG341" i="1"/>
  <c r="J187" i="12"/>
  <c r="E187" i="12" a="1"/>
  <c r="E187" i="12" s="1"/>
  <c r="AZ219" i="4" l="1"/>
  <c r="BA219" i="4" s="1"/>
  <c r="AZ75" i="4"/>
  <c r="BA75" i="4" s="1"/>
  <c r="AZ61" i="4"/>
  <c r="BA61" i="4" s="1"/>
  <c r="AQ92" i="4"/>
  <c r="AT92" i="4" s="1"/>
  <c r="AZ230" i="4"/>
  <c r="BA230" i="4" s="1"/>
  <c r="AZ19" i="4"/>
  <c r="BA19" i="4" s="1"/>
  <c r="AZ312" i="4"/>
  <c r="BA312" i="4" s="1"/>
  <c r="AZ276" i="4"/>
  <c r="BA276" i="4" s="1"/>
  <c r="AZ240" i="4"/>
  <c r="BA240" i="4" s="1"/>
  <c r="AZ216" i="4"/>
  <c r="BA216" i="4" s="1"/>
  <c r="AZ174" i="4"/>
  <c r="BA174" i="4" s="1"/>
  <c r="AZ238" i="4"/>
  <c r="BA238" i="4" s="1"/>
  <c r="AZ144" i="4"/>
  <c r="BA144" i="4" s="1"/>
  <c r="AZ138" i="4"/>
  <c r="BA138" i="4" s="1"/>
  <c r="AZ108" i="4"/>
  <c r="BA108" i="4" s="1"/>
  <c r="AZ102" i="4"/>
  <c r="BA102" i="4" s="1"/>
  <c r="AZ72" i="4"/>
  <c r="BA72" i="4" s="1"/>
  <c r="AZ66" i="4"/>
  <c r="BA66" i="4" s="1"/>
  <c r="AZ36" i="4"/>
  <c r="BA36" i="4" s="1"/>
  <c r="AZ30" i="4"/>
  <c r="BA30" i="4" s="1"/>
  <c r="AZ14" i="4"/>
  <c r="BA14" i="4" s="1"/>
  <c r="AZ271" i="4"/>
  <c r="BA271" i="4" s="1"/>
  <c r="AZ117" i="4"/>
  <c r="BA117" i="4" s="1"/>
  <c r="AZ335" i="4"/>
  <c r="BA335" i="4" s="1"/>
  <c r="AZ323" i="4"/>
  <c r="BA323" i="4" s="1"/>
  <c r="AZ245" i="4"/>
  <c r="BA245" i="4" s="1"/>
  <c r="AZ239" i="4"/>
  <c r="BA239" i="4" s="1"/>
  <c r="AZ179" i="4"/>
  <c r="BA179" i="4" s="1"/>
  <c r="AQ200" i="4"/>
  <c r="AT200" i="4" s="1"/>
  <c r="AQ128" i="4"/>
  <c r="AT128" i="4" s="1"/>
  <c r="AZ199" i="4"/>
  <c r="BA199" i="4" s="1"/>
  <c r="AZ147" i="4"/>
  <c r="BA147" i="4" s="1"/>
  <c r="AZ127" i="4"/>
  <c r="BA127" i="4" s="1"/>
  <c r="AQ308" i="4"/>
  <c r="AT308" i="4" s="1"/>
  <c r="AZ338" i="4"/>
  <c r="BA338" i="4" s="1"/>
  <c r="AZ309" i="4"/>
  <c r="BA309" i="4" s="1"/>
  <c r="AZ32" i="4"/>
  <c r="BA32" i="4" s="1"/>
  <c r="AQ272" i="4"/>
  <c r="AT272" i="4" s="1"/>
  <c r="AZ235" i="4"/>
  <c r="BA235" i="4" s="1"/>
  <c r="AZ140" i="4"/>
  <c r="BA140" i="4" s="1"/>
  <c r="AZ91" i="4"/>
  <c r="BA91" i="4" s="1"/>
  <c r="AQ236" i="4"/>
  <c r="AT236" i="4" s="1"/>
  <c r="AQ164" i="4"/>
  <c r="AT164" i="4" s="1"/>
  <c r="AQ26" i="4"/>
  <c r="AT26" i="4" s="1"/>
  <c r="AQ20" i="4"/>
  <c r="AT20" i="4" s="1"/>
  <c r="AU109" i="1"/>
  <c r="AM329" i="1"/>
  <c r="AM285" i="1"/>
  <c r="AM263" i="1"/>
  <c r="AM219" i="1"/>
  <c r="AQ219" i="4" s="1"/>
  <c r="AT219" i="4" s="1"/>
  <c r="AM197" i="1"/>
  <c r="AQ197" i="4" s="1"/>
  <c r="AT197" i="4" s="1"/>
  <c r="AM153" i="1"/>
  <c r="AQ153" i="4" s="1"/>
  <c r="AT153" i="4" s="1"/>
  <c r="AM131" i="1"/>
  <c r="AQ131" i="4" s="1"/>
  <c r="AT131" i="4" s="1"/>
  <c r="AM87" i="1"/>
  <c r="AQ87" i="4" s="1"/>
  <c r="AT87" i="4" s="1"/>
  <c r="AM43" i="1"/>
  <c r="AQ43" i="4" s="1"/>
  <c r="AT43" i="4" s="1"/>
  <c r="AM21" i="1"/>
  <c r="AQ21" i="4" s="1"/>
  <c r="AT21" i="4" s="1"/>
  <c r="AK293" i="1"/>
  <c r="AU307" i="1"/>
  <c r="AU175" i="1"/>
  <c r="AZ175" i="4" s="1"/>
  <c r="BA175" i="4" s="1"/>
  <c r="AU299" i="1"/>
  <c r="AU233" i="1"/>
  <c r="AZ233" i="4" s="1"/>
  <c r="BA233" i="4" s="1"/>
  <c r="AU43" i="1"/>
  <c r="AM293" i="1"/>
  <c r="AQ293" i="4" s="1"/>
  <c r="AT293" i="4" s="1"/>
  <c r="AK249" i="1"/>
  <c r="AJ161" i="1"/>
  <c r="AJ138" i="1"/>
  <c r="AU211" i="1"/>
  <c r="AU337" i="1"/>
  <c r="AU205" i="1"/>
  <c r="AU328" i="1"/>
  <c r="AM317" i="1"/>
  <c r="AM284" i="1"/>
  <c r="AM184" i="1"/>
  <c r="AQ184" i="4" s="1"/>
  <c r="AT184" i="4" s="1"/>
  <c r="AM51" i="1"/>
  <c r="AQ51" i="4" s="1"/>
  <c r="AT51" i="4" s="1"/>
  <c r="AM276" i="1"/>
  <c r="AQ276" i="4" s="1"/>
  <c r="AT276" i="4" s="1"/>
  <c r="AM210" i="1"/>
  <c r="AQ210" i="4" s="1"/>
  <c r="AT210" i="4" s="1"/>
  <c r="AM56" i="1"/>
  <c r="AM12" i="1"/>
  <c r="AQ12" i="4" s="1"/>
  <c r="AT12" i="4" s="1"/>
  <c r="AK315" i="1"/>
  <c r="AU153" i="1"/>
  <c r="AZ153" i="4" s="1"/>
  <c r="BA153" i="4" s="1"/>
  <c r="AU79" i="1"/>
  <c r="AU13" i="1"/>
  <c r="AM316" i="1"/>
  <c r="AM250" i="1"/>
  <c r="AM341" i="1"/>
  <c r="AQ341" i="4" s="1"/>
  <c r="AT341" i="4" s="1"/>
  <c r="AM297" i="1"/>
  <c r="AM275" i="1"/>
  <c r="AM231" i="1"/>
  <c r="AJ310" i="1"/>
  <c r="AU243" i="1"/>
  <c r="AZ243" i="4" s="1"/>
  <c r="BA243" i="4" s="1"/>
  <c r="AU148" i="1"/>
  <c r="AZ148" i="4" s="1"/>
  <c r="BA148" i="4" s="1"/>
  <c r="AU38" i="1"/>
  <c r="AZ38" i="4" s="1"/>
  <c r="BA38" i="4" s="1"/>
  <c r="AU122" i="1"/>
  <c r="AU56" i="1"/>
  <c r="AZ56" i="4" s="1"/>
  <c r="BA56" i="4" s="1"/>
  <c r="AM314" i="1"/>
  <c r="AQ314" i="4" s="1"/>
  <c r="AT314" i="4" s="1"/>
  <c r="AM281" i="1"/>
  <c r="AQ281" i="4" s="1"/>
  <c r="AT281" i="4" s="1"/>
  <c r="AM248" i="1"/>
  <c r="AM215" i="1"/>
  <c r="AQ215" i="4" s="1"/>
  <c r="AT215" i="4" s="1"/>
  <c r="AM148" i="1"/>
  <c r="AM46" i="1"/>
  <c r="AM318" i="1"/>
  <c r="AK311" i="1"/>
  <c r="AK116" i="1"/>
  <c r="AK46" i="1"/>
  <c r="AJ227" i="1"/>
  <c r="AU285" i="1"/>
  <c r="AM79" i="1"/>
  <c r="AQ79" i="4" s="1"/>
  <c r="AT79" i="4" s="1"/>
  <c r="AU327" i="1"/>
  <c r="AU284" i="1"/>
  <c r="AU241" i="1"/>
  <c r="AZ241" i="4" s="1"/>
  <c r="BA241" i="4" s="1"/>
  <c r="AU195" i="1"/>
  <c r="AZ195" i="4" s="1"/>
  <c r="BA195" i="4" s="1"/>
  <c r="AU8" i="1"/>
  <c r="AZ8" i="4" s="1"/>
  <c r="BA8" i="4" s="1"/>
  <c r="AU280" i="1"/>
  <c r="AZ280" i="4" s="1"/>
  <c r="BA280" i="4" s="1"/>
  <c r="AU214" i="1"/>
  <c r="AZ214" i="4" s="1"/>
  <c r="BA214" i="4" s="1"/>
  <c r="AM310" i="1"/>
  <c r="AQ310" i="4" s="1"/>
  <c r="AT310" i="4" s="1"/>
  <c r="AM278" i="1"/>
  <c r="AQ278" i="4" s="1"/>
  <c r="AT278" i="4" s="1"/>
  <c r="AM245" i="1"/>
  <c r="AM212" i="1"/>
  <c r="AM179" i="1"/>
  <c r="AQ179" i="4" s="1"/>
  <c r="AT179" i="4" s="1"/>
  <c r="AM145" i="1"/>
  <c r="AM112" i="1"/>
  <c r="AM78" i="1"/>
  <c r="AM162" i="1"/>
  <c r="AM96" i="1"/>
  <c r="AQ96" i="4" s="1"/>
  <c r="AT96" i="4" s="1"/>
  <c r="AM30" i="1"/>
  <c r="AM8" i="1"/>
  <c r="AK271" i="1"/>
  <c r="AK113" i="1"/>
  <c r="AJ222" i="1"/>
  <c r="AU237" i="1"/>
  <c r="AU141" i="1"/>
  <c r="AU31" i="1"/>
  <c r="AU73" i="1"/>
  <c r="AU287" i="1"/>
  <c r="AU221" i="1"/>
  <c r="AM277" i="1"/>
  <c r="AM244" i="1"/>
  <c r="AM211" i="1"/>
  <c r="AQ211" i="4" s="1"/>
  <c r="AT211" i="4" s="1"/>
  <c r="AM178" i="1"/>
  <c r="AQ178" i="4" s="1"/>
  <c r="AT178" i="4" s="1"/>
  <c r="AM144" i="1"/>
  <c r="AQ144" i="4" s="1"/>
  <c r="AT144" i="4" s="1"/>
  <c r="AM39" i="1"/>
  <c r="AQ39" i="4" s="1"/>
  <c r="AT39" i="4" s="1"/>
  <c r="AM315" i="1"/>
  <c r="AQ315" i="4" s="1"/>
  <c r="AT315" i="4" s="1"/>
  <c r="AM249" i="1"/>
  <c r="AQ249" i="4" s="1"/>
  <c r="AT249" i="4" s="1"/>
  <c r="AM227" i="1"/>
  <c r="AM183" i="1"/>
  <c r="AM161" i="1"/>
  <c r="AQ161" i="4" s="1"/>
  <c r="AT161" i="4" s="1"/>
  <c r="AM117" i="1"/>
  <c r="AM95" i="1"/>
  <c r="AM29" i="1"/>
  <c r="AM7" i="1"/>
  <c r="AK227" i="1"/>
  <c r="AK112" i="1"/>
  <c r="AK7" i="1"/>
  <c r="AJ179" i="1"/>
  <c r="AJ95" i="1"/>
  <c r="AU277" i="1"/>
  <c r="AM271" i="1"/>
  <c r="AM73" i="1"/>
  <c r="AQ73" i="4" s="1"/>
  <c r="AT73" i="4" s="1"/>
  <c r="AJ7" i="1"/>
  <c r="AK337" i="1"/>
  <c r="AK29" i="1"/>
  <c r="AM101" i="1"/>
  <c r="AJ180" i="1"/>
  <c r="AJ58" i="1"/>
  <c r="AU173" i="1"/>
  <c r="AZ173" i="4" s="1"/>
  <c r="BA173" i="4" s="1"/>
  <c r="AU167" i="1"/>
  <c r="AZ167" i="4" s="1"/>
  <c r="BA167" i="4" s="1"/>
  <c r="AU161" i="1"/>
  <c r="AZ161" i="4" s="1"/>
  <c r="BA161" i="4" s="1"/>
  <c r="AU155" i="1"/>
  <c r="AZ155" i="4" s="1"/>
  <c r="BA155" i="4" s="1"/>
  <c r="AU149" i="1"/>
  <c r="AZ149" i="4" s="1"/>
  <c r="BA149" i="4" s="1"/>
  <c r="AU143" i="1"/>
  <c r="AZ143" i="4" s="1"/>
  <c r="BA143" i="4" s="1"/>
  <c r="AU137" i="1"/>
  <c r="AZ137" i="4" s="1"/>
  <c r="BA137" i="4" s="1"/>
  <c r="AU131" i="1"/>
  <c r="AZ131" i="4" s="1"/>
  <c r="BA131" i="4" s="1"/>
  <c r="AU125" i="1"/>
  <c r="AZ125" i="4" s="1"/>
  <c r="BA125" i="4" s="1"/>
  <c r="AU119" i="1"/>
  <c r="AZ119" i="4" s="1"/>
  <c r="BA119" i="4" s="1"/>
  <c r="AU113" i="1"/>
  <c r="AZ113" i="4" s="1"/>
  <c r="BA113" i="4" s="1"/>
  <c r="AU107" i="1"/>
  <c r="AZ107" i="4" s="1"/>
  <c r="BA107" i="4" s="1"/>
  <c r="AU101" i="1"/>
  <c r="AZ101" i="4" s="1"/>
  <c r="BA101" i="4" s="1"/>
  <c r="AU95" i="1"/>
  <c r="AZ95" i="4" s="1"/>
  <c r="BA95" i="4" s="1"/>
  <c r="AU89" i="1"/>
  <c r="AZ89" i="4" s="1"/>
  <c r="BA89" i="4" s="1"/>
  <c r="AU83" i="1"/>
  <c r="AZ83" i="4" s="1"/>
  <c r="BA83" i="4" s="1"/>
  <c r="AU77" i="1"/>
  <c r="AZ77" i="4" s="1"/>
  <c r="BA77" i="4" s="1"/>
  <c r="AU71" i="1"/>
  <c r="AZ71" i="4" s="1"/>
  <c r="BA71" i="4" s="1"/>
  <c r="AU65" i="1"/>
  <c r="AZ65" i="4" s="1"/>
  <c r="BA65" i="4" s="1"/>
  <c r="AU59" i="1"/>
  <c r="AZ59" i="4" s="1"/>
  <c r="BA59" i="4" s="1"/>
  <c r="AU53" i="1"/>
  <c r="AZ53" i="4" s="1"/>
  <c r="BA53" i="4" s="1"/>
  <c r="AU47" i="1"/>
  <c r="AZ47" i="4" s="1"/>
  <c r="BA47" i="4" s="1"/>
  <c r="AU41" i="1"/>
  <c r="AZ41" i="4" s="1"/>
  <c r="BA41" i="4" s="1"/>
  <c r="AU35" i="1"/>
  <c r="AZ35" i="4" s="1"/>
  <c r="BA35" i="4" s="1"/>
  <c r="AU29" i="1"/>
  <c r="AZ29" i="4" s="1"/>
  <c r="BA29" i="4" s="1"/>
  <c r="AU23" i="1"/>
  <c r="AZ23" i="4" s="1"/>
  <c r="BA23" i="4" s="1"/>
  <c r="AU17" i="1"/>
  <c r="AZ17" i="4" s="1"/>
  <c r="BA17" i="4" s="1"/>
  <c r="AU11" i="1"/>
  <c r="AZ11" i="4" s="1"/>
  <c r="BA11" i="4" s="1"/>
  <c r="AU5" i="1"/>
  <c r="AZ5" i="4" s="1"/>
  <c r="BA5" i="4" s="1"/>
  <c r="AK307" i="1"/>
  <c r="AJ313" i="1"/>
  <c r="AJ325" i="1"/>
  <c r="AK325" i="1"/>
  <c r="AK319" i="1"/>
  <c r="AJ319" i="1"/>
  <c r="AJ289" i="1"/>
  <c r="AK289" i="1"/>
  <c r="AK283" i="1"/>
  <c r="AJ283" i="1"/>
  <c r="AK265" i="1"/>
  <c r="AJ265" i="1"/>
  <c r="AJ253" i="1"/>
  <c r="AK253" i="1"/>
  <c r="AK247" i="1"/>
  <c r="AJ247" i="1"/>
  <c r="AK229" i="1"/>
  <c r="AJ229" i="1"/>
  <c r="AJ217" i="1"/>
  <c r="AK217" i="1"/>
  <c r="AJ211" i="1"/>
  <c r="AK211" i="1"/>
  <c r="AK205" i="1"/>
  <c r="AJ205" i="1"/>
  <c r="AJ193" i="1"/>
  <c r="AK193" i="1"/>
  <c r="AJ181" i="1"/>
  <c r="AK181" i="1"/>
  <c r="AJ175" i="1"/>
  <c r="AK175" i="1"/>
  <c r="AJ169" i="1"/>
  <c r="AK169" i="1"/>
  <c r="AK339" i="1"/>
  <c r="AK332" i="1"/>
  <c r="AK303" i="1"/>
  <c r="AK267" i="1"/>
  <c r="AK231" i="1"/>
  <c r="AK195" i="1"/>
  <c r="AK159" i="1"/>
  <c r="AK109" i="1"/>
  <c r="AK73" i="1"/>
  <c r="AJ133" i="1"/>
  <c r="AJ25" i="1"/>
  <c r="AJ157" i="1"/>
  <c r="AK85" i="1"/>
  <c r="AJ97" i="1"/>
  <c r="AK327" i="1"/>
  <c r="AK320" i="1"/>
  <c r="AK291" i="1"/>
  <c r="AK284" i="1"/>
  <c r="AK255" i="1"/>
  <c r="AK248" i="1"/>
  <c r="AK219" i="1"/>
  <c r="AK183" i="1"/>
  <c r="AK176" i="1"/>
  <c r="AK147" i="1"/>
  <c r="AK111" i="1"/>
  <c r="AK75" i="1"/>
  <c r="AK61" i="1"/>
  <c r="AK39" i="1"/>
  <c r="AJ204" i="1"/>
  <c r="AK204" i="1"/>
  <c r="AJ168" i="1"/>
  <c r="AK168" i="1"/>
  <c r="AJ132" i="1"/>
  <c r="AK132" i="1"/>
  <c r="AJ96" i="1"/>
  <c r="AK96" i="1"/>
  <c r="AJ60" i="1"/>
  <c r="AK60" i="1"/>
  <c r="AJ24" i="1"/>
  <c r="AK24" i="1"/>
  <c r="AK340" i="1"/>
  <c r="AK333" i="1"/>
  <c r="AK326" i="1"/>
  <c r="AK304" i="1"/>
  <c r="AK297" i="1"/>
  <c r="AK290" i="1"/>
  <c r="AK268" i="1"/>
  <c r="AK261" i="1"/>
  <c r="AK254" i="1"/>
  <c r="AK232" i="1"/>
  <c r="AK225" i="1"/>
  <c r="AK218" i="1"/>
  <c r="AK189" i="1"/>
  <c r="AK182" i="1"/>
  <c r="AK160" i="1"/>
  <c r="AK153" i="1"/>
  <c r="AK146" i="1"/>
  <c r="AK139" i="1"/>
  <c r="AK117" i="1"/>
  <c r="AK110" i="1"/>
  <c r="AK103" i="1"/>
  <c r="AK81" i="1"/>
  <c r="AK74" i="1"/>
  <c r="AK67" i="1"/>
  <c r="AK52" i="1"/>
  <c r="AK45" i="1"/>
  <c r="AK38" i="1"/>
  <c r="AK31" i="1"/>
  <c r="AK9" i="1"/>
  <c r="AJ318" i="1"/>
  <c r="AJ282" i="1"/>
  <c r="AJ246" i="1"/>
  <c r="AJ126" i="1"/>
  <c r="AJ18" i="1"/>
  <c r="I187" i="12"/>
  <c r="K187" i="12" s="1"/>
  <c r="AZ277" i="4" l="1"/>
  <c r="BA277" i="4" s="1"/>
  <c r="AQ183" i="4"/>
  <c r="AT183" i="4" s="1"/>
  <c r="AZ73" i="4"/>
  <c r="BA73" i="4" s="1"/>
  <c r="AQ30" i="4"/>
  <c r="AT30" i="4" s="1"/>
  <c r="AQ148" i="4"/>
  <c r="AZ122" i="4"/>
  <c r="BA122" i="4" s="1"/>
  <c r="AQ284" i="4"/>
  <c r="AT284" i="4" s="1"/>
  <c r="AQ285" i="4"/>
  <c r="AT285" i="4" s="1"/>
  <c r="AQ7" i="4"/>
  <c r="AT7" i="4" s="1"/>
  <c r="AQ227" i="4"/>
  <c r="AT227" i="4" s="1"/>
  <c r="AZ31" i="4"/>
  <c r="BA31" i="4" s="1"/>
  <c r="AQ212" i="4"/>
  <c r="AT212" i="4" s="1"/>
  <c r="AZ285" i="4"/>
  <c r="BA285" i="4" s="1"/>
  <c r="AQ250" i="4"/>
  <c r="AT250" i="4" s="1"/>
  <c r="AQ56" i="4"/>
  <c r="AT56" i="4" s="1"/>
  <c r="AQ317" i="4"/>
  <c r="AT317" i="4" s="1"/>
  <c r="AZ211" i="4"/>
  <c r="BA211" i="4" s="1"/>
  <c r="AZ43" i="4"/>
  <c r="BA43" i="4" s="1"/>
  <c r="AQ329" i="4"/>
  <c r="AT329" i="4" s="1"/>
  <c r="AQ29" i="4"/>
  <c r="AT29" i="4" s="1"/>
  <c r="AQ244" i="4"/>
  <c r="AT244" i="4" s="1"/>
  <c r="AZ141" i="4"/>
  <c r="BA141" i="4" s="1"/>
  <c r="AQ162" i="4"/>
  <c r="AT162" i="4" s="1"/>
  <c r="AQ245" i="4"/>
  <c r="AT245" i="4" s="1"/>
  <c r="AQ248" i="4"/>
  <c r="AT248" i="4" s="1"/>
  <c r="AQ316" i="4"/>
  <c r="AT316" i="4" s="1"/>
  <c r="AZ328" i="4"/>
  <c r="BA328" i="4" s="1"/>
  <c r="AZ109" i="4"/>
  <c r="AQ101" i="4"/>
  <c r="AT101" i="4" s="1"/>
  <c r="AQ95" i="4"/>
  <c r="AT95" i="4" s="1"/>
  <c r="AQ277" i="4"/>
  <c r="AT277" i="4" s="1"/>
  <c r="AZ237" i="4"/>
  <c r="BA237" i="4" s="1"/>
  <c r="AQ78" i="4"/>
  <c r="AQ231" i="4"/>
  <c r="AT231" i="4" s="1"/>
  <c r="AZ13" i="4"/>
  <c r="BA13" i="4" s="1"/>
  <c r="AZ205" i="4"/>
  <c r="BA205" i="4" s="1"/>
  <c r="AZ299" i="4"/>
  <c r="BA299" i="4" s="1"/>
  <c r="AQ117" i="4"/>
  <c r="AT117" i="4" s="1"/>
  <c r="AZ221" i="4"/>
  <c r="BA221" i="4" s="1"/>
  <c r="AQ112" i="4"/>
  <c r="AT112" i="4" s="1"/>
  <c r="AZ284" i="4"/>
  <c r="BA284" i="4" s="1"/>
  <c r="AQ318" i="4"/>
  <c r="AT318" i="4" s="1"/>
  <c r="AQ275" i="4"/>
  <c r="AT275" i="4" s="1"/>
  <c r="AZ79" i="4"/>
  <c r="BA79" i="4" s="1"/>
  <c r="AZ337" i="4"/>
  <c r="BA337" i="4" s="1"/>
  <c r="AQ271" i="4"/>
  <c r="AT271" i="4" s="1"/>
  <c r="AZ287" i="4"/>
  <c r="BA287" i="4" s="1"/>
  <c r="AQ8" i="4"/>
  <c r="AT8" i="4" s="1"/>
  <c r="AQ145" i="4"/>
  <c r="AT145" i="4" s="1"/>
  <c r="AZ327" i="4"/>
  <c r="BA327" i="4" s="1"/>
  <c r="AQ46" i="4"/>
  <c r="AQ297" i="4"/>
  <c r="AT297" i="4" s="1"/>
  <c r="AZ307" i="4"/>
  <c r="BA307" i="4" s="1"/>
  <c r="AQ263" i="4"/>
  <c r="AE8" i="2"/>
  <c r="AT148" i="4" l="1"/>
  <c r="AT46" i="4"/>
  <c r="AT263" i="4"/>
  <c r="BA109" i="4"/>
  <c r="AT78" i="4"/>
  <c r="AI342" i="1"/>
  <c r="AN342" i="1"/>
  <c r="AL342" i="1"/>
  <c r="AO342" i="1"/>
  <c r="AP342" i="1"/>
  <c r="AQ342" i="1"/>
  <c r="AR342" i="1"/>
  <c r="AS342" i="1"/>
  <c r="AT342" i="1"/>
  <c r="I336" i="21"/>
  <c r="I292" i="21"/>
  <c r="I280" i="21"/>
  <c r="I254" i="21"/>
  <c r="I253" i="21"/>
  <c r="I236" i="21"/>
  <c r="I232" i="21"/>
  <c r="I223" i="21"/>
  <c r="I211" i="21"/>
  <c r="I209" i="21"/>
  <c r="I204" i="21"/>
  <c r="I195" i="21"/>
  <c r="I184" i="21"/>
  <c r="I179" i="21"/>
  <c r="I176" i="21"/>
  <c r="I166" i="21"/>
  <c r="I164" i="21"/>
  <c r="I150" i="21"/>
  <c r="I134" i="21"/>
  <c r="I121" i="21"/>
  <c r="I112" i="21"/>
  <c r="I109" i="21"/>
  <c r="I107" i="21"/>
  <c r="I105" i="21"/>
  <c r="I104" i="21"/>
  <c r="I91" i="21"/>
  <c r="I19" i="21"/>
  <c r="I13" i="21"/>
  <c r="I263" i="21"/>
  <c r="I262" i="21"/>
  <c r="I256" i="21"/>
  <c r="I255" i="21"/>
  <c r="D4" i="19"/>
  <c r="D5" i="19"/>
  <c r="D6" i="19"/>
  <c r="D7" i="19"/>
  <c r="D8" i="19"/>
  <c r="D9" i="19"/>
  <c r="D10" i="19"/>
  <c r="D11" i="19"/>
  <c r="D12" i="19"/>
  <c r="D13" i="19"/>
  <c r="D14" i="19"/>
  <c r="D15" i="19"/>
  <c r="D16" i="19"/>
  <c r="D17" i="19"/>
  <c r="D18" i="19"/>
  <c r="D19" i="19"/>
  <c r="D20" i="19"/>
  <c r="D21" i="19"/>
  <c r="D22" i="19"/>
  <c r="D23" i="19"/>
  <c r="D24" i="19"/>
  <c r="D25" i="19"/>
  <c r="D26" i="19"/>
  <c r="D27" i="19"/>
  <c r="D28" i="19"/>
  <c r="D29" i="19"/>
  <c r="D30" i="19"/>
  <c r="D31" i="19"/>
  <c r="D32" i="19"/>
  <c r="D33" i="19"/>
  <c r="D34" i="19"/>
  <c r="D35" i="19"/>
  <c r="D36" i="19"/>
  <c r="D37" i="19"/>
  <c r="D38" i="19"/>
  <c r="D39" i="19"/>
  <c r="D40" i="19"/>
  <c r="D41" i="19"/>
  <c r="D42" i="19"/>
  <c r="D43" i="19"/>
  <c r="T342" i="1" l="1"/>
  <c r="Q342" i="1"/>
  <c r="S342" i="1"/>
  <c r="X342" i="1"/>
  <c r="BF342" i="1"/>
  <c r="U342" i="1"/>
  <c r="R342" i="1"/>
  <c r="W342" i="1"/>
  <c r="BE342" i="1"/>
  <c r="BG342" i="1"/>
  <c r="V342" i="1"/>
  <c r="I322" i="21"/>
  <c r="I321" i="21"/>
  <c r="I159" i="21"/>
  <c r="I158" i="21"/>
  <c r="I156" i="21"/>
  <c r="I155" i="21"/>
  <c r="AK342" i="1" l="1"/>
  <c r="AJ342" i="1"/>
  <c r="AM342" i="1"/>
  <c r="AU342" i="1"/>
  <c r="D80" i="6" a="1"/>
  <c r="D80" i="6" l="1"/>
  <c r="I266" i="21"/>
  <c r="D266" i="21" a="1"/>
  <c r="D266" i="21" s="1"/>
  <c r="A266" i="21" a="1"/>
  <c r="A266" i="21" s="1"/>
  <c r="BR342" i="4" l="1"/>
  <c r="BT342" i="4"/>
  <c r="M266" i="21"/>
  <c r="L266" i="21"/>
  <c r="K266" i="21"/>
  <c r="J266" i="21"/>
  <c r="BP342" i="4" l="1"/>
  <c r="BV342" i="10"/>
  <c r="BT342" i="10"/>
  <c r="BQ342" i="4"/>
  <c r="BS342" i="4"/>
  <c r="BS342" i="10" l="1"/>
  <c r="BR342" i="10"/>
  <c r="BU342" i="10"/>
  <c r="BU342" i="4"/>
  <c r="J306" i="12"/>
  <c r="E306" i="12" a="1"/>
  <c r="E306" i="12" s="1"/>
  <c r="J305" i="12"/>
  <c r="E305" i="12" a="1"/>
  <c r="E305" i="12" s="1"/>
  <c r="J304" i="12"/>
  <c r="E304" i="12" a="1"/>
  <c r="E304" i="12" s="1"/>
  <c r="J303" i="12"/>
  <c r="E303" i="12" a="1"/>
  <c r="E303" i="12" s="1"/>
  <c r="J302" i="12"/>
  <c r="E302" i="12" a="1"/>
  <c r="E302" i="12" s="1"/>
  <c r="J301" i="12"/>
  <c r="E301" i="12" a="1"/>
  <c r="E301" i="12" s="1"/>
  <c r="J300" i="12"/>
  <c r="E300" i="12" a="1"/>
  <c r="E300" i="12" s="1"/>
  <c r="J299" i="12"/>
  <c r="E299" i="12" a="1"/>
  <c r="E299" i="12" s="1"/>
  <c r="J298" i="12"/>
  <c r="E298" i="12" a="1"/>
  <c r="E298" i="12" s="1"/>
  <c r="E297" i="12" a="1"/>
  <c r="E297" i="12" s="1"/>
  <c r="E296" i="12" a="1"/>
  <c r="E296" i="12" s="1"/>
  <c r="E295" i="12" a="1"/>
  <c r="E295" i="12" s="1"/>
  <c r="J294" i="12"/>
  <c r="E294" i="12" a="1"/>
  <c r="E294" i="12" s="1"/>
  <c r="J293" i="12"/>
  <c r="E293" i="12" a="1"/>
  <c r="E293" i="12" s="1"/>
  <c r="J292" i="12"/>
  <c r="E292" i="12" a="1"/>
  <c r="E292" i="12" s="1"/>
  <c r="J291" i="12"/>
  <c r="E291" i="12" a="1"/>
  <c r="E291" i="12" s="1"/>
  <c r="J290" i="12"/>
  <c r="E290" i="12" a="1"/>
  <c r="E290" i="12" s="1"/>
  <c r="J289" i="12"/>
  <c r="E289" i="12" a="1"/>
  <c r="E289" i="12" s="1"/>
  <c r="J288" i="12"/>
  <c r="E288" i="12" a="1"/>
  <c r="E288" i="12" s="1"/>
  <c r="J287" i="12"/>
  <c r="E287" i="12" a="1"/>
  <c r="E287" i="12" s="1"/>
  <c r="E286" i="12" a="1"/>
  <c r="E286" i="12" s="1"/>
  <c r="J285" i="12"/>
  <c r="E285" i="12" a="1"/>
  <c r="E285" i="12" s="1"/>
  <c r="J284" i="12"/>
  <c r="E284" i="12" a="1"/>
  <c r="E284" i="12" s="1"/>
  <c r="J283" i="12"/>
  <c r="E283" i="12" a="1"/>
  <c r="E283" i="12" s="1"/>
  <c r="BW342" i="10" l="1"/>
  <c r="I294" i="12"/>
  <c r="K294" i="12" s="1"/>
  <c r="I290" i="12"/>
  <c r="K290" i="12" s="1"/>
  <c r="I299" i="12"/>
  <c r="K299" i="12" s="1"/>
  <c r="I284" i="12"/>
  <c r="K284" i="12" s="1"/>
  <c r="I285" i="12"/>
  <c r="K285" i="12" s="1"/>
  <c r="I304" i="12"/>
  <c r="K304" i="12" s="1"/>
  <c r="I305" i="12"/>
  <c r="K305" i="12" s="1"/>
  <c r="I303" i="12"/>
  <c r="K303" i="12" s="1"/>
  <c r="I287" i="12"/>
  <c r="K287" i="12" s="1"/>
  <c r="I283" i="12"/>
  <c r="K283" i="12" s="1"/>
  <c r="O342" i="4"/>
  <c r="AJ342" i="4"/>
  <c r="BK342" i="4"/>
  <c r="I298" i="12"/>
  <c r="K298" i="12" s="1"/>
  <c r="I289" i="12"/>
  <c r="K289" i="12" s="1"/>
  <c r="I300" i="12"/>
  <c r="K300" i="12" s="1"/>
  <c r="I301" i="12"/>
  <c r="K301" i="12" s="1"/>
  <c r="I306" i="12"/>
  <c r="K306" i="12" s="1"/>
  <c r="I292" i="12"/>
  <c r="K292" i="12" s="1"/>
  <c r="I288" i="12"/>
  <c r="K288" i="12" s="1"/>
  <c r="I293" i="12"/>
  <c r="K293" i="12" s="1"/>
  <c r="I302" i="12"/>
  <c r="K302" i="12" s="1"/>
  <c r="I291" i="12"/>
  <c r="K291" i="12" s="1"/>
  <c r="AX119" i="1" l="1"/>
  <c r="AX143" i="1"/>
  <c r="AX336" i="1"/>
  <c r="AX340" i="1"/>
  <c r="AX199" i="1"/>
  <c r="AX158" i="1"/>
  <c r="AX170" i="1"/>
  <c r="AX5" i="1"/>
  <c r="AX261" i="1"/>
  <c r="AY342" i="4"/>
  <c r="AX342" i="4"/>
  <c r="V342" i="4"/>
  <c r="AP342" i="4"/>
  <c r="Y342" i="4"/>
  <c r="W342" i="4"/>
  <c r="R342" i="4"/>
  <c r="AV342" i="4"/>
  <c r="U342" i="4"/>
  <c r="AM342" i="4"/>
  <c r="AS342" i="4"/>
  <c r="AZ342" i="4"/>
  <c r="AN342" i="4"/>
  <c r="AQ342" i="4"/>
  <c r="Q342" i="4"/>
  <c r="AR342" i="4"/>
  <c r="AO342" i="4"/>
  <c r="Z342" i="4"/>
  <c r="S342" i="4"/>
  <c r="T342" i="4"/>
  <c r="P342" i="4"/>
  <c r="AW342" i="4"/>
  <c r="AU342" i="4"/>
  <c r="BA342" i="4" l="1"/>
  <c r="AT342" i="4"/>
  <c r="X342" i="4"/>
  <c r="AA342" i="4" l="1"/>
  <c r="AB342" i="4" l="1"/>
  <c r="E509" i="12" l="1" a="1"/>
  <c r="E509" i="12" s="1"/>
  <c r="E507" i="12" a="1"/>
  <c r="E507" i="12" s="1"/>
  <c r="E505" i="12" a="1"/>
  <c r="E505" i="12" s="1"/>
  <c r="E504" i="12" a="1"/>
  <c r="E504" i="12" s="1"/>
  <c r="E503" i="12" a="1"/>
  <c r="E503" i="12" s="1"/>
  <c r="E496" i="12" a="1"/>
  <c r="E496" i="12" s="1"/>
  <c r="E494" i="12" a="1"/>
  <c r="E494" i="12" s="1"/>
  <c r="E493" i="12" a="1"/>
  <c r="E493" i="12" s="1"/>
  <c r="E489" i="12" a="1"/>
  <c r="E489" i="12" s="1"/>
  <c r="E488" i="12" a="1"/>
  <c r="E488" i="12" s="1"/>
  <c r="E485" i="12" a="1"/>
  <c r="E485" i="12" s="1"/>
  <c r="E484" i="12" a="1"/>
  <c r="E484" i="12" s="1"/>
  <c r="E476" i="12" a="1"/>
  <c r="E476" i="12" s="1"/>
  <c r="E475" i="12" a="1"/>
  <c r="E475" i="12" s="1"/>
  <c r="E466" i="12" a="1"/>
  <c r="E466" i="12" s="1"/>
  <c r="E464" i="12" a="1"/>
  <c r="E464" i="12" s="1"/>
  <c r="E462" i="12" a="1"/>
  <c r="E462" i="12" s="1"/>
  <c r="E461" i="12" a="1"/>
  <c r="E461" i="12" s="1"/>
  <c r="E460" i="12" a="1"/>
  <c r="E460" i="12" s="1"/>
  <c r="E458" i="12" a="1"/>
  <c r="E458" i="12" s="1"/>
  <c r="E457" i="12" a="1"/>
  <c r="E457" i="12" s="1"/>
  <c r="E456" i="12" a="1"/>
  <c r="E456" i="12" s="1"/>
  <c r="E444" i="12" a="1"/>
  <c r="E444" i="12" s="1"/>
  <c r="E443" i="12" a="1"/>
  <c r="E443" i="12" s="1"/>
  <c r="E442" i="12" a="1"/>
  <c r="E442" i="12" s="1"/>
  <c r="E441" i="12" a="1"/>
  <c r="E441" i="12" s="1"/>
  <c r="E440" i="12" a="1"/>
  <c r="E440" i="12" s="1"/>
  <c r="E439" i="12" a="1"/>
  <c r="E439" i="12" s="1"/>
  <c r="E438" i="12" a="1"/>
  <c r="E438" i="12" s="1"/>
  <c r="E437" i="12" a="1"/>
  <c r="E437" i="12" s="1"/>
  <c r="E436" i="12" a="1"/>
  <c r="E436" i="12" s="1"/>
  <c r="E419" i="12" a="1"/>
  <c r="E419" i="12" s="1"/>
  <c r="E376" i="12" a="1"/>
  <c r="E376" i="12" s="1"/>
  <c r="E375" i="12" a="1"/>
  <c r="E375" i="12" s="1"/>
  <c r="E374" i="12" a="1"/>
  <c r="E374" i="12" s="1"/>
  <c r="E372" i="12" a="1"/>
  <c r="E372" i="12" s="1"/>
  <c r="E371" i="12" a="1"/>
  <c r="E371" i="12" s="1"/>
  <c r="E370" i="12" a="1"/>
  <c r="E370" i="12" s="1"/>
  <c r="E369" i="12" a="1"/>
  <c r="E369" i="12" s="1"/>
  <c r="E365" i="12" a="1"/>
  <c r="E365" i="12" s="1"/>
  <c r="E362" i="12" a="1"/>
  <c r="E362" i="12" s="1"/>
  <c r="E353" i="12" a="1"/>
  <c r="E353" i="12" s="1"/>
  <c r="E352" i="12" a="1"/>
  <c r="E352" i="12" s="1"/>
  <c r="E351" i="12" a="1"/>
  <c r="E351" i="12" s="1"/>
  <c r="E350" i="12" a="1"/>
  <c r="E350" i="12" s="1"/>
  <c r="E342" i="12" a="1"/>
  <c r="E342" i="12" s="1"/>
  <c r="E331" i="12" a="1"/>
  <c r="E331" i="12" s="1"/>
  <c r="E324" i="12" a="1"/>
  <c r="E324" i="12" s="1"/>
  <c r="E320" i="12" a="1"/>
  <c r="E320" i="12" s="1"/>
  <c r="E309" i="12" a="1"/>
  <c r="E309" i="12" s="1"/>
  <c r="E272" i="12" a="1"/>
  <c r="E272" i="12" s="1"/>
  <c r="E262" i="12" a="1"/>
  <c r="E262" i="12" s="1"/>
  <c r="E238" i="12" a="1"/>
  <c r="E238" i="12" s="1"/>
  <c r="E214" i="12" a="1"/>
  <c r="E214" i="12" s="1"/>
  <c r="E208" i="12" a="1"/>
  <c r="E208" i="12" s="1"/>
  <c r="E198" i="12" a="1"/>
  <c r="E198" i="12" s="1"/>
  <c r="E197" i="12" a="1"/>
  <c r="E197" i="12" s="1"/>
  <c r="E196" i="12" a="1"/>
  <c r="E196" i="12" s="1"/>
  <c r="E195" i="12" a="1"/>
  <c r="E195" i="12" s="1"/>
  <c r="E194" i="12" a="1"/>
  <c r="E194" i="12" s="1"/>
  <c r="E192" i="12" a="1"/>
  <c r="E192" i="12" s="1"/>
  <c r="E191" i="12" a="1"/>
  <c r="E191" i="12" s="1"/>
  <c r="E190" i="12" a="1"/>
  <c r="E190" i="12" s="1"/>
  <c r="E186" i="12" a="1"/>
  <c r="E186" i="12" s="1"/>
  <c r="E183" i="12" a="1"/>
  <c r="E183" i="12" s="1"/>
  <c r="E176" i="12" a="1"/>
  <c r="E176" i="12" s="1"/>
  <c r="E172" i="12" a="1"/>
  <c r="E172" i="12" s="1"/>
  <c r="E171" i="12" a="1"/>
  <c r="E171" i="12" s="1"/>
  <c r="E147" i="12" a="1"/>
  <c r="E147" i="12" s="1"/>
  <c r="E146" i="12" a="1"/>
  <c r="E146" i="12" s="1"/>
  <c r="E145" i="12" a="1"/>
  <c r="E145" i="12" s="1"/>
  <c r="E134" i="12" a="1"/>
  <c r="E134" i="12" s="1"/>
  <c r="E131" i="12" a="1"/>
  <c r="E131" i="12" s="1"/>
  <c r="E130" i="12" a="1"/>
  <c r="E130" i="12" s="1"/>
  <c r="E129" i="12" a="1"/>
  <c r="E129" i="12" s="1"/>
  <c r="E128" i="12" a="1"/>
  <c r="E128" i="12" s="1"/>
  <c r="E105" i="12" a="1"/>
  <c r="E105" i="12" s="1"/>
  <c r="E86" i="12" a="1"/>
  <c r="E86" i="12" s="1"/>
  <c r="E85" i="12" a="1"/>
  <c r="E85" i="12" s="1"/>
  <c r="E76" i="12" a="1"/>
  <c r="E76" i="12" s="1"/>
  <c r="E65" i="12" a="1"/>
  <c r="E65" i="12" s="1"/>
  <c r="E64" i="12" a="1"/>
  <c r="E64" i="12" s="1"/>
  <c r="E63" i="12" a="1"/>
  <c r="E63" i="12" s="1"/>
  <c r="E59" i="12" a="1"/>
  <c r="E59" i="12" s="1"/>
  <c r="E53" i="12" a="1"/>
  <c r="E53" i="12" s="1"/>
  <c r="E46" i="12" a="1"/>
  <c r="E46" i="12" s="1"/>
  <c r="E44" i="12" a="1"/>
  <c r="E44" i="12" s="1"/>
  <c r="E40" i="12" a="1"/>
  <c r="E40" i="12" s="1"/>
  <c r="E37" i="12" a="1"/>
  <c r="E37" i="12" s="1"/>
  <c r="E31" i="12" a="1"/>
  <c r="E31" i="12" s="1"/>
  <c r="E22" i="12" a="1"/>
  <c r="E22" i="12" s="1"/>
  <c r="E21" i="12" a="1"/>
  <c r="E21" i="12" s="1"/>
  <c r="E20" i="12" a="1"/>
  <c r="E20" i="12" s="1"/>
  <c r="E19" i="12" a="1"/>
  <c r="E19" i="12" s="1"/>
  <c r="E18" i="12" a="1"/>
  <c r="E18" i="12" s="1"/>
  <c r="E17" i="12" a="1"/>
  <c r="E17" i="12" s="1"/>
  <c r="E15" i="12" a="1"/>
  <c r="E15" i="12" s="1"/>
  <c r="E13" i="12" a="1"/>
  <c r="E13" i="12" s="1"/>
  <c r="E10" i="12" a="1"/>
  <c r="E10" i="12" s="1"/>
  <c r="J326" i="12"/>
  <c r="J327" i="12"/>
  <c r="J328" i="12"/>
  <c r="J329" i="12"/>
  <c r="J330" i="12"/>
  <c r="J332" i="12"/>
  <c r="J333" i="12"/>
  <c r="J334" i="12"/>
  <c r="J335" i="12"/>
  <c r="J336" i="12"/>
  <c r="J339" i="12"/>
  <c r="J340" i="12"/>
  <c r="J341" i="12"/>
  <c r="J343" i="12"/>
  <c r="J344" i="12"/>
  <c r="J345" i="12"/>
  <c r="J346" i="12"/>
  <c r="J347" i="12"/>
  <c r="J348" i="12"/>
  <c r="J472" i="12"/>
  <c r="J473" i="12"/>
  <c r="J474" i="12"/>
  <c r="J477" i="12"/>
  <c r="J479" i="12"/>
  <c r="J500" i="12"/>
  <c r="J501" i="12"/>
  <c r="J502" i="12"/>
  <c r="J123" i="12"/>
  <c r="J124" i="12"/>
  <c r="J125" i="12"/>
  <c r="J126" i="12"/>
  <c r="J139" i="12"/>
  <c r="J140" i="12"/>
  <c r="J142" i="12"/>
  <c r="J144" i="12"/>
  <c r="J212" i="12"/>
  <c r="J213" i="12"/>
  <c r="J215" i="12"/>
  <c r="J216" i="12"/>
  <c r="J217" i="12"/>
  <c r="J218" i="12"/>
  <c r="J219" i="12"/>
  <c r="J220" i="12"/>
  <c r="J221" i="12"/>
  <c r="J222" i="12"/>
  <c r="J226" i="12"/>
  <c r="J227" i="12"/>
  <c r="J228" i="12"/>
  <c r="J229" i="12"/>
  <c r="J230" i="12"/>
  <c r="J231" i="12"/>
  <c r="J232" i="12"/>
  <c r="J233" i="12"/>
  <c r="J234" i="12"/>
  <c r="J236" i="12"/>
  <c r="J237" i="12"/>
  <c r="J239" i="12"/>
  <c r="J240" i="12"/>
  <c r="J241" i="12"/>
  <c r="J242" i="12"/>
  <c r="J243" i="12"/>
  <c r="J244" i="12"/>
  <c r="J245" i="12"/>
  <c r="J246" i="12"/>
  <c r="J251" i="12"/>
  <c r="J252" i="12"/>
  <c r="J253" i="12"/>
  <c r="J254" i="12"/>
  <c r="J255" i="12"/>
  <c r="J256" i="12"/>
  <c r="J257" i="12"/>
  <c r="J258" i="12"/>
  <c r="J260" i="12"/>
  <c r="J261" i="12"/>
  <c r="J263" i="12"/>
  <c r="J264" i="12"/>
  <c r="J265" i="12"/>
  <c r="J266" i="12"/>
  <c r="J267" i="12"/>
  <c r="J268" i="12"/>
  <c r="J269" i="12"/>
  <c r="J270" i="12"/>
  <c r="J274" i="12"/>
  <c r="J275" i="12"/>
  <c r="J276" i="12"/>
  <c r="J277" i="12"/>
  <c r="J278" i="12"/>
  <c r="J279" i="12"/>
  <c r="J280" i="12"/>
  <c r="J281" i="12"/>
  <c r="J282" i="12"/>
  <c r="J308" i="12"/>
  <c r="J310" i="12"/>
  <c r="J311" i="12"/>
  <c r="J312" i="12"/>
  <c r="J313" i="12"/>
  <c r="J314" i="12"/>
  <c r="J317" i="12"/>
  <c r="J318" i="12"/>
  <c r="J25" i="12"/>
  <c r="J26" i="12"/>
  <c r="J28" i="12"/>
  <c r="J29" i="12"/>
  <c r="J30" i="12"/>
  <c r="J32" i="12"/>
  <c r="J34" i="12"/>
  <c r="J35" i="12"/>
  <c r="J38" i="12"/>
  <c r="J39" i="12"/>
  <c r="J41" i="12"/>
  <c r="J42" i="12"/>
  <c r="J43" i="12"/>
  <c r="J45" i="12"/>
  <c r="J47" i="12"/>
  <c r="J48" i="12"/>
  <c r="J51" i="12"/>
  <c r="J52" i="12"/>
  <c r="J54" i="12"/>
  <c r="J55" i="12"/>
  <c r="J56" i="12"/>
  <c r="J58" i="12"/>
  <c r="J60" i="12"/>
  <c r="J61" i="12"/>
  <c r="E478" i="12" l="1" a="1"/>
  <c r="E478" i="12" s="1"/>
  <c r="J23" i="12"/>
  <c r="J495" i="12"/>
  <c r="J491" i="12"/>
  <c r="J235" i="12"/>
  <c r="J307" i="12"/>
  <c r="J499" i="12"/>
  <c r="J7" i="12"/>
  <c r="J207" i="12"/>
  <c r="J471" i="12"/>
  <c r="J487" i="12"/>
  <c r="J49" i="12"/>
  <c r="J467" i="12"/>
  <c r="J377" i="12"/>
  <c r="J211" i="12"/>
  <c r="J36" i="12"/>
  <c r="J463" i="12"/>
  <c r="J373" i="12"/>
  <c r="J259" i="12"/>
  <c r="J514" i="12"/>
  <c r="J62" i="12"/>
  <c r="J325" i="12"/>
  <c r="J506" i="12"/>
  <c r="J451" i="12"/>
  <c r="J355" i="12"/>
  <c r="J319" i="12"/>
  <c r="J137" i="12"/>
  <c r="J455" i="12"/>
  <c r="J349" i="12"/>
  <c r="J133" i="12"/>
  <c r="E521" i="12" a="1"/>
  <c r="E521" i="12" s="1"/>
  <c r="J510" i="12"/>
  <c r="E420" i="12" a="1"/>
  <c r="E420" i="12" s="1"/>
  <c r="E368" i="12" a="1"/>
  <c r="E368" i="12" s="1"/>
  <c r="E14" i="12" a="1"/>
  <c r="E14" i="12" s="1"/>
  <c r="E413" i="12" a="1"/>
  <c r="E413" i="12" s="1"/>
  <c r="E432" i="12" a="1"/>
  <c r="E432" i="12" s="1"/>
  <c r="E434" i="12" a="1"/>
  <c r="E434" i="12" s="1"/>
  <c r="E452" i="12" a="1"/>
  <c r="E452" i="12" s="1"/>
  <c r="E127" i="12" a="1"/>
  <c r="E127" i="12" s="1"/>
  <c r="E141" i="12" a="1"/>
  <c r="E141" i="12" s="1"/>
  <c r="E202" i="12" a="1"/>
  <c r="E202" i="12" s="1"/>
  <c r="E201" i="12" a="1"/>
  <c r="E201" i="12" s="1"/>
  <c r="E322" i="12" a="1"/>
  <c r="E322" i="12" s="1"/>
  <c r="E364" i="12" a="1"/>
  <c r="E364" i="12" s="1"/>
  <c r="E165" i="12" a="1"/>
  <c r="E165" i="12" s="1"/>
  <c r="E486" i="12" a="1"/>
  <c r="E486" i="12" s="1"/>
  <c r="E435" i="12" a="1"/>
  <c r="E435" i="12" s="1"/>
  <c r="E161" i="12" a="1"/>
  <c r="E161" i="12" s="1"/>
  <c r="E206" i="12" a="1"/>
  <c r="E206" i="12" s="1"/>
  <c r="E518" i="12" a="1"/>
  <c r="E518" i="12" s="1"/>
  <c r="E433" i="12" a="1"/>
  <c r="E433" i="12" s="1"/>
  <c r="E224" i="12" a="1"/>
  <c r="E224" i="12" s="1"/>
  <c r="E323" i="12" a="1"/>
  <c r="E323" i="12" s="1"/>
  <c r="E465" i="12" a="1"/>
  <c r="E465" i="12" s="1"/>
  <c r="E175" i="12" a="1"/>
  <c r="E175" i="12" s="1"/>
  <c r="E174" i="12" a="1"/>
  <c r="E174" i="12" s="1"/>
  <c r="E391" i="12" a="1"/>
  <c r="E391" i="12" s="1"/>
  <c r="E354" i="12" a="1"/>
  <c r="E354" i="12" s="1"/>
  <c r="E173" i="12" a="1"/>
  <c r="E173" i="12" s="1"/>
  <c r="E170" i="12" a="1"/>
  <c r="E170" i="12" s="1"/>
  <c r="E185" i="12" a="1"/>
  <c r="E185" i="12" s="1"/>
  <c r="E397" i="12" a="1"/>
  <c r="E397" i="12" s="1"/>
  <c r="E398" i="12" a="1"/>
  <c r="E398" i="12" s="1"/>
  <c r="E199" i="12" a="1"/>
  <c r="E199" i="12" s="1"/>
  <c r="E508" i="12" a="1"/>
  <c r="E508" i="12" s="1"/>
  <c r="E117" i="12" a="1"/>
  <c r="E117" i="12" s="1"/>
  <c r="E112" i="12" a="1"/>
  <c r="E112" i="12" s="1"/>
  <c r="E210" i="12" a="1"/>
  <c r="E210" i="12" s="1"/>
  <c r="E113" i="12" a="1"/>
  <c r="E113" i="12" s="1"/>
  <c r="E490" i="12" a="1"/>
  <c r="E490" i="12" s="1"/>
  <c r="E209" i="12" a="1"/>
  <c r="E209" i="12" s="1"/>
  <c r="E122" i="12" a="1"/>
  <c r="E122" i="12" s="1"/>
  <c r="E321" i="12" a="1"/>
  <c r="E321" i="12" s="1"/>
  <c r="E24" i="12" a="1"/>
  <c r="E24" i="12" s="1"/>
  <c r="E57" i="12" a="1"/>
  <c r="E57" i="12" s="1"/>
  <c r="E515" i="12" a="1"/>
  <c r="E515" i="12" s="1"/>
  <c r="E516" i="12" a="1"/>
  <c r="E516" i="12" s="1"/>
  <c r="E200" i="12" a="1"/>
  <c r="E200" i="12" s="1"/>
  <c r="E178" i="12" a="1"/>
  <c r="E178" i="12" s="1"/>
  <c r="E179" i="12" a="1"/>
  <c r="E179" i="12" s="1"/>
  <c r="E498" i="12" a="1"/>
  <c r="E498" i="12" s="1"/>
  <c r="E356" i="12" a="1"/>
  <c r="E356" i="12" s="1"/>
  <c r="E431" i="12" a="1"/>
  <c r="E431" i="12" s="1"/>
  <c r="E454" i="12" a="1"/>
  <c r="E454" i="12" s="1"/>
  <c r="E177" i="12" a="1"/>
  <c r="E177" i="12" s="1"/>
  <c r="E497" i="12" a="1"/>
  <c r="E497" i="12" s="1"/>
  <c r="E445" i="12" a="1"/>
  <c r="E445" i="12" s="1"/>
  <c r="E379" i="12" a="1"/>
  <c r="E379" i="12" s="1"/>
  <c r="E155" i="12" a="1"/>
  <c r="E155" i="12" s="1"/>
  <c r="E357" i="12" a="1"/>
  <c r="E357" i="12" s="1"/>
  <c r="E449" i="12" a="1"/>
  <c r="E449" i="12" s="1"/>
  <c r="E358" i="12" a="1"/>
  <c r="E358" i="12" s="1"/>
  <c r="E450" i="12" a="1"/>
  <c r="E450" i="12" s="1"/>
  <c r="E453" i="12" a="1"/>
  <c r="E453" i="12" s="1"/>
  <c r="E378" i="12" a="1"/>
  <c r="E378" i="12" s="1"/>
  <c r="E223" i="12" a="1"/>
  <c r="E223" i="12" s="1"/>
  <c r="E402" i="12" a="1"/>
  <c r="E402" i="12" s="1"/>
  <c r="E519" i="12" a="1"/>
  <c r="E519" i="12" s="1"/>
  <c r="E520" i="12" a="1"/>
  <c r="E520" i="12" s="1"/>
  <c r="E12" i="12" a="1"/>
  <c r="E12" i="12" s="1"/>
  <c r="E511" i="12" a="1"/>
  <c r="E511" i="12" s="1"/>
  <c r="E512" i="12" a="1"/>
  <c r="E512" i="12" s="1"/>
  <c r="E383" i="12" a="1"/>
  <c r="E383" i="12" s="1"/>
  <c r="E33" i="12" a="1"/>
  <c r="E33" i="12" s="1"/>
  <c r="E16" i="12" a="1"/>
  <c r="E16" i="12" s="1"/>
  <c r="E91" i="12" a="1"/>
  <c r="E91" i="12" s="1"/>
  <c r="E366" i="12" a="1"/>
  <c r="E366" i="12" s="1"/>
  <c r="E193" i="12" a="1"/>
  <c r="E193" i="12" s="1"/>
  <c r="E247" i="12" a="1"/>
  <c r="E247" i="12" s="1"/>
  <c r="E315" i="12" a="1"/>
  <c r="E315" i="12" s="1"/>
  <c r="E381" i="12" a="1"/>
  <c r="E381" i="12" s="1"/>
  <c r="E469" i="12" a="1"/>
  <c r="E469" i="12" s="1"/>
  <c r="E448" i="12" a="1"/>
  <c r="E448" i="12" s="1"/>
  <c r="E138" i="12" a="1"/>
  <c r="E138" i="12" s="1"/>
  <c r="E205" i="12" a="1"/>
  <c r="E205" i="12" s="1"/>
  <c r="E27" i="12" a="1"/>
  <c r="E27" i="12" s="1"/>
  <c r="E184" i="12" a="1"/>
  <c r="E184" i="12" s="1"/>
  <c r="E337" i="12" a="1"/>
  <c r="E337" i="12" s="1"/>
  <c r="E492" i="12" a="1"/>
  <c r="E492" i="12" s="1"/>
  <c r="E249" i="12" a="1"/>
  <c r="E249" i="12" s="1"/>
  <c r="E273" i="12" a="1"/>
  <c r="E273" i="12" s="1"/>
  <c r="E425" i="12" a="1"/>
  <c r="E425" i="12" s="1"/>
  <c r="E8" i="12" a="1"/>
  <c r="E8" i="12" s="1"/>
  <c r="E517" i="12" a="1"/>
  <c r="E517" i="12" s="1"/>
  <c r="E136" i="12" a="1"/>
  <c r="E136" i="12" s="1"/>
  <c r="E225" i="12" a="1"/>
  <c r="E225" i="12" s="1"/>
  <c r="E447" i="12" a="1"/>
  <c r="E447" i="12" s="1"/>
  <c r="E316" i="12" a="1"/>
  <c r="E316" i="12" s="1"/>
  <c r="E338" i="12" a="1"/>
  <c r="E338" i="12" s="1"/>
  <c r="E382" i="12" a="1"/>
  <c r="E382" i="12" s="1"/>
  <c r="E50" i="12" a="1"/>
  <c r="E50" i="12" s="1"/>
  <c r="E182" i="12" a="1"/>
  <c r="E182" i="12" s="1"/>
  <c r="E360" i="12" a="1"/>
  <c r="E360" i="12" s="1"/>
  <c r="E513" i="12" a="1"/>
  <c r="E513" i="12" s="1"/>
  <c r="E363" i="12" a="1"/>
  <c r="E363" i="12" s="1"/>
  <c r="E181" i="12" a="1"/>
  <c r="E181" i="12" s="1"/>
  <c r="E248" i="12" a="1"/>
  <c r="E248" i="12" s="1"/>
  <c r="E470" i="12" a="1"/>
  <c r="E470" i="12" s="1"/>
  <c r="E271" i="12" a="1"/>
  <c r="E271" i="12" s="1"/>
  <c r="E180" i="12" a="1"/>
  <c r="E180" i="12" s="1"/>
  <c r="E359" i="12" a="1"/>
  <c r="E359" i="12" s="1"/>
  <c r="E203" i="12" a="1"/>
  <c r="E203" i="12" s="1"/>
  <c r="E204" i="12" a="1"/>
  <c r="E204" i="12" s="1"/>
  <c r="E162" i="12" a="1"/>
  <c r="E162" i="12" s="1"/>
  <c r="E135" i="12" a="1"/>
  <c r="E135" i="12" s="1"/>
  <c r="E380" i="12" a="1"/>
  <c r="E380" i="12" s="1"/>
  <c r="E446" i="12" a="1"/>
  <c r="E446" i="12" s="1"/>
  <c r="E468" i="12" a="1"/>
  <c r="E468" i="12" s="1"/>
  <c r="E143" i="12" a="1"/>
  <c r="E143" i="12" s="1"/>
  <c r="E189" i="12" a="1"/>
  <c r="E189" i="12" s="1"/>
  <c r="E11" i="12" a="1"/>
  <c r="E11" i="12" s="1"/>
  <c r="E188" i="12" a="1"/>
  <c r="E188" i="12" s="1"/>
  <c r="J250" i="12"/>
  <c r="E310" i="12" l="1" a="1"/>
  <c r="E310" i="12" s="1"/>
  <c r="I310" i="12" s="1"/>
  <c r="K310" i="12" s="1"/>
  <c r="E264" i="12" a="1"/>
  <c r="E264" i="12" s="1"/>
  <c r="I264" i="12" s="1"/>
  <c r="K264" i="12" s="1"/>
  <c r="E330" i="12" a="1"/>
  <c r="E330" i="12" s="1"/>
  <c r="I330" i="12" s="1"/>
  <c r="K330" i="12" s="1"/>
  <c r="E240" i="12" a="1"/>
  <c r="E240" i="12" s="1"/>
  <c r="I240" i="12" s="1"/>
  <c r="K240" i="12" s="1"/>
  <c r="E107" i="12" a="1"/>
  <c r="E107" i="12" s="1"/>
  <c r="E416" i="12" a="1"/>
  <c r="E416" i="12" s="1"/>
  <c r="E394" i="12" a="1"/>
  <c r="E394" i="12" s="1"/>
  <c r="E219" i="12" a="1"/>
  <c r="E219" i="12" s="1"/>
  <c r="I219" i="12" s="1"/>
  <c r="K219" i="12" s="1"/>
  <c r="E108" i="12" a="1"/>
  <c r="E108" i="12" s="1"/>
  <c r="E260" i="12" a="1"/>
  <c r="E260" i="12" s="1"/>
  <c r="I260" i="12" s="1"/>
  <c r="K260" i="12" s="1"/>
  <c r="E216" i="12" a="1"/>
  <c r="E216" i="12" s="1"/>
  <c r="I216" i="12" s="1"/>
  <c r="K216" i="12" s="1"/>
  <c r="E61" i="12" a="1"/>
  <c r="E61" i="12" s="1"/>
  <c r="I61" i="12" s="1"/>
  <c r="K61" i="12" s="1"/>
  <c r="E421" i="12" a="1"/>
  <c r="E421" i="12" s="1"/>
  <c r="E393" i="12" a="1"/>
  <c r="E393" i="12" s="1"/>
  <c r="E142" i="12" a="1"/>
  <c r="E142" i="12" s="1"/>
  <c r="I142" i="12" s="1"/>
  <c r="K142" i="12" s="1"/>
  <c r="E390" i="12" a="1"/>
  <c r="E390" i="12" s="1"/>
  <c r="E212" i="12" a="1"/>
  <c r="E212" i="12" s="1"/>
  <c r="I212" i="12" s="1"/>
  <c r="K212" i="12" s="1"/>
  <c r="E167" i="12" a="1"/>
  <c r="E167" i="12" s="1"/>
  <c r="E140" i="12" a="1"/>
  <c r="E140" i="12" s="1"/>
  <c r="I140" i="12" s="1"/>
  <c r="K140" i="12" s="1"/>
  <c r="E67" i="12" a="1"/>
  <c r="E67" i="12" s="1"/>
  <c r="E318" i="12" a="1"/>
  <c r="E318" i="12" s="1"/>
  <c r="I318" i="12" s="1"/>
  <c r="K318" i="12" s="1"/>
  <c r="E267" i="12" a="1"/>
  <c r="E267" i="12" s="1"/>
  <c r="I267" i="12" s="1"/>
  <c r="K267" i="12" s="1"/>
  <c r="E116" i="12" a="1"/>
  <c r="E116" i="12" s="1"/>
  <c r="E164" i="12" a="1"/>
  <c r="E164" i="12" s="1"/>
  <c r="E35" i="12" a="1"/>
  <c r="E35" i="12" s="1"/>
  <c r="I35" i="12" s="1"/>
  <c r="K35" i="12" s="1"/>
  <c r="E340" i="12" a="1"/>
  <c r="E340" i="12" s="1"/>
  <c r="I340" i="12" s="1"/>
  <c r="K340" i="12" s="1"/>
  <c r="E60" i="12" a="1"/>
  <c r="E60" i="12" s="1"/>
  <c r="I60" i="12" s="1"/>
  <c r="K60" i="12" s="1"/>
  <c r="E384" i="12" a="1"/>
  <c r="E384" i="12" s="1"/>
  <c r="E313" i="12" a="1"/>
  <c r="E313" i="12" s="1"/>
  <c r="I313" i="12" s="1"/>
  <c r="K313" i="12" s="1"/>
  <c r="E312" i="12" a="1"/>
  <c r="E312" i="12" s="1"/>
  <c r="I312" i="12" s="1"/>
  <c r="K312" i="12" s="1"/>
  <c r="E415" i="12" a="1"/>
  <c r="E415" i="12" s="1"/>
  <c r="E243" i="12" a="1"/>
  <c r="E243" i="12" s="1"/>
  <c r="I243" i="12" s="1"/>
  <c r="K243" i="12" s="1"/>
  <c r="E38" i="12" a="1"/>
  <c r="E38" i="12" s="1"/>
  <c r="I38" i="12" s="1"/>
  <c r="K38" i="12" s="1"/>
  <c r="E90" i="12" a="1"/>
  <c r="E90" i="12" s="1"/>
  <c r="E412" i="12" a="1"/>
  <c r="E412" i="12" s="1"/>
  <c r="E236" i="12" a="1"/>
  <c r="E236" i="12" s="1"/>
  <c r="I236" i="12" s="1"/>
  <c r="K236" i="12" s="1"/>
  <c r="E137" i="12" a="1"/>
  <c r="E137" i="12" s="1"/>
  <c r="I137" i="12" s="1"/>
  <c r="K137" i="12" s="1"/>
  <c r="E89" i="12" a="1"/>
  <c r="E89" i="12" s="1"/>
  <c r="E401" i="12" a="1"/>
  <c r="E401" i="12" s="1"/>
  <c r="E333" i="12" a="1"/>
  <c r="E333" i="12" s="1"/>
  <c r="I333" i="12" s="1"/>
  <c r="K333" i="12" s="1"/>
  <c r="E325" i="12" a="1"/>
  <c r="E325" i="12" s="1"/>
  <c r="I325" i="12" s="1"/>
  <c r="K325" i="12" s="1"/>
  <c r="E158" i="12" a="1"/>
  <c r="E158" i="12" s="1"/>
  <c r="E81" i="12" a="1"/>
  <c r="E81" i="12" s="1"/>
  <c r="E125" i="12" a="1"/>
  <c r="E125" i="12" s="1"/>
  <c r="I125" i="12" s="1"/>
  <c r="K125" i="12" s="1"/>
  <c r="E80" i="12" a="1"/>
  <c r="E80" i="12" s="1"/>
  <c r="E156" i="12" a="1"/>
  <c r="E156" i="12" s="1"/>
  <c r="E79" i="12" a="1"/>
  <c r="E79" i="12" s="1"/>
  <c r="E104" i="12" a="1"/>
  <c r="E104" i="12" s="1"/>
  <c r="E275" i="12" a="1"/>
  <c r="E275" i="12" s="1"/>
  <c r="I275" i="12" s="1"/>
  <c r="K275" i="12" s="1"/>
  <c r="E25" i="12" a="1"/>
  <c r="E25" i="12" s="1"/>
  <c r="I25" i="12" s="1"/>
  <c r="K25" i="12" s="1"/>
  <c r="E400" i="12" a="1"/>
  <c r="E400" i="12" s="1"/>
  <c r="E51" i="12" a="1"/>
  <c r="E51" i="12" s="1"/>
  <c r="I51" i="12" s="1"/>
  <c r="K51" i="12" s="1"/>
  <c r="E126" i="12" a="1"/>
  <c r="E126" i="12" s="1"/>
  <c r="I126" i="12" s="1"/>
  <c r="K126" i="12" s="1"/>
  <c r="E124" i="12" a="1"/>
  <c r="E124" i="12" s="1"/>
  <c r="I124" i="12" s="1"/>
  <c r="K124" i="12" s="1"/>
  <c r="E424" i="12" a="1"/>
  <c r="E424" i="12" s="1"/>
  <c r="E148" i="12" a="1"/>
  <c r="E148" i="12" s="1"/>
  <c r="E423" i="12" a="1"/>
  <c r="E423" i="12" s="1"/>
  <c r="E75" i="12" a="1"/>
  <c r="E75" i="12" s="1"/>
  <c r="E144" i="12" a="1"/>
  <c r="E144" i="12" s="1"/>
  <c r="I144" i="12" s="1"/>
  <c r="K144" i="12" s="1"/>
  <c r="E98" i="12" a="1"/>
  <c r="E98" i="12" s="1"/>
  <c r="E132" i="12" l="1" a="1"/>
  <c r="E132" i="12" s="1"/>
  <c r="E334" i="12" a="1"/>
  <c r="E334" i="12" s="1"/>
  <c r="I334" i="12" s="1"/>
  <c r="K334" i="12" s="1"/>
  <c r="E227" i="12" a="1"/>
  <c r="E227" i="12" s="1"/>
  <c r="I227" i="12" s="1"/>
  <c r="K227" i="12" s="1"/>
  <c r="E407" i="12" a="1"/>
  <c r="E407" i="12" s="1"/>
  <c r="E77" i="12" a="1"/>
  <c r="E77" i="12" s="1"/>
  <c r="E47" i="12" a="1"/>
  <c r="E47" i="12" s="1"/>
  <c r="I47" i="12" s="1"/>
  <c r="K47" i="12" s="1"/>
  <c r="E48" i="12" a="1"/>
  <c r="E48" i="12" s="1"/>
  <c r="I48" i="12" s="1"/>
  <c r="K48" i="12" s="1"/>
  <c r="E251" i="12" a="1"/>
  <c r="E251" i="12" s="1"/>
  <c r="I251" i="12" s="1"/>
  <c r="K251" i="12" s="1"/>
  <c r="E34" i="12" a="1"/>
  <c r="E34" i="12" s="1"/>
  <c r="I34" i="12" s="1"/>
  <c r="K34" i="12" s="1"/>
  <c r="E314" i="12" a="1"/>
  <c r="E314" i="12" s="1"/>
  <c r="I314" i="12" s="1"/>
  <c r="K314" i="12" s="1"/>
  <c r="E341" i="12" a="1"/>
  <c r="E341" i="12" s="1"/>
  <c r="I341" i="12" s="1"/>
  <c r="K341" i="12" s="1"/>
  <c r="E115" i="12" a="1"/>
  <c r="E115" i="12" s="1"/>
  <c r="E87" i="12" a="1"/>
  <c r="E87" i="12" s="1"/>
  <c r="E349" i="12" l="1" a="1"/>
  <c r="E349" i="12" s="1"/>
  <c r="I349" i="12" s="1"/>
  <c r="K349" i="12" s="1"/>
  <c r="E355" i="12" a="1"/>
  <c r="E355" i="12" s="1"/>
  <c r="I355" i="12" s="1"/>
  <c r="K355" i="12" s="1"/>
  <c r="E361" i="12" a="1"/>
  <c r="E361" i="12" s="1"/>
  <c r="E367" i="12" a="1"/>
  <c r="E367" i="12" s="1"/>
  <c r="E319" i="12" a="1"/>
  <c r="E319" i="12" s="1"/>
  <c r="I319" i="12" s="1"/>
  <c r="K319" i="12" s="1"/>
  <c r="E258" i="12" a="1"/>
  <c r="E258" i="12" s="1"/>
  <c r="I258" i="12" s="1"/>
  <c r="K258" i="12" s="1"/>
  <c r="E282" i="12" a="1"/>
  <c r="E282" i="12" s="1"/>
  <c r="I282" i="12" s="1"/>
  <c r="K282" i="12" s="1"/>
  <c r="E234" i="12" a="1"/>
  <c r="E234" i="12" s="1"/>
  <c r="I234" i="12" s="1"/>
  <c r="K234" i="12" s="1"/>
  <c r="E28" i="12" a="1"/>
  <c r="E28" i="12" s="1"/>
  <c r="I28" i="12" s="1"/>
  <c r="K28" i="12" s="1"/>
  <c r="E41" i="12" a="1"/>
  <c r="E41" i="12" s="1"/>
  <c r="I41" i="12" s="1"/>
  <c r="K41" i="12" s="1"/>
  <c r="E54" i="12" a="1"/>
  <c r="E54" i="12" s="1"/>
  <c r="I54" i="12" s="1"/>
  <c r="K54" i="12" s="1"/>
  <c r="E408" i="12" a="1"/>
  <c r="E408" i="12" s="1"/>
  <c r="E139" i="12" a="1"/>
  <c r="E139" i="12" s="1"/>
  <c r="I139" i="12" s="1"/>
  <c r="K139" i="12" s="1"/>
  <c r="E514" i="12" a="1"/>
  <c r="E514" i="12" s="1"/>
  <c r="I514" i="12" s="1"/>
  <c r="K514" i="12" s="1"/>
  <c r="E463" i="12" a="1"/>
  <c r="E463" i="12" s="1"/>
  <c r="I463" i="12" s="1"/>
  <c r="K463" i="12" s="1"/>
  <c r="E263" i="12" a="1"/>
  <c r="E263" i="12" s="1"/>
  <c r="I263" i="12" s="1"/>
  <c r="K263" i="12" s="1"/>
  <c r="E150" i="12" a="1"/>
  <c r="E150" i="12" s="1"/>
  <c r="E239" i="12" a="1"/>
  <c r="E239" i="12" s="1"/>
  <c r="I239" i="12" s="1"/>
  <c r="K239" i="12" s="1"/>
  <c r="E459" i="12" a="1"/>
  <c r="E459" i="12" s="1"/>
  <c r="E133" i="12" a="1"/>
  <c r="E133" i="12" s="1"/>
  <c r="I133" i="12" s="1"/>
  <c r="K133" i="12" s="1"/>
  <c r="E215" i="12" a="1"/>
  <c r="E215" i="12" s="1"/>
  <c r="I215" i="12" s="1"/>
  <c r="K215" i="12" s="1"/>
  <c r="E7" i="12" a="1"/>
  <c r="E7" i="12" s="1"/>
  <c r="I7" i="12" s="1"/>
  <c r="K7" i="12" s="1"/>
  <c r="E62" i="12" a="1"/>
  <c r="E62" i="12" s="1"/>
  <c r="I62" i="12" s="1"/>
  <c r="K62" i="12" s="1"/>
  <c r="E23" i="12" a="1"/>
  <c r="E23" i="12" s="1"/>
  <c r="I23" i="12" s="1"/>
  <c r="K23" i="12" s="1"/>
  <c r="E510" i="12" a="1"/>
  <c r="E510" i="12" s="1"/>
  <c r="I510" i="12" s="1"/>
  <c r="K510" i="12" s="1"/>
  <c r="E36" i="12" a="1"/>
  <c r="E36" i="12" s="1"/>
  <c r="I36" i="12" s="1"/>
  <c r="K36" i="12" s="1"/>
  <c r="E506" i="12" a="1"/>
  <c r="E506" i="12" s="1"/>
  <c r="I506" i="12" s="1"/>
  <c r="K506" i="12" s="1"/>
  <c r="E373" i="12" a="1"/>
  <c r="E373" i="12" s="1"/>
  <c r="I373" i="12" s="1"/>
  <c r="K373" i="12" s="1"/>
  <c r="E487" i="12" a="1"/>
  <c r="E487" i="12" s="1"/>
  <c r="I487" i="12" s="1"/>
  <c r="K487" i="12" s="1"/>
  <c r="E491" i="12" a="1"/>
  <c r="E491" i="12" s="1"/>
  <c r="I491" i="12" s="1"/>
  <c r="K491" i="12" s="1"/>
  <c r="E123" i="12" a="1"/>
  <c r="E123" i="12" s="1"/>
  <c r="I123" i="12" s="1"/>
  <c r="K123" i="12" s="1"/>
  <c r="E495" i="12" a="1"/>
  <c r="E495" i="12" s="1"/>
  <c r="I495" i="12" s="1"/>
  <c r="K495" i="12" s="1"/>
  <c r="E471" i="12" a="1"/>
  <c r="E471" i="12" s="1"/>
  <c r="I471" i="12" s="1"/>
  <c r="K471" i="12" s="1"/>
  <c r="E480" i="12" a="1"/>
  <c r="E480" i="12" s="1"/>
  <c r="E311" i="12" a="1"/>
  <c r="E311" i="12" s="1"/>
  <c r="I311" i="12" s="1"/>
  <c r="K311" i="12" s="1"/>
  <c r="E386" i="12" a="1"/>
  <c r="E386" i="12" s="1"/>
  <c r="E467" i="12" a="1"/>
  <c r="E467" i="12" s="1"/>
  <c r="I467" i="12" s="1"/>
  <c r="K467" i="12" s="1"/>
  <c r="E326" i="12" a="1"/>
  <c r="E326" i="12" s="1"/>
  <c r="I326" i="12" s="1"/>
  <c r="K326" i="12" s="1"/>
  <c r="E479" i="12" a="1"/>
  <c r="E479" i="12" s="1"/>
  <c r="I479" i="12" s="1"/>
  <c r="K479" i="12" s="1"/>
  <c r="E428" i="12" a="1"/>
  <c r="E428" i="12" s="1"/>
  <c r="E169" i="12" a="1"/>
  <c r="E169" i="12" s="1"/>
  <c r="E120" i="12" a="1"/>
  <c r="E120" i="12" s="1"/>
  <c r="E252" i="12" a="1"/>
  <c r="E252" i="12" s="1"/>
  <c r="I252" i="12" s="1"/>
  <c r="K252" i="12" s="1"/>
  <c r="E94" i="12" a="1"/>
  <c r="E94" i="12" s="1"/>
  <c r="E228" i="12" a="1"/>
  <c r="E228" i="12" s="1"/>
  <c r="I228" i="12" s="1"/>
  <c r="K228" i="12" s="1"/>
  <c r="E78" i="12" a="1"/>
  <c r="E78" i="12" s="1"/>
  <c r="E220" i="12" a="1"/>
  <c r="E220" i="12" s="1"/>
  <c r="I220" i="12" s="1"/>
  <c r="K220" i="12" s="1"/>
  <c r="E106" i="12" a="1"/>
  <c r="E106" i="12" s="1"/>
  <c r="E157" i="12" a="1"/>
  <c r="E157" i="12" s="1"/>
  <c r="E414" i="12" a="1"/>
  <c r="E414" i="12" s="1"/>
  <c r="E392" i="12" a="1"/>
  <c r="E392" i="12" s="1"/>
  <c r="E244" i="12" a="1"/>
  <c r="E244" i="12" s="1"/>
  <c r="I244" i="12" s="1"/>
  <c r="K244" i="12" s="1"/>
  <c r="E119" i="12" a="1"/>
  <c r="E119" i="12" s="1"/>
  <c r="E168" i="12" a="1"/>
  <c r="E168" i="12" s="1"/>
  <c r="E427" i="12" a="1"/>
  <c r="E427" i="12" s="1"/>
  <c r="E404" i="12" a="1"/>
  <c r="E404" i="12" s="1"/>
  <c r="E93" i="12" a="1"/>
  <c r="E93" i="12" s="1"/>
  <c r="E344" i="12" a="1"/>
  <c r="E344" i="12" s="1"/>
  <c r="I344" i="12" s="1"/>
  <c r="K344" i="12" s="1"/>
  <c r="E153" i="12" a="1"/>
  <c r="E153" i="12" s="1"/>
  <c r="E102" i="12" a="1"/>
  <c r="E102" i="12" s="1"/>
  <c r="E73" i="12" a="1"/>
  <c r="E73" i="12" s="1"/>
  <c r="E328" i="12" a="1"/>
  <c r="E328" i="12" s="1"/>
  <c r="I328" i="12" s="1"/>
  <c r="K328" i="12" s="1"/>
  <c r="E410" i="12" a="1"/>
  <c r="E410" i="12" s="1"/>
  <c r="E329" i="12" a="1"/>
  <c r="E329" i="12" s="1"/>
  <c r="I329" i="12" s="1"/>
  <c r="K329" i="12" s="1"/>
  <c r="E483" i="12" a="1"/>
  <c r="E483" i="12" s="1"/>
  <c r="E242" i="12" a="1"/>
  <c r="E242" i="12" s="1"/>
  <c r="I242" i="12" s="1"/>
  <c r="K242" i="12" s="1"/>
  <c r="E266" i="12" a="1"/>
  <c r="E266" i="12" s="1"/>
  <c r="I266" i="12" s="1"/>
  <c r="K266" i="12" s="1"/>
  <c r="E154" i="12" a="1"/>
  <c r="E154" i="12" s="1"/>
  <c r="E103" i="12" a="1"/>
  <c r="E103" i="12" s="1"/>
  <c r="E218" i="12" a="1"/>
  <c r="E218" i="12" s="1"/>
  <c r="I218" i="12" s="1"/>
  <c r="K218" i="12" s="1"/>
  <c r="E411" i="12" a="1"/>
  <c r="E411" i="12" s="1"/>
  <c r="E474" i="12" a="1"/>
  <c r="E474" i="12" s="1"/>
  <c r="I474" i="12" s="1"/>
  <c r="K474" i="12" s="1"/>
  <c r="E74" i="12" a="1"/>
  <c r="E74" i="12" s="1"/>
  <c r="E502" i="12" a="1"/>
  <c r="E502" i="12" s="1"/>
  <c r="I502" i="12" s="1"/>
  <c r="K502" i="12" s="1"/>
  <c r="E472" i="12" a="1"/>
  <c r="E472" i="12" s="1"/>
  <c r="I472" i="12" s="1"/>
  <c r="K472" i="12" s="1"/>
  <c r="E377" i="12" a="1"/>
  <c r="E377" i="12" s="1"/>
  <c r="I377" i="12" s="1"/>
  <c r="K377" i="12" s="1"/>
  <c r="E500" i="12" a="1"/>
  <c r="E500" i="12" s="1"/>
  <c r="I500" i="12" s="1"/>
  <c r="K500" i="12" s="1"/>
  <c r="E481" i="12" a="1"/>
  <c r="E481" i="12" s="1"/>
  <c r="E149" i="12" a="1"/>
  <c r="E149" i="12" s="1"/>
  <c r="E69" i="12" a="1"/>
  <c r="E69" i="12" s="1"/>
  <c r="E29" i="12" a="1"/>
  <c r="E29" i="12" s="1"/>
  <c r="I29" i="12" s="1"/>
  <c r="K29" i="12" s="1"/>
  <c r="E42" i="12" a="1"/>
  <c r="E42" i="12" s="1"/>
  <c r="I42" i="12" s="1"/>
  <c r="K42" i="12" s="1"/>
  <c r="E395" i="12" a="1"/>
  <c r="E395" i="12" s="1"/>
  <c r="E269" i="12" a="1"/>
  <c r="E269" i="12" s="1"/>
  <c r="I269" i="12" s="1"/>
  <c r="K269" i="12" s="1"/>
  <c r="E109" i="12" a="1"/>
  <c r="E109" i="12" s="1"/>
  <c r="E245" i="12" a="1"/>
  <c r="E245" i="12" s="1"/>
  <c r="I245" i="12" s="1"/>
  <c r="K245" i="12" s="1"/>
  <c r="E335" i="12" a="1"/>
  <c r="E335" i="12" s="1"/>
  <c r="I335" i="12" s="1"/>
  <c r="K335" i="12" s="1"/>
  <c r="E417" i="12" a="1"/>
  <c r="E417" i="12" s="1"/>
  <c r="E221" i="12" a="1"/>
  <c r="E221" i="12" s="1"/>
  <c r="I221" i="12" s="1"/>
  <c r="K221" i="12" s="1"/>
  <c r="E82" i="12" a="1"/>
  <c r="E82" i="12" s="1"/>
  <c r="E159" i="12" a="1"/>
  <c r="E159" i="12" s="1"/>
  <c r="E254" i="12" a="1"/>
  <c r="E254" i="12" s="1"/>
  <c r="I254" i="12" s="1"/>
  <c r="K254" i="12" s="1"/>
  <c r="E278" i="12" a="1"/>
  <c r="E278" i="12" s="1"/>
  <c r="I278" i="12" s="1"/>
  <c r="K278" i="12" s="1"/>
  <c r="E347" i="12" a="1"/>
  <c r="E347" i="12" s="1"/>
  <c r="I347" i="12" s="1"/>
  <c r="K347" i="12" s="1"/>
  <c r="E230" i="12" a="1"/>
  <c r="E230" i="12" s="1"/>
  <c r="I230" i="12" s="1"/>
  <c r="K230" i="12" s="1"/>
  <c r="E429" i="12" a="1"/>
  <c r="E429" i="12" s="1"/>
  <c r="E96" i="12" a="1"/>
  <c r="E96" i="12" s="1"/>
  <c r="E30" i="12" a="1"/>
  <c r="E30" i="12" s="1"/>
  <c r="I30" i="12" s="1"/>
  <c r="K30" i="12" s="1"/>
  <c r="E56" i="12" a="1"/>
  <c r="E56" i="12" s="1"/>
  <c r="I56" i="12" s="1"/>
  <c r="K56" i="12" s="1"/>
  <c r="E43" i="12" a="1"/>
  <c r="E43" i="12" s="1"/>
  <c r="I43" i="12" s="1"/>
  <c r="K43" i="12" s="1"/>
  <c r="E246" i="12" a="1"/>
  <c r="E246" i="12" s="1"/>
  <c r="I246" i="12" s="1"/>
  <c r="K246" i="12" s="1"/>
  <c r="E110" i="12" a="1"/>
  <c r="E110" i="12" s="1"/>
  <c r="E270" i="12" a="1"/>
  <c r="E270" i="12" s="1"/>
  <c r="I270" i="12" s="1"/>
  <c r="K270" i="12" s="1"/>
  <c r="E83" i="12" a="1"/>
  <c r="E83" i="12" s="1"/>
  <c r="E222" i="12" a="1"/>
  <c r="E222" i="12" s="1"/>
  <c r="I222" i="12" s="1"/>
  <c r="K222" i="12" s="1"/>
  <c r="E279" i="12" a="1"/>
  <c r="E279" i="12" s="1"/>
  <c r="I279" i="12" s="1"/>
  <c r="K279" i="12" s="1"/>
  <c r="E231" i="12" a="1"/>
  <c r="E231" i="12" s="1"/>
  <c r="I231" i="12" s="1"/>
  <c r="K231" i="12" s="1"/>
  <c r="E160" i="12" a="1"/>
  <c r="E160" i="12" s="1"/>
  <c r="E84" i="12" a="1"/>
  <c r="E84" i="12" s="1"/>
  <c r="E336" i="12" a="1"/>
  <c r="E336" i="12" s="1"/>
  <c r="I336" i="12" s="1"/>
  <c r="K336" i="12" s="1"/>
  <c r="E396" i="12" a="1"/>
  <c r="E396" i="12" s="1"/>
  <c r="E111" i="12" a="1"/>
  <c r="E111" i="12" s="1"/>
  <c r="E418" i="12" a="1"/>
  <c r="E418" i="12" s="1"/>
  <c r="E213" i="12" a="1"/>
  <c r="E213" i="12" s="1"/>
  <c r="I213" i="12" s="1"/>
  <c r="K213" i="12" s="1"/>
  <c r="E261" i="12" a="1"/>
  <c r="E261" i="12" s="1"/>
  <c r="I261" i="12" s="1"/>
  <c r="K261" i="12" s="1"/>
  <c r="E68" i="12" a="1"/>
  <c r="E68" i="12" s="1"/>
  <c r="E237" i="12" a="1"/>
  <c r="E237" i="12" s="1"/>
  <c r="I237" i="12" s="1"/>
  <c r="K237" i="12" s="1"/>
  <c r="E308" i="12" a="1"/>
  <c r="E308" i="12" s="1"/>
  <c r="I308" i="12" s="1"/>
  <c r="K308" i="12" s="1"/>
  <c r="E385" i="12" a="1"/>
  <c r="E385" i="12" s="1"/>
  <c r="E256" i="12" a="1"/>
  <c r="E256" i="12" s="1"/>
  <c r="I256" i="12" s="1"/>
  <c r="K256" i="12" s="1"/>
  <c r="E280" i="12" a="1"/>
  <c r="E280" i="12" s="1"/>
  <c r="I280" i="12" s="1"/>
  <c r="K280" i="12" s="1"/>
  <c r="E241" i="12" a="1"/>
  <c r="E241" i="12" s="1"/>
  <c r="I241" i="12" s="1"/>
  <c r="K241" i="12" s="1"/>
  <c r="E152" i="12" a="1"/>
  <c r="E152" i="12" s="1"/>
  <c r="E217" i="12" a="1"/>
  <c r="E217" i="12" s="1"/>
  <c r="I217" i="12" s="1"/>
  <c r="K217" i="12" s="1"/>
  <c r="E387" i="12" a="1"/>
  <c r="E387" i="12" s="1"/>
  <c r="E409" i="12" a="1"/>
  <c r="E409" i="12" s="1"/>
  <c r="E482" i="12" a="1"/>
  <c r="E482" i="12" s="1"/>
  <c r="E501" i="12" a="1"/>
  <c r="E501" i="12" s="1"/>
  <c r="I501" i="12" s="1"/>
  <c r="K501" i="12" s="1"/>
  <c r="E265" i="12" a="1"/>
  <c r="E265" i="12" s="1"/>
  <c r="I265" i="12" s="1"/>
  <c r="K265" i="12" s="1"/>
  <c r="E101" i="12" a="1"/>
  <c r="E101" i="12" s="1"/>
  <c r="E327" i="12" a="1"/>
  <c r="E327" i="12" s="1"/>
  <c r="I327" i="12" s="1"/>
  <c r="K327" i="12" s="1"/>
  <c r="E72" i="12" a="1"/>
  <c r="E72" i="12" s="1"/>
  <c r="E114" i="12" a="1"/>
  <c r="E114" i="12" s="1"/>
  <c r="E88" i="12" a="1"/>
  <c r="E88" i="12" s="1"/>
  <c r="E422" i="12" a="1"/>
  <c r="E422" i="12" s="1"/>
  <c r="E339" i="12" a="1"/>
  <c r="E339" i="12" s="1"/>
  <c r="I339" i="12" s="1"/>
  <c r="K339" i="12" s="1"/>
  <c r="E163" i="12" a="1"/>
  <c r="E163" i="12" s="1"/>
  <c r="E399" i="12" a="1"/>
  <c r="E399" i="12" s="1"/>
  <c r="E426" i="12" a="1"/>
  <c r="E426" i="12" s="1"/>
  <c r="E274" i="12" a="1"/>
  <c r="E274" i="12" s="1"/>
  <c r="I274" i="12" s="1"/>
  <c r="K274" i="12" s="1"/>
  <c r="E250" i="12" a="1"/>
  <c r="E250" i="12" s="1"/>
  <c r="I250" i="12" s="1"/>
  <c r="K250" i="12" s="1"/>
  <c r="E343" i="12" a="1"/>
  <c r="E343" i="12" s="1"/>
  <c r="I343" i="12" s="1"/>
  <c r="K343" i="12" s="1"/>
  <c r="E118" i="12" a="1"/>
  <c r="E118" i="12" s="1"/>
  <c r="E477" i="12" a="1"/>
  <c r="E477" i="12" s="1"/>
  <c r="I477" i="12" s="1"/>
  <c r="K477" i="12" s="1"/>
  <c r="E45" i="12" a="1"/>
  <c r="E45" i="12" s="1"/>
  <c r="I45" i="12" s="1"/>
  <c r="K45" i="12" s="1"/>
  <c r="E92" i="12" a="1"/>
  <c r="E92" i="12" s="1"/>
  <c r="E317" i="12" a="1"/>
  <c r="E317" i="12" s="1"/>
  <c r="I317" i="12" s="1"/>
  <c r="K317" i="12" s="1"/>
  <c r="E32" i="12" a="1"/>
  <c r="E32" i="12" s="1"/>
  <c r="I32" i="12" s="1"/>
  <c r="K32" i="12" s="1"/>
  <c r="E403" i="12" a="1"/>
  <c r="E403" i="12" s="1"/>
  <c r="E166" i="12" a="1"/>
  <c r="E166" i="12" s="1"/>
  <c r="E226" i="12" a="1"/>
  <c r="E226" i="12" s="1"/>
  <c r="I226" i="12" s="1"/>
  <c r="K226" i="12" s="1"/>
  <c r="E58" i="12" a="1"/>
  <c r="E58" i="12" s="1"/>
  <c r="I58" i="12" s="1"/>
  <c r="K58" i="12" s="1"/>
  <c r="E257" i="12" a="1"/>
  <c r="E257" i="12" s="1"/>
  <c r="I257" i="12" s="1"/>
  <c r="K257" i="12" s="1"/>
  <c r="E348" i="12" a="1"/>
  <c r="E348" i="12" s="1"/>
  <c r="I348" i="12" s="1"/>
  <c r="K348" i="12" s="1"/>
  <c r="E97" i="12" a="1"/>
  <c r="E97" i="12" s="1"/>
  <c r="E121" i="12" a="1"/>
  <c r="E121" i="12" s="1"/>
  <c r="E406" i="12" a="1"/>
  <c r="E406" i="12" s="1"/>
  <c r="E233" i="12" a="1"/>
  <c r="E233" i="12" s="1"/>
  <c r="I233" i="12" s="1"/>
  <c r="K233" i="12" s="1"/>
  <c r="E281" i="12" a="1"/>
  <c r="E281" i="12" s="1"/>
  <c r="I281" i="12" s="1"/>
  <c r="K281" i="12" s="1"/>
  <c r="E430" i="12" a="1"/>
  <c r="E430" i="12" s="1"/>
  <c r="E346" i="12" a="1"/>
  <c r="E346" i="12" s="1"/>
  <c r="I346" i="12" s="1"/>
  <c r="K346" i="12" s="1"/>
  <c r="E405" i="12" a="1"/>
  <c r="E405" i="12" s="1"/>
  <c r="E95" i="12" a="1"/>
  <c r="E95" i="12" s="1"/>
  <c r="E229" i="12" a="1"/>
  <c r="E229" i="12" s="1"/>
  <c r="I229" i="12" s="1"/>
  <c r="K229" i="12" s="1"/>
  <c r="E253" i="12" a="1"/>
  <c r="E253" i="12" s="1"/>
  <c r="I253" i="12" s="1"/>
  <c r="K253" i="12" s="1"/>
  <c r="E235" i="12" a="1"/>
  <c r="E235" i="12" s="1"/>
  <c r="I235" i="12" s="1"/>
  <c r="K235" i="12" s="1"/>
  <c r="E307" i="12" a="1"/>
  <c r="E307" i="12" s="1"/>
  <c r="I307" i="12" s="1"/>
  <c r="K307" i="12" s="1"/>
  <c r="E259" i="12" a="1"/>
  <c r="E259" i="12" s="1"/>
  <c r="I259" i="12" s="1"/>
  <c r="K259" i="12" s="1"/>
  <c r="E66" i="12" a="1"/>
  <c r="E66" i="12" s="1"/>
  <c r="E151" i="12" a="1"/>
  <c r="E151" i="12" s="1"/>
  <c r="E52" i="12" a="1"/>
  <c r="E52" i="12" s="1"/>
  <c r="I52" i="12" s="1"/>
  <c r="K52" i="12" s="1"/>
  <c r="E39" i="12" a="1"/>
  <c r="E39" i="12" s="1"/>
  <c r="I39" i="12" s="1"/>
  <c r="K39" i="12" s="1"/>
  <c r="E26" i="12" a="1"/>
  <c r="E26" i="12" s="1"/>
  <c r="I26" i="12" s="1"/>
  <c r="K26" i="12" s="1"/>
  <c r="AX80" i="1" l="1"/>
  <c r="AX319" i="1"/>
  <c r="AX33" i="1"/>
  <c r="AX218" i="1"/>
  <c r="AX54" i="1"/>
  <c r="AX79" i="1"/>
  <c r="AX36" i="1"/>
  <c r="AX62" i="1"/>
  <c r="AX83" i="1"/>
  <c r="AX75" i="1"/>
  <c r="AX133" i="1"/>
  <c r="AX81" i="1"/>
  <c r="AX92" i="1"/>
  <c r="AX34" i="1"/>
  <c r="AX41" i="1"/>
  <c r="AX128" i="1"/>
  <c r="AX88" i="1"/>
  <c r="AX85" i="1"/>
  <c r="AX58" i="1"/>
  <c r="AX76" i="1"/>
  <c r="AX39" i="1"/>
  <c r="AX84" i="1"/>
  <c r="AX42" i="1"/>
  <c r="AX129" i="1"/>
  <c r="AX57" i="1"/>
  <c r="E211" i="12" a="1"/>
  <c r="E211" i="12" s="1"/>
  <c r="I211" i="12" s="1"/>
  <c r="K211" i="12" s="1"/>
  <c r="E100" i="12" a="1"/>
  <c r="E100" i="12" s="1"/>
  <c r="E232" i="12" a="1"/>
  <c r="E232" i="12" s="1"/>
  <c r="I232" i="12" s="1"/>
  <c r="K232" i="12" s="1"/>
  <c r="E70" i="12" a="1"/>
  <c r="E70" i="12" s="1"/>
  <c r="E499" i="12" a="1"/>
  <c r="E499" i="12" s="1"/>
  <c r="I499" i="12" s="1"/>
  <c r="K499" i="12" s="1"/>
  <c r="E276" i="12" a="1"/>
  <c r="E276" i="12" s="1"/>
  <c r="I276" i="12" s="1"/>
  <c r="K276" i="12" s="1"/>
  <c r="E451" i="12" a="1"/>
  <c r="E451" i="12" s="1"/>
  <c r="I451" i="12" s="1"/>
  <c r="K451" i="12" s="1"/>
  <c r="E268" i="12" a="1"/>
  <c r="E268" i="12" s="1"/>
  <c r="I268" i="12" s="1"/>
  <c r="K268" i="12" s="1"/>
  <c r="E255" i="12" a="1"/>
  <c r="E255" i="12" s="1"/>
  <c r="I255" i="12" s="1"/>
  <c r="K255" i="12" s="1"/>
  <c r="AX112" i="1" s="1"/>
  <c r="E455" i="12" a="1"/>
  <c r="E455" i="12" s="1"/>
  <c r="I455" i="12" s="1"/>
  <c r="K455" i="12" s="1"/>
  <c r="E332" i="12" a="1"/>
  <c r="E332" i="12" s="1"/>
  <c r="I332" i="12" s="1"/>
  <c r="K332" i="12" s="1"/>
  <c r="E345" i="12" a="1"/>
  <c r="E345" i="12" s="1"/>
  <c r="I345" i="12" s="1"/>
  <c r="K345" i="12" s="1"/>
  <c r="E473" i="12" a="1"/>
  <c r="E473" i="12" s="1"/>
  <c r="I473" i="12" s="1"/>
  <c r="K473" i="12" s="1"/>
  <c r="E49" i="12" a="1"/>
  <c r="E49" i="12" s="1"/>
  <c r="I49" i="12" s="1"/>
  <c r="K49" i="12" s="1"/>
  <c r="E277" i="12" a="1"/>
  <c r="E277" i="12" s="1"/>
  <c r="I277" i="12" s="1"/>
  <c r="K277" i="12" s="1"/>
  <c r="E71" i="12" a="1"/>
  <c r="E71" i="12" s="1"/>
  <c r="E388" i="12" a="1"/>
  <c r="E388" i="12" s="1"/>
  <c r="E99" i="12" a="1"/>
  <c r="E99" i="12" s="1"/>
  <c r="E55" i="12" a="1"/>
  <c r="E55" i="12" s="1"/>
  <c r="I55" i="12" s="1"/>
  <c r="K55" i="12" s="1"/>
  <c r="E389" i="12" a="1"/>
  <c r="E389" i="12" s="1"/>
  <c r="E207" i="12" a="1"/>
  <c r="E207" i="12" s="1"/>
  <c r="I207" i="12" s="1"/>
  <c r="K207" i="12" s="1"/>
  <c r="AX315" i="1" l="1"/>
  <c r="AX56" i="1"/>
  <c r="AX10" i="1"/>
  <c r="AX339" i="1"/>
  <c r="AX302" i="1"/>
  <c r="AX53" i="1"/>
  <c r="AX260" i="1"/>
  <c r="AX52" i="1"/>
  <c r="AX71" i="1"/>
  <c r="AX4" i="1"/>
  <c r="AX142" i="1"/>
  <c r="AX169" i="1"/>
  <c r="AX220" i="1"/>
  <c r="AX283" i="1"/>
  <c r="AX72" i="1"/>
  <c r="AX335" i="1"/>
  <c r="AX157" i="1"/>
  <c r="AX322" i="1"/>
  <c r="AX198" i="1"/>
  <c r="AX82" i="1"/>
  <c r="AX118" i="1"/>
  <c r="AX77" i="1"/>
  <c r="G72" i="21"/>
  <c r="G76" i="21"/>
  <c r="G62" i="21"/>
  <c r="G57" i="21"/>
  <c r="G61" i="21"/>
  <c r="G36" i="21"/>
  <c r="G42" i="21"/>
  <c r="G35" i="21"/>
  <c r="J361" i="12" l="1"/>
  <c r="I361" i="12"/>
  <c r="K361" i="12" s="1"/>
  <c r="J459" i="12"/>
  <c r="I459" i="12"/>
  <c r="K459" i="12" s="1"/>
  <c r="AX74" i="1" l="1"/>
  <c r="AX89" i="1"/>
  <c r="AX131" i="1"/>
  <c r="AX221" i="1"/>
  <c r="AX257" i="1"/>
  <c r="AX324" i="1"/>
  <c r="AX316" i="1"/>
  <c r="AX192" i="1"/>
  <c r="AX258" i="1"/>
  <c r="AX264" i="1"/>
  <c r="AX331" i="1"/>
  <c r="AX159" i="1"/>
  <c r="AX59" i="1"/>
  <c r="AX103" i="1"/>
  <c r="AX139" i="1"/>
  <c r="AX145" i="1"/>
  <c r="AX193" i="1"/>
  <c r="AX229" i="1"/>
  <c r="AX247" i="1"/>
  <c r="AX265" i="1"/>
  <c r="AX278" i="1"/>
  <c r="AX298" i="1"/>
  <c r="AX61" i="1"/>
  <c r="AX116" i="1"/>
  <c r="AX146" i="1"/>
  <c r="AX200" i="1"/>
  <c r="AX303" i="1"/>
  <c r="AX243" i="1"/>
  <c r="AX304" i="1"/>
  <c r="AX17" i="1"/>
  <c r="AX171" i="1"/>
  <c r="AX24" i="1"/>
  <c r="AX124" i="1"/>
  <c r="AX130" i="1"/>
  <c r="AX184" i="1"/>
  <c r="AX244" i="1"/>
  <c r="AX269" i="1"/>
  <c r="AX287" i="1"/>
  <c r="AX311" i="1"/>
  <c r="AX323" i="1"/>
  <c r="AX329" i="1"/>
  <c r="J66" i="12"/>
  <c r="I66" i="12"/>
  <c r="K66" i="12" s="1"/>
  <c r="J109" i="12"/>
  <c r="I109" i="12"/>
  <c r="K109" i="12" s="1"/>
  <c r="J407" i="12"/>
  <c r="I407" i="12"/>
  <c r="K407" i="12" s="1"/>
  <c r="J70" i="12"/>
  <c r="I70" i="12"/>
  <c r="K70" i="12" s="1"/>
  <c r="J95" i="12"/>
  <c r="I95" i="12"/>
  <c r="K95" i="12" s="1"/>
  <c r="J426" i="12"/>
  <c r="I426" i="12"/>
  <c r="K426" i="12" s="1"/>
  <c r="J395" i="12"/>
  <c r="I395" i="12"/>
  <c r="K395" i="12" s="1"/>
  <c r="J99" i="12"/>
  <c r="I99" i="12"/>
  <c r="K99" i="12" s="1"/>
  <c r="J69" i="12"/>
  <c r="I69" i="12"/>
  <c r="K69" i="12" s="1"/>
  <c r="J428" i="12"/>
  <c r="I428" i="12"/>
  <c r="K428" i="12" s="1"/>
  <c r="J166" i="12"/>
  <c r="I166" i="12"/>
  <c r="K166" i="12" s="1"/>
  <c r="J417" i="12"/>
  <c r="I417" i="12"/>
  <c r="K417" i="12" s="1"/>
  <c r="J80" i="12"/>
  <c r="I80" i="12"/>
  <c r="K80" i="12" s="1"/>
  <c r="J423" i="12"/>
  <c r="I423" i="12"/>
  <c r="K423" i="12" s="1"/>
  <c r="J163" i="12"/>
  <c r="I163" i="12"/>
  <c r="K163" i="12" s="1"/>
  <c r="J107" i="12"/>
  <c r="I107" i="12"/>
  <c r="K107" i="12" s="1"/>
  <c r="J384" i="12"/>
  <c r="I384" i="12"/>
  <c r="K384" i="12" s="1"/>
  <c r="J101" i="12"/>
  <c r="I101" i="12"/>
  <c r="K101" i="12" s="1"/>
  <c r="J427" i="12"/>
  <c r="I427" i="12"/>
  <c r="K427" i="12" s="1"/>
  <c r="J74" i="12"/>
  <c r="I74" i="12"/>
  <c r="K74" i="12" s="1"/>
  <c r="J482" i="12"/>
  <c r="I482" i="12"/>
  <c r="K482" i="12" s="1"/>
  <c r="J119" i="12"/>
  <c r="I119" i="12"/>
  <c r="K119" i="12" s="1"/>
  <c r="J68" i="12"/>
  <c r="I68" i="12"/>
  <c r="K68" i="12" s="1"/>
  <c r="J480" i="12"/>
  <c r="I480" i="12"/>
  <c r="K480" i="12" s="1"/>
  <c r="J394" i="12"/>
  <c r="I394" i="12"/>
  <c r="K394" i="12" s="1"/>
  <c r="J160" i="12"/>
  <c r="I160" i="12"/>
  <c r="K160" i="12" s="1"/>
  <c r="J410" i="12"/>
  <c r="I410" i="12"/>
  <c r="K410" i="12" s="1"/>
  <c r="J71" i="12"/>
  <c r="I71" i="12"/>
  <c r="K71" i="12" s="1"/>
  <c r="J100" i="12"/>
  <c r="I100" i="12"/>
  <c r="K100" i="12" s="1"/>
  <c r="J98" i="12"/>
  <c r="I98" i="12"/>
  <c r="K98" i="12" s="1"/>
  <c r="J120" i="12"/>
  <c r="I120" i="12"/>
  <c r="K120" i="12" s="1"/>
  <c r="J481" i="12"/>
  <c r="I481" i="12"/>
  <c r="K481" i="12" s="1"/>
  <c r="J97" i="12"/>
  <c r="I97" i="12"/>
  <c r="K97" i="12" s="1"/>
  <c r="J167" i="12"/>
  <c r="I167" i="12"/>
  <c r="K167" i="12" s="1"/>
  <c r="J93" i="12"/>
  <c r="I93" i="12"/>
  <c r="K93" i="12" s="1"/>
  <c r="J421" i="12"/>
  <c r="I421" i="12"/>
  <c r="K421" i="12" s="1"/>
  <c r="J390" i="12"/>
  <c r="I390" i="12"/>
  <c r="K390" i="12" s="1"/>
  <c r="J159" i="12"/>
  <c r="I159" i="12"/>
  <c r="K159" i="12" s="1"/>
  <c r="J385" i="12"/>
  <c r="I385" i="12"/>
  <c r="K385" i="12" s="1"/>
  <c r="J102" i="12"/>
  <c r="I102" i="12"/>
  <c r="K102" i="12" s="1"/>
  <c r="J96" i="12"/>
  <c r="I96" i="12"/>
  <c r="K96" i="12" s="1"/>
  <c r="J79" i="12"/>
  <c r="I79" i="12"/>
  <c r="K79" i="12" s="1"/>
  <c r="J483" i="12"/>
  <c r="I483" i="12"/>
  <c r="K483" i="12" s="1"/>
  <c r="J94" i="12"/>
  <c r="I94" i="12"/>
  <c r="K94" i="12" s="1"/>
  <c r="J168" i="12"/>
  <c r="I168" i="12"/>
  <c r="K168" i="12" s="1"/>
  <c r="J392" i="12"/>
  <c r="I392" i="12"/>
  <c r="K392" i="12" s="1"/>
  <c r="J114" i="12"/>
  <c r="I114" i="12"/>
  <c r="K114" i="12" s="1"/>
  <c r="J111" i="12"/>
  <c r="I111" i="12"/>
  <c r="K111" i="12" s="1"/>
  <c r="J67" i="12"/>
  <c r="I67" i="12"/>
  <c r="K67" i="12" s="1"/>
  <c r="J412" i="12"/>
  <c r="I412" i="12"/>
  <c r="K412" i="12" s="1"/>
  <c r="J389" i="12"/>
  <c r="I389" i="12"/>
  <c r="K389" i="12" s="1"/>
  <c r="J158" i="12"/>
  <c r="I158" i="12"/>
  <c r="K158" i="12" s="1"/>
  <c r="J108" i="12"/>
  <c r="I108" i="12"/>
  <c r="K108" i="12" s="1"/>
  <c r="J151" i="12"/>
  <c r="I151" i="12"/>
  <c r="K151" i="12" s="1"/>
  <c r="J415" i="12"/>
  <c r="I415" i="12"/>
  <c r="K415" i="12" s="1"/>
  <c r="J399" i="12"/>
  <c r="I399" i="12"/>
  <c r="K399" i="12" s="1"/>
  <c r="J429" i="12"/>
  <c r="I429" i="12"/>
  <c r="K429" i="12" s="1"/>
  <c r="J396" i="12"/>
  <c r="I396" i="12"/>
  <c r="K396" i="12" s="1"/>
  <c r="J424" i="12"/>
  <c r="I424" i="12"/>
  <c r="K424" i="12" s="1"/>
  <c r="J118" i="12"/>
  <c r="I118" i="12"/>
  <c r="K118" i="12" s="1"/>
  <c r="J393" i="12"/>
  <c r="I393" i="12"/>
  <c r="K393" i="12" s="1"/>
  <c r="J422" i="12"/>
  <c r="I422" i="12"/>
  <c r="K422" i="12" s="1"/>
  <c r="J110" i="12"/>
  <c r="I110" i="12"/>
  <c r="K110" i="12" s="1"/>
  <c r="J75" i="12"/>
  <c r="I75" i="12"/>
  <c r="K75" i="12" s="1"/>
  <c r="J416" i="12"/>
  <c r="I416" i="12"/>
  <c r="K416" i="12" s="1"/>
  <c r="J387" i="12"/>
  <c r="I387" i="12"/>
  <c r="K387" i="12" s="1"/>
  <c r="J157" i="12"/>
  <c r="I157" i="12"/>
  <c r="K157" i="12" s="1"/>
  <c r="J388" i="12"/>
  <c r="I388" i="12"/>
  <c r="K388" i="12" s="1"/>
  <c r="J87" i="12"/>
  <c r="I87" i="12"/>
  <c r="K87" i="12" s="1"/>
  <c r="J83" i="12"/>
  <c r="I83" i="12"/>
  <c r="K83" i="12" s="1"/>
  <c r="J400" i="12"/>
  <c r="I400" i="12"/>
  <c r="K400" i="12" s="1"/>
  <c r="J121" i="12"/>
  <c r="I121" i="12"/>
  <c r="K121" i="12" s="1"/>
  <c r="J164" i="12"/>
  <c r="I164" i="12"/>
  <c r="K164" i="12" s="1"/>
  <c r="J72" i="12"/>
  <c r="I72" i="12"/>
  <c r="K72" i="12" s="1"/>
  <c r="J115" i="12"/>
  <c r="I115" i="12"/>
  <c r="K115" i="12" s="1"/>
  <c r="J116" i="12"/>
  <c r="I116" i="12"/>
  <c r="K116" i="12" s="1"/>
  <c r="J92" i="12"/>
  <c r="I92" i="12"/>
  <c r="K92" i="12" s="1"/>
  <c r="J411" i="12"/>
  <c r="I411" i="12"/>
  <c r="K411" i="12" s="1"/>
  <c r="J386" i="12"/>
  <c r="I386" i="12"/>
  <c r="K386" i="12" s="1"/>
  <c r="J154" i="12"/>
  <c r="I154" i="12"/>
  <c r="K154" i="12" s="1"/>
  <c r="J152" i="12"/>
  <c r="I152" i="12"/>
  <c r="K152" i="12" s="1"/>
  <c r="J106" i="12"/>
  <c r="I106" i="12"/>
  <c r="K106" i="12" s="1"/>
  <c r="J90" i="12"/>
  <c r="I90" i="12"/>
  <c r="K90" i="12" s="1"/>
  <c r="J84" i="12"/>
  <c r="I84" i="12"/>
  <c r="K84" i="12" s="1"/>
  <c r="J404" i="12"/>
  <c r="I404" i="12"/>
  <c r="K404" i="12" s="1"/>
  <c r="J78" i="12"/>
  <c r="I78" i="12"/>
  <c r="K78" i="12" s="1"/>
  <c r="J418" i="12"/>
  <c r="I418" i="12"/>
  <c r="K418" i="12" s="1"/>
  <c r="J156" i="12"/>
  <c r="I156" i="12"/>
  <c r="K156" i="12" s="1"/>
  <c r="J77" i="12"/>
  <c r="I77" i="12"/>
  <c r="K77" i="12" s="1"/>
  <c r="J82" i="12"/>
  <c r="I82" i="12"/>
  <c r="K82" i="12" s="1"/>
  <c r="J408" i="12"/>
  <c r="I408" i="12"/>
  <c r="K408" i="12" s="1"/>
  <c r="J401" i="12"/>
  <c r="I401" i="12"/>
  <c r="K401" i="12" s="1"/>
  <c r="J150" i="12"/>
  <c r="I150" i="12"/>
  <c r="K150" i="12" s="1"/>
  <c r="J89" i="12"/>
  <c r="I89" i="12"/>
  <c r="K89" i="12" s="1"/>
  <c r="J153" i="12"/>
  <c r="I153" i="12"/>
  <c r="K153" i="12" s="1"/>
  <c r="J414" i="12"/>
  <c r="I414" i="12"/>
  <c r="K414" i="12" s="1"/>
  <c r="J406" i="12"/>
  <c r="I406" i="12"/>
  <c r="K406" i="12" s="1"/>
  <c r="J148" i="12"/>
  <c r="I148" i="12"/>
  <c r="K148" i="12" s="1"/>
  <c r="J104" i="12"/>
  <c r="I104" i="12"/>
  <c r="K104" i="12" s="1"/>
  <c r="J409" i="12"/>
  <c r="I409" i="12"/>
  <c r="K409" i="12" s="1"/>
  <c r="J169" i="12"/>
  <c r="I169" i="12"/>
  <c r="K169" i="12" s="1"/>
  <c r="J88" i="12"/>
  <c r="I88" i="12"/>
  <c r="K88" i="12" s="1"/>
  <c r="J403" i="12"/>
  <c r="I403" i="12"/>
  <c r="K403" i="12" s="1"/>
  <c r="J103" i="12"/>
  <c r="I103" i="12"/>
  <c r="K103" i="12" s="1"/>
  <c r="J73" i="12"/>
  <c r="I73" i="12"/>
  <c r="K73" i="12" s="1"/>
  <c r="J81" i="12"/>
  <c r="I81" i="12"/>
  <c r="K81" i="12" s="1"/>
  <c r="J430" i="12"/>
  <c r="I430" i="12"/>
  <c r="K430" i="12" s="1"/>
  <c r="J405" i="12"/>
  <c r="I405" i="12"/>
  <c r="K405" i="12" s="1"/>
  <c r="J149" i="12"/>
  <c r="I149" i="12"/>
  <c r="K149" i="12" s="1"/>
  <c r="AX38" i="1" l="1"/>
  <c r="AX78" i="1"/>
  <c r="AX44" i="1"/>
  <c r="AX63" i="1"/>
  <c r="AX64" i="1"/>
  <c r="AX37" i="1"/>
  <c r="I309" i="21"/>
  <c r="I285" i="21"/>
  <c r="I169" i="21"/>
  <c r="I122" i="21"/>
  <c r="I114" i="21"/>
  <c r="G112" i="21" l="1"/>
  <c r="I33" i="21" l="1"/>
  <c r="D33" i="21" a="1"/>
  <c r="D33" i="21" s="1"/>
  <c r="A33" i="21" a="1"/>
  <c r="A33" i="21" s="1"/>
  <c r="M33" i="21" l="1"/>
  <c r="L33" i="21"/>
  <c r="K33" i="21"/>
  <c r="J33" i="21"/>
  <c r="G28" i="21" l="1"/>
  <c r="G68" i="21"/>
  <c r="A337" i="21" l="1" a="1"/>
  <c r="A337" i="21" s="1"/>
  <c r="D337" i="21" a="1"/>
  <c r="D337" i="21" s="1"/>
  <c r="I337" i="21"/>
  <c r="A338" i="21" a="1"/>
  <c r="A338" i="21" s="1"/>
  <c r="D338" i="21" a="1"/>
  <c r="D338" i="21" s="1"/>
  <c r="I338" i="21"/>
  <c r="A333" i="21" a="1"/>
  <c r="A333" i="21" s="1"/>
  <c r="D333" i="21" a="1"/>
  <c r="D333" i="21" s="1"/>
  <c r="I333" i="21"/>
  <c r="A334" i="21" a="1"/>
  <c r="A334" i="21" s="1"/>
  <c r="D334" i="21" a="1"/>
  <c r="D334" i="21" s="1"/>
  <c r="I334" i="21"/>
  <c r="A320" i="21" a="1"/>
  <c r="A320" i="21" s="1"/>
  <c r="D320" i="21" a="1"/>
  <c r="D320" i="21" s="1"/>
  <c r="I320" i="21"/>
  <c r="A313" i="21" a="1"/>
  <c r="A313" i="21" s="1"/>
  <c r="D313" i="21" a="1"/>
  <c r="D313" i="21" s="1"/>
  <c r="I313" i="21"/>
  <c r="A300" i="21" a="1"/>
  <c r="A300" i="21" s="1"/>
  <c r="D300" i="21" a="1"/>
  <c r="D300" i="21" s="1"/>
  <c r="I300" i="21"/>
  <c r="A281" i="21" a="1"/>
  <c r="A281" i="21" s="1"/>
  <c r="D281" i="21" a="1"/>
  <c r="D281" i="21" s="1"/>
  <c r="I281" i="21"/>
  <c r="A258" i="21" a="1"/>
  <c r="A258" i="21" s="1"/>
  <c r="D258" i="21" a="1"/>
  <c r="D258" i="21" s="1"/>
  <c r="I258" i="21"/>
  <c r="A259" i="21" a="1"/>
  <c r="A259" i="21" s="1"/>
  <c r="D259" i="21" a="1"/>
  <c r="D259" i="21" s="1"/>
  <c r="I259" i="21"/>
  <c r="A218" i="21" a="1"/>
  <c r="A218" i="21" s="1"/>
  <c r="D218" i="21" a="1"/>
  <c r="D218" i="21" s="1"/>
  <c r="I218" i="21"/>
  <c r="A196" i="21" a="1"/>
  <c r="A196" i="21" s="1"/>
  <c r="D196" i="21" a="1"/>
  <c r="D196" i="21" s="1"/>
  <c r="I196" i="21"/>
  <c r="A197" i="21" a="1"/>
  <c r="A197" i="21" s="1"/>
  <c r="D197" i="21" a="1"/>
  <c r="D197" i="21" s="1"/>
  <c r="I197" i="21"/>
  <c r="A167" i="21" a="1"/>
  <c r="A167" i="21" s="1"/>
  <c r="D167" i="21" a="1"/>
  <c r="D167" i="21" s="1"/>
  <c r="I167" i="21"/>
  <c r="A168" i="21" a="1"/>
  <c r="A168" i="21" s="1"/>
  <c r="D168" i="21" a="1"/>
  <c r="D168" i="21" s="1"/>
  <c r="I168" i="21"/>
  <c r="A155" i="21" a="1"/>
  <c r="A155" i="21" s="1"/>
  <c r="D155" i="21" a="1"/>
  <c r="D155" i="21" s="1"/>
  <c r="A156" i="21" a="1"/>
  <c r="A156" i="21" s="1"/>
  <c r="D156" i="21" a="1"/>
  <c r="D156" i="21" s="1"/>
  <c r="A140" i="21" a="1"/>
  <c r="A140" i="21" s="1"/>
  <c r="D140" i="21" a="1"/>
  <c r="D140" i="21" s="1"/>
  <c r="I140" i="21"/>
  <c r="A141" i="21" a="1"/>
  <c r="A141" i="21" s="1"/>
  <c r="D141" i="21" a="1"/>
  <c r="D141" i="21" s="1"/>
  <c r="I141" i="21"/>
  <c r="A116" i="21" a="1"/>
  <c r="A116" i="21" s="1"/>
  <c r="D116" i="21" a="1"/>
  <c r="D116" i="21" s="1"/>
  <c r="I116" i="21"/>
  <c r="A117" i="21" a="1"/>
  <c r="A117" i="21" s="1"/>
  <c r="D117" i="21" a="1"/>
  <c r="D117" i="21" s="1"/>
  <c r="I117" i="21"/>
  <c r="A110" i="21" a="1"/>
  <c r="A110" i="21" s="1"/>
  <c r="D110" i="21" a="1"/>
  <c r="D110" i="21" s="1"/>
  <c r="I110" i="21"/>
  <c r="A50" i="21" a="1"/>
  <c r="A50" i="21" s="1"/>
  <c r="D50" i="21" a="1"/>
  <c r="D50" i="21" s="1"/>
  <c r="I50" i="21"/>
  <c r="A8" i="21" a="1"/>
  <c r="A8" i="21" s="1"/>
  <c r="D8" i="21" a="1"/>
  <c r="D8" i="21" s="1"/>
  <c r="I8" i="21"/>
  <c r="A2" i="21" a="1"/>
  <c r="A2" i="21" s="1"/>
  <c r="D2" i="21" a="1"/>
  <c r="D2" i="21" s="1"/>
  <c r="I2" i="21"/>
  <c r="A3" i="21" a="1"/>
  <c r="A3" i="21" s="1"/>
  <c r="D3" i="21" a="1"/>
  <c r="D3" i="21" s="1"/>
  <c r="I3" i="21"/>
  <c r="D4" i="1" l="1"/>
  <c r="D5" i="1"/>
  <c r="E5" i="1"/>
  <c r="E4" i="1"/>
  <c r="F5" i="1"/>
  <c r="F4" i="1"/>
  <c r="G4" i="1"/>
  <c r="G5" i="1"/>
  <c r="H4" i="1"/>
  <c r="H5" i="1"/>
  <c r="I4" i="1"/>
  <c r="I5" i="1"/>
  <c r="K197" i="21"/>
  <c r="L334" i="21"/>
  <c r="M281" i="21"/>
  <c r="J117" i="21"/>
  <c r="J196" i="21"/>
  <c r="K333" i="21"/>
  <c r="J218" i="21"/>
  <c r="J168" i="21"/>
  <c r="K141" i="21"/>
  <c r="K259" i="21"/>
  <c r="M320" i="21"/>
  <c r="J258" i="21"/>
  <c r="L320" i="21"/>
  <c r="K300" i="21"/>
  <c r="J300" i="21"/>
  <c r="J116" i="21"/>
  <c r="K116" i="21"/>
  <c r="L116" i="21"/>
  <c r="M116" i="21"/>
  <c r="J167" i="21"/>
  <c r="K167" i="21"/>
  <c r="M313" i="21"/>
  <c r="J313" i="21"/>
  <c r="K313" i="21"/>
  <c r="L313" i="21"/>
  <c r="M117" i="21"/>
  <c r="M218" i="21"/>
  <c r="L333" i="21"/>
  <c r="J333" i="21"/>
  <c r="M197" i="21"/>
  <c r="J197" i="21"/>
  <c r="M300" i="21"/>
  <c r="L156" i="21"/>
  <c r="J156" i="21"/>
  <c r="K156" i="21"/>
  <c r="L117" i="21"/>
  <c r="M141" i="21"/>
  <c r="K117" i="21"/>
  <c r="K168" i="21"/>
  <c r="L155" i="21"/>
  <c r="J155" i="21"/>
  <c r="M140" i="21"/>
  <c r="L140" i="21"/>
  <c r="K140" i="21"/>
  <c r="J140" i="21"/>
  <c r="J141" i="21"/>
  <c r="L141" i="21"/>
  <c r="K155" i="21"/>
  <c r="M155" i="21"/>
  <c r="L168" i="21"/>
  <c r="M168" i="21"/>
  <c r="K196" i="21"/>
  <c r="L196" i="21"/>
  <c r="M196" i="21"/>
  <c r="J259" i="21"/>
  <c r="L259" i="21"/>
  <c r="M259" i="21"/>
  <c r="K258" i="21"/>
  <c r="L258" i="21"/>
  <c r="M258" i="21"/>
  <c r="J281" i="21"/>
  <c r="K281" i="21"/>
  <c r="L281" i="21"/>
  <c r="J320" i="21"/>
  <c r="K320" i="21"/>
  <c r="J334" i="21"/>
  <c r="K334" i="21"/>
  <c r="M334" i="21"/>
  <c r="M338" i="21"/>
  <c r="J338" i="21"/>
  <c r="K338" i="21"/>
  <c r="L338" i="21"/>
  <c r="L337" i="21"/>
  <c r="M337" i="21"/>
  <c r="J337" i="21"/>
  <c r="K337" i="21"/>
  <c r="L197" i="21"/>
  <c r="L300" i="21"/>
  <c r="M156" i="21"/>
  <c r="M167" i="21"/>
  <c r="L218" i="21"/>
  <c r="L167" i="21"/>
  <c r="K218" i="21"/>
  <c r="M333" i="21"/>
  <c r="J2" i="21"/>
  <c r="K2" i="21"/>
  <c r="M2" i="21"/>
  <c r="L2" i="21"/>
  <c r="J50" i="21"/>
  <c r="M50" i="21"/>
  <c r="K50" i="21"/>
  <c r="L50" i="21"/>
  <c r="L8" i="21"/>
  <c r="M8" i="21"/>
  <c r="J8" i="21"/>
  <c r="K8" i="21"/>
  <c r="J3" i="21"/>
  <c r="M3" i="21"/>
  <c r="L3" i="21"/>
  <c r="K3" i="21"/>
  <c r="J110" i="21"/>
  <c r="K110" i="21"/>
  <c r="L110" i="21"/>
  <c r="M110" i="21"/>
  <c r="AB5" i="1" l="1"/>
  <c r="AC5" i="1"/>
  <c r="AD5" i="1" a="1"/>
  <c r="AD5" i="1" s="1"/>
  <c r="AE5" i="1"/>
  <c r="AF5" i="1"/>
  <c r="BI5" i="1"/>
  <c r="BJ5" i="1"/>
  <c r="BH5" i="1"/>
  <c r="AB4" i="1"/>
  <c r="AD4" i="1" a="1"/>
  <c r="AD4" i="1" s="1"/>
  <c r="AC4" i="1"/>
  <c r="AE4" i="1"/>
  <c r="AF4" i="1"/>
  <c r="BI4" i="1"/>
  <c r="BJ4" i="1"/>
  <c r="BH4" i="1"/>
  <c r="J323" i="12"/>
  <c r="J183" i="12"/>
  <c r="J378" i="12"/>
  <c r="J381" i="12"/>
  <c r="J185" i="12"/>
  <c r="I323" i="12" l="1"/>
  <c r="I378" i="12"/>
  <c r="I183" i="12"/>
  <c r="I381" i="12"/>
  <c r="I185" i="12"/>
  <c r="K378" i="12" l="1"/>
  <c r="K185" i="12"/>
  <c r="K381" i="12"/>
  <c r="K183" i="12"/>
  <c r="K323" i="12"/>
  <c r="I53" i="12"/>
  <c r="AX73" i="1" l="1"/>
  <c r="AX48" i="1"/>
  <c r="AX55" i="1"/>
  <c r="AX268" i="1"/>
  <c r="K53" i="12"/>
  <c r="J53" i="12"/>
  <c r="J59" i="12" l="1"/>
  <c r="J50" i="12"/>
  <c r="D4" i="22"/>
  <c r="J5" i="22"/>
  <c r="L4" i="22" a="1"/>
  <c r="L4" i="22" s="1"/>
  <c r="K4" i="22" s="1"/>
  <c r="L43" i="19" a="1"/>
  <c r="L43" i="19" s="1"/>
  <c r="K43" i="19" s="1"/>
  <c r="M43" i="19"/>
  <c r="N43" i="19" s="1"/>
  <c r="O43" i="19" s="1"/>
  <c r="A42" i="19"/>
  <c r="A41" i="19"/>
  <c r="A28" i="19"/>
  <c r="A27" i="19"/>
  <c r="A29" i="19"/>
  <c r="A30" i="19"/>
  <c r="A36" i="19"/>
  <c r="A33" i="19"/>
  <c r="A37" i="19"/>
  <c r="A32" i="19"/>
  <c r="A26" i="19"/>
  <c r="A34" i="19"/>
  <c r="A31" i="19"/>
  <c r="A25" i="19"/>
  <c r="A24" i="19"/>
  <c r="A23" i="19"/>
  <c r="A35" i="19"/>
  <c r="A18" i="19"/>
  <c r="A22" i="19"/>
  <c r="A20" i="19"/>
  <c r="A19" i="19"/>
  <c r="A39" i="19"/>
  <c r="A40" i="19"/>
  <c r="A21" i="19"/>
  <c r="A38" i="19"/>
  <c r="L22" i="19" a="1"/>
  <c r="L22" i="19" s="1"/>
  <c r="K22" i="19" s="1"/>
  <c r="M22" i="19"/>
  <c r="N22" i="19" s="1"/>
  <c r="O22" i="19" s="1"/>
  <c r="L18" i="19" a="1"/>
  <c r="L18" i="19" s="1"/>
  <c r="K18" i="19" s="1"/>
  <c r="M18" i="19"/>
  <c r="N18" i="19" s="1"/>
  <c r="O18" i="19" s="1"/>
  <c r="L35" i="19" a="1"/>
  <c r="L35" i="19" s="1"/>
  <c r="K35" i="19" s="1"/>
  <c r="M35" i="19"/>
  <c r="N35" i="19" s="1"/>
  <c r="O35" i="19" s="1"/>
  <c r="L23" i="19" a="1"/>
  <c r="L23" i="19" s="1"/>
  <c r="K23" i="19" s="1"/>
  <c r="M23" i="19"/>
  <c r="N23" i="19" s="1"/>
  <c r="O23" i="19" s="1"/>
  <c r="L24" i="19" a="1"/>
  <c r="L24" i="19" s="1"/>
  <c r="K24" i="19" s="1"/>
  <c r="M24" i="19"/>
  <c r="N24" i="19" s="1"/>
  <c r="O24" i="19" s="1"/>
  <c r="L25" i="19" a="1"/>
  <c r="L25" i="19" s="1"/>
  <c r="K25" i="19" s="1"/>
  <c r="M25" i="19"/>
  <c r="N25" i="19" s="1"/>
  <c r="O25" i="19" s="1"/>
  <c r="L31" i="19" a="1"/>
  <c r="L31" i="19" s="1"/>
  <c r="K31" i="19" s="1"/>
  <c r="M31" i="19"/>
  <c r="N31" i="19" s="1"/>
  <c r="O31" i="19" s="1"/>
  <c r="L34" i="19" a="1"/>
  <c r="L34" i="19" s="1"/>
  <c r="K34" i="19" s="1"/>
  <c r="M34" i="19"/>
  <c r="N34" i="19" s="1"/>
  <c r="O34" i="19" s="1"/>
  <c r="L26" i="19" a="1"/>
  <c r="L26" i="19" s="1"/>
  <c r="K26" i="19" s="1"/>
  <c r="M26" i="19"/>
  <c r="N26" i="19" s="1"/>
  <c r="O26" i="19" s="1"/>
  <c r="L32" i="19" a="1"/>
  <c r="L32" i="19" s="1"/>
  <c r="K32" i="19" s="1"/>
  <c r="M32" i="19"/>
  <c r="N32" i="19" s="1"/>
  <c r="O32" i="19" s="1"/>
  <c r="L37" i="19" a="1"/>
  <c r="L37" i="19" s="1"/>
  <c r="K37" i="19" s="1"/>
  <c r="M37" i="19"/>
  <c r="N37" i="19" s="1"/>
  <c r="O37" i="19" s="1"/>
  <c r="L33" i="19" a="1"/>
  <c r="L33" i="19" s="1"/>
  <c r="K33" i="19" s="1"/>
  <c r="M33" i="19"/>
  <c r="N33" i="19" s="1"/>
  <c r="O33" i="19" s="1"/>
  <c r="L36" i="19" a="1"/>
  <c r="L36" i="19" s="1"/>
  <c r="K36" i="19" s="1"/>
  <c r="M36" i="19"/>
  <c r="N36" i="19" s="1"/>
  <c r="O36" i="19" s="1"/>
  <c r="L30" i="19" a="1"/>
  <c r="L30" i="19" s="1"/>
  <c r="K30" i="19" s="1"/>
  <c r="M30" i="19"/>
  <c r="N30" i="19" s="1"/>
  <c r="O30" i="19" s="1"/>
  <c r="L29" i="19" a="1"/>
  <c r="L29" i="19" s="1"/>
  <c r="K29" i="19" s="1"/>
  <c r="M29" i="19"/>
  <c r="N29" i="19" s="1"/>
  <c r="O29" i="19" s="1"/>
  <c r="L27" i="19" a="1"/>
  <c r="L27" i="19" s="1"/>
  <c r="K27" i="19" s="1"/>
  <c r="M27" i="19"/>
  <c r="N27" i="19" s="1"/>
  <c r="O27" i="19" s="1"/>
  <c r="L28" i="19" a="1"/>
  <c r="L28" i="19" s="1"/>
  <c r="K28" i="19" s="1"/>
  <c r="M28" i="19"/>
  <c r="N28" i="19" s="1"/>
  <c r="O28" i="19" s="1"/>
  <c r="L41" i="19" a="1"/>
  <c r="L41" i="19" s="1"/>
  <c r="K41" i="19" s="1"/>
  <c r="M41" i="19"/>
  <c r="N41" i="19" s="1"/>
  <c r="O41" i="19" s="1"/>
  <c r="L42" i="19" a="1"/>
  <c r="L42" i="19" s="1"/>
  <c r="K42" i="19" s="1"/>
  <c r="M42" i="19"/>
  <c r="N42" i="19" s="1"/>
  <c r="O42" i="19" s="1"/>
  <c r="L38" i="19" a="1"/>
  <c r="L38" i="19" s="1"/>
  <c r="K38" i="19" s="1"/>
  <c r="M38" i="19"/>
  <c r="N38" i="19" s="1"/>
  <c r="O38" i="19" s="1"/>
  <c r="L21" i="19" a="1"/>
  <c r="L21" i="19" s="1"/>
  <c r="K21" i="19" s="1"/>
  <c r="M21" i="19"/>
  <c r="N21" i="19" s="1"/>
  <c r="O21" i="19" s="1"/>
  <c r="L40" i="19" a="1"/>
  <c r="L40" i="19" s="1"/>
  <c r="K40" i="19" s="1"/>
  <c r="M40" i="19"/>
  <c r="N40" i="19" s="1"/>
  <c r="O40" i="19" s="1"/>
  <c r="L39" i="19" a="1"/>
  <c r="L39" i="19" s="1"/>
  <c r="K39" i="19" s="1"/>
  <c r="M39" i="19"/>
  <c r="N39" i="19" s="1"/>
  <c r="O39" i="19" s="1"/>
  <c r="L19" i="19" a="1"/>
  <c r="L19" i="19" s="1"/>
  <c r="K19" i="19" s="1"/>
  <c r="M19" i="19"/>
  <c r="N19" i="19" s="1"/>
  <c r="O19" i="19" s="1"/>
  <c r="A8" i="19"/>
  <c r="A5" i="19"/>
  <c r="A12" i="19"/>
  <c r="L7" i="19" a="1"/>
  <c r="L7" i="19" s="1"/>
  <c r="K7" i="19" s="1"/>
  <c r="L12" i="19" a="1"/>
  <c r="L12" i="19" s="1"/>
  <c r="K12" i="19" s="1"/>
  <c r="L5" i="19" a="1"/>
  <c r="L5" i="19" s="1"/>
  <c r="L8" i="19" a="1"/>
  <c r="L8" i="19" s="1"/>
  <c r="K8" i="19" s="1"/>
  <c r="A4" i="19"/>
  <c r="A10" i="19"/>
  <c r="A9" i="19"/>
  <c r="A11" i="19"/>
  <c r="A13" i="19"/>
  <c r="A15" i="19"/>
  <c r="A16" i="19"/>
  <c r="A17" i="19"/>
  <c r="A6" i="19"/>
  <c r="A14" i="19"/>
  <c r="L16" i="19" a="1"/>
  <c r="L16" i="19" s="1"/>
  <c r="K16" i="19" s="1"/>
  <c r="L8" i="20" a="1"/>
  <c r="L8" i="20" s="1"/>
  <c r="K8" i="20" s="1"/>
  <c r="P8" i="20" s="1"/>
  <c r="M8" i="20"/>
  <c r="N8" i="20" s="1"/>
  <c r="O8" i="20" s="1"/>
  <c r="J57" i="12" l="1"/>
  <c r="P43" i="19"/>
  <c r="P18" i="19"/>
  <c r="P22" i="19"/>
  <c r="I59" i="12"/>
  <c r="I57" i="12"/>
  <c r="I50" i="12"/>
  <c r="K5" i="22"/>
  <c r="L5" i="22"/>
  <c r="M4" i="22"/>
  <c r="P35" i="19"/>
  <c r="P23" i="19"/>
  <c r="P26" i="19"/>
  <c r="P24" i="19"/>
  <c r="P36" i="19"/>
  <c r="P37" i="19"/>
  <c r="P25" i="19"/>
  <c r="P34" i="19"/>
  <c r="P31" i="19"/>
  <c r="P33" i="19"/>
  <c r="P32" i="19"/>
  <c r="M16" i="19"/>
  <c r="N16" i="19" s="1"/>
  <c r="O16" i="19" s="1"/>
  <c r="P16" i="19" s="1"/>
  <c r="P29" i="19"/>
  <c r="P30" i="19"/>
  <c r="P38" i="19"/>
  <c r="P42" i="19"/>
  <c r="P27" i="19"/>
  <c r="P41" i="19"/>
  <c r="P28" i="19"/>
  <c r="M8" i="19"/>
  <c r="N8" i="19" s="1"/>
  <c r="O8" i="19" s="1"/>
  <c r="P8" i="19" s="1"/>
  <c r="P21" i="19"/>
  <c r="P39" i="19"/>
  <c r="P19" i="19"/>
  <c r="P40" i="19"/>
  <c r="K5" i="19"/>
  <c r="M5" i="19"/>
  <c r="N5" i="19" s="1"/>
  <c r="O5" i="19" s="1"/>
  <c r="M12" i="19"/>
  <c r="N12" i="19" s="1"/>
  <c r="O12" i="19" s="1"/>
  <c r="P12" i="19" s="1"/>
  <c r="M7" i="19"/>
  <c r="N7" i="19" s="1"/>
  <c r="O7" i="19" s="1"/>
  <c r="P7" i="19" s="1"/>
  <c r="K59" i="12" l="1"/>
  <c r="K50" i="12"/>
  <c r="K57" i="12"/>
  <c r="M5" i="22"/>
  <c r="N4" i="22"/>
  <c r="P5" i="19"/>
  <c r="A126" i="21" a="1"/>
  <c r="A126" i="21" s="1"/>
  <c r="I131" i="21"/>
  <c r="D131" i="21" a="1"/>
  <c r="D131" i="21" s="1"/>
  <c r="D126" i="21" a="1"/>
  <c r="D126" i="21" s="1"/>
  <c r="I127" i="21"/>
  <c r="D127" i="21" a="1"/>
  <c r="D127" i="21" s="1"/>
  <c r="D78" i="21" a="1"/>
  <c r="D78" i="21" s="1"/>
  <c r="I48" i="21"/>
  <c r="D48" i="21" a="1"/>
  <c r="D48" i="21" s="1"/>
  <c r="I44" i="21"/>
  <c r="D44" i="21" a="1"/>
  <c r="D44" i="21" s="1"/>
  <c r="H340" i="21"/>
  <c r="AX35" i="1" l="1"/>
  <c r="L78" i="21"/>
  <c r="N5" i="22"/>
  <c r="O4" i="22"/>
  <c r="A127" i="21" a="1"/>
  <c r="A127" i="21" s="1"/>
  <c r="A131" i="21" a="1"/>
  <c r="A131" i="21" s="1"/>
  <c r="A78" i="21" a="1"/>
  <c r="A78" i="21" s="1"/>
  <c r="A44" i="21" a="1"/>
  <c r="A44" i="21" s="1"/>
  <c r="A48" i="21" a="1"/>
  <c r="A48" i="21" s="1"/>
  <c r="M131" i="21"/>
  <c r="L131" i="21"/>
  <c r="K131" i="21"/>
  <c r="J131" i="21"/>
  <c r="M126" i="21"/>
  <c r="L126" i="21"/>
  <c r="K126" i="21"/>
  <c r="J126" i="21"/>
  <c r="M127" i="21"/>
  <c r="L127" i="21"/>
  <c r="K127" i="21"/>
  <c r="J127" i="21"/>
  <c r="M78" i="21"/>
  <c r="K78" i="21"/>
  <c r="J78" i="21"/>
  <c r="M48" i="21"/>
  <c r="L48" i="21"/>
  <c r="K48" i="21"/>
  <c r="J48" i="21"/>
  <c r="M44" i="21"/>
  <c r="L44" i="21"/>
  <c r="K44" i="21"/>
  <c r="J44" i="21"/>
  <c r="O5" i="22" l="1"/>
  <c r="P4" i="22"/>
  <c r="AZ51" i="1" l="1"/>
  <c r="AZ49" i="1"/>
  <c r="AZ50" i="1"/>
  <c r="P5" i="22"/>
  <c r="A21" i="21" a="1"/>
  <c r="A21" i="21" s="1"/>
  <c r="D21" i="21" a="1"/>
  <c r="D21" i="21" s="1"/>
  <c r="I21" i="21"/>
  <c r="A22" i="21" a="1"/>
  <c r="A22" i="21" s="1"/>
  <c r="D22" i="21" a="1"/>
  <c r="D22" i="21" s="1"/>
  <c r="I22" i="21"/>
  <c r="A23" i="21" a="1"/>
  <c r="A23" i="21" s="1"/>
  <c r="D23" i="21" a="1"/>
  <c r="D23" i="21" s="1"/>
  <c r="I23" i="21"/>
  <c r="A24" i="21" a="1"/>
  <c r="A24" i="21" s="1"/>
  <c r="D24" i="21" a="1"/>
  <c r="D24" i="21" s="1"/>
  <c r="A25" i="21" a="1"/>
  <c r="A25" i="21" s="1"/>
  <c r="D25" i="21" a="1"/>
  <c r="D25" i="21" s="1"/>
  <c r="I25" i="21"/>
  <c r="A26" i="21" a="1"/>
  <c r="A26" i="21" s="1"/>
  <c r="D26" i="21" a="1"/>
  <c r="D26" i="21" s="1"/>
  <c r="I26" i="21"/>
  <c r="A27" i="21" a="1"/>
  <c r="A27" i="21" s="1"/>
  <c r="D27" i="21" a="1"/>
  <c r="D27" i="21" s="1"/>
  <c r="G27" i="21"/>
  <c r="G340" i="21" s="1"/>
  <c r="I27" i="21"/>
  <c r="A28" i="21" a="1"/>
  <c r="A28" i="21" s="1"/>
  <c r="D28" i="21" a="1"/>
  <c r="D28" i="21" s="1"/>
  <c r="I28" i="21"/>
  <c r="A29" i="21" a="1"/>
  <c r="A29" i="21" s="1"/>
  <c r="D29" i="21" a="1"/>
  <c r="D29" i="21" s="1"/>
  <c r="A30" i="21" a="1"/>
  <c r="A30" i="21" s="1"/>
  <c r="D30" i="21" a="1"/>
  <c r="D30" i="21" s="1"/>
  <c r="A31" i="21" a="1"/>
  <c r="A31" i="21" s="1"/>
  <c r="D31" i="21" a="1"/>
  <c r="D31" i="21" s="1"/>
  <c r="I31" i="21"/>
  <c r="A32" i="21" a="1"/>
  <c r="A32" i="21" s="1"/>
  <c r="D32" i="21" a="1"/>
  <c r="D32" i="21" s="1"/>
  <c r="I32" i="21"/>
  <c r="A34" i="21" a="1"/>
  <c r="A34" i="21" s="1"/>
  <c r="D34" i="21" a="1"/>
  <c r="D34" i="21" s="1"/>
  <c r="I34" i="21"/>
  <c r="A35" i="21" a="1"/>
  <c r="A35" i="21" s="1"/>
  <c r="D35" i="21" a="1"/>
  <c r="D35" i="21" s="1"/>
  <c r="I35" i="21"/>
  <c r="A36" i="21" a="1"/>
  <c r="A36" i="21" s="1"/>
  <c r="D36" i="21" a="1"/>
  <c r="D36" i="21" s="1"/>
  <c r="I36" i="21"/>
  <c r="A37" i="21" a="1"/>
  <c r="A37" i="21" s="1"/>
  <c r="D37" i="21" a="1"/>
  <c r="D37" i="21" s="1"/>
  <c r="I37" i="21"/>
  <c r="A38" i="21" a="1"/>
  <c r="A38" i="21" s="1"/>
  <c r="D38" i="21" a="1"/>
  <c r="D38" i="21" s="1"/>
  <c r="I38" i="21"/>
  <c r="A39" i="21" a="1"/>
  <c r="A39" i="21" s="1"/>
  <c r="D39" i="21" a="1"/>
  <c r="D39" i="21" s="1"/>
  <c r="A40" i="21" a="1"/>
  <c r="A40" i="21" s="1"/>
  <c r="D40" i="21" a="1"/>
  <c r="D40" i="21" s="1"/>
  <c r="I40" i="21"/>
  <c r="A41" i="21" a="1"/>
  <c r="A41" i="21" s="1"/>
  <c r="D41" i="21" a="1"/>
  <c r="D41" i="21" s="1"/>
  <c r="I41" i="21"/>
  <c r="A42" i="21" a="1"/>
  <c r="A42" i="21" s="1"/>
  <c r="D42" i="21" a="1"/>
  <c r="D42" i="21" s="1"/>
  <c r="I42" i="21"/>
  <c r="A43" i="21" a="1"/>
  <c r="A43" i="21" s="1"/>
  <c r="D43" i="21" a="1"/>
  <c r="D43" i="21" s="1"/>
  <c r="I43" i="21"/>
  <c r="A45" i="21" a="1"/>
  <c r="A45" i="21" s="1"/>
  <c r="D45" i="21" a="1"/>
  <c r="D45" i="21" s="1"/>
  <c r="I45" i="21"/>
  <c r="A46" i="21" a="1"/>
  <c r="A46" i="21" s="1"/>
  <c r="D46" i="21" a="1"/>
  <c r="D46" i="21" s="1"/>
  <c r="I46" i="21"/>
  <c r="A47" i="21" a="1"/>
  <c r="A47" i="21" s="1"/>
  <c r="D47" i="21" a="1"/>
  <c r="D47" i="21" s="1"/>
  <c r="I47" i="21"/>
  <c r="A49" i="21" a="1"/>
  <c r="A49" i="21" s="1"/>
  <c r="D49" i="21" a="1"/>
  <c r="D49" i="21" s="1"/>
  <c r="I49" i="21"/>
  <c r="A51" i="21" a="1"/>
  <c r="A51" i="21" s="1"/>
  <c r="D51" i="21" a="1"/>
  <c r="D51" i="21" s="1"/>
  <c r="A52" i="21" a="1"/>
  <c r="A52" i="21" s="1"/>
  <c r="D52" i="21" a="1"/>
  <c r="D52" i="21" s="1"/>
  <c r="I52" i="21"/>
  <c r="A53" i="21" a="1"/>
  <c r="A53" i="21" s="1"/>
  <c r="D53" i="21" a="1"/>
  <c r="D53" i="21" s="1"/>
  <c r="I53" i="21"/>
  <c r="A54" i="21" a="1"/>
  <c r="A54" i="21" s="1"/>
  <c r="D54" i="21" a="1"/>
  <c r="D54" i="21" s="1"/>
  <c r="I54" i="21"/>
  <c r="A55" i="21" a="1"/>
  <c r="A55" i="21" s="1"/>
  <c r="D55" i="21" a="1"/>
  <c r="D55" i="21" s="1"/>
  <c r="I55" i="21"/>
  <c r="A56" i="21" a="1"/>
  <c r="A56" i="21" s="1"/>
  <c r="D56" i="21" a="1"/>
  <c r="D56" i="21" s="1"/>
  <c r="I56" i="21"/>
  <c r="A57" i="21" a="1"/>
  <c r="A57" i="21" s="1"/>
  <c r="D57" i="21" a="1"/>
  <c r="D57" i="21" s="1"/>
  <c r="I57" i="21"/>
  <c r="A58" i="21" a="1"/>
  <c r="A58" i="21" s="1"/>
  <c r="D58" i="21" a="1"/>
  <c r="D58" i="21" s="1"/>
  <c r="G58" i="21"/>
  <c r="I58" i="21"/>
  <c r="A59" i="21" a="1"/>
  <c r="A59" i="21" s="1"/>
  <c r="D59" i="21" a="1"/>
  <c r="D59" i="21" s="1"/>
  <c r="I59" i="21"/>
  <c r="A60" i="21" a="1"/>
  <c r="A60" i="21" s="1"/>
  <c r="D60" i="21" a="1"/>
  <c r="D60" i="21" s="1"/>
  <c r="I60" i="21"/>
  <c r="A61" i="21" a="1"/>
  <c r="A61" i="21" s="1"/>
  <c r="D61" i="21" a="1"/>
  <c r="D61" i="21" s="1"/>
  <c r="I61" i="21"/>
  <c r="A62" i="21" a="1"/>
  <c r="A62" i="21" s="1"/>
  <c r="D62" i="21" a="1"/>
  <c r="D62" i="21" s="1"/>
  <c r="I62" i="21"/>
  <c r="A63" i="21" a="1"/>
  <c r="A63" i="21" s="1"/>
  <c r="D63" i="21" a="1"/>
  <c r="D63" i="21" s="1"/>
  <c r="I63" i="21"/>
  <c r="A64" i="21" a="1"/>
  <c r="A64" i="21" s="1"/>
  <c r="D64" i="21" a="1"/>
  <c r="D64" i="21" s="1"/>
  <c r="I64" i="21"/>
  <c r="A65" i="21" a="1"/>
  <c r="A65" i="21" s="1"/>
  <c r="D65" i="21" a="1"/>
  <c r="D65" i="21" s="1"/>
  <c r="I65" i="21"/>
  <c r="A66" i="21" a="1"/>
  <c r="A66" i="21" s="1"/>
  <c r="D66" i="21" a="1"/>
  <c r="D66" i="21" s="1"/>
  <c r="I66" i="21"/>
  <c r="A67" i="21" a="1"/>
  <c r="A67" i="21" s="1"/>
  <c r="D67" i="21" a="1"/>
  <c r="D67" i="21" s="1"/>
  <c r="I67" i="21"/>
  <c r="A68" i="21" a="1"/>
  <c r="A68" i="21" s="1"/>
  <c r="D68" i="21" a="1"/>
  <c r="D68" i="21" s="1"/>
  <c r="I68" i="21"/>
  <c r="A69" i="21" a="1"/>
  <c r="A69" i="21" s="1"/>
  <c r="D69" i="21" a="1"/>
  <c r="D69" i="21" s="1"/>
  <c r="I69" i="21"/>
  <c r="A70" i="21" a="1"/>
  <c r="A70" i="21" s="1"/>
  <c r="D70" i="21" a="1"/>
  <c r="D70" i="21" s="1"/>
  <c r="I70" i="21"/>
  <c r="A71" i="21" a="1"/>
  <c r="A71" i="21" s="1"/>
  <c r="D71" i="21" a="1"/>
  <c r="D71" i="21" s="1"/>
  <c r="A72" i="21" a="1"/>
  <c r="A72" i="21" s="1"/>
  <c r="D72" i="21" a="1"/>
  <c r="D72" i="21" s="1"/>
  <c r="I72" i="21"/>
  <c r="A73" i="21" a="1"/>
  <c r="A73" i="21" s="1"/>
  <c r="D73" i="21" a="1"/>
  <c r="D73" i="21" s="1"/>
  <c r="I73" i="21"/>
  <c r="A74" i="21" a="1"/>
  <c r="A74" i="21" s="1"/>
  <c r="D74" i="21" a="1"/>
  <c r="D74" i="21" s="1"/>
  <c r="I74" i="21"/>
  <c r="A75" i="21" a="1"/>
  <c r="A75" i="21" s="1"/>
  <c r="D75" i="21" a="1"/>
  <c r="D75" i="21" s="1"/>
  <c r="A76" i="21" a="1"/>
  <c r="A76" i="21" s="1"/>
  <c r="D76" i="21" a="1"/>
  <c r="D76" i="21" s="1"/>
  <c r="A77" i="21" a="1"/>
  <c r="A77" i="21" s="1"/>
  <c r="D77" i="21" a="1"/>
  <c r="D77" i="21" s="1"/>
  <c r="A79" i="21" a="1"/>
  <c r="A79" i="21" s="1"/>
  <c r="D79" i="21" a="1"/>
  <c r="D79" i="21" s="1"/>
  <c r="A80" i="21" a="1"/>
  <c r="A80" i="21" s="1"/>
  <c r="D80" i="21" a="1"/>
  <c r="D80" i="21" s="1"/>
  <c r="A81" i="21" a="1"/>
  <c r="A81" i="21" s="1"/>
  <c r="D81" i="21" a="1"/>
  <c r="D81" i="21" s="1"/>
  <c r="A82" i="21" a="1"/>
  <c r="A82" i="21" s="1"/>
  <c r="D82" i="21" a="1"/>
  <c r="D82" i="21" s="1"/>
  <c r="A83" i="21" a="1"/>
  <c r="A83" i="21" s="1"/>
  <c r="D83" i="21" a="1"/>
  <c r="D83" i="21" s="1"/>
  <c r="A84" i="21" a="1"/>
  <c r="A84" i="21" s="1"/>
  <c r="D84" i="21" a="1"/>
  <c r="D84" i="21" s="1"/>
  <c r="I84" i="21"/>
  <c r="A85" i="21" a="1"/>
  <c r="A85" i="21" s="1"/>
  <c r="D85" i="21" a="1"/>
  <c r="D85" i="21" s="1"/>
  <c r="I85" i="21"/>
  <c r="A86" i="21" a="1"/>
  <c r="A86" i="21" s="1"/>
  <c r="D86" i="21" a="1"/>
  <c r="D86" i="21" s="1"/>
  <c r="A87" i="21" a="1"/>
  <c r="A87" i="21" s="1"/>
  <c r="D87" i="21" a="1"/>
  <c r="D87" i="21" s="1"/>
  <c r="I87" i="21"/>
  <c r="A88" i="21" a="1"/>
  <c r="A88" i="21" s="1"/>
  <c r="D88" i="21" a="1"/>
  <c r="D88" i="21" s="1"/>
  <c r="I88" i="21"/>
  <c r="A89" i="21" a="1"/>
  <c r="A89" i="21" s="1"/>
  <c r="D89" i="21" a="1"/>
  <c r="D89" i="21" s="1"/>
  <c r="I89" i="21"/>
  <c r="A90" i="21" a="1"/>
  <c r="A90" i="21" s="1"/>
  <c r="D90" i="21" a="1"/>
  <c r="D90" i="21" s="1"/>
  <c r="I90" i="21"/>
  <c r="A91" i="21" a="1"/>
  <c r="A91" i="21" s="1"/>
  <c r="D91" i="21" a="1"/>
  <c r="D91" i="21" s="1"/>
  <c r="A92" i="21" a="1"/>
  <c r="A92" i="21" s="1"/>
  <c r="D92" i="21" a="1"/>
  <c r="D92" i="21" s="1"/>
  <c r="I92" i="21"/>
  <c r="A93" i="21" a="1"/>
  <c r="A93" i="21" s="1"/>
  <c r="D93" i="21" a="1"/>
  <c r="D93" i="21" s="1"/>
  <c r="I93" i="21"/>
  <c r="A94" i="21" a="1"/>
  <c r="A94" i="21" s="1"/>
  <c r="D94" i="21" a="1"/>
  <c r="D94" i="21" s="1"/>
  <c r="I94" i="21"/>
  <c r="A95" i="21" a="1"/>
  <c r="A95" i="21" s="1"/>
  <c r="D95" i="21" a="1"/>
  <c r="D95" i="21" s="1"/>
  <c r="I95" i="21"/>
  <c r="A96" i="21" a="1"/>
  <c r="A96" i="21" s="1"/>
  <c r="D96" i="21" a="1"/>
  <c r="D96" i="21" s="1"/>
  <c r="I96" i="21"/>
  <c r="A97" i="21" a="1"/>
  <c r="A97" i="21" s="1"/>
  <c r="D97" i="21" a="1"/>
  <c r="D97" i="21" s="1"/>
  <c r="I97" i="21"/>
  <c r="A98" i="21" a="1"/>
  <c r="A98" i="21" s="1"/>
  <c r="D98" i="21" a="1"/>
  <c r="D98" i="21" s="1"/>
  <c r="I98" i="21"/>
  <c r="A99" i="21" a="1"/>
  <c r="A99" i="21" s="1"/>
  <c r="D99" i="21" a="1"/>
  <c r="D99" i="21" s="1"/>
  <c r="I99" i="21"/>
  <c r="A100" i="21" a="1"/>
  <c r="A100" i="21" s="1"/>
  <c r="D100" i="21" a="1"/>
  <c r="D100" i="21" s="1"/>
  <c r="I100" i="21"/>
  <c r="A101" i="21" a="1"/>
  <c r="A101" i="21" s="1"/>
  <c r="D101" i="21" a="1"/>
  <c r="D101" i="21" s="1"/>
  <c r="I101" i="21"/>
  <c r="A102" i="21" a="1"/>
  <c r="A102" i="21" s="1"/>
  <c r="D102" i="21" a="1"/>
  <c r="D102" i="21" s="1"/>
  <c r="I102" i="21"/>
  <c r="A103" i="21" a="1"/>
  <c r="A103" i="21" s="1"/>
  <c r="D103" i="21" a="1"/>
  <c r="D103" i="21" s="1"/>
  <c r="I103" i="21"/>
  <c r="A104" i="21" a="1"/>
  <c r="A104" i="21" s="1"/>
  <c r="D104" i="21" a="1"/>
  <c r="D104" i="21" s="1"/>
  <c r="A105" i="21" a="1"/>
  <c r="A105" i="21" s="1"/>
  <c r="D105" i="21" a="1"/>
  <c r="D105" i="21" s="1"/>
  <c r="A106" i="21" a="1"/>
  <c r="A106" i="21" s="1"/>
  <c r="D106" i="21" a="1"/>
  <c r="D106" i="21" s="1"/>
  <c r="I106" i="21"/>
  <c r="A107" i="21" a="1"/>
  <c r="A107" i="21" s="1"/>
  <c r="D107" i="21" a="1"/>
  <c r="D107" i="21" s="1"/>
  <c r="A108" i="21" a="1"/>
  <c r="A108" i="21" s="1"/>
  <c r="D108" i="21" a="1"/>
  <c r="D108" i="21" s="1"/>
  <c r="I108" i="21"/>
  <c r="A109" i="21" a="1"/>
  <c r="A109" i="21" s="1"/>
  <c r="D109" i="21" a="1"/>
  <c r="D109" i="21" s="1"/>
  <c r="A111" i="21" a="1"/>
  <c r="A111" i="21" s="1"/>
  <c r="D111" i="21" a="1"/>
  <c r="D111" i="21" s="1"/>
  <c r="I111" i="21"/>
  <c r="A112" i="21" a="1"/>
  <c r="A112" i="21" s="1"/>
  <c r="D112" i="21" a="1"/>
  <c r="D112" i="21" s="1"/>
  <c r="A113" i="21" a="1"/>
  <c r="A113" i="21" s="1"/>
  <c r="D113" i="21" a="1"/>
  <c r="D113" i="21" s="1"/>
  <c r="I113" i="21"/>
  <c r="A114" i="21" a="1"/>
  <c r="A114" i="21" s="1"/>
  <c r="D114" i="21" a="1"/>
  <c r="D114" i="21" s="1"/>
  <c r="A115" i="21" a="1"/>
  <c r="A115" i="21" s="1"/>
  <c r="D115" i="21" a="1"/>
  <c r="D115" i="21" s="1"/>
  <c r="I115" i="21"/>
  <c r="A118" i="21" a="1"/>
  <c r="A118" i="21" s="1"/>
  <c r="D118" i="21" a="1"/>
  <c r="D118" i="21" s="1"/>
  <c r="I118" i="21"/>
  <c r="A119" i="21" a="1"/>
  <c r="A119" i="21" s="1"/>
  <c r="D119" i="21" a="1"/>
  <c r="D119" i="21" s="1"/>
  <c r="I119" i="21"/>
  <c r="A120" i="21" a="1"/>
  <c r="A120" i="21" s="1"/>
  <c r="D120" i="21" a="1"/>
  <c r="D120" i="21" s="1"/>
  <c r="I120" i="21"/>
  <c r="A121" i="21" a="1"/>
  <c r="A121" i="21" s="1"/>
  <c r="D121" i="21" a="1"/>
  <c r="D121" i="21" s="1"/>
  <c r="A122" i="21" a="1"/>
  <c r="A122" i="21" s="1"/>
  <c r="D122" i="21" a="1"/>
  <c r="D122" i="21" s="1"/>
  <c r="A123" i="21" a="1"/>
  <c r="A123" i="21" s="1"/>
  <c r="D123" i="21" a="1"/>
  <c r="D123" i="21" s="1"/>
  <c r="I123" i="21"/>
  <c r="A124" i="21" a="1"/>
  <c r="A124" i="21" s="1"/>
  <c r="D124" i="21" a="1"/>
  <c r="D124" i="21" s="1"/>
  <c r="I124" i="21"/>
  <c r="A125" i="21" a="1"/>
  <c r="A125" i="21" s="1"/>
  <c r="D125" i="21" a="1"/>
  <c r="D125" i="21" s="1"/>
  <c r="I125" i="21"/>
  <c r="A128" i="21" a="1"/>
  <c r="A128" i="21" s="1"/>
  <c r="D128" i="21" a="1"/>
  <c r="D128" i="21" s="1"/>
  <c r="I128" i="21"/>
  <c r="A129" i="21" a="1"/>
  <c r="A129" i="21" s="1"/>
  <c r="D129" i="21" a="1"/>
  <c r="D129" i="21" s="1"/>
  <c r="I129" i="21"/>
  <c r="A130" i="21" a="1"/>
  <c r="A130" i="21" s="1"/>
  <c r="D130" i="21" a="1"/>
  <c r="D130" i="21" s="1"/>
  <c r="I130" i="21"/>
  <c r="A132" i="21" a="1"/>
  <c r="A132" i="21" s="1"/>
  <c r="D132" i="21" a="1"/>
  <c r="D132" i="21" s="1"/>
  <c r="I132" i="21"/>
  <c r="A133" i="21" a="1"/>
  <c r="A133" i="21" s="1"/>
  <c r="D133" i="21" a="1"/>
  <c r="D133" i="21" s="1"/>
  <c r="I133" i="21"/>
  <c r="A134" i="21" a="1"/>
  <c r="A134" i="21" s="1"/>
  <c r="D134" i="21" a="1"/>
  <c r="D134" i="21" s="1"/>
  <c r="A135" i="21" a="1"/>
  <c r="A135" i="21" s="1"/>
  <c r="D135" i="21" a="1"/>
  <c r="D135" i="21" s="1"/>
  <c r="I135" i="21"/>
  <c r="A136" i="21" a="1"/>
  <c r="A136" i="21" s="1"/>
  <c r="D136" i="21" a="1"/>
  <c r="D136" i="21" s="1"/>
  <c r="I136" i="21"/>
  <c r="A137" i="21" a="1"/>
  <c r="A137" i="21" s="1"/>
  <c r="D137" i="21" a="1"/>
  <c r="D137" i="21" s="1"/>
  <c r="I137" i="21"/>
  <c r="A138" i="21" a="1"/>
  <c r="A138" i="21" s="1"/>
  <c r="D138" i="21" a="1"/>
  <c r="D138" i="21" s="1"/>
  <c r="I138" i="21"/>
  <c r="A139" i="21" a="1"/>
  <c r="A139" i="21" s="1"/>
  <c r="D139" i="21" a="1"/>
  <c r="D139" i="21" s="1"/>
  <c r="I139" i="21"/>
  <c r="A142" i="21" a="1"/>
  <c r="A142" i="21" s="1"/>
  <c r="D142" i="21" a="1"/>
  <c r="D142" i="21" s="1"/>
  <c r="I142" i="21"/>
  <c r="A143" i="21" a="1"/>
  <c r="A143" i="21" s="1"/>
  <c r="D143" i="21" a="1"/>
  <c r="D143" i="21" s="1"/>
  <c r="I143" i="21"/>
  <c r="A144" i="21" a="1"/>
  <c r="A144" i="21" s="1"/>
  <c r="D144" i="21" a="1"/>
  <c r="D144" i="21" s="1"/>
  <c r="I144" i="21"/>
  <c r="A145" i="21" a="1"/>
  <c r="A145" i="21" s="1"/>
  <c r="D145" i="21" a="1"/>
  <c r="D145" i="21" s="1"/>
  <c r="I145" i="21"/>
  <c r="A146" i="21" a="1"/>
  <c r="A146" i="21" s="1"/>
  <c r="D146" i="21" a="1"/>
  <c r="D146" i="21" s="1"/>
  <c r="I146" i="21"/>
  <c r="A147" i="21" a="1"/>
  <c r="A147" i="21" s="1"/>
  <c r="D147" i="21" a="1"/>
  <c r="D147" i="21" s="1"/>
  <c r="I147" i="21"/>
  <c r="A148" i="21" a="1"/>
  <c r="A148" i="21" s="1"/>
  <c r="D148" i="21" a="1"/>
  <c r="D148" i="21" s="1"/>
  <c r="I148" i="21"/>
  <c r="A149" i="21" a="1"/>
  <c r="A149" i="21" s="1"/>
  <c r="D149" i="21" a="1"/>
  <c r="D149" i="21" s="1"/>
  <c r="I149" i="21"/>
  <c r="A150" i="21" a="1"/>
  <c r="A150" i="21" s="1"/>
  <c r="D150" i="21" a="1"/>
  <c r="D150" i="21" s="1"/>
  <c r="A151" i="21" a="1"/>
  <c r="A151" i="21" s="1"/>
  <c r="D151" i="21" a="1"/>
  <c r="D151" i="21" s="1"/>
  <c r="I151" i="21"/>
  <c r="A152" i="21" a="1"/>
  <c r="A152" i="21" s="1"/>
  <c r="D152" i="21" a="1"/>
  <c r="D152" i="21" s="1"/>
  <c r="I152" i="21"/>
  <c r="A153" i="21" a="1"/>
  <c r="A153" i="21" s="1"/>
  <c r="D153" i="21" a="1"/>
  <c r="D153" i="21" s="1"/>
  <c r="I153" i="21"/>
  <c r="A154" i="21" a="1"/>
  <c r="A154" i="21" s="1"/>
  <c r="D154" i="21" a="1"/>
  <c r="D154" i="21" s="1"/>
  <c r="I154" i="21"/>
  <c r="A157" i="21" a="1"/>
  <c r="A157" i="21" s="1"/>
  <c r="D157" i="21" a="1"/>
  <c r="D157" i="21" s="1"/>
  <c r="I157" i="21"/>
  <c r="A158" i="21" a="1"/>
  <c r="A158" i="21" s="1"/>
  <c r="D158" i="21" a="1"/>
  <c r="D158" i="21" s="1"/>
  <c r="A159" i="21" a="1"/>
  <c r="A159" i="21" s="1"/>
  <c r="D159" i="21" a="1"/>
  <c r="D159" i="21" s="1"/>
  <c r="A160" i="21" a="1"/>
  <c r="A160" i="21" s="1"/>
  <c r="D160" i="21" a="1"/>
  <c r="D160" i="21" s="1"/>
  <c r="I160" i="21"/>
  <c r="A161" i="21" a="1"/>
  <c r="A161" i="21" s="1"/>
  <c r="D161" i="21" a="1"/>
  <c r="D161" i="21" s="1"/>
  <c r="I161" i="21"/>
  <c r="A162" i="21" a="1"/>
  <c r="A162" i="21" s="1"/>
  <c r="D162" i="21" a="1"/>
  <c r="D162" i="21" s="1"/>
  <c r="I162" i="21"/>
  <c r="A163" i="21" a="1"/>
  <c r="A163" i="21" s="1"/>
  <c r="D163" i="21" a="1"/>
  <c r="D163" i="21" s="1"/>
  <c r="I163" i="21"/>
  <c r="A164" i="21" a="1"/>
  <c r="A164" i="21" s="1"/>
  <c r="D164" i="21" a="1"/>
  <c r="D164" i="21" s="1"/>
  <c r="A165" i="21" a="1"/>
  <c r="A165" i="21" s="1"/>
  <c r="D165" i="21" a="1"/>
  <c r="D165" i="21" s="1"/>
  <c r="I165" i="21"/>
  <c r="A166" i="21" a="1"/>
  <c r="A166" i="21" s="1"/>
  <c r="D166" i="21" a="1"/>
  <c r="D166" i="21" s="1"/>
  <c r="A169" i="21" a="1"/>
  <c r="A169" i="21" s="1"/>
  <c r="D169" i="21" a="1"/>
  <c r="D169" i="21" s="1"/>
  <c r="A170" i="21" a="1"/>
  <c r="A170" i="21" s="1"/>
  <c r="D170" i="21" a="1"/>
  <c r="D170" i="21" s="1"/>
  <c r="I170" i="21"/>
  <c r="A171" i="21" a="1"/>
  <c r="A171" i="21" s="1"/>
  <c r="D171" i="21" a="1"/>
  <c r="D171" i="21" s="1"/>
  <c r="I171" i="21"/>
  <c r="A172" i="21" a="1"/>
  <c r="A172" i="21" s="1"/>
  <c r="D172" i="21" a="1"/>
  <c r="D172" i="21" s="1"/>
  <c r="I172" i="21"/>
  <c r="A173" i="21" a="1"/>
  <c r="A173" i="21" s="1"/>
  <c r="D173" i="21" a="1"/>
  <c r="D173" i="21" s="1"/>
  <c r="I173" i="21"/>
  <c r="A174" i="21" a="1"/>
  <c r="A174" i="21" s="1"/>
  <c r="D174" i="21" a="1"/>
  <c r="D174" i="21" s="1"/>
  <c r="I174" i="21"/>
  <c r="A175" i="21" a="1"/>
  <c r="A175" i="21" s="1"/>
  <c r="D175" i="21" a="1"/>
  <c r="D175" i="21" s="1"/>
  <c r="I175" i="21"/>
  <c r="A176" i="21" a="1"/>
  <c r="A176" i="21" s="1"/>
  <c r="D176" i="21" a="1"/>
  <c r="D176" i="21" s="1"/>
  <c r="A177" i="21" a="1"/>
  <c r="A177" i="21" s="1"/>
  <c r="D177" i="21" a="1"/>
  <c r="D177" i="21" s="1"/>
  <c r="I177" i="21"/>
  <c r="A178" i="21" a="1"/>
  <c r="A178" i="21" s="1"/>
  <c r="D178" i="21" a="1"/>
  <c r="D178" i="21" s="1"/>
  <c r="I178" i="21"/>
  <c r="A179" i="21" a="1"/>
  <c r="A179" i="21" s="1"/>
  <c r="D179" i="21" a="1"/>
  <c r="D179" i="21" s="1"/>
  <c r="A180" i="21" a="1"/>
  <c r="A180" i="21" s="1"/>
  <c r="D180" i="21" a="1"/>
  <c r="D180" i="21" s="1"/>
  <c r="I180" i="21"/>
  <c r="A181" i="21" a="1"/>
  <c r="A181" i="21" s="1"/>
  <c r="D181" i="21" a="1"/>
  <c r="D181" i="21" s="1"/>
  <c r="I181" i="21"/>
  <c r="A182" i="21" a="1"/>
  <c r="A182" i="21" s="1"/>
  <c r="D182" i="21" a="1"/>
  <c r="D182" i="21" s="1"/>
  <c r="I182" i="21"/>
  <c r="A183" i="21" a="1"/>
  <c r="A183" i="21" s="1"/>
  <c r="D183" i="21" a="1"/>
  <c r="D183" i="21" s="1"/>
  <c r="I183" i="21"/>
  <c r="A184" i="21" a="1"/>
  <c r="A184" i="21" s="1"/>
  <c r="D184" i="21" a="1"/>
  <c r="D184" i="21" s="1"/>
  <c r="A185" i="21" a="1"/>
  <c r="A185" i="21" s="1"/>
  <c r="D185" i="21" a="1"/>
  <c r="D185" i="21" s="1"/>
  <c r="I185" i="21"/>
  <c r="A186" i="21" a="1"/>
  <c r="A186" i="21" s="1"/>
  <c r="D186" i="21" a="1"/>
  <c r="D186" i="21" s="1"/>
  <c r="I186" i="21"/>
  <c r="A187" i="21" a="1"/>
  <c r="A187" i="21" s="1"/>
  <c r="D187" i="21" a="1"/>
  <c r="D187" i="21" s="1"/>
  <c r="I187" i="21"/>
  <c r="A188" i="21" a="1"/>
  <c r="A188" i="21" s="1"/>
  <c r="D188" i="21" a="1"/>
  <c r="D188" i="21" s="1"/>
  <c r="I188" i="21"/>
  <c r="A189" i="21" a="1"/>
  <c r="A189" i="21" s="1"/>
  <c r="D189" i="21" a="1"/>
  <c r="D189" i="21" s="1"/>
  <c r="I189" i="21"/>
  <c r="A190" i="21" a="1"/>
  <c r="A190" i="21" s="1"/>
  <c r="D190" i="21" a="1"/>
  <c r="D190" i="21" s="1"/>
  <c r="I190" i="21"/>
  <c r="A191" i="21" a="1"/>
  <c r="A191" i="21" s="1"/>
  <c r="D191" i="21" a="1"/>
  <c r="D191" i="21" s="1"/>
  <c r="I191" i="21"/>
  <c r="A192" i="21" a="1"/>
  <c r="A192" i="21" s="1"/>
  <c r="D192" i="21" a="1"/>
  <c r="D192" i="21" s="1"/>
  <c r="I192" i="21"/>
  <c r="A193" i="21" a="1"/>
  <c r="A193" i="21" s="1"/>
  <c r="D193" i="21" a="1"/>
  <c r="D193" i="21" s="1"/>
  <c r="I193" i="21"/>
  <c r="A194" i="21" a="1"/>
  <c r="A194" i="21" s="1"/>
  <c r="D194" i="21" a="1"/>
  <c r="D194" i="21" s="1"/>
  <c r="I194" i="21"/>
  <c r="A195" i="21" a="1"/>
  <c r="A195" i="21" s="1"/>
  <c r="D195" i="21" a="1"/>
  <c r="D195" i="21" s="1"/>
  <c r="A198" i="21" a="1"/>
  <c r="A198" i="21" s="1"/>
  <c r="D198" i="21" a="1"/>
  <c r="D198" i="21" s="1"/>
  <c r="I198" i="21"/>
  <c r="A199" i="21" a="1"/>
  <c r="A199" i="21" s="1"/>
  <c r="D199" i="21" a="1"/>
  <c r="D199" i="21" s="1"/>
  <c r="I199" i="21"/>
  <c r="A200" i="21" a="1"/>
  <c r="A200" i="21" s="1"/>
  <c r="D200" i="21" a="1"/>
  <c r="D200" i="21" s="1"/>
  <c r="I200" i="21"/>
  <c r="A201" i="21" a="1"/>
  <c r="A201" i="21" s="1"/>
  <c r="D201" i="21" a="1"/>
  <c r="D201" i="21" s="1"/>
  <c r="I201" i="21"/>
  <c r="A202" i="21" a="1"/>
  <c r="A202" i="21" s="1"/>
  <c r="D202" i="21" a="1"/>
  <c r="D202" i="21" s="1"/>
  <c r="I202" i="21"/>
  <c r="A203" i="21" a="1"/>
  <c r="A203" i="21" s="1"/>
  <c r="D203" i="21" a="1"/>
  <c r="D203" i="21" s="1"/>
  <c r="I203" i="21"/>
  <c r="A204" i="21" a="1"/>
  <c r="A204" i="21" s="1"/>
  <c r="D204" i="21" a="1"/>
  <c r="D204" i="21" s="1"/>
  <c r="A205" i="21" a="1"/>
  <c r="A205" i="21" s="1"/>
  <c r="D205" i="21" a="1"/>
  <c r="D205" i="21" s="1"/>
  <c r="I205" i="21"/>
  <c r="A206" i="21" a="1"/>
  <c r="A206" i="21" s="1"/>
  <c r="D206" i="21" a="1"/>
  <c r="D206" i="21" s="1"/>
  <c r="I206" i="21"/>
  <c r="A207" i="21" a="1"/>
  <c r="A207" i="21" s="1"/>
  <c r="D207" i="21" a="1"/>
  <c r="D207" i="21" s="1"/>
  <c r="I207" i="21"/>
  <c r="A208" i="21" a="1"/>
  <c r="A208" i="21" s="1"/>
  <c r="D208" i="21" a="1"/>
  <c r="D208" i="21" s="1"/>
  <c r="I208" i="21"/>
  <c r="A209" i="21" a="1"/>
  <c r="A209" i="21" s="1"/>
  <c r="D209" i="21" a="1"/>
  <c r="D209" i="21" s="1"/>
  <c r="A210" i="21" a="1"/>
  <c r="A210" i="21" s="1"/>
  <c r="D210" i="21" a="1"/>
  <c r="D210" i="21" s="1"/>
  <c r="I210" i="21"/>
  <c r="A211" i="21" a="1"/>
  <c r="A211" i="21" s="1"/>
  <c r="D211" i="21" a="1"/>
  <c r="D211" i="21" s="1"/>
  <c r="A212" i="21" a="1"/>
  <c r="A212" i="21" s="1"/>
  <c r="D212" i="21" a="1"/>
  <c r="D212" i="21" s="1"/>
  <c r="I212" i="21"/>
  <c r="A213" i="21" a="1"/>
  <c r="A213" i="21" s="1"/>
  <c r="D213" i="21" a="1"/>
  <c r="D213" i="21" s="1"/>
  <c r="I213" i="21"/>
  <c r="A214" i="21" a="1"/>
  <c r="A214" i="21" s="1"/>
  <c r="D214" i="21" a="1"/>
  <c r="D214" i="21" s="1"/>
  <c r="I214" i="21"/>
  <c r="A215" i="21" a="1"/>
  <c r="A215" i="21" s="1"/>
  <c r="D215" i="21" a="1"/>
  <c r="D215" i="21" s="1"/>
  <c r="I215" i="21"/>
  <c r="A216" i="21" a="1"/>
  <c r="A216" i="21" s="1"/>
  <c r="D216" i="21" a="1"/>
  <c r="D216" i="21" s="1"/>
  <c r="I216" i="21"/>
  <c r="A217" i="21" a="1"/>
  <c r="A217" i="21" s="1"/>
  <c r="D217" i="21" a="1"/>
  <c r="D217" i="21" s="1"/>
  <c r="I217" i="21"/>
  <c r="A219" i="21" a="1"/>
  <c r="A219" i="21" s="1"/>
  <c r="D219" i="21" a="1"/>
  <c r="D219" i="21" s="1"/>
  <c r="I219" i="21"/>
  <c r="A220" i="21" a="1"/>
  <c r="A220" i="21" s="1"/>
  <c r="D220" i="21" a="1"/>
  <c r="D220" i="21" s="1"/>
  <c r="I220" i="21"/>
  <c r="A221" i="21" a="1"/>
  <c r="A221" i="21" s="1"/>
  <c r="D221" i="21" a="1"/>
  <c r="D221" i="21" s="1"/>
  <c r="I221" i="21"/>
  <c r="A222" i="21" a="1"/>
  <c r="A222" i="21" s="1"/>
  <c r="D222" i="21" a="1"/>
  <c r="D222" i="21" s="1"/>
  <c r="I222" i="21"/>
  <c r="A223" i="21" a="1"/>
  <c r="A223" i="21" s="1"/>
  <c r="D223" i="21" a="1"/>
  <c r="D223" i="21" s="1"/>
  <c r="A224" i="21" a="1"/>
  <c r="A224" i="21" s="1"/>
  <c r="D224" i="21" a="1"/>
  <c r="D224" i="21" s="1"/>
  <c r="I224" i="21"/>
  <c r="A225" i="21" a="1"/>
  <c r="A225" i="21" s="1"/>
  <c r="D225" i="21" a="1"/>
  <c r="D225" i="21" s="1"/>
  <c r="I225" i="21"/>
  <c r="A226" i="21" a="1"/>
  <c r="A226" i="21" s="1"/>
  <c r="D226" i="21" a="1"/>
  <c r="D226" i="21" s="1"/>
  <c r="I226" i="21"/>
  <c r="A227" i="21" a="1"/>
  <c r="A227" i="21" s="1"/>
  <c r="D227" i="21" a="1"/>
  <c r="D227" i="21" s="1"/>
  <c r="I227" i="21"/>
  <c r="A228" i="21" a="1"/>
  <c r="A228" i="21" s="1"/>
  <c r="D228" i="21" a="1"/>
  <c r="D228" i="21" s="1"/>
  <c r="I228" i="21"/>
  <c r="A229" i="21" a="1"/>
  <c r="A229" i="21" s="1"/>
  <c r="D229" i="21" a="1"/>
  <c r="D229" i="21" s="1"/>
  <c r="I229" i="21"/>
  <c r="A230" i="21" a="1"/>
  <c r="A230" i="21" s="1"/>
  <c r="D230" i="21" a="1"/>
  <c r="D230" i="21" s="1"/>
  <c r="I230" i="21"/>
  <c r="A231" i="21" a="1"/>
  <c r="A231" i="21" s="1"/>
  <c r="D231" i="21" a="1"/>
  <c r="D231" i="21" s="1"/>
  <c r="I231" i="21"/>
  <c r="A232" i="21" a="1"/>
  <c r="A232" i="21" s="1"/>
  <c r="D232" i="21" a="1"/>
  <c r="D232" i="21" s="1"/>
  <c r="A233" i="21" a="1"/>
  <c r="A233" i="21" s="1"/>
  <c r="D233" i="21" a="1"/>
  <c r="D233" i="21" s="1"/>
  <c r="I233" i="21"/>
  <c r="A234" i="21" a="1"/>
  <c r="A234" i="21" s="1"/>
  <c r="D234" i="21" a="1"/>
  <c r="D234" i="21" s="1"/>
  <c r="I234" i="21"/>
  <c r="A235" i="21" a="1"/>
  <c r="A235" i="21" s="1"/>
  <c r="D235" i="21" a="1"/>
  <c r="D235" i="21" s="1"/>
  <c r="I235" i="21"/>
  <c r="A236" i="21" a="1"/>
  <c r="A236" i="21" s="1"/>
  <c r="D236" i="21" a="1"/>
  <c r="D236" i="21" s="1"/>
  <c r="A237" i="21" a="1"/>
  <c r="A237" i="21" s="1"/>
  <c r="D237" i="21" a="1"/>
  <c r="D237" i="21" s="1"/>
  <c r="I237" i="21"/>
  <c r="A238" i="21" a="1"/>
  <c r="A238" i="21" s="1"/>
  <c r="D238" i="21" a="1"/>
  <c r="D238" i="21" s="1"/>
  <c r="I238" i="21"/>
  <c r="A239" i="21" a="1"/>
  <c r="A239" i="21" s="1"/>
  <c r="D239" i="21" a="1"/>
  <c r="D239" i="21" s="1"/>
  <c r="I239" i="21"/>
  <c r="A240" i="21" a="1"/>
  <c r="A240" i="21" s="1"/>
  <c r="D240" i="21" a="1"/>
  <c r="D240" i="21" s="1"/>
  <c r="I240" i="21"/>
  <c r="A241" i="21" a="1"/>
  <c r="A241" i="21" s="1"/>
  <c r="D241" i="21" a="1"/>
  <c r="D241" i="21" s="1"/>
  <c r="I241" i="21"/>
  <c r="A242" i="21" a="1"/>
  <c r="A242" i="21" s="1"/>
  <c r="D242" i="21" a="1"/>
  <c r="D242" i="21" s="1"/>
  <c r="I242" i="21"/>
  <c r="A243" i="21" a="1"/>
  <c r="A243" i="21" s="1"/>
  <c r="D243" i="21" a="1"/>
  <c r="D243" i="21" s="1"/>
  <c r="I243" i="21"/>
  <c r="A244" i="21" a="1"/>
  <c r="A244" i="21" s="1"/>
  <c r="D244" i="21" a="1"/>
  <c r="D244" i="21" s="1"/>
  <c r="I244" i="21"/>
  <c r="A245" i="21" a="1"/>
  <c r="A245" i="21" s="1"/>
  <c r="D245" i="21" a="1"/>
  <c r="D245" i="21" s="1"/>
  <c r="I245" i="21"/>
  <c r="A246" i="21" a="1"/>
  <c r="A246" i="21" s="1"/>
  <c r="D246" i="21" a="1"/>
  <c r="D246" i="21" s="1"/>
  <c r="I246" i="21"/>
  <c r="A247" i="21" a="1"/>
  <c r="A247" i="21" s="1"/>
  <c r="D247" i="21" a="1"/>
  <c r="D247" i="21" s="1"/>
  <c r="I247" i="21"/>
  <c r="A248" i="21" a="1"/>
  <c r="A248" i="21" s="1"/>
  <c r="D248" i="21" a="1"/>
  <c r="D248" i="21" s="1"/>
  <c r="I248" i="21"/>
  <c r="A249" i="21" a="1"/>
  <c r="A249" i="21" s="1"/>
  <c r="D249" i="21" a="1"/>
  <c r="D249" i="21" s="1"/>
  <c r="I249" i="21"/>
  <c r="A250" i="21" a="1"/>
  <c r="A250" i="21" s="1"/>
  <c r="D250" i="21" a="1"/>
  <c r="D250" i="21" s="1"/>
  <c r="I250" i="21"/>
  <c r="A251" i="21" a="1"/>
  <c r="A251" i="21" s="1"/>
  <c r="D251" i="21" a="1"/>
  <c r="D251" i="21" s="1"/>
  <c r="I251" i="21"/>
  <c r="A252" i="21" a="1"/>
  <c r="A252" i="21" s="1"/>
  <c r="D252" i="21" a="1"/>
  <c r="D252" i="21" s="1"/>
  <c r="I252" i="21"/>
  <c r="A253" i="21" a="1"/>
  <c r="A253" i="21" s="1"/>
  <c r="D253" i="21" a="1"/>
  <c r="D253" i="21" s="1"/>
  <c r="A254" i="21" a="1"/>
  <c r="A254" i="21" s="1"/>
  <c r="D254" i="21" a="1"/>
  <c r="D254" i="21" s="1"/>
  <c r="A255" i="21" a="1"/>
  <c r="A255" i="21" s="1"/>
  <c r="D255" i="21" a="1"/>
  <c r="D255" i="21" s="1"/>
  <c r="A256" i="21" a="1"/>
  <c r="A256" i="21" s="1"/>
  <c r="D256" i="21" a="1"/>
  <c r="D256" i="21" s="1"/>
  <c r="A257" i="21" a="1"/>
  <c r="A257" i="21" s="1"/>
  <c r="D257" i="21" a="1"/>
  <c r="D257" i="21" s="1"/>
  <c r="I257" i="21"/>
  <c r="A260" i="21" a="1"/>
  <c r="A260" i="21" s="1"/>
  <c r="D260" i="21" a="1"/>
  <c r="D260" i="21" s="1"/>
  <c r="I260" i="21"/>
  <c r="A261" i="21" a="1"/>
  <c r="A261" i="21" s="1"/>
  <c r="D261" i="21" a="1"/>
  <c r="D261" i="21" s="1"/>
  <c r="I261" i="21"/>
  <c r="A262" i="21" a="1"/>
  <c r="A262" i="21" s="1"/>
  <c r="D262" i="21" a="1"/>
  <c r="D262" i="21" s="1"/>
  <c r="A263" i="21" a="1"/>
  <c r="A263" i="21" s="1"/>
  <c r="D263" i="21" a="1"/>
  <c r="D263" i="21" s="1"/>
  <c r="A264" i="21" a="1"/>
  <c r="A264" i="21" s="1"/>
  <c r="D264" i="21" a="1"/>
  <c r="D264" i="21" s="1"/>
  <c r="I264" i="21"/>
  <c r="A265" i="21" a="1"/>
  <c r="A265" i="21" s="1"/>
  <c r="D265" i="21" a="1"/>
  <c r="D265" i="21" s="1"/>
  <c r="I265" i="21"/>
  <c r="A267" i="21" a="1"/>
  <c r="A267" i="21" s="1"/>
  <c r="D267" i="21" a="1"/>
  <c r="D267" i="21" s="1"/>
  <c r="I267" i="21"/>
  <c r="A268" i="21" a="1"/>
  <c r="A268" i="21" s="1"/>
  <c r="D268" i="21" a="1"/>
  <c r="D268" i="21" s="1"/>
  <c r="I268" i="21"/>
  <c r="A269" i="21" a="1"/>
  <c r="A269" i="21" s="1"/>
  <c r="D269" i="21" a="1"/>
  <c r="D269" i="21" s="1"/>
  <c r="I269" i="21"/>
  <c r="A270" i="21" a="1"/>
  <c r="A270" i="21" s="1"/>
  <c r="D270" i="21" a="1"/>
  <c r="D270" i="21" s="1"/>
  <c r="I270" i="21"/>
  <c r="A271" i="21" a="1"/>
  <c r="A271" i="21" s="1"/>
  <c r="D271" i="21" a="1"/>
  <c r="D271" i="21" s="1"/>
  <c r="I271" i="21"/>
  <c r="A272" i="21" a="1"/>
  <c r="A272" i="21" s="1"/>
  <c r="D272" i="21" a="1"/>
  <c r="D272" i="21" s="1"/>
  <c r="I272" i="21"/>
  <c r="A273" i="21" a="1"/>
  <c r="A273" i="21" s="1"/>
  <c r="D273" i="21" a="1"/>
  <c r="D273" i="21" s="1"/>
  <c r="I273" i="21"/>
  <c r="A274" i="21" a="1"/>
  <c r="A274" i="21" s="1"/>
  <c r="D274" i="21" a="1"/>
  <c r="D274" i="21" s="1"/>
  <c r="I274" i="21"/>
  <c r="A275" i="21" a="1"/>
  <c r="A275" i="21" s="1"/>
  <c r="D275" i="21" a="1"/>
  <c r="D275" i="21" s="1"/>
  <c r="I275" i="21"/>
  <c r="A276" i="21" a="1"/>
  <c r="A276" i="21" s="1"/>
  <c r="D276" i="21" a="1"/>
  <c r="D276" i="21" s="1"/>
  <c r="I276" i="21"/>
  <c r="A277" i="21" a="1"/>
  <c r="A277" i="21" s="1"/>
  <c r="D277" i="21" a="1"/>
  <c r="D277" i="21" s="1"/>
  <c r="I277" i="21"/>
  <c r="A278" i="21" a="1"/>
  <c r="A278" i="21" s="1"/>
  <c r="D278" i="21" a="1"/>
  <c r="D278" i="21" s="1"/>
  <c r="I278" i="21"/>
  <c r="A279" i="21" a="1"/>
  <c r="A279" i="21" s="1"/>
  <c r="D279" i="21" a="1"/>
  <c r="D279" i="21" s="1"/>
  <c r="I279" i="21"/>
  <c r="A280" i="21" a="1"/>
  <c r="A280" i="21" s="1"/>
  <c r="D280" i="21" a="1"/>
  <c r="D280" i="21" s="1"/>
  <c r="A282" i="21" a="1"/>
  <c r="A282" i="21" s="1"/>
  <c r="D282" i="21" a="1"/>
  <c r="D282" i="21" s="1"/>
  <c r="I282" i="21"/>
  <c r="A283" i="21" a="1"/>
  <c r="A283" i="21" s="1"/>
  <c r="D283" i="21" a="1"/>
  <c r="D283" i="21" s="1"/>
  <c r="I283" i="21"/>
  <c r="A284" i="21" a="1"/>
  <c r="A284" i="21" s="1"/>
  <c r="D284" i="21" a="1"/>
  <c r="D284" i="21" s="1"/>
  <c r="I284" i="21"/>
  <c r="A285" i="21" a="1"/>
  <c r="A285" i="21" s="1"/>
  <c r="D285" i="21" a="1"/>
  <c r="D285" i="21" s="1"/>
  <c r="A286" i="21" a="1"/>
  <c r="A286" i="21" s="1"/>
  <c r="D286" i="21" a="1"/>
  <c r="D286" i="21" s="1"/>
  <c r="I286" i="21"/>
  <c r="A287" i="21" a="1"/>
  <c r="A287" i="21" s="1"/>
  <c r="D287" i="21" a="1"/>
  <c r="D287" i="21" s="1"/>
  <c r="I287" i="21"/>
  <c r="A288" i="21" a="1"/>
  <c r="A288" i="21" s="1"/>
  <c r="D288" i="21" a="1"/>
  <c r="D288" i="21" s="1"/>
  <c r="I288" i="21"/>
  <c r="A289" i="21" a="1"/>
  <c r="A289" i="21" s="1"/>
  <c r="D289" i="21" a="1"/>
  <c r="D289" i="21" s="1"/>
  <c r="I289" i="21"/>
  <c r="A290" i="21" a="1"/>
  <c r="A290" i="21" s="1"/>
  <c r="D290" i="21" a="1"/>
  <c r="D290" i="21" s="1"/>
  <c r="I290" i="21"/>
  <c r="A291" i="21" a="1"/>
  <c r="A291" i="21" s="1"/>
  <c r="D291" i="21" a="1"/>
  <c r="D291" i="21" s="1"/>
  <c r="I291" i="21"/>
  <c r="A292" i="21" a="1"/>
  <c r="A292" i="21" s="1"/>
  <c r="D292" i="21" a="1"/>
  <c r="D292" i="21" s="1"/>
  <c r="A293" i="21" a="1"/>
  <c r="A293" i="21" s="1"/>
  <c r="D293" i="21" a="1"/>
  <c r="D293" i="21" s="1"/>
  <c r="I293" i="21"/>
  <c r="A294" i="21" a="1"/>
  <c r="A294" i="21" s="1"/>
  <c r="D294" i="21" a="1"/>
  <c r="D294" i="21" s="1"/>
  <c r="I294" i="21"/>
  <c r="A295" i="21" a="1"/>
  <c r="A295" i="21" s="1"/>
  <c r="D295" i="21" a="1"/>
  <c r="D295" i="21" s="1"/>
  <c r="I295" i="21"/>
  <c r="A296" i="21" a="1"/>
  <c r="A296" i="21" s="1"/>
  <c r="D296" i="21" a="1"/>
  <c r="D296" i="21" s="1"/>
  <c r="I296" i="21"/>
  <c r="A297" i="21" a="1"/>
  <c r="A297" i="21" s="1"/>
  <c r="D297" i="21" a="1"/>
  <c r="D297" i="21" s="1"/>
  <c r="I297" i="21"/>
  <c r="A298" i="21" a="1"/>
  <c r="A298" i="21" s="1"/>
  <c r="D298" i="21" a="1"/>
  <c r="D298" i="21" s="1"/>
  <c r="I298" i="21"/>
  <c r="A299" i="21" a="1"/>
  <c r="A299" i="21" s="1"/>
  <c r="D299" i="21" a="1"/>
  <c r="D299" i="21" s="1"/>
  <c r="I299" i="21"/>
  <c r="A301" i="21" a="1"/>
  <c r="A301" i="21" s="1"/>
  <c r="D301" i="21" a="1"/>
  <c r="D301" i="21" s="1"/>
  <c r="I301" i="21"/>
  <c r="A302" i="21" a="1"/>
  <c r="A302" i="21" s="1"/>
  <c r="D302" i="21" a="1"/>
  <c r="D302" i="21" s="1"/>
  <c r="I302" i="21"/>
  <c r="A303" i="21" a="1"/>
  <c r="A303" i="21" s="1"/>
  <c r="D303" i="21" a="1"/>
  <c r="D303" i="21" s="1"/>
  <c r="I303" i="21"/>
  <c r="A304" i="21" a="1"/>
  <c r="A304" i="21" s="1"/>
  <c r="D304" i="21" a="1"/>
  <c r="D304" i="21" s="1"/>
  <c r="I304" i="21"/>
  <c r="A305" i="21" a="1"/>
  <c r="A305" i="21" s="1"/>
  <c r="D305" i="21" a="1"/>
  <c r="D305" i="21" s="1"/>
  <c r="I305" i="21"/>
  <c r="A306" i="21" a="1"/>
  <c r="A306" i="21" s="1"/>
  <c r="D306" i="21" a="1"/>
  <c r="D306" i="21" s="1"/>
  <c r="I306" i="21"/>
  <c r="A307" i="21" a="1"/>
  <c r="A307" i="21" s="1"/>
  <c r="D307" i="21" a="1"/>
  <c r="D307" i="21" s="1"/>
  <c r="I307" i="21"/>
  <c r="A308" i="21" a="1"/>
  <c r="A308" i="21" s="1"/>
  <c r="D308" i="21" a="1"/>
  <c r="D308" i="21" s="1"/>
  <c r="I308" i="21"/>
  <c r="A309" i="21" a="1"/>
  <c r="A309" i="21" s="1"/>
  <c r="D309" i="21" a="1"/>
  <c r="D309" i="21" s="1"/>
  <c r="A310" i="21" a="1"/>
  <c r="A310" i="21" s="1"/>
  <c r="D310" i="21" a="1"/>
  <c r="D310" i="21" s="1"/>
  <c r="I310" i="21"/>
  <c r="A311" i="21" a="1"/>
  <c r="A311" i="21" s="1"/>
  <c r="D311" i="21" a="1"/>
  <c r="D311" i="21" s="1"/>
  <c r="I311" i="21"/>
  <c r="A312" i="21" a="1"/>
  <c r="A312" i="21" s="1"/>
  <c r="D312" i="21" a="1"/>
  <c r="D312" i="21" s="1"/>
  <c r="I312" i="21"/>
  <c r="A314" i="21" a="1"/>
  <c r="A314" i="21" s="1"/>
  <c r="D314" i="21" a="1"/>
  <c r="D314" i="21" s="1"/>
  <c r="I314" i="21"/>
  <c r="A315" i="21" a="1"/>
  <c r="A315" i="21" s="1"/>
  <c r="D315" i="21" a="1"/>
  <c r="D315" i="21" s="1"/>
  <c r="I315" i="21"/>
  <c r="A316" i="21" a="1"/>
  <c r="A316" i="21" s="1"/>
  <c r="D316" i="21" a="1"/>
  <c r="D316" i="21" s="1"/>
  <c r="I316" i="21"/>
  <c r="A317" i="21" a="1"/>
  <c r="A317" i="21" s="1"/>
  <c r="D317" i="21" a="1"/>
  <c r="D317" i="21" s="1"/>
  <c r="I317" i="21"/>
  <c r="A318" i="21" a="1"/>
  <c r="A318" i="21" s="1"/>
  <c r="D318" i="21" a="1"/>
  <c r="D318" i="21" s="1"/>
  <c r="I318" i="21"/>
  <c r="A319" i="21" a="1"/>
  <c r="A319" i="21" s="1"/>
  <c r="D319" i="21" a="1"/>
  <c r="D319" i="21" s="1"/>
  <c r="I319" i="21"/>
  <c r="A321" i="21" a="1"/>
  <c r="A321" i="21" s="1"/>
  <c r="D321" i="21" a="1"/>
  <c r="D321" i="21" s="1"/>
  <c r="A322" i="21" a="1"/>
  <c r="A322" i="21" s="1"/>
  <c r="D322" i="21" a="1"/>
  <c r="D322" i="21" s="1"/>
  <c r="A323" i="21" a="1"/>
  <c r="A323" i="21" s="1"/>
  <c r="D323" i="21" a="1"/>
  <c r="D323" i="21" s="1"/>
  <c r="I323" i="21"/>
  <c r="A324" i="21" a="1"/>
  <c r="A324" i="21" s="1"/>
  <c r="D324" i="21" a="1"/>
  <c r="D324" i="21" s="1"/>
  <c r="I324" i="21"/>
  <c r="A325" i="21" a="1"/>
  <c r="A325" i="21" s="1"/>
  <c r="D325" i="21" a="1"/>
  <c r="D325" i="21" s="1"/>
  <c r="I325" i="21"/>
  <c r="A326" i="21" a="1"/>
  <c r="A326" i="21" s="1"/>
  <c r="D326" i="21" a="1"/>
  <c r="D326" i="21" s="1"/>
  <c r="I326" i="21"/>
  <c r="A327" i="21" a="1"/>
  <c r="A327" i="21" s="1"/>
  <c r="D327" i="21" a="1"/>
  <c r="D327" i="21" s="1"/>
  <c r="I327" i="21"/>
  <c r="A328" i="21" a="1"/>
  <c r="A328" i="21" s="1"/>
  <c r="D328" i="21" a="1"/>
  <c r="D328" i="21" s="1"/>
  <c r="I328" i="21"/>
  <c r="A329" i="21" a="1"/>
  <c r="A329" i="21" s="1"/>
  <c r="D329" i="21" a="1"/>
  <c r="D329" i="21" s="1"/>
  <c r="I329" i="21"/>
  <c r="A330" i="21" a="1"/>
  <c r="A330" i="21" s="1"/>
  <c r="D330" i="21" a="1"/>
  <c r="D330" i="21" s="1"/>
  <c r="I330" i="21"/>
  <c r="A331" i="21" a="1"/>
  <c r="A331" i="21" s="1"/>
  <c r="D331" i="21" a="1"/>
  <c r="D331" i="21" s="1"/>
  <c r="I331" i="21"/>
  <c r="A332" i="21" a="1"/>
  <c r="A332" i="21" s="1"/>
  <c r="D332" i="21" a="1"/>
  <c r="D332" i="21" s="1"/>
  <c r="I332" i="21"/>
  <c r="A10" i="21" a="1"/>
  <c r="A10" i="21" s="1"/>
  <c r="D10" i="21" a="1"/>
  <c r="D10" i="21" s="1"/>
  <c r="I10" i="21"/>
  <c r="A11" i="21" a="1"/>
  <c r="A11" i="21" s="1"/>
  <c r="D11" i="21" a="1"/>
  <c r="D11" i="21" s="1"/>
  <c r="I11" i="21"/>
  <c r="A12" i="21" a="1"/>
  <c r="A12" i="21" s="1"/>
  <c r="D12" i="21" a="1"/>
  <c r="D12" i="21" s="1"/>
  <c r="I12" i="21"/>
  <c r="A13" i="21" a="1"/>
  <c r="A13" i="21" s="1"/>
  <c r="D13" i="21" a="1"/>
  <c r="D13" i="21" s="1"/>
  <c r="A14" i="21" a="1"/>
  <c r="A14" i="21" s="1"/>
  <c r="D14" i="21" a="1"/>
  <c r="D14" i="21" s="1"/>
  <c r="I14" i="21"/>
  <c r="A15" i="21" a="1"/>
  <c r="A15" i="21" s="1"/>
  <c r="D15" i="21" a="1"/>
  <c r="D15" i="21" s="1"/>
  <c r="I15" i="21"/>
  <c r="A16" i="21" a="1"/>
  <c r="A16" i="21" s="1"/>
  <c r="D16" i="21" a="1"/>
  <c r="D16" i="21" s="1"/>
  <c r="I16" i="21"/>
  <c r="A17" i="21" a="1"/>
  <c r="A17" i="21" s="1"/>
  <c r="D17" i="21" a="1"/>
  <c r="D17" i="21" s="1"/>
  <c r="I17" i="21"/>
  <c r="A18" i="21" a="1"/>
  <c r="A18" i="21" s="1"/>
  <c r="D18" i="21" a="1"/>
  <c r="D18" i="21" s="1"/>
  <c r="I18" i="21"/>
  <c r="A19" i="21" a="1"/>
  <c r="A19" i="21" s="1"/>
  <c r="D19" i="21" a="1"/>
  <c r="D19" i="21" s="1"/>
  <c r="A20" i="21" a="1"/>
  <c r="A20" i="21" s="1"/>
  <c r="D20" i="21" a="1"/>
  <c r="D20" i="21" s="1"/>
  <c r="I20" i="21"/>
  <c r="A4" i="21" a="1"/>
  <c r="A4" i="21" s="1"/>
  <c r="D4" i="21" a="1"/>
  <c r="D4" i="21" s="1"/>
  <c r="I4" i="21"/>
  <c r="A5" i="21" a="1"/>
  <c r="A5" i="21" s="1"/>
  <c r="D5" i="21" a="1"/>
  <c r="D5" i="21" s="1"/>
  <c r="I5" i="21"/>
  <c r="A6" i="21" a="1"/>
  <c r="A6" i="21" s="1"/>
  <c r="D6" i="21" a="1"/>
  <c r="D6" i="21" s="1"/>
  <c r="I6" i="21"/>
  <c r="A7" i="21" a="1"/>
  <c r="A7" i="21" s="1"/>
  <c r="D7" i="21" a="1"/>
  <c r="D7" i="21" s="1"/>
  <c r="I7" i="21"/>
  <c r="A9" i="21" a="1"/>
  <c r="A9" i="21" s="1"/>
  <c r="D9" i="21" a="1"/>
  <c r="D9" i="21" s="1"/>
  <c r="I9" i="21"/>
  <c r="A335" i="21" a="1"/>
  <c r="A335" i="21" s="1"/>
  <c r="D335" i="21" a="1"/>
  <c r="D335" i="21" s="1"/>
  <c r="I335" i="21"/>
  <c r="A336" i="21" a="1"/>
  <c r="A336" i="21" s="1"/>
  <c r="D336" i="21" a="1"/>
  <c r="D336" i="21" s="1"/>
  <c r="A339" i="21" a="1"/>
  <c r="A339" i="21" s="1"/>
  <c r="D339" i="21" a="1"/>
  <c r="D339" i="21" s="1"/>
  <c r="I339" i="21"/>
  <c r="D40" i="1" l="1"/>
  <c r="D76" i="1"/>
  <c r="D112" i="1"/>
  <c r="D148" i="1"/>
  <c r="D184" i="1"/>
  <c r="D220" i="1"/>
  <c r="D23" i="1"/>
  <c r="D59" i="1"/>
  <c r="D95" i="1"/>
  <c r="D131" i="1"/>
  <c r="D167" i="1"/>
  <c r="D203" i="1"/>
  <c r="D239" i="1"/>
  <c r="D275" i="1"/>
  <c r="D311" i="1"/>
  <c r="E9" i="1"/>
  <c r="E45" i="1"/>
  <c r="E81" i="1"/>
  <c r="E117" i="1"/>
  <c r="E153" i="1"/>
  <c r="D18" i="1"/>
  <c r="D54" i="1"/>
  <c r="D90" i="1"/>
  <c r="D126" i="1"/>
  <c r="D162" i="1"/>
  <c r="D198" i="1"/>
  <c r="D234" i="1"/>
  <c r="D31" i="1"/>
  <c r="D67" i="1"/>
  <c r="D103" i="1"/>
  <c r="D139" i="1"/>
  <c r="D175" i="1"/>
  <c r="D211" i="1"/>
  <c r="D247" i="1"/>
  <c r="D283" i="1"/>
  <c r="D319" i="1"/>
  <c r="E17" i="1"/>
  <c r="E53" i="1"/>
  <c r="E89" i="1"/>
  <c r="E125" i="1"/>
  <c r="E161" i="1"/>
  <c r="D26" i="1"/>
  <c r="D62" i="1"/>
  <c r="D98" i="1"/>
  <c r="D134" i="1"/>
  <c r="D170" i="1"/>
  <c r="D206" i="1"/>
  <c r="D242" i="1"/>
  <c r="D278" i="1"/>
  <c r="D314" i="1"/>
  <c r="E12" i="1"/>
  <c r="E48" i="1"/>
  <c r="E84" i="1"/>
  <c r="E120" i="1"/>
  <c r="E156" i="1"/>
  <c r="D81" i="1"/>
  <c r="D258" i="1"/>
  <c r="D330" i="1"/>
  <c r="E64" i="1"/>
  <c r="E136" i="1"/>
  <c r="E192" i="1"/>
  <c r="D87" i="1"/>
  <c r="D261" i="1"/>
  <c r="D333" i="1"/>
  <c r="E67" i="1"/>
  <c r="E139" i="1"/>
  <c r="E193" i="1"/>
  <c r="E229" i="1"/>
  <c r="E265" i="1"/>
  <c r="E301" i="1"/>
  <c r="E337" i="1"/>
  <c r="F35" i="1"/>
  <c r="F71" i="1"/>
  <c r="F107" i="1"/>
  <c r="F143" i="1"/>
  <c r="F179" i="1"/>
  <c r="F215" i="1"/>
  <c r="D165" i="1"/>
  <c r="D99" i="1"/>
  <c r="D264" i="1"/>
  <c r="D336" i="1"/>
  <c r="E70" i="1"/>
  <c r="E142" i="1"/>
  <c r="E195" i="1"/>
  <c r="E231" i="1"/>
  <c r="E267" i="1"/>
  <c r="E303" i="1"/>
  <c r="E339" i="1"/>
  <c r="F37" i="1"/>
  <c r="F73" i="1"/>
  <c r="F109" i="1"/>
  <c r="F145" i="1"/>
  <c r="D33" i="1"/>
  <c r="D243" i="1"/>
  <c r="D315" i="1"/>
  <c r="E49" i="1"/>
  <c r="E121" i="1"/>
  <c r="E184" i="1"/>
  <c r="E220" i="1"/>
  <c r="E256" i="1"/>
  <c r="E292" i="1"/>
  <c r="E328" i="1"/>
  <c r="F26" i="1"/>
  <c r="F62" i="1"/>
  <c r="F98" i="1"/>
  <c r="F134" i="1"/>
  <c r="F170" i="1"/>
  <c r="E56" i="1"/>
  <c r="E221" i="1"/>
  <c r="E293" i="1"/>
  <c r="F27" i="1"/>
  <c r="F99" i="1"/>
  <c r="F171" i="1"/>
  <c r="F216" i="1"/>
  <c r="F253" i="1"/>
  <c r="D75" i="1"/>
  <c r="E98" i="1"/>
  <c r="E234" i="1"/>
  <c r="E306" i="1"/>
  <c r="F40" i="1"/>
  <c r="F112" i="1"/>
  <c r="F181" i="1"/>
  <c r="F224" i="1"/>
  <c r="F260" i="1"/>
  <c r="F296" i="1"/>
  <c r="F332" i="1"/>
  <c r="G30" i="1"/>
  <c r="G66" i="1"/>
  <c r="G102" i="1"/>
  <c r="G138" i="1"/>
  <c r="G174" i="1"/>
  <c r="D262" i="1"/>
  <c r="D183" i="1"/>
  <c r="E116" i="1"/>
  <c r="E240" i="1"/>
  <c r="E312" i="1"/>
  <c r="F46" i="1"/>
  <c r="F118" i="1"/>
  <c r="F184" i="1"/>
  <c r="F227" i="1"/>
  <c r="F263" i="1"/>
  <c r="F299" i="1"/>
  <c r="F335" i="1"/>
  <c r="G33" i="1"/>
  <c r="G69" i="1"/>
  <c r="G105" i="1"/>
  <c r="G141" i="1"/>
  <c r="G177" i="1"/>
  <c r="D280" i="1"/>
  <c r="E158" i="1"/>
  <c r="E254" i="1"/>
  <c r="E326" i="1"/>
  <c r="F60" i="1"/>
  <c r="F132" i="1"/>
  <c r="F193" i="1"/>
  <c r="F234" i="1"/>
  <c r="F270" i="1"/>
  <c r="F306" i="1"/>
  <c r="G40" i="1"/>
  <c r="G76" i="1"/>
  <c r="G112" i="1"/>
  <c r="D334" i="1"/>
  <c r="F9" i="1"/>
  <c r="F205" i="1"/>
  <c r="F307" i="1"/>
  <c r="G41" i="1"/>
  <c r="G113" i="1"/>
  <c r="G175" i="1"/>
  <c r="G220" i="1"/>
  <c r="G256" i="1"/>
  <c r="G292" i="1"/>
  <c r="G328" i="1"/>
  <c r="H26" i="1"/>
  <c r="H62" i="1"/>
  <c r="H98" i="1"/>
  <c r="E320" i="1"/>
  <c r="F189" i="1"/>
  <c r="F297" i="1"/>
  <c r="G31" i="1"/>
  <c r="G103" i="1"/>
  <c r="G167" i="1"/>
  <c r="G215" i="1"/>
  <c r="G251" i="1"/>
  <c r="G287" i="1"/>
  <c r="G323" i="1"/>
  <c r="H21" i="1"/>
  <c r="H57" i="1"/>
  <c r="H93" i="1"/>
  <c r="H129" i="1"/>
  <c r="H165" i="1"/>
  <c r="H201" i="1"/>
  <c r="H237" i="1"/>
  <c r="H273" i="1"/>
  <c r="H309" i="1"/>
  <c r="I7" i="1"/>
  <c r="AV7" i="1" s="1"/>
  <c r="BB7" i="4" s="1"/>
  <c r="BC7" i="4" s="1"/>
  <c r="I43" i="1"/>
  <c r="I79" i="1"/>
  <c r="AV79" i="1" s="1"/>
  <c r="BB79" i="4" s="1"/>
  <c r="BC79" i="4" s="1"/>
  <c r="I115" i="1"/>
  <c r="I151" i="1"/>
  <c r="I187" i="1"/>
  <c r="I223" i="1"/>
  <c r="I259" i="1"/>
  <c r="AV259" i="1" s="1"/>
  <c r="BB259" i="4" s="1"/>
  <c r="BC259" i="4" s="1"/>
  <c r="I295" i="1"/>
  <c r="AV295" i="1" s="1"/>
  <c r="BB295" i="4" s="1"/>
  <c r="BC295" i="4" s="1"/>
  <c r="E251" i="1"/>
  <c r="F129" i="1"/>
  <c r="F268" i="1"/>
  <c r="G8" i="1"/>
  <c r="G80" i="1"/>
  <c r="G151" i="1"/>
  <c r="G204" i="1"/>
  <c r="G240" i="1"/>
  <c r="G276" i="1"/>
  <c r="G312" i="1"/>
  <c r="H10" i="1"/>
  <c r="H46" i="1"/>
  <c r="H82" i="1"/>
  <c r="E332" i="1"/>
  <c r="F196" i="1"/>
  <c r="F301" i="1"/>
  <c r="G35" i="1"/>
  <c r="G107" i="1"/>
  <c r="G170" i="1"/>
  <c r="G217" i="1"/>
  <c r="G253" i="1"/>
  <c r="G289" i="1"/>
  <c r="G325" i="1"/>
  <c r="H23" i="1"/>
  <c r="H59" i="1"/>
  <c r="E74" i="1"/>
  <c r="F33" i="1"/>
  <c r="F219" i="1"/>
  <c r="F315" i="1"/>
  <c r="G49" i="1"/>
  <c r="G121" i="1"/>
  <c r="G181" i="1"/>
  <c r="G224" i="1"/>
  <c r="G260" i="1"/>
  <c r="G296" i="1"/>
  <c r="G332" i="1"/>
  <c r="H30" i="1"/>
  <c r="H66" i="1"/>
  <c r="H102" i="1"/>
  <c r="H138" i="1"/>
  <c r="H174" i="1"/>
  <c r="H210" i="1"/>
  <c r="H246" i="1"/>
  <c r="H282" i="1"/>
  <c r="H318" i="1"/>
  <c r="I16" i="1"/>
  <c r="I52" i="1"/>
  <c r="I88" i="1"/>
  <c r="I124" i="1"/>
  <c r="I160" i="1"/>
  <c r="AV160" i="1" s="1"/>
  <c r="BB160" i="4" s="1"/>
  <c r="BC160" i="4" s="1"/>
  <c r="I196" i="1"/>
  <c r="AV196" i="1" s="1"/>
  <c r="BB196" i="4" s="1"/>
  <c r="BC196" i="4" s="1"/>
  <c r="I232" i="1"/>
  <c r="I268" i="1"/>
  <c r="E272" i="1"/>
  <c r="F150" i="1"/>
  <c r="F279" i="1"/>
  <c r="G14" i="1"/>
  <c r="G86" i="1"/>
  <c r="G155" i="1"/>
  <c r="G207" i="1"/>
  <c r="G243" i="1"/>
  <c r="G279" i="1"/>
  <c r="G315" i="1"/>
  <c r="H13" i="1"/>
  <c r="H49" i="1"/>
  <c r="H85" i="1"/>
  <c r="H121" i="1"/>
  <c r="H157" i="1"/>
  <c r="H193" i="1"/>
  <c r="H229" i="1"/>
  <c r="H265" i="1"/>
  <c r="H301" i="1"/>
  <c r="H337" i="1"/>
  <c r="I35" i="1"/>
  <c r="I71" i="1"/>
  <c r="I107" i="1"/>
  <c r="I143" i="1"/>
  <c r="I179" i="1"/>
  <c r="I215" i="1"/>
  <c r="I251" i="1"/>
  <c r="I287" i="1"/>
  <c r="H106" i="1"/>
  <c r="H178" i="1"/>
  <c r="H250" i="1"/>
  <c r="H322" i="1"/>
  <c r="I56" i="1"/>
  <c r="I128" i="1"/>
  <c r="I200" i="1"/>
  <c r="I272" i="1"/>
  <c r="AV272" i="1" s="1"/>
  <c r="BB272" i="4" s="1"/>
  <c r="BC272" i="4" s="1"/>
  <c r="I323" i="1"/>
  <c r="H119" i="1"/>
  <c r="H191" i="1"/>
  <c r="H263" i="1"/>
  <c r="H335" i="1"/>
  <c r="I69" i="1"/>
  <c r="I141" i="1"/>
  <c r="I213" i="1"/>
  <c r="I285" i="1"/>
  <c r="I330" i="1"/>
  <c r="AV330" i="1" s="1"/>
  <c r="BB330" i="4" s="1"/>
  <c r="BC330" i="4" s="1"/>
  <c r="H146" i="1"/>
  <c r="H218" i="1"/>
  <c r="H290" i="1"/>
  <c r="I24" i="1"/>
  <c r="I96" i="1"/>
  <c r="I168" i="1"/>
  <c r="I240" i="1"/>
  <c r="I304" i="1"/>
  <c r="H100" i="1"/>
  <c r="H172" i="1"/>
  <c r="H244" i="1"/>
  <c r="H316" i="1"/>
  <c r="I50" i="1"/>
  <c r="I122" i="1"/>
  <c r="AV122" i="1" s="1"/>
  <c r="BB122" i="4" s="1"/>
  <c r="BC122" i="4" s="1"/>
  <c r="I194" i="1"/>
  <c r="I266" i="1"/>
  <c r="AV266" i="1" s="1"/>
  <c r="BB266" i="4" s="1"/>
  <c r="BC266" i="4" s="1"/>
  <c r="I320" i="1"/>
  <c r="H125" i="1"/>
  <c r="H197" i="1"/>
  <c r="H269" i="1"/>
  <c r="H341" i="1"/>
  <c r="I75" i="1"/>
  <c r="I147" i="1"/>
  <c r="I219" i="1"/>
  <c r="I290" i="1"/>
  <c r="I333" i="1"/>
  <c r="H152" i="1"/>
  <c r="H224" i="1"/>
  <c r="H296" i="1"/>
  <c r="I30" i="1"/>
  <c r="I102" i="1"/>
  <c r="AV102" i="1" s="1"/>
  <c r="BB102" i="4" s="1"/>
  <c r="BC102" i="4" s="1"/>
  <c r="I174" i="1"/>
  <c r="AV174" i="1" s="1"/>
  <c r="BB174" i="4" s="1"/>
  <c r="BC174" i="4" s="1"/>
  <c r="I246" i="1"/>
  <c r="I309" i="1"/>
  <c r="D10" i="1"/>
  <c r="D46" i="1"/>
  <c r="D82" i="1"/>
  <c r="D118" i="1"/>
  <c r="D154" i="1"/>
  <c r="D190" i="1"/>
  <c r="D226" i="1"/>
  <c r="D29" i="1"/>
  <c r="D65" i="1"/>
  <c r="D101" i="1"/>
  <c r="D137" i="1"/>
  <c r="D173" i="1"/>
  <c r="D209" i="1"/>
  <c r="D245" i="1"/>
  <c r="D281" i="1"/>
  <c r="D317" i="1"/>
  <c r="E15" i="1"/>
  <c r="E51" i="1"/>
  <c r="E87" i="1"/>
  <c r="E123" i="1"/>
  <c r="E159" i="1"/>
  <c r="D24" i="1"/>
  <c r="D60" i="1"/>
  <c r="D96" i="1"/>
  <c r="D132" i="1"/>
  <c r="D168" i="1"/>
  <c r="D204" i="1"/>
  <c r="D240" i="1"/>
  <c r="D37" i="1"/>
  <c r="D73" i="1"/>
  <c r="D109" i="1"/>
  <c r="D145" i="1"/>
  <c r="D181" i="1"/>
  <c r="D217" i="1"/>
  <c r="D253" i="1"/>
  <c r="D289" i="1"/>
  <c r="D325" i="1"/>
  <c r="E23" i="1"/>
  <c r="E59" i="1"/>
  <c r="E95" i="1"/>
  <c r="E131" i="1"/>
  <c r="E167" i="1"/>
  <c r="D32" i="1"/>
  <c r="D68" i="1"/>
  <c r="D104" i="1"/>
  <c r="D140" i="1"/>
  <c r="D176" i="1"/>
  <c r="D212" i="1"/>
  <c r="D248" i="1"/>
  <c r="D284" i="1"/>
  <c r="D320" i="1"/>
  <c r="E18" i="1"/>
  <c r="E54" i="1"/>
  <c r="E90" i="1"/>
  <c r="E126" i="1"/>
  <c r="E162" i="1"/>
  <c r="D117" i="1"/>
  <c r="D270" i="1"/>
  <c r="E76" i="1"/>
  <c r="E148" i="1"/>
  <c r="E198" i="1"/>
  <c r="D123" i="1"/>
  <c r="D273" i="1"/>
  <c r="E7" i="1"/>
  <c r="E79" i="1"/>
  <c r="E151" i="1"/>
  <c r="E199" i="1"/>
  <c r="E235" i="1"/>
  <c r="E271" i="1"/>
  <c r="E307" i="1"/>
  <c r="F41" i="1"/>
  <c r="F77" i="1"/>
  <c r="F113" i="1"/>
  <c r="F149" i="1"/>
  <c r="F185" i="1"/>
  <c r="F221" i="1"/>
  <c r="D201" i="1"/>
  <c r="D135" i="1"/>
  <c r="D276" i="1"/>
  <c r="E10" i="1"/>
  <c r="E82" i="1"/>
  <c r="E154" i="1"/>
  <c r="E201" i="1"/>
  <c r="E237" i="1"/>
  <c r="E273" i="1"/>
  <c r="E309" i="1"/>
  <c r="F7" i="1"/>
  <c r="F43" i="1"/>
  <c r="F79" i="1"/>
  <c r="F115" i="1"/>
  <c r="F151" i="1"/>
  <c r="D69" i="1"/>
  <c r="D255" i="1"/>
  <c r="D327" i="1"/>
  <c r="E61" i="1"/>
  <c r="E133" i="1"/>
  <c r="E190" i="1"/>
  <c r="E226" i="1"/>
  <c r="E262" i="1"/>
  <c r="E298" i="1"/>
  <c r="E334" i="1"/>
  <c r="F32" i="1"/>
  <c r="F68" i="1"/>
  <c r="F104" i="1"/>
  <c r="F140" i="1"/>
  <c r="D39" i="1"/>
  <c r="E92" i="1"/>
  <c r="E233" i="1"/>
  <c r="E305" i="1"/>
  <c r="F39" i="1"/>
  <c r="F111" i="1"/>
  <c r="F180" i="1"/>
  <c r="F223" i="1"/>
  <c r="F259" i="1"/>
  <c r="D256" i="1"/>
  <c r="E134" i="1"/>
  <c r="E246" i="1"/>
  <c r="E318" i="1"/>
  <c r="F52" i="1"/>
  <c r="F124" i="1"/>
  <c r="F188" i="1"/>
  <c r="F230" i="1"/>
  <c r="F266" i="1"/>
  <c r="F302" i="1"/>
  <c r="F338" i="1"/>
  <c r="G36" i="1"/>
  <c r="G72" i="1"/>
  <c r="G108" i="1"/>
  <c r="G144" i="1"/>
  <c r="G180" i="1"/>
  <c r="D298" i="1"/>
  <c r="D274" i="1"/>
  <c r="E152" i="1"/>
  <c r="E252" i="1"/>
  <c r="E324" i="1"/>
  <c r="F58" i="1"/>
  <c r="F130" i="1"/>
  <c r="F192" i="1"/>
  <c r="F233" i="1"/>
  <c r="F269" i="1"/>
  <c r="F305" i="1"/>
  <c r="F341" i="1"/>
  <c r="G39" i="1"/>
  <c r="G75" i="1"/>
  <c r="G111" i="1"/>
  <c r="G147" i="1"/>
  <c r="G183" i="1"/>
  <c r="D316" i="1"/>
  <c r="E185" i="1"/>
  <c r="E266" i="1"/>
  <c r="E338" i="1"/>
  <c r="F72" i="1"/>
  <c r="F144" i="1"/>
  <c r="F200" i="1"/>
  <c r="F240" i="1"/>
  <c r="F276" i="1"/>
  <c r="F312" i="1"/>
  <c r="G10" i="1"/>
  <c r="G46" i="1"/>
  <c r="G82" i="1"/>
  <c r="G118" i="1"/>
  <c r="E110" i="1"/>
  <c r="F45" i="1"/>
  <c r="F226" i="1"/>
  <c r="F319" i="1"/>
  <c r="G53" i="1"/>
  <c r="G125" i="1"/>
  <c r="G184" i="1"/>
  <c r="G226" i="1"/>
  <c r="G262" i="1"/>
  <c r="G298" i="1"/>
  <c r="G334" i="1"/>
  <c r="H32" i="1"/>
  <c r="H68" i="1"/>
  <c r="E32" i="1"/>
  <c r="F18" i="1"/>
  <c r="F211" i="1"/>
  <c r="F309" i="1"/>
  <c r="G43" i="1"/>
  <c r="G115" i="1"/>
  <c r="G176" i="1"/>
  <c r="G221" i="1"/>
  <c r="G257" i="1"/>
  <c r="G293" i="1"/>
  <c r="G329" i="1"/>
  <c r="H27" i="1"/>
  <c r="H63" i="1"/>
  <c r="H99" i="1"/>
  <c r="H135" i="1"/>
  <c r="H171" i="1"/>
  <c r="H207" i="1"/>
  <c r="H243" i="1"/>
  <c r="H279" i="1"/>
  <c r="H315" i="1"/>
  <c r="I13" i="1"/>
  <c r="AV13" i="1" s="1"/>
  <c r="BB13" i="4" s="1"/>
  <c r="BC13" i="4" s="1"/>
  <c r="I49" i="1"/>
  <c r="AV49" i="1" s="1"/>
  <c r="BB49" i="4" s="1"/>
  <c r="BC49" i="4" s="1"/>
  <c r="I85" i="1"/>
  <c r="O85" i="1" s="1"/>
  <c r="I121" i="1"/>
  <c r="I157" i="1"/>
  <c r="I193" i="1"/>
  <c r="I229" i="1"/>
  <c r="I265" i="1"/>
  <c r="I301" i="1"/>
  <c r="AV301" i="1" s="1"/>
  <c r="BB301" i="4" s="1"/>
  <c r="BC301" i="4" s="1"/>
  <c r="E287" i="1"/>
  <c r="F165" i="1"/>
  <c r="F286" i="1"/>
  <c r="G20" i="1"/>
  <c r="G92" i="1"/>
  <c r="G160" i="1"/>
  <c r="G210" i="1"/>
  <c r="G246" i="1"/>
  <c r="G282" i="1"/>
  <c r="G318" i="1"/>
  <c r="H16" i="1"/>
  <c r="H52" i="1"/>
  <c r="E68" i="1"/>
  <c r="F30" i="1"/>
  <c r="F218" i="1"/>
  <c r="F313" i="1"/>
  <c r="G47" i="1"/>
  <c r="G119" i="1"/>
  <c r="G179" i="1"/>
  <c r="G223" i="1"/>
  <c r="G259" i="1"/>
  <c r="G295" i="1"/>
  <c r="G331" i="1"/>
  <c r="H29" i="1"/>
  <c r="H65" i="1"/>
  <c r="E179" i="1"/>
  <c r="F69" i="1"/>
  <c r="F238" i="1"/>
  <c r="F327" i="1"/>
  <c r="G61" i="1"/>
  <c r="G133" i="1"/>
  <c r="G190" i="1"/>
  <c r="G230" i="1"/>
  <c r="G266" i="1"/>
  <c r="G302" i="1"/>
  <c r="G338" i="1"/>
  <c r="H36" i="1"/>
  <c r="H72" i="1"/>
  <c r="H108" i="1"/>
  <c r="H144" i="1"/>
  <c r="H180" i="1"/>
  <c r="H216" i="1"/>
  <c r="H252" i="1"/>
  <c r="H288" i="1"/>
  <c r="H324" i="1"/>
  <c r="I22" i="1"/>
  <c r="AV22" i="1" s="1"/>
  <c r="BB22" i="4" s="1"/>
  <c r="BC22" i="4" s="1"/>
  <c r="I58" i="1"/>
  <c r="I94" i="1"/>
  <c r="I130" i="1"/>
  <c r="I166" i="1"/>
  <c r="I202" i="1"/>
  <c r="I238" i="1"/>
  <c r="I274" i="1"/>
  <c r="AV274" i="1" s="1"/>
  <c r="BB274" i="4" s="1"/>
  <c r="BC274" i="4" s="1"/>
  <c r="E308" i="1"/>
  <c r="F182" i="1"/>
  <c r="F292" i="1"/>
  <c r="G26" i="1"/>
  <c r="G98" i="1"/>
  <c r="G164" i="1"/>
  <c r="G213" i="1"/>
  <c r="G249" i="1"/>
  <c r="G285" i="1"/>
  <c r="G321" i="1"/>
  <c r="H19" i="1"/>
  <c r="H55" i="1"/>
  <c r="H91" i="1"/>
  <c r="H127" i="1"/>
  <c r="H163" i="1"/>
  <c r="H199" i="1"/>
  <c r="H235" i="1"/>
  <c r="H271" i="1"/>
  <c r="H307" i="1"/>
  <c r="I41" i="1"/>
  <c r="I77" i="1"/>
  <c r="I113" i="1"/>
  <c r="AV113" i="1" s="1"/>
  <c r="BB113" i="4" s="1"/>
  <c r="BC113" i="4" s="1"/>
  <c r="I149" i="1"/>
  <c r="AV149" i="1" s="1"/>
  <c r="BB149" i="4" s="1"/>
  <c r="BC149" i="4" s="1"/>
  <c r="I185" i="1"/>
  <c r="AV185" i="1" s="1"/>
  <c r="BB185" i="4" s="1"/>
  <c r="BC185" i="4" s="1"/>
  <c r="I221" i="1"/>
  <c r="I257" i="1"/>
  <c r="I293" i="1"/>
  <c r="AV293" i="1" s="1"/>
  <c r="BB293" i="4" s="1"/>
  <c r="BC293" i="4" s="1"/>
  <c r="H118" i="1"/>
  <c r="H190" i="1"/>
  <c r="H262" i="1"/>
  <c r="H334" i="1"/>
  <c r="I68" i="1"/>
  <c r="I140" i="1"/>
  <c r="AV140" i="1" s="1"/>
  <c r="BB140" i="4" s="1"/>
  <c r="BC140" i="4" s="1"/>
  <c r="I212" i="1"/>
  <c r="I284" i="1"/>
  <c r="AV284" i="1" s="1"/>
  <c r="BB284" i="4" s="1"/>
  <c r="BC284" i="4" s="1"/>
  <c r="I329" i="1"/>
  <c r="H131" i="1"/>
  <c r="H203" i="1"/>
  <c r="H275" i="1"/>
  <c r="I9" i="1"/>
  <c r="I81" i="1"/>
  <c r="I153" i="1"/>
  <c r="I225" i="1"/>
  <c r="I294" i="1"/>
  <c r="I336" i="1"/>
  <c r="H158" i="1"/>
  <c r="H230" i="1"/>
  <c r="H302" i="1"/>
  <c r="I36" i="1"/>
  <c r="I108" i="1"/>
  <c r="AV108" i="1" s="1"/>
  <c r="BB108" i="4" s="1"/>
  <c r="BC108" i="4" s="1"/>
  <c r="I180" i="1"/>
  <c r="I252" i="1"/>
  <c r="I313" i="1"/>
  <c r="H112" i="1"/>
  <c r="H184" i="1"/>
  <c r="H256" i="1"/>
  <c r="H328" i="1"/>
  <c r="I62" i="1"/>
  <c r="I134" i="1"/>
  <c r="AV134" i="1" s="1"/>
  <c r="BB134" i="4" s="1"/>
  <c r="BC134" i="4" s="1"/>
  <c r="I206" i="1"/>
  <c r="I278" i="1"/>
  <c r="I326" i="1"/>
  <c r="H137" i="1"/>
  <c r="H209" i="1"/>
  <c r="H281" i="1"/>
  <c r="I15" i="1"/>
  <c r="I87" i="1"/>
  <c r="I159" i="1"/>
  <c r="I231" i="1"/>
  <c r="I298" i="1"/>
  <c r="I339" i="1"/>
  <c r="H164" i="1"/>
  <c r="H236" i="1"/>
  <c r="H308" i="1"/>
  <c r="I42" i="1"/>
  <c r="I114" i="1"/>
  <c r="I186" i="1"/>
  <c r="I258" i="1"/>
  <c r="I316" i="1"/>
  <c r="D16" i="1"/>
  <c r="D52" i="1"/>
  <c r="D88" i="1"/>
  <c r="D124" i="1"/>
  <c r="D160" i="1"/>
  <c r="D196" i="1"/>
  <c r="D232" i="1"/>
  <c r="D35" i="1"/>
  <c r="D71" i="1"/>
  <c r="D107" i="1"/>
  <c r="D143" i="1"/>
  <c r="D179" i="1"/>
  <c r="D215" i="1"/>
  <c r="D251" i="1"/>
  <c r="D287" i="1"/>
  <c r="D323" i="1"/>
  <c r="E21" i="1"/>
  <c r="E57" i="1"/>
  <c r="E93" i="1"/>
  <c r="E129" i="1"/>
  <c r="E165" i="1"/>
  <c r="D30" i="1"/>
  <c r="D66" i="1"/>
  <c r="D102" i="1"/>
  <c r="D138" i="1"/>
  <c r="D174" i="1"/>
  <c r="D210" i="1"/>
  <c r="D7" i="1"/>
  <c r="D43" i="1"/>
  <c r="D79" i="1"/>
  <c r="D115" i="1"/>
  <c r="D151" i="1"/>
  <c r="D187" i="1"/>
  <c r="D223" i="1"/>
  <c r="D259" i="1"/>
  <c r="D295" i="1"/>
  <c r="D331" i="1"/>
  <c r="E29" i="1"/>
  <c r="E65" i="1"/>
  <c r="E101" i="1"/>
  <c r="E137" i="1"/>
  <c r="E173" i="1"/>
  <c r="D38" i="1"/>
  <c r="D74" i="1"/>
  <c r="D110" i="1"/>
  <c r="D146" i="1"/>
  <c r="D182" i="1"/>
  <c r="D218" i="1"/>
  <c r="D254" i="1"/>
  <c r="D290" i="1"/>
  <c r="D326" i="1"/>
  <c r="E24" i="1"/>
  <c r="E60" i="1"/>
  <c r="E96" i="1"/>
  <c r="E132" i="1"/>
  <c r="E168" i="1"/>
  <c r="D153" i="1"/>
  <c r="D282" i="1"/>
  <c r="E16" i="1"/>
  <c r="E88" i="1"/>
  <c r="E160" i="1"/>
  <c r="E204" i="1"/>
  <c r="D159" i="1"/>
  <c r="D285" i="1"/>
  <c r="E19" i="1"/>
  <c r="E91" i="1"/>
  <c r="E163" i="1"/>
  <c r="E205" i="1"/>
  <c r="E241" i="1"/>
  <c r="E277" i="1"/>
  <c r="E313" i="1"/>
  <c r="F11" i="1"/>
  <c r="F47" i="1"/>
  <c r="F83" i="1"/>
  <c r="F119" i="1"/>
  <c r="F155" i="1"/>
  <c r="F191" i="1"/>
  <c r="D21" i="1"/>
  <c r="D237" i="1"/>
  <c r="D171" i="1"/>
  <c r="D288" i="1"/>
  <c r="E22" i="1"/>
  <c r="E94" i="1"/>
  <c r="E166" i="1"/>
  <c r="E207" i="1"/>
  <c r="E243" i="1"/>
  <c r="E279" i="1"/>
  <c r="E315" i="1"/>
  <c r="F13" i="1"/>
  <c r="F49" i="1"/>
  <c r="F85" i="1"/>
  <c r="F121" i="1"/>
  <c r="F157" i="1"/>
  <c r="D105" i="1"/>
  <c r="D267" i="1"/>
  <c r="D339" i="1"/>
  <c r="E73" i="1"/>
  <c r="E145" i="1"/>
  <c r="E196" i="1"/>
  <c r="E232" i="1"/>
  <c r="E268" i="1"/>
  <c r="E304" i="1"/>
  <c r="E340" i="1"/>
  <c r="F38" i="1"/>
  <c r="F74" i="1"/>
  <c r="F110" i="1"/>
  <c r="F146" i="1"/>
  <c r="D244" i="1"/>
  <c r="E128" i="1"/>
  <c r="E245" i="1"/>
  <c r="E317" i="1"/>
  <c r="F51" i="1"/>
  <c r="F123" i="1"/>
  <c r="F187" i="1"/>
  <c r="F229" i="1"/>
  <c r="F265" i="1"/>
  <c r="D292" i="1"/>
  <c r="E170" i="1"/>
  <c r="E258" i="1"/>
  <c r="E330" i="1"/>
  <c r="F64" i="1"/>
  <c r="F136" i="1"/>
  <c r="F195" i="1"/>
  <c r="F236" i="1"/>
  <c r="F272" i="1"/>
  <c r="F308" i="1"/>
  <c r="G6" i="1"/>
  <c r="G42" i="1"/>
  <c r="G78" i="1"/>
  <c r="G114" i="1"/>
  <c r="G150" i="1"/>
  <c r="G186" i="1"/>
  <c r="D147" i="1"/>
  <c r="D310" i="1"/>
  <c r="E182" i="1"/>
  <c r="E264" i="1"/>
  <c r="E336" i="1"/>
  <c r="F70" i="1"/>
  <c r="F142" i="1"/>
  <c r="F199" i="1"/>
  <c r="F239" i="1"/>
  <c r="F275" i="1"/>
  <c r="F311" i="1"/>
  <c r="G9" i="1"/>
  <c r="G45" i="1"/>
  <c r="G81" i="1"/>
  <c r="G117" i="1"/>
  <c r="G153" i="1"/>
  <c r="G189" i="1"/>
  <c r="E14" i="1"/>
  <c r="E203" i="1"/>
  <c r="E278" i="1"/>
  <c r="F12" i="1"/>
  <c r="F84" i="1"/>
  <c r="F156" i="1"/>
  <c r="F207" i="1"/>
  <c r="F246" i="1"/>
  <c r="F282" i="1"/>
  <c r="F318" i="1"/>
  <c r="G16" i="1"/>
  <c r="G52" i="1"/>
  <c r="G88" i="1"/>
  <c r="G124" i="1"/>
  <c r="E197" i="1"/>
  <c r="F81" i="1"/>
  <c r="F244" i="1"/>
  <c r="F331" i="1"/>
  <c r="G65" i="1"/>
  <c r="G137" i="1"/>
  <c r="G193" i="1"/>
  <c r="G232" i="1"/>
  <c r="G268" i="1"/>
  <c r="G304" i="1"/>
  <c r="G340" i="1"/>
  <c r="H38" i="1"/>
  <c r="H74" i="1"/>
  <c r="E140" i="1"/>
  <c r="F54" i="1"/>
  <c r="F231" i="1"/>
  <c r="F321" i="1"/>
  <c r="G55" i="1"/>
  <c r="G127" i="1"/>
  <c r="G185" i="1"/>
  <c r="G227" i="1"/>
  <c r="G263" i="1"/>
  <c r="G299" i="1"/>
  <c r="G335" i="1"/>
  <c r="H33" i="1"/>
  <c r="H69" i="1"/>
  <c r="H105" i="1"/>
  <c r="H141" i="1"/>
  <c r="H177" i="1"/>
  <c r="H213" i="1"/>
  <c r="H249" i="1"/>
  <c r="H285" i="1"/>
  <c r="H321" i="1"/>
  <c r="I19" i="1"/>
  <c r="I55" i="1"/>
  <c r="I91" i="1"/>
  <c r="I127" i="1"/>
  <c r="AV127" i="1" s="1"/>
  <c r="BB127" i="4" s="1"/>
  <c r="BC127" i="4" s="1"/>
  <c r="I163" i="1"/>
  <c r="AV163" i="1" s="1"/>
  <c r="BB163" i="4" s="1"/>
  <c r="BC163" i="4" s="1"/>
  <c r="I199" i="1"/>
  <c r="I235" i="1"/>
  <c r="I271" i="1"/>
  <c r="I307" i="1"/>
  <c r="E323" i="1"/>
  <c r="F190" i="1"/>
  <c r="F298" i="1"/>
  <c r="G32" i="1"/>
  <c r="G104" i="1"/>
  <c r="G169" i="1"/>
  <c r="G216" i="1"/>
  <c r="G252" i="1"/>
  <c r="G288" i="1"/>
  <c r="G324" i="1"/>
  <c r="H22" i="1"/>
  <c r="H58" i="1"/>
  <c r="E176" i="1"/>
  <c r="F66" i="1"/>
  <c r="F237" i="1"/>
  <c r="F325" i="1"/>
  <c r="G59" i="1"/>
  <c r="G131" i="1"/>
  <c r="G188" i="1"/>
  <c r="G229" i="1"/>
  <c r="G265" i="1"/>
  <c r="G301" i="1"/>
  <c r="G337" i="1"/>
  <c r="H35" i="1"/>
  <c r="H71" i="1"/>
  <c r="E227" i="1"/>
  <c r="F105" i="1"/>
  <c r="F256" i="1"/>
  <c r="F339" i="1"/>
  <c r="G73" i="1"/>
  <c r="G145" i="1"/>
  <c r="G199" i="1"/>
  <c r="G236" i="1"/>
  <c r="G272" i="1"/>
  <c r="G308" i="1"/>
  <c r="H6" i="1"/>
  <c r="H42" i="1"/>
  <c r="H78" i="1"/>
  <c r="H114" i="1"/>
  <c r="H150" i="1"/>
  <c r="H186" i="1"/>
  <c r="H222" i="1"/>
  <c r="H258" i="1"/>
  <c r="H294" i="1"/>
  <c r="H330" i="1"/>
  <c r="I28" i="1"/>
  <c r="I64" i="1"/>
  <c r="I100" i="1"/>
  <c r="I136" i="1"/>
  <c r="I172" i="1"/>
  <c r="I208" i="1"/>
  <c r="I244" i="1"/>
  <c r="I280" i="1"/>
  <c r="F6" i="1"/>
  <c r="F204" i="1"/>
  <c r="F304" i="1"/>
  <c r="G38" i="1"/>
  <c r="G110" i="1"/>
  <c r="G173" i="1"/>
  <c r="G219" i="1"/>
  <c r="G255" i="1"/>
  <c r="G291" i="1"/>
  <c r="G327" i="1"/>
  <c r="H25" i="1"/>
  <c r="H61" i="1"/>
  <c r="H97" i="1"/>
  <c r="H133" i="1"/>
  <c r="H169" i="1"/>
  <c r="H205" i="1"/>
  <c r="H241" i="1"/>
  <c r="H277" i="1"/>
  <c r="H313" i="1"/>
  <c r="I11" i="1"/>
  <c r="I47" i="1"/>
  <c r="I83" i="1"/>
  <c r="O83" i="1" s="1"/>
  <c r="I119" i="1"/>
  <c r="I155" i="1"/>
  <c r="AV155" i="1" s="1"/>
  <c r="BB155" i="4" s="1"/>
  <c r="BC155" i="4" s="1"/>
  <c r="I191" i="1"/>
  <c r="I227" i="1"/>
  <c r="I263" i="1"/>
  <c r="AV263" i="1" s="1"/>
  <c r="BB263" i="4" s="1"/>
  <c r="BC263" i="4" s="1"/>
  <c r="I299" i="1"/>
  <c r="AV299" i="1" s="1"/>
  <c r="BB299" i="4" s="1"/>
  <c r="BC299" i="4" s="1"/>
  <c r="H130" i="1"/>
  <c r="H202" i="1"/>
  <c r="H274" i="1"/>
  <c r="I8" i="1"/>
  <c r="I80" i="1"/>
  <c r="I152" i="1"/>
  <c r="I224" i="1"/>
  <c r="I292" i="1"/>
  <c r="I335" i="1"/>
  <c r="H143" i="1"/>
  <c r="H215" i="1"/>
  <c r="H287" i="1"/>
  <c r="I21" i="1"/>
  <c r="I93" i="1"/>
  <c r="I165" i="1"/>
  <c r="I237" i="1"/>
  <c r="I303" i="1"/>
  <c r="H95" i="1"/>
  <c r="H170" i="1"/>
  <c r="H242" i="1"/>
  <c r="H314" i="1"/>
  <c r="I48" i="1"/>
  <c r="I120" i="1"/>
  <c r="I192" i="1"/>
  <c r="I264" i="1"/>
  <c r="I319" i="1"/>
  <c r="H124" i="1"/>
  <c r="H196" i="1"/>
  <c r="H268" i="1"/>
  <c r="H340" i="1"/>
  <c r="I74" i="1"/>
  <c r="I146" i="1"/>
  <c r="I218" i="1"/>
  <c r="I288" i="1"/>
  <c r="AV288" i="1" s="1"/>
  <c r="BB288" i="4" s="1"/>
  <c r="BC288" i="4" s="1"/>
  <c r="I332" i="1"/>
  <c r="AV332" i="1" s="1"/>
  <c r="BB332" i="4" s="1"/>
  <c r="BC332" i="4" s="1"/>
  <c r="H149" i="1"/>
  <c r="H221" i="1"/>
  <c r="H293" i="1"/>
  <c r="I27" i="1"/>
  <c r="I99" i="1"/>
  <c r="AV99" i="1" s="1"/>
  <c r="BB99" i="4" s="1"/>
  <c r="BC99" i="4" s="1"/>
  <c r="I171" i="1"/>
  <c r="I243" i="1"/>
  <c r="I308" i="1"/>
  <c r="AV308" i="1" s="1"/>
  <c r="BB308" i="4" s="1"/>
  <c r="BC308" i="4" s="1"/>
  <c r="H104" i="1"/>
  <c r="H176" i="1"/>
  <c r="H248" i="1"/>
  <c r="H320" i="1"/>
  <c r="I54" i="1"/>
  <c r="I126" i="1"/>
  <c r="I198" i="1"/>
  <c r="I270" i="1"/>
  <c r="AV270" i="1" s="1"/>
  <c r="BB270" i="4" s="1"/>
  <c r="BC270" i="4" s="1"/>
  <c r="I322" i="1"/>
  <c r="D22" i="1"/>
  <c r="D58" i="1"/>
  <c r="D94" i="1"/>
  <c r="D130" i="1"/>
  <c r="D166" i="1"/>
  <c r="D202" i="1"/>
  <c r="D41" i="1"/>
  <c r="D77" i="1"/>
  <c r="D113" i="1"/>
  <c r="D149" i="1"/>
  <c r="D185" i="1"/>
  <c r="D221" i="1"/>
  <c r="D257" i="1"/>
  <c r="D293" i="1"/>
  <c r="D329" i="1"/>
  <c r="E27" i="1"/>
  <c r="E63" i="1"/>
  <c r="E99" i="1"/>
  <c r="E135" i="1"/>
  <c r="E171" i="1"/>
  <c r="D36" i="1"/>
  <c r="D72" i="1"/>
  <c r="D108" i="1"/>
  <c r="D144" i="1"/>
  <c r="D180" i="1"/>
  <c r="D216" i="1"/>
  <c r="D13" i="1"/>
  <c r="D49" i="1"/>
  <c r="D85" i="1"/>
  <c r="D121" i="1"/>
  <c r="D157" i="1"/>
  <c r="D193" i="1"/>
  <c r="D229" i="1"/>
  <c r="D265" i="1"/>
  <c r="D301" i="1"/>
  <c r="D337" i="1"/>
  <c r="E35" i="1"/>
  <c r="E71" i="1"/>
  <c r="E107" i="1"/>
  <c r="E143" i="1"/>
  <c r="D8" i="1"/>
  <c r="D44" i="1"/>
  <c r="D80" i="1"/>
  <c r="D116" i="1"/>
  <c r="D152" i="1"/>
  <c r="D188" i="1"/>
  <c r="D224" i="1"/>
  <c r="D260" i="1"/>
  <c r="D296" i="1"/>
  <c r="D332" i="1"/>
  <c r="E30" i="1"/>
  <c r="E66" i="1"/>
  <c r="E102" i="1"/>
  <c r="E138" i="1"/>
  <c r="E174" i="1"/>
  <c r="D189" i="1"/>
  <c r="D294" i="1"/>
  <c r="E28" i="1"/>
  <c r="E100" i="1"/>
  <c r="E172" i="1"/>
  <c r="E210" i="1"/>
  <c r="D195" i="1"/>
  <c r="D297" i="1"/>
  <c r="E31" i="1"/>
  <c r="E103" i="1"/>
  <c r="E175" i="1"/>
  <c r="E211" i="1"/>
  <c r="E247" i="1"/>
  <c r="E283" i="1"/>
  <c r="E319" i="1"/>
  <c r="F17" i="1"/>
  <c r="F53" i="1"/>
  <c r="F89" i="1"/>
  <c r="F125" i="1"/>
  <c r="F161" i="1"/>
  <c r="F197" i="1"/>
  <c r="D57" i="1"/>
  <c r="D250" i="1"/>
  <c r="D207" i="1"/>
  <c r="D300" i="1"/>
  <c r="E34" i="1"/>
  <c r="E106" i="1"/>
  <c r="E177" i="1"/>
  <c r="E213" i="1"/>
  <c r="E249" i="1"/>
  <c r="E285" i="1"/>
  <c r="E321" i="1"/>
  <c r="F19" i="1"/>
  <c r="F55" i="1"/>
  <c r="F91" i="1"/>
  <c r="F127" i="1"/>
  <c r="F163" i="1"/>
  <c r="D141" i="1"/>
  <c r="D279" i="1"/>
  <c r="E13" i="1"/>
  <c r="E85" i="1"/>
  <c r="E157" i="1"/>
  <c r="E202" i="1"/>
  <c r="E238" i="1"/>
  <c r="E274" i="1"/>
  <c r="E310" i="1"/>
  <c r="F8" i="1"/>
  <c r="F44" i="1"/>
  <c r="F80" i="1"/>
  <c r="F116" i="1"/>
  <c r="F152" i="1"/>
  <c r="D286" i="1"/>
  <c r="E164" i="1"/>
  <c r="E257" i="1"/>
  <c r="E329" i="1"/>
  <c r="F63" i="1"/>
  <c r="F135" i="1"/>
  <c r="F194" i="1"/>
  <c r="F235" i="1"/>
  <c r="F271" i="1"/>
  <c r="D328" i="1"/>
  <c r="E191" i="1"/>
  <c r="E270" i="1"/>
  <c r="F76" i="1"/>
  <c r="F148" i="1"/>
  <c r="F202" i="1"/>
  <c r="F242" i="1"/>
  <c r="F278" i="1"/>
  <c r="F314" i="1"/>
  <c r="G12" i="1"/>
  <c r="G48" i="1"/>
  <c r="G84" i="1"/>
  <c r="G120" i="1"/>
  <c r="G156" i="1"/>
  <c r="G192" i="1"/>
  <c r="D268" i="1"/>
  <c r="E8" i="1"/>
  <c r="E200" i="1"/>
  <c r="E276" i="1"/>
  <c r="F10" i="1"/>
  <c r="F82" i="1"/>
  <c r="F154" i="1"/>
  <c r="F206" i="1"/>
  <c r="F245" i="1"/>
  <c r="F281" i="1"/>
  <c r="F317" i="1"/>
  <c r="G15" i="1"/>
  <c r="G51" i="1"/>
  <c r="G87" i="1"/>
  <c r="G123" i="1"/>
  <c r="G159" i="1"/>
  <c r="G195" i="1"/>
  <c r="E50" i="1"/>
  <c r="E218" i="1"/>
  <c r="E290" i="1"/>
  <c r="F24" i="1"/>
  <c r="F96" i="1"/>
  <c r="F168" i="1"/>
  <c r="F214" i="1"/>
  <c r="F252" i="1"/>
  <c r="F288" i="1"/>
  <c r="F324" i="1"/>
  <c r="G22" i="1"/>
  <c r="G58" i="1"/>
  <c r="G94" i="1"/>
  <c r="G130" i="1"/>
  <c r="E239" i="1"/>
  <c r="F117" i="1"/>
  <c r="F262" i="1"/>
  <c r="G77" i="1"/>
  <c r="G148" i="1"/>
  <c r="G202" i="1"/>
  <c r="G238" i="1"/>
  <c r="G274" i="1"/>
  <c r="G310" i="1"/>
  <c r="H8" i="1"/>
  <c r="H44" i="1"/>
  <c r="H80" i="1"/>
  <c r="E212" i="1"/>
  <c r="F90" i="1"/>
  <c r="F249" i="1"/>
  <c r="F333" i="1"/>
  <c r="G67" i="1"/>
  <c r="G139" i="1"/>
  <c r="G194" i="1"/>
  <c r="G233" i="1"/>
  <c r="G269" i="1"/>
  <c r="G305" i="1"/>
  <c r="G341" i="1"/>
  <c r="H39" i="1"/>
  <c r="H75" i="1"/>
  <c r="H111" i="1"/>
  <c r="H147" i="1"/>
  <c r="H183" i="1"/>
  <c r="H219" i="1"/>
  <c r="H255" i="1"/>
  <c r="H291" i="1"/>
  <c r="H327" i="1"/>
  <c r="I25" i="1"/>
  <c r="I61" i="1"/>
  <c r="I97" i="1"/>
  <c r="AV97" i="1" s="1"/>
  <c r="BB97" i="4" s="1"/>
  <c r="BC97" i="4" s="1"/>
  <c r="I133" i="1"/>
  <c r="I169" i="1"/>
  <c r="I205" i="1"/>
  <c r="I241" i="1"/>
  <c r="AV241" i="1" s="1"/>
  <c r="BB241" i="4" s="1"/>
  <c r="BC241" i="4" s="1"/>
  <c r="I277" i="1"/>
  <c r="E38" i="1"/>
  <c r="F21" i="1"/>
  <c r="F212" i="1"/>
  <c r="F310" i="1"/>
  <c r="G44" i="1"/>
  <c r="G116" i="1"/>
  <c r="G178" i="1"/>
  <c r="G222" i="1"/>
  <c r="G258" i="1"/>
  <c r="G294" i="1"/>
  <c r="G330" i="1"/>
  <c r="H28" i="1"/>
  <c r="H64" i="1"/>
  <c r="E224" i="1"/>
  <c r="F102" i="1"/>
  <c r="F255" i="1"/>
  <c r="F337" i="1"/>
  <c r="G71" i="1"/>
  <c r="G143" i="1"/>
  <c r="G197" i="1"/>
  <c r="G235" i="1"/>
  <c r="G271" i="1"/>
  <c r="G307" i="1"/>
  <c r="H41" i="1"/>
  <c r="H77" i="1"/>
  <c r="E263" i="1"/>
  <c r="F141" i="1"/>
  <c r="F274" i="1"/>
  <c r="G13" i="1"/>
  <c r="G85" i="1"/>
  <c r="G154" i="1"/>
  <c r="G206" i="1"/>
  <c r="G242" i="1"/>
  <c r="G278" i="1"/>
  <c r="G314" i="1"/>
  <c r="H12" i="1"/>
  <c r="H48" i="1"/>
  <c r="H84" i="1"/>
  <c r="H120" i="1"/>
  <c r="H156" i="1"/>
  <c r="H192" i="1"/>
  <c r="H228" i="1"/>
  <c r="H264" i="1"/>
  <c r="H300" i="1"/>
  <c r="H336" i="1"/>
  <c r="I34" i="1"/>
  <c r="I70" i="1"/>
  <c r="I106" i="1"/>
  <c r="I142" i="1"/>
  <c r="I178" i="1"/>
  <c r="I214" i="1"/>
  <c r="I250" i="1"/>
  <c r="E104" i="1"/>
  <c r="F42" i="1"/>
  <c r="F225" i="1"/>
  <c r="F316" i="1"/>
  <c r="G50" i="1"/>
  <c r="G122" i="1"/>
  <c r="G182" i="1"/>
  <c r="G225" i="1"/>
  <c r="G261" i="1"/>
  <c r="G297" i="1"/>
  <c r="G333" i="1"/>
  <c r="H31" i="1"/>
  <c r="H67" i="1"/>
  <c r="H103" i="1"/>
  <c r="H139" i="1"/>
  <c r="H175" i="1"/>
  <c r="H211" i="1"/>
  <c r="H247" i="1"/>
  <c r="H283" i="1"/>
  <c r="H319" i="1"/>
  <c r="I17" i="1"/>
  <c r="I53" i="1"/>
  <c r="I89" i="1"/>
  <c r="I125" i="1"/>
  <c r="AV125" i="1" s="1"/>
  <c r="BB125" i="4" s="1"/>
  <c r="BC125" i="4" s="1"/>
  <c r="I161" i="1"/>
  <c r="I197" i="1"/>
  <c r="I233" i="1"/>
  <c r="I269" i="1"/>
  <c r="I305" i="1"/>
  <c r="AV305" i="1" s="1"/>
  <c r="BB305" i="4" s="1"/>
  <c r="BC305" i="4" s="1"/>
  <c r="H142" i="1"/>
  <c r="H214" i="1"/>
  <c r="H286" i="1"/>
  <c r="I20" i="1"/>
  <c r="I92" i="1"/>
  <c r="I164" i="1"/>
  <c r="I236" i="1"/>
  <c r="AV236" i="1" s="1"/>
  <c r="BB236" i="4" s="1"/>
  <c r="BC236" i="4" s="1"/>
  <c r="I302" i="1"/>
  <c r="I341" i="1"/>
  <c r="AV341" i="1" s="1"/>
  <c r="BB341" i="4" s="1"/>
  <c r="BC341" i="4" s="1"/>
  <c r="H155" i="1"/>
  <c r="H227" i="1"/>
  <c r="H299" i="1"/>
  <c r="I33" i="1"/>
  <c r="I105" i="1"/>
  <c r="I177" i="1"/>
  <c r="AV177" i="1" s="1"/>
  <c r="BB177" i="4" s="1"/>
  <c r="BC177" i="4" s="1"/>
  <c r="I249" i="1"/>
  <c r="AV249" i="1" s="1"/>
  <c r="BB249" i="4" s="1"/>
  <c r="BC249" i="4" s="1"/>
  <c r="I312" i="1"/>
  <c r="AV312" i="1" s="1"/>
  <c r="BB312" i="4" s="1"/>
  <c r="BC312" i="4" s="1"/>
  <c r="H110" i="1"/>
  <c r="H182" i="1"/>
  <c r="H254" i="1"/>
  <c r="H326" i="1"/>
  <c r="I60" i="1"/>
  <c r="M60" i="1" s="1"/>
  <c r="I132" i="1"/>
  <c r="I204" i="1"/>
  <c r="I276" i="1"/>
  <c r="I325" i="1"/>
  <c r="AV325" i="1" s="1"/>
  <c r="BB325" i="4" s="1"/>
  <c r="BC325" i="4" s="1"/>
  <c r="H136" i="1"/>
  <c r="H208" i="1"/>
  <c r="H280" i="1"/>
  <c r="I14" i="1"/>
  <c r="AV14" i="1" s="1"/>
  <c r="BB14" i="4" s="1"/>
  <c r="BC14" i="4" s="1"/>
  <c r="I86" i="1"/>
  <c r="I158" i="1"/>
  <c r="I230" i="1"/>
  <c r="AV230" i="1" s="1"/>
  <c r="BB230" i="4" s="1"/>
  <c r="BC230" i="4" s="1"/>
  <c r="I297" i="1"/>
  <c r="I338" i="1"/>
  <c r="H161" i="1"/>
  <c r="H233" i="1"/>
  <c r="H305" i="1"/>
  <c r="I39" i="1"/>
  <c r="I111" i="1"/>
  <c r="I183" i="1"/>
  <c r="I255" i="1"/>
  <c r="I315" i="1"/>
  <c r="H116" i="1"/>
  <c r="H188" i="1"/>
  <c r="H260" i="1"/>
  <c r="H332" i="1"/>
  <c r="I66" i="1"/>
  <c r="I138" i="1"/>
  <c r="I210" i="1"/>
  <c r="I282" i="1"/>
  <c r="I328" i="1"/>
  <c r="AV328" i="1" s="1"/>
  <c r="BB328" i="4" s="1"/>
  <c r="BC328" i="4" s="1"/>
  <c r="D28" i="1"/>
  <c r="D64" i="1"/>
  <c r="D100" i="1"/>
  <c r="D136" i="1"/>
  <c r="D172" i="1"/>
  <c r="D208" i="1"/>
  <c r="D11" i="1"/>
  <c r="D47" i="1"/>
  <c r="D83" i="1"/>
  <c r="D119" i="1"/>
  <c r="D155" i="1"/>
  <c r="D191" i="1"/>
  <c r="D227" i="1"/>
  <c r="D263" i="1"/>
  <c r="D299" i="1"/>
  <c r="D335" i="1"/>
  <c r="E33" i="1"/>
  <c r="E69" i="1"/>
  <c r="E105" i="1"/>
  <c r="E141" i="1"/>
  <c r="D6" i="1"/>
  <c r="D42" i="1"/>
  <c r="D78" i="1"/>
  <c r="D114" i="1"/>
  <c r="D150" i="1"/>
  <c r="D186" i="1"/>
  <c r="D222" i="1"/>
  <c r="D19" i="1"/>
  <c r="D55" i="1"/>
  <c r="D91" i="1"/>
  <c r="D127" i="1"/>
  <c r="D163" i="1"/>
  <c r="D199" i="1"/>
  <c r="D235" i="1"/>
  <c r="D271" i="1"/>
  <c r="D307" i="1"/>
  <c r="E41" i="1"/>
  <c r="E77" i="1"/>
  <c r="E113" i="1"/>
  <c r="E149" i="1"/>
  <c r="D14" i="1"/>
  <c r="D50" i="1"/>
  <c r="D86" i="1"/>
  <c r="D122" i="1"/>
  <c r="D158" i="1"/>
  <c r="D194" i="1"/>
  <c r="D230" i="1"/>
  <c r="D266" i="1"/>
  <c r="D302" i="1"/>
  <c r="D338" i="1"/>
  <c r="E36" i="1"/>
  <c r="E72" i="1"/>
  <c r="E108" i="1"/>
  <c r="E144" i="1"/>
  <c r="D9" i="1"/>
  <c r="D225" i="1"/>
  <c r="D306" i="1"/>
  <c r="E40" i="1"/>
  <c r="E112" i="1"/>
  <c r="E180" i="1"/>
  <c r="D15" i="1"/>
  <c r="D231" i="1"/>
  <c r="D309" i="1"/>
  <c r="E43" i="1"/>
  <c r="E115" i="1"/>
  <c r="E181" i="1"/>
  <c r="E217" i="1"/>
  <c r="E253" i="1"/>
  <c r="E289" i="1"/>
  <c r="E325" i="1"/>
  <c r="F23" i="1"/>
  <c r="F59" i="1"/>
  <c r="F95" i="1"/>
  <c r="F131" i="1"/>
  <c r="F167" i="1"/>
  <c r="F203" i="1"/>
  <c r="D93" i="1"/>
  <c r="D27" i="1"/>
  <c r="D238" i="1"/>
  <c r="D312" i="1"/>
  <c r="E46" i="1"/>
  <c r="E118" i="1"/>
  <c r="E183" i="1"/>
  <c r="E219" i="1"/>
  <c r="E255" i="1"/>
  <c r="E291" i="1"/>
  <c r="E327" i="1"/>
  <c r="F25" i="1"/>
  <c r="F61" i="1"/>
  <c r="F97" i="1"/>
  <c r="F133" i="1"/>
  <c r="F169" i="1"/>
  <c r="D177" i="1"/>
  <c r="D291" i="1"/>
  <c r="E25" i="1"/>
  <c r="E97" i="1"/>
  <c r="E169" i="1"/>
  <c r="E208" i="1"/>
  <c r="E244" i="1"/>
  <c r="E280" i="1"/>
  <c r="E316" i="1"/>
  <c r="F14" i="1"/>
  <c r="F50" i="1"/>
  <c r="F86" i="1"/>
  <c r="F122" i="1"/>
  <c r="F158" i="1"/>
  <c r="D322" i="1"/>
  <c r="E188" i="1"/>
  <c r="E269" i="1"/>
  <c r="E341" i="1"/>
  <c r="F75" i="1"/>
  <c r="F147" i="1"/>
  <c r="F201" i="1"/>
  <c r="F241" i="1"/>
  <c r="F277" i="1"/>
  <c r="E26" i="1"/>
  <c r="E209" i="1"/>
  <c r="E282" i="1"/>
  <c r="F16" i="1"/>
  <c r="F88" i="1"/>
  <c r="F160" i="1"/>
  <c r="F210" i="1"/>
  <c r="F248" i="1"/>
  <c r="F284" i="1"/>
  <c r="F320" i="1"/>
  <c r="G18" i="1"/>
  <c r="G54" i="1"/>
  <c r="G90" i="1"/>
  <c r="G126" i="1"/>
  <c r="G162" i="1"/>
  <c r="G198" i="1"/>
  <c r="D304" i="1"/>
  <c r="E44" i="1"/>
  <c r="E216" i="1"/>
  <c r="E288" i="1"/>
  <c r="F22" i="1"/>
  <c r="F94" i="1"/>
  <c r="F166" i="1"/>
  <c r="F213" i="1"/>
  <c r="F251" i="1"/>
  <c r="F287" i="1"/>
  <c r="F323" i="1"/>
  <c r="G21" i="1"/>
  <c r="G57" i="1"/>
  <c r="G93" i="1"/>
  <c r="G129" i="1"/>
  <c r="G165" i="1"/>
  <c r="G201" i="1"/>
  <c r="E86" i="1"/>
  <c r="E230" i="1"/>
  <c r="E302" i="1"/>
  <c r="F36" i="1"/>
  <c r="F108" i="1"/>
  <c r="F178" i="1"/>
  <c r="F222" i="1"/>
  <c r="F258" i="1"/>
  <c r="F294" i="1"/>
  <c r="F330" i="1"/>
  <c r="G28" i="1"/>
  <c r="G64" i="1"/>
  <c r="G100" i="1"/>
  <c r="G136" i="1"/>
  <c r="E275" i="1"/>
  <c r="F153" i="1"/>
  <c r="F280" i="1"/>
  <c r="G17" i="1"/>
  <c r="G89" i="1"/>
  <c r="G157" i="1"/>
  <c r="G208" i="1"/>
  <c r="G244" i="1"/>
  <c r="G280" i="1"/>
  <c r="G316" i="1"/>
  <c r="H14" i="1"/>
  <c r="H50" i="1"/>
  <c r="H86" i="1"/>
  <c r="E248" i="1"/>
  <c r="F126" i="1"/>
  <c r="F267" i="1"/>
  <c r="G7" i="1"/>
  <c r="G79" i="1"/>
  <c r="G149" i="1"/>
  <c r="G203" i="1"/>
  <c r="G239" i="1"/>
  <c r="G275" i="1"/>
  <c r="G311" i="1"/>
  <c r="H9" i="1"/>
  <c r="H45" i="1"/>
  <c r="H81" i="1"/>
  <c r="H117" i="1"/>
  <c r="H153" i="1"/>
  <c r="H189" i="1"/>
  <c r="H225" i="1"/>
  <c r="H261" i="1"/>
  <c r="H297" i="1"/>
  <c r="H333" i="1"/>
  <c r="I31" i="1"/>
  <c r="O31" i="1" s="1"/>
  <c r="I67" i="1"/>
  <c r="AV67" i="1" s="1"/>
  <c r="BB67" i="4" s="1"/>
  <c r="BC67" i="4" s="1"/>
  <c r="I103" i="1"/>
  <c r="I139" i="1"/>
  <c r="I175" i="1"/>
  <c r="I211" i="1"/>
  <c r="I247" i="1"/>
  <c r="I283" i="1"/>
  <c r="E146" i="1"/>
  <c r="F57" i="1"/>
  <c r="F232" i="1"/>
  <c r="F322" i="1"/>
  <c r="G56" i="1"/>
  <c r="G128" i="1"/>
  <c r="G187" i="1"/>
  <c r="G228" i="1"/>
  <c r="G264" i="1"/>
  <c r="G300" i="1"/>
  <c r="G336" i="1"/>
  <c r="H34" i="1"/>
  <c r="H70" i="1"/>
  <c r="E260" i="1"/>
  <c r="F138" i="1"/>
  <c r="F273" i="1"/>
  <c r="G11" i="1"/>
  <c r="G83" i="1"/>
  <c r="G152" i="1"/>
  <c r="G205" i="1"/>
  <c r="G241" i="1"/>
  <c r="G277" i="1"/>
  <c r="G313" i="1"/>
  <c r="H11" i="1"/>
  <c r="H47" i="1"/>
  <c r="H83" i="1"/>
  <c r="E299" i="1"/>
  <c r="F176" i="1"/>
  <c r="F291" i="1"/>
  <c r="G25" i="1"/>
  <c r="G97" i="1"/>
  <c r="G163" i="1"/>
  <c r="G212" i="1"/>
  <c r="G248" i="1"/>
  <c r="G284" i="1"/>
  <c r="G320" i="1"/>
  <c r="H18" i="1"/>
  <c r="H54" i="1"/>
  <c r="H90" i="1"/>
  <c r="H126" i="1"/>
  <c r="H162" i="1"/>
  <c r="H198" i="1"/>
  <c r="H234" i="1"/>
  <c r="H270" i="1"/>
  <c r="H306" i="1"/>
  <c r="I40" i="1"/>
  <c r="I76" i="1"/>
  <c r="I112" i="1"/>
  <c r="I148" i="1"/>
  <c r="I184" i="1"/>
  <c r="I220" i="1"/>
  <c r="I256" i="1"/>
  <c r="E194" i="1"/>
  <c r="F78" i="1"/>
  <c r="F243" i="1"/>
  <c r="F328" i="1"/>
  <c r="G62" i="1"/>
  <c r="G134" i="1"/>
  <c r="G191" i="1"/>
  <c r="G231" i="1"/>
  <c r="G267" i="1"/>
  <c r="G303" i="1"/>
  <c r="G339" i="1"/>
  <c r="H37" i="1"/>
  <c r="H73" i="1"/>
  <c r="H109" i="1"/>
  <c r="H145" i="1"/>
  <c r="H181" i="1"/>
  <c r="H217" i="1"/>
  <c r="H253" i="1"/>
  <c r="H289" i="1"/>
  <c r="H325" i="1"/>
  <c r="I23" i="1"/>
  <c r="I59" i="1"/>
  <c r="I95" i="1"/>
  <c r="AV95" i="1" s="1"/>
  <c r="BB95" i="4" s="1"/>
  <c r="BC95" i="4" s="1"/>
  <c r="I131" i="1"/>
  <c r="I167" i="1"/>
  <c r="AV167" i="1" s="1"/>
  <c r="BB167" i="4" s="1"/>
  <c r="BC167" i="4" s="1"/>
  <c r="I203" i="1"/>
  <c r="I239" i="1"/>
  <c r="AV239" i="1" s="1"/>
  <c r="BB239" i="4" s="1"/>
  <c r="BC239" i="4" s="1"/>
  <c r="I275" i="1"/>
  <c r="AV275" i="1" s="1"/>
  <c r="BB275" i="4" s="1"/>
  <c r="BC275" i="4" s="1"/>
  <c r="I311" i="1"/>
  <c r="H154" i="1"/>
  <c r="H226" i="1"/>
  <c r="H298" i="1"/>
  <c r="I32" i="1"/>
  <c r="O32" i="1" s="1"/>
  <c r="I104" i="1"/>
  <c r="I176" i="1"/>
  <c r="I248" i="1"/>
  <c r="I310" i="1"/>
  <c r="H94" i="1"/>
  <c r="H167" i="1"/>
  <c r="H239" i="1"/>
  <c r="H311" i="1"/>
  <c r="I45" i="1"/>
  <c r="AV45" i="1" s="1"/>
  <c r="BB45" i="4" s="1"/>
  <c r="BC45" i="4" s="1"/>
  <c r="I117" i="1"/>
  <c r="I189" i="1"/>
  <c r="I261" i="1"/>
  <c r="I318" i="1"/>
  <c r="H122" i="1"/>
  <c r="H194" i="1"/>
  <c r="H266" i="1"/>
  <c r="H338" i="1"/>
  <c r="I72" i="1"/>
  <c r="P72" i="1" s="1"/>
  <c r="I144" i="1"/>
  <c r="AV144" i="1" s="1"/>
  <c r="BB144" i="4" s="1"/>
  <c r="BC144" i="4" s="1"/>
  <c r="I216" i="1"/>
  <c r="AV216" i="1" s="1"/>
  <c r="BB216" i="4" s="1"/>
  <c r="BC216" i="4" s="1"/>
  <c r="I286" i="1"/>
  <c r="AV286" i="1" s="1"/>
  <c r="BB286" i="4" s="1"/>
  <c r="BC286" i="4" s="1"/>
  <c r="I331" i="1"/>
  <c r="H148" i="1"/>
  <c r="H220" i="1"/>
  <c r="H292" i="1"/>
  <c r="I26" i="1"/>
  <c r="I98" i="1"/>
  <c r="I170" i="1"/>
  <c r="I242" i="1"/>
  <c r="AV242" i="1" s="1"/>
  <c r="BB242" i="4" s="1"/>
  <c r="BC242" i="4" s="1"/>
  <c r="I306" i="1"/>
  <c r="H101" i="1"/>
  <c r="H173" i="1"/>
  <c r="H245" i="1"/>
  <c r="H317" i="1"/>
  <c r="I51" i="1"/>
  <c r="I123" i="1"/>
  <c r="I195" i="1"/>
  <c r="I267" i="1"/>
  <c r="I321" i="1"/>
  <c r="H128" i="1"/>
  <c r="H200" i="1"/>
  <c r="H272" i="1"/>
  <c r="I6" i="1"/>
  <c r="AV6" i="1" s="1"/>
  <c r="BB6" i="4" s="1"/>
  <c r="BC6" i="4" s="1"/>
  <c r="I78" i="1"/>
  <c r="I150" i="1"/>
  <c r="AV150" i="1" s="1"/>
  <c r="BB150" i="4" s="1"/>
  <c r="BC150" i="4" s="1"/>
  <c r="I222" i="1"/>
  <c r="AV222" i="1" s="1"/>
  <c r="BB222" i="4" s="1"/>
  <c r="BC222" i="4" s="1"/>
  <c r="I291" i="1"/>
  <c r="AV291" i="1" s="1"/>
  <c r="BB291" i="4" s="1"/>
  <c r="BC291" i="4" s="1"/>
  <c r="I334" i="1"/>
  <c r="D214" i="1"/>
  <c r="D161" i="1"/>
  <c r="E39" i="1"/>
  <c r="D84" i="1"/>
  <c r="D61" i="1"/>
  <c r="D277" i="1"/>
  <c r="E119" i="1"/>
  <c r="D164" i="1"/>
  <c r="E42" i="1"/>
  <c r="D318" i="1"/>
  <c r="D249" i="1"/>
  <c r="E259" i="1"/>
  <c r="F101" i="1"/>
  <c r="D252" i="1"/>
  <c r="E261" i="1"/>
  <c r="F139" i="1"/>
  <c r="E178" i="1"/>
  <c r="F56" i="1"/>
  <c r="E281" i="1"/>
  <c r="F283" i="1"/>
  <c r="F100" i="1"/>
  <c r="G24" i="1"/>
  <c r="D340" i="1"/>
  <c r="F177" i="1"/>
  <c r="G63" i="1"/>
  <c r="E242" i="1"/>
  <c r="F264" i="1"/>
  <c r="G106" i="1"/>
  <c r="G29" i="1"/>
  <c r="G322" i="1"/>
  <c r="F285" i="1"/>
  <c r="G281" i="1"/>
  <c r="H159" i="1"/>
  <c r="I37" i="1"/>
  <c r="I253" i="1"/>
  <c r="G68" i="1"/>
  <c r="G23" i="1"/>
  <c r="G319" i="1"/>
  <c r="F198" i="1"/>
  <c r="G254" i="1"/>
  <c r="H132" i="1"/>
  <c r="I190" i="1"/>
  <c r="AV190" i="1" s="1"/>
  <c r="BB190" i="4" s="1"/>
  <c r="BC190" i="4" s="1"/>
  <c r="F340" i="1"/>
  <c r="G309" i="1"/>
  <c r="H187" i="1"/>
  <c r="I29" i="1"/>
  <c r="I245" i="1"/>
  <c r="AV245" i="1" s="1"/>
  <c r="BB245" i="4" s="1"/>
  <c r="BC245" i="4" s="1"/>
  <c r="I44" i="1"/>
  <c r="J44" i="1" s="1"/>
  <c r="H179" i="1"/>
  <c r="I273" i="1"/>
  <c r="AV273" i="1" s="1"/>
  <c r="BB273" i="4" s="1"/>
  <c r="BC273" i="4" s="1"/>
  <c r="I84" i="1"/>
  <c r="O84" i="1" s="1"/>
  <c r="H232" i="1"/>
  <c r="I314" i="1"/>
  <c r="I135" i="1"/>
  <c r="H284" i="1"/>
  <c r="I340" i="1"/>
  <c r="D142" i="1"/>
  <c r="E47" i="1"/>
  <c r="D45" i="1"/>
  <c r="D129" i="1"/>
  <c r="E322" i="1"/>
  <c r="F290" i="1"/>
  <c r="D219" i="1"/>
  <c r="G250" i="1"/>
  <c r="H303" i="1"/>
  <c r="F174" i="1"/>
  <c r="H60" i="1"/>
  <c r="H115" i="1"/>
  <c r="I317" i="1"/>
  <c r="AV317" i="1" s="1"/>
  <c r="BB317" i="4" s="1"/>
  <c r="BC317" i="4" s="1"/>
  <c r="I182" i="1"/>
  <c r="AV182" i="1" s="1"/>
  <c r="BB182" i="4" s="1"/>
  <c r="BC182" i="4" s="1"/>
  <c r="I234" i="1"/>
  <c r="D125" i="1"/>
  <c r="D51" i="1"/>
  <c r="F103" i="1"/>
  <c r="F247" i="1"/>
  <c r="F106" i="1"/>
  <c r="G70" i="1"/>
  <c r="H123" i="1"/>
  <c r="G306" i="1"/>
  <c r="G218" i="1"/>
  <c r="F261" i="1"/>
  <c r="H310" i="1"/>
  <c r="H160" i="1"/>
  <c r="I300" i="1"/>
  <c r="D34" i="1"/>
  <c r="D197" i="1"/>
  <c r="E75" i="1"/>
  <c r="D120" i="1"/>
  <c r="D97" i="1"/>
  <c r="D313" i="1"/>
  <c r="E155" i="1"/>
  <c r="D200" i="1"/>
  <c r="E78" i="1"/>
  <c r="D321" i="1"/>
  <c r="E295" i="1"/>
  <c r="F137" i="1"/>
  <c r="D324" i="1"/>
  <c r="E297" i="1"/>
  <c r="F175" i="1"/>
  <c r="E214" i="1"/>
  <c r="F92" i="1"/>
  <c r="F15" i="1"/>
  <c r="E62" i="1"/>
  <c r="F172" i="1"/>
  <c r="G60" i="1"/>
  <c r="E80" i="1"/>
  <c r="F220" i="1"/>
  <c r="G99" i="1"/>
  <c r="E314" i="1"/>
  <c r="F300" i="1"/>
  <c r="G142" i="1"/>
  <c r="G101" i="1"/>
  <c r="H20" i="1"/>
  <c r="G19" i="1"/>
  <c r="G317" i="1"/>
  <c r="H195" i="1"/>
  <c r="I73" i="1"/>
  <c r="P73" i="1" s="1"/>
  <c r="I289" i="1"/>
  <c r="G140" i="1"/>
  <c r="H40" i="1"/>
  <c r="G95" i="1"/>
  <c r="F303" i="1"/>
  <c r="G290" i="1"/>
  <c r="H168" i="1"/>
  <c r="I10" i="1"/>
  <c r="I226" i="1"/>
  <c r="G74" i="1"/>
  <c r="H7" i="1"/>
  <c r="H223" i="1"/>
  <c r="I65" i="1"/>
  <c r="AV65" i="1" s="1"/>
  <c r="BB65" i="4" s="1"/>
  <c r="BC65" i="4" s="1"/>
  <c r="I281" i="1"/>
  <c r="AV281" i="1" s="1"/>
  <c r="BB281" i="4" s="1"/>
  <c r="BC281" i="4" s="1"/>
  <c r="I116" i="1"/>
  <c r="H251" i="1"/>
  <c r="I324" i="1"/>
  <c r="I156" i="1"/>
  <c r="AV156" i="1" s="1"/>
  <c r="BB156" i="4" s="1"/>
  <c r="BC156" i="4" s="1"/>
  <c r="H304" i="1"/>
  <c r="H113" i="1"/>
  <c r="I207" i="1"/>
  <c r="AV207" i="1" s="1"/>
  <c r="BB207" i="4" s="1"/>
  <c r="BC207" i="4" s="1"/>
  <c r="I18" i="1"/>
  <c r="D12" i="1"/>
  <c r="E186" i="1"/>
  <c r="F67" i="1"/>
  <c r="F208" i="1"/>
  <c r="F329" i="1"/>
  <c r="F295" i="1"/>
  <c r="H87" i="1"/>
  <c r="G270" i="1"/>
  <c r="G172" i="1"/>
  <c r="F114" i="1"/>
  <c r="I173" i="1"/>
  <c r="H278" i="1"/>
  <c r="H140" i="1"/>
  <c r="D48" i="1"/>
  <c r="E83" i="1"/>
  <c r="D246" i="1"/>
  <c r="D63" i="1"/>
  <c r="F20" i="1"/>
  <c r="F326" i="1"/>
  <c r="E122" i="1"/>
  <c r="F162" i="1"/>
  <c r="F334" i="1"/>
  <c r="E335" i="1"/>
  <c r="I154" i="1"/>
  <c r="I209" i="1"/>
  <c r="AV209" i="1" s="1"/>
  <c r="BB209" i="4" s="1"/>
  <c r="BC209" i="4" s="1"/>
  <c r="I12" i="1"/>
  <c r="H212" i="1"/>
  <c r="D70" i="1"/>
  <c r="D17" i="1"/>
  <c r="D233" i="1"/>
  <c r="E111" i="1"/>
  <c r="D156" i="1"/>
  <c r="D133" i="1"/>
  <c r="D20" i="1"/>
  <c r="D236" i="1"/>
  <c r="E114" i="1"/>
  <c r="E52" i="1"/>
  <c r="E55" i="1"/>
  <c r="E331" i="1"/>
  <c r="F173" i="1"/>
  <c r="E58" i="1"/>
  <c r="E333" i="1"/>
  <c r="D213" i="1"/>
  <c r="E250" i="1"/>
  <c r="F128" i="1"/>
  <c r="F87" i="1"/>
  <c r="E222" i="1"/>
  <c r="F217" i="1"/>
  <c r="G96" i="1"/>
  <c r="E228" i="1"/>
  <c r="F257" i="1"/>
  <c r="G135" i="1"/>
  <c r="F48" i="1"/>
  <c r="F336" i="1"/>
  <c r="E311" i="1"/>
  <c r="G166" i="1"/>
  <c r="H56" i="1"/>
  <c r="G91" i="1"/>
  <c r="H15" i="1"/>
  <c r="H231" i="1"/>
  <c r="I109" i="1"/>
  <c r="E215" i="1"/>
  <c r="G196" i="1"/>
  <c r="H76" i="1"/>
  <c r="G161" i="1"/>
  <c r="H17" i="1"/>
  <c r="G37" i="1"/>
  <c r="G326" i="1"/>
  <c r="H204" i="1"/>
  <c r="I46" i="1"/>
  <c r="I262" i="1"/>
  <c r="G146" i="1"/>
  <c r="H43" i="1"/>
  <c r="H259" i="1"/>
  <c r="I101" i="1"/>
  <c r="AV101" i="1" s="1"/>
  <c r="BB101" i="4" s="1"/>
  <c r="BC101" i="4" s="1"/>
  <c r="H88" i="1"/>
  <c r="I188" i="1"/>
  <c r="AV188" i="1" s="1"/>
  <c r="BB188" i="4" s="1"/>
  <c r="BC188" i="4" s="1"/>
  <c r="H323" i="1"/>
  <c r="H134" i="1"/>
  <c r="I228" i="1"/>
  <c r="AV228" i="1" s="1"/>
  <c r="BB228" i="4" s="1"/>
  <c r="BC228" i="4" s="1"/>
  <c r="I38" i="1"/>
  <c r="H185" i="1"/>
  <c r="I279" i="1"/>
  <c r="I90" i="1"/>
  <c r="D89" i="1"/>
  <c r="D228" i="1"/>
  <c r="D92" i="1"/>
  <c r="E187" i="1"/>
  <c r="E189" i="1"/>
  <c r="E20" i="1"/>
  <c r="F34" i="1"/>
  <c r="G34" i="1"/>
  <c r="G209" i="1"/>
  <c r="F250" i="1"/>
  <c r="H89" i="1"/>
  <c r="I118" i="1"/>
  <c r="H331" i="1"/>
  <c r="I129" i="1"/>
  <c r="H329" i="1"/>
  <c r="D341" i="1"/>
  <c r="E6" i="1"/>
  <c r="F65" i="1"/>
  <c r="E109" i="1"/>
  <c r="F28" i="1"/>
  <c r="G27" i="1"/>
  <c r="G245" i="1"/>
  <c r="H339" i="1"/>
  <c r="F289" i="1"/>
  <c r="H96" i="1"/>
  <c r="G273" i="1"/>
  <c r="H107" i="1"/>
  <c r="I254" i="1"/>
  <c r="D106" i="1"/>
  <c r="D53" i="1"/>
  <c r="D269" i="1"/>
  <c r="E147" i="1"/>
  <c r="D192" i="1"/>
  <c r="D169" i="1"/>
  <c r="E11" i="1"/>
  <c r="D56" i="1"/>
  <c r="D272" i="1"/>
  <c r="E150" i="1"/>
  <c r="E124" i="1"/>
  <c r="E127" i="1"/>
  <c r="F209" i="1"/>
  <c r="E130" i="1"/>
  <c r="F31" i="1"/>
  <c r="D303" i="1"/>
  <c r="E286" i="1"/>
  <c r="F164" i="1"/>
  <c r="F159" i="1"/>
  <c r="E294" i="1"/>
  <c r="F254" i="1"/>
  <c r="G132" i="1"/>
  <c r="E300" i="1"/>
  <c r="F293" i="1"/>
  <c r="G171" i="1"/>
  <c r="F120" i="1"/>
  <c r="F183" i="1"/>
  <c r="G214" i="1"/>
  <c r="H92" i="1"/>
  <c r="G158" i="1"/>
  <c r="H51" i="1"/>
  <c r="H267" i="1"/>
  <c r="I145" i="1"/>
  <c r="F93" i="1"/>
  <c r="G234" i="1"/>
  <c r="E296" i="1"/>
  <c r="G211" i="1"/>
  <c r="H53" i="1"/>
  <c r="G109" i="1"/>
  <c r="H24" i="1"/>
  <c r="H240" i="1"/>
  <c r="I82" i="1"/>
  <c r="E236" i="1"/>
  <c r="G200" i="1"/>
  <c r="H79" i="1"/>
  <c r="H295" i="1"/>
  <c r="I137" i="1"/>
  <c r="H166" i="1"/>
  <c r="I260" i="1"/>
  <c r="I57" i="1"/>
  <c r="AV57" i="1" s="1"/>
  <c r="BB57" i="4" s="1"/>
  <c r="BC57" i="4" s="1"/>
  <c r="H206" i="1"/>
  <c r="I296" i="1"/>
  <c r="AV296" i="1" s="1"/>
  <c r="BB296" i="4" s="1"/>
  <c r="BC296" i="4" s="1"/>
  <c r="I110" i="1"/>
  <c r="H257" i="1"/>
  <c r="I327" i="1"/>
  <c r="I162" i="1"/>
  <c r="AV162" i="1" s="1"/>
  <c r="BB162" i="4" s="1"/>
  <c r="BC162" i="4" s="1"/>
  <c r="D305" i="1"/>
  <c r="D205" i="1"/>
  <c r="D308" i="1"/>
  <c r="F29" i="1"/>
  <c r="E37" i="1"/>
  <c r="G168" i="1"/>
  <c r="F186" i="1"/>
  <c r="E284" i="1"/>
  <c r="I181" i="1"/>
  <c r="G247" i="1"/>
  <c r="H276" i="1"/>
  <c r="G237" i="1"/>
  <c r="H238" i="1"/>
  <c r="I337" i="1"/>
  <c r="AV337" i="1" s="1"/>
  <c r="BB337" i="4" s="1"/>
  <c r="BC337" i="4" s="1"/>
  <c r="D178" i="1"/>
  <c r="D25" i="1"/>
  <c r="D241" i="1"/>
  <c r="D128" i="1"/>
  <c r="E223" i="1"/>
  <c r="E225" i="1"/>
  <c r="E206" i="1"/>
  <c r="D111" i="1"/>
  <c r="F228" i="1"/>
  <c r="G286" i="1"/>
  <c r="I217" i="1"/>
  <c r="AV217" i="1" s="1"/>
  <c r="BB217" i="4" s="1"/>
  <c r="BC217" i="4" s="1"/>
  <c r="G283" i="1"/>
  <c r="H312" i="1"/>
  <c r="H151" i="1"/>
  <c r="I201" i="1"/>
  <c r="AV201" i="1" s="1"/>
  <c r="BB201" i="4" s="1"/>
  <c r="BC201" i="4" s="1"/>
  <c r="I63" i="1"/>
  <c r="J66" i="21"/>
  <c r="K25" i="21"/>
  <c r="M142" i="21"/>
  <c r="J324" i="21"/>
  <c r="J311" i="21"/>
  <c r="K299" i="21"/>
  <c r="L288" i="21"/>
  <c r="J257" i="21"/>
  <c r="L160" i="21"/>
  <c r="K49" i="21"/>
  <c r="L42" i="21"/>
  <c r="J30" i="21"/>
  <c r="M165" i="21"/>
  <c r="L147" i="21"/>
  <c r="J106" i="21"/>
  <c r="J95" i="21"/>
  <c r="J71" i="21"/>
  <c r="M60" i="21"/>
  <c r="K172" i="21"/>
  <c r="L152" i="21"/>
  <c r="J36" i="21"/>
  <c r="K229" i="21"/>
  <c r="J139" i="21"/>
  <c r="L112" i="21"/>
  <c r="L264" i="21"/>
  <c r="K159" i="21"/>
  <c r="J89" i="21"/>
  <c r="M41" i="21"/>
  <c r="J223" i="21"/>
  <c r="J105" i="21"/>
  <c r="L76" i="21"/>
  <c r="J70" i="21"/>
  <c r="M234" i="21"/>
  <c r="J151" i="21"/>
  <c r="K54" i="21"/>
  <c r="K35" i="21"/>
  <c r="K23" i="21"/>
  <c r="L317" i="21"/>
  <c r="L292" i="21"/>
  <c r="L176" i="21"/>
  <c r="J40" i="21"/>
  <c r="J28" i="21"/>
  <c r="J305" i="21"/>
  <c r="M146" i="21"/>
  <c r="J309" i="21"/>
  <c r="L46" i="21"/>
  <c r="M274" i="21"/>
  <c r="L150" i="21"/>
  <c r="J82" i="21"/>
  <c r="K53" i="21"/>
  <c r="J34" i="21"/>
  <c r="K304" i="21"/>
  <c r="J286" i="21"/>
  <c r="L109" i="21"/>
  <c r="L63" i="21"/>
  <c r="J239" i="21"/>
  <c r="L244" i="21"/>
  <c r="L249" i="21"/>
  <c r="J39" i="21"/>
  <c r="L323" i="21"/>
  <c r="J316" i="21"/>
  <c r="L138" i="21"/>
  <c r="J210" i="21"/>
  <c r="J170" i="21"/>
  <c r="M321" i="21"/>
  <c r="M175" i="21"/>
  <c r="K270" i="21"/>
  <c r="J279" i="21"/>
  <c r="K296" i="21"/>
  <c r="M280" i="21"/>
  <c r="J93" i="21"/>
  <c r="K285" i="21"/>
  <c r="J115" i="21"/>
  <c r="J237" i="21"/>
  <c r="L214" i="21"/>
  <c r="J97" i="21"/>
  <c r="K246" i="21"/>
  <c r="M133" i="21"/>
  <c r="J254" i="21"/>
  <c r="J144" i="21"/>
  <c r="K326" i="21"/>
  <c r="L267" i="21"/>
  <c r="M253" i="21"/>
  <c r="J190" i="21"/>
  <c r="L179" i="21"/>
  <c r="M154" i="21"/>
  <c r="J86" i="21"/>
  <c r="J38" i="21"/>
  <c r="L251" i="21"/>
  <c r="L262" i="21"/>
  <c r="J204" i="21"/>
  <c r="L273" i="21"/>
  <c r="J103" i="21"/>
  <c r="L302" i="21"/>
  <c r="M185" i="21"/>
  <c r="M220" i="21"/>
  <c r="J114" i="21"/>
  <c r="J102" i="21"/>
  <c r="J235" i="21"/>
  <c r="J200" i="21"/>
  <c r="J314" i="21"/>
  <c r="M301" i="21"/>
  <c r="L277" i="21"/>
  <c r="L260" i="21"/>
  <c r="L195" i="21"/>
  <c r="K161" i="21"/>
  <c r="K51" i="21"/>
  <c r="M43" i="21"/>
  <c r="J245" i="21"/>
  <c r="K228" i="21"/>
  <c r="L327" i="21"/>
  <c r="L180" i="21"/>
  <c r="K243" i="21"/>
  <c r="M290" i="21"/>
  <c r="J32" i="21"/>
  <c r="K312" i="21"/>
  <c r="J18" i="21"/>
  <c r="M330" i="21"/>
  <c r="L236" i="21"/>
  <c r="J225" i="21"/>
  <c r="M135" i="21"/>
  <c r="J96" i="21"/>
  <c r="L61" i="21"/>
  <c r="K56" i="21"/>
  <c r="J241" i="21"/>
  <c r="L250" i="21"/>
  <c r="J255" i="21"/>
  <c r="M222" i="21"/>
  <c r="J332" i="21"/>
  <c r="M261" i="21"/>
  <c r="K198" i="21"/>
  <c r="K149" i="21"/>
  <c r="J318" i="21"/>
  <c r="K306" i="21"/>
  <c r="J283" i="21"/>
  <c r="K252" i="21"/>
  <c r="J189" i="21"/>
  <c r="J173" i="21"/>
  <c r="K153" i="21"/>
  <c r="K79" i="21"/>
  <c r="J72" i="21"/>
  <c r="J37" i="21"/>
  <c r="I340" i="21"/>
  <c r="L222" i="21"/>
  <c r="J165" i="21"/>
  <c r="M264" i="21"/>
  <c r="J76" i="21"/>
  <c r="L154" i="21"/>
  <c r="J251" i="21"/>
  <c r="M296" i="21"/>
  <c r="L296" i="21"/>
  <c r="K39" i="21"/>
  <c r="J84" i="21"/>
  <c r="K84" i="21"/>
  <c r="L84" i="21"/>
  <c r="M84" i="21"/>
  <c r="J268" i="21"/>
  <c r="L268" i="21"/>
  <c r="J136" i="21"/>
  <c r="K136" i="21"/>
  <c r="L136" i="21"/>
  <c r="L121" i="21"/>
  <c r="J121" i="21"/>
  <c r="M57" i="21"/>
  <c r="J57" i="21"/>
  <c r="M247" i="21"/>
  <c r="L247" i="21"/>
  <c r="L269" i="21"/>
  <c r="J269" i="21"/>
  <c r="J240" i="21"/>
  <c r="K240" i="21"/>
  <c r="J101" i="21"/>
  <c r="M101" i="21"/>
  <c r="M79" i="21"/>
  <c r="L79" i="21"/>
  <c r="J53" i="21"/>
  <c r="J79" i="21"/>
  <c r="J285" i="21"/>
  <c r="M160" i="21"/>
  <c r="M114" i="21"/>
  <c r="M97" i="21"/>
  <c r="L114" i="21"/>
  <c r="K97" i="21"/>
  <c r="M70" i="21"/>
  <c r="L56" i="21"/>
  <c r="L82" i="21"/>
  <c r="L304" i="21"/>
  <c r="J154" i="21"/>
  <c r="K103" i="21"/>
  <c r="L314" i="21"/>
  <c r="K317" i="21"/>
  <c r="M267" i="21"/>
  <c r="L246" i="21"/>
  <c r="K267" i="21"/>
  <c r="J280" i="21"/>
  <c r="J124" i="21"/>
  <c r="K124" i="21"/>
  <c r="J275" i="21"/>
  <c r="K275" i="21"/>
  <c r="L275" i="21"/>
  <c r="L132" i="21"/>
  <c r="M132" i="21"/>
  <c r="K207" i="21"/>
  <c r="J207" i="21"/>
  <c r="L207" i="21"/>
  <c r="M207" i="21"/>
  <c r="J91" i="21"/>
  <c r="K91" i="21"/>
  <c r="L91" i="21"/>
  <c r="M91" i="21"/>
  <c r="L134" i="21"/>
  <c r="J134" i="21"/>
  <c r="K134" i="21"/>
  <c r="J174" i="21"/>
  <c r="M174" i="21"/>
  <c r="J164" i="21"/>
  <c r="K164" i="21"/>
  <c r="M164" i="21"/>
  <c r="L108" i="21"/>
  <c r="J108" i="21"/>
  <c r="K108" i="21"/>
  <c r="M108" i="21"/>
  <c r="J83" i="21"/>
  <c r="L83" i="21"/>
  <c r="M83" i="21"/>
  <c r="K256" i="21"/>
  <c r="J256" i="21"/>
  <c r="M256" i="21"/>
  <c r="J265" i="21"/>
  <c r="K265" i="21"/>
  <c r="L265" i="21"/>
  <c r="K31" i="21"/>
  <c r="J31" i="21"/>
  <c r="J59" i="21"/>
  <c r="K59" i="21"/>
  <c r="L59" i="21"/>
  <c r="M59" i="21"/>
  <c r="J183" i="21"/>
  <c r="K183" i="21"/>
  <c r="M183" i="21"/>
  <c r="L52" i="21"/>
  <c r="J52" i="21"/>
  <c r="M52" i="21"/>
  <c r="J157" i="21"/>
  <c r="K157" i="21"/>
  <c r="M157" i="21"/>
  <c r="L73" i="21"/>
  <c r="J73" i="21"/>
  <c r="K73" i="21"/>
  <c r="M73" i="21"/>
  <c r="J315" i="21"/>
  <c r="K315" i="21"/>
  <c r="L315" i="21"/>
  <c r="M315" i="21"/>
  <c r="J98" i="21"/>
  <c r="L98" i="21"/>
  <c r="M98" i="21"/>
  <c r="K186" i="21"/>
  <c r="M186" i="21"/>
  <c r="J186" i="21"/>
  <c r="L186" i="21"/>
  <c r="J282" i="21"/>
  <c r="K282" i="21"/>
  <c r="L282" i="21"/>
  <c r="M282" i="21"/>
  <c r="K199" i="21"/>
  <c r="J199" i="21"/>
  <c r="L199" i="21"/>
  <c r="M199" i="21"/>
  <c r="J271" i="21"/>
  <c r="K271" i="21"/>
  <c r="L271" i="21"/>
  <c r="J169" i="21"/>
  <c r="K169" i="21"/>
  <c r="L169" i="21"/>
  <c r="M169" i="21"/>
  <c r="J162" i="21"/>
  <c r="K162" i="21"/>
  <c r="J128" i="21"/>
  <c r="K128" i="21"/>
  <c r="L128" i="21"/>
  <c r="M128" i="21"/>
  <c r="J294" i="21"/>
  <c r="K294" i="21"/>
  <c r="J145" i="21"/>
  <c r="K145" i="21"/>
  <c r="J113" i="21"/>
  <c r="M113" i="21"/>
  <c r="M208" i="21"/>
  <c r="J208" i="21"/>
  <c r="K208" i="21"/>
  <c r="L208" i="21"/>
  <c r="J92" i="21"/>
  <c r="K92" i="21"/>
  <c r="J80" i="21"/>
  <c r="K80" i="21"/>
  <c r="K298" i="21"/>
  <c r="M298" i="21"/>
  <c r="L291" i="21"/>
  <c r="J291" i="21"/>
  <c r="K291" i="21"/>
  <c r="M291" i="21"/>
  <c r="L178" i="21"/>
  <c r="K178" i="21"/>
  <c r="J303" i="21"/>
  <c r="M303" i="21"/>
  <c r="K303" i="21"/>
  <c r="L303" i="21"/>
  <c r="M229" i="21"/>
  <c r="M23" i="21"/>
  <c r="L229" i="21"/>
  <c r="M172" i="21"/>
  <c r="K160" i="21"/>
  <c r="M96" i="21"/>
  <c r="K286" i="21"/>
  <c r="J229" i="21"/>
  <c r="L172" i="21"/>
  <c r="J160" i="21"/>
  <c r="L96" i="21"/>
  <c r="M249" i="21"/>
  <c r="J60" i="21"/>
  <c r="M318" i="21"/>
  <c r="K318" i="21"/>
  <c r="K249" i="21"/>
  <c r="L324" i="21"/>
  <c r="M304" i="21"/>
  <c r="J249" i="21"/>
  <c r="M198" i="21"/>
  <c r="J35" i="21"/>
  <c r="L28" i="21"/>
  <c r="K200" i="21"/>
  <c r="J198" i="21"/>
  <c r="K185" i="21"/>
  <c r="M136" i="21"/>
  <c r="K115" i="21"/>
  <c r="L49" i="21"/>
  <c r="M262" i="21"/>
  <c r="M54" i="21"/>
  <c r="K71" i="21"/>
  <c r="L57" i="21"/>
  <c r="J54" i="21"/>
  <c r="K262" i="21"/>
  <c r="M283" i="21"/>
  <c r="J267" i="21"/>
  <c r="M228" i="21"/>
  <c r="K57" i="21"/>
  <c r="M269" i="21"/>
  <c r="J228" i="21"/>
  <c r="K190" i="21"/>
  <c r="M317" i="21"/>
  <c r="K269" i="21"/>
  <c r="J253" i="21"/>
  <c r="K150" i="21"/>
  <c r="M102" i="21"/>
  <c r="M51" i="21"/>
  <c r="J150" i="21"/>
  <c r="L102" i="21"/>
  <c r="K314" i="21"/>
  <c r="M170" i="21"/>
  <c r="K154" i="21"/>
  <c r="K76" i="21"/>
  <c r="M53" i="21"/>
  <c r="M250" i="21"/>
  <c r="L170" i="21"/>
  <c r="L53" i="21"/>
  <c r="K250" i="21"/>
  <c r="K170" i="21"/>
  <c r="K112" i="21"/>
  <c r="M270" i="21"/>
  <c r="J250" i="21"/>
  <c r="L189" i="21"/>
  <c r="J112" i="21"/>
  <c r="L70" i="21"/>
  <c r="J270" i="21"/>
  <c r="M245" i="21"/>
  <c r="K204" i="21"/>
  <c r="K121" i="21"/>
  <c r="J278" i="21"/>
  <c r="K278" i="21"/>
  <c r="L278" i="21"/>
  <c r="M278" i="21"/>
  <c r="J194" i="21"/>
  <c r="K194" i="21"/>
  <c r="L194" i="21"/>
  <c r="M194" i="21"/>
  <c r="J181" i="21"/>
  <c r="K181" i="21"/>
  <c r="L181" i="21"/>
  <c r="M181" i="21"/>
  <c r="K163" i="21"/>
  <c r="J163" i="21"/>
  <c r="L163" i="21"/>
  <c r="M163" i="21"/>
  <c r="L202" i="21"/>
  <c r="J202" i="21"/>
  <c r="K202" i="21"/>
  <c r="M202" i="21"/>
  <c r="L287" i="21"/>
  <c r="J287" i="21"/>
  <c r="K287" i="21"/>
  <c r="M287" i="21"/>
  <c r="K293" i="21"/>
  <c r="L293" i="21"/>
  <c r="J209" i="21"/>
  <c r="K209" i="21"/>
  <c r="L209" i="21"/>
  <c r="M209" i="21"/>
  <c r="J219" i="21"/>
  <c r="K219" i="21"/>
  <c r="L219" i="21"/>
  <c r="M219" i="21"/>
  <c r="J272" i="21"/>
  <c r="M272" i="21"/>
  <c r="K213" i="21"/>
  <c r="L213" i="21"/>
  <c r="M213" i="21"/>
  <c r="J213" i="21"/>
  <c r="J263" i="21"/>
  <c r="K263" i="21"/>
  <c r="L263" i="21"/>
  <c r="M263" i="21"/>
  <c r="J201" i="21"/>
  <c r="K201" i="21"/>
  <c r="L201" i="21"/>
  <c r="M201" i="21"/>
  <c r="M191" i="21"/>
  <c r="J191" i="21"/>
  <c r="K191" i="21"/>
  <c r="L191" i="21"/>
  <c r="K158" i="21"/>
  <c r="J158" i="21"/>
  <c r="L158" i="21"/>
  <c r="M158" i="21"/>
  <c r="J192" i="21"/>
  <c r="K192" i="21"/>
  <c r="L192" i="21"/>
  <c r="M192" i="21"/>
  <c r="J230" i="21"/>
  <c r="K230" i="21"/>
  <c r="L230" i="21"/>
  <c r="M230" i="21"/>
  <c r="K177" i="21"/>
  <c r="L177" i="21"/>
  <c r="M177" i="21"/>
  <c r="J177" i="21"/>
  <c r="L308" i="21"/>
  <c r="K308" i="21"/>
  <c r="K284" i="21"/>
  <c r="L284" i="21"/>
  <c r="J211" i="21"/>
  <c r="L211" i="21"/>
  <c r="M211" i="21"/>
  <c r="K211" i="21"/>
  <c r="M187" i="21"/>
  <c r="J187" i="21"/>
  <c r="K187" i="21"/>
  <c r="L187" i="21"/>
  <c r="K188" i="21"/>
  <c r="L188" i="21"/>
  <c r="M188" i="21"/>
  <c r="J188" i="21"/>
  <c r="J221" i="21"/>
  <c r="K221" i="21"/>
  <c r="L221" i="21"/>
  <c r="M221" i="21"/>
  <c r="J203" i="21"/>
  <c r="K203" i="21"/>
  <c r="L203" i="21"/>
  <c r="M203" i="21"/>
  <c r="J289" i="21"/>
  <c r="K289" i="21"/>
  <c r="L289" i="21"/>
  <c r="M289" i="21"/>
  <c r="J148" i="21"/>
  <c r="L148" i="21"/>
  <c r="M148" i="21"/>
  <c r="K148" i="21"/>
  <c r="J231" i="21"/>
  <c r="M231" i="21"/>
  <c r="J238" i="21"/>
  <c r="K238" i="21"/>
  <c r="L238" i="21"/>
  <c r="M238" i="21"/>
  <c r="K171" i="21"/>
  <c r="L171" i="21"/>
  <c r="M171" i="21"/>
  <c r="J171" i="21"/>
  <c r="J226" i="21"/>
  <c r="K226" i="21"/>
  <c r="L226" i="21"/>
  <c r="M226" i="21"/>
  <c r="J166" i="21"/>
  <c r="K166" i="21"/>
  <c r="L166" i="21"/>
  <c r="M166" i="21"/>
  <c r="J276" i="21"/>
  <c r="K276" i="21"/>
  <c r="L276" i="21"/>
  <c r="M276" i="21"/>
  <c r="K248" i="21"/>
  <c r="M248" i="21"/>
  <c r="J212" i="21"/>
  <c r="K212" i="21"/>
  <c r="L212" i="21"/>
  <c r="M212" i="21"/>
  <c r="M332" i="21"/>
  <c r="K302" i="21"/>
  <c r="M292" i="21"/>
  <c r="K288" i="21"/>
  <c r="K277" i="21"/>
  <c r="L256" i="21"/>
  <c r="L239" i="21"/>
  <c r="K214" i="21"/>
  <c r="K195" i="21"/>
  <c r="J180" i="21"/>
  <c r="J179" i="21"/>
  <c r="M179" i="21"/>
  <c r="J161" i="21"/>
  <c r="K151" i="21"/>
  <c r="L151" i="21"/>
  <c r="M151" i="21"/>
  <c r="L149" i="21"/>
  <c r="M139" i="21"/>
  <c r="K58" i="21"/>
  <c r="L58" i="21"/>
  <c r="M58" i="21"/>
  <c r="J58" i="21"/>
  <c r="L332" i="21"/>
  <c r="M312" i="21"/>
  <c r="J302" i="21"/>
  <c r="J288" i="21"/>
  <c r="M286" i="21"/>
  <c r="M279" i="21"/>
  <c r="J277" i="21"/>
  <c r="M254" i="21"/>
  <c r="J214" i="21"/>
  <c r="M204" i="21"/>
  <c r="M200" i="21"/>
  <c r="J195" i="21"/>
  <c r="J149" i="21"/>
  <c r="L139" i="21"/>
  <c r="K137" i="21"/>
  <c r="L137" i="21"/>
  <c r="M137" i="21"/>
  <c r="J75" i="21"/>
  <c r="K75" i="21"/>
  <c r="L75" i="21"/>
  <c r="M75" i="21"/>
  <c r="K55" i="21"/>
  <c r="J55" i="21"/>
  <c r="L55" i="21"/>
  <c r="M55" i="21"/>
  <c r="K332" i="21"/>
  <c r="L312" i="21"/>
  <c r="M305" i="21"/>
  <c r="M299" i="21"/>
  <c r="L286" i="21"/>
  <c r="L279" i="21"/>
  <c r="L254" i="21"/>
  <c r="L204" i="21"/>
  <c r="L200" i="21"/>
  <c r="K139" i="21"/>
  <c r="J99" i="21"/>
  <c r="K99" i="21"/>
  <c r="L99" i="21"/>
  <c r="M99" i="21"/>
  <c r="J69" i="21"/>
  <c r="K69" i="21"/>
  <c r="L69" i="21"/>
  <c r="M69" i="21"/>
  <c r="J312" i="21"/>
  <c r="L305" i="21"/>
  <c r="L299" i="21"/>
  <c r="K279" i="21"/>
  <c r="K254" i="21"/>
  <c r="M236" i="21"/>
  <c r="J146" i="21"/>
  <c r="K146" i="21"/>
  <c r="L146" i="21"/>
  <c r="M314" i="21"/>
  <c r="K305" i="21"/>
  <c r="J299" i="21"/>
  <c r="L270" i="21"/>
  <c r="M240" i="21"/>
  <c r="L228" i="21"/>
  <c r="L175" i="21"/>
  <c r="L174" i="21"/>
  <c r="J107" i="21"/>
  <c r="K107" i="21"/>
  <c r="L107" i="21"/>
  <c r="M107" i="21"/>
  <c r="J45" i="21"/>
  <c r="K45" i="21"/>
  <c r="L45" i="21"/>
  <c r="M45" i="21"/>
  <c r="M316" i="21"/>
  <c r="K309" i="21"/>
  <c r="M246" i="21"/>
  <c r="L240" i="21"/>
  <c r="K175" i="21"/>
  <c r="K174" i="21"/>
  <c r="L316" i="21"/>
  <c r="J175" i="21"/>
  <c r="J129" i="21"/>
  <c r="K129" i="21"/>
  <c r="L129" i="21"/>
  <c r="M129" i="21"/>
  <c r="J109" i="21"/>
  <c r="K109" i="21"/>
  <c r="M109" i="21"/>
  <c r="J81" i="21"/>
  <c r="K81" i="21"/>
  <c r="L81" i="21"/>
  <c r="M81" i="21"/>
  <c r="L318" i="21"/>
  <c r="M306" i="21"/>
  <c r="M275" i="21"/>
  <c r="M265" i="21"/>
  <c r="J246" i="21"/>
  <c r="M189" i="21"/>
  <c r="L185" i="21"/>
  <c r="L183" i="21"/>
  <c r="M178" i="21"/>
  <c r="L164" i="21"/>
  <c r="J143" i="21"/>
  <c r="K143" i="21"/>
  <c r="L143" i="21"/>
  <c r="M143" i="21"/>
  <c r="L74" i="21"/>
  <c r="M74" i="21"/>
  <c r="J74" i="21"/>
  <c r="K74" i="21"/>
  <c r="J62" i="21"/>
  <c r="K62" i="21"/>
  <c r="L62" i="21"/>
  <c r="M62" i="21"/>
  <c r="L198" i="21"/>
  <c r="K189" i="21"/>
  <c r="J185" i="21"/>
  <c r="J178" i="21"/>
  <c r="J172" i="21"/>
  <c r="J147" i="21"/>
  <c r="K147" i="21"/>
  <c r="M147" i="21"/>
  <c r="J77" i="21"/>
  <c r="K77" i="21"/>
  <c r="L77" i="21"/>
  <c r="M77" i="21"/>
  <c r="J68" i="21"/>
  <c r="K68" i="21"/>
  <c r="L68" i="21"/>
  <c r="M68" i="21"/>
  <c r="J65" i="21"/>
  <c r="K65" i="21"/>
  <c r="L65" i="21"/>
  <c r="M65" i="21"/>
  <c r="M311" i="21"/>
  <c r="J262" i="21"/>
  <c r="M235" i="21"/>
  <c r="M223" i="21"/>
  <c r="K88" i="21"/>
  <c r="L88" i="21"/>
  <c r="M88" i="21"/>
  <c r="J88" i="21"/>
  <c r="K85" i="21"/>
  <c r="L85" i="21"/>
  <c r="M85" i="21"/>
  <c r="J85" i="21"/>
  <c r="M237" i="21"/>
  <c r="L235" i="21"/>
  <c r="M225" i="21"/>
  <c r="L223" i="21"/>
  <c r="M210" i="21"/>
  <c r="L162" i="21"/>
  <c r="M162" i="21"/>
  <c r="J152" i="21"/>
  <c r="K152" i="21"/>
  <c r="M152" i="21"/>
  <c r="L145" i="21"/>
  <c r="M145" i="21"/>
  <c r="J132" i="21"/>
  <c r="K132" i="21"/>
  <c r="L311" i="21"/>
  <c r="K311" i="21"/>
  <c r="M257" i="21"/>
  <c r="L237" i="21"/>
  <c r="K235" i="21"/>
  <c r="L225" i="21"/>
  <c r="K223" i="21"/>
  <c r="L210" i="21"/>
  <c r="M176" i="21"/>
  <c r="L159" i="21"/>
  <c r="J138" i="21"/>
  <c r="K138" i="21"/>
  <c r="M138" i="21"/>
  <c r="J111" i="21"/>
  <c r="K111" i="21"/>
  <c r="L111" i="21"/>
  <c r="M111" i="21"/>
  <c r="K104" i="21"/>
  <c r="L104" i="21"/>
  <c r="M104" i="21"/>
  <c r="J104" i="21"/>
  <c r="J47" i="21"/>
  <c r="K47" i="21"/>
  <c r="M47" i="21"/>
  <c r="L47" i="21"/>
  <c r="M241" i="21"/>
  <c r="K237" i="21"/>
  <c r="K225" i="21"/>
  <c r="K210" i="21"/>
  <c r="K176" i="21"/>
  <c r="J133" i="21"/>
  <c r="K133" i="21"/>
  <c r="L133" i="21"/>
  <c r="J120" i="21"/>
  <c r="K120" i="21"/>
  <c r="L120" i="21"/>
  <c r="M120" i="21"/>
  <c r="M271" i="21"/>
  <c r="M190" i="21"/>
  <c r="J176" i="21"/>
  <c r="M173" i="21"/>
  <c r="L142" i="21"/>
  <c r="J118" i="21"/>
  <c r="K118" i="21"/>
  <c r="L118" i="21"/>
  <c r="M118" i="21"/>
  <c r="L190" i="21"/>
  <c r="L173" i="21"/>
  <c r="J159" i="21"/>
  <c r="M159" i="21"/>
  <c r="K142" i="21"/>
  <c r="J64" i="21"/>
  <c r="K64" i="21"/>
  <c r="L64" i="21"/>
  <c r="M64" i="21"/>
  <c r="K173" i="21"/>
  <c r="M153" i="21"/>
  <c r="J142" i="21"/>
  <c r="K247" i="21"/>
  <c r="J100" i="21"/>
  <c r="K100" i="21"/>
  <c r="L100" i="21"/>
  <c r="M100" i="21"/>
  <c r="J94" i="21"/>
  <c r="K94" i="21"/>
  <c r="L94" i="21"/>
  <c r="M94" i="21"/>
  <c r="J67" i="21"/>
  <c r="K67" i="21"/>
  <c r="L67" i="21"/>
  <c r="M67" i="21"/>
  <c r="J135" i="21"/>
  <c r="K135" i="21"/>
  <c r="L135" i="21"/>
  <c r="J87" i="21"/>
  <c r="K87" i="21"/>
  <c r="L87" i="21"/>
  <c r="M87" i="21"/>
  <c r="J153" i="21"/>
  <c r="L153" i="21"/>
  <c r="J130" i="21"/>
  <c r="K130" i="21"/>
  <c r="L130" i="21"/>
  <c r="M130" i="21"/>
  <c r="J125" i="21"/>
  <c r="K125" i="21"/>
  <c r="L125" i="21"/>
  <c r="M125" i="21"/>
  <c r="J123" i="21"/>
  <c r="K123" i="21"/>
  <c r="L123" i="21"/>
  <c r="M123" i="21"/>
  <c r="J122" i="21"/>
  <c r="K122" i="21"/>
  <c r="L122" i="21"/>
  <c r="M122" i="21"/>
  <c r="J90" i="21"/>
  <c r="K90" i="21"/>
  <c r="L90" i="21"/>
  <c r="M90" i="21"/>
  <c r="J304" i="21"/>
  <c r="M302" i="21"/>
  <c r="J296" i="21"/>
  <c r="M277" i="21"/>
  <c r="M214" i="21"/>
  <c r="M195" i="21"/>
  <c r="M180" i="21"/>
  <c r="K179" i="21"/>
  <c r="K165" i="21"/>
  <c r="L165" i="21"/>
  <c r="M161" i="21"/>
  <c r="M288" i="21"/>
  <c r="K180" i="21"/>
  <c r="L161" i="21"/>
  <c r="M149" i="21"/>
  <c r="K144" i="21"/>
  <c r="L144" i="21"/>
  <c r="M144" i="21"/>
  <c r="J137" i="21"/>
  <c r="J119" i="21"/>
  <c r="K119" i="21"/>
  <c r="L119" i="21"/>
  <c r="M119" i="21"/>
  <c r="M66" i="21"/>
  <c r="J29" i="21"/>
  <c r="K29" i="21"/>
  <c r="L29" i="21"/>
  <c r="M29" i="21"/>
  <c r="K114" i="21"/>
  <c r="K102" i="21"/>
  <c r="K96" i="21"/>
  <c r="K83" i="21"/>
  <c r="L66" i="21"/>
  <c r="K66" i="21"/>
  <c r="J61" i="21"/>
  <c r="K61" i="21"/>
  <c r="K38" i="21"/>
  <c r="L38" i="21"/>
  <c r="M38" i="21"/>
  <c r="J26" i="21"/>
  <c r="K26" i="21"/>
  <c r="L26" i="21"/>
  <c r="M26" i="21"/>
  <c r="M72" i="21"/>
  <c r="J51" i="21"/>
  <c r="L51" i="21"/>
  <c r="J49" i="21"/>
  <c r="M49" i="21"/>
  <c r="M105" i="21"/>
  <c r="M89" i="21"/>
  <c r="L72" i="21"/>
  <c r="L105" i="21"/>
  <c r="L89" i="21"/>
  <c r="M86" i="21"/>
  <c r="K72" i="21"/>
  <c r="K105" i="21"/>
  <c r="K89" i="21"/>
  <c r="L86" i="21"/>
  <c r="J42" i="21"/>
  <c r="K42" i="21"/>
  <c r="M42" i="21"/>
  <c r="M150" i="21"/>
  <c r="M134" i="21"/>
  <c r="M121" i="21"/>
  <c r="M112" i="21"/>
  <c r="K86" i="21"/>
  <c r="K40" i="21"/>
  <c r="L40" i="21"/>
  <c r="M40" i="21"/>
  <c r="K37" i="21"/>
  <c r="L37" i="21"/>
  <c r="M37" i="21"/>
  <c r="K22" i="21"/>
  <c r="L22" i="21"/>
  <c r="M22" i="21"/>
  <c r="J22" i="21"/>
  <c r="L157" i="21"/>
  <c r="K98" i="21"/>
  <c r="K70" i="21"/>
  <c r="M124" i="21"/>
  <c r="M115" i="21"/>
  <c r="M103" i="21"/>
  <c r="L54" i="21"/>
  <c r="K52" i="21"/>
  <c r="L124" i="21"/>
  <c r="L115" i="21"/>
  <c r="L103" i="21"/>
  <c r="L97" i="21"/>
  <c r="M82" i="21"/>
  <c r="M95" i="21"/>
  <c r="K34" i="21"/>
  <c r="L34" i="21"/>
  <c r="M34" i="21"/>
  <c r="L113" i="21"/>
  <c r="L101" i="21"/>
  <c r="L95" i="21"/>
  <c r="K82" i="21"/>
  <c r="M76" i="21"/>
  <c r="K60" i="21"/>
  <c r="L60" i="21"/>
  <c r="J41" i="21"/>
  <c r="K41" i="21"/>
  <c r="L41" i="21"/>
  <c r="K30" i="21"/>
  <c r="L30" i="21"/>
  <c r="M30" i="21"/>
  <c r="K113" i="21"/>
  <c r="K101" i="21"/>
  <c r="K95" i="21"/>
  <c r="M93" i="21"/>
  <c r="L39" i="21"/>
  <c r="M39" i="21"/>
  <c r="K21" i="21"/>
  <c r="J21" i="21"/>
  <c r="L21" i="21"/>
  <c r="M21" i="21"/>
  <c r="M106" i="21"/>
  <c r="L93" i="21"/>
  <c r="M92" i="21"/>
  <c r="M80" i="21"/>
  <c r="M71" i="21"/>
  <c r="J56" i="21"/>
  <c r="M56" i="21"/>
  <c r="L106" i="21"/>
  <c r="K93" i="21"/>
  <c r="L92" i="21"/>
  <c r="L80" i="21"/>
  <c r="L71" i="21"/>
  <c r="M63" i="21"/>
  <c r="J43" i="21"/>
  <c r="K43" i="21"/>
  <c r="L43" i="21"/>
  <c r="J27" i="21"/>
  <c r="K27" i="21"/>
  <c r="L27" i="21"/>
  <c r="M27" i="21"/>
  <c r="K106" i="21"/>
  <c r="K36" i="21"/>
  <c r="L36" i="21"/>
  <c r="M36" i="21"/>
  <c r="M61" i="21"/>
  <c r="J24" i="21"/>
  <c r="K24" i="21"/>
  <c r="L24" i="21"/>
  <c r="M24" i="21"/>
  <c r="J63" i="21"/>
  <c r="K63" i="21"/>
  <c r="J46" i="21"/>
  <c r="K46" i="21"/>
  <c r="M46" i="21"/>
  <c r="K32" i="21"/>
  <c r="L32" i="21"/>
  <c r="M32" i="21"/>
  <c r="M28" i="21"/>
  <c r="M35" i="21"/>
  <c r="M31" i="21"/>
  <c r="K28" i="21"/>
  <c r="M25" i="21"/>
  <c r="L35" i="21"/>
  <c r="L31" i="21"/>
  <c r="L25" i="21"/>
  <c r="J25" i="21"/>
  <c r="J23" i="21"/>
  <c r="L23" i="21"/>
  <c r="K322" i="21"/>
  <c r="J322" i="21"/>
  <c r="L322" i="21"/>
  <c r="M322" i="21"/>
  <c r="K329" i="21"/>
  <c r="L329" i="21"/>
  <c r="M329" i="21"/>
  <c r="J329" i="21"/>
  <c r="K328" i="21"/>
  <c r="J328" i="21"/>
  <c r="L328" i="21"/>
  <c r="M328" i="21"/>
  <c r="K331" i="21"/>
  <c r="L331" i="21"/>
  <c r="J331" i="21"/>
  <c r="M331" i="21"/>
  <c r="K325" i="21"/>
  <c r="L325" i="21"/>
  <c r="J325" i="21"/>
  <c r="M325" i="21"/>
  <c r="M326" i="21"/>
  <c r="J326" i="21"/>
  <c r="L326" i="21"/>
  <c r="K330" i="21"/>
  <c r="J330" i="21"/>
  <c r="L330" i="21"/>
  <c r="K321" i="21"/>
  <c r="L321" i="21"/>
  <c r="J321" i="21"/>
  <c r="K323" i="21"/>
  <c r="J323" i="21"/>
  <c r="M323" i="21"/>
  <c r="J327" i="21"/>
  <c r="K327" i="21"/>
  <c r="M327" i="21"/>
  <c r="K324" i="21"/>
  <c r="M324" i="21"/>
  <c r="M319" i="21"/>
  <c r="L319" i="21"/>
  <c r="J319" i="21"/>
  <c r="K319" i="21"/>
  <c r="K316" i="21"/>
  <c r="J317" i="21"/>
  <c r="L306" i="21"/>
  <c r="J306" i="21"/>
  <c r="M310" i="21"/>
  <c r="K310" i="21"/>
  <c r="L310" i="21"/>
  <c r="J310" i="21"/>
  <c r="J307" i="21"/>
  <c r="L307" i="21"/>
  <c r="M307" i="21"/>
  <c r="K307" i="21"/>
  <c r="K295" i="21"/>
  <c r="L295" i="21"/>
  <c r="K297" i="21"/>
  <c r="J297" i="21"/>
  <c r="L297" i="21"/>
  <c r="M297" i="21"/>
  <c r="L309" i="21"/>
  <c r="M309" i="21"/>
  <c r="L301" i="21"/>
  <c r="J301" i="21"/>
  <c r="K301" i="21"/>
  <c r="L298" i="21"/>
  <c r="J298" i="21"/>
  <c r="M295" i="21"/>
  <c r="J295" i="21"/>
  <c r="L294" i="21"/>
  <c r="M294" i="21"/>
  <c r="J292" i="21"/>
  <c r="K292" i="21"/>
  <c r="K290" i="21"/>
  <c r="J290" i="21"/>
  <c r="L290" i="21"/>
  <c r="L285" i="21"/>
  <c r="M285" i="21"/>
  <c r="J284" i="21"/>
  <c r="M284" i="21"/>
  <c r="K283" i="21"/>
  <c r="L283" i="21"/>
  <c r="M308" i="21"/>
  <c r="J308" i="21"/>
  <c r="J293" i="21"/>
  <c r="M293" i="21"/>
  <c r="K280" i="21"/>
  <c r="L280" i="21"/>
  <c r="J274" i="21"/>
  <c r="K274" i="21"/>
  <c r="L274" i="21"/>
  <c r="J273" i="21"/>
  <c r="K273" i="21"/>
  <c r="M273" i="21"/>
  <c r="K272" i="21"/>
  <c r="L272" i="21"/>
  <c r="K268" i="21"/>
  <c r="M268" i="21"/>
  <c r="J264" i="21"/>
  <c r="K264" i="21"/>
  <c r="J261" i="21"/>
  <c r="K261" i="21"/>
  <c r="L261" i="21"/>
  <c r="J260" i="21"/>
  <c r="K260" i="21"/>
  <c r="M260" i="21"/>
  <c r="K257" i="21"/>
  <c r="L257" i="21"/>
  <c r="K255" i="21"/>
  <c r="L255" i="21"/>
  <c r="M255" i="21"/>
  <c r="K253" i="21"/>
  <c r="L253" i="21"/>
  <c r="J252" i="21"/>
  <c r="L252" i="21"/>
  <c r="M252" i="21"/>
  <c r="K251" i="21"/>
  <c r="M251" i="21"/>
  <c r="J248" i="21"/>
  <c r="L248" i="21"/>
  <c r="J244" i="21"/>
  <c r="K244" i="21"/>
  <c r="M244" i="21"/>
  <c r="J243" i="21"/>
  <c r="L243" i="21"/>
  <c r="M243" i="21"/>
  <c r="J242" i="21"/>
  <c r="K242" i="21"/>
  <c r="L242" i="21"/>
  <c r="M242" i="21"/>
  <c r="K241" i="21"/>
  <c r="L241" i="21"/>
  <c r="K239" i="21"/>
  <c r="M239" i="21"/>
  <c r="J236" i="21"/>
  <c r="K236" i="21"/>
  <c r="J234" i="21"/>
  <c r="K234" i="21"/>
  <c r="L234" i="21"/>
  <c r="J233" i="21"/>
  <c r="K233" i="21"/>
  <c r="L233" i="21"/>
  <c r="M233" i="21"/>
  <c r="J232" i="21"/>
  <c r="K232" i="21"/>
  <c r="L232" i="21"/>
  <c r="M232" i="21"/>
  <c r="K231" i="21"/>
  <c r="L231" i="21"/>
  <c r="J227" i="21"/>
  <c r="K227" i="21"/>
  <c r="L227" i="21"/>
  <c r="M227" i="21"/>
  <c r="J224" i="21"/>
  <c r="K224" i="21"/>
  <c r="L224" i="21"/>
  <c r="M224" i="21"/>
  <c r="J222" i="21"/>
  <c r="K222" i="21"/>
  <c r="J220" i="21"/>
  <c r="K220" i="21"/>
  <c r="L220" i="21"/>
  <c r="J217" i="21"/>
  <c r="K217" i="21"/>
  <c r="L217" i="21"/>
  <c r="M217" i="21"/>
  <c r="J216" i="21"/>
  <c r="K216" i="21"/>
  <c r="L216" i="21"/>
  <c r="M216" i="21"/>
  <c r="J215" i="21"/>
  <c r="K215" i="21"/>
  <c r="L215" i="21"/>
  <c r="M215" i="21"/>
  <c r="J206" i="21"/>
  <c r="K206" i="21"/>
  <c r="L206" i="21"/>
  <c r="M206" i="21"/>
  <c r="J205" i="21"/>
  <c r="K205" i="21"/>
  <c r="L205" i="21"/>
  <c r="M205" i="21"/>
  <c r="J193" i="21"/>
  <c r="K193" i="21"/>
  <c r="L193" i="21"/>
  <c r="M193" i="21"/>
  <c r="J184" i="21"/>
  <c r="K184" i="21"/>
  <c r="L184" i="21"/>
  <c r="M184" i="21"/>
  <c r="J182" i="21"/>
  <c r="K182" i="21"/>
  <c r="L182" i="21"/>
  <c r="M182" i="21"/>
  <c r="J247" i="21"/>
  <c r="L245" i="21"/>
  <c r="K245" i="21"/>
  <c r="K17" i="21"/>
  <c r="M17" i="21"/>
  <c r="J17" i="21"/>
  <c r="M18" i="21"/>
  <c r="L18" i="21"/>
  <c r="J16" i="21"/>
  <c r="K16" i="21"/>
  <c r="L16" i="21"/>
  <c r="M16" i="21"/>
  <c r="J12" i="21"/>
  <c r="K12" i="21"/>
  <c r="L12" i="21"/>
  <c r="M12" i="21"/>
  <c r="J13" i="21"/>
  <c r="K13" i="21"/>
  <c r="L13" i="21"/>
  <c r="M13" i="21"/>
  <c r="J15" i="21"/>
  <c r="K15" i="21"/>
  <c r="L15" i="21"/>
  <c r="M15" i="21"/>
  <c r="L11" i="21"/>
  <c r="M11" i="21"/>
  <c r="J11" i="21"/>
  <c r="K11" i="21"/>
  <c r="J19" i="21"/>
  <c r="K19" i="21"/>
  <c r="L19" i="21"/>
  <c r="M19" i="21"/>
  <c r="J20" i="21"/>
  <c r="K20" i="21"/>
  <c r="L20" i="21"/>
  <c r="M20" i="21"/>
  <c r="J14" i="21"/>
  <c r="K14" i="21"/>
  <c r="L14" i="21"/>
  <c r="M14" i="21"/>
  <c r="J10" i="21"/>
  <c r="K10" i="21"/>
  <c r="L10" i="21"/>
  <c r="M10" i="21"/>
  <c r="K18" i="21"/>
  <c r="L17" i="21"/>
  <c r="J5" i="21"/>
  <c r="L5" i="21"/>
  <c r="M5" i="21"/>
  <c r="J6" i="21"/>
  <c r="K6" i="21"/>
  <c r="L6" i="21"/>
  <c r="M6" i="21"/>
  <c r="J7" i="21"/>
  <c r="K7" i="21"/>
  <c r="L7" i="21"/>
  <c r="M7" i="21"/>
  <c r="J9" i="21"/>
  <c r="K9" i="21"/>
  <c r="L9" i="21"/>
  <c r="M9" i="21"/>
  <c r="K4" i="21"/>
  <c r="L4" i="21"/>
  <c r="M4" i="21"/>
  <c r="J4" i="21"/>
  <c r="K5" i="21"/>
  <c r="L335" i="21"/>
  <c r="K335" i="21"/>
  <c r="J335" i="21"/>
  <c r="J339" i="21"/>
  <c r="K339" i="21"/>
  <c r="L339" i="21"/>
  <c r="M339" i="21"/>
  <c r="J336" i="21"/>
  <c r="K336" i="21"/>
  <c r="L336" i="21"/>
  <c r="M336" i="21"/>
  <c r="M335" i="21"/>
  <c r="AB111" i="1" l="1"/>
  <c r="AC111" i="1"/>
  <c r="AD111" i="1" a="1"/>
  <c r="AD111" i="1" s="1"/>
  <c r="AF111" i="1"/>
  <c r="AE111" i="1"/>
  <c r="BJ111" i="1"/>
  <c r="BH111" i="1"/>
  <c r="BI111" i="1"/>
  <c r="AB128" i="1"/>
  <c r="AC128" i="1"/>
  <c r="AD128" i="1" a="1"/>
  <c r="AD128" i="1" s="1"/>
  <c r="AE128" i="1"/>
  <c r="AF128" i="1"/>
  <c r="BJ128" i="1"/>
  <c r="BH128" i="1"/>
  <c r="BI128" i="1"/>
  <c r="AC241" i="1"/>
  <c r="AB241" i="1"/>
  <c r="AD241" i="1" a="1"/>
  <c r="AD241" i="1" s="1"/>
  <c r="AE241" i="1"/>
  <c r="AF241" i="1"/>
  <c r="BH241" i="1"/>
  <c r="BI241" i="1"/>
  <c r="BJ241" i="1"/>
  <c r="AB25" i="1"/>
  <c r="AC25" i="1"/>
  <c r="AD25" i="1" a="1"/>
  <c r="AD25" i="1" s="1"/>
  <c r="AE25" i="1"/>
  <c r="AF25" i="1"/>
  <c r="BH25" i="1"/>
  <c r="BI25" i="1"/>
  <c r="BJ25" i="1"/>
  <c r="AB178" i="1"/>
  <c r="AC178" i="1"/>
  <c r="AD178" i="1" a="1"/>
  <c r="AD178" i="1" s="1"/>
  <c r="AF178" i="1"/>
  <c r="AE178" i="1"/>
  <c r="BI178" i="1"/>
  <c r="BJ178" i="1"/>
  <c r="BH178" i="1"/>
  <c r="AB308" i="1"/>
  <c r="AC308" i="1"/>
  <c r="AD308" i="1" a="1"/>
  <c r="AD308" i="1" s="1"/>
  <c r="AE308" i="1"/>
  <c r="AF308" i="1"/>
  <c r="BJ308" i="1"/>
  <c r="BH308" i="1"/>
  <c r="BI308" i="1"/>
  <c r="AC205" i="1"/>
  <c r="AB205" i="1"/>
  <c r="AD205" i="1" a="1"/>
  <c r="AD205" i="1" s="1"/>
  <c r="AE205" i="1"/>
  <c r="AF205" i="1"/>
  <c r="BH205" i="1"/>
  <c r="BI205" i="1"/>
  <c r="BJ205" i="1"/>
  <c r="AB305" i="1"/>
  <c r="AC305" i="1"/>
  <c r="AD305" i="1" a="1"/>
  <c r="AD305" i="1" s="1"/>
  <c r="AE305" i="1"/>
  <c r="AF305" i="1"/>
  <c r="BI305" i="1"/>
  <c r="BJ305" i="1"/>
  <c r="BH305" i="1"/>
  <c r="AC303" i="1"/>
  <c r="AB303" i="1"/>
  <c r="AD303" i="1" a="1"/>
  <c r="AD303" i="1" s="1"/>
  <c r="AF303" i="1"/>
  <c r="AE303" i="1"/>
  <c r="BJ303" i="1"/>
  <c r="BH303" i="1"/>
  <c r="BI303" i="1"/>
  <c r="AB272" i="1"/>
  <c r="AC272" i="1"/>
  <c r="AD272" i="1" a="1"/>
  <c r="AD272" i="1" s="1"/>
  <c r="AE272" i="1"/>
  <c r="AF272" i="1"/>
  <c r="BJ272" i="1"/>
  <c r="BH272" i="1"/>
  <c r="BI272" i="1"/>
  <c r="AB56" i="1"/>
  <c r="AC56" i="1"/>
  <c r="AD56" i="1" a="1"/>
  <c r="AD56" i="1" s="1"/>
  <c r="AE56" i="1"/>
  <c r="AF56" i="1"/>
  <c r="BJ56" i="1"/>
  <c r="BH56" i="1"/>
  <c r="BI56" i="1"/>
  <c r="AB169" i="1"/>
  <c r="AC169" i="1"/>
  <c r="AD169" i="1" a="1"/>
  <c r="AD169" i="1" s="1"/>
  <c r="AE169" i="1"/>
  <c r="AF169" i="1"/>
  <c r="BH169" i="1"/>
  <c r="BI169" i="1"/>
  <c r="BJ169" i="1"/>
  <c r="AB192" i="1"/>
  <c r="AC192" i="1"/>
  <c r="AD192" i="1" a="1"/>
  <c r="AD192" i="1" s="1"/>
  <c r="AE192" i="1"/>
  <c r="AF192" i="1"/>
  <c r="BH192" i="1"/>
  <c r="BI192" i="1"/>
  <c r="BJ192" i="1"/>
  <c r="AB269" i="1"/>
  <c r="AC269" i="1"/>
  <c r="AD269" i="1" a="1"/>
  <c r="AD269" i="1" s="1"/>
  <c r="AE269" i="1"/>
  <c r="AF269" i="1"/>
  <c r="BI269" i="1"/>
  <c r="BJ269" i="1"/>
  <c r="BH269" i="1"/>
  <c r="AB53" i="1"/>
  <c r="AC53" i="1"/>
  <c r="AD53" i="1" a="1"/>
  <c r="AD53" i="1" s="1"/>
  <c r="AE53" i="1"/>
  <c r="AF53" i="1"/>
  <c r="BI53" i="1"/>
  <c r="BJ53" i="1"/>
  <c r="BH53" i="1"/>
  <c r="AB106" i="1"/>
  <c r="AC106" i="1"/>
  <c r="AD106" i="1" a="1"/>
  <c r="AD106" i="1" s="1"/>
  <c r="AF106" i="1"/>
  <c r="AE106" i="1"/>
  <c r="BI106" i="1"/>
  <c r="BJ106" i="1"/>
  <c r="BH106" i="1"/>
  <c r="AB341" i="1"/>
  <c r="AC341" i="1"/>
  <c r="AE341" i="1"/>
  <c r="AF341" i="1"/>
  <c r="AD341" i="1" a="1"/>
  <c r="AD341" i="1" s="1"/>
  <c r="BI341" i="1"/>
  <c r="BJ341" i="1"/>
  <c r="BH341" i="1"/>
  <c r="AB92" i="1"/>
  <c r="AC92" i="1"/>
  <c r="AD92" i="1" a="1"/>
  <c r="AD92" i="1" s="1"/>
  <c r="AE92" i="1"/>
  <c r="AF92" i="1"/>
  <c r="BJ92" i="1"/>
  <c r="BH92" i="1"/>
  <c r="BI92" i="1"/>
  <c r="AB228" i="1"/>
  <c r="AC228" i="1"/>
  <c r="AD228" i="1" a="1"/>
  <c r="AD228" i="1" s="1"/>
  <c r="AE228" i="1"/>
  <c r="AF228" i="1"/>
  <c r="BH228" i="1"/>
  <c r="BI228" i="1"/>
  <c r="BJ228" i="1"/>
  <c r="AB89" i="1"/>
  <c r="AC89" i="1"/>
  <c r="AD89" i="1" a="1"/>
  <c r="AD89" i="1" s="1"/>
  <c r="AE89" i="1"/>
  <c r="AF89" i="1"/>
  <c r="BI89" i="1"/>
  <c r="BJ89" i="1"/>
  <c r="BH89" i="1"/>
  <c r="L262" i="1"/>
  <c r="AV262" i="1" s="1"/>
  <c r="BB262" i="4" s="1"/>
  <c r="BC262" i="4" s="1"/>
  <c r="L46" i="1"/>
  <c r="AV46" i="1" s="1"/>
  <c r="BB46" i="4" s="1"/>
  <c r="BC46" i="4" s="1"/>
  <c r="AC213" i="1"/>
  <c r="AB213" i="1"/>
  <c r="AD213" i="1" a="1"/>
  <c r="AD213" i="1" s="1"/>
  <c r="AF213" i="1"/>
  <c r="AE213" i="1"/>
  <c r="BJ213" i="1"/>
  <c r="BH213" i="1"/>
  <c r="BI213" i="1"/>
  <c r="AB236" i="1"/>
  <c r="AC236" i="1"/>
  <c r="AD236" i="1" a="1"/>
  <c r="AD236" i="1" s="1"/>
  <c r="AE236" i="1"/>
  <c r="AF236" i="1"/>
  <c r="BJ236" i="1"/>
  <c r="BH236" i="1"/>
  <c r="BI236" i="1"/>
  <c r="AB20" i="1"/>
  <c r="AC20" i="1"/>
  <c r="AD20" i="1" a="1"/>
  <c r="AD20" i="1" s="1"/>
  <c r="AE20" i="1"/>
  <c r="AF20" i="1"/>
  <c r="BJ20" i="1"/>
  <c r="BH20" i="1"/>
  <c r="BI20" i="1"/>
  <c r="AB133" i="1"/>
  <c r="AC133" i="1"/>
  <c r="AD133" i="1" a="1"/>
  <c r="AD133" i="1" s="1"/>
  <c r="AE133" i="1"/>
  <c r="AF133" i="1"/>
  <c r="BH133" i="1"/>
  <c r="BI133" i="1"/>
  <c r="BJ133" i="1"/>
  <c r="AB156" i="1"/>
  <c r="AC156" i="1"/>
  <c r="AD156" i="1" a="1"/>
  <c r="AD156" i="1" s="1"/>
  <c r="AE156" i="1"/>
  <c r="AF156" i="1"/>
  <c r="BH156" i="1"/>
  <c r="BI156" i="1"/>
  <c r="BJ156" i="1"/>
  <c r="AB233" i="1"/>
  <c r="AC233" i="1"/>
  <c r="AD233" i="1" a="1"/>
  <c r="AD233" i="1" s="1"/>
  <c r="AE233" i="1"/>
  <c r="AF233" i="1"/>
  <c r="BI233" i="1"/>
  <c r="BJ233" i="1"/>
  <c r="BH233" i="1"/>
  <c r="AB17" i="1"/>
  <c r="AC17" i="1"/>
  <c r="AD17" i="1" a="1"/>
  <c r="AD17" i="1" s="1"/>
  <c r="AE17" i="1"/>
  <c r="AF17" i="1"/>
  <c r="BI17" i="1"/>
  <c r="BJ17" i="1"/>
  <c r="BH17" i="1"/>
  <c r="AB70" i="1"/>
  <c r="AC70" i="1"/>
  <c r="AD70" i="1" a="1"/>
  <c r="AD70" i="1" s="1"/>
  <c r="AF70" i="1"/>
  <c r="AE70" i="1"/>
  <c r="BI70" i="1"/>
  <c r="BJ70" i="1"/>
  <c r="BH70" i="1"/>
  <c r="AB63" i="1"/>
  <c r="AC63" i="1"/>
  <c r="AD63" i="1" a="1"/>
  <c r="AD63" i="1" s="1"/>
  <c r="AF63" i="1"/>
  <c r="AE63" i="1"/>
  <c r="BJ63" i="1"/>
  <c r="BH63" i="1"/>
  <c r="BI63" i="1"/>
  <c r="AC246" i="1"/>
  <c r="AB246" i="1"/>
  <c r="AD246" i="1" a="1"/>
  <c r="AD246" i="1" s="1"/>
  <c r="AE246" i="1"/>
  <c r="AF246" i="1"/>
  <c r="BH246" i="1"/>
  <c r="BI246" i="1"/>
  <c r="BJ246" i="1"/>
  <c r="AB48" i="1"/>
  <c r="AC48" i="1"/>
  <c r="AD48" i="1" a="1"/>
  <c r="AD48" i="1" s="1"/>
  <c r="AE48" i="1"/>
  <c r="AF48" i="1"/>
  <c r="BH48" i="1"/>
  <c r="BI48" i="1"/>
  <c r="BJ48" i="1"/>
  <c r="AB12" i="1"/>
  <c r="AC12" i="1"/>
  <c r="AD12" i="1" a="1"/>
  <c r="AD12" i="1" s="1"/>
  <c r="AE12" i="1"/>
  <c r="AF12" i="1"/>
  <c r="BH12" i="1"/>
  <c r="BI12" i="1"/>
  <c r="BJ12" i="1"/>
  <c r="L289" i="1"/>
  <c r="AV289" i="1" s="1"/>
  <c r="BB289" i="4" s="1"/>
  <c r="BC289" i="4" s="1"/>
  <c r="AC324" i="1"/>
  <c r="AB324" i="1"/>
  <c r="AE324" i="1"/>
  <c r="AD324" i="1" a="1"/>
  <c r="AD324" i="1" s="1"/>
  <c r="AF324" i="1"/>
  <c r="BH324" i="1"/>
  <c r="BI324" i="1"/>
  <c r="BJ324" i="1"/>
  <c r="AC321" i="1"/>
  <c r="AB321" i="1"/>
  <c r="AD321" i="1" a="1"/>
  <c r="AD321" i="1" s="1"/>
  <c r="AF321" i="1"/>
  <c r="AE321" i="1"/>
  <c r="BJ321" i="1"/>
  <c r="BH321" i="1"/>
  <c r="BI321" i="1"/>
  <c r="AB200" i="1"/>
  <c r="AC200" i="1"/>
  <c r="AD200" i="1" a="1"/>
  <c r="AD200" i="1" s="1"/>
  <c r="AE200" i="1"/>
  <c r="AF200" i="1"/>
  <c r="BJ200" i="1"/>
  <c r="BH200" i="1"/>
  <c r="BI200" i="1"/>
  <c r="AC313" i="1"/>
  <c r="AB313" i="1"/>
  <c r="AD313" i="1" a="1"/>
  <c r="AD313" i="1" s="1"/>
  <c r="AE313" i="1"/>
  <c r="AF313" i="1"/>
  <c r="BH313" i="1"/>
  <c r="BI313" i="1"/>
  <c r="BJ313" i="1"/>
  <c r="AB97" i="1"/>
  <c r="AC97" i="1"/>
  <c r="AD97" i="1" a="1"/>
  <c r="AD97" i="1" s="1"/>
  <c r="AE97" i="1"/>
  <c r="AF97" i="1"/>
  <c r="BH97" i="1"/>
  <c r="BI97" i="1"/>
  <c r="BJ97" i="1"/>
  <c r="AB120" i="1"/>
  <c r="AC120" i="1"/>
  <c r="AD120" i="1" a="1"/>
  <c r="AD120" i="1" s="1"/>
  <c r="AE120" i="1"/>
  <c r="AF120" i="1"/>
  <c r="BH120" i="1"/>
  <c r="BI120" i="1"/>
  <c r="BJ120" i="1"/>
  <c r="AC197" i="1"/>
  <c r="AB197" i="1"/>
  <c r="AD197" i="1" a="1"/>
  <c r="AD197" i="1" s="1"/>
  <c r="AE197" i="1"/>
  <c r="AF197" i="1"/>
  <c r="BI197" i="1"/>
  <c r="BJ197" i="1"/>
  <c r="BH197" i="1"/>
  <c r="AB34" i="1"/>
  <c r="AC34" i="1"/>
  <c r="AD34" i="1" a="1"/>
  <c r="AD34" i="1" s="1"/>
  <c r="AF34" i="1"/>
  <c r="AE34" i="1"/>
  <c r="BI34" i="1"/>
  <c r="BJ34" i="1"/>
  <c r="BH34" i="1"/>
  <c r="L300" i="1"/>
  <c r="AV300" i="1" s="1"/>
  <c r="BB300" i="4" s="1"/>
  <c r="BC300" i="4" s="1"/>
  <c r="AB51" i="1"/>
  <c r="AC51" i="1"/>
  <c r="AD51" i="1" a="1"/>
  <c r="AD51" i="1" s="1"/>
  <c r="AF51" i="1"/>
  <c r="AE51" i="1"/>
  <c r="BJ51" i="1"/>
  <c r="BH51" i="1"/>
  <c r="BI51" i="1"/>
  <c r="AB125" i="1"/>
  <c r="AC125" i="1"/>
  <c r="AD125" i="1" a="1"/>
  <c r="AD125" i="1" s="1"/>
  <c r="AE125" i="1"/>
  <c r="AF125" i="1"/>
  <c r="BI125" i="1"/>
  <c r="BJ125" i="1"/>
  <c r="BH125" i="1"/>
  <c r="AB219" i="1"/>
  <c r="AC219" i="1"/>
  <c r="AF219" i="1"/>
  <c r="AD219" i="1" a="1"/>
  <c r="AD219" i="1" s="1"/>
  <c r="AE219" i="1"/>
  <c r="BJ219" i="1"/>
  <c r="BH219" i="1"/>
  <c r="BI219" i="1"/>
  <c r="AB129" i="1"/>
  <c r="AC129" i="1"/>
  <c r="AD129" i="1" a="1"/>
  <c r="AD129" i="1" s="1"/>
  <c r="AF129" i="1"/>
  <c r="AE129" i="1"/>
  <c r="BJ129" i="1"/>
  <c r="BH129" i="1"/>
  <c r="BI129" i="1"/>
  <c r="AB45" i="1"/>
  <c r="AC45" i="1"/>
  <c r="AD45" i="1" a="1"/>
  <c r="AD45" i="1" s="1"/>
  <c r="AF45" i="1"/>
  <c r="AE45" i="1"/>
  <c r="BJ45" i="1"/>
  <c r="BH45" i="1"/>
  <c r="BI45" i="1"/>
  <c r="AB142" i="1"/>
  <c r="AC142" i="1"/>
  <c r="AD142" i="1" a="1"/>
  <c r="AD142" i="1" s="1"/>
  <c r="AF142" i="1"/>
  <c r="AE142" i="1"/>
  <c r="BI142" i="1"/>
  <c r="BJ142" i="1"/>
  <c r="BH142" i="1"/>
  <c r="AB340" i="1"/>
  <c r="AC340" i="1"/>
  <c r="AD340" i="1" a="1"/>
  <c r="AD340" i="1" s="1"/>
  <c r="AE340" i="1"/>
  <c r="AF340" i="1"/>
  <c r="BI340" i="1"/>
  <c r="BJ340" i="1"/>
  <c r="BH340" i="1"/>
  <c r="AC252" i="1"/>
  <c r="AB252" i="1"/>
  <c r="AD252" i="1" a="1"/>
  <c r="AD252" i="1" s="1"/>
  <c r="AE252" i="1"/>
  <c r="AF252" i="1"/>
  <c r="BH252" i="1"/>
  <c r="BI252" i="1"/>
  <c r="BJ252" i="1"/>
  <c r="AC249" i="1"/>
  <c r="AB249" i="1"/>
  <c r="AD249" i="1" a="1"/>
  <c r="AD249" i="1" s="1"/>
  <c r="AF249" i="1"/>
  <c r="AE249" i="1"/>
  <c r="BJ249" i="1"/>
  <c r="BH249" i="1"/>
  <c r="BI249" i="1"/>
  <c r="AC318" i="1"/>
  <c r="AD318" i="1" a="1"/>
  <c r="AD318" i="1" s="1"/>
  <c r="AB318" i="1"/>
  <c r="AE318" i="1"/>
  <c r="AF318" i="1"/>
  <c r="BH318" i="1"/>
  <c r="BI318" i="1"/>
  <c r="BJ318" i="1"/>
  <c r="AB164" i="1"/>
  <c r="AC164" i="1"/>
  <c r="AD164" i="1" a="1"/>
  <c r="AD164" i="1" s="1"/>
  <c r="AE164" i="1"/>
  <c r="AF164" i="1"/>
  <c r="BJ164" i="1"/>
  <c r="BH164" i="1"/>
  <c r="BI164" i="1"/>
  <c r="AC277" i="1"/>
  <c r="AB277" i="1"/>
  <c r="AD277" i="1" a="1"/>
  <c r="AD277" i="1" s="1"/>
  <c r="AE277" i="1"/>
  <c r="AF277" i="1"/>
  <c r="BH277" i="1"/>
  <c r="BI277" i="1"/>
  <c r="BJ277" i="1"/>
  <c r="AB61" i="1"/>
  <c r="AC61" i="1"/>
  <c r="AD61" i="1" a="1"/>
  <c r="AD61" i="1" s="1"/>
  <c r="AE61" i="1"/>
  <c r="AF61" i="1"/>
  <c r="BH61" i="1"/>
  <c r="BI61" i="1"/>
  <c r="BJ61" i="1"/>
  <c r="AB84" i="1"/>
  <c r="AC84" i="1"/>
  <c r="AD84" i="1" a="1"/>
  <c r="AD84" i="1" s="1"/>
  <c r="AE84" i="1"/>
  <c r="AF84" i="1"/>
  <c r="BH84" i="1"/>
  <c r="BI84" i="1"/>
  <c r="BJ84" i="1"/>
  <c r="AB161" i="1"/>
  <c r="AC161" i="1"/>
  <c r="AD161" i="1" a="1"/>
  <c r="AD161" i="1" s="1"/>
  <c r="AE161" i="1"/>
  <c r="AF161" i="1"/>
  <c r="BI161" i="1"/>
  <c r="BJ161" i="1"/>
  <c r="BH161" i="1"/>
  <c r="AB214" i="1"/>
  <c r="AC214" i="1"/>
  <c r="AD214" i="1" a="1"/>
  <c r="AD214" i="1" s="1"/>
  <c r="AF214" i="1"/>
  <c r="AE214" i="1"/>
  <c r="BI214" i="1"/>
  <c r="BJ214" i="1"/>
  <c r="BH214" i="1"/>
  <c r="L306" i="1"/>
  <c r="L175" i="1"/>
  <c r="AV175" i="1" s="1"/>
  <c r="BB175" i="4" s="1"/>
  <c r="BC175" i="4" s="1"/>
  <c r="AD304" i="1" a="1"/>
  <c r="AD304" i="1" s="1"/>
  <c r="AB304" i="1"/>
  <c r="AC304" i="1"/>
  <c r="AE304" i="1"/>
  <c r="AF304" i="1"/>
  <c r="BI304" i="1"/>
  <c r="BJ304" i="1"/>
  <c r="BH304" i="1"/>
  <c r="AB322" i="1"/>
  <c r="AC322" i="1"/>
  <c r="AD322" i="1" a="1"/>
  <c r="AD322" i="1" s="1"/>
  <c r="AF322" i="1"/>
  <c r="AE322" i="1"/>
  <c r="BI322" i="1"/>
  <c r="BJ322" i="1"/>
  <c r="BH322" i="1"/>
  <c r="AC291" i="1"/>
  <c r="AB291" i="1"/>
  <c r="AD291" i="1" a="1"/>
  <c r="AD291" i="1" s="1"/>
  <c r="AF291" i="1"/>
  <c r="AE291" i="1"/>
  <c r="BJ291" i="1"/>
  <c r="BH291" i="1"/>
  <c r="BI291" i="1"/>
  <c r="AC177" i="1"/>
  <c r="AB177" i="1"/>
  <c r="AD177" i="1" a="1"/>
  <c r="AD177" i="1" s="1"/>
  <c r="AF177" i="1"/>
  <c r="AE177" i="1"/>
  <c r="BJ177" i="1"/>
  <c r="BH177" i="1"/>
  <c r="BI177" i="1"/>
  <c r="AC312" i="1"/>
  <c r="AD312" i="1" a="1"/>
  <c r="AD312" i="1" s="1"/>
  <c r="AB312" i="1"/>
  <c r="AE312" i="1"/>
  <c r="AF312" i="1"/>
  <c r="BH312" i="1"/>
  <c r="BI312" i="1"/>
  <c r="BJ312" i="1"/>
  <c r="AB238" i="1"/>
  <c r="AC238" i="1"/>
  <c r="AD238" i="1" a="1"/>
  <c r="AD238" i="1" s="1"/>
  <c r="AF238" i="1"/>
  <c r="AE238" i="1"/>
  <c r="BI238" i="1"/>
  <c r="BJ238" i="1"/>
  <c r="BH238" i="1"/>
  <c r="AB27" i="1"/>
  <c r="AC27" i="1"/>
  <c r="AD27" i="1" a="1"/>
  <c r="AD27" i="1" s="1"/>
  <c r="AF27" i="1"/>
  <c r="AE27" i="1"/>
  <c r="BJ27" i="1"/>
  <c r="BH27" i="1"/>
  <c r="BI27" i="1"/>
  <c r="AB93" i="1"/>
  <c r="AC93" i="1"/>
  <c r="AD93" i="1" a="1"/>
  <c r="AD93" i="1" s="1"/>
  <c r="AF93" i="1"/>
  <c r="AE93" i="1"/>
  <c r="BJ93" i="1"/>
  <c r="BH93" i="1"/>
  <c r="BI93" i="1"/>
  <c r="AC309" i="1"/>
  <c r="AB309" i="1"/>
  <c r="AD309" i="1" a="1"/>
  <c r="AD309" i="1" s="1"/>
  <c r="AF309" i="1"/>
  <c r="AE309" i="1"/>
  <c r="BJ309" i="1"/>
  <c r="BH309" i="1"/>
  <c r="BI309" i="1"/>
  <c r="AB231" i="1"/>
  <c r="AC231" i="1"/>
  <c r="AD231" i="1" a="1"/>
  <c r="AD231" i="1" s="1"/>
  <c r="AF231" i="1"/>
  <c r="AE231" i="1"/>
  <c r="BJ231" i="1"/>
  <c r="BH231" i="1"/>
  <c r="BI231" i="1"/>
  <c r="AB15" i="1"/>
  <c r="AC15" i="1"/>
  <c r="AD15" i="1" a="1"/>
  <c r="AD15" i="1" s="1"/>
  <c r="AF15" i="1"/>
  <c r="AE15" i="1"/>
  <c r="BJ15" i="1"/>
  <c r="BH15" i="1"/>
  <c r="BI15" i="1"/>
  <c r="AC306" i="1"/>
  <c r="AD306" i="1" a="1"/>
  <c r="AD306" i="1" s="1"/>
  <c r="AB306" i="1"/>
  <c r="AE306" i="1"/>
  <c r="AF306" i="1"/>
  <c r="BH306" i="1"/>
  <c r="BI306" i="1"/>
  <c r="BJ306" i="1"/>
  <c r="AC225" i="1"/>
  <c r="AB225" i="1"/>
  <c r="AF225" i="1"/>
  <c r="AD225" i="1" a="1"/>
  <c r="AD225" i="1" s="1"/>
  <c r="AE225" i="1"/>
  <c r="BJ225" i="1"/>
  <c r="BH225" i="1"/>
  <c r="BI225" i="1"/>
  <c r="AB9" i="1"/>
  <c r="AC9" i="1"/>
  <c r="AD9" i="1" a="1"/>
  <c r="AD9" i="1" s="1"/>
  <c r="AF9" i="1"/>
  <c r="AE9" i="1"/>
  <c r="BJ9" i="1"/>
  <c r="BH9" i="1"/>
  <c r="BI9" i="1"/>
  <c r="AB338" i="1"/>
  <c r="AC338" i="1"/>
  <c r="AF338" i="1"/>
  <c r="AD338" i="1" a="1"/>
  <c r="AD338" i="1" s="1"/>
  <c r="AE338" i="1"/>
  <c r="BJ338" i="1"/>
  <c r="BH338" i="1"/>
  <c r="BI338" i="1"/>
  <c r="AB302" i="1"/>
  <c r="AC302" i="1"/>
  <c r="AD302" i="1" a="1"/>
  <c r="AD302" i="1" s="1"/>
  <c r="AF302" i="1"/>
  <c r="AE302" i="1"/>
  <c r="BJ302" i="1"/>
  <c r="BH302" i="1"/>
  <c r="BI302" i="1"/>
  <c r="AB266" i="1"/>
  <c r="AD266" i="1" a="1"/>
  <c r="AD266" i="1" s="1"/>
  <c r="AC266" i="1"/>
  <c r="AF266" i="1"/>
  <c r="AE266" i="1"/>
  <c r="BJ266" i="1"/>
  <c r="BH266" i="1"/>
  <c r="BI266" i="1"/>
  <c r="AB230" i="1"/>
  <c r="AD230" i="1" a="1"/>
  <c r="AD230" i="1" s="1"/>
  <c r="AC230" i="1"/>
  <c r="AF230" i="1"/>
  <c r="AE230" i="1"/>
  <c r="BJ230" i="1"/>
  <c r="BH230" i="1"/>
  <c r="BI230" i="1"/>
  <c r="AB194" i="1"/>
  <c r="AD194" i="1" a="1"/>
  <c r="AD194" i="1" s="1"/>
  <c r="AC194" i="1"/>
  <c r="AF194" i="1"/>
  <c r="AE194" i="1"/>
  <c r="BJ194" i="1"/>
  <c r="BH194" i="1"/>
  <c r="BI194" i="1"/>
  <c r="AB158" i="1"/>
  <c r="AD158" i="1" a="1"/>
  <c r="AD158" i="1" s="1"/>
  <c r="AC158" i="1"/>
  <c r="AF158" i="1"/>
  <c r="AE158" i="1"/>
  <c r="BJ158" i="1"/>
  <c r="BH158" i="1"/>
  <c r="BI158" i="1"/>
  <c r="AB122" i="1"/>
  <c r="AD122" i="1" a="1"/>
  <c r="AD122" i="1" s="1"/>
  <c r="AC122" i="1"/>
  <c r="AF122" i="1"/>
  <c r="AE122" i="1"/>
  <c r="BJ122" i="1"/>
  <c r="BH122" i="1"/>
  <c r="BI122" i="1"/>
  <c r="AB86" i="1"/>
  <c r="AD86" i="1" a="1"/>
  <c r="AD86" i="1" s="1"/>
  <c r="AC86" i="1"/>
  <c r="AF86" i="1"/>
  <c r="AE86" i="1"/>
  <c r="BJ86" i="1"/>
  <c r="BH86" i="1"/>
  <c r="BI86" i="1"/>
  <c r="AB50" i="1"/>
  <c r="AD50" i="1" a="1"/>
  <c r="AD50" i="1" s="1"/>
  <c r="AC50" i="1"/>
  <c r="AF50" i="1"/>
  <c r="AE50" i="1"/>
  <c r="BJ50" i="1"/>
  <c r="BH50" i="1"/>
  <c r="BI50" i="1"/>
  <c r="AB14" i="1"/>
  <c r="AD14" i="1" a="1"/>
  <c r="AD14" i="1" s="1"/>
  <c r="AC14" i="1"/>
  <c r="AF14" i="1"/>
  <c r="AE14" i="1"/>
  <c r="BJ14" i="1"/>
  <c r="BH14" i="1"/>
  <c r="BI14" i="1"/>
  <c r="AC307" i="1"/>
  <c r="AB307" i="1"/>
  <c r="AD307" i="1" a="1"/>
  <c r="AD307" i="1" s="1"/>
  <c r="AE307" i="1"/>
  <c r="AF307" i="1"/>
  <c r="BH307" i="1"/>
  <c r="BI307" i="1"/>
  <c r="BJ307" i="1"/>
  <c r="AC271" i="1"/>
  <c r="AB271" i="1"/>
  <c r="AE271" i="1"/>
  <c r="AD271" i="1" a="1"/>
  <c r="AD271" i="1" s="1"/>
  <c r="AF271" i="1"/>
  <c r="BH271" i="1"/>
  <c r="BI271" i="1"/>
  <c r="BJ271" i="1"/>
  <c r="AB235" i="1"/>
  <c r="AC235" i="1"/>
  <c r="AE235" i="1"/>
  <c r="AD235" i="1" a="1"/>
  <c r="AD235" i="1" s="1"/>
  <c r="AF235" i="1"/>
  <c r="BH235" i="1"/>
  <c r="BI235" i="1"/>
  <c r="BJ235" i="1"/>
  <c r="AC199" i="1"/>
  <c r="AD199" i="1" a="1"/>
  <c r="AD199" i="1" s="1"/>
  <c r="AB199" i="1"/>
  <c r="AE199" i="1"/>
  <c r="AF199" i="1"/>
  <c r="BH199" i="1"/>
  <c r="BI199" i="1"/>
  <c r="BJ199" i="1"/>
  <c r="AB163" i="1"/>
  <c r="AC163" i="1"/>
  <c r="AD163" i="1" a="1"/>
  <c r="AD163" i="1" s="1"/>
  <c r="AE163" i="1"/>
  <c r="AF163" i="1"/>
  <c r="BH163" i="1"/>
  <c r="BI163" i="1"/>
  <c r="BJ163" i="1"/>
  <c r="AB127" i="1"/>
  <c r="AC127" i="1"/>
  <c r="AD127" i="1" a="1"/>
  <c r="AD127" i="1" s="1"/>
  <c r="AE127" i="1"/>
  <c r="AF127" i="1"/>
  <c r="BH127" i="1"/>
  <c r="BI127" i="1"/>
  <c r="BJ127" i="1"/>
  <c r="AB91" i="1"/>
  <c r="AC91" i="1"/>
  <c r="AD91" i="1" a="1"/>
  <c r="AD91" i="1" s="1"/>
  <c r="AE91" i="1"/>
  <c r="AF91" i="1"/>
  <c r="BH91" i="1"/>
  <c r="BI91" i="1"/>
  <c r="BJ91" i="1"/>
  <c r="AB55" i="1"/>
  <c r="AC55" i="1"/>
  <c r="AD55" i="1" a="1"/>
  <c r="AD55" i="1" s="1"/>
  <c r="AE55" i="1"/>
  <c r="AF55" i="1"/>
  <c r="BH55" i="1"/>
  <c r="BI55" i="1"/>
  <c r="BJ55" i="1"/>
  <c r="AB19" i="1"/>
  <c r="AC19" i="1"/>
  <c r="AD19" i="1" a="1"/>
  <c r="AD19" i="1" s="1"/>
  <c r="AE19" i="1"/>
  <c r="AF19" i="1"/>
  <c r="BH19" i="1"/>
  <c r="BI19" i="1"/>
  <c r="BJ19" i="1"/>
  <c r="AB222" i="1"/>
  <c r="AC222" i="1"/>
  <c r="AD222" i="1" a="1"/>
  <c r="AD222" i="1" s="1"/>
  <c r="AE222" i="1"/>
  <c r="AF222" i="1"/>
  <c r="BH222" i="1"/>
  <c r="BI222" i="1"/>
  <c r="BJ222" i="1"/>
  <c r="AB186" i="1"/>
  <c r="AC186" i="1"/>
  <c r="AD186" i="1" a="1"/>
  <c r="AD186" i="1" s="1"/>
  <c r="AE186" i="1"/>
  <c r="AF186" i="1"/>
  <c r="BH186" i="1"/>
  <c r="BI186" i="1"/>
  <c r="BJ186" i="1"/>
  <c r="AB150" i="1"/>
  <c r="AC150" i="1"/>
  <c r="AD150" i="1" a="1"/>
  <c r="AD150" i="1" s="1"/>
  <c r="AE150" i="1"/>
  <c r="AF150" i="1"/>
  <c r="BH150" i="1"/>
  <c r="BI150" i="1"/>
  <c r="BJ150" i="1"/>
  <c r="AB114" i="1"/>
  <c r="AC114" i="1"/>
  <c r="AD114" i="1" a="1"/>
  <c r="AD114" i="1" s="1"/>
  <c r="AE114" i="1"/>
  <c r="AF114" i="1"/>
  <c r="BH114" i="1"/>
  <c r="BI114" i="1"/>
  <c r="BJ114" i="1"/>
  <c r="AB78" i="1"/>
  <c r="AC78" i="1"/>
  <c r="AD78" i="1" a="1"/>
  <c r="AD78" i="1" s="1"/>
  <c r="AE78" i="1"/>
  <c r="AF78" i="1"/>
  <c r="BH78" i="1"/>
  <c r="BI78" i="1"/>
  <c r="BJ78" i="1"/>
  <c r="AB42" i="1"/>
  <c r="AC42" i="1"/>
  <c r="AD42" i="1" a="1"/>
  <c r="AD42" i="1" s="1"/>
  <c r="AE42" i="1"/>
  <c r="AF42" i="1"/>
  <c r="BH42" i="1"/>
  <c r="BI42" i="1"/>
  <c r="BJ42" i="1"/>
  <c r="AB6" i="1"/>
  <c r="AC6" i="1"/>
  <c r="AD6" i="1" a="1"/>
  <c r="AD6" i="1" s="1"/>
  <c r="AE6" i="1"/>
  <c r="AF6" i="1"/>
  <c r="BH6" i="1"/>
  <c r="BI6" i="1"/>
  <c r="BJ6" i="1"/>
  <c r="AB335" i="1"/>
  <c r="AC335" i="1"/>
  <c r="AE335" i="1"/>
  <c r="AF335" i="1"/>
  <c r="AD335" i="1" a="1"/>
  <c r="AD335" i="1" s="1"/>
  <c r="BI335" i="1"/>
  <c r="BJ335" i="1"/>
  <c r="BH335" i="1"/>
  <c r="AB299" i="1"/>
  <c r="AC299" i="1"/>
  <c r="AD299" i="1" a="1"/>
  <c r="AD299" i="1" s="1"/>
  <c r="AE299" i="1"/>
  <c r="AF299" i="1"/>
  <c r="BI299" i="1"/>
  <c r="BJ299" i="1"/>
  <c r="BH299" i="1"/>
  <c r="AB263" i="1"/>
  <c r="AC263" i="1"/>
  <c r="AD263" i="1" a="1"/>
  <c r="AD263" i="1" s="1"/>
  <c r="AE263" i="1"/>
  <c r="AF263" i="1"/>
  <c r="BI263" i="1"/>
  <c r="BJ263" i="1"/>
  <c r="BH263" i="1"/>
  <c r="AB227" i="1"/>
  <c r="AC227" i="1"/>
  <c r="AD227" i="1" a="1"/>
  <c r="AD227" i="1" s="1"/>
  <c r="AE227" i="1"/>
  <c r="AF227" i="1"/>
  <c r="BI227" i="1"/>
  <c r="BJ227" i="1"/>
  <c r="BH227" i="1"/>
  <c r="AB191" i="1"/>
  <c r="AC191" i="1"/>
  <c r="AD191" i="1" a="1"/>
  <c r="AD191" i="1" s="1"/>
  <c r="AE191" i="1"/>
  <c r="AF191" i="1"/>
  <c r="BI191" i="1"/>
  <c r="BJ191" i="1"/>
  <c r="BH191" i="1"/>
  <c r="AB155" i="1"/>
  <c r="AC155" i="1"/>
  <c r="AD155" i="1" a="1"/>
  <c r="AD155" i="1" s="1"/>
  <c r="AE155" i="1"/>
  <c r="AF155" i="1"/>
  <c r="BI155" i="1"/>
  <c r="BJ155" i="1"/>
  <c r="BH155" i="1"/>
  <c r="AB119" i="1"/>
  <c r="AC119" i="1"/>
  <c r="AD119" i="1" a="1"/>
  <c r="AD119" i="1" s="1"/>
  <c r="AE119" i="1"/>
  <c r="AF119" i="1"/>
  <c r="BI119" i="1"/>
  <c r="BJ119" i="1"/>
  <c r="BH119" i="1"/>
  <c r="AB83" i="1"/>
  <c r="AC83" i="1"/>
  <c r="AD83" i="1" a="1"/>
  <c r="AD83" i="1" s="1"/>
  <c r="AE83" i="1"/>
  <c r="AF83" i="1"/>
  <c r="BI83" i="1"/>
  <c r="BJ83" i="1"/>
  <c r="BH83" i="1"/>
  <c r="AB47" i="1"/>
  <c r="AC47" i="1"/>
  <c r="AD47" i="1" a="1"/>
  <c r="AD47" i="1" s="1"/>
  <c r="AE47" i="1"/>
  <c r="AF47" i="1"/>
  <c r="BI47" i="1"/>
  <c r="BJ47" i="1"/>
  <c r="BH47" i="1"/>
  <c r="AB11" i="1"/>
  <c r="AC11" i="1"/>
  <c r="AD11" i="1" a="1"/>
  <c r="AD11" i="1" s="1"/>
  <c r="AE11" i="1"/>
  <c r="AF11" i="1"/>
  <c r="BI11" i="1"/>
  <c r="BJ11" i="1"/>
  <c r="BH11" i="1"/>
  <c r="AB208" i="1"/>
  <c r="AC208" i="1"/>
  <c r="AD208" i="1" a="1"/>
  <c r="AD208" i="1" s="1"/>
  <c r="AE208" i="1"/>
  <c r="AF208" i="1"/>
  <c r="BI208" i="1"/>
  <c r="BJ208" i="1"/>
  <c r="BH208" i="1"/>
  <c r="AB172" i="1"/>
  <c r="AD172" i="1" a="1"/>
  <c r="AD172" i="1" s="1"/>
  <c r="AC172" i="1"/>
  <c r="AE172" i="1"/>
  <c r="AF172" i="1"/>
  <c r="BI172" i="1"/>
  <c r="BJ172" i="1"/>
  <c r="BH172" i="1"/>
  <c r="AB136" i="1"/>
  <c r="AD136" i="1" a="1"/>
  <c r="AD136" i="1" s="1"/>
  <c r="AC136" i="1"/>
  <c r="AE136" i="1"/>
  <c r="AF136" i="1"/>
  <c r="BI136" i="1"/>
  <c r="BJ136" i="1"/>
  <c r="BH136" i="1"/>
  <c r="AB100" i="1"/>
  <c r="AD100" i="1" a="1"/>
  <c r="AD100" i="1" s="1"/>
  <c r="AC100" i="1"/>
  <c r="AE100" i="1"/>
  <c r="AF100" i="1"/>
  <c r="BI100" i="1"/>
  <c r="BJ100" i="1"/>
  <c r="BH100" i="1"/>
  <c r="AB64" i="1"/>
  <c r="AD64" i="1" a="1"/>
  <c r="AD64" i="1" s="1"/>
  <c r="AC64" i="1"/>
  <c r="AE64" i="1"/>
  <c r="AF64" i="1"/>
  <c r="BI64" i="1"/>
  <c r="BJ64" i="1"/>
  <c r="BH64" i="1"/>
  <c r="AB28" i="1"/>
  <c r="AD28" i="1" a="1"/>
  <c r="AD28" i="1" s="1"/>
  <c r="AC28" i="1"/>
  <c r="AE28" i="1"/>
  <c r="AF28" i="1"/>
  <c r="BI28" i="1"/>
  <c r="BJ28" i="1"/>
  <c r="BH28" i="1"/>
  <c r="L66" i="1"/>
  <c r="AV66" i="1" s="1"/>
  <c r="BB66" i="4" s="1"/>
  <c r="BC66" i="4" s="1"/>
  <c r="L164" i="1"/>
  <c r="AV164" i="1" s="1"/>
  <c r="BB164" i="4" s="1"/>
  <c r="BC164" i="4" s="1"/>
  <c r="AB268" i="1"/>
  <c r="AC268" i="1"/>
  <c r="AD268" i="1" a="1"/>
  <c r="AD268" i="1" s="1"/>
  <c r="AE268" i="1"/>
  <c r="AF268" i="1"/>
  <c r="BI268" i="1"/>
  <c r="BJ268" i="1"/>
  <c r="BH268" i="1"/>
  <c r="AB328" i="1"/>
  <c r="AC328" i="1"/>
  <c r="AD328" i="1" a="1"/>
  <c r="AD328" i="1" s="1"/>
  <c r="AE328" i="1"/>
  <c r="AF328" i="1"/>
  <c r="BI328" i="1"/>
  <c r="BJ328" i="1"/>
  <c r="BH328" i="1"/>
  <c r="AB286" i="1"/>
  <c r="AC286" i="1"/>
  <c r="AD286" i="1" a="1"/>
  <c r="AD286" i="1" s="1"/>
  <c r="AF286" i="1"/>
  <c r="AE286" i="1"/>
  <c r="BI286" i="1"/>
  <c r="BJ286" i="1"/>
  <c r="BH286" i="1"/>
  <c r="AC279" i="1"/>
  <c r="AB279" i="1"/>
  <c r="AD279" i="1" a="1"/>
  <c r="AD279" i="1" s="1"/>
  <c r="AF279" i="1"/>
  <c r="AE279" i="1"/>
  <c r="BJ279" i="1"/>
  <c r="BH279" i="1"/>
  <c r="BI279" i="1"/>
  <c r="AB141" i="1"/>
  <c r="AC141" i="1"/>
  <c r="AD141" i="1" a="1"/>
  <c r="AD141" i="1" s="1"/>
  <c r="AF141" i="1"/>
  <c r="AE141" i="1"/>
  <c r="BJ141" i="1"/>
  <c r="BH141" i="1"/>
  <c r="BI141" i="1"/>
  <c r="AC300" i="1"/>
  <c r="AD300" i="1" a="1"/>
  <c r="AD300" i="1" s="1"/>
  <c r="AB300" i="1"/>
  <c r="AE300" i="1"/>
  <c r="AF300" i="1"/>
  <c r="BH300" i="1"/>
  <c r="BI300" i="1"/>
  <c r="BJ300" i="1"/>
  <c r="AB207" i="1"/>
  <c r="AC207" i="1"/>
  <c r="AD207" i="1" a="1"/>
  <c r="AD207" i="1" s="1"/>
  <c r="AF207" i="1"/>
  <c r="AE207" i="1"/>
  <c r="BJ207" i="1"/>
  <c r="BH207" i="1"/>
  <c r="BI207" i="1"/>
  <c r="AB250" i="1"/>
  <c r="AC250" i="1"/>
  <c r="AD250" i="1" a="1"/>
  <c r="AD250" i="1" s="1"/>
  <c r="AF250" i="1"/>
  <c r="AE250" i="1"/>
  <c r="BI250" i="1"/>
  <c r="BJ250" i="1"/>
  <c r="BH250" i="1"/>
  <c r="AB57" i="1"/>
  <c r="AC57" i="1"/>
  <c r="AD57" i="1" a="1"/>
  <c r="AD57" i="1" s="1"/>
  <c r="AF57" i="1"/>
  <c r="AE57" i="1"/>
  <c r="BJ57" i="1"/>
  <c r="BH57" i="1"/>
  <c r="BI57" i="1"/>
  <c r="AC297" i="1"/>
  <c r="AB297" i="1"/>
  <c r="AD297" i="1" a="1"/>
  <c r="AD297" i="1" s="1"/>
  <c r="AF297" i="1"/>
  <c r="AE297" i="1"/>
  <c r="BJ297" i="1"/>
  <c r="BH297" i="1"/>
  <c r="BI297" i="1"/>
  <c r="AB195" i="1"/>
  <c r="AC195" i="1"/>
  <c r="AD195" i="1" a="1"/>
  <c r="AD195" i="1" s="1"/>
  <c r="AF195" i="1"/>
  <c r="AE195" i="1"/>
  <c r="BJ195" i="1"/>
  <c r="BH195" i="1"/>
  <c r="BI195" i="1"/>
  <c r="AC294" i="1"/>
  <c r="AD294" i="1" a="1"/>
  <c r="AD294" i="1" s="1"/>
  <c r="AB294" i="1"/>
  <c r="AE294" i="1"/>
  <c r="AF294" i="1"/>
  <c r="BH294" i="1"/>
  <c r="BI294" i="1"/>
  <c r="BJ294" i="1"/>
  <c r="AC189" i="1"/>
  <c r="AB189" i="1"/>
  <c r="AD189" i="1" a="1"/>
  <c r="AD189" i="1" s="1"/>
  <c r="AF189" i="1"/>
  <c r="AE189" i="1"/>
  <c r="BJ189" i="1"/>
  <c r="BH189" i="1"/>
  <c r="BI189" i="1"/>
  <c r="AB332" i="1"/>
  <c r="AC332" i="1"/>
  <c r="AD332" i="1" a="1"/>
  <c r="AD332" i="1" s="1"/>
  <c r="AE332" i="1"/>
  <c r="AF332" i="1"/>
  <c r="BJ332" i="1"/>
  <c r="BH332" i="1"/>
  <c r="BI332" i="1"/>
  <c r="AB296" i="1"/>
  <c r="AC296" i="1"/>
  <c r="AD296" i="1" a="1"/>
  <c r="AD296" i="1" s="1"/>
  <c r="AE296" i="1"/>
  <c r="AF296" i="1"/>
  <c r="BJ296" i="1"/>
  <c r="BH296" i="1"/>
  <c r="BI296" i="1"/>
  <c r="AB260" i="1"/>
  <c r="AC260" i="1"/>
  <c r="AD260" i="1" a="1"/>
  <c r="AD260" i="1" s="1"/>
  <c r="AE260" i="1"/>
  <c r="AF260" i="1"/>
  <c r="BJ260" i="1"/>
  <c r="BH260" i="1"/>
  <c r="BI260" i="1"/>
  <c r="AB224" i="1"/>
  <c r="AC224" i="1"/>
  <c r="AD224" i="1" a="1"/>
  <c r="AD224" i="1" s="1"/>
  <c r="AE224" i="1"/>
  <c r="AF224" i="1"/>
  <c r="BJ224" i="1"/>
  <c r="BH224" i="1"/>
  <c r="BI224" i="1"/>
  <c r="AB188" i="1"/>
  <c r="AC188" i="1"/>
  <c r="AD188" i="1" a="1"/>
  <c r="AD188" i="1" s="1"/>
  <c r="AE188" i="1"/>
  <c r="AF188" i="1"/>
  <c r="BJ188" i="1"/>
  <c r="BH188" i="1"/>
  <c r="BI188" i="1"/>
  <c r="AB152" i="1"/>
  <c r="AC152" i="1"/>
  <c r="AD152" i="1" a="1"/>
  <c r="AD152" i="1" s="1"/>
  <c r="AE152" i="1"/>
  <c r="AF152" i="1"/>
  <c r="BJ152" i="1"/>
  <c r="BH152" i="1"/>
  <c r="BI152" i="1"/>
  <c r="AB116" i="1"/>
  <c r="AC116" i="1"/>
  <c r="AD116" i="1" a="1"/>
  <c r="AD116" i="1" s="1"/>
  <c r="AE116" i="1"/>
  <c r="AF116" i="1"/>
  <c r="BJ116" i="1"/>
  <c r="BH116" i="1"/>
  <c r="BI116" i="1"/>
  <c r="AB80" i="1"/>
  <c r="AC80" i="1"/>
  <c r="AD80" i="1" a="1"/>
  <c r="AD80" i="1" s="1"/>
  <c r="AE80" i="1"/>
  <c r="AF80" i="1"/>
  <c r="BJ80" i="1"/>
  <c r="BH80" i="1"/>
  <c r="BI80" i="1"/>
  <c r="AB44" i="1"/>
  <c r="AC44" i="1"/>
  <c r="AD44" i="1" a="1"/>
  <c r="AD44" i="1" s="1"/>
  <c r="AE44" i="1"/>
  <c r="AF44" i="1"/>
  <c r="BJ44" i="1"/>
  <c r="BH44" i="1"/>
  <c r="BI44" i="1"/>
  <c r="AB8" i="1"/>
  <c r="AC8" i="1"/>
  <c r="AD8" i="1" a="1"/>
  <c r="AD8" i="1" s="1"/>
  <c r="AE8" i="1"/>
  <c r="AF8" i="1"/>
  <c r="BJ8" i="1"/>
  <c r="BH8" i="1"/>
  <c r="BI8" i="1"/>
  <c r="AC337" i="1"/>
  <c r="AB337" i="1"/>
  <c r="AE337" i="1"/>
  <c r="AF337" i="1"/>
  <c r="AD337" i="1" a="1"/>
  <c r="AD337" i="1" s="1"/>
  <c r="BH337" i="1"/>
  <c r="BI337" i="1"/>
  <c r="BJ337" i="1"/>
  <c r="AC301" i="1"/>
  <c r="AB301" i="1"/>
  <c r="AD301" i="1" a="1"/>
  <c r="AD301" i="1" s="1"/>
  <c r="AE301" i="1"/>
  <c r="AF301" i="1"/>
  <c r="BH301" i="1"/>
  <c r="BI301" i="1"/>
  <c r="BJ301" i="1"/>
  <c r="AC265" i="1"/>
  <c r="AB265" i="1"/>
  <c r="AE265" i="1"/>
  <c r="AF265" i="1"/>
  <c r="AD265" i="1" a="1"/>
  <c r="AD265" i="1" s="1"/>
  <c r="BH265" i="1"/>
  <c r="BI265" i="1"/>
  <c r="BJ265" i="1"/>
  <c r="AC229" i="1"/>
  <c r="AB229" i="1"/>
  <c r="AE229" i="1"/>
  <c r="AF229" i="1"/>
  <c r="AD229" i="1" a="1"/>
  <c r="AD229" i="1" s="1"/>
  <c r="BH229" i="1"/>
  <c r="BI229" i="1"/>
  <c r="BJ229" i="1"/>
  <c r="AC193" i="1"/>
  <c r="AD193" i="1" a="1"/>
  <c r="AD193" i="1" s="1"/>
  <c r="AB193" i="1"/>
  <c r="AE193" i="1"/>
  <c r="AF193" i="1"/>
  <c r="BH193" i="1"/>
  <c r="BI193" i="1"/>
  <c r="BJ193" i="1"/>
  <c r="AB157" i="1"/>
  <c r="AC157" i="1"/>
  <c r="AD157" i="1" a="1"/>
  <c r="AD157" i="1" s="1"/>
  <c r="AE157" i="1"/>
  <c r="AF157" i="1"/>
  <c r="BH157" i="1"/>
  <c r="BI157" i="1"/>
  <c r="BJ157" i="1"/>
  <c r="AB121" i="1"/>
  <c r="AC121" i="1"/>
  <c r="AD121" i="1" a="1"/>
  <c r="AD121" i="1" s="1"/>
  <c r="AE121" i="1"/>
  <c r="AF121" i="1"/>
  <c r="BH121" i="1"/>
  <c r="BI121" i="1"/>
  <c r="BJ121" i="1"/>
  <c r="AB85" i="1"/>
  <c r="AC85" i="1"/>
  <c r="AD85" i="1" a="1"/>
  <c r="AD85" i="1" s="1"/>
  <c r="AE85" i="1"/>
  <c r="AF85" i="1"/>
  <c r="BH85" i="1"/>
  <c r="BI85" i="1"/>
  <c r="BJ85" i="1"/>
  <c r="AB49" i="1"/>
  <c r="AC49" i="1"/>
  <c r="AD49" i="1" a="1"/>
  <c r="AD49" i="1" s="1"/>
  <c r="AE49" i="1"/>
  <c r="AF49" i="1"/>
  <c r="BH49" i="1"/>
  <c r="BI49" i="1"/>
  <c r="BJ49" i="1"/>
  <c r="AB13" i="1"/>
  <c r="AC13" i="1"/>
  <c r="AD13" i="1" a="1"/>
  <c r="AD13" i="1" s="1"/>
  <c r="AE13" i="1"/>
  <c r="AF13" i="1"/>
  <c r="BH13" i="1"/>
  <c r="BI13" i="1"/>
  <c r="BJ13" i="1"/>
  <c r="AB216" i="1"/>
  <c r="AC216" i="1"/>
  <c r="AD216" i="1" a="1"/>
  <c r="AD216" i="1" s="1"/>
  <c r="AE216" i="1"/>
  <c r="AF216" i="1"/>
  <c r="BH216" i="1"/>
  <c r="BI216" i="1"/>
  <c r="BJ216" i="1"/>
  <c r="AB180" i="1"/>
  <c r="AC180" i="1"/>
  <c r="AD180" i="1" a="1"/>
  <c r="AD180" i="1" s="1"/>
  <c r="AE180" i="1"/>
  <c r="AF180" i="1"/>
  <c r="BH180" i="1"/>
  <c r="BI180" i="1"/>
  <c r="BJ180" i="1"/>
  <c r="AB144" i="1"/>
  <c r="AC144" i="1"/>
  <c r="AD144" i="1" a="1"/>
  <c r="AD144" i="1" s="1"/>
  <c r="AE144" i="1"/>
  <c r="AF144" i="1"/>
  <c r="BH144" i="1"/>
  <c r="BI144" i="1"/>
  <c r="BJ144" i="1"/>
  <c r="AB108" i="1"/>
  <c r="AC108" i="1"/>
  <c r="AD108" i="1" a="1"/>
  <c r="AD108" i="1" s="1"/>
  <c r="AE108" i="1"/>
  <c r="AF108" i="1"/>
  <c r="BH108" i="1"/>
  <c r="BI108" i="1"/>
  <c r="BJ108" i="1"/>
  <c r="AB72" i="1"/>
  <c r="AC72" i="1"/>
  <c r="AD72" i="1" a="1"/>
  <c r="AD72" i="1" s="1"/>
  <c r="AE72" i="1"/>
  <c r="AF72" i="1"/>
  <c r="BH72" i="1"/>
  <c r="BI72" i="1"/>
  <c r="BJ72" i="1"/>
  <c r="AB36" i="1"/>
  <c r="AC36" i="1"/>
  <c r="AD36" i="1" a="1"/>
  <c r="AD36" i="1" s="1"/>
  <c r="AE36" i="1"/>
  <c r="AF36" i="1"/>
  <c r="BH36" i="1"/>
  <c r="BI36" i="1"/>
  <c r="BJ36" i="1"/>
  <c r="AB329" i="1"/>
  <c r="AC329" i="1"/>
  <c r="AE329" i="1"/>
  <c r="AF329" i="1"/>
  <c r="AD329" i="1" a="1"/>
  <c r="AD329" i="1" s="1"/>
  <c r="BI329" i="1"/>
  <c r="BJ329" i="1"/>
  <c r="BH329" i="1"/>
  <c r="AB293" i="1"/>
  <c r="AC293" i="1"/>
  <c r="AD293" i="1" a="1"/>
  <c r="AD293" i="1" s="1"/>
  <c r="AE293" i="1"/>
  <c r="AF293" i="1"/>
  <c r="BI293" i="1"/>
  <c r="BJ293" i="1"/>
  <c r="BH293" i="1"/>
  <c r="AB257" i="1"/>
  <c r="AC257" i="1"/>
  <c r="AD257" i="1" a="1"/>
  <c r="AD257" i="1" s="1"/>
  <c r="AE257" i="1"/>
  <c r="AF257" i="1"/>
  <c r="BI257" i="1"/>
  <c r="BJ257" i="1"/>
  <c r="BH257" i="1"/>
  <c r="AC221" i="1"/>
  <c r="AD221" i="1" a="1"/>
  <c r="AD221" i="1" s="1"/>
  <c r="AB221" i="1"/>
  <c r="AE221" i="1"/>
  <c r="AF221" i="1"/>
  <c r="BI221" i="1"/>
  <c r="BJ221" i="1"/>
  <c r="BH221" i="1"/>
  <c r="AC185" i="1"/>
  <c r="AD185" i="1" a="1"/>
  <c r="AD185" i="1" s="1"/>
  <c r="AB185" i="1"/>
  <c r="AE185" i="1"/>
  <c r="AF185" i="1"/>
  <c r="BI185" i="1"/>
  <c r="BJ185" i="1"/>
  <c r="BH185" i="1"/>
  <c r="AB149" i="1"/>
  <c r="AC149" i="1"/>
  <c r="AD149" i="1" a="1"/>
  <c r="AD149" i="1" s="1"/>
  <c r="AE149" i="1"/>
  <c r="AF149" i="1"/>
  <c r="BI149" i="1"/>
  <c r="BJ149" i="1"/>
  <c r="BH149" i="1"/>
  <c r="AB113" i="1"/>
  <c r="AC113" i="1"/>
  <c r="AD113" i="1" a="1"/>
  <c r="AD113" i="1" s="1"/>
  <c r="AE113" i="1"/>
  <c r="AF113" i="1"/>
  <c r="BI113" i="1"/>
  <c r="BJ113" i="1"/>
  <c r="BH113" i="1"/>
  <c r="AB77" i="1"/>
  <c r="AC77" i="1"/>
  <c r="AD77" i="1" a="1"/>
  <c r="AD77" i="1" s="1"/>
  <c r="AE77" i="1"/>
  <c r="AF77" i="1"/>
  <c r="BI77" i="1"/>
  <c r="BJ77" i="1"/>
  <c r="BH77" i="1"/>
  <c r="AB41" i="1"/>
  <c r="AC41" i="1"/>
  <c r="AD41" i="1" a="1"/>
  <c r="AD41" i="1" s="1"/>
  <c r="AE41" i="1"/>
  <c r="AF41" i="1"/>
  <c r="BI41" i="1"/>
  <c r="BJ41" i="1"/>
  <c r="BH41" i="1"/>
  <c r="AB202" i="1"/>
  <c r="AD202" i="1" a="1"/>
  <c r="AD202" i="1" s="1"/>
  <c r="AC202" i="1"/>
  <c r="AF202" i="1"/>
  <c r="AE202" i="1"/>
  <c r="BI202" i="1"/>
  <c r="BJ202" i="1"/>
  <c r="BH202" i="1"/>
  <c r="AB166" i="1"/>
  <c r="AD166" i="1" a="1"/>
  <c r="AD166" i="1" s="1"/>
  <c r="AC166" i="1"/>
  <c r="AF166" i="1"/>
  <c r="AE166" i="1"/>
  <c r="BI166" i="1"/>
  <c r="BJ166" i="1"/>
  <c r="BH166" i="1"/>
  <c r="AB130" i="1"/>
  <c r="AD130" i="1" a="1"/>
  <c r="AD130" i="1" s="1"/>
  <c r="AC130" i="1"/>
  <c r="AF130" i="1"/>
  <c r="AE130" i="1"/>
  <c r="BI130" i="1"/>
  <c r="BJ130" i="1"/>
  <c r="BH130" i="1"/>
  <c r="AB94" i="1"/>
  <c r="AD94" i="1" a="1"/>
  <c r="AD94" i="1" s="1"/>
  <c r="AC94" i="1"/>
  <c r="AF94" i="1"/>
  <c r="AE94" i="1"/>
  <c r="BI94" i="1"/>
  <c r="BJ94" i="1"/>
  <c r="BH94" i="1"/>
  <c r="AB58" i="1"/>
  <c r="AD58" i="1" a="1"/>
  <c r="AD58" i="1" s="1"/>
  <c r="AC58" i="1"/>
  <c r="AF58" i="1"/>
  <c r="AE58" i="1"/>
  <c r="BI58" i="1"/>
  <c r="BJ58" i="1"/>
  <c r="BH58" i="1"/>
  <c r="AB22" i="1"/>
  <c r="AD22" i="1" a="1"/>
  <c r="AD22" i="1" s="1"/>
  <c r="AC22" i="1"/>
  <c r="AF22" i="1"/>
  <c r="AE22" i="1"/>
  <c r="BI22" i="1"/>
  <c r="BJ22" i="1"/>
  <c r="BH22" i="1"/>
  <c r="L292" i="1"/>
  <c r="AV292" i="1" s="1"/>
  <c r="BB292" i="4" s="1"/>
  <c r="BC292" i="4" s="1"/>
  <c r="L80" i="1"/>
  <c r="AV80" i="1" s="1"/>
  <c r="BB80" i="4" s="1"/>
  <c r="BC80" i="4" s="1"/>
  <c r="L208" i="1"/>
  <c r="AB310" i="1"/>
  <c r="AC310" i="1"/>
  <c r="AD310" i="1" a="1"/>
  <c r="AD310" i="1" s="1"/>
  <c r="AF310" i="1"/>
  <c r="AE310" i="1"/>
  <c r="BI310" i="1"/>
  <c r="BJ310" i="1"/>
  <c r="BH310" i="1"/>
  <c r="AB147" i="1"/>
  <c r="AC147" i="1"/>
  <c r="AD147" i="1" a="1"/>
  <c r="AD147" i="1" s="1"/>
  <c r="AF147" i="1"/>
  <c r="AE147" i="1"/>
  <c r="BJ147" i="1"/>
  <c r="BH147" i="1"/>
  <c r="BI147" i="1"/>
  <c r="AD292" i="1" a="1"/>
  <c r="AD292" i="1" s="1"/>
  <c r="AB292" i="1"/>
  <c r="AC292" i="1"/>
  <c r="AE292" i="1"/>
  <c r="AF292" i="1"/>
  <c r="BI292" i="1"/>
  <c r="BJ292" i="1"/>
  <c r="BH292" i="1"/>
  <c r="AB244" i="1"/>
  <c r="AC244" i="1"/>
  <c r="AD244" i="1" a="1"/>
  <c r="AD244" i="1" s="1"/>
  <c r="AE244" i="1"/>
  <c r="AF244" i="1"/>
  <c r="BI244" i="1"/>
  <c r="BJ244" i="1"/>
  <c r="BH244" i="1"/>
  <c r="AC339" i="1"/>
  <c r="AB339" i="1"/>
  <c r="AF339" i="1"/>
  <c r="AE339" i="1"/>
  <c r="AD339" i="1" a="1"/>
  <c r="AD339" i="1" s="1"/>
  <c r="BJ339" i="1"/>
  <c r="BH339" i="1"/>
  <c r="BI339" i="1"/>
  <c r="AC267" i="1"/>
  <c r="AB267" i="1"/>
  <c r="AD267" i="1" a="1"/>
  <c r="AD267" i="1" s="1"/>
  <c r="AF267" i="1"/>
  <c r="AE267" i="1"/>
  <c r="BJ267" i="1"/>
  <c r="BH267" i="1"/>
  <c r="BI267" i="1"/>
  <c r="AB105" i="1"/>
  <c r="AC105" i="1"/>
  <c r="AD105" i="1" a="1"/>
  <c r="AD105" i="1" s="1"/>
  <c r="AF105" i="1"/>
  <c r="AE105" i="1"/>
  <c r="BJ105" i="1"/>
  <c r="BH105" i="1"/>
  <c r="BI105" i="1"/>
  <c r="AC288" i="1"/>
  <c r="AD288" i="1" a="1"/>
  <c r="AD288" i="1" s="1"/>
  <c r="AB288" i="1"/>
  <c r="AE288" i="1"/>
  <c r="AF288" i="1"/>
  <c r="BH288" i="1"/>
  <c r="BI288" i="1"/>
  <c r="BJ288" i="1"/>
  <c r="AB171" i="1"/>
  <c r="AC171" i="1"/>
  <c r="AD171" i="1" a="1"/>
  <c r="AD171" i="1" s="1"/>
  <c r="AF171" i="1"/>
  <c r="AE171" i="1"/>
  <c r="BJ171" i="1"/>
  <c r="BH171" i="1"/>
  <c r="BI171" i="1"/>
  <c r="AC237" i="1"/>
  <c r="AB237" i="1"/>
  <c r="AF237" i="1"/>
  <c r="AD237" i="1" a="1"/>
  <c r="AD237" i="1" s="1"/>
  <c r="AE237" i="1"/>
  <c r="BJ237" i="1"/>
  <c r="BH237" i="1"/>
  <c r="BI237" i="1"/>
  <c r="AB21" i="1"/>
  <c r="AC21" i="1"/>
  <c r="AD21" i="1" a="1"/>
  <c r="AD21" i="1" s="1"/>
  <c r="AF21" i="1"/>
  <c r="AE21" i="1"/>
  <c r="BJ21" i="1"/>
  <c r="BH21" i="1"/>
  <c r="BI21" i="1"/>
  <c r="AC285" i="1"/>
  <c r="AB285" i="1"/>
  <c r="AD285" i="1" a="1"/>
  <c r="AD285" i="1" s="1"/>
  <c r="AF285" i="1"/>
  <c r="AE285" i="1"/>
  <c r="BJ285" i="1"/>
  <c r="BH285" i="1"/>
  <c r="BI285" i="1"/>
  <c r="AB159" i="1"/>
  <c r="AC159" i="1"/>
  <c r="AD159" i="1" a="1"/>
  <c r="AD159" i="1" s="1"/>
  <c r="AF159" i="1"/>
  <c r="AE159" i="1"/>
  <c r="BJ159" i="1"/>
  <c r="BH159" i="1"/>
  <c r="BI159" i="1"/>
  <c r="AC282" i="1"/>
  <c r="AD282" i="1" a="1"/>
  <c r="AD282" i="1" s="1"/>
  <c r="AB282" i="1"/>
  <c r="AE282" i="1"/>
  <c r="AF282" i="1"/>
  <c r="BH282" i="1"/>
  <c r="BI282" i="1"/>
  <c r="BJ282" i="1"/>
  <c r="AB153" i="1"/>
  <c r="AC153" i="1"/>
  <c r="AD153" i="1" a="1"/>
  <c r="AD153" i="1" s="1"/>
  <c r="AF153" i="1"/>
  <c r="AE153" i="1"/>
  <c r="BJ153" i="1"/>
  <c r="BH153" i="1"/>
  <c r="BI153" i="1"/>
  <c r="AB326" i="1"/>
  <c r="AC326" i="1"/>
  <c r="AF326" i="1"/>
  <c r="AD326" i="1" a="1"/>
  <c r="AD326" i="1" s="1"/>
  <c r="AE326" i="1"/>
  <c r="BJ326" i="1"/>
  <c r="BH326" i="1"/>
  <c r="BI326" i="1"/>
  <c r="AB290" i="1"/>
  <c r="AC290" i="1"/>
  <c r="AD290" i="1" a="1"/>
  <c r="AD290" i="1" s="1"/>
  <c r="AF290" i="1"/>
  <c r="AE290" i="1"/>
  <c r="BJ290" i="1"/>
  <c r="BH290" i="1"/>
  <c r="BI290" i="1"/>
  <c r="AB254" i="1"/>
  <c r="AD254" i="1" a="1"/>
  <c r="AD254" i="1" s="1"/>
  <c r="AC254" i="1"/>
  <c r="AF254" i="1"/>
  <c r="AE254" i="1"/>
  <c r="BJ254" i="1"/>
  <c r="BH254" i="1"/>
  <c r="BI254" i="1"/>
  <c r="AB218" i="1"/>
  <c r="AD218" i="1" a="1"/>
  <c r="AD218" i="1" s="1"/>
  <c r="AC218" i="1"/>
  <c r="AF218" i="1"/>
  <c r="AE218" i="1"/>
  <c r="BJ218" i="1"/>
  <c r="BH218" i="1"/>
  <c r="BI218" i="1"/>
  <c r="AB182" i="1"/>
  <c r="AD182" i="1" a="1"/>
  <c r="AD182" i="1" s="1"/>
  <c r="AC182" i="1"/>
  <c r="AF182" i="1"/>
  <c r="AE182" i="1"/>
  <c r="BJ182" i="1"/>
  <c r="BH182" i="1"/>
  <c r="BI182" i="1"/>
  <c r="AB146" i="1"/>
  <c r="AD146" i="1" a="1"/>
  <c r="AD146" i="1" s="1"/>
  <c r="AC146" i="1"/>
  <c r="AF146" i="1"/>
  <c r="AE146" i="1"/>
  <c r="BJ146" i="1"/>
  <c r="BH146" i="1"/>
  <c r="BI146" i="1"/>
  <c r="AB110" i="1"/>
  <c r="AD110" i="1" a="1"/>
  <c r="AD110" i="1" s="1"/>
  <c r="AC110" i="1"/>
  <c r="AF110" i="1"/>
  <c r="AE110" i="1"/>
  <c r="BJ110" i="1"/>
  <c r="BH110" i="1"/>
  <c r="BI110" i="1"/>
  <c r="AB74" i="1"/>
  <c r="AD74" i="1" a="1"/>
  <c r="AD74" i="1" s="1"/>
  <c r="AC74" i="1"/>
  <c r="AF74" i="1"/>
  <c r="AE74" i="1"/>
  <c r="BJ74" i="1"/>
  <c r="BH74" i="1"/>
  <c r="BI74" i="1"/>
  <c r="AB38" i="1"/>
  <c r="AD38" i="1" a="1"/>
  <c r="AD38" i="1" s="1"/>
  <c r="AC38" i="1"/>
  <c r="AF38" i="1"/>
  <c r="AE38" i="1"/>
  <c r="BJ38" i="1"/>
  <c r="BH38" i="1"/>
  <c r="BI38" i="1"/>
  <c r="AC331" i="1"/>
  <c r="AB331" i="1"/>
  <c r="AE331" i="1"/>
  <c r="AF331" i="1"/>
  <c r="AD331" i="1" a="1"/>
  <c r="AD331" i="1" s="1"/>
  <c r="BH331" i="1"/>
  <c r="BI331" i="1"/>
  <c r="BJ331" i="1"/>
  <c r="AC295" i="1"/>
  <c r="AB295" i="1"/>
  <c r="AD295" i="1" a="1"/>
  <c r="AD295" i="1" s="1"/>
  <c r="AE295" i="1"/>
  <c r="AF295" i="1"/>
  <c r="BH295" i="1"/>
  <c r="BI295" i="1"/>
  <c r="BJ295" i="1"/>
  <c r="AC259" i="1"/>
  <c r="AB259" i="1"/>
  <c r="AD259" i="1" a="1"/>
  <c r="AD259" i="1" s="1"/>
  <c r="AE259" i="1"/>
  <c r="AF259" i="1"/>
  <c r="BH259" i="1"/>
  <c r="BI259" i="1"/>
  <c r="BJ259" i="1"/>
  <c r="AC223" i="1"/>
  <c r="AB223" i="1"/>
  <c r="AD223" i="1" a="1"/>
  <c r="AD223" i="1" s="1"/>
  <c r="AE223" i="1"/>
  <c r="AF223" i="1"/>
  <c r="BH223" i="1"/>
  <c r="BI223" i="1"/>
  <c r="BJ223" i="1"/>
  <c r="AC187" i="1"/>
  <c r="AB187" i="1"/>
  <c r="AD187" i="1" a="1"/>
  <c r="AD187" i="1" s="1"/>
  <c r="AE187" i="1"/>
  <c r="AF187" i="1"/>
  <c r="BH187" i="1"/>
  <c r="BI187" i="1"/>
  <c r="BJ187" i="1"/>
  <c r="AB151" i="1"/>
  <c r="AC151" i="1"/>
  <c r="AD151" i="1" a="1"/>
  <c r="AD151" i="1" s="1"/>
  <c r="AE151" i="1"/>
  <c r="AF151" i="1"/>
  <c r="BH151" i="1"/>
  <c r="BI151" i="1"/>
  <c r="BJ151" i="1"/>
  <c r="AB115" i="1"/>
  <c r="AC115" i="1"/>
  <c r="AD115" i="1" a="1"/>
  <c r="AD115" i="1" s="1"/>
  <c r="AE115" i="1"/>
  <c r="AF115" i="1"/>
  <c r="BH115" i="1"/>
  <c r="BI115" i="1"/>
  <c r="BJ115" i="1"/>
  <c r="AB79" i="1"/>
  <c r="AC79" i="1"/>
  <c r="AD79" i="1" a="1"/>
  <c r="AD79" i="1" s="1"/>
  <c r="AE79" i="1"/>
  <c r="AF79" i="1"/>
  <c r="BH79" i="1"/>
  <c r="BI79" i="1"/>
  <c r="BJ79" i="1"/>
  <c r="AB43" i="1"/>
  <c r="AC43" i="1"/>
  <c r="AD43" i="1" a="1"/>
  <c r="AD43" i="1" s="1"/>
  <c r="AE43" i="1"/>
  <c r="AF43" i="1"/>
  <c r="BH43" i="1"/>
  <c r="BI43" i="1"/>
  <c r="BJ43" i="1"/>
  <c r="AB7" i="1"/>
  <c r="AC7" i="1"/>
  <c r="AD7" i="1" a="1"/>
  <c r="AD7" i="1" s="1"/>
  <c r="AE7" i="1"/>
  <c r="AF7" i="1"/>
  <c r="BH7" i="1"/>
  <c r="BI7" i="1"/>
  <c r="BJ7" i="1"/>
  <c r="AB210" i="1"/>
  <c r="AC210" i="1"/>
  <c r="AD210" i="1" a="1"/>
  <c r="AD210" i="1" s="1"/>
  <c r="AE210" i="1"/>
  <c r="AF210" i="1"/>
  <c r="BH210" i="1"/>
  <c r="BI210" i="1"/>
  <c r="BJ210" i="1"/>
  <c r="AB174" i="1"/>
  <c r="AC174" i="1"/>
  <c r="AD174" i="1" a="1"/>
  <c r="AD174" i="1" s="1"/>
  <c r="AE174" i="1"/>
  <c r="AF174" i="1"/>
  <c r="BH174" i="1"/>
  <c r="BI174" i="1"/>
  <c r="BJ174" i="1"/>
  <c r="AB138" i="1"/>
  <c r="AC138" i="1"/>
  <c r="AD138" i="1" a="1"/>
  <c r="AD138" i="1" s="1"/>
  <c r="AE138" i="1"/>
  <c r="AF138" i="1"/>
  <c r="BH138" i="1"/>
  <c r="BI138" i="1"/>
  <c r="BJ138" i="1"/>
  <c r="AB102" i="1"/>
  <c r="AC102" i="1"/>
  <c r="AD102" i="1" a="1"/>
  <c r="AD102" i="1" s="1"/>
  <c r="AE102" i="1"/>
  <c r="AF102" i="1"/>
  <c r="BH102" i="1"/>
  <c r="BI102" i="1"/>
  <c r="BJ102" i="1"/>
  <c r="AB66" i="1"/>
  <c r="AC66" i="1"/>
  <c r="AD66" i="1" a="1"/>
  <c r="AD66" i="1" s="1"/>
  <c r="AE66" i="1"/>
  <c r="AF66" i="1"/>
  <c r="BH66" i="1"/>
  <c r="BI66" i="1"/>
  <c r="BJ66" i="1"/>
  <c r="AB30" i="1"/>
  <c r="AC30" i="1"/>
  <c r="AD30" i="1" a="1"/>
  <c r="AD30" i="1" s="1"/>
  <c r="AE30" i="1"/>
  <c r="AF30" i="1"/>
  <c r="BH30" i="1"/>
  <c r="BI30" i="1"/>
  <c r="BJ30" i="1"/>
  <c r="AB323" i="1"/>
  <c r="AC323" i="1"/>
  <c r="AE323" i="1"/>
  <c r="AF323" i="1"/>
  <c r="AD323" i="1" a="1"/>
  <c r="AD323" i="1" s="1"/>
  <c r="BI323" i="1"/>
  <c r="BJ323" i="1"/>
  <c r="BH323" i="1"/>
  <c r="AB287" i="1"/>
  <c r="AC287" i="1"/>
  <c r="AD287" i="1" a="1"/>
  <c r="AD287" i="1" s="1"/>
  <c r="AE287" i="1"/>
  <c r="AF287" i="1"/>
  <c r="BI287" i="1"/>
  <c r="BJ287" i="1"/>
  <c r="BH287" i="1"/>
  <c r="AB251" i="1"/>
  <c r="AC251" i="1"/>
  <c r="AD251" i="1" a="1"/>
  <c r="AD251" i="1" s="1"/>
  <c r="AE251" i="1"/>
  <c r="AF251" i="1"/>
  <c r="BI251" i="1"/>
  <c r="BJ251" i="1"/>
  <c r="BH251" i="1"/>
  <c r="AB215" i="1"/>
  <c r="AC215" i="1"/>
  <c r="AD215" i="1" a="1"/>
  <c r="AD215" i="1" s="1"/>
  <c r="AE215" i="1"/>
  <c r="AF215" i="1"/>
  <c r="BI215" i="1"/>
  <c r="BJ215" i="1"/>
  <c r="BH215" i="1"/>
  <c r="AB179" i="1"/>
  <c r="AC179" i="1"/>
  <c r="AD179" i="1" a="1"/>
  <c r="AD179" i="1" s="1"/>
  <c r="AE179" i="1"/>
  <c r="AF179" i="1"/>
  <c r="BI179" i="1"/>
  <c r="BJ179" i="1"/>
  <c r="BH179" i="1"/>
  <c r="AB143" i="1"/>
  <c r="AC143" i="1"/>
  <c r="AD143" i="1" a="1"/>
  <c r="AD143" i="1" s="1"/>
  <c r="AE143" i="1"/>
  <c r="AF143" i="1"/>
  <c r="BI143" i="1"/>
  <c r="BJ143" i="1"/>
  <c r="BH143" i="1"/>
  <c r="AB107" i="1"/>
  <c r="AC107" i="1"/>
  <c r="AD107" i="1" a="1"/>
  <c r="AD107" i="1" s="1"/>
  <c r="AE107" i="1"/>
  <c r="AF107" i="1"/>
  <c r="BI107" i="1"/>
  <c r="BJ107" i="1"/>
  <c r="BH107" i="1"/>
  <c r="AB71" i="1"/>
  <c r="AC71" i="1"/>
  <c r="AD71" i="1" a="1"/>
  <c r="AD71" i="1" s="1"/>
  <c r="AE71" i="1"/>
  <c r="AF71" i="1"/>
  <c r="BI71" i="1"/>
  <c r="BJ71" i="1"/>
  <c r="BH71" i="1"/>
  <c r="AB35" i="1"/>
  <c r="AC35" i="1"/>
  <c r="AD35" i="1" a="1"/>
  <c r="AD35" i="1" s="1"/>
  <c r="AE35" i="1"/>
  <c r="AF35" i="1"/>
  <c r="BI35" i="1"/>
  <c r="BJ35" i="1"/>
  <c r="BH35" i="1"/>
  <c r="AB232" i="1"/>
  <c r="AC232" i="1"/>
  <c r="AD232" i="1" a="1"/>
  <c r="AD232" i="1" s="1"/>
  <c r="AE232" i="1"/>
  <c r="AF232" i="1"/>
  <c r="BI232" i="1"/>
  <c r="BJ232" i="1"/>
  <c r="BH232" i="1"/>
  <c r="AB196" i="1"/>
  <c r="AD196" i="1" a="1"/>
  <c r="AD196" i="1" s="1"/>
  <c r="AC196" i="1"/>
  <c r="AE196" i="1"/>
  <c r="AF196" i="1"/>
  <c r="BI196" i="1"/>
  <c r="BJ196" i="1"/>
  <c r="BH196" i="1"/>
  <c r="AB160" i="1"/>
  <c r="AD160" i="1" a="1"/>
  <c r="AD160" i="1" s="1"/>
  <c r="AC160" i="1"/>
  <c r="AE160" i="1"/>
  <c r="AF160" i="1"/>
  <c r="BI160" i="1"/>
  <c r="BJ160" i="1"/>
  <c r="BH160" i="1"/>
  <c r="AB124" i="1"/>
  <c r="AD124" i="1" a="1"/>
  <c r="AD124" i="1" s="1"/>
  <c r="AC124" i="1"/>
  <c r="AE124" i="1"/>
  <c r="AF124" i="1"/>
  <c r="BI124" i="1"/>
  <c r="BJ124" i="1"/>
  <c r="BH124" i="1"/>
  <c r="AB88" i="1"/>
  <c r="AD88" i="1" a="1"/>
  <c r="AD88" i="1" s="1"/>
  <c r="AC88" i="1"/>
  <c r="AE88" i="1"/>
  <c r="AF88" i="1"/>
  <c r="BI88" i="1"/>
  <c r="BJ88" i="1"/>
  <c r="BH88" i="1"/>
  <c r="AB52" i="1"/>
  <c r="AD52" i="1" a="1"/>
  <c r="AD52" i="1" s="1"/>
  <c r="AC52" i="1"/>
  <c r="AE52" i="1"/>
  <c r="AF52" i="1"/>
  <c r="BI52" i="1"/>
  <c r="BJ52" i="1"/>
  <c r="BH52" i="1"/>
  <c r="AB16" i="1"/>
  <c r="AD16" i="1" a="1"/>
  <c r="AD16" i="1" s="1"/>
  <c r="AC16" i="1"/>
  <c r="AE16" i="1"/>
  <c r="AF16" i="1"/>
  <c r="BI16" i="1"/>
  <c r="BJ16" i="1"/>
  <c r="BH16" i="1"/>
  <c r="L231" i="1"/>
  <c r="L121" i="1"/>
  <c r="AV121" i="1" s="1"/>
  <c r="BB121" i="4" s="1"/>
  <c r="BC121" i="4" s="1"/>
  <c r="AD316" i="1" a="1"/>
  <c r="AD316" i="1" s="1"/>
  <c r="AB316" i="1"/>
  <c r="AC316" i="1"/>
  <c r="AE316" i="1"/>
  <c r="AF316" i="1"/>
  <c r="BI316" i="1"/>
  <c r="BJ316" i="1"/>
  <c r="BH316" i="1"/>
  <c r="AB274" i="1"/>
  <c r="AC274" i="1"/>
  <c r="AD274" i="1" a="1"/>
  <c r="AD274" i="1" s="1"/>
  <c r="AF274" i="1"/>
  <c r="AE274" i="1"/>
  <c r="BI274" i="1"/>
  <c r="BJ274" i="1"/>
  <c r="BH274" i="1"/>
  <c r="AB298" i="1"/>
  <c r="AC298" i="1"/>
  <c r="AD298" i="1" a="1"/>
  <c r="AD298" i="1" s="1"/>
  <c r="AF298" i="1"/>
  <c r="AE298" i="1"/>
  <c r="BI298" i="1"/>
  <c r="BJ298" i="1"/>
  <c r="BH298" i="1"/>
  <c r="AB256" i="1"/>
  <c r="AC256" i="1"/>
  <c r="AD256" i="1" a="1"/>
  <c r="AD256" i="1" s="1"/>
  <c r="AE256" i="1"/>
  <c r="AF256" i="1"/>
  <c r="BI256" i="1"/>
  <c r="BJ256" i="1"/>
  <c r="BH256" i="1"/>
  <c r="AB39" i="1"/>
  <c r="AC39" i="1"/>
  <c r="AD39" i="1" a="1"/>
  <c r="AD39" i="1" s="1"/>
  <c r="AF39" i="1"/>
  <c r="AE39" i="1"/>
  <c r="BJ39" i="1"/>
  <c r="BH39" i="1"/>
  <c r="BI39" i="1"/>
  <c r="AC327" i="1"/>
  <c r="AB327" i="1"/>
  <c r="AF327" i="1"/>
  <c r="AE327" i="1"/>
  <c r="AD327" i="1" a="1"/>
  <c r="AD327" i="1" s="1"/>
  <c r="BJ327" i="1"/>
  <c r="BH327" i="1"/>
  <c r="BI327" i="1"/>
  <c r="AC255" i="1"/>
  <c r="AB255" i="1"/>
  <c r="AF255" i="1"/>
  <c r="AD255" i="1" a="1"/>
  <c r="AD255" i="1" s="1"/>
  <c r="AE255" i="1"/>
  <c r="BJ255" i="1"/>
  <c r="BH255" i="1"/>
  <c r="BI255" i="1"/>
  <c r="AB69" i="1"/>
  <c r="AC69" i="1"/>
  <c r="AD69" i="1" a="1"/>
  <c r="AD69" i="1" s="1"/>
  <c r="AF69" i="1"/>
  <c r="AE69" i="1"/>
  <c r="BJ69" i="1"/>
  <c r="BH69" i="1"/>
  <c r="BI69" i="1"/>
  <c r="AC276" i="1"/>
  <c r="AB276" i="1"/>
  <c r="AD276" i="1" a="1"/>
  <c r="AD276" i="1" s="1"/>
  <c r="AE276" i="1"/>
  <c r="AF276" i="1"/>
  <c r="BH276" i="1"/>
  <c r="BI276" i="1"/>
  <c r="BJ276" i="1"/>
  <c r="AB135" i="1"/>
  <c r="AC135" i="1"/>
  <c r="AD135" i="1" a="1"/>
  <c r="AD135" i="1" s="1"/>
  <c r="AF135" i="1"/>
  <c r="AE135" i="1"/>
  <c r="BJ135" i="1"/>
  <c r="BH135" i="1"/>
  <c r="BI135" i="1"/>
  <c r="AC201" i="1"/>
  <c r="AB201" i="1"/>
  <c r="AD201" i="1" a="1"/>
  <c r="AD201" i="1" s="1"/>
  <c r="AF201" i="1"/>
  <c r="AE201" i="1"/>
  <c r="BJ201" i="1"/>
  <c r="BH201" i="1"/>
  <c r="BI201" i="1"/>
  <c r="AC273" i="1"/>
  <c r="AB273" i="1"/>
  <c r="AF273" i="1"/>
  <c r="AD273" i="1" a="1"/>
  <c r="AD273" i="1" s="1"/>
  <c r="AE273" i="1"/>
  <c r="BJ273" i="1"/>
  <c r="BH273" i="1"/>
  <c r="BI273" i="1"/>
  <c r="AB123" i="1"/>
  <c r="AC123" i="1"/>
  <c r="AD123" i="1" a="1"/>
  <c r="AD123" i="1" s="1"/>
  <c r="AF123" i="1"/>
  <c r="AE123" i="1"/>
  <c r="BJ123" i="1"/>
  <c r="BH123" i="1"/>
  <c r="BI123" i="1"/>
  <c r="AC270" i="1"/>
  <c r="AB270" i="1"/>
  <c r="AD270" i="1" a="1"/>
  <c r="AD270" i="1" s="1"/>
  <c r="AE270" i="1"/>
  <c r="AF270" i="1"/>
  <c r="BH270" i="1"/>
  <c r="BI270" i="1"/>
  <c r="BJ270" i="1"/>
  <c r="AB117" i="1"/>
  <c r="AC117" i="1"/>
  <c r="AD117" i="1" a="1"/>
  <c r="AD117" i="1" s="1"/>
  <c r="AF117" i="1"/>
  <c r="AE117" i="1"/>
  <c r="BJ117" i="1"/>
  <c r="BH117" i="1"/>
  <c r="BI117" i="1"/>
  <c r="AB320" i="1"/>
  <c r="AC320" i="1"/>
  <c r="AE320" i="1"/>
  <c r="AD320" i="1" a="1"/>
  <c r="AD320" i="1" s="1"/>
  <c r="AF320" i="1"/>
  <c r="BJ320" i="1"/>
  <c r="BH320" i="1"/>
  <c r="BI320" i="1"/>
  <c r="AB284" i="1"/>
  <c r="AC284" i="1"/>
  <c r="AD284" i="1" a="1"/>
  <c r="AD284" i="1" s="1"/>
  <c r="AE284" i="1"/>
  <c r="AF284" i="1"/>
  <c r="BJ284" i="1"/>
  <c r="BH284" i="1"/>
  <c r="BI284" i="1"/>
  <c r="AB248" i="1"/>
  <c r="AC248" i="1"/>
  <c r="AD248" i="1" a="1"/>
  <c r="AD248" i="1" s="1"/>
  <c r="AE248" i="1"/>
  <c r="AF248" i="1"/>
  <c r="BJ248" i="1"/>
  <c r="BH248" i="1"/>
  <c r="BI248" i="1"/>
  <c r="AB212" i="1"/>
  <c r="AC212" i="1"/>
  <c r="AD212" i="1" a="1"/>
  <c r="AD212" i="1" s="1"/>
  <c r="AE212" i="1"/>
  <c r="AF212" i="1"/>
  <c r="BJ212" i="1"/>
  <c r="BH212" i="1"/>
  <c r="BI212" i="1"/>
  <c r="AB176" i="1"/>
  <c r="AC176" i="1"/>
  <c r="AD176" i="1" a="1"/>
  <c r="AD176" i="1" s="1"/>
  <c r="AE176" i="1"/>
  <c r="AF176" i="1"/>
  <c r="BJ176" i="1"/>
  <c r="BH176" i="1"/>
  <c r="BI176" i="1"/>
  <c r="AB140" i="1"/>
  <c r="AC140" i="1"/>
  <c r="AD140" i="1" a="1"/>
  <c r="AD140" i="1" s="1"/>
  <c r="AE140" i="1"/>
  <c r="AF140" i="1"/>
  <c r="BJ140" i="1"/>
  <c r="BH140" i="1"/>
  <c r="BI140" i="1"/>
  <c r="AB104" i="1"/>
  <c r="AC104" i="1"/>
  <c r="AD104" i="1" a="1"/>
  <c r="AD104" i="1" s="1"/>
  <c r="AE104" i="1"/>
  <c r="AF104" i="1"/>
  <c r="BJ104" i="1"/>
  <c r="BH104" i="1"/>
  <c r="BI104" i="1"/>
  <c r="AB68" i="1"/>
  <c r="AC68" i="1"/>
  <c r="AD68" i="1" a="1"/>
  <c r="AD68" i="1" s="1"/>
  <c r="AE68" i="1"/>
  <c r="AF68" i="1"/>
  <c r="BJ68" i="1"/>
  <c r="BH68" i="1"/>
  <c r="BI68" i="1"/>
  <c r="AB32" i="1"/>
  <c r="AC32" i="1"/>
  <c r="AD32" i="1" a="1"/>
  <c r="AD32" i="1" s="1"/>
  <c r="AE32" i="1"/>
  <c r="AF32" i="1"/>
  <c r="BJ32" i="1"/>
  <c r="BH32" i="1"/>
  <c r="BI32" i="1"/>
  <c r="AC325" i="1"/>
  <c r="AB325" i="1"/>
  <c r="AE325" i="1"/>
  <c r="AF325" i="1"/>
  <c r="AD325" i="1" a="1"/>
  <c r="AD325" i="1" s="1"/>
  <c r="BH325" i="1"/>
  <c r="BI325" i="1"/>
  <c r="BJ325" i="1"/>
  <c r="AC289" i="1"/>
  <c r="AB289" i="1"/>
  <c r="AD289" i="1" a="1"/>
  <c r="AD289" i="1" s="1"/>
  <c r="AE289" i="1"/>
  <c r="AF289" i="1"/>
  <c r="BH289" i="1"/>
  <c r="BI289" i="1"/>
  <c r="BJ289" i="1"/>
  <c r="AC253" i="1"/>
  <c r="AB253" i="1"/>
  <c r="AE253" i="1"/>
  <c r="AD253" i="1" a="1"/>
  <c r="AD253" i="1" s="1"/>
  <c r="AF253" i="1"/>
  <c r="BH253" i="1"/>
  <c r="BI253" i="1"/>
  <c r="BJ253" i="1"/>
  <c r="AC217" i="1"/>
  <c r="AB217" i="1"/>
  <c r="AE217" i="1"/>
  <c r="AD217" i="1" a="1"/>
  <c r="AD217" i="1" s="1"/>
  <c r="AF217" i="1"/>
  <c r="BH217" i="1"/>
  <c r="BI217" i="1"/>
  <c r="BJ217" i="1"/>
  <c r="AC181" i="1"/>
  <c r="AD181" i="1" a="1"/>
  <c r="AD181" i="1" s="1"/>
  <c r="AB181" i="1"/>
  <c r="AE181" i="1"/>
  <c r="AF181" i="1"/>
  <c r="BH181" i="1"/>
  <c r="BI181" i="1"/>
  <c r="BJ181" i="1"/>
  <c r="AB145" i="1"/>
  <c r="AC145" i="1"/>
  <c r="AD145" i="1" a="1"/>
  <c r="AD145" i="1" s="1"/>
  <c r="AE145" i="1"/>
  <c r="AF145" i="1"/>
  <c r="BH145" i="1"/>
  <c r="BI145" i="1"/>
  <c r="BJ145" i="1"/>
  <c r="AB109" i="1"/>
  <c r="AC109" i="1"/>
  <c r="AD109" i="1" a="1"/>
  <c r="AD109" i="1" s="1"/>
  <c r="AE109" i="1"/>
  <c r="AF109" i="1"/>
  <c r="BH109" i="1"/>
  <c r="BI109" i="1"/>
  <c r="BJ109" i="1"/>
  <c r="AB73" i="1"/>
  <c r="AC73" i="1"/>
  <c r="AD73" i="1" a="1"/>
  <c r="AD73" i="1" s="1"/>
  <c r="AE73" i="1"/>
  <c r="AF73" i="1"/>
  <c r="BH73" i="1"/>
  <c r="BI73" i="1"/>
  <c r="BJ73" i="1"/>
  <c r="AB37" i="1"/>
  <c r="AC37" i="1"/>
  <c r="AD37" i="1" a="1"/>
  <c r="AD37" i="1" s="1"/>
  <c r="AE37" i="1"/>
  <c r="AF37" i="1"/>
  <c r="BH37" i="1"/>
  <c r="BI37" i="1"/>
  <c r="BJ37" i="1"/>
  <c r="AC240" i="1"/>
  <c r="AB240" i="1"/>
  <c r="AD240" i="1" a="1"/>
  <c r="AD240" i="1" s="1"/>
  <c r="AE240" i="1"/>
  <c r="AF240" i="1"/>
  <c r="BH240" i="1"/>
  <c r="BI240" i="1"/>
  <c r="BJ240" i="1"/>
  <c r="AB204" i="1"/>
  <c r="AC204" i="1"/>
  <c r="AD204" i="1" a="1"/>
  <c r="AD204" i="1" s="1"/>
  <c r="AE204" i="1"/>
  <c r="AF204" i="1"/>
  <c r="BH204" i="1"/>
  <c r="BI204" i="1"/>
  <c r="BJ204" i="1"/>
  <c r="AB168" i="1"/>
  <c r="AC168" i="1"/>
  <c r="AD168" i="1" a="1"/>
  <c r="AD168" i="1" s="1"/>
  <c r="AE168" i="1"/>
  <c r="AF168" i="1"/>
  <c r="BH168" i="1"/>
  <c r="BI168" i="1"/>
  <c r="BJ168" i="1"/>
  <c r="AB132" i="1"/>
  <c r="AC132" i="1"/>
  <c r="AD132" i="1" a="1"/>
  <c r="AD132" i="1" s="1"/>
  <c r="AE132" i="1"/>
  <c r="AF132" i="1"/>
  <c r="BH132" i="1"/>
  <c r="BI132" i="1"/>
  <c r="BJ132" i="1"/>
  <c r="AB96" i="1"/>
  <c r="AC96" i="1"/>
  <c r="AD96" i="1" a="1"/>
  <c r="AD96" i="1" s="1"/>
  <c r="AE96" i="1"/>
  <c r="AF96" i="1"/>
  <c r="BH96" i="1"/>
  <c r="BI96" i="1"/>
  <c r="BJ96" i="1"/>
  <c r="AB60" i="1"/>
  <c r="AC60" i="1"/>
  <c r="AD60" i="1" a="1"/>
  <c r="AD60" i="1" s="1"/>
  <c r="AE60" i="1"/>
  <c r="AF60" i="1"/>
  <c r="BH60" i="1"/>
  <c r="BI60" i="1"/>
  <c r="BJ60" i="1"/>
  <c r="AB24" i="1"/>
  <c r="AC24" i="1"/>
  <c r="AD24" i="1" a="1"/>
  <c r="AD24" i="1" s="1"/>
  <c r="AE24" i="1"/>
  <c r="AF24" i="1"/>
  <c r="BH24" i="1"/>
  <c r="BI24" i="1"/>
  <c r="BJ24" i="1"/>
  <c r="AB317" i="1"/>
  <c r="AC317" i="1"/>
  <c r="AE317" i="1"/>
  <c r="AD317" i="1" a="1"/>
  <c r="AD317" i="1" s="1"/>
  <c r="AF317" i="1"/>
  <c r="BI317" i="1"/>
  <c r="BJ317" i="1"/>
  <c r="BH317" i="1"/>
  <c r="AB281" i="1"/>
  <c r="AC281" i="1"/>
  <c r="AD281" i="1" a="1"/>
  <c r="AD281" i="1" s="1"/>
  <c r="AE281" i="1"/>
  <c r="AF281" i="1"/>
  <c r="BI281" i="1"/>
  <c r="BJ281" i="1"/>
  <c r="BH281" i="1"/>
  <c r="AB245" i="1"/>
  <c r="AC245" i="1"/>
  <c r="AD245" i="1" a="1"/>
  <c r="AD245" i="1" s="1"/>
  <c r="AE245" i="1"/>
  <c r="AF245" i="1"/>
  <c r="BI245" i="1"/>
  <c r="BJ245" i="1"/>
  <c r="BH245" i="1"/>
  <c r="AC209" i="1"/>
  <c r="AD209" i="1" a="1"/>
  <c r="AD209" i="1" s="1"/>
  <c r="AB209" i="1"/>
  <c r="AE209" i="1"/>
  <c r="AF209" i="1"/>
  <c r="BI209" i="1"/>
  <c r="BJ209" i="1"/>
  <c r="BH209" i="1"/>
  <c r="AB173" i="1"/>
  <c r="AC173" i="1"/>
  <c r="AD173" i="1" a="1"/>
  <c r="AD173" i="1" s="1"/>
  <c r="AE173" i="1"/>
  <c r="AF173" i="1"/>
  <c r="BI173" i="1"/>
  <c r="BJ173" i="1"/>
  <c r="BH173" i="1"/>
  <c r="AB137" i="1"/>
  <c r="AC137" i="1"/>
  <c r="AD137" i="1" a="1"/>
  <c r="AD137" i="1" s="1"/>
  <c r="AE137" i="1"/>
  <c r="AF137" i="1"/>
  <c r="BI137" i="1"/>
  <c r="BJ137" i="1"/>
  <c r="BH137" i="1"/>
  <c r="AB101" i="1"/>
  <c r="AC101" i="1"/>
  <c r="AD101" i="1" a="1"/>
  <c r="AD101" i="1" s="1"/>
  <c r="AE101" i="1"/>
  <c r="AF101" i="1"/>
  <c r="BI101" i="1"/>
  <c r="BJ101" i="1"/>
  <c r="BH101" i="1"/>
  <c r="AB65" i="1"/>
  <c r="AC65" i="1"/>
  <c r="AD65" i="1" a="1"/>
  <c r="AD65" i="1" s="1"/>
  <c r="AE65" i="1"/>
  <c r="AF65" i="1"/>
  <c r="BI65" i="1"/>
  <c r="BJ65" i="1"/>
  <c r="BH65" i="1"/>
  <c r="AB29" i="1"/>
  <c r="AC29" i="1"/>
  <c r="AD29" i="1" a="1"/>
  <c r="AD29" i="1" s="1"/>
  <c r="AE29" i="1"/>
  <c r="AF29" i="1"/>
  <c r="BI29" i="1"/>
  <c r="BJ29" i="1"/>
  <c r="BH29" i="1"/>
  <c r="AB226" i="1"/>
  <c r="AC226" i="1"/>
  <c r="AD226" i="1" a="1"/>
  <c r="AD226" i="1" s="1"/>
  <c r="AF226" i="1"/>
  <c r="AE226" i="1"/>
  <c r="BI226" i="1"/>
  <c r="BJ226" i="1"/>
  <c r="BH226" i="1"/>
  <c r="AB190" i="1"/>
  <c r="AC190" i="1"/>
  <c r="AD190" i="1" a="1"/>
  <c r="AD190" i="1" s="1"/>
  <c r="AF190" i="1"/>
  <c r="AE190" i="1"/>
  <c r="BI190" i="1"/>
  <c r="BJ190" i="1"/>
  <c r="BH190" i="1"/>
  <c r="AB154" i="1"/>
  <c r="AC154" i="1"/>
  <c r="AD154" i="1" a="1"/>
  <c r="AD154" i="1" s="1"/>
  <c r="AF154" i="1"/>
  <c r="AE154" i="1"/>
  <c r="BI154" i="1"/>
  <c r="BJ154" i="1"/>
  <c r="BH154" i="1"/>
  <c r="AB118" i="1"/>
  <c r="AC118" i="1"/>
  <c r="AD118" i="1" a="1"/>
  <c r="AD118" i="1" s="1"/>
  <c r="AF118" i="1"/>
  <c r="AE118" i="1"/>
  <c r="BI118" i="1"/>
  <c r="BJ118" i="1"/>
  <c r="BH118" i="1"/>
  <c r="AB82" i="1"/>
  <c r="AC82" i="1"/>
  <c r="AD82" i="1" a="1"/>
  <c r="AD82" i="1" s="1"/>
  <c r="AF82" i="1"/>
  <c r="AE82" i="1"/>
  <c r="BI82" i="1"/>
  <c r="BJ82" i="1"/>
  <c r="BH82" i="1"/>
  <c r="AB46" i="1"/>
  <c r="AC46" i="1"/>
  <c r="AD46" i="1" a="1"/>
  <c r="AD46" i="1" s="1"/>
  <c r="AF46" i="1"/>
  <c r="AE46" i="1"/>
  <c r="BI46" i="1"/>
  <c r="BJ46" i="1"/>
  <c r="BH46" i="1"/>
  <c r="AB10" i="1"/>
  <c r="AC10" i="1"/>
  <c r="AD10" i="1" a="1"/>
  <c r="AD10" i="1" s="1"/>
  <c r="AF10" i="1"/>
  <c r="AE10" i="1"/>
  <c r="BI10" i="1"/>
  <c r="BJ10" i="1"/>
  <c r="BH10" i="1"/>
  <c r="L333" i="1"/>
  <c r="AV333" i="1"/>
  <c r="BB333" i="4" s="1"/>
  <c r="BC333" i="4" s="1"/>
  <c r="L50" i="1"/>
  <c r="L223" i="1"/>
  <c r="AV223" i="1" s="1"/>
  <c r="BB223" i="4" s="1"/>
  <c r="BC223" i="4" s="1"/>
  <c r="AB334" i="1"/>
  <c r="AC334" i="1"/>
  <c r="AD334" i="1" a="1"/>
  <c r="AD334" i="1" s="1"/>
  <c r="AF334" i="1"/>
  <c r="AE334" i="1"/>
  <c r="BI334" i="1"/>
  <c r="BJ334" i="1"/>
  <c r="BH334" i="1"/>
  <c r="AD280" i="1" a="1"/>
  <c r="AD280" i="1" s="1"/>
  <c r="AB280" i="1"/>
  <c r="AC280" i="1"/>
  <c r="AE280" i="1"/>
  <c r="AF280" i="1"/>
  <c r="BI280" i="1"/>
  <c r="BJ280" i="1"/>
  <c r="BH280" i="1"/>
  <c r="AB183" i="1"/>
  <c r="AC183" i="1"/>
  <c r="AD183" i="1" a="1"/>
  <c r="AD183" i="1" s="1"/>
  <c r="AF183" i="1"/>
  <c r="AE183" i="1"/>
  <c r="BJ183" i="1"/>
  <c r="BH183" i="1"/>
  <c r="BI183" i="1"/>
  <c r="AB262" i="1"/>
  <c r="AC262" i="1"/>
  <c r="AD262" i="1" a="1"/>
  <c r="AD262" i="1" s="1"/>
  <c r="AF262" i="1"/>
  <c r="AE262" i="1"/>
  <c r="BI262" i="1"/>
  <c r="BJ262" i="1"/>
  <c r="BH262" i="1"/>
  <c r="AB75" i="1"/>
  <c r="AC75" i="1"/>
  <c r="AD75" i="1" a="1"/>
  <c r="AD75" i="1" s="1"/>
  <c r="AF75" i="1"/>
  <c r="AE75" i="1"/>
  <c r="BJ75" i="1"/>
  <c r="BH75" i="1"/>
  <c r="BI75" i="1"/>
  <c r="AC315" i="1"/>
  <c r="AB315" i="1"/>
  <c r="AD315" i="1" a="1"/>
  <c r="AD315" i="1" s="1"/>
  <c r="AF315" i="1"/>
  <c r="AE315" i="1"/>
  <c r="BJ315" i="1"/>
  <c r="BH315" i="1"/>
  <c r="BI315" i="1"/>
  <c r="AC243" i="1"/>
  <c r="AB243" i="1"/>
  <c r="AF243" i="1"/>
  <c r="AD243" i="1" a="1"/>
  <c r="AD243" i="1" s="1"/>
  <c r="AE243" i="1"/>
  <c r="BJ243" i="1"/>
  <c r="BH243" i="1"/>
  <c r="BI243" i="1"/>
  <c r="AB33" i="1"/>
  <c r="AC33" i="1"/>
  <c r="AD33" i="1" a="1"/>
  <c r="AD33" i="1" s="1"/>
  <c r="AF33" i="1"/>
  <c r="AE33" i="1"/>
  <c r="BJ33" i="1"/>
  <c r="BH33" i="1"/>
  <c r="BI33" i="1"/>
  <c r="AC336" i="1"/>
  <c r="AB336" i="1"/>
  <c r="AE336" i="1"/>
  <c r="AD336" i="1" a="1"/>
  <c r="AD336" i="1" s="1"/>
  <c r="AF336" i="1"/>
  <c r="BH336" i="1"/>
  <c r="BI336" i="1"/>
  <c r="BJ336" i="1"/>
  <c r="AC264" i="1"/>
  <c r="AB264" i="1"/>
  <c r="AD264" i="1" a="1"/>
  <c r="AD264" i="1" s="1"/>
  <c r="AE264" i="1"/>
  <c r="AF264" i="1"/>
  <c r="BH264" i="1"/>
  <c r="BI264" i="1"/>
  <c r="BJ264" i="1"/>
  <c r="AB99" i="1"/>
  <c r="AC99" i="1"/>
  <c r="AD99" i="1" a="1"/>
  <c r="AD99" i="1" s="1"/>
  <c r="AF99" i="1"/>
  <c r="AE99" i="1"/>
  <c r="BJ99" i="1"/>
  <c r="BH99" i="1"/>
  <c r="BI99" i="1"/>
  <c r="AB165" i="1"/>
  <c r="AC165" i="1"/>
  <c r="AD165" i="1" a="1"/>
  <c r="AD165" i="1" s="1"/>
  <c r="AF165" i="1"/>
  <c r="AE165" i="1"/>
  <c r="BJ165" i="1"/>
  <c r="BH165" i="1"/>
  <c r="BI165" i="1"/>
  <c r="AC333" i="1"/>
  <c r="AB333" i="1"/>
  <c r="AF333" i="1"/>
  <c r="AE333" i="1"/>
  <c r="AD333" i="1" a="1"/>
  <c r="AD333" i="1" s="1"/>
  <c r="BJ333" i="1"/>
  <c r="BH333" i="1"/>
  <c r="BI333" i="1"/>
  <c r="AC261" i="1"/>
  <c r="AB261" i="1"/>
  <c r="AF261" i="1"/>
  <c r="AD261" i="1" a="1"/>
  <c r="AD261" i="1" s="1"/>
  <c r="AE261" i="1"/>
  <c r="BJ261" i="1"/>
  <c r="BH261" i="1"/>
  <c r="BI261" i="1"/>
  <c r="AB87" i="1"/>
  <c r="AC87" i="1"/>
  <c r="AD87" i="1" a="1"/>
  <c r="AD87" i="1" s="1"/>
  <c r="AF87" i="1"/>
  <c r="AE87" i="1"/>
  <c r="BJ87" i="1"/>
  <c r="BH87" i="1"/>
  <c r="BI87" i="1"/>
  <c r="AC330" i="1"/>
  <c r="AB330" i="1"/>
  <c r="AD330" i="1" a="1"/>
  <c r="AD330" i="1" s="1"/>
  <c r="AE330" i="1"/>
  <c r="AF330" i="1"/>
  <c r="BH330" i="1"/>
  <c r="BI330" i="1"/>
  <c r="BJ330" i="1"/>
  <c r="AC258" i="1"/>
  <c r="AB258" i="1"/>
  <c r="AD258" i="1" a="1"/>
  <c r="AD258" i="1" s="1"/>
  <c r="AE258" i="1"/>
  <c r="AF258" i="1"/>
  <c r="BH258" i="1"/>
  <c r="BI258" i="1"/>
  <c r="BJ258" i="1"/>
  <c r="AB81" i="1"/>
  <c r="AC81" i="1"/>
  <c r="AD81" i="1" a="1"/>
  <c r="AD81" i="1" s="1"/>
  <c r="AF81" i="1"/>
  <c r="AE81" i="1"/>
  <c r="BJ81" i="1"/>
  <c r="BH81" i="1"/>
  <c r="BI81" i="1"/>
  <c r="AB314" i="1"/>
  <c r="AC314" i="1"/>
  <c r="AD314" i="1" a="1"/>
  <c r="AD314" i="1" s="1"/>
  <c r="AF314" i="1"/>
  <c r="AE314" i="1"/>
  <c r="BJ314" i="1"/>
  <c r="BH314" i="1"/>
  <c r="BI314" i="1"/>
  <c r="AB278" i="1"/>
  <c r="AC278" i="1"/>
  <c r="AD278" i="1" a="1"/>
  <c r="AD278" i="1" s="1"/>
  <c r="AF278" i="1"/>
  <c r="AE278" i="1"/>
  <c r="BJ278" i="1"/>
  <c r="BH278" i="1"/>
  <c r="BI278" i="1"/>
  <c r="AB242" i="1"/>
  <c r="AC242" i="1"/>
  <c r="AD242" i="1" a="1"/>
  <c r="AD242" i="1" s="1"/>
  <c r="AF242" i="1"/>
  <c r="AE242" i="1"/>
  <c r="BJ242" i="1"/>
  <c r="BH242" i="1"/>
  <c r="BI242" i="1"/>
  <c r="AB206" i="1"/>
  <c r="AC206" i="1"/>
  <c r="AD206" i="1" a="1"/>
  <c r="AD206" i="1" s="1"/>
  <c r="AF206" i="1"/>
  <c r="AE206" i="1"/>
  <c r="BJ206" i="1"/>
  <c r="BH206" i="1"/>
  <c r="BI206" i="1"/>
  <c r="AB170" i="1"/>
  <c r="AC170" i="1"/>
  <c r="AD170" i="1" a="1"/>
  <c r="AD170" i="1" s="1"/>
  <c r="AF170" i="1"/>
  <c r="AE170" i="1"/>
  <c r="BJ170" i="1"/>
  <c r="BH170" i="1"/>
  <c r="BI170" i="1"/>
  <c r="AB134" i="1"/>
  <c r="AC134" i="1"/>
  <c r="AD134" i="1" a="1"/>
  <c r="AD134" i="1" s="1"/>
  <c r="AF134" i="1"/>
  <c r="AE134" i="1"/>
  <c r="BJ134" i="1"/>
  <c r="BH134" i="1"/>
  <c r="BI134" i="1"/>
  <c r="AB98" i="1"/>
  <c r="AC98" i="1"/>
  <c r="AD98" i="1" a="1"/>
  <c r="AD98" i="1" s="1"/>
  <c r="AF98" i="1"/>
  <c r="AE98" i="1"/>
  <c r="BJ98" i="1"/>
  <c r="BH98" i="1"/>
  <c r="BI98" i="1"/>
  <c r="AB62" i="1"/>
  <c r="AC62" i="1"/>
  <c r="AD62" i="1" a="1"/>
  <c r="AD62" i="1" s="1"/>
  <c r="AF62" i="1"/>
  <c r="AE62" i="1"/>
  <c r="BJ62" i="1"/>
  <c r="BH62" i="1"/>
  <c r="BI62" i="1"/>
  <c r="AB26" i="1"/>
  <c r="AC26" i="1"/>
  <c r="AD26" i="1" a="1"/>
  <c r="AD26" i="1" s="1"/>
  <c r="AF26" i="1"/>
  <c r="AE26" i="1"/>
  <c r="BJ26" i="1"/>
  <c r="BH26" i="1"/>
  <c r="BI26" i="1"/>
  <c r="AC319" i="1"/>
  <c r="AB319" i="1"/>
  <c r="AD319" i="1" a="1"/>
  <c r="AD319" i="1" s="1"/>
  <c r="AE319" i="1"/>
  <c r="AF319" i="1"/>
  <c r="BH319" i="1"/>
  <c r="BI319" i="1"/>
  <c r="BJ319" i="1"/>
  <c r="AC283" i="1"/>
  <c r="AB283" i="1"/>
  <c r="AD283" i="1" a="1"/>
  <c r="AD283" i="1" s="1"/>
  <c r="AE283" i="1"/>
  <c r="AF283" i="1"/>
  <c r="BH283" i="1"/>
  <c r="BI283" i="1"/>
  <c r="BJ283" i="1"/>
  <c r="AC247" i="1"/>
  <c r="AB247" i="1"/>
  <c r="AE247" i="1"/>
  <c r="AF247" i="1"/>
  <c r="AD247" i="1" a="1"/>
  <c r="AD247" i="1" s="1"/>
  <c r="BH247" i="1"/>
  <c r="BI247" i="1"/>
  <c r="BJ247" i="1"/>
  <c r="AC211" i="1"/>
  <c r="AB211" i="1"/>
  <c r="AE211" i="1"/>
  <c r="AF211" i="1"/>
  <c r="AD211" i="1" a="1"/>
  <c r="AD211" i="1" s="1"/>
  <c r="BH211" i="1"/>
  <c r="BI211" i="1"/>
  <c r="BJ211" i="1"/>
  <c r="AC175" i="1"/>
  <c r="AD175" i="1" a="1"/>
  <c r="AD175" i="1" s="1"/>
  <c r="AB175" i="1"/>
  <c r="AE175" i="1"/>
  <c r="AF175" i="1"/>
  <c r="BH175" i="1"/>
  <c r="BI175" i="1"/>
  <c r="BJ175" i="1"/>
  <c r="AB139" i="1"/>
  <c r="AC139" i="1"/>
  <c r="AD139" i="1" a="1"/>
  <c r="AD139" i="1" s="1"/>
  <c r="AE139" i="1"/>
  <c r="AF139" i="1"/>
  <c r="BH139" i="1"/>
  <c r="BI139" i="1"/>
  <c r="BJ139" i="1"/>
  <c r="AB103" i="1"/>
  <c r="AC103" i="1"/>
  <c r="AD103" i="1" a="1"/>
  <c r="AD103" i="1" s="1"/>
  <c r="AE103" i="1"/>
  <c r="AF103" i="1"/>
  <c r="BH103" i="1"/>
  <c r="BI103" i="1"/>
  <c r="BJ103" i="1"/>
  <c r="AB67" i="1"/>
  <c r="AC67" i="1"/>
  <c r="AD67" i="1" a="1"/>
  <c r="AD67" i="1" s="1"/>
  <c r="AE67" i="1"/>
  <c r="AF67" i="1"/>
  <c r="BH67" i="1"/>
  <c r="BI67" i="1"/>
  <c r="BJ67" i="1"/>
  <c r="AB31" i="1"/>
  <c r="AC31" i="1"/>
  <c r="AD31" i="1" a="1"/>
  <c r="AD31" i="1" s="1"/>
  <c r="AE31" i="1"/>
  <c r="AF31" i="1"/>
  <c r="BH31" i="1"/>
  <c r="BI31" i="1"/>
  <c r="BJ31" i="1"/>
  <c r="AB234" i="1"/>
  <c r="AC234" i="1"/>
  <c r="AD234" i="1" a="1"/>
  <c r="AD234" i="1" s="1"/>
  <c r="AE234" i="1"/>
  <c r="AF234" i="1"/>
  <c r="BH234" i="1"/>
  <c r="BI234" i="1"/>
  <c r="BJ234" i="1"/>
  <c r="AB198" i="1"/>
  <c r="AC198" i="1"/>
  <c r="AD198" i="1" a="1"/>
  <c r="AD198" i="1" s="1"/>
  <c r="AE198" i="1"/>
  <c r="AF198" i="1"/>
  <c r="BH198" i="1"/>
  <c r="BI198" i="1"/>
  <c r="BJ198" i="1"/>
  <c r="AB162" i="1"/>
  <c r="AC162" i="1"/>
  <c r="AD162" i="1" a="1"/>
  <c r="AD162" i="1" s="1"/>
  <c r="AE162" i="1"/>
  <c r="AF162" i="1"/>
  <c r="BH162" i="1"/>
  <c r="BI162" i="1"/>
  <c r="BJ162" i="1"/>
  <c r="AB126" i="1"/>
  <c r="AC126" i="1"/>
  <c r="AD126" i="1" a="1"/>
  <c r="AD126" i="1" s="1"/>
  <c r="AE126" i="1"/>
  <c r="AF126" i="1"/>
  <c r="BH126" i="1"/>
  <c r="BI126" i="1"/>
  <c r="BJ126" i="1"/>
  <c r="AB90" i="1"/>
  <c r="AC90" i="1"/>
  <c r="AD90" i="1" a="1"/>
  <c r="AD90" i="1" s="1"/>
  <c r="AE90" i="1"/>
  <c r="AF90" i="1"/>
  <c r="BH90" i="1"/>
  <c r="BI90" i="1"/>
  <c r="BJ90" i="1"/>
  <c r="AB54" i="1"/>
  <c r="AC54" i="1"/>
  <c r="AD54" i="1" a="1"/>
  <c r="AD54" i="1" s="1"/>
  <c r="AE54" i="1"/>
  <c r="AF54" i="1"/>
  <c r="BH54" i="1"/>
  <c r="BI54" i="1"/>
  <c r="BJ54" i="1"/>
  <c r="AB18" i="1"/>
  <c r="AC18" i="1"/>
  <c r="AD18" i="1" a="1"/>
  <c r="AD18" i="1" s="1"/>
  <c r="AE18" i="1"/>
  <c r="AF18" i="1"/>
  <c r="BH18" i="1"/>
  <c r="BI18" i="1"/>
  <c r="BJ18" i="1"/>
  <c r="AB311" i="1"/>
  <c r="AC311" i="1"/>
  <c r="AE311" i="1"/>
  <c r="AF311" i="1"/>
  <c r="AD311" i="1" a="1"/>
  <c r="AD311" i="1" s="1"/>
  <c r="BI311" i="1"/>
  <c r="BJ311" i="1"/>
  <c r="BH311" i="1"/>
  <c r="AB275" i="1"/>
  <c r="AD275" i="1" a="1"/>
  <c r="AD275" i="1" s="1"/>
  <c r="AC275" i="1"/>
  <c r="AE275" i="1"/>
  <c r="AF275" i="1"/>
  <c r="BI275" i="1"/>
  <c r="BJ275" i="1"/>
  <c r="BH275" i="1"/>
  <c r="AB239" i="1"/>
  <c r="AD239" i="1" a="1"/>
  <c r="AD239" i="1" s="1"/>
  <c r="AC239" i="1"/>
  <c r="AE239" i="1"/>
  <c r="AF239" i="1"/>
  <c r="BI239" i="1"/>
  <c r="BJ239" i="1"/>
  <c r="BH239" i="1"/>
  <c r="AB203" i="1"/>
  <c r="AD203" i="1" a="1"/>
  <c r="AD203" i="1" s="1"/>
  <c r="AC203" i="1"/>
  <c r="AE203" i="1"/>
  <c r="AF203" i="1"/>
  <c r="BI203" i="1"/>
  <c r="BJ203" i="1"/>
  <c r="BH203" i="1"/>
  <c r="AB167" i="1"/>
  <c r="AD167" i="1" a="1"/>
  <c r="AD167" i="1" s="1"/>
  <c r="AC167" i="1"/>
  <c r="AE167" i="1"/>
  <c r="AF167" i="1"/>
  <c r="BI167" i="1"/>
  <c r="BJ167" i="1"/>
  <c r="BH167" i="1"/>
  <c r="AB131" i="1"/>
  <c r="AD131" i="1" a="1"/>
  <c r="AD131" i="1" s="1"/>
  <c r="AC131" i="1"/>
  <c r="AE131" i="1"/>
  <c r="AF131" i="1"/>
  <c r="BI131" i="1"/>
  <c r="BJ131" i="1"/>
  <c r="BH131" i="1"/>
  <c r="AB95" i="1"/>
  <c r="AD95" i="1" a="1"/>
  <c r="AD95" i="1" s="1"/>
  <c r="AC95" i="1"/>
  <c r="AE95" i="1"/>
  <c r="AF95" i="1"/>
  <c r="BI95" i="1"/>
  <c r="BJ95" i="1"/>
  <c r="BH95" i="1"/>
  <c r="AB59" i="1"/>
  <c r="AD59" i="1" a="1"/>
  <c r="AD59" i="1" s="1"/>
  <c r="AC59" i="1"/>
  <c r="AE59" i="1"/>
  <c r="AF59" i="1"/>
  <c r="BI59" i="1"/>
  <c r="BJ59" i="1"/>
  <c r="BH59" i="1"/>
  <c r="AB23" i="1"/>
  <c r="AD23" i="1" a="1"/>
  <c r="AD23" i="1" s="1"/>
  <c r="AC23" i="1"/>
  <c r="AE23" i="1"/>
  <c r="AF23" i="1"/>
  <c r="BI23" i="1"/>
  <c r="BJ23" i="1"/>
  <c r="BH23" i="1"/>
  <c r="AB220" i="1"/>
  <c r="AC220" i="1"/>
  <c r="AD220" i="1" a="1"/>
  <c r="AD220" i="1" s="1"/>
  <c r="AE220" i="1"/>
  <c r="AF220" i="1"/>
  <c r="BI220" i="1"/>
  <c r="BJ220" i="1"/>
  <c r="BH220" i="1"/>
  <c r="AB184" i="1"/>
  <c r="AD184" i="1" a="1"/>
  <c r="AD184" i="1" s="1"/>
  <c r="AC184" i="1"/>
  <c r="AE184" i="1"/>
  <c r="AF184" i="1"/>
  <c r="BI184" i="1"/>
  <c r="BJ184" i="1"/>
  <c r="BH184" i="1"/>
  <c r="AB148" i="1"/>
  <c r="AD148" i="1" a="1"/>
  <c r="AD148" i="1" s="1"/>
  <c r="AC148" i="1"/>
  <c r="AE148" i="1"/>
  <c r="AF148" i="1"/>
  <c r="BI148" i="1"/>
  <c r="BJ148" i="1"/>
  <c r="BH148" i="1"/>
  <c r="AB112" i="1"/>
  <c r="AD112" i="1" a="1"/>
  <c r="AD112" i="1" s="1"/>
  <c r="AC112" i="1"/>
  <c r="AE112" i="1"/>
  <c r="AF112" i="1"/>
  <c r="BI112" i="1"/>
  <c r="BJ112" i="1"/>
  <c r="BH112" i="1"/>
  <c r="AB76" i="1"/>
  <c r="AD76" i="1" a="1"/>
  <c r="AD76" i="1" s="1"/>
  <c r="AC76" i="1"/>
  <c r="AE76" i="1"/>
  <c r="AF76" i="1"/>
  <c r="BI76" i="1"/>
  <c r="BJ76" i="1"/>
  <c r="BH76" i="1"/>
  <c r="AB40" i="1"/>
  <c r="AD40" i="1" a="1"/>
  <c r="AD40" i="1" s="1"/>
  <c r="AC40" i="1"/>
  <c r="AE40" i="1"/>
  <c r="AF40" i="1"/>
  <c r="BI40" i="1"/>
  <c r="BJ40" i="1"/>
  <c r="BH40" i="1"/>
  <c r="J367" i="12"/>
  <c r="I367" i="12"/>
  <c r="K367" i="12" s="1"/>
  <c r="E2" i="13" a="1"/>
  <c r="E2" i="13" s="1"/>
  <c r="E3" i="13" a="1"/>
  <c r="E3" i="13" s="1"/>
  <c r="AV50" i="1" l="1"/>
  <c r="BB50" i="4" s="1"/>
  <c r="BC50" i="4" s="1"/>
  <c r="AV231" i="1"/>
  <c r="BB231" i="4" s="1"/>
  <c r="BC231" i="4" s="1"/>
  <c r="AV208" i="1"/>
  <c r="BB208" i="4" s="1"/>
  <c r="BC208" i="4" s="1"/>
  <c r="AV306" i="1"/>
  <c r="BB306" i="4" s="1"/>
  <c r="BC306" i="4" s="1"/>
  <c r="AX60" i="1"/>
  <c r="AH342" i="4"/>
  <c r="AG342" i="4"/>
  <c r="BB342" i="4" l="1"/>
  <c r="AE342" i="4"/>
  <c r="AF342" i="4"/>
  <c r="AD342" i="4"/>
  <c r="D84" i="6"/>
  <c r="BC342" i="4" l="1"/>
  <c r="D104" i="6" a="1"/>
  <c r="D104" i="6" s="1"/>
  <c r="E14" i="6" a="1"/>
  <c r="E14" i="6" s="1"/>
  <c r="E15" i="6" a="1"/>
  <c r="E15" i="6" s="1"/>
  <c r="E16" i="6" a="1"/>
  <c r="E16" i="6" s="1"/>
  <c r="E17" i="6" a="1"/>
  <c r="E17" i="6" s="1"/>
  <c r="E18" i="6" a="1"/>
  <c r="E18" i="6" s="1"/>
  <c r="E19" i="6" a="1"/>
  <c r="E19" i="6" s="1"/>
  <c r="E20" i="6" a="1"/>
  <c r="E20" i="6" s="1"/>
  <c r="D28" i="6" a="1"/>
  <c r="D28" i="6" s="1"/>
  <c r="C113" i="6" a="1"/>
  <c r="C113" i="6" s="1"/>
  <c r="C114" i="6" a="1"/>
  <c r="C114" i="6" s="1"/>
  <c r="C115" i="6" a="1"/>
  <c r="C115" i="6" s="1"/>
  <c r="H2" i="5" a="1"/>
  <c r="G2" i="5" a="1"/>
  <c r="G2" i="5" l="1"/>
  <c r="H2" i="5"/>
  <c r="D79" i="6" a="1"/>
  <c r="D79" i="6" s="1"/>
  <c r="D63" i="6" a="1"/>
  <c r="D63" i="6" s="1"/>
  <c r="D66" i="6" a="1"/>
  <c r="D66" i="6" s="1"/>
  <c r="D69" i="6" a="1"/>
  <c r="D69" i="6" s="1"/>
  <c r="D77" i="6" a="1"/>
  <c r="D77" i="6" s="1"/>
  <c r="D38" i="6" a="1"/>
  <c r="D38" i="6" s="1"/>
  <c r="D68" i="6" a="1"/>
  <c r="D68" i="6" s="1"/>
  <c r="D76" i="6" a="1"/>
  <c r="D76" i="6" s="1"/>
  <c r="D37" i="6" a="1"/>
  <c r="D37" i="6" s="1"/>
  <c r="D75" i="6" a="1"/>
  <c r="D75" i="6" s="1"/>
  <c r="D78" i="6" a="1"/>
  <c r="D78" i="6" s="1"/>
  <c r="D26" i="6" a="1"/>
  <c r="D26" i="6" s="1"/>
  <c r="D27" i="6" a="1"/>
  <c r="D27" i="6" s="1"/>
  <c r="D29" i="6" a="1"/>
  <c r="D29" i="6" s="1"/>
  <c r="D30" i="6" a="1"/>
  <c r="D30" i="6" s="1"/>
  <c r="D31" i="6" a="1"/>
  <c r="D31" i="6" s="1"/>
  <c r="D32" i="6" a="1"/>
  <c r="D32" i="6" s="1"/>
  <c r="D33" i="6" a="1"/>
  <c r="D33" i="6" s="1"/>
  <c r="D51" i="6" a="1"/>
  <c r="D51" i="6" s="1"/>
  <c r="D101" i="6" a="1"/>
  <c r="D101" i="6" s="1"/>
  <c r="D102" i="6" a="1"/>
  <c r="D102" i="6" s="1"/>
  <c r="D103" i="6" a="1"/>
  <c r="D103" i="6" s="1"/>
  <c r="E84" i="6" a="1"/>
  <c r="E84" i="6" l="1"/>
  <c r="D64" i="6" a="1"/>
  <c r="D64" i="6" s="1"/>
  <c r="D65" i="6" a="1"/>
  <c r="D65" i="6" s="1"/>
  <c r="D67" i="6" a="1"/>
  <c r="D67" i="6" l="1"/>
  <c r="BB342" i="1"/>
  <c r="D114" i="6" a="1"/>
  <c r="D113" i="6" a="1"/>
  <c r="D115" i="6" a="1"/>
  <c r="D115" i="6" l="1"/>
  <c r="D113" i="6"/>
  <c r="D114" i="6"/>
  <c r="D4" i="20"/>
  <c r="D5" i="20"/>
  <c r="P342" i="1" l="1"/>
  <c r="M342" i="1"/>
  <c r="E6" i="6" a="1"/>
  <c r="E6" i="6" s="1"/>
  <c r="AH342" i="1"/>
  <c r="K342" i="1"/>
  <c r="Z342" i="1"/>
  <c r="Y342" i="1"/>
  <c r="J342" i="1" l="1"/>
  <c r="H342" i="1"/>
  <c r="G342" i="1"/>
  <c r="I342" i="1"/>
  <c r="E27" i="2"/>
  <c r="E54" i="13" l="1" a="1"/>
  <c r="E54" i="13" s="1"/>
  <c r="E21" i="13" a="1"/>
  <c r="E21" i="13" s="1"/>
  <c r="E8" i="13" a="1"/>
  <c r="E8" i="13" s="1"/>
  <c r="E11" i="13" a="1"/>
  <c r="E11" i="13" s="1"/>
  <c r="E30" i="13" a="1"/>
  <c r="E30" i="13" s="1"/>
  <c r="E65" i="13" a="1"/>
  <c r="E65" i="13" s="1"/>
  <c r="E5" i="13" a="1"/>
  <c r="E5" i="13" s="1"/>
  <c r="E41" i="13" a="1"/>
  <c r="E41" i="13" s="1"/>
  <c r="E55" i="13" a="1"/>
  <c r="E55" i="13" s="1"/>
  <c r="E16" i="13" a="1"/>
  <c r="E16" i="13" s="1"/>
  <c r="E52" i="13" a="1"/>
  <c r="E52" i="13" s="1"/>
  <c r="E46" i="13" a="1"/>
  <c r="E46" i="13" s="1"/>
  <c r="E63" i="13" a="1"/>
  <c r="E63" i="13" s="1"/>
  <c r="E58" i="13" a="1"/>
  <c r="E58" i="13" s="1"/>
  <c r="E26" i="13" a="1"/>
  <c r="E26" i="13" s="1"/>
  <c r="E38" i="13" a="1"/>
  <c r="E38" i="13" s="1"/>
  <c r="E24" i="13" a="1"/>
  <c r="E24" i="13" s="1"/>
  <c r="E6" i="13" a="1"/>
  <c r="E6" i="13" s="1"/>
  <c r="E20" i="13" a="1"/>
  <c r="E20" i="13" s="1"/>
  <c r="E45" i="13" a="1"/>
  <c r="E45" i="13" s="1"/>
  <c r="E50" i="13" a="1"/>
  <c r="E50" i="13" s="1"/>
  <c r="E12" i="13" a="1"/>
  <c r="E12" i="13" s="1"/>
  <c r="E17" i="13" a="1"/>
  <c r="E17" i="13" s="1"/>
  <c r="E31" i="13" a="1"/>
  <c r="E31" i="13" s="1"/>
  <c r="E23" i="13" a="1"/>
  <c r="E23" i="13" s="1"/>
  <c r="E28" i="13" a="1"/>
  <c r="E28" i="13" s="1"/>
  <c r="E53" i="13" a="1"/>
  <c r="E53" i="13" s="1"/>
  <c r="E34" i="13" a="1"/>
  <c r="E34" i="13" s="1"/>
  <c r="E39" i="13" a="1"/>
  <c r="E39" i="13" s="1"/>
  <c r="E64" i="13" a="1"/>
  <c r="E64" i="13" s="1"/>
  <c r="E61" i="13" a="1"/>
  <c r="E61" i="13" s="1"/>
  <c r="E57" i="13" a="1"/>
  <c r="E57" i="13" s="1"/>
  <c r="E15" i="13" a="1"/>
  <c r="E15" i="13" s="1"/>
  <c r="E29" i="13" a="1"/>
  <c r="E29" i="13" s="1"/>
  <c r="E9" i="13" a="1"/>
  <c r="E9" i="13" s="1"/>
  <c r="E40" i="13" a="1"/>
  <c r="E40" i="13" s="1"/>
  <c r="E42" i="13" a="1"/>
  <c r="E42" i="13" s="1"/>
  <c r="E4" i="13" a="1"/>
  <c r="E4" i="13" s="1"/>
  <c r="E18" i="13" a="1"/>
  <c r="E18" i="13" s="1"/>
  <c r="E47" i="13" a="1"/>
  <c r="E47" i="13" s="1"/>
  <c r="E48" i="13" a="1"/>
  <c r="E48" i="13" s="1"/>
  <c r="E36" i="13" a="1"/>
  <c r="E36" i="13" s="1"/>
  <c r="E49" i="13" a="1"/>
  <c r="E49" i="13" s="1"/>
  <c r="E14" i="13" a="1"/>
  <c r="E14" i="13" s="1"/>
  <c r="E43" i="13" a="1"/>
  <c r="E43" i="13" s="1"/>
  <c r="E33" i="13" a="1"/>
  <c r="E33" i="13" s="1"/>
  <c r="E13" i="13" a="1"/>
  <c r="E13" i="13" s="1"/>
  <c r="E35" i="13" a="1"/>
  <c r="E35" i="13" s="1"/>
  <c r="E7" i="13" a="1"/>
  <c r="E7" i="13" s="1"/>
  <c r="E59" i="13" a="1"/>
  <c r="E59" i="13" s="1"/>
  <c r="E62" i="13" a="1"/>
  <c r="E62" i="13" s="1"/>
  <c r="E10" i="13" a="1"/>
  <c r="E10" i="13" s="1"/>
  <c r="E25" i="13" a="1"/>
  <c r="E25" i="13" s="1"/>
  <c r="E22" i="13" a="1"/>
  <c r="E22" i="13" s="1"/>
  <c r="E32" i="13" a="1"/>
  <c r="E32" i="13" s="1"/>
  <c r="L342" i="1"/>
  <c r="O342" i="1"/>
  <c r="N342" i="1"/>
  <c r="D15" i="6"/>
  <c r="AC342" i="4" l="1"/>
  <c r="E37" i="13" a="1"/>
  <c r="E37" i="13" s="1"/>
  <c r="E19" i="13" a="1"/>
  <c r="E19" i="13" s="1"/>
  <c r="E51" i="13" a="1"/>
  <c r="E51" i="13" s="1"/>
  <c r="E44" i="13" a="1"/>
  <c r="E44" i="13" s="1"/>
  <c r="E60" i="13" a="1"/>
  <c r="E60" i="13" s="1"/>
  <c r="D49" i="6" a="1"/>
  <c r="D49" i="6" s="1"/>
  <c r="E56" i="13" a="1"/>
  <c r="E56" i="13" s="1"/>
  <c r="E27" i="13" a="1"/>
  <c r="E27" i="13" s="1"/>
  <c r="AF342" i="1"/>
  <c r="AB342" i="1"/>
  <c r="AD342" i="1"/>
  <c r="AE342" i="1"/>
  <c r="AC342" i="1"/>
  <c r="D44" i="6" a="1"/>
  <c r="D44" i="6" s="1"/>
  <c r="AA342" i="1"/>
  <c r="AV342" i="1"/>
  <c r="J9" i="12"/>
  <c r="J15" i="12"/>
  <c r="J13" i="12"/>
  <c r="J11" i="12"/>
  <c r="J12" i="12"/>
  <c r="J10" i="12"/>
  <c r="J8" i="12"/>
  <c r="D48" i="6" l="1" a="1"/>
  <c r="D48" i="6" s="1"/>
  <c r="E8" i="6" a="1"/>
  <c r="E8" i="6" s="1"/>
  <c r="D47" i="6" a="1"/>
  <c r="D47" i="6" s="1"/>
  <c r="D46" i="6" a="1"/>
  <c r="D46" i="6" s="1"/>
  <c r="D45" i="6" a="1"/>
  <c r="D45" i="6" s="1"/>
  <c r="L16" i="20" a="1"/>
  <c r="L16" i="20" s="1"/>
  <c r="K16" i="20" s="1"/>
  <c r="L13" i="20" a="1"/>
  <c r="L13" i="20" s="1"/>
  <c r="K13" i="20" s="1"/>
  <c r="L12" i="20" a="1"/>
  <c r="L12" i="20" s="1"/>
  <c r="K12" i="20" s="1"/>
  <c r="L17" i="20" a="1"/>
  <c r="L17" i="20" s="1"/>
  <c r="K17" i="20" s="1"/>
  <c r="M16" i="20"/>
  <c r="N16" i="20" s="1"/>
  <c r="O16" i="20" s="1"/>
  <c r="M13" i="20"/>
  <c r="N13" i="20" s="1"/>
  <c r="O13" i="20" s="1"/>
  <c r="M12" i="20"/>
  <c r="N12" i="20" s="1"/>
  <c r="O12" i="20" s="1"/>
  <c r="M17" i="20"/>
  <c r="N17" i="20" s="1"/>
  <c r="O17" i="20" s="1"/>
  <c r="J19" i="20"/>
  <c r="M14" i="20"/>
  <c r="N14" i="20" s="1"/>
  <c r="O14" i="20" s="1"/>
  <c r="L14" i="20" a="1"/>
  <c r="L14" i="20" s="1"/>
  <c r="K14" i="20" s="1"/>
  <c r="L18" i="20" a="1"/>
  <c r="L18" i="20" s="1"/>
  <c r="L15" i="20" a="1"/>
  <c r="L15" i="20" s="1"/>
  <c r="L10" i="20" a="1"/>
  <c r="L10" i="20" s="1"/>
  <c r="L9" i="20" a="1"/>
  <c r="L9" i="20" s="1"/>
  <c r="L6" i="20" a="1"/>
  <c r="L6" i="20" s="1"/>
  <c r="L11" i="20" a="1"/>
  <c r="L11" i="20" s="1"/>
  <c r="L7" i="20" a="1"/>
  <c r="L7" i="20" s="1"/>
  <c r="L5" i="20" a="1"/>
  <c r="L5" i="20" s="1"/>
  <c r="L4" i="20" a="1"/>
  <c r="L4" i="20" s="1"/>
  <c r="M20" i="19"/>
  <c r="L14" i="19" a="1"/>
  <c r="L14" i="19" s="1"/>
  <c r="K14" i="19" s="1"/>
  <c r="L6" i="19" a="1"/>
  <c r="L6" i="19" s="1"/>
  <c r="K6" i="19" s="1"/>
  <c r="L17" i="19" a="1"/>
  <c r="L17" i="19" s="1"/>
  <c r="K17" i="19" s="1"/>
  <c r="L15" i="19" a="1"/>
  <c r="L15" i="19" s="1"/>
  <c r="K15" i="19" s="1"/>
  <c r="L13" i="19" a="1"/>
  <c r="L13" i="19" s="1"/>
  <c r="K13" i="19" s="1"/>
  <c r="L11" i="19" a="1"/>
  <c r="L11" i="19" s="1"/>
  <c r="K11" i="19" s="1"/>
  <c r="L9" i="19" a="1"/>
  <c r="L9" i="19" s="1"/>
  <c r="K9" i="19" s="1"/>
  <c r="L10" i="19" a="1"/>
  <c r="L10" i="19" s="1"/>
  <c r="K10" i="19" s="1"/>
  <c r="L4" i="19" a="1"/>
  <c r="L4" i="19" s="1"/>
  <c r="K4" i="19" s="1"/>
  <c r="L20" i="19" a="1"/>
  <c r="L20" i="19" s="1"/>
  <c r="K20" i="19" s="1"/>
  <c r="J44" i="19"/>
  <c r="P17" i="20" l="1"/>
  <c r="P16" i="20"/>
  <c r="P20" i="19"/>
  <c r="P14" i="20"/>
  <c r="P13" i="20"/>
  <c r="P12" i="20"/>
  <c r="K5" i="20"/>
  <c r="M5" i="20"/>
  <c r="N5" i="20" s="1"/>
  <c r="O5" i="20" s="1"/>
  <c r="P5" i="20" s="1"/>
  <c r="K6" i="20"/>
  <c r="M6" i="20"/>
  <c r="N6" i="20" s="1"/>
  <c r="O6" i="20" s="1"/>
  <c r="K10" i="20"/>
  <c r="M10" i="20"/>
  <c r="N10" i="20" s="1"/>
  <c r="O10" i="20" s="1"/>
  <c r="L19" i="20"/>
  <c r="K4" i="20"/>
  <c r="M4" i="20"/>
  <c r="M11" i="20"/>
  <c r="N11" i="20" s="1"/>
  <c r="O11" i="20" s="1"/>
  <c r="K11" i="20"/>
  <c r="M9" i="20"/>
  <c r="N9" i="20" s="1"/>
  <c r="O9" i="20" s="1"/>
  <c r="K9" i="20"/>
  <c r="K15" i="20"/>
  <c r="M15" i="20"/>
  <c r="N15" i="20" s="1"/>
  <c r="O15" i="20" s="1"/>
  <c r="M18" i="20"/>
  <c r="N18" i="20" s="1"/>
  <c r="O18" i="20" s="1"/>
  <c r="K18" i="20"/>
  <c r="M7" i="20"/>
  <c r="N7" i="20" s="1"/>
  <c r="O7" i="20" s="1"/>
  <c r="K7" i="20"/>
  <c r="M9" i="19"/>
  <c r="N9" i="19" s="1"/>
  <c r="O9" i="19" s="1"/>
  <c r="P9" i="19" s="1"/>
  <c r="M11" i="19"/>
  <c r="N11" i="19" s="1"/>
  <c r="O11" i="19" s="1"/>
  <c r="P11" i="19" s="1"/>
  <c r="M13" i="19"/>
  <c r="N13" i="19" s="1"/>
  <c r="O13" i="19" s="1"/>
  <c r="P13" i="19" s="1"/>
  <c r="M15" i="19"/>
  <c r="N15" i="19" s="1"/>
  <c r="O15" i="19" s="1"/>
  <c r="P15" i="19" s="1"/>
  <c r="M17" i="19"/>
  <c r="N17" i="19" s="1"/>
  <c r="O17" i="19" s="1"/>
  <c r="P17" i="19" s="1"/>
  <c r="M6" i="19"/>
  <c r="N6" i="19" s="1"/>
  <c r="O6" i="19" s="1"/>
  <c r="P6" i="19" s="1"/>
  <c r="M14" i="19"/>
  <c r="N14" i="19" s="1"/>
  <c r="O14" i="19" s="1"/>
  <c r="P14" i="19" s="1"/>
  <c r="M4" i="19"/>
  <c r="N4" i="19" s="1"/>
  <c r="O4" i="19" s="1"/>
  <c r="P4" i="19" s="1"/>
  <c r="M10" i="19"/>
  <c r="N10" i="19" s="1"/>
  <c r="O10" i="19" s="1"/>
  <c r="P10" i="19" s="1"/>
  <c r="N20" i="19"/>
  <c r="O20" i="19" s="1"/>
  <c r="AZ261" i="1" l="1"/>
  <c r="AZ315" i="1"/>
  <c r="AZ339" i="1"/>
  <c r="AZ4" i="1"/>
  <c r="AZ10" i="1"/>
  <c r="AZ52" i="1"/>
  <c r="AZ112" i="1"/>
  <c r="AZ118" i="1"/>
  <c r="AZ142" i="1"/>
  <c r="AZ220" i="1"/>
  <c r="AZ322" i="1"/>
  <c r="AZ340" i="1"/>
  <c r="AZ5" i="1"/>
  <c r="AZ119" i="1"/>
  <c r="AZ143" i="1"/>
  <c r="AZ335" i="1"/>
  <c r="AZ198" i="1"/>
  <c r="AZ336" i="1"/>
  <c r="AZ157" i="1"/>
  <c r="AZ169" i="1"/>
  <c r="AZ199" i="1"/>
  <c r="AZ283" i="1"/>
  <c r="AZ158" i="1"/>
  <c r="AZ170" i="1"/>
  <c r="AZ260" i="1"/>
  <c r="AZ302" i="1"/>
  <c r="AY5" i="1"/>
  <c r="AY157" i="1"/>
  <c r="AY260" i="1"/>
  <c r="AY10" i="1"/>
  <c r="AY322" i="1"/>
  <c r="AY119" i="1"/>
  <c r="AY169" i="1"/>
  <c r="AY302" i="1"/>
  <c r="AY52" i="1"/>
  <c r="AY340" i="1"/>
  <c r="AY143" i="1"/>
  <c r="AY199" i="1"/>
  <c r="AY261" i="1"/>
  <c r="AY112" i="1"/>
  <c r="AY335" i="1"/>
  <c r="AY283" i="1"/>
  <c r="AY315" i="1"/>
  <c r="AY118" i="1"/>
  <c r="AY198" i="1"/>
  <c r="AY158" i="1"/>
  <c r="AY339" i="1"/>
  <c r="AY142" i="1"/>
  <c r="AY336" i="1"/>
  <c r="AY170" i="1"/>
  <c r="AY4" i="1"/>
  <c r="AY220" i="1"/>
  <c r="P18" i="20"/>
  <c r="P15" i="20"/>
  <c r="BA54" i="1" s="1"/>
  <c r="P11" i="20"/>
  <c r="P6" i="20"/>
  <c r="P10" i="20"/>
  <c r="P9" i="20"/>
  <c r="P7" i="20"/>
  <c r="K19" i="20"/>
  <c r="M19" i="20"/>
  <c r="N4" i="20"/>
  <c r="AY54" i="1" l="1"/>
  <c r="BJ342" i="4"/>
  <c r="N19" i="20"/>
  <c r="O4" i="20"/>
  <c r="BH342" i="4" l="1"/>
  <c r="AY342" i="1"/>
  <c r="BA342" i="1"/>
  <c r="P4" i="20"/>
  <c r="O19" i="20"/>
  <c r="AZ54" i="1" l="1"/>
  <c r="P19" i="20"/>
  <c r="L44" i="19"/>
  <c r="BI342" i="4" l="1"/>
  <c r="AZ342" i="1"/>
  <c r="N44" i="19" l="1"/>
  <c r="K44" i="19"/>
  <c r="M44" i="19"/>
  <c r="P44" i="19" l="1"/>
  <c r="O44" i="19"/>
  <c r="I11" i="12"/>
  <c r="I10" i="12"/>
  <c r="E9" i="12" a="1"/>
  <c r="E9" i="12" s="1"/>
  <c r="I9" i="12" s="1"/>
  <c r="I12" i="12"/>
  <c r="I15" i="12"/>
  <c r="K15" i="12" l="1"/>
  <c r="K12" i="12"/>
  <c r="K9" i="12"/>
  <c r="K10" i="12"/>
  <c r="K11" i="12"/>
  <c r="I13" i="12"/>
  <c r="AX29" i="1" l="1"/>
  <c r="AX30" i="1"/>
  <c r="K13" i="12"/>
  <c r="AX27" i="1" s="1"/>
  <c r="AB5" i="2" a="1"/>
  <c r="AB5" i="2" s="1"/>
  <c r="I8" i="12"/>
  <c r="AG14" i="1" l="1"/>
  <c r="AI14" i="4" s="1"/>
  <c r="AG36" i="1"/>
  <c r="AI36" i="4" s="1"/>
  <c r="AG58" i="1"/>
  <c r="AI58" i="4" s="1"/>
  <c r="AG80" i="1"/>
  <c r="AI80" i="4" s="1"/>
  <c r="AG102" i="1"/>
  <c r="AI102" i="4" s="1"/>
  <c r="AG124" i="1"/>
  <c r="AI124" i="4" s="1"/>
  <c r="AG146" i="1"/>
  <c r="AI146" i="4" s="1"/>
  <c r="AG168" i="1"/>
  <c r="AI168" i="4" s="1"/>
  <c r="AG190" i="1"/>
  <c r="AI190" i="4" s="1"/>
  <c r="AG212" i="1"/>
  <c r="AI212" i="4" s="1"/>
  <c r="AG234" i="1"/>
  <c r="AI234" i="4" s="1"/>
  <c r="AG256" i="1"/>
  <c r="AI256" i="4" s="1"/>
  <c r="AG278" i="1"/>
  <c r="AI278" i="4" s="1"/>
  <c r="AG300" i="1"/>
  <c r="AI300" i="4" s="1"/>
  <c r="AG322" i="1"/>
  <c r="AI322" i="4" s="1"/>
  <c r="AG15" i="1"/>
  <c r="AI15" i="4" s="1"/>
  <c r="AG37" i="1"/>
  <c r="AI37" i="4" s="1"/>
  <c r="AG59" i="1"/>
  <c r="AI59" i="4" s="1"/>
  <c r="AG81" i="1"/>
  <c r="AI81" i="4" s="1"/>
  <c r="AG103" i="1"/>
  <c r="AI103" i="4" s="1"/>
  <c r="AG125" i="1"/>
  <c r="AI125" i="4" s="1"/>
  <c r="AG147" i="1"/>
  <c r="AI147" i="4" s="1"/>
  <c r="AG169" i="1"/>
  <c r="AI169" i="4" s="1"/>
  <c r="AG191" i="1"/>
  <c r="AI191" i="4" s="1"/>
  <c r="AG213" i="1"/>
  <c r="AI213" i="4" s="1"/>
  <c r="AG235" i="1"/>
  <c r="AI235" i="4" s="1"/>
  <c r="AG257" i="1"/>
  <c r="AI257" i="4" s="1"/>
  <c r="AG279" i="1"/>
  <c r="AI279" i="4" s="1"/>
  <c r="AG301" i="1"/>
  <c r="AI301" i="4" s="1"/>
  <c r="AG323" i="1"/>
  <c r="AI323" i="4" s="1"/>
  <c r="AG18" i="1"/>
  <c r="AI18" i="4" s="1"/>
  <c r="AG40" i="1"/>
  <c r="AI40" i="4" s="1"/>
  <c r="AG62" i="1"/>
  <c r="AI62" i="4" s="1"/>
  <c r="AG84" i="1"/>
  <c r="AI84" i="4" s="1"/>
  <c r="AG106" i="1"/>
  <c r="AI106" i="4" s="1"/>
  <c r="AG128" i="1"/>
  <c r="AI128" i="4" s="1"/>
  <c r="AG150" i="1"/>
  <c r="AI150" i="4" s="1"/>
  <c r="AG172" i="1"/>
  <c r="AI172" i="4" s="1"/>
  <c r="AG194" i="1"/>
  <c r="AI194" i="4" s="1"/>
  <c r="AG216" i="1"/>
  <c r="AI216" i="4" s="1"/>
  <c r="AG238" i="1"/>
  <c r="AI238" i="4" s="1"/>
  <c r="AG260" i="1"/>
  <c r="AI260" i="4" s="1"/>
  <c r="AG282" i="1"/>
  <c r="AI282" i="4" s="1"/>
  <c r="AG304" i="1"/>
  <c r="AI304" i="4" s="1"/>
  <c r="AG326" i="1"/>
  <c r="AI326" i="4" s="1"/>
  <c r="AG19" i="1"/>
  <c r="AI19" i="4" s="1"/>
  <c r="AG41" i="1"/>
  <c r="AI41" i="4" s="1"/>
  <c r="AG63" i="1"/>
  <c r="AI63" i="4" s="1"/>
  <c r="AG85" i="1"/>
  <c r="AI85" i="4" s="1"/>
  <c r="AG107" i="1"/>
  <c r="AI107" i="4" s="1"/>
  <c r="AG129" i="1"/>
  <c r="AI129" i="4" s="1"/>
  <c r="AG151" i="1"/>
  <c r="AI151" i="4" s="1"/>
  <c r="AG173" i="1"/>
  <c r="AI173" i="4" s="1"/>
  <c r="AG195" i="1"/>
  <c r="AI195" i="4" s="1"/>
  <c r="AG217" i="1"/>
  <c r="AI217" i="4" s="1"/>
  <c r="AG239" i="1"/>
  <c r="AI239" i="4" s="1"/>
  <c r="AG261" i="1"/>
  <c r="AI261" i="4" s="1"/>
  <c r="AG283" i="1"/>
  <c r="AI283" i="4" s="1"/>
  <c r="AG305" i="1"/>
  <c r="AI305" i="4" s="1"/>
  <c r="AG327" i="1"/>
  <c r="AI327" i="4" s="1"/>
  <c r="AG11" i="1"/>
  <c r="AI11" i="4" s="1"/>
  <c r="AG33" i="1"/>
  <c r="AI33" i="4" s="1"/>
  <c r="AG55" i="1"/>
  <c r="AI55" i="4" s="1"/>
  <c r="AG77" i="1"/>
  <c r="AI77" i="4" s="1"/>
  <c r="AG7" i="1"/>
  <c r="AI7" i="4" s="1"/>
  <c r="AG35" i="1"/>
  <c r="AI35" i="4" s="1"/>
  <c r="AG66" i="1"/>
  <c r="AI66" i="4" s="1"/>
  <c r="AG93" i="1"/>
  <c r="AI93" i="4" s="1"/>
  <c r="AG119" i="1"/>
  <c r="AI119" i="4" s="1"/>
  <c r="AG145" i="1"/>
  <c r="AI145" i="4" s="1"/>
  <c r="AG175" i="1"/>
  <c r="AI175" i="4" s="1"/>
  <c r="AG201" i="1"/>
  <c r="AI201" i="4" s="1"/>
  <c r="AG227" i="1"/>
  <c r="AI227" i="4" s="1"/>
  <c r="AG253" i="1"/>
  <c r="AI253" i="4" s="1"/>
  <c r="AG281" i="1"/>
  <c r="AI281" i="4" s="1"/>
  <c r="AG309" i="1"/>
  <c r="AI309" i="4" s="1"/>
  <c r="AG335" i="1"/>
  <c r="AI335" i="4" s="1"/>
  <c r="AG8" i="1"/>
  <c r="AI8" i="4" s="1"/>
  <c r="AG38" i="1"/>
  <c r="AI38" i="4" s="1"/>
  <c r="AG67" i="1"/>
  <c r="AI67" i="4" s="1"/>
  <c r="AG94" i="1"/>
  <c r="AI94" i="4" s="1"/>
  <c r="AG120" i="1"/>
  <c r="AI120" i="4" s="1"/>
  <c r="AG148" i="1"/>
  <c r="AI148" i="4" s="1"/>
  <c r="AG176" i="1"/>
  <c r="AI176" i="4" s="1"/>
  <c r="AG202" i="1"/>
  <c r="AI202" i="4" s="1"/>
  <c r="AG228" i="1"/>
  <c r="AI228" i="4" s="1"/>
  <c r="AG254" i="1"/>
  <c r="AI254" i="4" s="1"/>
  <c r="AG284" i="1"/>
  <c r="AI284" i="4" s="1"/>
  <c r="AG310" i="1"/>
  <c r="AI310" i="4" s="1"/>
  <c r="AG336" i="1"/>
  <c r="AI336" i="4" s="1"/>
  <c r="AG9" i="1"/>
  <c r="AI9" i="4" s="1"/>
  <c r="AG39" i="1"/>
  <c r="AI39" i="4" s="1"/>
  <c r="AG68" i="1"/>
  <c r="AI68" i="4" s="1"/>
  <c r="AG95" i="1"/>
  <c r="AI95" i="4" s="1"/>
  <c r="AG121" i="1"/>
  <c r="AI121" i="4" s="1"/>
  <c r="AG149" i="1"/>
  <c r="AI149" i="4" s="1"/>
  <c r="AG177" i="1"/>
  <c r="AI177" i="4" s="1"/>
  <c r="AG203" i="1"/>
  <c r="AI203" i="4" s="1"/>
  <c r="AG229" i="1"/>
  <c r="AI229" i="4" s="1"/>
  <c r="AG255" i="1"/>
  <c r="AI255" i="4" s="1"/>
  <c r="AG285" i="1"/>
  <c r="AI285" i="4" s="1"/>
  <c r="AG311" i="1"/>
  <c r="AI311" i="4" s="1"/>
  <c r="AG337" i="1"/>
  <c r="AI337" i="4" s="1"/>
  <c r="AG10" i="1"/>
  <c r="AI10" i="4" s="1"/>
  <c r="AG42" i="1"/>
  <c r="AI42" i="4" s="1"/>
  <c r="AG69" i="1"/>
  <c r="AI69" i="4" s="1"/>
  <c r="AG96" i="1"/>
  <c r="AI96" i="4" s="1"/>
  <c r="AG122" i="1"/>
  <c r="AI122" i="4" s="1"/>
  <c r="AG152" i="1"/>
  <c r="AI152" i="4" s="1"/>
  <c r="AG178" i="1"/>
  <c r="AI178" i="4" s="1"/>
  <c r="AG204" i="1"/>
  <c r="AI204" i="4" s="1"/>
  <c r="AG230" i="1"/>
  <c r="AI230" i="4" s="1"/>
  <c r="AG258" i="1"/>
  <c r="AI258" i="4" s="1"/>
  <c r="AG286" i="1"/>
  <c r="AI286" i="4" s="1"/>
  <c r="AG312" i="1"/>
  <c r="AI312" i="4" s="1"/>
  <c r="AG338" i="1"/>
  <c r="AI338" i="4" s="1"/>
  <c r="AG12" i="1"/>
  <c r="AI12" i="4" s="1"/>
  <c r="AG43" i="1"/>
  <c r="AI43" i="4" s="1"/>
  <c r="AG70" i="1"/>
  <c r="AI70" i="4" s="1"/>
  <c r="AG97" i="1"/>
  <c r="AI97" i="4" s="1"/>
  <c r="AG123" i="1"/>
  <c r="AI123" i="4" s="1"/>
  <c r="AG153" i="1"/>
  <c r="AI153" i="4" s="1"/>
  <c r="AG179" i="1"/>
  <c r="AI179" i="4" s="1"/>
  <c r="AG205" i="1"/>
  <c r="AI205" i="4" s="1"/>
  <c r="AG231" i="1"/>
  <c r="AI231" i="4" s="1"/>
  <c r="AG259" i="1"/>
  <c r="AI259" i="4" s="1"/>
  <c r="AG287" i="1"/>
  <c r="AI287" i="4" s="1"/>
  <c r="AG313" i="1"/>
  <c r="AI313" i="4" s="1"/>
  <c r="AG339" i="1"/>
  <c r="AI339" i="4" s="1"/>
  <c r="AG13" i="1"/>
  <c r="AI13" i="4" s="1"/>
  <c r="AG44" i="1"/>
  <c r="AI44" i="4" s="1"/>
  <c r="AG71" i="1"/>
  <c r="AI71" i="4" s="1"/>
  <c r="AG98" i="1"/>
  <c r="AI98" i="4" s="1"/>
  <c r="AG126" i="1"/>
  <c r="AI126" i="4" s="1"/>
  <c r="AG154" i="1"/>
  <c r="AI154" i="4" s="1"/>
  <c r="AG180" i="1"/>
  <c r="AI180" i="4" s="1"/>
  <c r="AG206" i="1"/>
  <c r="AI206" i="4" s="1"/>
  <c r="AG232" i="1"/>
  <c r="AI232" i="4" s="1"/>
  <c r="AG262" i="1"/>
  <c r="AI262" i="4" s="1"/>
  <c r="AG288" i="1"/>
  <c r="AI288" i="4" s="1"/>
  <c r="AG314" i="1"/>
  <c r="AI314" i="4" s="1"/>
  <c r="AG340" i="1"/>
  <c r="AI340" i="4" s="1"/>
  <c r="AG16" i="1"/>
  <c r="AI16" i="4" s="1"/>
  <c r="AG45" i="1"/>
  <c r="AI45" i="4" s="1"/>
  <c r="AG72" i="1"/>
  <c r="AI72" i="4" s="1"/>
  <c r="AG99" i="1"/>
  <c r="AI99" i="4" s="1"/>
  <c r="AG127" i="1"/>
  <c r="AI127" i="4" s="1"/>
  <c r="AG155" i="1"/>
  <c r="AI155" i="4" s="1"/>
  <c r="AG181" i="1"/>
  <c r="AI181" i="4" s="1"/>
  <c r="AG207" i="1"/>
  <c r="AI207" i="4" s="1"/>
  <c r="AG233" i="1"/>
  <c r="AI233" i="4" s="1"/>
  <c r="AG263" i="1"/>
  <c r="AI263" i="4" s="1"/>
  <c r="AG289" i="1"/>
  <c r="AI289" i="4" s="1"/>
  <c r="AG315" i="1"/>
  <c r="AI315" i="4" s="1"/>
  <c r="AG341" i="1"/>
  <c r="AI341" i="4" s="1"/>
  <c r="AG17" i="1"/>
  <c r="AI17" i="4" s="1"/>
  <c r="AG46" i="1"/>
  <c r="AI46" i="4" s="1"/>
  <c r="AG73" i="1"/>
  <c r="AI73" i="4" s="1"/>
  <c r="AG100" i="1"/>
  <c r="AI100" i="4" s="1"/>
  <c r="AG130" i="1"/>
  <c r="AI130" i="4" s="1"/>
  <c r="AG156" i="1"/>
  <c r="AI156" i="4" s="1"/>
  <c r="AG182" i="1"/>
  <c r="AI182" i="4" s="1"/>
  <c r="AG208" i="1"/>
  <c r="AI208" i="4" s="1"/>
  <c r="AG236" i="1"/>
  <c r="AI236" i="4" s="1"/>
  <c r="AG264" i="1"/>
  <c r="AI264" i="4" s="1"/>
  <c r="AG290" i="1"/>
  <c r="AI290" i="4" s="1"/>
  <c r="AG316" i="1"/>
  <c r="AI316" i="4" s="1"/>
  <c r="AG20" i="1"/>
  <c r="AI20" i="4" s="1"/>
  <c r="AG47" i="1"/>
  <c r="AI47" i="4" s="1"/>
  <c r="AG74" i="1"/>
  <c r="AI74" i="4" s="1"/>
  <c r="AG101" i="1"/>
  <c r="AI101" i="4" s="1"/>
  <c r="AG131" i="1"/>
  <c r="AI131" i="4" s="1"/>
  <c r="AG157" i="1"/>
  <c r="AI157" i="4" s="1"/>
  <c r="AG183" i="1"/>
  <c r="AI183" i="4" s="1"/>
  <c r="AG209" i="1"/>
  <c r="AI209" i="4" s="1"/>
  <c r="AG237" i="1"/>
  <c r="AI237" i="4" s="1"/>
  <c r="AG265" i="1"/>
  <c r="AI265" i="4" s="1"/>
  <c r="AG291" i="1"/>
  <c r="AI291" i="4" s="1"/>
  <c r="AG317" i="1"/>
  <c r="AI317" i="4" s="1"/>
  <c r="AG21" i="1"/>
  <c r="AI21" i="4" s="1"/>
  <c r="AG48" i="1"/>
  <c r="AI48" i="4" s="1"/>
  <c r="AG75" i="1"/>
  <c r="AI75" i="4" s="1"/>
  <c r="AG104" i="1"/>
  <c r="AI104" i="4" s="1"/>
  <c r="AG132" i="1"/>
  <c r="AI132" i="4" s="1"/>
  <c r="AG158" i="1"/>
  <c r="AI158" i="4" s="1"/>
  <c r="AG184" i="1"/>
  <c r="AI184" i="4" s="1"/>
  <c r="AG210" i="1"/>
  <c r="AI210" i="4" s="1"/>
  <c r="AG240" i="1"/>
  <c r="AI240" i="4" s="1"/>
  <c r="AG266" i="1"/>
  <c r="AI266" i="4" s="1"/>
  <c r="AG292" i="1"/>
  <c r="AI292" i="4" s="1"/>
  <c r="AG318" i="1"/>
  <c r="AI318" i="4" s="1"/>
  <c r="AG22" i="1"/>
  <c r="AI22" i="4" s="1"/>
  <c r="AG49" i="1"/>
  <c r="AI49" i="4" s="1"/>
  <c r="AG76" i="1"/>
  <c r="AI76" i="4" s="1"/>
  <c r="AG105" i="1"/>
  <c r="AI105" i="4" s="1"/>
  <c r="AG133" i="1"/>
  <c r="AI133" i="4" s="1"/>
  <c r="AG159" i="1"/>
  <c r="AI159" i="4" s="1"/>
  <c r="AG185" i="1"/>
  <c r="AI185" i="4" s="1"/>
  <c r="AG211" i="1"/>
  <c r="AI211" i="4" s="1"/>
  <c r="AG241" i="1"/>
  <c r="AI241" i="4" s="1"/>
  <c r="AG267" i="1"/>
  <c r="AI267" i="4" s="1"/>
  <c r="AG293" i="1"/>
  <c r="AI293" i="4" s="1"/>
  <c r="AG319" i="1"/>
  <c r="AI319" i="4" s="1"/>
  <c r="AG23" i="1"/>
  <c r="AI23" i="4" s="1"/>
  <c r="AG50" i="1"/>
  <c r="AI50" i="4" s="1"/>
  <c r="AG78" i="1"/>
  <c r="AI78" i="4" s="1"/>
  <c r="AG108" i="1"/>
  <c r="AI108" i="4" s="1"/>
  <c r="AG134" i="1"/>
  <c r="AI134" i="4" s="1"/>
  <c r="AG160" i="1"/>
  <c r="AI160" i="4" s="1"/>
  <c r="AG186" i="1"/>
  <c r="AI186" i="4" s="1"/>
  <c r="AG214" i="1"/>
  <c r="AI214" i="4" s="1"/>
  <c r="AG242" i="1"/>
  <c r="AI242" i="4" s="1"/>
  <c r="AG268" i="1"/>
  <c r="AI268" i="4" s="1"/>
  <c r="AG294" i="1"/>
  <c r="AI294" i="4" s="1"/>
  <c r="AG320" i="1"/>
  <c r="AI320" i="4" s="1"/>
  <c r="AG24" i="1"/>
  <c r="AI24" i="4" s="1"/>
  <c r="AG51" i="1"/>
  <c r="AI51" i="4" s="1"/>
  <c r="AG79" i="1"/>
  <c r="AI79" i="4" s="1"/>
  <c r="AG109" i="1"/>
  <c r="AI109" i="4" s="1"/>
  <c r="AG135" i="1"/>
  <c r="AI135" i="4" s="1"/>
  <c r="AG161" i="1"/>
  <c r="AI161" i="4" s="1"/>
  <c r="AG187" i="1"/>
  <c r="AI187" i="4" s="1"/>
  <c r="AG215" i="1"/>
  <c r="AI215" i="4" s="1"/>
  <c r="AG243" i="1"/>
  <c r="AI243" i="4" s="1"/>
  <c r="AG269" i="1"/>
  <c r="AI269" i="4" s="1"/>
  <c r="AG295" i="1"/>
  <c r="AI295" i="4" s="1"/>
  <c r="AG321" i="1"/>
  <c r="AI321" i="4" s="1"/>
  <c r="AG25" i="1"/>
  <c r="AI25" i="4" s="1"/>
  <c r="AG52" i="1"/>
  <c r="AI52" i="4" s="1"/>
  <c r="AG82" i="1"/>
  <c r="AI82" i="4" s="1"/>
  <c r="AG110" i="1"/>
  <c r="AI110" i="4" s="1"/>
  <c r="AG136" i="1"/>
  <c r="AI136" i="4" s="1"/>
  <c r="AG162" i="1"/>
  <c r="AI162" i="4" s="1"/>
  <c r="AG188" i="1"/>
  <c r="AI188" i="4" s="1"/>
  <c r="AG218" i="1"/>
  <c r="AI218" i="4" s="1"/>
  <c r="AG244" i="1"/>
  <c r="AI244" i="4" s="1"/>
  <c r="AG270" i="1"/>
  <c r="AI270" i="4" s="1"/>
  <c r="AG296" i="1"/>
  <c r="AI296" i="4" s="1"/>
  <c r="AG324" i="1"/>
  <c r="AI324" i="4" s="1"/>
  <c r="AG26" i="1"/>
  <c r="AI26" i="4" s="1"/>
  <c r="AG53" i="1"/>
  <c r="AI53" i="4" s="1"/>
  <c r="AG83" i="1"/>
  <c r="AI83" i="4" s="1"/>
  <c r="AG111" i="1"/>
  <c r="AI111" i="4" s="1"/>
  <c r="AG137" i="1"/>
  <c r="AI137" i="4" s="1"/>
  <c r="AG163" i="1"/>
  <c r="AI163" i="4" s="1"/>
  <c r="AG189" i="1"/>
  <c r="AI189" i="4" s="1"/>
  <c r="AG219" i="1"/>
  <c r="AI219" i="4" s="1"/>
  <c r="AG245" i="1"/>
  <c r="AI245" i="4" s="1"/>
  <c r="AG271" i="1"/>
  <c r="AI271" i="4" s="1"/>
  <c r="AG297" i="1"/>
  <c r="AI297" i="4" s="1"/>
  <c r="AG325" i="1"/>
  <c r="AI325" i="4" s="1"/>
  <c r="AG27" i="1"/>
  <c r="AI27" i="4" s="1"/>
  <c r="AG54" i="1"/>
  <c r="AI54" i="4" s="1"/>
  <c r="AG86" i="1"/>
  <c r="AI86" i="4" s="1"/>
  <c r="AG112" i="1"/>
  <c r="AI112" i="4" s="1"/>
  <c r="AG138" i="1"/>
  <c r="AI138" i="4" s="1"/>
  <c r="AG164" i="1"/>
  <c r="AI164" i="4" s="1"/>
  <c r="AG192" i="1"/>
  <c r="AI192" i="4" s="1"/>
  <c r="AG220" i="1"/>
  <c r="AI220" i="4" s="1"/>
  <c r="AG246" i="1"/>
  <c r="AI246" i="4" s="1"/>
  <c r="AG272" i="1"/>
  <c r="AI272" i="4" s="1"/>
  <c r="AG298" i="1"/>
  <c r="AI298" i="4" s="1"/>
  <c r="AG328" i="1"/>
  <c r="AI328" i="4" s="1"/>
  <c r="AG28" i="1"/>
  <c r="AI28" i="4" s="1"/>
  <c r="AG56" i="1"/>
  <c r="AI56" i="4" s="1"/>
  <c r="AG87" i="1"/>
  <c r="AI87" i="4" s="1"/>
  <c r="AG113" i="1"/>
  <c r="AI113" i="4" s="1"/>
  <c r="AG139" i="1"/>
  <c r="AI139" i="4" s="1"/>
  <c r="AG165" i="1"/>
  <c r="AI165" i="4" s="1"/>
  <c r="AG193" i="1"/>
  <c r="AI193" i="4" s="1"/>
  <c r="AG221" i="1"/>
  <c r="AI221" i="4" s="1"/>
  <c r="AG247" i="1"/>
  <c r="AI247" i="4" s="1"/>
  <c r="AG273" i="1"/>
  <c r="AI273" i="4" s="1"/>
  <c r="AG299" i="1"/>
  <c r="AI299" i="4" s="1"/>
  <c r="AG329" i="1"/>
  <c r="AI329" i="4" s="1"/>
  <c r="AG29" i="1"/>
  <c r="AI29" i="4" s="1"/>
  <c r="AG57" i="1"/>
  <c r="AI57" i="4" s="1"/>
  <c r="AG88" i="1"/>
  <c r="AI88" i="4" s="1"/>
  <c r="AG114" i="1"/>
  <c r="AI114" i="4" s="1"/>
  <c r="AG140" i="1"/>
  <c r="AI140" i="4" s="1"/>
  <c r="AG166" i="1"/>
  <c r="AI166" i="4" s="1"/>
  <c r="AG196" i="1"/>
  <c r="AI196" i="4" s="1"/>
  <c r="AG222" i="1"/>
  <c r="AI222" i="4" s="1"/>
  <c r="AG248" i="1"/>
  <c r="AI248" i="4" s="1"/>
  <c r="AG274" i="1"/>
  <c r="AI274" i="4" s="1"/>
  <c r="AG302" i="1"/>
  <c r="AI302" i="4" s="1"/>
  <c r="AG330" i="1"/>
  <c r="AI330" i="4" s="1"/>
  <c r="AG30" i="1"/>
  <c r="AI30" i="4" s="1"/>
  <c r="AG60" i="1"/>
  <c r="AI60" i="4" s="1"/>
  <c r="AG89" i="1"/>
  <c r="AI89" i="4" s="1"/>
  <c r="AG115" i="1"/>
  <c r="AI115" i="4" s="1"/>
  <c r="AG141" i="1"/>
  <c r="AI141" i="4" s="1"/>
  <c r="AG167" i="1"/>
  <c r="AI167" i="4" s="1"/>
  <c r="AG197" i="1"/>
  <c r="AI197" i="4" s="1"/>
  <c r="AG223" i="1"/>
  <c r="AI223" i="4" s="1"/>
  <c r="AG249" i="1"/>
  <c r="AI249" i="4" s="1"/>
  <c r="AG275" i="1"/>
  <c r="AI275" i="4" s="1"/>
  <c r="AG303" i="1"/>
  <c r="AI303" i="4" s="1"/>
  <c r="AG331" i="1"/>
  <c r="AI331" i="4" s="1"/>
  <c r="AG4" i="1"/>
  <c r="AI4" i="4" s="1"/>
  <c r="AG31" i="1"/>
  <c r="AI31" i="4" s="1"/>
  <c r="AG61" i="1"/>
  <c r="AI61" i="4" s="1"/>
  <c r="AG90" i="1"/>
  <c r="AI90" i="4" s="1"/>
  <c r="AG116" i="1"/>
  <c r="AI116" i="4" s="1"/>
  <c r="AG142" i="1"/>
  <c r="AI142" i="4" s="1"/>
  <c r="AG170" i="1"/>
  <c r="AI170" i="4" s="1"/>
  <c r="AG198" i="1"/>
  <c r="AI198" i="4" s="1"/>
  <c r="AG224" i="1"/>
  <c r="AI224" i="4" s="1"/>
  <c r="AG250" i="1"/>
  <c r="AI250" i="4" s="1"/>
  <c r="AG276" i="1"/>
  <c r="AI276" i="4" s="1"/>
  <c r="AG306" i="1"/>
  <c r="AI306" i="4" s="1"/>
  <c r="AG332" i="1"/>
  <c r="AI332" i="4" s="1"/>
  <c r="AG5" i="1"/>
  <c r="AI5" i="4" s="1"/>
  <c r="AG32" i="1"/>
  <c r="AI32" i="4" s="1"/>
  <c r="AG64" i="1"/>
  <c r="AI64" i="4" s="1"/>
  <c r="AG91" i="1"/>
  <c r="AI91" i="4" s="1"/>
  <c r="AG117" i="1"/>
  <c r="AI117" i="4" s="1"/>
  <c r="AG143" i="1"/>
  <c r="AI143" i="4" s="1"/>
  <c r="AG171" i="1"/>
  <c r="AI171" i="4" s="1"/>
  <c r="AG199" i="1"/>
  <c r="AI199" i="4" s="1"/>
  <c r="AG225" i="1"/>
  <c r="AI225" i="4" s="1"/>
  <c r="AG251" i="1"/>
  <c r="AI251" i="4" s="1"/>
  <c r="AG277" i="1"/>
  <c r="AI277" i="4" s="1"/>
  <c r="AG307" i="1"/>
  <c r="AI307" i="4" s="1"/>
  <c r="AG333" i="1"/>
  <c r="AI333" i="4" s="1"/>
  <c r="AG6" i="1"/>
  <c r="AI6" i="4" s="1"/>
  <c r="AG34" i="1"/>
  <c r="AI34" i="4" s="1"/>
  <c r="AG65" i="1"/>
  <c r="AI65" i="4" s="1"/>
  <c r="AG92" i="1"/>
  <c r="AI92" i="4" s="1"/>
  <c r="AG118" i="1"/>
  <c r="AI118" i="4" s="1"/>
  <c r="AG144" i="1"/>
  <c r="AI144" i="4" s="1"/>
  <c r="AG174" i="1"/>
  <c r="AI174" i="4" s="1"/>
  <c r="AG200" i="1"/>
  <c r="AI200" i="4" s="1"/>
  <c r="AG226" i="1"/>
  <c r="AI226" i="4" s="1"/>
  <c r="AG252" i="1"/>
  <c r="AI252" i="4" s="1"/>
  <c r="AG280" i="1"/>
  <c r="AI280" i="4" s="1"/>
  <c r="AG308" i="1"/>
  <c r="AI308" i="4" s="1"/>
  <c r="AG334" i="1"/>
  <c r="AI334" i="4" s="1"/>
  <c r="AX28" i="1"/>
  <c r="K8" i="12"/>
  <c r="T3" i="2"/>
  <c r="T2" i="2"/>
  <c r="AW118" i="1" l="1"/>
  <c r="BD118" i="4" s="1"/>
  <c r="BE118" i="4" s="1"/>
  <c r="BF118" i="4" s="1"/>
  <c r="BM118" i="4" s="1"/>
  <c r="BO118" i="10" s="1"/>
  <c r="AW71" i="1"/>
  <c r="BD71" i="4" s="1"/>
  <c r="BE71" i="4" s="1"/>
  <c r="BF71" i="4" s="1"/>
  <c r="BM71" i="4" s="1"/>
  <c r="BO71" i="10" s="1"/>
  <c r="AW328" i="1"/>
  <c r="BD328" i="4" s="1"/>
  <c r="BE328" i="4" s="1"/>
  <c r="BF328" i="4" s="1"/>
  <c r="BM328" i="4" s="1"/>
  <c r="BO328" i="10" s="1"/>
  <c r="AW109" i="1"/>
  <c r="BD109" i="4" s="1"/>
  <c r="BE109" i="4" s="1"/>
  <c r="BF109" i="4" s="1"/>
  <c r="BM109" i="4" s="1"/>
  <c r="BO109" i="10" s="1"/>
  <c r="AW159" i="1"/>
  <c r="BD159" i="4" s="1"/>
  <c r="BE159" i="4" s="1"/>
  <c r="BF159" i="4" s="1"/>
  <c r="BM159" i="4" s="1"/>
  <c r="BO159" i="10" s="1"/>
  <c r="AW209" i="1"/>
  <c r="BD209" i="4" s="1"/>
  <c r="BE209" i="4" s="1"/>
  <c r="BF209" i="4" s="1"/>
  <c r="BM209" i="4" s="1"/>
  <c r="BO209" i="10" s="1"/>
  <c r="AW289" i="1"/>
  <c r="BD289" i="4" s="1"/>
  <c r="BE289" i="4" s="1"/>
  <c r="BF289" i="4" s="1"/>
  <c r="BM289" i="4" s="1"/>
  <c r="BO289" i="10" s="1"/>
  <c r="AW44" i="1"/>
  <c r="BD44" i="4" s="1"/>
  <c r="BE44" i="4" s="1"/>
  <c r="BF44" i="4" s="1"/>
  <c r="BM44" i="4" s="1"/>
  <c r="BO44" i="10" s="1"/>
  <c r="AW152" i="1"/>
  <c r="BD152" i="4" s="1"/>
  <c r="BE152" i="4" s="1"/>
  <c r="BF152" i="4" s="1"/>
  <c r="BM152" i="4" s="1"/>
  <c r="BO152" i="10" s="1"/>
  <c r="AW254" i="1"/>
  <c r="BD254" i="4" s="1"/>
  <c r="BE254" i="4" s="1"/>
  <c r="BF254" i="4" s="1"/>
  <c r="BM254" i="4" s="1"/>
  <c r="BO254" i="10" s="1"/>
  <c r="AW7" i="1"/>
  <c r="BD7" i="4" s="1"/>
  <c r="BE7" i="4" s="1"/>
  <c r="BF7" i="4" s="1"/>
  <c r="BM7" i="4" s="1"/>
  <c r="BO7" i="10" s="1"/>
  <c r="AW282" i="1"/>
  <c r="BD282" i="4" s="1"/>
  <c r="BE282" i="4" s="1"/>
  <c r="BF282" i="4" s="1"/>
  <c r="BM282" i="4" s="1"/>
  <c r="BO282" i="10" s="1"/>
  <c r="AW125" i="1"/>
  <c r="BD125" i="4" s="1"/>
  <c r="BE125" i="4" s="1"/>
  <c r="BF125" i="4" s="1"/>
  <c r="BM125" i="4" s="1"/>
  <c r="BO125" i="10" s="1"/>
  <c r="AW65" i="1"/>
  <c r="BD65" i="4" s="1"/>
  <c r="BE65" i="4" s="1"/>
  <c r="BF65" i="4" s="1"/>
  <c r="BM65" i="4" s="1"/>
  <c r="BO65" i="10" s="1"/>
  <c r="AW170" i="1"/>
  <c r="BD170" i="4" s="1"/>
  <c r="BE170" i="4" s="1"/>
  <c r="BF170" i="4" s="1"/>
  <c r="BM170" i="4" s="1"/>
  <c r="BO170" i="10" s="1"/>
  <c r="AW248" i="1"/>
  <c r="BD248" i="4" s="1"/>
  <c r="BE248" i="4" s="1"/>
  <c r="BF248" i="4" s="1"/>
  <c r="BM248" i="4" s="1"/>
  <c r="BO248" i="10" s="1"/>
  <c r="AW298" i="1"/>
  <c r="BD298" i="4" s="1"/>
  <c r="BE298" i="4" s="1"/>
  <c r="BF298" i="4" s="1"/>
  <c r="BM298" i="4" s="1"/>
  <c r="BO298" i="10" s="1"/>
  <c r="AW26" i="1"/>
  <c r="BD26" i="4" s="1"/>
  <c r="BE26" i="4" s="1"/>
  <c r="BF26" i="4" s="1"/>
  <c r="BM26" i="4" s="1"/>
  <c r="BO26" i="10" s="1"/>
  <c r="AW79" i="1"/>
  <c r="BD79" i="4" s="1"/>
  <c r="BE79" i="4" s="1"/>
  <c r="BF79" i="4" s="1"/>
  <c r="BM79" i="4" s="1"/>
  <c r="BO79" i="10" s="1"/>
  <c r="AW133" i="1"/>
  <c r="BD133" i="4" s="1"/>
  <c r="BE133" i="4" s="1"/>
  <c r="BF133" i="4" s="1"/>
  <c r="BM133" i="4" s="1"/>
  <c r="BO133" i="10" s="1"/>
  <c r="AW183" i="1"/>
  <c r="BD183" i="4" s="1"/>
  <c r="BE183" i="4" s="1"/>
  <c r="BF183" i="4" s="1"/>
  <c r="BM183" i="4" s="1"/>
  <c r="BO183" i="10" s="1"/>
  <c r="AW263" i="1"/>
  <c r="BD263" i="4" s="1"/>
  <c r="BE263" i="4" s="1"/>
  <c r="BF263" i="4" s="1"/>
  <c r="BM263" i="4" s="1"/>
  <c r="BO263" i="10" s="1"/>
  <c r="AW13" i="1"/>
  <c r="BD13" i="4" s="1"/>
  <c r="BE13" i="4" s="1"/>
  <c r="BF13" i="4" s="1"/>
  <c r="BM13" i="4" s="1"/>
  <c r="BO13" i="10" s="1"/>
  <c r="AW122" i="1"/>
  <c r="BD122" i="4" s="1"/>
  <c r="BE122" i="4" s="1"/>
  <c r="BF122" i="4" s="1"/>
  <c r="BM122" i="4" s="1"/>
  <c r="BO122" i="10" s="1"/>
  <c r="AW228" i="1"/>
  <c r="BD228" i="4" s="1"/>
  <c r="BE228" i="4" s="1"/>
  <c r="BF228" i="4" s="1"/>
  <c r="BM228" i="4" s="1"/>
  <c r="BO228" i="10" s="1"/>
  <c r="AW77" i="1"/>
  <c r="BD77" i="4" s="1"/>
  <c r="BE77" i="4" s="1"/>
  <c r="BF77" i="4" s="1"/>
  <c r="BM77" i="4" s="1"/>
  <c r="BO77" i="10" s="1"/>
  <c r="AW260" i="1"/>
  <c r="BD260" i="4" s="1"/>
  <c r="BE260" i="4" s="1"/>
  <c r="BF260" i="4" s="1"/>
  <c r="BM260" i="4" s="1"/>
  <c r="BO260" i="10" s="1"/>
  <c r="AW103" i="1"/>
  <c r="BD103" i="4" s="1"/>
  <c r="BE103" i="4" s="1"/>
  <c r="BF103" i="4" s="1"/>
  <c r="BM103" i="4" s="1"/>
  <c r="BO103" i="10" s="1"/>
  <c r="AW96" i="1"/>
  <c r="BD96" i="4" s="1"/>
  <c r="BE96" i="4" s="1"/>
  <c r="BF96" i="4" s="1"/>
  <c r="BM96" i="4" s="1"/>
  <c r="BO96" i="10" s="1"/>
  <c r="AW202" i="1"/>
  <c r="BD202" i="4" s="1"/>
  <c r="BE202" i="4" s="1"/>
  <c r="BF202" i="4" s="1"/>
  <c r="BM202" i="4" s="1"/>
  <c r="BO202" i="10" s="1"/>
  <c r="AW55" i="1"/>
  <c r="BD55" i="4" s="1"/>
  <c r="BE55" i="4" s="1"/>
  <c r="BF55" i="4" s="1"/>
  <c r="BM55" i="4" s="1"/>
  <c r="BO55" i="10" s="1"/>
  <c r="AW238" i="1"/>
  <c r="BD238" i="4" s="1"/>
  <c r="BE238" i="4" s="1"/>
  <c r="BF238" i="4" s="1"/>
  <c r="BM238" i="4" s="1"/>
  <c r="BO238" i="10" s="1"/>
  <c r="AW81" i="1"/>
  <c r="BD81" i="4" s="1"/>
  <c r="BE81" i="4" s="1"/>
  <c r="BF81" i="4" s="1"/>
  <c r="BM81" i="4" s="1"/>
  <c r="BO81" i="10" s="1"/>
  <c r="AW6" i="1"/>
  <c r="BD6" i="4" s="1"/>
  <c r="BE6" i="4" s="1"/>
  <c r="BF6" i="4" s="1"/>
  <c r="BM6" i="4" s="1"/>
  <c r="BO6" i="10" s="1"/>
  <c r="AW176" i="1"/>
  <c r="BD176" i="4" s="1"/>
  <c r="BE176" i="4" s="1"/>
  <c r="BF176" i="4" s="1"/>
  <c r="BM176" i="4" s="1"/>
  <c r="BO176" i="10" s="1"/>
  <c r="AW33" i="1"/>
  <c r="BD33" i="4" s="1"/>
  <c r="BE33" i="4" s="1"/>
  <c r="BF33" i="4" s="1"/>
  <c r="BM33" i="4" s="1"/>
  <c r="BO33" i="10" s="1"/>
  <c r="AW216" i="1"/>
  <c r="BD216" i="4" s="1"/>
  <c r="BE216" i="4" s="1"/>
  <c r="BF216" i="4" s="1"/>
  <c r="BM216" i="4" s="1"/>
  <c r="BO216" i="10" s="1"/>
  <c r="AW59" i="1"/>
  <c r="BD59" i="4" s="1"/>
  <c r="BE59" i="4" s="1"/>
  <c r="BF59" i="4" s="1"/>
  <c r="BM59" i="4" s="1"/>
  <c r="BO59" i="10" s="1"/>
  <c r="AW37" i="1"/>
  <c r="BD37" i="4" s="1"/>
  <c r="BE37" i="4" s="1"/>
  <c r="BF37" i="4" s="1"/>
  <c r="BM37" i="4" s="1"/>
  <c r="BO37" i="10" s="1"/>
  <c r="AW15" i="1"/>
  <c r="BD15" i="4" s="1"/>
  <c r="BE15" i="4" s="1"/>
  <c r="BF15" i="4" s="1"/>
  <c r="BM15" i="4" s="1"/>
  <c r="BO15" i="10" s="1"/>
  <c r="AW322" i="1"/>
  <c r="BD322" i="4" s="1"/>
  <c r="BE322" i="4" s="1"/>
  <c r="BF322" i="4" s="1"/>
  <c r="BM322" i="4" s="1"/>
  <c r="BO322" i="10" s="1"/>
  <c r="AW83" i="1"/>
  <c r="BD83" i="4" s="1"/>
  <c r="BE83" i="4" s="1"/>
  <c r="BF83" i="4" s="1"/>
  <c r="BM83" i="4" s="1"/>
  <c r="BO83" i="10" s="1"/>
  <c r="AW53" i="1"/>
  <c r="BD53" i="4" s="1"/>
  <c r="BE53" i="4" s="1"/>
  <c r="BF53" i="4" s="1"/>
  <c r="BM53" i="4" s="1"/>
  <c r="BO53" i="10" s="1"/>
  <c r="AW194" i="1"/>
  <c r="BD194" i="4" s="1"/>
  <c r="BE194" i="4" s="1"/>
  <c r="BF194" i="4" s="1"/>
  <c r="BM194" i="4" s="1"/>
  <c r="BO194" i="10" s="1"/>
  <c r="AW307" i="1"/>
  <c r="BD307" i="4" s="1"/>
  <c r="BE307" i="4" s="1"/>
  <c r="BF307" i="4" s="1"/>
  <c r="BM307" i="4" s="1"/>
  <c r="BO307" i="10" s="1"/>
  <c r="AW94" i="1"/>
  <c r="BD94" i="4" s="1"/>
  <c r="BE94" i="4" s="1"/>
  <c r="BF94" i="4" s="1"/>
  <c r="BM94" i="4" s="1"/>
  <c r="BO94" i="10" s="1"/>
  <c r="AW188" i="1"/>
  <c r="BD188" i="4" s="1"/>
  <c r="BE188" i="4" s="1"/>
  <c r="BF188" i="4" s="1"/>
  <c r="BM188" i="4" s="1"/>
  <c r="BO188" i="10" s="1"/>
  <c r="AW214" i="1"/>
  <c r="BD214" i="4" s="1"/>
  <c r="BE214" i="4" s="1"/>
  <c r="BF214" i="4" s="1"/>
  <c r="BM214" i="4" s="1"/>
  <c r="BO214" i="10" s="1"/>
  <c r="AW266" i="1"/>
  <c r="BD266" i="4" s="1"/>
  <c r="BE266" i="4" s="1"/>
  <c r="BF266" i="4" s="1"/>
  <c r="BM266" i="4" s="1"/>
  <c r="BO266" i="10" s="1"/>
  <c r="AW316" i="1"/>
  <c r="BD316" i="4" s="1"/>
  <c r="BE316" i="4" s="1"/>
  <c r="BF316" i="4" s="1"/>
  <c r="BM316" i="4" s="1"/>
  <c r="BO316" i="10" s="1"/>
  <c r="AW72" i="1"/>
  <c r="BD72" i="4" s="1"/>
  <c r="BE72" i="4" s="1"/>
  <c r="BF72" i="4" s="1"/>
  <c r="BM72" i="4" s="1"/>
  <c r="BO72" i="10" s="1"/>
  <c r="AW179" i="1"/>
  <c r="BD179" i="4" s="1"/>
  <c r="BE179" i="4" s="1"/>
  <c r="BF179" i="4" s="1"/>
  <c r="BM179" i="4" s="1"/>
  <c r="BO179" i="10" s="1"/>
  <c r="AW285" i="1"/>
  <c r="BD285" i="4" s="1"/>
  <c r="BE285" i="4" s="1"/>
  <c r="BF285" i="4" s="1"/>
  <c r="BM285" i="4" s="1"/>
  <c r="BO285" i="10" s="1"/>
  <c r="AW38" i="1"/>
  <c r="BD38" i="4" s="1"/>
  <c r="BE38" i="4" s="1"/>
  <c r="BF38" i="4" s="1"/>
  <c r="BM38" i="4" s="1"/>
  <c r="BO38" i="10" s="1"/>
  <c r="AW261" i="1"/>
  <c r="BD261" i="4" s="1"/>
  <c r="BE261" i="4" s="1"/>
  <c r="BF261" i="4" s="1"/>
  <c r="BM261" i="4" s="1"/>
  <c r="BO261" i="10" s="1"/>
  <c r="AW106" i="1"/>
  <c r="BD106" i="4" s="1"/>
  <c r="BE106" i="4" s="1"/>
  <c r="BF106" i="4" s="1"/>
  <c r="BM106" i="4" s="1"/>
  <c r="BO106" i="10" s="1"/>
  <c r="AW278" i="1"/>
  <c r="BD278" i="4" s="1"/>
  <c r="BE278" i="4" s="1"/>
  <c r="BF278" i="4" s="1"/>
  <c r="BM278" i="4" s="1"/>
  <c r="BO278" i="10" s="1"/>
  <c r="AW304" i="1"/>
  <c r="BD304" i="4" s="1"/>
  <c r="BE304" i="4" s="1"/>
  <c r="BF304" i="4" s="1"/>
  <c r="BM304" i="4" s="1"/>
  <c r="BO304" i="10" s="1"/>
  <c r="AW34" i="1"/>
  <c r="BD34" i="4" s="1"/>
  <c r="BE34" i="4" s="1"/>
  <c r="BF34" i="4" s="1"/>
  <c r="BM34" i="4" s="1"/>
  <c r="BO34" i="10" s="1"/>
  <c r="AW207" i="1"/>
  <c r="BD207" i="4" s="1"/>
  <c r="BE207" i="4" s="1"/>
  <c r="BF207" i="4" s="1"/>
  <c r="BM207" i="4" s="1"/>
  <c r="BO207" i="10" s="1"/>
  <c r="AW49" i="1"/>
  <c r="BD49" i="4" s="1"/>
  <c r="BE49" i="4" s="1"/>
  <c r="BF49" i="4" s="1"/>
  <c r="BM49" i="4" s="1"/>
  <c r="BO49" i="10" s="1"/>
  <c r="AW294" i="1"/>
  <c r="BD294" i="4" s="1"/>
  <c r="BE294" i="4" s="1"/>
  <c r="BF294" i="4" s="1"/>
  <c r="BM294" i="4" s="1"/>
  <c r="BO294" i="10" s="1"/>
  <c r="AW231" i="1"/>
  <c r="BD231" i="4" s="1"/>
  <c r="BE231" i="4" s="1"/>
  <c r="BF231" i="4" s="1"/>
  <c r="BM231" i="4" s="1"/>
  <c r="BO231" i="10" s="1"/>
  <c r="AW292" i="1"/>
  <c r="BD292" i="4" s="1"/>
  <c r="BE292" i="4" s="1"/>
  <c r="BF292" i="4" s="1"/>
  <c r="BM292" i="4" s="1"/>
  <c r="BO292" i="10" s="1"/>
  <c r="AW136" i="1"/>
  <c r="BD136" i="4" s="1"/>
  <c r="BE136" i="4" s="1"/>
  <c r="BF136" i="4" s="1"/>
  <c r="BM136" i="4" s="1"/>
  <c r="BO136" i="10" s="1"/>
  <c r="AW240" i="1"/>
  <c r="BD240" i="4" s="1"/>
  <c r="BE240" i="4" s="1"/>
  <c r="BF240" i="4" s="1"/>
  <c r="BM240" i="4" s="1"/>
  <c r="BO240" i="10" s="1"/>
  <c r="AW290" i="1"/>
  <c r="BD290" i="4" s="1"/>
  <c r="BE290" i="4" s="1"/>
  <c r="BF290" i="4" s="1"/>
  <c r="BM290" i="4" s="1"/>
  <c r="BO290" i="10" s="1"/>
  <c r="AW45" i="1"/>
  <c r="BD45" i="4" s="1"/>
  <c r="BE45" i="4" s="1"/>
  <c r="BF45" i="4" s="1"/>
  <c r="BM45" i="4" s="1"/>
  <c r="BO45" i="10" s="1"/>
  <c r="AW153" i="1"/>
  <c r="BD153" i="4" s="1"/>
  <c r="BE153" i="4" s="1"/>
  <c r="BF153" i="4" s="1"/>
  <c r="BM153" i="4" s="1"/>
  <c r="BO153" i="10" s="1"/>
  <c r="AW255" i="1"/>
  <c r="BD255" i="4" s="1"/>
  <c r="BE255" i="4" s="1"/>
  <c r="BF255" i="4" s="1"/>
  <c r="BM255" i="4" s="1"/>
  <c r="BO255" i="10" s="1"/>
  <c r="AW8" i="1"/>
  <c r="BD8" i="4" s="1"/>
  <c r="BE8" i="4" s="1"/>
  <c r="BF8" i="4" s="1"/>
  <c r="BM8" i="4" s="1"/>
  <c r="BO8" i="10" s="1"/>
  <c r="AW239" i="1"/>
  <c r="BD239" i="4" s="1"/>
  <c r="BE239" i="4" s="1"/>
  <c r="BF239" i="4" s="1"/>
  <c r="BM239" i="4" s="1"/>
  <c r="BO239" i="10" s="1"/>
  <c r="AW84" i="1"/>
  <c r="BD84" i="4" s="1"/>
  <c r="BE84" i="4" s="1"/>
  <c r="BF84" i="4" s="1"/>
  <c r="BM84" i="4" s="1"/>
  <c r="BO84" i="10" s="1"/>
  <c r="AW256" i="1"/>
  <c r="BD256" i="4" s="1"/>
  <c r="BE256" i="4" s="1"/>
  <c r="BF256" i="4" s="1"/>
  <c r="BM256" i="4" s="1"/>
  <c r="BO256" i="10" s="1"/>
  <c r="AW28" i="1"/>
  <c r="BD28" i="4" s="1"/>
  <c r="BE28" i="4" s="1"/>
  <c r="BF28" i="4" s="1"/>
  <c r="BM28" i="4" s="1"/>
  <c r="BO28" i="10" s="1"/>
  <c r="AW233" i="1"/>
  <c r="BD233" i="4" s="1"/>
  <c r="BE233" i="4" s="1"/>
  <c r="BF233" i="4" s="1"/>
  <c r="BM233" i="4" s="1"/>
  <c r="BO233" i="10" s="1"/>
  <c r="AW220" i="1"/>
  <c r="BD220" i="4" s="1"/>
  <c r="BE220" i="4" s="1"/>
  <c r="BF220" i="4" s="1"/>
  <c r="BM220" i="4" s="1"/>
  <c r="BO220" i="10" s="1"/>
  <c r="AW218" i="1"/>
  <c r="BD218" i="4" s="1"/>
  <c r="BE218" i="4" s="1"/>
  <c r="BF218" i="4" s="1"/>
  <c r="BM218" i="4" s="1"/>
  <c r="BO218" i="10" s="1"/>
  <c r="AW264" i="1"/>
  <c r="BD264" i="4" s="1"/>
  <c r="BE264" i="4" s="1"/>
  <c r="BF264" i="4" s="1"/>
  <c r="BM264" i="4" s="1"/>
  <c r="BO264" i="10" s="1"/>
  <c r="AW16" i="1"/>
  <c r="BD16" i="4" s="1"/>
  <c r="BE16" i="4" s="1"/>
  <c r="BF16" i="4" s="1"/>
  <c r="BM16" i="4" s="1"/>
  <c r="BO16" i="10" s="1"/>
  <c r="AW123" i="1"/>
  <c r="BD123" i="4" s="1"/>
  <c r="BE123" i="4" s="1"/>
  <c r="BF123" i="4" s="1"/>
  <c r="BM123" i="4" s="1"/>
  <c r="BO123" i="10" s="1"/>
  <c r="AW229" i="1"/>
  <c r="BD229" i="4" s="1"/>
  <c r="BE229" i="4" s="1"/>
  <c r="BF229" i="4" s="1"/>
  <c r="BM229" i="4" s="1"/>
  <c r="BO229" i="10" s="1"/>
  <c r="AW335" i="1"/>
  <c r="BD335" i="4" s="1"/>
  <c r="BE335" i="4" s="1"/>
  <c r="BF335" i="4" s="1"/>
  <c r="BM335" i="4" s="1"/>
  <c r="BO335" i="10" s="1"/>
  <c r="AW217" i="1"/>
  <c r="BD217" i="4" s="1"/>
  <c r="BE217" i="4" s="1"/>
  <c r="BF217" i="4" s="1"/>
  <c r="BM217" i="4" s="1"/>
  <c r="BO217" i="10" s="1"/>
  <c r="AW62" i="1"/>
  <c r="BD62" i="4" s="1"/>
  <c r="BE62" i="4" s="1"/>
  <c r="BF62" i="4" s="1"/>
  <c r="BM62" i="4" s="1"/>
  <c r="BO62" i="10" s="1"/>
  <c r="AW234" i="1"/>
  <c r="BD234" i="4" s="1"/>
  <c r="BE234" i="4" s="1"/>
  <c r="BF234" i="4" s="1"/>
  <c r="BM234" i="4" s="1"/>
  <c r="BO234" i="10" s="1"/>
  <c r="AW178" i="1"/>
  <c r="BD178" i="4" s="1"/>
  <c r="BE178" i="4" s="1"/>
  <c r="BF178" i="4" s="1"/>
  <c r="BM178" i="4" s="1"/>
  <c r="BO178" i="10" s="1"/>
  <c r="AW51" i="1"/>
  <c r="BD51" i="4" s="1"/>
  <c r="BE51" i="4" s="1"/>
  <c r="BF51" i="4" s="1"/>
  <c r="BM51" i="4" s="1"/>
  <c r="BO51" i="10" s="1"/>
  <c r="AW296" i="1"/>
  <c r="BD296" i="4" s="1"/>
  <c r="BE296" i="4" s="1"/>
  <c r="BF296" i="4" s="1"/>
  <c r="BM296" i="4" s="1"/>
  <c r="BO296" i="10" s="1"/>
  <c r="AW101" i="1"/>
  <c r="BD101" i="4" s="1"/>
  <c r="BE101" i="4" s="1"/>
  <c r="BF101" i="4" s="1"/>
  <c r="BM101" i="4" s="1"/>
  <c r="BO101" i="10" s="1"/>
  <c r="AW244" i="1"/>
  <c r="BD244" i="4" s="1"/>
  <c r="BE244" i="4" s="1"/>
  <c r="BF244" i="4" s="1"/>
  <c r="BM244" i="4" s="1"/>
  <c r="BO244" i="10" s="1"/>
  <c r="AW337" i="1"/>
  <c r="BD337" i="4" s="1"/>
  <c r="BE337" i="4" s="1"/>
  <c r="BF337" i="4" s="1"/>
  <c r="BM337" i="4" s="1"/>
  <c r="BO337" i="10" s="1"/>
  <c r="AW242" i="1"/>
  <c r="BD242" i="4" s="1"/>
  <c r="BE242" i="4" s="1"/>
  <c r="BF242" i="4" s="1"/>
  <c r="BM242" i="4" s="1"/>
  <c r="BO242" i="10" s="1"/>
  <c r="AW184" i="1"/>
  <c r="BD184" i="4" s="1"/>
  <c r="BE184" i="4" s="1"/>
  <c r="BF184" i="4" s="1"/>
  <c r="BM184" i="4" s="1"/>
  <c r="BO184" i="10" s="1"/>
  <c r="AW97" i="1"/>
  <c r="BD97" i="4" s="1"/>
  <c r="BE97" i="4" s="1"/>
  <c r="BF97" i="4" s="1"/>
  <c r="BM97" i="4" s="1"/>
  <c r="BO97" i="10" s="1"/>
  <c r="AW203" i="1"/>
  <c r="BD203" i="4" s="1"/>
  <c r="BE203" i="4" s="1"/>
  <c r="BF203" i="4" s="1"/>
  <c r="BM203" i="4" s="1"/>
  <c r="BO203" i="10" s="1"/>
  <c r="AW309" i="1"/>
  <c r="BD309" i="4" s="1"/>
  <c r="BE309" i="4" s="1"/>
  <c r="BF309" i="4" s="1"/>
  <c r="BM309" i="4" s="1"/>
  <c r="BO309" i="10" s="1"/>
  <c r="AW195" i="1"/>
  <c r="BD195" i="4" s="1"/>
  <c r="BE195" i="4" s="1"/>
  <c r="BF195" i="4" s="1"/>
  <c r="BM195" i="4" s="1"/>
  <c r="BO195" i="10" s="1"/>
  <c r="AW40" i="1"/>
  <c r="BD40" i="4" s="1"/>
  <c r="BE40" i="4" s="1"/>
  <c r="BF40" i="4" s="1"/>
  <c r="BM40" i="4" s="1"/>
  <c r="BO40" i="10" s="1"/>
  <c r="AW212" i="1"/>
  <c r="BD212" i="4" s="1"/>
  <c r="BE212" i="4" s="1"/>
  <c r="BF212" i="4" s="1"/>
  <c r="BM212" i="4" s="1"/>
  <c r="BO212" i="10" s="1"/>
  <c r="AW105" i="1"/>
  <c r="BD105" i="4" s="1"/>
  <c r="BE105" i="4" s="1"/>
  <c r="BF105" i="4" s="1"/>
  <c r="BM105" i="4" s="1"/>
  <c r="BO105" i="10" s="1"/>
  <c r="AW172" i="1"/>
  <c r="BD172" i="4" s="1"/>
  <c r="BE172" i="4" s="1"/>
  <c r="BF172" i="4" s="1"/>
  <c r="BM172" i="4" s="1"/>
  <c r="BO172" i="10" s="1"/>
  <c r="AW99" i="1"/>
  <c r="BD99" i="4" s="1"/>
  <c r="BE99" i="4" s="1"/>
  <c r="BF99" i="4" s="1"/>
  <c r="BM99" i="4" s="1"/>
  <c r="BO99" i="10" s="1"/>
  <c r="AW314" i="1"/>
  <c r="BD314" i="4" s="1"/>
  <c r="BE314" i="4" s="1"/>
  <c r="BF314" i="4" s="1"/>
  <c r="BM314" i="4" s="1"/>
  <c r="BO314" i="10" s="1"/>
  <c r="AW177" i="1"/>
  <c r="BD177" i="4" s="1"/>
  <c r="BE177" i="4" s="1"/>
  <c r="BF177" i="4" s="1"/>
  <c r="BM177" i="4" s="1"/>
  <c r="BO177" i="10" s="1"/>
  <c r="AW281" i="1"/>
  <c r="BD281" i="4" s="1"/>
  <c r="BE281" i="4" s="1"/>
  <c r="BF281" i="4" s="1"/>
  <c r="BM281" i="4" s="1"/>
  <c r="BO281" i="10" s="1"/>
  <c r="AW173" i="1"/>
  <c r="BD173" i="4" s="1"/>
  <c r="BE173" i="4" s="1"/>
  <c r="BF173" i="4" s="1"/>
  <c r="BM173" i="4" s="1"/>
  <c r="BO173" i="10" s="1"/>
  <c r="AW18" i="1"/>
  <c r="BD18" i="4" s="1"/>
  <c r="BE18" i="4" s="1"/>
  <c r="BF18" i="4" s="1"/>
  <c r="BM18" i="4" s="1"/>
  <c r="BO18" i="10" s="1"/>
  <c r="AW190" i="1"/>
  <c r="BD190" i="4" s="1"/>
  <c r="BE190" i="4" s="1"/>
  <c r="BF190" i="4" s="1"/>
  <c r="BM190" i="4" s="1"/>
  <c r="BO190" i="10" s="1"/>
  <c r="AW20" i="1"/>
  <c r="BD20" i="4" s="1"/>
  <c r="BE20" i="4" s="1"/>
  <c r="BF20" i="4" s="1"/>
  <c r="BM20" i="4" s="1"/>
  <c r="BO20" i="10" s="1"/>
  <c r="AW149" i="1"/>
  <c r="BD149" i="4" s="1"/>
  <c r="BE149" i="4" s="1"/>
  <c r="BF149" i="4" s="1"/>
  <c r="BM149" i="4" s="1"/>
  <c r="BO149" i="10" s="1"/>
  <c r="AW151" i="1"/>
  <c r="BD151" i="4" s="1"/>
  <c r="BE151" i="4" s="1"/>
  <c r="BF151" i="4" s="1"/>
  <c r="BM151" i="4" s="1"/>
  <c r="BO151" i="10" s="1"/>
  <c r="AW323" i="1"/>
  <c r="BD323" i="4" s="1"/>
  <c r="BE323" i="4" s="1"/>
  <c r="BF323" i="4" s="1"/>
  <c r="BM323" i="4" s="1"/>
  <c r="BO323" i="10" s="1"/>
  <c r="AW168" i="1"/>
  <c r="BD168" i="4" s="1"/>
  <c r="BE168" i="4" s="1"/>
  <c r="BF168" i="4" s="1"/>
  <c r="BM168" i="4" s="1"/>
  <c r="BO168" i="10" s="1"/>
  <c r="AW185" i="1"/>
  <c r="BD185" i="4" s="1"/>
  <c r="BE185" i="4" s="1"/>
  <c r="BF185" i="4" s="1"/>
  <c r="BM185" i="4" s="1"/>
  <c r="BO185" i="10" s="1"/>
  <c r="AW92" i="1"/>
  <c r="BD92" i="4" s="1"/>
  <c r="BE92" i="4" s="1"/>
  <c r="BF92" i="4" s="1"/>
  <c r="BM92" i="4" s="1"/>
  <c r="BO92" i="10" s="1"/>
  <c r="AW142" i="1"/>
  <c r="BD142" i="4" s="1"/>
  <c r="BE142" i="4" s="1"/>
  <c r="BF142" i="4" s="1"/>
  <c r="BM142" i="4" s="1"/>
  <c r="BO142" i="10" s="1"/>
  <c r="AW69" i="1"/>
  <c r="BD69" i="4" s="1"/>
  <c r="BE69" i="4" s="1"/>
  <c r="BF69" i="4" s="1"/>
  <c r="BM69" i="4" s="1"/>
  <c r="BO69" i="10" s="1"/>
  <c r="AW333" i="1"/>
  <c r="BD333" i="4" s="1"/>
  <c r="BE333" i="4" s="1"/>
  <c r="BF333" i="4" s="1"/>
  <c r="BM333" i="4" s="1"/>
  <c r="BO333" i="10" s="1"/>
  <c r="AW270" i="1"/>
  <c r="BD270" i="4" s="1"/>
  <c r="BE270" i="4" s="1"/>
  <c r="BF270" i="4" s="1"/>
  <c r="BM270" i="4" s="1"/>
  <c r="BO270" i="10" s="1"/>
  <c r="AW61" i="1"/>
  <c r="BD61" i="4" s="1"/>
  <c r="BE61" i="4" s="1"/>
  <c r="BF61" i="4" s="1"/>
  <c r="BM61" i="4" s="1"/>
  <c r="BO61" i="10" s="1"/>
  <c r="AW120" i="1"/>
  <c r="BD120" i="4" s="1"/>
  <c r="BE120" i="4" s="1"/>
  <c r="BF120" i="4" s="1"/>
  <c r="BM120" i="4" s="1"/>
  <c r="BO120" i="10" s="1"/>
  <c r="AW268" i="1"/>
  <c r="BD268" i="4" s="1"/>
  <c r="BE268" i="4" s="1"/>
  <c r="BF268" i="4" s="1"/>
  <c r="BM268" i="4" s="1"/>
  <c r="BO268" i="10" s="1"/>
  <c r="AW251" i="1"/>
  <c r="BD251" i="4" s="1"/>
  <c r="BE251" i="4" s="1"/>
  <c r="BF251" i="4" s="1"/>
  <c r="BM251" i="4" s="1"/>
  <c r="BO251" i="10" s="1"/>
  <c r="AW300" i="1"/>
  <c r="BD300" i="4" s="1"/>
  <c r="BE300" i="4" s="1"/>
  <c r="BF300" i="4" s="1"/>
  <c r="BM300" i="4" s="1"/>
  <c r="BO300" i="10" s="1"/>
  <c r="AW331" i="1"/>
  <c r="BD331" i="4" s="1"/>
  <c r="BE331" i="4" s="1"/>
  <c r="BF331" i="4" s="1"/>
  <c r="BM331" i="4" s="1"/>
  <c r="BO331" i="10" s="1"/>
  <c r="AW86" i="1"/>
  <c r="BD86" i="4" s="1"/>
  <c r="BE86" i="4" s="1"/>
  <c r="BF86" i="4" s="1"/>
  <c r="BM86" i="4" s="1"/>
  <c r="BO86" i="10" s="1"/>
  <c r="AW110" i="1"/>
  <c r="BD110" i="4" s="1"/>
  <c r="BE110" i="4" s="1"/>
  <c r="BF110" i="4" s="1"/>
  <c r="BM110" i="4" s="1"/>
  <c r="BO110" i="10" s="1"/>
  <c r="AW299" i="1"/>
  <c r="BD299" i="4" s="1"/>
  <c r="BE299" i="4" s="1"/>
  <c r="BF299" i="4" s="1"/>
  <c r="BM299" i="4" s="1"/>
  <c r="BO299" i="10" s="1"/>
  <c r="AW70" i="1"/>
  <c r="BD70" i="4" s="1"/>
  <c r="BE70" i="4" s="1"/>
  <c r="BF70" i="4" s="1"/>
  <c r="BM70" i="4" s="1"/>
  <c r="BO70" i="10" s="1"/>
  <c r="AW334" i="1"/>
  <c r="BD334" i="4" s="1"/>
  <c r="BE334" i="4" s="1"/>
  <c r="BF334" i="4" s="1"/>
  <c r="BM334" i="4" s="1"/>
  <c r="BO334" i="10" s="1"/>
  <c r="AW308" i="1"/>
  <c r="BD308" i="4" s="1"/>
  <c r="BE308" i="4" s="1"/>
  <c r="BF308" i="4" s="1"/>
  <c r="BM308" i="4" s="1"/>
  <c r="BO308" i="10" s="1"/>
  <c r="AW321" i="1"/>
  <c r="BD321" i="4" s="1"/>
  <c r="BE321" i="4" s="1"/>
  <c r="BF321" i="4" s="1"/>
  <c r="BM321" i="4" s="1"/>
  <c r="BO321" i="10" s="1"/>
  <c r="AW50" i="1"/>
  <c r="BD50" i="4" s="1"/>
  <c r="BE50" i="4" s="1"/>
  <c r="BF50" i="4" s="1"/>
  <c r="BM50" i="4" s="1"/>
  <c r="BO50" i="10" s="1"/>
  <c r="AW104" i="1"/>
  <c r="BD104" i="4" s="1"/>
  <c r="BE104" i="4" s="1"/>
  <c r="BF104" i="4" s="1"/>
  <c r="BM104" i="4" s="1"/>
  <c r="BO104" i="10" s="1"/>
  <c r="AW156" i="1"/>
  <c r="BD156" i="4" s="1"/>
  <c r="BE156" i="4" s="1"/>
  <c r="BF156" i="4" s="1"/>
  <c r="BM156" i="4" s="1"/>
  <c r="BO156" i="10" s="1"/>
  <c r="AW262" i="1"/>
  <c r="BD262" i="4" s="1"/>
  <c r="BE262" i="4" s="1"/>
  <c r="BF262" i="4" s="1"/>
  <c r="BM262" i="4" s="1"/>
  <c r="BO262" i="10" s="1"/>
  <c r="AW12" i="1"/>
  <c r="BD12" i="4" s="1"/>
  <c r="BE12" i="4" s="1"/>
  <c r="BF12" i="4" s="1"/>
  <c r="BM12" i="4" s="1"/>
  <c r="BO12" i="10" s="1"/>
  <c r="AW121" i="1"/>
  <c r="BD121" i="4" s="1"/>
  <c r="BE121" i="4" s="1"/>
  <c r="BF121" i="4" s="1"/>
  <c r="BM121" i="4" s="1"/>
  <c r="BO121" i="10" s="1"/>
  <c r="AW227" i="1"/>
  <c r="BD227" i="4" s="1"/>
  <c r="BE227" i="4" s="1"/>
  <c r="BF227" i="4" s="1"/>
  <c r="BM227" i="4" s="1"/>
  <c r="BO227" i="10" s="1"/>
  <c r="AW129" i="1"/>
  <c r="BD129" i="4" s="1"/>
  <c r="BE129" i="4" s="1"/>
  <c r="BF129" i="4" s="1"/>
  <c r="BM129" i="4" s="1"/>
  <c r="BO129" i="10" s="1"/>
  <c r="AW301" i="1"/>
  <c r="BD301" i="4" s="1"/>
  <c r="BE301" i="4" s="1"/>
  <c r="BF301" i="4" s="1"/>
  <c r="BM301" i="4" s="1"/>
  <c r="BO301" i="10" s="1"/>
  <c r="AW146" i="1"/>
  <c r="BD146" i="4" s="1"/>
  <c r="BE146" i="4" s="1"/>
  <c r="BF146" i="4" s="1"/>
  <c r="BM146" i="4" s="1"/>
  <c r="BO146" i="10" s="1"/>
  <c r="AW237" i="1"/>
  <c r="BD237" i="4" s="1"/>
  <c r="BE237" i="4" s="1"/>
  <c r="BF237" i="4" s="1"/>
  <c r="BM237" i="4" s="1"/>
  <c r="BO237" i="10" s="1"/>
  <c r="AW339" i="1"/>
  <c r="BD339" i="4" s="1"/>
  <c r="BE339" i="4" s="1"/>
  <c r="BF339" i="4" s="1"/>
  <c r="BM339" i="4" s="1"/>
  <c r="BO339" i="10" s="1"/>
  <c r="AW320" i="1"/>
  <c r="BD320" i="4" s="1"/>
  <c r="BE320" i="4" s="1"/>
  <c r="BF320" i="4" s="1"/>
  <c r="BM320" i="4" s="1"/>
  <c r="BO320" i="10" s="1"/>
  <c r="AW140" i="1"/>
  <c r="BD140" i="4" s="1"/>
  <c r="BE140" i="4" s="1"/>
  <c r="BF140" i="4" s="1"/>
  <c r="BM140" i="4" s="1"/>
  <c r="BO140" i="10" s="1"/>
  <c r="AW10" i="1"/>
  <c r="BD10" i="4" s="1"/>
  <c r="BE10" i="4" s="1"/>
  <c r="BF10" i="4" s="1"/>
  <c r="BM10" i="4" s="1"/>
  <c r="BO10" i="10" s="1"/>
  <c r="AW164" i="1"/>
  <c r="BD164" i="4" s="1"/>
  <c r="BE164" i="4" s="1"/>
  <c r="BF164" i="4" s="1"/>
  <c r="BM164" i="4" s="1"/>
  <c r="BO164" i="10" s="1"/>
  <c r="AW47" i="1"/>
  <c r="BD47" i="4" s="1"/>
  <c r="BE47" i="4" s="1"/>
  <c r="BF47" i="4" s="1"/>
  <c r="BM47" i="4" s="1"/>
  <c r="BO47" i="10" s="1"/>
  <c r="AW88" i="1"/>
  <c r="BD88" i="4" s="1"/>
  <c r="BE88" i="4" s="1"/>
  <c r="BF88" i="4" s="1"/>
  <c r="BM88" i="4" s="1"/>
  <c r="BO88" i="10" s="1"/>
  <c r="AW283" i="1"/>
  <c r="BD283" i="4" s="1"/>
  <c r="BE283" i="4" s="1"/>
  <c r="BF283" i="4" s="1"/>
  <c r="BM283" i="4" s="1"/>
  <c r="BO283" i="10" s="1"/>
  <c r="AW57" i="1"/>
  <c r="BD57" i="4" s="1"/>
  <c r="BE57" i="4" s="1"/>
  <c r="BF57" i="4" s="1"/>
  <c r="BM57" i="4" s="1"/>
  <c r="BO57" i="10" s="1"/>
  <c r="AW29" i="1"/>
  <c r="BD29" i="4" s="1"/>
  <c r="BE29" i="4" s="1"/>
  <c r="BF29" i="4" s="1"/>
  <c r="BM29" i="4" s="1"/>
  <c r="BO29" i="10" s="1"/>
  <c r="AW160" i="1"/>
  <c r="BD160" i="4" s="1"/>
  <c r="BE160" i="4" s="1"/>
  <c r="BF160" i="4" s="1"/>
  <c r="BM160" i="4" s="1"/>
  <c r="BO160" i="10" s="1"/>
  <c r="AW236" i="1"/>
  <c r="BD236" i="4" s="1"/>
  <c r="BE236" i="4" s="1"/>
  <c r="BF236" i="4" s="1"/>
  <c r="BM236" i="4" s="1"/>
  <c r="BO236" i="10" s="1"/>
  <c r="AW108" i="1"/>
  <c r="BD108" i="4" s="1"/>
  <c r="BE108" i="4" s="1"/>
  <c r="BF108" i="4" s="1"/>
  <c r="BM108" i="4" s="1"/>
  <c r="BO108" i="10" s="1"/>
  <c r="AW247" i="1"/>
  <c r="BD247" i="4" s="1"/>
  <c r="BE247" i="4" s="1"/>
  <c r="BF247" i="4" s="1"/>
  <c r="BM247" i="4" s="1"/>
  <c r="BO247" i="10" s="1"/>
  <c r="AW295" i="1"/>
  <c r="BD295" i="4" s="1"/>
  <c r="BE295" i="4" s="1"/>
  <c r="BF295" i="4" s="1"/>
  <c r="BM295" i="4" s="1"/>
  <c r="BO295" i="10" s="1"/>
  <c r="AW75" i="1"/>
  <c r="BD75" i="4" s="1"/>
  <c r="BE75" i="4" s="1"/>
  <c r="BF75" i="4" s="1"/>
  <c r="BM75" i="4" s="1"/>
  <c r="BO75" i="10" s="1"/>
  <c r="AW130" i="1"/>
  <c r="BD130" i="4" s="1"/>
  <c r="BE130" i="4" s="1"/>
  <c r="BF130" i="4" s="1"/>
  <c r="BM130" i="4" s="1"/>
  <c r="BO130" i="10" s="1"/>
  <c r="AW232" i="1"/>
  <c r="BD232" i="4" s="1"/>
  <c r="BE232" i="4" s="1"/>
  <c r="BF232" i="4" s="1"/>
  <c r="BM232" i="4" s="1"/>
  <c r="BO232" i="10" s="1"/>
  <c r="AW338" i="1"/>
  <c r="BD338" i="4" s="1"/>
  <c r="BE338" i="4" s="1"/>
  <c r="BF338" i="4" s="1"/>
  <c r="BM338" i="4" s="1"/>
  <c r="BO338" i="10" s="1"/>
  <c r="AW95" i="1"/>
  <c r="BD95" i="4" s="1"/>
  <c r="BE95" i="4" s="1"/>
  <c r="BF95" i="4" s="1"/>
  <c r="BM95" i="4" s="1"/>
  <c r="BO95" i="10" s="1"/>
  <c r="AW201" i="1"/>
  <c r="BD201" i="4" s="1"/>
  <c r="BE201" i="4" s="1"/>
  <c r="BF201" i="4" s="1"/>
  <c r="BM201" i="4" s="1"/>
  <c r="BO201" i="10" s="1"/>
  <c r="AW107" i="1"/>
  <c r="BD107" i="4" s="1"/>
  <c r="BE107" i="4" s="1"/>
  <c r="BF107" i="4" s="1"/>
  <c r="BM107" i="4" s="1"/>
  <c r="BO107" i="10" s="1"/>
  <c r="AW279" i="1"/>
  <c r="BD279" i="4" s="1"/>
  <c r="BE279" i="4" s="1"/>
  <c r="BF279" i="4" s="1"/>
  <c r="BM279" i="4" s="1"/>
  <c r="BO279" i="10" s="1"/>
  <c r="AW124" i="1"/>
  <c r="BD124" i="4" s="1"/>
  <c r="BE124" i="4" s="1"/>
  <c r="BF124" i="4" s="1"/>
  <c r="BM124" i="4" s="1"/>
  <c r="BO124" i="10" s="1"/>
  <c r="AW224" i="1"/>
  <c r="BD224" i="4" s="1"/>
  <c r="BE224" i="4" s="1"/>
  <c r="BF224" i="4" s="1"/>
  <c r="BM224" i="4" s="1"/>
  <c r="BO224" i="10" s="1"/>
  <c r="AW284" i="1"/>
  <c r="BD284" i="4" s="1"/>
  <c r="BE284" i="4" s="1"/>
  <c r="BF284" i="4" s="1"/>
  <c r="BM284" i="4" s="1"/>
  <c r="BO284" i="10" s="1"/>
  <c r="AW157" i="1"/>
  <c r="BD157" i="4" s="1"/>
  <c r="BE157" i="4" s="1"/>
  <c r="BF157" i="4" s="1"/>
  <c r="BM157" i="4" s="1"/>
  <c r="BO157" i="10" s="1"/>
  <c r="AW246" i="1"/>
  <c r="BD246" i="4" s="1"/>
  <c r="BE246" i="4" s="1"/>
  <c r="BF246" i="4" s="1"/>
  <c r="BM246" i="4" s="1"/>
  <c r="BO246" i="10" s="1"/>
  <c r="AW11" i="1"/>
  <c r="BD11" i="4" s="1"/>
  <c r="BE11" i="4" s="1"/>
  <c r="BF11" i="4" s="1"/>
  <c r="BM11" i="4" s="1"/>
  <c r="BO11" i="10" s="1"/>
  <c r="AW155" i="1"/>
  <c r="BD155" i="4" s="1"/>
  <c r="BE155" i="4" s="1"/>
  <c r="BF155" i="4" s="1"/>
  <c r="BM155" i="4" s="1"/>
  <c r="BO155" i="10" s="1"/>
  <c r="AW277" i="1"/>
  <c r="BD277" i="4" s="1"/>
  <c r="BE277" i="4" s="1"/>
  <c r="BF277" i="4" s="1"/>
  <c r="BM277" i="4" s="1"/>
  <c r="BO277" i="10" s="1"/>
  <c r="AW318" i="1"/>
  <c r="BD318" i="4" s="1"/>
  <c r="BE318" i="4" s="1"/>
  <c r="BF318" i="4" s="1"/>
  <c r="BM318" i="4" s="1"/>
  <c r="BO318" i="10" s="1"/>
  <c r="AW128" i="1"/>
  <c r="BD128" i="4" s="1"/>
  <c r="BE128" i="4" s="1"/>
  <c r="BF128" i="4" s="1"/>
  <c r="BM128" i="4" s="1"/>
  <c r="BO128" i="10" s="1"/>
  <c r="AW225" i="1"/>
  <c r="BD225" i="4" s="1"/>
  <c r="BE225" i="4" s="1"/>
  <c r="BF225" i="4" s="1"/>
  <c r="BM225" i="4" s="1"/>
  <c r="BO225" i="10" s="1"/>
  <c r="AW186" i="1"/>
  <c r="BD186" i="4" s="1"/>
  <c r="BE186" i="4" s="1"/>
  <c r="BF186" i="4" s="1"/>
  <c r="BM186" i="4" s="1"/>
  <c r="BO186" i="10" s="1"/>
  <c r="AW329" i="1"/>
  <c r="BD329" i="4" s="1"/>
  <c r="BE329" i="4" s="1"/>
  <c r="BF329" i="4" s="1"/>
  <c r="BM329" i="4" s="1"/>
  <c r="BO329" i="10" s="1"/>
  <c r="AW143" i="1"/>
  <c r="BD143" i="4" s="1"/>
  <c r="BE143" i="4" s="1"/>
  <c r="BF143" i="4" s="1"/>
  <c r="BM143" i="4" s="1"/>
  <c r="BO143" i="10" s="1"/>
  <c r="AW82" i="1"/>
  <c r="BD82" i="4" s="1"/>
  <c r="BE82" i="4" s="1"/>
  <c r="BF82" i="4" s="1"/>
  <c r="BM82" i="4" s="1"/>
  <c r="BO82" i="10" s="1"/>
  <c r="AW208" i="1"/>
  <c r="BD208" i="4" s="1"/>
  <c r="BE208" i="4" s="1"/>
  <c r="BF208" i="4" s="1"/>
  <c r="BM208" i="4" s="1"/>
  <c r="BO208" i="10" s="1"/>
  <c r="AW297" i="1"/>
  <c r="BD297" i="4" s="1"/>
  <c r="BE297" i="4" s="1"/>
  <c r="BF297" i="4" s="1"/>
  <c r="BM297" i="4" s="1"/>
  <c r="BO297" i="10" s="1"/>
  <c r="AW288" i="1"/>
  <c r="BD288" i="4" s="1"/>
  <c r="BE288" i="4" s="1"/>
  <c r="BF288" i="4" s="1"/>
  <c r="BM288" i="4" s="1"/>
  <c r="BO288" i="10" s="1"/>
  <c r="AW221" i="1"/>
  <c r="BD221" i="4" s="1"/>
  <c r="BE221" i="4" s="1"/>
  <c r="BF221" i="4" s="1"/>
  <c r="BM221" i="4" s="1"/>
  <c r="BO221" i="10" s="1"/>
  <c r="AW141" i="1"/>
  <c r="BD141" i="4" s="1"/>
  <c r="BE141" i="4" s="1"/>
  <c r="BF141" i="4" s="1"/>
  <c r="BM141" i="4" s="1"/>
  <c r="BO141" i="10" s="1"/>
  <c r="AW5" i="1"/>
  <c r="BD5" i="4" s="1"/>
  <c r="BE5" i="4" s="1"/>
  <c r="BF5" i="4" s="1"/>
  <c r="BM5" i="4" s="1"/>
  <c r="BO5" i="10" s="1"/>
  <c r="AW165" i="1"/>
  <c r="BD165" i="4" s="1"/>
  <c r="BE165" i="4" s="1"/>
  <c r="BF165" i="4" s="1"/>
  <c r="BM165" i="4" s="1"/>
  <c r="BO165" i="10" s="1"/>
  <c r="AW219" i="1"/>
  <c r="BD219" i="4" s="1"/>
  <c r="BE219" i="4" s="1"/>
  <c r="BF219" i="4" s="1"/>
  <c r="BM219" i="4" s="1"/>
  <c r="BO219" i="10" s="1"/>
  <c r="AW269" i="1"/>
  <c r="BD269" i="4" s="1"/>
  <c r="BE269" i="4" s="1"/>
  <c r="BF269" i="4" s="1"/>
  <c r="BM269" i="4" s="1"/>
  <c r="BO269" i="10" s="1"/>
  <c r="AW319" i="1"/>
  <c r="BD319" i="4" s="1"/>
  <c r="BE319" i="4" s="1"/>
  <c r="BF319" i="4" s="1"/>
  <c r="BM319" i="4" s="1"/>
  <c r="BO319" i="10" s="1"/>
  <c r="AW48" i="1"/>
  <c r="BD48" i="4" s="1"/>
  <c r="BE48" i="4" s="1"/>
  <c r="BF48" i="4" s="1"/>
  <c r="BM48" i="4" s="1"/>
  <c r="BO48" i="10" s="1"/>
  <c r="AW100" i="1"/>
  <c r="BD100" i="4" s="1"/>
  <c r="BE100" i="4" s="1"/>
  <c r="BF100" i="4" s="1"/>
  <c r="BM100" i="4" s="1"/>
  <c r="BO100" i="10" s="1"/>
  <c r="AW206" i="1"/>
  <c r="BD206" i="4" s="1"/>
  <c r="BE206" i="4" s="1"/>
  <c r="BF206" i="4" s="1"/>
  <c r="BM206" i="4" s="1"/>
  <c r="BO206" i="10" s="1"/>
  <c r="AW312" i="1"/>
  <c r="BD312" i="4" s="1"/>
  <c r="BE312" i="4" s="1"/>
  <c r="BF312" i="4" s="1"/>
  <c r="BM312" i="4" s="1"/>
  <c r="BO312" i="10" s="1"/>
  <c r="AW68" i="1"/>
  <c r="BD68" i="4" s="1"/>
  <c r="BE68" i="4" s="1"/>
  <c r="BF68" i="4" s="1"/>
  <c r="BM68" i="4" s="1"/>
  <c r="BO68" i="10" s="1"/>
  <c r="AW175" i="1"/>
  <c r="BD175" i="4" s="1"/>
  <c r="BE175" i="4" s="1"/>
  <c r="BF175" i="4" s="1"/>
  <c r="BM175" i="4" s="1"/>
  <c r="BO175" i="10" s="1"/>
  <c r="AW85" i="1"/>
  <c r="BD85" i="4" s="1"/>
  <c r="BE85" i="4" s="1"/>
  <c r="BF85" i="4" s="1"/>
  <c r="BM85" i="4" s="1"/>
  <c r="BO85" i="10" s="1"/>
  <c r="AW257" i="1"/>
  <c r="BD257" i="4" s="1"/>
  <c r="BE257" i="4" s="1"/>
  <c r="BF257" i="4" s="1"/>
  <c r="BM257" i="4" s="1"/>
  <c r="BO257" i="10" s="1"/>
  <c r="AW102" i="1"/>
  <c r="BD102" i="4" s="1"/>
  <c r="BE102" i="4" s="1"/>
  <c r="BF102" i="4" s="1"/>
  <c r="BM102" i="4" s="1"/>
  <c r="BO102" i="10" s="1"/>
  <c r="AW35" i="1"/>
  <c r="BD35" i="4" s="1"/>
  <c r="BE35" i="4" s="1"/>
  <c r="BF35" i="4" s="1"/>
  <c r="BM35" i="4" s="1"/>
  <c r="BO35" i="10" s="1"/>
  <c r="AW272" i="1"/>
  <c r="BD272" i="4" s="1"/>
  <c r="BE272" i="4" s="1"/>
  <c r="BF272" i="4" s="1"/>
  <c r="BM272" i="4" s="1"/>
  <c r="BO272" i="10" s="1"/>
  <c r="AW116" i="1"/>
  <c r="BD116" i="4" s="1"/>
  <c r="BE116" i="4" s="1"/>
  <c r="BF116" i="4" s="1"/>
  <c r="BM116" i="4" s="1"/>
  <c r="BO116" i="10" s="1"/>
  <c r="AW24" i="1"/>
  <c r="BD24" i="4" s="1"/>
  <c r="BE24" i="4" s="1"/>
  <c r="BF24" i="4" s="1"/>
  <c r="BM24" i="4" s="1"/>
  <c r="BO24" i="10" s="1"/>
  <c r="AW148" i="1"/>
  <c r="BD148" i="4" s="1"/>
  <c r="BE148" i="4" s="1"/>
  <c r="BF148" i="4" s="1"/>
  <c r="BM148" i="4" s="1"/>
  <c r="BO148" i="10" s="1"/>
  <c r="AW192" i="1"/>
  <c r="BD192" i="4" s="1"/>
  <c r="BE192" i="4" s="1"/>
  <c r="BF192" i="4" s="1"/>
  <c r="BM192" i="4" s="1"/>
  <c r="BO192" i="10" s="1"/>
  <c r="AW74" i="1"/>
  <c r="BD74" i="4" s="1"/>
  <c r="BE74" i="4" s="1"/>
  <c r="BF74" i="4" s="1"/>
  <c r="BM74" i="4" s="1"/>
  <c r="BO74" i="10" s="1"/>
  <c r="AW114" i="1"/>
  <c r="BD114" i="4" s="1"/>
  <c r="BE114" i="4" s="1"/>
  <c r="BF114" i="4" s="1"/>
  <c r="BM114" i="4" s="1"/>
  <c r="BO114" i="10" s="1"/>
  <c r="AW305" i="1"/>
  <c r="BD305" i="4" s="1"/>
  <c r="BE305" i="4" s="1"/>
  <c r="BF305" i="4" s="1"/>
  <c r="BM305" i="4" s="1"/>
  <c r="BO305" i="10" s="1"/>
  <c r="AW138" i="1"/>
  <c r="BD138" i="4" s="1"/>
  <c r="BE138" i="4" s="1"/>
  <c r="BF138" i="4" s="1"/>
  <c r="BM138" i="4" s="1"/>
  <c r="BO138" i="10" s="1"/>
  <c r="AW311" i="1"/>
  <c r="BD311" i="4" s="1"/>
  <c r="BE311" i="4" s="1"/>
  <c r="BF311" i="4" s="1"/>
  <c r="BM311" i="4" s="1"/>
  <c r="BO311" i="10" s="1"/>
  <c r="AW112" i="1"/>
  <c r="BD112" i="4" s="1"/>
  <c r="BE112" i="4" s="1"/>
  <c r="BF112" i="4" s="1"/>
  <c r="BM112" i="4" s="1"/>
  <c r="BO112" i="10" s="1"/>
  <c r="AW303" i="1"/>
  <c r="BD303" i="4" s="1"/>
  <c r="BE303" i="4" s="1"/>
  <c r="BF303" i="4" s="1"/>
  <c r="BM303" i="4" s="1"/>
  <c r="BO303" i="10" s="1"/>
  <c r="AW275" i="1"/>
  <c r="BD275" i="4" s="1"/>
  <c r="BE275" i="4" s="1"/>
  <c r="BF275" i="4" s="1"/>
  <c r="BM275" i="4" s="1"/>
  <c r="BO275" i="10" s="1"/>
  <c r="AW158" i="1"/>
  <c r="BD158" i="4" s="1"/>
  <c r="BE158" i="4" s="1"/>
  <c r="BF158" i="4" s="1"/>
  <c r="BM158" i="4" s="1"/>
  <c r="BO158" i="10" s="1"/>
  <c r="AW197" i="1"/>
  <c r="BD197" i="4" s="1"/>
  <c r="BE197" i="4" s="1"/>
  <c r="BF197" i="4" s="1"/>
  <c r="BM197" i="4" s="1"/>
  <c r="BO197" i="10" s="1"/>
  <c r="AW78" i="1"/>
  <c r="BD78" i="4" s="1"/>
  <c r="BE78" i="4" s="1"/>
  <c r="BF78" i="4" s="1"/>
  <c r="BM78" i="4" s="1"/>
  <c r="BO78" i="10" s="1"/>
  <c r="AW132" i="1"/>
  <c r="BD132" i="4" s="1"/>
  <c r="BE132" i="4" s="1"/>
  <c r="BF132" i="4" s="1"/>
  <c r="BM132" i="4" s="1"/>
  <c r="BO132" i="10" s="1"/>
  <c r="AW271" i="1"/>
  <c r="BD271" i="4" s="1"/>
  <c r="BE271" i="4" s="1"/>
  <c r="BF271" i="4" s="1"/>
  <c r="BM271" i="4" s="1"/>
  <c r="BO271" i="10" s="1"/>
  <c r="AW32" i="1"/>
  <c r="BD32" i="4" s="1"/>
  <c r="BE32" i="4" s="1"/>
  <c r="BF32" i="4" s="1"/>
  <c r="BM32" i="4" s="1"/>
  <c r="BO32" i="10" s="1"/>
  <c r="AW89" i="1"/>
  <c r="BD89" i="4" s="1"/>
  <c r="BE89" i="4" s="1"/>
  <c r="BF89" i="4" s="1"/>
  <c r="BM89" i="4" s="1"/>
  <c r="BO89" i="10" s="1"/>
  <c r="AW189" i="1"/>
  <c r="BD189" i="4" s="1"/>
  <c r="BE189" i="4" s="1"/>
  <c r="BF189" i="4" s="1"/>
  <c r="BM189" i="4" s="1"/>
  <c r="BO189" i="10" s="1"/>
  <c r="AW243" i="1"/>
  <c r="BD243" i="4" s="1"/>
  <c r="BE243" i="4" s="1"/>
  <c r="BF243" i="4" s="1"/>
  <c r="BM243" i="4" s="1"/>
  <c r="BO243" i="10" s="1"/>
  <c r="AW293" i="1"/>
  <c r="BD293" i="4" s="1"/>
  <c r="BE293" i="4" s="1"/>
  <c r="BF293" i="4" s="1"/>
  <c r="BM293" i="4" s="1"/>
  <c r="BO293" i="10" s="1"/>
  <c r="AW21" i="1"/>
  <c r="BD21" i="4" s="1"/>
  <c r="BE21" i="4" s="1"/>
  <c r="BF21" i="4" s="1"/>
  <c r="BM21" i="4" s="1"/>
  <c r="BO21" i="10" s="1"/>
  <c r="AW73" i="1"/>
  <c r="BD73" i="4" s="1"/>
  <c r="BE73" i="4" s="1"/>
  <c r="BF73" i="4" s="1"/>
  <c r="BM73" i="4" s="1"/>
  <c r="BO73" i="10" s="1"/>
  <c r="AW180" i="1"/>
  <c r="BD180" i="4" s="1"/>
  <c r="BE180" i="4" s="1"/>
  <c r="BF180" i="4" s="1"/>
  <c r="BM180" i="4" s="1"/>
  <c r="BO180" i="10" s="1"/>
  <c r="AW286" i="1"/>
  <c r="BD286" i="4" s="1"/>
  <c r="BE286" i="4" s="1"/>
  <c r="BF286" i="4" s="1"/>
  <c r="BM286" i="4" s="1"/>
  <c r="BO286" i="10" s="1"/>
  <c r="AW39" i="1"/>
  <c r="BD39" i="4" s="1"/>
  <c r="BE39" i="4" s="1"/>
  <c r="BF39" i="4" s="1"/>
  <c r="BM39" i="4" s="1"/>
  <c r="BO39" i="10" s="1"/>
  <c r="AW145" i="1"/>
  <c r="BD145" i="4" s="1"/>
  <c r="BE145" i="4" s="1"/>
  <c r="BF145" i="4" s="1"/>
  <c r="BM145" i="4" s="1"/>
  <c r="BO145" i="10" s="1"/>
  <c r="AW63" i="1"/>
  <c r="BD63" i="4" s="1"/>
  <c r="BE63" i="4" s="1"/>
  <c r="BF63" i="4" s="1"/>
  <c r="BM63" i="4" s="1"/>
  <c r="BO63" i="10" s="1"/>
  <c r="AW235" i="1"/>
  <c r="BD235" i="4" s="1"/>
  <c r="BE235" i="4" s="1"/>
  <c r="BF235" i="4" s="1"/>
  <c r="BM235" i="4" s="1"/>
  <c r="BO235" i="10" s="1"/>
  <c r="AW80" i="1"/>
  <c r="BD80" i="4" s="1"/>
  <c r="BE80" i="4" s="1"/>
  <c r="BF80" i="4" s="1"/>
  <c r="BM80" i="4" s="1"/>
  <c r="BO80" i="10" s="1"/>
  <c r="AW302" i="1"/>
  <c r="BD302" i="4" s="1"/>
  <c r="BE302" i="4" s="1"/>
  <c r="BF302" i="4" s="1"/>
  <c r="BM302" i="4" s="1"/>
  <c r="BO302" i="10" s="1"/>
  <c r="AW135" i="1"/>
  <c r="BD135" i="4" s="1"/>
  <c r="BE135" i="4" s="1"/>
  <c r="BF135" i="4" s="1"/>
  <c r="BM135" i="4" s="1"/>
  <c r="BO135" i="10" s="1"/>
  <c r="AW198" i="1"/>
  <c r="BD198" i="4" s="1"/>
  <c r="BE198" i="4" s="1"/>
  <c r="BF198" i="4" s="1"/>
  <c r="BM198" i="4" s="1"/>
  <c r="BO198" i="10" s="1"/>
  <c r="AW76" i="1"/>
  <c r="BD76" i="4" s="1"/>
  <c r="BE76" i="4" s="1"/>
  <c r="BF76" i="4" s="1"/>
  <c r="BM76" i="4" s="1"/>
  <c r="BO76" i="10" s="1"/>
  <c r="AW90" i="1"/>
  <c r="BD90" i="4" s="1"/>
  <c r="BE90" i="4" s="1"/>
  <c r="BF90" i="4" s="1"/>
  <c r="BM90" i="4" s="1"/>
  <c r="BO90" i="10" s="1"/>
  <c r="AW42" i="1"/>
  <c r="BD42" i="4" s="1"/>
  <c r="BE42" i="4" s="1"/>
  <c r="BF42" i="4" s="1"/>
  <c r="BM42" i="4" s="1"/>
  <c r="BO42" i="10" s="1"/>
  <c r="AW22" i="1"/>
  <c r="BD22" i="4" s="1"/>
  <c r="BE22" i="4" s="1"/>
  <c r="BF22" i="4" s="1"/>
  <c r="BM22" i="4" s="1"/>
  <c r="BO22" i="10" s="1"/>
  <c r="AW150" i="1"/>
  <c r="BD150" i="4" s="1"/>
  <c r="BE150" i="4" s="1"/>
  <c r="BF150" i="4" s="1"/>
  <c r="BM150" i="4" s="1"/>
  <c r="BO150" i="10" s="1"/>
  <c r="AW171" i="1"/>
  <c r="BD171" i="4" s="1"/>
  <c r="BE171" i="4" s="1"/>
  <c r="BF171" i="4" s="1"/>
  <c r="BM171" i="4" s="1"/>
  <c r="BO171" i="10" s="1"/>
  <c r="AW210" i="1"/>
  <c r="BD210" i="4" s="1"/>
  <c r="BE210" i="4" s="1"/>
  <c r="BF210" i="4" s="1"/>
  <c r="BM210" i="4" s="1"/>
  <c r="BO210" i="10" s="1"/>
  <c r="AW27" i="1"/>
  <c r="BD27" i="4" s="1"/>
  <c r="BE27" i="4" s="1"/>
  <c r="BF27" i="4" s="1"/>
  <c r="BM27" i="4" s="1"/>
  <c r="BO27" i="10" s="1"/>
  <c r="AW117" i="1"/>
  <c r="BD117" i="4" s="1"/>
  <c r="BE117" i="4" s="1"/>
  <c r="BF117" i="4" s="1"/>
  <c r="BM117" i="4" s="1"/>
  <c r="BO117" i="10" s="1"/>
  <c r="AW52" i="1"/>
  <c r="BD52" i="4" s="1"/>
  <c r="BE52" i="4" s="1"/>
  <c r="BF52" i="4" s="1"/>
  <c r="BM52" i="4" s="1"/>
  <c r="BO52" i="10" s="1"/>
  <c r="AW25" i="1"/>
  <c r="BD25" i="4" s="1"/>
  <c r="BE25" i="4" s="1"/>
  <c r="BF25" i="4" s="1"/>
  <c r="BM25" i="4" s="1"/>
  <c r="BO25" i="10" s="1"/>
  <c r="AW43" i="1"/>
  <c r="BD43" i="4" s="1"/>
  <c r="BE43" i="4" s="1"/>
  <c r="BF43" i="4" s="1"/>
  <c r="BM43" i="4" s="1"/>
  <c r="BO43" i="10" s="1"/>
  <c r="AW167" i="1"/>
  <c r="BD167" i="4" s="1"/>
  <c r="BE167" i="4" s="1"/>
  <c r="BF167" i="4" s="1"/>
  <c r="BM167" i="4" s="1"/>
  <c r="BO167" i="10" s="1"/>
  <c r="AW23" i="1"/>
  <c r="BD23" i="4" s="1"/>
  <c r="BE23" i="4" s="1"/>
  <c r="BF23" i="4" s="1"/>
  <c r="BM23" i="4" s="1"/>
  <c r="BO23" i="10" s="1"/>
  <c r="AW115" i="1"/>
  <c r="BD115" i="4" s="1"/>
  <c r="BE115" i="4" s="1"/>
  <c r="BF115" i="4" s="1"/>
  <c r="BM115" i="4" s="1"/>
  <c r="BO115" i="10" s="1"/>
  <c r="AW306" i="1"/>
  <c r="BD306" i="4" s="1"/>
  <c r="BE306" i="4" s="1"/>
  <c r="BF306" i="4" s="1"/>
  <c r="BM306" i="4" s="1"/>
  <c r="BO306" i="10" s="1"/>
  <c r="AW113" i="1"/>
  <c r="BD113" i="4" s="1"/>
  <c r="BE113" i="4" s="1"/>
  <c r="BF113" i="4" s="1"/>
  <c r="BM113" i="4" s="1"/>
  <c r="BO113" i="10" s="1"/>
  <c r="AW215" i="1"/>
  <c r="BD215" i="4" s="1"/>
  <c r="BE215" i="4" s="1"/>
  <c r="BF215" i="4" s="1"/>
  <c r="BM215" i="4" s="1"/>
  <c r="BO215" i="10" s="1"/>
  <c r="AW267" i="1"/>
  <c r="BD267" i="4" s="1"/>
  <c r="BE267" i="4" s="1"/>
  <c r="BF267" i="4" s="1"/>
  <c r="BM267" i="4" s="1"/>
  <c r="BO267" i="10" s="1"/>
  <c r="AW317" i="1"/>
  <c r="BD317" i="4" s="1"/>
  <c r="BE317" i="4" s="1"/>
  <c r="BF317" i="4" s="1"/>
  <c r="BM317" i="4" s="1"/>
  <c r="BO317" i="10" s="1"/>
  <c r="AW46" i="1"/>
  <c r="BD46" i="4" s="1"/>
  <c r="BE46" i="4" s="1"/>
  <c r="BF46" i="4" s="1"/>
  <c r="BM46" i="4" s="1"/>
  <c r="BO46" i="10" s="1"/>
  <c r="AW154" i="1"/>
  <c r="BD154" i="4" s="1"/>
  <c r="BE154" i="4" s="1"/>
  <c r="BF154" i="4" s="1"/>
  <c r="BM154" i="4" s="1"/>
  <c r="BO154" i="10" s="1"/>
  <c r="AW258" i="1"/>
  <c r="BD258" i="4" s="1"/>
  <c r="BE258" i="4" s="1"/>
  <c r="BF258" i="4" s="1"/>
  <c r="BM258" i="4" s="1"/>
  <c r="BO258" i="10" s="1"/>
  <c r="AW9" i="1"/>
  <c r="BD9" i="4" s="1"/>
  <c r="BE9" i="4" s="1"/>
  <c r="BF9" i="4" s="1"/>
  <c r="BM9" i="4" s="1"/>
  <c r="BO9" i="10" s="1"/>
  <c r="AW119" i="1"/>
  <c r="BD119" i="4" s="1"/>
  <c r="BE119" i="4" s="1"/>
  <c r="BF119" i="4" s="1"/>
  <c r="BM119" i="4" s="1"/>
  <c r="BO119" i="10" s="1"/>
  <c r="AW41" i="1"/>
  <c r="BD41" i="4" s="1"/>
  <c r="BE41" i="4" s="1"/>
  <c r="BF41" i="4" s="1"/>
  <c r="BM41" i="4" s="1"/>
  <c r="BO41" i="10" s="1"/>
  <c r="AW213" i="1"/>
  <c r="BD213" i="4" s="1"/>
  <c r="BE213" i="4" s="1"/>
  <c r="BF213" i="4" s="1"/>
  <c r="BM213" i="4" s="1"/>
  <c r="BO213" i="10" s="1"/>
  <c r="AW58" i="1"/>
  <c r="BD58" i="4" s="1"/>
  <c r="BE58" i="4" s="1"/>
  <c r="BF58" i="4" s="1"/>
  <c r="BM58" i="4" s="1"/>
  <c r="BO58" i="10" s="1"/>
  <c r="AW315" i="1"/>
  <c r="BD315" i="4" s="1"/>
  <c r="BE315" i="4" s="1"/>
  <c r="BF315" i="4" s="1"/>
  <c r="BM315" i="4" s="1"/>
  <c r="BO315" i="10" s="1"/>
  <c r="AW274" i="1"/>
  <c r="BD274" i="4" s="1"/>
  <c r="BE274" i="4" s="1"/>
  <c r="BF274" i="4" s="1"/>
  <c r="BM274" i="4" s="1"/>
  <c r="BO274" i="10" s="1"/>
  <c r="AW222" i="1"/>
  <c r="BD222" i="4" s="1"/>
  <c r="BE222" i="4" s="1"/>
  <c r="BF222" i="4" s="1"/>
  <c r="BM222" i="4" s="1"/>
  <c r="BO222" i="10" s="1"/>
  <c r="AW196" i="1"/>
  <c r="BD196" i="4" s="1"/>
  <c r="BE196" i="4" s="1"/>
  <c r="BF196" i="4" s="1"/>
  <c r="BM196" i="4" s="1"/>
  <c r="BO196" i="10" s="1"/>
  <c r="AW313" i="1"/>
  <c r="BD313" i="4" s="1"/>
  <c r="BE313" i="4" s="1"/>
  <c r="BF313" i="4" s="1"/>
  <c r="BM313" i="4" s="1"/>
  <c r="BO313" i="10" s="1"/>
  <c r="AW181" i="1"/>
  <c r="BD181" i="4" s="1"/>
  <c r="BE181" i="4" s="1"/>
  <c r="BF181" i="4" s="1"/>
  <c r="BM181" i="4" s="1"/>
  <c r="BO181" i="10" s="1"/>
  <c r="AW327" i="1"/>
  <c r="BD327" i="4" s="1"/>
  <c r="BE327" i="4" s="1"/>
  <c r="BF327" i="4" s="1"/>
  <c r="BM327" i="4" s="1"/>
  <c r="BO327" i="10" s="1"/>
  <c r="AW205" i="1"/>
  <c r="BD205" i="4" s="1"/>
  <c r="BE205" i="4" s="1"/>
  <c r="BF205" i="4" s="1"/>
  <c r="BM205" i="4" s="1"/>
  <c r="BO205" i="10" s="1"/>
  <c r="AW340" i="1"/>
  <c r="BD340" i="4" s="1"/>
  <c r="BE340" i="4" s="1"/>
  <c r="BF340" i="4" s="1"/>
  <c r="BM340" i="4" s="1"/>
  <c r="BO340" i="10" s="1"/>
  <c r="AW273" i="1"/>
  <c r="BD273" i="4" s="1"/>
  <c r="BE273" i="4" s="1"/>
  <c r="BF273" i="4" s="1"/>
  <c r="BM273" i="4" s="1"/>
  <c r="BO273" i="10" s="1"/>
  <c r="AW91" i="1"/>
  <c r="BD91" i="4" s="1"/>
  <c r="BE91" i="4" s="1"/>
  <c r="BF91" i="4" s="1"/>
  <c r="BM91" i="4" s="1"/>
  <c r="BO91" i="10" s="1"/>
  <c r="AW253" i="1"/>
  <c r="BD253" i="4" s="1"/>
  <c r="BE253" i="4" s="1"/>
  <c r="BF253" i="4" s="1"/>
  <c r="BM253" i="4" s="1"/>
  <c r="BO253" i="10" s="1"/>
  <c r="AW280" i="1"/>
  <c r="BD280" i="4" s="1"/>
  <c r="BE280" i="4" s="1"/>
  <c r="BF280" i="4" s="1"/>
  <c r="BM280" i="4" s="1"/>
  <c r="BO280" i="10" s="1"/>
  <c r="AW245" i="1"/>
  <c r="BD245" i="4" s="1"/>
  <c r="BE245" i="4" s="1"/>
  <c r="BF245" i="4" s="1"/>
  <c r="BM245" i="4" s="1"/>
  <c r="BO245" i="10" s="1"/>
  <c r="AW252" i="1"/>
  <c r="BD252" i="4" s="1"/>
  <c r="BE252" i="4" s="1"/>
  <c r="BF252" i="4" s="1"/>
  <c r="BM252" i="4" s="1"/>
  <c r="BO252" i="10" s="1"/>
  <c r="AW226" i="1"/>
  <c r="BD226" i="4" s="1"/>
  <c r="BE226" i="4" s="1"/>
  <c r="BF226" i="4" s="1"/>
  <c r="BM226" i="4" s="1"/>
  <c r="BO226" i="10" s="1"/>
  <c r="AW276" i="1"/>
  <c r="BD276" i="4" s="1"/>
  <c r="BE276" i="4" s="1"/>
  <c r="BF276" i="4" s="1"/>
  <c r="BM276" i="4" s="1"/>
  <c r="BO276" i="10" s="1"/>
  <c r="AW241" i="1"/>
  <c r="BD241" i="4" s="1"/>
  <c r="BE241" i="4" s="1"/>
  <c r="BF241" i="4" s="1"/>
  <c r="BM241" i="4" s="1"/>
  <c r="BO241" i="10" s="1"/>
  <c r="AW17" i="1"/>
  <c r="BD17" i="4" s="1"/>
  <c r="BE17" i="4" s="1"/>
  <c r="BF17" i="4" s="1"/>
  <c r="BM17" i="4" s="1"/>
  <c r="BO17" i="10" s="1"/>
  <c r="AW126" i="1"/>
  <c r="BD126" i="4" s="1"/>
  <c r="BE126" i="4" s="1"/>
  <c r="BF126" i="4" s="1"/>
  <c r="BM126" i="4" s="1"/>
  <c r="BO126" i="10" s="1"/>
  <c r="AW230" i="1"/>
  <c r="BD230" i="4" s="1"/>
  <c r="BE230" i="4" s="1"/>
  <c r="BF230" i="4" s="1"/>
  <c r="BM230" i="4" s="1"/>
  <c r="BO230" i="10" s="1"/>
  <c r="AW336" i="1"/>
  <c r="BD336" i="4" s="1"/>
  <c r="BE336" i="4" s="1"/>
  <c r="BF336" i="4" s="1"/>
  <c r="BM336" i="4" s="1"/>
  <c r="BO336" i="10" s="1"/>
  <c r="AW93" i="1"/>
  <c r="BD93" i="4" s="1"/>
  <c r="BE93" i="4" s="1"/>
  <c r="BF93" i="4" s="1"/>
  <c r="BM93" i="4" s="1"/>
  <c r="BO93" i="10" s="1"/>
  <c r="AW19" i="1"/>
  <c r="BD19" i="4" s="1"/>
  <c r="BE19" i="4" s="1"/>
  <c r="BF19" i="4" s="1"/>
  <c r="BM19" i="4" s="1"/>
  <c r="BO19" i="10" s="1"/>
  <c r="AW191" i="1"/>
  <c r="BD191" i="4" s="1"/>
  <c r="BE191" i="4" s="1"/>
  <c r="BF191" i="4" s="1"/>
  <c r="BM191" i="4" s="1"/>
  <c r="BO191" i="10" s="1"/>
  <c r="AW36" i="1"/>
  <c r="BD36" i="4" s="1"/>
  <c r="BE36" i="4" s="1"/>
  <c r="BF36" i="4" s="1"/>
  <c r="BM36" i="4" s="1"/>
  <c r="BO36" i="10" s="1"/>
  <c r="AW147" i="1"/>
  <c r="BD147" i="4" s="1"/>
  <c r="BE147" i="4" s="1"/>
  <c r="BF147" i="4" s="1"/>
  <c r="BM147" i="4" s="1"/>
  <c r="BO147" i="10" s="1"/>
  <c r="AW324" i="1"/>
  <c r="BD324" i="4" s="1"/>
  <c r="BE324" i="4" s="1"/>
  <c r="BF324" i="4" s="1"/>
  <c r="BM324" i="4" s="1"/>
  <c r="BO324" i="10" s="1"/>
  <c r="AW131" i="1"/>
  <c r="BD131" i="4" s="1"/>
  <c r="BE131" i="4" s="1"/>
  <c r="BF131" i="4" s="1"/>
  <c r="BM131" i="4" s="1"/>
  <c r="BO131" i="10" s="1"/>
  <c r="AW166" i="1"/>
  <c r="BD166" i="4" s="1"/>
  <c r="BE166" i="4" s="1"/>
  <c r="BF166" i="4" s="1"/>
  <c r="BM166" i="4" s="1"/>
  <c r="BO166" i="10" s="1"/>
  <c r="AW287" i="1"/>
  <c r="BD287" i="4" s="1"/>
  <c r="BE287" i="4" s="1"/>
  <c r="BF287" i="4" s="1"/>
  <c r="BM287" i="4" s="1"/>
  <c r="BO287" i="10" s="1"/>
  <c r="AW259" i="1"/>
  <c r="BD259" i="4" s="1"/>
  <c r="BE259" i="4" s="1"/>
  <c r="BF259" i="4" s="1"/>
  <c r="BM259" i="4" s="1"/>
  <c r="BO259" i="10" s="1"/>
  <c r="AW31" i="1"/>
  <c r="BD31" i="4" s="1"/>
  <c r="BE31" i="4" s="1"/>
  <c r="BF31" i="4" s="1"/>
  <c r="BM31" i="4" s="1"/>
  <c r="BO31" i="10" s="1"/>
  <c r="AW127" i="1"/>
  <c r="BD127" i="4" s="1"/>
  <c r="BE127" i="4" s="1"/>
  <c r="BF127" i="4" s="1"/>
  <c r="BM127" i="4" s="1"/>
  <c r="BO127" i="10" s="1"/>
  <c r="AW4" i="1"/>
  <c r="BD4" i="4" s="1"/>
  <c r="BE4" i="4" s="1"/>
  <c r="BF4" i="4" s="1"/>
  <c r="BM4" i="4" s="1"/>
  <c r="BO4" i="10" s="1"/>
  <c r="AW67" i="1"/>
  <c r="BD67" i="4" s="1"/>
  <c r="BE67" i="4" s="1"/>
  <c r="BF67" i="4" s="1"/>
  <c r="BM67" i="4" s="1"/>
  <c r="BO67" i="10" s="1"/>
  <c r="AW162" i="1"/>
  <c r="BD162" i="4" s="1"/>
  <c r="BE162" i="4" s="1"/>
  <c r="BF162" i="4" s="1"/>
  <c r="BM162" i="4" s="1"/>
  <c r="BO162" i="10" s="1"/>
  <c r="AW199" i="1"/>
  <c r="BD199" i="4" s="1"/>
  <c r="BE199" i="4" s="1"/>
  <c r="BF199" i="4" s="1"/>
  <c r="BM199" i="4" s="1"/>
  <c r="BO199" i="10" s="1"/>
  <c r="AW54" i="1"/>
  <c r="BD54" i="4" s="1"/>
  <c r="BE54" i="4" s="1"/>
  <c r="BF54" i="4" s="1"/>
  <c r="BM54" i="4" s="1"/>
  <c r="BO54" i="10" s="1"/>
  <c r="AW249" i="1"/>
  <c r="BD249" i="4" s="1"/>
  <c r="BE249" i="4" s="1"/>
  <c r="BF249" i="4" s="1"/>
  <c r="BM249" i="4" s="1"/>
  <c r="BO249" i="10" s="1"/>
  <c r="AW134" i="1"/>
  <c r="BD134" i="4" s="1"/>
  <c r="BE134" i="4" s="1"/>
  <c r="BF134" i="4" s="1"/>
  <c r="BM134" i="4" s="1"/>
  <c r="BO134" i="10" s="1"/>
  <c r="AW223" i="1"/>
  <c r="BD223" i="4" s="1"/>
  <c r="BE223" i="4" s="1"/>
  <c r="BF223" i="4" s="1"/>
  <c r="BM223" i="4" s="1"/>
  <c r="BO223" i="10" s="1"/>
  <c r="AW325" i="1"/>
  <c r="BD325" i="4" s="1"/>
  <c r="BE325" i="4" s="1"/>
  <c r="BF325" i="4" s="1"/>
  <c r="BM325" i="4" s="1"/>
  <c r="BO325" i="10" s="1"/>
  <c r="AW182" i="1"/>
  <c r="BD182" i="4" s="1"/>
  <c r="BE182" i="4" s="1"/>
  <c r="BF182" i="4" s="1"/>
  <c r="BM182" i="4" s="1"/>
  <c r="BO182" i="10" s="1"/>
  <c r="AW64" i="1"/>
  <c r="BD64" i="4" s="1"/>
  <c r="BE64" i="4" s="1"/>
  <c r="BF64" i="4" s="1"/>
  <c r="BM64" i="4" s="1"/>
  <c r="BO64" i="10" s="1"/>
  <c r="AW193" i="1"/>
  <c r="BD193" i="4" s="1"/>
  <c r="BE193" i="4" s="1"/>
  <c r="BF193" i="4" s="1"/>
  <c r="BM193" i="4" s="1"/>
  <c r="BO193" i="10" s="1"/>
  <c r="AW332" i="1"/>
  <c r="BD332" i="4" s="1"/>
  <c r="BE332" i="4" s="1"/>
  <c r="BF332" i="4" s="1"/>
  <c r="BM332" i="4" s="1"/>
  <c r="BO332" i="10" s="1"/>
  <c r="AW139" i="1"/>
  <c r="BD139" i="4" s="1"/>
  <c r="BE139" i="4" s="1"/>
  <c r="BF139" i="4" s="1"/>
  <c r="BM139" i="4" s="1"/>
  <c r="BO139" i="10" s="1"/>
  <c r="AW200" i="1"/>
  <c r="BD200" i="4" s="1"/>
  <c r="BE200" i="4" s="1"/>
  <c r="BF200" i="4" s="1"/>
  <c r="BM200" i="4" s="1"/>
  <c r="BO200" i="10" s="1"/>
  <c r="AW60" i="1"/>
  <c r="BD60" i="4" s="1"/>
  <c r="BE60" i="4" s="1"/>
  <c r="BF60" i="4" s="1"/>
  <c r="BM60" i="4" s="1"/>
  <c r="BO60" i="10" s="1"/>
  <c r="AW163" i="1"/>
  <c r="BD163" i="4" s="1"/>
  <c r="BE163" i="4" s="1"/>
  <c r="BF163" i="4" s="1"/>
  <c r="BM163" i="4" s="1"/>
  <c r="BO163" i="10" s="1"/>
  <c r="AW174" i="1"/>
  <c r="BD174" i="4" s="1"/>
  <c r="BE174" i="4" s="1"/>
  <c r="BF174" i="4" s="1"/>
  <c r="BM174" i="4" s="1"/>
  <c r="BO174" i="10" s="1"/>
  <c r="AW30" i="1"/>
  <c r="BD30" i="4" s="1"/>
  <c r="BE30" i="4" s="1"/>
  <c r="BF30" i="4" s="1"/>
  <c r="BM30" i="4" s="1"/>
  <c r="BO30" i="10" s="1"/>
  <c r="AW87" i="1"/>
  <c r="BD87" i="4" s="1"/>
  <c r="BE87" i="4" s="1"/>
  <c r="BF87" i="4" s="1"/>
  <c r="BM87" i="4" s="1"/>
  <c r="BO87" i="10" s="1"/>
  <c r="AW137" i="1"/>
  <c r="BD137" i="4" s="1"/>
  <c r="BE137" i="4" s="1"/>
  <c r="BF137" i="4" s="1"/>
  <c r="BM137" i="4" s="1"/>
  <c r="BO137" i="10" s="1"/>
  <c r="AW187" i="1"/>
  <c r="BD187" i="4" s="1"/>
  <c r="BE187" i="4" s="1"/>
  <c r="BF187" i="4" s="1"/>
  <c r="BM187" i="4" s="1"/>
  <c r="BO187" i="10" s="1"/>
  <c r="AW291" i="1"/>
  <c r="BD291" i="4" s="1"/>
  <c r="BE291" i="4" s="1"/>
  <c r="BF291" i="4" s="1"/>
  <c r="BM291" i="4" s="1"/>
  <c r="BO291" i="10" s="1"/>
  <c r="AW144" i="1"/>
  <c r="BD144" i="4" s="1"/>
  <c r="BE144" i="4" s="1"/>
  <c r="BF144" i="4" s="1"/>
  <c r="BM144" i="4" s="1"/>
  <c r="BO144" i="10" s="1"/>
  <c r="AW250" i="1"/>
  <c r="BD250" i="4" s="1"/>
  <c r="BE250" i="4" s="1"/>
  <c r="BF250" i="4" s="1"/>
  <c r="BM250" i="4" s="1"/>
  <c r="BO250" i="10" s="1"/>
  <c r="AW330" i="1"/>
  <c r="BD330" i="4" s="1"/>
  <c r="BE330" i="4" s="1"/>
  <c r="BF330" i="4" s="1"/>
  <c r="BM330" i="4" s="1"/>
  <c r="BO330" i="10" s="1"/>
  <c r="AW56" i="1"/>
  <c r="BD56" i="4" s="1"/>
  <c r="BE56" i="4" s="1"/>
  <c r="BF56" i="4" s="1"/>
  <c r="BM56" i="4" s="1"/>
  <c r="BO56" i="10" s="1"/>
  <c r="AW111" i="1"/>
  <c r="BD111" i="4" s="1"/>
  <c r="BE111" i="4" s="1"/>
  <c r="BF111" i="4" s="1"/>
  <c r="BM111" i="4" s="1"/>
  <c r="BO111" i="10" s="1"/>
  <c r="AW161" i="1"/>
  <c r="BD161" i="4" s="1"/>
  <c r="BE161" i="4" s="1"/>
  <c r="BF161" i="4" s="1"/>
  <c r="BM161" i="4" s="1"/>
  <c r="BO161" i="10" s="1"/>
  <c r="AW211" i="1"/>
  <c r="BD211" i="4" s="1"/>
  <c r="BE211" i="4" s="1"/>
  <c r="BF211" i="4" s="1"/>
  <c r="BM211" i="4" s="1"/>
  <c r="BO211" i="10" s="1"/>
  <c r="AW265" i="1"/>
  <c r="BD265" i="4" s="1"/>
  <c r="BE265" i="4" s="1"/>
  <c r="BF265" i="4" s="1"/>
  <c r="BM265" i="4" s="1"/>
  <c r="BO265" i="10" s="1"/>
  <c r="AW341" i="1"/>
  <c r="BD341" i="4" s="1"/>
  <c r="BE341" i="4" s="1"/>
  <c r="BF341" i="4" s="1"/>
  <c r="BM341" i="4" s="1"/>
  <c r="BO341" i="10" s="1"/>
  <c r="AW98" i="1"/>
  <c r="BD98" i="4" s="1"/>
  <c r="BE98" i="4" s="1"/>
  <c r="BF98" i="4" s="1"/>
  <c r="BM98" i="4" s="1"/>
  <c r="BO98" i="10" s="1"/>
  <c r="AW204" i="1"/>
  <c r="BD204" i="4" s="1"/>
  <c r="BE204" i="4" s="1"/>
  <c r="BF204" i="4" s="1"/>
  <c r="BM204" i="4" s="1"/>
  <c r="BO204" i="10" s="1"/>
  <c r="AW310" i="1"/>
  <c r="BD310" i="4" s="1"/>
  <c r="BE310" i="4" s="1"/>
  <c r="BF310" i="4" s="1"/>
  <c r="BM310" i="4" s="1"/>
  <c r="BO310" i="10" s="1"/>
  <c r="AW66" i="1"/>
  <c r="BD66" i="4" s="1"/>
  <c r="BE66" i="4" s="1"/>
  <c r="BF66" i="4" s="1"/>
  <c r="BM66" i="4" s="1"/>
  <c r="BO66" i="10" s="1"/>
  <c r="AW326" i="1"/>
  <c r="BD326" i="4" s="1"/>
  <c r="BE326" i="4" s="1"/>
  <c r="BF326" i="4" s="1"/>
  <c r="BM326" i="4" s="1"/>
  <c r="BO326" i="10" s="1"/>
  <c r="AW169" i="1"/>
  <c r="BD169" i="4" s="1"/>
  <c r="BE169" i="4" s="1"/>
  <c r="BF169" i="4" s="1"/>
  <c r="BM169" i="4" s="1"/>
  <c r="BO169" i="10" s="1"/>
  <c r="AW14" i="1"/>
  <c r="BD14" i="4" s="1"/>
  <c r="BE14" i="4" s="1"/>
  <c r="BF14" i="4" s="1"/>
  <c r="BM14" i="4" s="1"/>
  <c r="BO14" i="10" s="1"/>
  <c r="AX26" i="1"/>
  <c r="AG342" i="1"/>
  <c r="Q342" i="10"/>
  <c r="N342" i="10"/>
  <c r="K342" i="10"/>
  <c r="O342" i="10"/>
  <c r="L342" i="10"/>
  <c r="I342" i="10"/>
  <c r="P342" i="10"/>
  <c r="M342" i="10"/>
  <c r="J342" i="10"/>
  <c r="E5" i="6"/>
  <c r="E51" i="6"/>
  <c r="E49" i="6"/>
  <c r="E48" i="6"/>
  <c r="E47" i="6"/>
  <c r="E46" i="6"/>
  <c r="E45" i="6"/>
  <c r="D50" i="6" a="1"/>
  <c r="D50" i="6" l="1"/>
  <c r="E50" i="6" s="1"/>
  <c r="D100" i="6" a="1"/>
  <c r="D100" i="6" s="1"/>
  <c r="E100" i="6" s="1"/>
  <c r="AX342" i="1"/>
  <c r="BD342" i="4"/>
  <c r="AI342" i="4"/>
  <c r="AW342" i="1"/>
  <c r="B128" i="6"/>
  <c r="B126" i="6"/>
  <c r="B125" i="6"/>
  <c r="B124" i="6"/>
  <c r="B123" i="6"/>
  <c r="B122" i="6"/>
  <c r="E104" i="6"/>
  <c r="E103" i="6"/>
  <c r="E94" i="6"/>
  <c r="D94" i="6"/>
  <c r="E89" i="6"/>
  <c r="E85" i="6"/>
  <c r="E93" i="6" s="1"/>
  <c r="D85" i="6"/>
  <c r="D93" i="6" s="1"/>
  <c r="D88" i="6" a="1"/>
  <c r="A1" i="5" a="1"/>
  <c r="A1" i="5" l="1"/>
  <c r="D88" i="6"/>
  <c r="D89" i="6" s="1"/>
  <c r="BG342" i="4"/>
  <c r="AK342" i="4"/>
  <c r="BE342" i="4"/>
  <c r="E105" i="6"/>
  <c r="D34" i="6"/>
  <c r="D81" i="6" s="1"/>
  <c r="D92" i="6" s="1"/>
  <c r="D95" i="6" s="1"/>
  <c r="BL342" i="4" l="1"/>
  <c r="BF342" i="4"/>
  <c r="AL342" i="4"/>
  <c r="E126" i="6"/>
  <c r="D70" i="6"/>
  <c r="AA3" i="2" l="1"/>
  <c r="BM342" i="4"/>
  <c r="E13" i="6"/>
  <c r="D17" i="6" l="1"/>
  <c r="D20" i="6"/>
  <c r="D19" i="6"/>
  <c r="D18" i="6"/>
  <c r="D16" i="6"/>
  <c r="E44" i="6"/>
  <c r="E52" i="6" s="1"/>
  <c r="E57" i="6" s="1"/>
  <c r="A2" i="5" a="1"/>
  <c r="A2" i="5" s="1"/>
  <c r="D39" i="6" l="1"/>
  <c r="D40" i="6" s="1"/>
  <c r="S342" i="10"/>
  <c r="AG342" i="10"/>
  <c r="AR342" i="10"/>
  <c r="D41" i="6" l="1"/>
  <c r="T342" i="10"/>
  <c r="AZ342" i="10"/>
  <c r="W342" i="10"/>
  <c r="V342" i="10"/>
  <c r="AX342" i="10"/>
  <c r="AH342" i="10"/>
  <c r="AF342" i="10"/>
  <c r="BA342" i="10"/>
  <c r="AY342" i="10"/>
  <c r="AQ342" i="10"/>
  <c r="AJ342" i="10"/>
  <c r="AI342" i="10"/>
  <c r="AL342" i="10"/>
  <c r="AU342" i="10"/>
  <c r="X342" i="10"/>
  <c r="AT342" i="10"/>
  <c r="BK342" i="10"/>
  <c r="AB342" i="10"/>
  <c r="AP342" i="10"/>
  <c r="BJ342" i="10"/>
  <c r="AK342" i="10"/>
  <c r="BM342" i="10"/>
  <c r="BL342" i="10"/>
  <c r="U342" i="10"/>
  <c r="Y342" i="10"/>
  <c r="AS342" i="10"/>
  <c r="BB342" i="10"/>
  <c r="BD342" i="10"/>
  <c r="BF342" i="10"/>
  <c r="AO342" i="10"/>
  <c r="BI342" i="10"/>
  <c r="AA342" i="10"/>
  <c r="AW342" i="10"/>
  <c r="R342" i="10"/>
  <c r="AV342" i="10"/>
  <c r="BG342" i="10" l="1"/>
  <c r="BE342" i="10"/>
  <c r="BN342" i="10"/>
  <c r="BC342" i="10"/>
  <c r="Z342" i="10"/>
  <c r="BH342" i="10" l="1"/>
  <c r="AC342" i="10"/>
  <c r="AD342" i="10" l="1"/>
  <c r="AE342" i="10" l="1"/>
  <c r="AM342" i="10" l="1"/>
  <c r="AN342" i="10" l="1"/>
  <c r="BO342" i="10" l="1"/>
  <c r="C116" i="6"/>
  <c r="D116" i="6" l="1"/>
  <c r="AB3" i="2" a="1"/>
  <c r="AB3" i="2" l="1"/>
  <c r="BC5" i="1" s="1"/>
  <c r="BC35" i="1"/>
  <c r="BN35" i="4" s="1"/>
  <c r="BP35" i="10" s="1"/>
  <c r="BC71" i="1"/>
  <c r="BN71" i="4" s="1"/>
  <c r="BP71" i="10" s="1"/>
  <c r="BC107" i="1"/>
  <c r="BN107" i="4" s="1"/>
  <c r="BP107" i="10" s="1"/>
  <c r="BC24" i="1"/>
  <c r="BN24" i="4" s="1"/>
  <c r="BP24" i="10" s="1"/>
  <c r="BC60" i="1"/>
  <c r="BN60" i="4" s="1"/>
  <c r="BP60" i="10" s="1"/>
  <c r="BC13" i="1"/>
  <c r="BN13" i="4" s="1"/>
  <c r="BP13" i="10" s="1"/>
  <c r="BC49" i="1"/>
  <c r="BN49" i="4" s="1"/>
  <c r="BP49" i="10" s="1"/>
  <c r="BC85" i="1"/>
  <c r="BN85" i="4" s="1"/>
  <c r="BP85" i="10" s="1"/>
  <c r="BC8" i="1"/>
  <c r="BN8" i="4" s="1"/>
  <c r="BP8" i="10" s="1"/>
  <c r="BC44" i="1"/>
  <c r="BN44" i="4" s="1"/>
  <c r="BP44" i="10" s="1"/>
  <c r="BC21" i="1"/>
  <c r="BN21" i="4" s="1"/>
  <c r="BP21" i="10" s="1"/>
  <c r="BC57" i="1"/>
  <c r="BN57" i="4" s="1"/>
  <c r="BP57" i="10" s="1"/>
  <c r="BC93" i="1"/>
  <c r="BN93" i="4" s="1"/>
  <c r="BP93" i="10" s="1"/>
  <c r="BC52" i="1"/>
  <c r="BN52" i="4" s="1"/>
  <c r="BP52" i="10" s="1"/>
  <c r="BC130" i="1"/>
  <c r="BN130" i="4" s="1"/>
  <c r="BP130" i="10" s="1"/>
  <c r="BC166" i="1"/>
  <c r="BN166" i="4" s="1"/>
  <c r="BP166" i="10" s="1"/>
  <c r="BC202" i="1"/>
  <c r="BN202" i="4" s="1"/>
  <c r="BP202" i="10" s="1"/>
  <c r="BC238" i="1"/>
  <c r="BN238" i="4" s="1"/>
  <c r="BP238" i="10" s="1"/>
  <c r="BC274" i="1"/>
  <c r="BN274" i="4" s="1"/>
  <c r="BP274" i="10" s="1"/>
  <c r="BC310" i="1"/>
  <c r="BN310" i="4" s="1"/>
  <c r="BP310" i="10" s="1"/>
  <c r="BC22" i="1"/>
  <c r="BN22" i="4" s="1"/>
  <c r="BP22" i="10" s="1"/>
  <c r="BC125" i="1"/>
  <c r="BN125" i="4" s="1"/>
  <c r="BP125" i="10" s="1"/>
  <c r="BC149" i="1"/>
  <c r="BC155" i="1"/>
  <c r="BN155" i="4" s="1"/>
  <c r="BP155" i="10" s="1"/>
  <c r="BC161" i="1"/>
  <c r="BN161" i="4" s="1"/>
  <c r="BP161" i="10" s="1"/>
  <c r="BC167" i="1"/>
  <c r="BN167" i="4" s="1"/>
  <c r="BP167" i="10" s="1"/>
  <c r="BC173" i="1"/>
  <c r="BN173" i="4" s="1"/>
  <c r="BP173" i="10" s="1"/>
  <c r="BC179" i="1"/>
  <c r="BN179" i="4" s="1"/>
  <c r="BP179" i="10" s="1"/>
  <c r="BC185" i="1"/>
  <c r="BN185" i="4" s="1"/>
  <c r="BP185" i="10" s="1"/>
  <c r="BC191" i="1"/>
  <c r="BN191" i="4" s="1"/>
  <c r="BP191" i="10" s="1"/>
  <c r="BC197" i="1"/>
  <c r="BN197" i="4" s="1"/>
  <c r="BP197" i="10" s="1"/>
  <c r="BC203" i="1"/>
  <c r="BN203" i="4" s="1"/>
  <c r="BP203" i="10" s="1"/>
  <c r="BC209" i="1"/>
  <c r="BN209" i="4" s="1"/>
  <c r="BP209" i="10" s="1"/>
  <c r="BC215" i="1"/>
  <c r="BN215" i="4" s="1"/>
  <c r="BP215" i="10" s="1"/>
  <c r="BC221" i="1"/>
  <c r="BN221" i="4" s="1"/>
  <c r="BP221" i="10" s="1"/>
  <c r="BC227" i="1"/>
  <c r="BN227" i="4" s="1"/>
  <c r="BP227" i="10" s="1"/>
  <c r="BC233" i="1"/>
  <c r="BN233" i="4" s="1"/>
  <c r="BP233" i="10" s="1"/>
  <c r="BC239" i="1"/>
  <c r="BN239" i="4" s="1"/>
  <c r="BP239" i="10" s="1"/>
  <c r="BC245" i="1"/>
  <c r="BN245" i="4" s="1"/>
  <c r="BP245" i="10" s="1"/>
  <c r="BC251" i="1"/>
  <c r="BN251" i="4" s="1"/>
  <c r="BP251" i="10" s="1"/>
  <c r="BC257" i="1"/>
  <c r="BN257" i="4" s="1"/>
  <c r="BP257" i="10" s="1"/>
  <c r="BC263" i="1"/>
  <c r="BN263" i="4" s="1"/>
  <c r="BP263" i="10" s="1"/>
  <c r="BC269" i="1"/>
  <c r="BN269" i="4" s="1"/>
  <c r="BP269" i="10" s="1"/>
  <c r="BC275" i="1"/>
  <c r="BC281" i="1"/>
  <c r="BC287" i="1"/>
  <c r="BC293" i="1"/>
  <c r="BC299" i="1"/>
  <c r="BN299" i="4" s="1"/>
  <c r="BP299" i="10" s="1"/>
  <c r="BC305" i="1"/>
  <c r="BN305" i="4" s="1"/>
  <c r="BP305" i="10" s="1"/>
  <c r="BC311" i="1"/>
  <c r="BN311" i="4" s="1"/>
  <c r="BP311" i="10" s="1"/>
  <c r="BC317" i="1"/>
  <c r="BN317" i="4" s="1"/>
  <c r="BP317" i="10" s="1"/>
  <c r="BC323" i="1"/>
  <c r="BC329" i="1"/>
  <c r="BC335" i="1"/>
  <c r="BN335" i="4" s="1"/>
  <c r="BP335" i="10" s="1"/>
  <c r="BC341" i="1"/>
  <c r="BN341" i="4" s="1"/>
  <c r="BP341" i="10" s="1"/>
  <c r="BC28" i="1"/>
  <c r="BN28" i="4" s="1"/>
  <c r="BP28" i="10" s="1"/>
  <c r="BC64" i="1"/>
  <c r="BN64" i="4" s="1"/>
  <c r="BP64" i="10" s="1"/>
  <c r="BC82" i="1"/>
  <c r="BN82" i="4" s="1"/>
  <c r="BP82" i="10" s="1"/>
  <c r="BC96" i="1"/>
  <c r="BN96" i="4" s="1"/>
  <c r="BP96" i="10" s="1"/>
  <c r="BC108" i="1"/>
  <c r="BN108" i="4" s="1"/>
  <c r="BP108" i="10" s="1"/>
  <c r="BC120" i="1"/>
  <c r="BN120" i="4" s="1"/>
  <c r="BP120" i="10" s="1"/>
  <c r="BC126" i="1"/>
  <c r="BN126" i="4" s="1"/>
  <c r="BP126" i="10" s="1"/>
  <c r="BC132" i="1"/>
  <c r="BN132" i="4" s="1"/>
  <c r="BP132" i="10" s="1"/>
  <c r="BC138" i="1"/>
  <c r="BC144" i="1"/>
  <c r="BC150" i="1"/>
  <c r="BN150" i="4" s="1"/>
  <c r="BP150" i="10" s="1"/>
  <c r="BC156" i="1"/>
  <c r="BN156" i="4" s="1"/>
  <c r="BP156" i="10" s="1"/>
  <c r="BC162" i="1"/>
  <c r="BC168" i="1"/>
  <c r="BC174" i="1"/>
  <c r="BN174" i="4" s="1"/>
  <c r="BP174" i="10" s="1"/>
  <c r="BC180" i="1"/>
  <c r="BN180" i="4" s="1"/>
  <c r="BP180" i="10" s="1"/>
  <c r="BC186" i="1"/>
  <c r="BN186" i="4" s="1"/>
  <c r="BP186" i="10" s="1"/>
  <c r="BC192" i="1"/>
  <c r="BN192" i="4" s="1"/>
  <c r="BP192" i="10" s="1"/>
  <c r="BC198" i="1"/>
  <c r="BN198" i="4" s="1"/>
  <c r="BP198" i="10" s="1"/>
  <c r="BC204" i="1"/>
  <c r="BC210" i="1"/>
  <c r="BN210" i="4" s="1"/>
  <c r="BP210" i="10" s="1"/>
  <c r="BC216" i="1"/>
  <c r="BN216" i="4" s="1"/>
  <c r="BP216" i="10" s="1"/>
  <c r="BC222" i="1"/>
  <c r="BN222" i="4" s="1"/>
  <c r="BP222" i="10" s="1"/>
  <c r="BC228" i="1"/>
  <c r="BN228" i="4" s="1"/>
  <c r="BP228" i="10" s="1"/>
  <c r="BC234" i="1"/>
  <c r="BN234" i="4" s="1"/>
  <c r="BP234" i="10" s="1"/>
  <c r="BC240" i="1"/>
  <c r="BN240" i="4" s="1"/>
  <c r="BP240" i="10" s="1"/>
  <c r="BC246" i="1"/>
  <c r="BN246" i="4" s="1"/>
  <c r="BP246" i="10" s="1"/>
  <c r="BC252" i="1"/>
  <c r="BN252" i="4" s="1"/>
  <c r="BP252" i="10" s="1"/>
  <c r="BC258" i="1"/>
  <c r="BN258" i="4" s="1"/>
  <c r="BP258" i="10" s="1"/>
  <c r="BC264" i="1"/>
  <c r="BN264" i="4" s="1"/>
  <c r="BP264" i="10" s="1"/>
  <c r="BC270" i="1"/>
  <c r="BN270" i="4" s="1"/>
  <c r="BP270" i="10" s="1"/>
  <c r="BC276" i="1"/>
  <c r="BC282" i="1"/>
  <c r="BC288" i="1"/>
  <c r="BC294" i="1"/>
  <c r="BC300" i="1"/>
  <c r="BN300" i="4" s="1"/>
  <c r="BP300" i="10" s="1"/>
  <c r="BC306" i="1"/>
  <c r="BN306" i="4" s="1"/>
  <c r="BP306" i="10" s="1"/>
  <c r="BC312" i="1"/>
  <c r="BN312" i="4" s="1"/>
  <c r="BP312" i="10" s="1"/>
  <c r="BC318" i="1"/>
  <c r="BN318" i="4" s="1"/>
  <c r="BP318" i="10" s="1"/>
  <c r="BC324" i="1"/>
  <c r="BN324" i="4" s="1"/>
  <c r="BP324" i="10" s="1"/>
  <c r="BC330" i="1"/>
  <c r="BN330" i="4" s="1"/>
  <c r="BP330" i="10" s="1"/>
  <c r="BC336" i="1"/>
  <c r="BN336" i="4" s="1"/>
  <c r="BP336" i="10" s="1"/>
  <c r="BC34" i="1"/>
  <c r="BN34" i="4" s="1"/>
  <c r="BP34" i="10" s="1"/>
  <c r="BC68" i="1"/>
  <c r="BN68" i="4" s="1"/>
  <c r="BP68" i="10" s="1"/>
  <c r="BC86" i="1"/>
  <c r="BN86" i="4" s="1"/>
  <c r="BP86" i="10" s="1"/>
  <c r="BC98" i="1"/>
  <c r="BN98" i="4" s="1"/>
  <c r="BP98" i="10" s="1"/>
  <c r="BC110" i="1"/>
  <c r="BN110" i="4" s="1"/>
  <c r="BP110" i="10" s="1"/>
  <c r="BC121" i="1"/>
  <c r="BN121" i="4" s="1"/>
  <c r="BP121" i="10" s="1"/>
  <c r="BC127" i="1"/>
  <c r="BN127" i="4" s="1"/>
  <c r="BP127" i="10" s="1"/>
  <c r="BC133" i="1"/>
  <c r="BN133" i="4" s="1"/>
  <c r="BP133" i="10" s="1"/>
  <c r="BC139" i="1"/>
  <c r="BN139" i="4" s="1"/>
  <c r="BP139" i="10" s="1"/>
  <c r="BC145" i="1"/>
  <c r="BN145" i="4" s="1"/>
  <c r="BP145" i="10" s="1"/>
  <c r="BC151" i="1"/>
  <c r="BN151" i="4" s="1"/>
  <c r="BP151" i="10" s="1"/>
  <c r="BC157" i="1"/>
  <c r="BN157" i="4" s="1"/>
  <c r="BP157" i="10" s="1"/>
  <c r="BC163" i="1"/>
  <c r="BC169" i="1"/>
  <c r="BC175" i="1"/>
  <c r="BC181" i="1"/>
  <c r="BN181" i="4" s="1"/>
  <c r="BP181" i="10" s="1"/>
  <c r="BC187" i="1"/>
  <c r="BN187" i="4" s="1"/>
  <c r="BP187" i="10" s="1"/>
  <c r="BC193" i="1"/>
  <c r="BN193" i="4" s="1"/>
  <c r="BP193" i="10" s="1"/>
  <c r="BC199" i="1"/>
  <c r="BN199" i="4" s="1"/>
  <c r="BP199" i="10" s="1"/>
  <c r="BC205" i="1"/>
  <c r="BN205" i="4" s="1"/>
  <c r="BP205" i="10" s="1"/>
  <c r="BC211" i="1"/>
  <c r="BN211" i="4" s="1"/>
  <c r="BP211" i="10" s="1"/>
  <c r="BC217" i="1"/>
  <c r="BN217" i="4" s="1"/>
  <c r="BP217" i="10" s="1"/>
  <c r="BC223" i="1"/>
  <c r="BN223" i="4" s="1"/>
  <c r="BP223" i="10" s="1"/>
  <c r="BC229" i="1"/>
  <c r="BN229" i="4" s="1"/>
  <c r="BP229" i="10" s="1"/>
  <c r="BC235" i="1"/>
  <c r="BN235" i="4" s="1"/>
  <c r="BP235" i="10" s="1"/>
  <c r="BC241" i="1"/>
  <c r="BN241" i="4" s="1"/>
  <c r="BP241" i="10" s="1"/>
  <c r="BC247" i="1"/>
  <c r="BN247" i="4" s="1"/>
  <c r="BP247" i="10" s="1"/>
  <c r="BC253" i="1"/>
  <c r="BN253" i="4" s="1"/>
  <c r="BP253" i="10" s="1"/>
  <c r="BC259" i="1"/>
  <c r="BN259" i="4" s="1"/>
  <c r="BP259" i="10" s="1"/>
  <c r="BC265" i="1"/>
  <c r="BN265" i="4" s="1"/>
  <c r="BP265" i="10" s="1"/>
  <c r="BC271" i="1"/>
  <c r="BN271" i="4" s="1"/>
  <c r="BP271" i="10" s="1"/>
  <c r="BC277" i="1"/>
  <c r="BN277" i="4" s="1"/>
  <c r="BP277" i="10" s="1"/>
  <c r="BC283" i="1"/>
  <c r="BN283" i="4" s="1"/>
  <c r="BP283" i="10" s="1"/>
  <c r="BC289" i="1"/>
  <c r="BC295" i="1"/>
  <c r="BN295" i="4" s="1"/>
  <c r="BP295" i="10" s="1"/>
  <c r="BC301" i="1"/>
  <c r="BN301" i="4" s="1"/>
  <c r="BP301" i="10" s="1"/>
  <c r="BC307" i="1"/>
  <c r="BC313" i="1"/>
  <c r="BC319" i="1"/>
  <c r="BN319" i="4" s="1"/>
  <c r="BP319" i="10" s="1"/>
  <c r="BC325" i="1"/>
  <c r="BN325" i="4" s="1"/>
  <c r="BP325" i="10" s="1"/>
  <c r="BC331" i="1"/>
  <c r="BN331" i="4" s="1"/>
  <c r="BP331" i="10" s="1"/>
  <c r="BC337" i="1"/>
  <c r="BN337" i="4" s="1"/>
  <c r="BP337" i="10" s="1"/>
  <c r="BC4" i="1"/>
  <c r="BN4" i="4" s="1"/>
  <c r="BP4" i="10" s="1"/>
  <c r="BC40" i="1"/>
  <c r="BC70" i="1"/>
  <c r="BN70" i="4" s="1"/>
  <c r="BP70" i="10" s="1"/>
  <c r="BC88" i="1"/>
  <c r="BN88" i="4" s="1"/>
  <c r="BP88" i="10" s="1"/>
  <c r="BC100" i="1"/>
  <c r="BN100" i="4" s="1"/>
  <c r="BP100" i="10" s="1"/>
  <c r="BC112" i="1"/>
  <c r="BN112" i="4" s="1"/>
  <c r="BP112" i="10" s="1"/>
  <c r="BC122" i="1"/>
  <c r="BN122" i="4" s="1"/>
  <c r="BP122" i="10" s="1"/>
  <c r="BC128" i="1"/>
  <c r="BN128" i="4" s="1"/>
  <c r="BP128" i="10" s="1"/>
  <c r="BC134" i="1"/>
  <c r="BN134" i="4" s="1"/>
  <c r="BP134" i="10" s="1"/>
  <c r="BC140" i="1"/>
  <c r="BN140" i="4" s="1"/>
  <c r="BP140" i="10" s="1"/>
  <c r="BC146" i="1"/>
  <c r="BN146" i="4" s="1"/>
  <c r="BP146" i="10" s="1"/>
  <c r="BC152" i="1"/>
  <c r="BN152" i="4" s="1"/>
  <c r="BP152" i="10" s="1"/>
  <c r="BC158" i="1"/>
  <c r="BC164" i="1"/>
  <c r="BC170" i="1"/>
  <c r="BC176" i="1"/>
  <c r="BC182" i="1"/>
  <c r="BN182" i="4" s="1"/>
  <c r="BP182" i="10" s="1"/>
  <c r="BC188" i="1"/>
  <c r="BN188" i="4" s="1"/>
  <c r="BP188" i="10" s="1"/>
  <c r="BC194" i="1"/>
  <c r="BN194" i="4" s="1"/>
  <c r="BP194" i="10" s="1"/>
  <c r="BC200" i="1"/>
  <c r="BN200" i="4" s="1"/>
  <c r="BP200" i="10" s="1"/>
  <c r="BC206" i="1"/>
  <c r="BN206" i="4" s="1"/>
  <c r="BP206" i="10" s="1"/>
  <c r="BC212" i="1"/>
  <c r="BN212" i="4" s="1"/>
  <c r="BP212" i="10" s="1"/>
  <c r="BC218" i="1"/>
  <c r="BN218" i="4" s="1"/>
  <c r="BP218" i="10" s="1"/>
  <c r="BC224" i="1"/>
  <c r="BN224" i="4" s="1"/>
  <c r="BP224" i="10" s="1"/>
  <c r="BC230" i="1"/>
  <c r="BN230" i="4" s="1"/>
  <c r="BP230" i="10" s="1"/>
  <c r="BC236" i="1"/>
  <c r="BN236" i="4" s="1"/>
  <c r="BP236" i="10" s="1"/>
  <c r="BC242" i="1"/>
  <c r="BN242" i="4" s="1"/>
  <c r="BP242" i="10" s="1"/>
  <c r="BC248" i="1"/>
  <c r="BN248" i="4" s="1"/>
  <c r="BP248" i="10" s="1"/>
  <c r="BC254" i="1"/>
  <c r="BN254" i="4" s="1"/>
  <c r="BP254" i="10" s="1"/>
  <c r="BC260" i="1"/>
  <c r="BN260" i="4" s="1"/>
  <c r="BP260" i="10" s="1"/>
  <c r="BC266" i="1"/>
  <c r="BN266" i="4" s="1"/>
  <c r="BP266" i="10" s="1"/>
  <c r="BC272" i="1"/>
  <c r="BN272" i="4" s="1"/>
  <c r="BP272" i="10" s="1"/>
  <c r="BC278" i="1"/>
  <c r="BN278" i="4" s="1"/>
  <c r="BP278" i="10" s="1"/>
  <c r="BC284" i="1"/>
  <c r="BN284" i="4" s="1"/>
  <c r="BP284" i="10" s="1"/>
  <c r="BC290" i="1"/>
  <c r="BN290" i="4" s="1"/>
  <c r="BP290" i="10" s="1"/>
  <c r="BC296" i="1"/>
  <c r="BN296" i="4" s="1"/>
  <c r="BP296" i="10" s="1"/>
  <c r="BC302" i="1"/>
  <c r="BC308" i="1"/>
  <c r="BC314" i="1"/>
  <c r="BC320" i="1"/>
  <c r="BC326" i="1"/>
  <c r="BN326" i="4" s="1"/>
  <c r="BP326" i="10" s="1"/>
  <c r="BC332" i="1"/>
  <c r="BN332" i="4" s="1"/>
  <c r="BP332" i="10" s="1"/>
  <c r="BC338" i="1"/>
  <c r="BN338" i="4" s="1"/>
  <c r="BP338" i="10" s="1"/>
  <c r="BC10" i="1"/>
  <c r="BN10" i="4" s="1"/>
  <c r="BP10" i="10" s="1"/>
  <c r="BC46" i="1"/>
  <c r="BN46" i="4" s="1"/>
  <c r="BP46" i="10" s="1"/>
  <c r="BC74" i="1"/>
  <c r="BC90" i="1"/>
  <c r="BN90" i="4" s="1"/>
  <c r="BP90" i="10" s="1"/>
  <c r="BC102" i="1"/>
  <c r="BN102" i="4" s="1"/>
  <c r="BP102" i="10" s="1"/>
  <c r="BC114" i="1"/>
  <c r="BN114" i="4" s="1"/>
  <c r="BP114" i="10" s="1"/>
  <c r="BC123" i="1"/>
  <c r="BN123" i="4" s="1"/>
  <c r="BP123" i="10" s="1"/>
  <c r="BC129" i="1"/>
  <c r="BN129" i="4" s="1"/>
  <c r="BP129" i="10" s="1"/>
  <c r="BC135" i="1"/>
  <c r="BN135" i="4" s="1"/>
  <c r="BP135" i="10" s="1"/>
  <c r="BC141" i="1"/>
  <c r="BN141" i="4" s="1"/>
  <c r="BP141" i="10" s="1"/>
  <c r="BC147" i="1"/>
  <c r="BN147" i="4" s="1"/>
  <c r="BP147" i="10" s="1"/>
  <c r="BC153" i="1"/>
  <c r="BN153" i="4" s="1"/>
  <c r="BP153" i="10" s="1"/>
  <c r="BC159" i="1"/>
  <c r="BN159" i="4" s="1"/>
  <c r="BP159" i="10" s="1"/>
  <c r="BC165" i="1"/>
  <c r="BN165" i="4" s="1"/>
  <c r="BP165" i="10" s="1"/>
  <c r="BC171" i="1"/>
  <c r="BC177" i="1"/>
  <c r="BN177" i="4" s="1"/>
  <c r="BP177" i="10" s="1"/>
  <c r="BC183" i="1"/>
  <c r="BN183" i="4" s="1"/>
  <c r="BP183" i="10" s="1"/>
  <c r="BC189" i="1"/>
  <c r="BN189" i="4" s="1"/>
  <c r="BP189" i="10" s="1"/>
  <c r="BC195" i="1"/>
  <c r="BC201" i="1"/>
  <c r="BN201" i="4" s="1"/>
  <c r="BP201" i="10" s="1"/>
  <c r="BC207" i="1"/>
  <c r="BN207" i="4" s="1"/>
  <c r="BP207" i="10" s="1"/>
  <c r="BC213" i="1"/>
  <c r="BN213" i="4" s="1"/>
  <c r="BP213" i="10" s="1"/>
  <c r="BC219" i="1"/>
  <c r="BN219" i="4" s="1"/>
  <c r="BP219" i="10" s="1"/>
  <c r="BC225" i="1"/>
  <c r="BN225" i="4" s="1"/>
  <c r="BP225" i="10" s="1"/>
  <c r="BC231" i="1"/>
  <c r="BN231" i="4" s="1"/>
  <c r="BP231" i="10" s="1"/>
  <c r="BC237" i="1"/>
  <c r="BN237" i="4" s="1"/>
  <c r="BP237" i="10" s="1"/>
  <c r="BC243" i="1"/>
  <c r="BN243" i="4" s="1"/>
  <c r="BP243" i="10" s="1"/>
  <c r="BC249" i="1"/>
  <c r="BN249" i="4" s="1"/>
  <c r="BP249" i="10" s="1"/>
  <c r="BC255" i="1"/>
  <c r="BN255" i="4" s="1"/>
  <c r="BP255" i="10" s="1"/>
  <c r="BC261" i="1"/>
  <c r="BN261" i="4" s="1"/>
  <c r="BP261" i="10" s="1"/>
  <c r="BC267" i="1"/>
  <c r="BN267" i="4" s="1"/>
  <c r="BP267" i="10" s="1"/>
  <c r="BC273" i="1"/>
  <c r="BN273" i="4" s="1"/>
  <c r="BP273" i="10" s="1"/>
  <c r="BC279" i="1"/>
  <c r="BN279" i="4" s="1"/>
  <c r="BP279" i="10" s="1"/>
  <c r="BC285" i="1"/>
  <c r="BN285" i="4" s="1"/>
  <c r="BP285" i="10" s="1"/>
  <c r="BC291" i="1"/>
  <c r="BN291" i="4" s="1"/>
  <c r="BP291" i="10" s="1"/>
  <c r="BC297" i="1"/>
  <c r="BC303" i="1"/>
  <c r="BC309" i="1"/>
  <c r="BC315" i="1"/>
  <c r="BC321" i="1"/>
  <c r="BN321" i="4" s="1"/>
  <c r="BP321" i="10" s="1"/>
  <c r="BC327" i="1"/>
  <c r="BN327" i="4" s="1"/>
  <c r="BP327" i="10" s="1"/>
  <c r="BC333" i="1"/>
  <c r="BN333" i="4" s="1"/>
  <c r="BP333" i="10" s="1"/>
  <c r="BC339" i="1"/>
  <c r="BN339" i="4" s="1"/>
  <c r="BP339" i="10" s="1"/>
  <c r="BN5" i="4" l="1"/>
  <c r="BP5" i="10" s="1"/>
  <c r="BN294" i="4"/>
  <c r="BP294" i="10" s="1"/>
  <c r="BC118" i="1"/>
  <c r="BN118" i="4" s="1"/>
  <c r="BP118" i="10" s="1"/>
  <c r="BC340" i="1"/>
  <c r="BN340" i="4" s="1"/>
  <c r="BP340" i="10" s="1"/>
  <c r="BC304" i="1"/>
  <c r="BN304" i="4" s="1"/>
  <c r="BP304" i="10" s="1"/>
  <c r="BC268" i="1"/>
  <c r="BN268" i="4" s="1"/>
  <c r="BP268" i="10" s="1"/>
  <c r="BC232" i="1"/>
  <c r="BN232" i="4" s="1"/>
  <c r="BP232" i="10" s="1"/>
  <c r="BC196" i="1"/>
  <c r="BN196" i="4" s="1"/>
  <c r="BP196" i="10" s="1"/>
  <c r="BC160" i="1"/>
  <c r="BN160" i="4" s="1"/>
  <c r="BP160" i="10" s="1"/>
  <c r="BC124" i="1"/>
  <c r="BN124" i="4" s="1"/>
  <c r="BP124" i="10" s="1"/>
  <c r="BC16" i="1"/>
  <c r="BN16" i="4" s="1"/>
  <c r="BP16" i="10" s="1"/>
  <c r="BC87" i="1"/>
  <c r="BN87" i="4" s="1"/>
  <c r="BP87" i="10" s="1"/>
  <c r="BC51" i="1"/>
  <c r="BN51" i="4" s="1"/>
  <c r="BP51" i="10" s="1"/>
  <c r="BC15" i="1"/>
  <c r="BN15" i="4" s="1"/>
  <c r="BP15" i="10" s="1"/>
  <c r="BC38" i="1"/>
  <c r="BN38" i="4" s="1"/>
  <c r="BP38" i="10" s="1"/>
  <c r="BC115" i="1"/>
  <c r="BN115" i="4" s="1"/>
  <c r="BP115" i="10" s="1"/>
  <c r="BC79" i="1"/>
  <c r="BN79" i="4" s="1"/>
  <c r="BP79" i="10" s="1"/>
  <c r="BC43" i="1"/>
  <c r="BN43" i="4" s="1"/>
  <c r="BP43" i="10" s="1"/>
  <c r="BC7" i="1"/>
  <c r="BN7" i="4" s="1"/>
  <c r="BP7" i="10" s="1"/>
  <c r="BC54" i="1"/>
  <c r="BN54" i="4" s="1"/>
  <c r="BP54" i="10" s="1"/>
  <c r="BC18" i="1"/>
  <c r="BN18" i="4" s="1"/>
  <c r="BP18" i="10" s="1"/>
  <c r="BC101" i="1"/>
  <c r="BN101" i="4" s="1"/>
  <c r="BP101" i="10" s="1"/>
  <c r="BC65" i="1"/>
  <c r="BN65" i="4" s="1"/>
  <c r="BP65" i="10" s="1"/>
  <c r="BC29" i="1"/>
  <c r="BN29" i="4" s="1"/>
  <c r="BP29" i="10" s="1"/>
  <c r="BN315" i="4"/>
  <c r="BP315" i="10" s="1"/>
  <c r="BN171" i="4"/>
  <c r="BP171" i="10" s="1"/>
  <c r="BN74" i="4"/>
  <c r="BP74" i="10" s="1"/>
  <c r="BN320" i="4"/>
  <c r="BP320" i="10" s="1"/>
  <c r="BN176" i="4"/>
  <c r="BP176" i="10" s="1"/>
  <c r="BN289" i="4"/>
  <c r="BP289" i="10" s="1"/>
  <c r="BN288" i="4"/>
  <c r="BP288" i="10" s="1"/>
  <c r="BN144" i="4"/>
  <c r="BP144" i="10" s="1"/>
  <c r="BN329" i="4"/>
  <c r="BP329" i="10" s="1"/>
  <c r="BN293" i="4"/>
  <c r="BP293" i="10" s="1"/>
  <c r="BN149" i="4"/>
  <c r="BP149" i="10" s="1"/>
  <c r="BC106" i="1"/>
  <c r="BN106" i="4" s="1"/>
  <c r="BP106" i="10" s="1"/>
  <c r="BC334" i="1"/>
  <c r="BN334" i="4" s="1"/>
  <c r="BP334" i="10" s="1"/>
  <c r="BC298" i="1"/>
  <c r="BN298" i="4" s="1"/>
  <c r="BP298" i="10" s="1"/>
  <c r="BC262" i="1"/>
  <c r="BC226" i="1"/>
  <c r="BN226" i="4" s="1"/>
  <c r="BP226" i="10" s="1"/>
  <c r="BC190" i="1"/>
  <c r="BN190" i="4" s="1"/>
  <c r="BP190" i="10" s="1"/>
  <c r="BC154" i="1"/>
  <c r="BN154" i="4" s="1"/>
  <c r="BP154" i="10" s="1"/>
  <c r="BC116" i="1"/>
  <c r="BN116" i="4" s="1"/>
  <c r="BP116" i="10" s="1"/>
  <c r="BC117" i="1"/>
  <c r="BN117" i="4" s="1"/>
  <c r="BP117" i="10" s="1"/>
  <c r="BC81" i="1"/>
  <c r="BN81" i="4" s="1"/>
  <c r="BP81" i="10" s="1"/>
  <c r="BC45" i="1"/>
  <c r="BC9" i="1"/>
  <c r="BN9" i="4" s="1"/>
  <c r="BP9" i="10" s="1"/>
  <c r="BC32" i="1"/>
  <c r="BC109" i="1"/>
  <c r="BN109" i="4" s="1"/>
  <c r="BP109" i="10" s="1"/>
  <c r="BC73" i="1"/>
  <c r="BC37" i="1"/>
  <c r="BN37" i="4" s="1"/>
  <c r="BP37" i="10" s="1"/>
  <c r="BC84" i="1"/>
  <c r="BC48" i="1"/>
  <c r="BC12" i="1"/>
  <c r="BN12" i="4" s="1"/>
  <c r="BP12" i="10" s="1"/>
  <c r="BC95" i="1"/>
  <c r="BN95" i="4" s="1"/>
  <c r="BP95" i="10" s="1"/>
  <c r="BC59" i="1"/>
  <c r="BN59" i="4" s="1"/>
  <c r="BP59" i="10" s="1"/>
  <c r="BC23" i="1"/>
  <c r="BN314" i="4"/>
  <c r="BP314" i="10" s="1"/>
  <c r="BN170" i="4"/>
  <c r="BP170" i="10" s="1"/>
  <c r="BN175" i="4"/>
  <c r="BP175" i="10" s="1"/>
  <c r="BN282" i="4"/>
  <c r="BP282" i="10" s="1"/>
  <c r="BN138" i="4"/>
  <c r="BP138" i="10" s="1"/>
  <c r="BN323" i="4"/>
  <c r="BP323" i="10" s="1"/>
  <c r="BN287" i="4"/>
  <c r="BP287" i="10" s="1"/>
  <c r="BC143" i="1"/>
  <c r="BC94" i="1"/>
  <c r="BN94" i="4" s="1"/>
  <c r="BP94" i="10" s="1"/>
  <c r="BC328" i="1"/>
  <c r="BC292" i="1"/>
  <c r="BN292" i="4" s="1"/>
  <c r="BP292" i="10" s="1"/>
  <c r="BC256" i="1"/>
  <c r="BC220" i="1"/>
  <c r="BN220" i="4" s="1"/>
  <c r="BP220" i="10" s="1"/>
  <c r="BC184" i="1"/>
  <c r="BC148" i="1"/>
  <c r="BN148" i="4" s="1"/>
  <c r="BP148" i="10" s="1"/>
  <c r="BC104" i="1"/>
  <c r="BN104" i="4" s="1"/>
  <c r="BP104" i="10" s="1"/>
  <c r="BC111" i="1"/>
  <c r="BN111" i="4" s="1"/>
  <c r="BP111" i="10" s="1"/>
  <c r="BC75" i="1"/>
  <c r="BC39" i="1"/>
  <c r="BC62" i="1"/>
  <c r="BN62" i="4" s="1"/>
  <c r="BP62" i="10" s="1"/>
  <c r="BC26" i="1"/>
  <c r="BC103" i="1"/>
  <c r="BN103" i="4" s="1"/>
  <c r="BP103" i="10" s="1"/>
  <c r="BC67" i="1"/>
  <c r="BC31" i="1"/>
  <c r="BN31" i="4" s="1"/>
  <c r="BP31" i="10" s="1"/>
  <c r="BC78" i="1"/>
  <c r="BN78" i="4" s="1"/>
  <c r="BP78" i="10" s="1"/>
  <c r="BC42" i="1"/>
  <c r="BC6" i="1"/>
  <c r="BN6" i="4" s="1"/>
  <c r="BP6" i="10" s="1"/>
  <c r="BC89" i="1"/>
  <c r="BN89" i="4" s="1"/>
  <c r="BP89" i="10" s="1"/>
  <c r="BC53" i="1"/>
  <c r="BN53" i="4" s="1"/>
  <c r="BP53" i="10" s="1"/>
  <c r="BC17" i="1"/>
  <c r="BN309" i="4"/>
  <c r="BP309" i="10" s="1"/>
  <c r="BN303" i="4"/>
  <c r="BP303" i="10" s="1"/>
  <c r="BN195" i="4"/>
  <c r="BP195" i="10" s="1"/>
  <c r="BN308" i="4"/>
  <c r="BP308" i="10" s="1"/>
  <c r="BN164" i="4"/>
  <c r="BP164" i="10" s="1"/>
  <c r="BN40" i="4"/>
  <c r="BP40" i="10" s="1"/>
  <c r="BN313" i="4"/>
  <c r="BP313" i="10" s="1"/>
  <c r="BN169" i="4"/>
  <c r="BP169" i="10" s="1"/>
  <c r="BN276" i="4"/>
  <c r="BP276" i="10" s="1"/>
  <c r="BN204" i="4"/>
  <c r="BP204" i="10" s="1"/>
  <c r="BN168" i="4"/>
  <c r="BP168" i="10" s="1"/>
  <c r="BN281" i="4"/>
  <c r="BP281" i="10" s="1"/>
  <c r="BC137" i="1"/>
  <c r="BC80" i="1"/>
  <c r="BN80" i="4" s="1"/>
  <c r="BP80" i="10" s="1"/>
  <c r="BC322" i="1"/>
  <c r="BC286" i="1"/>
  <c r="BC250" i="1"/>
  <c r="BN250" i="4" s="1"/>
  <c r="BP250" i="10" s="1"/>
  <c r="BC214" i="1"/>
  <c r="BN214" i="4" s="1"/>
  <c r="BP214" i="10" s="1"/>
  <c r="BC178" i="1"/>
  <c r="BN178" i="4" s="1"/>
  <c r="BP178" i="10" s="1"/>
  <c r="BC142" i="1"/>
  <c r="BC92" i="1"/>
  <c r="BN92" i="4" s="1"/>
  <c r="BP92" i="10" s="1"/>
  <c r="BC105" i="1"/>
  <c r="BN105" i="4" s="1"/>
  <c r="BP105" i="10" s="1"/>
  <c r="BC69" i="1"/>
  <c r="BN69" i="4" s="1"/>
  <c r="BP69" i="10" s="1"/>
  <c r="BC33" i="1"/>
  <c r="BC56" i="1"/>
  <c r="BN56" i="4" s="1"/>
  <c r="BP56" i="10" s="1"/>
  <c r="BC20" i="1"/>
  <c r="BC97" i="1"/>
  <c r="BC61" i="1"/>
  <c r="BN61" i="4" s="1"/>
  <c r="BP61" i="10" s="1"/>
  <c r="BC25" i="1"/>
  <c r="BN25" i="4" s="1"/>
  <c r="BP25" i="10" s="1"/>
  <c r="BC72" i="1"/>
  <c r="BN72" i="4" s="1"/>
  <c r="BP72" i="10" s="1"/>
  <c r="BC36" i="1"/>
  <c r="BC119" i="1"/>
  <c r="BN119" i="4" s="1"/>
  <c r="BP119" i="10" s="1"/>
  <c r="BC83" i="1"/>
  <c r="BC47" i="1"/>
  <c r="BN47" i="4" s="1"/>
  <c r="BP47" i="10" s="1"/>
  <c r="BC11" i="1"/>
  <c r="BN297" i="4"/>
  <c r="BP297" i="10" s="1"/>
  <c r="BN302" i="4"/>
  <c r="BP302" i="10" s="1"/>
  <c r="BN158" i="4"/>
  <c r="BP158" i="10" s="1"/>
  <c r="BN307" i="4"/>
  <c r="BP307" i="10" s="1"/>
  <c r="BN163" i="4"/>
  <c r="BP163" i="10" s="1"/>
  <c r="BN162" i="4"/>
  <c r="BP162" i="10" s="1"/>
  <c r="BN275" i="4"/>
  <c r="BP275" i="10" s="1"/>
  <c r="BC131" i="1"/>
  <c r="BC58" i="1"/>
  <c r="BN58" i="4" s="1"/>
  <c r="BP58" i="10" s="1"/>
  <c r="BC316" i="1"/>
  <c r="BN316" i="4" s="1"/>
  <c r="BP316" i="10" s="1"/>
  <c r="BC280" i="1"/>
  <c r="BC244" i="1"/>
  <c r="BN244" i="4" s="1"/>
  <c r="BP244" i="10" s="1"/>
  <c r="BC208" i="1"/>
  <c r="BN208" i="4" s="1"/>
  <c r="BP208" i="10" s="1"/>
  <c r="BC172" i="1"/>
  <c r="BN172" i="4" s="1"/>
  <c r="BP172" i="10" s="1"/>
  <c r="BC136" i="1"/>
  <c r="BC76" i="1"/>
  <c r="BN76" i="4" s="1"/>
  <c r="BP76" i="10" s="1"/>
  <c r="BC99" i="1"/>
  <c r="BN99" i="4" s="1"/>
  <c r="BP99" i="10" s="1"/>
  <c r="BC63" i="1"/>
  <c r="BN63" i="4" s="1"/>
  <c r="BP63" i="10" s="1"/>
  <c r="BC27" i="1"/>
  <c r="BC50" i="1"/>
  <c r="BN50" i="4" s="1"/>
  <c r="BP50" i="10" s="1"/>
  <c r="BC14" i="1"/>
  <c r="BN14" i="4" s="1"/>
  <c r="BP14" i="10" s="1"/>
  <c r="BC91" i="1"/>
  <c r="BC55" i="1"/>
  <c r="BN55" i="4" s="1"/>
  <c r="BP55" i="10" s="1"/>
  <c r="BC19" i="1"/>
  <c r="BN19" i="4" s="1"/>
  <c r="BP19" i="10" s="1"/>
  <c r="BC66" i="1"/>
  <c r="BN66" i="4" s="1"/>
  <c r="BP66" i="10" s="1"/>
  <c r="BC30" i="1"/>
  <c r="BC113" i="1"/>
  <c r="BN113" i="4" s="1"/>
  <c r="BP113" i="10" s="1"/>
  <c r="BC77" i="1"/>
  <c r="BN77" i="4" s="1"/>
  <c r="BP77" i="10" s="1"/>
  <c r="BC41" i="1"/>
  <c r="BC342" i="1"/>
  <c r="C110" i="6" a="1"/>
  <c r="C110" i="6" l="1"/>
  <c r="E110" i="6" s="1"/>
  <c r="BN27" i="4"/>
  <c r="BP27" i="10" s="1"/>
  <c r="BN83" i="4"/>
  <c r="BP83" i="10" s="1"/>
  <c r="BN97" i="4"/>
  <c r="BP97" i="10" s="1"/>
  <c r="BN322" i="4"/>
  <c r="BP322" i="10" s="1"/>
  <c r="BN26" i="4"/>
  <c r="BP26" i="10" s="1"/>
  <c r="BN20" i="4"/>
  <c r="BP20" i="10" s="1"/>
  <c r="BN142" i="4"/>
  <c r="BP142" i="10" s="1"/>
  <c r="BN42" i="4"/>
  <c r="BP42" i="10" s="1"/>
  <c r="BN184" i="4"/>
  <c r="BP184" i="10" s="1"/>
  <c r="BN143" i="4"/>
  <c r="BP143" i="10" s="1"/>
  <c r="BN32" i="4"/>
  <c r="BP32" i="10" s="1"/>
  <c r="BN41" i="4"/>
  <c r="BP41" i="10" s="1"/>
  <c r="BN280" i="4"/>
  <c r="BP280" i="10" s="1"/>
  <c r="BN36" i="4"/>
  <c r="BP36" i="10" s="1"/>
  <c r="BN137" i="4"/>
  <c r="BP137" i="10" s="1"/>
  <c r="BN39" i="4"/>
  <c r="BP39" i="10" s="1"/>
  <c r="BN48" i="4"/>
  <c r="BP48" i="10" s="1"/>
  <c r="BN91" i="4"/>
  <c r="BP91" i="10" s="1"/>
  <c r="BN33" i="4"/>
  <c r="BP33" i="10" s="1"/>
  <c r="BN17" i="4"/>
  <c r="BP17" i="10" s="1"/>
  <c r="BN75" i="4"/>
  <c r="BP75" i="10" s="1"/>
  <c r="BN256" i="4"/>
  <c r="BP256" i="10" s="1"/>
  <c r="BN84" i="4"/>
  <c r="BP84" i="10" s="1"/>
  <c r="BN45" i="4"/>
  <c r="BP45" i="10" s="1"/>
  <c r="BN136" i="4"/>
  <c r="BP136" i="10" s="1"/>
  <c r="BN11" i="4"/>
  <c r="BP11" i="10" s="1"/>
  <c r="BN67" i="4"/>
  <c r="BP67" i="10" s="1"/>
  <c r="BN23" i="4"/>
  <c r="BP23" i="10" s="1"/>
  <c r="BN262" i="4"/>
  <c r="BP262" i="10" s="1"/>
  <c r="BN30" i="4"/>
  <c r="BP30" i="10" s="1"/>
  <c r="BN131" i="4"/>
  <c r="BP131" i="10" s="1"/>
  <c r="BN286" i="4"/>
  <c r="BP286" i="10" s="1"/>
  <c r="BN328" i="4"/>
  <c r="BP328" i="10" s="1"/>
  <c r="BN73" i="4"/>
  <c r="BP73" i="10" s="1"/>
  <c r="BN342" i="4"/>
  <c r="BP342" i="10" l="1"/>
  <c r="AA4" i="2" s="1"/>
  <c r="AB4" i="2" a="1"/>
  <c r="AB4" i="2" l="1"/>
  <c r="BD310" i="1" l="1"/>
  <c r="BD231" i="1"/>
  <c r="BO231" i="4" s="1"/>
  <c r="BQ231" i="10" s="1"/>
  <c r="BD341" i="1"/>
  <c r="BO341" i="4" s="1"/>
  <c r="BQ341" i="10" s="1"/>
  <c r="BD124" i="1"/>
  <c r="BD89" i="1"/>
  <c r="BO89" i="4" s="1"/>
  <c r="BQ89" i="10" s="1"/>
  <c r="BD257" i="1"/>
  <c r="BO257" i="4" s="1"/>
  <c r="BQ257" i="10" s="1"/>
  <c r="BD209" i="1"/>
  <c r="BD195" i="1"/>
  <c r="BD142" i="1"/>
  <c r="BO142" i="4" s="1"/>
  <c r="BQ142" i="10" s="1"/>
  <c r="BD236" i="1"/>
  <c r="BD319" i="1"/>
  <c r="BD92" i="1"/>
  <c r="BO92" i="4" s="1"/>
  <c r="BQ92" i="10" s="1"/>
  <c r="BD74" i="1"/>
  <c r="BO74" i="4" s="1"/>
  <c r="BQ74" i="10" s="1"/>
  <c r="BD103" i="1"/>
  <c r="BO103" i="4" s="1"/>
  <c r="BQ103" i="10" s="1"/>
  <c r="BD197" i="1"/>
  <c r="BD299" i="1"/>
  <c r="BO299" i="4" s="1"/>
  <c r="BQ299" i="10" s="1"/>
  <c r="BD58" i="1"/>
  <c r="BD322" i="1"/>
  <c r="BD41" i="1"/>
  <c r="BD5" i="1"/>
  <c r="BD303" i="1"/>
  <c r="BD326" i="1"/>
  <c r="BD139" i="1"/>
  <c r="BO139" i="4" s="1"/>
  <c r="BQ139" i="10" s="1"/>
  <c r="BD163" i="1"/>
  <c r="BD185" i="1"/>
  <c r="BD130" i="1"/>
  <c r="BD317" i="1"/>
  <c r="BO317" i="4" s="1"/>
  <c r="BQ317" i="10" s="1"/>
  <c r="BD290" i="1"/>
  <c r="BO290" i="4" s="1"/>
  <c r="BQ290" i="10" s="1"/>
  <c r="BD28" i="1"/>
  <c r="BD253" i="1"/>
  <c r="BD251" i="1"/>
  <c r="BO251" i="4" s="1"/>
  <c r="BQ251" i="10" s="1"/>
  <c r="BD266" i="1"/>
  <c r="BD219" i="1"/>
  <c r="BD240" i="1"/>
  <c r="BD84" i="1"/>
  <c r="BD157" i="1"/>
  <c r="BD300" i="1"/>
  <c r="BD201" i="1"/>
  <c r="BO201" i="4" s="1"/>
  <c r="BQ201" i="10" s="1"/>
  <c r="BD73" i="1"/>
  <c r="BD11" i="1"/>
  <c r="BD270" i="1"/>
  <c r="BD102" i="1"/>
  <c r="BD80" i="1"/>
  <c r="BD224" i="1"/>
  <c r="BD318" i="1"/>
  <c r="BD46" i="1"/>
  <c r="BD30" i="1"/>
  <c r="BD97" i="1"/>
  <c r="BD45" i="1"/>
  <c r="BD71" i="1"/>
  <c r="BD288" i="1"/>
  <c r="BD313" i="1"/>
  <c r="BD94" i="1"/>
  <c r="BD115" i="1"/>
  <c r="BD202" i="1"/>
  <c r="BD277" i="1"/>
  <c r="BD96" i="1"/>
  <c r="BD91" i="1"/>
  <c r="BD175" i="1"/>
  <c r="BO175" i="4" s="1"/>
  <c r="BQ175" i="10" s="1"/>
  <c r="BD32" i="1"/>
  <c r="BO32" i="4" s="1"/>
  <c r="BQ32" i="10" s="1"/>
  <c r="BD31" i="1"/>
  <c r="BD72" i="1"/>
  <c r="BO72" i="4" s="1"/>
  <c r="BQ72" i="10" s="1"/>
  <c r="BD51" i="1"/>
  <c r="BD161" i="1"/>
  <c r="BO161" i="4" s="1"/>
  <c r="BQ161" i="10" s="1"/>
  <c r="BD222" i="1"/>
  <c r="BD305" i="1"/>
  <c r="BO305" i="4" s="1"/>
  <c r="BQ305" i="10" s="1"/>
  <c r="BD207" i="1"/>
  <c r="BD57" i="1"/>
  <c r="BD15" i="1"/>
  <c r="BO15" i="4" s="1"/>
  <c r="BQ15" i="10" s="1"/>
  <c r="BD284" i="1"/>
  <c r="BO284" i="4" s="1"/>
  <c r="BQ284" i="10" s="1"/>
  <c r="BD105" i="1"/>
  <c r="BD108" i="1"/>
  <c r="BD294" i="1"/>
  <c r="BO294" i="4" s="1"/>
  <c r="BQ294" i="10" s="1"/>
  <c r="BD64" i="1"/>
  <c r="BD233" i="1"/>
  <c r="BD48" i="1"/>
  <c r="BD113" i="1"/>
  <c r="BD178" i="1"/>
  <c r="BD249" i="1"/>
  <c r="BD230" i="1"/>
  <c r="BD134" i="1"/>
  <c r="BO134" i="4" s="1"/>
  <c r="BQ134" i="10" s="1"/>
  <c r="BD37" i="1"/>
  <c r="BD101" i="1"/>
  <c r="BD327" i="1"/>
  <c r="BD261" i="1"/>
  <c r="BD59" i="1"/>
  <c r="BD255" i="1"/>
  <c r="BO255" i="4" s="1"/>
  <c r="BQ255" i="10" s="1"/>
  <c r="BD228" i="1"/>
  <c r="BO228" i="4" s="1"/>
  <c r="BQ228" i="10" s="1"/>
  <c r="BD220" i="1"/>
  <c r="BD190" i="1"/>
  <c r="BD205" i="1"/>
  <c r="BD79" i="1"/>
  <c r="BD189" i="1"/>
  <c r="BD61" i="1"/>
  <c r="BO61" i="4" s="1"/>
  <c r="BQ61" i="10" s="1"/>
  <c r="BD100" i="1"/>
  <c r="BD229" i="1"/>
  <c r="BD239" i="1"/>
  <c r="BD241" i="1"/>
  <c r="BD145" i="1"/>
  <c r="BD329" i="1"/>
  <c r="BO329" i="4" s="1"/>
  <c r="BQ329" i="10" s="1"/>
  <c r="BD332" i="1"/>
  <c r="BD140" i="1"/>
  <c r="BD160" i="1"/>
  <c r="BD114" i="1"/>
  <c r="BD151" i="1"/>
  <c r="BD147" i="1"/>
  <c r="BD179" i="1"/>
  <c r="BO179" i="4" s="1"/>
  <c r="BQ179" i="10" s="1"/>
  <c r="BD7" i="1"/>
  <c r="BD38" i="1"/>
  <c r="BD316" i="1"/>
  <c r="BD223" i="1"/>
  <c r="BD227" i="1"/>
  <c r="BD218" i="1"/>
  <c r="BD312" i="1"/>
  <c r="BD122" i="1"/>
  <c r="BO122" i="4" s="1"/>
  <c r="BQ122" i="10" s="1"/>
  <c r="BD33" i="1"/>
  <c r="BO33" i="4" s="1"/>
  <c r="BQ33" i="10" s="1"/>
  <c r="BD34" i="1"/>
  <c r="BD216" i="1"/>
  <c r="BO216" i="4" s="1"/>
  <c r="BQ216" i="10" s="1"/>
  <c r="BD90" i="1"/>
  <c r="BO90" i="4" s="1"/>
  <c r="BQ90" i="10" s="1"/>
  <c r="BD116" i="1"/>
  <c r="BD335" i="1"/>
  <c r="BD194" i="1"/>
  <c r="BO194" i="4" s="1"/>
  <c r="BQ194" i="10" s="1"/>
  <c r="BD208" i="1"/>
  <c r="BD47" i="1"/>
  <c r="BD267" i="1"/>
  <c r="BO267" i="4" s="1"/>
  <c r="BQ267" i="10" s="1"/>
  <c r="BD291" i="1"/>
  <c r="BO291" i="4" s="1"/>
  <c r="BQ291" i="10" s="1"/>
  <c r="BD149" i="1"/>
  <c r="BD104" i="1"/>
  <c r="BD211" i="1"/>
  <c r="BO211" i="4" s="1"/>
  <c r="BQ211" i="10" s="1"/>
  <c r="BD146" i="1"/>
  <c r="BD180" i="1"/>
  <c r="BD330" i="1"/>
  <c r="BO330" i="4" s="1"/>
  <c r="BQ330" i="10" s="1"/>
  <c r="BD119" i="1"/>
  <c r="BD53" i="1"/>
  <c r="BD166" i="1"/>
  <c r="BD184" i="1"/>
  <c r="BO184" i="4" s="1"/>
  <c r="BQ184" i="10" s="1"/>
  <c r="BD171" i="1"/>
  <c r="BO171" i="4" s="1"/>
  <c r="BQ171" i="10" s="1"/>
  <c r="BD212" i="1"/>
  <c r="BD66" i="1"/>
  <c r="BD275" i="1"/>
  <c r="BD232" i="1"/>
  <c r="BD78" i="1"/>
  <c r="BD191" i="1"/>
  <c r="BD63" i="1"/>
  <c r="BO63" i="4" s="1"/>
  <c r="BQ63" i="10" s="1"/>
  <c r="BD282" i="1"/>
  <c r="BD155" i="1"/>
  <c r="BD27" i="1"/>
  <c r="BD337" i="1"/>
  <c r="BD196" i="1"/>
  <c r="BD169" i="1"/>
  <c r="BO169" i="4" s="1"/>
  <c r="BQ169" i="10" s="1"/>
  <c r="BD328" i="1"/>
  <c r="BD331" i="1"/>
  <c r="BD192" i="1"/>
  <c r="BD127" i="1"/>
  <c r="BD95" i="1"/>
  <c r="BD235" i="1"/>
  <c r="BD135" i="1"/>
  <c r="BD254" i="1"/>
  <c r="BD268" i="1"/>
  <c r="BD204" i="1"/>
  <c r="BD199" i="1"/>
  <c r="BD285" i="1"/>
  <c r="BD287" i="1"/>
  <c r="BD55" i="1"/>
  <c r="BD164" i="1"/>
  <c r="BD221" i="1"/>
  <c r="BD325" i="1"/>
  <c r="BD60" i="1"/>
  <c r="BD129" i="1"/>
  <c r="BD85" i="1"/>
  <c r="BD250" i="1"/>
  <c r="BO250" i="4" s="1"/>
  <c r="BQ250" i="10" s="1"/>
  <c r="BD128" i="1"/>
  <c r="BD213" i="1"/>
  <c r="BD14" i="1"/>
  <c r="BO14" i="4" s="1"/>
  <c r="BQ14" i="10" s="1"/>
  <c r="BD339" i="1"/>
  <c r="BO339" i="4" s="1"/>
  <c r="BQ339" i="10" s="1"/>
  <c r="BD26" i="1"/>
  <c r="BD99" i="1"/>
  <c r="BD131" i="1"/>
  <c r="BO131" i="4" s="1"/>
  <c r="BQ131" i="10" s="1"/>
  <c r="BD173" i="1"/>
  <c r="BD68" i="1"/>
  <c r="BD214" i="1"/>
  <c r="BO214" i="4" s="1"/>
  <c r="BQ214" i="10" s="1"/>
  <c r="BD256" i="1"/>
  <c r="BO256" i="4" s="1"/>
  <c r="BQ256" i="10" s="1"/>
  <c r="BD296" i="1"/>
  <c r="BD75" i="1"/>
  <c r="BD22" i="1"/>
  <c r="BD242" i="1"/>
  <c r="BD152" i="1"/>
  <c r="BD247" i="1"/>
  <c r="BO247" i="4" s="1"/>
  <c r="BQ247" i="10" s="1"/>
  <c r="BD20" i="1"/>
  <c r="BO20" i="4" s="1"/>
  <c r="BQ20" i="10" s="1"/>
  <c r="BD269" i="1"/>
  <c r="BD83" i="1"/>
  <c r="BD120" i="1"/>
  <c r="BO120" i="4" s="1"/>
  <c r="BQ120" i="10" s="1"/>
  <c r="BD238" i="1"/>
  <c r="BO238" i="4" s="1"/>
  <c r="BQ238" i="10" s="1"/>
  <c r="BD154" i="1"/>
  <c r="BD188" i="1"/>
  <c r="BD121" i="1"/>
  <c r="BD203" i="1"/>
  <c r="BD200" i="1"/>
  <c r="BD338" i="1"/>
  <c r="BD88" i="1"/>
  <c r="BO88" i="4" s="1"/>
  <c r="BQ88" i="10" s="1"/>
  <c r="BD295" i="1"/>
  <c r="BD126" i="1"/>
  <c r="BD226" i="1"/>
  <c r="BD183" i="1"/>
  <c r="BD77" i="1"/>
  <c r="BD271" i="1"/>
  <c r="BD323" i="1"/>
  <c r="BD320" i="1"/>
  <c r="BD25" i="1"/>
  <c r="BD264" i="1"/>
  <c r="BD143" i="1"/>
  <c r="BD198" i="1"/>
  <c r="BD237" i="1"/>
  <c r="BD39" i="1"/>
  <c r="BD65" i="1"/>
  <c r="BD276" i="1"/>
  <c r="BD259" i="1"/>
  <c r="BD52" i="1"/>
  <c r="BD42" i="1"/>
  <c r="BD109" i="1"/>
  <c r="BD302" i="1"/>
  <c r="BO302" i="4" s="1"/>
  <c r="BQ302" i="10" s="1"/>
  <c r="BD54" i="1"/>
  <c r="BD176" i="1"/>
  <c r="BD252" i="1"/>
  <c r="BD10" i="1"/>
  <c r="BD289" i="1"/>
  <c r="BD311" i="1"/>
  <c r="BO311" i="4" s="1"/>
  <c r="BQ311" i="10" s="1"/>
  <c r="BD333" i="1"/>
  <c r="BD286" i="1"/>
  <c r="BO286" i="4" s="1"/>
  <c r="BQ286" i="10" s="1"/>
  <c r="BD165" i="1"/>
  <c r="BO165" i="4" s="1"/>
  <c r="BQ165" i="10" s="1"/>
  <c r="BD106" i="1"/>
  <c r="BO106" i="4" s="1"/>
  <c r="BQ106" i="10" s="1"/>
  <c r="BD278" i="1"/>
  <c r="BD56" i="1"/>
  <c r="BO56" i="4" s="1"/>
  <c r="BQ56" i="10" s="1"/>
  <c r="BD283" i="1"/>
  <c r="BO283" i="4" s="1"/>
  <c r="BQ283" i="10" s="1"/>
  <c r="BD132" i="1"/>
  <c r="BD24" i="1"/>
  <c r="BD125" i="1"/>
  <c r="BO125" i="4" s="1"/>
  <c r="BQ125" i="10" s="1"/>
  <c r="BD215" i="1"/>
  <c r="BD234" i="1"/>
  <c r="BD40" i="1"/>
  <c r="BO40" i="4" s="1"/>
  <c r="BQ40" i="10" s="1"/>
  <c r="BD18" i="1"/>
  <c r="BO18" i="4" s="1"/>
  <c r="BQ18" i="10" s="1"/>
  <c r="BD159" i="1"/>
  <c r="BD117" i="1"/>
  <c r="BD50" i="1"/>
  <c r="BO50" i="4" s="1"/>
  <c r="BQ50" i="10" s="1"/>
  <c r="BD206" i="1"/>
  <c r="BO206" i="4" s="1"/>
  <c r="BQ206" i="10" s="1"/>
  <c r="BD144" i="1"/>
  <c r="BD6" i="1"/>
  <c r="BD321" i="1"/>
  <c r="BO321" i="4" s="1"/>
  <c r="BQ321" i="10" s="1"/>
  <c r="BD263" i="1"/>
  <c r="BO263" i="4" s="1"/>
  <c r="BQ263" i="10" s="1"/>
  <c r="BD182" i="1"/>
  <c r="BD273" i="1"/>
  <c r="BO273" i="4" s="1"/>
  <c r="BQ273" i="10" s="1"/>
  <c r="BD272" i="1"/>
  <c r="BO272" i="4" s="1"/>
  <c r="BQ272" i="10" s="1"/>
  <c r="BD168" i="1"/>
  <c r="BD148" i="1"/>
  <c r="BD315" i="1"/>
  <c r="BO315" i="4" s="1"/>
  <c r="BQ315" i="10" s="1"/>
  <c r="BD107" i="1"/>
  <c r="BO107" i="4" s="1"/>
  <c r="BQ107" i="10" s="1"/>
  <c r="BD4" i="1"/>
  <c r="BD93" i="1"/>
  <c r="BD177" i="1"/>
  <c r="BD8" i="1"/>
  <c r="BD293" i="1"/>
  <c r="BD44" i="1"/>
  <c r="BD162" i="1"/>
  <c r="BD225" i="1"/>
  <c r="BO225" i="4" s="1"/>
  <c r="BQ225" i="10" s="1"/>
  <c r="BD133" i="1"/>
  <c r="BD187" i="1"/>
  <c r="BD43" i="1"/>
  <c r="BO43" i="4" s="1"/>
  <c r="BQ43" i="10" s="1"/>
  <c r="BD193" i="1"/>
  <c r="BD16" i="1"/>
  <c r="BD141" i="1"/>
  <c r="BD167" i="1"/>
  <c r="BD336" i="1"/>
  <c r="BD307" i="1"/>
  <c r="BD172" i="1"/>
  <c r="BD138" i="1"/>
  <c r="BD217" i="1"/>
  <c r="BD69" i="1"/>
  <c r="BO69" i="4" s="1"/>
  <c r="BQ69" i="10" s="1"/>
  <c r="BD246" i="1"/>
  <c r="BD81" i="1"/>
  <c r="BO81" i="4" s="1"/>
  <c r="BQ81" i="10" s="1"/>
  <c r="BD19" i="1"/>
  <c r="BD244" i="1"/>
  <c r="BD118" i="1"/>
  <c r="BD21" i="1"/>
  <c r="BD170" i="1"/>
  <c r="BD17" i="1"/>
  <c r="BO17" i="4" s="1"/>
  <c r="BQ17" i="10" s="1"/>
  <c r="BD298" i="1"/>
  <c r="BO298" i="4" s="1"/>
  <c r="BQ298" i="10" s="1"/>
  <c r="BD334" i="1"/>
  <c r="BD314" i="1"/>
  <c r="BD123" i="1"/>
  <c r="BO123" i="4" s="1"/>
  <c r="BQ123" i="10" s="1"/>
  <c r="BD111" i="1"/>
  <c r="BO111" i="4" s="1"/>
  <c r="BQ111" i="10" s="1"/>
  <c r="BD67" i="1"/>
  <c r="BD324" i="1"/>
  <c r="BD36" i="1"/>
  <c r="BO36" i="4" s="1"/>
  <c r="BQ36" i="10" s="1"/>
  <c r="BD174" i="1"/>
  <c r="BD110" i="1"/>
  <c r="BD340" i="1"/>
  <c r="BD136" i="1"/>
  <c r="BD70" i="1"/>
  <c r="BD82" i="1"/>
  <c r="BD76" i="1"/>
  <c r="BD87" i="1"/>
  <c r="BD62" i="1"/>
  <c r="BD258" i="1"/>
  <c r="BD98" i="1"/>
  <c r="BD243" i="1"/>
  <c r="BD153" i="1"/>
  <c r="BD292" i="1"/>
  <c r="BD35" i="1"/>
  <c r="BD9" i="1"/>
  <c r="BD156" i="1"/>
  <c r="BD280" i="1"/>
  <c r="BD186" i="1"/>
  <c r="BD248" i="1"/>
  <c r="BD29" i="1"/>
  <c r="BD304" i="1"/>
  <c r="BD260" i="1"/>
  <c r="BO260" i="4" s="1"/>
  <c r="BQ260" i="10" s="1"/>
  <c r="BD150" i="1"/>
  <c r="BD308" i="1"/>
  <c r="BD306" i="1"/>
  <c r="BD112" i="1"/>
  <c r="BD262" i="1"/>
  <c r="BD23" i="1"/>
  <c r="BD301" i="1"/>
  <c r="BD86" i="1"/>
  <c r="BD245" i="1"/>
  <c r="BD279" i="1"/>
  <c r="BD281" i="1"/>
  <c r="BD49" i="1"/>
  <c r="BO49" i="4" s="1"/>
  <c r="BQ49" i="10" s="1"/>
  <c r="BD158" i="1"/>
  <c r="BO158" i="4" s="1"/>
  <c r="BQ158" i="10" s="1"/>
  <c r="BD274" i="1"/>
  <c r="BO274" i="4" s="1"/>
  <c r="BQ274" i="10" s="1"/>
  <c r="BD210" i="1"/>
  <c r="BD265" i="1"/>
  <c r="BD297" i="1"/>
  <c r="BD13" i="1"/>
  <c r="BD309" i="1"/>
  <c r="BD181" i="1"/>
  <c r="BD137" i="1"/>
  <c r="BD12" i="1"/>
  <c r="D14" i="6"/>
  <c r="E21" i="6"/>
  <c r="E26" i="6" s="1"/>
  <c r="BO181" i="4" l="1"/>
  <c r="BQ181" i="10" s="1"/>
  <c r="BV274" i="4"/>
  <c r="BX274" i="10" s="1"/>
  <c r="BO86" i="4"/>
  <c r="BQ86" i="10" s="1"/>
  <c r="BO308" i="4"/>
  <c r="BQ308" i="10" s="1"/>
  <c r="BO186" i="4"/>
  <c r="BQ186" i="10" s="1"/>
  <c r="BO153" i="4"/>
  <c r="BQ153" i="10" s="1"/>
  <c r="BO76" i="4"/>
  <c r="BQ76" i="10" s="1"/>
  <c r="BO174" i="4"/>
  <c r="BQ174" i="10" s="1"/>
  <c r="BO314" i="4"/>
  <c r="BQ314" i="10" s="1"/>
  <c r="BO118" i="4"/>
  <c r="BQ118" i="10" s="1"/>
  <c r="BO217" i="4"/>
  <c r="BQ217" i="10" s="1"/>
  <c r="BO141" i="4"/>
  <c r="BQ141" i="10" s="1"/>
  <c r="BV225" i="4"/>
  <c r="BX225" i="10" s="1"/>
  <c r="BO93" i="4"/>
  <c r="BQ93" i="10" s="1"/>
  <c r="BV272" i="4"/>
  <c r="BX272" i="10" s="1"/>
  <c r="BO144" i="4"/>
  <c r="BQ144" i="10" s="1"/>
  <c r="BV40" i="4"/>
  <c r="BX40" i="10" s="1"/>
  <c r="BV283" i="4"/>
  <c r="BX283" i="10" s="1"/>
  <c r="BO333" i="4"/>
  <c r="BQ333" i="10" s="1"/>
  <c r="BO54" i="4"/>
  <c r="BQ54" i="10" s="1"/>
  <c r="BO276" i="4"/>
  <c r="BQ276" i="10" s="1"/>
  <c r="BO264" i="4"/>
  <c r="BQ264" i="10" s="1"/>
  <c r="BO183" i="4"/>
  <c r="BQ183" i="10" s="1"/>
  <c r="BO200" i="4"/>
  <c r="BQ200" i="10" s="1"/>
  <c r="BV120" i="4"/>
  <c r="BX120" i="10" s="1"/>
  <c r="BO242" i="4"/>
  <c r="BQ242" i="10" s="1"/>
  <c r="BO68" i="4"/>
  <c r="BQ68" i="10" s="1"/>
  <c r="BV14" i="4"/>
  <c r="BX14" i="10" s="1"/>
  <c r="BO60" i="4"/>
  <c r="BQ60" i="10" s="1"/>
  <c r="BO285" i="4"/>
  <c r="BQ285" i="10" s="1"/>
  <c r="BO235" i="4"/>
  <c r="BQ235" i="10" s="1"/>
  <c r="BV169" i="4"/>
  <c r="BX169" i="10" s="1"/>
  <c r="BV63" i="4"/>
  <c r="BX63" i="10" s="1"/>
  <c r="BO212" i="4"/>
  <c r="BQ212" i="10" s="1"/>
  <c r="BV330" i="4"/>
  <c r="BX330" i="10" s="1"/>
  <c r="BV291" i="4"/>
  <c r="BX291" i="10" s="1"/>
  <c r="BO116" i="4"/>
  <c r="BQ116" i="10" s="1"/>
  <c r="BO312" i="4"/>
  <c r="BQ312" i="10" s="1"/>
  <c r="BO7" i="4"/>
  <c r="BQ7" i="10" s="1"/>
  <c r="BO140" i="4"/>
  <c r="BQ140" i="10" s="1"/>
  <c r="BO229" i="4"/>
  <c r="BQ229" i="10" s="1"/>
  <c r="BO190" i="4"/>
  <c r="BQ190" i="10" s="1"/>
  <c r="BO327" i="4"/>
  <c r="BQ327" i="10" s="1"/>
  <c r="BO178" i="4"/>
  <c r="BQ178" i="10" s="1"/>
  <c r="BO108" i="4"/>
  <c r="BQ108" i="10" s="1"/>
  <c r="BV305" i="4"/>
  <c r="BX305" i="10" s="1"/>
  <c r="BV32" i="4"/>
  <c r="BX32" i="10" s="1"/>
  <c r="BO115" i="4"/>
  <c r="BQ115" i="10" s="1"/>
  <c r="BO97" i="4"/>
  <c r="BQ97" i="10" s="1"/>
  <c r="BO102" i="4"/>
  <c r="BQ102" i="10" s="1"/>
  <c r="BO157" i="4"/>
  <c r="BQ157" i="10" s="1"/>
  <c r="BO253" i="4"/>
  <c r="BQ253" i="10" s="1"/>
  <c r="BO163" i="4"/>
  <c r="BQ163" i="10" s="1"/>
  <c r="BO322" i="4"/>
  <c r="BQ322" i="10" s="1"/>
  <c r="BV92" i="4"/>
  <c r="BX92" i="10" s="1"/>
  <c r="BV257" i="4"/>
  <c r="BX257" i="10" s="1"/>
  <c r="BO309" i="4"/>
  <c r="BQ309" i="10" s="1"/>
  <c r="BV158" i="4"/>
  <c r="BX158" i="10" s="1"/>
  <c r="BO301" i="4"/>
  <c r="BQ301" i="10" s="1"/>
  <c r="BO150" i="4"/>
  <c r="BQ150" i="10" s="1"/>
  <c r="BO280" i="4"/>
  <c r="BQ280" i="10" s="1"/>
  <c r="BO243" i="4"/>
  <c r="BQ243" i="10" s="1"/>
  <c r="BO82" i="4"/>
  <c r="BQ82" i="10" s="1"/>
  <c r="BV36" i="4"/>
  <c r="BX36" i="10" s="1"/>
  <c r="BO334" i="4"/>
  <c r="BQ334" i="10" s="1"/>
  <c r="BO244" i="4"/>
  <c r="BQ244" i="10" s="1"/>
  <c r="BO138" i="4"/>
  <c r="BQ138" i="10" s="1"/>
  <c r="BO16" i="4"/>
  <c r="BQ16" i="10" s="1"/>
  <c r="BO162" i="4"/>
  <c r="BQ162" i="10" s="1"/>
  <c r="BO4" i="4"/>
  <c r="BQ4" i="10" s="1"/>
  <c r="BD342" i="1"/>
  <c r="BV273" i="4"/>
  <c r="BX273" i="10" s="1"/>
  <c r="BV206" i="4"/>
  <c r="BX206" i="10" s="1"/>
  <c r="BO234" i="4"/>
  <c r="BQ234" i="10" s="1"/>
  <c r="BW56" i="4"/>
  <c r="BY56" i="10" s="1"/>
  <c r="BV56" i="4"/>
  <c r="BX56" i="10" s="1"/>
  <c r="BV311" i="4"/>
  <c r="BX311" i="10" s="1"/>
  <c r="BW302" i="4"/>
  <c r="BV302" i="4"/>
  <c r="BX302" i="10" s="1"/>
  <c r="BO65" i="4"/>
  <c r="BQ65" i="10" s="1"/>
  <c r="BO25" i="4"/>
  <c r="BQ25" i="10" s="1"/>
  <c r="BO226" i="4"/>
  <c r="BQ226" i="10" s="1"/>
  <c r="BO203" i="4"/>
  <c r="BQ203" i="10" s="1"/>
  <c r="BO83" i="4"/>
  <c r="BQ83" i="10" s="1"/>
  <c r="BO22" i="4"/>
  <c r="BQ22" i="10" s="1"/>
  <c r="BO173" i="4"/>
  <c r="BQ173" i="10" s="1"/>
  <c r="BO213" i="4"/>
  <c r="BQ213" i="10" s="1"/>
  <c r="BO325" i="4"/>
  <c r="BQ325" i="10" s="1"/>
  <c r="BO199" i="4"/>
  <c r="BQ199" i="10" s="1"/>
  <c r="BO95" i="4"/>
  <c r="BQ95" i="10" s="1"/>
  <c r="BO196" i="4"/>
  <c r="BQ196" i="10" s="1"/>
  <c r="BO191" i="4"/>
  <c r="BQ191" i="10" s="1"/>
  <c r="BV171" i="4"/>
  <c r="BX171" i="10" s="1"/>
  <c r="BO180" i="4"/>
  <c r="BQ180" i="10" s="1"/>
  <c r="BV267" i="4"/>
  <c r="BX267" i="10" s="1"/>
  <c r="BV90" i="4"/>
  <c r="BX90" i="10" s="1"/>
  <c r="BO218" i="4"/>
  <c r="BQ218" i="10" s="1"/>
  <c r="BV179" i="4"/>
  <c r="BX179" i="10" s="1"/>
  <c r="BO332" i="4"/>
  <c r="BQ332" i="10" s="1"/>
  <c r="BO100" i="4"/>
  <c r="BQ100" i="10" s="1"/>
  <c r="BO220" i="4"/>
  <c r="BQ220" i="10" s="1"/>
  <c r="BO101" i="4"/>
  <c r="BQ101" i="10" s="1"/>
  <c r="BO113" i="4"/>
  <c r="BQ113" i="10" s="1"/>
  <c r="BO105" i="4"/>
  <c r="BQ105" i="10" s="1"/>
  <c r="BO222" i="4"/>
  <c r="BQ222" i="10" s="1"/>
  <c r="BV175" i="4"/>
  <c r="BX175" i="10" s="1"/>
  <c r="BW175" i="4"/>
  <c r="BY175" i="10" s="1"/>
  <c r="BO94" i="4"/>
  <c r="BQ94" i="10" s="1"/>
  <c r="BO30" i="4"/>
  <c r="BQ30" i="10" s="1"/>
  <c r="BO270" i="4"/>
  <c r="BQ270" i="10" s="1"/>
  <c r="BO84" i="4"/>
  <c r="BQ84" i="10" s="1"/>
  <c r="BO28" i="4"/>
  <c r="BQ28" i="10" s="1"/>
  <c r="BV139" i="4"/>
  <c r="BX139" i="10" s="1"/>
  <c r="BO58" i="4"/>
  <c r="BQ58" i="10" s="1"/>
  <c r="BO319" i="4"/>
  <c r="BQ319" i="10" s="1"/>
  <c r="BV89" i="4"/>
  <c r="BX89" i="10" s="1"/>
  <c r="BO13" i="4"/>
  <c r="BQ13" i="10" s="1"/>
  <c r="BV49" i="4"/>
  <c r="BX49" i="10" s="1"/>
  <c r="BO23" i="4"/>
  <c r="BQ23" i="10" s="1"/>
  <c r="BV260" i="4"/>
  <c r="BX260" i="10" s="1"/>
  <c r="BO156" i="4"/>
  <c r="BQ156" i="10" s="1"/>
  <c r="BO98" i="4"/>
  <c r="BQ98" i="10" s="1"/>
  <c r="BO70" i="4"/>
  <c r="BQ70" i="10" s="1"/>
  <c r="BO324" i="4"/>
  <c r="BQ324" i="10" s="1"/>
  <c r="BV298" i="4"/>
  <c r="BX298" i="10" s="1"/>
  <c r="BO19" i="4"/>
  <c r="BQ19" i="10" s="1"/>
  <c r="BO172" i="4"/>
  <c r="BQ172" i="10" s="1"/>
  <c r="BO193" i="4"/>
  <c r="BQ193" i="10" s="1"/>
  <c r="BO44" i="4"/>
  <c r="BQ44" i="10" s="1"/>
  <c r="BV107" i="4"/>
  <c r="BX107" i="10" s="1"/>
  <c r="BO182" i="4"/>
  <c r="BQ182" i="10" s="1"/>
  <c r="BV50" i="4"/>
  <c r="BX50" i="10" s="1"/>
  <c r="BO215" i="4"/>
  <c r="BQ215" i="10" s="1"/>
  <c r="BO278" i="4"/>
  <c r="BQ278" i="10" s="1"/>
  <c r="BO289" i="4"/>
  <c r="BQ289" i="10" s="1"/>
  <c r="BO109" i="4"/>
  <c r="BQ109" i="10" s="1"/>
  <c r="BO39" i="4"/>
  <c r="BQ39" i="10" s="1"/>
  <c r="BO320" i="4"/>
  <c r="BQ320" i="10" s="1"/>
  <c r="BO126" i="4"/>
  <c r="BQ126" i="10" s="1"/>
  <c r="BO121" i="4"/>
  <c r="BQ121" i="10" s="1"/>
  <c r="BO269" i="4"/>
  <c r="BQ269" i="10" s="1"/>
  <c r="BO75" i="4"/>
  <c r="BQ75" i="10" s="1"/>
  <c r="BV131" i="4"/>
  <c r="BX131" i="10" s="1"/>
  <c r="BO128" i="4"/>
  <c r="BQ128" i="10" s="1"/>
  <c r="BO221" i="4"/>
  <c r="BQ221" i="10" s="1"/>
  <c r="BO204" i="4"/>
  <c r="BQ204" i="10" s="1"/>
  <c r="BO127" i="4"/>
  <c r="BQ127" i="10" s="1"/>
  <c r="BO337" i="4"/>
  <c r="BQ337" i="10" s="1"/>
  <c r="BO78" i="4"/>
  <c r="BQ78" i="10" s="1"/>
  <c r="BV184" i="4"/>
  <c r="BX184" i="10" s="1"/>
  <c r="BO146" i="4"/>
  <c r="BQ146" i="10" s="1"/>
  <c r="BO47" i="4"/>
  <c r="BQ47" i="10" s="1"/>
  <c r="BV216" i="4"/>
  <c r="BX216" i="10" s="1"/>
  <c r="BO227" i="4"/>
  <c r="BQ227" i="10" s="1"/>
  <c r="BO147" i="4"/>
  <c r="BQ147" i="10" s="1"/>
  <c r="BV329" i="4"/>
  <c r="BX329" i="10" s="1"/>
  <c r="BV61" i="4"/>
  <c r="BX61" i="10" s="1"/>
  <c r="BV228" i="4"/>
  <c r="BX228" i="10" s="1"/>
  <c r="BO37" i="4"/>
  <c r="BQ37" i="10" s="1"/>
  <c r="BO48" i="4"/>
  <c r="BQ48" i="10" s="1"/>
  <c r="BV284" i="4"/>
  <c r="BX284" i="10" s="1"/>
  <c r="BV161" i="4"/>
  <c r="BX161" i="10" s="1"/>
  <c r="BO91" i="4"/>
  <c r="BQ91" i="10" s="1"/>
  <c r="BO313" i="4"/>
  <c r="BQ313" i="10" s="1"/>
  <c r="BO46" i="4"/>
  <c r="BQ46" i="10" s="1"/>
  <c r="BO11" i="4"/>
  <c r="BQ11" i="10" s="1"/>
  <c r="BO240" i="4"/>
  <c r="BQ240" i="10" s="1"/>
  <c r="BV290" i="4"/>
  <c r="BX290" i="10" s="1"/>
  <c r="BO326" i="4"/>
  <c r="BQ326" i="10" s="1"/>
  <c r="BV299" i="4"/>
  <c r="BX299" i="10" s="1"/>
  <c r="BO236" i="4"/>
  <c r="BQ236" i="10" s="1"/>
  <c r="BO124" i="4"/>
  <c r="BQ124" i="10" s="1"/>
  <c r="BO297" i="4"/>
  <c r="BQ297" i="10" s="1"/>
  <c r="BO281" i="4"/>
  <c r="BQ281" i="10" s="1"/>
  <c r="BO262" i="4"/>
  <c r="BQ262" i="10" s="1"/>
  <c r="BO304" i="4"/>
  <c r="BQ304" i="10" s="1"/>
  <c r="BO9" i="4"/>
  <c r="BQ9" i="10" s="1"/>
  <c r="BO258" i="4"/>
  <c r="BQ258" i="10" s="1"/>
  <c r="BO136" i="4"/>
  <c r="BQ136" i="10" s="1"/>
  <c r="BO67" i="4"/>
  <c r="BQ67" i="10" s="1"/>
  <c r="BV17" i="4"/>
  <c r="BX17" i="10" s="1"/>
  <c r="BV81" i="4"/>
  <c r="BX81" i="10" s="1"/>
  <c r="BO307" i="4"/>
  <c r="BQ307" i="10" s="1"/>
  <c r="BV43" i="4"/>
  <c r="BX43" i="10" s="1"/>
  <c r="BO293" i="4"/>
  <c r="BQ293" i="10" s="1"/>
  <c r="BV315" i="4"/>
  <c r="BX315" i="10" s="1"/>
  <c r="BV263" i="4"/>
  <c r="BX263" i="10" s="1"/>
  <c r="BO117" i="4"/>
  <c r="BQ117" i="10" s="1"/>
  <c r="BV125" i="4"/>
  <c r="BX125" i="10" s="1"/>
  <c r="BV106" i="4"/>
  <c r="BX106" i="10" s="1"/>
  <c r="BO10" i="4"/>
  <c r="BQ10" i="10" s="1"/>
  <c r="BO42" i="4"/>
  <c r="BQ42" i="10" s="1"/>
  <c r="BO237" i="4"/>
  <c r="BQ237" i="10" s="1"/>
  <c r="BO323" i="4"/>
  <c r="BQ323" i="10" s="1"/>
  <c r="BO295" i="4"/>
  <c r="BQ295" i="10" s="1"/>
  <c r="BO188" i="4"/>
  <c r="BQ188" i="10" s="1"/>
  <c r="BV20" i="4"/>
  <c r="BX20" i="10" s="1"/>
  <c r="BO296" i="4"/>
  <c r="BQ296" i="10" s="1"/>
  <c r="BO99" i="4"/>
  <c r="BQ99" i="10" s="1"/>
  <c r="BV250" i="4"/>
  <c r="BX250" i="10" s="1"/>
  <c r="BO164" i="4"/>
  <c r="BQ164" i="10" s="1"/>
  <c r="BO268" i="4"/>
  <c r="BQ268" i="10" s="1"/>
  <c r="BO192" i="4"/>
  <c r="BQ192" i="10" s="1"/>
  <c r="BO27" i="4"/>
  <c r="BQ27" i="10" s="1"/>
  <c r="BO232" i="4"/>
  <c r="BQ232" i="10" s="1"/>
  <c r="BO166" i="4"/>
  <c r="BQ166" i="10" s="1"/>
  <c r="BW211" i="4"/>
  <c r="BY211" i="10" s="1"/>
  <c r="BV211" i="4"/>
  <c r="BX211" i="10" s="1"/>
  <c r="BO208" i="4"/>
  <c r="BQ208" i="10" s="1"/>
  <c r="BO34" i="4"/>
  <c r="BQ34" i="10" s="1"/>
  <c r="BO223" i="4"/>
  <c r="BQ223" i="10" s="1"/>
  <c r="BO151" i="4"/>
  <c r="BQ151" i="10" s="1"/>
  <c r="BO145" i="4"/>
  <c r="BQ145" i="10" s="1"/>
  <c r="BO189" i="4"/>
  <c r="BQ189" i="10" s="1"/>
  <c r="BV255" i="4"/>
  <c r="BX255" i="10" s="1"/>
  <c r="BV134" i="4"/>
  <c r="BX134" i="10" s="1"/>
  <c r="BO233" i="4"/>
  <c r="BQ233" i="10" s="1"/>
  <c r="BV15" i="4"/>
  <c r="BX15" i="10" s="1"/>
  <c r="BO51" i="4"/>
  <c r="BQ51" i="10" s="1"/>
  <c r="BO96" i="4"/>
  <c r="BQ96" i="10" s="1"/>
  <c r="BO288" i="4"/>
  <c r="BQ288" i="10" s="1"/>
  <c r="BO318" i="4"/>
  <c r="BQ318" i="10" s="1"/>
  <c r="BO73" i="4"/>
  <c r="BQ73" i="10" s="1"/>
  <c r="BO219" i="4"/>
  <c r="BQ219" i="10" s="1"/>
  <c r="BV317" i="4"/>
  <c r="BX317" i="10" s="1"/>
  <c r="BO303" i="4"/>
  <c r="BQ303" i="10" s="1"/>
  <c r="BO197" i="4"/>
  <c r="BQ197" i="10" s="1"/>
  <c r="BV142" i="4"/>
  <c r="BX142" i="10" s="1"/>
  <c r="BV341" i="4"/>
  <c r="BX341" i="10" s="1"/>
  <c r="BO12" i="4"/>
  <c r="BQ12" i="10" s="1"/>
  <c r="BO265" i="4"/>
  <c r="BQ265" i="10" s="1"/>
  <c r="BO279" i="4"/>
  <c r="BQ279" i="10" s="1"/>
  <c r="BO112" i="4"/>
  <c r="BQ112" i="10" s="1"/>
  <c r="BO29" i="4"/>
  <c r="BQ29" i="10" s="1"/>
  <c r="BO35" i="4"/>
  <c r="BQ35" i="10" s="1"/>
  <c r="BO62" i="4"/>
  <c r="BQ62" i="10" s="1"/>
  <c r="BO340" i="4"/>
  <c r="BQ340" i="10" s="1"/>
  <c r="BV111" i="4"/>
  <c r="BX111" i="10" s="1"/>
  <c r="BW111" i="4"/>
  <c r="BY111" i="10" s="1"/>
  <c r="BO170" i="4"/>
  <c r="BQ170" i="10" s="1"/>
  <c r="BO246" i="4"/>
  <c r="BQ246" i="10" s="1"/>
  <c r="BO336" i="4"/>
  <c r="BQ336" i="10" s="1"/>
  <c r="BO187" i="4"/>
  <c r="BQ187" i="10" s="1"/>
  <c r="BO8" i="4"/>
  <c r="BQ8" i="10" s="1"/>
  <c r="BO148" i="4"/>
  <c r="BQ148" i="10" s="1"/>
  <c r="BV321" i="4"/>
  <c r="BX321" i="10" s="1"/>
  <c r="BO159" i="4"/>
  <c r="BQ159" i="10" s="1"/>
  <c r="BO24" i="4"/>
  <c r="BQ24" i="10" s="1"/>
  <c r="BV165" i="4"/>
  <c r="BX165" i="10" s="1"/>
  <c r="BO252" i="4"/>
  <c r="BQ252" i="10" s="1"/>
  <c r="BO52" i="4"/>
  <c r="BQ52" i="10" s="1"/>
  <c r="BO198" i="4"/>
  <c r="BQ198" i="10" s="1"/>
  <c r="BO271" i="4"/>
  <c r="BQ271" i="10" s="1"/>
  <c r="BV88" i="4"/>
  <c r="BX88" i="10" s="1"/>
  <c r="BO154" i="4"/>
  <c r="BQ154" i="10" s="1"/>
  <c r="BV247" i="4"/>
  <c r="BX247" i="10" s="1"/>
  <c r="BV256" i="4"/>
  <c r="BX256" i="10" s="1"/>
  <c r="BO26" i="4"/>
  <c r="BQ26" i="10" s="1"/>
  <c r="BO85" i="4"/>
  <c r="BQ85" i="10" s="1"/>
  <c r="BO55" i="4"/>
  <c r="BQ55" i="10" s="1"/>
  <c r="BO254" i="4"/>
  <c r="BQ254" i="10" s="1"/>
  <c r="BO331" i="4"/>
  <c r="BQ331" i="10" s="1"/>
  <c r="BO155" i="4"/>
  <c r="BQ155" i="10" s="1"/>
  <c r="BO275" i="4"/>
  <c r="BQ275" i="10" s="1"/>
  <c r="BO53" i="4"/>
  <c r="BQ53" i="10" s="1"/>
  <c r="BO104" i="4"/>
  <c r="BQ104" i="10" s="1"/>
  <c r="BV194" i="4"/>
  <c r="BX194" i="10" s="1"/>
  <c r="BV33" i="4"/>
  <c r="BX33" i="10" s="1"/>
  <c r="BO316" i="4"/>
  <c r="BQ316" i="10" s="1"/>
  <c r="BO114" i="4"/>
  <c r="BQ114" i="10" s="1"/>
  <c r="BO241" i="4"/>
  <c r="BQ241" i="10" s="1"/>
  <c r="BO79" i="4"/>
  <c r="BQ79" i="10" s="1"/>
  <c r="BO59" i="4"/>
  <c r="BQ59" i="10" s="1"/>
  <c r="BO230" i="4"/>
  <c r="BQ230" i="10" s="1"/>
  <c r="BO64" i="4"/>
  <c r="BQ64" i="10" s="1"/>
  <c r="BO57" i="4"/>
  <c r="BQ57" i="10" s="1"/>
  <c r="BV72" i="4"/>
  <c r="BX72" i="10" s="1"/>
  <c r="BO277" i="4"/>
  <c r="BQ277" i="10" s="1"/>
  <c r="BO71" i="4"/>
  <c r="BQ71" i="10" s="1"/>
  <c r="BO224" i="4"/>
  <c r="BQ224" i="10" s="1"/>
  <c r="BV201" i="4"/>
  <c r="BX201" i="10" s="1"/>
  <c r="BO266" i="4"/>
  <c r="BQ266" i="10" s="1"/>
  <c r="BO130" i="4"/>
  <c r="BQ130" i="10" s="1"/>
  <c r="BO5" i="4"/>
  <c r="BQ5" i="10" s="1"/>
  <c r="BV103" i="4"/>
  <c r="BX103" i="10" s="1"/>
  <c r="BW103" i="4"/>
  <c r="BY103" i="10" s="1"/>
  <c r="BO195" i="4"/>
  <c r="BQ195" i="10" s="1"/>
  <c r="BV231" i="4"/>
  <c r="BX231" i="10" s="1"/>
  <c r="BO137" i="4"/>
  <c r="BQ137" i="10" s="1"/>
  <c r="BO210" i="4"/>
  <c r="BQ210" i="10" s="1"/>
  <c r="BO245" i="4"/>
  <c r="BQ245" i="10" s="1"/>
  <c r="BO306" i="4"/>
  <c r="BQ306" i="10" s="1"/>
  <c r="BO248" i="4"/>
  <c r="BQ248" i="10" s="1"/>
  <c r="BO292" i="4"/>
  <c r="BQ292" i="10" s="1"/>
  <c r="BO87" i="4"/>
  <c r="BQ87" i="10" s="1"/>
  <c r="BO110" i="4"/>
  <c r="BQ110" i="10" s="1"/>
  <c r="BV123" i="4"/>
  <c r="BX123" i="10" s="1"/>
  <c r="BO21" i="4"/>
  <c r="BQ21" i="10" s="1"/>
  <c r="BV69" i="4"/>
  <c r="BX69" i="10" s="1"/>
  <c r="BO167" i="4"/>
  <c r="BQ167" i="10" s="1"/>
  <c r="BO133" i="4"/>
  <c r="BQ133" i="10" s="1"/>
  <c r="BO177" i="4"/>
  <c r="BQ177" i="10" s="1"/>
  <c r="BO168" i="4"/>
  <c r="BQ168" i="10" s="1"/>
  <c r="BO6" i="4"/>
  <c r="BQ6" i="10" s="1"/>
  <c r="BV18" i="4"/>
  <c r="BX18" i="10" s="1"/>
  <c r="BO132" i="4"/>
  <c r="BQ132" i="10" s="1"/>
  <c r="BV286" i="4"/>
  <c r="BX286" i="10" s="1"/>
  <c r="BO176" i="4"/>
  <c r="BQ176" i="10" s="1"/>
  <c r="BO259" i="4"/>
  <c r="BQ259" i="10" s="1"/>
  <c r="BO143" i="4"/>
  <c r="BQ143" i="10" s="1"/>
  <c r="BO77" i="4"/>
  <c r="BQ77" i="10" s="1"/>
  <c r="BO338" i="4"/>
  <c r="BQ338" i="10" s="1"/>
  <c r="BV238" i="4"/>
  <c r="BX238" i="10" s="1"/>
  <c r="BO152" i="4"/>
  <c r="BQ152" i="10" s="1"/>
  <c r="BV214" i="4"/>
  <c r="BX214" i="10" s="1"/>
  <c r="BV339" i="4"/>
  <c r="BX339" i="10" s="1"/>
  <c r="BO129" i="4"/>
  <c r="BQ129" i="10" s="1"/>
  <c r="BO287" i="4"/>
  <c r="BQ287" i="10" s="1"/>
  <c r="BO135" i="4"/>
  <c r="BQ135" i="10" s="1"/>
  <c r="BO328" i="4"/>
  <c r="BQ328" i="10" s="1"/>
  <c r="BO282" i="4"/>
  <c r="BQ282" i="10" s="1"/>
  <c r="BO66" i="4"/>
  <c r="BQ66" i="10" s="1"/>
  <c r="BO119" i="4"/>
  <c r="BQ119" i="10" s="1"/>
  <c r="BO149" i="4"/>
  <c r="BQ149" i="10" s="1"/>
  <c r="BO335" i="4"/>
  <c r="BQ335" i="10" s="1"/>
  <c r="BV122" i="4"/>
  <c r="BX122" i="10" s="1"/>
  <c r="BO38" i="4"/>
  <c r="BQ38" i="10" s="1"/>
  <c r="BO160" i="4"/>
  <c r="BQ160" i="10" s="1"/>
  <c r="BO239" i="4"/>
  <c r="BQ239" i="10" s="1"/>
  <c r="BO205" i="4"/>
  <c r="BQ205" i="10" s="1"/>
  <c r="BO261" i="4"/>
  <c r="BQ261" i="10" s="1"/>
  <c r="BO249" i="4"/>
  <c r="BQ249" i="10" s="1"/>
  <c r="BV294" i="4"/>
  <c r="BX294" i="10" s="1"/>
  <c r="BO207" i="4"/>
  <c r="BQ207" i="10" s="1"/>
  <c r="BO31" i="4"/>
  <c r="BQ31" i="10" s="1"/>
  <c r="BO202" i="4"/>
  <c r="BQ202" i="10" s="1"/>
  <c r="BO45" i="4"/>
  <c r="BQ45" i="10" s="1"/>
  <c r="BO80" i="4"/>
  <c r="BQ80" i="10" s="1"/>
  <c r="BO300" i="4"/>
  <c r="BQ300" i="10" s="1"/>
  <c r="BV251" i="4"/>
  <c r="BX251" i="10" s="1"/>
  <c r="BO185" i="4"/>
  <c r="BQ185" i="10" s="1"/>
  <c r="BO41" i="4"/>
  <c r="BQ41" i="10" s="1"/>
  <c r="BV74" i="4"/>
  <c r="BX74" i="10" s="1"/>
  <c r="BO209" i="4"/>
  <c r="BQ209" i="10" s="1"/>
  <c r="BO310" i="4"/>
  <c r="BQ310" i="10" s="1"/>
  <c r="E31" i="6"/>
  <c r="E39" i="6"/>
  <c r="E76" i="6"/>
  <c r="E63" i="6"/>
  <c r="E66" i="6"/>
  <c r="E29" i="6"/>
  <c r="E28" i="6"/>
  <c r="E80" i="6"/>
  <c r="E75" i="6"/>
  <c r="E122" i="6"/>
  <c r="E65" i="6"/>
  <c r="E68" i="6"/>
  <c r="E33" i="6"/>
  <c r="E27" i="6"/>
  <c r="E38" i="6"/>
  <c r="E79" i="6"/>
  <c r="E37" i="6"/>
  <c r="E78" i="6"/>
  <c r="E77" i="6"/>
  <c r="E32" i="6"/>
  <c r="E40" i="6"/>
  <c r="E69" i="6"/>
  <c r="E67" i="6"/>
  <c r="E64" i="6"/>
  <c r="E30" i="6"/>
  <c r="C111" i="6" a="1"/>
  <c r="BW88" i="4" l="1"/>
  <c r="BY88" i="10" s="1"/>
  <c r="BW106" i="4"/>
  <c r="BY106" i="10" s="1"/>
  <c r="BW92" i="4"/>
  <c r="BW214" i="4"/>
  <c r="BW20" i="4"/>
  <c r="BY20" i="10" s="1"/>
  <c r="BX302" i="4"/>
  <c r="BY302" i="10"/>
  <c r="BW251" i="4"/>
  <c r="BY251" i="10" s="1"/>
  <c r="BW272" i="4"/>
  <c r="BY272" i="10" s="1"/>
  <c r="BW299" i="4"/>
  <c r="BY299" i="10" s="1"/>
  <c r="BW161" i="4"/>
  <c r="BY161" i="10" s="1"/>
  <c r="BW341" i="4"/>
  <c r="BY341" i="10" s="1"/>
  <c r="BW125" i="4"/>
  <c r="BY125" i="10" s="1"/>
  <c r="BW171" i="4"/>
  <c r="BY171" i="10" s="1"/>
  <c r="BW61" i="4"/>
  <c r="BY61" i="10" s="1"/>
  <c r="BW184" i="4"/>
  <c r="BY184" i="10" s="1"/>
  <c r="BW122" i="4"/>
  <c r="BY122" i="10" s="1"/>
  <c r="BW15" i="4"/>
  <c r="BY15" i="10" s="1"/>
  <c r="BW250" i="4"/>
  <c r="BY250" i="10" s="1"/>
  <c r="BW43" i="4"/>
  <c r="BY43" i="10" s="1"/>
  <c r="BW228" i="4"/>
  <c r="BY228" i="10" s="1"/>
  <c r="BW329" i="4"/>
  <c r="BY329" i="10" s="1"/>
  <c r="BW49" i="4"/>
  <c r="BY49" i="10" s="1"/>
  <c r="BW179" i="4"/>
  <c r="BY179" i="10" s="1"/>
  <c r="BW36" i="4"/>
  <c r="BY36" i="10" s="1"/>
  <c r="BW225" i="4"/>
  <c r="BY225" i="10" s="1"/>
  <c r="BW321" i="4"/>
  <c r="BY321" i="10" s="1"/>
  <c r="BW315" i="4"/>
  <c r="BY315" i="10" s="1"/>
  <c r="BW40" i="4"/>
  <c r="BY40" i="10" s="1"/>
  <c r="BW69" i="4"/>
  <c r="BY69" i="10" s="1"/>
  <c r="BW231" i="4"/>
  <c r="BY231" i="10" s="1"/>
  <c r="BW201" i="4"/>
  <c r="BY201" i="10" s="1"/>
  <c r="BW165" i="4"/>
  <c r="BY165" i="10" s="1"/>
  <c r="BW134" i="4"/>
  <c r="BY134" i="10" s="1"/>
  <c r="BW257" i="4"/>
  <c r="BY257" i="10" s="1"/>
  <c r="BW311" i="4"/>
  <c r="BY311" i="10" s="1"/>
  <c r="BW158" i="4"/>
  <c r="BY158" i="10" s="1"/>
  <c r="C111" i="6"/>
  <c r="E111" i="6" s="1"/>
  <c r="BV80" i="4"/>
  <c r="BX80" i="10" s="1"/>
  <c r="BV31" i="4"/>
  <c r="BX31" i="10" s="1"/>
  <c r="BW294" i="4"/>
  <c r="BY294" i="10" s="1"/>
  <c r="BV149" i="4"/>
  <c r="BX149" i="10" s="1"/>
  <c r="BV282" i="4"/>
  <c r="BX282" i="10" s="1"/>
  <c r="BV287" i="4"/>
  <c r="BX287" i="10" s="1"/>
  <c r="BW339" i="4"/>
  <c r="BY339" i="10" s="1"/>
  <c r="BV224" i="4"/>
  <c r="BX224" i="10" s="1"/>
  <c r="BW194" i="4"/>
  <c r="BY194" i="10" s="1"/>
  <c r="BW247" i="4"/>
  <c r="BY247" i="10" s="1"/>
  <c r="BV271" i="4"/>
  <c r="BX271" i="10" s="1"/>
  <c r="BV252" i="4"/>
  <c r="BX252" i="10" s="1"/>
  <c r="BV148" i="4"/>
  <c r="BX148" i="10" s="1"/>
  <c r="BV336" i="4"/>
  <c r="BX336" i="10" s="1"/>
  <c r="BW142" i="4"/>
  <c r="BY142" i="10" s="1"/>
  <c r="BW317" i="4"/>
  <c r="BY317" i="10" s="1"/>
  <c r="BV318" i="4"/>
  <c r="BX318" i="10" s="1"/>
  <c r="BV51" i="4"/>
  <c r="BX51" i="10" s="1"/>
  <c r="BW255" i="4"/>
  <c r="BY255" i="10" s="1"/>
  <c r="BV232" i="4"/>
  <c r="BX232" i="10" s="1"/>
  <c r="BV268" i="4"/>
  <c r="BX268" i="10" s="1"/>
  <c r="BV323" i="4"/>
  <c r="BX323" i="10" s="1"/>
  <c r="BW10" i="4"/>
  <c r="BY10" i="10" s="1"/>
  <c r="BV10" i="4"/>
  <c r="BX10" i="10" s="1"/>
  <c r="BW263" i="4"/>
  <c r="BY263" i="10" s="1"/>
  <c r="BW81" i="4"/>
  <c r="BY81" i="10" s="1"/>
  <c r="BW284" i="4"/>
  <c r="BY284" i="10" s="1"/>
  <c r="BV337" i="4"/>
  <c r="BX337" i="10" s="1"/>
  <c r="BV221" i="4"/>
  <c r="BX221" i="10" s="1"/>
  <c r="BW131" i="4"/>
  <c r="BY131" i="10" s="1"/>
  <c r="BV182" i="4"/>
  <c r="BX182" i="10" s="1"/>
  <c r="BV70" i="4"/>
  <c r="BX70" i="10" s="1"/>
  <c r="BW89" i="4"/>
  <c r="BY89" i="10" s="1"/>
  <c r="BV270" i="4"/>
  <c r="BX270" i="10" s="1"/>
  <c r="BW90" i="4"/>
  <c r="BY90" i="10" s="1"/>
  <c r="BW206" i="4"/>
  <c r="BY206" i="10" s="1"/>
  <c r="BV280" i="4"/>
  <c r="BX280" i="10" s="1"/>
  <c r="BW305" i="4"/>
  <c r="BY305" i="10" s="1"/>
  <c r="BW330" i="4"/>
  <c r="BY330" i="10" s="1"/>
  <c r="BV68" i="4"/>
  <c r="BX68" i="10" s="1"/>
  <c r="BW120" i="4"/>
  <c r="BY120" i="10" s="1"/>
  <c r="BV93" i="4"/>
  <c r="BX93" i="10" s="1"/>
  <c r="BW249" i="4"/>
  <c r="BY249" i="10" s="1"/>
  <c r="BV249" i="4"/>
  <c r="BX249" i="10" s="1"/>
  <c r="BV239" i="4"/>
  <c r="BX239" i="10" s="1"/>
  <c r="BV143" i="4"/>
  <c r="BX143" i="10" s="1"/>
  <c r="BV177" i="4"/>
  <c r="BX177" i="10" s="1"/>
  <c r="BV292" i="4"/>
  <c r="BX292" i="10" s="1"/>
  <c r="BV245" i="4"/>
  <c r="BX245" i="10" s="1"/>
  <c r="BX103" i="4"/>
  <c r="BZ103" i="10" s="1"/>
  <c r="CA103" i="10" s="1"/>
  <c r="BV266" i="4"/>
  <c r="BX266" i="10" s="1"/>
  <c r="BV230" i="4"/>
  <c r="BX230" i="10" s="1"/>
  <c r="BV241" i="4"/>
  <c r="BX241" i="10" s="1"/>
  <c r="BV104" i="4"/>
  <c r="BX104" i="10" s="1"/>
  <c r="BV155" i="4"/>
  <c r="BX155" i="10" s="1"/>
  <c r="BV55" i="4"/>
  <c r="BX55" i="10" s="1"/>
  <c r="BV154" i="4"/>
  <c r="BX154" i="10" s="1"/>
  <c r="BV159" i="4"/>
  <c r="BX159" i="10" s="1"/>
  <c r="BX111" i="4"/>
  <c r="BZ111" i="10" s="1"/>
  <c r="CA111" i="10" s="1"/>
  <c r="BV35" i="4"/>
  <c r="BX35" i="10" s="1"/>
  <c r="BV279" i="4"/>
  <c r="BX279" i="10" s="1"/>
  <c r="BV197" i="4"/>
  <c r="BX197" i="10" s="1"/>
  <c r="BV189" i="4"/>
  <c r="BX189" i="10" s="1"/>
  <c r="BV223" i="4"/>
  <c r="BX223" i="10" s="1"/>
  <c r="BV99" i="4"/>
  <c r="BX99" i="10" s="1"/>
  <c r="BX20" i="4"/>
  <c r="BZ20" i="10" s="1"/>
  <c r="CA20" i="10" s="1"/>
  <c r="BX125" i="4"/>
  <c r="BZ125" i="10" s="1"/>
  <c r="CA125" i="10" s="1"/>
  <c r="BV136" i="4"/>
  <c r="BX136" i="10" s="1"/>
  <c r="BV304" i="4"/>
  <c r="BX304" i="10" s="1"/>
  <c r="BV297" i="4"/>
  <c r="BX297" i="10" s="1"/>
  <c r="BV46" i="4"/>
  <c r="BX46" i="10" s="1"/>
  <c r="BV48" i="4"/>
  <c r="BX48" i="10" s="1"/>
  <c r="BX228" i="4"/>
  <c r="BZ228" i="10" s="1"/>
  <c r="CA228" i="10" s="1"/>
  <c r="BV75" i="4"/>
  <c r="BX75" i="10" s="1"/>
  <c r="BV126" i="4"/>
  <c r="BX126" i="10" s="1"/>
  <c r="BV109" i="4"/>
  <c r="BX109" i="10" s="1"/>
  <c r="BV215" i="4"/>
  <c r="BX215" i="10" s="1"/>
  <c r="BV193" i="4"/>
  <c r="BX193" i="10" s="1"/>
  <c r="BV319" i="4"/>
  <c r="BX319" i="10" s="1"/>
  <c r="BW139" i="4"/>
  <c r="BY139" i="10" s="1"/>
  <c r="BX175" i="4"/>
  <c r="BZ175" i="10" s="1"/>
  <c r="CA175" i="10" s="1"/>
  <c r="BV113" i="4"/>
  <c r="BX113" i="10" s="1"/>
  <c r="BV100" i="4"/>
  <c r="BX100" i="10" s="1"/>
  <c r="BX179" i="4"/>
  <c r="BV95" i="4"/>
  <c r="BX95" i="10" s="1"/>
  <c r="BV213" i="4"/>
  <c r="BX213" i="10" s="1"/>
  <c r="BV83" i="4"/>
  <c r="BX83" i="10" s="1"/>
  <c r="BV25" i="4"/>
  <c r="BX25" i="10" s="1"/>
  <c r="BX56" i="4"/>
  <c r="BZ56" i="10" s="1"/>
  <c r="CA56" i="10" s="1"/>
  <c r="BV162" i="4"/>
  <c r="BX162" i="10" s="1"/>
  <c r="BV244" i="4"/>
  <c r="BX244" i="10" s="1"/>
  <c r="BX36" i="4"/>
  <c r="BZ36" i="10" s="1"/>
  <c r="CA36" i="10" s="1"/>
  <c r="BX257" i="4"/>
  <c r="BZ257" i="10" s="1"/>
  <c r="CA257" i="10" s="1"/>
  <c r="BV163" i="4"/>
  <c r="BX163" i="10" s="1"/>
  <c r="BV102" i="4"/>
  <c r="BX102" i="10" s="1"/>
  <c r="BV108" i="4"/>
  <c r="BX108" i="10" s="1"/>
  <c r="BV190" i="4"/>
  <c r="BX190" i="10" s="1"/>
  <c r="BV7" i="4"/>
  <c r="BX7" i="10" s="1"/>
  <c r="BV212" i="4"/>
  <c r="BX212" i="10" s="1"/>
  <c r="BV60" i="4"/>
  <c r="BX60" i="10" s="1"/>
  <c r="BV200" i="4"/>
  <c r="BX200" i="10" s="1"/>
  <c r="BV276" i="4"/>
  <c r="BX276" i="10" s="1"/>
  <c r="BV144" i="4"/>
  <c r="BX144" i="10" s="1"/>
  <c r="BV217" i="4"/>
  <c r="BX217" i="10" s="1"/>
  <c r="BV174" i="4"/>
  <c r="BX174" i="10" s="1"/>
  <c r="BV186" i="4"/>
  <c r="BX186" i="10" s="1"/>
  <c r="BV310" i="4"/>
  <c r="BX310" i="10" s="1"/>
  <c r="BW74" i="4"/>
  <c r="BY74" i="10" s="1"/>
  <c r="BV45" i="4"/>
  <c r="BX45" i="10" s="1"/>
  <c r="BV207" i="4"/>
  <c r="BX207" i="10" s="1"/>
  <c r="BV119" i="4"/>
  <c r="BX119" i="10" s="1"/>
  <c r="BV328" i="4"/>
  <c r="BX328" i="10" s="1"/>
  <c r="BV129" i="4"/>
  <c r="BX129" i="10" s="1"/>
  <c r="BW238" i="4"/>
  <c r="BY238" i="10" s="1"/>
  <c r="BW286" i="4"/>
  <c r="BY286" i="10" s="1"/>
  <c r="BW18" i="4"/>
  <c r="BY18" i="10" s="1"/>
  <c r="BW123" i="4"/>
  <c r="BY123" i="10" s="1"/>
  <c r="BV71" i="4"/>
  <c r="BX71" i="10" s="1"/>
  <c r="BW72" i="4"/>
  <c r="BY72" i="10" s="1"/>
  <c r="BW33" i="4"/>
  <c r="BY33" i="10" s="1"/>
  <c r="BW256" i="4"/>
  <c r="BY256" i="10" s="1"/>
  <c r="BV198" i="4"/>
  <c r="BX198" i="10" s="1"/>
  <c r="BV8" i="4"/>
  <c r="BX8" i="10" s="1"/>
  <c r="BV246" i="4"/>
  <c r="BX246" i="10" s="1"/>
  <c r="BV219" i="4"/>
  <c r="BX219" i="10" s="1"/>
  <c r="BV288" i="4"/>
  <c r="BX288" i="10" s="1"/>
  <c r="BV27" i="4"/>
  <c r="BX27" i="10" s="1"/>
  <c r="BV164" i="4"/>
  <c r="BX164" i="10" s="1"/>
  <c r="BV188" i="4"/>
  <c r="BX188" i="10" s="1"/>
  <c r="BV237" i="4"/>
  <c r="BX237" i="10" s="1"/>
  <c r="BV117" i="4"/>
  <c r="BX117" i="10" s="1"/>
  <c r="BW290" i="4"/>
  <c r="BY290" i="10" s="1"/>
  <c r="BV147" i="4"/>
  <c r="BX147" i="10" s="1"/>
  <c r="BW216" i="4"/>
  <c r="BY216" i="10" s="1"/>
  <c r="BV127" i="4"/>
  <c r="BX127" i="10" s="1"/>
  <c r="BV128" i="4"/>
  <c r="BX128" i="10" s="1"/>
  <c r="BW298" i="4"/>
  <c r="BY298" i="10" s="1"/>
  <c r="BV98" i="4"/>
  <c r="BX98" i="10" s="1"/>
  <c r="BW260" i="4"/>
  <c r="BY260" i="10" s="1"/>
  <c r="BV13" i="4"/>
  <c r="BX13" i="10" s="1"/>
  <c r="BV28" i="4"/>
  <c r="BX28" i="10" s="1"/>
  <c r="BV30" i="4"/>
  <c r="BX30" i="10" s="1"/>
  <c r="BV218" i="4"/>
  <c r="BX218" i="10" s="1"/>
  <c r="BW267" i="4"/>
  <c r="BY267" i="10" s="1"/>
  <c r="BX171" i="4"/>
  <c r="BZ171" i="10" s="1"/>
  <c r="CA171" i="10" s="1"/>
  <c r="BV234" i="4"/>
  <c r="BX234" i="10" s="1"/>
  <c r="BV82" i="4"/>
  <c r="BX82" i="10" s="1"/>
  <c r="BV150" i="4"/>
  <c r="BX150" i="10" s="1"/>
  <c r="BW169" i="4"/>
  <c r="BY169" i="10" s="1"/>
  <c r="BV242" i="4"/>
  <c r="BX242" i="10" s="1"/>
  <c r="BV41" i="4"/>
  <c r="BX41" i="10" s="1"/>
  <c r="BV261" i="4"/>
  <c r="BX261" i="10" s="1"/>
  <c r="BV160" i="4"/>
  <c r="BX160" i="10" s="1"/>
  <c r="BV338" i="4"/>
  <c r="BX338" i="10" s="1"/>
  <c r="BV259" i="4"/>
  <c r="BX259" i="10" s="1"/>
  <c r="BV6" i="4"/>
  <c r="BX6" i="10" s="1"/>
  <c r="BV133" i="4"/>
  <c r="BX133" i="10" s="1"/>
  <c r="BV110" i="4"/>
  <c r="BX110" i="10" s="1"/>
  <c r="BV248" i="4"/>
  <c r="BX248" i="10" s="1"/>
  <c r="BV210" i="4"/>
  <c r="BX210" i="10" s="1"/>
  <c r="BV5" i="4"/>
  <c r="BX5" i="10" s="1"/>
  <c r="BV57" i="4"/>
  <c r="BX57" i="10" s="1"/>
  <c r="BV59" i="4"/>
  <c r="BX59" i="10" s="1"/>
  <c r="BV114" i="4"/>
  <c r="BX114" i="10" s="1"/>
  <c r="BV53" i="4"/>
  <c r="BX53" i="10" s="1"/>
  <c r="BW53" i="4"/>
  <c r="BY53" i="10" s="1"/>
  <c r="BV331" i="4"/>
  <c r="BX331" i="10" s="1"/>
  <c r="BV85" i="4"/>
  <c r="BX85" i="10" s="1"/>
  <c r="BV340" i="4"/>
  <c r="BX340" i="10" s="1"/>
  <c r="BV29" i="4"/>
  <c r="BX29" i="10" s="1"/>
  <c r="BV265" i="4"/>
  <c r="BX265" i="10" s="1"/>
  <c r="BX341" i="4"/>
  <c r="BZ341" i="10" s="1"/>
  <c r="CA341" i="10" s="1"/>
  <c r="BV303" i="4"/>
  <c r="BX303" i="10" s="1"/>
  <c r="BV145" i="4"/>
  <c r="BX145" i="10" s="1"/>
  <c r="BV34" i="4"/>
  <c r="BX34" i="10" s="1"/>
  <c r="BX211" i="4"/>
  <c r="BZ211" i="10" s="1"/>
  <c r="CA211" i="10" s="1"/>
  <c r="BV296" i="4"/>
  <c r="BX296" i="10" s="1"/>
  <c r="BX315" i="4"/>
  <c r="BZ315" i="10" s="1"/>
  <c r="CA315" i="10" s="1"/>
  <c r="BV307" i="4"/>
  <c r="BX307" i="10" s="1"/>
  <c r="BW17" i="4"/>
  <c r="BY17" i="10" s="1"/>
  <c r="BV258" i="4"/>
  <c r="BX258" i="10" s="1"/>
  <c r="BV262" i="4"/>
  <c r="BX262" i="10" s="1"/>
  <c r="BV124" i="4"/>
  <c r="BX124" i="10" s="1"/>
  <c r="BX299" i="4"/>
  <c r="BZ299" i="10" s="1"/>
  <c r="CA299" i="10" s="1"/>
  <c r="BV240" i="4"/>
  <c r="BX240" i="10" s="1"/>
  <c r="BV313" i="4"/>
  <c r="BX313" i="10" s="1"/>
  <c r="BX161" i="4"/>
  <c r="BZ161" i="10" s="1"/>
  <c r="CA161" i="10" s="1"/>
  <c r="BV37" i="4"/>
  <c r="BX37" i="10" s="1"/>
  <c r="BV47" i="4"/>
  <c r="BX47" i="10" s="1"/>
  <c r="BX184" i="4"/>
  <c r="BZ184" i="10" s="1"/>
  <c r="CA184" i="10" s="1"/>
  <c r="BV269" i="4"/>
  <c r="BX269" i="10" s="1"/>
  <c r="BV320" i="4"/>
  <c r="BX320" i="10" s="1"/>
  <c r="BV289" i="4"/>
  <c r="BX289" i="10" s="1"/>
  <c r="BV172" i="4"/>
  <c r="BX172" i="10" s="1"/>
  <c r="BV23" i="4"/>
  <c r="BX23" i="10" s="1"/>
  <c r="BV58" i="4"/>
  <c r="BX58" i="10" s="1"/>
  <c r="BV222" i="4"/>
  <c r="BX222" i="10" s="1"/>
  <c r="BV101" i="4"/>
  <c r="BX101" i="10" s="1"/>
  <c r="BV332" i="4"/>
  <c r="BX332" i="10" s="1"/>
  <c r="BV191" i="4"/>
  <c r="BX191" i="10" s="1"/>
  <c r="BV199" i="4"/>
  <c r="BX199" i="10" s="1"/>
  <c r="BV173" i="4"/>
  <c r="BX173" i="10" s="1"/>
  <c r="BV203" i="4"/>
  <c r="BX203" i="10" s="1"/>
  <c r="BV65" i="4"/>
  <c r="BX65" i="10" s="1"/>
  <c r="BW273" i="4"/>
  <c r="BY273" i="10" s="1"/>
  <c r="BV16" i="4"/>
  <c r="BX16" i="10" s="1"/>
  <c r="BV334" i="4"/>
  <c r="BX334" i="10" s="1"/>
  <c r="BV309" i="4"/>
  <c r="BX309" i="10" s="1"/>
  <c r="BW253" i="4"/>
  <c r="BY253" i="10" s="1"/>
  <c r="BV253" i="4"/>
  <c r="BX253" i="10" s="1"/>
  <c r="BV97" i="4"/>
  <c r="BX97" i="10" s="1"/>
  <c r="BW32" i="4"/>
  <c r="BY32" i="10" s="1"/>
  <c r="BV178" i="4"/>
  <c r="BX178" i="10" s="1"/>
  <c r="BV229" i="4"/>
  <c r="BX229" i="10" s="1"/>
  <c r="BV312" i="4"/>
  <c r="BX312" i="10" s="1"/>
  <c r="BW291" i="4"/>
  <c r="BY291" i="10" s="1"/>
  <c r="BV235" i="4"/>
  <c r="BX235" i="10" s="1"/>
  <c r="BV183" i="4"/>
  <c r="BX183" i="10" s="1"/>
  <c r="BV54" i="4"/>
  <c r="BX54" i="10" s="1"/>
  <c r="BW283" i="4"/>
  <c r="BY283" i="10" s="1"/>
  <c r="BV118" i="4"/>
  <c r="BX118" i="10" s="1"/>
  <c r="BV76" i="4"/>
  <c r="BX76" i="10" s="1"/>
  <c r="BV308" i="4"/>
  <c r="BX308" i="10" s="1"/>
  <c r="BW274" i="4"/>
  <c r="BY274" i="10" s="1"/>
  <c r="BV209" i="4"/>
  <c r="BX209" i="10" s="1"/>
  <c r="BV300" i="4"/>
  <c r="BX300" i="10" s="1"/>
  <c r="BV202" i="4"/>
  <c r="BX202" i="10" s="1"/>
  <c r="BV335" i="4"/>
  <c r="BX335" i="10" s="1"/>
  <c r="BV66" i="4"/>
  <c r="BX66" i="10" s="1"/>
  <c r="BV135" i="4"/>
  <c r="BX135" i="10" s="1"/>
  <c r="BV152" i="4"/>
  <c r="BX152" i="10" s="1"/>
  <c r="BV132" i="4"/>
  <c r="BX132" i="10" s="1"/>
  <c r="BV21" i="4"/>
  <c r="BX21" i="10" s="1"/>
  <c r="BV195" i="4"/>
  <c r="BX195" i="10" s="1"/>
  <c r="BV277" i="4"/>
  <c r="BX277" i="10" s="1"/>
  <c r="BV52" i="4"/>
  <c r="BX52" i="10" s="1"/>
  <c r="BV187" i="4"/>
  <c r="BX187" i="10" s="1"/>
  <c r="BV170" i="4"/>
  <c r="BX170" i="10" s="1"/>
  <c r="BV73" i="4"/>
  <c r="BX73" i="10" s="1"/>
  <c r="BV96" i="4"/>
  <c r="BX96" i="10" s="1"/>
  <c r="BX15" i="4"/>
  <c r="BZ15" i="10" s="1"/>
  <c r="CA15" i="10" s="1"/>
  <c r="BV166" i="4"/>
  <c r="BX166" i="10" s="1"/>
  <c r="BV192" i="4"/>
  <c r="BX192" i="10" s="1"/>
  <c r="BV295" i="4"/>
  <c r="BX295" i="10" s="1"/>
  <c r="BV42" i="4"/>
  <c r="BX42" i="10" s="1"/>
  <c r="BX106" i="4"/>
  <c r="BZ106" i="10" s="1"/>
  <c r="CA106" i="10" s="1"/>
  <c r="BV293" i="4"/>
  <c r="BX293" i="10" s="1"/>
  <c r="BV326" i="4"/>
  <c r="BX326" i="10" s="1"/>
  <c r="BV227" i="4"/>
  <c r="BX227" i="10" s="1"/>
  <c r="BV78" i="4"/>
  <c r="BX78" i="10" s="1"/>
  <c r="BV204" i="4"/>
  <c r="BX204" i="10" s="1"/>
  <c r="BW50" i="4"/>
  <c r="BY50" i="10" s="1"/>
  <c r="BW107" i="4"/>
  <c r="BY107" i="10" s="1"/>
  <c r="BV324" i="4"/>
  <c r="BX324" i="10" s="1"/>
  <c r="BV156" i="4"/>
  <c r="BX156" i="10" s="1"/>
  <c r="BV84" i="4"/>
  <c r="BX84" i="10" s="1"/>
  <c r="BV94" i="4"/>
  <c r="BX94" i="10" s="1"/>
  <c r="BV180" i="4"/>
  <c r="BX180" i="10" s="1"/>
  <c r="BX311" i="4"/>
  <c r="BZ311" i="10" s="1"/>
  <c r="CA311" i="10" s="1"/>
  <c r="BV243" i="4"/>
  <c r="BX243" i="10" s="1"/>
  <c r="BV301" i="4"/>
  <c r="BX301" i="10" s="1"/>
  <c r="BW63" i="4"/>
  <c r="BY63" i="10" s="1"/>
  <c r="BW14" i="4"/>
  <c r="BY14" i="10" s="1"/>
  <c r="BV181" i="4"/>
  <c r="BX181" i="10" s="1"/>
  <c r="BV185" i="4"/>
  <c r="BX185" i="10" s="1"/>
  <c r="BV205" i="4"/>
  <c r="BX205" i="10" s="1"/>
  <c r="BV38" i="4"/>
  <c r="BX38" i="10" s="1"/>
  <c r="BV77" i="4"/>
  <c r="BX77" i="10" s="1"/>
  <c r="BV176" i="4"/>
  <c r="BX176" i="10" s="1"/>
  <c r="BV168" i="4"/>
  <c r="BX168" i="10" s="1"/>
  <c r="BV167" i="4"/>
  <c r="BX167" i="10" s="1"/>
  <c r="BV87" i="4"/>
  <c r="BX87" i="10" s="1"/>
  <c r="BV306" i="4"/>
  <c r="BX306" i="10" s="1"/>
  <c r="BV137" i="4"/>
  <c r="BX137" i="10" s="1"/>
  <c r="BV130" i="4"/>
  <c r="BX130" i="10" s="1"/>
  <c r="BV64" i="4"/>
  <c r="BX64" i="10" s="1"/>
  <c r="BV79" i="4"/>
  <c r="BX79" i="10" s="1"/>
  <c r="BV316" i="4"/>
  <c r="BX316" i="10" s="1"/>
  <c r="BV275" i="4"/>
  <c r="BX275" i="10" s="1"/>
  <c r="BV254" i="4"/>
  <c r="BX254" i="10" s="1"/>
  <c r="BV26" i="4"/>
  <c r="BX26" i="10" s="1"/>
  <c r="BX88" i="4"/>
  <c r="BZ88" i="10" s="1"/>
  <c r="CA88" i="10" s="1"/>
  <c r="BV24" i="4"/>
  <c r="BX24" i="10" s="1"/>
  <c r="BV62" i="4"/>
  <c r="BX62" i="10" s="1"/>
  <c r="BV112" i="4"/>
  <c r="BX112" i="10" s="1"/>
  <c r="BV12" i="4"/>
  <c r="BX12" i="10" s="1"/>
  <c r="BV233" i="4"/>
  <c r="BX233" i="10" s="1"/>
  <c r="BV151" i="4"/>
  <c r="BX151" i="10" s="1"/>
  <c r="BV208" i="4"/>
  <c r="BX208" i="10" s="1"/>
  <c r="BX250" i="4"/>
  <c r="BZ250" i="10" s="1"/>
  <c r="CA250" i="10" s="1"/>
  <c r="BV67" i="4"/>
  <c r="BX67" i="10" s="1"/>
  <c r="BV9" i="4"/>
  <c r="BX9" i="10" s="1"/>
  <c r="BV281" i="4"/>
  <c r="BX281" i="10" s="1"/>
  <c r="BV236" i="4"/>
  <c r="BX236" i="10" s="1"/>
  <c r="BV11" i="4"/>
  <c r="BX11" i="10" s="1"/>
  <c r="BV91" i="4"/>
  <c r="BX91" i="10" s="1"/>
  <c r="BV146" i="4"/>
  <c r="BX146" i="10" s="1"/>
  <c r="BV121" i="4"/>
  <c r="BX121" i="10" s="1"/>
  <c r="BV39" i="4"/>
  <c r="BX39" i="10" s="1"/>
  <c r="BV278" i="4"/>
  <c r="BX278" i="10" s="1"/>
  <c r="BV44" i="4"/>
  <c r="BX44" i="10" s="1"/>
  <c r="BV19" i="4"/>
  <c r="BX19" i="10" s="1"/>
  <c r="BV105" i="4"/>
  <c r="BX105" i="10" s="1"/>
  <c r="BV220" i="4"/>
  <c r="BX220" i="10" s="1"/>
  <c r="BV196" i="4"/>
  <c r="BX196" i="10" s="1"/>
  <c r="BV325" i="4"/>
  <c r="BX325" i="10" s="1"/>
  <c r="BV22" i="4"/>
  <c r="BX22" i="10" s="1"/>
  <c r="BV226" i="4"/>
  <c r="BX226" i="10" s="1"/>
  <c r="BV4" i="4"/>
  <c r="BX4" i="10" s="1"/>
  <c r="BQ342" i="10"/>
  <c r="BO342" i="4"/>
  <c r="BV138" i="4"/>
  <c r="BX138" i="10" s="1"/>
  <c r="BV322" i="4"/>
  <c r="BX322" i="10" s="1"/>
  <c r="BV157" i="4"/>
  <c r="BX157" i="10" s="1"/>
  <c r="BV115" i="4"/>
  <c r="BX115" i="10" s="1"/>
  <c r="BV327" i="4"/>
  <c r="BX327" i="10" s="1"/>
  <c r="BV140" i="4"/>
  <c r="BX140" i="10" s="1"/>
  <c r="BV116" i="4"/>
  <c r="BX116" i="10" s="1"/>
  <c r="BV285" i="4"/>
  <c r="BX285" i="10" s="1"/>
  <c r="BV264" i="4"/>
  <c r="BX264" i="10" s="1"/>
  <c r="BV333" i="4"/>
  <c r="BX333" i="10" s="1"/>
  <c r="BV141" i="4"/>
  <c r="BX141" i="10" s="1"/>
  <c r="BV314" i="4"/>
  <c r="BX314" i="10" s="1"/>
  <c r="BV153" i="4"/>
  <c r="BX153" i="10" s="1"/>
  <c r="BV86" i="4"/>
  <c r="BX86" i="10" s="1"/>
  <c r="E41" i="6"/>
  <c r="E55" i="6" s="1"/>
  <c r="E34" i="6"/>
  <c r="E56" i="6" s="1"/>
  <c r="E70" i="6"/>
  <c r="E124" i="6" s="1"/>
  <c r="E81" i="6"/>
  <c r="E92" i="6" s="1"/>
  <c r="E95" i="6" s="1"/>
  <c r="BW313" i="4" l="1"/>
  <c r="BY313" i="10" s="1"/>
  <c r="BW334" i="4"/>
  <c r="BY334" i="10" s="1"/>
  <c r="BW24" i="4"/>
  <c r="BY24" i="10" s="1"/>
  <c r="BW246" i="4"/>
  <c r="BY246" i="10" s="1"/>
  <c r="BW129" i="4"/>
  <c r="BY129" i="10" s="1"/>
  <c r="BW241" i="4"/>
  <c r="BY241" i="10" s="1"/>
  <c r="BW86" i="4"/>
  <c r="BY86" i="10" s="1"/>
  <c r="BW4" i="4"/>
  <c r="BY4" i="10" s="1"/>
  <c r="BW239" i="4"/>
  <c r="BY239" i="10" s="1"/>
  <c r="BW138" i="4"/>
  <c r="BY138" i="10" s="1"/>
  <c r="BW91" i="4"/>
  <c r="BY91" i="10" s="1"/>
  <c r="BW112" i="4"/>
  <c r="BY112" i="10" s="1"/>
  <c r="BW26" i="4"/>
  <c r="BY26" i="10" s="1"/>
  <c r="BW59" i="4"/>
  <c r="BY59" i="10" s="1"/>
  <c r="BW222" i="4"/>
  <c r="BY222" i="10" s="1"/>
  <c r="BW87" i="4"/>
  <c r="BY87" i="10" s="1"/>
  <c r="BW301" i="4"/>
  <c r="BY301" i="10" s="1"/>
  <c r="BW42" i="4"/>
  <c r="BY42" i="10" s="1"/>
  <c r="BY302" i="4"/>
  <c r="BZ302" i="10"/>
  <c r="CA302" i="10" s="1"/>
  <c r="BW21" i="4"/>
  <c r="BY21" i="10" s="1"/>
  <c r="BW76" i="4"/>
  <c r="BY76" i="10" s="1"/>
  <c r="BW145" i="4"/>
  <c r="BY145" i="10" s="1"/>
  <c r="BW104" i="4"/>
  <c r="BY104" i="10" s="1"/>
  <c r="BX214" i="4"/>
  <c r="BY214" i="10"/>
  <c r="BW65" i="4"/>
  <c r="BY65" i="10" s="1"/>
  <c r="BW124" i="4"/>
  <c r="BY124" i="10" s="1"/>
  <c r="BW126" i="4"/>
  <c r="BY126" i="10" s="1"/>
  <c r="BW182" i="4"/>
  <c r="BY182" i="10" s="1"/>
  <c r="BX92" i="4"/>
  <c r="BY92" i="10"/>
  <c r="BW196" i="4"/>
  <c r="BY196" i="10" s="1"/>
  <c r="BW180" i="4"/>
  <c r="BY180" i="10" s="1"/>
  <c r="BY179" i="4"/>
  <c r="BZ179" i="10"/>
  <c r="CA179" i="10" s="1"/>
  <c r="BW319" i="4"/>
  <c r="BY319" i="10" s="1"/>
  <c r="BW333" i="4"/>
  <c r="BY333" i="10" s="1"/>
  <c r="BW39" i="4"/>
  <c r="BY39" i="10" s="1"/>
  <c r="BW12" i="4"/>
  <c r="BY12" i="10" s="1"/>
  <c r="BW181" i="4"/>
  <c r="BY181" i="10" s="1"/>
  <c r="BW326" i="4"/>
  <c r="BY326" i="10" s="1"/>
  <c r="BW309" i="4"/>
  <c r="BY309" i="10" s="1"/>
  <c r="BW16" i="4"/>
  <c r="BY16" i="10" s="1"/>
  <c r="BW203" i="4"/>
  <c r="BY203" i="10" s="1"/>
  <c r="BW110" i="4"/>
  <c r="BY110" i="10" s="1"/>
  <c r="BW160" i="4"/>
  <c r="BY160" i="10" s="1"/>
  <c r="BW237" i="4"/>
  <c r="BY237" i="10" s="1"/>
  <c r="BW244" i="4"/>
  <c r="BY244" i="10" s="1"/>
  <c r="BW279" i="4"/>
  <c r="BY279" i="10" s="1"/>
  <c r="BW323" i="4"/>
  <c r="BY323" i="10" s="1"/>
  <c r="BW133" i="4"/>
  <c r="BY133" i="10" s="1"/>
  <c r="BW19" i="4"/>
  <c r="BY19" i="10" s="1"/>
  <c r="BW190" i="4"/>
  <c r="BY190" i="10" s="1"/>
  <c r="BW264" i="4"/>
  <c r="BY264" i="10" s="1"/>
  <c r="BW327" i="4"/>
  <c r="BY327" i="10" s="1"/>
  <c r="BW281" i="4"/>
  <c r="BY281" i="10" s="1"/>
  <c r="BW151" i="4"/>
  <c r="BY151" i="10" s="1"/>
  <c r="BW324" i="4"/>
  <c r="BY324" i="10" s="1"/>
  <c r="BW166" i="4"/>
  <c r="BY166" i="10" s="1"/>
  <c r="BW199" i="4"/>
  <c r="BY199" i="10" s="1"/>
  <c r="BW58" i="4"/>
  <c r="BY58" i="10" s="1"/>
  <c r="BW29" i="4"/>
  <c r="BY29" i="10" s="1"/>
  <c r="BW189" i="4"/>
  <c r="BY189" i="10" s="1"/>
  <c r="BW266" i="4"/>
  <c r="BY266" i="10" s="1"/>
  <c r="BX61" i="4"/>
  <c r="BZ61" i="10" s="1"/>
  <c r="CA61" i="10" s="1"/>
  <c r="BX272" i="4"/>
  <c r="BZ272" i="10" s="1"/>
  <c r="CA272" i="10" s="1"/>
  <c r="BW116" i="4"/>
  <c r="BY116" i="10" s="1"/>
  <c r="BW102" i="4"/>
  <c r="BY102" i="10" s="1"/>
  <c r="BW159" i="4"/>
  <c r="BY159" i="10" s="1"/>
  <c r="BX251" i="4"/>
  <c r="BZ251" i="10" s="1"/>
  <c r="CA251" i="10" s="1"/>
  <c r="BX134" i="4"/>
  <c r="BZ134" i="10" s="1"/>
  <c r="CA134" i="10" s="1"/>
  <c r="BX329" i="4"/>
  <c r="BZ329" i="10" s="1"/>
  <c r="CA329" i="10" s="1"/>
  <c r="BW140" i="4"/>
  <c r="BY140" i="10" s="1"/>
  <c r="BW157" i="4"/>
  <c r="BY157" i="10" s="1"/>
  <c r="BW325" i="4"/>
  <c r="BY325" i="10" s="1"/>
  <c r="BW105" i="4"/>
  <c r="BY105" i="10" s="1"/>
  <c r="BW278" i="4"/>
  <c r="BY278" i="10" s="1"/>
  <c r="BW146" i="4"/>
  <c r="BY146" i="10" s="1"/>
  <c r="BW236" i="4"/>
  <c r="BY236" i="10" s="1"/>
  <c r="BW67" i="4"/>
  <c r="BY67" i="10" s="1"/>
  <c r="BW316" i="4"/>
  <c r="BY316" i="10" s="1"/>
  <c r="BW73" i="4"/>
  <c r="BY73" i="10" s="1"/>
  <c r="BW135" i="4"/>
  <c r="BY135" i="10" s="1"/>
  <c r="BW209" i="4"/>
  <c r="BY209" i="10" s="1"/>
  <c r="BW235" i="4"/>
  <c r="BY235" i="10" s="1"/>
  <c r="BW23" i="4"/>
  <c r="BY23" i="10" s="1"/>
  <c r="BW269" i="4"/>
  <c r="BY269" i="10" s="1"/>
  <c r="BW258" i="4"/>
  <c r="BY258" i="10" s="1"/>
  <c r="BW296" i="4"/>
  <c r="BY296" i="10" s="1"/>
  <c r="BW45" i="4"/>
  <c r="BY45" i="10" s="1"/>
  <c r="BW95" i="4"/>
  <c r="BY95" i="10" s="1"/>
  <c r="BW155" i="4"/>
  <c r="BY155" i="10" s="1"/>
  <c r="BW230" i="4"/>
  <c r="BY230" i="10" s="1"/>
  <c r="BW245" i="4"/>
  <c r="BY245" i="10" s="1"/>
  <c r="BX165" i="4"/>
  <c r="BZ165" i="10" s="1"/>
  <c r="CA165" i="10" s="1"/>
  <c r="BX321" i="4"/>
  <c r="BZ321" i="10" s="1"/>
  <c r="CA321" i="10" s="1"/>
  <c r="BW233" i="4"/>
  <c r="BY233" i="10" s="1"/>
  <c r="BW62" i="4"/>
  <c r="BY62" i="10" s="1"/>
  <c r="BW176" i="4"/>
  <c r="BY176" i="10" s="1"/>
  <c r="BW340" i="4"/>
  <c r="BY340" i="10" s="1"/>
  <c r="BW30" i="4"/>
  <c r="BY30" i="10" s="1"/>
  <c r="BW217" i="4"/>
  <c r="BY217" i="10" s="1"/>
  <c r="BW60" i="4"/>
  <c r="BY60" i="10" s="1"/>
  <c r="BW270" i="4"/>
  <c r="BY270" i="10" s="1"/>
  <c r="BW232" i="4"/>
  <c r="BY232" i="10" s="1"/>
  <c r="BW271" i="4"/>
  <c r="BY271" i="10" s="1"/>
  <c r="BW287" i="4"/>
  <c r="BY287" i="10" s="1"/>
  <c r="BX201" i="4"/>
  <c r="BZ201" i="10" s="1"/>
  <c r="CA201" i="10" s="1"/>
  <c r="BX225" i="4"/>
  <c r="BZ225" i="10" s="1"/>
  <c r="CA225" i="10" s="1"/>
  <c r="BX43" i="4"/>
  <c r="BZ43" i="10" s="1"/>
  <c r="CA43" i="10" s="1"/>
  <c r="BW304" i="4"/>
  <c r="BY304" i="10" s="1"/>
  <c r="BX158" i="4"/>
  <c r="BZ158" i="10" s="1"/>
  <c r="CA158" i="10" s="1"/>
  <c r="BX231" i="4"/>
  <c r="BZ231" i="10" s="1"/>
  <c r="CA231" i="10" s="1"/>
  <c r="BW141" i="4"/>
  <c r="BY141" i="10" s="1"/>
  <c r="BW114" i="4"/>
  <c r="BY114" i="10" s="1"/>
  <c r="BW261" i="4"/>
  <c r="BY261" i="10" s="1"/>
  <c r="BW128" i="4"/>
  <c r="BY128" i="10" s="1"/>
  <c r="BW51" i="4"/>
  <c r="BY51" i="10" s="1"/>
  <c r="BW336" i="4"/>
  <c r="BY336" i="10" s="1"/>
  <c r="BX69" i="4"/>
  <c r="BZ69" i="10" s="1"/>
  <c r="CA69" i="10" s="1"/>
  <c r="BW115" i="4"/>
  <c r="BY115" i="10" s="1"/>
  <c r="BW22" i="4"/>
  <c r="BY22" i="10" s="1"/>
  <c r="BW220" i="4"/>
  <c r="BY220" i="10" s="1"/>
  <c r="BW44" i="4"/>
  <c r="BY44" i="10" s="1"/>
  <c r="BW121" i="4"/>
  <c r="BY121" i="10" s="1"/>
  <c r="BW11" i="4"/>
  <c r="BY11" i="10" s="1"/>
  <c r="BW9" i="4"/>
  <c r="BY9" i="10" s="1"/>
  <c r="BW130" i="4"/>
  <c r="BY130" i="10" s="1"/>
  <c r="BW168" i="4"/>
  <c r="BY168" i="10" s="1"/>
  <c r="BW227" i="4"/>
  <c r="BY227" i="10" s="1"/>
  <c r="BW293" i="4"/>
  <c r="BY293" i="10" s="1"/>
  <c r="BW52" i="4"/>
  <c r="BW202" i="4"/>
  <c r="BY202" i="10" s="1"/>
  <c r="BW229" i="4"/>
  <c r="BY229" i="10" s="1"/>
  <c r="BW191" i="4"/>
  <c r="BY191" i="10" s="1"/>
  <c r="BW320" i="4"/>
  <c r="BY320" i="10" s="1"/>
  <c r="BW240" i="4"/>
  <c r="BY240" i="10" s="1"/>
  <c r="BW262" i="4"/>
  <c r="BY262" i="10" s="1"/>
  <c r="BW265" i="4"/>
  <c r="BY265" i="10" s="1"/>
  <c r="BW85" i="4"/>
  <c r="BY85" i="10" s="1"/>
  <c r="BW259" i="4"/>
  <c r="BY259" i="10" s="1"/>
  <c r="BW288" i="4"/>
  <c r="BY288" i="10" s="1"/>
  <c r="BW186" i="4"/>
  <c r="BY186" i="10" s="1"/>
  <c r="BW200" i="4"/>
  <c r="BY200" i="10" s="1"/>
  <c r="BW213" i="4"/>
  <c r="BY213" i="10" s="1"/>
  <c r="BW100" i="4"/>
  <c r="BY100" i="10" s="1"/>
  <c r="BW48" i="4"/>
  <c r="BY48" i="10" s="1"/>
  <c r="BW35" i="4"/>
  <c r="BY35" i="10" s="1"/>
  <c r="BW143" i="4"/>
  <c r="BY143" i="10" s="1"/>
  <c r="BW93" i="4"/>
  <c r="BY93" i="10" s="1"/>
  <c r="BW70" i="4"/>
  <c r="BY70" i="10" s="1"/>
  <c r="BX40" i="4"/>
  <c r="BZ40" i="10" s="1"/>
  <c r="CA40" i="10" s="1"/>
  <c r="BX49" i="4"/>
  <c r="BZ49" i="10" s="1"/>
  <c r="CA49" i="10" s="1"/>
  <c r="BX122" i="4"/>
  <c r="BZ122" i="10" s="1"/>
  <c r="CA122" i="10" s="1"/>
  <c r="BW314" i="4"/>
  <c r="BY314" i="10" s="1"/>
  <c r="BW208" i="4"/>
  <c r="BY208" i="10" s="1"/>
  <c r="BX26" i="4"/>
  <c r="BZ26" i="10" s="1"/>
  <c r="CA26" i="10" s="1"/>
  <c r="BX316" i="4"/>
  <c r="BZ316" i="10" s="1"/>
  <c r="CA316" i="10" s="1"/>
  <c r="BX130" i="4"/>
  <c r="BZ130" i="10" s="1"/>
  <c r="CA130" i="10" s="1"/>
  <c r="BX87" i="4"/>
  <c r="BZ87" i="10" s="1"/>
  <c r="CA87" i="10" s="1"/>
  <c r="BX176" i="4"/>
  <c r="BZ176" i="10" s="1"/>
  <c r="CA176" i="10" s="1"/>
  <c r="BX301" i="4"/>
  <c r="BZ301" i="10" s="1"/>
  <c r="CA301" i="10" s="1"/>
  <c r="BX324" i="4"/>
  <c r="BZ324" i="10" s="1"/>
  <c r="CA324" i="10" s="1"/>
  <c r="BX326" i="4"/>
  <c r="BZ326" i="10" s="1"/>
  <c r="CA326" i="10" s="1"/>
  <c r="BX42" i="4"/>
  <c r="BZ42" i="10" s="1"/>
  <c r="CA42" i="10" s="1"/>
  <c r="BX166" i="4"/>
  <c r="BZ166" i="10" s="1"/>
  <c r="CA166" i="10" s="1"/>
  <c r="BX73" i="4"/>
  <c r="BZ73" i="10" s="1"/>
  <c r="CA73" i="10" s="1"/>
  <c r="BX21" i="4"/>
  <c r="BZ21" i="10" s="1"/>
  <c r="CA21" i="10" s="1"/>
  <c r="BX135" i="4"/>
  <c r="BZ135" i="10" s="1"/>
  <c r="CA135" i="10" s="1"/>
  <c r="BX202" i="4"/>
  <c r="BZ202" i="10" s="1"/>
  <c r="CA202" i="10" s="1"/>
  <c r="BW308" i="4"/>
  <c r="BY308" i="10" s="1"/>
  <c r="BX283" i="4"/>
  <c r="BZ283" i="10" s="1"/>
  <c r="CA283" i="10" s="1"/>
  <c r="BX229" i="4"/>
  <c r="BZ229" i="10" s="1"/>
  <c r="CA229" i="10" s="1"/>
  <c r="BW101" i="4"/>
  <c r="BY101" i="10" s="1"/>
  <c r="BW47" i="4"/>
  <c r="BY47" i="10" s="1"/>
  <c r="BX17" i="4"/>
  <c r="BZ17" i="10" s="1"/>
  <c r="CA17" i="10" s="1"/>
  <c r="BX296" i="4"/>
  <c r="BZ296" i="10" s="1"/>
  <c r="CA296" i="10" s="1"/>
  <c r="BX145" i="4"/>
  <c r="BZ145" i="10" s="1"/>
  <c r="CA145" i="10" s="1"/>
  <c r="BX265" i="4"/>
  <c r="BZ265" i="10" s="1"/>
  <c r="CA265" i="10" s="1"/>
  <c r="BX85" i="4"/>
  <c r="BZ85" i="10" s="1"/>
  <c r="CA85" i="10" s="1"/>
  <c r="BX114" i="4"/>
  <c r="BZ114" i="10" s="1"/>
  <c r="CA114" i="10" s="1"/>
  <c r="BX110" i="4"/>
  <c r="BZ110" i="10" s="1"/>
  <c r="CA110" i="10" s="1"/>
  <c r="BX259" i="4"/>
  <c r="BZ259" i="10" s="1"/>
  <c r="CA259" i="10" s="1"/>
  <c r="BX261" i="4"/>
  <c r="BZ261" i="10" s="1"/>
  <c r="CA261" i="10" s="1"/>
  <c r="BX169" i="4"/>
  <c r="BZ169" i="10" s="1"/>
  <c r="CA169" i="10" s="1"/>
  <c r="BX216" i="4"/>
  <c r="BZ216" i="10" s="1"/>
  <c r="CA216" i="10" s="1"/>
  <c r="BX237" i="4"/>
  <c r="BZ237" i="10" s="1"/>
  <c r="CA237" i="10" s="1"/>
  <c r="BX246" i="4"/>
  <c r="BZ246" i="10" s="1"/>
  <c r="CA246" i="10" s="1"/>
  <c r="BX186" i="4"/>
  <c r="BZ186" i="10" s="1"/>
  <c r="CA186" i="10" s="1"/>
  <c r="BX60" i="4"/>
  <c r="BZ60" i="10" s="1"/>
  <c r="CA60" i="10" s="1"/>
  <c r="BX190" i="4"/>
  <c r="BZ190" i="10" s="1"/>
  <c r="CA190" i="10" s="1"/>
  <c r="BX244" i="4"/>
  <c r="BZ244" i="10" s="1"/>
  <c r="CA244" i="10" s="1"/>
  <c r="BX95" i="4"/>
  <c r="BZ95" i="10" s="1"/>
  <c r="CA95" i="10" s="1"/>
  <c r="BX319" i="4"/>
  <c r="BZ319" i="10" s="1"/>
  <c r="CA319" i="10" s="1"/>
  <c r="BX159" i="4"/>
  <c r="BZ159" i="10" s="1"/>
  <c r="CA159" i="10" s="1"/>
  <c r="BX305" i="4"/>
  <c r="BZ305" i="10" s="1"/>
  <c r="CA305" i="10" s="1"/>
  <c r="BX270" i="4"/>
  <c r="BZ270" i="10" s="1"/>
  <c r="CA270" i="10" s="1"/>
  <c r="BX131" i="4"/>
  <c r="BZ131" i="10" s="1"/>
  <c r="CA131" i="10" s="1"/>
  <c r="BX81" i="4"/>
  <c r="BZ81" i="10" s="1"/>
  <c r="CA81" i="10" s="1"/>
  <c r="BW268" i="4"/>
  <c r="BY268" i="10" s="1"/>
  <c r="BX336" i="4"/>
  <c r="BZ336" i="10" s="1"/>
  <c r="CA336" i="10" s="1"/>
  <c r="BX271" i="4"/>
  <c r="BZ271" i="10" s="1"/>
  <c r="CA271" i="10" s="1"/>
  <c r="BX294" i="4"/>
  <c r="BZ294" i="10" s="1"/>
  <c r="CA294" i="10" s="1"/>
  <c r="BX227" i="4"/>
  <c r="BZ227" i="10" s="1"/>
  <c r="CA227" i="10" s="1"/>
  <c r="BX293" i="4"/>
  <c r="BZ293" i="10" s="1"/>
  <c r="CA293" i="10" s="1"/>
  <c r="BX235" i="4"/>
  <c r="BZ235" i="10" s="1"/>
  <c r="CA235" i="10" s="1"/>
  <c r="BX253" i="4"/>
  <c r="BZ253" i="10" s="1"/>
  <c r="CA253" i="10" s="1"/>
  <c r="BX334" i="4"/>
  <c r="BZ334" i="10" s="1"/>
  <c r="CA334" i="10" s="1"/>
  <c r="BX65" i="4"/>
  <c r="BZ65" i="10" s="1"/>
  <c r="CA65" i="10" s="1"/>
  <c r="BX199" i="4"/>
  <c r="BZ199" i="10" s="1"/>
  <c r="CA199" i="10" s="1"/>
  <c r="BX23" i="4"/>
  <c r="BZ23" i="10" s="1"/>
  <c r="CA23" i="10" s="1"/>
  <c r="BX320" i="4"/>
  <c r="BZ320" i="10" s="1"/>
  <c r="CA320" i="10" s="1"/>
  <c r="BX313" i="4"/>
  <c r="BZ313" i="10" s="1"/>
  <c r="CA313" i="10" s="1"/>
  <c r="BX124" i="4"/>
  <c r="BZ124" i="10" s="1"/>
  <c r="CA124" i="10" s="1"/>
  <c r="BX29" i="4"/>
  <c r="BZ29" i="10" s="1"/>
  <c r="CA29" i="10" s="1"/>
  <c r="BX59" i="4"/>
  <c r="BZ59" i="10" s="1"/>
  <c r="CA59" i="10" s="1"/>
  <c r="BX133" i="4"/>
  <c r="BZ133" i="10" s="1"/>
  <c r="CA133" i="10" s="1"/>
  <c r="BW218" i="4"/>
  <c r="BY218" i="10" s="1"/>
  <c r="BW28" i="4"/>
  <c r="BY28" i="10" s="1"/>
  <c r="BW98" i="4"/>
  <c r="BY98" i="10" s="1"/>
  <c r="BW27" i="4"/>
  <c r="BY27" i="10" s="1"/>
  <c r="BW219" i="4"/>
  <c r="BY219" i="10" s="1"/>
  <c r="BX256" i="4"/>
  <c r="BZ256" i="10" s="1"/>
  <c r="CA256" i="10" s="1"/>
  <c r="BX238" i="4"/>
  <c r="BZ238" i="10" s="1"/>
  <c r="CA238" i="10" s="1"/>
  <c r="BW119" i="4"/>
  <c r="BY119" i="10" s="1"/>
  <c r="BX45" i="4"/>
  <c r="BZ45" i="10" s="1"/>
  <c r="CA45" i="10" s="1"/>
  <c r="BW109" i="4"/>
  <c r="BY109" i="10" s="1"/>
  <c r="BY228" i="4"/>
  <c r="BW297" i="4"/>
  <c r="BY297" i="10" s="1"/>
  <c r="BY125" i="4"/>
  <c r="BW223" i="4"/>
  <c r="BY223" i="10" s="1"/>
  <c r="BX279" i="4"/>
  <c r="BZ279" i="10" s="1"/>
  <c r="CA279" i="10" s="1"/>
  <c r="BX155" i="4"/>
  <c r="BZ155" i="10" s="1"/>
  <c r="CA155" i="10" s="1"/>
  <c r="BX230" i="4"/>
  <c r="BZ230" i="10" s="1"/>
  <c r="CA230" i="10" s="1"/>
  <c r="BX245" i="4"/>
  <c r="BZ245" i="10" s="1"/>
  <c r="CA245" i="10" s="1"/>
  <c r="BX143" i="4"/>
  <c r="BZ143" i="10" s="1"/>
  <c r="CA143" i="10" s="1"/>
  <c r="BX93" i="4"/>
  <c r="BZ93" i="10" s="1"/>
  <c r="CA93" i="10" s="1"/>
  <c r="BX89" i="4"/>
  <c r="BZ89" i="10" s="1"/>
  <c r="CA89" i="10" s="1"/>
  <c r="BX263" i="4"/>
  <c r="BZ263" i="10" s="1"/>
  <c r="CA263" i="10" s="1"/>
  <c r="BX247" i="4"/>
  <c r="BZ247" i="10" s="1"/>
  <c r="CA247" i="10" s="1"/>
  <c r="BX287" i="4"/>
  <c r="BZ287" i="10" s="1"/>
  <c r="CA287" i="10" s="1"/>
  <c r="BX264" i="4"/>
  <c r="BZ264" i="10" s="1"/>
  <c r="CA264" i="10" s="1"/>
  <c r="BX140" i="4"/>
  <c r="BZ140" i="10" s="1"/>
  <c r="CA140" i="10" s="1"/>
  <c r="BX157" i="4"/>
  <c r="BZ157" i="10" s="1"/>
  <c r="CA157" i="10" s="1"/>
  <c r="BX22" i="4"/>
  <c r="BZ22" i="10" s="1"/>
  <c r="CA22" i="10" s="1"/>
  <c r="BX220" i="4"/>
  <c r="BZ220" i="10" s="1"/>
  <c r="CA220" i="10" s="1"/>
  <c r="BX44" i="4"/>
  <c r="BZ44" i="10" s="1"/>
  <c r="CA44" i="10" s="1"/>
  <c r="BX121" i="4"/>
  <c r="BZ121" i="10" s="1"/>
  <c r="CA121" i="10" s="1"/>
  <c r="BX11" i="4"/>
  <c r="BZ11" i="10" s="1"/>
  <c r="CA11" i="10" s="1"/>
  <c r="BX9" i="4"/>
  <c r="BZ9" i="10" s="1"/>
  <c r="CA9" i="10" s="1"/>
  <c r="BX12" i="4"/>
  <c r="BZ12" i="10" s="1"/>
  <c r="CA12" i="10" s="1"/>
  <c r="BX24" i="4"/>
  <c r="BZ24" i="10" s="1"/>
  <c r="CA24" i="10" s="1"/>
  <c r="BW285" i="4"/>
  <c r="BY285" i="10" s="1"/>
  <c r="BW322" i="4"/>
  <c r="BY322" i="10" s="1"/>
  <c r="BV342" i="4"/>
  <c r="BX342" i="10"/>
  <c r="BW254" i="4"/>
  <c r="BY254" i="10" s="1"/>
  <c r="BW79" i="4"/>
  <c r="BY79" i="10" s="1"/>
  <c r="BW137" i="4"/>
  <c r="BY137" i="10" s="1"/>
  <c r="BW167" i="4"/>
  <c r="BY167" i="10" s="1"/>
  <c r="BW77" i="4"/>
  <c r="BY77" i="10" s="1"/>
  <c r="BW38" i="4"/>
  <c r="BY38" i="10" s="1"/>
  <c r="BW185" i="4"/>
  <c r="BY185" i="10" s="1"/>
  <c r="BX14" i="4"/>
  <c r="BZ14" i="10" s="1"/>
  <c r="CA14" i="10" s="1"/>
  <c r="BW243" i="4"/>
  <c r="BY243" i="10" s="1"/>
  <c r="BX107" i="4"/>
  <c r="BZ107" i="10" s="1"/>
  <c r="CA107" i="10" s="1"/>
  <c r="BW204" i="4"/>
  <c r="BY204" i="10" s="1"/>
  <c r="BW295" i="4"/>
  <c r="BY295" i="10" s="1"/>
  <c r="BY15" i="4"/>
  <c r="BW170" i="4"/>
  <c r="BY170" i="10" s="1"/>
  <c r="BW277" i="4"/>
  <c r="BY277" i="10" s="1"/>
  <c r="BW132" i="4"/>
  <c r="BY132" i="10" s="1"/>
  <c r="BW66" i="4"/>
  <c r="BY66" i="10" s="1"/>
  <c r="BW300" i="4"/>
  <c r="BY300" i="10" s="1"/>
  <c r="BW54" i="4"/>
  <c r="BY54" i="10" s="1"/>
  <c r="BX291" i="4"/>
  <c r="BZ291" i="10" s="1"/>
  <c r="CA291" i="10" s="1"/>
  <c r="BW178" i="4"/>
  <c r="BY178" i="10" s="1"/>
  <c r="BW172" i="4"/>
  <c r="BY172" i="10" s="1"/>
  <c r="BW37" i="4"/>
  <c r="BY37" i="10" s="1"/>
  <c r="BW307" i="4"/>
  <c r="BY307" i="10" s="1"/>
  <c r="BY211" i="4"/>
  <c r="BW303" i="4"/>
  <c r="BY303" i="10" s="1"/>
  <c r="BW331" i="4"/>
  <c r="BY331" i="10" s="1"/>
  <c r="BW210" i="4"/>
  <c r="BY210" i="10" s="1"/>
  <c r="BW338" i="4"/>
  <c r="BY338" i="10" s="1"/>
  <c r="BW41" i="4"/>
  <c r="BY41" i="10" s="1"/>
  <c r="BW150" i="4"/>
  <c r="BY150" i="10" s="1"/>
  <c r="BW234" i="4"/>
  <c r="BY234" i="10" s="1"/>
  <c r="BX298" i="4"/>
  <c r="BZ298" i="10" s="1"/>
  <c r="CA298" i="10" s="1"/>
  <c r="BW147" i="4"/>
  <c r="BY147" i="10" s="1"/>
  <c r="BW188" i="4"/>
  <c r="BY188" i="10" s="1"/>
  <c r="BW8" i="4"/>
  <c r="BY8" i="10" s="1"/>
  <c r="BX72" i="4"/>
  <c r="BZ72" i="10" s="1"/>
  <c r="CA72" i="10" s="1"/>
  <c r="BX123" i="4"/>
  <c r="BZ123" i="10" s="1"/>
  <c r="CA123" i="10" s="1"/>
  <c r="BX74" i="4"/>
  <c r="BZ74" i="10" s="1"/>
  <c r="CA74" i="10" s="1"/>
  <c r="BW174" i="4"/>
  <c r="BY174" i="10" s="1"/>
  <c r="BW276" i="4"/>
  <c r="BY276" i="10" s="1"/>
  <c r="BW212" i="4"/>
  <c r="BY212" i="10" s="1"/>
  <c r="BW108" i="4"/>
  <c r="BY108" i="10" s="1"/>
  <c r="BY257" i="4"/>
  <c r="BW162" i="4"/>
  <c r="BY162" i="10" s="1"/>
  <c r="BW83" i="4"/>
  <c r="BY83" i="10" s="1"/>
  <c r="BY175" i="4"/>
  <c r="BW154" i="4"/>
  <c r="BY154" i="10" s="1"/>
  <c r="BW292" i="4"/>
  <c r="BY292" i="10" s="1"/>
  <c r="BX120" i="4"/>
  <c r="BZ120" i="10" s="1"/>
  <c r="CA120" i="10" s="1"/>
  <c r="BW280" i="4"/>
  <c r="BY280" i="10" s="1"/>
  <c r="BW221" i="4"/>
  <c r="BY221" i="10" s="1"/>
  <c r="BW318" i="4"/>
  <c r="BY318" i="10" s="1"/>
  <c r="BW148" i="4"/>
  <c r="BY148" i="10" s="1"/>
  <c r="BX194" i="4"/>
  <c r="BZ194" i="10" s="1"/>
  <c r="CA194" i="10" s="1"/>
  <c r="BW282" i="4"/>
  <c r="BY282" i="10" s="1"/>
  <c r="BW31" i="4"/>
  <c r="BY31" i="10" s="1"/>
  <c r="BX86" i="4"/>
  <c r="BZ86" i="10" s="1"/>
  <c r="CA86" i="10" s="1"/>
  <c r="BX141" i="4"/>
  <c r="BZ141" i="10" s="1"/>
  <c r="CA141" i="10" s="1"/>
  <c r="BX327" i="4"/>
  <c r="BZ327" i="10" s="1"/>
  <c r="CA327" i="10" s="1"/>
  <c r="BX4" i="4"/>
  <c r="BZ4" i="10" s="1"/>
  <c r="CA4" i="10" s="1"/>
  <c r="BY342" i="10"/>
  <c r="BW342" i="4"/>
  <c r="BX325" i="4"/>
  <c r="BZ325" i="10" s="1"/>
  <c r="CA325" i="10" s="1"/>
  <c r="BX105" i="4"/>
  <c r="BZ105" i="10" s="1"/>
  <c r="CA105" i="10" s="1"/>
  <c r="BX278" i="4"/>
  <c r="BZ278" i="10" s="1"/>
  <c r="CA278" i="10" s="1"/>
  <c r="BX146" i="4"/>
  <c r="BZ146" i="10" s="1"/>
  <c r="CA146" i="10" s="1"/>
  <c r="BX236" i="4"/>
  <c r="BZ236" i="10" s="1"/>
  <c r="CA236" i="10" s="1"/>
  <c r="BX67" i="4"/>
  <c r="BZ67" i="10" s="1"/>
  <c r="CA67" i="10" s="1"/>
  <c r="BX151" i="4"/>
  <c r="BZ151" i="10" s="1"/>
  <c r="CA151" i="10" s="1"/>
  <c r="BX112" i="4"/>
  <c r="BZ112" i="10" s="1"/>
  <c r="CA112" i="10" s="1"/>
  <c r="BY88" i="4"/>
  <c r="BX168" i="4"/>
  <c r="BZ168" i="10" s="1"/>
  <c r="CA168" i="10" s="1"/>
  <c r="BX50" i="4"/>
  <c r="BZ50" i="10" s="1"/>
  <c r="CA50" i="10" s="1"/>
  <c r="BX209" i="4"/>
  <c r="BZ209" i="10" s="1"/>
  <c r="CA209" i="10" s="1"/>
  <c r="BX76" i="4"/>
  <c r="BZ76" i="10" s="1"/>
  <c r="CA76" i="10" s="1"/>
  <c r="BX32" i="4"/>
  <c r="BZ32" i="10" s="1"/>
  <c r="CA32" i="10" s="1"/>
  <c r="BX309" i="4"/>
  <c r="BZ309" i="10" s="1"/>
  <c r="CA309" i="10" s="1"/>
  <c r="BX16" i="4"/>
  <c r="BZ16" i="10" s="1"/>
  <c r="CA16" i="10" s="1"/>
  <c r="BX203" i="4"/>
  <c r="BZ203" i="10" s="1"/>
  <c r="CA203" i="10" s="1"/>
  <c r="BX191" i="4"/>
  <c r="BZ191" i="10" s="1"/>
  <c r="CA191" i="10" s="1"/>
  <c r="BX222" i="4"/>
  <c r="BZ222" i="10" s="1"/>
  <c r="CA222" i="10" s="1"/>
  <c r="BX269" i="4"/>
  <c r="BZ269" i="10" s="1"/>
  <c r="CA269" i="10" s="1"/>
  <c r="BX240" i="4"/>
  <c r="BZ240" i="10" s="1"/>
  <c r="CA240" i="10" s="1"/>
  <c r="BX262" i="4"/>
  <c r="BZ262" i="10" s="1"/>
  <c r="CA262" i="10" s="1"/>
  <c r="BX340" i="4"/>
  <c r="BZ340" i="10" s="1"/>
  <c r="CA340" i="10" s="1"/>
  <c r="BX53" i="4"/>
  <c r="BZ53" i="10" s="1"/>
  <c r="CA53" i="10" s="1"/>
  <c r="BX160" i="4"/>
  <c r="BZ160" i="10" s="1"/>
  <c r="CA160" i="10" s="1"/>
  <c r="BX128" i="4"/>
  <c r="BZ128" i="10" s="1"/>
  <c r="CA128" i="10" s="1"/>
  <c r="BX129" i="4"/>
  <c r="BZ129" i="10" s="1"/>
  <c r="CA129" i="10" s="1"/>
  <c r="BX200" i="4"/>
  <c r="BZ200" i="10" s="1"/>
  <c r="CA200" i="10" s="1"/>
  <c r="BX102" i="4"/>
  <c r="BZ102" i="10" s="1"/>
  <c r="CA102" i="10" s="1"/>
  <c r="BW193" i="4"/>
  <c r="BY193" i="10" s="1"/>
  <c r="BX126" i="4"/>
  <c r="BZ126" i="10" s="1"/>
  <c r="CA126" i="10" s="1"/>
  <c r="BX48" i="4"/>
  <c r="BZ48" i="10" s="1"/>
  <c r="CA48" i="10" s="1"/>
  <c r="BX304" i="4"/>
  <c r="BZ304" i="10" s="1"/>
  <c r="CA304" i="10" s="1"/>
  <c r="BY20" i="4"/>
  <c r="BX189" i="4"/>
  <c r="BZ189" i="10" s="1"/>
  <c r="CA189" i="10" s="1"/>
  <c r="BX35" i="4"/>
  <c r="BZ35" i="10" s="1"/>
  <c r="CA35" i="10" s="1"/>
  <c r="BX104" i="4"/>
  <c r="BZ104" i="10" s="1"/>
  <c r="CA104" i="10" s="1"/>
  <c r="BX266" i="4"/>
  <c r="BZ266" i="10" s="1"/>
  <c r="CA266" i="10" s="1"/>
  <c r="BX239" i="4"/>
  <c r="BZ239" i="10" s="1"/>
  <c r="CA239" i="10" s="1"/>
  <c r="BX206" i="4"/>
  <c r="BZ206" i="10" s="1"/>
  <c r="CA206" i="10" s="1"/>
  <c r="BX70" i="4"/>
  <c r="BZ70" i="10" s="1"/>
  <c r="CA70" i="10" s="1"/>
  <c r="BX10" i="4"/>
  <c r="BZ10" i="10" s="1"/>
  <c r="CA10" i="10" s="1"/>
  <c r="BX232" i="4"/>
  <c r="BZ232" i="10" s="1"/>
  <c r="CA232" i="10" s="1"/>
  <c r="BX317" i="4"/>
  <c r="BZ317" i="10" s="1"/>
  <c r="CA317" i="10" s="1"/>
  <c r="BX116" i="4"/>
  <c r="BZ116" i="10" s="1"/>
  <c r="CA116" i="10" s="1"/>
  <c r="BW226" i="4"/>
  <c r="BY226" i="10" s="1"/>
  <c r="BW275" i="4"/>
  <c r="BY275" i="10" s="1"/>
  <c r="BW64" i="4"/>
  <c r="BY64" i="10" s="1"/>
  <c r="BW306" i="4"/>
  <c r="BY306" i="10" s="1"/>
  <c r="BW205" i="4"/>
  <c r="BY205" i="10" s="1"/>
  <c r="BX63" i="4"/>
  <c r="BZ63" i="10" s="1"/>
  <c r="CA63" i="10" s="1"/>
  <c r="BY311" i="4"/>
  <c r="BW94" i="4"/>
  <c r="BY94" i="10" s="1"/>
  <c r="BW156" i="4"/>
  <c r="BY156" i="10" s="1"/>
  <c r="BW78" i="4"/>
  <c r="BY78" i="10" s="1"/>
  <c r="BY106" i="4"/>
  <c r="BW192" i="4"/>
  <c r="BY192" i="10" s="1"/>
  <c r="BW96" i="4"/>
  <c r="BY96" i="10" s="1"/>
  <c r="BW187" i="4"/>
  <c r="BY187" i="10" s="1"/>
  <c r="BW195" i="4"/>
  <c r="BY195" i="10" s="1"/>
  <c r="BW152" i="4"/>
  <c r="BY152" i="10" s="1"/>
  <c r="BW335" i="4"/>
  <c r="BY335" i="10" s="1"/>
  <c r="BW183" i="4"/>
  <c r="BY183" i="10" s="1"/>
  <c r="BW312" i="4"/>
  <c r="BY312" i="10" s="1"/>
  <c r="BX273" i="4"/>
  <c r="BZ273" i="10" s="1"/>
  <c r="CA273" i="10" s="1"/>
  <c r="BX58" i="4"/>
  <c r="BZ58" i="10" s="1"/>
  <c r="CA58" i="10" s="1"/>
  <c r="BY315" i="4"/>
  <c r="BW34" i="4"/>
  <c r="BY34" i="10" s="1"/>
  <c r="BY341" i="4"/>
  <c r="BW57" i="4"/>
  <c r="BY57" i="10" s="1"/>
  <c r="BW248" i="4"/>
  <c r="BY248" i="10" s="1"/>
  <c r="BW6" i="4"/>
  <c r="BY6" i="10" s="1"/>
  <c r="BW242" i="4"/>
  <c r="BY242" i="10" s="1"/>
  <c r="BW82" i="4"/>
  <c r="BY82" i="10" s="1"/>
  <c r="BY171" i="4"/>
  <c r="BX30" i="4"/>
  <c r="BZ30" i="10" s="1"/>
  <c r="CA30" i="10" s="1"/>
  <c r="BW13" i="4"/>
  <c r="BY13" i="10" s="1"/>
  <c r="BW117" i="4"/>
  <c r="BY117" i="10" s="1"/>
  <c r="BX288" i="4"/>
  <c r="BZ288" i="10" s="1"/>
  <c r="CA288" i="10" s="1"/>
  <c r="BW71" i="4"/>
  <c r="BY71" i="10" s="1"/>
  <c r="BX18" i="4"/>
  <c r="BZ18" i="10" s="1"/>
  <c r="CA18" i="10" s="1"/>
  <c r="BW310" i="4"/>
  <c r="BY310" i="10" s="1"/>
  <c r="BX217" i="4"/>
  <c r="BZ217" i="10" s="1"/>
  <c r="CA217" i="10" s="1"/>
  <c r="BW7" i="4"/>
  <c r="BY7" i="10" s="1"/>
  <c r="BY36" i="4"/>
  <c r="BY56" i="4"/>
  <c r="BX213" i="4"/>
  <c r="BZ213" i="10" s="1"/>
  <c r="CA213" i="10" s="1"/>
  <c r="BX100" i="4"/>
  <c r="BZ100" i="10" s="1"/>
  <c r="CA100" i="10" s="1"/>
  <c r="BX139" i="4"/>
  <c r="BZ139" i="10" s="1"/>
  <c r="CA139" i="10" s="1"/>
  <c r="BX241" i="4"/>
  <c r="BZ241" i="10" s="1"/>
  <c r="CA241" i="10" s="1"/>
  <c r="BW68" i="4"/>
  <c r="BY68" i="10" s="1"/>
  <c r="BX90" i="4"/>
  <c r="BZ90" i="10" s="1"/>
  <c r="CA90" i="10" s="1"/>
  <c r="BW337" i="4"/>
  <c r="BY337" i="10" s="1"/>
  <c r="BX255" i="4"/>
  <c r="BZ255" i="10" s="1"/>
  <c r="CA255" i="10" s="1"/>
  <c r="BX142" i="4"/>
  <c r="BZ142" i="10" s="1"/>
  <c r="CA142" i="10" s="1"/>
  <c r="BW252" i="4"/>
  <c r="BY252" i="10" s="1"/>
  <c r="BW224" i="4"/>
  <c r="BY224" i="10" s="1"/>
  <c r="BW80" i="4"/>
  <c r="BY80" i="10" s="1"/>
  <c r="BW153" i="4"/>
  <c r="BY153" i="10" s="1"/>
  <c r="BX333" i="4"/>
  <c r="BZ333" i="10" s="1"/>
  <c r="CA333" i="10" s="1"/>
  <c r="BX115" i="4"/>
  <c r="BZ115" i="10" s="1"/>
  <c r="CA115" i="10" s="1"/>
  <c r="BX138" i="4"/>
  <c r="BZ138" i="10" s="1"/>
  <c r="CA138" i="10" s="1"/>
  <c r="BX196" i="4"/>
  <c r="BZ196" i="10" s="1"/>
  <c r="CA196" i="10" s="1"/>
  <c r="BX19" i="4"/>
  <c r="BZ19" i="10" s="1"/>
  <c r="CA19" i="10" s="1"/>
  <c r="BX39" i="4"/>
  <c r="BZ39" i="10" s="1"/>
  <c r="CA39" i="10" s="1"/>
  <c r="BX91" i="4"/>
  <c r="BZ91" i="10" s="1"/>
  <c r="CA91" i="10" s="1"/>
  <c r="BX281" i="4"/>
  <c r="BZ281" i="10" s="1"/>
  <c r="CA281" i="10" s="1"/>
  <c r="BY250" i="4"/>
  <c r="BX233" i="4"/>
  <c r="BZ233" i="10" s="1"/>
  <c r="CA233" i="10" s="1"/>
  <c r="BX62" i="4"/>
  <c r="BZ62" i="10" s="1"/>
  <c r="CA62" i="10" s="1"/>
  <c r="BX181" i="4"/>
  <c r="BZ181" i="10" s="1"/>
  <c r="CA181" i="10" s="1"/>
  <c r="BX180" i="4"/>
  <c r="BZ180" i="10" s="1"/>
  <c r="CA180" i="10" s="1"/>
  <c r="BW84" i="4"/>
  <c r="BY84" i="10" s="1"/>
  <c r="BX274" i="4"/>
  <c r="BZ274" i="10" s="1"/>
  <c r="CA274" i="10" s="1"/>
  <c r="BW118" i="4"/>
  <c r="BY118" i="10" s="1"/>
  <c r="BW97" i="4"/>
  <c r="BY97" i="10" s="1"/>
  <c r="BW173" i="4"/>
  <c r="BY173" i="10" s="1"/>
  <c r="BW332" i="4"/>
  <c r="BY332" i="10" s="1"/>
  <c r="BW289" i="4"/>
  <c r="BY289" i="10" s="1"/>
  <c r="BY184" i="4"/>
  <c r="BY161" i="4"/>
  <c r="BY299" i="4"/>
  <c r="BX258" i="4"/>
  <c r="BZ258" i="10" s="1"/>
  <c r="CA258" i="10" s="1"/>
  <c r="BW5" i="4"/>
  <c r="BY5" i="10" s="1"/>
  <c r="BX267" i="4"/>
  <c r="BZ267" i="10" s="1"/>
  <c r="CA267" i="10" s="1"/>
  <c r="BX260" i="4"/>
  <c r="BZ260" i="10" s="1"/>
  <c r="CA260" i="10" s="1"/>
  <c r="BW127" i="4"/>
  <c r="BY127" i="10" s="1"/>
  <c r="BX290" i="4"/>
  <c r="BZ290" i="10" s="1"/>
  <c r="CA290" i="10" s="1"/>
  <c r="BW164" i="4"/>
  <c r="BY164" i="10" s="1"/>
  <c r="BW198" i="4"/>
  <c r="BY198" i="10" s="1"/>
  <c r="BX33" i="4"/>
  <c r="BZ33" i="10" s="1"/>
  <c r="CA33" i="10" s="1"/>
  <c r="BX286" i="4"/>
  <c r="BZ286" i="10" s="1"/>
  <c r="CA286" i="10" s="1"/>
  <c r="BW328" i="4"/>
  <c r="BY328" i="10" s="1"/>
  <c r="BW207" i="4"/>
  <c r="BY207" i="10" s="1"/>
  <c r="BW144" i="4"/>
  <c r="BY144" i="10" s="1"/>
  <c r="BW163" i="4"/>
  <c r="BY163" i="10" s="1"/>
  <c r="BW25" i="4"/>
  <c r="BY25" i="10" s="1"/>
  <c r="BW113" i="4"/>
  <c r="BY113" i="10" s="1"/>
  <c r="BW215" i="4"/>
  <c r="BY215" i="10" s="1"/>
  <c r="BW75" i="4"/>
  <c r="BY75" i="10" s="1"/>
  <c r="BW46" i="4"/>
  <c r="BY46" i="10" s="1"/>
  <c r="BW136" i="4"/>
  <c r="BY136" i="10" s="1"/>
  <c r="BW99" i="4"/>
  <c r="BY99" i="10" s="1"/>
  <c r="BW197" i="4"/>
  <c r="BY197" i="10" s="1"/>
  <c r="BY111" i="4"/>
  <c r="BW55" i="4"/>
  <c r="BY55" i="10" s="1"/>
  <c r="BY103" i="4"/>
  <c r="BW177" i="4"/>
  <c r="BY177" i="10" s="1"/>
  <c r="BX249" i="4"/>
  <c r="BZ249" i="10" s="1"/>
  <c r="CA249" i="10" s="1"/>
  <c r="BX330" i="4"/>
  <c r="BZ330" i="10" s="1"/>
  <c r="CA330" i="10" s="1"/>
  <c r="BX182" i="4"/>
  <c r="BZ182" i="10" s="1"/>
  <c r="CA182" i="10" s="1"/>
  <c r="BX284" i="4"/>
  <c r="BZ284" i="10" s="1"/>
  <c r="CA284" i="10" s="1"/>
  <c r="BX323" i="4"/>
  <c r="BZ323" i="10" s="1"/>
  <c r="CA323" i="10" s="1"/>
  <c r="BX51" i="4"/>
  <c r="BZ51" i="10" s="1"/>
  <c r="CA51" i="10" s="1"/>
  <c r="BX339" i="4"/>
  <c r="BZ339" i="10" s="1"/>
  <c r="CA339" i="10" s="1"/>
  <c r="BW149" i="4"/>
  <c r="BY149" i="10" s="1"/>
  <c r="E125" i="6"/>
  <c r="E58" i="6"/>
  <c r="E123" i="6" s="1"/>
  <c r="BX52" i="4" l="1"/>
  <c r="BZ52" i="10" s="1"/>
  <c r="CA52" i="10" s="1"/>
  <c r="BY52" i="10"/>
  <c r="BY92" i="4"/>
  <c r="BZ92" i="10"/>
  <c r="CA92" i="10" s="1"/>
  <c r="BY214" i="4"/>
  <c r="BZ214" i="10"/>
  <c r="CA214" i="10" s="1"/>
  <c r="BY251" i="4"/>
  <c r="BY61" i="4"/>
  <c r="BY272" i="4"/>
  <c r="BY122" i="4"/>
  <c r="BY201" i="4"/>
  <c r="BY69" i="4"/>
  <c r="BY321" i="4"/>
  <c r="BY49" i="4"/>
  <c r="BY43" i="4"/>
  <c r="BY231" i="4"/>
  <c r="BY165" i="4"/>
  <c r="BY329" i="4"/>
  <c r="BY40" i="4"/>
  <c r="BY225" i="4"/>
  <c r="BY158" i="4"/>
  <c r="BY134" i="4"/>
  <c r="BY267" i="4"/>
  <c r="BX173" i="4"/>
  <c r="BZ173" i="10" s="1"/>
  <c r="CA173" i="10" s="1"/>
  <c r="BY90" i="4"/>
  <c r="BX13" i="4"/>
  <c r="BZ13" i="10" s="1"/>
  <c r="CA13" i="10" s="1"/>
  <c r="BX242" i="4"/>
  <c r="BZ242" i="10" s="1"/>
  <c r="CA242" i="10" s="1"/>
  <c r="BX34" i="4"/>
  <c r="BZ34" i="10" s="1"/>
  <c r="CA34" i="10" s="1"/>
  <c r="BY273" i="4"/>
  <c r="BX187" i="4"/>
  <c r="BZ187" i="10" s="1"/>
  <c r="CA187" i="10" s="1"/>
  <c r="BX156" i="4"/>
  <c r="BZ156" i="10" s="1"/>
  <c r="CA156" i="10" s="1"/>
  <c r="BX205" i="4"/>
  <c r="BZ205" i="10" s="1"/>
  <c r="CA205" i="10" s="1"/>
  <c r="BY116" i="4"/>
  <c r="BY10" i="4"/>
  <c r="BY239" i="4"/>
  <c r="BY35" i="4"/>
  <c r="BY304" i="4"/>
  <c r="BY4" i="4"/>
  <c r="BY342" i="4" s="1"/>
  <c r="BX342" i="4"/>
  <c r="BY86" i="4"/>
  <c r="BX318" i="4"/>
  <c r="BZ318" i="10" s="1"/>
  <c r="CA318" i="10" s="1"/>
  <c r="BX154" i="4"/>
  <c r="BZ154" i="10" s="1"/>
  <c r="CA154" i="10" s="1"/>
  <c r="BY74" i="4"/>
  <c r="BX188" i="4"/>
  <c r="BZ188" i="10" s="1"/>
  <c r="CA188" i="10" s="1"/>
  <c r="BX41" i="4"/>
  <c r="BZ41" i="10" s="1"/>
  <c r="CA41" i="10" s="1"/>
  <c r="BY291" i="4"/>
  <c r="BX170" i="4"/>
  <c r="BZ170" i="10" s="1"/>
  <c r="CA170" i="10" s="1"/>
  <c r="BY107" i="4"/>
  <c r="BX77" i="4"/>
  <c r="BZ77" i="10" s="1"/>
  <c r="CA77" i="10" s="1"/>
  <c r="BY12" i="4"/>
  <c r="BY121" i="4"/>
  <c r="BY22" i="4"/>
  <c r="BY264" i="4"/>
  <c r="BY263" i="4"/>
  <c r="BY143" i="4"/>
  <c r="BY155" i="4"/>
  <c r="BX297" i="4"/>
  <c r="BZ297" i="10" s="1"/>
  <c r="CA297" i="10" s="1"/>
  <c r="BX119" i="4"/>
  <c r="BZ119" i="10" s="1"/>
  <c r="CA119" i="10" s="1"/>
  <c r="BX27" i="4"/>
  <c r="BZ27" i="10" s="1"/>
  <c r="CA27" i="10" s="1"/>
  <c r="BY131" i="4"/>
  <c r="BY159" i="4"/>
  <c r="BY244" i="4"/>
  <c r="BY186" i="4"/>
  <c r="BY216" i="4"/>
  <c r="BY259" i="4"/>
  <c r="BY85" i="4"/>
  <c r="BY296" i="4"/>
  <c r="BY229" i="4"/>
  <c r="BX197" i="4"/>
  <c r="BZ197" i="10" s="1"/>
  <c r="CA197" i="10" s="1"/>
  <c r="BX113" i="4"/>
  <c r="BZ113" i="10" s="1"/>
  <c r="CA113" i="10" s="1"/>
  <c r="BY51" i="4"/>
  <c r="BY286" i="4"/>
  <c r="BY91" i="4"/>
  <c r="BX312" i="4"/>
  <c r="BZ312" i="10" s="1"/>
  <c r="CA312" i="10" s="1"/>
  <c r="BX96" i="4"/>
  <c r="BZ96" i="10" s="1"/>
  <c r="CA96" i="10" s="1"/>
  <c r="BY102" i="4"/>
  <c r="BY128" i="4"/>
  <c r="BY340" i="4"/>
  <c r="BY269" i="4"/>
  <c r="BY203" i="4"/>
  <c r="BY32" i="4"/>
  <c r="BY50" i="4"/>
  <c r="BY112" i="4"/>
  <c r="BY236" i="4"/>
  <c r="BY105" i="4"/>
  <c r="BX31" i="4"/>
  <c r="BZ31" i="10" s="1"/>
  <c r="CA31" i="10" s="1"/>
  <c r="BX221" i="4"/>
  <c r="BZ221" i="10" s="1"/>
  <c r="CA221" i="10" s="1"/>
  <c r="BX108" i="4"/>
  <c r="BZ108" i="10" s="1"/>
  <c r="CA108" i="10" s="1"/>
  <c r="BX147" i="4"/>
  <c r="BZ147" i="10" s="1"/>
  <c r="CA147" i="10" s="1"/>
  <c r="BX338" i="4"/>
  <c r="BZ338" i="10" s="1"/>
  <c r="CA338" i="10" s="1"/>
  <c r="BX307" i="4"/>
  <c r="BZ307" i="10" s="1"/>
  <c r="CA307" i="10" s="1"/>
  <c r="BX54" i="4"/>
  <c r="BZ54" i="10" s="1"/>
  <c r="CA54" i="10" s="1"/>
  <c r="BX243" i="4"/>
  <c r="BZ243" i="10" s="1"/>
  <c r="CA243" i="10" s="1"/>
  <c r="BX167" i="4"/>
  <c r="BZ167" i="10" s="1"/>
  <c r="CA167" i="10" s="1"/>
  <c r="BX322" i="4"/>
  <c r="BZ322" i="10" s="1"/>
  <c r="CA322" i="10" s="1"/>
  <c r="BX98" i="4"/>
  <c r="BZ98" i="10" s="1"/>
  <c r="CA98" i="10" s="1"/>
  <c r="BY59" i="4"/>
  <c r="BY313" i="4"/>
  <c r="BY199" i="4"/>
  <c r="BY253" i="4"/>
  <c r="BY227" i="4"/>
  <c r="BY336" i="4"/>
  <c r="BY135" i="4"/>
  <c r="BY73" i="4"/>
  <c r="BY326" i="4"/>
  <c r="BY176" i="4"/>
  <c r="BY316" i="4"/>
  <c r="BX94" i="4"/>
  <c r="BZ94" i="10" s="1"/>
  <c r="CA94" i="10" s="1"/>
  <c r="BX136" i="4"/>
  <c r="BZ136" i="10" s="1"/>
  <c r="CA136" i="10" s="1"/>
  <c r="BX163" i="4"/>
  <c r="BZ163" i="10" s="1"/>
  <c r="CA163" i="10" s="1"/>
  <c r="BX127" i="4"/>
  <c r="BZ127" i="10" s="1"/>
  <c r="CA127" i="10" s="1"/>
  <c r="BX118" i="4"/>
  <c r="BZ118" i="10" s="1"/>
  <c r="CA118" i="10" s="1"/>
  <c r="BX153" i="4"/>
  <c r="BZ153" i="10" s="1"/>
  <c r="CA153" i="10" s="1"/>
  <c r="BX7" i="4"/>
  <c r="BZ7" i="10" s="1"/>
  <c r="CA7" i="10" s="1"/>
  <c r="BX71" i="4"/>
  <c r="BZ71" i="10" s="1"/>
  <c r="CA71" i="10" s="1"/>
  <c r="BY30" i="4"/>
  <c r="BX248" i="4"/>
  <c r="BZ248" i="10" s="1"/>
  <c r="CA248" i="10" s="1"/>
  <c r="BX183" i="4"/>
  <c r="BZ183" i="10" s="1"/>
  <c r="CA183" i="10" s="1"/>
  <c r="BX192" i="4"/>
  <c r="BZ192" i="10" s="1"/>
  <c r="CA192" i="10" s="1"/>
  <c r="BX64" i="4"/>
  <c r="BZ64" i="10" s="1"/>
  <c r="CA64" i="10" s="1"/>
  <c r="BY317" i="4"/>
  <c r="BY70" i="4"/>
  <c r="BY266" i="4"/>
  <c r="BY189" i="4"/>
  <c r="BY48" i="4"/>
  <c r="BY327" i="4"/>
  <c r="BX282" i="4"/>
  <c r="BZ282" i="10" s="1"/>
  <c r="CA282" i="10" s="1"/>
  <c r="BX280" i="4"/>
  <c r="BZ280" i="10" s="1"/>
  <c r="CA280" i="10" s="1"/>
  <c r="BX212" i="4"/>
  <c r="BZ212" i="10" s="1"/>
  <c r="CA212" i="10" s="1"/>
  <c r="BY123" i="4"/>
  <c r="BX210" i="4"/>
  <c r="BZ210" i="10" s="1"/>
  <c r="CA210" i="10" s="1"/>
  <c r="BX37" i="4"/>
  <c r="BZ37" i="10" s="1"/>
  <c r="CA37" i="10" s="1"/>
  <c r="BX300" i="4"/>
  <c r="BZ300" i="10" s="1"/>
  <c r="CA300" i="10" s="1"/>
  <c r="BX137" i="4"/>
  <c r="BZ137" i="10" s="1"/>
  <c r="CA137" i="10" s="1"/>
  <c r="BX285" i="4"/>
  <c r="BZ285" i="10" s="1"/>
  <c r="CA285" i="10" s="1"/>
  <c r="BY9" i="4"/>
  <c r="BY44" i="4"/>
  <c r="BY157" i="4"/>
  <c r="BY287" i="4"/>
  <c r="BY89" i="4"/>
  <c r="BY245" i="4"/>
  <c r="BY279" i="4"/>
  <c r="BY238" i="4"/>
  <c r="BX28" i="4"/>
  <c r="BZ28" i="10" s="1"/>
  <c r="CA28" i="10" s="1"/>
  <c r="BX268" i="4"/>
  <c r="BZ268" i="10" s="1"/>
  <c r="CA268" i="10" s="1"/>
  <c r="BY270" i="4"/>
  <c r="BY319" i="4"/>
  <c r="BY190" i="4"/>
  <c r="BY246" i="4"/>
  <c r="BY169" i="4"/>
  <c r="BY110" i="4"/>
  <c r="BY265" i="4"/>
  <c r="BY17" i="4"/>
  <c r="BY283" i="4"/>
  <c r="BX177" i="4"/>
  <c r="BZ177" i="10" s="1"/>
  <c r="CA177" i="10" s="1"/>
  <c r="BY182" i="4"/>
  <c r="BX99" i="4"/>
  <c r="BZ99" i="10" s="1"/>
  <c r="CA99" i="10" s="1"/>
  <c r="BX5" i="4"/>
  <c r="BZ5" i="10" s="1"/>
  <c r="CA5" i="10" s="1"/>
  <c r="BX97" i="4"/>
  <c r="BZ97" i="10" s="1"/>
  <c r="CA97" i="10" s="1"/>
  <c r="BY180" i="4"/>
  <c r="BY196" i="4"/>
  <c r="BY142" i="4"/>
  <c r="BX68" i="4"/>
  <c r="BZ68" i="10" s="1"/>
  <c r="CA68" i="10" s="1"/>
  <c r="BY100" i="4"/>
  <c r="BY18" i="4"/>
  <c r="BX6" i="4"/>
  <c r="BZ6" i="10" s="1"/>
  <c r="CA6" i="10" s="1"/>
  <c r="BX306" i="4"/>
  <c r="BZ306" i="10" s="1"/>
  <c r="CA306" i="10" s="1"/>
  <c r="BX149" i="4"/>
  <c r="BZ149" i="10" s="1"/>
  <c r="CA149" i="10" s="1"/>
  <c r="BY323" i="4"/>
  <c r="BY330" i="4"/>
  <c r="BX55" i="4"/>
  <c r="BZ55" i="10" s="1"/>
  <c r="CA55" i="10" s="1"/>
  <c r="BX46" i="4"/>
  <c r="BZ46" i="10" s="1"/>
  <c r="CA46" i="10" s="1"/>
  <c r="BX144" i="4"/>
  <c r="BZ144" i="10" s="1"/>
  <c r="CA144" i="10" s="1"/>
  <c r="BY33" i="4"/>
  <c r="BY258" i="4"/>
  <c r="BY181" i="4"/>
  <c r="BY39" i="4"/>
  <c r="BY138" i="4"/>
  <c r="BX80" i="4"/>
  <c r="BZ80" i="10" s="1"/>
  <c r="CA80" i="10" s="1"/>
  <c r="BY255" i="4"/>
  <c r="BY241" i="4"/>
  <c r="BY213" i="4"/>
  <c r="BX57" i="4"/>
  <c r="BZ57" i="10" s="1"/>
  <c r="CA57" i="10" s="1"/>
  <c r="BX335" i="4"/>
  <c r="BZ335" i="10" s="1"/>
  <c r="CA335" i="10" s="1"/>
  <c r="BX275" i="4"/>
  <c r="BZ275" i="10" s="1"/>
  <c r="CA275" i="10" s="1"/>
  <c r="BY200" i="4"/>
  <c r="BY160" i="4"/>
  <c r="BY262" i="4"/>
  <c r="BY222" i="4"/>
  <c r="BY16" i="4"/>
  <c r="BY76" i="4"/>
  <c r="BY168" i="4"/>
  <c r="BY151" i="4"/>
  <c r="BY146" i="4"/>
  <c r="BY325" i="4"/>
  <c r="BX83" i="4"/>
  <c r="BZ83" i="10" s="1"/>
  <c r="CA83" i="10" s="1"/>
  <c r="BX276" i="4"/>
  <c r="BZ276" i="10" s="1"/>
  <c r="CA276" i="10" s="1"/>
  <c r="BY298" i="4"/>
  <c r="BX331" i="4"/>
  <c r="BZ331" i="10" s="1"/>
  <c r="CA331" i="10" s="1"/>
  <c r="BX172" i="4"/>
  <c r="BZ172" i="10" s="1"/>
  <c r="CA172" i="10" s="1"/>
  <c r="BX66" i="4"/>
  <c r="BZ66" i="10" s="1"/>
  <c r="CA66" i="10" s="1"/>
  <c r="BX295" i="4"/>
  <c r="BZ295" i="10" s="1"/>
  <c r="CA295" i="10" s="1"/>
  <c r="BY14" i="4"/>
  <c r="BX79" i="4"/>
  <c r="BZ79" i="10" s="1"/>
  <c r="CA79" i="10" s="1"/>
  <c r="BX223" i="4"/>
  <c r="BZ223" i="10" s="1"/>
  <c r="CA223" i="10" s="1"/>
  <c r="BX109" i="4"/>
  <c r="BZ109" i="10" s="1"/>
  <c r="CA109" i="10" s="1"/>
  <c r="BX218" i="4"/>
  <c r="BZ218" i="10" s="1"/>
  <c r="CA218" i="10" s="1"/>
  <c r="BY29" i="4"/>
  <c r="BY320" i="4"/>
  <c r="BY65" i="4"/>
  <c r="BY235" i="4"/>
  <c r="BY294" i="4"/>
  <c r="BX47" i="4"/>
  <c r="BZ47" i="10" s="1"/>
  <c r="CA47" i="10" s="1"/>
  <c r="BX308" i="4"/>
  <c r="BZ308" i="10" s="1"/>
  <c r="CA308" i="10" s="1"/>
  <c r="BY21" i="4"/>
  <c r="BY166" i="4"/>
  <c r="BY324" i="4"/>
  <c r="BY87" i="4"/>
  <c r="BY26" i="4"/>
  <c r="BX75" i="4"/>
  <c r="BZ75" i="10" s="1"/>
  <c r="CA75" i="10" s="1"/>
  <c r="BX207" i="4"/>
  <c r="BZ207" i="10" s="1"/>
  <c r="CA207" i="10" s="1"/>
  <c r="BX198" i="4"/>
  <c r="BZ198" i="10" s="1"/>
  <c r="CA198" i="10" s="1"/>
  <c r="BY260" i="4"/>
  <c r="BX289" i="4"/>
  <c r="BZ289" i="10" s="1"/>
  <c r="CA289" i="10" s="1"/>
  <c r="BY274" i="4"/>
  <c r="BX224" i="4"/>
  <c r="BZ224" i="10" s="1"/>
  <c r="CA224" i="10" s="1"/>
  <c r="BX337" i="4"/>
  <c r="BZ337" i="10" s="1"/>
  <c r="CA337" i="10" s="1"/>
  <c r="BY217" i="4"/>
  <c r="BY288" i="4"/>
  <c r="BY58" i="4"/>
  <c r="BX152" i="4"/>
  <c r="BZ152" i="10" s="1"/>
  <c r="CA152" i="10" s="1"/>
  <c r="BX226" i="4"/>
  <c r="BZ226" i="10" s="1"/>
  <c r="CA226" i="10" s="1"/>
  <c r="BY232" i="4"/>
  <c r="BY206" i="4"/>
  <c r="BY104" i="4"/>
  <c r="BY126" i="4"/>
  <c r="BY141" i="4"/>
  <c r="BY194" i="4"/>
  <c r="BY120" i="4"/>
  <c r="BX162" i="4"/>
  <c r="BZ162" i="10" s="1"/>
  <c r="CA162" i="10" s="1"/>
  <c r="BX174" i="4"/>
  <c r="BZ174" i="10" s="1"/>
  <c r="CA174" i="10" s="1"/>
  <c r="BY72" i="4"/>
  <c r="BX234" i="4"/>
  <c r="BZ234" i="10" s="1"/>
  <c r="CA234" i="10" s="1"/>
  <c r="BX303" i="4"/>
  <c r="BZ303" i="10" s="1"/>
  <c r="CA303" i="10" s="1"/>
  <c r="BX178" i="4"/>
  <c r="BZ178" i="10" s="1"/>
  <c r="CA178" i="10" s="1"/>
  <c r="BX132" i="4"/>
  <c r="BZ132" i="10" s="1"/>
  <c r="CA132" i="10" s="1"/>
  <c r="BX204" i="4"/>
  <c r="BZ204" i="10" s="1"/>
  <c r="CA204" i="10" s="1"/>
  <c r="BX185" i="4"/>
  <c r="BZ185" i="10" s="1"/>
  <c r="CA185" i="10" s="1"/>
  <c r="BX254" i="4"/>
  <c r="BZ254" i="10" s="1"/>
  <c r="CA254" i="10" s="1"/>
  <c r="BY24" i="4"/>
  <c r="BY11" i="4"/>
  <c r="BY220" i="4"/>
  <c r="BY140" i="4"/>
  <c r="BY247" i="4"/>
  <c r="BY93" i="4"/>
  <c r="BY230" i="4"/>
  <c r="BY256" i="4"/>
  <c r="BY81" i="4"/>
  <c r="BY305" i="4"/>
  <c r="BY95" i="4"/>
  <c r="BY60" i="4"/>
  <c r="BY237" i="4"/>
  <c r="BY261" i="4"/>
  <c r="BY114" i="4"/>
  <c r="BY145" i="4"/>
  <c r="BX101" i="4"/>
  <c r="BZ101" i="10" s="1"/>
  <c r="CA101" i="10" s="1"/>
  <c r="BX208" i="4"/>
  <c r="BZ208" i="10" s="1"/>
  <c r="CA208" i="10" s="1"/>
  <c r="BX25" i="4"/>
  <c r="BZ25" i="10" s="1"/>
  <c r="CA25" i="10" s="1"/>
  <c r="BY290" i="4"/>
  <c r="BY233" i="4"/>
  <c r="BY333" i="4"/>
  <c r="BY339" i="4"/>
  <c r="BY284" i="4"/>
  <c r="BY249" i="4"/>
  <c r="BX215" i="4"/>
  <c r="BZ215" i="10" s="1"/>
  <c r="CA215" i="10" s="1"/>
  <c r="BX328" i="4"/>
  <c r="BZ328" i="10" s="1"/>
  <c r="CA328" i="10" s="1"/>
  <c r="BX164" i="4"/>
  <c r="BZ164" i="10" s="1"/>
  <c r="CA164" i="10" s="1"/>
  <c r="BX332" i="4"/>
  <c r="BZ332" i="10" s="1"/>
  <c r="CA332" i="10" s="1"/>
  <c r="BX84" i="4"/>
  <c r="BZ84" i="10" s="1"/>
  <c r="CA84" i="10" s="1"/>
  <c r="BY62" i="4"/>
  <c r="BY281" i="4"/>
  <c r="BY19" i="4"/>
  <c r="BY115" i="4"/>
  <c r="BX252" i="4"/>
  <c r="BZ252" i="10" s="1"/>
  <c r="CA252" i="10" s="1"/>
  <c r="BY139" i="4"/>
  <c r="BX310" i="4"/>
  <c r="BZ310" i="10" s="1"/>
  <c r="CA310" i="10" s="1"/>
  <c r="BX117" i="4"/>
  <c r="BZ117" i="10" s="1"/>
  <c r="CA117" i="10" s="1"/>
  <c r="BX82" i="4"/>
  <c r="BZ82" i="10" s="1"/>
  <c r="CA82" i="10" s="1"/>
  <c r="BX195" i="4"/>
  <c r="BZ195" i="10" s="1"/>
  <c r="CA195" i="10" s="1"/>
  <c r="BX78" i="4"/>
  <c r="BZ78" i="10" s="1"/>
  <c r="CA78" i="10" s="1"/>
  <c r="BY63" i="4"/>
  <c r="BX193" i="4"/>
  <c r="BZ193" i="10" s="1"/>
  <c r="CA193" i="10" s="1"/>
  <c r="BY129" i="4"/>
  <c r="BY53" i="4"/>
  <c r="BY240" i="4"/>
  <c r="BY191" i="4"/>
  <c r="BY309" i="4"/>
  <c r="BY209" i="4"/>
  <c r="BY67" i="4"/>
  <c r="BY278" i="4"/>
  <c r="BX148" i="4"/>
  <c r="BZ148" i="10" s="1"/>
  <c r="CA148" i="10" s="1"/>
  <c r="BX292" i="4"/>
  <c r="BZ292" i="10" s="1"/>
  <c r="CA292" i="10" s="1"/>
  <c r="BX8" i="4"/>
  <c r="BZ8" i="10" s="1"/>
  <c r="CA8" i="10" s="1"/>
  <c r="BX150" i="4"/>
  <c r="BZ150" i="10" s="1"/>
  <c r="CA150" i="10" s="1"/>
  <c r="BX277" i="4"/>
  <c r="BZ277" i="10" s="1"/>
  <c r="CA277" i="10" s="1"/>
  <c r="BX38" i="4"/>
  <c r="BZ38" i="10" s="1"/>
  <c r="CA38" i="10" s="1"/>
  <c r="BY45" i="4"/>
  <c r="BX219" i="4"/>
  <c r="BZ219" i="10" s="1"/>
  <c r="CA219" i="10" s="1"/>
  <c r="BY133" i="4"/>
  <c r="BY124" i="4"/>
  <c r="BY23" i="4"/>
  <c r="BY334" i="4"/>
  <c r="BY293" i="4"/>
  <c r="BY271" i="4"/>
  <c r="BY202" i="4"/>
  <c r="BY52" i="4"/>
  <c r="BY42" i="4"/>
  <c r="BY301" i="4"/>
  <c r="BY130" i="4"/>
  <c r="BX314" i="4"/>
  <c r="BZ314" i="10" s="1"/>
  <c r="CA314" i="10" s="1"/>
  <c r="E127" i="6"/>
  <c r="E116" i="6"/>
  <c r="E117" i="6" s="1"/>
  <c r="E128" i="6" s="1"/>
  <c r="BY314" i="4" l="1"/>
  <c r="BY219" i="4"/>
  <c r="BY277" i="4"/>
  <c r="BY292" i="4"/>
  <c r="BY78" i="4"/>
  <c r="BY117" i="4"/>
  <c r="BY252" i="4"/>
  <c r="BY332" i="4"/>
  <c r="BY215" i="4"/>
  <c r="BY101" i="4"/>
  <c r="BY185" i="4"/>
  <c r="BY178" i="4"/>
  <c r="BY337" i="4"/>
  <c r="BY289" i="4"/>
  <c r="BY207" i="4"/>
  <c r="BY109" i="4"/>
  <c r="BY172" i="4"/>
  <c r="BY276" i="4"/>
  <c r="BY275" i="4"/>
  <c r="BY80" i="4"/>
  <c r="BY144" i="4"/>
  <c r="BY306" i="4"/>
  <c r="BY5" i="4"/>
  <c r="BY177" i="4"/>
  <c r="BY137" i="4"/>
  <c r="BY210" i="4"/>
  <c r="BY280" i="4"/>
  <c r="BY192" i="4"/>
  <c r="BY153" i="4"/>
  <c r="BY163" i="4"/>
  <c r="BY322" i="4"/>
  <c r="BY54" i="4"/>
  <c r="BY147" i="4"/>
  <c r="BY31" i="4"/>
  <c r="BY312" i="4"/>
  <c r="BY27" i="4"/>
  <c r="BY170" i="4"/>
  <c r="BY188" i="4"/>
  <c r="BY318" i="4"/>
  <c r="BY156" i="4"/>
  <c r="BY34" i="4"/>
  <c r="BY150" i="4"/>
  <c r="BY148" i="4"/>
  <c r="BY193" i="4"/>
  <c r="BY195" i="4"/>
  <c r="BY310" i="4"/>
  <c r="BY164" i="4"/>
  <c r="BY25" i="4"/>
  <c r="BY204" i="4"/>
  <c r="BY303" i="4"/>
  <c r="BY174" i="4"/>
  <c r="BY226" i="4"/>
  <c r="BY224" i="4"/>
  <c r="BY75" i="4"/>
  <c r="BY308" i="4"/>
  <c r="BY223" i="4"/>
  <c r="BY295" i="4"/>
  <c r="BY331" i="4"/>
  <c r="BY83" i="4"/>
  <c r="BY335" i="4"/>
  <c r="BY46" i="4"/>
  <c r="BY6" i="4"/>
  <c r="BY68" i="4"/>
  <c r="BY99" i="4"/>
  <c r="BY268" i="4"/>
  <c r="BY300" i="4"/>
  <c r="BY282" i="4"/>
  <c r="BY183" i="4"/>
  <c r="BY71" i="4"/>
  <c r="BY118" i="4"/>
  <c r="BY136" i="4"/>
  <c r="BY167" i="4"/>
  <c r="BY307" i="4"/>
  <c r="BY108" i="4"/>
  <c r="BY113" i="4"/>
  <c r="BY119" i="4"/>
  <c r="BY77" i="4"/>
  <c r="BY187" i="4"/>
  <c r="BY242" i="4"/>
  <c r="BY173" i="4"/>
  <c r="BY38" i="4"/>
  <c r="BY8" i="4"/>
  <c r="BY82" i="4"/>
  <c r="BY84" i="4"/>
  <c r="BY328" i="4"/>
  <c r="BY208" i="4"/>
  <c r="BY254" i="4"/>
  <c r="BY132" i="4"/>
  <c r="BY234" i="4"/>
  <c r="BY162" i="4"/>
  <c r="BY152" i="4"/>
  <c r="BY198" i="4"/>
  <c r="BY47" i="4"/>
  <c r="BY218" i="4"/>
  <c r="BY79" i="4"/>
  <c r="BY66" i="4"/>
  <c r="BY57" i="4"/>
  <c r="BY55" i="4"/>
  <c r="BY149" i="4"/>
  <c r="BY97" i="4"/>
  <c r="BY28" i="4"/>
  <c r="BY285" i="4"/>
  <c r="BY37" i="4"/>
  <c r="BY212" i="4"/>
  <c r="BY64" i="4"/>
  <c r="BY248" i="4"/>
  <c r="BY7" i="4"/>
  <c r="BY127" i="4"/>
  <c r="BY94" i="4"/>
  <c r="BY98" i="4"/>
  <c r="BY243" i="4"/>
  <c r="BY338" i="4"/>
  <c r="BY221" i="4"/>
  <c r="BY96" i="4"/>
  <c r="BY197" i="4"/>
  <c r="BY297" i="4"/>
  <c r="BY41" i="4"/>
  <c r="BY154" i="4"/>
  <c r="CA342" i="10"/>
  <c r="BZ342" i="10"/>
  <c r="BY205" i="4"/>
  <c r="BY13" i="4"/>
  <c r="E129" i="6"/>
  <c r="E130" i="6" s="1"/>
  <c r="BZ349" i="10" l="1"/>
  <c r="CA349" i="10"/>
  <c r="CD1" i="5"/>
  <c r="CC1" i="5"/>
  <c r="CB1" i="5"/>
  <c r="CA1" i="5"/>
  <c r="BZ1" i="5"/>
  <c r="BY1" i="5"/>
  <c r="BX1" i="5"/>
  <c r="BW1" i="5"/>
  <c r="BV1" i="5"/>
  <c r="BU1" i="5"/>
  <c r="BT1" i="5"/>
  <c r="BS1" i="5"/>
  <c r="BR1" i="5"/>
  <c r="BQ1" i="5"/>
  <c r="BP1" i="5"/>
  <c r="BO1" i="5"/>
  <c r="BN1" i="5"/>
  <c r="BM1" i="5"/>
  <c r="BL1" i="5"/>
  <c r="BK1" i="5"/>
  <c r="BJ1" i="5"/>
  <c r="BI1" i="5"/>
  <c r="BH1" i="5"/>
  <c r="BG1" i="5"/>
  <c r="BF1" i="5"/>
  <c r="BE1" i="5"/>
  <c r="BD1" i="5"/>
  <c r="BC1" i="5"/>
  <c r="BB1" i="5"/>
  <c r="BA1" i="5"/>
  <c r="AZ1" i="5"/>
  <c r="AY1" i="5"/>
  <c r="AX1" i="5"/>
  <c r="AW1" i="5"/>
  <c r="AV1" i="5"/>
  <c r="AU1" i="5"/>
  <c r="AT1" i="5"/>
  <c r="AS1" i="5"/>
  <c r="AR1" i="5"/>
  <c r="AQ1" i="5"/>
  <c r="AP1" i="5"/>
  <c r="AO1" i="5"/>
  <c r="AN1" i="5"/>
  <c r="AM1" i="5"/>
  <c r="AL1" i="5"/>
  <c r="AK1" i="5"/>
  <c r="AJ1" i="5"/>
  <c r="AI1" i="5"/>
  <c r="AH1" i="5"/>
  <c r="AG1" i="5"/>
  <c r="AF1" i="5"/>
  <c r="AE1" i="5"/>
  <c r="AD1" i="5"/>
  <c r="AC1" i="5"/>
  <c r="AB1" i="5"/>
  <c r="AA1" i="5"/>
  <c r="Z1" i="5"/>
  <c r="Y1" i="5"/>
  <c r="X1" i="5"/>
  <c r="W1" i="5"/>
  <c r="V1" i="5"/>
  <c r="U1" i="5"/>
  <c r="T1" i="5"/>
  <c r="S1" i="5"/>
  <c r="R1" i="5"/>
  <c r="Q1" i="5"/>
  <c r="P1" i="5"/>
  <c r="O1" i="5"/>
  <c r="N1" i="5"/>
  <c r="M1" i="5"/>
  <c r="L1" i="5"/>
  <c r="K1" i="5"/>
  <c r="J1" i="5"/>
  <c r="I1" i="5"/>
  <c r="H1" i="5"/>
  <c r="G1" i="5"/>
  <c r="F1" i="5"/>
  <c r="E1" i="5"/>
  <c r="D1" i="5"/>
  <c r="C1" i="5"/>
  <c r="B1" i="5"/>
  <c r="BZ2" i="5" a="1"/>
  <c r="BT2" i="5" a="1"/>
  <c r="BN2" i="5" a="1"/>
  <c r="BH2" i="5" a="1"/>
  <c r="BB2" i="5" a="1"/>
  <c r="AV2" i="5" a="1"/>
  <c r="AP2" i="5" a="1"/>
  <c r="AJ2" i="5" a="1"/>
  <c r="AD2" i="5" a="1"/>
  <c r="X2" i="5" a="1"/>
  <c r="R2" i="5" a="1"/>
  <c r="L2" i="5" a="1"/>
  <c r="F2" i="5" a="1"/>
  <c r="K2" i="5" a="1"/>
  <c r="AY2" i="5" a="1"/>
  <c r="I2" i="5" a="1"/>
  <c r="BV2" i="5" a="1"/>
  <c r="BY2" i="5" a="1"/>
  <c r="BS2" i="5" a="1"/>
  <c r="BM2" i="5" a="1"/>
  <c r="BG2" i="5" a="1"/>
  <c r="BA2" i="5" a="1"/>
  <c r="AU2" i="5" a="1"/>
  <c r="AO2" i="5" a="1"/>
  <c r="AI2" i="5" a="1"/>
  <c r="AC2" i="5" a="1"/>
  <c r="W2" i="5" a="1"/>
  <c r="Q2" i="5" a="1"/>
  <c r="E2" i="5" a="1"/>
  <c r="BE2" i="5" a="1"/>
  <c r="U2" i="5" a="1"/>
  <c r="BJ2" i="5" a="1"/>
  <c r="S2" i="5" a="1"/>
  <c r="CD2" i="5" a="1"/>
  <c r="BX2" i="5" a="1"/>
  <c r="BR2" i="5" a="1"/>
  <c r="BL2" i="5" a="1"/>
  <c r="BF2" i="5" a="1"/>
  <c r="AZ2" i="5" a="1"/>
  <c r="AT2" i="5" a="1"/>
  <c r="AN2" i="5" a="1"/>
  <c r="AH2" i="5" a="1"/>
  <c r="AB2" i="5" a="1"/>
  <c r="V2" i="5" a="1"/>
  <c r="P2" i="5" a="1"/>
  <c r="J2" i="5" a="1"/>
  <c r="D2" i="5" a="1"/>
  <c r="BK2" i="5" a="1"/>
  <c r="C2" i="5" a="1"/>
  <c r="BD2" i="5" a="1"/>
  <c r="T2" i="5" a="1"/>
  <c r="BO2" i="5" a="1"/>
  <c r="CC2" i="5" a="1"/>
  <c r="BW2" i="5" a="1"/>
  <c r="BQ2" i="5" a="1"/>
  <c r="AS2" i="5" a="1"/>
  <c r="AM2" i="5" a="1"/>
  <c r="AG2" i="5" a="1"/>
  <c r="AA2" i="5" a="1"/>
  <c r="O2" i="5" a="1"/>
  <c r="Y2" i="5" a="1"/>
  <c r="CB2" i="5" a="1"/>
  <c r="BP2" i="5" a="1"/>
  <c r="AX2" i="5" a="1"/>
  <c r="AR2" i="5" a="1"/>
  <c r="AL2" i="5" a="1"/>
  <c r="AF2" i="5" a="1"/>
  <c r="Z2" i="5" a="1"/>
  <c r="N2" i="5" a="1"/>
  <c r="B2" i="5" a="1"/>
  <c r="BC2" i="5" a="1"/>
  <c r="CA2" i="5" a="1"/>
  <c r="BU2" i="5" a="1"/>
  <c r="BI2" i="5" a="1"/>
  <c r="AW2" i="5" a="1"/>
  <c r="AQ2" i="5" a="1"/>
  <c r="AK2" i="5" a="1"/>
  <c r="AE2" i="5" a="1"/>
  <c r="M2" i="5" a="1"/>
  <c r="M2" i="5" l="1"/>
  <c r="AE2" i="5"/>
  <c r="AK2" i="5"/>
  <c r="AQ2" i="5"/>
  <c r="AW2" i="5"/>
  <c r="BI2" i="5"/>
  <c r="BU2" i="5"/>
  <c r="BU337" i="5"/>
  <c r="BU331" i="5"/>
  <c r="BU325" i="5"/>
  <c r="BU319" i="5"/>
  <c r="BU313" i="5"/>
  <c r="BU307" i="5"/>
  <c r="BU301" i="5"/>
  <c r="BU295" i="5"/>
  <c r="BU289" i="5"/>
  <c r="BU283" i="5"/>
  <c r="BU277" i="5"/>
  <c r="BU271" i="5"/>
  <c r="BU265" i="5"/>
  <c r="BU259" i="5"/>
  <c r="BU253" i="5"/>
  <c r="BU247" i="5"/>
  <c r="BU241" i="5"/>
  <c r="BU235" i="5"/>
  <c r="BU229" i="5"/>
  <c r="BU223" i="5"/>
  <c r="BU217" i="5"/>
  <c r="BU211" i="5"/>
  <c r="BU205" i="5"/>
  <c r="BU199" i="5"/>
  <c r="BU193" i="5"/>
  <c r="BU187" i="5"/>
  <c r="BU181" i="5"/>
  <c r="BU175" i="5"/>
  <c r="BU169" i="5"/>
  <c r="BU163" i="5"/>
  <c r="BU157" i="5"/>
  <c r="BU151" i="5"/>
  <c r="BU145" i="5"/>
  <c r="BU139" i="5"/>
  <c r="BU133" i="5"/>
  <c r="BU127" i="5"/>
  <c r="BU121" i="5"/>
  <c r="BU115" i="5"/>
  <c r="BU109" i="5"/>
  <c r="BU103" i="5"/>
  <c r="BU97" i="5"/>
  <c r="BU91" i="5"/>
  <c r="BU85" i="5"/>
  <c r="BU79" i="5"/>
  <c r="BU73" i="5"/>
  <c r="BU67" i="5"/>
  <c r="BU61" i="5"/>
  <c r="BU55" i="5"/>
  <c r="BU49" i="5"/>
  <c r="BU43" i="5"/>
  <c r="BU37" i="5"/>
  <c r="BU31" i="5"/>
  <c r="BU25" i="5"/>
  <c r="BU19" i="5"/>
  <c r="BU13" i="5"/>
  <c r="BU7" i="5"/>
  <c r="BU336" i="5"/>
  <c r="BU330" i="5"/>
  <c r="BU324" i="5"/>
  <c r="BU318" i="5"/>
  <c r="BU312" i="5"/>
  <c r="BU306" i="5"/>
  <c r="BU300" i="5"/>
  <c r="BU294" i="5"/>
  <c r="BU288" i="5"/>
  <c r="BU282" i="5"/>
  <c r="BU276" i="5"/>
  <c r="BU270" i="5"/>
  <c r="BU264" i="5"/>
  <c r="BU258" i="5"/>
  <c r="BU252" i="5"/>
  <c r="BU246" i="5"/>
  <c r="BU240" i="5"/>
  <c r="BU234" i="5"/>
  <c r="BU228" i="5"/>
  <c r="BU222" i="5"/>
  <c r="BU216" i="5"/>
  <c r="BU210" i="5"/>
  <c r="BU204" i="5"/>
  <c r="BU198" i="5"/>
  <c r="BU192" i="5"/>
  <c r="BU186" i="5"/>
  <c r="BU180" i="5"/>
  <c r="BU174" i="5"/>
  <c r="BU168" i="5"/>
  <c r="BU162" i="5"/>
  <c r="BU156" i="5"/>
  <c r="BU150" i="5"/>
  <c r="BU144" i="5"/>
  <c r="BU138" i="5"/>
  <c r="BU132" i="5"/>
  <c r="BU126" i="5"/>
  <c r="BU120" i="5"/>
  <c r="BU114" i="5"/>
  <c r="BU108" i="5"/>
  <c r="BU102" i="5"/>
  <c r="BU96" i="5"/>
  <c r="BU90" i="5"/>
  <c r="BU84" i="5"/>
  <c r="BU78" i="5"/>
  <c r="BU72" i="5"/>
  <c r="BU66" i="5"/>
  <c r="BU60" i="5"/>
  <c r="BU54" i="5"/>
  <c r="BU48" i="5"/>
  <c r="BU42" i="5"/>
  <c r="BU36" i="5"/>
  <c r="BU30" i="5"/>
  <c r="BU24" i="5"/>
  <c r="BU18" i="5"/>
  <c r="BU12" i="5"/>
  <c r="BU6" i="5"/>
  <c r="BU335" i="5"/>
  <c r="BU329" i="5"/>
  <c r="BU323" i="5"/>
  <c r="BU317" i="5"/>
  <c r="BU311" i="5"/>
  <c r="BU305" i="5"/>
  <c r="BU299" i="5"/>
  <c r="BU293" i="5"/>
  <c r="BU287" i="5"/>
  <c r="BU281" i="5"/>
  <c r="BU275" i="5"/>
  <c r="BU269" i="5"/>
  <c r="BU263" i="5"/>
  <c r="BU257" i="5"/>
  <c r="BU251" i="5"/>
  <c r="BU245" i="5"/>
  <c r="BU239" i="5"/>
  <c r="BU233" i="5"/>
  <c r="BU227" i="5"/>
  <c r="BU221" i="5"/>
  <c r="BU215" i="5"/>
  <c r="BU209" i="5"/>
  <c r="BU203" i="5"/>
  <c r="BU197" i="5"/>
  <c r="BU191" i="5"/>
  <c r="BU185" i="5"/>
  <c r="BU179" i="5"/>
  <c r="BU173" i="5"/>
  <c r="BU167" i="5"/>
  <c r="BU161" i="5"/>
  <c r="BU155" i="5"/>
  <c r="BU149" i="5"/>
  <c r="BU143" i="5"/>
  <c r="BU137" i="5"/>
  <c r="BU131" i="5"/>
  <c r="BU125" i="5"/>
  <c r="BU119" i="5"/>
  <c r="BU113" i="5"/>
  <c r="BU107" i="5"/>
  <c r="BU101" i="5"/>
  <c r="BU95" i="5"/>
  <c r="BU89" i="5"/>
  <c r="BU83" i="5"/>
  <c r="BU77" i="5"/>
  <c r="BU71" i="5"/>
  <c r="BU65" i="5"/>
  <c r="BU59" i="5"/>
  <c r="BU53" i="5"/>
  <c r="BU47" i="5"/>
  <c r="BU41" i="5"/>
  <c r="BU35" i="5"/>
  <c r="BU29" i="5"/>
  <c r="BU23" i="5"/>
  <c r="BU17" i="5"/>
  <c r="BU11" i="5"/>
  <c r="BU5" i="5"/>
  <c r="BU340" i="5"/>
  <c r="BU334" i="5"/>
  <c r="BU328" i="5"/>
  <c r="BU322" i="5"/>
  <c r="BU316" i="5"/>
  <c r="BU310" i="5"/>
  <c r="BU304" i="5"/>
  <c r="BU298" i="5"/>
  <c r="BU292" i="5"/>
  <c r="BU286" i="5"/>
  <c r="BU280" i="5"/>
  <c r="BU274" i="5"/>
  <c r="BU268" i="5"/>
  <c r="BU262" i="5"/>
  <c r="BU256" i="5"/>
  <c r="BU250" i="5"/>
  <c r="BU244" i="5"/>
  <c r="BU238" i="5"/>
  <c r="BU232" i="5"/>
  <c r="BU226" i="5"/>
  <c r="BU220" i="5"/>
  <c r="BU214" i="5"/>
  <c r="BU208" i="5"/>
  <c r="BU202" i="5"/>
  <c r="BU196" i="5"/>
  <c r="BU190" i="5"/>
  <c r="BU184" i="5"/>
  <c r="BU178" i="5"/>
  <c r="BU172" i="5"/>
  <c r="BU166" i="5"/>
  <c r="BU160" i="5"/>
  <c r="BU154" i="5"/>
  <c r="BU148" i="5"/>
  <c r="BU142" i="5"/>
  <c r="BU136" i="5"/>
  <c r="BU130" i="5"/>
  <c r="BU124" i="5"/>
  <c r="BU118" i="5"/>
  <c r="BU112" i="5"/>
  <c r="BU106" i="5"/>
  <c r="BU100" i="5"/>
  <c r="BU94" i="5"/>
  <c r="BU88" i="5"/>
  <c r="BU82" i="5"/>
  <c r="BU76" i="5"/>
  <c r="BU70" i="5"/>
  <c r="BU64" i="5"/>
  <c r="BU58" i="5"/>
  <c r="BU52" i="5"/>
  <c r="BU46" i="5"/>
  <c r="BU40" i="5"/>
  <c r="BU34" i="5"/>
  <c r="BU28" i="5"/>
  <c r="BU22" i="5"/>
  <c r="BU16" i="5"/>
  <c r="BU10" i="5"/>
  <c r="BU4" i="5"/>
  <c r="BU339" i="5"/>
  <c r="BU333" i="5"/>
  <c r="BU327" i="5"/>
  <c r="BU321" i="5"/>
  <c r="BU315" i="5"/>
  <c r="BU309" i="5"/>
  <c r="BU303" i="5"/>
  <c r="BU297" i="5"/>
  <c r="BU291" i="5"/>
  <c r="BU285" i="5"/>
  <c r="BU279" i="5"/>
  <c r="BU273" i="5"/>
  <c r="BU267" i="5"/>
  <c r="BU261" i="5"/>
  <c r="BU255" i="5"/>
  <c r="BU249" i="5"/>
  <c r="BU243" i="5"/>
  <c r="BU237" i="5"/>
  <c r="BU231" i="5"/>
  <c r="BU225" i="5"/>
  <c r="BU219" i="5"/>
  <c r="BU213" i="5"/>
  <c r="BU207" i="5"/>
  <c r="BU201" i="5"/>
  <c r="BU195" i="5"/>
  <c r="BU189" i="5"/>
  <c r="BU183" i="5"/>
  <c r="BU177" i="5"/>
  <c r="BU171" i="5"/>
  <c r="BU165" i="5"/>
  <c r="BU159" i="5"/>
  <c r="BU153" i="5"/>
  <c r="BU147" i="5"/>
  <c r="BU141" i="5"/>
  <c r="BU135" i="5"/>
  <c r="BU129" i="5"/>
  <c r="BU123" i="5"/>
  <c r="BU117" i="5"/>
  <c r="BU111" i="5"/>
  <c r="BU105" i="5"/>
  <c r="BU99" i="5"/>
  <c r="BU93" i="5"/>
  <c r="BU87" i="5"/>
  <c r="BU81" i="5"/>
  <c r="BU75" i="5"/>
  <c r="BU69" i="5"/>
  <c r="BU63" i="5"/>
  <c r="BU57" i="5"/>
  <c r="BU51" i="5"/>
  <c r="BU45" i="5"/>
  <c r="BU39" i="5"/>
  <c r="BU33" i="5"/>
  <c r="BU27" i="5"/>
  <c r="BU21" i="5"/>
  <c r="BU15" i="5"/>
  <c r="BU9" i="5"/>
  <c r="BU3" i="5"/>
  <c r="BU338" i="5"/>
  <c r="BU332" i="5"/>
  <c r="BU326" i="5"/>
  <c r="BU320" i="5"/>
  <c r="BU314" i="5"/>
  <c r="BU308" i="5"/>
  <c r="BU302" i="5"/>
  <c r="BU296" i="5"/>
  <c r="BU290" i="5"/>
  <c r="BU284" i="5"/>
  <c r="BU278" i="5"/>
  <c r="BU272" i="5"/>
  <c r="BU266" i="5"/>
  <c r="BU260" i="5"/>
  <c r="BU254" i="5"/>
  <c r="BU248" i="5"/>
  <c r="BU242" i="5"/>
  <c r="BU236" i="5"/>
  <c r="BU230" i="5"/>
  <c r="BU224" i="5"/>
  <c r="BU218" i="5"/>
  <c r="BU212" i="5"/>
  <c r="BU206" i="5"/>
  <c r="BU200" i="5"/>
  <c r="BU194" i="5"/>
  <c r="BU188" i="5"/>
  <c r="BU182" i="5"/>
  <c r="BU176" i="5"/>
  <c r="BU170" i="5"/>
  <c r="BU164" i="5"/>
  <c r="BU158" i="5"/>
  <c r="BU152" i="5"/>
  <c r="BU146" i="5"/>
  <c r="BU140" i="5"/>
  <c r="BU134" i="5"/>
  <c r="BU128" i="5"/>
  <c r="BU122" i="5"/>
  <c r="BU116" i="5"/>
  <c r="BU110" i="5"/>
  <c r="BU104" i="5"/>
  <c r="BU98" i="5"/>
  <c r="BU92" i="5"/>
  <c r="BU86" i="5"/>
  <c r="BU80" i="5"/>
  <c r="BU74" i="5"/>
  <c r="BU68" i="5"/>
  <c r="BU62" i="5"/>
  <c r="BU56" i="5"/>
  <c r="BU50" i="5"/>
  <c r="BU44" i="5"/>
  <c r="BU38" i="5"/>
  <c r="BU8" i="5"/>
  <c r="BU32" i="5"/>
  <c r="BU26" i="5"/>
  <c r="BU20" i="5"/>
  <c r="BU14" i="5"/>
  <c r="CA2" i="5"/>
  <c r="BC2" i="5"/>
  <c r="B2" i="5"/>
  <c r="B334" i="5"/>
  <c r="B328" i="5"/>
  <c r="B322" i="5"/>
  <c r="B316" i="5"/>
  <c r="B310" i="5"/>
  <c r="B304" i="5"/>
  <c r="B298" i="5"/>
  <c r="B292" i="5"/>
  <c r="B286" i="5"/>
  <c r="B280" i="5"/>
  <c r="B274" i="5"/>
  <c r="B268" i="5"/>
  <c r="B262" i="5"/>
  <c r="B256" i="5"/>
  <c r="B250" i="5"/>
  <c r="B244" i="5"/>
  <c r="B238" i="5"/>
  <c r="B232" i="5"/>
  <c r="B226" i="5"/>
  <c r="B220" i="5"/>
  <c r="B214" i="5"/>
  <c r="B208" i="5"/>
  <c r="B202" i="5"/>
  <c r="B196" i="5"/>
  <c r="B190" i="5"/>
  <c r="B184" i="5"/>
  <c r="B178" i="5"/>
  <c r="B172" i="5"/>
  <c r="B166" i="5"/>
  <c r="B160" i="5"/>
  <c r="B154" i="5"/>
  <c r="B148" i="5"/>
  <c r="B142" i="5"/>
  <c r="B136" i="5"/>
  <c r="B130" i="5"/>
  <c r="B124" i="5"/>
  <c r="B118" i="5"/>
  <c r="B112" i="5"/>
  <c r="B106" i="5"/>
  <c r="B100" i="5"/>
  <c r="B94" i="5"/>
  <c r="B88" i="5"/>
  <c r="B82" i="5"/>
  <c r="B76" i="5"/>
  <c r="B70" i="5"/>
  <c r="B64" i="5"/>
  <c r="B58" i="5"/>
  <c r="B52" i="5"/>
  <c r="B46" i="5"/>
  <c r="B40" i="5"/>
  <c r="B34" i="5"/>
  <c r="B28" i="5"/>
  <c r="B22" i="5"/>
  <c r="B16" i="5"/>
  <c r="B10" i="5"/>
  <c r="B4" i="5"/>
  <c r="B339" i="5"/>
  <c r="B333" i="5"/>
  <c r="B327" i="5"/>
  <c r="B321" i="5"/>
  <c r="B315" i="5"/>
  <c r="B309" i="5"/>
  <c r="B303" i="5"/>
  <c r="B297" i="5"/>
  <c r="B291" i="5"/>
  <c r="B285" i="5"/>
  <c r="B279" i="5"/>
  <c r="B273" i="5"/>
  <c r="B267" i="5"/>
  <c r="B261" i="5"/>
  <c r="B255" i="5"/>
  <c r="B249" i="5"/>
  <c r="B243" i="5"/>
  <c r="B237" i="5"/>
  <c r="B231" i="5"/>
  <c r="B225" i="5"/>
  <c r="B219" i="5"/>
  <c r="B213" i="5"/>
  <c r="B207" i="5"/>
  <c r="B201" i="5"/>
  <c r="B195" i="5"/>
  <c r="B189" i="5"/>
  <c r="B183" i="5"/>
  <c r="B177" i="5"/>
  <c r="B171" i="5"/>
  <c r="B165" i="5"/>
  <c r="B159" i="5"/>
  <c r="B153" i="5"/>
  <c r="B147" i="5"/>
  <c r="B141" i="5"/>
  <c r="B135" i="5"/>
  <c r="B129" i="5"/>
  <c r="B123" i="5"/>
  <c r="B117" i="5"/>
  <c r="B111" i="5"/>
  <c r="B105" i="5"/>
  <c r="B99" i="5"/>
  <c r="B93" i="5"/>
  <c r="B87" i="5"/>
  <c r="B81" i="5"/>
  <c r="B75" i="5"/>
  <c r="B69" i="5"/>
  <c r="B63" i="5"/>
  <c r="B57" i="5"/>
  <c r="B51" i="5"/>
  <c r="B45" i="5"/>
  <c r="B39" i="5"/>
  <c r="B33" i="5"/>
  <c r="B27" i="5"/>
  <c r="B21" i="5"/>
  <c r="B15" i="5"/>
  <c r="B9" i="5"/>
  <c r="B3" i="5"/>
  <c r="B338" i="5"/>
  <c r="B332" i="5"/>
  <c r="B326" i="5"/>
  <c r="B320" i="5"/>
  <c r="B314" i="5"/>
  <c r="B308" i="5"/>
  <c r="B302" i="5"/>
  <c r="B296" i="5"/>
  <c r="B290" i="5"/>
  <c r="B284" i="5"/>
  <c r="B278" i="5"/>
  <c r="B272" i="5"/>
  <c r="B266" i="5"/>
  <c r="B260" i="5"/>
  <c r="B254" i="5"/>
  <c r="B248" i="5"/>
  <c r="B242" i="5"/>
  <c r="B236" i="5"/>
  <c r="B230" i="5"/>
  <c r="B224" i="5"/>
  <c r="B218" i="5"/>
  <c r="B212" i="5"/>
  <c r="B206" i="5"/>
  <c r="B200" i="5"/>
  <c r="B194" i="5"/>
  <c r="B188" i="5"/>
  <c r="B182" i="5"/>
  <c r="B176" i="5"/>
  <c r="B170" i="5"/>
  <c r="B164" i="5"/>
  <c r="B158" i="5"/>
  <c r="B152" i="5"/>
  <c r="B146" i="5"/>
  <c r="B140" i="5"/>
  <c r="B134" i="5"/>
  <c r="B128" i="5"/>
  <c r="B122" i="5"/>
  <c r="B116" i="5"/>
  <c r="B110" i="5"/>
  <c r="B104" i="5"/>
  <c r="B98" i="5"/>
  <c r="B92" i="5"/>
  <c r="B86" i="5"/>
  <c r="B80" i="5"/>
  <c r="B74" i="5"/>
  <c r="B68" i="5"/>
  <c r="B62" i="5"/>
  <c r="B56" i="5"/>
  <c r="B50" i="5"/>
  <c r="B44" i="5"/>
  <c r="B38" i="5"/>
  <c r="B32" i="5"/>
  <c r="B26" i="5"/>
  <c r="B20" i="5"/>
  <c r="B14" i="5"/>
  <c r="B8" i="5"/>
  <c r="B337" i="5"/>
  <c r="B331" i="5"/>
  <c r="B325" i="5"/>
  <c r="B319" i="5"/>
  <c r="B313" i="5"/>
  <c r="B307" i="5"/>
  <c r="B301" i="5"/>
  <c r="B295" i="5"/>
  <c r="B289" i="5"/>
  <c r="B283" i="5"/>
  <c r="B277" i="5"/>
  <c r="B271" i="5"/>
  <c r="B265" i="5"/>
  <c r="B259" i="5"/>
  <c r="B253" i="5"/>
  <c r="B247" i="5"/>
  <c r="B241" i="5"/>
  <c r="B235" i="5"/>
  <c r="B229" i="5"/>
  <c r="B223" i="5"/>
  <c r="B217" i="5"/>
  <c r="B211" i="5"/>
  <c r="B205" i="5"/>
  <c r="B199" i="5"/>
  <c r="B193" i="5"/>
  <c r="B187" i="5"/>
  <c r="B181" i="5"/>
  <c r="B175" i="5"/>
  <c r="B169" i="5"/>
  <c r="B163" i="5"/>
  <c r="B157" i="5"/>
  <c r="B151" i="5"/>
  <c r="B145" i="5"/>
  <c r="B139" i="5"/>
  <c r="B133" i="5"/>
  <c r="B127" i="5"/>
  <c r="B121" i="5"/>
  <c r="B115" i="5"/>
  <c r="B109" i="5"/>
  <c r="B103" i="5"/>
  <c r="B97" i="5"/>
  <c r="B91" i="5"/>
  <c r="B85" i="5"/>
  <c r="B79" i="5"/>
  <c r="B73" i="5"/>
  <c r="B67" i="5"/>
  <c r="B61" i="5"/>
  <c r="B55" i="5"/>
  <c r="B49" i="5"/>
  <c r="B43" i="5"/>
  <c r="B37" i="5"/>
  <c r="B31" i="5"/>
  <c r="B25" i="5"/>
  <c r="B19" i="5"/>
  <c r="B13" i="5"/>
  <c r="B7" i="5"/>
  <c r="B6" i="5"/>
  <c r="B336" i="5"/>
  <c r="B330" i="5"/>
  <c r="B324" i="5"/>
  <c r="B318" i="5"/>
  <c r="B312" i="5"/>
  <c r="B306" i="5"/>
  <c r="B300" i="5"/>
  <c r="B294" i="5"/>
  <c r="B288" i="5"/>
  <c r="B282" i="5"/>
  <c r="B276" i="5"/>
  <c r="B270" i="5"/>
  <c r="B264" i="5"/>
  <c r="B258" i="5"/>
  <c r="B252" i="5"/>
  <c r="B246" i="5"/>
  <c r="B240" i="5"/>
  <c r="B234" i="5"/>
  <c r="B228" i="5"/>
  <c r="B222" i="5"/>
  <c r="B216" i="5"/>
  <c r="B210" i="5"/>
  <c r="B204" i="5"/>
  <c r="B198" i="5"/>
  <c r="B192" i="5"/>
  <c r="B186" i="5"/>
  <c r="B180" i="5"/>
  <c r="B174" i="5"/>
  <c r="B168" i="5"/>
  <c r="B162" i="5"/>
  <c r="B156" i="5"/>
  <c r="B150" i="5"/>
  <c r="B144" i="5"/>
  <c r="B138" i="5"/>
  <c r="B132" i="5"/>
  <c r="B126" i="5"/>
  <c r="B120" i="5"/>
  <c r="B114" i="5"/>
  <c r="B108" i="5"/>
  <c r="B102" i="5"/>
  <c r="B96" i="5"/>
  <c r="B90" i="5"/>
  <c r="B84" i="5"/>
  <c r="B78" i="5"/>
  <c r="B72" i="5"/>
  <c r="B66" i="5"/>
  <c r="B60" i="5"/>
  <c r="B54" i="5"/>
  <c r="B48" i="5"/>
  <c r="B42" i="5"/>
  <c r="B36" i="5"/>
  <c r="B30" i="5"/>
  <c r="B24" i="5"/>
  <c r="B18" i="5"/>
  <c r="B12" i="5"/>
  <c r="B335" i="5"/>
  <c r="B329" i="5"/>
  <c r="B323" i="5"/>
  <c r="B317" i="5"/>
  <c r="B311" i="5"/>
  <c r="B305" i="5"/>
  <c r="B299" i="5"/>
  <c r="B293" i="5"/>
  <c r="B287" i="5"/>
  <c r="B281" i="5"/>
  <c r="B275" i="5"/>
  <c r="B269" i="5"/>
  <c r="B263" i="5"/>
  <c r="B257" i="5"/>
  <c r="B251" i="5"/>
  <c r="B245" i="5"/>
  <c r="B239" i="5"/>
  <c r="B233" i="5"/>
  <c r="B227" i="5"/>
  <c r="B221" i="5"/>
  <c r="B215" i="5"/>
  <c r="B209" i="5"/>
  <c r="B203" i="5"/>
  <c r="B197" i="5"/>
  <c r="B191" i="5"/>
  <c r="B185" i="5"/>
  <c r="B179" i="5"/>
  <c r="B173" i="5"/>
  <c r="B167" i="5"/>
  <c r="B161" i="5"/>
  <c r="B155" i="5"/>
  <c r="B149" i="5"/>
  <c r="B143" i="5"/>
  <c r="B137" i="5"/>
  <c r="B131" i="5"/>
  <c r="B125" i="5"/>
  <c r="B119" i="5"/>
  <c r="B113" i="5"/>
  <c r="B107" i="5"/>
  <c r="B101" i="5"/>
  <c r="B95" i="5"/>
  <c r="B89" i="5"/>
  <c r="B83" i="5"/>
  <c r="B77" i="5"/>
  <c r="B71" i="5"/>
  <c r="B65" i="5"/>
  <c r="B59" i="5"/>
  <c r="B53" i="5"/>
  <c r="B47" i="5"/>
  <c r="B41" i="5"/>
  <c r="B35" i="5"/>
  <c r="B29" i="5"/>
  <c r="B23" i="5"/>
  <c r="B17" i="5"/>
  <c r="B11" i="5"/>
  <c r="B5" i="5"/>
  <c r="N2" i="5"/>
  <c r="Z2" i="5"/>
  <c r="AF2" i="5"/>
  <c r="AL2" i="5"/>
  <c r="AR2" i="5"/>
  <c r="AX2" i="5"/>
  <c r="BP2" i="5"/>
  <c r="CB2" i="5"/>
  <c r="CB337" i="5"/>
  <c r="CB331" i="5"/>
  <c r="CB325" i="5"/>
  <c r="CB319" i="5"/>
  <c r="CB313" i="5"/>
  <c r="CB307" i="5"/>
  <c r="CB301" i="5"/>
  <c r="CB295" i="5"/>
  <c r="CB289" i="5"/>
  <c r="CB283" i="5"/>
  <c r="CB277" i="5"/>
  <c r="CB271" i="5"/>
  <c r="CB265" i="5"/>
  <c r="CB259" i="5"/>
  <c r="CB253" i="5"/>
  <c r="CB247" i="5"/>
  <c r="CB241" i="5"/>
  <c r="CB235" i="5"/>
  <c r="CB229" i="5"/>
  <c r="CB223" i="5"/>
  <c r="CB217" i="5"/>
  <c r="CB211" i="5"/>
  <c r="CB205" i="5"/>
  <c r="CB199" i="5"/>
  <c r="CB193" i="5"/>
  <c r="CB187" i="5"/>
  <c r="CB181" i="5"/>
  <c r="CB175" i="5"/>
  <c r="CB169" i="5"/>
  <c r="CB163" i="5"/>
  <c r="CB157" i="5"/>
  <c r="CB151" i="5"/>
  <c r="CB145" i="5"/>
  <c r="CB139" i="5"/>
  <c r="CB133" i="5"/>
  <c r="CB127" i="5"/>
  <c r="CB121" i="5"/>
  <c r="CB115" i="5"/>
  <c r="CB109" i="5"/>
  <c r="CB103" i="5"/>
  <c r="CB97" i="5"/>
  <c r="CB91" i="5"/>
  <c r="CB85" i="5"/>
  <c r="CB79" i="5"/>
  <c r="CB73" i="5"/>
  <c r="CB67" i="5"/>
  <c r="CB61" i="5"/>
  <c r="CB55" i="5"/>
  <c r="CB49" i="5"/>
  <c r="CB43" i="5"/>
  <c r="CB37" i="5"/>
  <c r="CB31" i="5"/>
  <c r="CB25" i="5"/>
  <c r="CB19" i="5"/>
  <c r="CB13" i="5"/>
  <c r="CB7" i="5"/>
  <c r="CB336" i="5"/>
  <c r="CB330" i="5"/>
  <c r="CB324" i="5"/>
  <c r="CB318" i="5"/>
  <c r="CB312" i="5"/>
  <c r="CB306" i="5"/>
  <c r="CB300" i="5"/>
  <c r="CB294" i="5"/>
  <c r="CB288" i="5"/>
  <c r="CB282" i="5"/>
  <c r="CB276" i="5"/>
  <c r="CB270" i="5"/>
  <c r="CB264" i="5"/>
  <c r="CB258" i="5"/>
  <c r="CB252" i="5"/>
  <c r="CB246" i="5"/>
  <c r="CB240" i="5"/>
  <c r="CB234" i="5"/>
  <c r="CB228" i="5"/>
  <c r="CB222" i="5"/>
  <c r="CB216" i="5"/>
  <c r="CB210" i="5"/>
  <c r="CB204" i="5"/>
  <c r="CB198" i="5"/>
  <c r="CB192" i="5"/>
  <c r="CB186" i="5"/>
  <c r="CB180" i="5"/>
  <c r="CB174" i="5"/>
  <c r="CB168" i="5"/>
  <c r="CB162" i="5"/>
  <c r="CB156" i="5"/>
  <c r="CB150" i="5"/>
  <c r="CB144" i="5"/>
  <c r="CB138" i="5"/>
  <c r="CB132" i="5"/>
  <c r="CB126" i="5"/>
  <c r="CB120" i="5"/>
  <c r="CB114" i="5"/>
  <c r="CB108" i="5"/>
  <c r="CB102" i="5"/>
  <c r="CB96" i="5"/>
  <c r="CB90" i="5"/>
  <c r="CB84" i="5"/>
  <c r="CB78" i="5"/>
  <c r="CB72" i="5"/>
  <c r="CB66" i="5"/>
  <c r="CB60" i="5"/>
  <c r="CB54" i="5"/>
  <c r="CB48" i="5"/>
  <c r="CB42" i="5"/>
  <c r="CB36" i="5"/>
  <c r="CB30" i="5"/>
  <c r="CB24" i="5"/>
  <c r="CB18" i="5"/>
  <c r="CB12" i="5"/>
  <c r="CB6" i="5"/>
  <c r="CB335" i="5"/>
  <c r="CB329" i="5"/>
  <c r="CB323" i="5"/>
  <c r="CB317" i="5"/>
  <c r="CB311" i="5"/>
  <c r="CB305" i="5"/>
  <c r="CB299" i="5"/>
  <c r="CB293" i="5"/>
  <c r="CB287" i="5"/>
  <c r="CB281" i="5"/>
  <c r="CB275" i="5"/>
  <c r="CB269" i="5"/>
  <c r="CB263" i="5"/>
  <c r="CB257" i="5"/>
  <c r="CB251" i="5"/>
  <c r="CB245" i="5"/>
  <c r="CB239" i="5"/>
  <c r="CB233" i="5"/>
  <c r="CB227" i="5"/>
  <c r="CB221" i="5"/>
  <c r="CB215" i="5"/>
  <c r="CB209" i="5"/>
  <c r="CB203" i="5"/>
  <c r="CB197" i="5"/>
  <c r="CB191" i="5"/>
  <c r="CB185" i="5"/>
  <c r="CB179" i="5"/>
  <c r="CB173" i="5"/>
  <c r="CB167" i="5"/>
  <c r="CB161" i="5"/>
  <c r="CB155" i="5"/>
  <c r="CB149" i="5"/>
  <c r="CB143" i="5"/>
  <c r="CB137" i="5"/>
  <c r="CB131" i="5"/>
  <c r="CB125" i="5"/>
  <c r="CB119" i="5"/>
  <c r="CB113" i="5"/>
  <c r="CB107" i="5"/>
  <c r="CB101" i="5"/>
  <c r="CB95" i="5"/>
  <c r="CB89" i="5"/>
  <c r="CB83" i="5"/>
  <c r="CB77" i="5"/>
  <c r="CB71" i="5"/>
  <c r="CB65" i="5"/>
  <c r="CB59" i="5"/>
  <c r="CB53" i="5"/>
  <c r="CB47" i="5"/>
  <c r="CB41" i="5"/>
  <c r="CB35" i="5"/>
  <c r="CB29" i="5"/>
  <c r="CB23" i="5"/>
  <c r="CB17" i="5"/>
  <c r="CB11" i="5"/>
  <c r="CB5" i="5"/>
  <c r="CB334" i="5"/>
  <c r="CB328" i="5"/>
  <c r="CB322" i="5"/>
  <c r="CB316" i="5"/>
  <c r="CB310" i="5"/>
  <c r="CB304" i="5"/>
  <c r="CB298" i="5"/>
  <c r="CB292" i="5"/>
  <c r="CB286" i="5"/>
  <c r="CB280" i="5"/>
  <c r="CB274" i="5"/>
  <c r="CB268" i="5"/>
  <c r="CB262" i="5"/>
  <c r="CB256" i="5"/>
  <c r="CB250" i="5"/>
  <c r="CB244" i="5"/>
  <c r="CB238" i="5"/>
  <c r="CB232" i="5"/>
  <c r="CB226" i="5"/>
  <c r="CB220" i="5"/>
  <c r="CB214" i="5"/>
  <c r="CB208" i="5"/>
  <c r="CB202" i="5"/>
  <c r="CB196" i="5"/>
  <c r="CB190" i="5"/>
  <c r="CB184" i="5"/>
  <c r="CB178" i="5"/>
  <c r="CB172" i="5"/>
  <c r="CB166" i="5"/>
  <c r="CB160" i="5"/>
  <c r="CB154" i="5"/>
  <c r="CB148" i="5"/>
  <c r="CB142" i="5"/>
  <c r="CB136" i="5"/>
  <c r="CB130" i="5"/>
  <c r="CB124" i="5"/>
  <c r="CB118" i="5"/>
  <c r="CB112" i="5"/>
  <c r="CB106" i="5"/>
  <c r="CB100" i="5"/>
  <c r="CB94" i="5"/>
  <c r="CB88" i="5"/>
  <c r="CB82" i="5"/>
  <c r="CB76" i="5"/>
  <c r="CB70" i="5"/>
  <c r="CB64" i="5"/>
  <c r="CB58" i="5"/>
  <c r="CB52" i="5"/>
  <c r="CB46" i="5"/>
  <c r="CB40" i="5"/>
  <c r="CB34" i="5"/>
  <c r="CB28" i="5"/>
  <c r="CB22" i="5"/>
  <c r="CB16" i="5"/>
  <c r="CB10" i="5"/>
  <c r="CB4" i="5"/>
  <c r="CB339" i="5"/>
  <c r="CB333" i="5"/>
  <c r="CB327" i="5"/>
  <c r="CB321" i="5"/>
  <c r="CB315" i="5"/>
  <c r="CB309" i="5"/>
  <c r="CB303" i="5"/>
  <c r="CB297" i="5"/>
  <c r="CB291" i="5"/>
  <c r="CB285" i="5"/>
  <c r="CB279" i="5"/>
  <c r="CB273" i="5"/>
  <c r="CB267" i="5"/>
  <c r="CB261" i="5"/>
  <c r="CB255" i="5"/>
  <c r="CB249" i="5"/>
  <c r="CB243" i="5"/>
  <c r="CB237" i="5"/>
  <c r="CB231" i="5"/>
  <c r="CB225" i="5"/>
  <c r="CB219" i="5"/>
  <c r="CB213" i="5"/>
  <c r="CB207" i="5"/>
  <c r="CB201" i="5"/>
  <c r="CB195" i="5"/>
  <c r="CB189" i="5"/>
  <c r="CB183" i="5"/>
  <c r="CB177" i="5"/>
  <c r="CB171" i="5"/>
  <c r="CB165" i="5"/>
  <c r="CB159" i="5"/>
  <c r="CB153" i="5"/>
  <c r="CB147" i="5"/>
  <c r="CB141" i="5"/>
  <c r="CB135" i="5"/>
  <c r="CB129" i="5"/>
  <c r="CB123" i="5"/>
  <c r="CB117" i="5"/>
  <c r="CB111" i="5"/>
  <c r="CB105" i="5"/>
  <c r="CB99" i="5"/>
  <c r="CB93" i="5"/>
  <c r="CB87" i="5"/>
  <c r="CB81" i="5"/>
  <c r="CB75" i="5"/>
  <c r="CB69" i="5"/>
  <c r="CB63" i="5"/>
  <c r="CB57" i="5"/>
  <c r="CB51" i="5"/>
  <c r="CB45" i="5"/>
  <c r="CB39" i="5"/>
  <c r="CB33" i="5"/>
  <c r="CB27" i="5"/>
  <c r="CB21" i="5"/>
  <c r="CB15" i="5"/>
  <c r="CB9" i="5"/>
  <c r="CB3" i="5"/>
  <c r="CB338" i="5"/>
  <c r="CB332" i="5"/>
  <c r="CB326" i="5"/>
  <c r="CB320" i="5"/>
  <c r="CB314" i="5"/>
  <c r="CB308" i="5"/>
  <c r="CB302" i="5"/>
  <c r="CB296" i="5"/>
  <c r="CB290" i="5"/>
  <c r="CB284" i="5"/>
  <c r="CB278" i="5"/>
  <c r="CB272" i="5"/>
  <c r="CB266" i="5"/>
  <c r="CB260" i="5"/>
  <c r="CB254" i="5"/>
  <c r="CB248" i="5"/>
  <c r="CB242" i="5"/>
  <c r="CB236" i="5"/>
  <c r="CB230" i="5"/>
  <c r="CB224" i="5"/>
  <c r="CB218" i="5"/>
  <c r="CB212" i="5"/>
  <c r="CB206" i="5"/>
  <c r="CB200" i="5"/>
  <c r="CB194" i="5"/>
  <c r="CB188" i="5"/>
  <c r="CB182" i="5"/>
  <c r="CB176" i="5"/>
  <c r="CB170" i="5"/>
  <c r="CB164" i="5"/>
  <c r="CB158" i="5"/>
  <c r="CB152" i="5"/>
  <c r="CB146" i="5"/>
  <c r="CB140" i="5"/>
  <c r="CB134" i="5"/>
  <c r="CB128" i="5"/>
  <c r="CB122" i="5"/>
  <c r="CB116" i="5"/>
  <c r="CB110" i="5"/>
  <c r="CB104" i="5"/>
  <c r="CB98" i="5"/>
  <c r="CB92" i="5"/>
  <c r="CB86" i="5"/>
  <c r="CB80" i="5"/>
  <c r="CB74" i="5"/>
  <c r="CB68" i="5"/>
  <c r="CB62" i="5"/>
  <c r="CB56" i="5"/>
  <c r="CB50" i="5"/>
  <c r="CB44" i="5"/>
  <c r="CB38" i="5"/>
  <c r="CB32" i="5"/>
  <c r="CB26" i="5"/>
  <c r="CB20" i="5"/>
  <c r="CB14" i="5"/>
  <c r="CB8" i="5"/>
  <c r="Y2" i="5"/>
  <c r="O2" i="5"/>
  <c r="AA2" i="5"/>
  <c r="AG2" i="5"/>
  <c r="AM2" i="5"/>
  <c r="AS2" i="5"/>
  <c r="BQ2" i="5"/>
  <c r="BW2" i="5"/>
  <c r="BW339" i="5"/>
  <c r="BW333" i="5"/>
  <c r="BW327" i="5"/>
  <c r="BW321" i="5"/>
  <c r="BW315" i="5"/>
  <c r="BW309" i="5"/>
  <c r="BW303" i="5"/>
  <c r="BW297" i="5"/>
  <c r="BW291" i="5"/>
  <c r="BW285" i="5"/>
  <c r="BW279" i="5"/>
  <c r="BW273" i="5"/>
  <c r="BW267" i="5"/>
  <c r="BW261" i="5"/>
  <c r="BW255" i="5"/>
  <c r="BW249" i="5"/>
  <c r="BW243" i="5"/>
  <c r="BW237" i="5"/>
  <c r="BW231" i="5"/>
  <c r="BW225" i="5"/>
  <c r="BW219" i="5"/>
  <c r="BW213" i="5"/>
  <c r="BW207" i="5"/>
  <c r="BW201" i="5"/>
  <c r="BW195" i="5"/>
  <c r="BW189" i="5"/>
  <c r="BW183" i="5"/>
  <c r="BW177" i="5"/>
  <c r="BW171" i="5"/>
  <c r="BW165" i="5"/>
  <c r="BW159" i="5"/>
  <c r="BW153" i="5"/>
  <c r="BW147" i="5"/>
  <c r="BW141" i="5"/>
  <c r="BW135" i="5"/>
  <c r="BW129" i="5"/>
  <c r="BW123" i="5"/>
  <c r="BW117" i="5"/>
  <c r="BW111" i="5"/>
  <c r="BW105" i="5"/>
  <c r="BW99" i="5"/>
  <c r="BW93" i="5"/>
  <c r="BW87" i="5"/>
  <c r="BW81" i="5"/>
  <c r="BW75" i="5"/>
  <c r="BW69" i="5"/>
  <c r="BW63" i="5"/>
  <c r="BW57" i="5"/>
  <c r="BW51" i="5"/>
  <c r="BW45" i="5"/>
  <c r="BW39" i="5"/>
  <c r="BW33" i="5"/>
  <c r="BW27" i="5"/>
  <c r="BW21" i="5"/>
  <c r="BW15" i="5"/>
  <c r="BW9" i="5"/>
  <c r="BW3" i="5"/>
  <c r="BW338" i="5"/>
  <c r="BW332" i="5"/>
  <c r="BW326" i="5"/>
  <c r="BW320" i="5"/>
  <c r="BW314" i="5"/>
  <c r="BW308" i="5"/>
  <c r="BW302" i="5"/>
  <c r="BW296" i="5"/>
  <c r="BW290" i="5"/>
  <c r="BW284" i="5"/>
  <c r="BW278" i="5"/>
  <c r="BW272" i="5"/>
  <c r="BW266" i="5"/>
  <c r="BW260" i="5"/>
  <c r="BW254" i="5"/>
  <c r="BW248" i="5"/>
  <c r="BW242" i="5"/>
  <c r="BW236" i="5"/>
  <c r="BW230" i="5"/>
  <c r="BW224" i="5"/>
  <c r="BW218" i="5"/>
  <c r="BW212" i="5"/>
  <c r="BW206" i="5"/>
  <c r="BW200" i="5"/>
  <c r="BW194" i="5"/>
  <c r="BW188" i="5"/>
  <c r="BW182" i="5"/>
  <c r="BW176" i="5"/>
  <c r="BW170" i="5"/>
  <c r="BW164" i="5"/>
  <c r="BW158" i="5"/>
  <c r="BW152" i="5"/>
  <c r="BW146" i="5"/>
  <c r="BW140" i="5"/>
  <c r="BW134" i="5"/>
  <c r="BW128" i="5"/>
  <c r="BW122" i="5"/>
  <c r="BW116" i="5"/>
  <c r="BW110" i="5"/>
  <c r="BW104" i="5"/>
  <c r="BW98" i="5"/>
  <c r="BW92" i="5"/>
  <c r="BW86" i="5"/>
  <c r="BW80" i="5"/>
  <c r="BW74" i="5"/>
  <c r="BW68" i="5"/>
  <c r="BW62" i="5"/>
  <c r="BW56" i="5"/>
  <c r="BW50" i="5"/>
  <c r="BW44" i="5"/>
  <c r="BW38" i="5"/>
  <c r="BW32" i="5"/>
  <c r="BW26" i="5"/>
  <c r="BW20" i="5"/>
  <c r="BW14" i="5"/>
  <c r="BW8" i="5"/>
  <c r="BW337" i="5"/>
  <c r="BW331" i="5"/>
  <c r="BW325" i="5"/>
  <c r="BW319" i="5"/>
  <c r="BW313" i="5"/>
  <c r="BW307" i="5"/>
  <c r="BW301" i="5"/>
  <c r="BW295" i="5"/>
  <c r="BW289" i="5"/>
  <c r="BW283" i="5"/>
  <c r="BW277" i="5"/>
  <c r="BW271" i="5"/>
  <c r="BW265" i="5"/>
  <c r="BW259" i="5"/>
  <c r="BW253" i="5"/>
  <c r="BW247" i="5"/>
  <c r="BW241" i="5"/>
  <c r="BW235" i="5"/>
  <c r="BW229" i="5"/>
  <c r="BW223" i="5"/>
  <c r="BW217" i="5"/>
  <c r="BW211" i="5"/>
  <c r="BW205" i="5"/>
  <c r="BW199" i="5"/>
  <c r="BW193" i="5"/>
  <c r="BW187" i="5"/>
  <c r="BW181" i="5"/>
  <c r="BW175" i="5"/>
  <c r="BW169" i="5"/>
  <c r="BW163" i="5"/>
  <c r="BW157" i="5"/>
  <c r="BW151" i="5"/>
  <c r="BW145" i="5"/>
  <c r="BW139" i="5"/>
  <c r="BW133" i="5"/>
  <c r="BW127" i="5"/>
  <c r="BW121" i="5"/>
  <c r="BW115" i="5"/>
  <c r="BW109" i="5"/>
  <c r="BW103" i="5"/>
  <c r="BW97" i="5"/>
  <c r="BW91" i="5"/>
  <c r="BW85" i="5"/>
  <c r="BW79" i="5"/>
  <c r="BW73" i="5"/>
  <c r="BW67" i="5"/>
  <c r="BW61" i="5"/>
  <c r="BW55" i="5"/>
  <c r="BW49" i="5"/>
  <c r="BW43" i="5"/>
  <c r="BW37" i="5"/>
  <c r="BW31" i="5"/>
  <c r="BW25" i="5"/>
  <c r="BW19" i="5"/>
  <c r="BW13" i="5"/>
  <c r="BW7" i="5"/>
  <c r="BW336" i="5"/>
  <c r="BW330" i="5"/>
  <c r="BW324" i="5"/>
  <c r="BW318" i="5"/>
  <c r="BW312" i="5"/>
  <c r="BW306" i="5"/>
  <c r="BW300" i="5"/>
  <c r="BW294" i="5"/>
  <c r="BW288" i="5"/>
  <c r="BW282" i="5"/>
  <c r="BW276" i="5"/>
  <c r="BW270" i="5"/>
  <c r="BW264" i="5"/>
  <c r="BW258" i="5"/>
  <c r="BW252" i="5"/>
  <c r="BW246" i="5"/>
  <c r="BW240" i="5"/>
  <c r="BW234" i="5"/>
  <c r="BW228" i="5"/>
  <c r="BW222" i="5"/>
  <c r="BW216" i="5"/>
  <c r="BW210" i="5"/>
  <c r="BW204" i="5"/>
  <c r="BW198" i="5"/>
  <c r="BW192" i="5"/>
  <c r="BW186" i="5"/>
  <c r="BW180" i="5"/>
  <c r="BW174" i="5"/>
  <c r="BW168" i="5"/>
  <c r="BW162" i="5"/>
  <c r="BW156" i="5"/>
  <c r="BW150" i="5"/>
  <c r="BW144" i="5"/>
  <c r="BW138" i="5"/>
  <c r="BW132" i="5"/>
  <c r="BW126" i="5"/>
  <c r="BW120" i="5"/>
  <c r="BW114" i="5"/>
  <c r="BW108" i="5"/>
  <c r="BW102" i="5"/>
  <c r="BW96" i="5"/>
  <c r="BW90" i="5"/>
  <c r="BW84" i="5"/>
  <c r="BW78" i="5"/>
  <c r="BW72" i="5"/>
  <c r="BW66" i="5"/>
  <c r="BW60" i="5"/>
  <c r="BW54" i="5"/>
  <c r="BW48" i="5"/>
  <c r="BW42" i="5"/>
  <c r="BW36" i="5"/>
  <c r="BW30" i="5"/>
  <c r="BW24" i="5"/>
  <c r="BW18" i="5"/>
  <c r="BW12" i="5"/>
  <c r="BW6" i="5"/>
  <c r="BW335" i="5"/>
  <c r="BW329" i="5"/>
  <c r="BW323" i="5"/>
  <c r="BW317" i="5"/>
  <c r="BW311" i="5"/>
  <c r="BW305" i="5"/>
  <c r="BW299" i="5"/>
  <c r="BW293" i="5"/>
  <c r="BW287" i="5"/>
  <c r="BW281" i="5"/>
  <c r="BW275" i="5"/>
  <c r="BW269" i="5"/>
  <c r="BW263" i="5"/>
  <c r="BW257" i="5"/>
  <c r="BW251" i="5"/>
  <c r="BW245" i="5"/>
  <c r="BW239" i="5"/>
  <c r="BW233" i="5"/>
  <c r="BW227" i="5"/>
  <c r="BW221" i="5"/>
  <c r="BW215" i="5"/>
  <c r="BW209" i="5"/>
  <c r="BW203" i="5"/>
  <c r="BW197" i="5"/>
  <c r="BW191" i="5"/>
  <c r="BW185" i="5"/>
  <c r="BW179" i="5"/>
  <c r="BW173" i="5"/>
  <c r="BW167" i="5"/>
  <c r="BW161" i="5"/>
  <c r="BW155" i="5"/>
  <c r="BW149" i="5"/>
  <c r="BW143" i="5"/>
  <c r="BW137" i="5"/>
  <c r="BW131" i="5"/>
  <c r="BW125" i="5"/>
  <c r="BW119" i="5"/>
  <c r="BW113" i="5"/>
  <c r="BW107" i="5"/>
  <c r="BW101" i="5"/>
  <c r="BW95" i="5"/>
  <c r="BW89" i="5"/>
  <c r="BW83" i="5"/>
  <c r="BW77" i="5"/>
  <c r="BW71" i="5"/>
  <c r="BW65" i="5"/>
  <c r="BW59" i="5"/>
  <c r="BW53" i="5"/>
  <c r="BW47" i="5"/>
  <c r="BW41" i="5"/>
  <c r="BW35" i="5"/>
  <c r="BW29" i="5"/>
  <c r="BW23" i="5"/>
  <c r="BW17" i="5"/>
  <c r="BW11" i="5"/>
  <c r="BW5" i="5"/>
  <c r="BW340" i="5"/>
  <c r="BW334" i="5"/>
  <c r="BW328" i="5"/>
  <c r="BW322" i="5"/>
  <c r="BW316" i="5"/>
  <c r="BW310" i="5"/>
  <c r="BW304" i="5"/>
  <c r="BW298" i="5"/>
  <c r="BW292" i="5"/>
  <c r="BW286" i="5"/>
  <c r="BW280" i="5"/>
  <c r="BW274" i="5"/>
  <c r="BW268" i="5"/>
  <c r="BW262" i="5"/>
  <c r="BW256" i="5"/>
  <c r="BW250" i="5"/>
  <c r="BW244" i="5"/>
  <c r="BW238" i="5"/>
  <c r="BW232" i="5"/>
  <c r="BW226" i="5"/>
  <c r="BW220" i="5"/>
  <c r="BW214" i="5"/>
  <c r="BW208" i="5"/>
  <c r="BW202" i="5"/>
  <c r="BW196" i="5"/>
  <c r="BW190" i="5"/>
  <c r="BW184" i="5"/>
  <c r="BW178" i="5"/>
  <c r="BW172" i="5"/>
  <c r="BW166" i="5"/>
  <c r="BW160" i="5"/>
  <c r="BW154" i="5"/>
  <c r="BW148" i="5"/>
  <c r="BW142" i="5"/>
  <c r="BW136" i="5"/>
  <c r="BW130" i="5"/>
  <c r="BW124" i="5"/>
  <c r="BW118" i="5"/>
  <c r="BW112" i="5"/>
  <c r="BW106" i="5"/>
  <c r="BW100" i="5"/>
  <c r="BW94" i="5"/>
  <c r="BW88" i="5"/>
  <c r="BW82" i="5"/>
  <c r="BW76" i="5"/>
  <c r="BW70" i="5"/>
  <c r="BW64" i="5"/>
  <c r="BW58" i="5"/>
  <c r="BW52" i="5"/>
  <c r="BW46" i="5"/>
  <c r="BW40" i="5"/>
  <c r="BW34" i="5"/>
  <c r="BW28" i="5"/>
  <c r="BW22" i="5"/>
  <c r="BW16" i="5"/>
  <c r="BW10" i="5"/>
  <c r="BW4" i="5"/>
  <c r="CC2" i="5"/>
  <c r="CC336" i="5"/>
  <c r="CC330" i="5"/>
  <c r="CC324" i="5"/>
  <c r="CC318" i="5"/>
  <c r="CC312" i="5"/>
  <c r="CC306" i="5"/>
  <c r="CC300" i="5"/>
  <c r="CC294" i="5"/>
  <c r="CC288" i="5"/>
  <c r="CC282" i="5"/>
  <c r="CC276" i="5"/>
  <c r="CC270" i="5"/>
  <c r="CC264" i="5"/>
  <c r="CC258" i="5"/>
  <c r="CC252" i="5"/>
  <c r="CC246" i="5"/>
  <c r="CC240" i="5"/>
  <c r="CC234" i="5"/>
  <c r="CC228" i="5"/>
  <c r="CC222" i="5"/>
  <c r="CC216" i="5"/>
  <c r="CC210" i="5"/>
  <c r="CC204" i="5"/>
  <c r="CC198" i="5"/>
  <c r="CC192" i="5"/>
  <c r="CC186" i="5"/>
  <c r="CC180" i="5"/>
  <c r="CC174" i="5"/>
  <c r="CC168" i="5"/>
  <c r="CC162" i="5"/>
  <c r="CC156" i="5"/>
  <c r="CC150" i="5"/>
  <c r="CC144" i="5"/>
  <c r="CC138" i="5"/>
  <c r="CC132" i="5"/>
  <c r="CC126" i="5"/>
  <c r="CC120" i="5"/>
  <c r="CC114" i="5"/>
  <c r="CC108" i="5"/>
  <c r="CC102" i="5"/>
  <c r="CC96" i="5"/>
  <c r="CC90" i="5"/>
  <c r="CC84" i="5"/>
  <c r="CC78" i="5"/>
  <c r="CC72" i="5"/>
  <c r="CC66" i="5"/>
  <c r="CC60" i="5"/>
  <c r="CC54" i="5"/>
  <c r="CC48" i="5"/>
  <c r="CC42" i="5"/>
  <c r="CC36" i="5"/>
  <c r="CC30" i="5"/>
  <c r="CC24" i="5"/>
  <c r="CC18" i="5"/>
  <c r="CC12" i="5"/>
  <c r="CC6" i="5"/>
  <c r="CC335" i="5"/>
  <c r="CC329" i="5"/>
  <c r="CC323" i="5"/>
  <c r="CC317" i="5"/>
  <c r="CC311" i="5"/>
  <c r="CC305" i="5"/>
  <c r="CC299" i="5"/>
  <c r="CC293" i="5"/>
  <c r="CC287" i="5"/>
  <c r="CC281" i="5"/>
  <c r="CC275" i="5"/>
  <c r="CC269" i="5"/>
  <c r="CC263" i="5"/>
  <c r="CC257" i="5"/>
  <c r="CC251" i="5"/>
  <c r="CC245" i="5"/>
  <c r="CC239" i="5"/>
  <c r="CC233" i="5"/>
  <c r="CC227" i="5"/>
  <c r="CC221" i="5"/>
  <c r="CC215" i="5"/>
  <c r="CC209" i="5"/>
  <c r="CC203" i="5"/>
  <c r="CC197" i="5"/>
  <c r="CC191" i="5"/>
  <c r="CC185" i="5"/>
  <c r="CC179" i="5"/>
  <c r="CC173" i="5"/>
  <c r="CC167" i="5"/>
  <c r="CC161" i="5"/>
  <c r="CC155" i="5"/>
  <c r="CC149" i="5"/>
  <c r="CC143" i="5"/>
  <c r="CC137" i="5"/>
  <c r="CC131" i="5"/>
  <c r="CC125" i="5"/>
  <c r="CC119" i="5"/>
  <c r="CC113" i="5"/>
  <c r="CC107" i="5"/>
  <c r="CC101" i="5"/>
  <c r="CC95" i="5"/>
  <c r="CC89" i="5"/>
  <c r="CC83" i="5"/>
  <c r="CC77" i="5"/>
  <c r="CC71" i="5"/>
  <c r="CC65" i="5"/>
  <c r="CC59" i="5"/>
  <c r="CC53" i="5"/>
  <c r="CC47" i="5"/>
  <c r="CC41" i="5"/>
  <c r="CC35" i="5"/>
  <c r="CC29" i="5"/>
  <c r="CC23" i="5"/>
  <c r="CC17" i="5"/>
  <c r="CC11" i="5"/>
  <c r="CC5" i="5"/>
  <c r="CC334" i="5"/>
  <c r="CC328" i="5"/>
  <c r="CC322" i="5"/>
  <c r="CC316" i="5"/>
  <c r="CC310" i="5"/>
  <c r="CC304" i="5"/>
  <c r="CC298" i="5"/>
  <c r="CC292" i="5"/>
  <c r="CC286" i="5"/>
  <c r="CC280" i="5"/>
  <c r="CC274" i="5"/>
  <c r="CC268" i="5"/>
  <c r="CC262" i="5"/>
  <c r="CC256" i="5"/>
  <c r="CC250" i="5"/>
  <c r="CC244" i="5"/>
  <c r="CC238" i="5"/>
  <c r="CC232" i="5"/>
  <c r="CC226" i="5"/>
  <c r="CC220" i="5"/>
  <c r="CC214" i="5"/>
  <c r="CC208" i="5"/>
  <c r="CC202" i="5"/>
  <c r="CC196" i="5"/>
  <c r="CC190" i="5"/>
  <c r="CC184" i="5"/>
  <c r="CC178" i="5"/>
  <c r="CC172" i="5"/>
  <c r="CC166" i="5"/>
  <c r="CC160" i="5"/>
  <c r="CC154" i="5"/>
  <c r="CC148" i="5"/>
  <c r="CC142" i="5"/>
  <c r="CC136" i="5"/>
  <c r="CC130" i="5"/>
  <c r="CC124" i="5"/>
  <c r="CC118" i="5"/>
  <c r="CC112" i="5"/>
  <c r="CC106" i="5"/>
  <c r="CC100" i="5"/>
  <c r="CC94" i="5"/>
  <c r="CC88" i="5"/>
  <c r="CC82" i="5"/>
  <c r="CC76" i="5"/>
  <c r="CC70" i="5"/>
  <c r="CC64" i="5"/>
  <c r="CC58" i="5"/>
  <c r="CC52" i="5"/>
  <c r="CC46" i="5"/>
  <c r="CC40" i="5"/>
  <c r="CC34" i="5"/>
  <c r="CC28" i="5"/>
  <c r="CC22" i="5"/>
  <c r="CC16" i="5"/>
  <c r="CC10" i="5"/>
  <c r="CC4" i="5"/>
  <c r="CC339" i="5"/>
  <c r="CC333" i="5"/>
  <c r="CC327" i="5"/>
  <c r="CC321" i="5"/>
  <c r="CC315" i="5"/>
  <c r="CC309" i="5"/>
  <c r="CC303" i="5"/>
  <c r="CC297" i="5"/>
  <c r="CC291" i="5"/>
  <c r="CC285" i="5"/>
  <c r="CC279" i="5"/>
  <c r="CC273" i="5"/>
  <c r="CC267" i="5"/>
  <c r="CC261" i="5"/>
  <c r="CC255" i="5"/>
  <c r="CC249" i="5"/>
  <c r="CC243" i="5"/>
  <c r="CC237" i="5"/>
  <c r="CC231" i="5"/>
  <c r="CC225" i="5"/>
  <c r="CC219" i="5"/>
  <c r="CC213" i="5"/>
  <c r="CC207" i="5"/>
  <c r="CC201" i="5"/>
  <c r="CC195" i="5"/>
  <c r="CC189" i="5"/>
  <c r="CC183" i="5"/>
  <c r="CC177" i="5"/>
  <c r="CC171" i="5"/>
  <c r="CC165" i="5"/>
  <c r="CC159" i="5"/>
  <c r="CC153" i="5"/>
  <c r="CC147" i="5"/>
  <c r="CC141" i="5"/>
  <c r="CC135" i="5"/>
  <c r="CC129" i="5"/>
  <c r="CC123" i="5"/>
  <c r="CC117" i="5"/>
  <c r="CC111" i="5"/>
  <c r="CC105" i="5"/>
  <c r="CC99" i="5"/>
  <c r="CC93" i="5"/>
  <c r="CC87" i="5"/>
  <c r="CC81" i="5"/>
  <c r="CC75" i="5"/>
  <c r="CC69" i="5"/>
  <c r="CC63" i="5"/>
  <c r="CC57" i="5"/>
  <c r="CC51" i="5"/>
  <c r="CC45" i="5"/>
  <c r="CC39" i="5"/>
  <c r="CC33" i="5"/>
  <c r="CC27" i="5"/>
  <c r="CC21" i="5"/>
  <c r="CC15" i="5"/>
  <c r="CC9" i="5"/>
  <c r="CC3" i="5"/>
  <c r="CC338" i="5"/>
  <c r="CC332" i="5"/>
  <c r="CC326" i="5"/>
  <c r="CC320" i="5"/>
  <c r="CC314" i="5"/>
  <c r="CC308" i="5"/>
  <c r="CC302" i="5"/>
  <c r="CC296" i="5"/>
  <c r="CC290" i="5"/>
  <c r="CC284" i="5"/>
  <c r="CC278" i="5"/>
  <c r="CC272" i="5"/>
  <c r="CC266" i="5"/>
  <c r="CC260" i="5"/>
  <c r="CC254" i="5"/>
  <c r="CC248" i="5"/>
  <c r="CC242" i="5"/>
  <c r="CC236" i="5"/>
  <c r="CC230" i="5"/>
  <c r="CC224" i="5"/>
  <c r="CC218" i="5"/>
  <c r="CC212" i="5"/>
  <c r="CC206" i="5"/>
  <c r="CC200" i="5"/>
  <c r="CC194" i="5"/>
  <c r="CC188" i="5"/>
  <c r="CC182" i="5"/>
  <c r="CC176" i="5"/>
  <c r="CC170" i="5"/>
  <c r="CC164" i="5"/>
  <c r="CC158" i="5"/>
  <c r="CC152" i="5"/>
  <c r="CC146" i="5"/>
  <c r="CC140" i="5"/>
  <c r="CC134" i="5"/>
  <c r="CC128" i="5"/>
  <c r="CC122" i="5"/>
  <c r="CC116" i="5"/>
  <c r="CC110" i="5"/>
  <c r="CC104" i="5"/>
  <c r="CC98" i="5"/>
  <c r="CC92" i="5"/>
  <c r="CC86" i="5"/>
  <c r="CC80" i="5"/>
  <c r="CC74" i="5"/>
  <c r="CC68" i="5"/>
  <c r="CC62" i="5"/>
  <c r="CC56" i="5"/>
  <c r="CC50" i="5"/>
  <c r="CC44" i="5"/>
  <c r="CC38" i="5"/>
  <c r="CC32" i="5"/>
  <c r="CC26" i="5"/>
  <c r="CC20" i="5"/>
  <c r="CC14" i="5"/>
  <c r="CC8" i="5"/>
  <c r="CC337" i="5"/>
  <c r="CC331" i="5"/>
  <c r="CC325" i="5"/>
  <c r="CC319" i="5"/>
  <c r="CC313" i="5"/>
  <c r="CC307" i="5"/>
  <c r="CC301" i="5"/>
  <c r="CC295" i="5"/>
  <c r="CC289" i="5"/>
  <c r="CC283" i="5"/>
  <c r="CC277" i="5"/>
  <c r="CC271" i="5"/>
  <c r="CC265" i="5"/>
  <c r="CC259" i="5"/>
  <c r="CC253" i="5"/>
  <c r="CC247" i="5"/>
  <c r="CC241" i="5"/>
  <c r="CC235" i="5"/>
  <c r="CC229" i="5"/>
  <c r="CC223" i="5"/>
  <c r="CC217" i="5"/>
  <c r="CC211" i="5"/>
  <c r="CC205" i="5"/>
  <c r="CC199" i="5"/>
  <c r="CC193" i="5"/>
  <c r="CC187" i="5"/>
  <c r="CC181" i="5"/>
  <c r="CC175" i="5"/>
  <c r="CC169" i="5"/>
  <c r="CC163" i="5"/>
  <c r="CC157" i="5"/>
  <c r="CC151" i="5"/>
  <c r="CC145" i="5"/>
  <c r="CC139" i="5"/>
  <c r="CC133" i="5"/>
  <c r="CC127" i="5"/>
  <c r="CC121" i="5"/>
  <c r="CC115" i="5"/>
  <c r="CC109" i="5"/>
  <c r="CC103" i="5"/>
  <c r="CC97" i="5"/>
  <c r="CC91" i="5"/>
  <c r="CC85" i="5"/>
  <c r="CC79" i="5"/>
  <c r="CC73" i="5"/>
  <c r="CC67" i="5"/>
  <c r="CC61" i="5"/>
  <c r="CC55" i="5"/>
  <c r="CC49" i="5"/>
  <c r="CC43" i="5"/>
  <c r="CC37" i="5"/>
  <c r="CC31" i="5"/>
  <c r="CC25" i="5"/>
  <c r="CC19" i="5"/>
  <c r="CC13" i="5"/>
  <c r="CC7" i="5"/>
  <c r="BO2" i="5"/>
  <c r="T2" i="5"/>
  <c r="BD2" i="5"/>
  <c r="C2" i="5"/>
  <c r="C338" i="5"/>
  <c r="C332" i="5"/>
  <c r="C326" i="5"/>
  <c r="C320" i="5"/>
  <c r="C314" i="5"/>
  <c r="C308" i="5"/>
  <c r="C337" i="5"/>
  <c r="C331" i="5"/>
  <c r="C325" i="5"/>
  <c r="C319" i="5"/>
  <c r="C313" i="5"/>
  <c r="C307" i="5"/>
  <c r="C335" i="5"/>
  <c r="C329" i="5"/>
  <c r="C323" i="5"/>
  <c r="C317" i="5"/>
  <c r="C311" i="5"/>
  <c r="C339" i="5"/>
  <c r="C333" i="5"/>
  <c r="C327" i="5"/>
  <c r="C321" i="5"/>
  <c r="C315" i="5"/>
  <c r="C309" i="5"/>
  <c r="C334" i="5"/>
  <c r="C316" i="5"/>
  <c r="C303" i="5"/>
  <c r="C297" i="5"/>
  <c r="C291" i="5"/>
  <c r="C285" i="5"/>
  <c r="C279" i="5"/>
  <c r="C273" i="5"/>
  <c r="C267" i="5"/>
  <c r="C261" i="5"/>
  <c r="C255" i="5"/>
  <c r="C249" i="5"/>
  <c r="C243" i="5"/>
  <c r="C237" i="5"/>
  <c r="C231" i="5"/>
  <c r="C225" i="5"/>
  <c r="C219" i="5"/>
  <c r="C213" i="5"/>
  <c r="C207" i="5"/>
  <c r="C201" i="5"/>
  <c r="C195" i="5"/>
  <c r="C189" i="5"/>
  <c r="C183" i="5"/>
  <c r="C177" i="5"/>
  <c r="C171" i="5"/>
  <c r="C165" i="5"/>
  <c r="C159" i="5"/>
  <c r="C153" i="5"/>
  <c r="C147" i="5"/>
  <c r="C141" i="5"/>
  <c r="C135" i="5"/>
  <c r="C129" i="5"/>
  <c r="C123" i="5"/>
  <c r="C117" i="5"/>
  <c r="C111" i="5"/>
  <c r="C105" i="5"/>
  <c r="C99" i="5"/>
  <c r="C93" i="5"/>
  <c r="C87" i="5"/>
  <c r="C81" i="5"/>
  <c r="C75" i="5"/>
  <c r="C69" i="5"/>
  <c r="C63" i="5"/>
  <c r="C57" i="5"/>
  <c r="C51" i="5"/>
  <c r="C45" i="5"/>
  <c r="C39" i="5"/>
  <c r="C33" i="5"/>
  <c r="C27" i="5"/>
  <c r="C21" i="5"/>
  <c r="C15" i="5"/>
  <c r="C9" i="5"/>
  <c r="C3" i="5"/>
  <c r="C330" i="5"/>
  <c r="C312" i="5"/>
  <c r="C302" i="5"/>
  <c r="C296" i="5"/>
  <c r="C290" i="5"/>
  <c r="C284" i="5"/>
  <c r="C278" i="5"/>
  <c r="C272" i="5"/>
  <c r="C266" i="5"/>
  <c r="C260" i="5"/>
  <c r="C254" i="5"/>
  <c r="C248" i="5"/>
  <c r="C242" i="5"/>
  <c r="C236" i="5"/>
  <c r="C230" i="5"/>
  <c r="C224" i="5"/>
  <c r="C218" i="5"/>
  <c r="C212" i="5"/>
  <c r="C206" i="5"/>
  <c r="C200" i="5"/>
  <c r="C194" i="5"/>
  <c r="C188" i="5"/>
  <c r="C182" i="5"/>
  <c r="C176" i="5"/>
  <c r="C170" i="5"/>
  <c r="C164" i="5"/>
  <c r="C158" i="5"/>
  <c r="C152" i="5"/>
  <c r="C146" i="5"/>
  <c r="C140" i="5"/>
  <c r="C134" i="5"/>
  <c r="C128" i="5"/>
  <c r="C122" i="5"/>
  <c r="C116" i="5"/>
  <c r="C110" i="5"/>
  <c r="C104" i="5"/>
  <c r="C98" i="5"/>
  <c r="C92" i="5"/>
  <c r="C86" i="5"/>
  <c r="C80" i="5"/>
  <c r="C74" i="5"/>
  <c r="C68" i="5"/>
  <c r="C62" i="5"/>
  <c r="C56" i="5"/>
  <c r="C50" i="5"/>
  <c r="C44" i="5"/>
  <c r="C38" i="5"/>
  <c r="C32" i="5"/>
  <c r="C26" i="5"/>
  <c r="C20" i="5"/>
  <c r="C14" i="5"/>
  <c r="C8" i="5"/>
  <c r="C328" i="5"/>
  <c r="C310" i="5"/>
  <c r="C301" i="5"/>
  <c r="C295" i="5"/>
  <c r="C289" i="5"/>
  <c r="C283" i="5"/>
  <c r="C277" i="5"/>
  <c r="C271" i="5"/>
  <c r="C265" i="5"/>
  <c r="C259" i="5"/>
  <c r="C253" i="5"/>
  <c r="C247" i="5"/>
  <c r="C241" i="5"/>
  <c r="C235" i="5"/>
  <c r="C229" i="5"/>
  <c r="C223" i="5"/>
  <c r="C217" i="5"/>
  <c r="C211" i="5"/>
  <c r="C205" i="5"/>
  <c r="C199" i="5"/>
  <c r="C193" i="5"/>
  <c r="C187" i="5"/>
  <c r="C181" i="5"/>
  <c r="C175" i="5"/>
  <c r="C169" i="5"/>
  <c r="C163" i="5"/>
  <c r="C157" i="5"/>
  <c r="C151" i="5"/>
  <c r="C145" i="5"/>
  <c r="C139" i="5"/>
  <c r="C133" i="5"/>
  <c r="C127" i="5"/>
  <c r="C121" i="5"/>
  <c r="C115" i="5"/>
  <c r="C109" i="5"/>
  <c r="C103" i="5"/>
  <c r="C97" i="5"/>
  <c r="C91" i="5"/>
  <c r="C85" i="5"/>
  <c r="C79" i="5"/>
  <c r="C73" i="5"/>
  <c r="C67" i="5"/>
  <c r="C61" i="5"/>
  <c r="C55" i="5"/>
  <c r="C49" i="5"/>
  <c r="C43" i="5"/>
  <c r="C37" i="5"/>
  <c r="C31" i="5"/>
  <c r="C25" i="5"/>
  <c r="C19" i="5"/>
  <c r="C13" i="5"/>
  <c r="C7" i="5"/>
  <c r="C324" i="5"/>
  <c r="C306" i="5"/>
  <c r="C300" i="5"/>
  <c r="C294" i="5"/>
  <c r="C288" i="5"/>
  <c r="C282" i="5"/>
  <c r="C276" i="5"/>
  <c r="C270" i="5"/>
  <c r="C264" i="5"/>
  <c r="C258" i="5"/>
  <c r="C252" i="5"/>
  <c r="C246" i="5"/>
  <c r="C240" i="5"/>
  <c r="C234" i="5"/>
  <c r="C228" i="5"/>
  <c r="C222" i="5"/>
  <c r="C216" i="5"/>
  <c r="C210" i="5"/>
  <c r="C204" i="5"/>
  <c r="C198" i="5"/>
  <c r="C192" i="5"/>
  <c r="C186" i="5"/>
  <c r="C180" i="5"/>
  <c r="C174" i="5"/>
  <c r="C168" i="5"/>
  <c r="C162" i="5"/>
  <c r="C156" i="5"/>
  <c r="C150" i="5"/>
  <c r="C144" i="5"/>
  <c r="C138" i="5"/>
  <c r="C132" i="5"/>
  <c r="C126" i="5"/>
  <c r="C120" i="5"/>
  <c r="C114" i="5"/>
  <c r="C108" i="5"/>
  <c r="C102" i="5"/>
  <c r="C96" i="5"/>
  <c r="C90" i="5"/>
  <c r="C84" i="5"/>
  <c r="C78" i="5"/>
  <c r="C72" i="5"/>
  <c r="C66" i="5"/>
  <c r="C60" i="5"/>
  <c r="C54" i="5"/>
  <c r="C48" i="5"/>
  <c r="C42" i="5"/>
  <c r="C36" i="5"/>
  <c r="C30" i="5"/>
  <c r="C24" i="5"/>
  <c r="C18" i="5"/>
  <c r="C12" i="5"/>
  <c r="C6" i="5"/>
  <c r="C322" i="5"/>
  <c r="C305" i="5"/>
  <c r="C299" i="5"/>
  <c r="C293" i="5"/>
  <c r="C287" i="5"/>
  <c r="C281" i="5"/>
  <c r="C275" i="5"/>
  <c r="C269" i="5"/>
  <c r="C263" i="5"/>
  <c r="C257" i="5"/>
  <c r="C251" i="5"/>
  <c r="C245" i="5"/>
  <c r="C239" i="5"/>
  <c r="C233" i="5"/>
  <c r="C227" i="5"/>
  <c r="C221" i="5"/>
  <c r="C215" i="5"/>
  <c r="C209" i="5"/>
  <c r="C203" i="5"/>
  <c r="C197" i="5"/>
  <c r="C191" i="5"/>
  <c r="C185" i="5"/>
  <c r="C179" i="5"/>
  <c r="C173" i="5"/>
  <c r="C167" i="5"/>
  <c r="C161" i="5"/>
  <c r="C155" i="5"/>
  <c r="C149" i="5"/>
  <c r="C143" i="5"/>
  <c r="C137" i="5"/>
  <c r="C131" i="5"/>
  <c r="C125" i="5"/>
  <c r="C119" i="5"/>
  <c r="C113" i="5"/>
  <c r="C107" i="5"/>
  <c r="C101" i="5"/>
  <c r="C95" i="5"/>
  <c r="C89" i="5"/>
  <c r="C83" i="5"/>
  <c r="C77" i="5"/>
  <c r="C71" i="5"/>
  <c r="C65" i="5"/>
  <c r="C59" i="5"/>
  <c r="C53" i="5"/>
  <c r="C47" i="5"/>
  <c r="C41" i="5"/>
  <c r="C35" i="5"/>
  <c r="C29" i="5"/>
  <c r="C23" i="5"/>
  <c r="C17" i="5"/>
  <c r="C11" i="5"/>
  <c r="C5" i="5"/>
  <c r="C336" i="5"/>
  <c r="C318" i="5"/>
  <c r="C304" i="5"/>
  <c r="C298" i="5"/>
  <c r="C292" i="5"/>
  <c r="C286" i="5"/>
  <c r="C280" i="5"/>
  <c r="C274" i="5"/>
  <c r="C268" i="5"/>
  <c r="C262" i="5"/>
  <c r="C256" i="5"/>
  <c r="C250" i="5"/>
  <c r="C244" i="5"/>
  <c r="C238" i="5"/>
  <c r="C232" i="5"/>
  <c r="C226" i="5"/>
  <c r="C220" i="5"/>
  <c r="C214" i="5"/>
  <c r="C208" i="5"/>
  <c r="C202" i="5"/>
  <c r="C196" i="5"/>
  <c r="C190" i="5"/>
  <c r="C184" i="5"/>
  <c r="C178" i="5"/>
  <c r="C172" i="5"/>
  <c r="C166" i="5"/>
  <c r="C160" i="5"/>
  <c r="C154" i="5"/>
  <c r="C148" i="5"/>
  <c r="C142" i="5"/>
  <c r="C136" i="5"/>
  <c r="C130" i="5"/>
  <c r="C124" i="5"/>
  <c r="C118" i="5"/>
  <c r="C112" i="5"/>
  <c r="C106" i="5"/>
  <c r="C100" i="5"/>
  <c r="C94" i="5"/>
  <c r="C88" i="5"/>
  <c r="C82" i="5"/>
  <c r="C76" i="5"/>
  <c r="C70" i="5"/>
  <c r="C64" i="5"/>
  <c r="C58" i="5"/>
  <c r="C52" i="5"/>
  <c r="C46" i="5"/>
  <c r="C40" i="5"/>
  <c r="C34" i="5"/>
  <c r="C28" i="5"/>
  <c r="C22" i="5"/>
  <c r="C16" i="5"/>
  <c r="C10" i="5"/>
  <c r="C4" i="5"/>
  <c r="BK2" i="5"/>
  <c r="D2" i="5"/>
  <c r="D337" i="5"/>
  <c r="D331" i="5"/>
  <c r="D325" i="5"/>
  <c r="D319" i="5"/>
  <c r="D313" i="5"/>
  <c r="D307" i="5"/>
  <c r="D301" i="5"/>
  <c r="D295" i="5"/>
  <c r="D289" i="5"/>
  <c r="D283" i="5"/>
  <c r="D277" i="5"/>
  <c r="D271" i="5"/>
  <c r="D265" i="5"/>
  <c r="D259" i="5"/>
  <c r="D253" i="5"/>
  <c r="D247" i="5"/>
  <c r="D241" i="5"/>
  <c r="D235" i="5"/>
  <c r="D229" i="5"/>
  <c r="D223" i="5"/>
  <c r="D217" i="5"/>
  <c r="D211" i="5"/>
  <c r="D205" i="5"/>
  <c r="D199" i="5"/>
  <c r="D193" i="5"/>
  <c r="D187" i="5"/>
  <c r="D181" i="5"/>
  <c r="D175" i="5"/>
  <c r="D169" i="5"/>
  <c r="D163" i="5"/>
  <c r="D157" i="5"/>
  <c r="D151" i="5"/>
  <c r="D145" i="5"/>
  <c r="D139" i="5"/>
  <c r="D133" i="5"/>
  <c r="D127" i="5"/>
  <c r="D121" i="5"/>
  <c r="D115" i="5"/>
  <c r="D109" i="5"/>
  <c r="D103" i="5"/>
  <c r="D97" i="5"/>
  <c r="D91" i="5"/>
  <c r="D85" i="5"/>
  <c r="D79" i="5"/>
  <c r="D73" i="5"/>
  <c r="D67" i="5"/>
  <c r="D61" i="5"/>
  <c r="D55" i="5"/>
  <c r="D49" i="5"/>
  <c r="D43" i="5"/>
  <c r="D37" i="5"/>
  <c r="D31" i="5"/>
  <c r="D25" i="5"/>
  <c r="D19" i="5"/>
  <c r="D13" i="5"/>
  <c r="D7" i="5"/>
  <c r="D336" i="5"/>
  <c r="D330" i="5"/>
  <c r="D324" i="5"/>
  <c r="D318" i="5"/>
  <c r="D312" i="5"/>
  <c r="D306" i="5"/>
  <c r="D300" i="5"/>
  <c r="D294" i="5"/>
  <c r="D288" i="5"/>
  <c r="D282" i="5"/>
  <c r="D276" i="5"/>
  <c r="D270" i="5"/>
  <c r="D264" i="5"/>
  <c r="D258" i="5"/>
  <c r="D252" i="5"/>
  <c r="D246" i="5"/>
  <c r="D240" i="5"/>
  <c r="D234" i="5"/>
  <c r="D228" i="5"/>
  <c r="D222" i="5"/>
  <c r="D216" i="5"/>
  <c r="D210" i="5"/>
  <c r="D204" i="5"/>
  <c r="D198" i="5"/>
  <c r="D192" i="5"/>
  <c r="D186" i="5"/>
  <c r="D180" i="5"/>
  <c r="D174" i="5"/>
  <c r="D168" i="5"/>
  <c r="D162" i="5"/>
  <c r="D156" i="5"/>
  <c r="D150" i="5"/>
  <c r="D144" i="5"/>
  <c r="D138" i="5"/>
  <c r="D132" i="5"/>
  <c r="D126" i="5"/>
  <c r="D120" i="5"/>
  <c r="D114" i="5"/>
  <c r="D108" i="5"/>
  <c r="D102" i="5"/>
  <c r="D96" i="5"/>
  <c r="D90" i="5"/>
  <c r="D84" i="5"/>
  <c r="D78" i="5"/>
  <c r="D72" i="5"/>
  <c r="D66" i="5"/>
  <c r="D60" i="5"/>
  <c r="D54" i="5"/>
  <c r="D48" i="5"/>
  <c r="D42" i="5"/>
  <c r="D36" i="5"/>
  <c r="D30" i="5"/>
  <c r="D24" i="5"/>
  <c r="D18" i="5"/>
  <c r="D12" i="5"/>
  <c r="D6" i="5"/>
  <c r="D335" i="5"/>
  <c r="D329" i="5"/>
  <c r="D323" i="5"/>
  <c r="D317" i="5"/>
  <c r="D311" i="5"/>
  <c r="D305" i="5"/>
  <c r="D299" i="5"/>
  <c r="D293" i="5"/>
  <c r="D287" i="5"/>
  <c r="D281" i="5"/>
  <c r="D275" i="5"/>
  <c r="D269" i="5"/>
  <c r="D263" i="5"/>
  <c r="D257" i="5"/>
  <c r="D251" i="5"/>
  <c r="D245" i="5"/>
  <c r="D239" i="5"/>
  <c r="D233" i="5"/>
  <c r="D227" i="5"/>
  <c r="D221" i="5"/>
  <c r="D215" i="5"/>
  <c r="D209" i="5"/>
  <c r="D203" i="5"/>
  <c r="D197" i="5"/>
  <c r="D191" i="5"/>
  <c r="D185" i="5"/>
  <c r="D179" i="5"/>
  <c r="D173" i="5"/>
  <c r="D167" i="5"/>
  <c r="D161" i="5"/>
  <c r="D155" i="5"/>
  <c r="D149" i="5"/>
  <c r="D143" i="5"/>
  <c r="D137" i="5"/>
  <c r="D131" i="5"/>
  <c r="D125" i="5"/>
  <c r="D119" i="5"/>
  <c r="D113" i="5"/>
  <c r="D107" i="5"/>
  <c r="D101" i="5"/>
  <c r="D95" i="5"/>
  <c r="D89" i="5"/>
  <c r="D83" i="5"/>
  <c r="D77" i="5"/>
  <c r="D71" i="5"/>
  <c r="D65" i="5"/>
  <c r="D59" i="5"/>
  <c r="D53" i="5"/>
  <c r="D47" i="5"/>
  <c r="D41" i="5"/>
  <c r="D334" i="5"/>
  <c r="D328" i="5"/>
  <c r="D322" i="5"/>
  <c r="D316" i="5"/>
  <c r="D310" i="5"/>
  <c r="D304" i="5"/>
  <c r="D298" i="5"/>
  <c r="D292" i="5"/>
  <c r="D286" i="5"/>
  <c r="D280" i="5"/>
  <c r="D274" i="5"/>
  <c r="D268" i="5"/>
  <c r="D262" i="5"/>
  <c r="D256" i="5"/>
  <c r="D250" i="5"/>
  <c r="D244" i="5"/>
  <c r="D238" i="5"/>
  <c r="D232" i="5"/>
  <c r="D226" i="5"/>
  <c r="D220" i="5"/>
  <c r="D214" i="5"/>
  <c r="D208" i="5"/>
  <c r="D202" i="5"/>
  <c r="D196" i="5"/>
  <c r="D190" i="5"/>
  <c r="D184" i="5"/>
  <c r="D178" i="5"/>
  <c r="D172" i="5"/>
  <c r="D166" i="5"/>
  <c r="D160" i="5"/>
  <c r="D154" i="5"/>
  <c r="D148" i="5"/>
  <c r="D142" i="5"/>
  <c r="D136" i="5"/>
  <c r="D130" i="5"/>
  <c r="D124" i="5"/>
  <c r="D118" i="5"/>
  <c r="D112" i="5"/>
  <c r="D106" i="5"/>
  <c r="D100" i="5"/>
  <c r="D94" i="5"/>
  <c r="D88" i="5"/>
  <c r="D82" i="5"/>
  <c r="D76" i="5"/>
  <c r="D70" i="5"/>
  <c r="D64" i="5"/>
  <c r="D58" i="5"/>
  <c r="D52" i="5"/>
  <c r="D46" i="5"/>
  <c r="D40" i="5"/>
  <c r="D34" i="5"/>
  <c r="D28" i="5"/>
  <c r="D22" i="5"/>
  <c r="D16" i="5"/>
  <c r="D10" i="5"/>
  <c r="D4" i="5"/>
  <c r="D339" i="5"/>
  <c r="D333" i="5"/>
  <c r="D327" i="5"/>
  <c r="D321" i="5"/>
  <c r="D315" i="5"/>
  <c r="D309" i="5"/>
  <c r="D303" i="5"/>
  <c r="D297" i="5"/>
  <c r="D291" i="5"/>
  <c r="D285" i="5"/>
  <c r="D279" i="5"/>
  <c r="D273" i="5"/>
  <c r="D267" i="5"/>
  <c r="D261" i="5"/>
  <c r="D255" i="5"/>
  <c r="D249" i="5"/>
  <c r="D243" i="5"/>
  <c r="D237" i="5"/>
  <c r="D231" i="5"/>
  <c r="D225" i="5"/>
  <c r="D219" i="5"/>
  <c r="D213" i="5"/>
  <c r="D207" i="5"/>
  <c r="D201" i="5"/>
  <c r="D195" i="5"/>
  <c r="D189" i="5"/>
  <c r="D183" i="5"/>
  <c r="D177" i="5"/>
  <c r="D171" i="5"/>
  <c r="D165" i="5"/>
  <c r="D338" i="5"/>
  <c r="D332" i="5"/>
  <c r="D326" i="5"/>
  <c r="D320" i="5"/>
  <c r="D314" i="5"/>
  <c r="D308" i="5"/>
  <c r="D302" i="5"/>
  <c r="D296" i="5"/>
  <c r="D290" i="5"/>
  <c r="D284" i="5"/>
  <c r="D278" i="5"/>
  <c r="D272" i="5"/>
  <c r="D266" i="5"/>
  <c r="D260" i="5"/>
  <c r="D254" i="5"/>
  <c r="D248" i="5"/>
  <c r="D242" i="5"/>
  <c r="D236" i="5"/>
  <c r="D230" i="5"/>
  <c r="D224" i="5"/>
  <c r="D218" i="5"/>
  <c r="D212" i="5"/>
  <c r="D206" i="5"/>
  <c r="D200" i="5"/>
  <c r="D194" i="5"/>
  <c r="D188" i="5"/>
  <c r="D182" i="5"/>
  <c r="D176" i="5"/>
  <c r="D170" i="5"/>
  <c r="D164" i="5"/>
  <c r="D158" i="5"/>
  <c r="D152" i="5"/>
  <c r="D146" i="5"/>
  <c r="D140" i="5"/>
  <c r="D134" i="5"/>
  <c r="D128" i="5"/>
  <c r="D122" i="5"/>
  <c r="D116" i="5"/>
  <c r="D110" i="5"/>
  <c r="D104" i="5"/>
  <c r="D98" i="5"/>
  <c r="D92" i="5"/>
  <c r="D86" i="5"/>
  <c r="D80" i="5"/>
  <c r="D74" i="5"/>
  <c r="D68" i="5"/>
  <c r="D62" i="5"/>
  <c r="D56" i="5"/>
  <c r="D50" i="5"/>
  <c r="D44" i="5"/>
  <c r="D38" i="5"/>
  <c r="D32" i="5"/>
  <c r="D26" i="5"/>
  <c r="D20" i="5"/>
  <c r="D14" i="5"/>
  <c r="D8" i="5"/>
  <c r="D135" i="5"/>
  <c r="D99" i="5"/>
  <c r="D63" i="5"/>
  <c r="D33" i="5"/>
  <c r="D15" i="5"/>
  <c r="D129" i="5"/>
  <c r="D93" i="5"/>
  <c r="D57" i="5"/>
  <c r="D29" i="5"/>
  <c r="D11" i="5"/>
  <c r="D159" i="5"/>
  <c r="D123" i="5"/>
  <c r="D87" i="5"/>
  <c r="D51" i="5"/>
  <c r="D27" i="5"/>
  <c r="D9" i="5"/>
  <c r="D153" i="5"/>
  <c r="D117" i="5"/>
  <c r="D81" i="5"/>
  <c r="D45" i="5"/>
  <c r="D23" i="5"/>
  <c r="D5" i="5"/>
  <c r="D147" i="5"/>
  <c r="D111" i="5"/>
  <c r="D75" i="5"/>
  <c r="D39" i="5"/>
  <c r="D21" i="5"/>
  <c r="D3" i="5"/>
  <c r="D141" i="5"/>
  <c r="D105" i="5"/>
  <c r="D69" i="5"/>
  <c r="D35" i="5"/>
  <c r="D17" i="5"/>
  <c r="J2" i="5"/>
  <c r="P2" i="5"/>
  <c r="V2" i="5"/>
  <c r="AB2" i="5"/>
  <c r="AH2" i="5"/>
  <c r="AN2" i="5"/>
  <c r="AT2" i="5"/>
  <c r="AZ2" i="5"/>
  <c r="BF2" i="5"/>
  <c r="BL2" i="5"/>
  <c r="BR2" i="5"/>
  <c r="BR340" i="5"/>
  <c r="BR334" i="5"/>
  <c r="BR328" i="5"/>
  <c r="BR322" i="5"/>
  <c r="BR316" i="5"/>
  <c r="BR310" i="5"/>
  <c r="BR304" i="5"/>
  <c r="BR298" i="5"/>
  <c r="BR292" i="5"/>
  <c r="BR286" i="5"/>
  <c r="BR280" i="5"/>
  <c r="BR274" i="5"/>
  <c r="BR268" i="5"/>
  <c r="BR262" i="5"/>
  <c r="BR256" i="5"/>
  <c r="BR250" i="5"/>
  <c r="BR244" i="5"/>
  <c r="BR238" i="5"/>
  <c r="BR232" i="5"/>
  <c r="BR226" i="5"/>
  <c r="BR220" i="5"/>
  <c r="BR214" i="5"/>
  <c r="BR208" i="5"/>
  <c r="BR202" i="5"/>
  <c r="BR196" i="5"/>
  <c r="BR190" i="5"/>
  <c r="BR184" i="5"/>
  <c r="BR178" i="5"/>
  <c r="BR172" i="5"/>
  <c r="BR166" i="5"/>
  <c r="BR160" i="5"/>
  <c r="BR154" i="5"/>
  <c r="BR148" i="5"/>
  <c r="BR142" i="5"/>
  <c r="BR136" i="5"/>
  <c r="BR130" i="5"/>
  <c r="BR124" i="5"/>
  <c r="BR118" i="5"/>
  <c r="BR112" i="5"/>
  <c r="BR106" i="5"/>
  <c r="BR100" i="5"/>
  <c r="BR94" i="5"/>
  <c r="BR88" i="5"/>
  <c r="BR82" i="5"/>
  <c r="BR76" i="5"/>
  <c r="BR70" i="5"/>
  <c r="BR64" i="5"/>
  <c r="BR58" i="5"/>
  <c r="BR52" i="5"/>
  <c r="BR46" i="5"/>
  <c r="BR40" i="5"/>
  <c r="BR34" i="5"/>
  <c r="BR28" i="5"/>
  <c r="BR22" i="5"/>
  <c r="BR16" i="5"/>
  <c r="BR10" i="5"/>
  <c r="BR4" i="5"/>
  <c r="BR339" i="5"/>
  <c r="BR333" i="5"/>
  <c r="BR327" i="5"/>
  <c r="BR321" i="5"/>
  <c r="BR315" i="5"/>
  <c r="BR309" i="5"/>
  <c r="BR303" i="5"/>
  <c r="BR297" i="5"/>
  <c r="BR291" i="5"/>
  <c r="BR285" i="5"/>
  <c r="BR279" i="5"/>
  <c r="BR273" i="5"/>
  <c r="BR267" i="5"/>
  <c r="BR261" i="5"/>
  <c r="BR255" i="5"/>
  <c r="BR249" i="5"/>
  <c r="BR243" i="5"/>
  <c r="BR237" i="5"/>
  <c r="BR231" i="5"/>
  <c r="BR225" i="5"/>
  <c r="BR219" i="5"/>
  <c r="BR213" i="5"/>
  <c r="BR207" i="5"/>
  <c r="BR201" i="5"/>
  <c r="BR195" i="5"/>
  <c r="BR189" i="5"/>
  <c r="BR183" i="5"/>
  <c r="BR177" i="5"/>
  <c r="BR171" i="5"/>
  <c r="BR165" i="5"/>
  <c r="BR159" i="5"/>
  <c r="BR153" i="5"/>
  <c r="BR147" i="5"/>
  <c r="BR141" i="5"/>
  <c r="BR135" i="5"/>
  <c r="BR129" i="5"/>
  <c r="BR123" i="5"/>
  <c r="BR117" i="5"/>
  <c r="BR111" i="5"/>
  <c r="BR105" i="5"/>
  <c r="BR99" i="5"/>
  <c r="BR93" i="5"/>
  <c r="BR87" i="5"/>
  <c r="BR81" i="5"/>
  <c r="BR75" i="5"/>
  <c r="BR69" i="5"/>
  <c r="BR63" i="5"/>
  <c r="BR57" i="5"/>
  <c r="BR51" i="5"/>
  <c r="BR45" i="5"/>
  <c r="BR39" i="5"/>
  <c r="BR33" i="5"/>
  <c r="BR27" i="5"/>
  <c r="BR21" i="5"/>
  <c r="BR15" i="5"/>
  <c r="BR9" i="5"/>
  <c r="BR3" i="5"/>
  <c r="BR338" i="5"/>
  <c r="BR332" i="5"/>
  <c r="BR326" i="5"/>
  <c r="BR320" i="5"/>
  <c r="BR314" i="5"/>
  <c r="BR308" i="5"/>
  <c r="BR302" i="5"/>
  <c r="BR296" i="5"/>
  <c r="BR290" i="5"/>
  <c r="BR284" i="5"/>
  <c r="BR278" i="5"/>
  <c r="BR272" i="5"/>
  <c r="BR266" i="5"/>
  <c r="BR260" i="5"/>
  <c r="BR254" i="5"/>
  <c r="BR248" i="5"/>
  <c r="BR242" i="5"/>
  <c r="BR236" i="5"/>
  <c r="BR230" i="5"/>
  <c r="BR224" i="5"/>
  <c r="BR218" i="5"/>
  <c r="BR212" i="5"/>
  <c r="BR206" i="5"/>
  <c r="BR200" i="5"/>
  <c r="BR194" i="5"/>
  <c r="BR188" i="5"/>
  <c r="BR182" i="5"/>
  <c r="BR176" i="5"/>
  <c r="BR170" i="5"/>
  <c r="BR164" i="5"/>
  <c r="BR158" i="5"/>
  <c r="BR152" i="5"/>
  <c r="BR146" i="5"/>
  <c r="BR140" i="5"/>
  <c r="BR134" i="5"/>
  <c r="BR128" i="5"/>
  <c r="BR122" i="5"/>
  <c r="BR116" i="5"/>
  <c r="BR110" i="5"/>
  <c r="BR104" i="5"/>
  <c r="BR98" i="5"/>
  <c r="BR92" i="5"/>
  <c r="BR86" i="5"/>
  <c r="BR80" i="5"/>
  <c r="BR74" i="5"/>
  <c r="BR68" i="5"/>
  <c r="BR62" i="5"/>
  <c r="BR56" i="5"/>
  <c r="BR50" i="5"/>
  <c r="BR44" i="5"/>
  <c r="BR38" i="5"/>
  <c r="BR32" i="5"/>
  <c r="BR26" i="5"/>
  <c r="BR20" i="5"/>
  <c r="BR14" i="5"/>
  <c r="BR8" i="5"/>
  <c r="BR337" i="5"/>
  <c r="BR331" i="5"/>
  <c r="BR325" i="5"/>
  <c r="BR319" i="5"/>
  <c r="BR313" i="5"/>
  <c r="BR307" i="5"/>
  <c r="BR301" i="5"/>
  <c r="BR295" i="5"/>
  <c r="BR289" i="5"/>
  <c r="BR283" i="5"/>
  <c r="BR277" i="5"/>
  <c r="BR271" i="5"/>
  <c r="BR265" i="5"/>
  <c r="BR259" i="5"/>
  <c r="BR253" i="5"/>
  <c r="BR247" i="5"/>
  <c r="BR241" i="5"/>
  <c r="BR235" i="5"/>
  <c r="BR229" i="5"/>
  <c r="BR223" i="5"/>
  <c r="BR217" i="5"/>
  <c r="BR211" i="5"/>
  <c r="BR205" i="5"/>
  <c r="BR199" i="5"/>
  <c r="BR193" i="5"/>
  <c r="BR187" i="5"/>
  <c r="BR181" i="5"/>
  <c r="BR175" i="5"/>
  <c r="BR169" i="5"/>
  <c r="BR163" i="5"/>
  <c r="BR157" i="5"/>
  <c r="BR151" i="5"/>
  <c r="BR145" i="5"/>
  <c r="BR139" i="5"/>
  <c r="BR133" i="5"/>
  <c r="BR127" i="5"/>
  <c r="BR121" i="5"/>
  <c r="BR115" i="5"/>
  <c r="BR109" i="5"/>
  <c r="BR103" i="5"/>
  <c r="BR97" i="5"/>
  <c r="BR91" i="5"/>
  <c r="BR85" i="5"/>
  <c r="BR79" i="5"/>
  <c r="BR73" i="5"/>
  <c r="BR67" i="5"/>
  <c r="BR61" i="5"/>
  <c r="BR55" i="5"/>
  <c r="BR49" i="5"/>
  <c r="BR43" i="5"/>
  <c r="BR37" i="5"/>
  <c r="BR31" i="5"/>
  <c r="BR25" i="5"/>
  <c r="BR19" i="5"/>
  <c r="BR13" i="5"/>
  <c r="BR7" i="5"/>
  <c r="BR336" i="5"/>
  <c r="BR330" i="5"/>
  <c r="BR324" i="5"/>
  <c r="BR318" i="5"/>
  <c r="BR312" i="5"/>
  <c r="BR306" i="5"/>
  <c r="BR300" i="5"/>
  <c r="BR294" i="5"/>
  <c r="BR288" i="5"/>
  <c r="BR282" i="5"/>
  <c r="BR276" i="5"/>
  <c r="BR270" i="5"/>
  <c r="BR264" i="5"/>
  <c r="BR258" i="5"/>
  <c r="BR252" i="5"/>
  <c r="BR246" i="5"/>
  <c r="BR240" i="5"/>
  <c r="BR234" i="5"/>
  <c r="BR228" i="5"/>
  <c r="BR222" i="5"/>
  <c r="BR216" i="5"/>
  <c r="BR210" i="5"/>
  <c r="BR204" i="5"/>
  <c r="BR198" i="5"/>
  <c r="BR192" i="5"/>
  <c r="BR186" i="5"/>
  <c r="BR180" i="5"/>
  <c r="BR174" i="5"/>
  <c r="BR168" i="5"/>
  <c r="BR162" i="5"/>
  <c r="BR156" i="5"/>
  <c r="BR150" i="5"/>
  <c r="BR144" i="5"/>
  <c r="BR138" i="5"/>
  <c r="BR132" i="5"/>
  <c r="BR126" i="5"/>
  <c r="BR120" i="5"/>
  <c r="BR114" i="5"/>
  <c r="BR108" i="5"/>
  <c r="BR102" i="5"/>
  <c r="BR96" i="5"/>
  <c r="BR90" i="5"/>
  <c r="BR84" i="5"/>
  <c r="BR78" i="5"/>
  <c r="BR72" i="5"/>
  <c r="BR66" i="5"/>
  <c r="BR60" i="5"/>
  <c r="BR54" i="5"/>
  <c r="BR48" i="5"/>
  <c r="BR42" i="5"/>
  <c r="BR36" i="5"/>
  <c r="BR30" i="5"/>
  <c r="BR24" i="5"/>
  <c r="BR18" i="5"/>
  <c r="BR12" i="5"/>
  <c r="BR6" i="5"/>
  <c r="BR335" i="5"/>
  <c r="BR329" i="5"/>
  <c r="BR323" i="5"/>
  <c r="BR317" i="5"/>
  <c r="BR311" i="5"/>
  <c r="BR305" i="5"/>
  <c r="BR299" i="5"/>
  <c r="BR293" i="5"/>
  <c r="BR287" i="5"/>
  <c r="BR281" i="5"/>
  <c r="BR275" i="5"/>
  <c r="BR269" i="5"/>
  <c r="BR263" i="5"/>
  <c r="BR257" i="5"/>
  <c r="BR251" i="5"/>
  <c r="BR245" i="5"/>
  <c r="BR239" i="5"/>
  <c r="BR233" i="5"/>
  <c r="BR227" i="5"/>
  <c r="BR221" i="5"/>
  <c r="BR215" i="5"/>
  <c r="BR209" i="5"/>
  <c r="BR203" i="5"/>
  <c r="BR197" i="5"/>
  <c r="BR191" i="5"/>
  <c r="BR185" i="5"/>
  <c r="BR179" i="5"/>
  <c r="BR173" i="5"/>
  <c r="BR167" i="5"/>
  <c r="BR161" i="5"/>
  <c r="BR155" i="5"/>
  <c r="BR149" i="5"/>
  <c r="BR143" i="5"/>
  <c r="BR137" i="5"/>
  <c r="BR131" i="5"/>
  <c r="BR125" i="5"/>
  <c r="BR119" i="5"/>
  <c r="BR113" i="5"/>
  <c r="BR107" i="5"/>
  <c r="BR101" i="5"/>
  <c r="BR95" i="5"/>
  <c r="BR89" i="5"/>
  <c r="BR83" i="5"/>
  <c r="BR77" i="5"/>
  <c r="BR71" i="5"/>
  <c r="BR65" i="5"/>
  <c r="BR59" i="5"/>
  <c r="BR53" i="5"/>
  <c r="BR47" i="5"/>
  <c r="BR41" i="5"/>
  <c r="BR35" i="5"/>
  <c r="BR29" i="5"/>
  <c r="BR23" i="5"/>
  <c r="BR17" i="5"/>
  <c r="BR11" i="5"/>
  <c r="BR5" i="5"/>
  <c r="BX2" i="5"/>
  <c r="CD2" i="5"/>
  <c r="CD335" i="5"/>
  <c r="CD329" i="5"/>
  <c r="CD323" i="5"/>
  <c r="CD317" i="5"/>
  <c r="CD311" i="5"/>
  <c r="CD305" i="5"/>
  <c r="CD299" i="5"/>
  <c r="CD293" i="5"/>
  <c r="CD287" i="5"/>
  <c r="CD281" i="5"/>
  <c r="CD275" i="5"/>
  <c r="CD269" i="5"/>
  <c r="CD263" i="5"/>
  <c r="CD257" i="5"/>
  <c r="CD251" i="5"/>
  <c r="CD245" i="5"/>
  <c r="CD239" i="5"/>
  <c r="CD233" i="5"/>
  <c r="CD227" i="5"/>
  <c r="CD221" i="5"/>
  <c r="CD215" i="5"/>
  <c r="CD209" i="5"/>
  <c r="CD203" i="5"/>
  <c r="CD197" i="5"/>
  <c r="CD191" i="5"/>
  <c r="CD185" i="5"/>
  <c r="CD179" i="5"/>
  <c r="CD173" i="5"/>
  <c r="CD167" i="5"/>
  <c r="CD161" i="5"/>
  <c r="CD155" i="5"/>
  <c r="CD149" i="5"/>
  <c r="CD143" i="5"/>
  <c r="CD137" i="5"/>
  <c r="CD131" i="5"/>
  <c r="CD125" i="5"/>
  <c r="CD119" i="5"/>
  <c r="CD113" i="5"/>
  <c r="CD107" i="5"/>
  <c r="CD101" i="5"/>
  <c r="CD95" i="5"/>
  <c r="CD89" i="5"/>
  <c r="CD83" i="5"/>
  <c r="CD77" i="5"/>
  <c r="CD71" i="5"/>
  <c r="CD65" i="5"/>
  <c r="CD59" i="5"/>
  <c r="CD53" i="5"/>
  <c r="CD47" i="5"/>
  <c r="CD41" i="5"/>
  <c r="CD35" i="5"/>
  <c r="CD29" i="5"/>
  <c r="CD23" i="5"/>
  <c r="CD17" i="5"/>
  <c r="CD11" i="5"/>
  <c r="CD5" i="5"/>
  <c r="CD334" i="5"/>
  <c r="CD328" i="5"/>
  <c r="CD322" i="5"/>
  <c r="CD316" i="5"/>
  <c r="CD310" i="5"/>
  <c r="CD304" i="5"/>
  <c r="CD298" i="5"/>
  <c r="CD292" i="5"/>
  <c r="CD286" i="5"/>
  <c r="CD280" i="5"/>
  <c r="CD274" i="5"/>
  <c r="CD268" i="5"/>
  <c r="CD262" i="5"/>
  <c r="CD256" i="5"/>
  <c r="CD250" i="5"/>
  <c r="CD244" i="5"/>
  <c r="CD238" i="5"/>
  <c r="CD232" i="5"/>
  <c r="CD226" i="5"/>
  <c r="CD220" i="5"/>
  <c r="CD214" i="5"/>
  <c r="CD208" i="5"/>
  <c r="CD202" i="5"/>
  <c r="CD196" i="5"/>
  <c r="CD190" i="5"/>
  <c r="CD184" i="5"/>
  <c r="CD178" i="5"/>
  <c r="CD172" i="5"/>
  <c r="CD166" i="5"/>
  <c r="CD160" i="5"/>
  <c r="CD154" i="5"/>
  <c r="CD148" i="5"/>
  <c r="CD142" i="5"/>
  <c r="CD136" i="5"/>
  <c r="CD130" i="5"/>
  <c r="CD124" i="5"/>
  <c r="CD118" i="5"/>
  <c r="CD112" i="5"/>
  <c r="CD106" i="5"/>
  <c r="CD100" i="5"/>
  <c r="CD94" i="5"/>
  <c r="CD88" i="5"/>
  <c r="CD82" i="5"/>
  <c r="CD76" i="5"/>
  <c r="CD70" i="5"/>
  <c r="CD64" i="5"/>
  <c r="CD58" i="5"/>
  <c r="CD52" i="5"/>
  <c r="CD46" i="5"/>
  <c r="CD40" i="5"/>
  <c r="CD34" i="5"/>
  <c r="CD28" i="5"/>
  <c r="CD22" i="5"/>
  <c r="CD16" i="5"/>
  <c r="CD10" i="5"/>
  <c r="CD4" i="5"/>
  <c r="CD339" i="5"/>
  <c r="CD333" i="5"/>
  <c r="CD327" i="5"/>
  <c r="CD321" i="5"/>
  <c r="CD315" i="5"/>
  <c r="CD309" i="5"/>
  <c r="CD303" i="5"/>
  <c r="CD297" i="5"/>
  <c r="CD291" i="5"/>
  <c r="CD285" i="5"/>
  <c r="CD279" i="5"/>
  <c r="CD273" i="5"/>
  <c r="CD267" i="5"/>
  <c r="CD261" i="5"/>
  <c r="CD255" i="5"/>
  <c r="CD249" i="5"/>
  <c r="CD243" i="5"/>
  <c r="CD237" i="5"/>
  <c r="CD231" i="5"/>
  <c r="CD225" i="5"/>
  <c r="CD219" i="5"/>
  <c r="CD213" i="5"/>
  <c r="CD207" i="5"/>
  <c r="CD201" i="5"/>
  <c r="CD195" i="5"/>
  <c r="CD189" i="5"/>
  <c r="CD183" i="5"/>
  <c r="CD177" i="5"/>
  <c r="CD171" i="5"/>
  <c r="CD165" i="5"/>
  <c r="CD159" i="5"/>
  <c r="CD153" i="5"/>
  <c r="CD147" i="5"/>
  <c r="CD141" i="5"/>
  <c r="CD135" i="5"/>
  <c r="CD129" i="5"/>
  <c r="CD123" i="5"/>
  <c r="CD117" i="5"/>
  <c r="CD111" i="5"/>
  <c r="CD105" i="5"/>
  <c r="CD99" i="5"/>
  <c r="CD93" i="5"/>
  <c r="CD87" i="5"/>
  <c r="CD81" i="5"/>
  <c r="CD75" i="5"/>
  <c r="CD69" i="5"/>
  <c r="CD63" i="5"/>
  <c r="CD57" i="5"/>
  <c r="CD51" i="5"/>
  <c r="CD45" i="5"/>
  <c r="CD39" i="5"/>
  <c r="CD33" i="5"/>
  <c r="CD27" i="5"/>
  <c r="CD21" i="5"/>
  <c r="CD15" i="5"/>
  <c r="CD9" i="5"/>
  <c r="CD3" i="5"/>
  <c r="CD338" i="5"/>
  <c r="CD332" i="5"/>
  <c r="CD326" i="5"/>
  <c r="CD320" i="5"/>
  <c r="CD314" i="5"/>
  <c r="CD308" i="5"/>
  <c r="CD302" i="5"/>
  <c r="CD296" i="5"/>
  <c r="CD290" i="5"/>
  <c r="CD284" i="5"/>
  <c r="CD278" i="5"/>
  <c r="CD272" i="5"/>
  <c r="CD266" i="5"/>
  <c r="CD260" i="5"/>
  <c r="CD254" i="5"/>
  <c r="CD248" i="5"/>
  <c r="CD242" i="5"/>
  <c r="CD236" i="5"/>
  <c r="CD230" i="5"/>
  <c r="CD224" i="5"/>
  <c r="CD218" i="5"/>
  <c r="CD212" i="5"/>
  <c r="CD206" i="5"/>
  <c r="CD200" i="5"/>
  <c r="CD194" i="5"/>
  <c r="CD188" i="5"/>
  <c r="CD182" i="5"/>
  <c r="CD176" i="5"/>
  <c r="CD170" i="5"/>
  <c r="CD164" i="5"/>
  <c r="CD158" i="5"/>
  <c r="CD152" i="5"/>
  <c r="CD146" i="5"/>
  <c r="CD140" i="5"/>
  <c r="CD134" i="5"/>
  <c r="CD128" i="5"/>
  <c r="CD122" i="5"/>
  <c r="CD116" i="5"/>
  <c r="CD110" i="5"/>
  <c r="CD104" i="5"/>
  <c r="CD98" i="5"/>
  <c r="CD92" i="5"/>
  <c r="CD86" i="5"/>
  <c r="CD80" i="5"/>
  <c r="CD74" i="5"/>
  <c r="CD68" i="5"/>
  <c r="CD62" i="5"/>
  <c r="CD56" i="5"/>
  <c r="CD50" i="5"/>
  <c r="CD44" i="5"/>
  <c r="CD38" i="5"/>
  <c r="CD32" i="5"/>
  <c r="CD26" i="5"/>
  <c r="CD20" i="5"/>
  <c r="CD14" i="5"/>
  <c r="CD8" i="5"/>
  <c r="CD337" i="5"/>
  <c r="CD331" i="5"/>
  <c r="CD325" i="5"/>
  <c r="CD319" i="5"/>
  <c r="CD313" i="5"/>
  <c r="CD307" i="5"/>
  <c r="CD301" i="5"/>
  <c r="CD295" i="5"/>
  <c r="CD289" i="5"/>
  <c r="CD283" i="5"/>
  <c r="CD277" i="5"/>
  <c r="CD271" i="5"/>
  <c r="CD265" i="5"/>
  <c r="CD259" i="5"/>
  <c r="CD253" i="5"/>
  <c r="CD247" i="5"/>
  <c r="CD241" i="5"/>
  <c r="CD235" i="5"/>
  <c r="CD229" i="5"/>
  <c r="CD223" i="5"/>
  <c r="CD217" i="5"/>
  <c r="CD211" i="5"/>
  <c r="CD205" i="5"/>
  <c r="CD199" i="5"/>
  <c r="CD193" i="5"/>
  <c r="CD187" i="5"/>
  <c r="CD181" i="5"/>
  <c r="CD175" i="5"/>
  <c r="CD169" i="5"/>
  <c r="CD163" i="5"/>
  <c r="CD157" i="5"/>
  <c r="CD151" i="5"/>
  <c r="CD145" i="5"/>
  <c r="CD139" i="5"/>
  <c r="CD133" i="5"/>
  <c r="CD127" i="5"/>
  <c r="CD121" i="5"/>
  <c r="CD115" i="5"/>
  <c r="CD109" i="5"/>
  <c r="CD103" i="5"/>
  <c r="CD97" i="5"/>
  <c r="CD91" i="5"/>
  <c r="CD85" i="5"/>
  <c r="CD79" i="5"/>
  <c r="CD73" i="5"/>
  <c r="CD67" i="5"/>
  <c r="CD61" i="5"/>
  <c r="CD55" i="5"/>
  <c r="CD49" i="5"/>
  <c r="CD43" i="5"/>
  <c r="CD37" i="5"/>
  <c r="CD31" i="5"/>
  <c r="CD25" i="5"/>
  <c r="CD19" i="5"/>
  <c r="CD13" i="5"/>
  <c r="CD7" i="5"/>
  <c r="CD336" i="5"/>
  <c r="CD330" i="5"/>
  <c r="CD324" i="5"/>
  <c r="CD318" i="5"/>
  <c r="CD312" i="5"/>
  <c r="CD306" i="5"/>
  <c r="CD300" i="5"/>
  <c r="CD294" i="5"/>
  <c r="CD288" i="5"/>
  <c r="CD282" i="5"/>
  <c r="CD276" i="5"/>
  <c r="CD270" i="5"/>
  <c r="CD264" i="5"/>
  <c r="CD258" i="5"/>
  <c r="CD252" i="5"/>
  <c r="CD246" i="5"/>
  <c r="CD240" i="5"/>
  <c r="CD234" i="5"/>
  <c r="CD228" i="5"/>
  <c r="CD222" i="5"/>
  <c r="CD216" i="5"/>
  <c r="CD210" i="5"/>
  <c r="CD204" i="5"/>
  <c r="CD198" i="5"/>
  <c r="CD192" i="5"/>
  <c r="CD186" i="5"/>
  <c r="CD180" i="5"/>
  <c r="CD174" i="5"/>
  <c r="CD168" i="5"/>
  <c r="CD162" i="5"/>
  <c r="CD156" i="5"/>
  <c r="CD150" i="5"/>
  <c r="CD144" i="5"/>
  <c r="CD138" i="5"/>
  <c r="CD132" i="5"/>
  <c r="CD126" i="5"/>
  <c r="CD120" i="5"/>
  <c r="CD114" i="5"/>
  <c r="CD108" i="5"/>
  <c r="CD102" i="5"/>
  <c r="CD96" i="5"/>
  <c r="CD90" i="5"/>
  <c r="CD84" i="5"/>
  <c r="CD78" i="5"/>
  <c r="CD72" i="5"/>
  <c r="CD66" i="5"/>
  <c r="CD60" i="5"/>
  <c r="CD54" i="5"/>
  <c r="CD48" i="5"/>
  <c r="CD42" i="5"/>
  <c r="CD36" i="5"/>
  <c r="CD30" i="5"/>
  <c r="CD24" i="5"/>
  <c r="CD18" i="5"/>
  <c r="CD12" i="5"/>
  <c r="CD6" i="5"/>
  <c r="S2" i="5"/>
  <c r="BJ2" i="5"/>
  <c r="U2" i="5"/>
  <c r="BE2" i="5"/>
  <c r="E2" i="5"/>
  <c r="E336" i="5"/>
  <c r="E330" i="5"/>
  <c r="E324" i="5"/>
  <c r="E318" i="5"/>
  <c r="E312" i="5"/>
  <c r="E306" i="5"/>
  <c r="E300" i="5"/>
  <c r="E294" i="5"/>
  <c r="E288" i="5"/>
  <c r="E282" i="5"/>
  <c r="E276" i="5"/>
  <c r="E270" i="5"/>
  <c r="E264" i="5"/>
  <c r="E258" i="5"/>
  <c r="E252" i="5"/>
  <c r="E246" i="5"/>
  <c r="E240" i="5"/>
  <c r="E234" i="5"/>
  <c r="E228" i="5"/>
  <c r="E222" i="5"/>
  <c r="E216" i="5"/>
  <c r="E210" i="5"/>
  <c r="E204" i="5"/>
  <c r="E198" i="5"/>
  <c r="E192" i="5"/>
  <c r="E186" i="5"/>
  <c r="E180" i="5"/>
  <c r="E174" i="5"/>
  <c r="E168" i="5"/>
  <c r="E162" i="5"/>
  <c r="E156" i="5"/>
  <c r="E150" i="5"/>
  <c r="E144" i="5"/>
  <c r="E138" i="5"/>
  <c r="E132" i="5"/>
  <c r="E126" i="5"/>
  <c r="E120" i="5"/>
  <c r="E114" i="5"/>
  <c r="E108" i="5"/>
  <c r="E102" i="5"/>
  <c r="E96" i="5"/>
  <c r="E90" i="5"/>
  <c r="E84" i="5"/>
  <c r="E78" i="5"/>
  <c r="E72" i="5"/>
  <c r="E66" i="5"/>
  <c r="E60" i="5"/>
  <c r="E54" i="5"/>
  <c r="E48" i="5"/>
  <c r="E42" i="5"/>
  <c r="E36" i="5"/>
  <c r="E30" i="5"/>
  <c r="E24" i="5"/>
  <c r="E18" i="5"/>
  <c r="E12" i="5"/>
  <c r="E6" i="5"/>
  <c r="E335" i="5"/>
  <c r="E329" i="5"/>
  <c r="E323" i="5"/>
  <c r="E317" i="5"/>
  <c r="E311" i="5"/>
  <c r="E305" i="5"/>
  <c r="E299" i="5"/>
  <c r="E293" i="5"/>
  <c r="E287" i="5"/>
  <c r="E281" i="5"/>
  <c r="E275" i="5"/>
  <c r="E269" i="5"/>
  <c r="E263" i="5"/>
  <c r="E257" i="5"/>
  <c r="E251" i="5"/>
  <c r="E245" i="5"/>
  <c r="E239" i="5"/>
  <c r="E233" i="5"/>
  <c r="E227" i="5"/>
  <c r="E221" i="5"/>
  <c r="E215" i="5"/>
  <c r="E209" i="5"/>
  <c r="E203" i="5"/>
  <c r="E197" i="5"/>
  <c r="E191" i="5"/>
  <c r="E185" i="5"/>
  <c r="E179" i="5"/>
  <c r="E173" i="5"/>
  <c r="E167" i="5"/>
  <c r="E161" i="5"/>
  <c r="E155" i="5"/>
  <c r="E149" i="5"/>
  <c r="E143" i="5"/>
  <c r="E137" i="5"/>
  <c r="E131" i="5"/>
  <c r="E125" i="5"/>
  <c r="E119" i="5"/>
  <c r="E113" i="5"/>
  <c r="E107" i="5"/>
  <c r="E101" i="5"/>
  <c r="E95" i="5"/>
  <c r="E89" i="5"/>
  <c r="E83" i="5"/>
  <c r="E77" i="5"/>
  <c r="E71" i="5"/>
  <c r="E65" i="5"/>
  <c r="E59" i="5"/>
  <c r="E53" i="5"/>
  <c r="E47" i="5"/>
  <c r="E41" i="5"/>
  <c r="E35" i="5"/>
  <c r="E29" i="5"/>
  <c r="E23" i="5"/>
  <c r="E17" i="5"/>
  <c r="E11" i="5"/>
  <c r="E5" i="5"/>
  <c r="E334" i="5"/>
  <c r="E328" i="5"/>
  <c r="E322" i="5"/>
  <c r="E316" i="5"/>
  <c r="E310" i="5"/>
  <c r="E304" i="5"/>
  <c r="E298" i="5"/>
  <c r="E292" i="5"/>
  <c r="E286" i="5"/>
  <c r="E280" i="5"/>
  <c r="E274" i="5"/>
  <c r="E268" i="5"/>
  <c r="E262" i="5"/>
  <c r="E256" i="5"/>
  <c r="E250" i="5"/>
  <c r="E244" i="5"/>
  <c r="E238" i="5"/>
  <c r="E232" i="5"/>
  <c r="E226" i="5"/>
  <c r="E220" i="5"/>
  <c r="E214" i="5"/>
  <c r="E208" i="5"/>
  <c r="E202" i="5"/>
  <c r="E196" i="5"/>
  <c r="E190" i="5"/>
  <c r="E184" i="5"/>
  <c r="E178" i="5"/>
  <c r="E172" i="5"/>
  <c r="E166" i="5"/>
  <c r="E160" i="5"/>
  <c r="E154" i="5"/>
  <c r="E148" i="5"/>
  <c r="E142" i="5"/>
  <c r="E136" i="5"/>
  <c r="E130" i="5"/>
  <c r="E124" i="5"/>
  <c r="E118" i="5"/>
  <c r="E112" i="5"/>
  <c r="E106" i="5"/>
  <c r="E100" i="5"/>
  <c r="E94" i="5"/>
  <c r="E88" i="5"/>
  <c r="E82" i="5"/>
  <c r="E76" i="5"/>
  <c r="E70" i="5"/>
  <c r="E64" i="5"/>
  <c r="E58" i="5"/>
  <c r="E52" i="5"/>
  <c r="E46" i="5"/>
  <c r="E40" i="5"/>
  <c r="E34" i="5"/>
  <c r="E28" i="5"/>
  <c r="E22" i="5"/>
  <c r="E16" i="5"/>
  <c r="E10" i="5"/>
  <c r="E4" i="5"/>
  <c r="E339" i="5"/>
  <c r="E333" i="5"/>
  <c r="E327" i="5"/>
  <c r="E321" i="5"/>
  <c r="E315" i="5"/>
  <c r="E309" i="5"/>
  <c r="E303" i="5"/>
  <c r="E297" i="5"/>
  <c r="E291" i="5"/>
  <c r="E285" i="5"/>
  <c r="E279" i="5"/>
  <c r="E273" i="5"/>
  <c r="E267" i="5"/>
  <c r="E261" i="5"/>
  <c r="E255" i="5"/>
  <c r="E249" i="5"/>
  <c r="E243" i="5"/>
  <c r="E237" i="5"/>
  <c r="E231" i="5"/>
  <c r="E225" i="5"/>
  <c r="E219" i="5"/>
  <c r="E213" i="5"/>
  <c r="E207" i="5"/>
  <c r="E201" i="5"/>
  <c r="E195" i="5"/>
  <c r="E189" i="5"/>
  <c r="E183" i="5"/>
  <c r="E177" i="5"/>
  <c r="E171" i="5"/>
  <c r="E165" i="5"/>
  <c r="E159" i="5"/>
  <c r="E153" i="5"/>
  <c r="E147" i="5"/>
  <c r="E141" i="5"/>
  <c r="E135" i="5"/>
  <c r="E129" i="5"/>
  <c r="E123" i="5"/>
  <c r="E117" i="5"/>
  <c r="E111" i="5"/>
  <c r="E105" i="5"/>
  <c r="E99" i="5"/>
  <c r="E93" i="5"/>
  <c r="E87" i="5"/>
  <c r="E81" i="5"/>
  <c r="E75" i="5"/>
  <c r="E69" i="5"/>
  <c r="E63" i="5"/>
  <c r="E57" i="5"/>
  <c r="E51" i="5"/>
  <c r="E45" i="5"/>
  <c r="E39" i="5"/>
  <c r="E33" i="5"/>
  <c r="E27" i="5"/>
  <c r="E21" i="5"/>
  <c r="E15" i="5"/>
  <c r="E9" i="5"/>
  <c r="E3" i="5"/>
  <c r="E338" i="5"/>
  <c r="E332" i="5"/>
  <c r="E326" i="5"/>
  <c r="E320" i="5"/>
  <c r="E314" i="5"/>
  <c r="E308" i="5"/>
  <c r="E302" i="5"/>
  <c r="E296" i="5"/>
  <c r="E290" i="5"/>
  <c r="E284" i="5"/>
  <c r="E278" i="5"/>
  <c r="E272" i="5"/>
  <c r="E266" i="5"/>
  <c r="E260" i="5"/>
  <c r="E254" i="5"/>
  <c r="E248" i="5"/>
  <c r="E242" i="5"/>
  <c r="E236" i="5"/>
  <c r="E230" i="5"/>
  <c r="E224" i="5"/>
  <c r="E218" i="5"/>
  <c r="E212" i="5"/>
  <c r="E206" i="5"/>
  <c r="E200" i="5"/>
  <c r="E194" i="5"/>
  <c r="E188" i="5"/>
  <c r="E182" i="5"/>
  <c r="E176" i="5"/>
  <c r="E170" i="5"/>
  <c r="E164" i="5"/>
  <c r="E158" i="5"/>
  <c r="E152" i="5"/>
  <c r="E146" i="5"/>
  <c r="E140" i="5"/>
  <c r="E134" i="5"/>
  <c r="E128" i="5"/>
  <c r="E122" i="5"/>
  <c r="E116" i="5"/>
  <c r="E110" i="5"/>
  <c r="E104" i="5"/>
  <c r="E98" i="5"/>
  <c r="E92" i="5"/>
  <c r="E86" i="5"/>
  <c r="E80" i="5"/>
  <c r="E74" i="5"/>
  <c r="E68" i="5"/>
  <c r="E62" i="5"/>
  <c r="E56" i="5"/>
  <c r="E50" i="5"/>
  <c r="E44" i="5"/>
  <c r="E38" i="5"/>
  <c r="E32" i="5"/>
  <c r="E26" i="5"/>
  <c r="E20" i="5"/>
  <c r="E14" i="5"/>
  <c r="E8" i="5"/>
  <c r="E337" i="5"/>
  <c r="E331" i="5"/>
  <c r="E325" i="5"/>
  <c r="E319" i="5"/>
  <c r="E313" i="5"/>
  <c r="E307" i="5"/>
  <c r="E301" i="5"/>
  <c r="E295" i="5"/>
  <c r="E289" i="5"/>
  <c r="E283" i="5"/>
  <c r="E277" i="5"/>
  <c r="E271" i="5"/>
  <c r="E265" i="5"/>
  <c r="E259" i="5"/>
  <c r="E253" i="5"/>
  <c r="E247" i="5"/>
  <c r="E241" i="5"/>
  <c r="E235" i="5"/>
  <c r="E229" i="5"/>
  <c r="E223" i="5"/>
  <c r="E217" i="5"/>
  <c r="E211" i="5"/>
  <c r="E205" i="5"/>
  <c r="E199" i="5"/>
  <c r="E193" i="5"/>
  <c r="E187" i="5"/>
  <c r="E181" i="5"/>
  <c r="E175" i="5"/>
  <c r="E169" i="5"/>
  <c r="E163" i="5"/>
  <c r="E157" i="5"/>
  <c r="E151" i="5"/>
  <c r="E145" i="5"/>
  <c r="E139" i="5"/>
  <c r="E133" i="5"/>
  <c r="E127" i="5"/>
  <c r="E121" i="5"/>
  <c r="E115" i="5"/>
  <c r="E109" i="5"/>
  <c r="E103" i="5"/>
  <c r="E97" i="5"/>
  <c r="E91" i="5"/>
  <c r="E85" i="5"/>
  <c r="E79" i="5"/>
  <c r="E73" i="5"/>
  <c r="E67" i="5"/>
  <c r="E61" i="5"/>
  <c r="E55" i="5"/>
  <c r="E49" i="5"/>
  <c r="E43" i="5"/>
  <c r="E37" i="5"/>
  <c r="E31" i="5"/>
  <c r="E25" i="5"/>
  <c r="E19" i="5"/>
  <c r="E13" i="5"/>
  <c r="E7" i="5"/>
  <c r="Q2" i="5"/>
  <c r="W2" i="5"/>
  <c r="AC2" i="5"/>
  <c r="AI2" i="5"/>
  <c r="AO2" i="5"/>
  <c r="AU2" i="5"/>
  <c r="BA2" i="5"/>
  <c r="BG2" i="5"/>
  <c r="BM2" i="5"/>
  <c r="BS2" i="5"/>
  <c r="BS338" i="5"/>
  <c r="BS332" i="5"/>
  <c r="BS326" i="5"/>
  <c r="BS320" i="5"/>
  <c r="BS314" i="5"/>
  <c r="BS308" i="5"/>
  <c r="BS302" i="5"/>
  <c r="BS296" i="5"/>
  <c r="BS290" i="5"/>
  <c r="BS284" i="5"/>
  <c r="BS278" i="5"/>
  <c r="BS272" i="5"/>
  <c r="BS266" i="5"/>
  <c r="BS260" i="5"/>
  <c r="BS254" i="5"/>
  <c r="BS248" i="5"/>
  <c r="BS242" i="5"/>
  <c r="BS236" i="5"/>
  <c r="BS230" i="5"/>
  <c r="BS224" i="5"/>
  <c r="BS218" i="5"/>
  <c r="BS212" i="5"/>
  <c r="BS206" i="5"/>
  <c r="BS200" i="5"/>
  <c r="BS194" i="5"/>
  <c r="BS188" i="5"/>
  <c r="BS182" i="5"/>
  <c r="BS176" i="5"/>
  <c r="BS170" i="5"/>
  <c r="BS164" i="5"/>
  <c r="BS158" i="5"/>
  <c r="BS152" i="5"/>
  <c r="BS146" i="5"/>
  <c r="BS140" i="5"/>
  <c r="BS134" i="5"/>
  <c r="BS128" i="5"/>
  <c r="BS122" i="5"/>
  <c r="BS116" i="5"/>
  <c r="BS110" i="5"/>
  <c r="BS104" i="5"/>
  <c r="BS98" i="5"/>
  <c r="BS92" i="5"/>
  <c r="BS86" i="5"/>
  <c r="BS80" i="5"/>
  <c r="BS74" i="5"/>
  <c r="BS68" i="5"/>
  <c r="BS62" i="5"/>
  <c r="BS56" i="5"/>
  <c r="BS50" i="5"/>
  <c r="BS44" i="5"/>
  <c r="BS38" i="5"/>
  <c r="BS32" i="5"/>
  <c r="BS26" i="5"/>
  <c r="BS20" i="5"/>
  <c r="BS14" i="5"/>
  <c r="BS8" i="5"/>
  <c r="BS337" i="5"/>
  <c r="BS331" i="5"/>
  <c r="BS325" i="5"/>
  <c r="BS319" i="5"/>
  <c r="BS313" i="5"/>
  <c r="BS307" i="5"/>
  <c r="BS301" i="5"/>
  <c r="BS295" i="5"/>
  <c r="BS289" i="5"/>
  <c r="BS283" i="5"/>
  <c r="BS277" i="5"/>
  <c r="BS271" i="5"/>
  <c r="BS265" i="5"/>
  <c r="BS259" i="5"/>
  <c r="BS253" i="5"/>
  <c r="BS247" i="5"/>
  <c r="BS241" i="5"/>
  <c r="BS235" i="5"/>
  <c r="BS229" i="5"/>
  <c r="BS223" i="5"/>
  <c r="BS217" i="5"/>
  <c r="BS211" i="5"/>
  <c r="BS205" i="5"/>
  <c r="BS199" i="5"/>
  <c r="BS193" i="5"/>
  <c r="BS187" i="5"/>
  <c r="BS181" i="5"/>
  <c r="BS175" i="5"/>
  <c r="BS169" i="5"/>
  <c r="BS163" i="5"/>
  <c r="BS157" i="5"/>
  <c r="BS151" i="5"/>
  <c r="BS145" i="5"/>
  <c r="BS139" i="5"/>
  <c r="BS133" i="5"/>
  <c r="BS127" i="5"/>
  <c r="BS121" i="5"/>
  <c r="BS115" i="5"/>
  <c r="BS109" i="5"/>
  <c r="BS103" i="5"/>
  <c r="BS97" i="5"/>
  <c r="BS91" i="5"/>
  <c r="BS85" i="5"/>
  <c r="BS79" i="5"/>
  <c r="BS73" i="5"/>
  <c r="BS67" i="5"/>
  <c r="BS61" i="5"/>
  <c r="BS55" i="5"/>
  <c r="BS49" i="5"/>
  <c r="BS43" i="5"/>
  <c r="BS37" i="5"/>
  <c r="BS31" i="5"/>
  <c r="BS25" i="5"/>
  <c r="BS19" i="5"/>
  <c r="BS13" i="5"/>
  <c r="BS7" i="5"/>
  <c r="BS336" i="5"/>
  <c r="BS330" i="5"/>
  <c r="BS324" i="5"/>
  <c r="BS318" i="5"/>
  <c r="BS312" i="5"/>
  <c r="BS306" i="5"/>
  <c r="BS300" i="5"/>
  <c r="BS294" i="5"/>
  <c r="BS288" i="5"/>
  <c r="BS282" i="5"/>
  <c r="BS276" i="5"/>
  <c r="BS270" i="5"/>
  <c r="BS264" i="5"/>
  <c r="BS258" i="5"/>
  <c r="BS252" i="5"/>
  <c r="BS246" i="5"/>
  <c r="BS240" i="5"/>
  <c r="BS234" i="5"/>
  <c r="BS228" i="5"/>
  <c r="BS222" i="5"/>
  <c r="BS216" i="5"/>
  <c r="BS210" i="5"/>
  <c r="BS204" i="5"/>
  <c r="BS198" i="5"/>
  <c r="BS192" i="5"/>
  <c r="BS186" i="5"/>
  <c r="BS180" i="5"/>
  <c r="BS174" i="5"/>
  <c r="BS168" i="5"/>
  <c r="BS162" i="5"/>
  <c r="BS156" i="5"/>
  <c r="BS150" i="5"/>
  <c r="BS144" i="5"/>
  <c r="BS138" i="5"/>
  <c r="BS132" i="5"/>
  <c r="BS126" i="5"/>
  <c r="BS120" i="5"/>
  <c r="BS114" i="5"/>
  <c r="BS108" i="5"/>
  <c r="BS102" i="5"/>
  <c r="BS96" i="5"/>
  <c r="BS90" i="5"/>
  <c r="BS84" i="5"/>
  <c r="BS78" i="5"/>
  <c r="BS72" i="5"/>
  <c r="BS66" i="5"/>
  <c r="BS60" i="5"/>
  <c r="BS54" i="5"/>
  <c r="BS48" i="5"/>
  <c r="BS42" i="5"/>
  <c r="BS36" i="5"/>
  <c r="BS30" i="5"/>
  <c r="BS24" i="5"/>
  <c r="BS18" i="5"/>
  <c r="BS12" i="5"/>
  <c r="BS6" i="5"/>
  <c r="BS335" i="5"/>
  <c r="BS329" i="5"/>
  <c r="BS323" i="5"/>
  <c r="BS317" i="5"/>
  <c r="BS311" i="5"/>
  <c r="BS305" i="5"/>
  <c r="BS299" i="5"/>
  <c r="BS293" i="5"/>
  <c r="BS287" i="5"/>
  <c r="BS281" i="5"/>
  <c r="BS275" i="5"/>
  <c r="BS269" i="5"/>
  <c r="BS263" i="5"/>
  <c r="BS257" i="5"/>
  <c r="BS251" i="5"/>
  <c r="BS245" i="5"/>
  <c r="BS239" i="5"/>
  <c r="BS233" i="5"/>
  <c r="BS227" i="5"/>
  <c r="BS221" i="5"/>
  <c r="BS215" i="5"/>
  <c r="BS209" i="5"/>
  <c r="BS203" i="5"/>
  <c r="BS197" i="5"/>
  <c r="BS191" i="5"/>
  <c r="BS185" i="5"/>
  <c r="BS179" i="5"/>
  <c r="BS173" i="5"/>
  <c r="BS167" i="5"/>
  <c r="BS161" i="5"/>
  <c r="BS155" i="5"/>
  <c r="BS149" i="5"/>
  <c r="BS143" i="5"/>
  <c r="BS137" i="5"/>
  <c r="BS131" i="5"/>
  <c r="BS125" i="5"/>
  <c r="BS119" i="5"/>
  <c r="BS113" i="5"/>
  <c r="BS107" i="5"/>
  <c r="BS101" i="5"/>
  <c r="BS95" i="5"/>
  <c r="BS89" i="5"/>
  <c r="BS83" i="5"/>
  <c r="BS77" i="5"/>
  <c r="BS71" i="5"/>
  <c r="BS65" i="5"/>
  <c r="BS59" i="5"/>
  <c r="BS53" i="5"/>
  <c r="BS47" i="5"/>
  <c r="BS41" i="5"/>
  <c r="BS35" i="5"/>
  <c r="BS29" i="5"/>
  <c r="BS23" i="5"/>
  <c r="BS17" i="5"/>
  <c r="BS11" i="5"/>
  <c r="BS5" i="5"/>
  <c r="BS340" i="5"/>
  <c r="BS334" i="5"/>
  <c r="BS328" i="5"/>
  <c r="BS322" i="5"/>
  <c r="BS316" i="5"/>
  <c r="BS310" i="5"/>
  <c r="BS304" i="5"/>
  <c r="BS298" i="5"/>
  <c r="BS292" i="5"/>
  <c r="BS286" i="5"/>
  <c r="BS280" i="5"/>
  <c r="BS274" i="5"/>
  <c r="BS268" i="5"/>
  <c r="BS262" i="5"/>
  <c r="BS256" i="5"/>
  <c r="BS250" i="5"/>
  <c r="BS244" i="5"/>
  <c r="BS238" i="5"/>
  <c r="BS232" i="5"/>
  <c r="BS226" i="5"/>
  <c r="BS220" i="5"/>
  <c r="BS214" i="5"/>
  <c r="BS208" i="5"/>
  <c r="BS202" i="5"/>
  <c r="BS196" i="5"/>
  <c r="BS190" i="5"/>
  <c r="BS184" i="5"/>
  <c r="BS178" i="5"/>
  <c r="BS172" i="5"/>
  <c r="BS166" i="5"/>
  <c r="BS160" i="5"/>
  <c r="BS154" i="5"/>
  <c r="BS148" i="5"/>
  <c r="BS142" i="5"/>
  <c r="BS136" i="5"/>
  <c r="BS130" i="5"/>
  <c r="BS124" i="5"/>
  <c r="BS118" i="5"/>
  <c r="BS112" i="5"/>
  <c r="BS106" i="5"/>
  <c r="BS100" i="5"/>
  <c r="BS94" i="5"/>
  <c r="BS88" i="5"/>
  <c r="BS82" i="5"/>
  <c r="BS76" i="5"/>
  <c r="BS70" i="5"/>
  <c r="BS64" i="5"/>
  <c r="BS58" i="5"/>
  <c r="BS52" i="5"/>
  <c r="BS46" i="5"/>
  <c r="BS40" i="5"/>
  <c r="BS34" i="5"/>
  <c r="BS28" i="5"/>
  <c r="BS22" i="5"/>
  <c r="BS16" i="5"/>
  <c r="BS10" i="5"/>
  <c r="BS4" i="5"/>
  <c r="BS339" i="5"/>
  <c r="BS333" i="5"/>
  <c r="BS327" i="5"/>
  <c r="BS321" i="5"/>
  <c r="BS315" i="5"/>
  <c r="BS309" i="5"/>
  <c r="BS303" i="5"/>
  <c r="BS297" i="5"/>
  <c r="BS291" i="5"/>
  <c r="BS285" i="5"/>
  <c r="BS279" i="5"/>
  <c r="BS273" i="5"/>
  <c r="BS267" i="5"/>
  <c r="BS261" i="5"/>
  <c r="BS255" i="5"/>
  <c r="BS249" i="5"/>
  <c r="BS243" i="5"/>
  <c r="BS237" i="5"/>
  <c r="BS231" i="5"/>
  <c r="BS225" i="5"/>
  <c r="BS219" i="5"/>
  <c r="BS213" i="5"/>
  <c r="BS207" i="5"/>
  <c r="BS201" i="5"/>
  <c r="BS195" i="5"/>
  <c r="BS189" i="5"/>
  <c r="BS183" i="5"/>
  <c r="BS177" i="5"/>
  <c r="BS171" i="5"/>
  <c r="BS165" i="5"/>
  <c r="BS159" i="5"/>
  <c r="BS153" i="5"/>
  <c r="BS147" i="5"/>
  <c r="BS141" i="5"/>
  <c r="BS135" i="5"/>
  <c r="BS129" i="5"/>
  <c r="BS123" i="5"/>
  <c r="BS117" i="5"/>
  <c r="BS111" i="5"/>
  <c r="BS105" i="5"/>
  <c r="BS99" i="5"/>
  <c r="BS93" i="5"/>
  <c r="BS87" i="5"/>
  <c r="BS81" i="5"/>
  <c r="BS75" i="5"/>
  <c r="BS69" i="5"/>
  <c r="BS63" i="5"/>
  <c r="BS57" i="5"/>
  <c r="BS51" i="5"/>
  <c r="BS45" i="5"/>
  <c r="BS39" i="5"/>
  <c r="BS33" i="5"/>
  <c r="BS27" i="5"/>
  <c r="BS21" i="5"/>
  <c r="BS15" i="5"/>
  <c r="BS9" i="5"/>
  <c r="BS3" i="5"/>
  <c r="BY2" i="5"/>
  <c r="BV2" i="5"/>
  <c r="BV335" i="5"/>
  <c r="BV329" i="5"/>
  <c r="BV323" i="5"/>
  <c r="BV317" i="5"/>
  <c r="BV311" i="5"/>
  <c r="BV305" i="5"/>
  <c r="BV299" i="5"/>
  <c r="BV293" i="5"/>
  <c r="BV287" i="5"/>
  <c r="BV281" i="5"/>
  <c r="BV275" i="5"/>
  <c r="BV269" i="5"/>
  <c r="BV263" i="5"/>
  <c r="BV257" i="5"/>
  <c r="BV251" i="5"/>
  <c r="BV245" i="5"/>
  <c r="BV239" i="5"/>
  <c r="BV233" i="5"/>
  <c r="BV227" i="5"/>
  <c r="BV221" i="5"/>
  <c r="BV215" i="5"/>
  <c r="BV209" i="5"/>
  <c r="BV203" i="5"/>
  <c r="BV197" i="5"/>
  <c r="BV191" i="5"/>
  <c r="BV185" i="5"/>
  <c r="BV179" i="5"/>
  <c r="BV173" i="5"/>
  <c r="BV167" i="5"/>
  <c r="BV161" i="5"/>
  <c r="BV155" i="5"/>
  <c r="BV149" i="5"/>
  <c r="BV143" i="5"/>
  <c r="BV137" i="5"/>
  <c r="BV131" i="5"/>
  <c r="BV125" i="5"/>
  <c r="BV119" i="5"/>
  <c r="BV113" i="5"/>
  <c r="BV107" i="5"/>
  <c r="BV101" i="5"/>
  <c r="BV95" i="5"/>
  <c r="BV89" i="5"/>
  <c r="BV83" i="5"/>
  <c r="BV77" i="5"/>
  <c r="BV71" i="5"/>
  <c r="BV65" i="5"/>
  <c r="BV59" i="5"/>
  <c r="BV53" i="5"/>
  <c r="BV47" i="5"/>
  <c r="BV41" i="5"/>
  <c r="BV35" i="5"/>
  <c r="BV29" i="5"/>
  <c r="BV23" i="5"/>
  <c r="BV17" i="5"/>
  <c r="BV11" i="5"/>
  <c r="BV5" i="5"/>
  <c r="BV340" i="5"/>
  <c r="BV334" i="5"/>
  <c r="BV328" i="5"/>
  <c r="BV322" i="5"/>
  <c r="BV316" i="5"/>
  <c r="BV310" i="5"/>
  <c r="BV304" i="5"/>
  <c r="BV298" i="5"/>
  <c r="BV292" i="5"/>
  <c r="BV286" i="5"/>
  <c r="BV280" i="5"/>
  <c r="BV274" i="5"/>
  <c r="BV268" i="5"/>
  <c r="BV262" i="5"/>
  <c r="BV256" i="5"/>
  <c r="BV250" i="5"/>
  <c r="BV244" i="5"/>
  <c r="BV238" i="5"/>
  <c r="BV232" i="5"/>
  <c r="BV226" i="5"/>
  <c r="BV220" i="5"/>
  <c r="BV214" i="5"/>
  <c r="BV208" i="5"/>
  <c r="BV202" i="5"/>
  <c r="BV196" i="5"/>
  <c r="BV190" i="5"/>
  <c r="BV184" i="5"/>
  <c r="BV178" i="5"/>
  <c r="BV172" i="5"/>
  <c r="BV166" i="5"/>
  <c r="BV160" i="5"/>
  <c r="BV154" i="5"/>
  <c r="BV148" i="5"/>
  <c r="BV142" i="5"/>
  <c r="BV136" i="5"/>
  <c r="BV130" i="5"/>
  <c r="BV124" i="5"/>
  <c r="BV118" i="5"/>
  <c r="BV112" i="5"/>
  <c r="BV106" i="5"/>
  <c r="BV100" i="5"/>
  <c r="BV94" i="5"/>
  <c r="BV88" i="5"/>
  <c r="BV82" i="5"/>
  <c r="BV76" i="5"/>
  <c r="BV70" i="5"/>
  <c r="BV64" i="5"/>
  <c r="BV58" i="5"/>
  <c r="BV52" i="5"/>
  <c r="BV46" i="5"/>
  <c r="BV40" i="5"/>
  <c r="BV34" i="5"/>
  <c r="BV28" i="5"/>
  <c r="BV22" i="5"/>
  <c r="BV16" i="5"/>
  <c r="BV10" i="5"/>
  <c r="BV4" i="5"/>
  <c r="BV339" i="5"/>
  <c r="BV333" i="5"/>
  <c r="BV327" i="5"/>
  <c r="BV321" i="5"/>
  <c r="BV315" i="5"/>
  <c r="BV309" i="5"/>
  <c r="BV303" i="5"/>
  <c r="BV297" i="5"/>
  <c r="BV291" i="5"/>
  <c r="BV285" i="5"/>
  <c r="BV279" i="5"/>
  <c r="BV273" i="5"/>
  <c r="BV267" i="5"/>
  <c r="BV261" i="5"/>
  <c r="BV255" i="5"/>
  <c r="BV249" i="5"/>
  <c r="BV243" i="5"/>
  <c r="BV237" i="5"/>
  <c r="BV231" i="5"/>
  <c r="BV225" i="5"/>
  <c r="BV219" i="5"/>
  <c r="BV213" i="5"/>
  <c r="BV207" i="5"/>
  <c r="BV201" i="5"/>
  <c r="BV195" i="5"/>
  <c r="BV189" i="5"/>
  <c r="BV183" i="5"/>
  <c r="BV177" i="5"/>
  <c r="BV171" i="5"/>
  <c r="BV165" i="5"/>
  <c r="BV159" i="5"/>
  <c r="BV153" i="5"/>
  <c r="BV147" i="5"/>
  <c r="BV141" i="5"/>
  <c r="BV135" i="5"/>
  <c r="BV129" i="5"/>
  <c r="BV123" i="5"/>
  <c r="BV117" i="5"/>
  <c r="BV111" i="5"/>
  <c r="BV105" i="5"/>
  <c r="BV99" i="5"/>
  <c r="BV93" i="5"/>
  <c r="BV87" i="5"/>
  <c r="BV81" i="5"/>
  <c r="BV75" i="5"/>
  <c r="BV69" i="5"/>
  <c r="BV63" i="5"/>
  <c r="BV57" i="5"/>
  <c r="BV51" i="5"/>
  <c r="BV45" i="5"/>
  <c r="BV39" i="5"/>
  <c r="BV33" i="5"/>
  <c r="BV27" i="5"/>
  <c r="BV21" i="5"/>
  <c r="BV15" i="5"/>
  <c r="BV9" i="5"/>
  <c r="BV3" i="5"/>
  <c r="BV338" i="5"/>
  <c r="BV332" i="5"/>
  <c r="BV326" i="5"/>
  <c r="BV320" i="5"/>
  <c r="BV314" i="5"/>
  <c r="BV308" i="5"/>
  <c r="BV302" i="5"/>
  <c r="BV296" i="5"/>
  <c r="BV290" i="5"/>
  <c r="BV284" i="5"/>
  <c r="BV278" i="5"/>
  <c r="BV272" i="5"/>
  <c r="BV266" i="5"/>
  <c r="BV260" i="5"/>
  <c r="BV254" i="5"/>
  <c r="BV248" i="5"/>
  <c r="BV242" i="5"/>
  <c r="BV236" i="5"/>
  <c r="BV230" i="5"/>
  <c r="BV224" i="5"/>
  <c r="BV218" i="5"/>
  <c r="BV212" i="5"/>
  <c r="BV206" i="5"/>
  <c r="BV200" i="5"/>
  <c r="BV194" i="5"/>
  <c r="BV188" i="5"/>
  <c r="BV182" i="5"/>
  <c r="BV176" i="5"/>
  <c r="BV170" i="5"/>
  <c r="BV164" i="5"/>
  <c r="BV158" i="5"/>
  <c r="BV152" i="5"/>
  <c r="BV146" i="5"/>
  <c r="BV140" i="5"/>
  <c r="BV134" i="5"/>
  <c r="BV128" i="5"/>
  <c r="BV122" i="5"/>
  <c r="BV116" i="5"/>
  <c r="BV110" i="5"/>
  <c r="BV104" i="5"/>
  <c r="BV98" i="5"/>
  <c r="BV92" i="5"/>
  <c r="BV86" i="5"/>
  <c r="BV80" i="5"/>
  <c r="BV74" i="5"/>
  <c r="BV68" i="5"/>
  <c r="BV62" i="5"/>
  <c r="BV56" i="5"/>
  <c r="BV50" i="5"/>
  <c r="BV44" i="5"/>
  <c r="BV38" i="5"/>
  <c r="BV32" i="5"/>
  <c r="BV26" i="5"/>
  <c r="BV20" i="5"/>
  <c r="BV14" i="5"/>
  <c r="BV8" i="5"/>
  <c r="BV337" i="5"/>
  <c r="BV331" i="5"/>
  <c r="BV325" i="5"/>
  <c r="BV319" i="5"/>
  <c r="BV313" i="5"/>
  <c r="BV307" i="5"/>
  <c r="BV301" i="5"/>
  <c r="BV295" i="5"/>
  <c r="BV289" i="5"/>
  <c r="BV283" i="5"/>
  <c r="BV277" i="5"/>
  <c r="BV271" i="5"/>
  <c r="BV265" i="5"/>
  <c r="BV259" i="5"/>
  <c r="BV253" i="5"/>
  <c r="BV247" i="5"/>
  <c r="BV241" i="5"/>
  <c r="BV235" i="5"/>
  <c r="BV229" i="5"/>
  <c r="BV223" i="5"/>
  <c r="BV217" i="5"/>
  <c r="BV211" i="5"/>
  <c r="BV205" i="5"/>
  <c r="BV199" i="5"/>
  <c r="BV193" i="5"/>
  <c r="BV187" i="5"/>
  <c r="BV181" i="5"/>
  <c r="BV175" i="5"/>
  <c r="BV169" i="5"/>
  <c r="BV163" i="5"/>
  <c r="BV157" i="5"/>
  <c r="BV151" i="5"/>
  <c r="BV145" i="5"/>
  <c r="BV139" i="5"/>
  <c r="BV133" i="5"/>
  <c r="BV127" i="5"/>
  <c r="BV121" i="5"/>
  <c r="BV115" i="5"/>
  <c r="BV109" i="5"/>
  <c r="BV103" i="5"/>
  <c r="BV97" i="5"/>
  <c r="BV91" i="5"/>
  <c r="BV85" i="5"/>
  <c r="BV79" i="5"/>
  <c r="BV73" i="5"/>
  <c r="BV67" i="5"/>
  <c r="BV61" i="5"/>
  <c r="BV55" i="5"/>
  <c r="BV49" i="5"/>
  <c r="BV43" i="5"/>
  <c r="BV37" i="5"/>
  <c r="BV31" i="5"/>
  <c r="BV25" i="5"/>
  <c r="BV19" i="5"/>
  <c r="BV13" i="5"/>
  <c r="BV7" i="5"/>
  <c r="BV336" i="5"/>
  <c r="BV330" i="5"/>
  <c r="BV324" i="5"/>
  <c r="BV318" i="5"/>
  <c r="BV312" i="5"/>
  <c r="BV306" i="5"/>
  <c r="BV300" i="5"/>
  <c r="BV294" i="5"/>
  <c r="BV288" i="5"/>
  <c r="BV282" i="5"/>
  <c r="BV276" i="5"/>
  <c r="BV270" i="5"/>
  <c r="BV264" i="5"/>
  <c r="BV258" i="5"/>
  <c r="BV252" i="5"/>
  <c r="BV246" i="5"/>
  <c r="BV240" i="5"/>
  <c r="BV234" i="5"/>
  <c r="BV228" i="5"/>
  <c r="BV222" i="5"/>
  <c r="BV216" i="5"/>
  <c r="BV210" i="5"/>
  <c r="BV204" i="5"/>
  <c r="BV198" i="5"/>
  <c r="BV192" i="5"/>
  <c r="BV186" i="5"/>
  <c r="BV180" i="5"/>
  <c r="BV174" i="5"/>
  <c r="BV168" i="5"/>
  <c r="BV162" i="5"/>
  <c r="BV156" i="5"/>
  <c r="BV150" i="5"/>
  <c r="BV144" i="5"/>
  <c r="BV138" i="5"/>
  <c r="BV132" i="5"/>
  <c r="BV126" i="5"/>
  <c r="BV120" i="5"/>
  <c r="BV114" i="5"/>
  <c r="BV108" i="5"/>
  <c r="BV102" i="5"/>
  <c r="BV96" i="5"/>
  <c r="BV90" i="5"/>
  <c r="BV84" i="5"/>
  <c r="BV78" i="5"/>
  <c r="BV72" i="5"/>
  <c r="BV66" i="5"/>
  <c r="BV60" i="5"/>
  <c r="BV54" i="5"/>
  <c r="BV48" i="5"/>
  <c r="BV42" i="5"/>
  <c r="BV36" i="5"/>
  <c r="BV30" i="5"/>
  <c r="BV24" i="5"/>
  <c r="BV18" i="5"/>
  <c r="BV12" i="5"/>
  <c r="BV6" i="5"/>
  <c r="I2" i="5"/>
  <c r="AY2" i="5"/>
  <c r="K2" i="5"/>
  <c r="F2" i="5"/>
  <c r="F335" i="5"/>
  <c r="F329" i="5"/>
  <c r="F323" i="5"/>
  <c r="F317" i="5"/>
  <c r="F311" i="5"/>
  <c r="F305" i="5"/>
  <c r="F299" i="5"/>
  <c r="F293" i="5"/>
  <c r="F287" i="5"/>
  <c r="F281" i="5"/>
  <c r="F275" i="5"/>
  <c r="F269" i="5"/>
  <c r="F263" i="5"/>
  <c r="F257" i="5"/>
  <c r="F251" i="5"/>
  <c r="F245" i="5"/>
  <c r="F239" i="5"/>
  <c r="F233" i="5"/>
  <c r="F227" i="5"/>
  <c r="F221" i="5"/>
  <c r="F215" i="5"/>
  <c r="F209" i="5"/>
  <c r="F203" i="5"/>
  <c r="F197" i="5"/>
  <c r="F191" i="5"/>
  <c r="F185" i="5"/>
  <c r="F179" i="5"/>
  <c r="F173" i="5"/>
  <c r="F167" i="5"/>
  <c r="F161" i="5"/>
  <c r="F155" i="5"/>
  <c r="F149" i="5"/>
  <c r="F143" i="5"/>
  <c r="F137" i="5"/>
  <c r="F131" i="5"/>
  <c r="F125" i="5"/>
  <c r="F119" i="5"/>
  <c r="F113" i="5"/>
  <c r="F107" i="5"/>
  <c r="F101" i="5"/>
  <c r="F95" i="5"/>
  <c r="F89" i="5"/>
  <c r="F83" i="5"/>
  <c r="F77" i="5"/>
  <c r="F71" i="5"/>
  <c r="F65" i="5"/>
  <c r="F59" i="5"/>
  <c r="F53" i="5"/>
  <c r="F47" i="5"/>
  <c r="F41" i="5"/>
  <c r="F35" i="5"/>
  <c r="F29" i="5"/>
  <c r="F23" i="5"/>
  <c r="F17" i="5"/>
  <c r="F11" i="5"/>
  <c r="F5" i="5"/>
  <c r="F334" i="5"/>
  <c r="F328" i="5"/>
  <c r="F322" i="5"/>
  <c r="F316" i="5"/>
  <c r="F310" i="5"/>
  <c r="F304" i="5"/>
  <c r="F298" i="5"/>
  <c r="F292" i="5"/>
  <c r="F286" i="5"/>
  <c r="F280" i="5"/>
  <c r="F274" i="5"/>
  <c r="F268" i="5"/>
  <c r="F262" i="5"/>
  <c r="F256" i="5"/>
  <c r="F250" i="5"/>
  <c r="F244" i="5"/>
  <c r="F238" i="5"/>
  <c r="F232" i="5"/>
  <c r="F226" i="5"/>
  <c r="F220" i="5"/>
  <c r="F214" i="5"/>
  <c r="F208" i="5"/>
  <c r="F202" i="5"/>
  <c r="F196" i="5"/>
  <c r="F190" i="5"/>
  <c r="F184" i="5"/>
  <c r="F178" i="5"/>
  <c r="F172" i="5"/>
  <c r="F166" i="5"/>
  <c r="F160" i="5"/>
  <c r="F154" i="5"/>
  <c r="F148" i="5"/>
  <c r="F142" i="5"/>
  <c r="F136" i="5"/>
  <c r="F130" i="5"/>
  <c r="F124" i="5"/>
  <c r="F118" i="5"/>
  <c r="F112" i="5"/>
  <c r="F106" i="5"/>
  <c r="F100" i="5"/>
  <c r="F94" i="5"/>
  <c r="F88" i="5"/>
  <c r="F82" i="5"/>
  <c r="F76" i="5"/>
  <c r="F70" i="5"/>
  <c r="F64" i="5"/>
  <c r="F58" i="5"/>
  <c r="F52" i="5"/>
  <c r="F46" i="5"/>
  <c r="F40" i="5"/>
  <c r="F34" i="5"/>
  <c r="F28" i="5"/>
  <c r="F22" i="5"/>
  <c r="F16" i="5"/>
  <c r="F10" i="5"/>
  <c r="F4" i="5"/>
  <c r="F339" i="5"/>
  <c r="F333" i="5"/>
  <c r="F327" i="5"/>
  <c r="F321" i="5"/>
  <c r="F315" i="5"/>
  <c r="F309" i="5"/>
  <c r="F303" i="5"/>
  <c r="F297" i="5"/>
  <c r="F291" i="5"/>
  <c r="F285" i="5"/>
  <c r="F279" i="5"/>
  <c r="F273" i="5"/>
  <c r="F267" i="5"/>
  <c r="F261" i="5"/>
  <c r="F255" i="5"/>
  <c r="F249" i="5"/>
  <c r="F243" i="5"/>
  <c r="F237" i="5"/>
  <c r="F231" i="5"/>
  <c r="F225" i="5"/>
  <c r="F219" i="5"/>
  <c r="F213" i="5"/>
  <c r="F207" i="5"/>
  <c r="F201" i="5"/>
  <c r="F195" i="5"/>
  <c r="F189" i="5"/>
  <c r="F183" i="5"/>
  <c r="F177" i="5"/>
  <c r="F171" i="5"/>
  <c r="F165" i="5"/>
  <c r="F159" i="5"/>
  <c r="F153" i="5"/>
  <c r="F147" i="5"/>
  <c r="F141" i="5"/>
  <c r="F135" i="5"/>
  <c r="F129" i="5"/>
  <c r="F123" i="5"/>
  <c r="F117" i="5"/>
  <c r="F111" i="5"/>
  <c r="F105" i="5"/>
  <c r="F99" i="5"/>
  <c r="F93" i="5"/>
  <c r="F87" i="5"/>
  <c r="F81" i="5"/>
  <c r="F75" i="5"/>
  <c r="F69" i="5"/>
  <c r="F63" i="5"/>
  <c r="F57" i="5"/>
  <c r="F51" i="5"/>
  <c r="F45" i="5"/>
  <c r="F39" i="5"/>
  <c r="F33" i="5"/>
  <c r="F27" i="5"/>
  <c r="F21" i="5"/>
  <c r="F15" i="5"/>
  <c r="F9" i="5"/>
  <c r="F3" i="5"/>
  <c r="F338" i="5"/>
  <c r="F332" i="5"/>
  <c r="F326" i="5"/>
  <c r="F320" i="5"/>
  <c r="F314" i="5"/>
  <c r="F308" i="5"/>
  <c r="F302" i="5"/>
  <c r="F296" i="5"/>
  <c r="F290" i="5"/>
  <c r="F284" i="5"/>
  <c r="F278" i="5"/>
  <c r="F272" i="5"/>
  <c r="F266" i="5"/>
  <c r="F260" i="5"/>
  <c r="F254" i="5"/>
  <c r="F248" i="5"/>
  <c r="F242" i="5"/>
  <c r="F236" i="5"/>
  <c r="F230" i="5"/>
  <c r="F224" i="5"/>
  <c r="F218" i="5"/>
  <c r="F212" i="5"/>
  <c r="F206" i="5"/>
  <c r="F200" i="5"/>
  <c r="F194" i="5"/>
  <c r="F188" i="5"/>
  <c r="F182" i="5"/>
  <c r="F176" i="5"/>
  <c r="F170" i="5"/>
  <c r="F164" i="5"/>
  <c r="F158" i="5"/>
  <c r="F152" i="5"/>
  <c r="F146" i="5"/>
  <c r="F140" i="5"/>
  <c r="F134" i="5"/>
  <c r="F128" i="5"/>
  <c r="F122" i="5"/>
  <c r="F116" i="5"/>
  <c r="F110" i="5"/>
  <c r="F104" i="5"/>
  <c r="F98" i="5"/>
  <c r="F92" i="5"/>
  <c r="F86" i="5"/>
  <c r="F80" i="5"/>
  <c r="F74" i="5"/>
  <c r="F68" i="5"/>
  <c r="F62" i="5"/>
  <c r="F56" i="5"/>
  <c r="F50" i="5"/>
  <c r="F44" i="5"/>
  <c r="F38" i="5"/>
  <c r="F32" i="5"/>
  <c r="F26" i="5"/>
  <c r="F20" i="5"/>
  <c r="F14" i="5"/>
  <c r="F8" i="5"/>
  <c r="F337" i="5"/>
  <c r="F331" i="5"/>
  <c r="F325" i="5"/>
  <c r="F319" i="5"/>
  <c r="F313" i="5"/>
  <c r="F307" i="5"/>
  <c r="F301" i="5"/>
  <c r="F295" i="5"/>
  <c r="F289" i="5"/>
  <c r="F283" i="5"/>
  <c r="F277" i="5"/>
  <c r="F271" i="5"/>
  <c r="F265" i="5"/>
  <c r="F259" i="5"/>
  <c r="F253" i="5"/>
  <c r="F247" i="5"/>
  <c r="F241" i="5"/>
  <c r="F235" i="5"/>
  <c r="F229" i="5"/>
  <c r="F223" i="5"/>
  <c r="F217" i="5"/>
  <c r="F211" i="5"/>
  <c r="F205" i="5"/>
  <c r="F199" i="5"/>
  <c r="F193" i="5"/>
  <c r="F187" i="5"/>
  <c r="F181" i="5"/>
  <c r="F175" i="5"/>
  <c r="F169" i="5"/>
  <c r="F163" i="5"/>
  <c r="F157" i="5"/>
  <c r="F151" i="5"/>
  <c r="F145" i="5"/>
  <c r="F139" i="5"/>
  <c r="F133" i="5"/>
  <c r="F127" i="5"/>
  <c r="F121" i="5"/>
  <c r="F115" i="5"/>
  <c r="F109" i="5"/>
  <c r="F103" i="5"/>
  <c r="F97" i="5"/>
  <c r="F91" i="5"/>
  <c r="F85" i="5"/>
  <c r="F79" i="5"/>
  <c r="F73" i="5"/>
  <c r="F67" i="5"/>
  <c r="F61" i="5"/>
  <c r="F55" i="5"/>
  <c r="F49" i="5"/>
  <c r="F43" i="5"/>
  <c r="F37" i="5"/>
  <c r="F31" i="5"/>
  <c r="F25" i="5"/>
  <c r="F19" i="5"/>
  <c r="F13" i="5"/>
  <c r="F7" i="5"/>
  <c r="F336" i="5"/>
  <c r="F330" i="5"/>
  <c r="F324" i="5"/>
  <c r="F318" i="5"/>
  <c r="F312" i="5"/>
  <c r="F306" i="5"/>
  <c r="F300" i="5"/>
  <c r="F294" i="5"/>
  <c r="F288" i="5"/>
  <c r="F282" i="5"/>
  <c r="F276" i="5"/>
  <c r="F270" i="5"/>
  <c r="F264" i="5"/>
  <c r="F258" i="5"/>
  <c r="F252" i="5"/>
  <c r="F246" i="5"/>
  <c r="F240" i="5"/>
  <c r="F234" i="5"/>
  <c r="F228" i="5"/>
  <c r="F222" i="5"/>
  <c r="F216" i="5"/>
  <c r="F210" i="5"/>
  <c r="F204" i="5"/>
  <c r="F198" i="5"/>
  <c r="F192" i="5"/>
  <c r="F186" i="5"/>
  <c r="F180" i="5"/>
  <c r="F174" i="5"/>
  <c r="F168" i="5"/>
  <c r="F162" i="5"/>
  <c r="F156" i="5"/>
  <c r="F150" i="5"/>
  <c r="F144" i="5"/>
  <c r="F138" i="5"/>
  <c r="F132" i="5"/>
  <c r="F126" i="5"/>
  <c r="F120" i="5"/>
  <c r="F114" i="5"/>
  <c r="F108" i="5"/>
  <c r="F102" i="5"/>
  <c r="F96" i="5"/>
  <c r="F90" i="5"/>
  <c r="F84" i="5"/>
  <c r="F78" i="5"/>
  <c r="F72" i="5"/>
  <c r="F66" i="5"/>
  <c r="F60" i="5"/>
  <c r="F54" i="5"/>
  <c r="F48" i="5"/>
  <c r="F42" i="5"/>
  <c r="F36" i="5"/>
  <c r="F30" i="5"/>
  <c r="F24" i="5"/>
  <c r="F18" i="5"/>
  <c r="F12" i="5"/>
  <c r="F6" i="5"/>
  <c r="L2" i="5"/>
  <c r="R2" i="5"/>
  <c r="X2" i="5"/>
  <c r="AD2" i="5"/>
  <c r="AJ2" i="5"/>
  <c r="AP2" i="5"/>
  <c r="AV2" i="5"/>
  <c r="BB2" i="5"/>
  <c r="BH2" i="5"/>
  <c r="BN2" i="5"/>
  <c r="BT2" i="5"/>
  <c r="BT339" i="5"/>
  <c r="BT333" i="5"/>
  <c r="BT327" i="5"/>
  <c r="BT321" i="5"/>
  <c r="BT338" i="5"/>
  <c r="BT332" i="5"/>
  <c r="BT326" i="5"/>
  <c r="BT320" i="5"/>
  <c r="BT337" i="5"/>
  <c r="BT331" i="5"/>
  <c r="BT325" i="5"/>
  <c r="BT336" i="5"/>
  <c r="BT330" i="5"/>
  <c r="BT324" i="5"/>
  <c r="BT335" i="5"/>
  <c r="BT329" i="5"/>
  <c r="BT323" i="5"/>
  <c r="BT318" i="5"/>
  <c r="BT312" i="5"/>
  <c r="BT306" i="5"/>
  <c r="BT300" i="5"/>
  <c r="BT294" i="5"/>
  <c r="BT288" i="5"/>
  <c r="BT282" i="5"/>
  <c r="BT276" i="5"/>
  <c r="BT270" i="5"/>
  <c r="BT264" i="5"/>
  <c r="BT258" i="5"/>
  <c r="BT252" i="5"/>
  <c r="BT246" i="5"/>
  <c r="BT240" i="5"/>
  <c r="BT234" i="5"/>
  <c r="BT228" i="5"/>
  <c r="BT222" i="5"/>
  <c r="BT216" i="5"/>
  <c r="BT210" i="5"/>
  <c r="BT204" i="5"/>
  <c r="BT198" i="5"/>
  <c r="BT192" i="5"/>
  <c r="BT186" i="5"/>
  <c r="BT180" i="5"/>
  <c r="BT174" i="5"/>
  <c r="BT168" i="5"/>
  <c r="BT162" i="5"/>
  <c r="BT156" i="5"/>
  <c r="BT150" i="5"/>
  <c r="BT144" i="5"/>
  <c r="BT138" i="5"/>
  <c r="BT132" i="5"/>
  <c r="BT126" i="5"/>
  <c r="BT120" i="5"/>
  <c r="BT114" i="5"/>
  <c r="BT108" i="5"/>
  <c r="BT102" i="5"/>
  <c r="BT96" i="5"/>
  <c r="BT90" i="5"/>
  <c r="BT84" i="5"/>
  <c r="BT78" i="5"/>
  <c r="BT72" i="5"/>
  <c r="BT66" i="5"/>
  <c r="BT60" i="5"/>
  <c r="BT54" i="5"/>
  <c r="BT48" i="5"/>
  <c r="BT42" i="5"/>
  <c r="BT36" i="5"/>
  <c r="BT30" i="5"/>
  <c r="BT24" i="5"/>
  <c r="BT18" i="5"/>
  <c r="BT12" i="5"/>
  <c r="BT6" i="5"/>
  <c r="BT340" i="5"/>
  <c r="BT317" i="5"/>
  <c r="BT311" i="5"/>
  <c r="BT305" i="5"/>
  <c r="BT299" i="5"/>
  <c r="BT293" i="5"/>
  <c r="BT287" i="5"/>
  <c r="BT281" i="5"/>
  <c r="BT275" i="5"/>
  <c r="BT269" i="5"/>
  <c r="BT263" i="5"/>
  <c r="BT257" i="5"/>
  <c r="BT251" i="5"/>
  <c r="BT245" i="5"/>
  <c r="BT239" i="5"/>
  <c r="BT233" i="5"/>
  <c r="BT227" i="5"/>
  <c r="BT221" i="5"/>
  <c r="BT215" i="5"/>
  <c r="BT209" i="5"/>
  <c r="BT203" i="5"/>
  <c r="BT197" i="5"/>
  <c r="BT191" i="5"/>
  <c r="BT185" i="5"/>
  <c r="BT179" i="5"/>
  <c r="BT173" i="5"/>
  <c r="BT167" i="5"/>
  <c r="BT161" i="5"/>
  <c r="BT155" i="5"/>
  <c r="BT149" i="5"/>
  <c r="BT143" i="5"/>
  <c r="BT137" i="5"/>
  <c r="BT131" i="5"/>
  <c r="BT125" i="5"/>
  <c r="BT119" i="5"/>
  <c r="BT113" i="5"/>
  <c r="BT107" i="5"/>
  <c r="BT101" i="5"/>
  <c r="BT95" i="5"/>
  <c r="BT89" i="5"/>
  <c r="BT83" i="5"/>
  <c r="BT77" i="5"/>
  <c r="BT71" i="5"/>
  <c r="BT65" i="5"/>
  <c r="BT59" i="5"/>
  <c r="BT53" i="5"/>
  <c r="BT47" i="5"/>
  <c r="BT41" i="5"/>
  <c r="BT35" i="5"/>
  <c r="BT29" i="5"/>
  <c r="BT23" i="5"/>
  <c r="BT17" i="5"/>
  <c r="BT11" i="5"/>
  <c r="BT5" i="5"/>
  <c r="BT334" i="5"/>
  <c r="BT316" i="5"/>
  <c r="BT310" i="5"/>
  <c r="BT304" i="5"/>
  <c r="BT298" i="5"/>
  <c r="BT292" i="5"/>
  <c r="BT286" i="5"/>
  <c r="BT280" i="5"/>
  <c r="BT274" i="5"/>
  <c r="BT268" i="5"/>
  <c r="BT262" i="5"/>
  <c r="BT256" i="5"/>
  <c r="BT250" i="5"/>
  <c r="BT244" i="5"/>
  <c r="BT238" i="5"/>
  <c r="BT232" i="5"/>
  <c r="BT226" i="5"/>
  <c r="BT220" i="5"/>
  <c r="BT214" i="5"/>
  <c r="BT208" i="5"/>
  <c r="BT202" i="5"/>
  <c r="BT196" i="5"/>
  <c r="BT190" i="5"/>
  <c r="BT184" i="5"/>
  <c r="BT178" i="5"/>
  <c r="BT172" i="5"/>
  <c r="BT166" i="5"/>
  <c r="BT160" i="5"/>
  <c r="BT154" i="5"/>
  <c r="BT148" i="5"/>
  <c r="BT142" i="5"/>
  <c r="BT136" i="5"/>
  <c r="BT130" i="5"/>
  <c r="BT124" i="5"/>
  <c r="BT118" i="5"/>
  <c r="BT112" i="5"/>
  <c r="BT106" i="5"/>
  <c r="BT100" i="5"/>
  <c r="BT94" i="5"/>
  <c r="BT88" i="5"/>
  <c r="BT82" i="5"/>
  <c r="BT76" i="5"/>
  <c r="BT70" i="5"/>
  <c r="BT64" i="5"/>
  <c r="BT58" i="5"/>
  <c r="BT52" i="5"/>
  <c r="BT46" i="5"/>
  <c r="BT40" i="5"/>
  <c r="BT34" i="5"/>
  <c r="BT28" i="5"/>
  <c r="BT22" i="5"/>
  <c r="BT16" i="5"/>
  <c r="BT10" i="5"/>
  <c r="BT4" i="5"/>
  <c r="BT328" i="5"/>
  <c r="BT315" i="5"/>
  <c r="BT309" i="5"/>
  <c r="BT303" i="5"/>
  <c r="BT297" i="5"/>
  <c r="BT291" i="5"/>
  <c r="BT285" i="5"/>
  <c r="BT279" i="5"/>
  <c r="BT273" i="5"/>
  <c r="BT267" i="5"/>
  <c r="BT261" i="5"/>
  <c r="BT255" i="5"/>
  <c r="BT249" i="5"/>
  <c r="BT243" i="5"/>
  <c r="BT237" i="5"/>
  <c r="BT231" i="5"/>
  <c r="BT225" i="5"/>
  <c r="BT219" i="5"/>
  <c r="BT213" i="5"/>
  <c r="BT207" i="5"/>
  <c r="BT201" i="5"/>
  <c r="BT195" i="5"/>
  <c r="BT189" i="5"/>
  <c r="BT183" i="5"/>
  <c r="BT177" i="5"/>
  <c r="BT171" i="5"/>
  <c r="BT165" i="5"/>
  <c r="BT159" i="5"/>
  <c r="BT153" i="5"/>
  <c r="BT147" i="5"/>
  <c r="BT141" i="5"/>
  <c r="BT135" i="5"/>
  <c r="BT129" i="5"/>
  <c r="BT123" i="5"/>
  <c r="BT117" i="5"/>
  <c r="BT111" i="5"/>
  <c r="BT105" i="5"/>
  <c r="BT99" i="5"/>
  <c r="BT93" i="5"/>
  <c r="BT87" i="5"/>
  <c r="BT81" i="5"/>
  <c r="BT75" i="5"/>
  <c r="BT69" i="5"/>
  <c r="BT63" i="5"/>
  <c r="BT57" i="5"/>
  <c r="BT51" i="5"/>
  <c r="BT45" i="5"/>
  <c r="BT39" i="5"/>
  <c r="BT33" i="5"/>
  <c r="BT27" i="5"/>
  <c r="BT21" i="5"/>
  <c r="BT15" i="5"/>
  <c r="BT9" i="5"/>
  <c r="BT3" i="5"/>
  <c r="BT322" i="5"/>
  <c r="BT314" i="5"/>
  <c r="BT308" i="5"/>
  <c r="BT302" i="5"/>
  <c r="BT296" i="5"/>
  <c r="BT290" i="5"/>
  <c r="BT284" i="5"/>
  <c r="BT278" i="5"/>
  <c r="BT272" i="5"/>
  <c r="BT266" i="5"/>
  <c r="BT260" i="5"/>
  <c r="BT254" i="5"/>
  <c r="BT248" i="5"/>
  <c r="BT242" i="5"/>
  <c r="BT236" i="5"/>
  <c r="BT230" i="5"/>
  <c r="BT224" i="5"/>
  <c r="BT218" i="5"/>
  <c r="BT212" i="5"/>
  <c r="BT206" i="5"/>
  <c r="BT200" i="5"/>
  <c r="BT194" i="5"/>
  <c r="BT188" i="5"/>
  <c r="BT182" i="5"/>
  <c r="BT176" i="5"/>
  <c r="BT170" i="5"/>
  <c r="BT164" i="5"/>
  <c r="BT158" i="5"/>
  <c r="BT152" i="5"/>
  <c r="BT146" i="5"/>
  <c r="BT140" i="5"/>
  <c r="BT134" i="5"/>
  <c r="BT128" i="5"/>
  <c r="BT122" i="5"/>
  <c r="BT116" i="5"/>
  <c r="BT110" i="5"/>
  <c r="BT104" i="5"/>
  <c r="BT98" i="5"/>
  <c r="BT92" i="5"/>
  <c r="BT86" i="5"/>
  <c r="BT80" i="5"/>
  <c r="BT74" i="5"/>
  <c r="BT68" i="5"/>
  <c r="BT62" i="5"/>
  <c r="BT56" i="5"/>
  <c r="BT50" i="5"/>
  <c r="BT44" i="5"/>
  <c r="BT38" i="5"/>
  <c r="BT32" i="5"/>
  <c r="BT26" i="5"/>
  <c r="BT20" i="5"/>
  <c r="BT14" i="5"/>
  <c r="BT8" i="5"/>
  <c r="BT319" i="5"/>
  <c r="BT313" i="5"/>
  <c r="BT307" i="5"/>
  <c r="BT301" i="5"/>
  <c r="BT295" i="5"/>
  <c r="BT289" i="5"/>
  <c r="BT283" i="5"/>
  <c r="BT277" i="5"/>
  <c r="BT271" i="5"/>
  <c r="BT265" i="5"/>
  <c r="BT259" i="5"/>
  <c r="BT253" i="5"/>
  <c r="BT247" i="5"/>
  <c r="BT241" i="5"/>
  <c r="BT235" i="5"/>
  <c r="BT229" i="5"/>
  <c r="BT223" i="5"/>
  <c r="BT217" i="5"/>
  <c r="BT211" i="5"/>
  <c r="BT205" i="5"/>
  <c r="BT199" i="5"/>
  <c r="BT193" i="5"/>
  <c r="BT187" i="5"/>
  <c r="BT181" i="5"/>
  <c r="BT175" i="5"/>
  <c r="BT169" i="5"/>
  <c r="BT163" i="5"/>
  <c r="BT157" i="5"/>
  <c r="BT151" i="5"/>
  <c r="BT145" i="5"/>
  <c r="BT139" i="5"/>
  <c r="BT133" i="5"/>
  <c r="BT127" i="5"/>
  <c r="BT121" i="5"/>
  <c r="BT115" i="5"/>
  <c r="BT109" i="5"/>
  <c r="BT103" i="5"/>
  <c r="BT97" i="5"/>
  <c r="BT91" i="5"/>
  <c r="BT85" i="5"/>
  <c r="BT79" i="5"/>
  <c r="BT73" i="5"/>
  <c r="BT67" i="5"/>
  <c r="BT61" i="5"/>
  <c r="BT55" i="5"/>
  <c r="BT49" i="5"/>
  <c r="BT43" i="5"/>
  <c r="BT37" i="5"/>
  <c r="BT31" i="5"/>
  <c r="BT25" i="5"/>
  <c r="BT19" i="5"/>
  <c r="BT13" i="5"/>
  <c r="BT7" i="5"/>
  <c r="BZ2" i="5"/>
</calcChain>
</file>

<file path=xl/connections.xml><?xml version="1.0" encoding="utf-8"?>
<connections xmlns="http://schemas.openxmlformats.org/spreadsheetml/2006/main">
  <connection id="1" keepAlive="1" name="Consulta - CUSTO GLOBAL" description="Conexão com a consulta 'CUSTO GLOBAL' na pasta de trabalho." type="5" refreshedVersion="6" background="1" refreshOnLoad="1" saveData="1">
    <dbPr connection="Provider=Microsoft.Mashup.OleDb.1;Data Source=$Workbook$;Location=CUSTO GLOBAL;Extended Properties=&quot;&quot;" command="SELECT * FROM [CUSTO GLOBAL]"/>
  </connection>
  <connection id="2" keepAlive="1" name="Consulta - CUSTO UNITARIO" description="Conexão com a consulta 'CUSTO UNITARIO' na pasta de trabalho." type="5" refreshedVersion="6" background="1" refreshOnLoad="1" saveData="1">
    <dbPr connection="Provider=Microsoft.Mashup.OleDb.1;Data Source=$Workbook$;Location=CUSTO UNITARIO;Extended Properties=&quot;&quot;" command="SELECT * FROM [CUSTO UNITARIO]"/>
  </connection>
  <connection id="3" keepAlive="1" name="Consulta - tabPostos" description="Conexão com a consulta 'tabPostos' na pasta de trabalho." type="5" refreshedVersion="8" background="1" saveData="1">
    <dbPr connection="Provider=Microsoft.Mashup.OleDb.1;Data Source=$Workbook$;Location=tabPostos;Extended Properties=&quot;&quot;" command="SELECT * FROM [tabPostos]"/>
  </connection>
  <connection id="4" keepAlive="1" name="Consulta - tabUniformes (2)" description="Conexão com a consulta 'tabUniformes (2)' na pasta de trabalho." type="5" refreshedVersion="0" background="1" saveData="1">
    <dbPr connection="Provider=Microsoft.Mashup.OleDb.1;Data Source=$Workbook$;Location=&quot;tabUniformes (2)&quot;;Extended Properties=&quot;&quot;" command="SELECT * FROM [tabUniformes (2)]"/>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<sst xmlns="http://schemas.openxmlformats.org/spreadsheetml/2006/main" count="10606" uniqueCount="1928">
  <si>
    <t>Tipo</t>
  </si>
  <si>
    <t>Valores</t>
  </si>
  <si>
    <t>DATA PUBLICAÇÃO</t>
  </si>
  <si>
    <t>Valor Inicial</t>
  </si>
  <si>
    <t>Valor Reajustado</t>
  </si>
  <si>
    <t>Cargo</t>
  </si>
  <si>
    <t>Qtde. funcionários</t>
  </si>
  <si>
    <t>Total</t>
  </si>
  <si>
    <t>Qtde. Geral anual</t>
  </si>
  <si>
    <t>Valor unit. Mensal</t>
  </si>
  <si>
    <t>Blazer M/F</t>
  </si>
  <si>
    <t>Calça Comprida</t>
  </si>
  <si>
    <t>Camisa manga curta</t>
  </si>
  <si>
    <t>Camisa manga longa</t>
  </si>
  <si>
    <t>Agasalho</t>
  </si>
  <si>
    <t>Colete</t>
  </si>
  <si>
    <t>Gravata</t>
  </si>
  <si>
    <t>Calçados M/F</t>
  </si>
  <si>
    <t>Avental</t>
  </si>
  <si>
    <t>Jaleco</t>
  </si>
  <si>
    <t>Protetor Facial</t>
  </si>
  <si>
    <t>Touca</t>
  </si>
  <si>
    <t>Total Qtde. peças p/ ano</t>
  </si>
  <si>
    <t>Total Valor p/ ano</t>
  </si>
  <si>
    <t>Total Valor unitário mensal</t>
  </si>
  <si>
    <t>Moletom aberto</t>
  </si>
  <si>
    <t>ALMOXARIFE - 220 H</t>
  </si>
  <si>
    <t>Oxford</t>
  </si>
  <si>
    <t>Oxford modelo social</t>
  </si>
  <si>
    <t>Brim, com cós de ajuste por amarração de cordão</t>
  </si>
  <si>
    <t>Jeans escuro</t>
  </si>
  <si>
    <t>Malha - PV</t>
  </si>
  <si>
    <t>Polo em malha de algodão</t>
  </si>
  <si>
    <t>Oxford preto, com bolso frontal tipo faca</t>
  </si>
  <si>
    <t>Brim preto - com dois bolsos, com inscrição impressa "FOTÓGRAFO" em serigrafia nas costas</t>
  </si>
  <si>
    <t>Borboleta em tecido cetim preto</t>
  </si>
  <si>
    <t>Social em tecido poliéster preto</t>
  </si>
  <si>
    <t>Manga curta - Brim - com dois bolsos, com inscrição impressa em serigrafia nas costas</t>
  </si>
  <si>
    <t>Manga comprida - Oxford ou poliéster com dois bolsos frontais</t>
  </si>
  <si>
    <t>Qtde. peças p/ ano</t>
  </si>
  <si>
    <t>Valor p/ ano</t>
  </si>
  <si>
    <t>Valor unitário mensal</t>
  </si>
  <si>
    <t>ASSISTENTE DE COMPRAS - 220 H</t>
  </si>
  <si>
    <t>ASSISTENTE DE QUALIDADE - 220 H</t>
  </si>
  <si>
    <t>AUXILIAR DE ARQUIVO I - 220 H</t>
  </si>
  <si>
    <t>AUXILIAR DE ARQUIVO II - 150 H</t>
  </si>
  <si>
    <t>AUXILIAR DE CADASTRO E EXPEDICAO - 220 H</t>
  </si>
  <si>
    <t>AUXILIAR DE MANUTENCAO PREDIAL - 220 H</t>
  </si>
  <si>
    <t>BOMBEIRO HIDRAULICO - 220 H</t>
  </si>
  <si>
    <t>CARREGADOR - 220 H</t>
  </si>
  <si>
    <t>CONTINUO - 220 H</t>
  </si>
  <si>
    <t>COPEIRO - 220 H</t>
  </si>
  <si>
    <t>DIGITADOR - 150 H</t>
  </si>
  <si>
    <t>ELETRICISTA - 220 H</t>
  </si>
  <si>
    <t>ENCARREGADO - 220 H</t>
  </si>
  <si>
    <t>FOTOGRAFO - 150 H</t>
  </si>
  <si>
    <t>GARCOM - 220 H</t>
  </si>
  <si>
    <t>JARDINEIRO - 220 H</t>
  </si>
  <si>
    <t>LAVADOR DE VEICULOS - 220 H</t>
  </si>
  <si>
    <t>MANOBRISTA - 220 H</t>
  </si>
  <si>
    <t>MARCENEIRO - 220 H</t>
  </si>
  <si>
    <t>MOTORISTA II - 220 H</t>
  </si>
  <si>
    <t>OPERADOR DE MAQUINA REPROGRAFICA - 220 H</t>
  </si>
  <si>
    <t>PEDREIRO - 220 H</t>
  </si>
  <si>
    <t>PINTOR - 220 H</t>
  </si>
  <si>
    <t>PORTEIRO - 12 X 36 - DIURNO</t>
  </si>
  <si>
    <t>PORTEIRO - 12 X 36 - NOTURNO</t>
  </si>
  <si>
    <t>PORTEIRO - 220 H</t>
  </si>
  <si>
    <t>RECEPCIONISTA - 150 H</t>
  </si>
  <si>
    <t>RECEPCIONISTA - 220 H</t>
  </si>
  <si>
    <t>SUPERVISOR DE MANUTENCAO DE VEICULOS I - 220 H</t>
  </si>
  <si>
    <t>SUPERVISOR DE MANUTENCAO DE VEICULOS II - 220 H</t>
  </si>
  <si>
    <t>TECNICO DE MANUTENCAO ELETRONICA I - 220 H</t>
  </si>
  <si>
    <t>TECNICO DE MANUTENCAO ELETRONICA II - 220 H</t>
  </si>
  <si>
    <t>TECNICO DE MANUTENCAO ELETRONICA III - 220 H</t>
  </si>
  <si>
    <t>TECNICO EM EDIFICACOES - 220 H</t>
  </si>
  <si>
    <t>TECNICO EM ELETROTECNICA/ELETRONICA - 220 H</t>
  </si>
  <si>
    <t>TECNICO EM MECANICA/ELETROMECANICA - 220 H</t>
  </si>
  <si>
    <t>TELEFONISTA - 150 H</t>
  </si>
  <si>
    <t>Total Geral</t>
  </si>
  <si>
    <t>ORDEM</t>
  </si>
  <si>
    <t>QUANT. POSTOS</t>
  </si>
  <si>
    <t>DESCRIÇÃO</t>
  </si>
  <si>
    <t>TIPO</t>
  </si>
  <si>
    <t>PERIODICIDADE DE FORNECIMENTO</t>
  </si>
  <si>
    <t>TA / APOST</t>
  </si>
  <si>
    <t>PREÇO INICIAL -  (R$)</t>
  </si>
  <si>
    <t>PREÇO TOTAL -  (R$)</t>
  </si>
  <si>
    <t>PREÇO UNIDADE -  (R$)</t>
  </si>
  <si>
    <t>VALOR  - DEPRECIAÇÃO MENSAL - UNIDADE (R$)</t>
  </si>
  <si>
    <t>VALOR DEPRECIAÇÃO MENSAL - TOTAL (R$)</t>
  </si>
  <si>
    <t xml:space="preserve">VALOR  - DEPRECIAÇÃO ANUAL - TOTAL (R$) </t>
  </si>
  <si>
    <t>VALOR UNITÁRIO P/ POSTO (R$)</t>
  </si>
  <si>
    <t>Equipamento</t>
  </si>
  <si>
    <t>Material</t>
  </si>
  <si>
    <t>UNIDADE</t>
  </si>
  <si>
    <t>Produto</t>
  </si>
  <si>
    <t>Anual</t>
  </si>
  <si>
    <t>COMARCA</t>
  </si>
  <si>
    <t>Sigla</t>
  </si>
  <si>
    <t>Codigo Comarca</t>
  </si>
  <si>
    <t>ISS</t>
  </si>
  <si>
    <t>VT</t>
  </si>
  <si>
    <t>Codigo Cargo</t>
  </si>
  <si>
    <t>Lotacao</t>
  </si>
  <si>
    <t>Codigo Lote</t>
  </si>
  <si>
    <t>IDENTIFICAÇÃO DO POSTO</t>
  </si>
  <si>
    <t>DESPESA DE VIAGEM</t>
  </si>
  <si>
    <t>VALOR UNIT.</t>
  </si>
  <si>
    <t>QUANT. POSTOS INICIAL</t>
  </si>
  <si>
    <t>VALOR TOTAL PREVISTO</t>
  </si>
  <si>
    <t>ÍNDICE DE REAJUSTE - IPCA / IBGE</t>
  </si>
  <si>
    <t>OUTROS CUSTOS</t>
  </si>
  <si>
    <t>Impostos Nacionais</t>
  </si>
  <si>
    <t>Alíquota</t>
  </si>
  <si>
    <t>ABAETE</t>
  </si>
  <si>
    <t>AET</t>
  </si>
  <si>
    <t>002</t>
  </si>
  <si>
    <t>Almoxarife - 220 h</t>
  </si>
  <si>
    <t>01</t>
  </si>
  <si>
    <t>PGJ</t>
  </si>
  <si>
    <t>APOIO</t>
  </si>
  <si>
    <t>Lote</t>
  </si>
  <si>
    <t>MOTORISTAS</t>
  </si>
  <si>
    <t>TA / APOSTILAMENTO</t>
  </si>
  <si>
    <t>DATA DA PUBLICAÇÃO</t>
  </si>
  <si>
    <t>PERCENTUAL</t>
  </si>
  <si>
    <t>VALOR INICIAL P/ FUNCIONÁRIO</t>
  </si>
  <si>
    <t>VALOR CORRIGIDO</t>
  </si>
  <si>
    <t>INSS</t>
  </si>
  <si>
    <t>ABRE CAMPO</t>
  </si>
  <si>
    <t>ABN</t>
  </si>
  <si>
    <t>003</t>
  </si>
  <si>
    <t>Assistente de Compras - 220 h</t>
  </si>
  <si>
    <t>02</t>
  </si>
  <si>
    <t>FEPDC</t>
  </si>
  <si>
    <t>Código</t>
  </si>
  <si>
    <t>Custos Indiretos</t>
  </si>
  <si>
    <t>SESI OU SESC</t>
  </si>
  <si>
    <t>ACUCENA</t>
  </si>
  <si>
    <t>ACN</t>
  </si>
  <si>
    <t>005</t>
  </si>
  <si>
    <t>Assistente de Qualidade - 220 h</t>
  </si>
  <si>
    <t>03</t>
  </si>
  <si>
    <t>Lucro</t>
  </si>
  <si>
    <t>SENAI OU SENAC</t>
  </si>
  <si>
    <t>AGUAS FORMOSAS</t>
  </si>
  <si>
    <t>AGF</t>
  </si>
  <si>
    <t>009</t>
  </si>
  <si>
    <t/>
  </si>
  <si>
    <t>Assistente em Tecnologia da Informacao I - 220 h</t>
  </si>
  <si>
    <t>04</t>
  </si>
  <si>
    <t>Nº. Posto</t>
  </si>
  <si>
    <t>Salário Mínimo Vigente</t>
  </si>
  <si>
    <t>Seguro de vida</t>
  </si>
  <si>
    <t>INCRA</t>
  </si>
  <si>
    <t>AIMORES</t>
  </si>
  <si>
    <t>AOR</t>
  </si>
  <si>
    <t>011</t>
  </si>
  <si>
    <t>Assistente em Tecnologia da Informacao II - 220 h</t>
  </si>
  <si>
    <t>05</t>
  </si>
  <si>
    <t>Salário Educação</t>
  </si>
  <si>
    <t>AIURUOCA</t>
  </si>
  <si>
    <t>AUD</t>
  </si>
  <si>
    <t>012</t>
  </si>
  <si>
    <t>Auxiliar de Arquivo I - 220 h</t>
  </si>
  <si>
    <t>06</t>
  </si>
  <si>
    <t>FGTS</t>
  </si>
  <si>
    <t>ALEM PARAIBA</t>
  </si>
  <si>
    <t>API</t>
  </si>
  <si>
    <t>015</t>
  </si>
  <si>
    <t>Auxiliar de Arquivo II - 150 h</t>
  </si>
  <si>
    <t>07</t>
  </si>
  <si>
    <t>RAT Ajustado</t>
  </si>
  <si>
    <t>ALFENAS</t>
  </si>
  <si>
    <t>AFN</t>
  </si>
  <si>
    <t>016</t>
  </si>
  <si>
    <t>Auxiliar de Cadastro e Expedicao - 220 H</t>
  </si>
  <si>
    <t>08</t>
  </si>
  <si>
    <t>SEBRAE</t>
  </si>
  <si>
    <t>ALMENARA</t>
  </si>
  <si>
    <t>AMN</t>
  </si>
  <si>
    <t>017</t>
  </si>
  <si>
    <t>Auxiliar de Manutencao Predial - 220 h</t>
  </si>
  <si>
    <t>09</t>
  </si>
  <si>
    <t>COFINS</t>
  </si>
  <si>
    <t>ALPINOPOLIS</t>
  </si>
  <si>
    <t>ALS</t>
  </si>
  <si>
    <t>019</t>
  </si>
  <si>
    <t>Bombeiro Hidraulico - 220 h</t>
  </si>
  <si>
    <t>10</t>
  </si>
  <si>
    <t>PIS</t>
  </si>
  <si>
    <t>ALTO RIO DOCE</t>
  </si>
  <si>
    <t>ADC</t>
  </si>
  <si>
    <t>021</t>
  </si>
  <si>
    <t>Carregador - 220 h</t>
  </si>
  <si>
    <t>11</t>
  </si>
  <si>
    <t>ALVINOPOLIS</t>
  </si>
  <si>
    <t>ALL</t>
  </si>
  <si>
    <t>023</t>
  </si>
  <si>
    <t>Continuo - 220 h</t>
  </si>
  <si>
    <t>12</t>
  </si>
  <si>
    <t>ANDRADAS</t>
  </si>
  <si>
    <t>ANA</t>
  </si>
  <si>
    <t>026</t>
  </si>
  <si>
    <t>Copeiro - 220 h</t>
  </si>
  <si>
    <t>13</t>
  </si>
  <si>
    <t>ANDRELANDIA</t>
  </si>
  <si>
    <t>ADL</t>
  </si>
  <si>
    <t>028</t>
  </si>
  <si>
    <t>14</t>
  </si>
  <si>
    <t>ARACUAI</t>
  </si>
  <si>
    <t>AUI</t>
  </si>
  <si>
    <t>034</t>
  </si>
  <si>
    <t>Digitador - 150 h</t>
  </si>
  <si>
    <t>15</t>
  </si>
  <si>
    <t>ARAGUARI</t>
  </si>
  <si>
    <t>ARI</t>
  </si>
  <si>
    <t>035</t>
  </si>
  <si>
    <t>Eletricista - 220 h</t>
  </si>
  <si>
    <t>16</t>
  </si>
  <si>
    <t>ARAXA</t>
  </si>
  <si>
    <t>AXA</t>
  </si>
  <si>
    <t>040</t>
  </si>
  <si>
    <t>Encarregado - 220 h</t>
  </si>
  <si>
    <t>17</t>
  </si>
  <si>
    <t>ARCOS</t>
  </si>
  <si>
    <t>ACS</t>
  </si>
  <si>
    <t>042</t>
  </si>
  <si>
    <t>Fotografo - 150 h</t>
  </si>
  <si>
    <t>18</t>
  </si>
  <si>
    <t>AREADO</t>
  </si>
  <si>
    <t>ADO</t>
  </si>
  <si>
    <t>043</t>
  </si>
  <si>
    <t>Garcom - 220 h</t>
  </si>
  <si>
    <t>19</t>
  </si>
  <si>
    <t>ARINOS</t>
  </si>
  <si>
    <t>AYN</t>
  </si>
  <si>
    <t>778</t>
  </si>
  <si>
    <t>Instalador e Mantenedor de Sistemas de Seguranca - 220 h</t>
  </si>
  <si>
    <t>20</t>
  </si>
  <si>
    <t>BAEPENDI</t>
  </si>
  <si>
    <t>BAD</t>
  </si>
  <si>
    <t>049</t>
  </si>
  <si>
    <t>Jardineiro - 220 h</t>
  </si>
  <si>
    <t>21</t>
  </si>
  <si>
    <t>BAMBUI</t>
  </si>
  <si>
    <t>BBI</t>
  </si>
  <si>
    <t>051</t>
  </si>
  <si>
    <t>Lavador de Veiculos - 220 h</t>
  </si>
  <si>
    <t>22</t>
  </si>
  <si>
    <t>BARAO DE COCAIS</t>
  </si>
  <si>
    <t>BCS</t>
  </si>
  <si>
    <t>054</t>
  </si>
  <si>
    <t>Manobrista - 220 h</t>
  </si>
  <si>
    <t>23</t>
  </si>
  <si>
    <t>BARBACENA</t>
  </si>
  <si>
    <t>BCA</t>
  </si>
  <si>
    <t>056</t>
  </si>
  <si>
    <t>Marceneiro - 220 h</t>
  </si>
  <si>
    <t>24</t>
  </si>
  <si>
    <t>BARROSO</t>
  </si>
  <si>
    <t>BSO</t>
  </si>
  <si>
    <t>059</t>
  </si>
  <si>
    <t>Motorista I - 12 x 36 - Diurno</t>
  </si>
  <si>
    <t>25</t>
  </si>
  <si>
    <t>BELO HORIZONTE</t>
  </si>
  <si>
    <t>BHE</t>
  </si>
  <si>
    <t>024</t>
  </si>
  <si>
    <t>Motorista I - 150 h</t>
  </si>
  <si>
    <t>26</t>
  </si>
  <si>
    <t>BELO VALE</t>
  </si>
  <si>
    <t>BLL</t>
  </si>
  <si>
    <t>064</t>
  </si>
  <si>
    <t>Motorista I - 220 h</t>
  </si>
  <si>
    <t>27</t>
  </si>
  <si>
    <t>BETIM</t>
  </si>
  <si>
    <t>BET</t>
  </si>
  <si>
    <t>027</t>
  </si>
  <si>
    <t>Motorista II - 220 h</t>
  </si>
  <si>
    <t>28</t>
  </si>
  <si>
    <t>BICAS</t>
  </si>
  <si>
    <t>BIS</t>
  </si>
  <si>
    <t>069</t>
  </si>
  <si>
    <t>Operador de Maquina Reprografica - 220 h</t>
  </si>
  <si>
    <t>29</t>
  </si>
  <si>
    <t>BOA ESPERANCA</t>
  </si>
  <si>
    <t>BOE</t>
  </si>
  <si>
    <t>071</t>
  </si>
  <si>
    <t>Operador de Midia Audiovisual - 150 h</t>
  </si>
  <si>
    <t>30</t>
  </si>
  <si>
    <t>BOCAIUVA</t>
  </si>
  <si>
    <t>BCV</t>
  </si>
  <si>
    <t>073</t>
  </si>
  <si>
    <t>Pedreiro - 220 h</t>
  </si>
  <si>
    <t>31</t>
  </si>
  <si>
    <t>BOM DESPACHO</t>
  </si>
  <si>
    <t>BDP</t>
  </si>
  <si>
    <t>074</t>
  </si>
  <si>
    <t>Pintor - 220 h</t>
  </si>
  <si>
    <t>32</t>
  </si>
  <si>
    <t>BOM SUCESSO</t>
  </si>
  <si>
    <t>BMS</t>
  </si>
  <si>
    <t>080</t>
  </si>
  <si>
    <t>Porteiro - 12 x 36 - Diurno</t>
  </si>
  <si>
    <t>33</t>
  </si>
  <si>
    <t>BONFIM</t>
  </si>
  <si>
    <t>BFM</t>
  </si>
  <si>
    <t>081</t>
  </si>
  <si>
    <t>Porteiro - 12 x 36 - Noturno</t>
  </si>
  <si>
    <t>34</t>
  </si>
  <si>
    <t>BONFINOPOLIS DE MINAS</t>
  </si>
  <si>
    <t>BFS</t>
  </si>
  <si>
    <t>082</t>
  </si>
  <si>
    <t>Porteiro - 220 h</t>
  </si>
  <si>
    <t>35</t>
  </si>
  <si>
    <t>BORDA DA MATA</t>
  </si>
  <si>
    <t>BOM</t>
  </si>
  <si>
    <t>083</t>
  </si>
  <si>
    <t>Recepcionista - 150 h</t>
  </si>
  <si>
    <t>36</t>
  </si>
  <si>
    <t>BOTELHOS</t>
  </si>
  <si>
    <t>BHS</t>
  </si>
  <si>
    <t>084</t>
  </si>
  <si>
    <t>Recepcionista - 220 h</t>
  </si>
  <si>
    <t>37</t>
  </si>
  <si>
    <t>BRASILIA DE MINAS</t>
  </si>
  <si>
    <t>BMN</t>
  </si>
  <si>
    <t>086</t>
  </si>
  <si>
    <t>Supervisor de Manutencao de Veiculos I - 220 h</t>
  </si>
  <si>
    <t>38</t>
  </si>
  <si>
    <t>BRAZOPOLIS</t>
  </si>
  <si>
    <t>BPS</t>
  </si>
  <si>
    <t>089</t>
  </si>
  <si>
    <t>Supervisor de Manutencao de Veiculos II - 220 h</t>
  </si>
  <si>
    <t>39</t>
  </si>
  <si>
    <t>BRUMADINHO</t>
  </si>
  <si>
    <t>BMO</t>
  </si>
  <si>
    <t>090</t>
  </si>
  <si>
    <t>40</t>
  </si>
  <si>
    <t>BUENO BRANDAO</t>
  </si>
  <si>
    <t>BBD</t>
  </si>
  <si>
    <t>091</t>
  </si>
  <si>
    <t>41</t>
  </si>
  <si>
    <t>BUENOPOLIS</t>
  </si>
  <si>
    <t>BUS</t>
  </si>
  <si>
    <t>092</t>
  </si>
  <si>
    <t>42</t>
  </si>
  <si>
    <t>BURITIS</t>
  </si>
  <si>
    <t>BII</t>
  </si>
  <si>
    <t>093</t>
  </si>
  <si>
    <t>Tecnico de Manutencao Eletronica I - 220 h</t>
  </si>
  <si>
    <t>43</t>
  </si>
  <si>
    <t>CABO VERDE</t>
  </si>
  <si>
    <t>CBV</t>
  </si>
  <si>
    <t>095</t>
  </si>
  <si>
    <t>Tecnico de Manutencao Eletronica II - 220 h</t>
  </si>
  <si>
    <t>44</t>
  </si>
  <si>
    <t>CACHOEIRA DE MINAS</t>
  </si>
  <si>
    <t>CHS</t>
  </si>
  <si>
    <t>097</t>
  </si>
  <si>
    <t>Tecnico de Manutencao Eletronica III - 220 h</t>
  </si>
  <si>
    <t>45</t>
  </si>
  <si>
    <t>CAETE</t>
  </si>
  <si>
    <t>CET</t>
  </si>
  <si>
    <t>045</t>
  </si>
  <si>
    <t>Tecnico em Edificacoes - 220 h</t>
  </si>
  <si>
    <t>46</t>
  </si>
  <si>
    <t>CALDAS</t>
  </si>
  <si>
    <t>CAD</t>
  </si>
  <si>
    <t>103</t>
  </si>
  <si>
    <t>Tecnico em Eletrotecnica/Eletronica - 220 h</t>
  </si>
  <si>
    <t>47</t>
  </si>
  <si>
    <t>CAMANDUCAIA</t>
  </si>
  <si>
    <t>CDU</t>
  </si>
  <si>
    <t>Tecnico em Mecanica/Eletromecanica - 220 h</t>
  </si>
  <si>
    <t>48</t>
  </si>
  <si>
    <t>CAMBUI</t>
  </si>
  <si>
    <t>CBI</t>
  </si>
  <si>
    <t>Tecnico em Tecnologia da Informacao I - 220 h</t>
  </si>
  <si>
    <t>49</t>
  </si>
  <si>
    <t>CAMBUQUIRA</t>
  </si>
  <si>
    <t>CAQ</t>
  </si>
  <si>
    <t>Tecnico em Tecnologia da Informacao II - 220 h</t>
  </si>
  <si>
    <t>50</t>
  </si>
  <si>
    <t>CAMPANHA</t>
  </si>
  <si>
    <t>CPH</t>
  </si>
  <si>
    <t>Tecnico em Tecnologia da Informacao III - 220 h</t>
  </si>
  <si>
    <t>51</t>
  </si>
  <si>
    <t>CAMPESTRE</t>
  </si>
  <si>
    <t>CST</t>
  </si>
  <si>
    <t>52</t>
  </si>
  <si>
    <t>CAMPINA VERDE</t>
  </si>
  <si>
    <t>CVE</t>
  </si>
  <si>
    <t>Telefonista - 150 h</t>
  </si>
  <si>
    <t>53</t>
  </si>
  <si>
    <t>CAMPO BELO</t>
  </si>
  <si>
    <t>CPO</t>
  </si>
  <si>
    <t>CAMPOS ALTOS</t>
  </si>
  <si>
    <t>CMT</t>
  </si>
  <si>
    <t>CAMPOS GERAIS</t>
  </si>
  <si>
    <t>CPG</t>
  </si>
  <si>
    <t>CANAPOLIS</t>
  </si>
  <si>
    <t>COI</t>
  </si>
  <si>
    <t>CANDEIAS</t>
  </si>
  <si>
    <t>CWA</t>
  </si>
  <si>
    <t>CAPELINHA</t>
  </si>
  <si>
    <t>CLH</t>
  </si>
  <si>
    <t>CAPINOPOLIS</t>
  </si>
  <si>
    <t>CNS</t>
  </si>
  <si>
    <t>CARANDAI</t>
  </si>
  <si>
    <t>CRD</t>
  </si>
  <si>
    <t>CARANGOLA</t>
  </si>
  <si>
    <t>CRL</t>
  </si>
  <si>
    <t>CARATINGA</t>
  </si>
  <si>
    <t>CGA</t>
  </si>
  <si>
    <t>CARLOS CHAGAS</t>
  </si>
  <si>
    <t>CCH</t>
  </si>
  <si>
    <t>CARMO DA MATA</t>
  </si>
  <si>
    <t>COM</t>
  </si>
  <si>
    <t>CARMO DE MINAS</t>
  </si>
  <si>
    <t>CAE</t>
  </si>
  <si>
    <t>CARMO DO CAJURU</t>
  </si>
  <si>
    <t>CCU</t>
  </si>
  <si>
    <t>CARMO DO PARANAIBA</t>
  </si>
  <si>
    <t>CMI</t>
  </si>
  <si>
    <t>CARMO DO RIO CLARO</t>
  </si>
  <si>
    <t>CRC</t>
  </si>
  <si>
    <t>CARMOPOLIS DE MINAS</t>
  </si>
  <si>
    <t>CRM</t>
  </si>
  <si>
    <t>CASSIA</t>
  </si>
  <si>
    <t>CSA</t>
  </si>
  <si>
    <t>CATAGUASES</t>
  </si>
  <si>
    <t>CGS</t>
  </si>
  <si>
    <t>CAXAMBU</t>
  </si>
  <si>
    <t>CAX</t>
  </si>
  <si>
    <t>CLAUDIO</t>
  </si>
  <si>
    <t>CLU</t>
  </si>
  <si>
    <t>CONCEICAO DAS ALAGOAS</t>
  </si>
  <si>
    <t>CLS</t>
  </si>
  <si>
    <t>CONCEICAO DO MATO DENTRO</t>
  </si>
  <si>
    <t>CMD</t>
  </si>
  <si>
    <t>CONCEICAO DO RIO VERDE</t>
  </si>
  <si>
    <t>CVR</t>
  </si>
  <si>
    <t>CONGONHAS</t>
  </si>
  <si>
    <t>CNG</t>
  </si>
  <si>
    <t>CONQUISTA</t>
  </si>
  <si>
    <t>CQT</t>
  </si>
  <si>
    <t>CONSELHEIRO LAFAIETE</t>
  </si>
  <si>
    <t>CNL</t>
  </si>
  <si>
    <t>CONSELHEIRO PENA</t>
  </si>
  <si>
    <t>CSN</t>
  </si>
  <si>
    <t>CONTAGEM</t>
  </si>
  <si>
    <t>CEM</t>
  </si>
  <si>
    <t>079</t>
  </si>
  <si>
    <t>CORACAO DE JESUS</t>
  </si>
  <si>
    <t>COJ</t>
  </si>
  <si>
    <t>CORINTO</t>
  </si>
  <si>
    <t>CIT</t>
  </si>
  <si>
    <t>COROMANDEL</t>
  </si>
  <si>
    <t>CEL</t>
  </si>
  <si>
    <t>CORONEL FABRICIANO</t>
  </si>
  <si>
    <t>CRF</t>
  </si>
  <si>
    <t>CRISTINA</t>
  </si>
  <si>
    <t>CSI</t>
  </si>
  <si>
    <t>CRUZILIA</t>
  </si>
  <si>
    <t>CZL</t>
  </si>
  <si>
    <t>CURVELO</t>
  </si>
  <si>
    <t>CUV</t>
  </si>
  <si>
    <t>DIAMANTINA</t>
  </si>
  <si>
    <t>DMT</t>
  </si>
  <si>
    <t>DIVINO</t>
  </si>
  <si>
    <t>DVO</t>
  </si>
  <si>
    <t>DIVINOPOLIS</t>
  </si>
  <si>
    <t>DVL</t>
  </si>
  <si>
    <t>DORES DO INDAIA</t>
  </si>
  <si>
    <t>DDI</t>
  </si>
  <si>
    <t>ELOI MENDES</t>
  </si>
  <si>
    <t>ELM</t>
  </si>
  <si>
    <t>ENTRE RIOS DE MINAS</t>
  </si>
  <si>
    <t>ERM</t>
  </si>
  <si>
    <t>ERVALIA</t>
  </si>
  <si>
    <t>ERV</t>
  </si>
  <si>
    <t>ESMERALDAS</t>
  </si>
  <si>
    <t>EES</t>
  </si>
  <si>
    <t>ESPERA FELIZ</t>
  </si>
  <si>
    <t>EEP</t>
  </si>
  <si>
    <t>ESPINOSA</t>
  </si>
  <si>
    <t>EPS</t>
  </si>
  <si>
    <t>ESTRELA DO SUL</t>
  </si>
  <si>
    <t>EEL</t>
  </si>
  <si>
    <t>EUGENOPOLIS</t>
  </si>
  <si>
    <t>EOS</t>
  </si>
  <si>
    <t>EXTREMA</t>
  </si>
  <si>
    <t>EXM</t>
  </si>
  <si>
    <t>FERROS</t>
  </si>
  <si>
    <t>FES</t>
  </si>
  <si>
    <t>FORMIGA</t>
  </si>
  <si>
    <t>FMA</t>
  </si>
  <si>
    <t>FRANCISCO SA</t>
  </si>
  <si>
    <t>FCS</t>
  </si>
  <si>
    <t>FRUTAL</t>
  </si>
  <si>
    <t>FRU</t>
  </si>
  <si>
    <t>GALILEIA</t>
  </si>
  <si>
    <t>GLL</t>
  </si>
  <si>
    <t>GOVERNADOR VALADARES</t>
  </si>
  <si>
    <t>GVS</t>
  </si>
  <si>
    <t>GRAO MOGOL</t>
  </si>
  <si>
    <t>GGL</t>
  </si>
  <si>
    <t>GUANHAES</t>
  </si>
  <si>
    <t>GHE</t>
  </si>
  <si>
    <t>GUAPE</t>
  </si>
  <si>
    <t>GUE</t>
  </si>
  <si>
    <t>GUARANESIA</t>
  </si>
  <si>
    <t>GSA</t>
  </si>
  <si>
    <t>GUARANI</t>
  </si>
  <si>
    <t>GNI</t>
  </si>
  <si>
    <t>GUAXUPE</t>
  </si>
  <si>
    <t>GPE</t>
  </si>
  <si>
    <t>IBIA</t>
  </si>
  <si>
    <t>IBY</t>
  </si>
  <si>
    <t>IBIRACI</t>
  </si>
  <si>
    <t>III</t>
  </si>
  <si>
    <t>IBIRITE</t>
  </si>
  <si>
    <t>IIB</t>
  </si>
  <si>
    <t>IGARAPE</t>
  </si>
  <si>
    <t>IRP</t>
  </si>
  <si>
    <t>IGUATAMA</t>
  </si>
  <si>
    <t>IUM</t>
  </si>
  <si>
    <t>INHAPIM</t>
  </si>
  <si>
    <t>INP</t>
  </si>
  <si>
    <t>IPANEMA</t>
  </si>
  <si>
    <t>YAN</t>
  </si>
  <si>
    <t>IPATINGA</t>
  </si>
  <si>
    <t>IIG</t>
  </si>
  <si>
    <t>ITABIRA</t>
  </si>
  <si>
    <t>IBA</t>
  </si>
  <si>
    <t>ITABIRITO</t>
  </si>
  <si>
    <t>IRO</t>
  </si>
  <si>
    <t>ITAGUARA</t>
  </si>
  <si>
    <t>IGR</t>
  </si>
  <si>
    <t>ITAJUBA</t>
  </si>
  <si>
    <t>IJA</t>
  </si>
  <si>
    <t>ITAMARANDIBA</t>
  </si>
  <si>
    <t>IMR</t>
  </si>
  <si>
    <t>ITAMBACURI</t>
  </si>
  <si>
    <t>ITC</t>
  </si>
  <si>
    <t>ITAMOGI</t>
  </si>
  <si>
    <t>IOG</t>
  </si>
  <si>
    <t>ITAMONTE</t>
  </si>
  <si>
    <t>IMO</t>
  </si>
  <si>
    <t>ITANHANDU</t>
  </si>
  <si>
    <t>ITD</t>
  </si>
  <si>
    <t>ITANHOMI</t>
  </si>
  <si>
    <t>INH</t>
  </si>
  <si>
    <t>ITAPAGIPE</t>
  </si>
  <si>
    <t>IGY</t>
  </si>
  <si>
    <t>ITAPECERICA</t>
  </si>
  <si>
    <t>IPC</t>
  </si>
  <si>
    <t>ITAUNA</t>
  </si>
  <si>
    <t>IAN</t>
  </si>
  <si>
    <t>ITUIUTABA</t>
  </si>
  <si>
    <t>IUA</t>
  </si>
  <si>
    <t>ITUMIRIM</t>
  </si>
  <si>
    <t>IYM</t>
  </si>
  <si>
    <t>ITURAMA</t>
  </si>
  <si>
    <t>ITM</t>
  </si>
  <si>
    <t>JABOTICATUBAS</t>
  </si>
  <si>
    <t>JBU</t>
  </si>
  <si>
    <t>JACINTO</t>
  </si>
  <si>
    <t>JNT</t>
  </si>
  <si>
    <t>JACUI</t>
  </si>
  <si>
    <t>JCU</t>
  </si>
  <si>
    <t>JACUTINGA</t>
  </si>
  <si>
    <t>JTA</t>
  </si>
  <si>
    <t>JAIBA</t>
  </si>
  <si>
    <t>JAB</t>
  </si>
  <si>
    <t>JANAUBA</t>
  </si>
  <si>
    <t>JUA</t>
  </si>
  <si>
    <t>JANUARIA</t>
  </si>
  <si>
    <t>JNU</t>
  </si>
  <si>
    <t>JEQUERI</t>
  </si>
  <si>
    <t>JQI</t>
  </si>
  <si>
    <t>JEQUITINHONHA</t>
  </si>
  <si>
    <t>JQT</t>
  </si>
  <si>
    <t>JOAO MONLEVADE</t>
  </si>
  <si>
    <t>JML</t>
  </si>
  <si>
    <t>JOAO PINHEIRO</t>
  </si>
  <si>
    <t>JPI</t>
  </si>
  <si>
    <t>JUATUBA</t>
  </si>
  <si>
    <t>JTB</t>
  </si>
  <si>
    <t>JUIZ DE FORA</t>
  </si>
  <si>
    <t>JFA</t>
  </si>
  <si>
    <t>LAGOA DA PRATA</t>
  </si>
  <si>
    <t>LPT</t>
  </si>
  <si>
    <t>LAGOA SANTA</t>
  </si>
  <si>
    <t>LGT</t>
  </si>
  <si>
    <t>LAJINHA</t>
  </si>
  <si>
    <t>LJA</t>
  </si>
  <si>
    <t>LAMBARI</t>
  </si>
  <si>
    <t>LAM</t>
  </si>
  <si>
    <t>LAVRAS</t>
  </si>
  <si>
    <t>LAV</t>
  </si>
  <si>
    <t>LEOPOLDINA</t>
  </si>
  <si>
    <t>LPD</t>
  </si>
  <si>
    <t>LIMA DUARTE</t>
  </si>
  <si>
    <t>LAD</t>
  </si>
  <si>
    <t>LUZ</t>
  </si>
  <si>
    <t>MACHADO</t>
  </si>
  <si>
    <t>MCD</t>
  </si>
  <si>
    <t>MALACACHETA</t>
  </si>
  <si>
    <t>MCH</t>
  </si>
  <si>
    <t>MANGA</t>
  </si>
  <si>
    <t>MAG</t>
  </si>
  <si>
    <t>MANHUACU</t>
  </si>
  <si>
    <t>MNC</t>
  </si>
  <si>
    <t>MANHUMIRIM</t>
  </si>
  <si>
    <t>MIM</t>
  </si>
  <si>
    <t>MANTENA</t>
  </si>
  <si>
    <t>MNN</t>
  </si>
  <si>
    <t>MAR DE ESPANHA</t>
  </si>
  <si>
    <t>MEH</t>
  </si>
  <si>
    <t>MARIANA</t>
  </si>
  <si>
    <t>MRN</t>
  </si>
  <si>
    <t>MARTINHO CAMPOS</t>
  </si>
  <si>
    <t>MHC</t>
  </si>
  <si>
    <t>MATEUS LEME</t>
  </si>
  <si>
    <t>MAL</t>
  </si>
  <si>
    <t>MATIAS BARBOSA</t>
  </si>
  <si>
    <t>MBB</t>
  </si>
  <si>
    <t>MATOZINHOS</t>
  </si>
  <si>
    <t>MTZ</t>
  </si>
  <si>
    <t>MEDINA</t>
  </si>
  <si>
    <t>MDA</t>
  </si>
  <si>
    <t>MERCES</t>
  </si>
  <si>
    <t>MEE</t>
  </si>
  <si>
    <t>MESQUITA</t>
  </si>
  <si>
    <t>MQI</t>
  </si>
  <si>
    <t>MINAS NOVAS</t>
  </si>
  <si>
    <t>MNV</t>
  </si>
  <si>
    <t>MIRADOURO</t>
  </si>
  <si>
    <t>MDO</t>
  </si>
  <si>
    <t>MIRAI</t>
  </si>
  <si>
    <t>MII</t>
  </si>
  <si>
    <t>MONTALVANIA</t>
  </si>
  <si>
    <t>MTV</t>
  </si>
  <si>
    <t>MONTE ALEGRE DE MINAS</t>
  </si>
  <si>
    <t>MAM</t>
  </si>
  <si>
    <t>MONTE AZUL</t>
  </si>
  <si>
    <t>MZL</t>
  </si>
  <si>
    <t>MONTE BELO</t>
  </si>
  <si>
    <t>MBE</t>
  </si>
  <si>
    <t>MONTE CARMELO</t>
  </si>
  <si>
    <t>MOO</t>
  </si>
  <si>
    <t>MONTE SANTO DE MINAS</t>
  </si>
  <si>
    <t>MSM</t>
  </si>
  <si>
    <t>MONTE SIAO</t>
  </si>
  <si>
    <t>MSI</t>
  </si>
  <si>
    <t>MONTES CLAROS</t>
  </si>
  <si>
    <t>MCL</t>
  </si>
  <si>
    <t>MORADA NOVA DE MINAS</t>
  </si>
  <si>
    <t>MNM</t>
  </si>
  <si>
    <t>MURIAE</t>
  </si>
  <si>
    <t>MRE</t>
  </si>
  <si>
    <t>MUTUM</t>
  </si>
  <si>
    <t>MTM</t>
  </si>
  <si>
    <t>MUZAMBINHO</t>
  </si>
  <si>
    <t>MUZ</t>
  </si>
  <si>
    <t>NANUQUE</t>
  </si>
  <si>
    <t>NNE</t>
  </si>
  <si>
    <t>NATERCIA</t>
  </si>
  <si>
    <t>NAR</t>
  </si>
  <si>
    <t>NEPOMUCENO</t>
  </si>
  <si>
    <t>NPO</t>
  </si>
  <si>
    <t>NOVA ERA</t>
  </si>
  <si>
    <t>NER</t>
  </si>
  <si>
    <t>NOVA LIMA</t>
  </si>
  <si>
    <t>NLA</t>
  </si>
  <si>
    <t>NOVA PONTE</t>
  </si>
  <si>
    <t>NVN</t>
  </si>
  <si>
    <t>NOVA RESENDE</t>
  </si>
  <si>
    <t>NES</t>
  </si>
  <si>
    <t>NOVA SERRANA</t>
  </si>
  <si>
    <t>NVS</t>
  </si>
  <si>
    <t>NOVO CRUZEIRO</t>
  </si>
  <si>
    <t>NZO</t>
  </si>
  <si>
    <t>OLIVEIRA</t>
  </si>
  <si>
    <t>OLV</t>
  </si>
  <si>
    <t>OURO BRANCO</t>
  </si>
  <si>
    <t>OUO</t>
  </si>
  <si>
    <t>OURO FINO</t>
  </si>
  <si>
    <t>OUF</t>
  </si>
  <si>
    <t>OURO PRETO</t>
  </si>
  <si>
    <t>ORP</t>
  </si>
  <si>
    <t>PALMA</t>
  </si>
  <si>
    <t>PAL</t>
  </si>
  <si>
    <t>PARA DE MINAS</t>
  </si>
  <si>
    <t>PRS</t>
  </si>
  <si>
    <t>PARACATU</t>
  </si>
  <si>
    <t>PTU</t>
  </si>
  <si>
    <t>PARAGUACU</t>
  </si>
  <si>
    <t>PGC</t>
  </si>
  <si>
    <t>PARAISOPOLIS</t>
  </si>
  <si>
    <t>PSP</t>
  </si>
  <si>
    <t>PARAOPEBA</t>
  </si>
  <si>
    <t>PEB</t>
  </si>
  <si>
    <t>PASSA QUATRO</t>
  </si>
  <si>
    <t>PQO</t>
  </si>
  <si>
    <t>PASSA TEMPO</t>
  </si>
  <si>
    <t>PST</t>
  </si>
  <si>
    <t>PASSOS</t>
  </si>
  <si>
    <t>PSS</t>
  </si>
  <si>
    <t>PATOS DE MINAS</t>
  </si>
  <si>
    <t>PMS</t>
  </si>
  <si>
    <t>PATROCINIO</t>
  </si>
  <si>
    <t>PTC</t>
  </si>
  <si>
    <t>PECANHA</t>
  </si>
  <si>
    <t>PNH</t>
  </si>
  <si>
    <t>PEDRA AZUL</t>
  </si>
  <si>
    <t>PZL</t>
  </si>
  <si>
    <t>PEDRALVA</t>
  </si>
  <si>
    <t>PDV</t>
  </si>
  <si>
    <t>PEDRO LEOPOLDO</t>
  </si>
  <si>
    <t>PLO</t>
  </si>
  <si>
    <t>PERDIZES</t>
  </si>
  <si>
    <t>PEZ</t>
  </si>
  <si>
    <t>PERDOES</t>
  </si>
  <si>
    <t>PDS</t>
  </si>
  <si>
    <t>PIRANGA</t>
  </si>
  <si>
    <t>PRG</t>
  </si>
  <si>
    <t>PIRAPETINGA</t>
  </si>
  <si>
    <t>PPN</t>
  </si>
  <si>
    <t>PIRAPORA</t>
  </si>
  <si>
    <t>PRR</t>
  </si>
  <si>
    <t>PITANGUI</t>
  </si>
  <si>
    <t>PTI</t>
  </si>
  <si>
    <t>PIUMHI</t>
  </si>
  <si>
    <t>PIU</t>
  </si>
  <si>
    <t>POCO FUNDO</t>
  </si>
  <si>
    <t>POF</t>
  </si>
  <si>
    <t>POCOS DE CALDAS</t>
  </si>
  <si>
    <t>PCS</t>
  </si>
  <si>
    <t>POMPEU</t>
  </si>
  <si>
    <t>PPE</t>
  </si>
  <si>
    <t>PONTE NOVA</t>
  </si>
  <si>
    <t>PNV</t>
  </si>
  <si>
    <t>PORTEIRINHA</t>
  </si>
  <si>
    <t>PTH</t>
  </si>
  <si>
    <t>POUSO ALEGRE</t>
  </si>
  <si>
    <t>PSO</t>
  </si>
  <si>
    <t>PRADOS</t>
  </si>
  <si>
    <t>PAD</t>
  </si>
  <si>
    <t>PRATA</t>
  </si>
  <si>
    <t>PRT</t>
  </si>
  <si>
    <t>PRATAPOLIS</t>
  </si>
  <si>
    <t>PRO</t>
  </si>
  <si>
    <t>PRESIDENTE OLEGARIO</t>
  </si>
  <si>
    <t>PEE</t>
  </si>
  <si>
    <t>RAUL SOARES</t>
  </si>
  <si>
    <t>RSS</t>
  </si>
  <si>
    <t>RESENDE COSTA</t>
  </si>
  <si>
    <t>RED</t>
  </si>
  <si>
    <t>RESPLENDOR</t>
  </si>
  <si>
    <t>RSP</t>
  </si>
  <si>
    <t>RIBEIRAO DAS NEVES</t>
  </si>
  <si>
    <t>RNS</t>
  </si>
  <si>
    <t>RIO CASCA</t>
  </si>
  <si>
    <t>RCS</t>
  </si>
  <si>
    <t>RIO NOVO</t>
  </si>
  <si>
    <t>RNV</t>
  </si>
  <si>
    <t>RIO PARANAIBA</t>
  </si>
  <si>
    <t>RPA</t>
  </si>
  <si>
    <t>RIO PARDO DE MINAS</t>
  </si>
  <si>
    <t>RDS</t>
  </si>
  <si>
    <t>RIO PIRACICABA</t>
  </si>
  <si>
    <t>RPC</t>
  </si>
  <si>
    <t>RIO POMBA</t>
  </si>
  <si>
    <t>RPB</t>
  </si>
  <si>
    <t>RIO PRETO</t>
  </si>
  <si>
    <t>RRE</t>
  </si>
  <si>
    <t>RIO VERMELHO</t>
  </si>
  <si>
    <t>RIV</t>
  </si>
  <si>
    <t>SABARA</t>
  </si>
  <si>
    <t>SBA</t>
  </si>
  <si>
    <t>SABINOPOLIS</t>
  </si>
  <si>
    <t>SNS</t>
  </si>
  <si>
    <t>SACRAMENTO</t>
  </si>
  <si>
    <t>SQN</t>
  </si>
  <si>
    <t>SALINAS</t>
  </si>
  <si>
    <t>SLN</t>
  </si>
  <si>
    <t>SANTA BARBARA</t>
  </si>
  <si>
    <t>SBB</t>
  </si>
  <si>
    <t>SANTA LUZIA</t>
  </si>
  <si>
    <t>SLU</t>
  </si>
  <si>
    <t>SANTA MARIA DO SUACUI</t>
  </si>
  <si>
    <t>SUI</t>
  </si>
  <si>
    <t>SANTA RITA DE CALDAS</t>
  </si>
  <si>
    <t>SRT</t>
  </si>
  <si>
    <t>SANTA RITA DO SAPUCAI</t>
  </si>
  <si>
    <t>SRS</t>
  </si>
  <si>
    <t>SANTA VITORIA</t>
  </si>
  <si>
    <t>STV</t>
  </si>
  <si>
    <t>SANTO ANTONIO DO MONTE</t>
  </si>
  <si>
    <t>SDT</t>
  </si>
  <si>
    <t>SANTOS DUMONT</t>
  </si>
  <si>
    <t>SND</t>
  </si>
  <si>
    <t>SAO DOMINGOS DO PRATA</t>
  </si>
  <si>
    <t>SDG</t>
  </si>
  <si>
    <t>SAO FRANCISCO</t>
  </si>
  <si>
    <t>SFI</t>
  </si>
  <si>
    <t>SAO GONCALO DO SAPUCAI</t>
  </si>
  <si>
    <t>SGS</t>
  </si>
  <si>
    <t>SAO GOTARDO</t>
  </si>
  <si>
    <t>SGT</t>
  </si>
  <si>
    <t>SAO JOAO DA PONTE</t>
  </si>
  <si>
    <t>SJT</t>
  </si>
  <si>
    <t>SAO JOAO DEL REI</t>
  </si>
  <si>
    <t>SOE</t>
  </si>
  <si>
    <t>SAO JOAO DO PARAISO</t>
  </si>
  <si>
    <t>SSK</t>
  </si>
  <si>
    <t>SAO JOAO EVANGELISTA</t>
  </si>
  <si>
    <t>SEG</t>
  </si>
  <si>
    <t>SAO JOAO NEPOMUCENO</t>
  </si>
  <si>
    <t>SJN</t>
  </si>
  <si>
    <t>SAO LOURENCO</t>
  </si>
  <si>
    <t>SAL</t>
  </si>
  <si>
    <t>SAO ROMAO</t>
  </si>
  <si>
    <t>SRW</t>
  </si>
  <si>
    <t>SAO ROQUE DE MINAS</t>
  </si>
  <si>
    <t>SQS</t>
  </si>
  <si>
    <t>SAO SEBASTIAO DO PARAISO</t>
  </si>
  <si>
    <t>SSP</t>
  </si>
  <si>
    <t>SENADOR FIRMINO</t>
  </si>
  <si>
    <t>SDF</t>
  </si>
  <si>
    <t>SERRO</t>
  </si>
  <si>
    <t>SER</t>
  </si>
  <si>
    <t>SETE LAGOAS</t>
  </si>
  <si>
    <t>SLA</t>
  </si>
  <si>
    <t>SILVIANOPOLIS</t>
  </si>
  <si>
    <t>SLP</t>
  </si>
  <si>
    <t>TAIOBEIRAS</t>
  </si>
  <si>
    <t>TOE</t>
  </si>
  <si>
    <t>TARUMIRIM</t>
  </si>
  <si>
    <t>TRM</t>
  </si>
  <si>
    <t>TEIXEIRAS</t>
  </si>
  <si>
    <t>TXS</t>
  </si>
  <si>
    <t>TEOFILO OTONI</t>
  </si>
  <si>
    <t>TOT</t>
  </si>
  <si>
    <t>TIMOTEO</t>
  </si>
  <si>
    <t>TTO</t>
  </si>
  <si>
    <t>TIROS</t>
  </si>
  <si>
    <t>TRZ</t>
  </si>
  <si>
    <t>TOMBOS</t>
  </si>
  <si>
    <t>TOS</t>
  </si>
  <si>
    <t>TRES CORACOES</t>
  </si>
  <si>
    <t>TCS</t>
  </si>
  <si>
    <t>TRES MARIAS</t>
  </si>
  <si>
    <t>TMS</t>
  </si>
  <si>
    <t>058</t>
  </si>
  <si>
    <t>TRES PONTAS</t>
  </si>
  <si>
    <t>TSP</t>
  </si>
  <si>
    <t>TUPACIGUARA</t>
  </si>
  <si>
    <t>TPC</t>
  </si>
  <si>
    <t>TURMALINA</t>
  </si>
  <si>
    <t>TUR</t>
  </si>
  <si>
    <t>UBA</t>
  </si>
  <si>
    <t>UBERABA</t>
  </si>
  <si>
    <t>URA</t>
  </si>
  <si>
    <t>UBERLANDIA</t>
  </si>
  <si>
    <t>ULA</t>
  </si>
  <si>
    <t>UNAI</t>
  </si>
  <si>
    <t>UNI</t>
  </si>
  <si>
    <t>VARGINHA</t>
  </si>
  <si>
    <t>VGA</t>
  </si>
  <si>
    <t>VARZEA DA PALMA</t>
  </si>
  <si>
    <t>VZP</t>
  </si>
  <si>
    <t>VAZANTE</t>
  </si>
  <si>
    <t>VZE</t>
  </si>
  <si>
    <t>VESPASIANO</t>
  </si>
  <si>
    <t>VPN</t>
  </si>
  <si>
    <t>VICOSA</t>
  </si>
  <si>
    <t>VCS</t>
  </si>
  <si>
    <t>VIRGINOPOLIS</t>
  </si>
  <si>
    <t>VGP</t>
  </si>
  <si>
    <t>VISCONDE DO RIO BRANCO</t>
  </si>
  <si>
    <t>VRB</t>
  </si>
  <si>
    <t>SINDICATOS</t>
  </si>
  <si>
    <t>ABRANGÊNCIA</t>
  </si>
  <si>
    <t>COMARCAS PAF</t>
  </si>
  <si>
    <t>FUNÇÕES</t>
  </si>
  <si>
    <t>COMARCAS CONTRATO</t>
  </si>
  <si>
    <t>VA</t>
  </si>
  <si>
    <t>Cesta Básica</t>
  </si>
  <si>
    <t>PAF</t>
  </si>
  <si>
    <t>PQM</t>
  </si>
  <si>
    <t>ANO DA CCT</t>
  </si>
  <si>
    <t>Nº DE PEDIDO DA CCT</t>
  </si>
  <si>
    <t>TERMO ADITIVO  ALTERAÇÃO DA CCT</t>
  </si>
  <si>
    <t>Nº REGISTRO MTE/ CCT</t>
  </si>
  <si>
    <t>Alto Paranaiba</t>
  </si>
  <si>
    <t>Abadia dos Dourados/MG, Água Comprida/MG, Araguari/MG, Araporã/MG, Cachoeira Dourada/MG, Campina Verde/MG, Campo Florido/MG, Campos Altos/MG, Canápolis/MG, Capinópolis/MG, Carmo do Paranaíba/MG,Carneirinho/MG, Cascalho Rico/MG, Centralina/MG, Conquista/MG, Coromandel/MG, Cruzeiro daFortaleza/MG, Delfinópolis/MG, Douradoquara/MG, Estrela do Sul/MG, Grupiara/MG, Guarda-Mor/MG,Guimarânia/MG, Gurinhatã/MG, Ibiá/MG, Indianópolis/MG, Ipiaçu/MG, Iraí de Minas/MG, Itapagipe/MG,Ituiutaba/MG, Iturama/MG, Lagoa Formosa/MG, Limeira do Oeste/MG, Matutina/MG, Medeiros/MG, Monte Alegre de Minas/MG, Monte Carmelo/MG, Nova Ponte/MG, Pedrinópolis/MG, Perdizes/MG, Pirajuba/MG,Prata/MG, Pratinha/MG, Presidente Olegário/MG, Rio Paranaíba/MG, Romaria/MG, Santa Juliana/MG,Santa Rosa da Serra/MG, Santa Vitória/MG, São Francisco de Sales/MG, São Gotardo/MG, São JoãoBatista do Glória/MG, Tapiraí/MG, Tiros/MG e Tupaciguara/MG</t>
  </si>
  <si>
    <t>MG001106/2025</t>
  </si>
  <si>
    <t>Araxa</t>
  </si>
  <si>
    <t>Araxá/MG</t>
  </si>
  <si>
    <t>MG000344/2025</t>
  </si>
  <si>
    <t>Cataguases</t>
  </si>
  <si>
    <t>Além Paraíba/MG, Astolfo Dutra/MG,Cataguases/MG, Leopoldina/MG, Muriaé/MG, Santana de Cataguases/MG, Ubá/MG e Visconde do Rio Branco/MG</t>
  </si>
  <si>
    <t>MG000299/2025</t>
  </si>
  <si>
    <t>Caxambu</t>
  </si>
  <si>
    <t>Caxambu/MG</t>
  </si>
  <si>
    <t>MG000360/2025</t>
  </si>
  <si>
    <t>Curvelo</t>
  </si>
  <si>
    <t>Abaeté/MG, Alvorada de Minas/MG,Araçaí/MG, Augusto de Lima/MG, Biquinhas/MG, Buenópolis/MG, Conceição do Mato Dentro/MG,Congonhas do Norte/MG, Cordisburgo/MG, Corinto/MG, Curvelo/MG, Datas/MG, Diamantina/MG,Felixlândia/MG, Gouveia/MG, Inimutaba/MG, Joaquim Felício/MG, Lassance/MG, Monjolos/MG,Morada Nova de Minas/MG, Morro da Garça/MG, Paineiras/MG, Pompéu/MG, Presidente Juscelino/MG, Presidente Kubitschek/MG, Santo Hipólito/MG, São Gonçalo do Abaeté/MG, Serro/MG e Três Marias/MG</t>
  </si>
  <si>
    <t>ABAÉTE, CONCEIÇÃO DO MATO DENTRO, CURVELO, DIAMANTINA, SERRO e TRÊS MARIAS.</t>
  </si>
  <si>
    <t>MG0000423/2025</t>
  </si>
  <si>
    <t>Divinopolis</t>
  </si>
  <si>
    <t>Divinópolis/MG</t>
  </si>
  <si>
    <t>MG000555/2025</t>
  </si>
  <si>
    <t>Fethemg Interior</t>
  </si>
  <si>
    <t>Abre Campo/MG, Água Boa/MG,Águas Vermelhas/MG, Aimorés/MG, Alfredo Vasconcelos/MG, Alpercata/MG, Alto Caparaó/MG, Alto Jequitibá/MG, Alvarenga/MG, Angelândia/MG, Araçuaí/MG, Araponga/MG, Arapuá/MG, Aricanduva/MG,Arinos/MG, Bandeira/MG, Berilo/MG, Berizal/MG, Bertópolis/MG, Bom Despacho/MG, Bom Jesus do Galho/MG, Bom Repouso/MG, Bonfinópolis de Minas/MG, Bonito de Minas/MG, Borda da Mata/MG,Brasilândia de Minas/MG, Brazópolis/MG, Bueno Brandão/MG, Bugre/MG, Buritis/MG, Cabeceira Grande/MG,Cachoeira de Minas/MG, Cachoeira de Pajeú/MG, Camanducaia/MG, Cambuí/MG, Campo Azul/MG,Cantagalo/MG, Capela Nova/MG, Capetinga/MG, Capitão Andrade/MG, Caputira/MG, Caraí/MG, Caranaíba/MG,Carandaí/MG, Carbonita/MG, Carmésia/MG, Carmópolis de Minas/MG, Carvalhópolis/MG, Casa Grande/MG,Cássia/MG, Catas Altas/MG, Catuti/MG, Cedro do Abaeté/MG, Central de Minas/MG, Chapada do Norte/MG,Chapada Gaúcha/MG, Cipotânea/MG, Claraval/MG, Cláudio/MG, Coluna/MG, Comercinho/MG, Conceição da Barra de Minas/MG, Conceição de Ipanema/MG, Cônego Marinho/MG, Conselheiro Pena/MG, Consolação/MG,Coroaci/MG, Coronel Murta/MG, Córrego do Bom Jesus/MG, Córrego Novo/MG, Couto de Magalhães de Minas/MG, Crisólita/MG, Cuparaque/MG, Curral de Dentro/MG, Delta/MG, Desterro de Entre Rios/MG,Dionísio/MG, Divino das Laranjeiras/MG, Divinolândia de Minas/MG, Divisa Alegre/MG, Divisópolis/MG, Dom Bosco/MG, Dom Joaquim/MG, Dom Silvério/MG, Dores de Guanhães/MG, Durandé/MG, Entre Folhas/MG,Felício dos Santos/MG, Felisburgo/MG, Fernandes Tourinho/MG, Fervedouro/MG, Formoso/MG, Fortaleza de Minas/MG, Francisco Badaró/MG, Franciscópolis/MG, Frei Lagonegro/MG, Fronteira dos Vales/MG, Fruta de Leite/MG, Galiléia/MG, Glaucilândia/MG, Goiabeira/MG, Goianá/MG, Gonçalves/MG, Gonzaga/MG,Guaraciama/MG, Guaxupé/MG, Ibiracatu/MG, Ibiraci/MG, Icaraí de Minas/MG, Ijaci/MG, Imbé de Minas/MG,Indaiabira/MG, Ipanema/MG, Itabirinha/MG, Itabirito/MG, Itaguara/MG, Itaipé/MG, Itamarandiba/MG,Itanhomi/MG, Itapeva/MG, Itatiaiuçu/MG, Itaúna/MG, Itueta/MG, Jaboticatubas/MG, Jacinto/MG, Japonvar/MG,Jenipapo de Minas/MG, Jequeri/MG, João Pinheiro/MG, Jordânia/MG, José Gonçalves de Minas/MG, José Raydan/MG, Josenópolis/MG, Juvenília/MG, Lagamar/MG, Lagoa Grande/MG, Lamim/MG, Leme do Prado/MG,Luisburgo/MG, Luislândia/MG, Machacalis/MG, Mantena/MG, Marilac/MG, Martins Soares/MG, Mata Verde/MG,Materlândia/MG, Mathias Lobato/MG, Matipó/MG, Mendes Pimentel/MG, Minas Novas/MG, Miravânia/MG,Monte Formoso/MG, Monte Sião/MG, Montezuma/MG, Morro do Pilar/MG, Munhoz/MG, Mutum/MG,Muzambinho/MG, Nacip Raydan/MG, Naque/MG, Natalândia/MG, Ninheira/MG, Nova Belém/MG, Nova Porteirinha/MG, Nova União/MG, Novo Oriente de Minas/MG, Novorizonte/MG, Olhos-d'Água/MG,Oratórios/MG, Orizânia/MG, Padre Carvalho/MG, Pai Pedro/MG, Palmópolis/MG, Pará de Minas/MG,Paracatu/MG, Patis/MG, Patrocínio do Muriaé/MG, Paulistas/MG, Peçanha/MG, Pedra Bonita/MG,Periquito/MG, Pescador/MG, Piedade de Caratinga/MG, Piedade de Ponte Nova/MG, Pingo d'Água/MG,Pintópolis/MG, Pocrane/MG, Ponto Chique/MG, Ponto dos Volantes/MG, Quartel Geral/MG, Queluzito/MG,Reduto/MG, Resende Costa/MG, Resplendor/MG, Ressaquinha/MG, Riachinho/MG, Rio do Prado/MG, Rio Doce/MG, Rio Espera/MG, Rio Preto/MG, Rio Vermelho/MG, Rosário da Limeira/MG, Rubim/MG,Sabinópolis/MG, Salto da Divisa/MG, Santa Bárbara do Leste/MG, Santa Bárbara do Monte Verde/MG, Santa Cruz de Minas/MG, Santa Cruz de Salinas/MG, Santa Cruz do Escalvado/MG, Santa Efigênia de Minas/MG,Santa Fé de Minas/MG, Santa Helena de Minas/MG, Santa Margarida/MG, Santa Maria do Salto/MG, Santa Maria do Suaçuí/MG, Santa Rita de Minas/MG, Santa Rita do Itueto/MG, Santana do Riacho/MG, Santana dosMontes/MG, Santo Antônio do Grama/MG, Santo Antônio do Itambé/MG, Santo Antônio do Jacinto/MG, Santo Antônio do Retiro/MG, Santo Antônio do Rio Abaixo/MG, São Brás do Suaçuí/MG, São Domingos das Dores/MG, São Félix de Minas/MG, São Geraldo da Piedade/MG, São Geraldo do Baixio/MG, São Gonçalo do Rio Preto/MG, São João da Lagoa/MG, São João das Missões/MG, São João do Manhuaçu/MG, São João do Manteninha/MG, São João do Pacuí/MG, São João Evangelista/MG, São José da Barra/MG, São José da Safira/MG, São José do Goiabal/MG, São José do Jacuri/MG, São Pedro do Suaçuí/MG, São Roque de Minas/MG, São Sebastião da Vargem Alegre/MG, São Sebastião do Anta/MG, São Sebastião do Maranhão/MG,São Sebastião do Rio Preto/MG, Sardoá/MG, Sem-Peixe/MG, Senador Amaral/MG, Senador Modestino Gonçalves/MG, Senhora de Oliveira/MG, Senhora do Porto/MG, Senhora dos Remédios/MG, Sericita/MG,Serra Azul de Minas/MG, Serra da Saudade/MG, Serra do Salitre/MG, Serra dos Aimorés/MG, Serranópolis de Minas/MG, Setubinha/MG, Sobrália/MG, Taparuba/MG, Toledo/MG, Tumiritinga/MG, Turmalina/MG,Umburatiba/MG, Unaí/MG, União de Minas/MG, Uruana de Minas/MG, Urucuia/MG, Vargem Alegre/MG, Vargem Bonita/MG, Vargem Grande do Rio Pardo/MG, Varjão de Minas/MG, Vazante/MG, Verdelândia/MG,Veredinha/MG, Vermelho Novo/MG, Virginópolis/MG e Virgolândia/MG</t>
  </si>
  <si>
    <t>MG004482/2024</t>
  </si>
  <si>
    <t>Fethemg RM</t>
  </si>
  <si>
    <t>Caeté/MG, Confins/MG, Esmeraldas/MG, Florestal/MG, Igarapé/MG, Mário Campos/MG, Pedro Leopoldo/MG, Raposos/MG, São Joaquim de Bicas/MG, São José da Lapa/MG e Sarzedo/MG</t>
  </si>
  <si>
    <t>MG004479/2024</t>
  </si>
  <si>
    <t>FETTROMINAS + SEAC-MG</t>
  </si>
  <si>
    <t>Água Boa/MG, Água Comprida/MG, Aguanil/MG, Águas Formosas/MG,Alagoa/MG, Albertina/MG, Alfredo Vasconcelos/MG, Almenara/MG, Alto Caparaó/MG, AltoJequitibá/MG, Alto Rio Doce/MG, Alvarenga/MG, Angelândia/MG, Antônio Carlos/MG, Antônio Pradode Minas/MG, Araçaí/MG, Aracitaba/MG, Araçuaí/MG, Arantina/MG, Araponga/MG, Arapuá/MG,Araújos/MG, Arceburgo/MG, Argirita/MG, Aricanduva/MG, Arinos/MG, Bandeira/MG, Barão de MonteAlto/MG, Barroso/MG, Bertópolis/MG, Bias Fortes/MG, Bocaina de Minas/MG, Bonfinópolis deMinas/MG, Brás Pires/MG, Brasilândia de Minas/MG, Braúnas/MG, Cabeceira Grande/MG, Cachoeirada Prata/MG, Caiana/MG, Cajuri/MG, Camacho/MG, Campanário/MG, Campos Altos/MG, Canaã/MG,Candeias/MG, Caparaó/MG, Capelinha/MG, Capitão Andrade/MG, Caputira/MG, Caraí/MG,Caranaíba/MG, Carmo da Mata/MG, Carmópolis de Minas/MG, Carrancas/MG, Carvalhópolis/MG,Carvalhos/MG, Catas Altas/MG, Catuji/MG, Chácara/MG, Chalé/MG, Chiador/MG, Cipotânea/MG,Coimbra/MG, Conceição da Barra de Minas/MG, Conceição de Ipanema/MG, Conceição do Pará/MG,Cordisburgo/MG, Cordislândia/MG, Coronel Murta/MG, Coronel Pacheco/MG, Coronel XavierChaves/MG, Crisólita/MG, Cristais/MG, Cruzeiro da Fortaleza/MG, Cuparaque/MG, Desterro doMelo/MG, Divinésia/MG, Divisa Alegre/MG, Divisópolis/MG, Dom Bosco/MG, Dom Cavati/MG, DomViçoso/MG, Dona Eusébia/MG, Dores de Campos/MG, Dores do Turvo/MG, Doresópolis/MG,Durandé/MG, Engenheiro Caldas/MG, Ervália/MG, Estrela Dalva/MG, Estrela do Indaiá/MG, FariaLemos/MG, Felisburgo/MG, Fernandes Tourinho/MG, Ferros/MG, Florestal/MG, Fortuna de Minas/MG,Franciscópolis/MG, Frei Gaspar/MG, Frei Lagonegro/MG, Fronteira dos Vales/MG, Goiabeira/MG,Guarda-Mor/MG, Guiricema/MG, Ibertioga/MG, Ibitiúra de Minas/MG, Ibituruna/MG, Igarapé/MG,Inconfidentes/MG, Inhaúma/MG, Ipanema/MG, Itaguara/MG, Itaipé/MG, Itamarati de Minas/MG,Itambacuri/MG, Itambé do Mato Dentro/MG, Itaobim/MG, Itapecerica/MG, Itaverava/MG, Itinga/MG,Itueta/MG, Jacinto/MG, Jacuí/MG, Jampruca/MG, Jequitibá/MG, Jequitinhonha/MG, Jesuânia/MG,Joaíma/MG, Joanésia/MG, Jordânia/MG, José Raydan/MG, Juatuba/MG, Juruaia/MG, Ladainha/MG,Lagoa Dourada/MG, Lajinha/MG, Lamim/MG, Leandro Ferreira/MG, Liberdade/MG, Luisburgo/MG,Machacalis/MG, Malacacheta/MG, Maravilhas/MG, Marmelópolis/MG, Martins Soares/MG, MataVerde/MG, Medeiros/MG, Medina/MG, Mercês/MG, Minas Novas/MG, Monte Formoso/MG, Mutum/MG,Naque/MG, Natalândia/MG, Nazareno/MG, Nova Belém/MG, Nova Módica/MG, Novo Cruzeiro/MG, Novo Oriente de Minas/MG, Olaria/MG, Olímpio Noronha/MG, Oliveira Fortes/MG, Onça dePitangui/MG, Oratórios/MG, Orizânia/MG, Ouro Verde de Minas/MG, Padre Paraíso/MG, Paiva/MG,Palma/MG, Palmópolis/MG, Passa Tempo/MG, Passa Vinte/MG, Paula Cândido/MG, Pavão/MG, PedraAzul/MG, Pedra Bonita/MG, Pedra do Anta/MG, Pedra do Indaiá/MG, Pedra Dourada/MG, PedroTeixeira/MG, Pequi/MG, Perdigão/MG, Perdizes/MG, Periquito/MG, Pescador/MG, Piedade do RioGrande/MG, Piracema/MG, Pitangui/MG, Pocrane/MG, Ponto dos Volantes/MG, Porto Firme/MG,Poté/MG, Pouso Alto/MG, Prados/MG, Pratinha/MG, Presidente Bernardes/MG, Reduto/MG, ResendeCosta/MG, Ressaquinha/MG, Rio do Prado/MG, Rio Preto/MG, Ritápolis/MG, Rubim/MG, Salto daDivisa/MG, Santa Bárbara do Monte Verde/MG, Santa Bárbara do Tugúrio/MG, Santa Cruz deMinas/MG, Santa Helena de Minas/MG, Santa Margarida/MG, Santa Maria do Salto/MG, Santa Rita deIbitipoca/MG, Santa Rita de Jacutinga/MG, Santa Rita do Itueto/MG, Santa Rosa da Serra/MG,Santana do Garambéu/MG, Santana do Manhuaçu/MG, Santana dos Montes/MG, Santo Antônio doAventureiro/MG, Santo Antônio do Jacinto/MG, Santo Antônio do Monte/MG, São Domingos doPrata/MG, São Félix de Minas/MG, São Francisco do Glória/MG, São Geraldo do Baixio/MG, SãoGeraldo/MG, São Gonçalo do Pará/MG, São João do Manhuaçu/MG, São João do Manteninha/MG,São João do Oriente/MG, São Joaquim de Bicas/MG, São José da Varginha/MG, São José doDivino/MG, São José do Goiabal/MG, São José do Mantimento/MG, São Miguel do Anta/MG, SãoRoque de Minas/MG, São Sebastião da Vargem Alegre/MG, São Sebastião do Maranhão/MG, SãoSebastião do Oeste/MG, São Sebastião do Rio Verde/MG, São Tiago/MG, Sem-Peixe/MG, SenadorCortes/MG, Senador Firmino/MG, Senador José Bento/MG, Senador Modestino Gonçalves/MG,Senhora dos Remédios/MG, Seritinga/MG, Serranos/MG, Setubinha/MG, Silveirânia/MG,Silvianópolis/MG, Simonésia/MG, Sobrália/MG, Soledade de Minas/MG, Taparuba/MG, Tapira/MG,Tiradentes/MG, Tocos do Moji/MG, Toledo/MG, Tombos/MG, Turvolândia/MG, Umburatiba/MG, Uruanade Minas/MG, Vargem Bonita/MG, Veríssimo/MG, Vermelho Novo/MG, Vieiras/MG, Virgem daLapa/MG, Virgínia/MG, Volta Grande/MG e Wenceslau Braz/MG.</t>
  </si>
  <si>
    <t>Motorista I - 12 x 36 - Diurno, Motorista I - 150 h, Motorista I - 220 h e Motorista II - 220 h</t>
  </si>
  <si>
    <t>MG001444/2025</t>
  </si>
  <si>
    <t>Gov. Valadares</t>
  </si>
  <si>
    <t>Governador Valadares/MG</t>
  </si>
  <si>
    <t>Itabira</t>
  </si>
  <si>
    <t>Itabira/MG</t>
  </si>
  <si>
    <t>MG001187/2025</t>
  </si>
  <si>
    <t>Joao Monlevade</t>
  </si>
  <si>
    <t>João Monlevade/MG</t>
  </si>
  <si>
    <t>MG002732/2025</t>
  </si>
  <si>
    <t>Juiz de Fora</t>
  </si>
  <si>
    <t>Juiz de Fora/MG</t>
  </si>
  <si>
    <t>MG004343/2024</t>
  </si>
  <si>
    <t>Montes Claros</t>
  </si>
  <si>
    <t>Montes Claros/MG</t>
  </si>
  <si>
    <t>MG000255/2025</t>
  </si>
  <si>
    <t>Regiao de Divinopolis</t>
  </si>
  <si>
    <t>Araújos/MG, Arcos/MG, Bambuí/MG, Bonfim/MG,Camacho/MG, Carmo da Mata/MG, Carmo do Cajuru/MG, Conceição do Pará/MG, Córrego Danta/MG,Córrego Fundo/MG, Crucilândia/MG, Dores do Indaiá/MG, Doresópolis/MG, Estrela do Indaiá/MG,Igaratinga/MG, Iguatama/MG, Itapecerica/MG, Japaraíba/MG, Lagoa da Prata/MG, Leandro Ferreira/MG, Luz/MG, Martinho Campos/MG, Moema/MG, Nova Serrana/MG, Oliveira/MG, Onça de Pitangui/MG, Pains/MG, Passa Tempo/MG, Pedra do Indaiá/MG, Perdigão/MG, Piedade dos Gerais/MG, Piracema/MG, Pitangui/MG, Santo Antônio do Monte/MG, São Francisco de Paula/MG,São Gonçalo do Pará/MG, São José da Varginha/MG, São Sebastião do Oeste/MG e São Tiago/MG</t>
  </si>
  <si>
    <t>ARCOS/MG, LAGOA DA PRATA/MG, NOVA SERRANA/MG, OLIVEIRA/MG e SANTO ANTÔNIO DO MONTE/MG.</t>
  </si>
  <si>
    <t>MG001011/2025</t>
  </si>
  <si>
    <t>Regiao de Itabira</t>
  </si>
  <si>
    <t>Bom Jesus do Amparo/MG,Ferros/MG, Itambé do Mato Dentro/MG, Passabém/MG, Santa Maria de Itabira/MG e Taquaraçu de Minas/MG</t>
  </si>
  <si>
    <t>-</t>
  </si>
  <si>
    <t>MG001108/2025</t>
  </si>
  <si>
    <t>Regiao de Joao Monlevade</t>
  </si>
  <si>
    <t>Alvinópolis/MG, Barão de Cocais/MG, Bela Vista de Minas/MG, Nova Era/MG,Rio Piracicaba/MG, Santa Bárbara/MG, São Domingos do Prata/MG e São Gonçalo do Rio Abaixo/MG</t>
  </si>
  <si>
    <t>BARÃO DE COCAIS/MG, NOVA ERA/MG, RIO PIRACICABA/MG, SANTA BÁRBARA/MG e SÃO GONÇALO DO RIO ABAIXO/MG</t>
  </si>
  <si>
    <t>MG001172/2025</t>
  </si>
  <si>
    <t>Regiao de Juiz de Fora</t>
  </si>
  <si>
    <r>
      <t xml:space="preserve">Alto Rio Doce/MG, Antônio Carlos/MG, Antônio Prado de Minas/MG, Aracitaba/MG,Arantina/MG, Argirita/MG, Barão de Monte Alto/MG, Barbacena/MG, Barroso/MG, Belmiro Braga/MG,Bias Fortes/MG, Bicas/MG, Bom Jardim de Minas/MG, Brás Pires/MG, Caiana/MG, Caparaó/MG,Carangola/MG, Chácara/MG, Chalé/MG, Chiador/MG, Coronel Pacheco/MG, Coronel Xavier Chaves/MG, Descoberto/MG, Desterro do Melo/MG, Divinésia/MG, </t>
    </r>
    <r>
      <rPr>
        <sz val="11"/>
        <color rgb="FFFF0000"/>
        <rFont val="Aptos Narrow"/>
        <family val="2"/>
        <scheme val="minor"/>
      </rPr>
      <t>Divin/MG</t>
    </r>
    <r>
      <rPr>
        <sz val="11"/>
        <rFont val="Aptos Narrow"/>
        <family val="2"/>
        <scheme val="minor"/>
      </rPr>
      <t>, Dona Eusébia/MG,Dores de Campos/MG, Dores do Turvo/MG, Espera Feliz/MG, Estrela Dalva/MG, Eugenópolis/MG,Ewbank da Câmara/MG, Faria Lemos/MG, Guarani/MG, Guarará/MG, Guidoval/MG, Ibertioga/MG,Itamarati de Minas/MG, Lajinha/MG, Laranjal/MG, Lima Duarte/MG, Madre de Deus de Minas/MG,Manhuaçu/MG, Mar de Espanha/MG, Maripá de Minas/MG, Matias Barbosa/MG, Mercês/MG,Miradouro/MG, Miraí/MG, Olaria/MG, Oliveira Fortes/MG, Paiva/MG, Palma/MG, Pedra Dourada/MG,Pedro Teixeira/MG, Pequeri/MG, Piau/MG, Piedade do Rio Grande/MG, Pirapetinga/MG, Piraúba/MG,Prados/MG, Presidente Bernardes/MG, Recreio/MG, Rio Novo/MG, Rio Pomba/MG, Ritápolis/MG,Rochedo de Minas/MG, Rodeiro/MG, Santa Bárbara do Tugúrio/MG, Santa Rita de Ibitipoca/MG, Santa Rita de Jacutinga/MG, Santana do Deserto/MG, Santana do Garambéu/MG, Santana do Manhuaçu/MG, Santo Antônio do Aventureiro/MG, Santos Dumont/MG, São Francisco do Glória/MG,São Geraldo/MG, São João del Rei/MG, São João Nepomuceno/MG, São José do Mantimento/MG,Senador Cortes/MG, Senador Firmino/MG, Silveirânia/MG, Simão Pereira/MG, Simonésia/MG,Tabuleiro/MG, Tiradentes/MG, Tocantins/MG, Tombos/MG, Vieiras/MG e Volta Grande/MG</t>
    </r>
  </si>
  <si>
    <t>MG000506/2025</t>
  </si>
  <si>
    <t>Regiao de Ouro Preto</t>
  </si>
  <si>
    <r>
      <t xml:space="preserve">Acaiaca/MG, Barra Longa/MG, Belo Vale/MG, Catas Altas da Noruega/MG, Congonhas/MG, Conselheiro Lafaiete/MG,Cristiano Otoni/MG, Diogo de Vasconcelos/MG, Entre Rios de Minas/MG, Itaverava/MG, Jeceaba/MG,Lagoa Dourada/MG, </t>
    </r>
    <r>
      <rPr>
        <sz val="11"/>
        <color rgb="FFFF0000"/>
        <rFont val="Aptos Narrow"/>
        <family val="2"/>
        <scheme val="minor"/>
      </rPr>
      <t>Manhuaç/MG</t>
    </r>
    <r>
      <rPr>
        <sz val="11"/>
        <rFont val="Aptos Narrow"/>
        <family val="2"/>
        <scheme val="minor"/>
      </rPr>
      <t>, Manhumirim/MG, Mariana/MG, Moeda/MG, Ouro Branco/MG, Ouro Preto/MG, Piranga/MG, Ponte Nova/MG, Porto Firme/MG, Prados/MG, Rio Casca/MG e Urucânia/MG</t>
    </r>
  </si>
  <si>
    <t>CONGONHAS/MG, MARIANA/MG, OURO BRANCO/MG, OURO PRETO/MG e PORTO FIRME/MG</t>
  </si>
  <si>
    <t>MG000212/2025</t>
  </si>
  <si>
    <t>Regiao de Sao Lourenco</t>
  </si>
  <si>
    <t>Aguanil/MG, Aiuruoca/MG, Alagoa/MG, Albertina/MG, Alfenas/MG,Alpinópolis/MG, Alterosa/MG, Andradas/MG, Andrelândia/MG, Arceburgo/MG, Areado/MG,Baependi/MG, Bandeira do Sul/MG, Boa Esperança/MG, Bocaina de Minas/MG, Bom Jesus daPenha/MG, Bom Sucesso/MG, Botelhos/MG, Cabo Verde/MG, Caldas/MG, Cambuquira/MG,Campanha/MG, Campestre/MG, Campo Belo/MG, Campo do Meio/MG, Campos Gerais/MG, Cana Verde/MG, Candeias/MG, Capitólio/MG, Careaçu/MG, Carmo da Cachoeira/MG, Carmo de Minas/MG,Carmo do Rio Claro/MG, Carrancas/MG, Carvalhos/MG, Conceição da Aparecida/MG, Conceição dasPedras/MG, Conceição do Rio Verde/MG, Conceição dos Ouros/MG, Congonhal/MG, Coqueiral/MG,Cordislândia/MG, Cristais/MG, Cristina/MG, Cruzília/MG, Delfim Moreira/MG, Divisa Nova/MG, Dom Viçoso/MG, Elói Mendes/MG, Espírito Santo do Dourado/MG, Estiva/MG, Extrema/MG, Fama/MG,Formiga/MG, Guapé/MG, Guaranésia/MG, Heliodora/MG, Ibitiúra de Minas/MG, Ibituruna/MG,Ilicínea/MG, Inconfidentes/MG, Ingaí/MG, Ipuiúna/MG, Itajubá/MG, Itamogi/MG, Itamonte/MG,Itanhandu/MG, Itaú de Minas/MG, Itumirim/MG, Itutinga/MG, Jacuí/MG, Jacutinga/MG, Jesuânia/MG,Juruaia/MG, Lambari/MG, Lavras/MG, Liberdade/MG, Luminárias/MG, Machado/MG, Maria da Fé/MG,Marmelópolis/MG, Minduri/MG, Monsenhor Paulo/MG, Monte Belo/MG, Monte Santo de Minas/MG,Natércia/MG, Nazareno/MG, Nepomuceno/MG, Nova Resende/MG, Olímpio Noronha/MG, Ouro Fino/MG,Paraguaçu/MG, Paraisópolis/MG, Passa Quatro/MG, Passa Vinte/MG, Passos/MG, Pedralva/MG,Perdões/MG, Pimenta/MG, Piranguçu/MG, Piranguinho/MG, Piumhi/MG, Poço Fundo/MG, Pouso Alegre/MG, Pouso Alto/MG, Pratápolis/MG, Ribeirão Vermelho/MG, Santa Rita de Caldas/MG, Santa Rita do Sapucaí/MG, Santana da Vargem/MG, Santana do Jacaré/MG, Santo Antônio do Amparo/MG, São Bento Abade/MG, São Gonçalo do Sapucaí/MG, São João da Mata/MG, São José do Alegre/MG, São Pedro da União/MG, São Sebastião da Bela Vista/MG, São Sebastião do Paraíso/MG, São Sebastião do Rio Verde/MG, São Thomé das Letras/MG, São Tomás de Aquino/MG, São Vicente de Minas/MG, Sapucaí-Mirim/MG, Senador José Bento/MG, Seritinga/MG, Serrania/MG, Serranos/MG, Silvianópolis/MG, Soledade de Minas/MG, Tocos do Moji/MG, Três Corações/MG, Três Pontas/MG,Turvolândia/MG, Varginha/MG, Virgínia/MG e Wenceslau Braz/MG</t>
  </si>
  <si>
    <t>ITAJUBÁ, LAVRAS, POUSO ALEGRE, VARGINHA E TRÊS CORAÇÕES</t>
  </si>
  <si>
    <t>MG000594/2025</t>
  </si>
  <si>
    <t>Regiao de Teofilo Otoni</t>
  </si>
  <si>
    <t>Águas Formosas/MG,Almenara/MG, Ataléia/MG, Campanário/MG, Capelinha/MG, Carlos Chagas/MG, Catuji/MG, Frei Gaspar/MG,Frei Inocêncio/MG, Itambacuri/MG, Itaobim/MG, Itinga/MG, Jampruca/MG, Jequitinhonha/MG, Joaíma/MG,Ladainha/MG, Malacacheta/MG, Medina/MG, Nanuque/MG, Nova Módica/MG, Novo Cruzeiro/MG, Ouro Verdede Minas/MG, Padre Paraíso/MG, Pavão/MG, Pedra Azul/MG, Poté/MG, São José do Divino/MG e Virgem da Lapa/MG</t>
  </si>
  <si>
    <t>MG004488/2024</t>
  </si>
  <si>
    <t>Regiao Uberaba</t>
  </si>
  <si>
    <t>Comendador Gomes/MG, Conceição das Alagoas/MG, Fronteira/MG, Frutal/MG, Patos de Minas/MG, Patrocínio/MG, Planura/MG,Sacramento/MG e Veríssimo/MG</t>
  </si>
  <si>
    <t>FRUTAL/MG,PATOS DE MINAS/MG e PATROCÍNIO/MG</t>
  </si>
  <si>
    <t>MG000478/2025</t>
  </si>
  <si>
    <t>Rodoviarios de Araxa + SEAC-MG</t>
  </si>
  <si>
    <t>Araxá/MG e Tapira/MG.</t>
  </si>
  <si>
    <t>Rodoviarios de Barbacena + SEAC-MG</t>
  </si>
  <si>
    <t>Barbacena/MG.</t>
  </si>
  <si>
    <t>MG001433/2025</t>
  </si>
  <si>
    <t>Rodoviarios de Belo Horizonte + SEAC-MG</t>
  </si>
  <si>
    <t>Baldim/MG, Barão de Cocais/MG, Belo Horizonte/MG, Bom Jesus do
Amparo/MG, Caeté/MG, Capim Branco/MG, Carmésia/MG, Conceição do Mato Dentro/MG, Funilândia/MG, Ibirité/MG, Jaboticatubas/MG, Matozinhos/MG, Morro do Pilar/MG, Nova Lima/MG, Nova União/MG, Passabém/MG, Prudente de Morais/MG, Raposos/MG, Rio Acima/MG, Santana do Riacho/MG, Santo Antônio do Rio Abaixo/MG, São Gonçalo do Rio Abaixo/MG, São Sebastião do Rio Preto/MG e Taquaraçu de Minas/MG.</t>
  </si>
  <si>
    <t>MG001242/2025</t>
  </si>
  <si>
    <t>Rodoviarios de Betim + SEAC-MG</t>
  </si>
  <si>
    <t>Betim/MG.</t>
  </si>
  <si>
    <t>Rodoviarios de Conselheiro Lafaiete + SEAC-MG</t>
  </si>
  <si>
    <t>Capela Nova/MG, Carandaí/MG, Casa Grande/MG, Catas Altas daNoruega/MG, Congonhas/MG, Conselheiro Lafaiete/MG, Cristiano Otoni/MG, Desterro de EntreRios/MG, Entre Rios de Minas/MG, Jeceaba/MG, Ouro Branco/MG, Piranga/MG, Queluzito/MG, RioEspera/MG, São Brás do Suaçuí/MG e Senhora de Oliveira/MG.</t>
  </si>
  <si>
    <t>Rodoviarios de Contagem + SEAC-MG</t>
  </si>
  <si>
    <t>Contagem/MG e Esmeraldas/MG.</t>
  </si>
  <si>
    <t>Rodoviarios de Coronel Fabriciano + SEAC-MG</t>
  </si>
  <si>
    <t>AntônioDias/MG, Bom Jesus do Galho/MG, Bugre/MG, Caratinga/MG, Coronel Fabriciano/MG, CórregoNovo/MG, Dionísio/MG, Entre Folhas/MG, Iapu/MG, Imbé de Minas/MG, Inhapim/MG, Ipaba/MG,Ipatinga/MG, Jaguaraçu/MG, Marliéria/MG, Mesquita/MG, Piedade de Caratinga/MG, Pingod'Água/MG, Santa Bárbara do Leste/MG, Santa Rita de Minas/MG, Santana do Paraíso/MG, SãoDomingos das Dores/MG, São Sebastião do Anta/MG, Timóteo/MG, Ubaporanga/MG e VargemAlegre/MG.</t>
  </si>
  <si>
    <t>Rodoviarios de Curvelo + SEAC-MG</t>
  </si>
  <si>
    <t>Abaeté/MG, Alvorada de Minas/MG,Biquinhas/MG, Cantagalo/MG, Cedro do Abaeté/MG, Congonhas do Norte/MG, Corinto/MG, CórregoDanta/MG, Couto de Magalhães de Minas/MG, Curvelo/MG, Datas/MG, Diamantina/MG, DomJoaquim/MG, Dores de Guanhães/MG, Dores do Indaiá/MG, Felixlândia/MG, Gouveia/MG,Inimutaba/MG, Martinho Campos/MG, Matutina/MG, Monjolos/MG, Morada Nova de Minas/MG, Morroda Garça/MG, Paineiras/MG, Papagaios/MG, Pompéu/MG, Presidente Juscelino/MG, PresidenteKubitschek/MG, Quartel Geral/MG, Rio Vermelho/MG, Sabinópolis/MG, Santana de Pirapama/MG,Santo Antônio do Itambé/MG, Santo Hipólito/MG, São Gonçalo do Rio Preto/MG, Senhora doPorto/MG, Serra Azul de Minas/MG, Serra da Saudade/MG, Serro/MG, Tapiraí/MG, Tiros/MG e Três Marias/MG.</t>
  </si>
  <si>
    <t>Rodoviarios de Divinopolis + SEAC-MG</t>
  </si>
  <si>
    <t>Bom Despacho/MG, Carmo do Cajuru/MG, Cláudio/MG, Divinópolis/MG, NovaSerrana/MG e Oliveira/MG.</t>
  </si>
  <si>
    <t>Rodoviarios de Governador Valadares + SEAC-MG</t>
  </si>
  <si>
    <t>Aimorés/MG,Alpercata/MG, Central de Minas/MG, Coluna/MG, Conselheiro Pena/MG, Coroaci/MG, Divino dasLaranjeiras/MG, Divinolândia de Minas/MG, Frei Inocêncio/MG, Galiléia/MG, Gonzaga/MG,Governador Valadares/MG, Guanhães/MG, Itabirinha/MG, Itanhomi/MG, Mantena/MG, Marilac/MG,Materlândia/MG, Mathias Lobato/MG, Mendes Pimentel/MG, Nacip Raydan/MG, Paulistas/MG,Peçanha/MG, Resplendor/MG, Santa Efigênia de Minas/MG, Santa Maria do Suaçuí/MG, São Geraldoda Piedade/MG, São João Evangelista/MG, São José da Safira/MG, São José do Jacuri/MG, SãoPedro do Suaçuí/MG, Sardoá/MG, Tarumirim/MG, Tumiritinga/MG e Virgolândia/MG.</t>
  </si>
  <si>
    <t>Rodoviarios de Ituiutaba + SEAC-MG</t>
  </si>
  <si>
    <t>Cachoeira Dourada/MG, Campina Verde/MG, Canápolis/MG,Capinópolis/MG, Centralina/MG, Comendador Gomes/MG, Fronteira/MG, Frutal/MG, Gurinhatã/MG,Ipiaçu/MG, Itapagipe/MG, Ituiutaba/MG, Iturama/MG, Planura/MG, Prata/MG, Santa Vitória/MG e SãoFrancisco de Sales/MG.</t>
  </si>
  <si>
    <t>Rodoviarios de Juiz de Fora + SEAC-MG</t>
  </si>
  <si>
    <t>Rodoviarios de Juiz de Fora e Região + SEAC-MG</t>
  </si>
  <si>
    <t>Astolfo Dutra/MG, Belmiro Braga/MG, Bicas/MG, BomJardim de Minas/MG, Descoberto/MG, Ewbank da Câmara/MG, Goianá/MG, Guarani/MG, Guarará/MG,Guidoval/MG, Lima Duarte/MG, Mar de Espanha/MG, Maripá de Minas/MG, Matias Barbosa/MG,Pequeri/MG, Piau/MG, Piraúba/MG, Rio Novo/MG, Rio Pomba/MG, Rochedo de Minas/MG,Rodeiro/MG, Santana do Deserto/MG, Santos Dumont/MG, São João Nepomuceno/MG, SimãoPereira/MG, Tabuleiro/MG, Tocantins/MG e Ubá/MG.</t>
  </si>
  <si>
    <t>Rodoviarios de Lavras + SEAC-MG</t>
  </si>
  <si>
    <t>Bom Sucesso/MG, Campo Belo/MG, Cana Verde/MG,Carmo da Cachoeira/MG, Coqueiral/MG, Ijaci/MG, Ingaí/MG, Itumirim/MG, Itutinga/MG, Lavras/MG,Luminárias/MG, Nepomuceno/MG, Perdões/MG, Ribeirão Vermelho/MG, Santana do Jacaré/MG,Santo Antônio do Amparo/MG e São Francisco de Paula/MG.</t>
  </si>
  <si>
    <t>MG001379/2025</t>
  </si>
  <si>
    <t>Rodoviarios de Montes Claros + SEAC-MG</t>
  </si>
  <si>
    <t>Águas Vermelhas/MG,Augusto de Lima/MG, Berilo/MG, Berizal/MG, Bocaiúva/MG, Bonito de Minas/MG, Botumirim/MG,Brasília de Minas/MG, Buenópolis/MG, Buritis/MG, Buritizeiro/MG, Cachoeira de Pajeú/MG, CampoAzul/MG, Capitão Enéas/MG, Carbonita/MG, Catuti/MG, Chapada do Norte/MG, Chapada Gaúcha/MG,Claro dos Poções/MG, Comercinho/MG, Cônego Marinho/MG, Coração de Jesus/MG, Cristália/MG,Curral de Dentro/MG, Engenheiro Navarro/MG, Espinosa/MG, Felício dos Santos/MG, Formoso/MG,Francisco Badaró/MG, Francisco Dumont/MG, Francisco Sá/MG, Fruta de Leite/MG, Gameleiras/MG,Glaucilândia/MG, Grão Mogol/MG, Guaraciama/MG, Ibiaí/MG, Ibiracatu/MG, Icaraí de Minas/MG, Indaiabira/MG, Itacambira/MG, Itacarambi/MG, Itamarandiba/MG, Jaíba/MG, Janaúba/MG,Januária/MG, Japonvar/MG, Jenipapo de Minas/MG, Jequitaí/MG, Joaquim Felício/MG, JoséGonçalves de Minas/MG, Josenópolis/MG, Juramento/MG, Juvenília/MG, Lagoa dos Patos/MG,Lassance/MG, Leme do Prado/MG, Lontra/MG, Luislândia/MG, Mamonas/MG, Manga/MG, MatiasCardoso/MG, Mato Verde/MG, Mirabela/MG, Miravânia/MG, Montalvânia/MG, Monte Azul/MG, MontesClaros/MG, Montezuma/MG, Ninheira/MG, Nova Porteirinha/MG, Novorizonte/MG, Olhos-d'Água/MG,Padre Carvalho/MG, Pai Pedro/MG, Patis/MG, Pedras de Maria da Cruz/MG, Pintópolis/MG,Pirapora/MG, Ponto Chique/MG, Porteirinha/MG, Riachinho/MG, Riacho dos Machados/MG, RioPardo de Minas/MG, Rubelita/MG, Salinas/MG, Santa Cruz de Salinas/MG, Santa Fé de Minas/MG,Santo Antônio do Retiro/MG, São Francisco/MG, São João da Lagoa/MG, São João da Ponte/MG, SãoJoão das Missões/MG, São João do Pacuí/MG, São João do Paraíso/MG, São Romão/MG,Serranópolis de Minas/MG, Taiobeiras/MG, Turmalina/MG, Ubaí/MG, Urucuia/MG, Vargem Grande doRio Pardo/MG, Várzea da Palma/MG, Varzelândia/MG, Verdelândia/MG e Veredinha/MG.</t>
  </si>
  <si>
    <t>Rodoviarios de Passos + SEAC-MG</t>
  </si>
  <si>
    <t>Alpinópolis/MG, Bom Jesus da Penha/MG, Capetinga/MG,Capitólio/MG, Carmo do Rio Claro/MG, Cássia/MG, Claraval/MG, Conceição da Aparecida/MG,Delfinópolis/MG, Fortaleza de Minas/MG, Guapé/MG, Ibiraci/MG, Ilicínea/MG, Itamogi/MG, Itaú deMinas/MG, Jacuí/MG, Monte Santo de Minas/MG, Nova Resende/MG, Passos/MG, Pratápolis/MG, SãoJoão Batista do Glória/MG, São José da Barra/MG, São Pedro da União/MG, São Sebastião doParaíso/MG e São Tomás de Aquino/MG.</t>
  </si>
  <si>
    <t>MG001335/2025</t>
  </si>
  <si>
    <t>Rodoviarios de Patos de Minas + SEAC-MG</t>
  </si>
  <si>
    <t>Carmo do Paranaíba/MG, Coromandel/MG, Guimarânia/MG, Lagamar/MG, Lagoa Formosa/MG, LagoaGrande/MG, Patos de Minas/MG, Patrocínio/MG, Presidente Olegário/MG, Rio Paranaíba/MG, SãoGonçalo do Abaeté/MG, São Gotardo/MG, Serra do Salitre/MG, Varjão de Minas/MG e Vazante/MG.</t>
  </si>
  <si>
    <t>MG001465/2025</t>
  </si>
  <si>
    <t>Rodoviarios de Pocos de Caldas + SEAC-MG</t>
  </si>
  <si>
    <t>Poços de Caldas/MG</t>
  </si>
  <si>
    <t>Rodoviarios de Pouso Alegre + SEAC-MG</t>
  </si>
  <si>
    <t>Bom Repouso/MG, Borda da Mata/MG, Brazópolis/MG,Bueno Brandão/MG, Cachoeira de Minas/MG, Camanducaia/MG, Cambuí/MG, Careaçu/MG,Conceição das Pedras/MG, Conceição dos Ouros/MG, Congonhal/MG, Consolação/MG, Córrego doBom Jesus/MG, Cristina/MG, Delfim Moreira/MG, Espírito Santo do Dourado/MG, Estiva/MG,Extrema/MG, Gonçalves/MG, Heliodora/MG, Ipuiúna/MG, Itajubá/MG, Itapeva/MG, Jacutinga/MG,Maria da Fé/MG, Monte Sião/MG, Munhoz/MG, Natércia/MG, Ouro Fino/MG, Paraisópolis/MG,Pedralva/MG, Piranguçu/MG, Piranguinho/MG, Pouso Alegre/MG, Santa Rita do Sapucaí/MG, SãoJoão da Mata/MG, São José do Alegre/MG, São Sebastião da Bela Vista/MG, Sapucaí-Mirim/MG eSenador Amaral/MG.</t>
  </si>
  <si>
    <t>Rodoviarios de RMBH + SEAC-MG</t>
  </si>
  <si>
    <t>Confins/MG, Lagoa Santa/MG, PedroLeopoldo/MG, Ribeirão das Neves/MG, Sabará/MG, Santa Luzia/MG, São José da Lapa/MG e Vespasiano/MG.</t>
  </si>
  <si>
    <t>MG001489/2025</t>
  </si>
  <si>
    <t>Rodoviarios de Sao Joao Del Rei + SEAC-MG</t>
  </si>
  <si>
    <t>São João del Rei/MG</t>
  </si>
  <si>
    <t>Rodoviarios de Sete Lagoas + SEAC-MG</t>
  </si>
  <si>
    <t>Caetanópolis/MG, Capim Branco/MG, Matozinhos/MG,Paraopeba/MG, Prudente de Morais/MG e Sete Lagoas/MG.</t>
  </si>
  <si>
    <t>MG001349/2025</t>
  </si>
  <si>
    <t>Rodoviarios de Teofilo Otoni + SEAC-MG</t>
  </si>
  <si>
    <t>Ataléia/MG, Carlos Chagas/MG,Nanuque/MG, Serra dos Aimorés/MG e Teófilo Otoni/MG.</t>
  </si>
  <si>
    <t>Rodoviarios de Uberaba + SEAC-MG</t>
  </si>
  <si>
    <t>CampoFlorido/MG, Conceição das Alagoas/MG, Delta/MG, Pirajuba/MG e Uberaba/MG.</t>
  </si>
  <si>
    <t>MG001355/2025</t>
  </si>
  <si>
    <t>Rodoviarios de Uberlandia + SEAC-MG</t>
  </si>
  <si>
    <t>Abadia dos Dourados/MG, Araguari/MG,Araporã/MG, Cascalho Rico/MG, Douradoquara/MG, Estrela do Sul/MG, Grupiara/MG,Indianópolis/MG, Iraí de Minas/MG, Monte Alegre de Minas/MG, Monte Carmelo/MG, Nova Ponte/MG,Pedrinópolis/MG, Romaria/MG, Santa Juliana/MG, Tupaciguara/MG e Uberlândia/MG.</t>
  </si>
  <si>
    <t>Rodoviarios de Varginha + SEAC-MG</t>
  </si>
  <si>
    <t>Aiuruoca/MG, Andrelândia/MG, Baependi/MG,Boa Esperança/MG, Campanha/MG, Campo do Meio/MG, Campos Gerais/MG, Carmo de Minas/MG,Caxambu/MG, Conceição do Rio Verde/MG, Cruzília/MG, Elói Mendes/MG, Itamonte/MG,Itanhandu/MG, Lambari/MG, Madre de Deus de Minas/MG, Minduri/MG, Monsenhor Paulo/MG,Paraguaçu/MG, Passa Quatro/MG, Santana da Vargem/MG, São Gonçalo do Sapucaí/MG, SãoLourenço/MG, São Vicente de Minas/MG, Três Pontas/MG e Varginha/MG.</t>
  </si>
  <si>
    <t>MG001486/2025</t>
  </si>
  <si>
    <t>Sao Lourenco</t>
  </si>
  <si>
    <t>São Lourenço/MG</t>
  </si>
  <si>
    <t>MG000592/2025</t>
  </si>
  <si>
    <t>SEAC/SINDEAC</t>
  </si>
  <si>
    <t>Belo Horizonte/MG</t>
  </si>
  <si>
    <t>MG004474/2024</t>
  </si>
  <si>
    <t>SECI</t>
  </si>
  <si>
    <t>Ipatinga/MG</t>
  </si>
  <si>
    <t>MG000736/2025</t>
  </si>
  <si>
    <t>Seethur</t>
  </si>
  <si>
    <t>Açucena/MG, Antônio Dias/MG, Belo Oriente/MG,Braúnas/MG, Caratinga/MG, Coronel Fabriciano/MG, Divino/MG, Dom Cavati/MG, EngenheiroCaldas/MG, Guanhães/MG, Iapu/MG, Inhapim/MG, Ipaba/MG, Jaguaraçu/MG, Joanésia/MG, Marliéria/MG,Mesquita/MG, Santana do Paraíso/MG, São João do Oriente/MG, Tarumirim/MG, Timóteo/MG e Ubaporanga/MG</t>
  </si>
  <si>
    <t>BELO ORIENTE/MG, CARATINGA/MG, CORONEL FABRICIANO/MG, INHAPIM/MG, SANTANA DO PARAÍSO/MG e TIMÓTEO/MG</t>
  </si>
  <si>
    <t>MG000493/2025</t>
  </si>
  <si>
    <t>Sete Lagoas</t>
  </si>
  <si>
    <t>Baldim/MG, Cachoeira da Prata/MG,Caetanópolis/MG, Capim Branco/MG, Fortuna de Minas/MG, Funilândia/MG, Inhaúma/MG,Jequitibá/MG, Maravilhas/MG, Papagaios/MG, Paraopeba/MG, Pequi/MG, Prudente de Morais/MG,Santana de Pirapama/MG e Sete Lagoas/MG.</t>
  </si>
  <si>
    <t>MG000435/2025</t>
  </si>
  <si>
    <t>Sethac Norte de Minas</t>
  </si>
  <si>
    <t>Bocaiúva/MG, Botumirim/MG, Brasília de Minas/MG, Buenópolis/MG, Buritizeiro/MG, CapitãoEnéas/MG, Claro dos Poções/MG, Coração de Jesus/MG, Cristália/MG, Engenheiro Navarro/MG, Espinosa/MG,Francisco Dumont/MG, Francisco Sá/MG, Grão Mogol/MG, Ibiaí/MG, Itacambira/MG, Itacarambi/MG, Jaíba/MG,Janaúba/MG, Januária/MG, Jequitaí/MG, Joaquim Felício/MG, Juramento/MG, Lagoa dos Patos/MG, Lontra/MG,Mamonas/MG, Manga/MG, Matias Cardoso/MG, Mato Verde/MG, Mirabela/MG, Montalvânia/MG, Monte Azul/MG,Pedras de Maria da Cruz/MG, Pirapora/MG, Porteirinha/MG, Riacho dos Machados/MG, Rio Pardo de Minas/MG,Rubelita/MG, Salinas/MG, São Francisco/MG, São João da Ponte/MG, São João do Paraíso/MG, São Romão/MG,Taiobeiras/MG, Ubaí/MG, Várzea da Palma/MG e Varzelândia/MG</t>
  </si>
  <si>
    <t>BOCAIÚVA/MG,JANUÁRIA/MG, PIRAPORA/MG, SALINAS/MG e JANAÚBA/MG</t>
  </si>
  <si>
    <t>MG000256/2025</t>
  </si>
  <si>
    <t>SETHPC - Pocos de Caldas</t>
  </si>
  <si>
    <t>MG000165/2025</t>
  </si>
  <si>
    <t>SETTASPOC</t>
  </si>
  <si>
    <t>Abadia dos Dourados/MG, Abaeté/MG, Abre Campo/MG, Acaiaca/MG, Açucena/MG,Água Boa/MG, Água Comprida/MG, Aguanil/MG, Águas Formosas/MG, Águas Vermelhas/MG, Aimorés/MG,Aiuruoca/MG, Alagoa/MG, Albertina/MG, Além Paraíba/MG, Alfenas/MG, Alfredo Vasconcelos/MG,Almenara/MG, Alpercata/MG, Alpinópolis/MG, Alterosa/MG, Alto Caparaó/MG, Alto Jequitibá/MG, Alto RioDoce/MG, Alvarenga/MG, Alvinópolis/MG, Alvorada de Minas/MG, Amparo do Serra/MG, Andradas/MG,Andrelândia/MG, Angelândia/MG, Antônio Carlos/MG, Antônio Dias/MG, Antônio Prado de Minas/MG,Araçaí/MG, Aracitaba/MG, Araçuaí/MG, Araguari/MG, Arantina/MG, Araponga/MG, Araporã/MG, Arapuá/MG,Araújos/MG, Araxá/MG, Arceburgo/MG, Arcos/MG, Areado/MG, Argirita/MG, Aricanduva/MG, Arinos/MG,Astolfo Dutra/MG, Ataléia/MG, Augusto de Lima/MG, Baependi/MG, Baldim/MG, Bambuí/MG, Bandeira doSul/MG, Bandeira/MG, Barão de Cocais/MG, Barão de Monte Alto/MG, Barbacena/MG, Barra Longa/MG,Barroso/MG, Bela Vista de Minas/MG, Belmiro Braga/MG, Belo Horizonte/MG, Belo Oriente/MG, Belo Vale/MG,Berilo/MG, Berizal/MG, Bertópolis/MG, Betim/MG, Bias Fortes/MG, Bicas/MG, Biquinhas/MG, BoaEsperança/MG, Bocaina de Minas/MG, Bocaiúva/MG, Bom Despacho/MG, Bom Jardim de Minas/MG, BomJesus da Penha/MG, Bom Jesus do Amparo/MG, Bom Jesus do Galho/MG, Bom Repouso/MG, BomSucesso/MG, Bonfim/MG, Bonfinópolis de Minas/MG, Bonito de Minas/MG, Borda da Mata/MG, Botelhos/MG,Botumirim/MG, Brás Pires/MG, Brasilândia de Minas/MG, Brasília de Minas/MG, Braúnas/MG, Brazópolis/MG,Brumadinho/MG, Bueno Brandão/MG, Buenópolis/MG, Bugre/MG, Buritis/MG, Buritizeiro/MG, CabeceiraGrande/MG, Cabo Verde/MG, Cachoeira da Prata/MG, Cachoeira de Minas/MG, Cachoeira de Pajeú/MG,Cachoeira Dourada/MG, Caetanópolis/MG, Caeté/MG, Caiana/MG, Cajuri/MG, Caldas/MG, Camacho/MG,Camanducaia/MG, Cambuí/MG, Cambuquira/MG, Campanário/MG, Campanha/MG, Campestre/MG, CampinaVerde/MG, Campo Azul/MG, Campo Belo/MG, Campo do Meio/MG, Campo Florido/MG, Campos Altos/MG,Campos Gerais/MG, Cana Verde/MG, Canaã/MG, Canápolis/MG, Candeias/MG, Cantagalo/MG, Caparaó/MG,Capela Nova/MG, Capelinha/MG, Capetinga/MG, Capim Branco/MG, Capinópolis/MG, Capitão Andrade/MG,Capitão Enéas/MG, Capitólio/MG, Caputira/MG, Caraí/MG, Caranaíba/MG, Carandaí/MG, Carangola/MG,Caratinga/MG, Carbonita/MG, Careaçu/MG, Carlos Chagas/MG, Carmésia/MG, Carmo da Cachoeira/MG,Carmo da Mata/MG, Carmo de Minas/MG, Carmo do Cajuru/MG, Carmo do Paranaíba/MG, Carmo do RioClaro/MG, Carmópolis de Minas/MG, Carneirinho/MG, Carrancas/MG, Carvalhópolis/MG, Carvalhos/MG, CasaGrande/MG, Cascalho Rico/MG, Cássia/MG, Cataguases/MG, Catas Altas da Noruega/MG, Catas Altas/MG,Catuji/MG, Catuti/MG, Caxambu/MG, Cedro do Abaeté/MG, Central de Minas/MG, Centralina/MG, Chácara/MG,Chalé/MG, Chapada do Norte/MG, Chapada Gaúcha/MG, Chiador/MG, Cipotânea/MG, Claraval/MG, Claro dos Poções/MG, Cláudio/MG, Coimbra/MG, Coluna/MG, Comendador Gomes/MG, Comercinho/MG, Conceição daAparecida/MG, Conceição da Barra de Minas/MG, Conceição das Alagoas/MG, Conceição das Pedras/MG,Conceição de Ipanema/MG, Conceição do Mato Dentro/MG, Conceição do Pará/MG, Conceição do RioVerde/MG, Conceição dos Ouros/MG, Cônego Marinho/MG, Confins/MG, Congonhal/MG, Congonhas doNorte/MG, Congonhas/MG, Conquista/MG, Conselheiro Lafaiete/MG, Conselheiro Pena/MG, Consolação/MG,Contagem/MG, Coqueiral/MG, Coração de Jesus/MG, Cordisburgo/MG, Cordislândia/MG, Corinto/MG,Coroaci/MG, Coromandel/MG, Coronel Fabriciano/MG, Coronel Murta/MG, Coronel Pacheco/MG, CoronelXavier Chaves/MG, Córrego Danta/MG, Córrego do Bom Jesus/MG, Córrego Fundo/MG, Córrego Novo/MG,Couto de Magalhães de Minas/MG, Crisólita/MG, Cristais/MG, Cristália/MG, Cristiano Otoni/MG, Cristina/MG,Crucilândia/MG, Cruzeiro da Fortaleza/MG, Cruzília/MG, Cuparaque/MG, Curral de Dentro/MG, Curvelo/MG,Datas/MG, Delfim Moreira/MG, Delfinópolis/MG, Delta/MG, Descoberto/MG, Desterro de Entre Rios/MG,Desterro do Melo/MG, Diamantina/MG, Diogo de Vasconcelos/MG, Dionísio/MG, Divinésia/MG, Divino dasLaranjeiras/MG, Divino/MG, Divinolândia de Minas/MG, Divinópolis/MG, Divisa Alegre/MG, Divisa Nova/MG,Divisópolis/MG, Dom Bosco/MG, Dom Cavati/MG, Dom Joaquim/MG, Dom Silvério/MG, Dom Viçoso/MG, DonaEusébia/MG, Dores de Campos/MG, Dores de Guanhães/MG, Dores do Indaiá/MG, Dores do Turvo/MG,Doresópolis/MG, Douradoquara/MG, Durandé/MG, Elói Mendes/MG, Engenheiro Caldas/MG, EngenheiroNavarro/MG, Entre Folhas/MG, Entre Rios de Minas/MG, Ervália/MG, Esmeraldas/MG, Espera Feliz/MG,Espinosa/MG, Espírito Santo do Dourado/MG, Estiva/MG, Estrela Dalva/MG, Estrela do Indaiá/MG, Estrela doSul/MG, Eugenópolis/MG, Ewbank da Câmara/MG, Extrema/MG, Fama/MG, Faria Lemos/MG, Felício dosSantos/MG, Felisburgo/MG, Felixlândia/MG, Fernandes Tourinho/MG, Ferros/MG, Fervedouro/MG,Florestal/MG, Formiga/MG, Formoso/MG, Fortaleza de Minas/MG, Fortuna de Minas/MG, FranciscoBadaró/MG, Francisco Dumont/MG, Francisco Sá/MG, Franciscópolis/MG, Frei Gaspar/MG, FreiInocêncio/MG, Frei Lagonegro/MG, Fronteira dos Vales/MG, Fronteira/MG, Fruta de Leite/MG, Frutal/MG,Funilândia/MG, Galiléia/MG, Gameleiras/MG, Glaucilândia/MG, Goiabeira/MG, Goianá/MG, Gonçalves/MG,Gonzaga/MG, Gouveia/MG, Governador Valadares/MG, Grão Mogol/MG, Grupiara/MG, Guanhães/MG,Guapé/MG, Guaraciaba/MG, Guaraciama/MG, Guaranésia/MG, Guarani/MG, Guarará/MG, Guarda-Mor/MG,Guaxupé/MG, Guidoval/MG, Guimarânia/MG, Guiricema/MG, Gurinhatã/MG, Heliodora/MG, Iapu/MG,Ibertioga/MG, Ibiá/MG, Ibiaí/MG, Ibiracatu/MG, Ibiraci/MG, Ibirité/MG, Ibitiúra de Minas/MG, Ibituruna/MG, Icaraíde Minas/MG, Igarapé/MG, Igaratinga/MG, Iguatama/MG, Ijaci/MG, Ilicínea/MG, Imbé de Minas/MG,Inconfidentes/MG, Indaiabira/MG, Indianópolis/MG, Ingaí/MG, Inhapim/MG, Inhaúma/MG, Inimutaba/MG,Ipaba/MG, Ipanema/MG, Ipatinga/MG, Ipiaçu/MG, Ipuiúna/MG, Iraí de Minas/MG, Itabira/MG, Itabirinha/MG,Itabirito/MG, Itacambira/MG, Itacarambi/MG, Itaguara/MG, Itaipé/MG, Itajubá/MG, Itamarandiba/MG, Itamaratide Minas/MG, Itambacuri/MG, Itambé do Mato Dentro/MG, Itamogi/MG, Itamonte/MG, Itanhandu/MG,Itanhomi/MG, Itaobim/MG, Itapagipe/MG, Itapecerica/MG, Itapeva/MG, Itatiaiuçu/MG, Itaú de Minas/MG,Itaúna/MG, Itaverava/MG, Itinga/MG, Itueta/MG, Ituiutaba/MG, Itumirim/MG, Iturama/MG, Itutinga/MG,Jaboticatubas/MG, Jacinto/MG, Jacuí/MG, Jacutinga/MG, Jaguaraçu/MG, Jaíba/MG, Jampruca/MG,Janaúba/MG, Januária/MG, Japaraíba/MG, Japonvar/MG, Jeceaba/MG, Jenipapo de Minas/MG, Jequeri/MG,Jequitaí/MG, Jequitibá/MG, Jequitinhonha/MG, Jesuânia/MG, Joaíma/MG, Joanésia/MG, João Monlevade/MG,João Pinheiro/MG, Joaquim Felício/MG, Jordânia/MG, José Gonçalves de Minas/MG, José Raydan/MG,Josenópolis/MG, Juatuba/MG, Juramento/MG, Juruaia/MG, Juvenília/MG, Ladainha/MG, Lagamar/MG, Lagoada Prata/MG, Lagoa dos Patos/MG, Lagoa Dourada/MG, Lagoa Formosa/MG, Lagoa Grande/MG, LagoaSanta/MG, Lajinha/MG, Lambari/MG, Lamim/MG, Laranjal/MG, Lassance/MG, Lavras/MG, LeandroFerreira/MG, Leme do Prado/MG, Leopoldina/MG, Liberdade/MG, Lima Duarte/MG, Limeira do Oeste/MG,Lontra/MG, Luisburgo/MG, Luislândia/MG, Luminárias/MG, Luz/MG, Machacalis/MG, Machado/MG, Madre deDeus de Minas/MG, Malacacheta/MG, Mamonas/MG, Manga/MG, Manhuaçu/MG, Manhumirim/MG,Mantena/MG, Mar de Espanha/MG, Maravilhas/MG, Maria da Fé/MG, Mariana/MG, Marilac/MG, MárioCampos/MG, Maripá de Minas/MG, Marliéria/MG, Marmelópolis/MG, Martinho Campos/MG, MartinsSoares/MG, Mata Verde/MG, Materlândia/MG, Mateus Leme/MG, Mathias Lobato/MG, Matias Barbosa/MG,Matias Cardoso/MG, Matipó/MG, Mato Verde/MG, Matozinhos/MG, Matutina/MG, Medeiros/MG, Medina/MG,Mendes Pimentel/MG, Mercês/MG, Mesquita/MG, Minas Novas/MG, Minduri/MG, Mirabela/MG, Miradouro/MG,Miraí/MG, Miravânia/MG, Moeda/MG, Moema/MG, Monjolos/MG, Monsenhor Paulo/MG, Montalvânia/MG,Monte Alegre de Minas/MG, Monte Azul/MG, Monte Belo/MG, Monte Carmelo/MG, Monte Formoso/MG, MonteSanto de Minas/MG, Monte Sião/MG, Montes Claros/MG, Montezuma/MG, Morada Nova de Minas/MG, Morroda Garça/MG, Morro do Pilar/MG, Munhoz/MG, Muriaé/MG, Mutum/MG, Muzambinho/MG, Nacip Raydan/MG,Nanuque/MG, Naque/MG, Natalândia/MG, Natércia/MG, Nazareno/MG, Nepomuceno/MG, Ninheira/MG, NovaBelém/MG, Nova Era/MG, Nova Lima/MG, Nova Módica/MG, Nova Ponte/MG, Nova Porteirinha/MG, NovaResende/MG, Nova Serrana/MG, Nova União/MG, Novo Cruzeiro/MG, Novo Oriente de Minas/MG,Novorizonte/MG, Olaria/MG, Olhos-d'Água/MG, Olímpio Noronha/MG, Oliveira Fortes/MG, Oliveira/MG, Onçade Pitangui/MG, Oratórios/MG, Orizânia/MG, Ouro Branco/MG, Ouro Fino/MG, Ouro Preto/MG, Ouro Verde deMinas/MG, Padre Carvalho/MG, Padre Paraíso/MG, Pai Pedro/MG, Paineiras/MG, Pains/MG, Paiva/MG,Palma/MG, Palmópolis/MG, Papagaios/MG, Pará de Minas/MG, Paracatu/MG, Paraguaçu/MG, Paraisópolis/MG,Paraopeba/MG, Passa Quatro/MG, Passa Tempo/MG, Passa Vinte/MG, Passabém/MG, Passos/MG, Patis/MG,Patos de Minas/MG, Patrocínio do Muriaé/MG, Patrocínio/MG, Paula Cândido/MG, Paulistas/MG, Pavão/MG,Peçanha/MG, Pedra Azul/MG, Pedra Bonita/MG, Pedra do Anta/MG, Pedra do Indaiá/MG, Pedra Dourada/MG,Pedralva/MG, Pedras de Maria da Cruz/MG, Pedrinópolis/MG, Pedro Leopoldo/MG, Pedro Teixeira/MG, Pequeri/MG, Pequi/MG, Perdigão/MG, Perdizes/MG, Perdões/MG, Periquito/MG, Pescador/MG, Piau/MG,Piedade de Caratinga/MG, Piedade de Ponte Nova/MG, Piedade do Rio Grande/MG, Piedade dos Gerais/MG,Pimenta/MG, Pingo d'Água/MG, Pintópolis/MG, Piracema/MG, Pirajuba/MG, Piranga/MG, Piranguçu/MG,Piranguinho/MG, Pirapetinga/MG, Pirapora/MG, Piraúba/MG, Pitangui/MG, Piumhi/MG, Planura/MG, PoçoFundo/MG, Poços de Caldas/MG, Pocrane/MG, Pompéu/MG, Ponte Nova/MG, Ponto Chique/MG, Ponto dosVolantes/MG, Porteirinha/MG, Porto Firme/MG, Poté/MG, Pouso Alegre/MG, Pouso Alto/MG, Prados/MG,Prata/MG, Pratápolis/MG, Pratinha/MG, Presidente Bernardes/MG, Presidente Juscelino/MG, PresidenteKubitschek/MG, Presidente Olegário/MG, Prudente de Morais/MG, Quartel Geral/MG, Queluzito/MG,Raposos/MG, Raul Soares/MG, Recreio/MG, Reduto/MG, Resende Costa/MG, Resplendor/MG,Ressaquinha/MG, Riachinho/MG, Riacho dos Machados/MG, Ribeirão das Neves/MG, Ribeirão Vermelho/MG,Rio Acima/MG, Rio Casca/MG, Rio do Prado/MG, Rio Doce/MG, Rio Espera/MG, Rio Manso/MG, Rio Novo/MG,Rio Paranaíba/MG, Rio Pardo de Minas/MG, Rio Piracicaba/MG, Rio Pomba/MG, Rio Preto/MG, RioVermelho/MG, Ritápolis/MG, Rochedo de Minas/MG, Rodeiro/MG, Romaria/MG, Rosário da Limeira/MG,Rubelita/MG, Rubim/MG, Sabará/MG, Sabinópolis/MG, Sacramento/MG, Salinas/MG, Salto da Divisa/MG,Santa Bárbara do Leste/MG, Santa Bárbara do Monte Verde/MG, Santa Bárbara do Tugúrio/MG, SantaBárbara/MG, Santa Cruz de Minas/MG, Santa Cruz de Salinas/MG, Santa Cruz do Escalvado/MG, SantaEfigênia de Minas/MG, Santa Fé de Minas/MG, Santa Helena de Minas/MG, Santa Juliana/MG, Santa Luzia/MG,Santa Margarida/MG, Santa Maria de Itabira/MG, Santa Maria do Salto/MG, Santa Maria do Suaçuí/MG, SantaRita de Caldas/MG, Santa Rita de Ibitipoca/MG, Santa Rita de Jacutinga/MG, Santa Rita de Minas/MG, SantaRita do Itueto/MG, Santa Rita do Sapucaí/MG, Santa Rosa da Serra/MG, Santa Vitória/MG, Santana daVargem/MG, Santana de Cataguases/MG, Santana de Pirapama/MG, Santana do Deserto/MG, Santana doGarambéu/MG, Santana do Jacaré/MG, Santana do Manhuaçu/MG, Santana do Paraíso/MG, Santana doRiacho/MG, Santana dos Montes/MG, Santo Antônio do Amparo/MG, Santo Antônio do Aventureiro/MG, SantoAntônio do Grama/MG, Santo Antônio do Itambé/MG, Santo Antônio do Jacinto/MG, Santo Antônio doMonte/MG, Santo Antônio do Retiro/MG, Santo Antônio do Rio Abaixo/MG, Santo Hipólito/MG, SantosDumont/MG, São Bento Abade/MG, São Brás do Suaçuí/MG, São Domingos das Dores/MG, São Domingos doPrata/MG, São Félix de Minas/MG, São Francisco de Paula/MG, São Francisco de Sales/MG, São Francisco doGlória/MG, São Francisco/MG, São Geraldo da Piedade/MG, São Geraldo do Baixio/MG, São Geraldo/MG, SãoGonçalo do Abaeté/MG, São Gonçalo do Pará/MG, São Gonçalo do Rio Abaixo/MG, São Gonçalo do RioPreto/MG, São Gonçalo do Sapucaí/MG, São Gotardo/MG, São João Batista do Glória/MG, São João daLagoa/MG, São João da Mata/MG, São João da Ponte/MG, São João das Missões/MG, São João del Rei/MG,São João do Manhuaçu/MG, São João do Manteninha/MG, São João do Oriente/MG, São João do Pacuí/MG,São João do Paraíso/MG, São João Evangelista/MG, São João Nepomuceno/MG, São Joaquim de Bicas/MG,São José da Barra/MG, São José da Lapa/MG, São José da Safira/MG, São José da Varginha/MG, São José doAlegre/MG, São José do Divino/MG, São José do Goiabal/MG, São José do Jacuri/MG, São José doMantimento/MG, São Lourenço/MG, São Miguel do Anta/MG, São Pedro da União/MG, São Pedro doSuaçuí/MG, São Pedro dos Ferros/MG, São Romão/MG, São Roque de Minas/MG, São Sebastião da BelaVista/MG, São Sebastião da Vargem Alegre/MG, São Sebastião do Anta/MG, São Sebastião do Maranhão/MG,São Sebastião do Oeste/MG, São Sebastião do Paraíso/MG, São Sebastião do Rio Preto/MG, São Sebastiãodo Rio Verde/MG, São Thomé das Letras/MG, São Tiago/MG, São Tomás de Aquino/MG, São Vicente deMinas/MG, Sapucaí-Mirim/MG, Sardoá/MG, Sarzedo/MG, Sem-Peixe/MG, Senador Amaral/MG, SenadorCortes/MG, Senador Firmino/MG, Senador José Bento/MG, Senador Modestino Gonçalves/MG, Senhora deOliveira/MG, Senhora do Porto/MG, Senhora dos Remédios/MG, Sericita/MG, Seritinga/MG, Serra Azul deMinas/MG, Serra da Saudade/MG, Serra do Salitre/MG, Serra dos Aimorés/MG, Serrania/MG, Serranópolis deMinas/MG, Serranos/MG, Serro/MG, Sete Lagoas/MG, Setubinha/MG, Silveirânia/MG, Silvianópolis/MG, SimãoPereira/MG, Simonésia/MG, Sobrália/MG, Soledade de Minas/MG, Tabuleiro/MG, Taiobeiras/MG, Taparuba/MG,Tapira/MG, Tapiraí/MG, Taquaraçu de Minas/MG, Tarumirim/MG, Teixeiras/MG, Teófilo Otoni/MG, Timóteo/MG,Tiradentes/MG, Tiros/MG, Tocantins/MG, Tocos do Moji/MG, Toledo/MG, Tombos/MG, Três Corações/MG, TrêsMarias/MG, Três Pontas/MG, Tumiritinga/MG, Tupaciguara/MG, Turmalina/MG, Turvolândia/MG, Ubá/MG,Ubaí/MG, Ubaporanga/MG, Uberaba/MG, Uberlândia/MG, Umburatiba/MG, Unaí/MG, União de Minas/MG,Uruana de Minas/MG, Urucânia/MG, Urucuia/MG, Vargem Alegre/MG, Vargem Bonita/MG, Vargem Grande doRio Pardo/MG, Varginha/MG, Varjão de Minas/MG, Várzea da Palma/MG, Varzelândia/MG, Vazante/MG,Verdelândia/MG, Veredinha/MG, Veríssimo/MG, Vermelho Novo/MG, Vespasiano/MG, Viçosa/MG, Vieiras/MG,Virgem da Lapa/MG, Virgínia/MG, Virginópolis/MG, Virgolândia/MG, Visconde do Rio Branco/MG, VoltaGrande/MG e Wenceslau Braz/MG.</t>
  </si>
  <si>
    <t>Assistente em Tecnologia da Informacao I - 220 h, Assistente em Tecnologia da Informacao II - 220 h, Digitador - 150 h, Operador de Maquina Reprografica - 220 h, Tecnico de Manutencao Eletronica I - 220 h, Tecnico de Manutencao Eletronica II - 220 h, Tecnico de Manutencao Eletronica III - 220 h, Tecnico em Tecnologia da Informacao I - 220 h, Tecnico em Tecnologia da Informacao II - 220 h, Tecnico em Tecnologia da Informacao III - 220 h</t>
  </si>
  <si>
    <t>MG000635/2025</t>
  </si>
  <si>
    <t>Sind - Asseio</t>
  </si>
  <si>
    <t>Betim/MG, Brumadinho/MG, Contagem/MG, Ibirité/MG,Juatuba/MG, Lagoa Santa/MG, Mateus Leme/MG, Matozinhos/MG, Nova Lima/MG, Ribeirão das Neves/MG,Rio Acima/MG, Sabará/MG e Santa Luzia/MG</t>
  </si>
  <si>
    <t>MG000016/2025</t>
  </si>
  <si>
    <t>SINTERT</t>
  </si>
  <si>
    <t>MG004276/2024</t>
  </si>
  <si>
    <t>Sinttel</t>
  </si>
  <si>
    <t>Abadia dos Dourados/MG, Abaeté/MG, Abre Campo/MG, Acaiaca/MG,Açucena/MG, Água Boa/MG, Água Comprida/MG, Aguanil/MG, Águas Formosas/MG, ÁguasVermelhas/MG, Aimorés/MG, Aiuruoca/MG, Alagoa/MG, Albertina/MG, Além Paraíba/MG, Alfenas/MG, Alfredo Vasconcelos/MG, Almenara/MG, Alpercata/MG, Alpinópolis/MG, Alterosa/MG, AltoCaparaó/MG, Alto Jequitibá/MG, Alto Rio Doce/MG, Alvarenga/MG, Alvinópolis/MG, Alvorada deMinas/MG, Amparo do Serra/MG, Andradas/MG, Andrelândia/MG, Angelândia/MG, Antônio Carlos/MG,Antônio Dias/MG, Antônio Prado de Minas/MG, Araçaí/MG, Aracitaba/MG, Araçuaí/MG, Araguari/MG,Arantina/MG, Araponga/MG, Araporã/MG, Arapuá/MG, Araújos/MG, Araxá/MG, Arceburgo/MG,Arcos/MG, Areado/MG, Argirita/MG, Aricanduva/MG, Arinos/MG, Astolfo Dutra/MG, Ataléia/MG,Augusto de Lima/MG, Baependi/MG, Baldim/MG, Bambuí/MG, Bandeira do Sul/MG, Bandeira/MG,Barão de Cocais/MG, Barão de Monte Alto/MG, Barbacena/MG, Barra Longa/MG, Barroso/MG, BelaVista de Minas/MG, Belmiro Braga/MG, Belo Horizonte/MG, Belo Oriente/MG, Belo Vale/MG,Berilo/MG, Berizal/MG, Bertópolis/MG, Betim/MG, Bias Fortes/MG, Bicas/MG, Biquinhas/MG, BoaEsperança/MG, Bocaina de Minas/MG, Bocaiúva/MG, Bom Despacho/MG, Bom Jardim de Minas/MG,Bom Jesus da Penha/MG, Bom Jesus do Amparo/MG, Bom Jesus do Galho/MG, Bom Repouso/MG,Bom Sucesso/MG, Bonfim/MG, Bonfinópolis de Minas/MG, Bonito de Minas/MG, Borda da Mata/MG,Botelhos/MG, Botumirim/MG, Brás Pires/MG, Brasilândia de Minas/MG, Brasília de Minas/MG,Braúnas/MG, Brazópolis/MG, Brumadinho/MG, Bueno Brandão/MG, Buenópolis/MG, Bugre/MG,Buritis/MG, Buritizeiro/MG, Cabeceira Grande/MG, Cabo Verde/MG, Cachoeira da Prata/MG,Cachoeira de Minas/MG, Cachoeira de Pajeú/MG, Cachoeira Dourada/MG, Caetanópolis/MG,Caeté/MG, Caiana/MG, Cajuri/MG, Caldas/MG, Camacho/MG, Camanducaia/MG, Cambuí/MG,Cambuquira/MG, Campanário/MG, Campanha/MG, Campestre/MG, Campina Verde/MG, CampoAzul/MG, Campo Belo/MG, Campo do Meio/MG, Campo Florido/MG, Campos Altos/MG, CamposGerais/MG, Cana Verde/MG, Canaã/MG, Canápolis/MG, Candeias/MG, Cantagalo/MG, Caparaó/MG,Capela Nova/MG, Capelinha/MG, Capetinga/MG, Capim Branco/MG, Capinópolis/MG, CapitãoAndrade/MG, Capitão Enéas/MG, Capitólio/MG, Caputira/MG, Caraí/MG, Caranaíba/MG, Carandaí/MG,Carangola/MG, Caratinga/MG, Carbonita/MG, Careaçu/MG, Carlos Chagas/MG, Carmésia/MG, Carmoda Cachoeira/MG, Carmo da Mata/MG, Carmo de Minas/MG, Carmo do Cajuru/MG, Carmo doParanaíba/MG, Carmo do Rio Claro/MG, Carmópolis de Minas/MG, Carneirinho/MG, Carrancas/MG,Carvalhópolis/MG, Carvalhos/MG, Casa Grande/MG, Cascalho Rico/MG, Cássia/MG, Cataguases/MG,Catas Altas da Noruega/MG, Catas Altas/MG, Catuji/MG, Catuti/MG, Caxambu/MG, Cedro doAbaeté/MG, Central de Minas/MG, Centralina/MG, Chácara/MG, Chalé/MG, Chapada do Norte/MG,Chapada Gaúcha/MG, Chiador/MG, Cipotânea/MG, Claraval/MG, Claro dos Poções/MG, Cláudio/MG,Coimbra/MG, Coluna/MG, Comendador Gomes/MG, Comercinho/MG, Conceição da Aparecida/MG,Conceição da Barra de Minas/MG, Conceição das Alagoas/MG, Conceição das Pedras/MG,Conceição de Ipanema/MG, Conceição do Mato Dentro/MG, Conceição do Pará/MG, Conceição doRio Verde/MG, Conceição dos Ouros/MG, Cônego Marinho/MG, Confins/MG, Congonhal/MG,Congonhas do Norte/MG, Congonhas/MG, Conquista/MG, Conselheiro Lafaiete/MG, ConselheiroPena/MG, Consolação/MG, Contagem/MG, Coqueiral/MG, Coração de Jesus/MG, Cordisburgo/MG,Cordislândia/MG, Corinto/MG, Coroaci/MG, Coromandel/MG, Coronel Fabriciano/MG, CoronelMurta/MG, Coronel Pacheco/MG, Coronel Xavier Chaves/MG, Córrego Danta/MG, Córrego do BomJesus/MG, Córrego Fundo/MG, Córrego Novo/MG, Couto de Magalhães de Minas/MG, Crisólita/MG,Cristais/MG, Cristália/MG, Cristiano Otoni/MG, Cristina/MG, Crucilândia/MG, Cruzeiro daFortaleza/MG, Cruzília/MG, Cuparaque/MG, Curral de Dentro/MG, Curvelo/MG, Datas/MG, DelfimMoreira/MG, Delfinópolis/MG, Delta/MG, Descoberto/MG, Desterro de Entre Rios/MG, Desterro doMelo/MG, Diamantina/MG, Diogo de Vasconcelos/MG, Dionísio/MG, Divinésia/MG, Divino dasLaranjeiras/MG, Divino/MG, Divinolândia de Minas/MG, Divinópolis/MG, Divisa Alegre/MG, DivisaNova/MG, Divisópolis/MG, Dom Bosco/MG, Dom Cavati/MG, Dom Joaquim/MG, Dom Silvério/MG,Dom Viçoso/MG, Dona Eusébia/MG, Dores de Campos/MG, Dores de Guanhães/MG, Dores doIndaiá/MG, Dores do Turvo/MG, Doresópolis/MG, Douradoquara/MG, Durandé/MG, Elói Mendes/MG,Engenheiro Caldas/MG, Engenheiro Navarro/MG, Entre Folhas/MG, Entre Rios de Minas/MG,Ervália/MG, Esmeraldas/MG, Espera Feliz/MG, Espinosa/MG, Espírito Santo do Dourado/MG,Estiva/MG, Estrela Dalva/MG, Estrela do Indaiá/MG, Estrela do Sul/MG, Eugenópolis/MG, Ewbank daCâmara/MG, Extrema/MG, Fama/MG, Faria Lemos/MG, Felício dos Santos/MG, Felisburgo/MG,Felixlândia/MG, Fernandes Tourinho/MG, Ferros/MG, Fervedouro/MG, Florestal/MG, Formiga/MG,Formoso/MG, Fortaleza de Minas/MG, Fortuna de Minas/MG, Francisco Badaró/MG, FranciscoDumont/MG, Francisco Sá/MG, Franciscópolis/MG, Frei Gaspar/MG, Frei Inocêncio/MG, FreiLagonegro/MG, Fronteira dos Vales/MG, Fronteira/MG, Fruta de Leite/MG, Frutal/MG, Funilândia/MG,Galiléia/MG, Gameleiras/MG, Glaucilândia/MG, Goiabeira/MG, Goianá/MG, Gonçalves/MG,Gonzaga/MG, Gouveia/MG, Governador Valadares/MG, Grão Mogol/MG, Grupiara/MG, Guanhães/MG,Guapé/MG, Guaraciaba/MG, Guaraciama/MG, Guaranésia/MG, Guarani/MG, Guarará/MG, Guarda-Mor/MG, Guaxupé/MG, Guidoval/MG, Guimarânia/MG, Guiricema/MG, Gurinhatã/MG, Heliodora/MG,Iapu/MG, Ibertioga/MG, Ibiá/MG, Ibiaí/MG, Ibiracatu/MG, Ibiraci/MG, Ibirité/MG, Ibitiúra de Minas/MG,Ibituruna/MG, Icaraí de Minas/MG, Igarapé/MG, Igaratinga/MG, Iguatama/MG, Ijaci/MG, Ilicínea/MG,Imbé de Minas/MG, Inconfidentes/MG, Indaiabira/MG, Indianópolis/MG, Ingaí/MG, Inhapim/MG,Inhaúma/MG, Inimutaba/MG, Ipaba/MG, Ipanema/MG, Ipatinga/MG, Ipiaçu/MG, Ipuiúna/MG, Iraí de Minas/MG, Itabira/MG, Itabirinha/MG, Itabirito/MG, Itacambira/MG, Itacarambi/MG, Itaguara/MG,Itaipé/MG, Itajubá/MG, Itamarandiba/MG, Itamarati de Minas/MG, Itambacuri/MG, Itambé do MatoDentro/MG, Itamogi/MG, Itamonte/MG, Itanhandu/MG, Itanhomi/MG, Itaobim/MG, Itapagipe/MG,Itapecerica/MG, Itapeva/MG, Itatiaiuçu/MG, Itaú de Minas/MG, Itaúna/MG, Itaverava/MG, Itinga/MG,Itueta/MG, Ituiutaba/MG, Itumirim/MG, Iturama/MG, Itutinga/MG, Jaboticatubas/MG, Jacinto/MG,Jacuí/MG, Jacutinga/MG, Jaguaraçu/MG, Jaíba/MG, Jampruca/MG, Janaúba/MG, Januária/MG,Japaraíba/MG, Japonvar/MG, Jeceaba/MG, Jenipapo de Minas/MG, Jequeri/MG, Jequitaí/MG,Jequitibá/MG, Jequitinhonha/MG, Jesuânia/MG, Joaíma/MG, Joanésia/MG, João Monlevade/MG, JoãoPinheiro/MG, Joaquim Felício/MG, Jordânia/MG, José Gonçalves de Minas/MG, José Raydan/MG,Josenópolis/MG, Juatuba/MG, Juramento/MG, Juruaia/MG, Juvenília/MG, Ladainha/MG, Lagamar/MG,Lagoa da Prata/MG, Lagoa dos Patos/MG, Lagoa Dourada/MG, Lagoa Formosa/MG, LagoaGrande/MG, Lagoa Santa/MG, Lajinha/MG, Lambari/MG, Lamim/MG, Laranjal/MG, Lassance/MG,Lavras/MG, Leandro Ferreira/MG, Leme do Prado/MG, Leopoldina/MG, Liberdade/MG, LimaDuarte/MG, Limeira do Oeste/MG, Lontra/MG, Luisburgo/MG, Luislândia/MG, Luminárias/MG, Luz/MG,Machacalis/MG, Machado/MG, Madre de Deus de Minas/MG, Malacacheta/MG, Mamonas/MG,Manga/MG, Manhuaçu/MG, Manhumirim/MG, Mantena/MG, Mar de Espanha/MG, Maravilhas/MG,Maria da Fé/MG, Mariana/MG, Marilac/MG, Mário Campos/MG, Maripá de Minas/MG, Marliéria/MG,Marmelópolis/MG, Martinho Campos/MG, Martins Soares/MG, Mata Verde/MG, Materlândia/MG,Mateus Leme/MG, Mathias Lobato/MG, Matias Barbosa/MG, Matias Cardoso/MG, Matipó/MG, MatoVerde/MG, Matozinhos/MG, Matutina/MG, Medeiros/MG, Medina/MG, Mendes Pimentel/MG,Mercês/MG, Mesquita/MG, Minas Novas/MG, Minduri/MG, Mirabela/MG, Miradouro/MG, Miraí/MG,Miravânia/MG, Moeda/MG, Moema/MG, Monjolos/MG, Monsenhor Paulo/MG, Montalvânia/MG, MonteAlegre de Minas/MG, Monte Azul/MG, Monte Belo/MG, Monte Carmelo/MG, Monte Formoso/MG,Monte Santo de Minas/MG, Monte Sião/MG, Montes Claros/MG, Montezuma/MG, Morada Nova deMinas/MG, Morro da Garça/MG, Morro do Pilar/MG, Munhoz/MG, Muriaé/MG, Mutum/MG,Muzambinho/MG, Nacip Raydan/MG, Nanuque/MG, Naque/MG, Natalândia/MG, Natércia/MG,Nazareno/MG, Nepomuceno/MG, Ninheira/MG, Nova Belém/MG, Nova Era/MG, Nova Lima/MG, NovaMódica/MG, Nova Ponte/MG, Nova Porteirinha/MG, Nova Resende/MG, Nova Serrana/MG, NovaUnião/MG, Novo Cruzeiro/MG, Novo Oriente de Minas/MG, Novorizonte/MG, Olaria/MG, Olhos-d'Água/MG, Olímpio Noronha/MG, Oliveira Fortes/MG, Oliveira/MG, Onça de Pitangui/MG,Oratórios/MG, Orizânia/MG, Ouro Branco/MG, Ouro Fino/MG, Ouro Preto/MG, Ouro Verde deMinas/MG, Padre Carvalho/MG, Padre Paraíso/MG, Pai Pedro/MG, Paineiras/MG, Pains/MG, Paiva/MG,Palma/MG, Palmópolis/MG, Papagaios/MG, Pará de Minas/MG, Paracatu/MG, Paraguaçu/MG,Paraisópolis/MG, Paraopeba/MG, Passa Quatro/MG, Passa Tempo/MG, Passa Vinte/MG,Passabém/MG, Passos/MG, Patis/MG, Patos de Minas/MG, Patrocínio do Muriaé/MG, Patrocínio/MG,Paula Cândido/MG, Paulistas/MG, Pavão/MG, Peçanha/MG, Pedra Azul/MG, Pedra Bonita/MG, Pedrado Anta/MG, Pedra do Indaiá/MG, Pedra Dourada/MG, Pedralva/MG, Pedras de Maria da Cruz/MG,Pedrinópolis/MG, Pedro Leopoldo/MG, Pedro Teixeira/MG, Pequeri/MG, Pequi/MG, Perdigão/MG,Perdizes/MG, Perdões/MG, Periquito/MG, Pescador/MG, Piau/MG, Piedade de Caratinga/MG, Piedadede Ponte Nova/MG, Piedade do Rio Grande/MG, Piedade dos Gerais/MG, Pimenta/MG, Pingod'Água/MG, Pintópolis/MG, Piracema/MG, Pirajuba/MG, Piranga/MG, Piranguçu/MG, Piranguinho/MG,Pirapetinga/MG, Pirapora/MG, Piraúba/MG, Pitangui/MG, Piumhi/MG, Planura/MG, Poço Fundo/MG,Poços de Caldas/MG, Pocrane/MG, Pompéu/MG, Ponte Nova/MG, Ponto Chique/MG, Ponto dosVolantes/MG, Porteirinha/MG, Porto Firme/MG, Poté/MG, Pouso Alegre/MG, Pouso Alto/MG,Prados/MG, Prata/MG, Pratápolis/MG, Pratinha/MG, Presidente Bernardes/MG, PresidenteJuscelino/MG, Presidente Kubitschek/MG, Presidente Olegário/MG, Prudente de Morais/MG, QuartelGeral/MG, Queluzito/MG, Raposos/MG, Raul Soares/MG, Recreio/MG, Reduto/MG, ResendeCosta/MG, Resplendor/MG, Ressaquinha/MG, Riachinho/MG, Riacho dos Machados/MG, Ribeirão dasNeves/MG, Ribeirão Vermelho/MG, Rio Acima/MG, Rio Casca/MG, Rio do Prado/MG, Rio Doce/MG,Rio Espera/MG, Rio Manso/MG, Rio Novo/MG, Rio Paranaíba/MG, Rio Pardo de Minas/MG, RioPiracicaba/MG, Rio Pomba/MG, Rio Preto/MG, Rio Vermelho/MG, Ritápolis/MG, Rochedo deMinas/MG, Rodeiro/MG, Romaria/MG, Rosário da Limeira/MG, Rubelita/MG, Rubim/MG, Sabará/MG,Sabinópolis/MG, Sacramento/MG, Salinas/MG, Salto da Divisa/MG, Santa Bárbara do Leste/MG, SantaBárbara do Monte Verde/MG, Santa Bárbara do Tugúrio/MG, Santa Bárbara/MG, Santa Cruz deMinas/MG, Santa Cruz de Salinas/MG, Santa Cruz do Escalvado/MG, Santa Efigênia de Minas/MG,Santa Fé de Minas/MG, Santa Helena de Minas/MG, Santa Juliana/MG, Santa Luzia/MG, SantaMargarida/MG, Santa Maria de Itabira/MG, Santa Maria do Salto/MG, Santa Maria do Suaçuí/MG, SantaRita de Caldas/MG, Santa Rita de Ibitipoca/MG, Santa Rita de Jacutinga/MG, Santa Rita de Minas/MG,Santa Rita do Itueto/MG, Santa Rita do Sapucaí/MG, Santa Rosa da Serra/MG, Santa Vitória/MG,Santana da Vargem/MG, Santana de Cataguases/MG, Santana de Pirapama/MG, Santana doDeserto/MG, Santana do Garambéu/MG, Santana do Jacaré/MG, Santana do Manhuaçu/MG, Santanado Paraíso/MG, Santana do Riacho/MG, Santana dos Montes/MG, Santo Antônio do Amparo/MG,Santo Antônio do Aventureiro/MG, Santo Antônio do Grama/MG, Santo Antônio do Itambé/MG, Santo Antônio do Jacinto/MG, Santo Antônio do Monte/MG, Santo Antônio do Retiro/MG, Santo Antônio doRio Abaixo/MG, Santo Hipólito/MG, Santos Dumont/MG, São Bento Abade/MG, São Brás doSuaçuí/MG, São Domingos das Dores/MG, São Domingos do Prata/MG, São Félix de Minas/MG, SãoFrancisco de Paula/MG, São Francisco de Sales/MG, São Francisco do Glória/MG, São Francisco/MG,São Geraldo da Piedade/MG, São Geraldo do Baixio/MG, São Geraldo/MG, São Gonçalo doAbaeté/MG, São Gonçalo do Pará/MG, São Gonçalo do Rio Abaixo/MG, São Gonçalo do RioPreto/MG, São Gonçalo do Sapucaí/MG, São Gotardo/MG, São João Batista do Glória/MG, São Joãoda Lagoa/MG, São João da Mata/MG, São João da Ponte/MG, São João das Missões/MG, São Joãodel Rei/MG, São João do Manhuaçu/MG, São João do Manteninha/MG, São João do Oriente/MG, SãoJoão do Pacuí/MG, São João do Paraíso/MG, São João Evangelista/MG, São João Nepomuceno/MG,São Joaquim de Bicas/MG, São José da Barra/MG, São José da Lapa/MG, São José da Safira/MG,São José da Varginha/MG, São José do Alegre/MG, São José do Divino/MG, São José do Goiabal/MG,São José do Jacuri/MG, São José do Mantimento/MG, São Lourenço/MG, São Miguel do Anta/MG,São Pedro da União/MG, São Pedro do Suaçuí/MG, São Pedro dos Ferros/MG, São Romão/MG, SãoRoque de Minas/MG, São Sebastião da Bela Vista/MG, São Sebastião da Vargem Alegre/MG, SãoSebastião do Anta/MG, São Sebastião do Maranhão/MG, São Sebastião do Oeste/MG, São Sebastiãodo Paraíso/MG, São Sebastião do Rio Preto/MG, São Sebastião do Rio Verde/MG, São Thomé dasLetras/MG, São Tiago/MG, São Tomás de Aquino/MG, São Vicente de Minas/MG, Sapucaí-Mirim/MG,Sardoá/MG, Sarzedo/MG, Sem-Peixe/MG, Senador Amaral/MG, Senador Cortes/MG, SenadorFirmino/MG, Senador José Bento/MG, Senador Modestino Gonçalves/MG, Senhora de Oliveira/MG,Senhora do Porto/MG, Senhora dos Remédios/MG, Sericita/MG, Seritinga/MG, Serra Azul deMinas/MG, Serra da Saudade/MG, Serra do Salitre/MG, Serra dos Aimorés/MG, Serrania/MG,Serranópolis de Minas/MG, Serranos/MG, Serro/MG, Sete Lagoas/MG, Setubinha/MG, Silveirânia/MG,Silvianópolis/MG, Simão Pereira/MG, Simonésia/MG, Sobrália/MG, Soledade de Minas/MG,Tabuleiro/MG, Taiobeiras/MG, Taparuba/MG, Tapira/MG, Tapiraí/MG, Taquaraçu de Minas/MG,Tarumirim/MG, Teixeiras/MG, Teófilo Otoni/MG, Timóteo/MG, Tiradentes/MG, Tiros/MG, Tocantins/MG,Tocos do Moji/MG, Toledo/MG, Tombos/MG, Três Corações/MG, Três Marias/MG, Três Pontas/MG,Tumiritinga/MG, Tupaciguara/MG, Turmalina/MG, Turvolândia/MG, Ubá/MG, Ubaí/MG,Ubaporanga/MG, Uberaba/MG, Uberlândia/MG, Umburatiba/MG, Unaí/MG, União de Minas/MG,Uruana de Minas/MG, Urucânia/MG, Urucuia/MG, Vargem Alegre/MG, Vargem Bonita/MG, VargemGrande do Rio Pardo/MG, Varginha/MG, Varjão de Minas/MG, Várzea da Palma/MG, Varzelândia/MG,Vazante/MG, Verdelândia/MG, Veredinha/MG, Veríssimo/MG, Vermelho Novo/MG, Vespasiano/MG,Viçosa/MG, Vieiras/MG, Virgem da Lapa/MG, Virgínia/MG, Virginópolis/MG, Virgolândia/MG, Viscondedo Rio Branco/MG, Volta Grande/MG e Wenceslau Braz/MG.</t>
  </si>
  <si>
    <t>MG001376/2024</t>
  </si>
  <si>
    <t>Teofilo Otoni</t>
  </si>
  <si>
    <t>Teofilo Otoni/MG</t>
  </si>
  <si>
    <t>MG004477/2024</t>
  </si>
  <si>
    <t>Uberaba</t>
  </si>
  <si>
    <t>MG000412/2025</t>
  </si>
  <si>
    <t>Uberlandia</t>
  </si>
  <si>
    <t>Uberlândia/MG</t>
  </si>
  <si>
    <t>MG001252/2025</t>
  </si>
  <si>
    <t>Vespasiano</t>
  </si>
  <si>
    <t>Vespasiano/MG</t>
  </si>
  <si>
    <t>MG000989/2025</t>
  </si>
  <si>
    <t>Vicosa e Regiao</t>
  </si>
  <si>
    <t>Amparo do Serra/MG, Araponga/MG, Cajuri/MG, Canaã/MG, Coimbra/MG, Ervália/MG, Guaraciaba/MG,Guiricema/MG, Paula Cândido/MG, Pedra do Anta/MG, Raul Soares/MG, São Miguel do Anta/MG, SãoPedro dos Ferros/MG, Teixeiras/MG e Viçosa/MG</t>
  </si>
  <si>
    <t>VIÇOSA/MG, ERVÁLIA/MG, ARAPONGA/MG, TEIXEIRAS/MG, RAUL SOARES/MG e GUARACIABA/MG.</t>
  </si>
  <si>
    <t>MG001208/2025</t>
  </si>
  <si>
    <t>Código do Posto</t>
  </si>
  <si>
    <t>Comarca</t>
  </si>
  <si>
    <t>Função</t>
  </si>
  <si>
    <t>CCT DA CATEGORIA</t>
  </si>
  <si>
    <t>Classificação</t>
  </si>
  <si>
    <t>Fonte de Recursos</t>
  </si>
  <si>
    <t>Vagas contratadas</t>
  </si>
  <si>
    <t>Vagas suspensas</t>
  </si>
  <si>
    <t>Salário Base</t>
  </si>
  <si>
    <t>Apoio</t>
  </si>
  <si>
    <t>Abre Campo</t>
  </si>
  <si>
    <t>Aimores</t>
  </si>
  <si>
    <t>Alem Paraiba</t>
  </si>
  <si>
    <t>Alfenas</t>
  </si>
  <si>
    <t>Almenara</t>
  </si>
  <si>
    <t>Alpinopolis</t>
  </si>
  <si>
    <t>Andradas</t>
  </si>
  <si>
    <t>Araguari</t>
  </si>
  <si>
    <t>Arcos</t>
  </si>
  <si>
    <t>Arinos</t>
  </si>
  <si>
    <t>Barao de Cocais</t>
  </si>
  <si>
    <t>Barbacena</t>
  </si>
  <si>
    <t>Belo Horizonte</t>
  </si>
  <si>
    <t>Betim</t>
  </si>
  <si>
    <t>Boa Esperanca</t>
  </si>
  <si>
    <t>Bocaiuva</t>
  </si>
  <si>
    <t>Bom Despacho</t>
  </si>
  <si>
    <t>Bom Sucesso</t>
  </si>
  <si>
    <t>Brasilia de Minas</t>
  </si>
  <si>
    <t>Brumadinho</t>
  </si>
  <si>
    <t>Buritis</t>
  </si>
  <si>
    <t>Caete</t>
  </si>
  <si>
    <t>Camanducaia</t>
  </si>
  <si>
    <t>Cambui</t>
  </si>
  <si>
    <t>Campo Belo</t>
  </si>
  <si>
    <t>Campos Altos</t>
  </si>
  <si>
    <t>Campos Gerais</t>
  </si>
  <si>
    <t>Canapolis</t>
  </si>
  <si>
    <t>Candeias</t>
  </si>
  <si>
    <t>Capelinha</t>
  </si>
  <si>
    <t>Carandai</t>
  </si>
  <si>
    <t>Carangola</t>
  </si>
  <si>
    <t>Caratinga</t>
  </si>
  <si>
    <t>Carmo do Rio Claro</t>
  </si>
  <si>
    <t>Congonhas</t>
  </si>
  <si>
    <t>Conselheiro Lafaiete</t>
  </si>
  <si>
    <t>Conselheiro Pena</t>
  </si>
  <si>
    <t>Contagem</t>
  </si>
  <si>
    <t>Coracao de Jesus</t>
  </si>
  <si>
    <t>Coromandel</t>
  </si>
  <si>
    <t>Coronel Fabriciano</t>
  </si>
  <si>
    <t>Diamantina</t>
  </si>
  <si>
    <t>Divino</t>
  </si>
  <si>
    <t>Eloi Mendes</t>
  </si>
  <si>
    <t>Esmeraldas</t>
  </si>
  <si>
    <t>Espera Feliz</t>
  </si>
  <si>
    <t>Extrema</t>
  </si>
  <si>
    <t>Formiga</t>
  </si>
  <si>
    <t>Francisco Sa</t>
  </si>
  <si>
    <t>Frutal</t>
  </si>
  <si>
    <t>Governador Valadares</t>
  </si>
  <si>
    <t>Ibia</t>
  </si>
  <si>
    <t>Ibirite</t>
  </si>
  <si>
    <t>Inhapim</t>
  </si>
  <si>
    <t>Ipanema</t>
  </si>
  <si>
    <t>Ipatinga</t>
  </si>
  <si>
    <t>Itajuba</t>
  </si>
  <si>
    <t>Itamarandiba</t>
  </si>
  <si>
    <t>Itambacuri</t>
  </si>
  <si>
    <t>Itamogi</t>
  </si>
  <si>
    <t>Itauna</t>
  </si>
  <si>
    <t>Ituiutaba</t>
  </si>
  <si>
    <t>Iturama</t>
  </si>
  <si>
    <t>Jaboticatubas</t>
  </si>
  <si>
    <t>Jacinto</t>
  </si>
  <si>
    <t>Januaria</t>
  </si>
  <si>
    <t>Lagoa da Prata</t>
  </si>
  <si>
    <t>Lagoa Santa</t>
  </si>
  <si>
    <t>Lavras</t>
  </si>
  <si>
    <t>Machado</t>
  </si>
  <si>
    <t>Manga</t>
  </si>
  <si>
    <t>Manhuacu</t>
  </si>
  <si>
    <t>Manhumirim</t>
  </si>
  <si>
    <t>Mantena</t>
  </si>
  <si>
    <t>Mariana</t>
  </si>
  <si>
    <t>Matozinhos</t>
  </si>
  <si>
    <t>Mirai</t>
  </si>
  <si>
    <t>Monte Azul</t>
  </si>
  <si>
    <t>Muriae</t>
  </si>
  <si>
    <t>Mutum</t>
  </si>
  <si>
    <t>Muzambinho</t>
  </si>
  <si>
    <t>Nova Lima</t>
  </si>
  <si>
    <t>Nova Ponte</t>
  </si>
  <si>
    <t>Nova Serrana</t>
  </si>
  <si>
    <t>Oliveira</t>
  </si>
  <si>
    <t>Ouro Preto</t>
  </si>
  <si>
    <t>Paracatu</t>
  </si>
  <si>
    <t>Paraguacu</t>
  </si>
  <si>
    <t>Paraopeba</t>
  </si>
  <si>
    <t>Passos</t>
  </si>
  <si>
    <t>Patos de Minas</t>
  </si>
  <si>
    <t>Pecanha</t>
  </si>
  <si>
    <t>Pedro Leopoldo</t>
  </si>
  <si>
    <t>Piranga</t>
  </si>
  <si>
    <t>Pirapora</t>
  </si>
  <si>
    <t>Pitangui</t>
  </si>
  <si>
    <t>Poco Fundo</t>
  </si>
  <si>
    <t>Pocos de Caldas</t>
  </si>
  <si>
    <t>Pompeu</t>
  </si>
  <si>
    <t>Ponte Nova</t>
  </si>
  <si>
    <t>Pouso Alegre</t>
  </si>
  <si>
    <t>Ribeirao das Neves</t>
  </si>
  <si>
    <t>Rio Casca</t>
  </si>
  <si>
    <t>Rio Paranaiba</t>
  </si>
  <si>
    <t>Rio Vermelho</t>
  </si>
  <si>
    <t>Sabara</t>
  </si>
  <si>
    <t>Santa Barbara</t>
  </si>
  <si>
    <t>Santa Luzia</t>
  </si>
  <si>
    <t>Santa Rita de Caldas</t>
  </si>
  <si>
    <t>Santo Antonio do Monte</t>
  </si>
  <si>
    <t>Santos Dumont</t>
  </si>
  <si>
    <t>Sao Francisco</t>
  </si>
  <si>
    <t>Sao Gotardo</t>
  </si>
  <si>
    <t>Sao Joao da Ponte</t>
  </si>
  <si>
    <t>Sao Joao del Rei</t>
  </si>
  <si>
    <t>Sao Romao</t>
  </si>
  <si>
    <t>Sao Sebastiao do Paraiso</t>
  </si>
  <si>
    <t>Serro</t>
  </si>
  <si>
    <t>Taiobeiras</t>
  </si>
  <si>
    <t>Timoteo</t>
  </si>
  <si>
    <t>Tombos</t>
  </si>
  <si>
    <t>Tres Coracoes</t>
  </si>
  <si>
    <t>Tupaciguara</t>
  </si>
  <si>
    <t>Uba</t>
  </si>
  <si>
    <t>Unai</t>
  </si>
  <si>
    <t>Varginha</t>
  </si>
  <si>
    <t>Vicosa</t>
  </si>
  <si>
    <t>Visconde do Rio Branco</t>
  </si>
  <si>
    <t>Adicional Periculosidade</t>
  </si>
  <si>
    <t>Adicional Insalubridade</t>
  </si>
  <si>
    <t>Adicional Noturno</t>
  </si>
  <si>
    <t>Adicional Motorista II (Gratificação)</t>
  </si>
  <si>
    <t>Adicional de Sobreaviso</t>
  </si>
  <si>
    <t>Adicional de Acúmulo de função</t>
  </si>
  <si>
    <t>13º salário (titular)</t>
  </si>
  <si>
    <t>Férias e Adicional de Férias (titular)</t>
  </si>
  <si>
    <t>Vale - Transporte</t>
  </si>
  <si>
    <t>Vale - Alimentação</t>
  </si>
  <si>
    <t>Seguro de Vida</t>
  </si>
  <si>
    <t>Despesas de Viagem</t>
  </si>
  <si>
    <t>Aviso Prévio Indenizado (API) e Reflexo do Aviso Prévio Indenizado</t>
  </si>
  <si>
    <t>Incidência do FGTS sobre API e Reflexo do API</t>
  </si>
  <si>
    <t>Multa Rescisória do FGTS sobre o Aviso Prévio Indenizado</t>
  </si>
  <si>
    <t>Aviso Prévio Trabalhado - APT</t>
  </si>
  <si>
    <t>Incidência dos encargos do submódulo 2.1 sobre Aviso Prévio Trabalhado</t>
  </si>
  <si>
    <t>Multa Rescisória do FGTS</t>
  </si>
  <si>
    <t>Indenização Adicional (Art. 9º da Lei nº 7.238/84)</t>
  </si>
  <si>
    <t>Ausência por Doença</t>
  </si>
  <si>
    <t>Ausências Legais</t>
  </si>
  <si>
    <t>Licença Paternidade</t>
  </si>
  <si>
    <t>Ausência por Acidente de Trabalho</t>
  </si>
  <si>
    <t>Férias, Adicional de Férias e 13º  com empregada em gozo de Licença Maternidade</t>
  </si>
  <si>
    <t>Incidência do Submódulo 2.1 sobre Ausências Legais</t>
  </si>
  <si>
    <t>Intervalo para Repouso ou Alimentação</t>
  </si>
  <si>
    <t>Suspensão Temporária do Contrato de Trabalho</t>
  </si>
  <si>
    <t>Uniformes e EPIs</t>
  </si>
  <si>
    <t>Materiais de Consumo</t>
  </si>
  <si>
    <t>Máquinas e Equipamentos (depreciação)</t>
  </si>
  <si>
    <t>Produtos de Limpeza e Materiais de Higiene Pessoal</t>
  </si>
  <si>
    <t>Outros (especificar)</t>
  </si>
  <si>
    <t>TERMO ADITIVO ALTERAÇÃO DA CCT</t>
  </si>
  <si>
    <t>Legenda:</t>
  </si>
  <si>
    <t>CCT/2024 Homologada</t>
  </si>
  <si>
    <t>Acréscimo de vaga - 01º TA</t>
  </si>
  <si>
    <t xml:space="preserve">1ªRepactuação CCT/2024 Homologada </t>
  </si>
  <si>
    <t>Acréscimo de vaga - 02º TA</t>
  </si>
  <si>
    <t>MÓDULO 1 - COMPOSIÇÃO DA REMUNERAÇÃO</t>
  </si>
  <si>
    <t>MÓDULO 2 – ENCARGOS E BENEFÍCIOS MENSAIS E DIÁRIOS</t>
  </si>
  <si>
    <t>MÓDULO 3 – PROVISÃO PARA RESCISÃO</t>
  </si>
  <si>
    <t>MÓDULO 4 – CUSTO DE REPOSIÇÃO DO PROFISSIONAL AUSENTE</t>
  </si>
  <si>
    <t>MÓDULO 5 – INSUMOS DIVERSOS</t>
  </si>
  <si>
    <t>MÓDULO 6 – CUSTOS INDIRETOS, TRIBUTOS E LUCRO</t>
  </si>
  <si>
    <t>Submódulo 2.1 - Encargos Previdenciários, FGTS e Outras Contribuições</t>
  </si>
  <si>
    <t>Submódulo 2.2 - 13º Salário, Férias e Adicional de Férias</t>
  </si>
  <si>
    <t>Submódulo 2.3 - Benefícios Mensais e Diários</t>
  </si>
  <si>
    <t>Submódulo 4.1 - Ausências Legais</t>
  </si>
  <si>
    <t>Submódulo 4.2 - Intrajornada</t>
  </si>
  <si>
    <t>Submódulo 4.3 - Suspensão Contratual</t>
  </si>
  <si>
    <t xml:space="preserve">MODULO 1 - REMUNERAÇÃO </t>
  </si>
  <si>
    <t>Submódulo 2.1</t>
  </si>
  <si>
    <t>Incidência do Submódulo 2.1 sobre 13º Salário, Férias e Adicional de Férias</t>
  </si>
  <si>
    <t>Submódulo 2.2</t>
  </si>
  <si>
    <t>Vale - Transporte (Descontada parcela do empregado)</t>
  </si>
  <si>
    <t>Vale - Alimentação (Descontada parcela do empregado)</t>
  </si>
  <si>
    <t>Submódulo 2.3</t>
  </si>
  <si>
    <t>MÓDULO 2 - Total Encargos e Benefícios mensais e diários</t>
  </si>
  <si>
    <t>Submódulo 4.1</t>
  </si>
  <si>
    <t>Submódulo 4.2</t>
  </si>
  <si>
    <t>Submódulo 4.3</t>
  </si>
  <si>
    <t>TOTAL MÓDULOS 1+2+3+4+5</t>
  </si>
  <si>
    <t>ISS (Conversão Alíquota s/ fatura)</t>
  </si>
  <si>
    <t>Resumo de Alíquotas (PIS+CONFINS+ISS)</t>
  </si>
  <si>
    <t>PIS + COFINS + ISS (Total Conversão  Alíquota s/ Fatura)</t>
  </si>
  <si>
    <t>Valor dos Tributos (ISS, PIS, CONFINS)</t>
  </si>
  <si>
    <t>CUSTO TOTAL MENSAL</t>
  </si>
  <si>
    <t>CUSTO TOTAL ANUAL</t>
  </si>
  <si>
    <t>ANEXO VI - PLANILHA DE COMPOSIÇÃO DE CUSTOS</t>
  </si>
  <si>
    <t>(Tudo)</t>
  </si>
  <si>
    <t>Dados para composição dos custos referentes à mão-de-obra</t>
  </si>
  <si>
    <t>CARGOS</t>
  </si>
  <si>
    <t>TOTAL DE VAGAS CONTRATADAS</t>
  </si>
  <si>
    <t>MÓDULO 1
REMUNERAÇÃO</t>
  </si>
  <si>
    <t>MODULO 2
ENVARGOS E BENEFÍCIOS MENSAIS E DIÁRIOS</t>
  </si>
  <si>
    <t>MODULO 3
PROVISÃO PARA RESCISÃO</t>
  </si>
  <si>
    <t>MODULO 4
CUSTO DE REPOSIÇÃO DO PROFISSIONAL AUSENTE</t>
  </si>
  <si>
    <t>MODULO 5
INSUMOS DIVERSOS</t>
  </si>
  <si>
    <t>MODULO 6
CUSTOS INDIRETOS, TRIBUTOS E LUCRO</t>
  </si>
  <si>
    <t>CUSTO MENSAL</t>
  </si>
  <si>
    <t>A</t>
  </si>
  <si>
    <t>Localidade</t>
  </si>
  <si>
    <t>B</t>
  </si>
  <si>
    <t>Tipo de serviço</t>
  </si>
  <si>
    <t>C</t>
  </si>
  <si>
    <t>Salário Nominativo da Categoria Profissional</t>
  </si>
  <si>
    <t>D</t>
  </si>
  <si>
    <t>Categoria profissional (vinculada à execução contratual)</t>
  </si>
  <si>
    <t>E</t>
  </si>
  <si>
    <t>Data base da categoria (dia/mês/ano)</t>
  </si>
  <si>
    <t>Composição da Remuneração</t>
  </si>
  <si>
    <t>Referência</t>
  </si>
  <si>
    <t>Valor (R$)</t>
  </si>
  <si>
    <t>F</t>
  </si>
  <si>
    <t>G</t>
  </si>
  <si>
    <t>H</t>
  </si>
  <si>
    <t>Total do Módulo 1</t>
  </si>
  <si>
    <t>2.1</t>
  </si>
  <si>
    <t>Total do Submódulo 2.1</t>
  </si>
  <si>
    <t>2.2</t>
  </si>
  <si>
    <r>
      <t>13º salário</t>
    </r>
    <r>
      <rPr>
        <sz val="10"/>
        <color indexed="10"/>
        <rFont val="Arial"/>
        <family val="2"/>
      </rPr>
      <t xml:space="preserve"> </t>
    </r>
    <r>
      <rPr>
        <sz val="11"/>
        <color theme="1"/>
        <rFont val="Aptos Narrow"/>
        <family val="2"/>
        <scheme val="minor"/>
      </rPr>
      <t>(titular)</t>
    </r>
  </si>
  <si>
    <t>Subtotal</t>
  </si>
  <si>
    <t>Total do Submódulo 2.2</t>
  </si>
  <si>
    <t>2.3</t>
  </si>
  <si>
    <t>Total do Submódulo 2.3</t>
  </si>
  <si>
    <t>2.4</t>
  </si>
  <si>
    <t>Quadro Resumo do Módulo 2 - Encargos e Benefícios Mensais e Diários</t>
  </si>
  <si>
    <t>Encargos Previdenciários, FGTS e Outras Contribuições</t>
  </si>
  <si>
    <t>13º Salário, Férias e Adicional de Férias</t>
  </si>
  <si>
    <t>Benefícios Mensais e Diários</t>
  </si>
  <si>
    <t>Total do Módulo 2</t>
  </si>
  <si>
    <t>Provisão para Rescisão</t>
  </si>
  <si>
    <t>Total do Módulo 3</t>
  </si>
  <si>
    <t>4.1</t>
  </si>
  <si>
    <t>Total do Submódulo 4.1</t>
  </si>
  <si>
    <t>4.2</t>
  </si>
  <si>
    <t>Total do Submódulo 4.2</t>
  </si>
  <si>
    <t>4.3</t>
  </si>
  <si>
    <t>Total do Submódulo 4.3</t>
  </si>
  <si>
    <t>4.4</t>
  </si>
  <si>
    <t>Quadro Resumo do Módulo 4 - Custo de Reposição do Profissional Ausente</t>
  </si>
  <si>
    <t>Intrajornada</t>
  </si>
  <si>
    <t>Suspensão Contratual</t>
  </si>
  <si>
    <t>Total do Módulo 4</t>
  </si>
  <si>
    <t>Insumos Diversos</t>
  </si>
  <si>
    <t>Total do Módulo 5</t>
  </si>
  <si>
    <t>Custos Indiretos, Tributos e Lucro</t>
  </si>
  <si>
    <t>TRIBUTOS</t>
  </si>
  <si>
    <t>%</t>
  </si>
  <si>
    <t>C.1</t>
  </si>
  <si>
    <t>C.2</t>
  </si>
  <si>
    <t>C.3</t>
  </si>
  <si>
    <t>Total Tributos</t>
  </si>
  <si>
    <t>Total do Módulo 6</t>
  </si>
  <si>
    <t>QUADRO RESUMO DO CUSTO POR EMPREGADO</t>
  </si>
  <si>
    <t>Mão-de-Obra vinculada à execução contratual</t>
  </si>
  <si>
    <t>VALOR (R$)</t>
  </si>
  <si>
    <t>Subtotal (A + B + C + D + E)</t>
  </si>
  <si>
    <t>Custo Total</t>
  </si>
  <si>
    <t>Custo Total Anual</t>
  </si>
  <si>
    <t>Custo Unitário Suspensão</t>
  </si>
  <si>
    <t>MOTORISTA I - 12 X 36 - DIURNO</t>
  </si>
  <si>
    <t>MOTORISTA I - 150 H</t>
  </si>
  <si>
    <t>MOTORISTA I - 220 H</t>
  </si>
  <si>
    <t>54</t>
  </si>
  <si>
    <t>Encarregado - 12 x 36 - Diurno</t>
  </si>
  <si>
    <t>Garcom - 12 x 36 - Diurno</t>
  </si>
  <si>
    <t>Jardineiro - 100 h</t>
  </si>
  <si>
    <t>Jardineiro - 200 h</t>
  </si>
  <si>
    <t>Jardineiro Intermitente</t>
  </si>
  <si>
    <t>Tecnico em Logistica - 12 x 36 - Diurno</t>
  </si>
  <si>
    <t>Tecnico em Logistica - 220 h</t>
  </si>
  <si>
    <t>Controlador Logistico - 220 h</t>
  </si>
  <si>
    <t>55</t>
  </si>
  <si>
    <t>56</t>
  </si>
  <si>
    <t>57</t>
  </si>
  <si>
    <t>58</t>
  </si>
  <si>
    <t>59</t>
  </si>
  <si>
    <t>Abono Único e Especial</t>
  </si>
  <si>
    <t>MG001917/2025</t>
  </si>
  <si>
    <t>MG001625/2025</t>
  </si>
  <si>
    <t>MG001778/2025</t>
  </si>
  <si>
    <t>MG001316/2025</t>
  </si>
  <si>
    <t>MG001330/2025</t>
  </si>
  <si>
    <t>MG001558/2025</t>
  </si>
  <si>
    <t>MG001627/2025</t>
  </si>
  <si>
    <t>MG001974/2025</t>
  </si>
  <si>
    <t>MG001762/2025</t>
  </si>
  <si>
    <t>MG001648/2025</t>
  </si>
  <si>
    <t>ASSISTENTE EM TECNOLOGIA DA INFORMACAO I - 220 H</t>
  </si>
  <si>
    <t>ASSISTENTE EM TECNOLOGIA DA INFORMACAO II - 220 H</t>
  </si>
  <si>
    <t>CONTROLADOR LOGISTICO - 220 H</t>
  </si>
  <si>
    <t>ENCARREGADO - 12 X 36 - DIURNO</t>
  </si>
  <si>
    <t>GARCOM - 12 X 36 - DIURNO</t>
  </si>
  <si>
    <t>INSTALADOR E MANTENEDOR DE SISTEMAS DE SEGURANCA - 220 H</t>
  </si>
  <si>
    <t>JARDINEIRO - 100 H</t>
  </si>
  <si>
    <t>JARDINEIRO - 200 H</t>
  </si>
  <si>
    <t>JARDINEIRO INTERMITENTE</t>
  </si>
  <si>
    <t>OPERADOR DE MIDIA AUDIOVISUAL - 150 H</t>
  </si>
  <si>
    <t>TECNICO EM LOGISTICA - 12 X 36 - DIURNO</t>
  </si>
  <si>
    <t>TECNICO EM LOGISTICA - 220 H</t>
  </si>
  <si>
    <t>TECNICO EM TECNOLOGIA DA INFORMACAO I - 220 H</t>
  </si>
  <si>
    <t>TECNICO EM TECNOLOGIA DA INFORMACAO II - 220 H</t>
  </si>
  <si>
    <t>TECNICO EM TECNOLOGIA DA INFORMACAO III - 220 H</t>
  </si>
  <si>
    <t>1.015.13</t>
  </si>
  <si>
    <t>1.035.13</t>
  </si>
  <si>
    <t>1.778.13</t>
  </si>
  <si>
    <t>1.024.01</t>
  </si>
  <si>
    <t>1.024.02</t>
  </si>
  <si>
    <t>1.024.03</t>
  </si>
  <si>
    <t>3.024.03</t>
  </si>
  <si>
    <t>1.024.04</t>
  </si>
  <si>
    <t>1.024.05</t>
  </si>
  <si>
    <t>1.024.06</t>
  </si>
  <si>
    <t>1.024.07</t>
  </si>
  <si>
    <t>1.024.08</t>
  </si>
  <si>
    <t>1.024.09</t>
  </si>
  <si>
    <t>1.024.10</t>
  </si>
  <si>
    <t>1.024.11</t>
  </si>
  <si>
    <t>1.024.12</t>
  </si>
  <si>
    <t>1.024.13</t>
  </si>
  <si>
    <t>1.024.14</t>
  </si>
  <si>
    <t>1.024.15</t>
  </si>
  <si>
    <t>1.024.16</t>
  </si>
  <si>
    <t>1.024.17</t>
  </si>
  <si>
    <t>1.024.18</t>
  </si>
  <si>
    <t>1.024.19</t>
  </si>
  <si>
    <t>1.024.20</t>
  </si>
  <si>
    <t>1.024.21</t>
  </si>
  <si>
    <t>1.024.22</t>
  </si>
  <si>
    <t>1.024.23</t>
  </si>
  <si>
    <t>1.024.28</t>
  </si>
  <si>
    <t>1.024.30</t>
  </si>
  <si>
    <t>1.024.31</t>
  </si>
  <si>
    <t>1.024.32</t>
  </si>
  <si>
    <t>1.024.33</t>
  </si>
  <si>
    <t>1.024.34</t>
  </si>
  <si>
    <t>1.024.35</t>
  </si>
  <si>
    <t>1.024.37</t>
  </si>
  <si>
    <t>1.024.38</t>
  </si>
  <si>
    <t>1.024.39</t>
  </si>
  <si>
    <t>1.024.40</t>
  </si>
  <si>
    <t>1.024.41</t>
  </si>
  <si>
    <t>1.024.42</t>
  </si>
  <si>
    <t>1.024.43</t>
  </si>
  <si>
    <t>1.024.44</t>
  </si>
  <si>
    <t>1.024.45</t>
  </si>
  <si>
    <t>1.024.36</t>
  </si>
  <si>
    <t>1.024.46</t>
  </si>
  <si>
    <t>1.024.47</t>
  </si>
  <si>
    <t>1.024.48</t>
  </si>
  <si>
    <t>1.024.49</t>
  </si>
  <si>
    <t>1.024.50</t>
  </si>
  <si>
    <t>1.024.51</t>
  </si>
  <si>
    <t>1.024.52</t>
  </si>
  <si>
    <t>1.024.53</t>
  </si>
  <si>
    <t>1.024.54</t>
  </si>
  <si>
    <t>1.024.55</t>
  </si>
  <si>
    <t>1.024.56</t>
  </si>
  <si>
    <t>1.024.57</t>
  </si>
  <si>
    <t>1.027.13</t>
  </si>
  <si>
    <t>1.027.14</t>
  </si>
  <si>
    <t>1.071.13</t>
  </si>
  <si>
    <t>1.116.13</t>
  </si>
  <si>
    <t>1.118.13</t>
  </si>
  <si>
    <t>1.123.13</t>
  </si>
  <si>
    <t>1.133.13</t>
  </si>
  <si>
    <t>1.134.13</t>
  </si>
  <si>
    <t>1.153.27</t>
  </si>
  <si>
    <t>1.183.13</t>
  </si>
  <si>
    <t>1.183.43</t>
  </si>
  <si>
    <t>1.079.15</t>
  </si>
  <si>
    <t>1.194.13</t>
  </si>
  <si>
    <t>1.241.43</t>
  </si>
  <si>
    <t>1.242.13</t>
  </si>
  <si>
    <t>1.105.27</t>
  </si>
  <si>
    <t>1.105.43</t>
  </si>
  <si>
    <t>1.309.13</t>
  </si>
  <si>
    <t>1.312.13</t>
  </si>
  <si>
    <t>1.313.27</t>
  </si>
  <si>
    <t>1.317.13</t>
  </si>
  <si>
    <t>1.317.42</t>
  </si>
  <si>
    <t>1.325.13</t>
  </si>
  <si>
    <t>1.327.16</t>
  </si>
  <si>
    <t>1.329.13</t>
  </si>
  <si>
    <t>1.338.43</t>
  </si>
  <si>
    <t>1.344.13</t>
  </si>
  <si>
    <t>1.145.13</t>
  </si>
  <si>
    <t>1.382.13</t>
  </si>
  <si>
    <t>1.382.43</t>
  </si>
  <si>
    <t>1.390.16</t>
  </si>
  <si>
    <t>1.393.13</t>
  </si>
  <si>
    <t>1.394.43</t>
  </si>
  <si>
    <t>1.395.13</t>
  </si>
  <si>
    <t>1.396.13</t>
  </si>
  <si>
    <t>1.433.13</t>
  </si>
  <si>
    <t>1.439.13</t>
  </si>
  <si>
    <t>1.188.42</t>
  </si>
  <si>
    <t>1.452.13</t>
  </si>
  <si>
    <t>1.456.43</t>
  </si>
  <si>
    <t>1.461.13</t>
  </si>
  <si>
    <t>1.479.43</t>
  </si>
  <si>
    <t>1.210.13</t>
  </si>
  <si>
    <t>1.517.13</t>
  </si>
  <si>
    <t>1.518.13</t>
  </si>
  <si>
    <t>1.521.27</t>
  </si>
  <si>
    <t>1.231.13</t>
  </si>
  <si>
    <t>1.231.43</t>
  </si>
  <si>
    <t>1.567.43</t>
  </si>
  <si>
    <t>1.607.13</t>
  </si>
  <si>
    <t>1.647.13</t>
  </si>
  <si>
    <t>1.672.13</t>
  </si>
  <si>
    <t>1.701.13</t>
  </si>
  <si>
    <t>1.701.16</t>
  </si>
  <si>
    <t>1.701.43</t>
  </si>
  <si>
    <t>1.702.13</t>
  </si>
  <si>
    <t>1.702.16</t>
  </si>
  <si>
    <t>1.702.43</t>
  </si>
  <si>
    <t>1.713.27</t>
  </si>
  <si>
    <t>1.720.13</t>
  </si>
  <si>
    <t>1.720.27</t>
  </si>
  <si>
    <t>TOTAL</t>
  </si>
  <si>
    <t>Encarregado - 12 x 36 - Noturno</t>
  </si>
  <si>
    <t>Garcom - 12 x 36 - Noturno</t>
  </si>
  <si>
    <t>Tecnico em Logistica - 12 x 36 - Noturno</t>
  </si>
  <si>
    <t>60</t>
  </si>
  <si>
    <t>ENCARREGADO - 12 X 36 - NOTURNO</t>
  </si>
  <si>
    <t>GARCOM - 12 X 36 - NOTURNO</t>
  </si>
  <si>
    <t>TECNICO EM LOGISTICA - 12 X 36 - NOTURNO</t>
  </si>
  <si>
    <t>1.003.26</t>
  </si>
  <si>
    <t>1.003.29</t>
  </si>
  <si>
    <t>1.003.43</t>
  </si>
  <si>
    <t>1.011.43</t>
  </si>
  <si>
    <t>1.015.45</t>
  </si>
  <si>
    <t>1.016.28</t>
  </si>
  <si>
    <t>1.016.45</t>
  </si>
  <si>
    <t>1.017.45</t>
  </si>
  <si>
    <t>1.019.43</t>
  </si>
  <si>
    <t>1.026.43</t>
  </si>
  <si>
    <t>1.035.45</t>
  </si>
  <si>
    <t>1.040.35</t>
  </si>
  <si>
    <t>1.040.44</t>
  </si>
  <si>
    <t>1.040.45</t>
  </si>
  <si>
    <t>1.042.45</t>
  </si>
  <si>
    <t>1.778.43</t>
  </si>
  <si>
    <t>1.054.45</t>
  </si>
  <si>
    <t>1.056.35</t>
  </si>
  <si>
    <t>1.056.44</t>
  </si>
  <si>
    <t>1.024.24</t>
  </si>
  <si>
    <t>1.024.25</t>
  </si>
  <si>
    <t>3.024.35</t>
  </si>
  <si>
    <t>3.024.45</t>
  </si>
  <si>
    <t>1.024.58</t>
  </si>
  <si>
    <t>1.024.59</t>
  </si>
  <si>
    <t>1.024.60</t>
  </si>
  <si>
    <t>1.027.35</t>
  </si>
  <si>
    <t>1.027.44</t>
  </si>
  <si>
    <t>1.027.45</t>
  </si>
  <si>
    <t>1.027.55</t>
  </si>
  <si>
    <t>1.073.45</t>
  </si>
  <si>
    <t>1.074.43</t>
  </si>
  <si>
    <t>1.080.45</t>
  </si>
  <si>
    <t>1.086.43</t>
  </si>
  <si>
    <t>1.090.45</t>
  </si>
  <si>
    <t>1.093.43</t>
  </si>
  <si>
    <t>1.045.45</t>
  </si>
  <si>
    <t>1.878.43</t>
  </si>
  <si>
    <t>1.106.43</t>
  </si>
  <si>
    <t>3.112.35</t>
  </si>
  <si>
    <t>1.112.44</t>
  </si>
  <si>
    <t>1.115.44</t>
  </si>
  <si>
    <t>1.120.43</t>
  </si>
  <si>
    <t>1.132.44</t>
  </si>
  <si>
    <t>1.133.27</t>
  </si>
  <si>
    <t>1.133.43</t>
  </si>
  <si>
    <t>1.134.45</t>
  </si>
  <si>
    <t>1.134.35</t>
  </si>
  <si>
    <t>1.144.44</t>
  </si>
  <si>
    <t>1.153.29</t>
  </si>
  <si>
    <t>1.153.45</t>
  </si>
  <si>
    <t>1.180.42</t>
  </si>
  <si>
    <t>1.180.43</t>
  </si>
  <si>
    <t>1.183.35</t>
  </si>
  <si>
    <t>1.183.45</t>
  </si>
  <si>
    <t>1.184.43</t>
  </si>
  <si>
    <t>1.079.14</t>
  </si>
  <si>
    <t>1.079.35</t>
  </si>
  <si>
    <t>3.079.35</t>
  </si>
  <si>
    <t>1.079.45</t>
  </si>
  <si>
    <t>1.079.55</t>
  </si>
  <si>
    <t>1.775.43</t>
  </si>
  <si>
    <t>1.193.44</t>
  </si>
  <si>
    <t>1.194.45</t>
  </si>
  <si>
    <t>1.209.45</t>
  </si>
  <si>
    <t>1.216.35</t>
  </si>
  <si>
    <t>1.216.41</t>
  </si>
  <si>
    <t>1.216.45</t>
  </si>
  <si>
    <t>1.220.26</t>
  </si>
  <si>
    <t>1.220.29</t>
  </si>
  <si>
    <t>1.220.43</t>
  </si>
  <si>
    <t>1.223.35</t>
  </si>
  <si>
    <t>3.223.35</t>
  </si>
  <si>
    <t>1.223.44</t>
  </si>
  <si>
    <t>1.223.45</t>
  </si>
  <si>
    <t>1.236.43</t>
  </si>
  <si>
    <t>1.241.45</t>
  </si>
  <si>
    <t>1.251.45</t>
  </si>
  <si>
    <t>1.261.44</t>
  </si>
  <si>
    <t>1.267.43</t>
  </si>
  <si>
    <t>1.271.43</t>
  </si>
  <si>
    <t>1.105.29</t>
  </si>
  <si>
    <t>1.105.35</t>
  </si>
  <si>
    <t>1.105.45</t>
  </si>
  <si>
    <t>1.295.43</t>
  </si>
  <si>
    <t>1.114.41</t>
  </si>
  <si>
    <t>1.114.42</t>
  </si>
  <si>
    <t>1.114.45</t>
  </si>
  <si>
    <t>1.309.43</t>
  </si>
  <si>
    <t>1.313.29</t>
  </si>
  <si>
    <t>1.313.35</t>
  </si>
  <si>
    <t>1.313.45</t>
  </si>
  <si>
    <t>1.317.41</t>
  </si>
  <si>
    <t>1.317.44</t>
  </si>
  <si>
    <t>1.324.43</t>
  </si>
  <si>
    <t>1.327.44</t>
  </si>
  <si>
    <t>1.338.45</t>
  </si>
  <si>
    <t>1.342.35</t>
  </si>
  <si>
    <t>1.342.43</t>
  </si>
  <si>
    <t>1.344.45</t>
  </si>
  <si>
    <t>1.346.43</t>
  </si>
  <si>
    <t>1.347.44</t>
  </si>
  <si>
    <t>1.352.43</t>
  </si>
  <si>
    <t>1.145.35</t>
  </si>
  <si>
    <t>3.145.35</t>
  </si>
  <si>
    <t>1.145.45</t>
  </si>
  <si>
    <t>1.372.45</t>
  </si>
  <si>
    <t>1.148.43</t>
  </si>
  <si>
    <t>1.382.28</t>
  </si>
  <si>
    <t>1.382.29</t>
  </si>
  <si>
    <t>1.382.35</t>
  </si>
  <si>
    <t>1.382.45</t>
  </si>
  <si>
    <t>1.382.44</t>
  </si>
  <si>
    <t>1.390.45</t>
  </si>
  <si>
    <t>1.393.41</t>
  </si>
  <si>
    <t>1.393.42</t>
  </si>
  <si>
    <t>1.394.45</t>
  </si>
  <si>
    <t>1.395.45</t>
  </si>
  <si>
    <t>1.400.45</t>
  </si>
  <si>
    <t>1.411.44</t>
  </si>
  <si>
    <t>1.422.43</t>
  </si>
  <si>
    <t>1.429.43</t>
  </si>
  <si>
    <t>1.433.28</t>
  </si>
  <si>
    <t>1.433.35</t>
  </si>
  <si>
    <t>1.433.41</t>
  </si>
  <si>
    <t>1.433.42</t>
  </si>
  <si>
    <t>1.433.45</t>
  </si>
  <si>
    <t>1.439.45</t>
  </si>
  <si>
    <t>1.440.44</t>
  </si>
  <si>
    <t>1.441.43</t>
  </si>
  <si>
    <t>1.188.35</t>
  </si>
  <si>
    <t>1.188.41</t>
  </si>
  <si>
    <t>1.188.44</t>
  </si>
  <si>
    <t>1.450.45</t>
  </si>
  <si>
    <t>1.452.45</t>
  </si>
  <si>
    <t>1.456.45</t>
  </si>
  <si>
    <t>1.461.43</t>
  </si>
  <si>
    <t>1.470.45</t>
  </si>
  <si>
    <t>1.472.43</t>
  </si>
  <si>
    <t>1.474.43</t>
  </si>
  <si>
    <t>1.479.35</t>
  </si>
  <si>
    <t>3.479.35</t>
  </si>
  <si>
    <t>1.479.45</t>
  </si>
  <si>
    <t>1.480.35</t>
  </si>
  <si>
    <t>1.480.45</t>
  </si>
  <si>
    <t>1.486.43</t>
  </si>
  <si>
    <t>1.210.45</t>
  </si>
  <si>
    <t>1.508.44</t>
  </si>
  <si>
    <t>1.512.45</t>
  </si>
  <si>
    <t>1.514.44</t>
  </si>
  <si>
    <t>1.518.35</t>
  </si>
  <si>
    <t>3.518.35</t>
  </si>
  <si>
    <t>1.520.43</t>
  </si>
  <si>
    <t>1.521.29</t>
  </si>
  <si>
    <t>1.521.42</t>
  </si>
  <si>
    <t>1.521.43</t>
  </si>
  <si>
    <t>1.525.35</t>
  </si>
  <si>
    <t>3.525.35</t>
  </si>
  <si>
    <t>1.525.43</t>
  </si>
  <si>
    <t>1.231.35</t>
  </si>
  <si>
    <t>1.231.45</t>
  </si>
  <si>
    <t>1.549.43</t>
  </si>
  <si>
    <t>1.555.43</t>
  </si>
  <si>
    <t>1.560.43</t>
  </si>
  <si>
    <t>1.567.45</t>
  </si>
  <si>
    <t>1.572.45</t>
  </si>
  <si>
    <t>1.245.35</t>
  </si>
  <si>
    <t>1.245.44</t>
  </si>
  <si>
    <t>1.592.45</t>
  </si>
  <si>
    <t>1.604.43</t>
  </si>
  <si>
    <t>1.611.28</t>
  </si>
  <si>
    <t>1.611.43</t>
  </si>
  <si>
    <t>1.621.45</t>
  </si>
  <si>
    <t>1.624.43</t>
  </si>
  <si>
    <t>1.625.35</t>
  </si>
  <si>
    <t>1.625.41</t>
  </si>
  <si>
    <t>1.625.42</t>
  </si>
  <si>
    <t>1.625.45</t>
  </si>
  <si>
    <t>1.637.41</t>
  </si>
  <si>
    <t>1.637.42</t>
  </si>
  <si>
    <t>1.642.43</t>
  </si>
  <si>
    <t>1.647.43</t>
  </si>
  <si>
    <t>1.671.43</t>
  </si>
  <si>
    <t>1.672.35</t>
  </si>
  <si>
    <t>1.672.41</t>
  </si>
  <si>
    <t>1.672.42</t>
  </si>
  <si>
    <t>1.680.43</t>
  </si>
  <si>
    <t>1.686.28</t>
  </si>
  <si>
    <t>1.686.35</t>
  </si>
  <si>
    <t>3.686.35</t>
  </si>
  <si>
    <t>1.686.41</t>
  </si>
  <si>
    <t>1.686.42</t>
  </si>
  <si>
    <t>1.687.45</t>
  </si>
  <si>
    <t>1.692.43</t>
  </si>
  <si>
    <t>1.693.45</t>
  </si>
  <si>
    <t>1.696.44</t>
  </si>
  <si>
    <t>1.699.35</t>
  </si>
  <si>
    <t>1.699.43</t>
  </si>
  <si>
    <t>1.701.28</t>
  </si>
  <si>
    <t>1.701.35</t>
  </si>
  <si>
    <t>1.701.45</t>
  </si>
  <si>
    <t>1.702.28</t>
  </si>
  <si>
    <t>1.702.35</t>
  </si>
  <si>
    <t>3.702.35</t>
  </si>
  <si>
    <t>1.702.45</t>
  </si>
  <si>
    <t>1.702.60</t>
  </si>
  <si>
    <t>1.704.43</t>
  </si>
  <si>
    <t>1.707.35</t>
  </si>
  <si>
    <t>1.707.43</t>
  </si>
  <si>
    <t>1.290.35</t>
  </si>
  <si>
    <t>1.290.41</t>
  </si>
  <si>
    <t>1.290.42</t>
  </si>
  <si>
    <t>1.290.45</t>
  </si>
  <si>
    <t>1.713.29</t>
  </si>
  <si>
    <t>1.713.43</t>
  </si>
  <si>
    <t>1.720.29</t>
  </si>
  <si>
    <t>1.720.43</t>
  </si>
  <si>
    <t>FRASCO 200G</t>
  </si>
  <si>
    <t>FRASCO 300G</t>
  </si>
  <si>
    <t>Cera automotiva limpadora em pasta, pote de 300 gramas, para conservação da pintura de veículos.</t>
  </si>
  <si>
    <t>FRASCO 500G</t>
  </si>
  <si>
    <t>FRASCO 500ML</t>
  </si>
  <si>
    <t>GALÃO 5L </t>
  </si>
  <si>
    <t>FRASCO 1L </t>
  </si>
  <si>
    <t>Flanela em microfibra para limpeza automotiva (mín.L 40cm X C60cm).</t>
  </si>
  <si>
    <t>Trincha média nº 4 de duas polegadas e meia; pelo de malta.</t>
  </si>
  <si>
    <t>Pincel de detalhamento automotivo.</t>
  </si>
  <si>
    <t>Pulverizador compressão prévia mín 1 litro, para pulverização de desengraxante em rodas, capotas, etc.</t>
  </si>
  <si>
    <t>Escova de cerdas macias para carpetes, tapetes e estofados - limpeza veicular.</t>
  </si>
  <si>
    <t>Luva de microfibra para limpeza automotiva.</t>
  </si>
  <si>
    <t>Contratual</t>
  </si>
  <si>
    <t>Saco de casca de pinus, capacidade de 40 litros.</t>
  </si>
  <si>
    <t>Fungicida para proteção contra manchas foliares, ferrugem, pinta preta, oídio. Frasco aspersor com capacidade de 1/2 meio litro. Marca Forth Fungicida ou similar.</t>
  </si>
  <si>
    <t>Terra vegetal - pacote de 25kg.</t>
  </si>
  <si>
    <t>Substrato para plantas de jardim - pacote de 25kg. Marca All Garden ou similar.</t>
  </si>
  <si>
    <t>Fertilizante NPK 04-14-08 - pacote de 5kg.</t>
  </si>
  <si>
    <t>Fio de nylon, para aparador de grama, 3mm quadrados; marca/modelo equipamento: compatível com todas as roçadeiras a gasolina, bobina com 255m.</t>
  </si>
  <si>
    <t>Grama esmeralda (m²) (registro no Renasem).</t>
  </si>
  <si>
    <t>Clorofito (conjunto de 5 mudas).</t>
  </si>
  <si>
    <t>Muda de piteira do Caribe (Agave angustifolia).</t>
  </si>
  <si>
    <t>Muda de agave dragão (Agave attenuata).</t>
  </si>
  <si>
    <t>Muda de croton.</t>
  </si>
  <si>
    <t>Muda de Dianella Tasmanica.</t>
  </si>
  <si>
    <t>Muda de maranta pena de pavão.</t>
  </si>
  <si>
    <t>Muda de pata de elefante.</t>
  </si>
  <si>
    <t>Muda de dracena marginata (tricolor).</t>
  </si>
  <si>
    <t>Muda de palmeira areca de bambu.</t>
  </si>
  <si>
    <t>Muda de yuca.</t>
  </si>
  <si>
    <t>Muda de palmeira fênix.</t>
  </si>
  <si>
    <t>Muda de quaresmeira roxa.</t>
  </si>
  <si>
    <t>Muda de manacá da serra.</t>
  </si>
  <si>
    <t>Muda de jasmim manga.</t>
  </si>
  <si>
    <t>Muda de ipê amarelo.</t>
  </si>
  <si>
    <t>Muda de ipê rosa.</t>
  </si>
  <si>
    <t xml:space="preserve">Vaso em polietileno com 35 cm de altura, 39 cm de diâmetro da boca e 33 cm de diâmetro da base, com 32 litros de volume (poderá ser aceito produto com variação de medidas - 5 cm a mais ou menos). </t>
  </si>
  <si>
    <t xml:space="preserve">Vaso em polietileno com 46 cm de altura, 51 cm de diâmetro da boca e 33 cm de diâmetro da base, com 50 litros de volume  (poderá ser aceito produto com variação de medidas - 5 cm a mais ou menos). </t>
  </si>
  <si>
    <t>Vaso ideal para plantas de grande porte, especialmente frutíferas, com 70 cm de altura, 67 cm de largura, 67 cm de comprimento e 50 cm de base, pesando 8 kg e com 200 litros de capacidade, produzido em polietileno  (poderá ser aceito produto com variação de medidas - 5 cm a mais ou menos).</t>
  </si>
  <si>
    <t>QUANT ANUAL DO ITEM</t>
  </si>
  <si>
    <t>Quepe</t>
  </si>
  <si>
    <t>Quepe em tecido sintético, composto por poliéster e algodão; cor azul-marinho</t>
  </si>
  <si>
    <t>Qtde Anual de Peças</t>
  </si>
  <si>
    <t>Sapato social masculino (com cadarço) ou feminino (sem cadarço) de couro preto</t>
  </si>
  <si>
    <t>Sapato social (sem cadarço) de couro preto, sem salto.</t>
  </si>
  <si>
    <t>Camisa social composta por no mínimo 50% algodão, de boa qualidade</t>
  </si>
  <si>
    <t>Luvas Descartáveis De Látex (Com Pó) Tamanhos P, M, G</t>
  </si>
  <si>
    <t>Luvas Descartáveis Nitrílica (Isenta De Pó) Tamanhos P, M, G</t>
  </si>
  <si>
    <t>Máscara Descartável Tripla</t>
  </si>
  <si>
    <t>Máscara N95 Sem Válvula (50%)</t>
  </si>
  <si>
    <t>Máscara N95 Com Válvula (50%)</t>
  </si>
  <si>
    <t>AUXILIAR DE BIBLIOTECA - 220 H</t>
  </si>
  <si>
    <t>Almoxarife - 220 h, Assistente de Compras - 220 h, Assistente de Qualidade - 220 h, Auxiliar de Arquivo I - 220 h, Auxiliar de Arquivo II - 150 h, Auxiliar de Biblioteca - 220 h,  Auxiliar de Cadastro e Expedicao - 220 H, Auxiliar de Manutencao Predial - 220 h, Bombeiro Hidraulico - 220 h, Carregador - 220 h, Continuo - 220 h, Controlador Logistico - 220 h, Copeiro - 220 h, Eletricista - 220 h, Encarregado - 12 x 36 - Diurno, Encarregado - 12 x 36 - Noturno, Encarregado - 220 h, Fotografo - 150 h, Garcom - 12 x 36 - Diurno, Garcom - 12 x 36 - Noturno, Garcom - 220 h, Instalador e Mantenedor de Sistemas de Seguranca - 220 h, Jardineiro - 100 h, Jardineiro - 200 h, Jardineiro - 220 h, Jardineiro Intermitente, Lavador de Veiculos - 220 h, Manobrista - 220 h, Marceneiro - 220 h, Pedreiro - 220 h, Pintor - 220 h, Porteiro - 12 x 36 - Diurno, Porteiro - 12 x 36 - Noturno, Porteiro - 220 h, Recepcionista - 150 h, Recepcionista - 220 h, Supervisor de Manutencao de Veiculos I - 220 h, Supervisor de Manutencao de Veiculos II - 220 h, Tecnico em Logistica - 12 x 36 - Diurno, Tecnico em Logistica - 12 x 36 - Noturno, Tecnico em Logistica - 220 h, Tecnico em Edificacoes - 220 h, Tecnico em Eletrotecnica/Eletronica - 220 h e Tecnico em Mecanica/Eletromecanica - 220 h</t>
  </si>
  <si>
    <t>Auxiliar de Biblioteca - 220 h</t>
  </si>
  <si>
    <t>3.024.02</t>
  </si>
  <si>
    <t>1.433.06</t>
  </si>
  <si>
    <t>1.702.06</t>
  </si>
  <si>
    <t>MG002279/2025</t>
  </si>
  <si>
    <t>MG002177/2025</t>
  </si>
  <si>
    <t>MG001893/2025</t>
  </si>
  <si>
    <t>MG002513/2025</t>
  </si>
  <si>
    <t>Luvas</t>
  </si>
  <si>
    <t>Calçado Ocupacional Tipo Botina</t>
  </si>
  <si>
    <t>Óculos De Segurança De Sobreposição Incolor Ou Fumê</t>
  </si>
  <si>
    <t>Touca Descartável</t>
  </si>
  <si>
    <t>Vestimenta Tipo Avental (Uso Sobre O Jaleco De Tecido)</t>
  </si>
  <si>
    <t>Avental De Pvc</t>
  </si>
  <si>
    <t>Avental De Raspa</t>
  </si>
  <si>
    <t>Bota De Borracha</t>
  </si>
  <si>
    <t>Calça De Segurança Confeccionada Em Tecido Cedrotech </t>
  </si>
  <si>
    <t>Camisa De Segurança Confeccionada Em Uma Camada De Tecido Cedrotech</t>
  </si>
  <si>
    <t>Capacete Aba Frontal Tipo Ii Classe B</t>
  </si>
  <si>
    <t>Capuz Ou Balaclava</t>
  </si>
  <si>
    <t>Cinto De Segurança</t>
  </si>
  <si>
    <t>Creme Protetor De Pele (Luva Quimica)</t>
  </si>
  <si>
    <t>Luvas - Classe 00 Para 2,5 Kv</t>
  </si>
  <si>
    <t>Luvas - Cobertura Tipo Vaqueta</t>
  </si>
  <si>
    <t>Luvas - Em Pvc (Plastissol) Com Forro De Algodão</t>
  </si>
  <si>
    <t>Luvas - Látex Vulcanizada (Flex Cut Ou Suedine)</t>
  </si>
  <si>
    <t>Luvas De Borracha</t>
  </si>
  <si>
    <t>Luvas De Raspa</t>
  </si>
  <si>
    <t>Luvas Nitrílicas Cano Longo</t>
  </si>
  <si>
    <t>Macacão Com Capuz (Tamanho Gg)</t>
  </si>
  <si>
    <t>Manguito Mangote</t>
  </si>
  <si>
    <t>Máscara De Solda Com Escurecimento Automático</t>
  </si>
  <si>
    <t>Máscara Pff2 Sem Válvula</t>
  </si>
  <si>
    <t>Perneira De Raspa</t>
  </si>
  <si>
    <t>Protetor Auricular Plug Com Cordinha</t>
  </si>
  <si>
    <t>Protetor Auricular Tipo Concha</t>
  </si>
  <si>
    <t>Respirador Com Filtro Contra Vapores Orgânicos (Com 4 Cartuchos Químicos Vo), Compatível Com O Respirador</t>
  </si>
  <si>
    <t>Capa De Chuva De Pvc Forrado</t>
  </si>
  <si>
    <t>Cinto De Proteção Lombar</t>
  </si>
  <si>
    <t>Avental Em Vinil</t>
  </si>
  <si>
    <t>Máscara Descartável Em Tnt Com Elástico</t>
  </si>
  <si>
    <t>Touca Branca Com Tela E Pala</t>
  </si>
  <si>
    <t>Óculos De Segurança Incolor, Tipo Rj, Sem Material Condutor De Energia</t>
  </si>
  <si>
    <t>Luva De Malha Pigmentada</t>
  </si>
  <si>
    <t xml:space="preserve">Perneira De Proteção Resistente A Picadas De Animais Peçonhentos / Couro		</t>
  </si>
  <si>
    <t>Protetor Respiratório Pff1</t>
  </si>
  <si>
    <t>Protetor Solar</t>
  </si>
  <si>
    <t>Touca Árabe</t>
  </si>
  <si>
    <t>Calça Em Pvc</t>
  </si>
  <si>
    <t>Luva Nitrílica (Cano Médio)</t>
  </si>
  <si>
    <t>Luvas Microfibra Para Limpeza Automotiva</t>
  </si>
  <si>
    <t>Vestimenta Tipo Blusão</t>
  </si>
  <si>
    <t>Calçado Ocupacional Tipo Sapato</t>
  </si>
  <si>
    <t>Calçado Ocupacional Tipo Tênis</t>
  </si>
  <si>
    <t>Óculos</t>
  </si>
  <si>
    <t>Máscara</t>
  </si>
  <si>
    <t>Protetor</t>
  </si>
  <si>
    <t>Camisa</t>
  </si>
  <si>
    <t>Calça</t>
  </si>
  <si>
    <t>Capa</t>
  </si>
  <si>
    <t>Cinto</t>
  </si>
  <si>
    <t>Capacete</t>
  </si>
  <si>
    <t>Capuz</t>
  </si>
  <si>
    <t>Macacão</t>
  </si>
  <si>
    <t>Vestimenta</t>
  </si>
  <si>
    <t>Item</t>
  </si>
  <si>
    <t>Perneira</t>
  </si>
  <si>
    <t>Manguito</t>
  </si>
  <si>
    <t>Tênis de Lona</t>
  </si>
  <si>
    <t>Máscaras Respiratórias Pff 2 Vo</t>
  </si>
  <si>
    <t>Aspirador de pó e líquido para higienização de veículos, potência: 1500 a 1600 W. Mangueira de sucção, 2.5 m, Curvatura.Marca Karcher ou similar.</t>
  </si>
  <si>
    <t>Lavadora de alta pressão profissional; finalidade: limpeza de áreas internas e externas, vazão de 600 l/h e pressão de até 150 bar. Tensão ( face/V/Hz) 127V/Hz. Potência(KW) 3,3. Marca Karcher ou similar.</t>
  </si>
  <si>
    <t xml:space="preserve">Roçadeira a gasolina/óleo, profissional, 65CC. Especificações: dimensões: 109 x 30 x 12,7 cm; 9 quilogramas; motor: 65 CC, 3CV, 2 TEMPOS, filtro de ar duplo; rolamento de óleo dentro do eixo; protetor de lâmina; punho multifuncional; placa de embreagem; espessura do punho: 1.5 MM x 1.2 MM). Marca Düseldorf, Husqvarna ou similar. </t>
  </si>
  <si>
    <t>Carrinho de mão (carrinho de pedreiro) com caçamba rasa metálica, braço metálico e pneu com câmara. Referência: Tramontina.</t>
  </si>
  <si>
    <t>Tesoura para jardinagem com lâmina metálica e cabo de madeira - 48,6 x 15,9 x 10,8 cm, 500g. Ref.: Tramontina ou similar.</t>
  </si>
  <si>
    <t>Tesoura de poda de jardim com lâmina metálica e cabo revestido de plástico 17,8 x 6,2 x 0,25 cm; 116 g. Ref.: Tramontina ou similar.</t>
  </si>
  <si>
    <t>Sacho para jardinagem fabricado em aço carbono  especial, cabo de 120cm e acabamento envernizado, olho de 29mm de diâmetro - dimensões: 120,5 x 9,8 x 26,7; 850g. Ref.: Tramontina ou similar.</t>
  </si>
  <si>
    <t>Rastelo com cabeça de plástico resistente e largura de 54cm, com 26 dentes. Ref.: Trapp ou similar.</t>
  </si>
  <si>
    <t>Pá de ferro para jardinagem fabricada em aço carbono especial, cortada a laser, pintura eletrostática a pó, cabo de 71cm envernizado - 100,9 x 24,8 x 12,1 cm; 1,22 quilogramas. Ref.: Minasul ou similar.</t>
  </si>
  <si>
    <t>Foice roçadeira com cabo de madeira de 110cm, produzida em aço carbono, 1361 x 174 x 36mm. Ref.: Tramontina ou similar.</t>
  </si>
  <si>
    <t>Garfo de jardim comprimento forcado 42cm, comprimento cabo 120cm. Ref.: Tarza ou similar.</t>
  </si>
  <si>
    <t>Ancinho rastelo com 30cm de ferro reforçado, 14 dentes com cabo de madeira. Ref.: Tarza ou similar.</t>
  </si>
  <si>
    <t>Enxada de jardinagem 2,5Lbs com cabo de madeira de 145cm. Ref.: Tramontina ou similar.</t>
  </si>
  <si>
    <t>Protetor de roçagem com 4 rodas maciças com aproximadamente 15cm de diâmetro, com regulagem, desmontável. Ref.: Meghi ou similar.</t>
  </si>
  <si>
    <t>Aspersor para irrigação agrícola 3/4, pressão de trabalho 25mca, não setorial, material: plástico. 2 bicos aspersores com ângulo de trajetória 25 e 25 bocais coloridos para fácil identificação. Ref.: Impelbras ou similar.</t>
  </si>
  <si>
    <t>Facão - matéria prima: aco inoxidável 420; tipo: para mato; tamanho: lâmina 34 cm; cabo: abs com revestimento emborrachado, medindo 16cm. Ref.: Paraboni, Tramontina ou similar.</t>
  </si>
  <si>
    <t xml:space="preserve">Carrinho para café - matéria prima: aço inox aisi 304 com acabamento polido, chapa 24, tipo: com 04 rodízios, número de planos: 04 planos, dimensões: 50 cm de largura e 85 cm de altura.  Complementação da especificação do item de material: Carrinho para serviço de café com toda estrutura em tubo quadrado 20x20 chapa 18 e também em aço inox. Possui dimensões externas de 80 cm de comprimento, 50 cm de largura e 85 cm de altura, sem considerar os rodízios. O carrinho conta com quatro bandejas medindo 45 cm de largura, 47 cm de comprimento e 6 cm de profundidade, com abas de 2 cm. Inclui um compartimento fechado com dimensões de 30 cm de comprimento, 50 cm de largura e 85 cm de altura, contendo uma prateleira interna que forma um vão inferior de 50 cm e uma porta frontal que permite o fechamento simultâneo dos dois compartimentos. A barra para manuseio é feita em tubo redondo de ¾ polegadas. O carrinho é equipado com quatro rodízios maciços de 6x2, sendo as referências R62 PRM para a roda maciça, GGS62 para o suporte giratório e GFS62 para o suporte fixo. </t>
  </si>
  <si>
    <t>Cera para polimento automotivo, consistência em massa - 500g, para remoção de riscos ou marcas em veículos</t>
  </si>
  <si>
    <t>Silicone para limpeza automotiva, pote de 200 gramas</t>
  </si>
  <si>
    <t>Limpa vidros automotivo, recipiente de500ml.</t>
  </si>
  <si>
    <t>Desengraxante automotivo, galão de 5 litros</t>
  </si>
  <si>
    <t>Limpa Pneu Líquido ("Pretinho"), frasco de 1 litro</t>
  </si>
  <si>
    <t>Xampu automotivo líquido viscoso, galão de 5 litros</t>
  </si>
  <si>
    <t>Horas Extras TI</t>
  </si>
  <si>
    <t>1.231.31</t>
  </si>
  <si>
    <t>MG002846/2025</t>
  </si>
  <si>
    <t>MG002682/2025</t>
  </si>
  <si>
    <t>MG002742/2025</t>
  </si>
  <si>
    <t>MG002721/2025</t>
  </si>
  <si>
    <t>GERAL</t>
  </si>
  <si>
    <t>ORIENTAÇÕES PARA OS LICITANTES</t>
  </si>
  <si>
    <t> </t>
  </si>
  <si>
    <t>OBTENÇÃO DO PREÇO DA PROPOSTA</t>
  </si>
  <si>
    <t>REDUÇÃO DO SEGURO DE VIDA - SUBMÓDULO 2.3 - ITEM G</t>
  </si>
  <si>
    <t>REDUÇÃO DO  CUSTO UNITÁRIO DOS UNIFORMES E EPIS - MÓDULO 5 - ITEM A</t>
  </si>
  <si>
    <t>REDUÇÃO DO CUSTO UNITÁRIO DOS MATERIAIS DE CONSUMO - MÓDULO 5 - ITEM B</t>
  </si>
  <si>
    <t>REDUÇÃO DO  CUSTO UNITÁRIO DAS MÁQUINAS E  EQUIPAMENTOS (DEPRECIAÇÃO) - MÓDULO 5 - ITEM C</t>
  </si>
  <si>
    <t>CUSTO INDIRETO - MÓDULO 6 - ITEM A</t>
  </si>
  <si>
    <t>LUCRO - MÓDULO 6 - ITEM B</t>
  </si>
  <si>
    <t>REDUÇÃO DO RAT AJUSTADO - SUBMÓDULO 2.1 - ITEM G</t>
  </si>
  <si>
    <t>O PERCENTUAL MÁXIMO PERMITIDO PARA RAT AJUSTADO É DE 4% (2% DE RAT MULTIPLICADO POR 2 DE FAP). Este item poderá ser reduzido na licitação. Para tanto, o licitante deverá alterar o valor contido "AE8" da aba "BASE GERAL" deste Apenso. Ressalva-se que a modificação desse item na célula retromencionada promoverá a atualização em todas as demais abas, sem necessidade de qualquer outra alteração manual em outro campo deste Apenso. O percentual informado pela licitante vencedora para este item será praticado durante todo o período de vigência do contrato e o valor correspondente apurado na proposta será fixo para cada posto. A alteração do percentual do RAT ajustado, no decorrer do contrato, somente será processada mediante solicitação e comprovação da contratada.</t>
  </si>
  <si>
    <t xml:space="preserve">PREÇO MÁXIMO PERMITIDO R$3,36. Este item poderá ser reduzido na licitação. Para tanto, o licitante deverá alterar o valor contido na célula "AA5" da aba "BASE GERAL" deste Apenso. Ressalva-se que a modificação desse item na célula retromencionada promoverá a atualização em todas as demais abas, sem necessidade de qualquer outra alteração manual em outro campo deste Apenso. O preço informado pela licitante vencedora para este item será praticado durante todo o período de vigência do contrato e o valor correspondente apurado na proposta será fixo para cada posto, podendo ser reajustado anualmente pelo IPCA. </t>
  </si>
  <si>
    <t xml:space="preserve">PREÇOS MÁXIMOS PERMITIDOS CONFORME APENSO VIII E VALORES UNITÁRIOS CONSTANTES NA ABA "UNIFORMES" DESTE APENSO. Este item poderá ser reduzido na licitação. Para tanto, o licitante deverá acessar a aba “UNIFORMES” deste Apenso e alterar as células da coluna D, sinalizadas em amarelo, informando os valores unitários que serão empregados ao longo da execução contratual. Assim, automaticamente os custos de uniforme por posto serão alterados e atualizados nas células da coluna K da aba  “UNIFORMES” e em todas as demais abas da planilha, sem a necessidade de alteração manual em qualquer outro campo deste apenso. O preço informado pela licitante vencedora para este item será praticado durante todo o período de vigência do contrato e o valor correspondente apurado na proposta será fixo para cada posto, podendo ser reajustado anualmente pelo IPCA. </t>
  </si>
  <si>
    <t>COMPOSIÇÃO DO LDI - (DEVERÁ SER CALCULADO APÓS ATUALIZAÇÃO DOS ITENS DE RAT, SEGURO DE VIDA, UNIFORMES, MATERIAIS DE CONSUMO E EQUIPAMENTOS OS QUAIS PODERÃO SER REDUZIDOS NA LICITAÇÃO)</t>
  </si>
  <si>
    <t xml:space="preserve">Os preços unitários dos uniformes poderão ser reduzidos na licitação. Para tanto, basta filtrar o item e o tipo de uniforme e alterar o valor nas células da coluna D preenchidas em "amarelo". </t>
  </si>
  <si>
    <t>APENSO IX - Quantitativo estimado e preços de referência de Materiais de Consumo 
APENSO XI- Quantitativo estimado e preços de Máquinas e Equipamentos – Depreciação Mensal</t>
  </si>
  <si>
    <t xml:space="preserve">Apenso XI – Quantitativo estimado e preços de Máquinas e Equipamentos – Depreciação Mensal </t>
  </si>
  <si>
    <t xml:space="preserve">PREÇOS MÁXIMOS PERMITIDOS CONFORME APENSO IX E VALORES UNITÁRIOS CONSTANTES NAS ABAS "INSUMOS JARDINAGEM" e "INSUMOS LAV. VEÍCULO" DESTE APENSO.
**Materiais de consumo utilizados nos serviços de apoio: nas abas "INSUMOS JARDINAGEM" e "INSUMOS LAV. VEÍCULO" os preços unitários constantes nas células da coluna J, sinalizadas em amarelo,  poderão ser reduzidos. Para tanto, basta filtra na coluna tipo o item "Material" e alterar o valor dessas células. Os valores unitários por posto que dependem desse preço serão automaticamente alterados nas células da coluna P e aplicados em todas as demais planilhas para a formação do preço. Não é necessário alterar nenhum outro campo manualmente. O preço informado pela licitante vencedora para estes itens serão praticados durante todo o período de vigência do contrato e o valor correspondente apurado na proposta será fixo para cada posto, podendo ser reajustado anualmente pelo IPCA. 
</t>
  </si>
  <si>
    <t xml:space="preserve">*PREÇOS MÁXIMOS PERMITIDOS CONFORME APENSO XI E VALORES UNITÁRIOS CONSTANTES  NAS ABAS "INSUMOS JARDINAGEM", "INSUMOS LAV. VEÍCULO" E "INSUMOS GARÇOM" DESTE APENSO.
**Equipamentos utilizados nos serviços de apoio: nas abas "INSUMOS JARDINAGEM", "INSUMOS LAV. VEÍCULO" E "INSUMOS GARÇOM" os preços unitários constantes nas células da coluna J, sinalizadas em amarelo, poderão ser reduzidos. Para tanto, basta filtra na coluna tipo o item "Equipamento" e alterar o valor dessas células. Os valores unitários por posto que dependem desse preço serão automaticamente alterados nas células da coluna P e aplicados em todas as demais planilhas para a formação do preço. Não é necessário alterar nenhum outro campo manualmente. O preço informado pela licitante vencedora para estes itens serão praticados durante todo o período de vigência do contrato e o valor correspondente apurado na proposta será fixo para cada posto, podendo ser reajustado anualmente pelo IPCA. </t>
  </si>
  <si>
    <t xml:space="preserve">*PREÇOS MÁXIMOS PERMITIDOS CONFORME APENSO X E VALORES UNITÁRIOS CONSTANTES NA ABA "INSUMOS LAV. VEÍCULO" DESTE APENSO.
**Para os Produtos utilizados nos serviços de apoio: na aba "INSUMOS LAV. VEÍCULO" os preços unitários constantes nas células da coluna J, sinalizadas em amarelo,  poderão ser reduzidos. Para tanto, basta filtra na coluna tipo o item "Produto" e alterar o valor dessas células. Os valores unitários por posto que dependem desse preço serão automaticamente alterados nas células da coluna P e aplicados em todas as demais planilhas para a formação do preço. Não é necessário alterar nenhum outro campo manualmente. O preço informado pela licitante vencedora para estes itens serão praticados durante todo o período de vigência do contrato e o valor correspondente apurado na proposta será fixo para cada posto, podendo ser reajustado anualmente pelo IPCA. </t>
  </si>
  <si>
    <t>REDUÇÃO DO  CUSTO UNITÁRIO DOS PRODUTOS DE apoio e motoristas E MATERIAIS DE HIGIENE PESSOAL - MÓDULO 5 - ITEM D</t>
  </si>
  <si>
    <t xml:space="preserve">VALOR MÁXIMO PERMITIDO R$ 381,16 POR POSTO DA CATEGORIA DE Apoio e Motoristas. Para cálculo do Custo Indireto o licitante deverá:    
Na célula "AA3" da aba "BASE GERAL" deste Apenso, reduzir/alterar apenas o percentual de 5% (Limite Máximo) constante na fórmula obtida da seguinte forma:  Divisão do total do Custo Direto (Soma dos módulos 1, 2, 3, 4 e 5 - célula  "BO342" da aba "CUSTO GLOBAL") pelo total de vagas previstas (1304 vagas - célula  "G342" da aba "CUSTO GLOBAL") e multiplicação pelo percentual de Custo Indireto a ser praticado pelo licitante vencedor (Máximo 5%).
O valor unitário obtido será fixo por posto de Apoio e Motoristas durante todo o período de vigência contratual, podendo ser alterado anualmente pelo IPCA.
Ressalva-se que o valor obtido na célula "AA3" da aba "BASE GERAL" para o Custo Indireto dos postos de apoio e motoristas será automaticamente atualizado em todas as demais abas, sem necessidade de qualquer outra alteração manual em outro campo deste Apenso.
 </t>
  </si>
  <si>
    <t xml:space="preserve">VALOR MÁXIMO PERMITIDO R$ 320,18 POR POSTO DA CATEGORIA Apoio e Motoristas. Para cálculo do Lucro o licitante deverá:
Na célula "AA4" da aba "BASE GERAL" deste Apenso, reduzir/alterar apenas o percentual de 4% (Limite Máximo) constante na fórmula obtida da seguinte forma:- Soma do total do Custo Direto (Soma dos módulos 1, 2, 3, 4 e 5 - célula "BO342" da aba "CUSTO GLOBAL") com o total do Custo Indireto (célula  "BP342" da aba "CUSTO GLOBAL"), dividido pelo total de vagas previstas (1304 vagas - célula  "G342" da aba "CUSTO GLOBAL") e multiplicação pelo percentual de Lucro a ser praticado pelo liciante vencedor (Máximo 4%).
O valor unitário obtido  será fixo por posto de Apoio e Motoristas durante todo o período de vigência contratual, podendo ser alterado anualmente pelo IPCA.
Ressalva-se que o valor obtido na célula "AA4" da aba "BASE GERAL" para o Custo Indireto dos postos de apoio e motoristas será automaticamente atualizado em todas as demais abas, sem necessidade de qualquer outra alteração manual em outro campo deste Apenso.
 </t>
  </si>
  <si>
    <t>COFINS - MÓDULO 6 - ITEM C.1</t>
  </si>
  <si>
    <t>PIS - MÓDULO 6 - ITEM C.2</t>
  </si>
  <si>
    <t>APENSO IX - Quantitativo estimado e preços de referência de Materiais de Consumo 
APENSO X – Quantitativo estimado e preços de referência de Produtos de Limpeza
APENSO XI- Quantitativo estimado e preços de Máquinas e Equipamentos – Depreciação Mensal</t>
  </si>
  <si>
    <t>O PREÇO MÁXIMO GLOBAL PERMITIDO PARA A PROPOSTA SERÁ DE R$ 14.682.971,94 - MENSAL E R$ 176.195.663,28 -  ANUAL, SENDO QUE DESSE PREÇO,  R$ 2.083.443,20 (MENSAL) E R$ 25.001.318,35 (ANUAL) CORRESPONDE AO PREÇO DA CATEGORIA LIMPEZA E CONSERVAÇÃO E O RESTANTE R$ 12.599.528,74 (MENSAL) E R$ 151.194.344,93 CORRESPONDE A CATEGORIA APOIO ADMINISTRATIVO E MOTORISTAS.
IMPORTANTE:  VALORES IRRISÓRIOS PARA A PROPOSTA OU PARA QUALQUER UM DOS ITENS PASSÍVEIS DE REDUÇÃO DURANTE A LICITAÇÃO, BEM COMO PARA O LDI (CUSTO INDIRETO E LUCRO), PODERÃO TORNAR A PROPOSTA INEXEQUÍVEL. OCORRENDO TAL FATO, A CONTRATANTE SOLICITARÁ DILIGÊNCIAS PARA QUE O LICITANTE VENCEDOR COMPROVE A EXEQUIBILIDADE DA PROPOSTA . NÃO HAVENDO COMPROVAÇÃO DA EXIQUIBILIDADE O LICITANTE PODERÁ SER DESCLASSIFICADO.
O PREÇO DA PROPOSTA PARA OS CARGOS DE APOIO E MOTORISTAS PODERÁ SER OBSERVADO NESTE APENSO NA ABA "CUSTO GLOBAL" CÉLULAS "BZ342" (VALOR MENSAL) E "CA342" (VALOR ANUAL). 
RESSALTA-SE QUE, PARA OBTER O PREÇO DA PROPOSTA, O LICITANTE NÃO PRECISA ALTERAR O VALOR INDICADO NAS CÉLULAS ACIMA, DEVENDO OBSERVAR E PRATICAR AS ORIENTAÇÕES A SEGUIR PARA ALTERAÇÃO SOMENTE DOS CAMPOS PASSÍVEIS DE REDUÇÃO DURANTE A LICITAÇÃO. À  MEDIDA QUE AS ALTERAÇÕES FOREM SENDO REALIZADAS PELO LICITANTE NOS CAMPOS INFRAMENCIONADOS,  O VALOR FINAL DA PROPOSTA SERÁ ATUALIZADO AUTOMATICAMENTE NA ABA "CUSTO GLOBAL" CÉLULAS "BZ342" (VALOR MENSAL) E "CA342" (VALOR ANUAL).</t>
  </si>
  <si>
    <t>O PERCENTUAL MÁXIMO PERMITIDO PARA O COFINS É DE 7,6%. Este item poderá ser reduzido na licitação. Para tanto, o licitante deverá alterar o valor contido na célula "AE10" da aba "BASE GERAL" deste Apenso. Ressalva-se que a modificação desse item na célula retromencionada promoverá a atualização em todas as demais abas, sem necessidade de qualquer outra alteração manual em outro campo deste Apenso. O percentual informado pela licitante vencedora para este item será praticado durante todo o período de vigência do contrato, podendo ser alterado, no decorrer do contrato, somente numa eventual mudança do regime tributário, mediante solicitação e comprovação da contratada.</t>
  </si>
  <si>
    <t>O PERCENTUAL MÁXIMO PERMITIDO PARA O PIS É DE 1,65%. Este item poderá ser reduzido na licitação. Para tanto, o licitante deverá alterar o valor contido na célula "AE11" da aba "BASE GERAL" deste Apenso. Ressalva-se que a modificação desse item na célula retromencionada promoverá a atualização em todas as demais abas, sem necessidade de qualquer outra alteração manual em outro campo deste Apenso. O percentual informado pela licitante vencedora para este item será praticado durante todo o período de vigência do contrato, podendo ser alterado, no decorrer do contrato, somente numa eventual mudança do regime tributário, mediante solicitação e comprovação da contratada.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</si>
</sst>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4" formatCode="_-&quot;R$&quot;\ * #,##0.00_-;\-&quot;R$&quot;\ * #,##0.00_-;_-&quot;R$&quot;\ * &quot;-&quot;??_-;_-@_-"/>
    <numFmt numFmtId="43" formatCode="_-* #,##0.00_-;\-* #,##0.00_-;_-* &quot;-&quot;??_-;_-@_-"/>
    <numFmt numFmtId="164" formatCode="_(&quot;R$ &quot;* #,##0.00_);_(&quot;R$ &quot;* \(#,##0.00\);_(&quot;R$ &quot;* &quot;-&quot;??_);_(@_)"/>
    <numFmt numFmtId="165" formatCode="yyyy"/>
    <numFmt numFmtId="166" formatCode="_(* #,##0.00_);_(* \(#,##0.00\);_(* &quot;-&quot;??_);_(@_)"/>
    <numFmt numFmtId="167" formatCode="0.0%"/>
    <numFmt numFmtId="168" formatCode="&quot;R$ &quot;#,##0.00_);[Red]\(&quot;R$ &quot;#,##0.00\)"/>
    <numFmt numFmtId="169" formatCode="&quot;R$&quot;\ #,##0.00"/>
    <numFmt numFmtId="170" formatCode="_(&quot;R$&quot;* #,##0.00_);_(&quot;R$&quot;* \(#,##0.00\);_(&quot;R$&quot;* &quot;-&quot;??_);_(@_)"/>
    <numFmt numFmtId="171" formatCode="&quot;R$ &quot;#,##0.00_);\(&quot;R$ &quot;#,##0.00\)"/>
    <numFmt numFmtId="172" formatCode="&quot; R$&quot;#,##0.00\ ;&quot; R$(&quot;#,##0.00\);&quot; R$-&quot;#\ ;@\ "/>
    <numFmt numFmtId="173" formatCode="00"/>
    <numFmt numFmtId="174" formatCode="_-* #,##0.0000_-;\-* #,##0.0000_-;_-* &quot;-&quot;??_-;_-@_-"/>
  </numFmts>
  <fonts count="28">
    <font>
      <sz val="11"/>
      <color theme="1"/>
      <name val="Aptos Narrow"/>
      <family val="2"/>
      <scheme val="minor"/>
    </font>
    <font>
      <sz val="11"/>
      <color theme="1"/>
      <name val="Aptos Narrow"/>
      <family val="2"/>
      <scheme val="minor"/>
    </font>
    <font>
      <b/>
      <sz val="11"/>
      <color theme="0"/>
      <name val="Aptos Narrow"/>
      <family val="2"/>
      <scheme val="minor"/>
    </font>
    <font>
      <sz val="10"/>
      <name val="Arial"/>
      <family val="2"/>
    </font>
    <font>
      <sz val="9"/>
      <name val="Arial"/>
      <family val="2"/>
    </font>
    <font>
      <b/>
      <sz val="10"/>
      <name val="Arial"/>
      <family val="2"/>
    </font>
    <font>
      <b/>
      <sz val="10"/>
      <color indexed="8"/>
      <name val="Arial"/>
      <family val="2"/>
    </font>
    <font>
      <sz val="10"/>
      <color indexed="8"/>
      <name val="Arial"/>
      <family val="2"/>
    </font>
    <font>
      <b/>
      <sz val="9"/>
      <color indexed="8"/>
      <name val="Arial"/>
      <family val="2"/>
    </font>
    <font>
      <sz val="8"/>
      <name val="Aptos Narrow"/>
      <family val="2"/>
      <scheme val="minor"/>
    </font>
    <font>
      <b/>
      <sz val="11"/>
      <color theme="1"/>
      <name val="Aptos Narrow"/>
      <family val="2"/>
      <scheme val="minor"/>
    </font>
    <font>
      <sz val="10"/>
      <color indexed="10"/>
      <name val="Arial"/>
      <family val="2"/>
    </font>
    <font>
      <sz val="9"/>
      <color theme="1"/>
      <name val="Aptos Narrow"/>
      <family val="2"/>
      <scheme val="minor"/>
    </font>
    <font>
      <sz val="10"/>
      <color rgb="FF000000"/>
      <name val="Arial"/>
      <family val="2"/>
    </font>
    <font>
      <b/>
      <sz val="10"/>
      <color theme="0"/>
      <name val="Arial"/>
      <family val="2"/>
    </font>
    <font>
      <sz val="10"/>
      <name val="Tahoma"/>
      <family val="2"/>
    </font>
    <font>
      <b/>
      <sz val="12"/>
      <name val="Arial"/>
      <family val="2"/>
    </font>
    <font>
      <sz val="11"/>
      <name val="Aptos Narrow"/>
      <family val="2"/>
      <scheme val="minor"/>
    </font>
    <font>
      <sz val="12"/>
      <name val="Arial"/>
      <family val="2"/>
    </font>
    <font>
      <sz val="11"/>
      <color rgb="FFFF0000"/>
      <name val="Aptos Narrow"/>
      <family val="2"/>
      <scheme val="minor"/>
    </font>
    <font>
      <sz val="11"/>
      <name val="Arial"/>
      <family val="2"/>
    </font>
    <font>
      <b/>
      <sz val="9"/>
      <color theme="0"/>
      <name val="Arial"/>
      <family val="2"/>
    </font>
    <font>
      <b/>
      <sz val="9"/>
      <name val="Arial"/>
      <family val="2"/>
    </font>
    <font>
      <b/>
      <sz val="12"/>
      <color theme="1"/>
      <name val="Aptos Narrow"/>
      <family val="2"/>
      <scheme val="minor"/>
    </font>
    <font>
      <b/>
      <sz val="10"/>
      <color rgb="FFFFFFFF"/>
      <name val="Arial"/>
      <family val="2"/>
    </font>
    <font>
      <b/>
      <sz val="10"/>
      <color rgb="FFFF0000"/>
      <name val="Segoe UI"/>
      <family val="2"/>
    </font>
    <font>
      <sz val="10"/>
      <color rgb="FF333333"/>
      <name val="Segoe UI"/>
      <family val="2"/>
    </font>
    <font>
      <sz val="10"/>
      <color rgb="FF000000"/>
      <name val="Segoe UI"/>
      <family val="2"/>
    </font>
  </fonts>
  <fills count="3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rgb="FFDAE9F8"/>
        <bgColor indexed="64"/>
      </patternFill>
    </fill>
    <fill>
      <patternFill patternType="solid">
        <fgColor rgb="FF92D050"/>
        <bgColor indexed="64"/>
      </patternFill>
    </fill>
    <fill>
      <patternFill patternType="solid">
        <fgColor rgb="FF9999FF"/>
        <bgColor indexed="64"/>
      </patternFill>
    </fill>
    <fill>
      <patternFill patternType="solid">
        <fgColor rgb="FFFFC00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rgb="FFEEBBEF"/>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rgb="FFFFFF00"/>
        <bgColor indexed="64"/>
      </patternFill>
    </fill>
    <fill>
      <patternFill patternType="solid">
        <fgColor theme="7" tint="0.79998168889431442"/>
        <bgColor indexed="64"/>
      </patternFill>
    </fill>
    <fill>
      <patternFill patternType="solid">
        <fgColor rgb="FF00B050"/>
        <bgColor indexed="64"/>
      </patternFill>
    </fill>
    <fill>
      <patternFill patternType="solid">
        <fgColor rgb="FFFF0066"/>
        <bgColor indexed="64"/>
      </patternFill>
    </fill>
    <fill>
      <patternFill patternType="solid">
        <fgColor theme="0"/>
        <bgColor indexed="31"/>
      </patternFill>
    </fill>
    <fill>
      <patternFill patternType="solid">
        <fgColor theme="4"/>
        <bgColor theme="4"/>
      </patternFill>
    </fill>
    <fill>
      <patternFill patternType="solid">
        <fgColor theme="0" tint="-0.14999847407452621"/>
        <bgColor indexed="64"/>
      </patternFill>
    </fill>
    <fill>
      <patternFill patternType="solid">
        <fgColor theme="6"/>
        <bgColor indexed="64"/>
      </patternFill>
    </fill>
    <fill>
      <patternFill patternType="solid">
        <fgColor theme="2" tint="-0.249977111117893"/>
        <bgColor indexed="64"/>
      </patternFill>
    </fill>
    <fill>
      <patternFill patternType="solid">
        <fgColor theme="3" tint="0.749992370372631"/>
        <bgColor indexed="64"/>
      </patternFill>
    </fill>
    <fill>
      <patternFill patternType="solid">
        <fgColor rgb="FFFFFF99"/>
        <bgColor indexed="64"/>
      </patternFill>
    </fill>
    <fill>
      <patternFill patternType="solid">
        <fgColor rgb="FF00B0F0"/>
        <bgColor indexed="64"/>
      </patternFill>
    </fill>
    <fill>
      <patternFill patternType="solid">
        <fgColor rgb="FFDAEEF3"/>
        <bgColor indexed="64"/>
      </patternFill>
    </fill>
    <fill>
      <patternFill patternType="solid">
        <fgColor theme="9"/>
        <bgColor theme="9"/>
      </patternFill>
    </fill>
    <fill>
      <patternFill patternType="solid">
        <fgColor theme="9" tint="0.79998168889431442"/>
        <bgColor theme="9" tint="0.79998168889431442"/>
      </patternFill>
    </fill>
    <fill>
      <patternFill patternType="solid">
        <fgColor rgb="FF305496"/>
        <bgColor rgb="FF000000"/>
      </patternFill>
    </fill>
    <fill>
      <patternFill patternType="solid">
        <fgColor rgb="FFFFFF00"/>
        <bgColor rgb="FF000000"/>
      </patternFill>
    </fill>
    <fill>
      <patternFill patternType="solid">
        <fgColor rgb="FFFFFFFF"/>
        <bgColor rgb="FF000000"/>
      </patternFill>
    </fill>
  </fills>
  <borders count="60">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auto="1"/>
      </left>
      <right/>
      <top/>
      <bottom/>
      <diagonal/>
    </border>
    <border>
      <left style="thin">
        <color indexed="64"/>
      </left>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style="thin">
        <color indexed="64"/>
      </left>
      <right style="thin">
        <color indexed="64"/>
      </right>
      <top/>
      <bottom/>
      <diagonal/>
    </border>
    <border>
      <left/>
      <right/>
      <top style="thin">
        <color theme="4"/>
      </top>
      <bottom style="thin">
        <color theme="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s>
  <cellStyleXfs count="1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164" fontId="3" fillId="0" borderId="0" applyFill="0" applyBorder="0" applyAlignment="0" applyProtection="0"/>
    <xf numFmtId="0" fontId="1" fillId="0" borderId="0"/>
    <xf numFmtId="166" fontId="3" fillId="0" borderId="0" applyFont="0" applyFill="0" applyBorder="0" applyAlignment="0" applyProtection="0"/>
    <xf numFmtId="9" fontId="3" fillId="0" borderId="0" applyFill="0" applyBorder="0" applyAlignment="0" applyProtection="0"/>
    <xf numFmtId="0" fontId="3" fillId="0" borderId="0"/>
    <xf numFmtId="166" fontId="3" fillId="0" borderId="0" applyFont="0" applyFill="0" applyBorder="0" applyAlignment="0" applyProtection="0"/>
    <xf numFmtId="172" fontId="3" fillId="0" borderId="0" applyFill="0" applyBorder="0" applyAlignment="0" applyProtection="0"/>
    <xf numFmtId="0" fontId="1" fillId="0" borderId="0"/>
    <xf numFmtId="43" fontId="1" fillId="0" borderId="0" applyFont="0" applyFill="0" applyBorder="0" applyAlignment="0" applyProtection="0"/>
    <xf numFmtId="0" fontId="3" fillId="0" borderId="0"/>
    <xf numFmtId="0" fontId="3" fillId="0" borderId="0"/>
  </cellStyleXfs>
  <cellXfs count="419">
    <xf numFmtId="0" fontId="0" fillId="0" borderId="0" xfId="0"/>
    <xf numFmtId="0" fontId="4" fillId="0" borderId="0" xfId="3" applyFont="1"/>
    <xf numFmtId="0" fontId="6" fillId="5" borderId="2" xfId="3" applyFont="1" applyFill="1" applyBorder="1" applyAlignment="1">
      <alignment horizontal="center" vertical="center" wrapText="1"/>
    </xf>
    <xf numFmtId="0" fontId="6" fillId="6" borderId="2" xfId="3" applyFont="1" applyFill="1" applyBorder="1" applyAlignment="1">
      <alignment horizontal="center" vertical="center" wrapText="1"/>
    </xf>
    <xf numFmtId="0" fontId="7" fillId="7" borderId="2" xfId="3" applyFont="1" applyFill="1" applyBorder="1" applyAlignment="1">
      <alignment vertical="center"/>
    </xf>
    <xf numFmtId="0" fontId="4" fillId="2" borderId="0" xfId="3" applyFont="1" applyFill="1"/>
    <xf numFmtId="0" fontId="4" fillId="8" borderId="2" xfId="3" applyFont="1" applyFill="1" applyBorder="1"/>
    <xf numFmtId="0" fontId="4" fillId="0" borderId="2" xfId="3" applyFont="1" applyBorder="1"/>
    <xf numFmtId="0" fontId="4" fillId="10" borderId="0" xfId="3" applyFont="1" applyFill="1"/>
    <xf numFmtId="0" fontId="4" fillId="0" borderId="2" xfId="0" applyFont="1" applyBorder="1"/>
    <xf numFmtId="0" fontId="4" fillId="9" borderId="0" xfId="3" applyFont="1" applyFill="1"/>
    <xf numFmtId="0" fontId="3" fillId="0" borderId="0" xfId="3"/>
    <xf numFmtId="0" fontId="6" fillId="11" borderId="2" xfId="3" applyFont="1" applyFill="1" applyBorder="1" applyAlignment="1">
      <alignment horizontal="center" vertical="center" wrapText="1"/>
    </xf>
    <xf numFmtId="0" fontId="6" fillId="14" borderId="2" xfId="3" applyFont="1" applyFill="1" applyBorder="1" applyAlignment="1">
      <alignment horizontal="center" vertical="center" wrapText="1"/>
    </xf>
    <xf numFmtId="0" fontId="6" fillId="12" borderId="2" xfId="3" applyFont="1" applyFill="1" applyBorder="1" applyAlignment="1">
      <alignment horizontal="center" vertical="center" wrapText="1"/>
    </xf>
    <xf numFmtId="0" fontId="6" fillId="15" borderId="6" xfId="3" applyFont="1" applyFill="1" applyBorder="1" applyAlignment="1">
      <alignment horizontal="center" vertical="center" wrapText="1"/>
    </xf>
    <xf numFmtId="0" fontId="6" fillId="4" borderId="5" xfId="3" applyFont="1" applyFill="1" applyBorder="1" applyAlignment="1">
      <alignment horizontal="center" vertical="center" wrapText="1"/>
    </xf>
    <xf numFmtId="0" fontId="6" fillId="13" borderId="5" xfId="3" applyFont="1" applyFill="1" applyBorder="1" applyAlignment="1">
      <alignment horizontal="center" vertical="center" wrapText="1"/>
    </xf>
    <xf numFmtId="0" fontId="6" fillId="6" borderId="3" xfId="3"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44" fontId="0" fillId="0" borderId="0" xfId="1" applyFont="1"/>
    <xf numFmtId="44" fontId="0" fillId="0" borderId="0" xfId="0" applyNumberFormat="1"/>
    <xf numFmtId="0" fontId="0" fillId="20" borderId="0" xfId="0" applyFill="1" applyAlignment="1">
      <alignment horizontal="center" vertical="center" wrapText="1"/>
    </xf>
    <xf numFmtId="165" fontId="0" fillId="0" borderId="0" xfId="0" applyNumberFormat="1" applyAlignment="1">
      <alignment horizontal="center"/>
    </xf>
    <xf numFmtId="44" fontId="0" fillId="0" borderId="0" xfId="0" applyNumberFormat="1" applyAlignment="1">
      <alignment horizontal="center"/>
    </xf>
    <xf numFmtId="10" fontId="0" fillId="0" borderId="0" xfId="2" applyNumberFormat="1" applyFont="1" applyAlignment="1">
      <alignment horizontal="center"/>
    </xf>
    <xf numFmtId="0" fontId="0" fillId="0" borderId="0" xfId="0" applyAlignment="1">
      <alignment horizontal="left"/>
    </xf>
    <xf numFmtId="167" fontId="0" fillId="0" borderId="0" xfId="2" applyNumberFormat="1" applyFont="1" applyAlignment="1">
      <alignment horizontal="center"/>
    </xf>
    <xf numFmtId="0" fontId="10" fillId="0" borderId="2" xfId="0" applyFont="1" applyBorder="1" applyAlignment="1">
      <alignment horizontal="center" vertical="center" wrapText="1"/>
    </xf>
    <xf numFmtId="0" fontId="10" fillId="17" borderId="2" xfId="0" applyFont="1" applyFill="1" applyBorder="1" applyAlignment="1">
      <alignment horizontal="center" vertical="center" wrapText="1"/>
    </xf>
    <xf numFmtId="0" fontId="10" fillId="18" borderId="2" xfId="0" applyFont="1" applyFill="1" applyBorder="1" applyAlignment="1">
      <alignment horizontal="center" vertical="center" wrapText="1"/>
    </xf>
    <xf numFmtId="0" fontId="10" fillId="19" borderId="2" xfId="0" applyFont="1" applyFill="1" applyBorder="1" applyAlignment="1">
      <alignment horizontal="center" vertical="center" wrapText="1"/>
    </xf>
    <xf numFmtId="0" fontId="10" fillId="20" borderId="2" xfId="0" applyFont="1" applyFill="1" applyBorder="1" applyAlignment="1">
      <alignment horizontal="center" vertical="center" wrapText="1"/>
    </xf>
    <xf numFmtId="0" fontId="5" fillId="2" borderId="20" xfId="3" applyFont="1" applyFill="1" applyBorder="1" applyAlignment="1">
      <alignment horizontal="center" vertical="center"/>
    </xf>
    <xf numFmtId="168" fontId="3" fillId="2" borderId="24" xfId="3" applyNumberFormat="1" applyFill="1" applyBorder="1" applyAlignment="1">
      <alignment horizontal="center" vertical="center"/>
    </xf>
    <xf numFmtId="0" fontId="5" fillId="2" borderId="25" xfId="3" applyFont="1" applyFill="1" applyBorder="1" applyAlignment="1">
      <alignment horizontal="center" vertical="center"/>
    </xf>
    <xf numFmtId="0" fontId="3" fillId="2" borderId="28" xfId="3" applyFill="1" applyBorder="1" applyAlignment="1">
      <alignment horizontal="center" vertical="center"/>
    </xf>
    <xf numFmtId="0" fontId="5" fillId="2" borderId="29" xfId="3" applyFont="1" applyFill="1" applyBorder="1" applyAlignment="1">
      <alignment horizontal="center" vertical="center"/>
    </xf>
    <xf numFmtId="0" fontId="5" fillId="21" borderId="15" xfId="3" applyFont="1" applyFill="1" applyBorder="1" applyAlignment="1">
      <alignment horizontal="center" vertical="center"/>
    </xf>
    <xf numFmtId="0" fontId="5" fillId="21" borderId="16" xfId="3" applyFont="1" applyFill="1" applyBorder="1" applyAlignment="1">
      <alignment horizontal="center" vertical="center"/>
    </xf>
    <xf numFmtId="0" fontId="3" fillId="2" borderId="15" xfId="3" applyFill="1" applyBorder="1"/>
    <xf numFmtId="0" fontId="3" fillId="2" borderId="16" xfId="3" applyFill="1" applyBorder="1"/>
    <xf numFmtId="0" fontId="5" fillId="2" borderId="32" xfId="3" applyFont="1" applyFill="1" applyBorder="1" applyAlignment="1">
      <alignment horizontal="center" vertical="center"/>
    </xf>
    <xf numFmtId="0" fontId="5" fillId="2" borderId="17" xfId="3" applyFont="1" applyFill="1" applyBorder="1" applyAlignment="1">
      <alignment horizontal="center" vertical="center"/>
    </xf>
    <xf numFmtId="0" fontId="5" fillId="2" borderId="19" xfId="3" applyFont="1" applyFill="1" applyBorder="1" applyAlignment="1">
      <alignment horizontal="center" vertical="center"/>
    </xf>
    <xf numFmtId="0" fontId="5" fillId="2" borderId="33" xfId="3" applyFont="1" applyFill="1" applyBorder="1" applyAlignment="1">
      <alignment horizontal="center" vertical="center"/>
    </xf>
    <xf numFmtId="166" fontId="0" fillId="2" borderId="28" xfId="6" applyFont="1" applyFill="1" applyBorder="1" applyAlignment="1">
      <alignment vertical="center"/>
    </xf>
    <xf numFmtId="166" fontId="0" fillId="2" borderId="24" xfId="6" applyFont="1" applyFill="1" applyBorder="1" applyAlignment="1">
      <alignment vertical="center"/>
    </xf>
    <xf numFmtId="10" fontId="3" fillId="2" borderId="24" xfId="7" applyNumberFormat="1" applyFill="1" applyBorder="1" applyAlignment="1">
      <alignment horizontal="center" vertical="center"/>
    </xf>
    <xf numFmtId="166" fontId="0" fillId="2" borderId="31" xfId="6" applyFont="1" applyFill="1" applyBorder="1" applyAlignment="1">
      <alignment vertical="center"/>
    </xf>
    <xf numFmtId="0" fontId="5" fillId="2" borderId="18" xfId="3" applyFont="1" applyFill="1" applyBorder="1" applyAlignment="1">
      <alignment horizontal="center" vertical="center"/>
    </xf>
    <xf numFmtId="166" fontId="5" fillId="2" borderId="32" xfId="6" applyFont="1" applyFill="1" applyBorder="1" applyAlignment="1">
      <alignment vertical="center"/>
    </xf>
    <xf numFmtId="0" fontId="5" fillId="2" borderId="15" xfId="3" applyFont="1" applyFill="1" applyBorder="1" applyAlignment="1">
      <alignment horizontal="center" vertical="center"/>
    </xf>
    <xf numFmtId="2" fontId="5" fillId="2" borderId="16" xfId="3" applyNumberFormat="1" applyFont="1" applyFill="1" applyBorder="1" applyAlignment="1">
      <alignment vertical="center"/>
    </xf>
    <xf numFmtId="10" fontId="3" fillId="2" borderId="34" xfId="3" applyNumberFormat="1" applyFill="1" applyBorder="1" applyAlignment="1">
      <alignment horizontal="center" vertical="center"/>
    </xf>
    <xf numFmtId="166" fontId="0" fillId="2" borderId="23" xfId="6" applyFont="1" applyFill="1" applyBorder="1" applyAlignment="1">
      <alignment vertical="center"/>
    </xf>
    <xf numFmtId="10" fontId="3" fillId="2" borderId="25" xfId="3" applyNumberFormat="1" applyFill="1" applyBorder="1" applyAlignment="1">
      <alignment horizontal="center" vertical="center"/>
    </xf>
    <xf numFmtId="10" fontId="5" fillId="2" borderId="17" xfId="3" applyNumberFormat="1" applyFont="1" applyFill="1" applyBorder="1" applyAlignment="1">
      <alignment horizontal="center" vertical="center"/>
    </xf>
    <xf numFmtId="10" fontId="5" fillId="2" borderId="18" xfId="3" applyNumberFormat="1" applyFont="1" applyFill="1" applyBorder="1" applyAlignment="1">
      <alignment horizontal="center" vertical="center"/>
    </xf>
    <xf numFmtId="166" fontId="5" fillId="2" borderId="19" xfId="6" applyFont="1" applyFill="1" applyBorder="1" applyAlignment="1">
      <alignment vertical="center"/>
    </xf>
    <xf numFmtId="0" fontId="5" fillId="2" borderId="34" xfId="3" applyFont="1" applyFill="1" applyBorder="1" applyAlignment="1">
      <alignment horizontal="center" vertical="center"/>
    </xf>
    <xf numFmtId="10" fontId="3" fillId="2" borderId="28" xfId="3" applyNumberFormat="1" applyFill="1" applyBorder="1" applyAlignment="1">
      <alignment horizontal="center" vertical="center"/>
    </xf>
    <xf numFmtId="10" fontId="3" fillId="2" borderId="36" xfId="3" applyNumberFormat="1" applyFill="1" applyBorder="1" applyAlignment="1">
      <alignment horizontal="center" vertical="center"/>
    </xf>
    <xf numFmtId="166" fontId="0" fillId="2" borderId="36" xfId="6" applyFont="1" applyFill="1" applyBorder="1" applyAlignment="1">
      <alignment vertical="center"/>
    </xf>
    <xf numFmtId="0" fontId="5" fillId="2" borderId="32" xfId="3" applyFont="1" applyFill="1" applyBorder="1" applyAlignment="1">
      <alignment vertical="center"/>
    </xf>
    <xf numFmtId="10" fontId="5" fillId="2" borderId="19" xfId="3" applyNumberFormat="1" applyFont="1" applyFill="1" applyBorder="1" applyAlignment="1">
      <alignment horizontal="center" vertical="center"/>
    </xf>
    <xf numFmtId="10" fontId="3" fillId="2" borderId="32" xfId="3" applyNumberFormat="1" applyFill="1" applyBorder="1" applyAlignment="1">
      <alignment horizontal="center" vertical="center"/>
    </xf>
    <xf numFmtId="166" fontId="0" fillId="2" borderId="19" xfId="6" applyFont="1" applyFill="1" applyBorder="1" applyAlignment="1">
      <alignment vertical="center"/>
    </xf>
    <xf numFmtId="10" fontId="5" fillId="2" borderId="32" xfId="3" applyNumberFormat="1" applyFont="1" applyFill="1" applyBorder="1" applyAlignment="1">
      <alignment horizontal="center" vertical="center"/>
    </xf>
    <xf numFmtId="166" fontId="5" fillId="2" borderId="37" xfId="6" applyFont="1" applyFill="1" applyBorder="1" applyAlignment="1">
      <alignment vertical="center"/>
    </xf>
    <xf numFmtId="0" fontId="5" fillId="21" borderId="17" xfId="3" applyFont="1" applyFill="1" applyBorder="1" applyAlignment="1">
      <alignment vertical="center"/>
    </xf>
    <xf numFmtId="0" fontId="5" fillId="21" borderId="18" xfId="3" applyFont="1" applyFill="1" applyBorder="1" applyAlignment="1">
      <alignment vertical="center"/>
    </xf>
    <xf numFmtId="0" fontId="5" fillId="21" borderId="19" xfId="3" applyFont="1" applyFill="1" applyBorder="1" applyAlignment="1">
      <alignment vertical="center"/>
    </xf>
    <xf numFmtId="0" fontId="5" fillId="2" borderId="38" xfId="3" applyFont="1" applyFill="1" applyBorder="1" applyAlignment="1">
      <alignment horizontal="center" vertical="center"/>
    </xf>
    <xf numFmtId="170" fontId="3" fillId="2" borderId="28" xfId="4" applyNumberFormat="1" applyFill="1" applyBorder="1" applyAlignment="1">
      <alignment horizontal="left" vertical="center"/>
    </xf>
    <xf numFmtId="170" fontId="3" fillId="2" borderId="24" xfId="4" applyNumberFormat="1" applyFill="1" applyBorder="1" applyAlignment="1">
      <alignment horizontal="left" vertical="center"/>
    </xf>
    <xf numFmtId="166" fontId="0" fillId="2" borderId="24" xfId="6" applyFont="1" applyFill="1" applyBorder="1" applyAlignment="1">
      <alignment horizontal="right" vertical="center"/>
    </xf>
    <xf numFmtId="170" fontId="3" fillId="2" borderId="36" xfId="4" applyNumberFormat="1" applyFill="1" applyBorder="1" applyAlignment="1">
      <alignment horizontal="left" vertical="center"/>
    </xf>
    <xf numFmtId="166" fontId="0" fillId="2" borderId="36" xfId="6" applyFont="1" applyFill="1" applyBorder="1" applyAlignment="1">
      <alignment horizontal="right" vertical="center"/>
    </xf>
    <xf numFmtId="170" fontId="3" fillId="2" borderId="29" xfId="4" applyNumberFormat="1" applyFill="1" applyBorder="1" applyAlignment="1">
      <alignment horizontal="center" vertical="center"/>
    </xf>
    <xf numFmtId="166" fontId="0" fillId="2" borderId="31" xfId="6" applyFont="1" applyFill="1" applyBorder="1" applyAlignment="1">
      <alignment horizontal="right" vertical="center"/>
    </xf>
    <xf numFmtId="0" fontId="5" fillId="2" borderId="40" xfId="3" applyFont="1" applyFill="1" applyBorder="1" applyAlignment="1">
      <alignment horizontal="center" vertical="center"/>
    </xf>
    <xf numFmtId="0" fontId="5" fillId="2" borderId="37" xfId="3" applyFont="1" applyFill="1" applyBorder="1" applyAlignment="1">
      <alignment horizontal="center" vertical="center"/>
    </xf>
    <xf numFmtId="0" fontId="5" fillId="21" borderId="15" xfId="3" applyFont="1" applyFill="1" applyBorder="1" applyAlignment="1">
      <alignment vertical="center"/>
    </xf>
    <xf numFmtId="0" fontId="5" fillId="21" borderId="16" xfId="3" applyFont="1" applyFill="1" applyBorder="1" applyAlignment="1">
      <alignment vertical="center"/>
    </xf>
    <xf numFmtId="0" fontId="5" fillId="2" borderId="41" xfId="3" applyFont="1" applyFill="1" applyBorder="1" applyAlignment="1">
      <alignment horizontal="center" vertical="center"/>
    </xf>
    <xf numFmtId="0" fontId="5" fillId="2" borderId="43" xfId="3" applyFont="1" applyFill="1" applyBorder="1" applyAlignment="1">
      <alignment horizontal="center" vertical="center"/>
    </xf>
    <xf numFmtId="0" fontId="5" fillId="2" borderId="44" xfId="3" applyFont="1" applyFill="1" applyBorder="1" applyAlignment="1">
      <alignment horizontal="center" vertical="center"/>
    </xf>
    <xf numFmtId="10" fontId="3" fillId="2" borderId="29" xfId="3" applyNumberFormat="1" applyFill="1" applyBorder="1" applyAlignment="1">
      <alignment horizontal="center" vertical="center"/>
    </xf>
    <xf numFmtId="166" fontId="0" fillId="2" borderId="16" xfId="6" applyFont="1" applyFill="1" applyBorder="1" applyAlignment="1">
      <alignment vertical="center"/>
    </xf>
    <xf numFmtId="10" fontId="5" fillId="2" borderId="45" xfId="3" applyNumberFormat="1" applyFont="1" applyFill="1" applyBorder="1" applyAlignment="1">
      <alignment horizontal="center" vertical="center"/>
    </xf>
    <xf numFmtId="0" fontId="5" fillId="2" borderId="15" xfId="3" applyFont="1" applyFill="1" applyBorder="1" applyAlignment="1">
      <alignment vertical="center"/>
    </xf>
    <xf numFmtId="0" fontId="5" fillId="2" borderId="16" xfId="3" applyFont="1" applyFill="1" applyBorder="1" applyAlignment="1">
      <alignment vertical="center"/>
    </xf>
    <xf numFmtId="10" fontId="3" fillId="0" borderId="24" xfId="3" applyNumberFormat="1" applyBorder="1" applyAlignment="1">
      <alignment horizontal="center" vertical="center"/>
    </xf>
    <xf numFmtId="166" fontId="5" fillId="2" borderId="16" xfId="6" applyFont="1" applyFill="1" applyBorder="1" applyAlignment="1">
      <alignment vertical="center"/>
    </xf>
    <xf numFmtId="166" fontId="0" fillId="2" borderId="32" xfId="6" applyFont="1" applyFill="1" applyBorder="1" applyAlignment="1">
      <alignment vertical="center"/>
    </xf>
    <xf numFmtId="10" fontId="5" fillId="2" borderId="25" xfId="3" applyNumberFormat="1" applyFont="1" applyFill="1" applyBorder="1" applyAlignment="1">
      <alignment horizontal="center" vertical="center"/>
    </xf>
    <xf numFmtId="166" fontId="0" fillId="2" borderId="25" xfId="6" applyFont="1" applyFill="1" applyBorder="1" applyAlignment="1">
      <alignment vertical="center"/>
    </xf>
    <xf numFmtId="0" fontId="5" fillId="2" borderId="45" xfId="3" applyFont="1" applyFill="1" applyBorder="1" applyAlignment="1">
      <alignment horizontal="center" vertical="center"/>
    </xf>
    <xf numFmtId="166" fontId="0" fillId="2" borderId="45" xfId="6" applyFont="1" applyFill="1" applyBorder="1" applyAlignment="1">
      <alignment vertical="center"/>
    </xf>
    <xf numFmtId="0" fontId="3" fillId="2" borderId="37" xfId="3" applyFill="1" applyBorder="1"/>
    <xf numFmtId="166" fontId="0" fillId="2" borderId="24" xfId="6" applyFont="1" applyFill="1" applyBorder="1" applyAlignment="1">
      <alignment horizontal="center" vertical="center"/>
    </xf>
    <xf numFmtId="0" fontId="5" fillId="21" borderId="25" xfId="3" applyFont="1" applyFill="1" applyBorder="1" applyAlignment="1">
      <alignment horizontal="center" vertical="center"/>
    </xf>
    <xf numFmtId="0" fontId="5" fillId="21" borderId="45" xfId="3" applyFont="1" applyFill="1" applyBorder="1" applyAlignment="1">
      <alignment horizontal="center" vertical="center"/>
    </xf>
    <xf numFmtId="166" fontId="0" fillId="2" borderId="37" xfId="6" applyFont="1" applyFill="1" applyBorder="1" applyAlignment="1">
      <alignment vertical="center"/>
    </xf>
    <xf numFmtId="0" fontId="5" fillId="2" borderId="19" xfId="3" applyFont="1" applyFill="1" applyBorder="1" applyAlignment="1">
      <alignment vertical="center" wrapText="1"/>
    </xf>
    <xf numFmtId="164" fontId="3" fillId="2" borderId="28" xfId="4" applyFill="1" applyBorder="1" applyAlignment="1">
      <alignment vertical="center"/>
    </xf>
    <xf numFmtId="166" fontId="3" fillId="2" borderId="28" xfId="6" applyFill="1" applyBorder="1" applyAlignment="1">
      <alignment vertical="center"/>
    </xf>
    <xf numFmtId="164" fontId="3" fillId="2" borderId="24" xfId="4" applyFill="1" applyBorder="1" applyAlignment="1">
      <alignment vertical="center"/>
    </xf>
    <xf numFmtId="166" fontId="3" fillId="2" borderId="24" xfId="6" applyFill="1" applyBorder="1" applyAlignment="1">
      <alignment vertical="center"/>
    </xf>
    <xf numFmtId="10" fontId="0" fillId="2" borderId="26" xfId="7" applyNumberFormat="1" applyFont="1" applyFill="1" applyBorder="1" applyAlignment="1">
      <alignment horizontal="center" vertical="center"/>
    </xf>
    <xf numFmtId="10" fontId="0" fillId="2" borderId="25" xfId="7" applyNumberFormat="1" applyFont="1" applyFill="1" applyBorder="1" applyAlignment="1">
      <alignment horizontal="center" vertical="center"/>
    </xf>
    <xf numFmtId="0" fontId="3" fillId="2" borderId="25" xfId="3" applyFill="1" applyBorder="1" applyAlignment="1">
      <alignment vertical="center"/>
    </xf>
    <xf numFmtId="166" fontId="3" fillId="2" borderId="25" xfId="6" applyFill="1" applyBorder="1" applyAlignment="1">
      <alignment vertical="center"/>
    </xf>
    <xf numFmtId="166" fontId="3" fillId="2" borderId="36" xfId="6" applyFill="1" applyBorder="1" applyAlignment="1">
      <alignment vertical="center"/>
    </xf>
    <xf numFmtId="166" fontId="5" fillId="2" borderId="20" xfId="6" applyFont="1" applyFill="1" applyBorder="1" applyAlignment="1">
      <alignment vertical="center"/>
    </xf>
    <xf numFmtId="0" fontId="3" fillId="2" borderId="12" xfId="3" applyFill="1" applyBorder="1" applyAlignment="1">
      <alignment horizontal="center" vertical="center"/>
    </xf>
    <xf numFmtId="0" fontId="3" fillId="2" borderId="13" xfId="3" applyFill="1" applyBorder="1" applyAlignment="1">
      <alignment horizontal="center" vertical="center"/>
    </xf>
    <xf numFmtId="2" fontId="5" fillId="2" borderId="14" xfId="3" applyNumberFormat="1" applyFont="1" applyFill="1" applyBorder="1" applyAlignment="1">
      <alignment vertical="center"/>
    </xf>
    <xf numFmtId="166" fontId="5" fillId="2" borderId="24" xfId="6" applyFont="1" applyFill="1" applyBorder="1" applyAlignment="1">
      <alignment vertical="center"/>
    </xf>
    <xf numFmtId="0" fontId="3" fillId="2" borderId="12" xfId="3" applyFill="1" applyBorder="1" applyAlignment="1">
      <alignment vertical="center"/>
    </xf>
    <xf numFmtId="0" fontId="3" fillId="2" borderId="13" xfId="3" applyFill="1" applyBorder="1" applyAlignment="1">
      <alignment vertical="center"/>
    </xf>
    <xf numFmtId="0" fontId="3" fillId="2" borderId="14" xfId="3" applyFill="1" applyBorder="1" applyAlignment="1">
      <alignment vertical="center"/>
    </xf>
    <xf numFmtId="0" fontId="5" fillId="21" borderId="0" xfId="3" applyFont="1" applyFill="1" applyAlignment="1">
      <alignment horizontal="center" vertical="center"/>
    </xf>
    <xf numFmtId="0" fontId="3" fillId="2" borderId="39" xfId="3" applyFill="1" applyBorder="1"/>
    <xf numFmtId="0" fontId="3" fillId="2" borderId="40" xfId="3" applyFill="1" applyBorder="1"/>
    <xf numFmtId="165" fontId="3" fillId="2" borderId="36" xfId="3" applyNumberFormat="1" applyFill="1" applyBorder="1" applyAlignment="1">
      <alignment horizontal="center" vertical="center"/>
    </xf>
    <xf numFmtId="2" fontId="3" fillId="0" borderId="24" xfId="6" applyNumberFormat="1" applyFill="1" applyBorder="1" applyAlignment="1">
      <alignment horizontal="center" vertical="center"/>
    </xf>
    <xf numFmtId="166" fontId="5" fillId="2" borderId="45" xfId="6" applyFont="1" applyFill="1" applyBorder="1" applyAlignment="1">
      <alignment vertical="center"/>
    </xf>
    <xf numFmtId="170" fontId="3" fillId="2" borderId="23" xfId="4" applyNumberFormat="1" applyFill="1" applyBorder="1" applyAlignment="1">
      <alignment horizontal="left" vertical="center"/>
    </xf>
    <xf numFmtId="166" fontId="0" fillId="2" borderId="23" xfId="6" applyFont="1" applyFill="1" applyBorder="1" applyAlignment="1">
      <alignment horizontal="right" vertical="center"/>
    </xf>
    <xf numFmtId="0" fontId="5" fillId="2" borderId="0" xfId="3" applyFont="1" applyFill="1" applyAlignment="1">
      <alignment horizontal="center" vertical="center"/>
    </xf>
    <xf numFmtId="0" fontId="5" fillId="21" borderId="0" xfId="3" applyFont="1" applyFill="1" applyAlignment="1">
      <alignment vertical="center"/>
    </xf>
    <xf numFmtId="0" fontId="3" fillId="2" borderId="0" xfId="3" applyFill="1"/>
    <xf numFmtId="0" fontId="5" fillId="2" borderId="0" xfId="3" applyFont="1" applyFill="1" applyAlignment="1">
      <alignment vertical="center"/>
    </xf>
    <xf numFmtId="10" fontId="5" fillId="2" borderId="0" xfId="3" applyNumberFormat="1" applyFont="1" applyFill="1" applyAlignment="1">
      <alignment horizontal="center" vertical="center"/>
    </xf>
    <xf numFmtId="168" fontId="3" fillId="17" borderId="24" xfId="3" applyNumberFormat="1" applyFill="1" applyBorder="1" applyAlignment="1">
      <alignment horizontal="center" vertical="center"/>
    </xf>
    <xf numFmtId="10" fontId="0" fillId="0" borderId="0" xfId="0" applyNumberFormat="1" applyAlignment="1">
      <alignment horizontal="center"/>
    </xf>
    <xf numFmtId="0" fontId="12" fillId="0" borderId="0" xfId="0" applyFont="1" applyAlignment="1">
      <alignment horizontal="center" vertical="center" wrapText="1"/>
    </xf>
    <xf numFmtId="1" fontId="0" fillId="0" borderId="0" xfId="0" applyNumberFormat="1" applyAlignment="1">
      <alignment horizontal="center"/>
    </xf>
    <xf numFmtId="0" fontId="3" fillId="0" borderId="0" xfId="8"/>
    <xf numFmtId="0" fontId="13" fillId="0" borderId="0" xfId="3" applyFont="1"/>
    <xf numFmtId="0" fontId="3" fillId="0" borderId="0" xfId="8" applyAlignment="1">
      <alignment horizontal="center"/>
    </xf>
    <xf numFmtId="0" fontId="14" fillId="22" borderId="0" xfId="8" applyFont="1" applyFill="1" applyAlignment="1">
      <alignment horizontal="center" vertical="center" wrapText="1"/>
    </xf>
    <xf numFmtId="0" fontId="3" fillId="0" borderId="0" xfId="8" applyAlignment="1">
      <alignment wrapText="1"/>
    </xf>
    <xf numFmtId="0" fontId="0" fillId="0" borderId="0" xfId="0" pivotButton="1" applyAlignment="1">
      <alignment horizontal="center"/>
    </xf>
    <xf numFmtId="0" fontId="0" fillId="0" borderId="0" xfId="0" applyAlignment="1">
      <alignment horizontal="center" vertical="center"/>
    </xf>
    <xf numFmtId="0" fontId="5" fillId="13" borderId="5" xfId="3" applyFont="1" applyFill="1" applyBorder="1" applyAlignment="1">
      <alignment horizontal="center" vertical="center" wrapText="1"/>
    </xf>
    <xf numFmtId="0" fontId="3" fillId="0" borderId="0" xfId="3" applyAlignment="1">
      <alignment horizontal="center" vertical="center" wrapText="1"/>
    </xf>
    <xf numFmtId="0" fontId="0" fillId="26" borderId="0" xfId="0" applyFill="1" applyAlignment="1">
      <alignment horizontal="center" vertical="center" wrapText="1"/>
    </xf>
    <xf numFmtId="0" fontId="6" fillId="24" borderId="10" xfId="3" applyFont="1" applyFill="1" applyBorder="1" applyAlignment="1">
      <alignment horizontal="center" vertical="center" wrapText="1"/>
    </xf>
    <xf numFmtId="0" fontId="6" fillId="25" borderId="10" xfId="3" applyFont="1" applyFill="1" applyBorder="1" applyAlignment="1">
      <alignment horizontal="center" vertical="center" wrapText="1"/>
    </xf>
    <xf numFmtId="0" fontId="6" fillId="27" borderId="6" xfId="3" applyFont="1" applyFill="1" applyBorder="1" applyAlignment="1">
      <alignment horizontal="center" vertical="center" wrapText="1"/>
    </xf>
    <xf numFmtId="0" fontId="5" fillId="13" borderId="4" xfId="3" applyFont="1" applyFill="1" applyBorder="1" applyAlignment="1">
      <alignment horizontal="center" vertical="center" wrapText="1"/>
    </xf>
    <xf numFmtId="0" fontId="0" fillId="20" borderId="10" xfId="0" applyFill="1" applyBorder="1" applyAlignment="1">
      <alignment horizontal="center" vertical="center" wrapText="1"/>
    </xf>
    <xf numFmtId="0" fontId="17" fillId="0" borderId="0" xfId="0" applyFont="1" applyAlignment="1">
      <alignment vertical="center"/>
    </xf>
    <xf numFmtId="0" fontId="17" fillId="0" borderId="0" xfId="0" applyFont="1" applyAlignment="1">
      <alignment horizontal="justify" vertical="top" wrapText="1"/>
    </xf>
    <xf numFmtId="0" fontId="17" fillId="0" borderId="0" xfId="0" applyFont="1" applyAlignment="1">
      <alignment horizontal="justify" vertical="top"/>
    </xf>
    <xf numFmtId="0" fontId="0" fillId="0" borderId="0" xfId="0" applyAlignment="1">
      <alignment horizontal="justify" vertical="top"/>
    </xf>
    <xf numFmtId="44" fontId="4" fillId="0" borderId="0" xfId="3" applyNumberFormat="1" applyFont="1"/>
    <xf numFmtId="173" fontId="18" fillId="0" borderId="4" xfId="0" applyNumberFormat="1" applyFont="1" applyBorder="1" applyAlignment="1">
      <alignment horizontal="center" vertical="center"/>
    </xf>
    <xf numFmtId="173" fontId="18" fillId="0" borderId="7" xfId="0" applyNumberFormat="1" applyFont="1" applyBorder="1" applyAlignment="1">
      <alignment horizontal="center" vertical="center"/>
    </xf>
    <xf numFmtId="10" fontId="20" fillId="0" borderId="3" xfId="2" applyNumberFormat="1" applyFont="1" applyBorder="1" applyAlignment="1">
      <alignment horizontal="center" vertical="center"/>
    </xf>
    <xf numFmtId="10" fontId="20" fillId="0" borderId="11" xfId="2" applyNumberFormat="1" applyFont="1" applyBorder="1" applyAlignment="1">
      <alignment horizontal="center" vertical="center"/>
    </xf>
    <xf numFmtId="0" fontId="20" fillId="23" borderId="5" xfId="0" applyFont="1" applyFill="1" applyBorder="1" applyAlignment="1">
      <alignment horizontal="center" vertical="center" wrapText="1"/>
    </xf>
    <xf numFmtId="0" fontId="20" fillId="23" borderId="6" xfId="0" applyFont="1" applyFill="1" applyBorder="1" applyAlignment="1">
      <alignment horizontal="center" vertical="center" wrapText="1"/>
    </xf>
    <xf numFmtId="0" fontId="20" fillId="23" borderId="47" xfId="0" applyFont="1" applyFill="1" applyBorder="1" applyAlignment="1">
      <alignment horizontal="center" vertical="center" wrapText="1"/>
    </xf>
    <xf numFmtId="0" fontId="21" fillId="22" borderId="0" xfId="8" applyFont="1" applyFill="1" applyAlignment="1">
      <alignment horizontal="center" vertical="center" wrapText="1"/>
    </xf>
    <xf numFmtId="0" fontId="3" fillId="0" borderId="0" xfId="8" applyAlignment="1">
      <alignment vertical="center"/>
    </xf>
    <xf numFmtId="169" fontId="3" fillId="0" borderId="0" xfId="8" applyNumberFormat="1" applyAlignment="1">
      <alignment horizontal="center" vertical="center"/>
    </xf>
    <xf numFmtId="14" fontId="3" fillId="0" borderId="0" xfId="8" applyNumberFormat="1" applyAlignment="1">
      <alignment horizontal="center" vertical="center"/>
    </xf>
    <xf numFmtId="0" fontId="3" fillId="0" borderId="0" xfId="8" applyAlignment="1">
      <alignment horizontal="center" vertical="center"/>
    </xf>
    <xf numFmtId="169" fontId="3" fillId="0" borderId="0" xfId="1" applyNumberFormat="1" applyFont="1" applyFill="1" applyAlignment="1">
      <alignment horizontal="center" vertical="center"/>
    </xf>
    <xf numFmtId="14" fontId="3" fillId="0" borderId="4" xfId="0" applyNumberFormat="1" applyFont="1" applyBorder="1" applyAlignment="1">
      <alignment horizontal="center" vertical="center"/>
    </xf>
    <xf numFmtId="0" fontId="1" fillId="0" borderId="0" xfId="5" applyAlignment="1">
      <alignment vertical="center"/>
    </xf>
    <xf numFmtId="0" fontId="1" fillId="0" borderId="0" xfId="5" applyAlignment="1">
      <alignment horizontal="left" vertical="center"/>
    </xf>
    <xf numFmtId="0" fontId="1" fillId="0" borderId="0" xfId="5" applyAlignment="1">
      <alignment horizontal="center" vertical="center"/>
    </xf>
    <xf numFmtId="0" fontId="3" fillId="23" borderId="5" xfId="0" applyFont="1" applyFill="1" applyBorder="1" applyAlignment="1">
      <alignment horizontal="center" vertical="center" wrapText="1"/>
    </xf>
    <xf numFmtId="0" fontId="3" fillId="23" borderId="6" xfId="0" applyFont="1" applyFill="1" applyBorder="1" applyAlignment="1">
      <alignment horizontal="center" vertical="center" wrapText="1"/>
    </xf>
    <xf numFmtId="0" fontId="0" fillId="0" borderId="0" xfId="0" pivotButton="1" applyAlignment="1">
      <alignment horizontal="center" vertical="top"/>
    </xf>
    <xf numFmtId="0" fontId="0" fillId="0" borderId="0" xfId="0" pivotButton="1" applyAlignment="1">
      <alignment horizontal="center" wrapText="1"/>
    </xf>
    <xf numFmtId="4" fontId="3" fillId="0" borderId="0" xfId="12" applyNumberFormat="1" applyFont="1" applyFill="1" applyBorder="1" applyAlignment="1" applyProtection="1">
      <alignment horizontal="center" vertical="center"/>
    </xf>
    <xf numFmtId="0" fontId="5" fillId="0" borderId="0" xfId="11" applyFont="1" applyAlignment="1">
      <alignment horizontal="center" vertical="center" wrapText="1"/>
    </xf>
    <xf numFmtId="3" fontId="3" fillId="0" borderId="0" xfId="11" applyNumberFormat="1" applyFont="1" applyAlignment="1">
      <alignment horizontal="center" vertical="center" wrapText="1"/>
    </xf>
    <xf numFmtId="0" fontId="3" fillId="0" borderId="0" xfId="13" applyAlignment="1">
      <alignment horizontal="center" vertical="center" wrapText="1"/>
    </xf>
    <xf numFmtId="3" fontId="3" fillId="0" borderId="0" xfId="13" applyNumberFormat="1" applyAlignment="1">
      <alignment horizontal="center" vertical="center" wrapText="1"/>
    </xf>
    <xf numFmtId="0" fontId="3" fillId="0" borderId="0" xfId="0" applyFont="1" applyAlignment="1">
      <alignment horizontal="center" vertical="center" wrapText="1"/>
    </xf>
    <xf numFmtId="0" fontId="13" fillId="0" borderId="0" xfId="0" applyFont="1" applyAlignment="1">
      <alignment wrapText="1"/>
    </xf>
    <xf numFmtId="4" fontId="3" fillId="0" borderId="0" xfId="0" applyNumberFormat="1" applyFont="1" applyAlignment="1">
      <alignment horizontal="center" vertical="center"/>
    </xf>
    <xf numFmtId="0" fontId="3" fillId="0" borderId="0" xfId="13" applyAlignment="1">
      <alignment horizontal="center" vertical="center"/>
    </xf>
    <xf numFmtId="0" fontId="13" fillId="0" borderId="0" xfId="0" applyFont="1" applyAlignment="1">
      <alignment horizontal="center" vertical="center" wrapText="1"/>
    </xf>
    <xf numFmtId="0" fontId="13" fillId="0" borderId="0" xfId="0" applyFont="1" applyAlignment="1">
      <alignment horizontal="left" vertical="top" wrapText="1"/>
    </xf>
    <xf numFmtId="0" fontId="3" fillId="0" borderId="0" xfId="13" applyAlignment="1">
      <alignment horizontal="left" vertical="top" wrapText="1"/>
    </xf>
    <xf numFmtId="4" fontId="3" fillId="0" borderId="0" xfId="12" applyNumberFormat="1" applyFont="1" applyFill="1" applyAlignment="1" applyProtection="1">
      <alignment horizontal="center" vertical="center"/>
    </xf>
    <xf numFmtId="0" fontId="22" fillId="0" borderId="0" xfId="11" applyFont="1" applyAlignment="1">
      <alignment horizontal="center" vertical="center" wrapText="1"/>
    </xf>
    <xf numFmtId="14" fontId="13" fillId="0" borderId="0" xfId="0" applyNumberFormat="1" applyFont="1" applyAlignment="1">
      <alignment horizontal="center" vertical="center" wrapText="1"/>
    </xf>
    <xf numFmtId="0" fontId="0" fillId="0" borderId="2" xfId="0" applyBorder="1"/>
    <xf numFmtId="0" fontId="6" fillId="29" borderId="5" xfId="3" applyFont="1" applyFill="1" applyBorder="1" applyAlignment="1">
      <alignment horizontal="center" vertical="center" wrapText="1"/>
    </xf>
    <xf numFmtId="0" fontId="0" fillId="0" borderId="0" xfId="0" applyAlignment="1">
      <alignment horizontal="left" vertical="center"/>
    </xf>
    <xf numFmtId="169" fontId="5" fillId="0" borderId="0" xfId="1" applyNumberFormat="1" applyFont="1" applyAlignment="1">
      <alignment horizontal="left" vertical="center" wrapText="1"/>
    </xf>
    <xf numFmtId="0" fontId="14" fillId="16" borderId="5" xfId="3" applyFont="1" applyFill="1" applyBorder="1" applyAlignment="1">
      <alignment horizontal="center" vertical="center" wrapText="1"/>
    </xf>
    <xf numFmtId="167" fontId="1" fillId="0" borderId="0" xfId="2" applyNumberFormat="1" applyFill="1" applyBorder="1" applyAlignment="1">
      <alignment horizontal="center" vertical="center"/>
    </xf>
    <xf numFmtId="0" fontId="2" fillId="0" borderId="0" xfId="5" applyFont="1" applyAlignment="1">
      <alignment horizontal="center" vertical="center" wrapText="1"/>
    </xf>
    <xf numFmtId="49" fontId="1" fillId="0" borderId="0" xfId="5" applyNumberFormat="1" applyAlignment="1">
      <alignment horizontal="center" vertical="center"/>
    </xf>
    <xf numFmtId="169" fontId="0" fillId="0" borderId="0" xfId="5" applyNumberFormat="1" applyFont="1" applyAlignment="1">
      <alignment horizontal="center" vertical="center"/>
    </xf>
    <xf numFmtId="49" fontId="0" fillId="0" borderId="0" xfId="5" applyNumberFormat="1" applyFont="1" applyAlignment="1">
      <alignment horizontal="center" vertical="center"/>
    </xf>
    <xf numFmtId="0" fontId="15" fillId="0" borderId="0" xfId="3" applyFont="1" applyAlignment="1">
      <alignment horizontal="left" vertical="center" wrapText="1"/>
    </xf>
    <xf numFmtId="172" fontId="3" fillId="0" borderId="0" xfId="10" applyFill="1" applyBorder="1" applyAlignment="1">
      <alignment horizontal="center" vertical="center" wrapText="1"/>
    </xf>
    <xf numFmtId="0" fontId="17" fillId="0" borderId="0" xfId="0" applyFont="1" applyAlignment="1">
      <alignment horizontal="center" vertical="center"/>
    </xf>
    <xf numFmtId="171" fontId="3" fillId="0" borderId="0" xfId="10" applyNumberFormat="1" applyFill="1" applyBorder="1" applyAlignment="1">
      <alignment horizontal="center" vertical="center"/>
    </xf>
    <xf numFmtId="10" fontId="1" fillId="0" borderId="0" xfId="2" applyNumberFormat="1" applyAlignment="1">
      <alignment vertical="center"/>
    </xf>
    <xf numFmtId="44" fontId="17" fillId="0" borderId="0" xfId="1" applyFont="1" applyAlignment="1">
      <alignment vertical="center"/>
    </xf>
    <xf numFmtId="165" fontId="17" fillId="0" borderId="0" xfId="0" applyNumberFormat="1" applyFont="1" applyAlignment="1">
      <alignment horizontal="center" vertical="center"/>
    </xf>
    <xf numFmtId="44" fontId="0" fillId="0" borderId="0" xfId="1" applyFont="1" applyAlignment="1">
      <alignment horizontal="center" vertical="center"/>
    </xf>
    <xf numFmtId="44" fontId="5" fillId="0" borderId="0" xfId="1" applyFont="1" applyAlignment="1">
      <alignment horizontal="left" vertical="center" wrapText="1"/>
    </xf>
    <xf numFmtId="44" fontId="0" fillId="0" borderId="0" xfId="0" applyNumberFormat="1" applyAlignment="1">
      <alignment horizontal="center" vertical="center" wrapText="1"/>
    </xf>
    <xf numFmtId="0" fontId="6" fillId="3" borderId="5" xfId="3" applyFont="1" applyFill="1" applyBorder="1" applyAlignment="1">
      <alignment horizontal="center" vertical="center" wrapText="1"/>
    </xf>
    <xf numFmtId="0" fontId="6" fillId="3" borderId="6" xfId="3" applyFont="1" applyFill="1" applyBorder="1" applyAlignment="1">
      <alignment horizontal="center" vertical="center" wrapText="1"/>
    </xf>
    <xf numFmtId="0" fontId="8" fillId="3" borderId="6" xfId="3" applyFont="1" applyFill="1" applyBorder="1" applyAlignment="1">
      <alignment horizontal="center" vertical="center" wrapText="1"/>
    </xf>
    <xf numFmtId="0" fontId="6" fillId="4" borderId="6" xfId="3" applyFont="1" applyFill="1" applyBorder="1" applyAlignment="1">
      <alignment horizontal="center" vertical="center" wrapText="1"/>
    </xf>
    <xf numFmtId="44" fontId="6" fillId="11" borderId="6" xfId="3" applyNumberFormat="1" applyFont="1" applyFill="1" applyBorder="1" applyAlignment="1">
      <alignment horizontal="center" vertical="center" wrapText="1"/>
    </xf>
    <xf numFmtId="0" fontId="6" fillId="11" borderId="6" xfId="3" applyFont="1" applyFill="1" applyBorder="1" applyAlignment="1">
      <alignment horizontal="center" vertical="center" wrapText="1"/>
    </xf>
    <xf numFmtId="0" fontId="6" fillId="5" borderId="6" xfId="3" applyFont="1" applyFill="1" applyBorder="1" applyAlignment="1">
      <alignment horizontal="center" vertical="center" wrapText="1"/>
    </xf>
    <xf numFmtId="0" fontId="6" fillId="14" borderId="6" xfId="3" applyFont="1" applyFill="1" applyBorder="1" applyAlignment="1">
      <alignment horizontal="center" vertical="center" wrapText="1"/>
    </xf>
    <xf numFmtId="0" fontId="6" fillId="12" borderId="6" xfId="3" applyFont="1" applyFill="1" applyBorder="1" applyAlignment="1">
      <alignment horizontal="center" vertical="center" wrapText="1"/>
    </xf>
    <xf numFmtId="0" fontId="14" fillId="16" borderId="6" xfId="3" applyFont="1" applyFill="1" applyBorder="1" applyAlignment="1">
      <alignment horizontal="center" vertical="center" wrapText="1"/>
    </xf>
    <xf numFmtId="0" fontId="6" fillId="29" borderId="6" xfId="3" applyFont="1" applyFill="1" applyBorder="1" applyAlignment="1">
      <alignment horizontal="center" vertical="center" wrapText="1"/>
    </xf>
    <xf numFmtId="0" fontId="6" fillId="13" borderId="6" xfId="3" applyFont="1" applyFill="1" applyBorder="1" applyAlignment="1">
      <alignment horizontal="center" vertical="center" wrapText="1"/>
    </xf>
    <xf numFmtId="0" fontId="6" fillId="6" borderId="6" xfId="3" applyFont="1" applyFill="1" applyBorder="1" applyAlignment="1">
      <alignment horizontal="center" vertical="center" wrapText="1"/>
    </xf>
    <xf numFmtId="0" fontId="6" fillId="6" borderId="47" xfId="3" applyFont="1" applyFill="1" applyBorder="1" applyAlignment="1">
      <alignment horizontal="center" vertical="center" wrapText="1"/>
    </xf>
    <xf numFmtId="0" fontId="0" fillId="0" borderId="4" xfId="0" applyBorder="1" applyAlignment="1">
      <alignment horizontal="center"/>
    </xf>
    <xf numFmtId="44" fontId="0" fillId="0" borderId="2" xfId="0" applyNumberFormat="1" applyBorder="1"/>
    <xf numFmtId="10" fontId="0" fillId="0" borderId="2" xfId="2" applyNumberFormat="1" applyFont="1" applyBorder="1" applyAlignment="1">
      <alignment horizontal="center"/>
    </xf>
    <xf numFmtId="44" fontId="0" fillId="0" borderId="2" xfId="1" applyFont="1" applyBorder="1"/>
    <xf numFmtId="10" fontId="0" fillId="0" borderId="2" xfId="0" applyNumberFormat="1" applyBorder="1" applyAlignment="1">
      <alignment horizontal="center"/>
    </xf>
    <xf numFmtId="165" fontId="0" fillId="0" borderId="2" xfId="0" applyNumberFormat="1" applyBorder="1" applyAlignment="1">
      <alignment horizontal="center"/>
    </xf>
    <xf numFmtId="0" fontId="0" fillId="0" borderId="7" xfId="0" applyBorder="1" applyAlignment="1">
      <alignment horizontal="center"/>
    </xf>
    <xf numFmtId="0" fontId="0" fillId="0" borderId="10" xfId="0" applyBorder="1"/>
    <xf numFmtId="44" fontId="0" fillId="0" borderId="10" xfId="0" applyNumberFormat="1" applyBorder="1"/>
    <xf numFmtId="10" fontId="0" fillId="0" borderId="10" xfId="2" applyNumberFormat="1" applyFont="1" applyBorder="1" applyAlignment="1">
      <alignment horizontal="center"/>
    </xf>
    <xf numFmtId="44" fontId="0" fillId="0" borderId="10" xfId="1" applyFont="1" applyBorder="1"/>
    <xf numFmtId="10" fontId="0" fillId="0" borderId="10" xfId="0" applyNumberFormat="1" applyBorder="1" applyAlignment="1">
      <alignment horizontal="center"/>
    </xf>
    <xf numFmtId="165" fontId="0" fillId="0" borderId="10" xfId="0" applyNumberFormat="1" applyBorder="1" applyAlignment="1">
      <alignment horizontal="center"/>
    </xf>
    <xf numFmtId="10" fontId="3" fillId="0" borderId="24" xfId="2" applyNumberFormat="1" applyFont="1" applyFill="1" applyBorder="1" applyAlignment="1">
      <alignment horizontal="center" vertical="center"/>
    </xf>
    <xf numFmtId="10" fontId="3" fillId="2" borderId="24" xfId="2" applyNumberFormat="1" applyFont="1" applyFill="1" applyBorder="1" applyAlignment="1">
      <alignment horizontal="center" vertical="center"/>
    </xf>
    <xf numFmtId="10" fontId="5" fillId="2" borderId="24" xfId="2" applyNumberFormat="1" applyFont="1" applyFill="1" applyBorder="1" applyAlignment="1">
      <alignment horizontal="center" vertical="center"/>
    </xf>
    <xf numFmtId="174" fontId="3" fillId="0" borderId="0" xfId="3" applyNumberFormat="1"/>
    <xf numFmtId="173" fontId="3" fillId="0" borderId="4" xfId="0" applyNumberFormat="1" applyFont="1" applyBorder="1" applyAlignment="1">
      <alignment horizontal="center" vertical="center"/>
    </xf>
    <xf numFmtId="165" fontId="0" fillId="0" borderId="0" xfId="0" applyNumberFormat="1" applyAlignment="1">
      <alignment horizontal="center" vertical="center"/>
    </xf>
    <xf numFmtId="0" fontId="2" fillId="30" borderId="51" xfId="5" applyFont="1" applyFill="1" applyBorder="1" applyAlignment="1">
      <alignment horizontal="center" vertical="center" wrapText="1"/>
    </xf>
    <xf numFmtId="172" fontId="3" fillId="31" borderId="52" xfId="10" applyFill="1" applyBorder="1" applyAlignment="1">
      <alignment horizontal="center" vertical="center" wrapText="1"/>
    </xf>
    <xf numFmtId="0" fontId="0" fillId="0" borderId="5" xfId="0" applyBorder="1" applyAlignment="1">
      <alignment horizontal="center"/>
    </xf>
    <xf numFmtId="0" fontId="0" fillId="0" borderId="6" xfId="0" applyBorder="1"/>
    <xf numFmtId="44" fontId="0" fillId="0" borderId="6" xfId="0" applyNumberFormat="1" applyBorder="1"/>
    <xf numFmtId="10" fontId="0" fillId="0" borderId="6" xfId="2" applyNumberFormat="1" applyFont="1" applyBorder="1" applyAlignment="1">
      <alignment horizontal="center"/>
    </xf>
    <xf numFmtId="44" fontId="0" fillId="0" borderId="6" xfId="1" applyFont="1" applyBorder="1"/>
    <xf numFmtId="10" fontId="0" fillId="0" borderId="6" xfId="0" applyNumberFormat="1" applyBorder="1" applyAlignment="1">
      <alignment horizontal="center"/>
    </xf>
    <xf numFmtId="165" fontId="0" fillId="0" borderId="6" xfId="0" applyNumberFormat="1" applyBorder="1" applyAlignment="1">
      <alignment horizontal="center"/>
    </xf>
    <xf numFmtId="44" fontId="0" fillId="0" borderId="53" xfId="0" applyNumberFormat="1" applyBorder="1"/>
    <xf numFmtId="0" fontId="10" fillId="0" borderId="0" xfId="0" applyFont="1" applyAlignment="1">
      <alignment horizontal="center" vertical="center"/>
    </xf>
    <xf numFmtId="0" fontId="10" fillId="0" borderId="0" xfId="0" applyFont="1"/>
    <xf numFmtId="0" fontId="10" fillId="0" borderId="7" xfId="0" applyFont="1" applyBorder="1" applyAlignment="1">
      <alignment horizontal="center"/>
    </xf>
    <xf numFmtId="0" fontId="10" fillId="0" borderId="10" xfId="0" applyFont="1" applyBorder="1"/>
    <xf numFmtId="0" fontId="10" fillId="0" borderId="10" xfId="0" applyFont="1" applyBorder="1" applyAlignment="1">
      <alignment horizontal="center"/>
    </xf>
    <xf numFmtId="44" fontId="10" fillId="0" borderId="10" xfId="0" applyNumberFormat="1" applyFont="1" applyBorder="1"/>
    <xf numFmtId="10" fontId="10" fillId="0" borderId="10" xfId="0" applyNumberFormat="1" applyFont="1" applyBorder="1" applyAlignment="1">
      <alignment horizontal="center"/>
    </xf>
    <xf numFmtId="165" fontId="10" fillId="0" borderId="10" xfId="0" applyNumberFormat="1" applyFont="1" applyBorder="1" applyAlignment="1">
      <alignment horizontal="center"/>
    </xf>
    <xf numFmtId="0" fontId="10" fillId="0" borderId="11" xfId="0" applyFont="1" applyBorder="1" applyAlignment="1">
      <alignment horizontal="center"/>
    </xf>
    <xf numFmtId="0" fontId="23" fillId="0" borderId="3" xfId="0" applyFont="1" applyBorder="1" applyAlignment="1">
      <alignment horizontal="center" vertical="center"/>
    </xf>
    <xf numFmtId="0" fontId="23" fillId="0" borderId="27" xfId="0" applyFont="1" applyBorder="1"/>
    <xf numFmtId="0" fontId="23" fillId="0" borderId="27" xfId="0" applyFont="1" applyBorder="1" applyAlignment="1">
      <alignment horizontal="center" vertical="center"/>
    </xf>
    <xf numFmtId="44" fontId="23" fillId="0" borderId="54" xfId="1" applyFont="1" applyBorder="1" applyAlignment="1">
      <alignment horizontal="center" vertical="center"/>
    </xf>
    <xf numFmtId="0" fontId="23" fillId="0" borderId="4" xfId="0" applyFont="1" applyBorder="1"/>
    <xf numFmtId="0" fontId="23" fillId="0" borderId="0" xfId="0" applyFont="1"/>
    <xf numFmtId="44" fontId="0" fillId="17" borderId="7" xfId="1" applyFont="1" applyFill="1" applyBorder="1" applyAlignment="1">
      <alignment horizontal="center" vertical="center"/>
    </xf>
    <xf numFmtId="44" fontId="0" fillId="17" borderId="10" xfId="1" applyFont="1" applyFill="1" applyBorder="1" applyAlignment="1">
      <alignment horizontal="center" vertical="center"/>
    </xf>
    <xf numFmtId="44" fontId="0" fillId="17" borderId="11" xfId="1" applyFont="1" applyFill="1" applyBorder="1" applyAlignment="1">
      <alignment vertical="center"/>
    </xf>
    <xf numFmtId="0" fontId="3" fillId="0" borderId="0" xfId="8" applyAlignment="1">
      <alignment horizontal="left" vertical="center"/>
    </xf>
    <xf numFmtId="0" fontId="0" fillId="0" borderId="0" xfId="0" pivotButton="1"/>
    <xf numFmtId="3" fontId="0" fillId="0" borderId="0" xfId="0" applyNumberFormat="1"/>
    <xf numFmtId="44" fontId="0" fillId="0" borderId="0" xfId="1" applyFont="1" applyFill="1" applyAlignment="1">
      <alignment horizontal="center" vertical="center"/>
    </xf>
    <xf numFmtId="0" fontId="0" fillId="0" borderId="2" xfId="0" applyBorder="1" applyAlignment="1">
      <alignment horizontal="center"/>
    </xf>
    <xf numFmtId="0" fontId="0" fillId="0" borderId="6" xfId="0" applyBorder="1" applyAlignment="1">
      <alignment horizontal="center"/>
    </xf>
    <xf numFmtId="0" fontId="0" fillId="0" borderId="10" xfId="0" applyBorder="1" applyAlignment="1">
      <alignment horizontal="center"/>
    </xf>
    <xf numFmtId="0" fontId="0" fillId="0" borderId="3" xfId="0" applyBorder="1" applyAlignment="1">
      <alignment horizontal="center"/>
    </xf>
    <xf numFmtId="0" fontId="0" fillId="0" borderId="47" xfId="0" applyBorder="1" applyAlignment="1">
      <alignment horizontal="center"/>
    </xf>
    <xf numFmtId="0" fontId="0" fillId="0" borderId="11" xfId="0" applyBorder="1" applyAlignment="1">
      <alignment horizontal="center"/>
    </xf>
    <xf numFmtId="0" fontId="1" fillId="17" borderId="0" xfId="5" applyFill="1" applyAlignment="1">
      <alignment vertical="center"/>
    </xf>
    <xf numFmtId="10" fontId="1" fillId="17" borderId="0" xfId="2" applyNumberFormat="1" applyFill="1" applyAlignment="1">
      <alignment vertical="center"/>
    </xf>
    <xf numFmtId="44" fontId="0" fillId="17" borderId="4" xfId="1" applyFont="1" applyFill="1" applyBorder="1" applyAlignment="1">
      <alignment horizontal="center" vertical="center"/>
    </xf>
    <xf numFmtId="44" fontId="0" fillId="17" borderId="2" xfId="1" applyFont="1" applyFill="1" applyBorder="1" applyAlignment="1">
      <alignment horizontal="center" vertical="center"/>
    </xf>
    <xf numFmtId="44" fontId="0" fillId="17" borderId="3" xfId="1" applyFont="1" applyFill="1" applyBorder="1" applyAlignment="1">
      <alignment vertical="center"/>
    </xf>
    <xf numFmtId="0" fontId="0" fillId="0" borderId="0" xfId="0" pivotButton="1" applyAlignment="1">
      <alignment horizontal="center" vertical="center" wrapText="1"/>
    </xf>
    <xf numFmtId="44" fontId="10" fillId="0" borderId="0" xfId="0" applyNumberFormat="1" applyFont="1" applyAlignment="1">
      <alignment horizontal="center" vertical="center"/>
    </xf>
    <xf numFmtId="0" fontId="24" fillId="32" borderId="0" xfId="3" applyFont="1" applyFill="1" applyAlignment="1">
      <alignment wrapText="1"/>
    </xf>
    <xf numFmtId="0" fontId="5" fillId="33" borderId="55" xfId="3" applyFont="1" applyFill="1" applyBorder="1" applyAlignment="1">
      <alignment horizontal="center" vertical="center" wrapText="1"/>
    </xf>
    <xf numFmtId="0" fontId="25" fillId="0" borderId="56" xfId="3" applyFont="1" applyBorder="1" applyAlignment="1">
      <alignment vertical="center" wrapText="1"/>
    </xf>
    <xf numFmtId="0" fontId="5" fillId="34" borderId="55" xfId="3" applyFont="1" applyFill="1" applyBorder="1" applyAlignment="1">
      <alignment wrapText="1"/>
    </xf>
    <xf numFmtId="0" fontId="26" fillId="0" borderId="56" xfId="3" applyFont="1" applyBorder="1" applyAlignment="1">
      <alignment wrapText="1"/>
    </xf>
    <xf numFmtId="0" fontId="26" fillId="0" borderId="56" xfId="3" applyFont="1" applyBorder="1" applyAlignment="1">
      <alignment horizontal="left" vertical="center" wrapText="1"/>
    </xf>
    <xf numFmtId="0" fontId="27" fillId="0" borderId="56" xfId="3" applyFont="1" applyBorder="1" applyAlignment="1">
      <alignment horizontal="left" vertical="center" wrapText="1"/>
    </xf>
    <xf numFmtId="0" fontId="26" fillId="0" borderId="57" xfId="3" applyFont="1" applyBorder="1" applyAlignment="1">
      <alignment horizontal="left" vertical="center" wrapText="1"/>
    </xf>
    <xf numFmtId="0" fontId="5" fillId="33" borderId="58" xfId="3" applyFont="1" applyFill="1" applyBorder="1" applyAlignment="1">
      <alignment horizontal="center" vertical="center" wrapText="1"/>
    </xf>
    <xf numFmtId="0" fontId="26" fillId="0" borderId="2" xfId="3" applyFont="1" applyBorder="1" applyAlignment="1">
      <alignment horizontal="left" vertical="center" wrapText="1"/>
    </xf>
    <xf numFmtId="0" fontId="3" fillId="0" borderId="0" xfId="3" applyAlignment="1">
      <alignment wrapText="1"/>
    </xf>
    <xf numFmtId="0" fontId="26" fillId="0" borderId="56" xfId="3" applyFont="1" applyBorder="1" applyAlignment="1">
      <alignment vertical="center" wrapText="1"/>
    </xf>
    <xf numFmtId="0" fontId="5" fillId="17" borderId="59" xfId="0" applyFont="1" applyFill="1" applyBorder="1" applyAlignment="1">
      <alignment horizontal="center" vertical="center" wrapText="1"/>
    </xf>
    <xf numFmtId="0" fontId="26" fillId="0" borderId="56" xfId="14" applyFont="1" applyBorder="1" applyAlignment="1">
      <alignment horizontal="justify" vertical="center" wrapText="1"/>
    </xf>
    <xf numFmtId="0" fontId="3" fillId="0" borderId="0" xfId="14"/>
    <xf numFmtId="0" fontId="3" fillId="0" borderId="0" xfId="3" applyAlignment="1">
      <alignment horizontal="left" vertical="center"/>
    </xf>
    <xf numFmtId="169" fontId="3" fillId="17" borderId="0" xfId="8" applyNumberFormat="1" applyFill="1" applyAlignment="1">
      <alignment horizontal="center" vertical="center"/>
    </xf>
    <xf numFmtId="4" fontId="3" fillId="17" borderId="0" xfId="12" applyNumberFormat="1" applyFont="1" applyFill="1" applyBorder="1" applyAlignment="1" applyProtection="1">
      <alignment horizontal="center" vertical="center"/>
    </xf>
    <xf numFmtId="4" fontId="3" fillId="17" borderId="0" xfId="12" applyNumberFormat="1" applyFont="1" applyFill="1" applyAlignment="1" applyProtection="1">
      <alignment horizontal="center" vertical="center"/>
    </xf>
    <xf numFmtId="44" fontId="1" fillId="0" borderId="0" xfId="5" applyNumberFormat="1" applyAlignment="1">
      <alignment vertical="center"/>
    </xf>
    <xf numFmtId="0" fontId="24" fillId="32" borderId="0" xfId="3" applyFont="1" applyFill="1" applyAlignment="1">
      <alignment horizontal="center" vertical="center" wrapText="1"/>
    </xf>
    <xf numFmtId="0" fontId="5" fillId="33" borderId="48" xfId="3" applyFont="1" applyFill="1" applyBorder="1" applyAlignment="1">
      <alignment horizontal="center" vertical="center" wrapText="1"/>
    </xf>
    <xf numFmtId="0" fontId="5" fillId="33" borderId="50" xfId="3" applyFont="1" applyFill="1" applyBorder="1" applyAlignment="1">
      <alignment horizontal="center" vertical="center" wrapText="1"/>
    </xf>
    <xf numFmtId="0" fontId="16" fillId="23" borderId="2" xfId="0" applyFont="1" applyFill="1" applyBorder="1" applyAlignment="1">
      <alignment horizontal="center" vertical="center"/>
    </xf>
    <xf numFmtId="0" fontId="5" fillId="28" borderId="48" xfId="11" applyFont="1" applyFill="1" applyBorder="1" applyAlignment="1">
      <alignment horizontal="center" vertical="center" wrapText="1"/>
    </xf>
    <xf numFmtId="0" fontId="5" fillId="28" borderId="49" xfId="11" applyFont="1" applyFill="1" applyBorder="1" applyAlignment="1">
      <alignment horizontal="center" vertical="center" wrapText="1"/>
    </xf>
    <xf numFmtId="0" fontId="5" fillId="28" borderId="50" xfId="11" applyFont="1" applyFill="1" applyBorder="1" applyAlignment="1">
      <alignment horizontal="center" vertical="center" wrapText="1"/>
    </xf>
    <xf numFmtId="0" fontId="5" fillId="11" borderId="46" xfId="3" applyFont="1" applyFill="1" applyBorder="1" applyAlignment="1">
      <alignment horizontal="center" vertical="center" wrapText="1"/>
    </xf>
    <xf numFmtId="0" fontId="5" fillId="11" borderId="0" xfId="3" applyFont="1" applyFill="1" applyAlignment="1">
      <alignment horizontal="center" vertical="center" wrapText="1"/>
    </xf>
    <xf numFmtId="0" fontId="5" fillId="11" borderId="9" xfId="3" applyFont="1" applyFill="1" applyBorder="1" applyAlignment="1">
      <alignment horizontal="center" vertical="center" wrapText="1"/>
    </xf>
    <xf numFmtId="0" fontId="5" fillId="11" borderId="47" xfId="3" applyFont="1" applyFill="1" applyBorder="1" applyAlignment="1">
      <alignment horizontal="center" vertical="center" wrapText="1"/>
    </xf>
    <xf numFmtId="0" fontId="5" fillId="11" borderId="1" xfId="3" applyFont="1" applyFill="1" applyBorder="1" applyAlignment="1">
      <alignment horizontal="center" vertical="center" wrapText="1"/>
    </xf>
    <xf numFmtId="0" fontId="5" fillId="11" borderId="5" xfId="3" applyFont="1" applyFill="1" applyBorder="1" applyAlignment="1">
      <alignment horizontal="center" vertical="center" wrapText="1"/>
    </xf>
    <xf numFmtId="0" fontId="5" fillId="13" borderId="0" xfId="3" applyFont="1" applyFill="1" applyAlignment="1">
      <alignment horizontal="center" vertical="center" wrapText="1"/>
    </xf>
    <xf numFmtId="0" fontId="5" fillId="13" borderId="9" xfId="3" applyFont="1" applyFill="1" applyBorder="1" applyAlignment="1">
      <alignment horizontal="center" vertical="center" wrapText="1"/>
    </xf>
    <xf numFmtId="0" fontId="5" fillId="29" borderId="2" xfId="3" applyFont="1" applyFill="1" applyBorder="1" applyAlignment="1">
      <alignment horizontal="center" vertical="center" wrapText="1"/>
    </xf>
    <xf numFmtId="0" fontId="5" fillId="5" borderId="3" xfId="3" applyFont="1" applyFill="1" applyBorder="1" applyAlignment="1">
      <alignment horizontal="center" vertical="center"/>
    </xf>
    <xf numFmtId="0" fontId="5" fillId="5" borderId="27" xfId="3" applyFont="1" applyFill="1" applyBorder="1" applyAlignment="1">
      <alignment horizontal="center" vertical="center"/>
    </xf>
    <xf numFmtId="0" fontId="5" fillId="5" borderId="4" xfId="3" applyFont="1" applyFill="1" applyBorder="1" applyAlignment="1">
      <alignment horizontal="center" vertical="center"/>
    </xf>
    <xf numFmtId="0" fontId="5" fillId="14" borderId="3" xfId="3" applyFont="1" applyFill="1" applyBorder="1" applyAlignment="1">
      <alignment horizontal="center" vertical="center" wrapText="1"/>
    </xf>
    <xf numFmtId="0" fontId="5" fillId="14" borderId="27" xfId="3" applyFont="1" applyFill="1" applyBorder="1" applyAlignment="1">
      <alignment horizontal="center" vertical="center" wrapText="1"/>
    </xf>
    <xf numFmtId="0" fontId="5" fillId="14" borderId="4" xfId="3" applyFont="1" applyFill="1" applyBorder="1" applyAlignment="1">
      <alignment horizontal="center" vertical="center" wrapText="1"/>
    </xf>
    <xf numFmtId="0" fontId="5" fillId="5" borderId="3" xfId="3" applyFont="1" applyFill="1" applyBorder="1" applyAlignment="1">
      <alignment horizontal="center" vertical="center" wrapText="1"/>
    </xf>
    <xf numFmtId="0" fontId="5" fillId="5" borderId="27" xfId="3" applyFont="1" applyFill="1" applyBorder="1" applyAlignment="1">
      <alignment horizontal="center" vertical="center" wrapText="1"/>
    </xf>
    <xf numFmtId="0" fontId="5" fillId="5" borderId="4" xfId="3" applyFont="1" applyFill="1" applyBorder="1" applyAlignment="1">
      <alignment horizontal="center" vertical="center" wrapText="1"/>
    </xf>
    <xf numFmtId="0" fontId="5" fillId="24" borderId="47" xfId="3" applyFont="1" applyFill="1" applyBorder="1" applyAlignment="1">
      <alignment horizontal="center" vertical="center" wrapText="1"/>
    </xf>
    <xf numFmtId="0" fontId="5" fillId="24" borderId="1" xfId="3" applyFont="1" applyFill="1" applyBorder="1" applyAlignment="1">
      <alignment horizontal="center" vertical="center" wrapText="1"/>
    </xf>
    <xf numFmtId="0" fontId="5" fillId="12" borderId="11" xfId="3" applyFont="1" applyFill="1" applyBorder="1" applyAlignment="1">
      <alignment horizontal="center" vertical="center" wrapText="1"/>
    </xf>
    <xf numFmtId="0" fontId="5" fillId="12" borderId="8" xfId="3" applyFont="1" applyFill="1" applyBorder="1" applyAlignment="1">
      <alignment horizontal="center" vertical="center" wrapText="1"/>
    </xf>
    <xf numFmtId="0" fontId="5" fillId="12" borderId="7" xfId="3" applyFont="1" applyFill="1" applyBorder="1" applyAlignment="1">
      <alignment horizontal="center" vertical="center" wrapText="1"/>
    </xf>
    <xf numFmtId="0" fontId="5" fillId="12" borderId="47" xfId="3" applyFont="1" applyFill="1" applyBorder="1" applyAlignment="1">
      <alignment horizontal="center" vertical="center" wrapText="1"/>
    </xf>
    <xf numFmtId="0" fontId="5" fillId="12" borderId="1" xfId="3" applyFont="1" applyFill="1" applyBorder="1" applyAlignment="1">
      <alignment horizontal="center" vertical="center" wrapText="1"/>
    </xf>
    <xf numFmtId="0" fontId="5" fillId="12" borderId="5" xfId="3" applyFont="1" applyFill="1" applyBorder="1" applyAlignment="1">
      <alignment horizontal="center" vertical="center" wrapText="1"/>
    </xf>
    <xf numFmtId="0" fontId="22" fillId="4" borderId="3" xfId="3" applyFont="1" applyFill="1" applyBorder="1" applyAlignment="1">
      <alignment horizontal="center" vertical="center" wrapText="1"/>
    </xf>
    <xf numFmtId="0" fontId="22" fillId="4" borderId="4" xfId="3" applyFont="1" applyFill="1" applyBorder="1" applyAlignment="1">
      <alignment horizontal="center" vertical="center" wrapText="1"/>
    </xf>
    <xf numFmtId="0" fontId="14" fillId="16" borderId="3" xfId="3" applyFont="1" applyFill="1" applyBorder="1" applyAlignment="1">
      <alignment horizontal="center" vertical="center" wrapText="1"/>
    </xf>
    <xf numFmtId="0" fontId="14" fillId="16" borderId="4" xfId="3" applyFont="1" applyFill="1" applyBorder="1" applyAlignment="1">
      <alignment horizontal="center" vertical="center" wrapText="1"/>
    </xf>
    <xf numFmtId="0" fontId="5" fillId="15" borderId="3" xfId="3" applyFont="1" applyFill="1" applyBorder="1" applyAlignment="1">
      <alignment horizontal="center" vertical="center" wrapText="1"/>
    </xf>
    <xf numFmtId="0" fontId="5" fillId="15" borderId="27" xfId="3" applyFont="1" applyFill="1" applyBorder="1" applyAlignment="1">
      <alignment horizontal="center" vertical="center" wrapText="1"/>
    </xf>
    <xf numFmtId="0" fontId="5" fillId="15" borderId="4" xfId="3" applyFont="1" applyFill="1" applyBorder="1" applyAlignment="1">
      <alignment horizontal="center" vertical="center" wrapText="1"/>
    </xf>
    <xf numFmtId="0" fontId="5" fillId="25" borderId="3" xfId="3" applyFont="1" applyFill="1" applyBorder="1" applyAlignment="1">
      <alignment horizontal="center" vertical="center" wrapText="1"/>
    </xf>
    <xf numFmtId="0" fontId="5" fillId="25" borderId="27" xfId="3" applyFont="1" applyFill="1" applyBorder="1" applyAlignment="1">
      <alignment horizontal="center" vertical="center" wrapText="1"/>
    </xf>
    <xf numFmtId="0" fontId="5" fillId="25" borderId="4" xfId="3" applyFont="1" applyFill="1" applyBorder="1" applyAlignment="1">
      <alignment horizontal="center" vertical="center" wrapText="1"/>
    </xf>
    <xf numFmtId="0" fontId="5" fillId="13" borderId="2" xfId="3" applyFont="1" applyFill="1" applyBorder="1" applyAlignment="1">
      <alignment horizontal="center" vertical="center" wrapText="1"/>
    </xf>
    <xf numFmtId="0" fontId="5" fillId="5" borderId="2" xfId="3" applyFont="1" applyFill="1" applyBorder="1" applyAlignment="1">
      <alignment horizontal="center" vertical="center"/>
    </xf>
    <xf numFmtId="0" fontId="5" fillId="15" borderId="6" xfId="3" applyFont="1" applyFill="1" applyBorder="1" applyAlignment="1">
      <alignment horizontal="center" vertical="center" wrapText="1"/>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24" borderId="46" xfId="3" applyFont="1" applyFill="1" applyBorder="1" applyAlignment="1">
      <alignment horizontal="center" vertical="center" wrapText="1"/>
    </xf>
    <xf numFmtId="0" fontId="5" fillId="24" borderId="0" xfId="3" applyFont="1" applyFill="1" applyAlignment="1">
      <alignment horizontal="center" vertical="center" wrapText="1"/>
    </xf>
    <xf numFmtId="0" fontId="5" fillId="12" borderId="2" xfId="3" applyFont="1" applyFill="1" applyBorder="1" applyAlignment="1">
      <alignment horizontal="center" vertical="center" wrapText="1"/>
    </xf>
    <xf numFmtId="0" fontId="3" fillId="2" borderId="35" xfId="3" applyFill="1" applyBorder="1" applyAlignment="1">
      <alignment horizontal="left" vertical="center"/>
    </xf>
    <xf numFmtId="0" fontId="3" fillId="2" borderId="8" xfId="3" applyFill="1" applyBorder="1" applyAlignment="1">
      <alignment horizontal="left" vertical="center"/>
    </xf>
    <xf numFmtId="0" fontId="3" fillId="2" borderId="36" xfId="3" applyFill="1" applyBorder="1" applyAlignment="1">
      <alignment horizontal="left" vertical="center"/>
    </xf>
    <xf numFmtId="0" fontId="5" fillId="21" borderId="15" xfId="3" applyFont="1" applyFill="1" applyBorder="1" applyAlignment="1">
      <alignment horizontal="center" vertical="center"/>
    </xf>
    <xf numFmtId="0" fontId="5" fillId="21" borderId="0" xfId="3" applyFont="1" applyFill="1" applyAlignment="1">
      <alignment horizontal="center" vertical="center"/>
    </xf>
    <xf numFmtId="0" fontId="5" fillId="21" borderId="16" xfId="3" applyFont="1" applyFill="1" applyBorder="1" applyAlignment="1">
      <alignment horizontal="center" vertical="center"/>
    </xf>
    <xf numFmtId="0" fontId="5" fillId="2" borderId="17" xfId="3" applyFont="1" applyFill="1" applyBorder="1" applyAlignment="1">
      <alignment horizontal="center" vertical="center"/>
    </xf>
    <xf numFmtId="0" fontId="5" fillId="2" borderId="19" xfId="3" applyFont="1" applyFill="1" applyBorder="1" applyAlignment="1">
      <alignment horizontal="center" vertical="center"/>
    </xf>
    <xf numFmtId="0" fontId="3" fillId="2" borderId="12" xfId="3" applyFill="1" applyBorder="1" applyAlignment="1">
      <alignment horizontal="left" vertical="center"/>
    </xf>
    <xf numFmtId="0" fontId="3" fillId="2" borderId="14" xfId="3" applyFill="1" applyBorder="1" applyAlignment="1">
      <alignment horizontal="left" vertical="center"/>
    </xf>
    <xf numFmtId="0" fontId="3" fillId="2" borderId="26" xfId="3" applyFill="1" applyBorder="1" applyAlignment="1">
      <alignment horizontal="left" vertical="center"/>
    </xf>
    <xf numFmtId="0" fontId="3" fillId="2" borderId="24" xfId="3" applyFill="1" applyBorder="1" applyAlignment="1">
      <alignment horizontal="left" vertical="center"/>
    </xf>
    <xf numFmtId="0" fontId="5" fillId="2" borderId="17" xfId="3" applyFont="1" applyFill="1" applyBorder="1" applyAlignment="1">
      <alignment horizontal="center"/>
    </xf>
    <xf numFmtId="0" fontId="5" fillId="2" borderId="18" xfId="3" applyFont="1" applyFill="1" applyBorder="1" applyAlignment="1">
      <alignment horizontal="center"/>
    </xf>
    <xf numFmtId="0" fontId="5" fillId="2" borderId="19" xfId="3" applyFont="1" applyFill="1" applyBorder="1" applyAlignment="1">
      <alignment horizontal="center"/>
    </xf>
    <xf numFmtId="0" fontId="3" fillId="2" borderId="21" xfId="3" applyFill="1" applyBorder="1" applyAlignment="1">
      <alignment horizontal="left" vertical="center"/>
    </xf>
    <xf numFmtId="0" fontId="3" fillId="2" borderId="22" xfId="3" applyFill="1" applyBorder="1" applyAlignment="1">
      <alignment horizontal="left" vertical="center"/>
    </xf>
    <xf numFmtId="0" fontId="3" fillId="2" borderId="23" xfId="3" applyFill="1" applyBorder="1" applyAlignment="1">
      <alignment horizontal="left" vertical="center"/>
    </xf>
    <xf numFmtId="0" fontId="3" fillId="2" borderId="27" xfId="3" applyFill="1" applyBorder="1" applyAlignment="1">
      <alignment horizontal="left" vertical="center"/>
    </xf>
    <xf numFmtId="0" fontId="3" fillId="2" borderId="15" xfId="3" applyFill="1" applyBorder="1" applyAlignment="1">
      <alignment horizontal="left" vertical="center"/>
    </xf>
    <xf numFmtId="0" fontId="3" fillId="2" borderId="16" xfId="3" applyFill="1" applyBorder="1" applyAlignment="1">
      <alignment horizontal="left" vertical="center"/>
    </xf>
    <xf numFmtId="0" fontId="3" fillId="2" borderId="30" xfId="3" applyFill="1" applyBorder="1" applyAlignment="1">
      <alignment horizontal="left" vertical="center"/>
    </xf>
    <xf numFmtId="0" fontId="3" fillId="2" borderId="31" xfId="3" applyFill="1" applyBorder="1" applyAlignment="1">
      <alignment horizontal="left" vertical="center"/>
    </xf>
    <xf numFmtId="0" fontId="5" fillId="2" borderId="18" xfId="3" applyFont="1" applyFill="1" applyBorder="1" applyAlignment="1">
      <alignment horizontal="center" vertical="center"/>
    </xf>
    <xf numFmtId="0" fontId="3" fillId="2" borderId="17" xfId="3" applyFill="1" applyBorder="1" applyAlignment="1">
      <alignment horizontal="left" vertical="center"/>
    </xf>
    <xf numFmtId="0" fontId="3" fillId="2" borderId="19" xfId="3" applyFill="1" applyBorder="1" applyAlignment="1">
      <alignment horizontal="left" vertical="center"/>
    </xf>
    <xf numFmtId="0" fontId="5" fillId="2" borderId="39" xfId="3" applyFont="1" applyFill="1" applyBorder="1" applyAlignment="1">
      <alignment horizontal="center" vertical="center"/>
    </xf>
    <xf numFmtId="0" fontId="5" fillId="2" borderId="40" xfId="3" applyFont="1" applyFill="1" applyBorder="1" applyAlignment="1">
      <alignment horizontal="center" vertical="center"/>
    </xf>
    <xf numFmtId="0" fontId="5" fillId="2" borderId="37" xfId="3" applyFont="1" applyFill="1" applyBorder="1" applyAlignment="1">
      <alignment horizontal="center" vertical="center"/>
    </xf>
    <xf numFmtId="0" fontId="3" fillId="2" borderId="0" xfId="3" applyFill="1" applyAlignment="1">
      <alignment horizontal="left" vertical="center"/>
    </xf>
    <xf numFmtId="0" fontId="3" fillId="2" borderId="42" xfId="3" applyFill="1" applyBorder="1" applyAlignment="1">
      <alignment horizontal="left" vertical="center"/>
    </xf>
    <xf numFmtId="0" fontId="3" fillId="2" borderId="28" xfId="3" applyFill="1" applyBorder="1" applyAlignment="1">
      <alignment horizontal="left" vertical="center"/>
    </xf>
    <xf numFmtId="0" fontId="5" fillId="0" borderId="12" xfId="3" applyFont="1" applyBorder="1" applyAlignment="1">
      <alignment horizontal="center" vertical="center"/>
    </xf>
    <xf numFmtId="0" fontId="5" fillId="0" borderId="13" xfId="3" applyFont="1" applyBorder="1" applyAlignment="1">
      <alignment horizontal="center" vertical="center"/>
    </xf>
    <xf numFmtId="0" fontId="5" fillId="0" borderId="14" xfId="3" applyFont="1" applyBorder="1" applyAlignment="1">
      <alignment horizontal="center" vertical="center"/>
    </xf>
    <xf numFmtId="0" fontId="5" fillId="0" borderId="39" xfId="3" applyFont="1" applyBorder="1" applyAlignment="1">
      <alignment horizontal="center" vertical="center"/>
    </xf>
    <xf numFmtId="0" fontId="5" fillId="0" borderId="40" xfId="3" applyFont="1" applyBorder="1" applyAlignment="1">
      <alignment horizontal="center" vertical="center"/>
    </xf>
    <xf numFmtId="0" fontId="5" fillId="0" borderId="37" xfId="3" applyFont="1" applyBorder="1" applyAlignment="1">
      <alignment horizontal="center" vertical="center"/>
    </xf>
    <xf numFmtId="0" fontId="5" fillId="2" borderId="26" xfId="3" applyFont="1" applyFill="1" applyBorder="1" applyAlignment="1">
      <alignment horizontal="center" vertical="center"/>
    </xf>
    <xf numFmtId="0" fontId="5" fillId="2" borderId="27" xfId="3" applyFont="1" applyFill="1" applyBorder="1" applyAlignment="1">
      <alignment horizontal="center" vertical="center"/>
    </xf>
    <xf numFmtId="0" fontId="5" fillId="2" borderId="24" xfId="3" applyFont="1" applyFill="1" applyBorder="1" applyAlignment="1">
      <alignment horizontal="center" vertical="center"/>
    </xf>
    <xf numFmtId="0" fontId="3" fillId="2" borderId="1" xfId="3" applyFill="1" applyBorder="1" applyAlignment="1">
      <alignment horizontal="left" vertical="center"/>
    </xf>
    <xf numFmtId="0" fontId="5" fillId="2" borderId="30" xfId="3" applyFont="1" applyFill="1" applyBorder="1" applyAlignment="1">
      <alignment horizontal="center" vertical="center"/>
    </xf>
    <xf numFmtId="0" fontId="5" fillId="2" borderId="31" xfId="3" applyFont="1" applyFill="1" applyBorder="1" applyAlignment="1">
      <alignment horizontal="center" vertical="center"/>
    </xf>
    <xf numFmtId="0" fontId="5" fillId="2" borderId="15" xfId="3" applyFont="1" applyFill="1" applyBorder="1" applyAlignment="1">
      <alignment horizontal="center" vertical="center"/>
    </xf>
    <xf numFmtId="0" fontId="5" fillId="2" borderId="0" xfId="3" applyFont="1" applyFill="1" applyAlignment="1">
      <alignment horizontal="center" vertical="center"/>
    </xf>
    <xf numFmtId="0" fontId="5" fillId="2" borderId="16" xfId="3" applyFont="1" applyFill="1" applyBorder="1" applyAlignment="1">
      <alignment horizontal="center" vertical="center"/>
    </xf>
    <xf numFmtId="0" fontId="5" fillId="2" borderId="17" xfId="3" applyFont="1" applyFill="1" applyBorder="1" applyAlignment="1">
      <alignment horizontal="center" vertical="center" wrapText="1"/>
    </xf>
    <xf numFmtId="0" fontId="5" fillId="2" borderId="18" xfId="3" applyFont="1" applyFill="1" applyBorder="1" applyAlignment="1">
      <alignment horizontal="center" vertical="center" wrapText="1"/>
    </xf>
    <xf numFmtId="0" fontId="3" fillId="2" borderId="39" xfId="3" applyFill="1" applyBorder="1" applyAlignment="1">
      <alignment horizontal="left" vertical="center"/>
    </xf>
    <xf numFmtId="0" fontId="3" fillId="2" borderId="37" xfId="3" applyFill="1" applyBorder="1" applyAlignment="1">
      <alignment horizontal="left" vertical="center"/>
    </xf>
    <xf numFmtId="44" fontId="0" fillId="0" borderId="0" xfId="0" applyNumberFormat="1" applyFont="1" applyAlignment="1">
      <alignment horizontal="center"/>
    </xf>
    <xf numFmtId="44" fontId="0" fillId="0" borderId="0" xfId="1" applyNumberFormat="1" applyFont="1"/>
  </cellXfs>
  <cellStyles count="15">
    <cellStyle name="Moeda" xfId="1" builtinId="4"/>
    <cellStyle name="Moeda 2" xfId="4"/>
    <cellStyle name="Moeda 9" xfId="10"/>
    <cellStyle name="Normal" xfId="0" builtinId="0"/>
    <cellStyle name="Normal 10" xfId="3"/>
    <cellStyle name="Normal 13" xfId="11"/>
    <cellStyle name="Normal 18" xfId="5"/>
    <cellStyle name="Normal 2" xfId="8"/>
    <cellStyle name="Normal 2 2" xfId="14"/>
    <cellStyle name="Normal 3" xfId="13"/>
    <cellStyle name="Porcentagem" xfId="2" builtinId="5"/>
    <cellStyle name="Porcentagem 2" xfId="7"/>
    <cellStyle name="Separador de milhares 19" xfId="12"/>
    <cellStyle name="Vírgula 2" xfId="6"/>
    <cellStyle name="Vírgula 4" xfId="9"/>
  </cellStyles>
  <dxfs count="662">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165" formatCode="yyyy"/>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67" formatCode="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 formatCode="0"/>
      <alignment horizontal="center" vertical="bottom" textRotation="0" wrapText="0" indent="0" justifyLastLine="0" shrinkToFit="0" readingOrder="0"/>
    </dxf>
    <dxf>
      <numFmt numFmtId="1" formatCode="0"/>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165" formatCode="yyyy"/>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67" formatCode="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font>
        <b val="0"/>
        <i val="0"/>
        <strike val="0"/>
        <condense val="0"/>
        <extend val="0"/>
        <outline val="0"/>
        <shadow val="0"/>
        <u val="none"/>
        <vertAlign val="baseline"/>
        <sz val="11"/>
        <color theme="1"/>
        <name val="Aptos Narrow"/>
        <scheme val="minor"/>
      </font>
    </dxf>
    <dxf>
      <font>
        <b val="0"/>
        <i val="0"/>
        <strike val="0"/>
        <condense val="0"/>
        <extend val="0"/>
        <outline val="0"/>
        <shadow val="0"/>
        <u val="none"/>
        <vertAlign val="baseline"/>
        <sz val="11"/>
        <color theme="1"/>
        <name val="Aptos Narrow"/>
        <scheme val="minor"/>
      </font>
    </dxf>
    <dxf>
      <font>
        <b val="0"/>
        <i val="0"/>
        <strike val="0"/>
        <condense val="0"/>
        <extend val="0"/>
        <outline val="0"/>
        <shadow val="0"/>
        <u val="none"/>
        <vertAlign val="baseline"/>
        <sz val="11"/>
        <color theme="1"/>
        <name val="Aptos Narrow"/>
        <scheme val="minor"/>
      </font>
    </dxf>
    <dxf>
      <font>
        <b val="0"/>
        <i val="0"/>
        <strike val="0"/>
        <condense val="0"/>
        <extend val="0"/>
        <outline val="0"/>
        <shadow val="0"/>
        <u val="none"/>
        <vertAlign val="baseline"/>
        <sz val="11"/>
        <color theme="1"/>
        <name val="Aptos Narrow"/>
        <scheme val="minor"/>
      </font>
    </dxf>
    <dxf>
      <font>
        <b val="0"/>
        <i val="0"/>
        <strike val="0"/>
        <condense val="0"/>
        <extend val="0"/>
        <outline val="0"/>
        <shadow val="0"/>
        <u val="none"/>
        <vertAlign val="baseline"/>
        <sz val="11"/>
        <color theme="1"/>
        <name val="Aptos Narrow"/>
        <scheme val="minor"/>
      </font>
    </dxf>
    <dxf>
      <font>
        <b val="0"/>
        <i val="0"/>
        <strike val="0"/>
        <condense val="0"/>
        <extend val="0"/>
        <outline val="0"/>
        <shadow val="0"/>
        <u val="none"/>
        <vertAlign val="baseline"/>
        <sz val="11"/>
        <color theme="1"/>
        <name val="Aptos Narrow"/>
        <scheme val="minor"/>
      </font>
    </dxf>
    <dxf>
      <font>
        <b val="0"/>
        <i val="0"/>
        <strike val="0"/>
        <condense val="0"/>
        <extend val="0"/>
        <outline val="0"/>
        <shadow val="0"/>
        <u val="none"/>
        <vertAlign val="baseline"/>
        <sz val="11"/>
        <color theme="1"/>
        <name val="Aptos Narrow"/>
        <scheme val="minor"/>
      </font>
    </dxf>
    <dxf>
      <font>
        <b val="0"/>
        <i val="0"/>
        <strike val="0"/>
        <condense val="0"/>
        <extend val="0"/>
        <outline val="0"/>
        <shadow val="0"/>
        <u val="none"/>
        <vertAlign val="baseline"/>
        <sz val="11"/>
        <color theme="1"/>
        <name val="Aptos Narrow"/>
        <scheme val="minor"/>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dxf>
    <dxf>
      <font>
        <sz val="11"/>
      </font>
    </dxf>
    <dxf>
      <font>
        <sz val="9"/>
      </font>
      <alignment horizontal="center" vertical="center" wrapText="1"/>
    </dxf>
    <dxf>
      <font>
        <sz val="11"/>
      </font>
    </dxf>
    <dxf>
      <font>
        <sz val="9"/>
      </font>
    </dxf>
    <dxf>
      <alignment horizontal="left"/>
    </dxf>
    <dxf>
      <alignment horizontal="center"/>
    </dxf>
    <dxf>
      <alignment horizontal="center"/>
    </dxf>
    <dxf>
      <alignment horizontal="center" vertical="center" wrapText="1"/>
    </dxf>
    <dxf>
      <alignment wrapText="1"/>
    </dxf>
    <dxf>
      <alignment wrapText="1"/>
    </dxf>
    <dxf>
      <alignment horizontal="center"/>
    </dxf>
    <dxf>
      <alignment horizontal="center"/>
    </dxf>
    <dxf>
      <alignment vertical="center"/>
    </dxf>
    <dxf>
      <alignment vertical="center"/>
    </dxf>
    <dxf>
      <font>
        <b/>
        <i val="0"/>
      </font>
      <fill>
        <patternFill>
          <bgColor theme="0" tint="-0.24994659260841701"/>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patternType="none">
          <fgColor indexed="64"/>
          <bgColor auto="1"/>
        </patternFill>
      </fill>
    </dxf>
    <dxf>
      <alignment horizontal="center" vertical="center" textRotation="0" wrapText="1" indent="0" justifyLastLine="0" shrinkToFit="0" readingOrder="0"/>
    </dxf>
    <dxf>
      <font>
        <b/>
        <i val="0"/>
        <strike val="0"/>
        <condense val="0"/>
        <extend val="0"/>
        <outline val="0"/>
        <shadow val="0"/>
        <u val="none"/>
        <vertAlign val="baseline"/>
        <sz val="11"/>
        <color theme="1"/>
        <name val="Aptos Narrow"/>
        <scheme val="minor"/>
      </font>
      <alignment horizontal="center" vertical="bottom" textRotation="0" wrapText="0" indent="0" justifyLastLine="0" shrinkToFit="0" readingOrder="0"/>
      <border diagonalUp="0" diagonalDown="0" outline="0">
        <left style="thin">
          <color indexed="64"/>
        </left>
        <right/>
        <top style="thin">
          <color indexed="64"/>
        </top>
        <bottom/>
      </border>
    </dxf>
    <dxf>
      <numFmt numFmtId="0" formatCode="Genera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i val="0"/>
        <strike val="0"/>
        <condense val="0"/>
        <extend val="0"/>
        <outline val="0"/>
        <shadow val="0"/>
        <u val="none"/>
        <vertAlign val="baseline"/>
        <sz val="11"/>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65" formatCode="yyyy"/>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65" formatCode="yyyy"/>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indexed="64"/>
        </left>
        <right style="thin">
          <color indexed="64"/>
        </right>
        <top/>
        <bottom style="thin">
          <color indexed="64"/>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fill>
        <patternFill patternType="solid">
          <fgColor indexed="64"/>
          <bgColor rgb="FFFFFF00"/>
        </patternFill>
      </fill>
      <border diagonalUp="0" diagonalDown="0">
        <left style="thin">
          <color indexed="64"/>
        </left>
        <right style="thin">
          <color indexed="64"/>
        </right>
        <top/>
        <bottom style="thin">
          <color indexed="64"/>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indexed="64"/>
        </left>
        <right style="thin">
          <color indexed="64"/>
        </right>
        <top/>
        <bottom style="thin">
          <color indexed="64"/>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numFmt numFmtId="34" formatCode="_-&quot;R$&quot;\ * #,##0.00_-;\-&quot;R$&quot;\ * #,##0.00_-;_-&quot;R$&quot;\ * &quot;-&quot;??_-;_-@_-"/>
      <border diagonalUp="0" diagonalDown="0" outline="0">
        <left style="thin">
          <color indexed="64"/>
        </left>
        <right style="thin">
          <color indexed="64"/>
        </right>
        <top style="thin">
          <color indexed="64"/>
        </top>
        <bottom/>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border diagonalUp="0" diagonalDown="0" outline="0">
        <left style="thin">
          <color indexed="64"/>
        </left>
        <right style="thin">
          <color indexed="64"/>
        </right>
        <top style="thin">
          <color indexed="64"/>
        </top>
        <bottom/>
      </border>
    </dxf>
    <dxf>
      <numFmt numFmtId="0" formatCode="General"/>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border diagonalUp="0" diagonalDown="0" outline="0">
        <left style="thin">
          <color indexed="64"/>
        </left>
        <right style="thin">
          <color indexed="64"/>
        </right>
        <top style="thin">
          <color indexed="64"/>
        </top>
        <bottom/>
      </border>
    </dxf>
    <dxf>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border diagonalUp="0" diagonalDown="0" outline="0">
        <left style="thin">
          <color indexed="64"/>
        </left>
        <right style="thin">
          <color indexed="64"/>
        </right>
        <top style="thin">
          <color indexed="64"/>
        </top>
        <bottom/>
      </border>
    </dxf>
    <dxf>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scheme val="minor"/>
      </font>
      <alignment horizontal="center" vertical="bottom" textRotation="0" wrapText="0" indent="0" justifyLastLine="0" shrinkToFit="0" readingOrder="0"/>
      <border diagonalUp="0" diagonalDown="0" outline="0">
        <left/>
        <right style="thin">
          <color indexed="64"/>
        </right>
        <top style="thin">
          <color indexed="64"/>
        </top>
        <bottom/>
      </border>
    </dxf>
    <dxf>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top style="thin">
          <color indexed="64"/>
        </top>
      </border>
    </dxf>
    <dxf>
      <font>
        <b/>
      </font>
    </dxf>
    <dxf>
      <border diagonalUp="0" diagonalDown="0">
        <left style="thin">
          <color indexed="64"/>
        </left>
        <right style="thin">
          <color indexed="64"/>
        </right>
        <top style="thin">
          <color indexed="64"/>
        </top>
        <bottom style="thin">
          <color indexed="64"/>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165" formatCode="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font>
        <strike val="0"/>
        <outline val="0"/>
        <shadow val="0"/>
        <u val="none"/>
        <vertAlign val="baseline"/>
        <sz val="11"/>
        <color auto="1"/>
        <name val="Aptos Narrow"/>
        <scheme val="minor"/>
      </font>
      <numFmt numFmtId="0" formatCode="General"/>
      <alignment vertical="center" textRotation="0" indent="0" justifyLastLine="0" shrinkToFit="0" readingOrder="0"/>
    </dxf>
    <dxf>
      <font>
        <strike val="0"/>
        <outline val="0"/>
        <shadow val="0"/>
        <u val="none"/>
        <vertAlign val="baseline"/>
        <sz val="11"/>
        <color auto="1"/>
        <name val="Aptos Narrow"/>
        <scheme val="minor"/>
      </font>
      <numFmt numFmtId="0" formatCode="General"/>
      <alignment horizontal="center" vertical="center" textRotation="0" wrapText="0" indent="0" justifyLastLine="0" shrinkToFit="0" readingOrder="0"/>
    </dxf>
    <dxf>
      <font>
        <strike val="0"/>
        <outline val="0"/>
        <shadow val="0"/>
        <u val="none"/>
        <vertAlign val="baseline"/>
        <sz val="11"/>
        <color auto="1"/>
        <name val="Aptos Narrow"/>
        <scheme val="minor"/>
      </font>
      <numFmt numFmtId="0" formatCode="General"/>
      <alignment horizontal="center" vertical="center" textRotation="0" wrapText="0" indent="0" justifyLastLine="0" shrinkToFit="0" readingOrder="0"/>
    </dxf>
    <dxf>
      <font>
        <strike val="0"/>
        <outline val="0"/>
        <shadow val="0"/>
        <u val="none"/>
        <vertAlign val="baseline"/>
        <sz val="11"/>
        <color auto="1"/>
        <name val="Aptos Narrow"/>
        <scheme val="minor"/>
      </font>
      <numFmt numFmtId="165" formatCode="yyyy"/>
      <alignment horizontal="center" vertical="center" textRotation="0" wrapText="0" indent="0" justifyLastLine="0" shrinkToFit="0" readingOrder="0"/>
    </dxf>
    <dxf>
      <font>
        <strike val="0"/>
        <outline val="0"/>
        <shadow val="0"/>
        <u val="none"/>
        <vertAlign val="baseline"/>
        <sz val="11"/>
        <color auto="1"/>
        <name val="Aptos Narrow"/>
        <scheme val="minor"/>
      </font>
      <alignment vertical="center" textRotation="0" indent="0" justifyLastLine="0" shrinkToFit="0" readingOrder="0"/>
    </dxf>
    <dxf>
      <font>
        <strike val="0"/>
        <outline val="0"/>
        <shadow val="0"/>
        <u val="none"/>
        <vertAlign val="baseline"/>
        <sz val="11"/>
        <color auto="1"/>
        <name val="Aptos Narrow"/>
        <scheme val="minor"/>
      </font>
      <alignment vertical="center" textRotation="0" indent="0" justifyLastLine="0" shrinkToFit="0" readingOrder="0"/>
    </dxf>
    <dxf>
      <font>
        <strike val="0"/>
        <outline val="0"/>
        <shadow val="0"/>
        <u val="none"/>
        <vertAlign val="baseline"/>
        <sz val="11"/>
        <color auto="1"/>
        <name val="Aptos Narrow"/>
        <scheme val="minor"/>
      </font>
      <alignment vertical="center" textRotation="0" indent="0" justifyLastLine="0" shrinkToFit="0" readingOrder="0"/>
    </dxf>
    <dxf>
      <font>
        <strike val="0"/>
        <outline val="0"/>
        <shadow val="0"/>
        <u val="none"/>
        <vertAlign val="baseline"/>
        <sz val="11"/>
        <color auto="1"/>
        <name val="Aptos Narrow"/>
        <scheme val="minor"/>
      </font>
      <alignment vertical="center" textRotation="0" indent="0" justifyLastLine="0" shrinkToFit="0" readingOrder="0"/>
    </dxf>
    <dxf>
      <font>
        <strike val="0"/>
        <outline val="0"/>
        <shadow val="0"/>
        <u val="none"/>
        <vertAlign val="baseline"/>
        <sz val="11"/>
        <color auto="1"/>
        <name val="Aptos Narrow"/>
        <scheme val="minor"/>
      </font>
      <alignment vertical="center" textRotation="0" indent="0" justifyLastLine="0" shrinkToFit="0" readingOrder="0"/>
    </dxf>
    <dxf>
      <font>
        <strike val="0"/>
        <outline val="0"/>
        <shadow val="0"/>
        <u val="none"/>
        <vertAlign val="baseline"/>
        <sz val="11"/>
        <color auto="1"/>
        <name val="Aptos Narrow"/>
        <scheme val="minor"/>
      </font>
      <numFmt numFmtId="0" formatCode="General"/>
      <alignment horizontal="justify" vertical="top" textRotation="0" wrapText="1" indent="0" justifyLastLine="0" shrinkToFit="0" readingOrder="0"/>
    </dxf>
    <dxf>
      <font>
        <strike val="0"/>
        <outline val="0"/>
        <shadow val="0"/>
        <u val="none"/>
        <vertAlign val="baseline"/>
        <sz val="11"/>
        <color auto="1"/>
        <name val="Aptos Narrow"/>
        <scheme val="minor"/>
      </font>
      <numFmt numFmtId="0" formatCode="General"/>
      <alignment horizontal="justify" vertical="top" textRotation="0" wrapText="0" indent="0" justifyLastLine="0" shrinkToFit="0" readingOrder="0"/>
    </dxf>
    <dxf>
      <font>
        <strike val="0"/>
        <outline val="0"/>
        <shadow val="0"/>
        <u val="none"/>
        <vertAlign val="baseline"/>
        <sz val="11"/>
        <color auto="1"/>
        <name val="Aptos Narrow"/>
        <scheme val="minor"/>
      </font>
      <alignment horizontal="justify" vertical="top" textRotation="0" wrapText="1" indent="0" justifyLastLine="0" shrinkToFit="0" readingOrder="0"/>
    </dxf>
    <dxf>
      <font>
        <strike val="0"/>
        <outline val="0"/>
        <shadow val="0"/>
        <u val="none"/>
        <vertAlign val="baseline"/>
        <sz val="11"/>
        <color auto="1"/>
        <name val="Aptos Narrow"/>
        <scheme val="minor"/>
      </font>
      <numFmt numFmtId="0" formatCode="General"/>
      <alignment horizontal="justify" vertical="top" textRotation="0" wrapText="1" indent="0" justifyLastLine="0" shrinkToFit="0" readingOrder="0"/>
    </dxf>
    <dxf>
      <font>
        <strike val="0"/>
        <outline val="0"/>
        <shadow val="0"/>
        <u val="none"/>
        <vertAlign val="baseline"/>
        <sz val="11"/>
        <color auto="1"/>
        <name val="Aptos Narrow"/>
        <scheme val="minor"/>
      </font>
      <numFmt numFmtId="0" formatCode="General"/>
      <alignment horizontal="general" vertical="center" textRotation="0" wrapText="0" indent="0" justifyLastLine="0" shrinkToFit="0" readingOrder="0"/>
    </dxf>
    <dxf>
      <font>
        <strike val="0"/>
        <outline val="0"/>
        <shadow val="0"/>
        <u val="none"/>
        <vertAlign val="baseline"/>
        <sz val="11"/>
        <color auto="1"/>
        <name val="Aptos Narrow"/>
        <scheme val="minor"/>
      </font>
      <alignment vertical="center"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solid">
          <fgColor indexed="64"/>
          <bgColor rgb="FFFFFF00"/>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3" formatCode="#,##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 formatCode="#,##0"/>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 formatCode="#,##0"/>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rgb="FF000000"/>
          <bgColor auto="1"/>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solid">
          <fgColor indexed="64"/>
          <bgColor rgb="FFFFFF00"/>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3" formatCode="#,##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 formatCode="#,##0"/>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 formatCode="#,##0"/>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rgb="FF000000"/>
          <bgColor auto="1"/>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solid">
          <fgColor indexed="64"/>
          <bgColor rgb="FFFFFF00"/>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3" formatCode="#,##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 formatCode="#,##0"/>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 formatCode="#,##0"/>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169" formatCode="&quot;R$&quot;\ #,##0.00"/>
      <fill>
        <patternFill patternType="none">
          <fgColor indexed="64"/>
          <bgColor auto="1"/>
        </patternFill>
      </fil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font>
        <sz val="10"/>
        <color auto="1"/>
        <name val="Arial"/>
        <scheme val="none"/>
      </font>
      <numFmt numFmtId="169" formatCode="&quot;R$&quot;\ #,##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69" formatCode="&quot;R$&quot;\ #,##0.00"/>
      <fill>
        <patternFill patternType="none">
          <fgColor indexed="64"/>
          <bgColor indexed="65"/>
        </patternFill>
      </fill>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169" formatCode="&quot;R$&quot;\ #,##0.00"/>
      <fill>
        <patternFill patternType="none">
          <fgColor indexed="64"/>
          <bgColor auto="1"/>
        </patternFill>
      </fill>
      <alignment horizontal="center" vertical="center" textRotation="0" wrapText="0" indent="0" justifyLastLine="0" shrinkToFit="0" readingOrder="0"/>
    </dxf>
    <dxf>
      <numFmt numFmtId="169" formatCode="&quot;R$&quot;\ #,##0.00"/>
      <fill>
        <patternFill patternType="solid">
          <fgColor indexed="64"/>
          <bgColor rgb="FFFFFF00"/>
        </patternFill>
      </fill>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alignment horizontal="left" vertical="center" textRotation="0" wrapText="0" indent="0" justifyLastLine="0" shrinkToFit="0" readingOrder="0"/>
    </dxf>
    <dxf>
      <alignment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0"/>
        <color theme="0"/>
        <name val="Arial"/>
        <scheme val="none"/>
      </font>
      <numFmt numFmtId="0" formatCode="General"/>
      <fill>
        <patternFill patternType="solid">
          <fgColor theme="4"/>
          <bgColor theme="4"/>
        </patternFill>
      </fill>
      <alignment horizontal="center" vertical="center" textRotation="0" wrapText="1" indent="0" justifyLastLine="0" shrinkToFit="0" readingOrder="0"/>
    </dxf>
    <dxf>
      <alignment vertical="top"/>
    </dxf>
    <dxf>
      <alignment vertical="center"/>
    </dxf>
    <dxf>
      <alignment horizontal="center"/>
    </dxf>
    <dxf>
      <alignment horizontal="center"/>
    </dxf>
    <dxf>
      <alignment wrapText="1"/>
    </dxf>
    <dxf>
      <alignment horizontal="center"/>
    </dxf>
    <dxf>
      <alignment horizontal="center"/>
    </dxf>
    <dxf>
      <alignment vertical="center"/>
    </dxf>
    <dxf>
      <alignment horizontal="center"/>
    </dxf>
    <dxf>
      <alignment wrapText="1"/>
    </dxf>
    <dxf>
      <alignment horizontal="center"/>
    </dxf>
    <dxf>
      <numFmt numFmtId="14" formatCode="0.00%"/>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1"/>
        <color theme="1"/>
        <name val="Aptos Narrow"/>
        <scheme val="minor"/>
      </font>
      <fill>
        <patternFill>
          <fgColor indexed="64"/>
          <bgColor rgb="FFFFFF00"/>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ptos Narrow"/>
        <scheme val="minor"/>
      </font>
      <fill>
        <patternFill>
          <fgColor indexed="64"/>
          <bgColor rgb="FFFFFF00"/>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ptos Narrow"/>
        <scheme val="minor"/>
      </font>
      <fill>
        <patternFill>
          <fgColor indexed="64"/>
          <bgColor rgb="FFFFFF0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auto="1"/>
        </left>
        <right style="thin">
          <color auto="1"/>
        </right>
        <top style="thin">
          <color indexed="64"/>
        </top>
        <bottom style="thin">
          <color indexed="64"/>
        </bottom>
      </border>
    </dxf>
    <dxf>
      <fill>
        <patternFill>
          <fgColor indexed="64"/>
          <bgColor rgb="FFFFFF00"/>
        </patternFill>
      </fill>
    </dxf>
    <dxf>
      <border outline="0">
        <bottom style="thin">
          <color indexed="64"/>
        </bottom>
      </border>
    </dxf>
    <dxf>
      <font>
        <b val="0"/>
        <i val="0"/>
        <strike val="0"/>
        <condense val="0"/>
        <extend val="0"/>
        <outline val="0"/>
        <shadow val="0"/>
        <u val="none"/>
        <vertAlign val="baseline"/>
        <sz val="11"/>
        <color auto="1"/>
        <name val="Arial"/>
        <scheme val="none"/>
      </font>
      <numFmt numFmtId="14" formatCode="0.00%"/>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0"/>
        <color auto="1"/>
        <name val="Arial"/>
        <scheme val="none"/>
      </font>
      <numFmt numFmtId="19" formatCode="dd/mm/yyyy"/>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numFmt numFmtId="173" formatCode="00"/>
      <alignment horizontal="center" vertical="center"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auto="1"/>
        </left>
        <right style="thin">
          <color auto="1"/>
        </right>
        <top style="thin">
          <color indexed="64"/>
        </top>
        <bottom style="thin">
          <color indexed="64"/>
        </bottom>
      </border>
    </dxf>
    <dxf>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171" formatCode="&quot;R$ &quot;#,##0.00_);\(&quot;R$ &quot;#,##0.00\)"/>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Aptos Narrow"/>
        <scheme val="minor"/>
      </font>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0"/>
        <color auto="1"/>
        <name val="Tahoma"/>
        <scheme val="none"/>
      </font>
      <fill>
        <patternFill patternType="none">
          <fgColor indexed="64"/>
          <bgColor auto="1"/>
        </patternFill>
      </fill>
      <alignment horizontal="left" vertical="center" textRotation="0" wrapText="1" indent="0" justifyLastLine="0" shrinkToFit="0" readingOrder="0"/>
    </dxf>
    <dxf>
      <fill>
        <patternFill patternType="none">
          <fgColor indexed="64"/>
          <bgColor auto="1"/>
        </patternFill>
      </fill>
      <alignment vertical="center" textRotation="0" indent="0" justifyLastLine="0" shrinkToFit="0" readingOrder="0"/>
    </dxf>
    <dxf>
      <font>
        <b/>
        <i val="0"/>
        <strike val="0"/>
        <condense val="0"/>
        <extend val="0"/>
        <outline val="0"/>
        <shadow val="0"/>
        <u val="none"/>
        <vertAlign val="baseline"/>
        <sz val="11"/>
        <color theme="0"/>
        <name val="Aptos Narrow"/>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dxf>
    <dxf>
      <font>
        <b/>
        <i val="0"/>
        <strike val="0"/>
        <condense val="0"/>
        <extend val="0"/>
        <outline val="0"/>
        <shadow val="0"/>
        <u val="none"/>
        <vertAlign val="baseline"/>
        <sz val="11"/>
        <color theme="0"/>
        <name val="Aptos Narrow"/>
        <scheme val="minor"/>
      </font>
      <fill>
        <patternFill patternType="none">
          <fgColor indexed="64"/>
          <bgColor auto="1"/>
        </patternFill>
      </fill>
      <alignment horizontal="center" vertical="center" textRotation="0" wrapText="1" indent="0" justifyLastLine="0" shrinkToFit="0" readingOrder="0"/>
    </dxf>
    <dxf>
      <numFmt numFmtId="30" formatCode="@"/>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numFmt numFmtId="0" formatCode="General"/>
      <fill>
        <patternFill patternType="none">
          <fgColor indexed="64"/>
          <bgColor auto="1"/>
        </patternFill>
      </fill>
      <alignment vertical="center" textRotation="0" wrapText="0" indent="0" justifyLastLine="0" shrinkToFit="0" readingOrder="0"/>
    </dxf>
    <dxf>
      <fill>
        <patternFill patternType="none">
          <fgColor indexed="64"/>
          <bgColor auto="1"/>
        </patternFill>
      </fill>
      <alignment vertical="center" textRotation="0" wrapText="0" indent="0" justifyLastLine="0" shrinkToFit="0" readingOrder="0"/>
    </dxf>
    <dxf>
      <font>
        <b/>
        <i val="0"/>
        <strike val="0"/>
        <condense val="0"/>
        <extend val="0"/>
        <outline val="0"/>
        <shadow val="0"/>
        <u val="none"/>
        <vertAlign val="baseline"/>
        <sz val="11"/>
        <color theme="0"/>
        <name val="Aptos Narrow"/>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169" formatCode="&quot;R$&quot;\ #,##0.00"/>
      <fill>
        <patternFill patternType="none">
          <fgColor indexed="64"/>
          <bgColor auto="1"/>
        </patternFill>
      </fill>
      <alignment horizontal="center" vertical="center" textRotation="0" wrapText="0" indent="0" justifyLastLine="0" shrinkToFit="0" readingOrder="0"/>
    </dxf>
    <dxf>
      <numFmt numFmtId="167" formatCode="0.0%"/>
      <fill>
        <patternFill patternType="none">
          <fgColor indexed="64"/>
          <bgColor auto="1"/>
        </patternFill>
      </fill>
      <alignment horizontal="center" vertical="center" textRotation="0" wrapText="0" indent="0" justifyLastLine="0" shrinkToFit="0" readingOrder="0"/>
    </dxf>
    <dxf>
      <numFmt numFmtId="30" formatCode="@"/>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left" vertical="center" textRotation="0" wrapText="0" indent="0" justifyLastLine="0" shrinkToFit="0" readingOrder="0"/>
    </dxf>
    <dxf>
      <fill>
        <patternFill patternType="none">
          <fgColor indexed="64"/>
          <bgColor auto="1"/>
        </patternFill>
      </fill>
      <alignment vertical="center" textRotation="0" wrapText="0" indent="0" justifyLastLine="0" shrinkToFit="0" readingOrder="0"/>
    </dxf>
    <dxf>
      <font>
        <b/>
        <i val="0"/>
        <strike val="0"/>
        <condense val="0"/>
        <extend val="0"/>
        <outline val="0"/>
        <shadow val="0"/>
        <u val="none"/>
        <vertAlign val="baseline"/>
        <sz val="11"/>
        <color theme="0"/>
        <name val="Aptos Narrow"/>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dxf>
  </dxfs>
  <tableStyles count="0" defaultTableStyle="TableStyleMedium2" defaultPivotStyle="PivotStyleLight16"/>
  <colors>
    <mruColors>
      <color rgb="FF76824E"/>
      <color rgb="FFDAEEF3"/>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7/relationships/slicerCache" Target="slicerCaches/slicerCache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pivotCacheDefinition" Target="pivotCache/pivotCacheDefinition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sheetMetadata" Target="metadata.xml"/><Relationship Id="rId27" Type="http://schemas.openxmlformats.org/officeDocument/2006/relationships/customXml" Target="../customXml/item4.xml"/></Relationships>
</file>

<file path=xl/drawings/drawing1.xml><?xml version="1.0" encoding="utf-8"?>
<xdr:wsDr xmlns:xdr="http://schemas.openxmlformats.org/drawingml/2006/spreadsheetDrawing" xmlns:a="http://schemas.openxmlformats.org/drawingml/2006/main">
  <xdr:twoCellAnchor editAs="oneCell">
    <xdr:from>
      <xdr:col>12</xdr:col>
      <xdr:colOff>13607</xdr:colOff>
      <xdr:row>0</xdr:row>
      <xdr:rowOff>67235</xdr:rowOff>
    </xdr:from>
    <xdr:to>
      <xdr:col>12</xdr:col>
      <xdr:colOff>3496235</xdr:colOff>
      <xdr:row>6</xdr:row>
      <xdr:rowOff>11205</xdr:rowOff>
    </xdr:to>
    <mc:AlternateContent xmlns:mc="http://schemas.openxmlformats.org/markup-compatibility/2006" xmlns:a14="http://schemas.microsoft.com/office/drawing/2010/main">
      <mc:Choice Requires="a14">
        <xdr:graphicFrame macro="">
          <xdr:nvGraphicFramePr>
            <xdr:cNvPr id="3" name="Cargo">
              <a:extLst>
                <a:ext uri="{FF2B5EF4-FFF2-40B4-BE49-F238E27FC236}">
                  <a16:creationId xmlns:a16="http://schemas.microsoft.com/office/drawing/2014/main" id="{4749BAE4-F5BB-2539-23B8-BC0B4793A568}"/>
                </a:ext>
              </a:extLst>
            </xdr:cNvPr>
            <xdr:cNvGraphicFramePr/>
          </xdr:nvGraphicFramePr>
          <xdr:xfrm>
            <a:off x="0" y="0"/>
            <a:ext cx="0" cy="0"/>
          </xdr:xfrm>
          <a:graphic>
            <a:graphicData uri="http://schemas.microsoft.com/office/drawing/2010/slicer">
              <sle:slicer xmlns:sle="http://schemas.microsoft.com/office/drawing/2010/slicer" name="Cargo"/>
            </a:graphicData>
          </a:graphic>
        </xdr:graphicFrame>
      </mc:Choice>
      <mc:Fallback xmlns="">
        <xdr:sp macro="" textlink="">
          <xdr:nvSpPr>
            <xdr:cNvPr id="0" name=""/>
            <xdr:cNvSpPr>
              <a:spLocks noTextEdit="1"/>
            </xdr:cNvSpPr>
          </xdr:nvSpPr>
          <xdr:spPr>
            <a:xfrm>
              <a:off x="17022536" y="67235"/>
              <a:ext cx="3482628" cy="1440756"/>
            </a:xfrm>
            <a:prstGeom prst="rect">
              <a:avLst/>
            </a:prstGeom>
            <a:solidFill>
              <a:prstClr val="white"/>
            </a:solidFill>
            <a:ln w="1">
              <a:solidFill>
                <a:prstClr val="green"/>
              </a:solidFill>
            </a:ln>
          </xdr:spPr>
          <xdr:txBody>
            <a:bodyPr vertOverflow="clip" horzOverflow="clip"/>
            <a:lstStyle/>
            <a:p>
              <a:r>
                <a:rPr lang="pt-BR" sz="1100"/>
                <a:t>Esta forma representa uma segmentação de dados. Segmentações de dados têm suporte no Excel 2010 ou versões posteriores.
\Se a forma tiver sido modificada em uma versão anterior do Excel, ou se a pasta de trabalho tiver sido salva no Excel 2003 ou versões anteriores, a segmentação de dados não poderá ser usada.</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pmg.sharepoint.com/sites/msteams_d913b2_873858/Documentos%20Compartilhados/General/03.Custos/CUSTOS%20TR%20NOVOS%20CONTRATOS/NOVA%20CONTRATA&#199;&#195;O%20APOIO%20E%20LIMPEZA%202025/APENSO%20VI%20A%20-%20LIMPEZ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ÇÕES PARA O LICITANTE"/>
      <sheetName val="BASE GERAL"/>
      <sheetName val="UNIFORMES"/>
      <sheetName val="INSUMOS AUX. DE LIMPEZA"/>
      <sheetName val="INSUMOS LIMP. DE VIDROS"/>
      <sheetName val="RELAÇÃO SINDICATOS"/>
      <sheetName val="RELAÇÃO POSTOS"/>
      <sheetName val="PARAMETROS"/>
      <sheetName val="CUSTO UNITARIO"/>
      <sheetName val="CUSTO GLOBAL1"/>
      <sheetName val="CUSTO GLOBAL"/>
      <sheetName val="COMPOSIÇÃO DE CUSTOS"/>
      <sheetName val="APENSO VI A - LIMPEZA"/>
    </sheetNames>
    <sheetDataSet>
      <sheetData sheetId="0" refreshError="1"/>
      <sheetData sheetId="1" refreshError="1"/>
      <sheetData sheetId="2" refreshError="1"/>
      <sheetData sheetId="3" refreshError="1"/>
      <sheetData sheetId="4" refreshError="1"/>
      <sheetData sheetId="5" refreshError="1"/>
      <sheetData sheetId="6">
        <row r="254">
          <cell r="G254">
            <v>437</v>
          </cell>
        </row>
      </sheetData>
      <sheetData sheetId="7" refreshError="1"/>
      <sheetData sheetId="8" refreshError="1"/>
      <sheetData sheetId="9" refreshError="1"/>
      <sheetData sheetId="10"/>
      <sheetData sheetId="11" refreshError="1"/>
      <sheetData sheetId="12" refreshError="1"/>
    </sheetDataSet>
  </externalBook>
</externalLink>
</file>

<file path=xl/pivotCache/_rels/pivotCacheDefinition1.xml.rels><?xml version="1.0" encoding="UTF-8" standalone="yes"?>
<Relationships xmlns="http://schemas.openxmlformats.org/package/2006/relationships"><Relationship Id="rId3" Type="http://schemas.microsoft.com/office/2019/04/relationships/externalLinkLongPath" Target="Apenso%20VI%20B%20-%20Planilha%20de%20estimativa%20de%20custos%20e%20de%20composi&#231;&#227;o%20de%20pre&#231;os%20da%20contrata&#231;&#227;o%20-%20APOIO%20E%20MOTORISTAS%20(1).xlsx?5B61F532" TargetMode="External"/><Relationship Id="rId2" Type="http://schemas.openxmlformats.org/officeDocument/2006/relationships/externalLinkPath" Target="file:///\\5B61F532\Apenso%20VI%20B%20-%20Planilha%20de%20estimativa%20de%20custos%20e%20de%20composi&#231;&#227;o%20de%20pre&#231;os%20da%20contrata&#231;&#227;o%20-%20APOIO%20E%20MOTORISTAS%20(1).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3" Type="http://schemas.microsoft.com/office/2019/04/relationships/externalLinkLongPath" Target="Apenso%20VI%20B%20-%20Planilha%20de%20estimativa%20de%20custos%20e%20de%20composi&#231;&#227;o%20de%20pre&#231;os%20da%20contrata&#231;&#227;o%20-%20APOIO%20E%20MOTORISTAS%20(1).xlsx?5B61F532" TargetMode="External"/><Relationship Id="rId2" Type="http://schemas.openxmlformats.org/officeDocument/2006/relationships/externalLinkPath" Target="file:///\\5B61F532\Apenso%20VI%20B%20-%20Planilha%20de%20estimativa%20de%20custos%20e%20de%20composi&#231;&#227;o%20de%20pre&#231;os%20da%20contrata&#231;&#227;o%20-%20APOIO%20E%20MOTORISTAS%20(1).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OnLoad="1" refreshedBy="DANIEL LUIZ DA SILVA" refreshedDate="45912.639804398146" createdVersion="8" refreshedVersion="8" minRefreshableVersion="3" recordCount="515">
  <cacheSource type="worksheet">
    <worksheetSource name="tabUniformes" r:id="rId2"/>
  </cacheSource>
  <cacheFields count="11">
    <cacheField name="Item" numFmtId="0">
      <sharedItems/>
    </cacheField>
    <cacheField name="Tipo" numFmtId="0">
      <sharedItems containsBlank="1" count="106">
        <s v="Calçado Ocupacional Tipo Botina"/>
        <s v="Jeans escuro"/>
        <s v="Moletom aberto"/>
        <s v="Polo em malha de algodão"/>
        <s v="Luvas Descartáveis De Látex (Com Pó) Tamanhos P, M, G"/>
        <s v="Luvas Descartáveis Nitrílica (Isenta De Pó) Tamanhos P, M, G"/>
        <s v="Manga comprida - Oxford ou poliéster com dois bolsos frontais"/>
        <s v="Máscara Descartável Tripla"/>
        <s v="Máscara N95 Com Válvula (50%)"/>
        <s v="Máscara N95 Sem Válvula (50%)"/>
        <s v="Óculos De Segurança De Sobreposição Incolor Ou Fumê"/>
        <s v="Touca Descartável"/>
        <s v="Vestimenta Tipo Avental (Uso Sobre O Jaleco De Tecido)"/>
        <s v="Avental De Pvc"/>
        <s v="Avental De Raspa"/>
        <s v="Bota De Borracha"/>
        <s v="Calça De Segurança Confeccionada Em Tecido Cedrotech "/>
        <s v="Camisa De Segurança Confeccionada Em Uma Camada De Tecido Cedrotech"/>
        <s v="Capacete Aba Frontal Tipo Ii Classe B"/>
        <s v="Capuz Ou Balaclava"/>
        <s v="Cinto De Segurança"/>
        <s v="Creme Protetor De Pele (Luva Quimica)"/>
        <s v="Luvas - Classe 00 Para 2,5 Kv"/>
        <s v="Luvas - Cobertura Tipo Vaqueta"/>
        <s v="Luvas - Em Pvc (Plastissol) Com Forro De Algodão"/>
        <s v="Luvas - Látex Vulcanizada (Flex Cut Ou Suedine)"/>
        <s v="Luvas De Borracha"/>
        <s v="Luvas De Raspa"/>
        <s v="Luvas Nitrílicas Cano Longo"/>
        <s v="Macacão Com Capuz (Tamanho Gg)"/>
        <s v="Malha - PV"/>
        <s v="Manga curta - Brim - com dois bolsos, com inscrição impressa em serigrafia nas costas"/>
        <s v="Manguito Mangote"/>
        <s v="Máscara De Solda Com Escurecimento Automático"/>
        <s v="Máscara Pff2 Sem Válvula"/>
        <s v="Máscaras Respiratórias Pff 2 Vo"/>
        <s v="Perneira De Raspa"/>
        <s v="Protetor Auricular Plug Com Cordinha"/>
        <s v="Protetor Auricular Tipo Concha"/>
        <s v="Protetor Facial"/>
        <s v="Respirador Com Filtro Contra Vapores Orgânicos (Com 4 Cartuchos Químicos Vo), Compatível Com O Respirador"/>
        <s v="Brim, com cós de ajuste por amarração de cordão"/>
        <s v="Capa De Chuva De Pvc Forrado"/>
        <s v="Cinto De Proteção Lombar"/>
        <s v="Tênis de Lona"/>
        <s v="Avental Em Vinil"/>
        <s v="Máscara Descartável Em Tnt Com Elástico"/>
        <s v="Touca Branca Com Tela E Pala"/>
        <s v="Óculos De Segurança Incolor, Tipo Rj, Sem Material Condutor De Energia"/>
        <s v="Camisa social composta por no mínimo 50% algodão, de boa qualidade"/>
        <s v="Oxford"/>
        <s v="Oxford modelo social"/>
        <s v="Sapato social (sem cadarço) de couro preto, sem salto."/>
        <s v="Brim preto - com dois bolsos, com inscrição impressa &quot;FOTÓGRAFO&quot; em serigrafia nas costas"/>
        <s v="Sapato social masculino (com cadarço) ou feminino (sem cadarço) de couro preto"/>
        <s v="Borboleta em tecido cetim preto"/>
        <s v="Oxford preto, com bolso frontal tipo faca"/>
        <s v="Luva De Malha Pigmentada"/>
        <s v="Perneira De Proteção Resistente A Picadas De Animais Peçonhentos / Couro_x0009__x0009_"/>
        <s v="Protetor Respiratório Pff1"/>
        <s v="Protetor Solar"/>
        <s v="Touca Árabe"/>
        <s v="Calça Em Pvc"/>
        <s v="Luva Nitrílica (Cano Médio)"/>
        <s v="Luvas Microfibra Para Limpeza Automotiva"/>
        <s v="Vestimenta Tipo Blusão"/>
        <s v="Calçado Ocupacional Tipo Sapato"/>
        <s v="Quepe em tecido sintético, composto por poliéster e algodão; cor azul-marinho"/>
        <s v="Social em tecido poliéster preto"/>
        <s v="Calçado Ocupacional Tipo Tênis"/>
        <s v="Botina de segurança em couro com, solado PU com elástico e biqueira em polipropileno" u="1"/>
        <s v="Jaleco Descartável" u="1"/>
        <s v="Óculos De Proteção Incolor" u="1"/>
        <s v="Touca Descartável " u="1"/>
        <s v="Botina PVC forrada cano longo" u="1"/>
        <s v="Macacão de segurança de polipropileno " u="1"/>
        <s v="PFF2 VO" u="1"/>
        <s v="de sobreposição incolor com lente antiembaçante " u="1"/>
        <s v="manuseio de peças cortantes, tipo Flex Cut" u="1"/>
        <s v="PVC, forrada, com cano longo" u="1"/>
        <s v="Filtro combinado para respirador facial" u="1"/>
        <s v="Respirador semifacial" u="1"/>
        <s v="nitrílicas, com palma antiderrapante, cano longo" u="1"/>
        <s v="nitrílicas, com palma antiderrapante, cano médio" u="1"/>
        <s v="Botina de segurança em couro com biqueira em aço" u="1"/>
        <s v="Lombar" u="1"/>
        <s v="vaqueta com raspa, de boa aderência" u="1"/>
        <s v="Tênis em lona" u="1"/>
        <s v="Sapato segurança em couro com elástico" u="1"/>
        <s v="Em vinil" u="1"/>
        <s v="Látex natural, com forro flocado de algodão, com punho reto e palma antiderrapante." u="1"/>
        <s v="Branca tela e pala" u="1"/>
        <s v="para eletricista, incolor, antiembaçante, sem material condutor de energia elétrica" u="1"/>
        <s v="Isolante de borracha, cano longo - Classe 00 (2,5kV)" u="1"/>
        <s v="Algodão e poliéster com revestimento de palma antiderrapante" u="1"/>
        <s v="PVC" u="1"/>
        <s v="Calça e blusão impermenáveis em PVC para lavagem de veículos" u="1"/>
        <s v="Creme protetor dos membros superiores (Grupo 3) para a pele hidrossolúvel e óleo resistente" u="1"/>
        <s v="microfibra para limpeza automotiva " u="1"/>
        <s v="Auricular, tipo concha" u="1"/>
        <s v="Transparente" u="1"/>
        <m u="1"/>
        <s v="Sapato social em couro preto- M/F" u="1"/>
        <s v="Grafil" u="1"/>
        <s v="Em TNT com elástico" u="1"/>
        <s v="social" u="1"/>
      </sharedItems>
    </cacheField>
    <cacheField name="DATA PUBLICAÇÃO" numFmtId="14">
      <sharedItems containsNonDate="0" containsString="0" containsBlank="1"/>
    </cacheField>
    <cacheField name="Valor Inicial" numFmtId="169">
      <sharedItems containsSemiMixedTypes="0" containsString="0" containsNumber="1" minValue="0.23" maxValue="351.15"/>
    </cacheField>
    <cacheField name="Valor Reajustado" numFmtId="169">
      <sharedItems containsSemiMixedTypes="0" containsString="0" containsNumber="1" minValue="0.23" maxValue="351.15"/>
    </cacheField>
    <cacheField name="Qtde Anual de Peças" numFmtId="0">
      <sharedItems containsSemiMixedTypes="0" containsString="0" containsNumber="1" containsInteger="1" minValue="1" maxValue="700"/>
    </cacheField>
    <cacheField name="Cargo" numFmtId="0">
      <sharedItems containsBlank="1" count="69">
        <s v="ALMOXARIFE - 220 H"/>
        <s v="ASSISTENTE DE COMPRAS - 220 H"/>
        <s v="ASSISTENTE DE QUALIDADE - 220 H"/>
        <s v="ASSISTENTE EM TECNOLOGIA DA INFORMACAO I - 220 H"/>
        <s v="ASSISTENTE EM TECNOLOGIA DA INFORMACAO II - 220 H"/>
        <s v="AUXILIAR DE ARQUIVO I - 220 H"/>
        <s v="AUXILIAR DE ARQUIVO II - 150 H"/>
        <s v="AUXILIAR DE BIBLIOTECA - 220 H"/>
        <s v="AUXILIAR DE CADASTRO E EXPEDICAO - 220 H"/>
        <s v="AUXILIAR DE MANUTENCAO PREDIAL - 220 H"/>
        <s v="BOMBEIRO HIDRAULICO - 220 H"/>
        <s v="CARREGADOR - 220 H"/>
        <s v="CONTINUO - 220 H"/>
        <s v="CONTROLADOR LOGISTICO - 220 H"/>
        <s v="COPEIRO - 220 H"/>
        <s v="DIGITADOR - 150 H"/>
        <s v="ELETRICISTA - 220 H"/>
        <s v="ENCARREGADO - 12 X 36 - DIURNO"/>
        <s v="ENCARREGADO - 12 X 36 - NOTURNO"/>
        <s v="ENCARREGADO - 220 H"/>
        <s v="FOTOGRAFO - 150 H"/>
        <s v="GARCOM - 12 X 36 - DIURNO"/>
        <s v="GARCOM - 12 X 36 - NOTURNO"/>
        <s v="GARCOM - 220 H"/>
        <s v="INSTALADOR E MANTENEDOR DE SISTEMAS DE SEGURANCA - 220 H"/>
        <s v="JARDINEIRO - 100 H"/>
        <s v="JARDINEIRO - 200 H"/>
        <s v="JARDINEIRO - 220 H"/>
        <s v="JARDINEIRO INTERMITENTE"/>
        <s v="LAVADOR DE VEICULOS - 220 H"/>
        <s v="MANOBRISTA - 220 H"/>
        <s v="MARCENEIRO - 220 H"/>
        <s v="MOTORISTA I - 12 X 36 - DIURNO"/>
        <s v="MOTORISTA I - 150 H"/>
        <s v="MOTORISTA I - 220 H"/>
        <s v="MOTORISTA II - 220 H"/>
        <s v="OPERADOR DE MAQUINA REPROGRAFICA - 220 H"/>
        <s v="OPERADOR DE MIDIA AUDIOVISUAL - 150 H"/>
        <s v="PEDREIRO - 220 H"/>
        <s v="PINTOR - 220 H"/>
        <s v="PORTEIRO - 12 X 36 - DIURNO"/>
        <s v="PORTEIRO - 12 X 36 - NOTURNO"/>
        <s v="PORTEIRO - 220 H"/>
        <s v="RECEPCIONISTA - 150 H"/>
        <s v="RECEPCIONISTA - 220 H"/>
        <s v="SUPERVISOR DE MANUTENCAO DE VEICULOS I - 220 H"/>
        <s v="SUPERVISOR DE MANUTENCAO DE VEICULOS II - 220 H"/>
        <s v="TECNICO DE MANUTENCAO ELETRONICA I - 220 H"/>
        <s v="TECNICO DE MANUTENCAO ELETRONICA II - 220 H"/>
        <s v="TECNICO DE MANUTENCAO ELETRONICA III - 220 H"/>
        <s v="TECNICO EM EDIFICACOES - 220 H"/>
        <s v="TECNICO EM ELETROTECNICA/ELETRONICA - 220 H"/>
        <s v="TECNICO EM LOGISTICA - 12 X 36 - DIURNO"/>
        <s v="TECNICO EM LOGISTICA - 12 X 36 - NOTURNO"/>
        <s v="TECNICO EM LOGISTICA - 220 H"/>
        <s v="TECNICO EM MECANICA/ELETROMECANICA - 220 H"/>
        <s v="TECNICO EM TECNOLOGIA DA INFORMACAO I - 220 H"/>
        <s v="TECNICO EM TECNOLOGIA DA INFORMACAO II - 220 H"/>
        <s v="TECNICO EM TECNOLOGIA DA INFORMACAO III - 220 H"/>
        <s v="TELEFONISTA - 150 H"/>
        <m u="1"/>
        <s v="ASSISTENTE DE BIBLIOTECA - 220 H" u="1"/>
        <s v="COZINHEIRO - 220 H" u="1"/>
        <s v="TECNICO DE LOGISTICA - 220 H" u="1"/>
        <s v="TECNICO DE OPER. DE EQUIP. DE AUDIO E VIDEO - 150 H" u="1"/>
        <s v="TECNICO EM TRANSACOES IMOBILIARIAS - 220 H" u="1"/>
        <s v="MOTORISTA - 220 H" u="1"/>
        <s v="ASSISTENTE ADMINISTRATIVO - 150 H" u="1"/>
        <s v="ASSISTENTE ADMINISTRATIVO - 200 H" u="1"/>
      </sharedItems>
    </cacheField>
    <cacheField name="Qtde. funcionários" numFmtId="0">
      <sharedItems containsSemiMixedTypes="0" containsString="0" containsNumber="1" containsInteger="1" minValue="0" maxValue="572" count="57">
        <n v="10"/>
        <n v="21"/>
        <n v="117"/>
        <n v="15"/>
        <n v="27"/>
        <n v="3"/>
        <n v="4"/>
        <n v="6"/>
        <n v="22"/>
        <n v="8"/>
        <n v="20"/>
        <n v="106"/>
        <n v="7"/>
        <n v="13"/>
        <n v="17"/>
        <n v="18"/>
        <n v="2"/>
        <n v="5"/>
        <n v="16"/>
        <n v="9"/>
        <n v="1"/>
        <n v="159"/>
        <n v="40"/>
        <n v="44"/>
        <n v="71"/>
        <n v="26"/>
        <n v="223"/>
        <n v="23"/>
        <n v="34"/>
        <n v="30"/>
        <n v="24"/>
        <n v="0" u="1"/>
        <n v="102" u="1"/>
        <n v="105" u="1"/>
        <n v="157" u="1"/>
        <n v="14" u="1"/>
        <n v="32" u="1"/>
        <n v="50" u="1"/>
        <n v="143" u="1"/>
        <n v="153" u="1"/>
        <n v="73" u="1"/>
        <n v="229" u="1"/>
        <n v="226" u="1"/>
        <n v="155" u="1"/>
        <n v="46" u="1"/>
        <n v="89" u="1"/>
        <n v="36" u="1"/>
        <n v="234" u="1"/>
        <n v="12" u="1"/>
        <n v="189" u="1"/>
        <n v="11" u="1"/>
        <n v="147" u="1"/>
        <n v="42" u="1"/>
        <n v="25" u="1"/>
        <n v="187" u="1"/>
        <n v="28" u="1"/>
        <n v="572" u="1"/>
      </sharedItems>
    </cacheField>
    <cacheField name="Total" numFmtId="169">
      <sharedItems containsSemiMixedTypes="0" containsString="0" containsNumber="1" minValue="15.34" maxValue="75550.706099420713"/>
    </cacheField>
    <cacheField name="Qtde. Geral anual" numFmtId="0">
      <sharedItems containsSemiMixedTypes="0" containsString="0" containsNumber="1" containsInteger="1" minValue="0" maxValue="18900" count="178">
        <n v="20"/>
        <n v="40"/>
        <n v="10"/>
        <n v="60"/>
        <n v="84"/>
        <n v="21"/>
        <n v="126"/>
        <n v="408"/>
        <n v="117"/>
        <n v="612"/>
        <n v="15"/>
        <n v="90"/>
        <n v="54"/>
        <n v="108"/>
        <n v="18900"/>
        <n v="3240"/>
        <n v="27"/>
        <n v="9720"/>
        <n v="648"/>
        <n v="324"/>
        <n v="162"/>
        <n v="702"/>
        <n v="6"/>
        <n v="12"/>
        <n v="2100"/>
        <n v="360"/>
        <n v="3"/>
        <n v="1080"/>
        <n v="72"/>
        <n v="36"/>
        <n v="18"/>
        <n v="78"/>
        <n v="8"/>
        <n v="16"/>
        <n v="2800"/>
        <n v="480"/>
        <n v="4"/>
        <n v="1440"/>
        <n v="96"/>
        <n v="48"/>
        <n v="24"/>
        <n v="104"/>
        <n v="22"/>
        <n v="44"/>
        <n v="88"/>
        <n v="264"/>
        <n v="80"/>
        <n v="132"/>
        <n v="1100"/>
        <n v="160"/>
        <n v="880"/>
        <n v="440"/>
        <n v="28"/>
        <n v="32"/>
        <n v="400"/>
        <n v="56"/>
        <n v="192"/>
        <n v="7"/>
        <n v="240"/>
        <n v="420"/>
        <n v="105"/>
        <n v="630"/>
        <n v="210"/>
        <n v="14"/>
        <n v="42"/>
        <n v="52"/>
        <n v="26"/>
        <n v="312"/>
        <n v="13"/>
        <n v="68"/>
        <n v="17"/>
        <n v="102"/>
        <n v="900"/>
        <n v="136"/>
        <n v="180"/>
        <n v="2"/>
        <n v="30"/>
        <n v="5"/>
        <n v="64"/>
        <n v="168"/>
        <n v="156"/>
        <n v="9"/>
        <n v="1"/>
        <n v="650"/>
        <n v="520"/>
        <n v="468"/>
        <n v="260"/>
        <n v="318"/>
        <n v="1570"/>
        <n v="157"/>
        <n v="628"/>
        <n v="314"/>
        <n v="130"/>
        <n v="34"/>
        <n v="300"/>
        <n v="120"/>
        <n v="320"/>
        <n v="176"/>
        <n v="426"/>
        <n v="71"/>
        <n v="284"/>
        <n v="142"/>
        <n v="1338"/>
        <n v="223"/>
        <n v="892"/>
        <n v="446"/>
        <n v="46"/>
        <n v="23"/>
        <n v="92"/>
        <n v="138"/>
        <n v="204"/>
        <n v="144"/>
        <n v="0" u="1"/>
        <n v="1040" u="1"/>
        <n v="364" u="1"/>
        <n v="140" u="1"/>
        <n v="884" u="1"/>
        <n v="340" u="1"/>
        <n v="676" u="1"/>
        <n v="208" u="1"/>
        <n v="128" u="1"/>
        <n v="50" u="1"/>
        <n v="200" u="1"/>
        <n v="100" u="1"/>
        <n v="143" u="1"/>
        <n v="572" u="1"/>
        <n v="286" u="1"/>
        <n v="858" u="1"/>
        <n v="112" u="1"/>
        <n v="336" u="1"/>
        <n v="153" u="1"/>
        <n v="306" u="1"/>
        <n v="1530" u="1"/>
        <n v="73" u="1"/>
        <n v="292" u="1"/>
        <n v="146" u="1"/>
        <n v="438" u="1"/>
        <n v="229" u="1"/>
        <n v="916" u="1"/>
        <n v="458" u="1"/>
        <n v="1374" u="1"/>
        <n v="226" u="1"/>
        <n v="904" u="1"/>
        <n v="452" u="1"/>
        <n v="1356" u="1"/>
        <n v="155" u="1"/>
        <n v="620" u="1"/>
        <n v="310" u="1"/>
        <n v="1550" u="1"/>
        <n v="184" u="1"/>
        <n v="276" u="1"/>
        <n v="89" u="1"/>
        <n v="356" u="1"/>
        <n v="178" u="1"/>
        <n v="534" u="1"/>
        <n v="216" u="1"/>
        <n v="234" u="1"/>
        <n v="936" u="1"/>
        <n v="1404" u="1"/>
        <n v="189" u="1"/>
        <n v="756" u="1"/>
        <n v="378" u="1"/>
        <n v="1134" u="1"/>
        <n v="11" u="1"/>
        <n v="66" u="1"/>
        <n v="147" u="1"/>
        <n v="588" u="1"/>
        <n v="294" u="1"/>
        <n v="1470" u="1"/>
        <n v="252" u="1"/>
        <n v="25" u="1"/>
        <n v="150" u="1"/>
        <n v="187" u="1"/>
        <n v="748" u="1"/>
        <n v="374" u="1"/>
        <n v="1122" u="1"/>
        <n v="2288" u="1"/>
        <n v="3432" u="1"/>
      </sharedItems>
    </cacheField>
    <cacheField name="Valor unit. Mensal" numFmtId="169">
      <sharedItems containsSemiMixedTypes="0" containsString="0" containsNumber="1" minValue="0.10666666666666667" maxValue="326.77999999999997"/>
    </cacheField>
  </cacheFields>
  <extLst>
    <ext xmlns:x14="http://schemas.microsoft.com/office/spreadsheetml/2009/9/main" uri="{725AE2AE-9491-48be-B2B4-4EB974FC3084}">
      <x14:pivotCacheDefinition pivotCacheId="1612167498"/>
    </ext>
  </extLst>
</pivotCacheDefinition>
</file>

<file path=xl/pivotCache/pivotCacheDefinition2.xml><?xml version="1.0" encoding="utf-8"?>
<pivotCacheDefinition xmlns="http://schemas.openxmlformats.org/spreadsheetml/2006/main" xmlns:r="http://schemas.openxmlformats.org/officeDocument/2006/relationships" r:id="rId1" refreshOnLoad="1" refreshedBy="DANIEL LUIZ DA SILVA" refreshedDate="45912.704578240744" createdVersion="8" refreshedVersion="8" minRefreshableVersion="3" recordCount="338">
  <cacheSource type="worksheet">
    <worksheetSource name="CUSTO_GLOBAL" r:id="rId2"/>
  </cacheSource>
  <cacheFields count="83">
    <cacheField name="Código do Posto" numFmtId="0">
      <sharedItems/>
    </cacheField>
    <cacheField name="Comarca" numFmtId="0">
      <sharedItems containsBlank="1" count="299">
        <s v="Abre Campo"/>
        <s v="Aimores"/>
        <s v="Alem Paraiba"/>
        <s v="Alfenas"/>
        <s v="Almenara"/>
        <s v="Alpinopolis"/>
        <s v="Andradas"/>
        <s v="Araguari"/>
        <s v="Araxa"/>
        <s v="Arcos"/>
        <s v="Arinos"/>
        <s v="Barao de Cocais"/>
        <s v="Barbacena"/>
        <s v="Belo Horizonte"/>
        <s v="Betim"/>
        <s v="Boa Esperanca"/>
        <s v="Bocaiuva"/>
        <s v="Bom Despacho"/>
        <s v="Bom Sucesso"/>
        <s v="Brasilia de Minas"/>
        <s v="Brumadinho"/>
        <s v="Buritis"/>
        <s v="Caete"/>
        <s v="Camanducaia"/>
        <s v="Cambui"/>
        <s v="Campo Belo"/>
        <s v="Campos Altos"/>
        <s v="Campos Gerais"/>
        <s v="Canapolis"/>
        <s v="Candeias"/>
        <s v="Capelinha"/>
        <s v="Carandai"/>
        <s v="Carangola"/>
        <s v="Caratinga"/>
        <s v="Carmo do Rio Claro"/>
        <s v="Cataguases"/>
        <s v="Congonhas"/>
        <s v="Conselheiro Lafaiete"/>
        <s v="Conselheiro Pena"/>
        <s v="Contagem"/>
        <s v="Coracao de Jesus"/>
        <s v="Coromandel"/>
        <s v="Coronel Fabriciano"/>
        <s v="Curvelo"/>
        <s v="Diamantina"/>
        <s v="Divino"/>
        <s v="Divinopolis"/>
        <s v="Eloi Mendes"/>
        <s v="Esmeraldas"/>
        <s v="Espera Feliz"/>
        <s v="Extrema"/>
        <s v="Formiga"/>
        <s v="Francisco Sa"/>
        <s v="Frutal"/>
        <s v="Governador Valadares"/>
        <s v="Ibia"/>
        <s v="Ibirite"/>
        <s v="Inhapim"/>
        <s v="Ipanema"/>
        <s v="Ipatinga"/>
        <s v="Itabira"/>
        <s v="Itajuba"/>
        <s v="Itamarandiba"/>
        <s v="Itambacuri"/>
        <s v="Itamogi"/>
        <s v="Itauna"/>
        <s v="Ituiutaba"/>
        <s v="Iturama"/>
        <s v="Jaboticatubas"/>
        <s v="Jacinto"/>
        <s v="Januaria"/>
        <s v="Juiz de Fora"/>
        <s v="Lagoa da Prata"/>
        <s v="Lagoa Santa"/>
        <s v="Lavras"/>
        <s v="Machado"/>
        <s v="Manga"/>
        <s v="Manhuacu"/>
        <s v="Manhumirim"/>
        <s v="Mantena"/>
        <s v="Mariana"/>
        <s v="Matozinhos"/>
        <s v="Mirai"/>
        <s v="Monte Azul"/>
        <s v="Montes Claros"/>
        <s v="Muriae"/>
        <s v="Mutum"/>
        <s v="Muzambinho"/>
        <s v="Nova Lima"/>
        <s v="Nova Ponte"/>
        <s v="Nova Serrana"/>
        <s v="Oliveira"/>
        <s v="Ouro Preto"/>
        <s v="Paracatu"/>
        <s v="Paraguacu"/>
        <s v="Paraopeba"/>
        <s v="Passos"/>
        <s v="Patos de Minas"/>
        <s v="Pecanha"/>
        <s v="Pedro Leopoldo"/>
        <s v="Piranga"/>
        <s v="Pirapora"/>
        <s v="Pitangui"/>
        <s v="Poco Fundo"/>
        <s v="Pocos de Caldas"/>
        <s v="Pompeu"/>
        <s v="Ponte Nova"/>
        <s v="Pouso Alegre"/>
        <s v="Ribeirao das Neves"/>
        <s v="Rio Casca"/>
        <s v="Rio Paranaiba"/>
        <s v="Rio Vermelho"/>
        <s v="Sabara"/>
        <s v="Santa Barbara"/>
        <s v="Santa Luzia"/>
        <s v="Santa Rita de Caldas"/>
        <s v="Santo Antonio do Monte"/>
        <s v="Santos Dumont"/>
        <s v="Sao Francisco"/>
        <s v="Sao Gotardo"/>
        <s v="Sao Joao da Ponte"/>
        <s v="Sao Joao del Rei"/>
        <s v="Sao Lourenco"/>
        <s v="Sao Romao"/>
        <s v="Sao Sebastiao do Paraiso"/>
        <s v="Serro"/>
        <s v="Sete Lagoas"/>
        <s v="Taiobeiras"/>
        <s v="Teofilo Otoni"/>
        <s v="Timoteo"/>
        <s v="Tombos"/>
        <s v="Tres Coracoes"/>
        <s v="Tupaciguara"/>
        <s v="Uba"/>
        <s v="Uberaba"/>
        <s v="Uberlandia"/>
        <s v="Unai"/>
        <s v="Varginha"/>
        <s v="Vespasiano"/>
        <s v="Vicosa"/>
        <s v="Visconde do Rio Branco"/>
        <m u="1"/>
        <s v="Caxambu" u="1"/>
        <s v="Abaete" u="1"/>
        <s v="Acucena" u="1"/>
        <s v="Aiuruoca" u="1"/>
        <s v="Alvinopolis" u="1"/>
        <s v="Areado" u="1"/>
        <s v="Baependi" u="1"/>
        <s v="Belo Vale" u="1"/>
        <s v="Bonfim" u="1"/>
        <s v="Bueno Brandao" u="1"/>
        <s v="Cachoeira de Minas" u="1"/>
        <s v="Caldas" u="1"/>
        <s v="Campestre" u="1"/>
        <s v="Carmo do Cajuru" u="1"/>
        <s v="Carmo do Paranaiba" u="1"/>
        <s v="Conceicao das Alagoas" u="1"/>
        <s v="Conceicao do Mato Dentro" u="1"/>
        <s v="Dores do Indaia" u="1"/>
        <s v="Ervalia" u="1"/>
        <s v="Espinosa" u="1"/>
        <s v="Guanhaes" u="1"/>
        <s v="Itamonte" u="1"/>
        <s v="Jaiba" u="1"/>
        <s v="Janauba" u="1"/>
        <s v="Martinho Campos" u="1"/>
        <s v="Mateus Leme" u="1"/>
        <s v="Merces" u="1"/>
        <s v="Nanuque" u="1"/>
        <s v="Novo Cruzeiro" u="1"/>
        <s v="Para de Minas" u="1"/>
        <s v="Paraisopolis" u="1"/>
        <s v="Pratapolis" u="1"/>
        <s v="Rio Pomba" u="1"/>
        <s v="Salinas" u="1"/>
        <s v="Santa Maria do Suacui" u="1"/>
        <s v="Silvianopolis" u="1"/>
        <s v="Tarumirim" u="1"/>
        <s v="Teixeiras" u="1"/>
        <s v="Tiros" u="1"/>
        <s v="Tres Marias" u="1"/>
        <s v="Tres Pontas" u="1"/>
        <s v="Vazante" u="1"/>
        <s v="Aguas Formosas" u="1"/>
        <s v="Alto Rio Doce" u="1"/>
        <s v="Andrelandia" u="1"/>
        <s v="Aracuai" u="1"/>
        <s v="Bambui" u="1"/>
        <s v="Barroso" u="1"/>
        <s v="Bicas" u="1"/>
        <s v="Bonfinopolis de Minas" u="1"/>
        <s v="Borda da Mata" u="1"/>
        <s v="Botelhos" u="1"/>
        <s v="Brazopolis" u="1"/>
        <s v="Buenopolis" u="1"/>
        <s v="Cabo Verde" u="1"/>
        <s v="Cambuquira" u="1"/>
        <s v="Campanha" u="1"/>
        <s v="Campina Verde" u="1"/>
        <s v="Capinopolis" u="1"/>
        <s v="Carlos Chagas" u="1"/>
        <s v="Carmo da Mata" u="1"/>
        <s v="Carmo de Minas" u="1"/>
        <s v="Carmopolis de Minas" u="1"/>
        <s v="Cassia" u="1"/>
        <s v="Claudio" u="1"/>
        <s v="Conceicao do Rio Verde" u="1"/>
        <s v="Conquista" u="1"/>
        <s v="Corinto" u="1"/>
        <s v="Cristina" u="1"/>
        <s v="Cruzilia" u="1"/>
        <s v="Entre Rios de Minas" u="1"/>
        <s v="Estrela Do Sul" u="1"/>
        <s v="Eugenopolis" u="1"/>
        <s v="Ferros" u="1"/>
        <s v="Galileia" u="1"/>
        <s v="Grao Mogol" u="1"/>
        <s v="Guape" u="1"/>
        <s v="Guaranesia" u="1"/>
        <s v="Guarani" u="1"/>
        <s v="Guaxupe" u="1"/>
        <s v="Ibiraci" u="1"/>
        <s v="Igarape" u="1"/>
        <s v="Iguatama" u="1"/>
        <s v="Itabirito" u="1"/>
        <s v="Itaguara" u="1"/>
        <s v="Itanhandu" u="1"/>
        <s v="Itanhomi" u="1"/>
        <s v="Itapagipe" u="1"/>
        <s v="Itapecerica" u="1"/>
        <s v="Itumirim" u="1"/>
        <s v="Jacui" u="1"/>
        <s v="Jacutinga" u="1"/>
        <s v="Jequeri" u="1"/>
        <s v="Jequitinhonha" u="1"/>
        <s v="Joao Monlevade" u="1"/>
        <s v="Joao Pinheiro" u="1"/>
        <s v="Juatuba" u="1"/>
        <s v="Lajinha" u="1"/>
        <s v="Lambari" u="1"/>
        <s v="Leopoldina" u="1"/>
        <s v="Lima Duarte" u="1"/>
        <s v="Luz" u="1"/>
        <s v="Malacacheta" u="1"/>
        <s v="Mar de Espanha" u="1"/>
        <s v="Matias Barbosa" u="1"/>
        <s v="Medina" u="1"/>
        <s v="Mesquita" u="1"/>
        <s v="Minas Novas" u="1"/>
        <s v="Miradouro" u="1"/>
        <s v="Montalvania" u="1"/>
        <s v="Monte Alegre de Minas" u="1"/>
        <s v="Monte Belo" u="1"/>
        <s v="Monte Carmelo" u="1"/>
        <s v="Monte Santo De Minas" u="1"/>
        <s v="Monte Siao" u="1"/>
        <s v="Morada Nova de Minas" u="1"/>
        <s v="Natercia" u="1"/>
        <s v="Nepomuceno" u="1"/>
        <s v="Nova Era" u="1"/>
        <s v="Nova Resende" u="1"/>
        <s v="Ouro Branco" u="1"/>
        <s v="Ouro Fino" u="1"/>
        <s v="Palma" u="1"/>
        <s v="Passa Quatro" u="1"/>
        <s v="Passa Tempo" u="1"/>
        <s v="Patrocinio" u="1"/>
        <s v="Pedra Azul" u="1"/>
        <s v="Pedralva" u="1"/>
        <s v="Perdizes" u="1"/>
        <s v="Perdoes" u="1"/>
        <s v="Pirapetinga" u="1"/>
        <s v="Piumhi" u="1"/>
        <s v="Porteirinha" u="1"/>
        <s v="Prados" u="1"/>
        <s v="Prata" u="1"/>
        <s v="Presidente Olegario" u="1"/>
        <s v="Raul Soares" u="1"/>
        <s v="Resende Costa" u="1"/>
        <s v="Resplendor" u="1"/>
        <s v="Rio Novo" u="1"/>
        <s v="Rio Pardo de Minas" u="1"/>
        <s v="Rio Piracicaba" u="1"/>
        <s v="Rio Preto" u="1"/>
        <s v="Sabinopolis" u="1"/>
        <s v="Sacramento" u="1"/>
        <s v="Santa Rita do Sapucai" u="1"/>
        <s v="Santa Vitoria" u="1"/>
        <s v="Sao Domingos do Prata" u="1"/>
        <s v="Sao Goncalo do Sapucai" u="1"/>
        <s v="Sao Joao do Paraiso" u="1"/>
        <s v="Sao Joao Evangelista" u="1"/>
        <s v="Sao Joao Nepomuceno" u="1"/>
        <s v="Sao Roque de Minas" u="1"/>
        <s v="Senador Firmino" u="1"/>
        <s v="Turmalina" u="1"/>
        <s v="Varzea Da Palma" u="1"/>
        <s v="Virginopolis" u="1"/>
      </sharedItems>
    </cacheField>
    <cacheField name="Função" numFmtId="0">
      <sharedItems containsBlank="1" count="72">
        <s v="Jardineiro - 100 h"/>
        <s v="Jardineiro Intermitente"/>
        <s v="Porteiro - 220 h"/>
        <s v="Continuo - 220 h"/>
        <s v="Recepcionista - 220 h"/>
        <s v="Jardineiro - 220 h"/>
        <s v="Motorista I - 220 h"/>
        <s v="Recepcionista - 150 h"/>
        <s v="Almoxarife - 220 h"/>
        <s v="Assistente de Compras - 220 h"/>
        <s v="Assistente de Qualidade - 220 h"/>
        <s v="Assistente em Tecnologia da Informacao I - 220 h"/>
        <s v="Assistente em Tecnologia da Informacao II - 220 h"/>
        <s v="Auxiliar de Arquivo I - 220 h"/>
        <s v="Auxiliar de Arquivo II - 150 h"/>
        <s v="Auxiliar de Biblioteca - 220 h"/>
        <s v="Auxiliar de Cadastro e Expedicao - 220 H"/>
        <s v="Auxiliar de Manutencao Predial - 220 h"/>
        <s v="Bombeiro Hidraulico - 220 h"/>
        <s v="Carregador - 220 h"/>
        <s v="Controlador Logistico - 220 h"/>
        <s v="Copeiro - 220 h"/>
        <s v="Digitador - 150 h"/>
        <s v="Eletricista - 220 h"/>
        <s v="Encarregado - 12 x 36 - Diurno"/>
        <s v="Encarregado - 12 x 36 - Noturno"/>
        <s v="Encarregado - 220 h"/>
        <s v="Fotografo - 150 h"/>
        <s v="Garcom - 12 x 36 - Diurno"/>
        <s v="Garcom - 12 x 36 - Noturno"/>
        <s v="Garcom - 220 h"/>
        <s v="Instalador e Mantenedor de Sistemas de Seguranca - 220 h"/>
        <s v="Lavador de Veiculos - 220 h"/>
        <s v="Manobrista - 220 h"/>
        <s v="Marceneiro - 220 h"/>
        <s v="Motorista I - 12 x 36 - Diurno"/>
        <s v="Motorista I - 150 h"/>
        <s v="Motorista II - 220 h"/>
        <s v="Operador de Maquina Reprografica - 220 h"/>
        <s v="Pedreiro - 220 h"/>
        <s v="Pintor - 220 h"/>
        <s v="Porteiro - 12 x 36 - Diurno"/>
        <s v="Porteiro - 12 x 36 - Noturno"/>
        <s v="Supervisor de Manutencao de Veiculos I - 220 h"/>
        <s v="Supervisor de Manutencao de Veiculos II - 220 h"/>
        <s v="Operador de Midia Audiovisual - 150 h"/>
        <s v="Tecnico de Manutencao Eletronica I - 220 h"/>
        <s v="Tecnico de Manutencao Eletronica II - 220 h"/>
        <s v="Tecnico de Manutencao Eletronica III - 220 h"/>
        <s v="Tecnico em Edificacoes - 220 h"/>
        <s v="Tecnico em Eletrotecnica/Eletronica - 220 h"/>
        <s v="Tecnico em Logistica - 12 x 36 - Diurno"/>
        <s v="Tecnico em Logistica - 12 x 36 - Noturno"/>
        <s v="Tecnico em Logistica - 220 h"/>
        <s v="Tecnico em Mecanica/Eletromecanica - 220 h"/>
        <s v="Tecnico em Tecnologia da Informacao I - 220 h"/>
        <s v="Tecnico em Tecnologia da Informacao II - 220 h"/>
        <s v="Tecnico em Tecnologia da Informacao III - 220 h"/>
        <s v="Telefonista - 150 h"/>
        <s v="Jardineiro - 200 h"/>
        <m u="1"/>
        <s v="Assistente de Biblioteca - 220 h" u="1"/>
        <s v="Cozinheiro - 220 h" u="1"/>
        <s v="Tecnico de Logistica I - 12 x 36 - Diurno" u="1"/>
        <s v="Tecnico de Logistica I - 220 h" u="1"/>
        <s v="Tecnico de Logistica II - 220 h" u="1"/>
        <s v="Tecnico em Transacoes Imobiliarias - 220 h" u="1"/>
        <s v="Motorista - 220 h" u="1"/>
        <s v="Tecnico de Oper. de Equip. de audio e video - 150 h" u="1"/>
        <s v="Tecnico de Logistica - 220 h" u="1"/>
        <s v="Assistente Administrativo - 200 h" u="1"/>
        <s v="Assistente Administrativo - 150 h" u="1"/>
      </sharedItems>
    </cacheField>
    <cacheField name="CCT DA CATEGORIA" numFmtId="0">
      <sharedItems/>
    </cacheField>
    <cacheField name="Classificação" numFmtId="0">
      <sharedItems/>
    </cacheField>
    <cacheField name="Fonte de Recursos" numFmtId="0">
      <sharedItems containsBlank="1" count="3">
        <s v="PGJ"/>
        <s v="FEPDC"/>
        <m u="1"/>
      </sharedItems>
    </cacheField>
    <cacheField name="Vagas contratadas" numFmtId="0">
      <sharedItems containsSemiMixedTypes="0" containsString="0" containsNumber="1" containsInteger="1" minValue="1" maxValue="146"/>
    </cacheField>
    <cacheField name="Vagas suspensas" numFmtId="0">
      <sharedItems containsSemiMixedTypes="0" containsString="0" containsNumber="1" containsInteger="1" minValue="0" maxValue="0"/>
    </cacheField>
    <cacheField name="Salário Base" numFmtId="44">
      <sharedItems containsSemiMixedTypes="0" containsString="0" containsNumber="1" minValue="1043.7162000000001" maxValue="495981.06760000001"/>
    </cacheField>
    <cacheField name="Adicional Periculosidade" numFmtId="44">
      <sharedItems containsSemiMixedTypes="0" containsString="0" containsNumber="1" minValue="0" maxValue="19838.538"/>
    </cacheField>
    <cacheField name="Adicional Insalubridade" numFmtId="44">
      <sharedItems containsSemiMixedTypes="0" containsString="0" containsNumber="1" minValue="0" maxValue="3946.8"/>
    </cacheField>
    <cacheField name="Adicional Noturno" numFmtId="44">
      <sharedItems containsSemiMixedTypes="0" containsString="0" containsNumber="1" minValue="0" maxValue="7742.9321999999993"/>
    </cacheField>
    <cacheField name="Adicional Motorista II (Gratificação)" numFmtId="44">
      <sharedItems containsSemiMixedTypes="0" containsString="0" containsNumber="1" minValue="0" maxValue="17906.838299999999"/>
    </cacheField>
    <cacheField name="Adicional de Sobreaviso" numFmtId="44">
      <sharedItems containsSemiMixedTypes="0" containsString="0" containsNumber="1" containsInteger="1" minValue="0" maxValue="0"/>
    </cacheField>
    <cacheField name="Horas Extras TI" numFmtId="44">
      <sharedItems containsSemiMixedTypes="0" containsString="0" containsNumber="1" minValue="0" maxValue="9538.6530000000002"/>
    </cacheField>
    <cacheField name="Adicional de Acúmulo de função" numFmtId="44">
      <sharedItems containsSemiMixedTypes="0" containsString="0" containsNumber="1" minValue="0" maxValue="5568.9620000000004"/>
    </cacheField>
    <cacheField name="MODULO 1 - REMUNERAÇÃO " numFmtId="44">
      <sharedItems containsSemiMixedTypes="0" containsString="0" containsNumber="1" minValue="1347.3162000000002" maxValue="495981.06760000001"/>
    </cacheField>
    <cacheField name="INSS" numFmtId="44">
      <sharedItems containsSemiMixedTypes="0" containsString="0" containsNumber="1" minValue="269.46324000000004" maxValue="99196.213520000019"/>
    </cacheField>
    <cacheField name="SESI OU SESC" numFmtId="44">
      <sharedItems containsSemiMixedTypes="0" containsString="0" containsNumber="1" minValue="20.209743000000003" maxValue="7439.7160139999996"/>
    </cacheField>
    <cacheField name="SENAI OU SENAC" numFmtId="44">
      <sharedItems containsSemiMixedTypes="0" containsString="0" containsNumber="1" minValue="13.473162000000002" maxValue="4959.8106760000001"/>
    </cacheField>
    <cacheField name="INCRA" numFmtId="44">
      <sharedItems containsSemiMixedTypes="0" containsString="0" containsNumber="1" minValue="2.6946324000000006" maxValue="991.96213520000003"/>
    </cacheField>
    <cacheField name="Salário Educação" numFmtId="44">
      <sharedItems containsSemiMixedTypes="0" containsString="0" containsNumber="1" minValue="33.682905000000005" maxValue="12399.526690000002"/>
    </cacheField>
    <cacheField name="FGTS" numFmtId="44">
      <sharedItems containsSemiMixedTypes="0" containsString="0" containsNumber="1" minValue="107.78529600000002" maxValue="39678.485408"/>
    </cacheField>
    <cacheField name="RAT Ajustado" numFmtId="44">
      <sharedItems containsSemiMixedTypes="0" containsString="0" containsNumber="1" minValue="53.892648000000008" maxValue="19839.242704"/>
    </cacheField>
    <cacheField name="SEBRAE" numFmtId="44">
      <sharedItems containsSemiMixedTypes="0" containsString="0" containsNumber="1" minValue="8.0838972000000009" maxValue="2975.8864055999998"/>
    </cacheField>
    <cacheField name="Submódulo 2.1" numFmtId="44">
      <sharedItems containsSemiMixedTypes="0" containsString="0" containsNumber="1" minValue="509.28552360000009" maxValue="187480.84355280001"/>
    </cacheField>
    <cacheField name="13º salário (titular)" numFmtId="44">
      <sharedItems containsSemiMixedTypes="0" containsString="0" containsNumber="1" minValue="112.27635000000001" maxValue="41331.755633333327"/>
    </cacheField>
    <cacheField name="Férias e Adicional de Férias (titular)" numFmtId="44">
      <sharedItems containsSemiMixedTypes="0" containsString="0" containsNumber="1" minValue="149.70180000000002" maxValue="55109.007511111107"/>
    </cacheField>
    <cacheField name="Incidência do Submódulo 2.1 sobre 13º Salário, Férias e Adicional de Férias" numFmtId="44">
      <sharedItems containsSemiMixedTypes="0" containsString="0" containsNumber="1" minValue="99.02774070000001" maxValue="36454.608468600003"/>
    </cacheField>
    <cacheField name="Submódulo 2.2" numFmtId="44">
      <sharedItems containsSemiMixedTypes="0" containsString="0" containsNumber="1" minValue="361.00589070000001" maxValue="132895.37161304444"/>
    </cacheField>
    <cacheField name="Vale - Transporte (Descontada parcela do empregado)" numFmtId="44">
      <sharedItems containsSemiMixedTypes="0" containsString="0" containsNumber="1" minValue="0" maxValue="35941.135944000001"/>
    </cacheField>
    <cacheField name="Vale - Alimentação (Descontada parcela do empregado)" numFmtId="44">
      <sharedItems containsSemiMixedTypes="0" containsString="0" containsNumber="1" minValue="0" maxValue="84972"/>
    </cacheField>
    <cacheField name="Cesta Básica" numFmtId="44">
      <sharedItems containsSemiMixedTypes="0" containsString="0" containsNumber="1" minValue="0" maxValue="2326.7400000000002"/>
    </cacheField>
    <cacheField name="PAF" numFmtId="44">
      <sharedItems containsSemiMixedTypes="0" containsString="0" containsNumber="1" minValue="0" maxValue="14001.400000000001"/>
    </cacheField>
    <cacheField name="PQM" numFmtId="44">
      <sharedItems containsSemiMixedTypes="0" containsString="0" containsNumber="1" minValue="0" maxValue="88.14"/>
    </cacheField>
    <cacheField name="Abono Único e Especial" numFmtId="44">
      <sharedItems containsSemiMixedTypes="0" containsString="0" containsNumber="1" containsInteger="1" minValue="0" maxValue="0"/>
    </cacheField>
    <cacheField name="Seguro de Vida" numFmtId="44">
      <sharedItems containsSemiMixedTypes="0" containsString="0" containsNumber="1" minValue="3.36" maxValue="490.56"/>
    </cacheField>
    <cacheField name="Despesas de Viagem" numFmtId="44">
      <sharedItems containsSemiMixedTypes="0" containsString="0" containsNumber="1" minValue="0" maxValue="60280.219999999994"/>
    </cacheField>
    <cacheField name="Submódulo 2.3" numFmtId="44">
      <sharedItems containsSemiMixedTypes="0" containsString="0" containsNumber="1" minValue="486.29216400000007" maxValue="164908.77594399999"/>
    </cacheField>
    <cacheField name="MÓDULO 2 - Total Encargos e Benefícios mensais e diários" numFmtId="44">
      <sharedItems containsSemiMixedTypes="0" containsString="0" containsNumber="1" minValue="1625.4477649222222" maxValue="485284.99110984453"/>
    </cacheField>
    <cacheField name="Aviso Prévio Indenizado (API) e Reflexo do Aviso Prévio Indenizado" numFmtId="44">
      <sharedItems containsSemiMixedTypes="0" containsString="0" containsNumber="1" minValue="9.4470672364583343" maxValue="3477.703670176003"/>
    </cacheField>
    <cacheField name="Incidência do FGTS sobre API e Reflexo do API" numFmtId="44">
      <sharedItems containsSemiMixedTypes="0" containsString="0" containsNumber="1" minValue="0.75576537891666684" maxValue="278.21629361408026"/>
    </cacheField>
    <cacheField name="Multa Rescisória do FGTS sobre o Aviso Prévio Indenizado" numFmtId="44">
      <sharedItems containsSemiMixedTypes="0" containsString="0" containsNumber="1" minValue="0.30230615156666679" maxValue="111.28651744563211"/>
    </cacheField>
    <cacheField name="Aviso Prévio Trabalhado - APT" numFmtId="44">
      <sharedItems containsSemiMixedTypes="0" containsString="0" containsNumber="1" minValue="4.7156067000000013" maxValue="1735.9337366000002"/>
    </cacheField>
    <cacheField name="Incidência dos encargos do submódulo 2.1 sobre Aviso Prévio Trabalhado" numFmtId="44">
      <sharedItems containsSemiMixedTypes="0" containsString="0" containsNumber="1" minValue="1.7824993326000007" maxValue="656.1829524348002"/>
    </cacheField>
    <cacheField name="Multa Rescisória do FGTS" numFmtId="44">
      <sharedItems containsSemiMixedTypes="0" containsString="0" containsNumber="1" minValue="41.197935360000002" maxValue="15165.998867057775"/>
    </cacheField>
    <cacheField name="Indenização Adicional (Art. 9º da Lei nº 7.238/84)" numFmtId="44">
      <sharedItems containsSemiMixedTypes="0" containsString="0" containsNumber="1" minValue="1.1227635000000002" maxValue="413.31755633333336"/>
    </cacheField>
    <cacheField name="MÓDULO 3 – PROVISÃO PARA RESCISÃO" numFmtId="44">
      <sharedItems containsSemiMixedTypes="0" containsString="0" containsNumber="1" minValue="59.323943659541669" maxValue="21838.639593661625"/>
    </cacheField>
    <cacheField name="Ausência por Doença" numFmtId="44">
      <sharedItems containsSemiMixedTypes="0" containsString="0" containsNumber="1" minValue="11.3773368" maxValue="4188.2845708444438"/>
    </cacheField>
    <cacheField name="Ausências Legais" numFmtId="44">
      <sharedItems containsSemiMixedTypes="0" containsString="0" containsNumber="1" minValue="2.7320578500000003" maxValue="1005.7393870777778"/>
    </cacheField>
    <cacheField name="Licença Paternidade" numFmtId="44">
      <sharedItems containsSemiMixedTypes="0" containsString="0" containsNumber="1" minValue="0.23016651750000003" maxValue="84.730099048333329"/>
    </cacheField>
    <cacheField name="Ausência por Acidente de Trabalho" numFmtId="44">
      <sharedItems containsSemiMixedTypes="0" containsString="0" containsNumber="1" minValue="0.28069087500000006" maxValue="103.32938908333334"/>
    </cacheField>
    <cacheField name="Férias, Adicional de Férias e 13º  com empregada em gozo de Licença Maternidade" numFmtId="44">
      <sharedItems containsSemiMixedTypes="0" containsString="0" containsNumber="1" minValue="1.7465210000000002" maxValue="642.93842096296294"/>
    </cacheField>
    <cacheField name="Incidência do Submódulo 2.1 sobre Ausências Legais" numFmtId="44">
      <sharedItems containsSemiMixedTypes="0" containsString="0" containsNumber="1" minValue="6.1866402100650024" maxValue="2277.4582657323704"/>
    </cacheField>
    <cacheField name="Submódulo 4.1" numFmtId="44">
      <sharedItems containsSemiMixedTypes="0" containsString="0" containsNumber="1" minValue="22.553413252565001" maxValue="8302.4801327492223"/>
    </cacheField>
    <cacheField name="Intervalo para Repouso ou Alimentação" numFmtId="44">
      <sharedItems containsSemiMixedTypes="0" containsString="0" containsNumber="1" minValue="0" maxValue="5111.6115977856616"/>
    </cacheField>
    <cacheField name="Submódulo 4.2" numFmtId="44">
      <sharedItems containsSemiMixedTypes="0" containsString="0" containsNumber="1" minValue="0" maxValue="5111.6115977856616"/>
    </cacheField>
    <cacheField name="Suspensão Temporária do Contrato de Trabalho" numFmtId="44">
      <sharedItems containsSemiMixedTypes="0" containsString="0" containsNumber="1" containsInteger="1" minValue="0" maxValue="0"/>
    </cacheField>
    <cacheField name="Submódulo 4.3" numFmtId="44">
      <sharedItems containsSemiMixedTypes="0" containsString="0" containsNumber="1" containsInteger="1" minValue="0" maxValue="0"/>
    </cacheField>
    <cacheField name="MÓDULO 4 – CUSTO DE REPOSIÇÃO DO PROFISSIONAL AUSENTE" numFmtId="44">
      <sharedItems containsSemiMixedTypes="0" containsString="0" containsNumber="1" minValue="22.553413252565001" maxValue="8302.4801327492223"/>
    </cacheField>
    <cacheField name="Uniformes e EPIs" numFmtId="44">
      <sharedItems containsSemiMixedTypes="0" containsString="0" containsNumber="1" minValue="42.607550547045918" maxValue="12729.471321326639"/>
    </cacheField>
    <cacheField name="Materiais de Consumo" numFmtId="44">
      <sharedItems containsSemiMixedTypes="0" containsString="0" containsNumber="1" minValue="0" maxValue="2650.8659677419355"/>
    </cacheField>
    <cacheField name="Máquinas e Equipamentos (depreciação)" numFmtId="44">
      <sharedItems containsSemiMixedTypes="0" containsString="0" containsNumber="1" minValue="0" maxValue="1497.9392"/>
    </cacheField>
    <cacheField name="Produtos de Limpeza e Materiais de Higiene Pessoal" numFmtId="44">
      <sharedItems containsSemiMixedTypes="0" containsString="0" containsNumber="1" minValue="0" maxValue="1012.8216666666667"/>
    </cacheField>
    <cacheField name="Outros (especificar)" numFmtId="44">
      <sharedItems containsSemiMixedTypes="0" containsString="0" containsNumber="1" containsInteger="1" minValue="0" maxValue="0"/>
    </cacheField>
    <cacheField name="MÓDULO 5 – INSUMOS DIVERSOS" numFmtId="44">
      <sharedItems containsSemiMixedTypes="0" containsString="0" containsNumber="1" minValue="42.607550547045918" maxValue="12729.471321326639"/>
    </cacheField>
    <cacheField name="TOTAL MÓDULOS 1+2+3+4+5" numFmtId="44">
      <sharedItems containsSemiMixedTypes="0" containsString="0" containsNumber="1" minValue="3374.8699646554142" maxValue="1019677.0533647867"/>
    </cacheField>
    <cacheField name="Custos Indiretos" numFmtId="44">
      <sharedItems containsSemiMixedTypes="0" containsString="0" containsNumber="1" minValue="381.16095106452326" maxValue="55649.498855420396"/>
    </cacheField>
    <cacheField name="Lucro" numFmtId="44">
      <sharedItems containsSemiMixedTypes="0" containsString="0" containsNumber="1" minValue="320.1751988941997" maxValue="46745.579038553158"/>
    </cacheField>
    <cacheField name="COFINS" numFmtId="10">
      <sharedItems containsSemiMixedTypes="0" containsString="0" containsNumber="1" minValue="8.5633802816901458E-2" maxValue="8.8629737609329504E-2"/>
    </cacheField>
    <cacheField name="PIS" numFmtId="10">
      <sharedItems containsSemiMixedTypes="0" containsString="0" containsNumber="1" minValue="1.8591549295774657E-2" maxValue="1.9241982507288629E-2"/>
    </cacheField>
    <cacheField name="ISS" numFmtId="167">
      <sharedItems containsSemiMixedTypes="0" containsString="0" containsNumber="1" minValue="0.02" maxValue="0.05"/>
    </cacheField>
    <cacheField name="ISS (Conversão Alíquota s/ fatura)" numFmtId="10">
      <sharedItems containsSemiMixedTypes="0" containsString="0" containsNumber="1" minValue="2.2535211267605645E-2" maxValue="5.8309037900874633E-2"/>
    </cacheField>
    <cacheField name="Resumo de Alíquotas (PIS+CONFINS+ISS)" numFmtId="10">
      <sharedItems containsSemiMixedTypes="0" containsString="0" containsNumber="1" minValue="0.1125" maxValue="0.14250000000000002"/>
    </cacheField>
    <cacheField name="PIS + COFINS + ISS (Total Conversão  Alíquota s/ Fatura)" numFmtId="10">
      <sharedItems containsSemiMixedTypes="0" containsString="0" containsNumber="1" minValue="0.12676056338028174" maxValue="0.16618075801749277"/>
    </cacheField>
    <cacheField name="Valor dos Tributos (ISS, PIS, CONFINS)" numFmtId="44">
      <sharedItems containsSemiMixedTypes="0" containsString="0" containsNumber="1" minValue="516.70218354263727" maxValue="186466.79732288441"/>
    </cacheField>
    <cacheField name="MÓDULO 6 – CUSTOS INDIRETOS, TRIBUTOS E LUCRO" numFmtId="44">
      <sharedItems containsSemiMixedTypes="0" containsString="0" containsNumber="1" minValue="1218.0383335013603" maxValue="288861.87521685794"/>
    </cacheField>
    <cacheField name="CUSTO TOTAL MENSAL" numFmtId="44">
      <sharedItems containsSemiMixedTypes="0" containsString="0" containsNumber="1" minValue="4592.9082981567744" maxValue="1308538.9285816448"/>
    </cacheField>
    <cacheField name="CUSTO TOTAL ANUAL" numFmtId="44">
      <sharedItems containsSemiMixedTypes="0" containsString="0" containsNumber="1" minValue="55114.899577881297" maxValue="15702467.142979737"/>
    </cacheField>
    <cacheField name="ANO DA CCT" numFmtId="165">
      <sharedItems containsSemiMixedTypes="0" containsNonDate="0" containsDate="1" containsString="0" minDate="2024-01-01T00:00:00" maxDate="2025-01-02T00:00:00"/>
    </cacheField>
    <cacheField name="Nº DE PEDIDO DA CCT" numFmtId="44">
      <sharedItems/>
    </cacheField>
    <cacheField name="TERMO ADITIVO ALTERAÇÃO DA CCT" numFmtId="44">
      <sharedItems/>
    </cacheField>
    <cacheField name="CUSTO TOTAL" numFmtId="0" formula="'MODULO 1 - REMUNERAÇÃO '+'MÓDULO 2 - Total Encargos e Benefícios mensais e diários'+'MÓDULO 3 – PROVISÃO PARA RESCISÃO'+'MÓDULO 4 – CUSTO DE REPOSIÇÃO DO PROFISSIONAL AUSENTE'+'MÓDULO 5 – INSUMOS DIVERSOS'+'MÓDULO 6 – CUSTOS INDIRETOS, TRIBUTOS E LUCRO'"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15">
  <r>
    <s v="Calçados M/F"/>
    <x v="0"/>
    <m/>
    <n v="280.04000000000002"/>
    <n v="280.04000000000002"/>
    <n v="2"/>
    <x v="0"/>
    <x v="0"/>
    <n v="5600.8"/>
    <x v="0"/>
    <n v="46.673333333333332"/>
  </r>
  <r>
    <s v="Calça Comprida"/>
    <x v="1"/>
    <m/>
    <n v="94.82"/>
    <n v="94.82"/>
    <n v="4"/>
    <x v="0"/>
    <x v="0"/>
    <n v="3792.7999999999997"/>
    <x v="1"/>
    <n v="31.606666666666666"/>
  </r>
  <r>
    <s v="Agasalho"/>
    <x v="2"/>
    <m/>
    <n v="95.13"/>
    <n v="95.13"/>
    <n v="1"/>
    <x v="0"/>
    <x v="0"/>
    <n v="951.3"/>
    <x v="2"/>
    <n v="7.9274999999999993"/>
  </r>
  <r>
    <s v="Camisa manga curta"/>
    <x v="3"/>
    <m/>
    <n v="69.83"/>
    <n v="69.83"/>
    <n v="6"/>
    <x v="0"/>
    <x v="0"/>
    <n v="4189.8"/>
    <x v="3"/>
    <n v="34.915000000000006"/>
  </r>
  <r>
    <s v="Calça Comprida"/>
    <x v="1"/>
    <m/>
    <n v="94.82"/>
    <n v="94.82"/>
    <n v="4"/>
    <x v="1"/>
    <x v="1"/>
    <n v="7964.8799999999992"/>
    <x v="4"/>
    <n v="31.606666666666662"/>
  </r>
  <r>
    <s v="Agasalho"/>
    <x v="2"/>
    <m/>
    <n v="95.13"/>
    <n v="95.13"/>
    <n v="1"/>
    <x v="1"/>
    <x v="1"/>
    <n v="1997.73"/>
    <x v="5"/>
    <n v="7.9274999999999993"/>
  </r>
  <r>
    <s v="Camisa manga curta"/>
    <x v="3"/>
    <m/>
    <n v="69.83"/>
    <n v="69.83"/>
    <n v="6"/>
    <x v="1"/>
    <x v="1"/>
    <n v="8798.58"/>
    <x v="6"/>
    <n v="34.914999999999999"/>
  </r>
  <r>
    <s v="Calça Comprida"/>
    <x v="1"/>
    <m/>
    <n v="94.82"/>
    <n v="94.82"/>
    <n v="4"/>
    <x v="2"/>
    <x v="2"/>
    <n v="22087.754203588604"/>
    <x v="7"/>
    <n v="46.016154590809592"/>
  </r>
  <r>
    <s v="Agasalho"/>
    <x v="2"/>
    <m/>
    <n v="95.13"/>
    <n v="95.13"/>
    <n v="1"/>
    <x v="2"/>
    <x v="2"/>
    <n v="11130.21"/>
    <x v="8"/>
    <n v="23.187937499999997"/>
  </r>
  <r>
    <s v="Camisa manga curta"/>
    <x v="3"/>
    <m/>
    <n v="69.83"/>
    <n v="69.83"/>
    <n v="6"/>
    <x v="2"/>
    <x v="2"/>
    <n v="25769.04657085337"/>
    <x v="9"/>
    <n v="53.685513689277855"/>
  </r>
  <r>
    <s v="Calça Comprida"/>
    <x v="1"/>
    <m/>
    <n v="94.82"/>
    <n v="94.82"/>
    <n v="4"/>
    <x v="3"/>
    <x v="3"/>
    <n v="3248.1991475865593"/>
    <x v="3"/>
    <n v="18.045550819925328"/>
  </r>
  <r>
    <s v="Agasalho"/>
    <x v="2"/>
    <m/>
    <n v="95.13"/>
    <n v="95.13"/>
    <n v="1"/>
    <x v="3"/>
    <x v="3"/>
    <n v="902.27754099626645"/>
    <x v="10"/>
    <n v="5.0126530055348137"/>
  </r>
  <r>
    <s v="Camisa manga curta"/>
    <x v="3"/>
    <m/>
    <n v="69.83"/>
    <n v="69.83"/>
    <n v="6"/>
    <x v="3"/>
    <x v="3"/>
    <n v="3789.5656721843188"/>
    <x v="11"/>
    <n v="21.053142623246217"/>
  </r>
  <r>
    <s v="Calça Comprida"/>
    <x v="1"/>
    <m/>
    <n v="94.82"/>
    <n v="94.82"/>
    <n v="4"/>
    <x v="4"/>
    <x v="0"/>
    <n v="2165.4660983910394"/>
    <x v="1"/>
    <n v="18.045550819925328"/>
  </r>
  <r>
    <s v="Agasalho"/>
    <x v="2"/>
    <m/>
    <n v="95.13"/>
    <n v="95.13"/>
    <n v="1"/>
    <x v="4"/>
    <x v="0"/>
    <n v="601.51836066417764"/>
    <x v="2"/>
    <n v="5.0126530055348137"/>
  </r>
  <r>
    <s v="Camisa manga curta"/>
    <x v="3"/>
    <m/>
    <n v="69.83"/>
    <n v="69.83"/>
    <n v="6"/>
    <x v="4"/>
    <x v="0"/>
    <n v="2526.3771147895459"/>
    <x v="3"/>
    <n v="21.053142623246217"/>
  </r>
  <r>
    <s v="Calçados M/F"/>
    <x v="0"/>
    <m/>
    <n v="280.04000000000002"/>
    <n v="280.04000000000002"/>
    <n v="2"/>
    <x v="5"/>
    <x v="4"/>
    <n v="15122.160000000002"/>
    <x v="12"/>
    <n v="46.673333333333339"/>
  </r>
  <r>
    <s v="Calça Comprida"/>
    <x v="1"/>
    <m/>
    <n v="94.82"/>
    <n v="94.82"/>
    <n v="4"/>
    <x v="5"/>
    <x v="4"/>
    <n v="5846.7584656558065"/>
    <x v="13"/>
    <n v="18.045550819925328"/>
  </r>
  <r>
    <s v="Luvas"/>
    <x v="4"/>
    <m/>
    <n v="0.27339999999999998"/>
    <n v="0.27339999999999998"/>
    <n v="700"/>
    <x v="5"/>
    <x v="4"/>
    <n v="5167.26"/>
    <x v="14"/>
    <n v="15.948333333333334"/>
  </r>
  <r>
    <s v="Luvas"/>
    <x v="5"/>
    <m/>
    <n v="0.3"/>
    <n v="0.3"/>
    <n v="120"/>
    <x v="5"/>
    <x v="4"/>
    <n v="972"/>
    <x v="15"/>
    <n v="3"/>
  </r>
  <r>
    <s v="Jaleco"/>
    <x v="6"/>
    <m/>
    <n v="63.5"/>
    <n v="63.5"/>
    <n v="1"/>
    <x v="5"/>
    <x v="4"/>
    <n v="974.45974427596775"/>
    <x v="16"/>
    <n v="3.0075918033208882"/>
  </r>
  <r>
    <s v="Máscara"/>
    <x v="7"/>
    <m/>
    <n v="0.23"/>
    <n v="0.23"/>
    <n v="360"/>
    <x v="5"/>
    <x v="4"/>
    <n v="2235.6"/>
    <x v="17"/>
    <n v="6.8999999999999995"/>
  </r>
  <r>
    <s v="Máscara"/>
    <x v="8"/>
    <m/>
    <n v="1.39"/>
    <n v="1.39"/>
    <n v="24"/>
    <x v="5"/>
    <x v="4"/>
    <n v="900.72"/>
    <x v="18"/>
    <n v="2.7800000000000002"/>
  </r>
  <r>
    <s v="Máscara"/>
    <x v="9"/>
    <m/>
    <n v="2.2200000000000002"/>
    <n v="2.2200000000000002"/>
    <n v="24"/>
    <x v="5"/>
    <x v="4"/>
    <n v="1438.56"/>
    <x v="18"/>
    <n v="4.4399999999999995"/>
  </r>
  <r>
    <s v="Agasalho"/>
    <x v="2"/>
    <m/>
    <n v="95.13"/>
    <n v="95.13"/>
    <n v="1"/>
    <x v="5"/>
    <x v="4"/>
    <n v="1624.0995737932797"/>
    <x v="16"/>
    <n v="5.0126530055348137"/>
  </r>
  <r>
    <s v="Óculos"/>
    <x v="10"/>
    <m/>
    <n v="7.67"/>
    <n v="7.67"/>
    <n v="12"/>
    <x v="5"/>
    <x v="4"/>
    <n v="2485.08"/>
    <x v="19"/>
    <n v="7.67"/>
  </r>
  <r>
    <s v="Camisa manga curta"/>
    <x v="3"/>
    <m/>
    <n v="69.83"/>
    <n v="69.83"/>
    <n v="6"/>
    <x v="5"/>
    <x v="4"/>
    <n v="6821.2182099317743"/>
    <x v="20"/>
    <n v="21.053142623246217"/>
  </r>
  <r>
    <s v="Touca"/>
    <x v="11"/>
    <m/>
    <n v="24.95"/>
    <n v="24.95"/>
    <n v="26"/>
    <x v="5"/>
    <x v="4"/>
    <n v="17514.899999999998"/>
    <x v="21"/>
    <n v="54.05833333333333"/>
  </r>
  <r>
    <s v="Vestimenta"/>
    <x v="12"/>
    <m/>
    <n v="0.91"/>
    <n v="0.91"/>
    <n v="26"/>
    <x v="5"/>
    <x v="4"/>
    <n v="638.82000000000005"/>
    <x v="21"/>
    <n v="1.9716666666666669"/>
  </r>
  <r>
    <s v="Calçados M/F"/>
    <x v="0"/>
    <m/>
    <n v="280.04000000000002"/>
    <n v="280.04000000000002"/>
    <n v="2"/>
    <x v="6"/>
    <x v="5"/>
    <n v="1680.2400000000002"/>
    <x v="22"/>
    <n v="46.673333333333339"/>
  </r>
  <r>
    <s v="Calça Comprida"/>
    <x v="1"/>
    <m/>
    <n v="94.82"/>
    <n v="94.82"/>
    <n v="4"/>
    <x v="6"/>
    <x v="5"/>
    <n v="649.63982951731191"/>
    <x v="23"/>
    <n v="18.045550819925332"/>
  </r>
  <r>
    <s v="Luvas"/>
    <x v="4"/>
    <m/>
    <n v="0.27339999999999998"/>
    <n v="0.27339999999999998"/>
    <n v="700"/>
    <x v="6"/>
    <x v="5"/>
    <n v="574.14"/>
    <x v="24"/>
    <n v="15.948333333333332"/>
  </r>
  <r>
    <s v="Luvas"/>
    <x v="5"/>
    <m/>
    <n v="0.3"/>
    <n v="0.3"/>
    <n v="120"/>
    <x v="6"/>
    <x v="5"/>
    <n v="108"/>
    <x v="25"/>
    <n v="3"/>
  </r>
  <r>
    <s v="Jaleco"/>
    <x v="6"/>
    <m/>
    <n v="63.5"/>
    <n v="63.5"/>
    <n v="1"/>
    <x v="6"/>
    <x v="5"/>
    <n v="108.27330491955198"/>
    <x v="26"/>
    <n v="3.0075918033208882"/>
  </r>
  <r>
    <s v="Máscara"/>
    <x v="7"/>
    <m/>
    <n v="0.23"/>
    <n v="0.23"/>
    <n v="360"/>
    <x v="6"/>
    <x v="5"/>
    <n v="248.39999999999998"/>
    <x v="27"/>
    <n v="6.8999999999999995"/>
  </r>
  <r>
    <s v="Máscara"/>
    <x v="8"/>
    <m/>
    <n v="1.39"/>
    <n v="1.39"/>
    <n v="24"/>
    <x v="6"/>
    <x v="5"/>
    <n v="100.08"/>
    <x v="28"/>
    <n v="2.78"/>
  </r>
  <r>
    <s v="Máscara"/>
    <x v="9"/>
    <m/>
    <n v="2.2200000000000002"/>
    <n v="2.2200000000000002"/>
    <n v="24"/>
    <x v="6"/>
    <x v="5"/>
    <n v="159.84"/>
    <x v="28"/>
    <n v="4.4400000000000004"/>
  </r>
  <r>
    <s v="Agasalho"/>
    <x v="2"/>
    <m/>
    <n v="95.13"/>
    <n v="95.13"/>
    <n v="1"/>
    <x v="6"/>
    <x v="5"/>
    <n v="180.4555081992533"/>
    <x v="26"/>
    <n v="5.0126530055348137"/>
  </r>
  <r>
    <s v="Óculos"/>
    <x v="10"/>
    <m/>
    <n v="7.67"/>
    <n v="7.67"/>
    <n v="12"/>
    <x v="6"/>
    <x v="5"/>
    <n v="276.12"/>
    <x v="29"/>
    <n v="7.6700000000000008"/>
  </r>
  <r>
    <s v="Camisa manga curta"/>
    <x v="3"/>
    <m/>
    <n v="69.83"/>
    <n v="69.83"/>
    <n v="6"/>
    <x v="6"/>
    <x v="5"/>
    <n v="757.91313443686386"/>
    <x v="30"/>
    <n v="21.05314262324622"/>
  </r>
  <r>
    <s v="Touca"/>
    <x v="11"/>
    <m/>
    <n v="24.95"/>
    <n v="24.95"/>
    <n v="26"/>
    <x v="6"/>
    <x v="5"/>
    <n v="1946.1"/>
    <x v="31"/>
    <n v="54.05833333333333"/>
  </r>
  <r>
    <s v="Vestimenta"/>
    <x v="12"/>
    <m/>
    <n v="0.91"/>
    <n v="0.91"/>
    <n v="26"/>
    <x v="6"/>
    <x v="5"/>
    <n v="70.98"/>
    <x v="31"/>
    <n v="1.9716666666666667"/>
  </r>
  <r>
    <s v="Calçados M/F"/>
    <x v="0"/>
    <m/>
    <n v="280.04000000000002"/>
    <n v="280.04000000000002"/>
    <n v="2"/>
    <x v="7"/>
    <x v="6"/>
    <n v="2240.3200000000002"/>
    <x v="32"/>
    <n v="46.673333333333339"/>
  </r>
  <r>
    <s v="Calça Comprida"/>
    <x v="1"/>
    <m/>
    <n v="94.82"/>
    <n v="94.82"/>
    <n v="4"/>
    <x v="7"/>
    <x v="6"/>
    <n v="1517.12"/>
    <x v="33"/>
    <n v="31.606666666666666"/>
  </r>
  <r>
    <s v="Luvas"/>
    <x v="4"/>
    <m/>
    <n v="0.27339999999999998"/>
    <n v="0.27339999999999998"/>
    <n v="700"/>
    <x v="7"/>
    <x v="6"/>
    <n v="765.52"/>
    <x v="34"/>
    <n v="15.948333333333332"/>
  </r>
  <r>
    <s v="Luvas"/>
    <x v="5"/>
    <m/>
    <n v="0.3"/>
    <n v="0.3"/>
    <n v="120"/>
    <x v="7"/>
    <x v="6"/>
    <n v="144"/>
    <x v="35"/>
    <n v="3"/>
  </r>
  <r>
    <s v="Jaleco"/>
    <x v="6"/>
    <m/>
    <n v="63.5"/>
    <n v="63.5"/>
    <n v="1"/>
    <x v="7"/>
    <x v="6"/>
    <n v="254"/>
    <x v="36"/>
    <n v="5.291666666666667"/>
  </r>
  <r>
    <s v="Máscara"/>
    <x v="7"/>
    <m/>
    <n v="0.23"/>
    <n v="0.23"/>
    <n v="360"/>
    <x v="7"/>
    <x v="6"/>
    <n v="331.2"/>
    <x v="37"/>
    <n v="6.8999999999999995"/>
  </r>
  <r>
    <s v="Máscara"/>
    <x v="8"/>
    <m/>
    <n v="1.39"/>
    <n v="1.39"/>
    <n v="24"/>
    <x v="7"/>
    <x v="6"/>
    <n v="133.44"/>
    <x v="38"/>
    <n v="2.78"/>
  </r>
  <r>
    <s v="Máscara"/>
    <x v="9"/>
    <m/>
    <n v="2.2200000000000002"/>
    <n v="2.2200000000000002"/>
    <n v="24"/>
    <x v="7"/>
    <x v="6"/>
    <n v="213.12"/>
    <x v="38"/>
    <n v="4.4400000000000004"/>
  </r>
  <r>
    <s v="Agasalho"/>
    <x v="2"/>
    <m/>
    <n v="95.13"/>
    <n v="95.13"/>
    <n v="1"/>
    <x v="7"/>
    <x v="6"/>
    <n v="380.52"/>
    <x v="36"/>
    <n v="7.9274999999999993"/>
  </r>
  <r>
    <s v="Óculos"/>
    <x v="10"/>
    <m/>
    <n v="7.67"/>
    <n v="7.67"/>
    <n v="12"/>
    <x v="7"/>
    <x v="6"/>
    <n v="368.15999999999997"/>
    <x v="39"/>
    <n v="7.669999999999999"/>
  </r>
  <r>
    <s v="Camisa manga curta"/>
    <x v="3"/>
    <m/>
    <n v="69.83"/>
    <n v="69.83"/>
    <n v="6"/>
    <x v="7"/>
    <x v="6"/>
    <n v="1675.92"/>
    <x v="40"/>
    <n v="34.914999999999999"/>
  </r>
  <r>
    <s v="Touca"/>
    <x v="11"/>
    <m/>
    <n v="24.95"/>
    <n v="24.95"/>
    <n v="26"/>
    <x v="7"/>
    <x v="6"/>
    <n v="2594.7999999999997"/>
    <x v="41"/>
    <n v="54.05833333333333"/>
  </r>
  <r>
    <s v="Vestimenta"/>
    <x v="12"/>
    <m/>
    <n v="0.91"/>
    <n v="0.91"/>
    <n v="26"/>
    <x v="7"/>
    <x v="6"/>
    <n v="94.64"/>
    <x v="41"/>
    <n v="1.9716666666666667"/>
  </r>
  <r>
    <s v="Calçados M/F"/>
    <x v="0"/>
    <m/>
    <n v="280.04000000000002"/>
    <n v="280.04000000000002"/>
    <n v="2"/>
    <x v="8"/>
    <x v="7"/>
    <n v="3360.4800000000005"/>
    <x v="23"/>
    <n v="46.673333333333339"/>
  </r>
  <r>
    <s v="Calça Comprida"/>
    <x v="1"/>
    <m/>
    <n v="94.82"/>
    <n v="94.82"/>
    <n v="4"/>
    <x v="8"/>
    <x v="7"/>
    <n v="1299.2796590346238"/>
    <x v="40"/>
    <n v="18.045550819925332"/>
  </r>
  <r>
    <s v="Agasalho"/>
    <x v="2"/>
    <m/>
    <n v="95.13"/>
    <n v="95.13"/>
    <n v="1"/>
    <x v="8"/>
    <x v="7"/>
    <n v="360.9110163985066"/>
    <x v="22"/>
    <n v="5.0126530055348137"/>
  </r>
  <r>
    <s v="Camisa manga curta"/>
    <x v="3"/>
    <m/>
    <n v="69.83"/>
    <n v="69.83"/>
    <n v="6"/>
    <x v="8"/>
    <x v="7"/>
    <n v="1515.8262688737277"/>
    <x v="29"/>
    <n v="21.05314262324622"/>
  </r>
  <r>
    <s v="Avental"/>
    <x v="13"/>
    <m/>
    <n v="24.55"/>
    <n v="24.55"/>
    <n v="1"/>
    <x v="9"/>
    <x v="8"/>
    <n v="540.1"/>
    <x v="42"/>
    <n v="2.0458333333333334"/>
  </r>
  <r>
    <s v="Avental"/>
    <x v="14"/>
    <m/>
    <n v="90.53"/>
    <n v="90.53"/>
    <n v="1"/>
    <x v="9"/>
    <x v="8"/>
    <n v="1991.66"/>
    <x v="42"/>
    <n v="7.5441666666666665"/>
  </r>
  <r>
    <s v="Calçados M/F"/>
    <x v="15"/>
    <m/>
    <n v="49.99"/>
    <n v="49.99"/>
    <n v="2"/>
    <x v="9"/>
    <x v="8"/>
    <n v="2199.56"/>
    <x v="43"/>
    <n v="8.3316666666666652"/>
  </r>
  <r>
    <s v="Calça"/>
    <x v="16"/>
    <m/>
    <n v="176.36"/>
    <n v="176.36"/>
    <n v="4"/>
    <x v="9"/>
    <x v="8"/>
    <n v="15519.68"/>
    <x v="44"/>
    <n v="58.786666666666662"/>
  </r>
  <r>
    <s v="Calçados M/F"/>
    <x v="0"/>
    <m/>
    <n v="280.04000000000002"/>
    <n v="280.04000000000002"/>
    <n v="2"/>
    <x v="9"/>
    <x v="8"/>
    <n v="12321.76"/>
    <x v="43"/>
    <n v="46.673333333333332"/>
  </r>
  <r>
    <s v="Camisa"/>
    <x v="17"/>
    <m/>
    <n v="172.99"/>
    <n v="172.99"/>
    <n v="4"/>
    <x v="9"/>
    <x v="8"/>
    <n v="15223.12"/>
    <x v="44"/>
    <n v="57.663333333333341"/>
  </r>
  <r>
    <s v="Capacete"/>
    <x v="18"/>
    <m/>
    <n v="22.2"/>
    <n v="22.2"/>
    <n v="1"/>
    <x v="9"/>
    <x v="8"/>
    <n v="488.4"/>
    <x v="42"/>
    <n v="1.8499999999999999"/>
  </r>
  <r>
    <s v="Capuz"/>
    <x v="19"/>
    <m/>
    <n v="64.2"/>
    <n v="64.2"/>
    <n v="1"/>
    <x v="9"/>
    <x v="8"/>
    <n v="1412.4"/>
    <x v="42"/>
    <n v="5.3500000000000005"/>
  </r>
  <r>
    <s v="Cinto"/>
    <x v="20"/>
    <m/>
    <n v="351.15"/>
    <n v="351.15"/>
    <n v="1"/>
    <x v="9"/>
    <x v="8"/>
    <n v="7725.2999999999993"/>
    <x v="42"/>
    <n v="29.262499999999999"/>
  </r>
  <r>
    <s v="Protetor"/>
    <x v="21"/>
    <m/>
    <n v="9.6999999999999993"/>
    <n v="9.6999999999999993"/>
    <n v="12"/>
    <x v="9"/>
    <x v="8"/>
    <n v="2560.7999999999997"/>
    <x v="45"/>
    <n v="9.6999999999999993"/>
  </r>
  <r>
    <s v="Calça Comprida"/>
    <x v="1"/>
    <m/>
    <n v="94.82"/>
    <n v="94.82"/>
    <n v="4"/>
    <x v="9"/>
    <x v="8"/>
    <n v="4330.9321967820788"/>
    <x v="46"/>
    <n v="18.045550819925328"/>
  </r>
  <r>
    <s v="Luvas"/>
    <x v="22"/>
    <m/>
    <n v="348.84"/>
    <n v="348.84"/>
    <n v="1"/>
    <x v="9"/>
    <x v="8"/>
    <n v="7674.48"/>
    <x v="42"/>
    <n v="29.069999999999997"/>
  </r>
  <r>
    <s v="Luvas"/>
    <x v="23"/>
    <m/>
    <n v="20.170000000000002"/>
    <n v="20.170000000000002"/>
    <n v="4"/>
    <x v="9"/>
    <x v="8"/>
    <n v="1774.96"/>
    <x v="44"/>
    <n v="6.7233333333333327"/>
  </r>
  <r>
    <s v="Luvas"/>
    <x v="24"/>
    <m/>
    <n v="35.29"/>
    <n v="35.29"/>
    <n v="12"/>
    <x v="9"/>
    <x v="8"/>
    <n v="9316.5600000000013"/>
    <x v="45"/>
    <n v="35.290000000000006"/>
  </r>
  <r>
    <s v="Luvas"/>
    <x v="25"/>
    <m/>
    <n v="7.27"/>
    <n v="7.27"/>
    <n v="2"/>
    <x v="9"/>
    <x v="8"/>
    <n v="319.88"/>
    <x v="43"/>
    <n v="1.2116666666666667"/>
  </r>
  <r>
    <s v="Luvas"/>
    <x v="26"/>
    <m/>
    <n v="6.12"/>
    <n v="6.12"/>
    <n v="12"/>
    <x v="9"/>
    <x v="8"/>
    <n v="1615.6799999999998"/>
    <x v="45"/>
    <n v="6.1199999999999992"/>
  </r>
  <r>
    <s v="Luvas"/>
    <x v="27"/>
    <m/>
    <n v="16.38"/>
    <n v="16.38"/>
    <n v="2"/>
    <x v="9"/>
    <x v="8"/>
    <n v="720.71999999999991"/>
    <x v="43"/>
    <n v="2.73"/>
  </r>
  <r>
    <s v="Luvas"/>
    <x v="28"/>
    <m/>
    <n v="32"/>
    <n v="32"/>
    <n v="6"/>
    <x v="9"/>
    <x v="8"/>
    <n v="4224"/>
    <x v="47"/>
    <n v="16"/>
  </r>
  <r>
    <s v="Macacão"/>
    <x v="29"/>
    <m/>
    <n v="14.42"/>
    <n v="14.42"/>
    <n v="50"/>
    <x v="9"/>
    <x v="8"/>
    <n v="15862"/>
    <x v="48"/>
    <n v="60.083333333333329"/>
  </r>
  <r>
    <s v="Camisa manga curta"/>
    <x v="30"/>
    <m/>
    <n v="40.85"/>
    <n v="40.85"/>
    <n v="8"/>
    <x v="9"/>
    <x v="8"/>
    <n v="4812.1468853134211"/>
    <x v="49"/>
    <n v="20.050612022139255"/>
  </r>
  <r>
    <s v="Jaleco"/>
    <x v="31"/>
    <m/>
    <n v="66.319999999999993"/>
    <n v="66.319999999999993"/>
    <n v="2"/>
    <x v="9"/>
    <x v="8"/>
    <n v="1443.6440655940262"/>
    <x v="1"/>
    <n v="6.0151836066417754"/>
  </r>
  <r>
    <s v="Manguito"/>
    <x v="32"/>
    <m/>
    <n v="19.86"/>
    <n v="19.86"/>
    <n v="1"/>
    <x v="9"/>
    <x v="8"/>
    <n v="436.91999999999996"/>
    <x v="42"/>
    <n v="1.6549999999999998"/>
  </r>
  <r>
    <s v="Máscara"/>
    <x v="33"/>
    <m/>
    <n v="344.45"/>
    <n v="344.45"/>
    <n v="1"/>
    <x v="9"/>
    <x v="8"/>
    <n v="7577.9"/>
    <x v="42"/>
    <n v="28.704166666666666"/>
  </r>
  <r>
    <s v="Máscara"/>
    <x v="34"/>
    <m/>
    <n v="2.5"/>
    <n v="2.5"/>
    <n v="40"/>
    <x v="9"/>
    <x v="8"/>
    <n v="2200"/>
    <x v="50"/>
    <n v="8.3333333333333339"/>
  </r>
  <r>
    <s v="Máscara"/>
    <x v="35"/>
    <m/>
    <n v="24.46"/>
    <n v="24.46"/>
    <n v="20"/>
    <x v="9"/>
    <x v="8"/>
    <n v="10762.400000000001"/>
    <x v="51"/>
    <n v="40.766666666666673"/>
  </r>
  <r>
    <s v="Agasalho"/>
    <x v="2"/>
    <m/>
    <n v="95.13"/>
    <n v="95.13"/>
    <n v="1"/>
    <x v="9"/>
    <x v="8"/>
    <n v="1203.0367213283553"/>
    <x v="0"/>
    <n v="5.0126530055348137"/>
  </r>
  <r>
    <s v="Óculos"/>
    <x v="10"/>
    <m/>
    <n v="7.67"/>
    <n v="7.67"/>
    <n v="2"/>
    <x v="9"/>
    <x v="8"/>
    <n v="337.48"/>
    <x v="43"/>
    <n v="1.2783333333333333"/>
  </r>
  <r>
    <s v="Perneira"/>
    <x v="36"/>
    <m/>
    <n v="36.26"/>
    <n v="36.26"/>
    <n v="1"/>
    <x v="9"/>
    <x v="8"/>
    <n v="797.71999999999991"/>
    <x v="42"/>
    <n v="3.0216666666666665"/>
  </r>
  <r>
    <s v="Protetor"/>
    <x v="37"/>
    <m/>
    <n v="5.14"/>
    <n v="5.14"/>
    <n v="20"/>
    <x v="9"/>
    <x v="8"/>
    <n v="2261.6"/>
    <x v="51"/>
    <n v="8.5666666666666664"/>
  </r>
  <r>
    <s v="Protetor"/>
    <x v="38"/>
    <m/>
    <n v="59.9"/>
    <n v="59.9"/>
    <n v="4"/>
    <x v="9"/>
    <x v="8"/>
    <n v="5271.2"/>
    <x v="44"/>
    <n v="19.966666666666665"/>
  </r>
  <r>
    <s v="Protetor"/>
    <x v="39"/>
    <m/>
    <n v="33.17"/>
    <n v="33.17"/>
    <n v="2"/>
    <x v="9"/>
    <x v="8"/>
    <n v="1459.48"/>
    <x v="43"/>
    <n v="5.5283333333333333"/>
  </r>
  <r>
    <s v="Máscara"/>
    <x v="40"/>
    <m/>
    <n v="326.77999999999997"/>
    <n v="326.77999999999997"/>
    <n v="1"/>
    <x v="9"/>
    <x v="8"/>
    <n v="7189.16"/>
    <x v="42"/>
    <n v="27.231666666666669"/>
  </r>
  <r>
    <s v="Avental"/>
    <x v="14"/>
    <m/>
    <n v="90.53"/>
    <n v="90.53"/>
    <n v="1"/>
    <x v="10"/>
    <x v="9"/>
    <n v="724.24"/>
    <x v="32"/>
    <n v="7.5441666666666665"/>
  </r>
  <r>
    <s v="Calçados M/F"/>
    <x v="15"/>
    <m/>
    <n v="49.99"/>
    <n v="49.99"/>
    <n v="2"/>
    <x v="10"/>
    <x v="9"/>
    <n v="799.84"/>
    <x v="33"/>
    <n v="8.331666666666667"/>
  </r>
  <r>
    <s v="Calçados M/F"/>
    <x v="0"/>
    <m/>
    <n v="280.04000000000002"/>
    <n v="280.04000000000002"/>
    <n v="2"/>
    <x v="10"/>
    <x v="9"/>
    <n v="4480.6400000000003"/>
    <x v="33"/>
    <n v="46.673333333333339"/>
  </r>
  <r>
    <s v="Capacete"/>
    <x v="18"/>
    <m/>
    <n v="22.2"/>
    <n v="22.2"/>
    <n v="1"/>
    <x v="10"/>
    <x v="9"/>
    <n v="177.6"/>
    <x v="32"/>
    <n v="1.8499999999999999"/>
  </r>
  <r>
    <s v="Capuz"/>
    <x v="19"/>
    <m/>
    <n v="64.2"/>
    <n v="64.2"/>
    <n v="1"/>
    <x v="10"/>
    <x v="9"/>
    <n v="513.6"/>
    <x v="32"/>
    <n v="5.3500000000000005"/>
  </r>
  <r>
    <s v="Cinto"/>
    <x v="20"/>
    <m/>
    <n v="351.15"/>
    <n v="351.15"/>
    <n v="1"/>
    <x v="10"/>
    <x v="9"/>
    <n v="2809.2"/>
    <x v="32"/>
    <n v="29.262499999999999"/>
  </r>
  <r>
    <s v="Protetor"/>
    <x v="21"/>
    <m/>
    <n v="9.6999999999999993"/>
    <n v="9.6999999999999993"/>
    <n v="12"/>
    <x v="10"/>
    <x v="9"/>
    <n v="931.19999999999993"/>
    <x v="38"/>
    <n v="9.6999999999999993"/>
  </r>
  <r>
    <s v="Calça Comprida"/>
    <x v="1"/>
    <m/>
    <n v="94.82"/>
    <n v="94.82"/>
    <n v="4"/>
    <x v="10"/>
    <x v="9"/>
    <n v="1515.8262688737277"/>
    <x v="52"/>
    <n v="18.045550819925332"/>
  </r>
  <r>
    <s v="Luvas"/>
    <x v="23"/>
    <m/>
    <n v="20.170000000000002"/>
    <n v="20.170000000000002"/>
    <n v="4"/>
    <x v="10"/>
    <x v="9"/>
    <n v="645.44000000000005"/>
    <x v="53"/>
    <n v="6.7233333333333336"/>
  </r>
  <r>
    <s v="Luvas"/>
    <x v="25"/>
    <m/>
    <n v="7.27"/>
    <n v="7.27"/>
    <n v="2"/>
    <x v="10"/>
    <x v="9"/>
    <n v="116.32"/>
    <x v="33"/>
    <n v="1.2116666666666667"/>
  </r>
  <r>
    <s v="Luvas"/>
    <x v="26"/>
    <m/>
    <n v="6.12"/>
    <n v="6.12"/>
    <n v="12"/>
    <x v="10"/>
    <x v="9"/>
    <n v="587.52"/>
    <x v="38"/>
    <n v="6.12"/>
  </r>
  <r>
    <s v="Luvas"/>
    <x v="27"/>
    <m/>
    <n v="16.38"/>
    <n v="16.38"/>
    <n v="1"/>
    <x v="10"/>
    <x v="9"/>
    <n v="131.04"/>
    <x v="32"/>
    <n v="1.365"/>
  </r>
  <r>
    <s v="Luvas"/>
    <x v="28"/>
    <m/>
    <n v="32"/>
    <n v="32"/>
    <n v="4"/>
    <x v="10"/>
    <x v="9"/>
    <n v="1024"/>
    <x v="53"/>
    <n v="10.666666666666666"/>
  </r>
  <r>
    <s v="Macacão"/>
    <x v="29"/>
    <m/>
    <n v="14.42"/>
    <n v="14.42"/>
    <n v="50"/>
    <x v="10"/>
    <x v="9"/>
    <n v="5768"/>
    <x v="54"/>
    <n v="60.083333333333336"/>
  </r>
  <r>
    <s v="Camisa manga curta"/>
    <x v="30"/>
    <m/>
    <n v="40.85"/>
    <n v="40.85"/>
    <n v="8"/>
    <x v="10"/>
    <x v="9"/>
    <n v="1684.2514098596973"/>
    <x v="55"/>
    <n v="20.050612022139255"/>
  </r>
  <r>
    <s v="Jaleco"/>
    <x v="31"/>
    <m/>
    <n v="66.319999999999993"/>
    <n v="66.319999999999993"/>
    <n v="4"/>
    <x v="10"/>
    <x v="9"/>
    <n v="1010.5508459158184"/>
    <x v="52"/>
    <n v="12.030367213283553"/>
  </r>
  <r>
    <s v="Máscara"/>
    <x v="33"/>
    <m/>
    <n v="344.45"/>
    <n v="344.45"/>
    <n v="1"/>
    <x v="10"/>
    <x v="9"/>
    <n v="2755.6"/>
    <x v="32"/>
    <n v="28.704166666666666"/>
  </r>
  <r>
    <s v="Máscara"/>
    <x v="34"/>
    <m/>
    <n v="2.5"/>
    <n v="2.5"/>
    <n v="24"/>
    <x v="10"/>
    <x v="9"/>
    <n v="480"/>
    <x v="56"/>
    <n v="5"/>
  </r>
  <r>
    <s v="Máscara"/>
    <x v="35"/>
    <m/>
    <n v="24.46"/>
    <n v="24.46"/>
    <n v="20"/>
    <x v="10"/>
    <x v="9"/>
    <n v="3913.6000000000004"/>
    <x v="49"/>
    <n v="40.766666666666673"/>
  </r>
  <r>
    <s v="Agasalho"/>
    <x v="2"/>
    <m/>
    <n v="95.13"/>
    <n v="95.13"/>
    <n v="1"/>
    <x v="10"/>
    <x v="9"/>
    <n v="421.06285246492433"/>
    <x v="57"/>
    <n v="5.0126530055348137"/>
  </r>
  <r>
    <s v="Óculos"/>
    <x v="10"/>
    <m/>
    <n v="7.67"/>
    <n v="7.67"/>
    <n v="2"/>
    <x v="10"/>
    <x v="9"/>
    <n v="122.72"/>
    <x v="33"/>
    <n v="1.2783333333333333"/>
  </r>
  <r>
    <s v="Perneira"/>
    <x v="36"/>
    <m/>
    <n v="36.26"/>
    <n v="36.26"/>
    <n v="1"/>
    <x v="10"/>
    <x v="9"/>
    <n v="290.08"/>
    <x v="32"/>
    <n v="3.0216666666666665"/>
  </r>
  <r>
    <s v="Protetor"/>
    <x v="37"/>
    <m/>
    <n v="5.14"/>
    <n v="5.14"/>
    <n v="10"/>
    <x v="10"/>
    <x v="9"/>
    <n v="411.2"/>
    <x v="46"/>
    <n v="4.2833333333333332"/>
  </r>
  <r>
    <s v="Máscara"/>
    <x v="40"/>
    <m/>
    <n v="326.77999999999997"/>
    <n v="326.77999999999997"/>
    <n v="12"/>
    <x v="10"/>
    <x v="9"/>
    <n v="31370.879999999997"/>
    <x v="38"/>
    <n v="326.77999999999997"/>
  </r>
  <r>
    <s v="Calça Comprida"/>
    <x v="41"/>
    <m/>
    <n v="60.93"/>
    <n v="60.93"/>
    <n v="4"/>
    <x v="11"/>
    <x v="10"/>
    <n v="3368.5028197193947"/>
    <x v="46"/>
    <n v="14.035428415497478"/>
  </r>
  <r>
    <s v="Calçados M/F"/>
    <x v="0"/>
    <m/>
    <n v="280.04000000000002"/>
    <n v="280.04000000000002"/>
    <n v="2"/>
    <x v="11"/>
    <x v="10"/>
    <n v="11201.6"/>
    <x v="1"/>
    <n v="46.673333333333332"/>
  </r>
  <r>
    <s v="Capa"/>
    <x v="42"/>
    <m/>
    <n v="18.07"/>
    <n v="18.07"/>
    <n v="1"/>
    <x v="11"/>
    <x v="10"/>
    <n v="361.4"/>
    <x v="0"/>
    <n v="1.5058333333333331"/>
  </r>
  <r>
    <s v="Cinto"/>
    <x v="43"/>
    <m/>
    <n v="85.57"/>
    <n v="85.57"/>
    <n v="1"/>
    <x v="11"/>
    <x v="10"/>
    <n v="1711.3999999999999"/>
    <x v="0"/>
    <n v="7.1308333333333325"/>
  </r>
  <r>
    <s v="Luvas"/>
    <x v="25"/>
    <m/>
    <n v="7.27"/>
    <n v="7.27"/>
    <n v="12"/>
    <x v="11"/>
    <x v="10"/>
    <n v="1744.8"/>
    <x v="58"/>
    <n v="7.2700000000000005"/>
  </r>
  <r>
    <s v="Camisa manga curta"/>
    <x v="30"/>
    <m/>
    <n v="40.85"/>
    <n v="40.85"/>
    <n v="8"/>
    <x v="11"/>
    <x v="10"/>
    <n v="4812.1468853134211"/>
    <x v="49"/>
    <n v="20.050612022139255"/>
  </r>
  <r>
    <s v="Agasalho"/>
    <x v="2"/>
    <m/>
    <n v="95.13"/>
    <n v="95.13"/>
    <n v="1"/>
    <x v="11"/>
    <x v="10"/>
    <n v="1203.0367213283553"/>
    <x v="0"/>
    <n v="5.0126530055348137"/>
  </r>
  <r>
    <s v="Calça Comprida"/>
    <x v="1"/>
    <m/>
    <n v="94.82"/>
    <n v="94.82"/>
    <n v="4"/>
    <x v="12"/>
    <x v="11"/>
    <n v="22737.394033105917"/>
    <x v="59"/>
    <n v="18.045550819925332"/>
  </r>
  <r>
    <s v="Agasalho"/>
    <x v="2"/>
    <m/>
    <n v="95.13"/>
    <n v="95.13"/>
    <n v="1"/>
    <x v="12"/>
    <x v="11"/>
    <n v="6315.9427869738656"/>
    <x v="60"/>
    <n v="5.0126530055348137"/>
  </r>
  <r>
    <s v="Camisa manga curta"/>
    <x v="3"/>
    <m/>
    <n v="69.83"/>
    <n v="69.83"/>
    <n v="6"/>
    <x v="12"/>
    <x v="11"/>
    <n v="26526.959705290232"/>
    <x v="61"/>
    <n v="21.053142623246217"/>
  </r>
  <r>
    <s v="Calçados M/F"/>
    <x v="44"/>
    <m/>
    <n v="97.31"/>
    <n v="97.31"/>
    <n v="2"/>
    <x v="12"/>
    <x v="11"/>
    <n v="15158.262688737275"/>
    <x v="62"/>
    <n v="12.030367213283553"/>
  </r>
  <r>
    <s v="Calçados M/F"/>
    <x v="0"/>
    <m/>
    <n v="280.04000000000002"/>
    <n v="280.04000000000002"/>
    <n v="2"/>
    <x v="13"/>
    <x v="12"/>
    <n v="3920.5600000000004"/>
    <x v="63"/>
    <n v="46.673333333333339"/>
  </r>
  <r>
    <s v="Calça Comprida"/>
    <x v="1"/>
    <m/>
    <n v="94.82"/>
    <n v="94.82"/>
    <n v="4"/>
    <x v="13"/>
    <x v="12"/>
    <n v="1515.8262688737277"/>
    <x v="52"/>
    <n v="18.045550819925332"/>
  </r>
  <r>
    <s v="Agasalho"/>
    <x v="2"/>
    <m/>
    <n v="95.13"/>
    <n v="95.13"/>
    <n v="1"/>
    <x v="13"/>
    <x v="12"/>
    <n v="421.06285246492433"/>
    <x v="57"/>
    <n v="5.0126530055348137"/>
  </r>
  <r>
    <s v="Camisa manga curta"/>
    <x v="3"/>
    <m/>
    <n v="69.83"/>
    <n v="69.83"/>
    <n v="6"/>
    <x v="13"/>
    <x v="12"/>
    <n v="1768.4639803526823"/>
    <x v="64"/>
    <n v="21.05314262324622"/>
  </r>
  <r>
    <s v="Avental"/>
    <x v="45"/>
    <m/>
    <n v="13.29"/>
    <n v="13.29"/>
    <n v="4"/>
    <x v="14"/>
    <x v="13"/>
    <n v="691.07999999999993"/>
    <x v="65"/>
    <n v="4.43"/>
  </r>
  <r>
    <s v="Calça Comprida"/>
    <x v="41"/>
    <m/>
    <n v="60.93"/>
    <n v="60.93"/>
    <n v="4"/>
    <x v="14"/>
    <x v="13"/>
    <n v="2189.5268328176066"/>
    <x v="65"/>
    <n v="14.035428415497478"/>
  </r>
  <r>
    <s v="Calçados M/F"/>
    <x v="0"/>
    <m/>
    <n v="280.04000000000002"/>
    <n v="280.04000000000002"/>
    <n v="2"/>
    <x v="14"/>
    <x v="13"/>
    <n v="7281.0400000000009"/>
    <x v="66"/>
    <n v="46.673333333333339"/>
  </r>
  <r>
    <s v="Luvas"/>
    <x v="26"/>
    <m/>
    <n v="6.12"/>
    <n v="6.12"/>
    <n v="24"/>
    <x v="14"/>
    <x v="13"/>
    <n v="1909.44"/>
    <x v="67"/>
    <n v="12.24"/>
  </r>
  <r>
    <s v="Camisa manga curta"/>
    <x v="30"/>
    <m/>
    <n v="40.85"/>
    <n v="40.85"/>
    <n v="8"/>
    <x v="14"/>
    <x v="13"/>
    <n v="3127.895475453724"/>
    <x v="41"/>
    <n v="20.050612022139259"/>
  </r>
  <r>
    <s v="Máscara"/>
    <x v="46"/>
    <m/>
    <n v="0.32"/>
    <n v="0.32"/>
    <n v="4"/>
    <x v="14"/>
    <x v="13"/>
    <n v="16.64"/>
    <x v="65"/>
    <n v="0.10666666666666667"/>
  </r>
  <r>
    <s v="Agasalho"/>
    <x v="2"/>
    <m/>
    <n v="95.13"/>
    <n v="95.13"/>
    <n v="1"/>
    <x v="14"/>
    <x v="13"/>
    <n v="781.97386886343099"/>
    <x v="68"/>
    <n v="5.0126530055348146"/>
  </r>
  <r>
    <s v="Touca"/>
    <x v="47"/>
    <m/>
    <n v="15.45"/>
    <n v="15.45"/>
    <n v="4"/>
    <x v="14"/>
    <x v="13"/>
    <n v="803.4"/>
    <x v="65"/>
    <n v="5.15"/>
  </r>
  <r>
    <s v="Calça Comprida"/>
    <x v="1"/>
    <m/>
    <n v="94.82"/>
    <n v="94.82"/>
    <n v="4"/>
    <x v="15"/>
    <x v="14"/>
    <n v="3681.2923672647671"/>
    <x v="69"/>
    <n v="18.045550819925328"/>
  </r>
  <r>
    <s v="Agasalho"/>
    <x v="2"/>
    <m/>
    <n v="95.13"/>
    <n v="95.13"/>
    <n v="1"/>
    <x v="15"/>
    <x v="14"/>
    <n v="1022.581213129102"/>
    <x v="70"/>
    <n v="5.0126530055348137"/>
  </r>
  <r>
    <s v="Camisa manga curta"/>
    <x v="3"/>
    <m/>
    <n v="69.83"/>
    <n v="69.83"/>
    <n v="6"/>
    <x v="15"/>
    <x v="14"/>
    <n v="4294.8410951422284"/>
    <x v="71"/>
    <n v="21.053142623246217"/>
  </r>
  <r>
    <s v="Avental"/>
    <x v="14"/>
    <m/>
    <n v="90.53"/>
    <n v="90.53"/>
    <n v="1"/>
    <x v="16"/>
    <x v="15"/>
    <n v="1629.54"/>
    <x v="30"/>
    <n v="7.5441666666666656"/>
  </r>
  <r>
    <s v="Calça"/>
    <x v="16"/>
    <m/>
    <n v="176.36"/>
    <n v="176.36"/>
    <n v="4"/>
    <x v="16"/>
    <x v="15"/>
    <n v="12697.920000000002"/>
    <x v="28"/>
    <n v="58.786666666666669"/>
  </r>
  <r>
    <s v="Calçados M/F"/>
    <x v="0"/>
    <m/>
    <n v="280.04000000000002"/>
    <n v="280.04000000000002"/>
    <n v="2"/>
    <x v="16"/>
    <x v="15"/>
    <n v="10081.44"/>
    <x v="29"/>
    <n v="46.673333333333332"/>
  </r>
  <r>
    <s v="Camisa"/>
    <x v="17"/>
    <m/>
    <n v="172.99"/>
    <n v="172.99"/>
    <n v="4"/>
    <x v="16"/>
    <x v="15"/>
    <n v="12455.28"/>
    <x v="28"/>
    <n v="57.663333333333334"/>
  </r>
  <r>
    <s v="Capacete"/>
    <x v="18"/>
    <m/>
    <n v="22.2"/>
    <n v="22.2"/>
    <n v="1"/>
    <x v="16"/>
    <x v="15"/>
    <n v="399.59999999999997"/>
    <x v="30"/>
    <n v="1.8499999999999999"/>
  </r>
  <r>
    <s v="Capuz"/>
    <x v="19"/>
    <m/>
    <n v="64.2"/>
    <n v="64.2"/>
    <n v="1"/>
    <x v="16"/>
    <x v="15"/>
    <n v="1155.6000000000001"/>
    <x v="30"/>
    <n v="5.3500000000000005"/>
  </r>
  <r>
    <s v="Cinto"/>
    <x v="20"/>
    <m/>
    <n v="351.15"/>
    <n v="351.15"/>
    <n v="1"/>
    <x v="16"/>
    <x v="15"/>
    <n v="6320.7"/>
    <x v="30"/>
    <n v="29.262500000000003"/>
  </r>
  <r>
    <s v="Calça Comprida"/>
    <x v="1"/>
    <m/>
    <n v="94.82"/>
    <n v="94.82"/>
    <n v="4"/>
    <x v="16"/>
    <x v="15"/>
    <n v="3681.2923672647671"/>
    <x v="69"/>
    <n v="18.045550819925328"/>
  </r>
  <r>
    <s v="Luvas"/>
    <x v="22"/>
    <m/>
    <n v="348.84"/>
    <n v="348.84"/>
    <n v="1"/>
    <x v="16"/>
    <x v="15"/>
    <n v="6279.12"/>
    <x v="30"/>
    <n v="29.07"/>
  </r>
  <r>
    <s v="Luvas"/>
    <x v="23"/>
    <m/>
    <n v="20.170000000000002"/>
    <n v="20.170000000000002"/>
    <n v="2"/>
    <x v="16"/>
    <x v="15"/>
    <n v="726.12000000000012"/>
    <x v="29"/>
    <n v="3.3616666666666672"/>
  </r>
  <r>
    <s v="Luvas"/>
    <x v="25"/>
    <m/>
    <n v="7.27"/>
    <n v="7.27"/>
    <n v="2"/>
    <x v="16"/>
    <x v="15"/>
    <n v="261.71999999999997"/>
    <x v="29"/>
    <n v="1.2116666666666667"/>
  </r>
  <r>
    <s v="Luvas"/>
    <x v="27"/>
    <m/>
    <n v="16.38"/>
    <n v="16.38"/>
    <n v="1"/>
    <x v="16"/>
    <x v="15"/>
    <n v="294.83999999999997"/>
    <x v="30"/>
    <n v="1.3649999999999998"/>
  </r>
  <r>
    <s v="Macacão"/>
    <x v="29"/>
    <m/>
    <n v="14.42"/>
    <n v="14.42"/>
    <n v="50"/>
    <x v="16"/>
    <x v="15"/>
    <n v="12978"/>
    <x v="72"/>
    <n v="60.083333333333336"/>
  </r>
  <r>
    <s v="Camisa manga curta"/>
    <x v="30"/>
    <m/>
    <n v="40.85"/>
    <n v="40.85"/>
    <n v="8"/>
    <x v="16"/>
    <x v="15"/>
    <n v="4090.3248525164081"/>
    <x v="73"/>
    <n v="20.050612022139255"/>
  </r>
  <r>
    <s v="Jaleco"/>
    <x v="31"/>
    <m/>
    <n v="66.319999999999993"/>
    <n v="66.319999999999993"/>
    <n v="4"/>
    <x v="16"/>
    <x v="15"/>
    <n v="2454.1949115098446"/>
    <x v="69"/>
    <n v="12.030367213283553"/>
  </r>
  <r>
    <s v="Máscara"/>
    <x v="33"/>
    <m/>
    <n v="344.45"/>
    <n v="344.45"/>
    <n v="1"/>
    <x v="16"/>
    <x v="15"/>
    <n v="6200.0999999999995"/>
    <x v="30"/>
    <n v="28.704166666666666"/>
  </r>
  <r>
    <s v="Máscara"/>
    <x v="35"/>
    <m/>
    <n v="24.46"/>
    <n v="24.46"/>
    <n v="20"/>
    <x v="16"/>
    <x v="15"/>
    <n v="8805.6"/>
    <x v="25"/>
    <n v="40.766666666666673"/>
  </r>
  <r>
    <s v="Agasalho"/>
    <x v="2"/>
    <m/>
    <n v="95.13"/>
    <n v="95.13"/>
    <n v="1"/>
    <x v="16"/>
    <x v="15"/>
    <n v="1022.581213129102"/>
    <x v="70"/>
    <n v="5.0126530055348137"/>
  </r>
  <r>
    <s v="Óculos"/>
    <x v="10"/>
    <m/>
    <n v="7.67"/>
    <n v="7.67"/>
    <n v="2"/>
    <x v="16"/>
    <x v="15"/>
    <n v="276.12"/>
    <x v="29"/>
    <n v="1.2783333333333333"/>
  </r>
  <r>
    <s v="Óculos"/>
    <x v="48"/>
    <m/>
    <n v="32.94"/>
    <n v="32.94"/>
    <n v="2"/>
    <x v="16"/>
    <x v="15"/>
    <n v="1185.8399999999999"/>
    <x v="29"/>
    <n v="5.4899999999999993"/>
  </r>
  <r>
    <s v="Perneira"/>
    <x v="36"/>
    <m/>
    <n v="36.26"/>
    <n v="36.26"/>
    <n v="1"/>
    <x v="16"/>
    <x v="15"/>
    <n v="652.67999999999995"/>
    <x v="30"/>
    <n v="3.0216666666666665"/>
  </r>
  <r>
    <s v="Protetor"/>
    <x v="37"/>
    <m/>
    <n v="5.14"/>
    <n v="5.14"/>
    <n v="10"/>
    <x v="16"/>
    <x v="15"/>
    <n v="925.19999999999993"/>
    <x v="74"/>
    <n v="4.2833333333333332"/>
  </r>
  <r>
    <s v="Camisa manga curta"/>
    <x v="49"/>
    <m/>
    <n v="99"/>
    <n v="99"/>
    <n v="6"/>
    <x v="17"/>
    <x v="16"/>
    <n v="577.4576262376105"/>
    <x v="23"/>
    <n v="24.060734426567105"/>
  </r>
  <r>
    <s v="Blazer M/F"/>
    <x v="50"/>
    <m/>
    <n v="221.5"/>
    <n v="221.5"/>
    <n v="1"/>
    <x v="17"/>
    <x v="16"/>
    <n v="156.39477377268619"/>
    <x v="75"/>
    <n v="6.516448907195258"/>
  </r>
  <r>
    <s v="Calça Comprida"/>
    <x v="51"/>
    <m/>
    <n v="105"/>
    <n v="105"/>
    <n v="4"/>
    <x v="17"/>
    <x v="16"/>
    <n v="336.85028197193947"/>
    <x v="32"/>
    <n v="14.035428415497478"/>
  </r>
  <r>
    <s v="Calçados M/F"/>
    <x v="52"/>
    <m/>
    <n v="189.5"/>
    <n v="189.5"/>
    <n v="1"/>
    <x v="17"/>
    <x v="16"/>
    <n v="288.72881311880525"/>
    <x v="36"/>
    <n v="12.030367213283553"/>
  </r>
  <r>
    <s v="Camisa manga curta"/>
    <x v="49"/>
    <m/>
    <n v="99"/>
    <n v="99"/>
    <n v="6"/>
    <x v="18"/>
    <x v="16"/>
    <n v="577.4576262376105"/>
    <x v="23"/>
    <n v="24.060734426567105"/>
  </r>
  <r>
    <s v="Blazer M/F"/>
    <x v="50"/>
    <m/>
    <n v="221.5"/>
    <n v="221.5"/>
    <n v="1"/>
    <x v="18"/>
    <x v="16"/>
    <n v="156.39477377268619"/>
    <x v="75"/>
    <n v="6.516448907195258"/>
  </r>
  <r>
    <s v="Calça Comprida"/>
    <x v="51"/>
    <m/>
    <n v="105"/>
    <n v="105"/>
    <n v="4"/>
    <x v="18"/>
    <x v="16"/>
    <n v="336.85028197193947"/>
    <x v="32"/>
    <n v="14.035428415497478"/>
  </r>
  <r>
    <s v="Calçados M/F"/>
    <x v="52"/>
    <m/>
    <n v="189.5"/>
    <n v="189.5"/>
    <n v="1"/>
    <x v="18"/>
    <x v="16"/>
    <n v="288.72881311880525"/>
    <x v="36"/>
    <n v="12.030367213283553"/>
  </r>
  <r>
    <s v="Camisa manga curta"/>
    <x v="49"/>
    <m/>
    <n v="99"/>
    <n v="99"/>
    <n v="6"/>
    <x v="19"/>
    <x v="17"/>
    <n v="1443.6440655940262"/>
    <x v="76"/>
    <n v="24.060734426567102"/>
  </r>
  <r>
    <s v="Blazer M/F"/>
    <x v="50"/>
    <m/>
    <n v="221.5"/>
    <n v="221.5"/>
    <n v="1"/>
    <x v="19"/>
    <x v="17"/>
    <n v="390.9869344317155"/>
    <x v="77"/>
    <n v="6.5164489071952589"/>
  </r>
  <r>
    <s v="Calça Comprida"/>
    <x v="51"/>
    <m/>
    <n v="105"/>
    <n v="105"/>
    <n v="4"/>
    <x v="19"/>
    <x v="17"/>
    <n v="842.12570492984867"/>
    <x v="0"/>
    <n v="14.035428415497478"/>
  </r>
  <r>
    <s v="Calçados M/F"/>
    <x v="52"/>
    <m/>
    <n v="189.5"/>
    <n v="189.5"/>
    <n v="1"/>
    <x v="19"/>
    <x v="17"/>
    <n v="721.82203279701309"/>
    <x v="2"/>
    <n v="12.030367213283551"/>
  </r>
  <r>
    <s v="Colete"/>
    <x v="53"/>
    <m/>
    <n v="158.9"/>
    <n v="158.9"/>
    <n v="1"/>
    <x v="20"/>
    <x v="6"/>
    <n v="312.78954754537239"/>
    <x v="36"/>
    <n v="6.516448907195258"/>
  </r>
  <r>
    <s v="Camisa manga longa"/>
    <x v="49"/>
    <m/>
    <n v="99"/>
    <n v="99"/>
    <n v="2"/>
    <x v="20"/>
    <x v="6"/>
    <n v="792"/>
    <x v="32"/>
    <n v="16.5"/>
  </r>
  <r>
    <s v="Calça Comprida"/>
    <x v="1"/>
    <m/>
    <n v="94.82"/>
    <n v="94.82"/>
    <n v="4"/>
    <x v="20"/>
    <x v="6"/>
    <n v="866.1864393564158"/>
    <x v="33"/>
    <n v="18.045550819925328"/>
  </r>
  <r>
    <s v="Calça Comprida"/>
    <x v="51"/>
    <m/>
    <n v="105"/>
    <n v="105"/>
    <n v="1"/>
    <x v="20"/>
    <x v="6"/>
    <n v="420"/>
    <x v="36"/>
    <n v="8.75"/>
  </r>
  <r>
    <s v="Camisa manga curta"/>
    <x v="3"/>
    <m/>
    <n v="69.83"/>
    <n v="69.83"/>
    <n v="6"/>
    <x v="20"/>
    <x v="6"/>
    <n v="1010.5508459158184"/>
    <x v="40"/>
    <n v="21.053142623246217"/>
  </r>
  <r>
    <s v="Calçados M/F"/>
    <x v="0"/>
    <m/>
    <n v="280.04000000000002"/>
    <n v="280.04000000000002"/>
    <n v="2"/>
    <x v="20"/>
    <x v="6"/>
    <n v="2240.3200000000002"/>
    <x v="32"/>
    <n v="46.673333333333339"/>
  </r>
  <r>
    <s v="Calçados M/F"/>
    <x v="54"/>
    <m/>
    <n v="221.63"/>
    <n v="221.63"/>
    <n v="1"/>
    <x v="20"/>
    <x v="6"/>
    <n v="288.72881311880525"/>
    <x v="36"/>
    <n v="6.0151836066417763"/>
  </r>
  <r>
    <s v="Gravata"/>
    <x v="55"/>
    <m/>
    <n v="22.4"/>
    <n v="22.4"/>
    <n v="1"/>
    <x v="21"/>
    <x v="16"/>
    <n v="48.121468853134211"/>
    <x v="75"/>
    <n v="2.0050612022139256"/>
  </r>
  <r>
    <s v="Camisa manga longa"/>
    <x v="49"/>
    <m/>
    <n v="99"/>
    <n v="99"/>
    <n v="6"/>
    <x v="21"/>
    <x v="16"/>
    <n v="577.4576262376105"/>
    <x v="23"/>
    <n v="24.060734426567105"/>
  </r>
  <r>
    <s v="Blazer M/F"/>
    <x v="50"/>
    <m/>
    <n v="221.5"/>
    <n v="221.5"/>
    <n v="1"/>
    <x v="21"/>
    <x v="16"/>
    <n v="156.39477377268619"/>
    <x v="75"/>
    <n v="6.516448907195258"/>
  </r>
  <r>
    <s v="Calça Comprida"/>
    <x v="51"/>
    <m/>
    <n v="105"/>
    <n v="105"/>
    <n v="4"/>
    <x v="21"/>
    <x v="16"/>
    <n v="336.85028197193947"/>
    <x v="32"/>
    <n v="14.035428415497478"/>
  </r>
  <r>
    <s v="Colete"/>
    <x v="56"/>
    <m/>
    <n v="94.5"/>
    <n v="94.5"/>
    <n v="1"/>
    <x v="21"/>
    <x v="16"/>
    <n v="96.242937706268421"/>
    <x v="75"/>
    <n v="4.0101224044278512"/>
  </r>
  <r>
    <s v="Calçados M/F"/>
    <x v="54"/>
    <m/>
    <n v="221.63"/>
    <n v="221.63"/>
    <n v="1"/>
    <x v="21"/>
    <x v="16"/>
    <n v="288.72881311880525"/>
    <x v="36"/>
    <n v="12.030367213283553"/>
  </r>
  <r>
    <s v="Gravata"/>
    <x v="55"/>
    <m/>
    <n v="22.4"/>
    <n v="22.4"/>
    <n v="1"/>
    <x v="22"/>
    <x v="16"/>
    <n v="48.121468853134211"/>
    <x v="75"/>
    <n v="2.0050612022139256"/>
  </r>
  <r>
    <s v="Camisa manga longa"/>
    <x v="49"/>
    <m/>
    <n v="99"/>
    <n v="99"/>
    <n v="6"/>
    <x v="22"/>
    <x v="16"/>
    <n v="577.4576262376105"/>
    <x v="23"/>
    <n v="24.060734426567105"/>
  </r>
  <r>
    <s v="Blazer M/F"/>
    <x v="50"/>
    <m/>
    <n v="221.5"/>
    <n v="221.5"/>
    <n v="1"/>
    <x v="22"/>
    <x v="16"/>
    <n v="156.39477377268619"/>
    <x v="75"/>
    <n v="6.516448907195258"/>
  </r>
  <r>
    <s v="Calça Comprida"/>
    <x v="51"/>
    <m/>
    <n v="105"/>
    <n v="105"/>
    <n v="4"/>
    <x v="22"/>
    <x v="16"/>
    <n v="336.85028197193947"/>
    <x v="32"/>
    <n v="14.035428415497478"/>
  </r>
  <r>
    <s v="Colete"/>
    <x v="56"/>
    <m/>
    <n v="94.5"/>
    <n v="94.5"/>
    <n v="1"/>
    <x v="22"/>
    <x v="16"/>
    <n v="96.242937706268421"/>
    <x v="75"/>
    <n v="4.0101224044278512"/>
  </r>
  <r>
    <s v="Calçados M/F"/>
    <x v="54"/>
    <m/>
    <n v="221.63"/>
    <n v="221.63"/>
    <n v="1"/>
    <x v="22"/>
    <x v="16"/>
    <n v="288.72881311880525"/>
    <x v="36"/>
    <n v="12.030367213283553"/>
  </r>
  <r>
    <s v="Gravata"/>
    <x v="55"/>
    <m/>
    <n v="22.4"/>
    <n v="22.4"/>
    <n v="1"/>
    <x v="23"/>
    <x v="18"/>
    <n v="384.97175082507368"/>
    <x v="33"/>
    <n v="2.0050612022139256"/>
  </r>
  <r>
    <s v="Camisa manga longa"/>
    <x v="49"/>
    <m/>
    <n v="99"/>
    <n v="99"/>
    <n v="6"/>
    <x v="23"/>
    <x v="18"/>
    <n v="4619.661009900884"/>
    <x v="38"/>
    <n v="24.060734426567105"/>
  </r>
  <r>
    <s v="Blazer M/F"/>
    <x v="50"/>
    <m/>
    <n v="221.5"/>
    <n v="221.5"/>
    <n v="1"/>
    <x v="23"/>
    <x v="18"/>
    <n v="1251.1581901814895"/>
    <x v="33"/>
    <n v="6.516448907195258"/>
  </r>
  <r>
    <s v="Calça Comprida"/>
    <x v="51"/>
    <m/>
    <n v="105"/>
    <n v="105"/>
    <n v="4"/>
    <x v="23"/>
    <x v="18"/>
    <n v="2694.8022557755157"/>
    <x v="78"/>
    <n v="14.035428415497478"/>
  </r>
  <r>
    <s v="Colete"/>
    <x v="56"/>
    <m/>
    <n v="94.5"/>
    <n v="94.5"/>
    <n v="1"/>
    <x v="23"/>
    <x v="18"/>
    <n v="769.94350165014737"/>
    <x v="33"/>
    <n v="4.0101224044278512"/>
  </r>
  <r>
    <s v="Calçados M/F"/>
    <x v="54"/>
    <m/>
    <n v="221.63"/>
    <n v="221.63"/>
    <n v="1"/>
    <x v="23"/>
    <x v="18"/>
    <n v="2309.830504950442"/>
    <x v="53"/>
    <n v="12.030367213283553"/>
  </r>
  <r>
    <s v="Calçados M/F"/>
    <x v="0"/>
    <m/>
    <n v="280.04000000000002"/>
    <n v="280.04000000000002"/>
    <n v="2"/>
    <x v="24"/>
    <x v="16"/>
    <n v="1120.1600000000001"/>
    <x v="36"/>
    <n v="46.673333333333339"/>
  </r>
  <r>
    <s v="Calça Comprida"/>
    <x v="1"/>
    <m/>
    <n v="94.82"/>
    <n v="94.82"/>
    <n v="4"/>
    <x v="24"/>
    <x v="16"/>
    <n v="433.0932196782079"/>
    <x v="32"/>
    <n v="18.045550819925328"/>
  </r>
  <r>
    <s v="Agasalho"/>
    <x v="2"/>
    <m/>
    <n v="95.13"/>
    <n v="95.13"/>
    <n v="1"/>
    <x v="24"/>
    <x v="16"/>
    <n v="120.30367213283553"/>
    <x v="75"/>
    <n v="5.0126530055348137"/>
  </r>
  <r>
    <s v="Camisa manga curta"/>
    <x v="3"/>
    <m/>
    <n v="69.83"/>
    <n v="69.83"/>
    <n v="6"/>
    <x v="24"/>
    <x v="16"/>
    <n v="505.2754229579092"/>
    <x v="23"/>
    <n v="21.053142623246217"/>
  </r>
  <r>
    <s v="Avental"/>
    <x v="13"/>
    <m/>
    <n v="24.55"/>
    <n v="24.55"/>
    <n v="1"/>
    <x v="25"/>
    <x v="16"/>
    <n v="49.1"/>
    <x v="75"/>
    <n v="2.0458333333333334"/>
  </r>
  <r>
    <s v="Avental"/>
    <x v="14"/>
    <m/>
    <n v="90.53"/>
    <n v="90.53"/>
    <n v="1"/>
    <x v="25"/>
    <x v="16"/>
    <n v="181.06"/>
    <x v="75"/>
    <n v="7.5441666666666665"/>
  </r>
  <r>
    <s v="Calçados M/F"/>
    <x v="15"/>
    <m/>
    <n v="49.99"/>
    <n v="49.99"/>
    <n v="1"/>
    <x v="25"/>
    <x v="16"/>
    <n v="99.98"/>
    <x v="75"/>
    <n v="4.1658333333333335"/>
  </r>
  <r>
    <s v="Calça Comprida"/>
    <x v="41"/>
    <m/>
    <n v="60.93"/>
    <n v="60.93"/>
    <n v="2"/>
    <x v="25"/>
    <x v="16"/>
    <n v="336.85028197193947"/>
    <x v="32"/>
    <n v="14.035428415497478"/>
  </r>
  <r>
    <s v="Calçados M/F"/>
    <x v="0"/>
    <m/>
    <n v="280.04000000000002"/>
    <n v="280.04000000000002"/>
    <n v="1"/>
    <x v="25"/>
    <x v="16"/>
    <n v="560.08000000000004"/>
    <x v="75"/>
    <n v="23.33666666666667"/>
  </r>
  <r>
    <s v="Capa"/>
    <x v="42"/>
    <m/>
    <n v="18.07"/>
    <n v="18.07"/>
    <n v="1"/>
    <x v="25"/>
    <x v="16"/>
    <n v="36.14"/>
    <x v="75"/>
    <n v="1.5058333333333334"/>
  </r>
  <r>
    <s v="Capacete"/>
    <x v="18"/>
    <m/>
    <n v="22.2"/>
    <n v="22.2"/>
    <n v="1"/>
    <x v="25"/>
    <x v="16"/>
    <n v="44.4"/>
    <x v="75"/>
    <n v="1.8499999999999999"/>
  </r>
  <r>
    <s v="Cinto"/>
    <x v="20"/>
    <m/>
    <n v="351.15"/>
    <n v="351.15"/>
    <n v="1"/>
    <x v="25"/>
    <x v="16"/>
    <n v="702.3"/>
    <x v="75"/>
    <n v="29.262499999999999"/>
  </r>
  <r>
    <s v="Luvas"/>
    <x v="57"/>
    <m/>
    <n v="2.72"/>
    <n v="2.72"/>
    <n v="12"/>
    <x v="25"/>
    <x v="16"/>
    <n v="65.28"/>
    <x v="40"/>
    <n v="2.72"/>
  </r>
  <r>
    <s v="Luvas"/>
    <x v="23"/>
    <m/>
    <n v="20.170000000000002"/>
    <n v="20.170000000000002"/>
    <n v="2"/>
    <x v="25"/>
    <x v="16"/>
    <n v="80.680000000000007"/>
    <x v="36"/>
    <n v="3.3616666666666668"/>
  </r>
  <r>
    <s v="Luvas"/>
    <x v="27"/>
    <m/>
    <n v="16.38"/>
    <n v="16.38"/>
    <n v="1"/>
    <x v="25"/>
    <x v="16"/>
    <n v="32.76"/>
    <x v="75"/>
    <n v="1.365"/>
  </r>
  <r>
    <s v="Luvas"/>
    <x v="28"/>
    <m/>
    <n v="32"/>
    <n v="32"/>
    <n v="4"/>
    <x v="25"/>
    <x v="16"/>
    <n v="256"/>
    <x v="32"/>
    <n v="10.666666666666666"/>
  </r>
  <r>
    <s v="Camisa manga longa"/>
    <x v="30"/>
    <m/>
    <n v="40.85"/>
    <n v="40.85"/>
    <n v="4"/>
    <x v="25"/>
    <x v="16"/>
    <n v="481.21468853134212"/>
    <x v="33"/>
    <n v="20.050612022139255"/>
  </r>
  <r>
    <s v="Jaleco"/>
    <x v="31"/>
    <m/>
    <n v="66.319999999999993"/>
    <n v="66.319999999999993"/>
    <n v="2"/>
    <x v="25"/>
    <x v="16"/>
    <n v="288.72881311880525"/>
    <x v="32"/>
    <n v="12.030367213283553"/>
  </r>
  <r>
    <s v="Agasalho"/>
    <x v="2"/>
    <m/>
    <n v="95.13"/>
    <n v="95.13"/>
    <n v="1"/>
    <x v="25"/>
    <x v="16"/>
    <n v="120.30367213283553"/>
    <x v="75"/>
    <n v="5.0126530055348137"/>
  </r>
  <r>
    <s v="Óculos"/>
    <x v="10"/>
    <m/>
    <n v="7.67"/>
    <n v="7.67"/>
    <n v="1"/>
    <x v="25"/>
    <x v="16"/>
    <n v="15.34"/>
    <x v="75"/>
    <n v="0.63916666666666666"/>
  </r>
  <r>
    <s v="Perneira"/>
    <x v="58"/>
    <m/>
    <n v="42.96"/>
    <n v="42.96"/>
    <n v="1"/>
    <x v="25"/>
    <x v="16"/>
    <n v="85.92"/>
    <x v="75"/>
    <n v="3.58"/>
  </r>
  <r>
    <s v="Protetor"/>
    <x v="37"/>
    <m/>
    <n v="5.14"/>
    <n v="5.14"/>
    <n v="4"/>
    <x v="25"/>
    <x v="16"/>
    <n v="41.12"/>
    <x v="32"/>
    <n v="1.7133333333333332"/>
  </r>
  <r>
    <s v="Protetor"/>
    <x v="38"/>
    <m/>
    <n v="59.9"/>
    <n v="59.9"/>
    <n v="1"/>
    <x v="25"/>
    <x v="16"/>
    <n v="119.8"/>
    <x v="75"/>
    <n v="4.9916666666666663"/>
  </r>
  <r>
    <s v="Protetor"/>
    <x v="39"/>
    <m/>
    <n v="33.17"/>
    <n v="33.17"/>
    <n v="1"/>
    <x v="25"/>
    <x v="16"/>
    <n v="66.34"/>
    <x v="75"/>
    <n v="2.7641666666666667"/>
  </r>
  <r>
    <s v="Protetor"/>
    <x v="59"/>
    <m/>
    <n v="2.5499999999999998"/>
    <n v="2.5499999999999998"/>
    <n v="4"/>
    <x v="25"/>
    <x v="16"/>
    <n v="20.399999999999999"/>
    <x v="32"/>
    <n v="0.85"/>
  </r>
  <r>
    <s v="Protetor"/>
    <x v="60"/>
    <m/>
    <n v="29.94"/>
    <n v="29.94"/>
    <n v="6"/>
    <x v="25"/>
    <x v="16"/>
    <n v="359.28000000000003"/>
    <x v="23"/>
    <n v="14.97"/>
  </r>
  <r>
    <s v="Máscara"/>
    <x v="40"/>
    <m/>
    <n v="326.77999999999997"/>
    <n v="326.77999999999997"/>
    <n v="1"/>
    <x v="25"/>
    <x v="16"/>
    <n v="653.55999999999995"/>
    <x v="75"/>
    <n v="27.231666666666666"/>
  </r>
  <r>
    <s v="Touca"/>
    <x v="61"/>
    <m/>
    <n v="11.13"/>
    <n v="11.13"/>
    <n v="1"/>
    <x v="25"/>
    <x v="16"/>
    <n v="22.26"/>
    <x v="75"/>
    <n v="0.9275000000000001"/>
  </r>
  <r>
    <s v="Avental"/>
    <x v="13"/>
    <m/>
    <n v="24.55"/>
    <n v="24.55"/>
    <n v="2"/>
    <x v="26"/>
    <x v="12"/>
    <n v="343.7"/>
    <x v="63"/>
    <n v="4.0916666666666668"/>
  </r>
  <r>
    <s v="Avental"/>
    <x v="14"/>
    <m/>
    <n v="90.53"/>
    <n v="90.53"/>
    <n v="1"/>
    <x v="26"/>
    <x v="12"/>
    <n v="633.71"/>
    <x v="57"/>
    <n v="7.5441666666666674"/>
  </r>
  <r>
    <s v="Calçados M/F"/>
    <x v="15"/>
    <m/>
    <n v="49.99"/>
    <n v="49.99"/>
    <n v="2"/>
    <x v="26"/>
    <x v="12"/>
    <n v="699.86"/>
    <x v="63"/>
    <n v="8.331666666666667"/>
  </r>
  <r>
    <s v="Calça Comprida"/>
    <x v="41"/>
    <m/>
    <n v="60.93"/>
    <n v="60.93"/>
    <n v="4"/>
    <x v="26"/>
    <x v="12"/>
    <n v="1178.975986901788"/>
    <x v="52"/>
    <n v="14.035428415497476"/>
  </r>
  <r>
    <s v="Calçados M/F"/>
    <x v="0"/>
    <m/>
    <n v="280.04000000000002"/>
    <n v="280.04000000000002"/>
    <n v="2"/>
    <x v="26"/>
    <x v="12"/>
    <n v="3920.5600000000004"/>
    <x v="63"/>
    <n v="46.673333333333339"/>
  </r>
  <r>
    <s v="Capa"/>
    <x v="42"/>
    <m/>
    <n v="18.07"/>
    <n v="18.07"/>
    <n v="1"/>
    <x v="26"/>
    <x v="12"/>
    <n v="126.49000000000001"/>
    <x v="57"/>
    <n v="1.5058333333333334"/>
  </r>
  <r>
    <s v="Capacete"/>
    <x v="18"/>
    <m/>
    <n v="22.2"/>
    <n v="22.2"/>
    <n v="1"/>
    <x v="26"/>
    <x v="12"/>
    <n v="155.4"/>
    <x v="57"/>
    <n v="1.85"/>
  </r>
  <r>
    <s v="Cinto"/>
    <x v="20"/>
    <m/>
    <n v="351.15"/>
    <n v="351.15"/>
    <n v="1"/>
    <x v="26"/>
    <x v="12"/>
    <n v="2458.0499999999997"/>
    <x v="57"/>
    <n v="29.262499999999996"/>
  </r>
  <r>
    <s v="Luvas"/>
    <x v="57"/>
    <m/>
    <n v="2.72"/>
    <n v="2.72"/>
    <n v="24"/>
    <x v="26"/>
    <x v="12"/>
    <n v="456.96000000000004"/>
    <x v="79"/>
    <n v="5.44"/>
  </r>
  <r>
    <s v="Luvas"/>
    <x v="23"/>
    <m/>
    <n v="20.170000000000002"/>
    <n v="20.170000000000002"/>
    <n v="4"/>
    <x v="26"/>
    <x v="12"/>
    <n v="564.76"/>
    <x v="52"/>
    <n v="6.7233333333333336"/>
  </r>
  <r>
    <s v="Luvas"/>
    <x v="27"/>
    <m/>
    <n v="16.38"/>
    <n v="16.38"/>
    <n v="1"/>
    <x v="26"/>
    <x v="12"/>
    <n v="114.66"/>
    <x v="57"/>
    <n v="1.365"/>
  </r>
  <r>
    <s v="Luvas"/>
    <x v="28"/>
    <m/>
    <n v="32"/>
    <n v="32"/>
    <n v="6"/>
    <x v="26"/>
    <x v="12"/>
    <n v="1344"/>
    <x v="64"/>
    <n v="16"/>
  </r>
  <r>
    <s v="Camisa manga longa"/>
    <x v="30"/>
    <m/>
    <n v="40.85"/>
    <n v="40.85"/>
    <n v="8"/>
    <x v="26"/>
    <x v="12"/>
    <n v="1684.2514098596973"/>
    <x v="55"/>
    <n v="20.050612022139255"/>
  </r>
  <r>
    <s v="Jaleco"/>
    <x v="31"/>
    <m/>
    <n v="66.319999999999993"/>
    <n v="66.319999999999993"/>
    <n v="4"/>
    <x v="26"/>
    <x v="12"/>
    <n v="1010.5508459158184"/>
    <x v="52"/>
    <n v="12.030367213283553"/>
  </r>
  <r>
    <s v="Agasalho"/>
    <x v="2"/>
    <m/>
    <n v="95.13"/>
    <n v="95.13"/>
    <n v="1"/>
    <x v="26"/>
    <x v="12"/>
    <n v="421.06285246492433"/>
    <x v="57"/>
    <n v="5.0126530055348137"/>
  </r>
  <r>
    <s v="Óculos"/>
    <x v="10"/>
    <m/>
    <n v="7.67"/>
    <n v="7.67"/>
    <n v="1"/>
    <x v="26"/>
    <x v="12"/>
    <n v="53.69"/>
    <x v="57"/>
    <n v="0.63916666666666655"/>
  </r>
  <r>
    <s v="Perneira"/>
    <x v="58"/>
    <m/>
    <n v="42.96"/>
    <n v="42.96"/>
    <n v="1"/>
    <x v="26"/>
    <x v="12"/>
    <n v="300.72000000000003"/>
    <x v="57"/>
    <n v="3.5800000000000005"/>
  </r>
  <r>
    <s v="Protetor"/>
    <x v="37"/>
    <m/>
    <n v="5.14"/>
    <n v="5.14"/>
    <n v="6"/>
    <x v="26"/>
    <x v="12"/>
    <n v="215.87999999999997"/>
    <x v="64"/>
    <n v="2.57"/>
  </r>
  <r>
    <s v="Protetor"/>
    <x v="38"/>
    <m/>
    <n v="59.9"/>
    <n v="59.9"/>
    <n v="1"/>
    <x v="26"/>
    <x v="12"/>
    <n v="419.3"/>
    <x v="57"/>
    <n v="4.9916666666666671"/>
  </r>
  <r>
    <s v="Protetor"/>
    <x v="39"/>
    <m/>
    <n v="33.17"/>
    <n v="33.17"/>
    <n v="1"/>
    <x v="26"/>
    <x v="12"/>
    <n v="232.19"/>
    <x v="57"/>
    <n v="2.7641666666666667"/>
  </r>
  <r>
    <s v="Protetor"/>
    <x v="59"/>
    <m/>
    <n v="2.5499999999999998"/>
    <n v="2.5499999999999998"/>
    <n v="6"/>
    <x v="26"/>
    <x v="12"/>
    <n v="107.1"/>
    <x v="64"/>
    <n v="1.2749999999999999"/>
  </r>
  <r>
    <s v="Protetor"/>
    <x v="60"/>
    <m/>
    <n v="29.94"/>
    <n v="29.94"/>
    <n v="12"/>
    <x v="26"/>
    <x v="12"/>
    <n v="2514.96"/>
    <x v="4"/>
    <n v="29.94"/>
  </r>
  <r>
    <s v="Máscara"/>
    <x v="40"/>
    <m/>
    <n v="326.77999999999997"/>
    <n v="326.77999999999997"/>
    <n v="1"/>
    <x v="26"/>
    <x v="12"/>
    <n v="2287.46"/>
    <x v="57"/>
    <n v="27.231666666666666"/>
  </r>
  <r>
    <s v="Touca"/>
    <x v="61"/>
    <m/>
    <n v="11.13"/>
    <n v="11.13"/>
    <n v="1"/>
    <x v="26"/>
    <x v="12"/>
    <n v="77.910000000000011"/>
    <x v="57"/>
    <n v="0.9275000000000001"/>
  </r>
  <r>
    <s v="Avental"/>
    <x v="13"/>
    <m/>
    <n v="24.55"/>
    <n v="24.55"/>
    <n v="2"/>
    <x v="27"/>
    <x v="13"/>
    <n v="638.30000000000007"/>
    <x v="66"/>
    <n v="4.0916666666666668"/>
  </r>
  <r>
    <s v="Avental"/>
    <x v="14"/>
    <m/>
    <n v="90.53"/>
    <n v="90.53"/>
    <n v="1"/>
    <x v="27"/>
    <x v="13"/>
    <n v="1176.8900000000001"/>
    <x v="68"/>
    <n v="7.5441666666666674"/>
  </r>
  <r>
    <s v="Calçados M/F"/>
    <x v="15"/>
    <m/>
    <n v="49.99"/>
    <n v="49.99"/>
    <n v="1"/>
    <x v="27"/>
    <x v="13"/>
    <n v="649.87"/>
    <x v="68"/>
    <n v="4.1658333333333335"/>
  </r>
  <r>
    <s v="Calça Comprida"/>
    <x v="41"/>
    <m/>
    <n v="60.93"/>
    <n v="60.93"/>
    <n v="4"/>
    <x v="27"/>
    <x v="13"/>
    <n v="2189.5268328176066"/>
    <x v="65"/>
    <n v="14.035428415497478"/>
  </r>
  <r>
    <s v="Calçados M/F"/>
    <x v="0"/>
    <m/>
    <n v="280.04000000000002"/>
    <n v="280.04000000000002"/>
    <n v="1"/>
    <x v="27"/>
    <x v="13"/>
    <n v="3640.5200000000004"/>
    <x v="68"/>
    <n v="23.33666666666667"/>
  </r>
  <r>
    <s v="Capa"/>
    <x v="42"/>
    <m/>
    <n v="18.07"/>
    <n v="18.07"/>
    <n v="1"/>
    <x v="27"/>
    <x v="13"/>
    <n v="234.91"/>
    <x v="68"/>
    <n v="1.5058333333333331"/>
  </r>
  <r>
    <s v="Capacete"/>
    <x v="18"/>
    <m/>
    <n v="22.2"/>
    <n v="22.2"/>
    <n v="1"/>
    <x v="27"/>
    <x v="13"/>
    <n v="288.59999999999997"/>
    <x v="68"/>
    <n v="1.8499999999999999"/>
  </r>
  <r>
    <s v="Cinto"/>
    <x v="20"/>
    <m/>
    <n v="351.15"/>
    <n v="351.15"/>
    <n v="1"/>
    <x v="27"/>
    <x v="13"/>
    <n v="4564.95"/>
    <x v="68"/>
    <n v="29.262499999999996"/>
  </r>
  <r>
    <s v="Luvas"/>
    <x v="57"/>
    <m/>
    <n v="2.72"/>
    <n v="2.72"/>
    <n v="24"/>
    <x v="27"/>
    <x v="13"/>
    <n v="848.64"/>
    <x v="67"/>
    <n v="5.4399999999999995"/>
  </r>
  <r>
    <s v="Luvas"/>
    <x v="23"/>
    <m/>
    <n v="20.170000000000002"/>
    <n v="20.170000000000002"/>
    <n v="4"/>
    <x v="27"/>
    <x v="13"/>
    <n v="1048.8400000000001"/>
    <x v="65"/>
    <n v="6.7233333333333345"/>
  </r>
  <r>
    <s v="Luvas"/>
    <x v="27"/>
    <m/>
    <n v="16.38"/>
    <n v="16.38"/>
    <n v="1"/>
    <x v="27"/>
    <x v="13"/>
    <n v="212.94"/>
    <x v="68"/>
    <n v="1.365"/>
  </r>
  <r>
    <s v="Luvas"/>
    <x v="28"/>
    <m/>
    <n v="32"/>
    <n v="32"/>
    <n v="6"/>
    <x v="27"/>
    <x v="13"/>
    <n v="2496"/>
    <x v="31"/>
    <n v="16"/>
  </r>
  <r>
    <s v="Camisa manga longa"/>
    <x v="30"/>
    <m/>
    <n v="40.85"/>
    <n v="40.85"/>
    <n v="8"/>
    <x v="27"/>
    <x v="13"/>
    <n v="3127.895475453724"/>
    <x v="41"/>
    <n v="20.050612022139259"/>
  </r>
  <r>
    <s v="Jaleco"/>
    <x v="31"/>
    <m/>
    <n v="66.319999999999993"/>
    <n v="66.319999999999993"/>
    <n v="4"/>
    <x v="27"/>
    <x v="13"/>
    <n v="1876.7372852722342"/>
    <x v="65"/>
    <n v="12.030367213283553"/>
  </r>
  <r>
    <s v="Agasalho"/>
    <x v="2"/>
    <m/>
    <n v="95.13"/>
    <n v="95.13"/>
    <n v="1"/>
    <x v="27"/>
    <x v="13"/>
    <n v="781.97386886343099"/>
    <x v="68"/>
    <n v="5.0126530055348146"/>
  </r>
  <r>
    <s v="Óculos"/>
    <x v="10"/>
    <m/>
    <n v="7.67"/>
    <n v="7.67"/>
    <n v="1"/>
    <x v="27"/>
    <x v="13"/>
    <n v="99.71"/>
    <x v="68"/>
    <n v="0.63916666666666666"/>
  </r>
  <r>
    <s v="Perneira"/>
    <x v="58"/>
    <m/>
    <n v="42.96"/>
    <n v="42.96"/>
    <n v="1"/>
    <x v="27"/>
    <x v="13"/>
    <n v="558.48"/>
    <x v="68"/>
    <n v="3.58"/>
  </r>
  <r>
    <s v="Protetor"/>
    <x v="37"/>
    <m/>
    <n v="5.14"/>
    <n v="5.14"/>
    <n v="6"/>
    <x v="27"/>
    <x v="13"/>
    <n v="400.91999999999996"/>
    <x v="31"/>
    <n v="2.57"/>
  </r>
  <r>
    <s v="Protetor"/>
    <x v="38"/>
    <m/>
    <n v="59.9"/>
    <n v="59.9"/>
    <n v="1"/>
    <x v="27"/>
    <x v="13"/>
    <n v="778.69999999999993"/>
    <x v="68"/>
    <n v="4.9916666666666663"/>
  </r>
  <r>
    <s v="Protetor"/>
    <x v="39"/>
    <m/>
    <n v="33.17"/>
    <n v="33.17"/>
    <n v="1"/>
    <x v="27"/>
    <x v="13"/>
    <n v="431.21000000000004"/>
    <x v="68"/>
    <n v="2.7641666666666671"/>
  </r>
  <r>
    <s v="Protetor"/>
    <x v="59"/>
    <m/>
    <n v="2.5499999999999998"/>
    <n v="2.5499999999999998"/>
    <n v="6"/>
    <x v="27"/>
    <x v="13"/>
    <n v="198.89999999999998"/>
    <x v="31"/>
    <n v="1.2749999999999999"/>
  </r>
  <r>
    <s v="Protetor"/>
    <x v="60"/>
    <m/>
    <n v="29.94"/>
    <n v="29.94"/>
    <n v="12"/>
    <x v="27"/>
    <x v="13"/>
    <n v="4670.6400000000003"/>
    <x v="80"/>
    <n v="29.94"/>
  </r>
  <r>
    <s v="Máscara"/>
    <x v="40"/>
    <m/>
    <n v="326.77999999999997"/>
    <n v="326.77999999999997"/>
    <n v="1"/>
    <x v="27"/>
    <x v="13"/>
    <n v="4248.1399999999994"/>
    <x v="68"/>
    <n v="27.231666666666662"/>
  </r>
  <r>
    <s v="Touca"/>
    <x v="61"/>
    <m/>
    <n v="11.13"/>
    <n v="11.13"/>
    <n v="1"/>
    <x v="27"/>
    <x v="13"/>
    <n v="144.69"/>
    <x v="68"/>
    <n v="0.92749999999999999"/>
  </r>
  <r>
    <s v="Avental"/>
    <x v="13"/>
    <m/>
    <n v="24.55"/>
    <n v="24.55"/>
    <n v="1"/>
    <x v="28"/>
    <x v="19"/>
    <n v="220.95000000000002"/>
    <x v="81"/>
    <n v="2.0458333333333334"/>
  </r>
  <r>
    <s v="Avental"/>
    <x v="14"/>
    <m/>
    <n v="90.53"/>
    <n v="90.53"/>
    <n v="1"/>
    <x v="28"/>
    <x v="19"/>
    <n v="814.77"/>
    <x v="81"/>
    <n v="7.5441666666666656"/>
  </r>
  <r>
    <s v="Calçados M/F"/>
    <x v="15"/>
    <m/>
    <n v="49.99"/>
    <n v="49.99"/>
    <n v="1"/>
    <x v="28"/>
    <x v="19"/>
    <n v="449.91"/>
    <x v="81"/>
    <n v="4.1658333333333335"/>
  </r>
  <r>
    <s v="Calça Comprida"/>
    <x v="41"/>
    <m/>
    <n v="60.93"/>
    <n v="60.93"/>
    <n v="2"/>
    <x v="28"/>
    <x v="19"/>
    <n v="336.85028197193947"/>
    <x v="32"/>
    <n v="14.035428415497478"/>
  </r>
  <r>
    <s v="Calçados M/F"/>
    <x v="0"/>
    <m/>
    <n v="280.04000000000002"/>
    <n v="280.04000000000002"/>
    <n v="1"/>
    <x v="28"/>
    <x v="19"/>
    <n v="2520.36"/>
    <x v="81"/>
    <n v="23.336666666666666"/>
  </r>
  <r>
    <s v="Capa"/>
    <x v="42"/>
    <m/>
    <n v="18.07"/>
    <n v="18.07"/>
    <n v="1"/>
    <x v="28"/>
    <x v="19"/>
    <n v="162.63"/>
    <x v="81"/>
    <n v="1.5058333333333334"/>
  </r>
  <r>
    <s v="Capacete"/>
    <x v="18"/>
    <m/>
    <n v="22.2"/>
    <n v="22.2"/>
    <n v="1"/>
    <x v="28"/>
    <x v="19"/>
    <n v="199.79999999999998"/>
    <x v="81"/>
    <n v="1.8499999999999999"/>
  </r>
  <r>
    <s v="Cinto"/>
    <x v="20"/>
    <m/>
    <n v="351.15"/>
    <n v="351.15"/>
    <n v="1"/>
    <x v="28"/>
    <x v="19"/>
    <n v="3160.35"/>
    <x v="81"/>
    <n v="29.262500000000003"/>
  </r>
  <r>
    <s v="Luvas"/>
    <x v="57"/>
    <m/>
    <n v="2.72"/>
    <n v="2.72"/>
    <n v="12"/>
    <x v="28"/>
    <x v="19"/>
    <n v="293.76"/>
    <x v="13"/>
    <n v="2.72"/>
  </r>
  <r>
    <s v="Luvas"/>
    <x v="23"/>
    <m/>
    <n v="20.170000000000002"/>
    <n v="20.170000000000002"/>
    <n v="2"/>
    <x v="28"/>
    <x v="19"/>
    <n v="363.06000000000006"/>
    <x v="30"/>
    <n v="3.3616666666666672"/>
  </r>
  <r>
    <s v="Luvas"/>
    <x v="27"/>
    <m/>
    <n v="16.38"/>
    <n v="16.38"/>
    <n v="1"/>
    <x v="28"/>
    <x v="19"/>
    <n v="147.41999999999999"/>
    <x v="81"/>
    <n v="1.3649999999999998"/>
  </r>
  <r>
    <s v="Luvas"/>
    <x v="28"/>
    <m/>
    <n v="32"/>
    <n v="32"/>
    <n v="4"/>
    <x v="28"/>
    <x v="19"/>
    <n v="1152"/>
    <x v="29"/>
    <n v="10.666666666666666"/>
  </r>
  <r>
    <s v="Camisa manga longa"/>
    <x v="30"/>
    <m/>
    <n v="40.85"/>
    <n v="40.85"/>
    <n v="4"/>
    <x v="28"/>
    <x v="19"/>
    <n v="481.21468853134212"/>
    <x v="33"/>
    <n v="20.050612022139255"/>
  </r>
  <r>
    <s v="Jaleco"/>
    <x v="31"/>
    <m/>
    <n v="66.319999999999993"/>
    <n v="66.319999999999993"/>
    <n v="2"/>
    <x v="28"/>
    <x v="19"/>
    <n v="288.72881311880525"/>
    <x v="32"/>
    <n v="12.030367213283553"/>
  </r>
  <r>
    <s v="Agasalho"/>
    <x v="2"/>
    <m/>
    <n v="95.13"/>
    <n v="95.13"/>
    <n v="1"/>
    <x v="28"/>
    <x v="19"/>
    <n v="120.30367213283553"/>
    <x v="75"/>
    <n v="5.0126530055348137"/>
  </r>
  <r>
    <s v="Óculos"/>
    <x v="10"/>
    <m/>
    <n v="7.67"/>
    <n v="7.67"/>
    <n v="1"/>
    <x v="28"/>
    <x v="19"/>
    <n v="69.03"/>
    <x v="81"/>
    <n v="0.63916666666666666"/>
  </r>
  <r>
    <s v="Perneira"/>
    <x v="58"/>
    <m/>
    <n v="42.96"/>
    <n v="42.96"/>
    <n v="1"/>
    <x v="28"/>
    <x v="19"/>
    <n v="386.64"/>
    <x v="81"/>
    <n v="3.58"/>
  </r>
  <r>
    <s v="Protetor"/>
    <x v="37"/>
    <m/>
    <n v="5.14"/>
    <n v="5.14"/>
    <n v="4"/>
    <x v="28"/>
    <x v="19"/>
    <n v="185.04"/>
    <x v="29"/>
    <n v="1.7133333333333334"/>
  </r>
  <r>
    <s v="Protetor"/>
    <x v="38"/>
    <m/>
    <n v="59.9"/>
    <n v="59.9"/>
    <n v="1"/>
    <x v="28"/>
    <x v="19"/>
    <n v="539.1"/>
    <x v="81"/>
    <n v="4.9916666666666671"/>
  </r>
  <r>
    <s v="Protetor"/>
    <x v="39"/>
    <m/>
    <n v="33.17"/>
    <n v="33.17"/>
    <n v="1"/>
    <x v="28"/>
    <x v="19"/>
    <n v="298.53000000000003"/>
    <x v="81"/>
    <n v="2.7641666666666667"/>
  </r>
  <r>
    <s v="Protetor"/>
    <x v="59"/>
    <m/>
    <n v="2.5499999999999998"/>
    <n v="2.5499999999999998"/>
    <n v="4"/>
    <x v="28"/>
    <x v="19"/>
    <n v="91.8"/>
    <x v="29"/>
    <n v="0.85"/>
  </r>
  <r>
    <s v="Protetor"/>
    <x v="60"/>
    <m/>
    <n v="29.94"/>
    <n v="29.94"/>
    <n v="6"/>
    <x v="28"/>
    <x v="19"/>
    <n v="1616.7600000000002"/>
    <x v="12"/>
    <n v="14.970000000000002"/>
  </r>
  <r>
    <s v="Máscara"/>
    <x v="40"/>
    <m/>
    <n v="326.77999999999997"/>
    <n v="326.77999999999997"/>
    <n v="1"/>
    <x v="28"/>
    <x v="19"/>
    <n v="2941.0199999999995"/>
    <x v="81"/>
    <n v="27.231666666666662"/>
  </r>
  <r>
    <s v="Touca"/>
    <x v="61"/>
    <m/>
    <n v="11.13"/>
    <n v="11.13"/>
    <n v="1"/>
    <x v="28"/>
    <x v="19"/>
    <n v="100.17"/>
    <x v="81"/>
    <n v="0.92749999999999999"/>
  </r>
  <r>
    <s v="Avental"/>
    <x v="13"/>
    <m/>
    <n v="24.55"/>
    <n v="24.55"/>
    <n v="2"/>
    <x v="29"/>
    <x v="20"/>
    <n v="49.1"/>
    <x v="75"/>
    <n v="4.0916666666666668"/>
  </r>
  <r>
    <s v="Calçados M/F"/>
    <x v="15"/>
    <m/>
    <n v="49.99"/>
    <n v="49.99"/>
    <n v="2"/>
    <x v="29"/>
    <x v="20"/>
    <n v="99.98"/>
    <x v="75"/>
    <n v="8.331666666666667"/>
  </r>
  <r>
    <s v="Calça Comprida"/>
    <x v="41"/>
    <m/>
    <n v="60.93"/>
    <n v="60.93"/>
    <n v="4"/>
    <x v="29"/>
    <x v="20"/>
    <n v="168.42514098596973"/>
    <x v="36"/>
    <n v="14.035428415497478"/>
  </r>
  <r>
    <s v="Calça"/>
    <x v="62"/>
    <m/>
    <n v="23.8"/>
    <n v="23.8"/>
    <n v="2"/>
    <x v="29"/>
    <x v="20"/>
    <n v="47.6"/>
    <x v="75"/>
    <n v="3.9666666666666668"/>
  </r>
  <r>
    <s v="Calçados M/F"/>
    <x v="0"/>
    <m/>
    <n v="280.04000000000002"/>
    <n v="280.04000000000002"/>
    <n v="2"/>
    <x v="29"/>
    <x v="20"/>
    <n v="560.08000000000004"/>
    <x v="75"/>
    <n v="46.673333333333339"/>
  </r>
  <r>
    <s v="Protetor"/>
    <x v="21"/>
    <m/>
    <n v="9.6999999999999993"/>
    <n v="9.6999999999999993"/>
    <n v="6"/>
    <x v="29"/>
    <x v="20"/>
    <n v="58.199999999999996"/>
    <x v="22"/>
    <n v="4.8499999999999996"/>
  </r>
  <r>
    <s v="Luvas"/>
    <x v="63"/>
    <m/>
    <n v="5.49"/>
    <n v="5.49"/>
    <n v="24"/>
    <x v="29"/>
    <x v="20"/>
    <n v="131.76"/>
    <x v="40"/>
    <n v="10.979999999999999"/>
  </r>
  <r>
    <s v="Luvas"/>
    <x v="64"/>
    <m/>
    <n v="31.7"/>
    <n v="31.7"/>
    <n v="2"/>
    <x v="29"/>
    <x v="20"/>
    <n v="63.4"/>
    <x v="75"/>
    <n v="5.2833333333333332"/>
  </r>
  <r>
    <s v="Camisa manga curta"/>
    <x v="30"/>
    <m/>
    <n v="40.85"/>
    <n v="40.85"/>
    <n v="8"/>
    <x v="29"/>
    <x v="20"/>
    <n v="240.60734426567106"/>
    <x v="32"/>
    <n v="20.050612022139255"/>
  </r>
  <r>
    <s v="Agasalho"/>
    <x v="2"/>
    <m/>
    <n v="95.13"/>
    <n v="95.13"/>
    <n v="1"/>
    <x v="29"/>
    <x v="20"/>
    <n v="60.151836066417765"/>
    <x v="82"/>
    <n v="5.0126530055348137"/>
  </r>
  <r>
    <s v="Óculos"/>
    <x v="10"/>
    <m/>
    <n v="7.67"/>
    <n v="7.67"/>
    <n v="2"/>
    <x v="29"/>
    <x v="20"/>
    <n v="15.34"/>
    <x v="75"/>
    <n v="1.2783333333333333"/>
  </r>
  <r>
    <s v="Vestimenta"/>
    <x v="65"/>
    <m/>
    <n v="33.450000000000003"/>
    <n v="33.450000000000003"/>
    <n v="2"/>
    <x v="29"/>
    <x v="20"/>
    <n v="66.900000000000006"/>
    <x v="75"/>
    <n v="5.5750000000000002"/>
  </r>
  <r>
    <s v="Calçados M/F"/>
    <x v="66"/>
    <m/>
    <n v="91.24"/>
    <n v="91.24"/>
    <n v="2"/>
    <x v="30"/>
    <x v="9"/>
    <n v="1459.84"/>
    <x v="33"/>
    <n v="15.206666666666665"/>
  </r>
  <r>
    <s v="Camisa manga longa"/>
    <x v="49"/>
    <m/>
    <n v="99"/>
    <n v="99"/>
    <n v="10"/>
    <x v="30"/>
    <x v="9"/>
    <n v="2021.1016918316368"/>
    <x v="64"/>
    <n v="24.060734426567105"/>
  </r>
  <r>
    <s v="Blazer M/F"/>
    <x v="50"/>
    <m/>
    <n v="221.5"/>
    <n v="221.5"/>
    <n v="1"/>
    <x v="30"/>
    <x v="9"/>
    <n v="421.06285246492433"/>
    <x v="57"/>
    <n v="5.0126530055348137"/>
  </r>
  <r>
    <s v="Calça Comprida"/>
    <x v="51"/>
    <m/>
    <n v="105"/>
    <n v="105"/>
    <n v="4"/>
    <x v="30"/>
    <x v="9"/>
    <n v="1178.975986901788"/>
    <x v="52"/>
    <n v="14.035428415497476"/>
  </r>
  <r>
    <s v="Quepe"/>
    <x v="67"/>
    <m/>
    <n v="182.23"/>
    <n v="182.23"/>
    <n v="2"/>
    <x v="30"/>
    <x v="9"/>
    <n v="2915.68"/>
    <x v="33"/>
    <n v="30.371666666666666"/>
  </r>
  <r>
    <s v="Calçados M/F"/>
    <x v="54"/>
    <m/>
    <n v="221.63"/>
    <n v="221.63"/>
    <n v="2"/>
    <x v="30"/>
    <x v="9"/>
    <n v="842.12570492984867"/>
    <x v="63"/>
    <n v="10.025306011069627"/>
  </r>
  <r>
    <s v="Avental"/>
    <x v="14"/>
    <m/>
    <n v="90.53"/>
    <n v="90.53"/>
    <n v="1"/>
    <x v="31"/>
    <x v="13"/>
    <n v="1176.8900000000001"/>
    <x v="68"/>
    <n v="7.5441666666666674"/>
  </r>
  <r>
    <s v="Calçados M/F"/>
    <x v="0"/>
    <m/>
    <n v="280.04000000000002"/>
    <n v="280.04000000000002"/>
    <n v="2"/>
    <x v="31"/>
    <x v="13"/>
    <n v="7281.0400000000009"/>
    <x v="66"/>
    <n v="46.673333333333339"/>
  </r>
  <r>
    <s v="Capacete"/>
    <x v="18"/>
    <m/>
    <n v="22.2"/>
    <n v="22.2"/>
    <n v="1"/>
    <x v="31"/>
    <x v="13"/>
    <n v="288.59999999999997"/>
    <x v="68"/>
    <n v="1.8499999999999999"/>
  </r>
  <r>
    <s v="Capuz"/>
    <x v="19"/>
    <m/>
    <n v="64.2"/>
    <n v="64.2"/>
    <n v="1"/>
    <x v="31"/>
    <x v="13"/>
    <n v="834.6"/>
    <x v="68"/>
    <n v="5.35"/>
  </r>
  <r>
    <s v="Cinto"/>
    <x v="20"/>
    <m/>
    <n v="351.15"/>
    <n v="351.15"/>
    <n v="1"/>
    <x v="31"/>
    <x v="13"/>
    <n v="4564.95"/>
    <x v="68"/>
    <n v="29.262499999999996"/>
  </r>
  <r>
    <s v="Protetor"/>
    <x v="21"/>
    <m/>
    <n v="9.6999999999999993"/>
    <n v="9.6999999999999993"/>
    <n v="12"/>
    <x v="31"/>
    <x v="13"/>
    <n v="1513.1999999999998"/>
    <x v="80"/>
    <n v="9.6999999999999993"/>
  </r>
  <r>
    <s v="Calça Comprida"/>
    <x v="1"/>
    <m/>
    <n v="94.82"/>
    <n v="94.82"/>
    <n v="4"/>
    <x v="31"/>
    <x v="13"/>
    <n v="2815.1059279083515"/>
    <x v="65"/>
    <n v="18.045550819925332"/>
  </r>
  <r>
    <s v="Luvas"/>
    <x v="23"/>
    <m/>
    <n v="20.170000000000002"/>
    <n v="20.170000000000002"/>
    <n v="2"/>
    <x v="31"/>
    <x v="13"/>
    <n v="524.42000000000007"/>
    <x v="66"/>
    <n v="3.3616666666666672"/>
  </r>
  <r>
    <s v="Luvas"/>
    <x v="25"/>
    <m/>
    <n v="7.27"/>
    <n v="7.27"/>
    <n v="2"/>
    <x v="31"/>
    <x v="13"/>
    <n v="189.01999999999998"/>
    <x v="66"/>
    <n v="1.2116666666666664"/>
  </r>
  <r>
    <s v="Luvas"/>
    <x v="26"/>
    <m/>
    <n v="6.12"/>
    <n v="6.12"/>
    <n v="12"/>
    <x v="31"/>
    <x v="13"/>
    <n v="954.72"/>
    <x v="80"/>
    <n v="6.12"/>
  </r>
  <r>
    <s v="Luvas"/>
    <x v="27"/>
    <m/>
    <n v="16.38"/>
    <n v="16.38"/>
    <n v="1"/>
    <x v="31"/>
    <x v="13"/>
    <n v="212.94"/>
    <x v="68"/>
    <n v="1.365"/>
  </r>
  <r>
    <s v="Macacão"/>
    <x v="29"/>
    <m/>
    <n v="14.42"/>
    <n v="14.42"/>
    <n v="50"/>
    <x v="31"/>
    <x v="13"/>
    <n v="9373"/>
    <x v="83"/>
    <n v="60.083333333333336"/>
  </r>
  <r>
    <s v="Camisa manga curta"/>
    <x v="30"/>
    <m/>
    <n v="40.85"/>
    <n v="40.85"/>
    <n v="8"/>
    <x v="31"/>
    <x v="13"/>
    <n v="3127.895475453724"/>
    <x v="41"/>
    <n v="20.050612022139259"/>
  </r>
  <r>
    <s v="Jaleco"/>
    <x v="31"/>
    <m/>
    <n v="66.319999999999993"/>
    <n v="66.319999999999993"/>
    <n v="4"/>
    <x v="31"/>
    <x v="13"/>
    <n v="1876.7372852722342"/>
    <x v="65"/>
    <n v="12.030367213283553"/>
  </r>
  <r>
    <s v="Máscara"/>
    <x v="33"/>
    <m/>
    <n v="344.45"/>
    <n v="344.45"/>
    <n v="1"/>
    <x v="31"/>
    <x v="13"/>
    <n v="4477.8499999999995"/>
    <x v="68"/>
    <n v="28.704166666666666"/>
  </r>
  <r>
    <s v="Máscara"/>
    <x v="34"/>
    <m/>
    <n v="2.5"/>
    <n v="2.5"/>
    <n v="40"/>
    <x v="31"/>
    <x v="13"/>
    <n v="1300"/>
    <x v="84"/>
    <n v="8.3333333333333321"/>
  </r>
  <r>
    <s v="Máscara"/>
    <x v="35"/>
    <m/>
    <n v="24.46"/>
    <n v="24.46"/>
    <n v="36"/>
    <x v="31"/>
    <x v="13"/>
    <n v="11447.28"/>
    <x v="85"/>
    <n v="73.38000000000001"/>
  </r>
  <r>
    <s v="Agasalho"/>
    <x v="2"/>
    <m/>
    <n v="95.13"/>
    <n v="95.13"/>
    <n v="1"/>
    <x v="31"/>
    <x v="13"/>
    <n v="781.97386886343099"/>
    <x v="68"/>
    <n v="5.0126530055348146"/>
  </r>
  <r>
    <s v="Óculos"/>
    <x v="10"/>
    <m/>
    <n v="7.67"/>
    <n v="7.67"/>
    <n v="2"/>
    <x v="31"/>
    <x v="13"/>
    <n v="199.42"/>
    <x v="66"/>
    <n v="1.2783333333333333"/>
  </r>
  <r>
    <s v="Perneira"/>
    <x v="36"/>
    <m/>
    <n v="36.26"/>
    <n v="36.26"/>
    <n v="1"/>
    <x v="31"/>
    <x v="13"/>
    <n v="471.38"/>
    <x v="68"/>
    <n v="3.0216666666666665"/>
  </r>
  <r>
    <s v="Protetor"/>
    <x v="37"/>
    <m/>
    <n v="5.14"/>
    <n v="5.14"/>
    <n v="20"/>
    <x v="31"/>
    <x v="13"/>
    <n v="1336.3999999999999"/>
    <x v="86"/>
    <n v="8.5666666666666664"/>
  </r>
  <r>
    <s v="Protetor"/>
    <x v="38"/>
    <m/>
    <n v="59.9"/>
    <n v="59.9"/>
    <n v="4"/>
    <x v="31"/>
    <x v="13"/>
    <n v="3114.7999999999997"/>
    <x v="65"/>
    <n v="19.966666666666665"/>
  </r>
  <r>
    <s v="Protetor"/>
    <x v="39"/>
    <m/>
    <n v="33.17"/>
    <n v="33.17"/>
    <n v="2"/>
    <x v="31"/>
    <x v="13"/>
    <n v="862.42000000000007"/>
    <x v="66"/>
    <n v="5.5283333333333342"/>
  </r>
  <r>
    <s v="Máscara"/>
    <x v="40"/>
    <m/>
    <n v="326.77999999999997"/>
    <n v="326.77999999999997"/>
    <n v="1"/>
    <x v="31"/>
    <x v="13"/>
    <n v="4248.1399999999994"/>
    <x v="68"/>
    <n v="27.231666666666662"/>
  </r>
  <r>
    <s v="Calçados M/F"/>
    <x v="66"/>
    <m/>
    <n v="91.24"/>
    <n v="91.24"/>
    <n v="2"/>
    <x v="32"/>
    <x v="16"/>
    <n v="364.96"/>
    <x v="36"/>
    <n v="15.206666666666665"/>
  </r>
  <r>
    <s v="Camisa manga longa"/>
    <x v="49"/>
    <m/>
    <n v="99"/>
    <n v="99"/>
    <n v="10"/>
    <x v="32"/>
    <x v="16"/>
    <n v="962.42937706268424"/>
    <x v="0"/>
    <n v="40.10122404427851"/>
  </r>
  <r>
    <s v="Blazer M/F"/>
    <x v="50"/>
    <m/>
    <n v="221.5"/>
    <n v="221.5"/>
    <n v="1"/>
    <x v="32"/>
    <x v="16"/>
    <n v="156.39477377268619"/>
    <x v="75"/>
    <n v="6.516448907195258"/>
  </r>
  <r>
    <s v="Calça Comprida"/>
    <x v="51"/>
    <m/>
    <n v="105"/>
    <n v="105"/>
    <n v="4"/>
    <x v="32"/>
    <x v="16"/>
    <n v="336.85028197193947"/>
    <x v="32"/>
    <n v="14.035428415497478"/>
  </r>
  <r>
    <s v="Calçados M/F"/>
    <x v="54"/>
    <m/>
    <n v="221.63"/>
    <n v="221.63"/>
    <n v="2"/>
    <x v="32"/>
    <x v="16"/>
    <n v="288.72881311880525"/>
    <x v="36"/>
    <n v="12.030367213283553"/>
  </r>
  <r>
    <s v="Gravata"/>
    <x v="68"/>
    <m/>
    <n v="40.36"/>
    <n v="40.36"/>
    <n v="2"/>
    <x v="32"/>
    <x v="16"/>
    <n v="101.05508459158185"/>
    <x v="36"/>
    <n v="4.2106285246492439"/>
  </r>
  <r>
    <s v="Calçados M/F"/>
    <x v="66"/>
    <m/>
    <n v="91.24"/>
    <n v="91.24"/>
    <n v="2"/>
    <x v="33"/>
    <x v="20"/>
    <n v="182.48"/>
    <x v="75"/>
    <n v="15.206666666666665"/>
  </r>
  <r>
    <s v="Camisa manga longa"/>
    <x v="49"/>
    <m/>
    <n v="99"/>
    <n v="99"/>
    <n v="10"/>
    <x v="33"/>
    <x v="20"/>
    <n v="481.21468853134212"/>
    <x v="2"/>
    <n v="40.10122404427851"/>
  </r>
  <r>
    <s v="Blazer M/F"/>
    <x v="50"/>
    <m/>
    <n v="221.5"/>
    <n v="221.5"/>
    <n v="1"/>
    <x v="33"/>
    <x v="20"/>
    <n v="78.197386886343097"/>
    <x v="82"/>
    <n v="6.516448907195258"/>
  </r>
  <r>
    <s v="Calça Comprida"/>
    <x v="51"/>
    <m/>
    <n v="105"/>
    <n v="105"/>
    <n v="4"/>
    <x v="33"/>
    <x v="20"/>
    <n v="168.42514098596973"/>
    <x v="36"/>
    <n v="14.035428415497478"/>
  </r>
  <r>
    <s v="Calçados M/F"/>
    <x v="54"/>
    <m/>
    <n v="221.63"/>
    <n v="221.63"/>
    <n v="2"/>
    <x v="33"/>
    <x v="20"/>
    <n v="144.36440655940262"/>
    <x v="75"/>
    <n v="12.030367213283553"/>
  </r>
  <r>
    <s v="Gravata"/>
    <x v="68"/>
    <m/>
    <n v="40.36"/>
    <n v="40.36"/>
    <n v="2"/>
    <x v="33"/>
    <x v="20"/>
    <n v="50.527542295790923"/>
    <x v="75"/>
    <n v="4.2106285246492439"/>
  </r>
  <r>
    <s v="Calçados M/F"/>
    <x v="66"/>
    <m/>
    <n v="91.24"/>
    <n v="91.24"/>
    <n v="2"/>
    <x v="34"/>
    <x v="21"/>
    <n v="29014.32"/>
    <x v="87"/>
    <n v="15.206666666666667"/>
  </r>
  <r>
    <s v="Camisa manga longa"/>
    <x v="49"/>
    <m/>
    <n v="99"/>
    <n v="99"/>
    <n v="10"/>
    <x v="34"/>
    <x v="21"/>
    <n v="75550.706099420713"/>
    <x v="88"/>
    <n v="40.10122404427851"/>
  </r>
  <r>
    <s v="Blazer M/F"/>
    <x v="50"/>
    <m/>
    <n v="221.5"/>
    <n v="221.5"/>
    <n v="1"/>
    <x v="34"/>
    <x v="21"/>
    <n v="12276.989741155867"/>
    <x v="89"/>
    <n v="6.516448907195258"/>
  </r>
  <r>
    <s v="Calça Comprida"/>
    <x v="51"/>
    <m/>
    <n v="105"/>
    <n v="105"/>
    <n v="4"/>
    <x v="34"/>
    <x v="21"/>
    <n v="26442.74713479725"/>
    <x v="90"/>
    <n v="14.035428415497478"/>
  </r>
  <r>
    <s v="Calçados M/F"/>
    <x v="54"/>
    <m/>
    <n v="221.63"/>
    <n v="221.63"/>
    <n v="2"/>
    <x v="34"/>
    <x v="21"/>
    <n v="22665.21182982621"/>
    <x v="91"/>
    <n v="12.030367213283551"/>
  </r>
  <r>
    <s v="Gravata"/>
    <x v="68"/>
    <m/>
    <n v="40.36"/>
    <n v="40.36"/>
    <n v="2"/>
    <x v="34"/>
    <x v="21"/>
    <n v="7932.8241404391747"/>
    <x v="91"/>
    <n v="4.2106285246492439"/>
  </r>
  <r>
    <s v="Calçados M/F"/>
    <x v="66"/>
    <m/>
    <n v="91.24"/>
    <n v="91.24"/>
    <n v="2"/>
    <x v="35"/>
    <x v="13"/>
    <n v="2372.2399999999998"/>
    <x v="66"/>
    <n v="15.206666666666665"/>
  </r>
  <r>
    <s v="Camisa manga longa"/>
    <x v="49"/>
    <m/>
    <n v="99"/>
    <n v="99"/>
    <n v="10"/>
    <x v="35"/>
    <x v="13"/>
    <n v="6255.790950907448"/>
    <x v="92"/>
    <n v="40.101224044278517"/>
  </r>
  <r>
    <s v="Blazer M/F"/>
    <x v="50"/>
    <m/>
    <n v="221.5"/>
    <n v="221.5"/>
    <n v="1"/>
    <x v="35"/>
    <x v="13"/>
    <n v="1016.5660295224602"/>
    <x v="68"/>
    <n v="6.516448907195258"/>
  </r>
  <r>
    <s v="Calça Comprida"/>
    <x v="51"/>
    <m/>
    <n v="105"/>
    <n v="105"/>
    <n v="4"/>
    <x v="35"/>
    <x v="13"/>
    <n v="2189.5268328176066"/>
    <x v="65"/>
    <n v="14.035428415497478"/>
  </r>
  <r>
    <s v="Calçados M/F"/>
    <x v="54"/>
    <m/>
    <n v="221.63"/>
    <n v="221.63"/>
    <n v="2"/>
    <x v="35"/>
    <x v="13"/>
    <n v="1876.7372852722342"/>
    <x v="66"/>
    <n v="12.030367213283553"/>
  </r>
  <r>
    <s v="Gravata"/>
    <x v="68"/>
    <m/>
    <n v="40.36"/>
    <n v="40.36"/>
    <n v="2"/>
    <x v="35"/>
    <x v="13"/>
    <n v="656.85804984528204"/>
    <x v="66"/>
    <n v="4.2106285246492439"/>
  </r>
  <r>
    <s v="Calçados M/F"/>
    <x v="0"/>
    <m/>
    <n v="280.04000000000002"/>
    <n v="280.04000000000002"/>
    <n v="2"/>
    <x v="36"/>
    <x v="5"/>
    <n v="1680.2400000000002"/>
    <x v="22"/>
    <n v="46.673333333333339"/>
  </r>
  <r>
    <s v="Calça Comprida"/>
    <x v="1"/>
    <m/>
    <n v="94.82"/>
    <n v="94.82"/>
    <n v="4"/>
    <x v="36"/>
    <x v="5"/>
    <n v="649.63982951731191"/>
    <x v="23"/>
    <n v="18.045550819925332"/>
  </r>
  <r>
    <s v="Agasalho"/>
    <x v="2"/>
    <m/>
    <n v="95.13"/>
    <n v="95.13"/>
    <n v="1"/>
    <x v="36"/>
    <x v="5"/>
    <n v="180.4555081992533"/>
    <x v="26"/>
    <n v="5.0126530055348137"/>
  </r>
  <r>
    <s v="Camisa manga curta"/>
    <x v="3"/>
    <m/>
    <n v="69.83"/>
    <n v="69.83"/>
    <n v="6"/>
    <x v="36"/>
    <x v="5"/>
    <n v="757.91313443686386"/>
    <x v="30"/>
    <n v="21.05314262324622"/>
  </r>
  <r>
    <s v="Calçados M/F"/>
    <x v="69"/>
    <m/>
    <n v="320.94"/>
    <n v="320.94"/>
    <n v="2"/>
    <x v="37"/>
    <x v="14"/>
    <n v="10911.96"/>
    <x v="93"/>
    <n v="53.489999999999995"/>
  </r>
  <r>
    <s v="Camisa manga longa"/>
    <x v="49"/>
    <m/>
    <n v="99"/>
    <n v="99"/>
    <n v="1"/>
    <x v="37"/>
    <x v="14"/>
    <n v="1683"/>
    <x v="70"/>
    <n v="8.25"/>
  </r>
  <r>
    <s v="Calça Comprida"/>
    <x v="1"/>
    <m/>
    <n v="94.82"/>
    <n v="94.82"/>
    <n v="4"/>
    <x v="37"/>
    <x v="14"/>
    <n v="3681.2923672647671"/>
    <x v="69"/>
    <n v="18.045550819925328"/>
  </r>
  <r>
    <s v="Agasalho"/>
    <x v="2"/>
    <m/>
    <n v="95.13"/>
    <n v="95.13"/>
    <n v="1"/>
    <x v="37"/>
    <x v="14"/>
    <n v="1022.581213129102"/>
    <x v="70"/>
    <n v="5.0126530055348137"/>
  </r>
  <r>
    <s v="Calça Comprida"/>
    <x v="51"/>
    <m/>
    <n v="105"/>
    <n v="105"/>
    <n v="1"/>
    <x v="37"/>
    <x v="14"/>
    <n v="1785"/>
    <x v="70"/>
    <n v="8.75"/>
  </r>
  <r>
    <s v="Camisa manga curta"/>
    <x v="3"/>
    <m/>
    <n v="69.83"/>
    <n v="69.83"/>
    <n v="6"/>
    <x v="37"/>
    <x v="14"/>
    <n v="4294.8410951422284"/>
    <x v="71"/>
    <n v="21.053142623246217"/>
  </r>
  <r>
    <s v="Calçados M/F"/>
    <x v="54"/>
    <m/>
    <n v="221.63"/>
    <n v="221.63"/>
    <n v="1"/>
    <x v="37"/>
    <x v="14"/>
    <n v="1227.0974557549223"/>
    <x v="70"/>
    <n v="6.0151836066417763"/>
  </r>
  <r>
    <s v="Avental"/>
    <x v="14"/>
    <m/>
    <n v="90.53"/>
    <n v="90.53"/>
    <n v="1"/>
    <x v="38"/>
    <x v="7"/>
    <n v="543.18000000000006"/>
    <x v="22"/>
    <n v="7.5441666666666682"/>
  </r>
  <r>
    <s v="Calçados M/F"/>
    <x v="15"/>
    <m/>
    <n v="49.99"/>
    <n v="49.99"/>
    <n v="1"/>
    <x v="38"/>
    <x v="7"/>
    <n v="299.94"/>
    <x v="22"/>
    <n v="4.1658333333333335"/>
  </r>
  <r>
    <s v="Calçados M/F"/>
    <x v="0"/>
    <m/>
    <n v="280.04000000000002"/>
    <n v="280.04000000000002"/>
    <n v="2"/>
    <x v="38"/>
    <x v="7"/>
    <n v="3360.4800000000005"/>
    <x v="23"/>
    <n v="46.673333333333339"/>
  </r>
  <r>
    <s v="Capacete"/>
    <x v="18"/>
    <m/>
    <n v="22.2"/>
    <n v="22.2"/>
    <n v="1"/>
    <x v="38"/>
    <x v="7"/>
    <n v="133.19999999999999"/>
    <x v="22"/>
    <n v="1.8499999999999999"/>
  </r>
  <r>
    <s v="Capuz"/>
    <x v="19"/>
    <m/>
    <n v="64.2"/>
    <n v="64.2"/>
    <n v="1"/>
    <x v="38"/>
    <x v="7"/>
    <n v="385.20000000000005"/>
    <x v="22"/>
    <n v="5.3500000000000005"/>
  </r>
  <r>
    <s v="Cinto"/>
    <x v="20"/>
    <m/>
    <n v="351.15"/>
    <n v="351.15"/>
    <n v="1"/>
    <x v="38"/>
    <x v="7"/>
    <n v="2106.8999999999996"/>
    <x v="22"/>
    <n v="29.262499999999992"/>
  </r>
  <r>
    <s v="Protetor"/>
    <x v="21"/>
    <m/>
    <n v="9.6999999999999993"/>
    <n v="9.6999999999999993"/>
    <n v="12"/>
    <x v="38"/>
    <x v="7"/>
    <n v="698.4"/>
    <x v="28"/>
    <n v="9.6999999999999993"/>
  </r>
  <r>
    <s v="Calça Comprida"/>
    <x v="1"/>
    <m/>
    <n v="94.82"/>
    <n v="94.82"/>
    <n v="4"/>
    <x v="38"/>
    <x v="7"/>
    <n v="866.1864393564158"/>
    <x v="33"/>
    <n v="18.045550819925328"/>
  </r>
  <r>
    <s v="Luvas"/>
    <x v="23"/>
    <m/>
    <n v="20.170000000000002"/>
    <n v="20.170000000000002"/>
    <n v="4"/>
    <x v="38"/>
    <x v="7"/>
    <n v="484.08000000000004"/>
    <x v="40"/>
    <n v="6.7233333333333336"/>
  </r>
  <r>
    <s v="Luvas"/>
    <x v="25"/>
    <m/>
    <n v="7.27"/>
    <n v="7.27"/>
    <n v="2"/>
    <x v="38"/>
    <x v="7"/>
    <n v="87.24"/>
    <x v="23"/>
    <n v="1.2116666666666667"/>
  </r>
  <r>
    <s v="Luvas"/>
    <x v="26"/>
    <m/>
    <n v="6.12"/>
    <n v="6.12"/>
    <n v="6"/>
    <x v="38"/>
    <x v="7"/>
    <n v="220.32"/>
    <x v="29"/>
    <n v="3.06"/>
  </r>
  <r>
    <s v="Luvas"/>
    <x v="27"/>
    <m/>
    <n v="16.38"/>
    <n v="16.38"/>
    <n v="1"/>
    <x v="38"/>
    <x v="7"/>
    <n v="98.28"/>
    <x v="22"/>
    <n v="1.365"/>
  </r>
  <r>
    <s v="Macacão"/>
    <x v="29"/>
    <m/>
    <n v="14.42"/>
    <n v="14.42"/>
    <n v="50"/>
    <x v="38"/>
    <x v="7"/>
    <n v="4326"/>
    <x v="94"/>
    <n v="60.083333333333336"/>
  </r>
  <r>
    <s v="Camisa manga curta"/>
    <x v="30"/>
    <m/>
    <n v="40.85"/>
    <n v="40.85"/>
    <n v="8"/>
    <x v="38"/>
    <x v="7"/>
    <n v="962.42937706268424"/>
    <x v="53"/>
    <n v="20.050612022139255"/>
  </r>
  <r>
    <s v="Jaleco"/>
    <x v="31"/>
    <m/>
    <n v="66.319999999999993"/>
    <n v="66.319999999999993"/>
    <n v="4"/>
    <x v="38"/>
    <x v="7"/>
    <n v="577.4576262376105"/>
    <x v="33"/>
    <n v="12.030367213283553"/>
  </r>
  <r>
    <s v="Máscara"/>
    <x v="33"/>
    <m/>
    <n v="344.45"/>
    <n v="344.45"/>
    <n v="1"/>
    <x v="38"/>
    <x v="7"/>
    <n v="2066.6999999999998"/>
    <x v="22"/>
    <n v="28.704166666666666"/>
  </r>
  <r>
    <s v="Máscara"/>
    <x v="34"/>
    <m/>
    <n v="2.5"/>
    <n v="2.5"/>
    <n v="40"/>
    <x v="38"/>
    <x v="7"/>
    <n v="600"/>
    <x v="58"/>
    <n v="8.3333333333333339"/>
  </r>
  <r>
    <s v="Máscara"/>
    <x v="35"/>
    <m/>
    <n v="24.46"/>
    <n v="24.46"/>
    <n v="20"/>
    <x v="38"/>
    <x v="7"/>
    <n v="2935.2000000000003"/>
    <x v="95"/>
    <n v="40.766666666666673"/>
  </r>
  <r>
    <s v="Agasalho"/>
    <x v="2"/>
    <m/>
    <n v="95.13"/>
    <n v="95.13"/>
    <n v="1"/>
    <x v="38"/>
    <x v="7"/>
    <n v="240.60734426567106"/>
    <x v="36"/>
    <n v="5.0126530055348137"/>
  </r>
  <r>
    <s v="Óculos"/>
    <x v="10"/>
    <m/>
    <n v="7.67"/>
    <n v="7.67"/>
    <n v="2"/>
    <x v="38"/>
    <x v="7"/>
    <n v="92.039999999999992"/>
    <x v="23"/>
    <n v="1.2783333333333331"/>
  </r>
  <r>
    <s v="Perneira"/>
    <x v="36"/>
    <m/>
    <n v="36.26"/>
    <n v="36.26"/>
    <n v="1"/>
    <x v="38"/>
    <x v="7"/>
    <n v="217.56"/>
    <x v="22"/>
    <n v="3.0216666666666665"/>
  </r>
  <r>
    <s v="Protetor"/>
    <x v="38"/>
    <m/>
    <n v="59.9"/>
    <n v="59.9"/>
    <n v="4"/>
    <x v="38"/>
    <x v="7"/>
    <n v="1437.6"/>
    <x v="40"/>
    <n v="19.966666666666665"/>
  </r>
  <r>
    <s v="Máscara"/>
    <x v="40"/>
    <m/>
    <n v="326.77999999999997"/>
    <n v="326.77999999999997"/>
    <n v="1"/>
    <x v="38"/>
    <x v="7"/>
    <n v="1960.6799999999998"/>
    <x v="22"/>
    <n v="27.231666666666666"/>
  </r>
  <r>
    <s v="Avental"/>
    <x v="14"/>
    <m/>
    <n v="90.53"/>
    <n v="90.53"/>
    <n v="1"/>
    <x v="39"/>
    <x v="9"/>
    <n v="724.24"/>
    <x v="32"/>
    <n v="7.5441666666666665"/>
  </r>
  <r>
    <s v="Calçados M/F"/>
    <x v="0"/>
    <m/>
    <n v="280.04000000000002"/>
    <n v="280.04000000000002"/>
    <n v="2"/>
    <x v="39"/>
    <x v="9"/>
    <n v="4480.6400000000003"/>
    <x v="33"/>
    <n v="46.673333333333339"/>
  </r>
  <r>
    <s v="Capacete"/>
    <x v="18"/>
    <m/>
    <n v="22.2"/>
    <n v="22.2"/>
    <n v="1"/>
    <x v="39"/>
    <x v="9"/>
    <n v="177.6"/>
    <x v="32"/>
    <n v="1.8499999999999999"/>
  </r>
  <r>
    <s v="Capuz"/>
    <x v="19"/>
    <m/>
    <n v="64.2"/>
    <n v="64.2"/>
    <n v="1"/>
    <x v="39"/>
    <x v="9"/>
    <n v="513.6"/>
    <x v="32"/>
    <n v="5.3500000000000005"/>
  </r>
  <r>
    <s v="Cinto"/>
    <x v="20"/>
    <m/>
    <n v="351.15"/>
    <n v="351.15"/>
    <n v="1"/>
    <x v="39"/>
    <x v="9"/>
    <n v="2809.2"/>
    <x v="32"/>
    <n v="29.262499999999999"/>
  </r>
  <r>
    <s v="Protetor"/>
    <x v="21"/>
    <m/>
    <n v="9.6999999999999993"/>
    <n v="9.6999999999999993"/>
    <n v="12"/>
    <x v="39"/>
    <x v="9"/>
    <n v="931.19999999999993"/>
    <x v="38"/>
    <n v="9.6999999999999993"/>
  </r>
  <r>
    <s v="Calça Comprida"/>
    <x v="1"/>
    <m/>
    <n v="94.82"/>
    <n v="94.82"/>
    <n v="4"/>
    <x v="39"/>
    <x v="9"/>
    <n v="1299.2796590346238"/>
    <x v="40"/>
    <n v="18.045550819925332"/>
  </r>
  <r>
    <s v="Luvas"/>
    <x v="23"/>
    <m/>
    <n v="20.170000000000002"/>
    <n v="20.170000000000002"/>
    <n v="2"/>
    <x v="39"/>
    <x v="9"/>
    <n v="322.72000000000003"/>
    <x v="33"/>
    <n v="3.3616666666666668"/>
  </r>
  <r>
    <s v="Luvas"/>
    <x v="25"/>
    <m/>
    <n v="7.27"/>
    <n v="7.27"/>
    <n v="2"/>
    <x v="39"/>
    <x v="9"/>
    <n v="116.32"/>
    <x v="33"/>
    <n v="1.2116666666666667"/>
  </r>
  <r>
    <s v="Luvas"/>
    <x v="26"/>
    <m/>
    <n v="6.12"/>
    <n v="6.12"/>
    <n v="4"/>
    <x v="39"/>
    <x v="9"/>
    <n v="195.84"/>
    <x v="53"/>
    <n v="2.04"/>
  </r>
  <r>
    <s v="Luvas"/>
    <x v="27"/>
    <m/>
    <n v="16.38"/>
    <n v="16.38"/>
    <n v="1"/>
    <x v="39"/>
    <x v="9"/>
    <n v="131.04"/>
    <x v="32"/>
    <n v="1.365"/>
  </r>
  <r>
    <s v="Macacão"/>
    <x v="29"/>
    <m/>
    <n v="14.42"/>
    <n v="14.42"/>
    <n v="50"/>
    <x v="39"/>
    <x v="9"/>
    <n v="5768"/>
    <x v="54"/>
    <n v="60.083333333333336"/>
  </r>
  <r>
    <s v="Camisa manga curta"/>
    <x v="30"/>
    <m/>
    <n v="40.85"/>
    <n v="40.85"/>
    <n v="8"/>
    <x v="39"/>
    <x v="9"/>
    <n v="1443.6440655940264"/>
    <x v="39"/>
    <n v="20.050612022139255"/>
  </r>
  <r>
    <s v="Jaleco"/>
    <x v="31"/>
    <m/>
    <n v="66.319999999999993"/>
    <n v="66.319999999999993"/>
    <n v="4"/>
    <x v="39"/>
    <x v="9"/>
    <n v="866.1864393564158"/>
    <x v="40"/>
    <n v="12.030367213283553"/>
  </r>
  <r>
    <s v="Manguito"/>
    <x v="32"/>
    <m/>
    <n v="19.86"/>
    <n v="19.86"/>
    <n v="1"/>
    <x v="39"/>
    <x v="9"/>
    <n v="158.88"/>
    <x v="32"/>
    <n v="1.655"/>
  </r>
  <r>
    <s v="Máscara"/>
    <x v="33"/>
    <m/>
    <n v="344.45"/>
    <n v="344.45"/>
    <n v="1"/>
    <x v="39"/>
    <x v="9"/>
    <n v="2755.6"/>
    <x v="32"/>
    <n v="28.704166666666666"/>
  </r>
  <r>
    <s v="Máscara"/>
    <x v="34"/>
    <m/>
    <n v="2.5"/>
    <n v="2.5"/>
    <n v="40"/>
    <x v="39"/>
    <x v="9"/>
    <n v="800"/>
    <x v="96"/>
    <n v="8.3333333333333339"/>
  </r>
  <r>
    <s v="Máscara"/>
    <x v="35"/>
    <m/>
    <n v="24.46"/>
    <n v="24.46"/>
    <n v="20"/>
    <x v="39"/>
    <x v="9"/>
    <n v="3913.6000000000004"/>
    <x v="49"/>
    <n v="40.766666666666673"/>
  </r>
  <r>
    <s v="Agasalho"/>
    <x v="2"/>
    <m/>
    <n v="95.13"/>
    <n v="95.13"/>
    <n v="1"/>
    <x v="39"/>
    <x v="9"/>
    <n v="360.9110163985066"/>
    <x v="22"/>
    <n v="5.0126530055348137"/>
  </r>
  <r>
    <s v="Óculos"/>
    <x v="10"/>
    <m/>
    <n v="7.67"/>
    <n v="7.67"/>
    <n v="2"/>
    <x v="39"/>
    <x v="9"/>
    <n v="122.72"/>
    <x v="33"/>
    <n v="1.2783333333333333"/>
  </r>
  <r>
    <s v="Perneira"/>
    <x v="36"/>
    <m/>
    <n v="36.26"/>
    <n v="36.26"/>
    <n v="1"/>
    <x v="39"/>
    <x v="9"/>
    <n v="290.08"/>
    <x v="32"/>
    <n v="3.0216666666666665"/>
  </r>
  <r>
    <s v="Protetor"/>
    <x v="37"/>
    <m/>
    <n v="5.14"/>
    <n v="5.14"/>
    <n v="10"/>
    <x v="39"/>
    <x v="9"/>
    <n v="411.2"/>
    <x v="46"/>
    <n v="4.2833333333333332"/>
  </r>
  <r>
    <s v="Protetor"/>
    <x v="39"/>
    <m/>
    <n v="33.17"/>
    <n v="33.17"/>
    <n v="2"/>
    <x v="39"/>
    <x v="9"/>
    <n v="530.72"/>
    <x v="33"/>
    <n v="5.5283333333333333"/>
  </r>
  <r>
    <s v="Máscara"/>
    <x v="40"/>
    <m/>
    <n v="326.77999999999997"/>
    <n v="326.77999999999997"/>
    <n v="1"/>
    <x v="39"/>
    <x v="9"/>
    <n v="2614.2399999999998"/>
    <x v="32"/>
    <n v="27.231666666666666"/>
  </r>
  <r>
    <s v="Camisa manga curta"/>
    <x v="49"/>
    <m/>
    <n v="99"/>
    <n v="99"/>
    <n v="6"/>
    <x v="40"/>
    <x v="22"/>
    <n v="11549.15252475221"/>
    <x v="58"/>
    <n v="24.060734426567102"/>
  </r>
  <r>
    <s v="Blazer M/F"/>
    <x v="50"/>
    <m/>
    <n v="221.5"/>
    <n v="221.5"/>
    <n v="1"/>
    <x v="40"/>
    <x v="22"/>
    <n v="3127.895475453724"/>
    <x v="1"/>
    <n v="6.5164489071952589"/>
  </r>
  <r>
    <s v="Calça Comprida"/>
    <x v="51"/>
    <m/>
    <n v="105"/>
    <n v="105"/>
    <n v="4"/>
    <x v="40"/>
    <x v="22"/>
    <n v="6737.0056394387893"/>
    <x v="49"/>
    <n v="14.035428415497478"/>
  </r>
  <r>
    <s v="Calçados M/F"/>
    <x v="54"/>
    <m/>
    <n v="221.63"/>
    <n v="221.63"/>
    <n v="2"/>
    <x v="40"/>
    <x v="22"/>
    <n v="5774.5762623761048"/>
    <x v="46"/>
    <n v="12.030367213283551"/>
  </r>
  <r>
    <s v="Camisa manga curta"/>
    <x v="49"/>
    <m/>
    <n v="99"/>
    <n v="99"/>
    <n v="6"/>
    <x v="41"/>
    <x v="23"/>
    <n v="12704.06777722743"/>
    <x v="45"/>
    <n v="24.060734426567102"/>
  </r>
  <r>
    <s v="Blazer M/F"/>
    <x v="50"/>
    <m/>
    <n v="221.5"/>
    <n v="221.5"/>
    <n v="1"/>
    <x v="41"/>
    <x v="23"/>
    <n v="3440.6850229990964"/>
    <x v="43"/>
    <n v="6.516448907195258"/>
  </r>
  <r>
    <s v="Calça Comprida"/>
    <x v="51"/>
    <m/>
    <n v="105"/>
    <n v="105"/>
    <n v="4"/>
    <x v="41"/>
    <x v="23"/>
    <n v="7410.7062033826678"/>
    <x v="97"/>
    <n v="14.035428415497478"/>
  </r>
  <r>
    <s v="Calçados M/F"/>
    <x v="54"/>
    <m/>
    <n v="221.63"/>
    <n v="221.63"/>
    <n v="2"/>
    <x v="41"/>
    <x v="23"/>
    <n v="6352.0338886137151"/>
    <x v="44"/>
    <n v="12.030367213283551"/>
  </r>
  <r>
    <s v="Camisa manga curta"/>
    <x v="49"/>
    <m/>
    <n v="99"/>
    <n v="99"/>
    <n v="6"/>
    <x v="42"/>
    <x v="24"/>
    <n v="20499.745731435174"/>
    <x v="98"/>
    <n v="24.060734426567105"/>
  </r>
  <r>
    <s v="Blazer M/F"/>
    <x v="50"/>
    <m/>
    <n v="221.5"/>
    <n v="221.5"/>
    <n v="1"/>
    <x v="42"/>
    <x v="24"/>
    <n v="5552.0144689303597"/>
    <x v="99"/>
    <n v="6.516448907195258"/>
  </r>
  <r>
    <s v="Calça Comprida"/>
    <x v="51"/>
    <m/>
    <n v="105"/>
    <n v="105"/>
    <n v="4"/>
    <x v="42"/>
    <x v="24"/>
    <n v="11958.185010003852"/>
    <x v="100"/>
    <n v="14.035428415497478"/>
  </r>
  <r>
    <s v="Calçados M/F"/>
    <x v="54"/>
    <m/>
    <n v="221.63"/>
    <n v="221.63"/>
    <n v="2"/>
    <x v="42"/>
    <x v="24"/>
    <n v="10249.872865717587"/>
    <x v="101"/>
    <n v="12.030367213283553"/>
  </r>
  <r>
    <s v="Camisa manga curta"/>
    <x v="49"/>
    <m/>
    <n v="99"/>
    <n v="99"/>
    <n v="6"/>
    <x v="43"/>
    <x v="25"/>
    <n v="7506.9491410889368"/>
    <x v="80"/>
    <n v="24.060734426567105"/>
  </r>
  <r>
    <s v="Blazer M/F"/>
    <x v="50"/>
    <m/>
    <n v="221.5"/>
    <n v="221.5"/>
    <n v="1"/>
    <x v="43"/>
    <x v="25"/>
    <n v="2033.1320590449204"/>
    <x v="66"/>
    <n v="6.516448907195258"/>
  </r>
  <r>
    <s v="Calça Comprida"/>
    <x v="51"/>
    <m/>
    <n v="105"/>
    <n v="105"/>
    <n v="4"/>
    <x v="43"/>
    <x v="25"/>
    <n v="4379.0536656352133"/>
    <x v="41"/>
    <n v="14.035428415497478"/>
  </r>
  <r>
    <s v="Calçados M/F"/>
    <x v="54"/>
    <m/>
    <n v="221.63"/>
    <n v="221.63"/>
    <n v="2"/>
    <x v="43"/>
    <x v="25"/>
    <n v="3753.4745705444684"/>
    <x v="65"/>
    <n v="12.030367213283553"/>
  </r>
  <r>
    <s v="Camisa manga curta"/>
    <x v="49"/>
    <m/>
    <n v="99"/>
    <n v="99"/>
    <n v="6"/>
    <x v="44"/>
    <x v="26"/>
    <n v="64386.525325493567"/>
    <x v="102"/>
    <n v="24.060734426567105"/>
  </r>
  <r>
    <s v="Blazer M/F"/>
    <x v="50"/>
    <m/>
    <n v="221.5"/>
    <n v="221.5"/>
    <n v="1"/>
    <x v="44"/>
    <x v="26"/>
    <n v="17438.017275654511"/>
    <x v="103"/>
    <n v="6.516448907195258"/>
  </r>
  <r>
    <s v="Calça Comprida"/>
    <x v="51"/>
    <m/>
    <n v="105"/>
    <n v="105"/>
    <n v="4"/>
    <x v="44"/>
    <x v="26"/>
    <n v="37558.806439871252"/>
    <x v="104"/>
    <n v="14.035428415497478"/>
  </r>
  <r>
    <s v="Calçados M/F"/>
    <x v="54"/>
    <m/>
    <n v="221.63"/>
    <n v="221.63"/>
    <n v="2"/>
    <x v="44"/>
    <x v="26"/>
    <n v="32193.262662746783"/>
    <x v="105"/>
    <n v="12.030367213283553"/>
  </r>
  <r>
    <s v="Calçados M/F"/>
    <x v="0"/>
    <m/>
    <n v="280.04000000000002"/>
    <n v="280.04000000000002"/>
    <n v="2"/>
    <x v="45"/>
    <x v="6"/>
    <n v="2240.3200000000002"/>
    <x v="32"/>
    <n v="46.673333333333339"/>
  </r>
  <r>
    <s v="Calça Comprida"/>
    <x v="1"/>
    <m/>
    <n v="94.82"/>
    <n v="94.82"/>
    <n v="4"/>
    <x v="45"/>
    <x v="6"/>
    <n v="866.1864393564158"/>
    <x v="33"/>
    <n v="18.045550819925328"/>
  </r>
  <r>
    <s v="Agasalho"/>
    <x v="2"/>
    <m/>
    <n v="95.13"/>
    <n v="95.13"/>
    <n v="1"/>
    <x v="45"/>
    <x v="6"/>
    <n v="240.60734426567106"/>
    <x v="36"/>
    <n v="5.0126530055348137"/>
  </r>
  <r>
    <s v="Camisa manga curta"/>
    <x v="3"/>
    <m/>
    <n v="69.83"/>
    <n v="69.83"/>
    <n v="6"/>
    <x v="45"/>
    <x v="6"/>
    <n v="1010.5508459158184"/>
    <x v="40"/>
    <n v="21.053142623246217"/>
  </r>
  <r>
    <s v="Calçados M/F"/>
    <x v="0"/>
    <m/>
    <n v="280.04000000000002"/>
    <n v="280.04000000000002"/>
    <n v="2"/>
    <x v="46"/>
    <x v="6"/>
    <n v="2240.3200000000002"/>
    <x v="32"/>
    <n v="46.673333333333339"/>
  </r>
  <r>
    <s v="Calça Comprida"/>
    <x v="1"/>
    <m/>
    <n v="94.82"/>
    <n v="94.82"/>
    <n v="4"/>
    <x v="46"/>
    <x v="6"/>
    <n v="866.1864393564158"/>
    <x v="33"/>
    <n v="18.045550819925328"/>
  </r>
  <r>
    <s v="Agasalho"/>
    <x v="2"/>
    <m/>
    <n v="95.13"/>
    <n v="95.13"/>
    <n v="1"/>
    <x v="46"/>
    <x v="6"/>
    <n v="240.60734426567106"/>
    <x v="36"/>
    <n v="5.0126530055348137"/>
  </r>
  <r>
    <s v="Camisa manga curta"/>
    <x v="3"/>
    <m/>
    <n v="69.83"/>
    <n v="69.83"/>
    <n v="6"/>
    <x v="46"/>
    <x v="6"/>
    <n v="1010.5508459158184"/>
    <x v="40"/>
    <n v="21.053142623246217"/>
  </r>
  <r>
    <s v="Calçados M/F"/>
    <x v="0"/>
    <m/>
    <n v="280.04000000000002"/>
    <n v="280.04000000000002"/>
    <n v="2"/>
    <x v="47"/>
    <x v="20"/>
    <n v="560.08000000000004"/>
    <x v="75"/>
    <n v="46.673333333333339"/>
  </r>
  <r>
    <s v="Calça Comprida"/>
    <x v="1"/>
    <m/>
    <n v="94.82"/>
    <n v="94.82"/>
    <n v="4"/>
    <x v="47"/>
    <x v="20"/>
    <n v="433.0932196782079"/>
    <x v="32"/>
    <n v="18.045550819925328"/>
  </r>
  <r>
    <s v="Agasalho"/>
    <x v="2"/>
    <m/>
    <n v="95.13"/>
    <n v="95.13"/>
    <n v="1"/>
    <x v="47"/>
    <x v="20"/>
    <n v="120.30367213283553"/>
    <x v="75"/>
    <n v="5.0126530055348137"/>
  </r>
  <r>
    <s v="Camisa manga curta"/>
    <x v="3"/>
    <m/>
    <n v="69.83"/>
    <n v="69.83"/>
    <n v="6"/>
    <x v="47"/>
    <x v="20"/>
    <n v="505.2754229579092"/>
    <x v="23"/>
    <n v="21.053142623246217"/>
  </r>
  <r>
    <s v="Calçados M/F"/>
    <x v="0"/>
    <m/>
    <n v="280.04000000000002"/>
    <n v="280.04000000000002"/>
    <n v="2"/>
    <x v="48"/>
    <x v="16"/>
    <n v="1120.1600000000001"/>
    <x v="36"/>
    <n v="46.673333333333339"/>
  </r>
  <r>
    <s v="Calça Comprida"/>
    <x v="1"/>
    <m/>
    <n v="94.82"/>
    <n v="94.82"/>
    <n v="4"/>
    <x v="48"/>
    <x v="16"/>
    <n v="433.0932196782079"/>
    <x v="32"/>
    <n v="18.045550819925328"/>
  </r>
  <r>
    <s v="Agasalho"/>
    <x v="2"/>
    <m/>
    <n v="95.13"/>
    <n v="95.13"/>
    <n v="1"/>
    <x v="48"/>
    <x v="16"/>
    <n v="120.30367213283553"/>
    <x v="75"/>
    <n v="5.0126530055348137"/>
  </r>
  <r>
    <s v="Camisa manga curta"/>
    <x v="3"/>
    <m/>
    <n v="69.83"/>
    <n v="69.83"/>
    <n v="6"/>
    <x v="48"/>
    <x v="16"/>
    <n v="505.2754229579092"/>
    <x v="23"/>
    <n v="21.053142623246217"/>
  </r>
  <r>
    <s v="Calçados M/F"/>
    <x v="0"/>
    <m/>
    <n v="280.04000000000002"/>
    <n v="280.04000000000002"/>
    <n v="2"/>
    <x v="49"/>
    <x v="9"/>
    <n v="4480.6400000000003"/>
    <x v="33"/>
    <n v="46.673333333333339"/>
  </r>
  <r>
    <s v="Calça Comprida"/>
    <x v="1"/>
    <m/>
    <n v="94.82"/>
    <n v="94.82"/>
    <n v="4"/>
    <x v="49"/>
    <x v="9"/>
    <n v="1732.3728787128316"/>
    <x v="53"/>
    <n v="18.045550819925328"/>
  </r>
  <r>
    <s v="Agasalho"/>
    <x v="2"/>
    <m/>
    <n v="95.13"/>
    <n v="95.13"/>
    <n v="1"/>
    <x v="49"/>
    <x v="9"/>
    <n v="481.21468853134212"/>
    <x v="32"/>
    <n v="5.0126530055348137"/>
  </r>
  <r>
    <s v="Camisa manga curta"/>
    <x v="3"/>
    <m/>
    <n v="69.83"/>
    <n v="69.83"/>
    <n v="6"/>
    <x v="49"/>
    <x v="9"/>
    <n v="2021.1016918316368"/>
    <x v="39"/>
    <n v="21.053142623246217"/>
  </r>
  <r>
    <s v="Calçados M/F"/>
    <x v="0"/>
    <m/>
    <n v="280.04000000000002"/>
    <n v="280.04000000000002"/>
    <n v="2"/>
    <x v="50"/>
    <x v="27"/>
    <n v="12881.84"/>
    <x v="106"/>
    <n v="46.673333333333332"/>
  </r>
  <r>
    <s v="Calçados M/F"/>
    <x v="69"/>
    <m/>
    <n v="320.94"/>
    <n v="320.94"/>
    <n v="2"/>
    <x v="50"/>
    <x v="27"/>
    <n v="14763.24"/>
    <x v="106"/>
    <n v="53.49"/>
  </r>
  <r>
    <s v="Capacete"/>
    <x v="18"/>
    <m/>
    <n v="22.2"/>
    <n v="22.2"/>
    <n v="1"/>
    <x v="50"/>
    <x v="27"/>
    <n v="510.59999999999997"/>
    <x v="107"/>
    <n v="1.8499999999999999"/>
  </r>
  <r>
    <s v="Cinto"/>
    <x v="20"/>
    <m/>
    <n v="351.15"/>
    <n v="351.15"/>
    <n v="1"/>
    <x v="50"/>
    <x v="27"/>
    <n v="8076.45"/>
    <x v="107"/>
    <n v="29.262499999999999"/>
  </r>
  <r>
    <s v="Calça Comprida"/>
    <x v="1"/>
    <m/>
    <n v="94.82"/>
    <n v="94.82"/>
    <n v="4"/>
    <x v="50"/>
    <x v="27"/>
    <n v="4980.5720262993909"/>
    <x v="108"/>
    <n v="18.045550819925328"/>
  </r>
  <r>
    <s v="Agasalho"/>
    <x v="2"/>
    <m/>
    <n v="95.13"/>
    <n v="95.13"/>
    <n v="1"/>
    <x v="50"/>
    <x v="27"/>
    <n v="1383.4922295276085"/>
    <x v="107"/>
    <n v="5.0126530055348137"/>
  </r>
  <r>
    <s v="Óculos"/>
    <x v="10"/>
    <m/>
    <n v="7.67"/>
    <n v="7.67"/>
    <n v="2"/>
    <x v="50"/>
    <x v="27"/>
    <n v="352.82"/>
    <x v="106"/>
    <n v="1.2783333333333333"/>
  </r>
  <r>
    <s v="Camisa manga curta"/>
    <x v="3"/>
    <m/>
    <n v="69.83"/>
    <n v="69.83"/>
    <n v="6"/>
    <x v="50"/>
    <x v="27"/>
    <n v="5810.6673640159561"/>
    <x v="109"/>
    <n v="21.05314262324622"/>
  </r>
  <r>
    <s v="Protetor"/>
    <x v="37"/>
    <m/>
    <n v="5.14"/>
    <n v="5.14"/>
    <n v="4"/>
    <x v="50"/>
    <x v="27"/>
    <n v="472.88"/>
    <x v="108"/>
    <n v="1.7133333333333334"/>
  </r>
  <r>
    <s v="Calçados M/F"/>
    <x v="0"/>
    <m/>
    <n v="280.04000000000002"/>
    <n v="280.04000000000002"/>
    <n v="2"/>
    <x v="51"/>
    <x v="7"/>
    <n v="3360.4800000000005"/>
    <x v="23"/>
    <n v="46.673333333333339"/>
  </r>
  <r>
    <s v="Calçados M/F"/>
    <x v="69"/>
    <m/>
    <n v="320.94"/>
    <n v="320.94"/>
    <n v="2"/>
    <x v="51"/>
    <x v="7"/>
    <n v="3851.2799999999997"/>
    <x v="23"/>
    <n v="53.49"/>
  </r>
  <r>
    <s v="Capacete"/>
    <x v="18"/>
    <m/>
    <n v="22.2"/>
    <n v="22.2"/>
    <n v="1"/>
    <x v="51"/>
    <x v="7"/>
    <n v="133.19999999999999"/>
    <x v="22"/>
    <n v="1.8499999999999999"/>
  </r>
  <r>
    <s v="Cinto"/>
    <x v="20"/>
    <m/>
    <n v="351.15"/>
    <n v="351.15"/>
    <n v="1"/>
    <x v="51"/>
    <x v="7"/>
    <n v="2106.8999999999996"/>
    <x v="22"/>
    <n v="29.262499999999992"/>
  </r>
  <r>
    <s v="Calça Comprida"/>
    <x v="1"/>
    <m/>
    <n v="94.82"/>
    <n v="94.82"/>
    <n v="4"/>
    <x v="51"/>
    <x v="7"/>
    <n v="1082.7330491955197"/>
    <x v="0"/>
    <n v="18.045550819925328"/>
  </r>
  <r>
    <s v="Agasalho"/>
    <x v="2"/>
    <m/>
    <n v="95.13"/>
    <n v="95.13"/>
    <n v="1"/>
    <x v="51"/>
    <x v="7"/>
    <n v="300.75918033208882"/>
    <x v="77"/>
    <n v="5.0126530055348137"/>
  </r>
  <r>
    <s v="Camisa manga curta"/>
    <x v="3"/>
    <m/>
    <n v="69.83"/>
    <n v="69.83"/>
    <n v="6"/>
    <x v="51"/>
    <x v="7"/>
    <n v="1263.1885573947729"/>
    <x v="76"/>
    <n v="21.053142623246217"/>
  </r>
  <r>
    <s v="Calçados M/F"/>
    <x v="0"/>
    <m/>
    <n v="280.04000000000002"/>
    <n v="280.04000000000002"/>
    <n v="2"/>
    <x v="52"/>
    <x v="16"/>
    <n v="1120.1600000000001"/>
    <x v="36"/>
    <n v="46.673333333333339"/>
  </r>
  <r>
    <s v="Calça Comprida"/>
    <x v="1"/>
    <m/>
    <n v="94.82"/>
    <n v="94.82"/>
    <n v="4"/>
    <x v="52"/>
    <x v="16"/>
    <n v="433.0932196782079"/>
    <x v="32"/>
    <n v="18.045550819925328"/>
  </r>
  <r>
    <s v="Agasalho"/>
    <x v="2"/>
    <m/>
    <n v="95.13"/>
    <n v="95.13"/>
    <n v="1"/>
    <x v="52"/>
    <x v="16"/>
    <n v="120.30367213283553"/>
    <x v="75"/>
    <n v="5.0126530055348137"/>
  </r>
  <r>
    <s v="Camisa manga curta"/>
    <x v="3"/>
    <m/>
    <n v="69.83"/>
    <n v="69.83"/>
    <n v="6"/>
    <x v="52"/>
    <x v="16"/>
    <n v="505.2754229579092"/>
    <x v="23"/>
    <n v="21.053142623246217"/>
  </r>
  <r>
    <s v="Calçados M/F"/>
    <x v="0"/>
    <m/>
    <n v="280.04000000000002"/>
    <n v="280.04000000000002"/>
    <n v="2"/>
    <x v="53"/>
    <x v="16"/>
    <n v="1120.1600000000001"/>
    <x v="36"/>
    <n v="46.673333333333339"/>
  </r>
  <r>
    <s v="Calça Comprida"/>
    <x v="1"/>
    <m/>
    <n v="94.82"/>
    <n v="94.82"/>
    <n v="4"/>
    <x v="53"/>
    <x v="16"/>
    <n v="433.0932196782079"/>
    <x v="32"/>
    <n v="18.045550819925328"/>
  </r>
  <r>
    <s v="Agasalho"/>
    <x v="2"/>
    <m/>
    <n v="95.13"/>
    <n v="95.13"/>
    <n v="1"/>
    <x v="53"/>
    <x v="16"/>
    <n v="120.30367213283553"/>
    <x v="75"/>
    <n v="5.0126530055348137"/>
  </r>
  <r>
    <s v="Camisa manga curta"/>
    <x v="3"/>
    <m/>
    <n v="69.83"/>
    <n v="69.83"/>
    <n v="6"/>
    <x v="53"/>
    <x v="16"/>
    <n v="505.2754229579092"/>
    <x v="23"/>
    <n v="21.053142623246217"/>
  </r>
  <r>
    <s v="Calçados M/F"/>
    <x v="0"/>
    <m/>
    <n v="280.04000000000002"/>
    <n v="280.04000000000002"/>
    <n v="2"/>
    <x v="54"/>
    <x v="28"/>
    <n v="19042.72"/>
    <x v="69"/>
    <n v="46.673333333333339"/>
  </r>
  <r>
    <s v="Calça Comprida"/>
    <x v="1"/>
    <m/>
    <n v="94.82"/>
    <n v="94.82"/>
    <n v="4"/>
    <x v="54"/>
    <x v="28"/>
    <n v="7362.5847345295342"/>
    <x v="73"/>
    <n v="18.045550819925328"/>
  </r>
  <r>
    <s v="Agasalho"/>
    <x v="2"/>
    <m/>
    <n v="95.13"/>
    <n v="95.13"/>
    <n v="1"/>
    <x v="54"/>
    <x v="28"/>
    <n v="2045.1624262582041"/>
    <x v="93"/>
    <n v="5.0126530055348137"/>
  </r>
  <r>
    <s v="Camisa manga curta"/>
    <x v="3"/>
    <m/>
    <n v="69.83"/>
    <n v="69.83"/>
    <n v="6"/>
    <x v="54"/>
    <x v="28"/>
    <n v="8589.6821902844567"/>
    <x v="110"/>
    <n v="21.053142623246217"/>
  </r>
  <r>
    <s v="Calçados M/F"/>
    <x v="0"/>
    <m/>
    <n v="280.04000000000002"/>
    <n v="280.04000000000002"/>
    <n v="2"/>
    <x v="55"/>
    <x v="17"/>
    <n v="2800.4"/>
    <x v="2"/>
    <n v="46.673333333333332"/>
  </r>
  <r>
    <s v="Calçados M/F"/>
    <x v="69"/>
    <m/>
    <n v="320.94"/>
    <n v="320.94"/>
    <n v="2"/>
    <x v="55"/>
    <x v="17"/>
    <n v="3209.4"/>
    <x v="2"/>
    <n v="53.489999999999995"/>
  </r>
  <r>
    <s v="Capacete"/>
    <x v="18"/>
    <m/>
    <n v="22.2"/>
    <n v="22.2"/>
    <n v="1"/>
    <x v="55"/>
    <x v="17"/>
    <n v="111"/>
    <x v="77"/>
    <n v="1.85"/>
  </r>
  <r>
    <s v="Cinto"/>
    <x v="20"/>
    <m/>
    <n v="351.15"/>
    <n v="351.15"/>
    <n v="1"/>
    <x v="55"/>
    <x v="17"/>
    <n v="1755.75"/>
    <x v="77"/>
    <n v="29.262499999999999"/>
  </r>
  <r>
    <s v="Calça Comprida"/>
    <x v="1"/>
    <m/>
    <n v="94.82"/>
    <n v="94.82"/>
    <n v="4"/>
    <x v="55"/>
    <x v="17"/>
    <n v="1082.7330491955197"/>
    <x v="0"/>
    <n v="18.045550819925328"/>
  </r>
  <r>
    <s v="Agasalho"/>
    <x v="2"/>
    <m/>
    <n v="95.13"/>
    <n v="95.13"/>
    <n v="1"/>
    <x v="55"/>
    <x v="17"/>
    <n v="300.75918033208882"/>
    <x v="77"/>
    <n v="5.0126530055348137"/>
  </r>
  <r>
    <s v="Camisa manga curta"/>
    <x v="3"/>
    <m/>
    <n v="69.83"/>
    <n v="69.83"/>
    <n v="6"/>
    <x v="55"/>
    <x v="17"/>
    <n v="1263.1885573947729"/>
    <x v="76"/>
    <n v="21.053142623246217"/>
  </r>
  <r>
    <s v="Calçados M/F"/>
    <x v="0"/>
    <m/>
    <n v="280.04000000000002"/>
    <n v="280.04000000000002"/>
    <n v="2"/>
    <x v="56"/>
    <x v="29"/>
    <n v="16802.400000000001"/>
    <x v="3"/>
    <n v="46.673333333333332"/>
  </r>
  <r>
    <s v="Calça Comprida"/>
    <x v="1"/>
    <m/>
    <n v="94.82"/>
    <n v="94.82"/>
    <n v="4"/>
    <x v="56"/>
    <x v="29"/>
    <n v="6496.3982951731186"/>
    <x v="95"/>
    <n v="18.045550819925328"/>
  </r>
  <r>
    <s v="Agasalho"/>
    <x v="2"/>
    <m/>
    <n v="95.13"/>
    <n v="95.13"/>
    <n v="1"/>
    <x v="56"/>
    <x v="29"/>
    <n v="1804.5550819925329"/>
    <x v="76"/>
    <n v="5.0126530055348137"/>
  </r>
  <r>
    <s v="Camisa manga curta"/>
    <x v="3"/>
    <m/>
    <n v="69.83"/>
    <n v="69.83"/>
    <n v="6"/>
    <x v="56"/>
    <x v="29"/>
    <n v="7579.1313443686377"/>
    <x v="74"/>
    <n v="21.053142623246217"/>
  </r>
  <r>
    <s v="Calçados M/F"/>
    <x v="0"/>
    <m/>
    <n v="280.04000000000002"/>
    <n v="280.04000000000002"/>
    <n v="2"/>
    <x v="57"/>
    <x v="29"/>
    <n v="16802.400000000001"/>
    <x v="3"/>
    <n v="46.673333333333332"/>
  </r>
  <r>
    <s v="Calça Comprida"/>
    <x v="1"/>
    <m/>
    <n v="94.82"/>
    <n v="94.82"/>
    <n v="4"/>
    <x v="57"/>
    <x v="29"/>
    <n v="6496.3982951731186"/>
    <x v="95"/>
    <n v="18.045550819925328"/>
  </r>
  <r>
    <s v="Agasalho"/>
    <x v="2"/>
    <m/>
    <n v="95.13"/>
    <n v="95.13"/>
    <n v="1"/>
    <x v="57"/>
    <x v="29"/>
    <n v="1804.5550819925329"/>
    <x v="76"/>
    <n v="5.0126530055348137"/>
  </r>
  <r>
    <s v="Camisa manga curta"/>
    <x v="3"/>
    <m/>
    <n v="69.83"/>
    <n v="69.83"/>
    <n v="6"/>
    <x v="57"/>
    <x v="29"/>
    <n v="7579.1313443686377"/>
    <x v="74"/>
    <n v="21.053142623246217"/>
  </r>
  <r>
    <s v="Calçados M/F"/>
    <x v="0"/>
    <m/>
    <n v="280.04000000000002"/>
    <n v="280.04000000000002"/>
    <n v="2"/>
    <x v="58"/>
    <x v="30"/>
    <n v="13441.920000000002"/>
    <x v="39"/>
    <n v="46.673333333333339"/>
  </r>
  <r>
    <s v="Calça Comprida"/>
    <x v="1"/>
    <m/>
    <n v="94.82"/>
    <n v="94.82"/>
    <n v="4"/>
    <x v="58"/>
    <x v="30"/>
    <n v="5197.1186361384953"/>
    <x v="38"/>
    <n v="18.045550819925332"/>
  </r>
  <r>
    <s v="Agasalho"/>
    <x v="2"/>
    <m/>
    <n v="95.13"/>
    <n v="95.13"/>
    <n v="1"/>
    <x v="58"/>
    <x v="30"/>
    <n v="1443.6440655940264"/>
    <x v="40"/>
    <n v="5.0126530055348137"/>
  </r>
  <r>
    <s v="Camisa manga curta"/>
    <x v="3"/>
    <m/>
    <n v="69.83"/>
    <n v="69.83"/>
    <n v="6"/>
    <x v="58"/>
    <x v="30"/>
    <n v="6063.3050754949109"/>
    <x v="111"/>
    <n v="21.05314262324622"/>
  </r>
  <r>
    <s v="Camisa manga curta"/>
    <x v="49"/>
    <m/>
    <n v="99"/>
    <n v="99"/>
    <n v="4"/>
    <x v="59"/>
    <x v="6"/>
    <n v="769.94350165014737"/>
    <x v="33"/>
    <n v="16.040489617711405"/>
  </r>
  <r>
    <s v="Blazer M/F"/>
    <x v="50"/>
    <m/>
    <n v="221.5"/>
    <n v="221.5"/>
    <n v="1"/>
    <x v="59"/>
    <x v="6"/>
    <n v="312.78954754537239"/>
    <x v="36"/>
    <n v="6.516448907195258"/>
  </r>
  <r>
    <s v="Calça Comprida"/>
    <x v="51"/>
    <m/>
    <n v="105"/>
    <n v="105"/>
    <n v="4"/>
    <x v="59"/>
    <x v="6"/>
    <n v="673.70056394387893"/>
    <x v="33"/>
    <n v="14.035428415497478"/>
  </r>
  <r>
    <s v="Calçados M/F"/>
    <x v="54"/>
    <m/>
    <n v="221.63"/>
    <n v="221.63"/>
    <n v="1"/>
    <x v="59"/>
    <x v="6"/>
    <n v="288.72881311880525"/>
    <x v="36"/>
    <n v="6.0151836066417763"/>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38">
  <r>
    <s v="1.003.26"/>
    <x v="0"/>
    <x v="0"/>
    <s v="Fethemg Interior"/>
    <s v="Apoio"/>
    <x v="0"/>
    <n v="1"/>
    <n v="0"/>
    <n v="1043.7162000000001"/>
    <n v="0"/>
    <n v="303.60000000000002"/>
    <n v="0"/>
    <n v="0"/>
    <n v="0"/>
    <n v="0"/>
    <n v="0"/>
    <n v="1347.3162000000002"/>
    <n v="269.46324000000004"/>
    <n v="20.209743000000003"/>
    <n v="13.473162000000002"/>
    <n v="2.6946324000000006"/>
    <n v="33.682905000000005"/>
    <n v="107.78529600000002"/>
    <n v="53.892648000000008"/>
    <n v="8.0838972000000009"/>
    <n v="509.28552360000009"/>
    <n v="112.27635000000001"/>
    <n v="149.70180000000002"/>
    <n v="99.02774070000001"/>
    <n v="361.00589070000001"/>
    <n v="193.377028"/>
    <n v="582"/>
    <n v="0"/>
    <n v="0"/>
    <n v="15.07"/>
    <n v="0"/>
    <n v="3.36"/>
    <n v="0"/>
    <n v="793.80702800000006"/>
    <n v="1664.0984423"/>
    <n v="9.4470672364583343"/>
    <n v="0.75576537891666684"/>
    <n v="0.30230615156666679"/>
    <n v="4.7156067000000013"/>
    <n v="1.7824993326000007"/>
    <n v="41.197935360000002"/>
    <n v="1.1227635000000002"/>
    <n v="59.323943659541669"/>
    <n v="11.3773368"/>
    <n v="2.7320578500000003"/>
    <n v="0.23016651750000003"/>
    <n v="0.28069087500000006"/>
    <n v="1.7465210000000002"/>
    <n v="6.1866402100650024"/>
    <n v="22.553413252565001"/>
    <n v="0"/>
    <n v="0"/>
    <n v="0"/>
    <n v="0"/>
    <n v="22.553413252565001"/>
    <n v="196.62072732312174"/>
    <n v="441.81099462365592"/>
    <n v="113.11309677419354"/>
    <n v="0"/>
    <n v="0"/>
    <n v="751.54481872097119"/>
    <n v="3844.8368179330782"/>
    <n v="381.16095106452326"/>
    <n v="320.1751988941997"/>
    <n v="8.6609686609686695E-2"/>
    <n v="1.880341880341882E-2"/>
    <n v="0.03"/>
    <n v="3.4188034188034219E-2"/>
    <n v="0.1225"/>
    <n v="0.13960113960113973"/>
    <n v="634.65092714159107"/>
    <n v="1335.9870771003139"/>
    <n v="5180.8238950333925"/>
    <n v="62169.886740400711"/>
    <d v="2025-01-01T00:00:00"/>
    <s v="-"/>
    <s v="-"/>
  </r>
  <r>
    <s v="1.003.29"/>
    <x v="0"/>
    <x v="1"/>
    <s v="Fethemg Interior"/>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0"/>
    <n v="15.07"/>
    <n v="0"/>
    <n v="3.36"/>
    <n v="0"/>
    <n v="718.65945800000009"/>
    <n v="2397.9701282166666"/>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196.62072732312174"/>
    <n v="441.81099462365592"/>
    <n v="113.11309677419354"/>
    <n v="0"/>
    <n v="0"/>
    <n v="751.54481872097119"/>
    <n v="5907.2808521176257"/>
    <n v="381.16095106452326"/>
    <n v="320.1751988941997"/>
    <n v="8.6609686609686695E-2"/>
    <n v="1.880341880341882E-2"/>
    <n v="0.03"/>
    <n v="3.4188034188034219E-2"/>
    <n v="0.1225"/>
    <n v="0.13960113960113973"/>
    <n v="922.57046467732584"/>
    <n v="1623.9066146360487"/>
    <n v="7531.187466753674"/>
    <n v="90374.249601044081"/>
    <d v="2025-01-01T00:00:00"/>
    <s v="-"/>
    <s v="-"/>
  </r>
  <r>
    <s v="1.003.43"/>
    <x v="0"/>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6609686609686695E-2"/>
    <n v="1.880341880341882E-2"/>
    <n v="0.03"/>
    <n v="3.4188034188034219E-2"/>
    <n v="0.1225"/>
    <n v="0.13960113960113973"/>
    <n v="714.10528799342251"/>
    <n v="1415.4414379521454"/>
    <n v="5829.4309223952805"/>
    <n v="69953.171068743366"/>
    <d v="2025-01-01T00:00:00"/>
    <s v="-"/>
    <s v="-"/>
  </r>
  <r>
    <s v="1.011.43"/>
    <x v="1"/>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8629737609329504E-2"/>
    <n v="1.9241982507288629E-2"/>
    <n v="0.05"/>
    <n v="5.8309037900874633E-2"/>
    <n v="0.14250000000000002"/>
    <n v="0.16618075801749277"/>
    <n v="850.06869143121287"/>
    <n v="1551.4048413899359"/>
    <n v="5965.394325833071"/>
    <n v="71584.731909996859"/>
    <d v="2025-01-01T00:00:00"/>
    <s v="-"/>
    <s v="-"/>
  </r>
  <r>
    <s v="1.015.13"/>
    <x v="2"/>
    <x v="3"/>
    <s v="Cataguases"/>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7.07"/>
    <n v="0"/>
    <n v="0"/>
    <n v="3.36"/>
    <n v="0"/>
    <n v="802.65357200000005"/>
    <n v="1833.75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83.1799646554141"/>
    <n v="381.16095106452326"/>
    <n v="320.1751988941997"/>
    <n v="8.5633802816901458E-2"/>
    <n v="1.8591549295774657E-2"/>
    <n v="0.02"/>
    <n v="2.2535211267605645E-2"/>
    <n v="0.1125"/>
    <n v="0.12676056338028174"/>
    <n v="543.10767650038383"/>
    <n v="1244.4438264591067"/>
    <n v="4827.6237911145208"/>
    <n v="57931.485493374246"/>
    <d v="2025-01-01T00:00:00"/>
    <s v="-"/>
    <s v="-"/>
  </r>
  <r>
    <s v="1.015.45"/>
    <x v="2"/>
    <x v="4"/>
    <s v="Cataguases"/>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7.07"/>
    <n v="0"/>
    <n v="0"/>
    <n v="3.36"/>
    <n v="0"/>
    <n v="694.60216400000013"/>
    <n v="2888.9598021222228"/>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9.1794066081284"/>
    <n v="381.16095106452326"/>
    <n v="320.1751988941997"/>
    <n v="8.5633802816901458E-2"/>
    <n v="1.8591549295774657E-2"/>
    <n v="0.02"/>
    <n v="2.2535211267605645E-2"/>
    <n v="0.1125"/>
    <n v="0.12676056338028174"/>
    <n v="919.07943674791113"/>
    <n v="1620.415586706634"/>
    <n v="8169.5949933147622"/>
    <n v="98035.139919777139"/>
    <d v="2025-01-01T00:00:00"/>
    <s v="-"/>
    <s v="-"/>
  </r>
  <r>
    <s v="1.016.28"/>
    <x v="3"/>
    <x v="5"/>
    <s v="Regiao de Sao Lourenco"/>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0"/>
    <n v="0"/>
    <n v="0"/>
    <n v="3.36"/>
    <n v="0"/>
    <n v="703.58945800000004"/>
    <n v="2382.9001282166664"/>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226.33322732312172"/>
    <n v="441.81099462365592"/>
    <n v="113.11309677419354"/>
    <n v="0"/>
    <n v="0"/>
    <n v="781.25731872097117"/>
    <n v="5921.9233521176257"/>
    <n v="381.16095106452326"/>
    <n v="320.1751988941997"/>
    <n v="8.5633802816901458E-2"/>
    <n v="1.8591549295774657E-2"/>
    <n v="0.02"/>
    <n v="2.2535211267605645E-2"/>
    <n v="0.1125"/>
    <n v="0.12676056338028174"/>
    <n v="839.56810589700228"/>
    <n v="1540.9042558557253"/>
    <n v="7462.8276079733514"/>
    <n v="89553.931295680217"/>
    <d v="2025-01-01T00:00:00"/>
    <s v="-"/>
    <s v="-"/>
  </r>
  <r>
    <s v="1.016.45"/>
    <x v="3"/>
    <x v="4"/>
    <s v="Regiao de Sao Lourenco"/>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0"/>
    <n v="0"/>
    <n v="0"/>
    <n v="3.36"/>
    <n v="0"/>
    <n v="637.53217000000006"/>
    <n v="2831.8897435277781"/>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492.1092419366132"/>
    <n v="381.16095106452326"/>
    <n v="320.1751988941997"/>
    <n v="8.5633802816901458E-2"/>
    <n v="1.8591549295774657E-2"/>
    <n v="0.02"/>
    <n v="2.2535211267605645E-2"/>
    <n v="0.1125"/>
    <n v="0.12676056338028174"/>
    <n v="911.84519052194435"/>
    <n v="1613.1813404806671"/>
    <n v="8105.2905824172803"/>
    <n v="97263.486989007361"/>
    <d v="2025-01-01T00:00:00"/>
    <s v="-"/>
    <s v="-"/>
  </r>
  <r>
    <s v="1.017.45"/>
    <x v="4"/>
    <x v="4"/>
    <s v="Regiao de Teofilo Otoni"/>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0"/>
    <n v="15.07"/>
    <n v="0"/>
    <n v="3.36"/>
    <n v="0"/>
    <n v="652.60216400000013"/>
    <n v="2846.9598021222228"/>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07.1794066081284"/>
    <n v="381.16095106452326"/>
    <n v="320.1751988941997"/>
    <n v="8.6609686609686695E-2"/>
    <n v="1.880341880341882E-2"/>
    <n v="0.03"/>
    <n v="3.4188034188034219E-2"/>
    <n v="0.1225"/>
    <n v="0.13960113960113973"/>
    <n v="1006.3169865292765"/>
    <n v="1707.6531364879993"/>
    <n v="8214.8325430961268"/>
    <n v="98577.990517153521"/>
    <d v="2025-01-01T00:00:00"/>
    <s v="-"/>
    <s v="-"/>
  </r>
  <r>
    <s v="1.019.43"/>
    <x v="5"/>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0"/>
    <n v="0"/>
    <n v="0"/>
    <n v="3.36"/>
    <n v="0"/>
    <n v="723.5557"/>
    <n v="1991.80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398.9087890732853"/>
    <n v="381.16095106452326"/>
    <n v="320.1751988941997"/>
    <n v="8.5633802816901458E-2"/>
    <n v="1.8591549295774657E-2"/>
    <n v="0.02"/>
    <n v="2.2535211267605645E-2"/>
    <n v="0.1125"/>
    <n v="0.12676056338028174"/>
    <n v="646.50992184912809"/>
    <n v="1347.8460718078509"/>
    <n v="5746.7548608811358"/>
    <n v="68961.058330573636"/>
    <d v="2025-01-01T00:00:00"/>
    <s v="-"/>
    <s v="-"/>
  </r>
  <r>
    <s v="1.026.43"/>
    <x v="6"/>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0"/>
    <n v="0"/>
    <n v="0"/>
    <n v="3.36"/>
    <n v="0"/>
    <n v="723.5557"/>
    <n v="1991.80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398.9087890732853"/>
    <n v="381.16095106452326"/>
    <n v="320.1751988941997"/>
    <n v="8.8629737609329504E-2"/>
    <n v="1.9241982507288629E-2"/>
    <n v="0.05"/>
    <n v="5.8309037900874633E-2"/>
    <n v="0.14250000000000002"/>
    <n v="0.16618075801749277"/>
    <n v="847.56257004322026"/>
    <n v="1548.8987200019433"/>
    <n v="5947.8075090752282"/>
    <n v="71373.690108902738"/>
    <d v="2025-01-01T00:00:00"/>
    <s v="-"/>
    <s v="-"/>
  </r>
  <r>
    <s v="1.035.13"/>
    <x v="7"/>
    <x v="3"/>
    <s v="Alto Paranaiba"/>
    <s v="Apoio"/>
    <x v="0"/>
    <n v="3"/>
    <n v="0"/>
    <n v="4788.8213999999998"/>
    <n v="0"/>
    <n v="0"/>
    <n v="0"/>
    <n v="0"/>
    <n v="0"/>
    <n v="0"/>
    <n v="0"/>
    <n v="4788.8213999999998"/>
    <n v="957.7642800000001"/>
    <n v="71.832320999999993"/>
    <n v="47.888213999999998"/>
    <n v="9.5776427999999996"/>
    <n v="119.72053500000001"/>
    <n v="383.10571199999998"/>
    <n v="191.55285599999999"/>
    <n v="28.732928399999999"/>
    <n v="1810.1744892000002"/>
    <n v="399.06844999999993"/>
    <n v="532.09126666666657"/>
    <n v="351.97837290000001"/>
    <n v="1283.1380895666666"/>
    <n v="480.67071599999997"/>
    <n v="0"/>
    <n v="1163.3700000000001"/>
    <n v="128.91"/>
    <n v="0"/>
    <n v="0"/>
    <n v="10.08"/>
    <n v="0"/>
    <n v="1783.0307160000002"/>
    <n v="4876.3432947666661"/>
    <n v="33.578099743171293"/>
    <n v="2.6862479794537037"/>
    <n v="1.0744991917814817"/>
    <n v="16.760874900000005"/>
    <n v="6.335610712200002"/>
    <n v="146.43151658666665"/>
    <n v="3.9906845"/>
    <n v="210.85753361327312"/>
    <n v="40.438936266666666"/>
    <n v="9.7106656166666667"/>
    <n v="0.81809032250000002"/>
    <n v="0.99767112499999999"/>
    <n v="6.2077314444444429"/>
    <n v="21.989429825055005"/>
    <n v="80.162524600332802"/>
    <n v="0"/>
    <n v="0"/>
    <n v="0"/>
    <n v="0"/>
    <n v="80.162524600332802"/>
    <n v="168.42514098596976"/>
    <n v="0"/>
    <n v="0"/>
    <n v="0"/>
    <n v="0"/>
    <n v="168.42514098596976"/>
    <n v="10124.609893966242"/>
    <n v="1143.4828531935698"/>
    <n v="960.52559668259914"/>
    <n v="8.6609686609686695E-2"/>
    <n v="1.880341880341882E-2"/>
    <n v="0.03"/>
    <n v="3.4188034188034219E-2"/>
    <n v="0.1225"/>
    <n v="0.13960113960113973"/>
    <n v="1707.1290565478025"/>
    <n v="3811.1375064239714"/>
    <n v="13935.747400390215"/>
    <n v="167228.96880468258"/>
    <d v="2025-01-01T00:00:00"/>
    <s v="-"/>
    <s v="-"/>
  </r>
  <r>
    <s v="1.035.45"/>
    <x v="7"/>
    <x v="4"/>
    <s v="Alto Paranaiba"/>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0"/>
    <n v="387.79"/>
    <n v="42.97"/>
    <n v="0"/>
    <n v="0"/>
    <n v="3.36"/>
    <n v="0"/>
    <n v="486.29217000000006"/>
    <n v="2680.6497435277784"/>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340.8692419366134"/>
    <n v="381.16095106452326"/>
    <n v="320.1751988941997"/>
    <n v="8.6609686609686695E-2"/>
    <n v="1.880341880341882E-2"/>
    <n v="0.03"/>
    <n v="3.4188034188034219E-2"/>
    <n v="0.1225"/>
    <n v="0.13960113960113973"/>
    <n v="983.09989801387974"/>
    <n v="1684.4360479726026"/>
    <n v="8025.3052899092163"/>
    <n v="96303.663478910603"/>
    <d v="2025-01-01T00:00:00"/>
    <s v="-"/>
    <s v="-"/>
  </r>
  <r>
    <s v="1.040.35"/>
    <x v="8"/>
    <x v="6"/>
    <s v="Rodoviarios de Araxa + SEAC-MG"/>
    <s v="Apoio"/>
    <x v="0"/>
    <n v="1"/>
    <n v="0"/>
    <n v="4380.5699000000004"/>
    <n v="0"/>
    <n v="0"/>
    <n v="0"/>
    <n v="0"/>
    <n v="0"/>
    <n v="0"/>
    <n v="0"/>
    <n v="4380.5699000000004"/>
    <n v="876.11398000000008"/>
    <n v="65.708548500000006"/>
    <n v="43.805699000000004"/>
    <n v="8.7611398000000005"/>
    <n v="109.51424750000001"/>
    <n v="350.44559200000003"/>
    <n v="175.22279600000002"/>
    <n v="26.283419400000003"/>
    <n v="1655.8554222"/>
    <n v="365.0474916666667"/>
    <n v="486.7299888888889"/>
    <n v="321.97188764999999"/>
    <n v="1173.7493682055556"/>
    <n v="0"/>
    <n v="578.4"/>
    <n v="0"/>
    <n v="0"/>
    <n v="0"/>
    <n v="0"/>
    <n v="3.36"/>
    <n v="662.42"/>
    <n v="1244.1799999999998"/>
    <n v="4073.7847904055557"/>
    <n v="30.715535357851085"/>
    <n v="2.457242828628087"/>
    <n v="0.98289713145123481"/>
    <n v="15.331994650000004"/>
    <n v="5.7954939777000023"/>
    <n v="133.94809294222222"/>
    <n v="3.6504749166666675"/>
    <n v="192.88173180451929"/>
    <n v="36.991479155555552"/>
    <n v="8.8828222972222228"/>
    <n v="0.74834735791666673"/>
    <n v="0.91261872916666686"/>
    <n v="5.6785165370370372"/>
    <n v="20.114810381067507"/>
    <n v="73.328594457965636"/>
    <n v="0"/>
    <n v="0"/>
    <n v="0"/>
    <n v="0"/>
    <n v="73.328594457965636"/>
    <n v="92.100763771570698"/>
    <n v="0"/>
    <n v="0"/>
    <n v="0"/>
    <n v="0"/>
    <n v="92.100763771570698"/>
    <n v="8812.6657804396109"/>
    <n v="381.16095106452326"/>
    <n v="320.1751988941997"/>
    <n v="8.5633802816901458E-2"/>
    <n v="1.8591549295774657E-2"/>
    <n v="0.02"/>
    <n v="2.2535211267605645E-2"/>
    <n v="0.1125"/>
    <n v="0.12676056338028174"/>
    <n v="1206.0002446983808"/>
    <n v="1907.3363946571037"/>
    <n v="10720.002175096715"/>
    <n v="128640.02610116059"/>
    <d v="2025-01-01T00:00:00"/>
    <s v="-"/>
    <s v="-"/>
  </r>
  <r>
    <s v="1.040.44"/>
    <x v="8"/>
    <x v="7"/>
    <s v="Araxa"/>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58.96"/>
    <n v="0"/>
    <n v="0"/>
    <n v="3.36"/>
    <n v="0"/>
    <n v="761.34621800000002"/>
    <n v="2257.5019247722221"/>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71.1335182622697"/>
    <n v="381.16095106452326"/>
    <n v="320.1751988941997"/>
    <n v="8.5633802816901458E-2"/>
    <n v="1.8591549295774657E-2"/>
    <n v="0.02"/>
    <n v="2.2535211267605645E-2"/>
    <n v="0.1125"/>
    <n v="0.12676056338028174"/>
    <n v="693.6933382251965"/>
    <n v="1395.0294881839195"/>
    <n v="6166.1630064461897"/>
    <n v="73993.956077354276"/>
    <d v="2025-01-01T00:00:00"/>
    <s v="-"/>
    <s v="-"/>
  </r>
  <r>
    <s v="1.040.45"/>
    <x v="8"/>
    <x v="4"/>
    <s v="Araxa"/>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8.96"/>
    <n v="0"/>
    <n v="0"/>
    <n v="3.36"/>
    <n v="0"/>
    <n v="696.49216400000012"/>
    <n v="2890.8498021222226"/>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51.0694066081278"/>
    <n v="381.16095106452326"/>
    <n v="320.1751988941997"/>
    <n v="8.5633802816901458E-2"/>
    <n v="1.8591549295774657E-2"/>
    <n v="0.02"/>
    <n v="2.2535211267605645E-2"/>
    <n v="0.1125"/>
    <n v="0.12676056338028174"/>
    <n v="919.3190142126997"/>
    <n v="1620.6551641714227"/>
    <n v="8171.72457077955"/>
    <n v="98060.694849354593"/>
    <d v="2025-01-01T00:00:00"/>
    <s v="-"/>
    <s v="-"/>
  </r>
  <r>
    <s v="1.042.45"/>
    <x v="9"/>
    <x v="4"/>
    <s v="Regiao de Divinopolis"/>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1.88"/>
    <n v="0"/>
    <n v="0"/>
    <n v="3.36"/>
    <n v="0"/>
    <n v="689.41217000000006"/>
    <n v="2883.7697435277782"/>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3.9892419366124"/>
    <n v="381.16095106452326"/>
    <n v="320.1751988941997"/>
    <n v="8.5633802816901458E-2"/>
    <n v="1.8591549295774657E-2"/>
    <n v="0.02"/>
    <n v="2.2535211267605645E-2"/>
    <n v="0.1125"/>
    <n v="0.12676056338028174"/>
    <n v="918.42152855011329"/>
    <n v="1619.7576785088363"/>
    <n v="8163.7469204454483"/>
    <n v="97964.963045345386"/>
    <d v="2025-01-01T00:00:00"/>
    <s v="-"/>
    <s v="-"/>
  </r>
  <r>
    <s v="1.778.13"/>
    <x v="10"/>
    <x v="3"/>
    <s v="Fethemg Interior"/>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15.07"/>
    <n v="0"/>
    <n v="3.36"/>
    <n v="0"/>
    <n v="760.65357200000005"/>
    <n v="1791.75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41.1799646554141"/>
    <n v="381.16095106452326"/>
    <n v="320.1751988941997"/>
    <n v="8.6609686609686695E-2"/>
    <n v="1.880341880341882E-2"/>
    <n v="0.03"/>
    <n v="3.4188034188034219E-2"/>
    <n v="0.1225"/>
    <n v="0.13960113960113973"/>
    <n v="592.26008437633311"/>
    <n v="1293.5962343350561"/>
    <n v="4834.7761989904702"/>
    <n v="58017.314387885643"/>
    <d v="2025-01-01T00:00:00"/>
    <s v="-"/>
    <s v="-"/>
  </r>
  <r>
    <s v="1.778.43"/>
    <x v="10"/>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6609686609686695E-2"/>
    <n v="1.880341880341882E-2"/>
    <n v="0.03"/>
    <n v="3.4188034188034219E-2"/>
    <n v="0.1225"/>
    <n v="0.13960113960113973"/>
    <n v="714.10528799342251"/>
    <n v="1415.4414379521454"/>
    <n v="5829.4309223952805"/>
    <n v="69953.171068743366"/>
    <d v="2025-01-01T00:00:00"/>
    <s v="-"/>
    <s v="-"/>
  </r>
  <r>
    <s v="1.054.45"/>
    <x v="11"/>
    <x v="4"/>
    <s v="Regiao de Joao Monlevade"/>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0.74"/>
    <n v="0"/>
    <n v="0"/>
    <n v="3.36"/>
    <n v="0"/>
    <n v="688.27216400000009"/>
    <n v="2882.6298021222224"/>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2.8494066081275"/>
    <n v="381.16095106452326"/>
    <n v="320.1751988941997"/>
    <n v="8.8629737609329504E-2"/>
    <n v="1.9241982507288629E-2"/>
    <n v="0.05"/>
    <n v="5.8309037900874633E-2"/>
    <n v="0.14250000000000002"/>
    <n v="0.16618075801749277"/>
    <n v="1203.844247009652"/>
    <n v="1905.1803969683749"/>
    <n v="8448.0298035765027"/>
    <n v="101376.35764291804"/>
    <d v="2025-01-01T00:00:00"/>
    <s v="-"/>
    <s v="-"/>
  </r>
  <r>
    <s v="1.056.35"/>
    <x v="12"/>
    <x v="6"/>
    <s v="Rodoviarios de Barbacena + SEAC-MG"/>
    <s v="Apoio"/>
    <x v="0"/>
    <n v="2"/>
    <n v="0"/>
    <n v="9116.1419999999998"/>
    <n v="0"/>
    <n v="0"/>
    <n v="0"/>
    <n v="0"/>
    <n v="0"/>
    <n v="0"/>
    <n v="0"/>
    <n v="9116.1419999999998"/>
    <n v="1823.2284"/>
    <n v="136.74213"/>
    <n v="91.161420000000007"/>
    <n v="18.232284"/>
    <n v="227.90355"/>
    <n v="729.29136000000005"/>
    <n v="364.64568000000003"/>
    <n v="54.696852"/>
    <n v="3445.9016760000004"/>
    <n v="759.67849999999999"/>
    <n v="1012.9046666666666"/>
    <n v="670.03643700000009"/>
    <n v="2442.6196036666665"/>
    <n v="0"/>
    <n v="1156.8"/>
    <n v="0"/>
    <n v="45.04"/>
    <n v="0"/>
    <n v="0"/>
    <n v="6.72"/>
    <n v="1324.84"/>
    <n v="2533.3999999999996"/>
    <n v="8421.921279666667"/>
    <n v="63.920263417824074"/>
    <n v="5.113621073425926"/>
    <n v="2.0454484293703707"/>
    <n v="31.906497000000005"/>
    <n v="12.060655866000003"/>
    <n v="278.7513642666666"/>
    <n v="7.5967850000000006"/>
    <n v="401.394635053287"/>
    <n v="76.980754666666655"/>
    <n v="18.485510166666664"/>
    <n v="1.5573409249999999"/>
    <n v="1.8991962500000001"/>
    <n v="11.817221111111111"/>
    <n v="41.859728739150007"/>
    <n v="152.59975185859446"/>
    <n v="0"/>
    <n v="0"/>
    <n v="0"/>
    <n v="0"/>
    <n v="152.59975185859446"/>
    <n v="184.2015275431414"/>
    <n v="0"/>
    <n v="0"/>
    <n v="0"/>
    <n v="0"/>
    <n v="184.2015275431414"/>
    <n v="18276.259194121689"/>
    <n v="762.32190212904652"/>
    <n v="640.35039778839939"/>
    <n v="8.7106017191977067E-2"/>
    <n v="1.8911174785100283E-2"/>
    <n v="3.5000000000000003E-2"/>
    <n v="4.0114613180515762E-2"/>
    <n v="0.1275"/>
    <n v="0.14613180515759311"/>
    <n v="2875.7177827965493"/>
    <n v="4278.3900827139951"/>
    <n v="22554.649276835684"/>
    <n v="270655.79132202821"/>
    <d v="2025-01-01T00:00:00"/>
    <s v="-"/>
    <s v="-"/>
  </r>
  <r>
    <s v="1.056.44"/>
    <x v="12"/>
    <x v="7"/>
    <s v="Regiao de Juiz de Fora"/>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51.88"/>
    <n v="0"/>
    <n v="0"/>
    <n v="3.36"/>
    <n v="0"/>
    <n v="754.26621799999998"/>
    <n v="2250.421924772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64.0535182622698"/>
    <n v="381.16095106452326"/>
    <n v="320.1751988941997"/>
    <n v="8.7106017191977067E-2"/>
    <n v="1.8911174785100283E-2"/>
    <n v="3.5000000000000003E-2"/>
    <n v="4.0114613180515762E-2"/>
    <n v="0.1275"/>
    <n v="0.14613180515759311"/>
    <n v="798.66725810679247"/>
    <n v="1500.0034080655155"/>
    <n v="6264.0569263277848"/>
    <n v="75168.683115933411"/>
    <d v="2025-01-01T00:00:00"/>
    <s v="-"/>
    <s v="-"/>
  </r>
  <r>
    <s v="1.024.01"/>
    <x v="13"/>
    <x v="8"/>
    <s v="SEAC/SINDEAC"/>
    <s v="Apoio"/>
    <x v="0"/>
    <n v="10"/>
    <n v="0"/>
    <n v="24492.1"/>
    <n v="0"/>
    <n v="0"/>
    <n v="0"/>
    <n v="0"/>
    <n v="0"/>
    <n v="0"/>
    <n v="0"/>
    <n v="24492.1"/>
    <n v="4898.42"/>
    <n v="367.38149999999996"/>
    <n v="244.92099999999999"/>
    <n v="48.984200000000001"/>
    <n v="612.30250000000001"/>
    <n v="1959.3679999999999"/>
    <n v="979.68399999999997"/>
    <n v="146.95260000000002"/>
    <n v="9258.0137999999988"/>
    <n v="2041.0083333333332"/>
    <n v="2721.3444444444444"/>
    <n v="1800.1693499999999"/>
    <n v="6562.5221277777782"/>
    <n v="3030.4740000000002"/>
    <n v="5820"/>
    <n v="0"/>
    <n v="959"/>
    <n v="0"/>
    <n v="0"/>
    <n v="33.6"/>
    <n v="2020.8000000000002"/>
    <n v="11863.874"/>
    <n v="27684.409927777779"/>
    <n v="171.73289793595677"/>
    <n v="13.738631834876545"/>
    <n v="5.4954527339506187"/>
    <n v="85.722350000000006"/>
    <n v="32.403048300000009"/>
    <n v="748.91399111111105"/>
    <n v="20.410083333333336"/>
    <n v="1078.4164552492282"/>
    <n v="206.82217777777777"/>
    <n v="49.664536111111104"/>
    <n v="4.1840670833333329"/>
    <n v="5.1025208333333341"/>
    <n v="31.749018518518518"/>
    <n v="112.46343708250002"/>
    <n v="409.98575740657407"/>
    <n v="0"/>
    <n v="0"/>
    <n v="0"/>
    <n v="0"/>
    <n v="409.98575740657407"/>
    <n v="1211.2249999999999"/>
    <n v="0"/>
    <n v="0"/>
    <n v="0"/>
    <n v="0"/>
    <n v="1211.2249999999999"/>
    <n v="54876.13714043358"/>
    <n v="3811.6095106452326"/>
    <n v="3201.7519889419968"/>
    <n v="8.8629737609329504E-2"/>
    <n v="1.9241982507288629E-2"/>
    <n v="0.05"/>
    <n v="5.8309037900874633E-2"/>
    <n v="0.14250000000000002"/>
    <n v="0.16618075801749277"/>
    <n v="10284.843797321246"/>
    <n v="17298.205296908476"/>
    <n v="72174.342437342057"/>
    <n v="866092.10924810474"/>
    <d v="2025-01-01T00:00:00"/>
    <s v="-"/>
    <s v="-"/>
  </r>
  <r>
    <s v="1.024.02"/>
    <x v="13"/>
    <x v="9"/>
    <s v="SEAC/SINDEAC"/>
    <s v="Apoio"/>
    <x v="0"/>
    <n v="20"/>
    <n v="0"/>
    <n v="95373.2"/>
    <n v="0"/>
    <n v="0"/>
    <n v="0"/>
    <n v="0"/>
    <n v="0"/>
    <n v="0"/>
    <n v="0"/>
    <n v="95373.2"/>
    <n v="19074.64"/>
    <n v="1430.598"/>
    <n v="953.73199999999997"/>
    <n v="190.74639999999999"/>
    <n v="2384.33"/>
    <n v="7629.8559999999998"/>
    <n v="3814.9279999999999"/>
    <n v="572.23919999999998"/>
    <n v="36051.069599999995"/>
    <n v="7947.7666666666664"/>
    <n v="10597.022222222222"/>
    <n v="7009.9301999999989"/>
    <n v="25554.719088888887"/>
    <n v="3277.6080000000002"/>
    <n v="11640"/>
    <n v="0"/>
    <n v="1918"/>
    <n v="0"/>
    <n v="0"/>
    <n v="67.2"/>
    <n v="4041.6000000000004"/>
    <n v="20944.407999999999"/>
    <n v="82550.196688888886"/>
    <n v="668.73465408950619"/>
    <n v="53.498772327160495"/>
    <n v="21.399508930864201"/>
    <n v="333.80619999999999"/>
    <n v="126.17874360000003"/>
    <n v="2916.3005155555547"/>
    <n v="79.477666666666678"/>
    <n v="4199.396061169753"/>
    <n v="805.37368888888875"/>
    <n v="193.39565555555552"/>
    <n v="16.292921666666665"/>
    <n v="19.86941666666667"/>
    <n v="123.63192592592591"/>
    <n v="437.93704409000009"/>
    <n v="1596.5006527937039"/>
    <n v="0"/>
    <n v="0"/>
    <n v="0"/>
    <n v="0"/>
    <n v="1596.5006527937039"/>
    <n v="1488.9833333333331"/>
    <n v="0"/>
    <n v="0"/>
    <n v="0"/>
    <n v="0"/>
    <n v="1488.9833333333331"/>
    <n v="185208.27673618568"/>
    <n v="7623.2190212904652"/>
    <n v="6403.5039778839937"/>
    <n v="8.8629737609329504E-2"/>
    <n v="1.9241982507288629E-2"/>
    <n v="0.05"/>
    <n v="5.8309037900874633E-2"/>
    <n v="0.14250000000000002"/>
    <n v="0.16618075801749277"/>
    <n v="33109.02327963712"/>
    <n v="47135.746278811581"/>
    <n v="232344.02301499731"/>
    <n v="2788128.2761799674"/>
    <d v="2025-01-01T00:00:00"/>
    <s v="-"/>
    <s v="-"/>
  </r>
  <r>
    <s v="3.024.02"/>
    <x v="13"/>
    <x v="9"/>
    <s v="SEAC/SINDEAC"/>
    <s v="Apoio"/>
    <x v="1"/>
    <n v="1"/>
    <n v="0"/>
    <n v="4768.66"/>
    <n v="0"/>
    <n v="0"/>
    <n v="0"/>
    <n v="0"/>
    <n v="0"/>
    <n v="0"/>
    <n v="0"/>
    <n v="4768.66"/>
    <n v="953.73199999999997"/>
    <n v="71.529899999999998"/>
    <n v="47.686599999999999"/>
    <n v="9.5373199999999994"/>
    <n v="119.2165"/>
    <n v="381.49279999999999"/>
    <n v="190.74639999999999"/>
    <n v="28.61196"/>
    <n v="1802.5534799999998"/>
    <n v="397.38833333333332"/>
    <n v="529.85111111111109"/>
    <n v="350.49650999999994"/>
    <n v="1277.7359544444444"/>
    <n v="163.88040000000001"/>
    <n v="582"/>
    <n v="0"/>
    <n v="95.9"/>
    <n v="0"/>
    <n v="0"/>
    <n v="3.36"/>
    <n v="202.08"/>
    <n v="1047.2203999999999"/>
    <n v="4127.5098344444441"/>
    <n v="33.436732704475311"/>
    <n v="2.6749386163580247"/>
    <n v="1.0699754465432101"/>
    <n v="16.69031"/>
    <n v="6.3089371800000018"/>
    <n v="145.81502577777775"/>
    <n v="3.9738833333333337"/>
    <n v="209.96980305848763"/>
    <n v="40.268684444444439"/>
    <n v="9.6697827777777761"/>
    <n v="0.81464608333333333"/>
    <n v="0.99347083333333341"/>
    <n v="6.1815962962962958"/>
    <n v="21.896852204500004"/>
    <n v="79.82503263968519"/>
    <n v="0"/>
    <n v="0"/>
    <n v="0"/>
    <n v="0"/>
    <n v="79.82503263968519"/>
    <n v="74.449166666666656"/>
    <n v="0"/>
    <n v="0"/>
    <n v="0"/>
    <n v="0"/>
    <n v="74.449166666666656"/>
    <n v="9260.4138368092845"/>
    <n v="381.16095106452326"/>
    <n v="320.1751988941997"/>
    <n v="8.8629737609329504E-2"/>
    <n v="1.9241982507288629E-2"/>
    <n v="0.05"/>
    <n v="5.8309037900874633E-2"/>
    <n v="0.14250000000000002"/>
    <n v="0.16618075801749277"/>
    <n v="1655.4511639818561"/>
    <n v="2356.7873139405792"/>
    <n v="11617.201150749865"/>
    <n v="139406.41380899836"/>
    <d v="2025-01-01T00:00:00"/>
    <s v="-"/>
    <s v="-"/>
  </r>
  <r>
    <s v="1.024.03"/>
    <x v="13"/>
    <x v="10"/>
    <s v="SEAC/SINDEAC"/>
    <s v="Apoio"/>
    <x v="0"/>
    <n v="88"/>
    <n v="0"/>
    <n v="419642.07999999996"/>
    <n v="0"/>
    <n v="0"/>
    <n v="0"/>
    <n v="0"/>
    <n v="0"/>
    <n v="0"/>
    <n v="0"/>
    <n v="419642.07999999996"/>
    <n v="83928.415999999997"/>
    <n v="6294.6311999999998"/>
    <n v="4196.4207999999999"/>
    <n v="839.28415999999993"/>
    <n v="10491.052"/>
    <n v="33571.366399999999"/>
    <n v="16785.683199999999"/>
    <n v="2517.85248"/>
    <n v="158624.70623999997"/>
    <n v="34970.173333333332"/>
    <n v="46626.897777777776"/>
    <n v="30843.692879999995"/>
    <n v="112440.7639911111"/>
    <n v="14421.475200000001"/>
    <n v="51216"/>
    <n v="0"/>
    <n v="8439.2000000000007"/>
    <n v="0"/>
    <n v="0"/>
    <n v="295.68"/>
    <n v="17783.04"/>
    <n v="92155.395199999999"/>
    <n v="363220.86543111107"/>
    <n v="2942.4324779938274"/>
    <n v="235.39459823950617"/>
    <n v="94.157839295802489"/>
    <n v="1468.74728"/>
    <n v="555.18647184000019"/>
    <n v="12831.722268444442"/>
    <n v="349.70173333333338"/>
    <n v="18477.34266914691"/>
    <n v="3543.6442311111105"/>
    <n v="850.94088444444424"/>
    <n v="71.688855333333336"/>
    <n v="87.425433333333345"/>
    <n v="543.98047407407398"/>
    <n v="1926.9229939960003"/>
    <n v="7024.6028722922965"/>
    <n v="0"/>
    <n v="0"/>
    <n v="0"/>
    <n v="0"/>
    <n v="7024.6028722922965"/>
    <n v="10814.285308647693"/>
    <n v="0"/>
    <n v="0"/>
    <n v="0"/>
    <n v="0"/>
    <n v="10814.285308647693"/>
    <n v="819179.17628119793"/>
    <n v="33542.163693678049"/>
    <n v="28175.417502689572"/>
    <n v="8.8629737609329504E-2"/>
    <n v="1.9241982507288629E-2"/>
    <n v="0.05"/>
    <n v="5.8309037900874633E-2"/>
    <n v="0.14250000000000002"/>
    <n v="0.16618075801749277"/>
    <n v="146388.09089277333"/>
    <n v="208105.67208914098"/>
    <n v="1027284.848370339"/>
    <n v="12327418.180444069"/>
    <d v="2025-01-01T00:00:00"/>
    <s v="-"/>
    <s v="-"/>
  </r>
  <r>
    <s v="3.024.03"/>
    <x v="13"/>
    <x v="10"/>
    <s v="SEAC/SINDEAC"/>
    <s v="Apoio"/>
    <x v="1"/>
    <n v="29"/>
    <n v="0"/>
    <n v="138291.13999999998"/>
    <n v="0"/>
    <n v="0"/>
    <n v="0"/>
    <n v="0"/>
    <n v="0"/>
    <n v="0"/>
    <n v="0"/>
    <n v="138291.13999999998"/>
    <n v="27658.227999999999"/>
    <n v="2074.3670999999999"/>
    <n v="1382.9114"/>
    <n v="276.58227999999997"/>
    <n v="3457.2784999999999"/>
    <n v="11063.2912"/>
    <n v="5531.6455999999998"/>
    <n v="829.74684000000002"/>
    <n v="52274.050919999994"/>
    <n v="11524.261666666665"/>
    <n v="15365.682222222222"/>
    <n v="10164.398789999999"/>
    <n v="37054.34267888889"/>
    <n v="4752.5316000000003"/>
    <n v="16878"/>
    <n v="0"/>
    <n v="2781.1000000000004"/>
    <n v="0"/>
    <n v="0"/>
    <n v="97.44"/>
    <n v="5860.3200000000006"/>
    <n v="30369.391599999999"/>
    <n v="119697.78519888887"/>
    <n v="969.66524842978401"/>
    <n v="77.573219874382715"/>
    <n v="31.029287949753094"/>
    <n v="484.01899000000003"/>
    <n v="182.95917822000004"/>
    <n v="4228.6357475555551"/>
    <n v="115.24261666666668"/>
    <n v="6089.1242886961409"/>
    <n v="1167.7918488888888"/>
    <n v="280.42370055555551"/>
    <n v="23.624736416666668"/>
    <n v="28.810654166666669"/>
    <n v="179.26629259259258"/>
    <n v="635.00871393050011"/>
    <n v="2314.9259465508703"/>
    <n v="0"/>
    <n v="0"/>
    <n v="0"/>
    <n v="0"/>
    <n v="2314.9259465508703"/>
    <n v="3563.7985676225358"/>
    <n v="0"/>
    <n v="0"/>
    <n v="0"/>
    <n v="0"/>
    <n v="3563.7985676225358"/>
    <n v="269956.77400175843"/>
    <n v="11053.667580871175"/>
    <n v="9285.0807679317913"/>
    <n v="8.8629737609329504E-2"/>
    <n v="1.9241982507288629E-2"/>
    <n v="0.05"/>
    <n v="5.8309037900874633E-2"/>
    <n v="0.14250000000000002"/>
    <n v="0.16618075801749277"/>
    <n v="48241.529953300305"/>
    <n v="68580.278302103281"/>
    <n v="338537.05230386171"/>
    <n v="4062444.6276463405"/>
    <d v="2025-01-01T00:00:00"/>
    <s v="-"/>
    <s v="-"/>
  </r>
  <r>
    <s v="1.024.04"/>
    <x v="13"/>
    <x v="11"/>
    <s v="SETTASPOC"/>
    <s v="Apoio"/>
    <x v="0"/>
    <n v="15"/>
    <n v="0"/>
    <n v="120550.5"/>
    <n v="0"/>
    <n v="0"/>
    <n v="0"/>
    <n v="0"/>
    <n v="0"/>
    <n v="6750.8280000000004"/>
    <n v="0"/>
    <n v="127301.32799999999"/>
    <n v="25460.265599999999"/>
    <n v="1909.5199199999997"/>
    <n v="1273.0132800000001"/>
    <n v="254.60265599999997"/>
    <n v="3182.5331999999999"/>
    <n v="10184.106240000001"/>
    <n v="5092.0531200000005"/>
    <n v="763.80796799999996"/>
    <n v="48119.901984000004"/>
    <n v="10608.443999999998"/>
    <n v="14144.591999999999"/>
    <n v="9356.6476079999975"/>
    <n v="34109.683607999992"/>
    <n v="0"/>
    <n v="8727"/>
    <n v="0"/>
    <n v="775.94999999999993"/>
    <n v="0"/>
    <n v="0"/>
    <n v="50.4"/>
    <n v="3031.2000000000003"/>
    <n v="12584.550000000001"/>
    <n v="94814.135591999991"/>
    <n v="892.60724758333333"/>
    <n v="71.40857980666668"/>
    <n v="28.56343192266667"/>
    <n v="445.55464800000004"/>
    <n v="168.41965694400005"/>
    <n v="3892.5917183999995"/>
    <n v="106.08444"/>
    <n v="5605.2297226566661"/>
    <n v="1074.9889919999998"/>
    <n v="258.13880399999994"/>
    <n v="21.747310200000001"/>
    <n v="26.52111"/>
    <n v="165.02023999999997"/>
    <n v="584.54542044360005"/>
    <n v="2130.9618766435997"/>
    <n v="0"/>
    <n v="0"/>
    <n v="0"/>
    <n v="0"/>
    <n v="2130.9618766435997"/>
    <n v="661.67019673059531"/>
    <n v="0"/>
    <n v="0"/>
    <n v="0"/>
    <n v="0"/>
    <n v="661.67019673059531"/>
    <n v="230513.32538803085"/>
    <n v="5717.4142659678491"/>
    <n v="4802.6279834129955"/>
    <n v="8.8629737609329504E-2"/>
    <n v="1.9241982507288629E-2"/>
    <n v="0.05"/>
    <n v="5.8309037900874633E-2"/>
    <n v="0.14250000000000002"/>
    <n v="0.16618075801749277"/>
    <n v="40055.107741494088"/>
    <n v="50575.149990874932"/>
    <n v="281088.47537890577"/>
    <n v="3373061.7045468693"/>
    <d v="2025-01-01T00:00:00"/>
    <s v="-"/>
    <s v="-"/>
  </r>
  <r>
    <s v="1.024.05"/>
    <x v="13"/>
    <x v="12"/>
    <s v="SETTASPOC"/>
    <s v="Apoio"/>
    <x v="0"/>
    <n v="10"/>
    <n v="0"/>
    <n v="92367.900000000009"/>
    <n v="0"/>
    <n v="0"/>
    <n v="0"/>
    <n v="0"/>
    <n v="0"/>
    <n v="5172.6020000000008"/>
    <n v="0"/>
    <n v="97540.502000000008"/>
    <n v="19508.100400000003"/>
    <n v="1463.10753"/>
    <n v="975.40502000000015"/>
    <n v="195.08100400000004"/>
    <n v="2438.5125500000004"/>
    <n v="7803.2401600000012"/>
    <n v="3901.6200800000006"/>
    <n v="585.24301200000014"/>
    <n v="36870.309756000002"/>
    <n v="8128.3751666666667"/>
    <n v="10837.833555555557"/>
    <n v="7169.2268970000005"/>
    <n v="26135.435619222226"/>
    <n v="0"/>
    <n v="5818"/>
    <n v="0"/>
    <n v="517.29999999999995"/>
    <n v="0"/>
    <n v="0"/>
    <n v="33.6"/>
    <n v="2020.8000000000002"/>
    <n v="8389.7000000000007"/>
    <n v="71395.445375222233"/>
    <n v="683.93127067862667"/>
    <n v="54.714501654290132"/>
    <n v="21.885800661716054"/>
    <n v="341.3917570000001"/>
    <n v="129.04608414600006"/>
    <n v="2982.5717944888893"/>
    <n v="81.283751666666689"/>
    <n v="4294.8249602961887"/>
    <n v="823.67535022222228"/>
    <n v="197.79046238888893"/>
    <n v="16.663169091666671"/>
    <n v="20.320937916666672"/>
    <n v="126.44139148148149"/>
    <n v="447.88891559615018"/>
    <n v="1632.7802266970764"/>
    <n v="0"/>
    <n v="0"/>
    <n v="0"/>
    <n v="0"/>
    <n v="1632.7802266970764"/>
    <n v="441.11346448706354"/>
    <n v="0"/>
    <n v="0"/>
    <n v="0"/>
    <n v="0"/>
    <n v="441.11346448706354"/>
    <n v="175304.66602670256"/>
    <n v="3811.6095106452326"/>
    <n v="3201.7519889419968"/>
    <n v="8.8629737609329504E-2"/>
    <n v="1.9241982507288629E-2"/>
    <n v="0.05"/>
    <n v="5.8309037900874633E-2"/>
    <n v="0.14250000000000002"/>
    <n v="0.16618075801749277"/>
    <n v="30297.748014572953"/>
    <n v="37311.109514160184"/>
    <n v="212615.77554086276"/>
    <n v="2551389.3064903533"/>
    <d v="2025-01-01T00:00:00"/>
    <s v="-"/>
    <s v="-"/>
  </r>
  <r>
    <s v="1.024.06"/>
    <x v="13"/>
    <x v="13"/>
    <s v="SEAC/SINDEAC"/>
    <s v="Apoio"/>
    <x v="0"/>
    <n v="25"/>
    <n v="0"/>
    <n v="61088.122499999998"/>
    <n v="0"/>
    <n v="0"/>
    <n v="0"/>
    <n v="0"/>
    <n v="0"/>
    <n v="0"/>
    <n v="0"/>
    <n v="61088.122499999998"/>
    <n v="12217.6245"/>
    <n v="916.3218374999999"/>
    <n v="610.88122499999997"/>
    <n v="122.17624499999999"/>
    <n v="1527.2030625"/>
    <n v="4887.0497999999998"/>
    <n v="2443.5248999999999"/>
    <n v="366.52873499999998"/>
    <n v="23091.310304999999"/>
    <n v="5090.6768750000001"/>
    <n v="6787.5691666666653"/>
    <n v="4489.9770037500002"/>
    <n v="16368.223045416664"/>
    <n v="7584.7126500000004"/>
    <n v="14550"/>
    <n v="0"/>
    <n v="2397.5"/>
    <n v="0"/>
    <n v="0"/>
    <n v="84"/>
    <n v="5052"/>
    <n v="29668.212649999998"/>
    <n v="69127.746000416664"/>
    <n v="428.33567992910878"/>
    <n v="34.266854394328703"/>
    <n v="13.706741757731484"/>
    <n v="213.80842875000005"/>
    <n v="80.819586067500012"/>
    <n v="1867.9390346666662"/>
    <n v="50.906768749999998"/>
    <n v="2689.7830943153353"/>
    <n v="515.85525666666661"/>
    <n v="123.87313729166665"/>
    <n v="10.43588759375"/>
    <n v="12.726692187499999"/>
    <n v="79.188306944444449"/>
    <n v="280.50596809856251"/>
    <n v="1022.58524878259"/>
    <n v="0"/>
    <n v="0"/>
    <n v="0"/>
    <n v="0"/>
    <n v="1022.58524878259"/>
    <n v="4764.0151229673484"/>
    <n v="0"/>
    <n v="0"/>
    <n v="0"/>
    <n v="0"/>
    <n v="4764.0151229673484"/>
    <n v="138692.25196648194"/>
    <n v="9529.0237766130813"/>
    <n v="8004.3799723549928"/>
    <n v="8.8629737609329504E-2"/>
    <n v="1.9241982507288629E-2"/>
    <n v="0.05"/>
    <n v="5.8309037900874633E-2"/>
    <n v="0.14250000000000002"/>
    <n v="0.16618075801749277"/>
    <n v="25961.697888573333"/>
    <n v="43495.101637541404"/>
    <n v="182187.35360402334"/>
    <n v="2186248.2432482801"/>
    <d v="2025-01-01T00:00:00"/>
    <s v="-"/>
    <s v="-"/>
  </r>
  <r>
    <s v="1.024.07"/>
    <x v="13"/>
    <x v="14"/>
    <s v="SEAC/SINDEAC"/>
    <s v="Apoio"/>
    <x v="0"/>
    <n v="3"/>
    <n v="0"/>
    <n v="12409.4067"/>
    <n v="0"/>
    <n v="0"/>
    <n v="0"/>
    <n v="0"/>
    <n v="0"/>
    <n v="0"/>
    <n v="0"/>
    <n v="12409.4067"/>
    <n v="2481.8813399999999"/>
    <n v="186.14110049999999"/>
    <n v="124.094067"/>
    <n v="24.818813399999996"/>
    <n v="310.23516749999999"/>
    <n v="992.75253599999996"/>
    <n v="496.37626799999998"/>
    <n v="74.456440200000003"/>
    <n v="4690.7557325999996"/>
    <n v="1034.117225"/>
    <n v="1378.8229666666666"/>
    <n v="912.09139244999983"/>
    <n v="3325.0315841166666"/>
    <n v="605.43559800000003"/>
    <n v="1746"/>
    <n v="0"/>
    <n v="287.70000000000005"/>
    <n v="0"/>
    <n v="0"/>
    <n v="10.08"/>
    <n v="606.24"/>
    <n v="3255.4555979999996"/>
    <n v="11271.242914716666"/>
    <n v="87.011868082233789"/>
    <n v="6.9609494465787041"/>
    <n v="2.7843797786314819"/>
    <n v="43.432923450000004"/>
    <n v="16.417645064100004"/>
    <n v="379.45208042666661"/>
    <n v="10.34117225"/>
    <n v="546.40101849821053"/>
    <n v="104.79054546666666"/>
    <n v="25.163519141666669"/>
    <n v="2.1199403112500002"/>
    <n v="2.5852930624999999"/>
    <n v="16.086267944444444"/>
    <n v="56.981823920227512"/>
    <n v="207.72738984675527"/>
    <n v="0"/>
    <n v="0"/>
    <n v="0"/>
    <n v="0"/>
    <n v="207.72738984675527"/>
    <n v="571.68181475608185"/>
    <n v="0"/>
    <n v="0"/>
    <n v="0"/>
    <n v="0"/>
    <n v="571.68181475608185"/>
    <n v="25006.459837817711"/>
    <n v="1143.4828531935698"/>
    <n v="960.52559668259914"/>
    <n v="8.8629737609329504E-2"/>
    <n v="1.9241982507288629E-2"/>
    <n v="0.05"/>
    <n v="5.8309037900874633E-2"/>
    <n v="0.14250000000000002"/>
    <n v="0.16618075801749277"/>
    <n v="4505.2381702581679"/>
    <n v="6609.2466201343377"/>
    <n v="31615.706457952052"/>
    <n v="379388.47749542462"/>
    <d v="2025-01-01T00:00:00"/>
    <s v="-"/>
    <s v="-"/>
  </r>
  <r>
    <s v="1.024.08"/>
    <x v="13"/>
    <x v="15"/>
    <s v="SEAC/SINDEAC"/>
    <s v="Apoio"/>
    <x v="0"/>
    <n v="4"/>
    <n v="0"/>
    <n v="15021.6"/>
    <n v="0"/>
    <n v="0"/>
    <n v="0"/>
    <n v="0"/>
    <n v="0"/>
    <n v="0"/>
    <n v="0"/>
    <n v="15021.6"/>
    <n v="3004.32"/>
    <n v="225.32399999999998"/>
    <n v="150.21600000000001"/>
    <n v="30.043200000000002"/>
    <n v="375.54"/>
    <n v="1201.7280000000001"/>
    <n v="600.86400000000003"/>
    <n v="90.129600000000011"/>
    <n v="5678.1648000000005"/>
    <n v="1251.8"/>
    <n v="1669.0666666666666"/>
    <n v="1104.0876000000001"/>
    <n v="4024.9542666666666"/>
    <n v="898.70400000000006"/>
    <n v="2328"/>
    <n v="0"/>
    <n v="383.6"/>
    <n v="0"/>
    <n v="0"/>
    <n v="13.44"/>
    <n v="808.32"/>
    <n v="4432.0640000000003"/>
    <n v="14135.183066666666"/>
    <n v="105.3279587962963"/>
    <n v="8.4262367037037045"/>
    <n v="3.3704946814814822"/>
    <n v="52.575600000000009"/>
    <n v="19.873576800000006"/>
    <n v="459.32714666666664"/>
    <n v="12.518000000000001"/>
    <n v="661.41901364814817"/>
    <n v="126.84906666666666"/>
    <n v="30.460466666666665"/>
    <n v="2.5661900000000002"/>
    <n v="3.1295000000000002"/>
    <n v="19.472444444444445"/>
    <n v="68.976558420000018"/>
    <n v="251.45422619777781"/>
    <n v="0"/>
    <n v="0"/>
    <n v="0"/>
    <n v="0"/>
    <n v="251.45422619777781"/>
    <n v="892.73"/>
    <n v="0"/>
    <n v="0"/>
    <n v="0"/>
    <n v="0"/>
    <n v="892.73"/>
    <n v="30962.386306512592"/>
    <n v="1524.643804258093"/>
    <n v="1280.7007955767988"/>
    <n v="8.8629737609329504E-2"/>
    <n v="1.9241982507288629E-2"/>
    <n v="0.05"/>
    <n v="5.8309037900874633E-2"/>
    <n v="0.14250000000000002"/>
    <n v="0.16618075801749277"/>
    <n v="5611.5471185475426"/>
    <n v="8416.8917183824342"/>
    <n v="39379.278024895029"/>
    <n v="472551.33629874035"/>
    <d v="2025-01-01T00:00:00"/>
    <s v="-"/>
    <s v="-"/>
  </r>
  <r>
    <s v="1.024.09"/>
    <x v="13"/>
    <x v="16"/>
    <s v="SEAC/SINDEAC"/>
    <s v="Apoio"/>
    <x v="0"/>
    <n v="6"/>
    <n v="0"/>
    <n v="14661.149399999998"/>
    <n v="0"/>
    <n v="0"/>
    <n v="0"/>
    <n v="0"/>
    <n v="0"/>
    <n v="0"/>
    <n v="0"/>
    <n v="14661.149399999998"/>
    <n v="2932.2298799999999"/>
    <n v="219.91724099999999"/>
    <n v="146.61149399999999"/>
    <n v="29.322298799999999"/>
    <n v="366.52873499999998"/>
    <n v="1172.8919519999999"/>
    <n v="586.44597599999997"/>
    <n v="87.966896399999996"/>
    <n v="5541.9144731999995"/>
    <n v="1221.7624499999999"/>
    <n v="1629.0165999999997"/>
    <n v="1077.5944809"/>
    <n v="3928.3735308999994"/>
    <n v="1820.331036"/>
    <n v="3492"/>
    <n v="0"/>
    <n v="575.40000000000009"/>
    <n v="0"/>
    <n v="0"/>
    <n v="20.16"/>
    <n v="1212.48"/>
    <n v="7120.3710359999995"/>
    <n v="16590.659040099999"/>
    <n v="102.80056318298611"/>
    <n v="8.2240450546388892"/>
    <n v="3.289618021855556"/>
    <n v="51.314022900000012"/>
    <n v="19.396700656200004"/>
    <n v="448.30536831999984"/>
    <n v="12.217624499999999"/>
    <n v="645.54794263568044"/>
    <n v="123.80526159999998"/>
    <n v="29.729552949999995"/>
    <n v="2.5046130225000001"/>
    <n v="3.0544061249999999"/>
    <n v="19.005193666666667"/>
    <n v="67.321432343655005"/>
    <n v="245.42045970782161"/>
    <n v="0"/>
    <n v="0"/>
    <n v="0"/>
    <n v="0"/>
    <n v="245.42045970782161"/>
    <n v="544.70807869223825"/>
    <n v="0"/>
    <n v="0"/>
    <n v="0"/>
    <n v="0"/>
    <n v="544.70807869223825"/>
    <n v="32687.484921135743"/>
    <n v="2286.9657063871396"/>
    <n v="1921.0511933651983"/>
    <n v="8.8629737609329504E-2"/>
    <n v="1.9241982507288629E-2"/>
    <n v="0.05"/>
    <n v="5.8309037900874633E-2"/>
    <n v="0.14250000000000002"/>
    <n v="0.16618075801749277"/>
    <n v="6131.3224600309659"/>
    <n v="10339.339359783302"/>
    <n v="43026.824280919041"/>
    <n v="516321.8913710285"/>
    <d v="2025-01-01T00:00:00"/>
    <s v="-"/>
    <s v="-"/>
  </r>
  <r>
    <s v="1.024.10"/>
    <x v="13"/>
    <x v="17"/>
    <s v="SEAC/SINDEAC"/>
    <s v="Apoio"/>
    <x v="0"/>
    <n v="22"/>
    <n v="0"/>
    <n v="53882.5452"/>
    <n v="0"/>
    <n v="0"/>
    <n v="0"/>
    <n v="0"/>
    <n v="0"/>
    <n v="0"/>
    <n v="0"/>
    <n v="53882.5452"/>
    <n v="10776.509040000001"/>
    <n v="808.23817799999995"/>
    <n v="538.82545200000004"/>
    <n v="107.76509040000001"/>
    <n v="1347.0636300000001"/>
    <n v="4310.6036160000003"/>
    <n v="2155.3018080000002"/>
    <n v="323.2952712"/>
    <n v="20367.602085600003"/>
    <n v="4490.2120999999997"/>
    <n v="5986.949466666666"/>
    <n v="3960.3670722000006"/>
    <n v="14437.528638866666"/>
    <n v="6667.0472879999998"/>
    <n v="12804"/>
    <n v="0"/>
    <n v="2109.8000000000002"/>
    <n v="0"/>
    <n v="0"/>
    <n v="73.92"/>
    <n v="4445.76"/>
    <n v="26100.527288000001"/>
    <n v="60905.658012466673"/>
    <n v="377.81185097893513"/>
    <n v="30.224948078314821"/>
    <n v="12.089979231325927"/>
    <n v="188.58890820000002"/>
    <n v="71.286607299600021"/>
    <n v="1647.6084932266663"/>
    <n v="44.902121000000008"/>
    <n v="2372.5129080148422"/>
    <n v="455.00815946666665"/>
    <n v="109.26182776666666"/>
    <n v="9.2049348050000006"/>
    <n v="11.225530250000002"/>
    <n v="69.847743777777779"/>
    <n v="247.41921811299002"/>
    <n v="901.96741417910118"/>
    <n v="0"/>
    <n v="0"/>
    <n v="0"/>
    <n v="0"/>
    <n v="901.96741417910118"/>
    <n v="12729.471321326639"/>
    <n v="0"/>
    <n v="0"/>
    <n v="0"/>
    <n v="0"/>
    <n v="12729.471321326639"/>
    <n v="130792.15485598726"/>
    <n v="8385.5409234195122"/>
    <n v="7043.854375672393"/>
    <n v="8.8629737609329504E-2"/>
    <n v="1.9241982507288629E-2"/>
    <n v="0.05"/>
    <n v="5.8309037900874633E-2"/>
    <n v="0.14250000000000002"/>
    <n v="0.16618075801749277"/>
    <n v="24299.20804326389"/>
    <n v="39728.603342355796"/>
    <n v="170520.75819834307"/>
    <n v="2046249.0983801167"/>
    <d v="2025-01-01T00:00:00"/>
    <s v="-"/>
    <s v="-"/>
  </r>
  <r>
    <s v="1.024.11"/>
    <x v="13"/>
    <x v="18"/>
    <s v="SEAC/SINDEAC"/>
    <s v="Apoio"/>
    <x v="0"/>
    <n v="8"/>
    <n v="0"/>
    <n v="29390.425599999999"/>
    <n v="0"/>
    <n v="2428.8000000000002"/>
    <n v="0"/>
    <n v="0"/>
    <n v="0"/>
    <n v="0"/>
    <n v="0"/>
    <n v="31819.225599999998"/>
    <n v="6363.84512"/>
    <n v="477.28838399999995"/>
    <n v="318.19225599999999"/>
    <n v="63.638451199999999"/>
    <n v="795.48063999999999"/>
    <n v="2545.5380479999999"/>
    <n v="1272.7690239999999"/>
    <n v="190.9153536"/>
    <n v="12027.667276799999"/>
    <n v="2651.6021333333329"/>
    <n v="3535.4695111111105"/>
    <n v="2338.7130815999994"/>
    <n v="8525.7847260444432"/>
    <n v="1836.574464"/>
    <n v="4656"/>
    <n v="0"/>
    <n v="767.2"/>
    <n v="0"/>
    <n v="0"/>
    <n v="26.88"/>
    <n v="1616.64"/>
    <n v="8903.2944640000005"/>
    <n v="29456.746466844445"/>
    <n v="223.10899524197529"/>
    <n v="17.848719619358025"/>
    <n v="7.1394878477432107"/>
    <n v="111.36728960000001"/>
    <n v="42.096835468800009"/>
    <n v="972.96120945777761"/>
    <n v="26.516021333333335"/>
    <n v="1401.0385585689876"/>
    <n v="268.69568284444438"/>
    <n v="64.522318577777767"/>
    <n v="5.4357843733333331"/>
    <n v="6.6290053333333336"/>
    <n v="41.247144296296291"/>
    <n v="146.10831559072003"/>
    <n v="532.6382510159051"/>
    <n v="0"/>
    <n v="0"/>
    <n v="0"/>
    <n v="0"/>
    <n v="532.6382510159051"/>
    <n v="5278.8401311537291"/>
    <n v="0"/>
    <n v="0"/>
    <n v="0"/>
    <n v="0"/>
    <n v="5278.8401311537291"/>
    <n v="68488.489007583063"/>
    <n v="3049.2876085161861"/>
    <n v="2561.4015911535976"/>
    <n v="8.8629737609329504E-2"/>
    <n v="1.9241982507288629E-2"/>
    <n v="0.05"/>
    <n v="5.8309037900874633E-2"/>
    <n v="0.14250000000000002"/>
    <n v="0.16618075801749277"/>
    <n v="12313.857602954558"/>
    <n v="17924.54680262434"/>
    <n v="86413.035810207395"/>
    <n v="1036956.4297224887"/>
    <d v="2025-01-01T00:00:00"/>
    <s v="-"/>
    <s v="-"/>
  </r>
  <r>
    <s v="1.024.12"/>
    <x v="13"/>
    <x v="19"/>
    <s v="SEAC/SINDEAC"/>
    <s v="Apoio"/>
    <x v="0"/>
    <n v="20"/>
    <n v="0"/>
    <n v="32982.305999999997"/>
    <n v="0"/>
    <n v="0"/>
    <n v="0"/>
    <n v="0"/>
    <n v="0"/>
    <n v="0"/>
    <n v="0"/>
    <n v="32982.305999999997"/>
    <n v="6596.4611999999997"/>
    <n v="494.73458999999997"/>
    <n v="329.82306"/>
    <n v="65.964612000000002"/>
    <n v="824.55764999999997"/>
    <n v="2638.58448"/>
    <n v="1319.29224"/>
    <n v="197.89383600000002"/>
    <n v="12467.311668000002"/>
    <n v="2748.5254999999997"/>
    <n v="3664.7006666666666"/>
    <n v="2424.1994909999999"/>
    <n v="8837.4256576666648"/>
    <n v="7021.0616399999999"/>
    <n v="11640"/>
    <n v="0"/>
    <n v="1918"/>
    <n v="0"/>
    <n v="0"/>
    <n v="67.2"/>
    <n v="4041.6000000000004"/>
    <n v="24687.861639999996"/>
    <n v="45992.598965666657"/>
    <n v="231.26424398032407"/>
    <n v="18.501139518425926"/>
    <n v="7.4004558073703723"/>
    <n v="115.43807100000001"/>
    <n v="43.635590838000013"/>
    <n v="1008.5256234666665"/>
    <n v="27.485254999999999"/>
    <n v="1452.2503796107867"/>
    <n v="278.51725066666665"/>
    <n v="66.880787166666664"/>
    <n v="5.6344772749999992"/>
    <n v="6.8713137499999997"/>
    <n v="42.754841111111112"/>
    <n v="151.44897724845003"/>
    <n v="552.1076472178944"/>
    <n v="0"/>
    <n v="0"/>
    <n v="0"/>
    <n v="0"/>
    <n v="552.1076472178944"/>
    <n v="2033.5738688634308"/>
    <n v="0"/>
    <n v="0"/>
    <n v="0"/>
    <n v="0"/>
    <n v="2033.5738688634308"/>
    <n v="83012.836861358752"/>
    <n v="7623.2190212904652"/>
    <n v="6403.5039778839937"/>
    <n v="8.8629737609329504E-2"/>
    <n v="1.9241982507288629E-2"/>
    <n v="0.05"/>
    <n v="5.8309037900874633E-2"/>
    <n v="0.14250000000000002"/>
    <n v="0.16618075801749277"/>
    <n v="16126.107615307274"/>
    <n v="30152.830614481732"/>
    <n v="113165.66747584048"/>
    <n v="1357988.0097100858"/>
    <d v="2025-01-01T00:00:00"/>
    <s v="-"/>
    <s v="-"/>
  </r>
  <r>
    <s v="1.024.13"/>
    <x v="13"/>
    <x v="3"/>
    <s v="SEAC/SINDEAC"/>
    <s v="Apoio"/>
    <x v="0"/>
    <n v="45"/>
    <n v="0"/>
    <n v="74210.188500000004"/>
    <n v="0"/>
    <n v="0"/>
    <n v="0"/>
    <n v="0"/>
    <n v="0"/>
    <n v="0"/>
    <n v="0"/>
    <n v="74210.188500000004"/>
    <n v="14842.037700000001"/>
    <n v="1113.1528275000001"/>
    <n v="742.10188500000004"/>
    <n v="148.420377"/>
    <n v="1855.2547125000001"/>
    <n v="5936.8150800000003"/>
    <n v="2968.4075400000002"/>
    <n v="445.26113100000003"/>
    <n v="28051.451253000007"/>
    <n v="6184.1823749999985"/>
    <n v="8245.5764999999992"/>
    <n v="5454.4488547499996"/>
    <n v="19884.207729749996"/>
    <n v="15797.388690000002"/>
    <n v="26190"/>
    <n v="0"/>
    <n v="4315.5"/>
    <n v="0"/>
    <n v="0"/>
    <n v="151.19999999999999"/>
    <n v="9093.6"/>
    <n v="55547.688689999995"/>
    <n v="103483.34767274998"/>
    <n v="520.34454895572912"/>
    <n v="41.627563916458335"/>
    <n v="16.651025566583336"/>
    <n v="259.73565975000002"/>
    <n v="98.180079385500022"/>
    <n v="2269.1826527999997"/>
    <n v="61.841823749999996"/>
    <n v="3267.5633541242701"/>
    <n v="626.66381399999989"/>
    <n v="150.48177112499999"/>
    <n v="12.677573868749999"/>
    <n v="15.460455937499999"/>
    <n v="96.198392499999997"/>
    <n v="340.76019880901254"/>
    <n v="1242.2422062402622"/>
    <n v="0"/>
    <n v="0"/>
    <n v="0"/>
    <n v="0"/>
    <n v="1242.2422062402622"/>
    <n v="2526.3771147895463"/>
    <n v="0"/>
    <n v="0"/>
    <n v="0"/>
    <n v="0"/>
    <n v="2526.3771147895463"/>
    <n v="184729.71884790406"/>
    <n v="17152.242797903546"/>
    <n v="14407.883950238986"/>
    <n v="8.8629737609329504E-2"/>
    <n v="1.9241982507288629E-2"/>
    <n v="0.05"/>
    <n v="5.8309037900874633E-2"/>
    <n v="0.14250000000000002"/>
    <n v="0.16618075801749277"/>
    <n v="35943.210492637489"/>
    <n v="67503.33724078002"/>
    <n v="252233.05608868407"/>
    <n v="3026796.6730642086"/>
    <d v="2025-01-01T00:00:00"/>
    <s v="-"/>
    <s v="-"/>
  </r>
  <r>
    <s v="1.024.14"/>
    <x v="13"/>
    <x v="20"/>
    <s v="SEAC/SINDEAC"/>
    <s v="Apoio"/>
    <x v="0"/>
    <n v="5"/>
    <n v="0"/>
    <n v="32274.35"/>
    <n v="0"/>
    <n v="0"/>
    <n v="0"/>
    <n v="0"/>
    <n v="0"/>
    <n v="0"/>
    <n v="0"/>
    <n v="32274.35"/>
    <n v="6454.8700000000008"/>
    <n v="484.11524999999995"/>
    <n v="322.74349999999998"/>
    <n v="64.548699999999997"/>
    <n v="806.8587500000001"/>
    <n v="2581.9479999999999"/>
    <n v="1290.9739999999999"/>
    <n v="193.64609999999999"/>
    <n v="12199.704300000003"/>
    <n v="2689.5291666666662"/>
    <n v="3586.0388888888888"/>
    <n v="2372.1647250000005"/>
    <n v="8647.7327805555542"/>
    <n v="313.5390000000001"/>
    <n v="2910"/>
    <n v="0"/>
    <n v="479.5"/>
    <n v="0"/>
    <n v="0"/>
    <n v="16.8"/>
    <n v="1010.4000000000001"/>
    <n v="4730.2390000000005"/>
    <n v="25577.676080555557"/>
    <n v="226.30022147955248"/>
    <n v="18.104017718364197"/>
    <n v="7.241607087345681"/>
    <n v="112.96022500000001"/>
    <n v="42.698965050000012"/>
    <n v="986.87790222222202"/>
    <n v="26.895291666666669"/>
    <n v="1421.0782302241512"/>
    <n v="272.5389555555555"/>
    <n v="65.445209722222216"/>
    <n v="5.5135347916666664"/>
    <n v="6.7238229166666672"/>
    <n v="41.837120370370364"/>
    <n v="148.19816718875001"/>
    <n v="540.25681054523147"/>
    <n v="0"/>
    <n v="0"/>
    <n v="0"/>
    <n v="0"/>
    <n v="540.25681054523147"/>
    <n v="453.9233989101985"/>
    <n v="0"/>
    <n v="0"/>
    <n v="0"/>
    <n v="0"/>
    <n v="453.9233989101985"/>
    <n v="60267.284520235131"/>
    <n v="1905.8047553226163"/>
    <n v="1600.8759944709984"/>
    <n v="8.8629737609329504E-2"/>
    <n v="1.9241982507288629E-2"/>
    <n v="0.05"/>
    <n v="5.8309037900874633E-2"/>
    <n v="0.14250000000000002"/>
    <n v="0.16618075801749277"/>
    <n v="10598.005890354634"/>
    <n v="14104.686640148248"/>
    <n v="74371.971160383386"/>
    <n v="892463.65392460069"/>
    <d v="2025-01-01T00:00:00"/>
    <s v="-"/>
    <s v="-"/>
  </r>
  <r>
    <s v="1.024.15"/>
    <x v="13"/>
    <x v="21"/>
    <s v="SEAC/SINDEAC"/>
    <s v="Apoio"/>
    <x v="0"/>
    <n v="12"/>
    <n v="0"/>
    <n v="19789.383600000001"/>
    <n v="0"/>
    <n v="0"/>
    <n v="0"/>
    <n v="0"/>
    <n v="0"/>
    <n v="0"/>
    <n v="0"/>
    <n v="19789.383600000001"/>
    <n v="3957.8767200000002"/>
    <n v="296.840754"/>
    <n v="197.89383600000002"/>
    <n v="39.578767200000001"/>
    <n v="494.73459000000003"/>
    <n v="1583.1506880000002"/>
    <n v="791.57534400000009"/>
    <n v="118.7363016"/>
    <n v="7480.3870008000013"/>
    <n v="1649.1152999999997"/>
    <n v="2198.8203999999996"/>
    <n v="1454.5196946000001"/>
    <n v="5302.4553945999996"/>
    <n v="4212.6369840000007"/>
    <n v="6984"/>
    <n v="0"/>
    <n v="1150.8000000000002"/>
    <n v="0"/>
    <n v="0"/>
    <n v="40.32"/>
    <n v="2424.96"/>
    <n v="14812.716983999999"/>
    <n v="27595.559379399994"/>
    <n v="138.75854638819442"/>
    <n v="11.100683711055556"/>
    <n v="4.4402734844222227"/>
    <n v="69.262842599999999"/>
    <n v="26.181354502800005"/>
    <n v="605.11537407999981"/>
    <n v="16.491153000000001"/>
    <n v="871.35022776647202"/>
    <n v="167.11035039999999"/>
    <n v="40.128472299999999"/>
    <n v="3.3806863649999999"/>
    <n v="4.1227882500000002"/>
    <n v="25.652904666666664"/>
    <n v="90.869386349070012"/>
    <n v="331.26458833073661"/>
    <n v="0"/>
    <n v="0"/>
    <n v="0"/>
    <n v="0"/>
    <n v="331.26458833073661"/>
    <n v="1292.3843213180587"/>
    <n v="0"/>
    <n v="0"/>
    <n v="0"/>
    <n v="0"/>
    <n v="1292.3843213180587"/>
    <n v="49879.942116815262"/>
    <n v="4573.9314127742791"/>
    <n v="3842.1023867303966"/>
    <n v="8.8629737609329504E-2"/>
    <n v="1.9241982507288629E-2"/>
    <n v="0.05"/>
    <n v="5.8309037900874633E-2"/>
    <n v="0.14250000000000002"/>
    <n v="0.16618075801749277"/>
    <n v="9687.6694671435471"/>
    <n v="18103.703266648223"/>
    <n v="67983.645383463474"/>
    <n v="815803.74460156169"/>
    <d v="2025-01-01T00:00:00"/>
    <s v="-"/>
    <s v="-"/>
  </r>
  <r>
    <s v="1.024.16"/>
    <x v="13"/>
    <x v="22"/>
    <s v="SETTASPOC"/>
    <s v="Apoio"/>
    <x v="0"/>
    <n v="8"/>
    <n v="0"/>
    <n v="14692.788"/>
    <n v="0"/>
    <n v="0"/>
    <n v="0"/>
    <n v="0"/>
    <n v="0"/>
    <n v="0"/>
    <n v="0"/>
    <n v="14692.788"/>
    <n v="2938.5576000000001"/>
    <n v="220.39182"/>
    <n v="146.92788000000002"/>
    <n v="29.385576"/>
    <n v="367.31970000000001"/>
    <n v="1175.4230400000001"/>
    <n v="587.71152000000006"/>
    <n v="88.156728000000001"/>
    <n v="5553.8738640000001"/>
    <n v="1224.3989999999999"/>
    <n v="1632.5319999999999"/>
    <n v="1079.9199179999998"/>
    <n v="3936.8509179999992"/>
    <n v="2718.4327199999998"/>
    <n v="4654.3999999999996"/>
    <n v="0"/>
    <n v="413.84"/>
    <n v="0"/>
    <n v="0"/>
    <n v="26.88"/>
    <n v="1616.64"/>
    <n v="9430.1927199999991"/>
    <n v="18920.917501999997"/>
    <n v="103.02240567361112"/>
    <n v="8.2417924538888894"/>
    <n v="3.2967169815555564"/>
    <n v="51.424758000000011"/>
    <n v="19.438558524000005"/>
    <n v="449.27280639999992"/>
    <n v="12.243990000000002"/>
    <n v="646.94102803305555"/>
    <n v="124.07243199999999"/>
    <n v="29.793709"/>
    <n v="2.5100179499999999"/>
    <n v="3.0609975000000005"/>
    <n v="19.046206666666667"/>
    <n v="67.46671125810002"/>
    <n v="245.9500743747667"/>
    <n v="0"/>
    <n v="0"/>
    <n v="0"/>
    <n v="0"/>
    <n v="245.9500743747667"/>
    <n v="352.89077158965085"/>
    <n v="0"/>
    <n v="0"/>
    <n v="0"/>
    <n v="0"/>
    <n v="352.89077158965085"/>
    <n v="34859.487375997473"/>
    <n v="3049.2876085161861"/>
    <n v="2561.4015911535976"/>
    <n v="8.8629737609329504E-2"/>
    <n v="1.9241982507288629E-2"/>
    <n v="0.05"/>
    <n v="5.8309037900874633E-2"/>
    <n v="0.14250000000000002"/>
    <n v="0.16618075801749277"/>
    <n v="6725.3646204461638"/>
    <n v="12336.053820115947"/>
    <n v="47195.541196113423"/>
    <n v="566346.49435336108"/>
    <d v="2025-01-01T00:00:00"/>
    <s v="-"/>
    <s v="-"/>
  </r>
  <r>
    <s v="1.024.17"/>
    <x v="13"/>
    <x v="23"/>
    <s v="SEAC/SINDEAC"/>
    <s v="Apoio"/>
    <x v="0"/>
    <n v="18"/>
    <n v="0"/>
    <n v="66128.457599999994"/>
    <n v="19838.538"/>
    <n v="0"/>
    <n v="0"/>
    <n v="0"/>
    <n v="0"/>
    <n v="0"/>
    <n v="0"/>
    <n v="85966.995599999995"/>
    <n v="17193.399120000002"/>
    <n v="1289.504934"/>
    <n v="859.66995599999996"/>
    <n v="171.93399119999998"/>
    <n v="2149.1748900000002"/>
    <n v="6877.3596479999997"/>
    <n v="3438.6798239999998"/>
    <n v="515.8019736"/>
    <n v="32495.524336800001"/>
    <n v="7163.9162999999999"/>
    <n v="9551.888399999998"/>
    <n v="6318.574176600001"/>
    <n v="23034.3788766"/>
    <n v="4132.2925439999999"/>
    <n v="10476"/>
    <n v="0"/>
    <n v="1726.2"/>
    <n v="0"/>
    <n v="0"/>
    <n v="60.48"/>
    <n v="3637.44"/>
    <n v="20032.412544000003"/>
    <n v="75562.315757399992"/>
    <n v="602.78054071458325"/>
    <n v="48.222443257166674"/>
    <n v="19.28897730286667"/>
    <n v="300.88448460000006"/>
    <n v="113.73433517880004"/>
    <n v="2628.6796876799995"/>
    <n v="71.639162999999996"/>
    <n v="3785.2296317334158"/>
    <n v="725.9435183999999"/>
    <n v="174.32196329999999"/>
    <n v="14.686028414999999"/>
    <n v="17.909790749999999"/>
    <n v="111.43869799999999"/>
    <n v="394.74539957097005"/>
    <n v="1439.0453984359699"/>
    <n v="0"/>
    <n v="0"/>
    <n v="0"/>
    <n v="0"/>
    <n v="1439.0453984359699"/>
    <n v="7936.2902950958915"/>
    <n v="0"/>
    <n v="0"/>
    <n v="0"/>
    <n v="0"/>
    <n v="7936.2902950958915"/>
    <n v="174689.87668266529"/>
    <n v="6860.8971191614182"/>
    <n v="5763.1535800955944"/>
    <n v="8.8629737609329504E-2"/>
    <n v="1.9241982507288629E-2"/>
    <n v="0.05"/>
    <n v="5.8309037900874633E-2"/>
    <n v="0.14250000000000002"/>
    <n v="0.16618075801749277"/>
    <n v="31127.970439561443"/>
    <n v="43752.021138818454"/>
    <n v="218441.89782148373"/>
    <n v="2621302.7738578049"/>
    <d v="2025-01-01T00:00:00"/>
    <s v="-"/>
    <s v="-"/>
  </r>
  <r>
    <s v="1.024.18"/>
    <x v="13"/>
    <x v="24"/>
    <s v="SEAC/SINDEAC"/>
    <s v="Apoio"/>
    <x v="0"/>
    <n v="2"/>
    <n v="0"/>
    <n v="8104.28"/>
    <n v="0"/>
    <n v="0"/>
    <n v="0"/>
    <n v="0"/>
    <n v="0"/>
    <n v="0"/>
    <n v="0"/>
    <n v="8104.28"/>
    <n v="1620.856"/>
    <n v="121.56419999999999"/>
    <n v="81.0428"/>
    <n v="16.208559999999999"/>
    <n v="202.607"/>
    <n v="648.3424"/>
    <n v="324.1712"/>
    <n v="48.625680000000003"/>
    <n v="3063.4178400000001"/>
    <n v="675.35666666666657"/>
    <n v="900.4755555555555"/>
    <n v="595.66458"/>
    <n v="2171.496802222222"/>
    <n v="413.74320000000006"/>
    <n v="1164"/>
    <n v="0"/>
    <n v="191.8"/>
    <n v="0"/>
    <n v="0"/>
    <n v="6.72"/>
    <n v="404.16"/>
    <n v="2180.4232000000002"/>
    <n v="7415.3378422222222"/>
    <n v="56.825322862654318"/>
    <n v="4.5460258290123461"/>
    <n v="1.8184103316049385"/>
    <n v="28.364980000000003"/>
    <n v="10.721962440000002"/>
    <n v="247.81087288888884"/>
    <n v="6.7535666666666669"/>
    <n v="356.8411410188271"/>
    <n v="68.436142222222216"/>
    <n v="16.433678888888888"/>
    <n v="1.3844811666666665"/>
    <n v="1.6883916666666667"/>
    <n v="10.505548148148147"/>
    <n v="37.213435511000007"/>
    <n v="135.66167760359258"/>
    <n v="897.25957142857135"/>
    <n v="897.25957142857135"/>
    <n v="0"/>
    <n v="0"/>
    <n v="1032.9212490321638"/>
    <n v="113.28595792508679"/>
    <n v="0"/>
    <n v="0"/>
    <n v="0"/>
    <n v="0"/>
    <n v="113.28595792508679"/>
    <n v="17022.666190198299"/>
    <n v="762.32190212904652"/>
    <n v="640.35039778839939"/>
    <n v="8.8629737609329504E-2"/>
    <n v="1.9241982507288629E-2"/>
    <n v="0.05"/>
    <n v="5.8309037900874633E-2"/>
    <n v="0.14250000000000002"/>
    <n v="0.16618075801749277"/>
    <n v="3061.93671701632"/>
    <n v="4464.6090169337658"/>
    <n v="21487.275207132065"/>
    <n v="257847.30248558478"/>
    <d v="2025-01-01T00:00:00"/>
    <s v="-"/>
    <s v="-"/>
  </r>
  <r>
    <s v="1.024.19"/>
    <x v="13"/>
    <x v="25"/>
    <s v="SEAC/SINDEAC"/>
    <s v="Apoio"/>
    <x v="0"/>
    <n v="2"/>
    <n v="0"/>
    <n v="8104.28"/>
    <n v="0"/>
    <n v="0"/>
    <n v="1633.0124000000001"/>
    <n v="0"/>
    <n v="0"/>
    <n v="0"/>
    <n v="0"/>
    <n v="9737.2924000000003"/>
    <n v="1947.4584800000002"/>
    <n v="146.05938599999999"/>
    <n v="97.372924000000012"/>
    <n v="19.474584800000002"/>
    <n v="243.43231000000003"/>
    <n v="778.98339200000009"/>
    <n v="389.49169600000005"/>
    <n v="58.4237544"/>
    <n v="3680.6965272000007"/>
    <n v="811.44103333333328"/>
    <n v="1081.9213777777777"/>
    <n v="715.69099140000003"/>
    <n v="2609.053402511111"/>
    <n v="413.74320000000006"/>
    <n v="1164"/>
    <n v="0"/>
    <n v="191.8"/>
    <n v="0"/>
    <n v="0"/>
    <n v="6.72"/>
    <n v="404.16"/>
    <n v="2180.4232000000002"/>
    <n v="8470.173129711111"/>
    <n v="68.275625279243826"/>
    <n v="5.4620500223395068"/>
    <n v="2.184820008935803"/>
    <n v="34.080523400000004"/>
    <n v="12.882437845200004"/>
    <n v="297.74476316444441"/>
    <n v="8.1144103333333337"/>
    <n v="428.74463005349691"/>
    <n v="82.226024711111108"/>
    <n v="19.745065144444442"/>
    <n v="1.6634541183333333"/>
    <n v="2.0286025833333334"/>
    <n v="12.622416074074074"/>
    <n v="44.711942674630009"/>
    <n v="162.99750530592632"/>
    <n v="1078.0573750714284"/>
    <n v="1078.0573750714284"/>
    <n v="0"/>
    <n v="0"/>
    <n v="1241.0548803773547"/>
    <n v="113.28595792508679"/>
    <n v="0"/>
    <n v="0"/>
    <n v="0"/>
    <n v="0"/>
    <n v="113.28595792508679"/>
    <n v="19990.55099806705"/>
    <n v="762.32190212904652"/>
    <n v="640.35039778839939"/>
    <n v="8.8629737609329504E-2"/>
    <n v="1.9241982507288629E-2"/>
    <n v="0.05"/>
    <n v="5.8309037900874633E-2"/>
    <n v="0.14250000000000002"/>
    <n v="0.16618075801749277"/>
    <n v="3555.1420640965503"/>
    <n v="4957.8143640139961"/>
    <n v="24948.365362081047"/>
    <n v="299380.38434497255"/>
    <d v="2025-01-01T00:00:00"/>
    <s v="-"/>
    <s v="-"/>
  </r>
  <r>
    <s v="1.024.20"/>
    <x v="13"/>
    <x v="26"/>
    <s v="SEAC/SINDEAC"/>
    <s v="Apoio"/>
    <x v="0"/>
    <n v="5"/>
    <n v="0"/>
    <n v="20260.7"/>
    <n v="0"/>
    <n v="0"/>
    <n v="0"/>
    <n v="0"/>
    <n v="0"/>
    <n v="0"/>
    <n v="0"/>
    <n v="20260.7"/>
    <n v="4052.14"/>
    <n v="303.91049999999996"/>
    <n v="202.607"/>
    <n v="40.5214"/>
    <n v="506.51749999999998"/>
    <n v="1620.856"/>
    <n v="810.428"/>
    <n v="121.5642"/>
    <n v="7658.5446000000002"/>
    <n v="1688.3916666666664"/>
    <n v="2251.1888888888889"/>
    <n v="1489.1614500000001"/>
    <n v="5428.7420055555549"/>
    <n v="1034.3580000000002"/>
    <n v="2910"/>
    <n v="0"/>
    <n v="479.5"/>
    <n v="0"/>
    <n v="0"/>
    <n v="16.8"/>
    <n v="1010.4000000000001"/>
    <n v="5451.0580000000009"/>
    <n v="18538.344605555554"/>
    <n v="142.0633071566358"/>
    <n v="11.365064572530866"/>
    <n v="4.5460258290123461"/>
    <n v="70.912450000000007"/>
    <n v="26.804906100000004"/>
    <n v="619.52718222222211"/>
    <n v="16.883916666666668"/>
    <n v="892.10285254706776"/>
    <n v="171.09035555555553"/>
    <n v="41.084197222222222"/>
    <n v="3.4612029166666662"/>
    <n v="4.2209791666666669"/>
    <n v="26.26387037037037"/>
    <n v="93.033588777500015"/>
    <n v="339.15419400898145"/>
    <n v="0"/>
    <n v="0"/>
    <n v="0"/>
    <n v="0"/>
    <n v="339.15419400898145"/>
    <n v="283.21489481271698"/>
    <n v="0"/>
    <n v="0"/>
    <n v="0"/>
    <n v="0"/>
    <n v="283.21489481271698"/>
    <n v="40313.516546924322"/>
    <n v="1905.8047553226163"/>
    <n v="1600.8759944709984"/>
    <n v="8.8629737609329504E-2"/>
    <n v="1.9241982507288629E-2"/>
    <n v="0.05"/>
    <n v="5.8309037900874633E-2"/>
    <n v="0.14250000000000002"/>
    <n v="0.16618075801749277"/>
    <n v="7282.073603244673"/>
    <n v="10788.75435303829"/>
    <n v="51102.270899962605"/>
    <n v="613227.25079955126"/>
    <d v="2025-01-01T00:00:00"/>
    <s v="-"/>
    <s v="-"/>
  </r>
  <r>
    <s v="1.024.21"/>
    <x v="13"/>
    <x v="27"/>
    <s v="SEAC/SINDEAC"/>
    <s v="Apoio"/>
    <x v="0"/>
    <n v="4"/>
    <n v="0"/>
    <n v="12260.204"/>
    <n v="0"/>
    <n v="0"/>
    <n v="0"/>
    <n v="0"/>
    <n v="0"/>
    <n v="0"/>
    <n v="0"/>
    <n v="12260.204"/>
    <n v="2452.0408000000002"/>
    <n v="183.90305999999998"/>
    <n v="122.60204"/>
    <n v="24.520408"/>
    <n v="306.50510000000003"/>
    <n v="980.81632000000002"/>
    <n v="490.40816000000001"/>
    <n v="73.561223999999996"/>
    <n v="4634.3571120000006"/>
    <n v="1021.6836666666666"/>
    <n v="1362.2448888888887"/>
    <n v="901.12499400000002"/>
    <n v="3285.053549555555"/>
    <n v="1064.3877600000001"/>
    <n v="2328"/>
    <n v="0"/>
    <n v="383.6"/>
    <n v="0"/>
    <n v="0"/>
    <n v="13.44"/>
    <n v="808.32"/>
    <n v="4597.7477600000002"/>
    <n v="12517.158421555556"/>
    <n v="85.965693517746914"/>
    <n v="6.8772554814197537"/>
    <n v="2.7509021925679016"/>
    <n v="42.910714000000006"/>
    <n v="16.220249892000005"/>
    <n v="374.88979342222217"/>
    <n v="10.216836666666667"/>
    <n v="539.83144517262349"/>
    <n v="103.53061155555554"/>
    <n v="24.86096922222222"/>
    <n v="2.0944515166666666"/>
    <n v="2.5542091666666669"/>
    <n v="15.892857037037036"/>
    <n v="56.296711232300005"/>
    <n v="205.22980973044815"/>
    <n v="0"/>
    <n v="0"/>
    <n v="0"/>
    <n v="0"/>
    <n v="205.22980973044815"/>
    <n v="494.21463716136765"/>
    <n v="0"/>
    <n v="0"/>
    <n v="0"/>
    <n v="0"/>
    <n v="494.21463716136765"/>
    <n v="26016.638313619991"/>
    <n v="1524.643804258093"/>
    <n v="1280.7007955767988"/>
    <n v="8.8629737609329504E-2"/>
    <n v="1.9241982507288629E-2"/>
    <n v="0.05"/>
    <n v="5.8309037900874633E-2"/>
    <n v="0.14250000000000002"/>
    <n v="0.16618075801749277"/>
    <n v="4789.6589681251571"/>
    <n v="7595.0035679600487"/>
    <n v="33611.641881580043"/>
    <n v="403339.70257896051"/>
    <d v="2025-01-01T00:00:00"/>
    <s v="-"/>
    <s v="-"/>
  </r>
  <r>
    <s v="1.024.22"/>
    <x v="13"/>
    <x v="28"/>
    <s v="SEAC/SINDEAC"/>
    <s v="Apoio"/>
    <x v="0"/>
    <n v="2"/>
    <n v="0"/>
    <n v="7367.5126"/>
    <n v="0"/>
    <n v="0"/>
    <n v="0"/>
    <n v="0"/>
    <n v="0"/>
    <n v="0"/>
    <n v="0"/>
    <n v="7367.5126"/>
    <n v="1473.50252"/>
    <n v="110.51268899999999"/>
    <n v="73.675126000000006"/>
    <n v="14.735025200000001"/>
    <n v="184.187815"/>
    <n v="589.40100800000005"/>
    <n v="294.70050400000002"/>
    <n v="44.205075600000001"/>
    <n v="2784.9197627999997"/>
    <n v="613.95938333333334"/>
    <n v="818.61251111111108"/>
    <n v="541.51217609999992"/>
    <n v="1974.0840705444443"/>
    <n v="457.94924400000002"/>
    <n v="1164"/>
    <n v="0"/>
    <n v="191.8"/>
    <n v="0"/>
    <n v="0"/>
    <n v="6.72"/>
    <n v="404.16"/>
    <n v="2224.6292439999997"/>
    <n v="6983.6330773444442"/>
    <n v="51.659281538850308"/>
    <n v="4.1327425231080248"/>
    <n v="1.6530970092432102"/>
    <n v="25.786294100000003"/>
    <n v="9.7472191698000028"/>
    <n v="225.28216305777775"/>
    <n v="6.1395938333333335"/>
    <n v="324.40039123211261"/>
    <n v="62.214550844444439"/>
    <n v="14.939678327777777"/>
    <n v="1.2586167358333333"/>
    <n v="1.5348984583333334"/>
    <n v="9.5504792962962952"/>
    <n v="33.830328544495003"/>
    <n v="123.32855220718018"/>
    <n v="815.68889909159964"/>
    <n v="815.68889909159964"/>
    <n v="0"/>
    <n v="0"/>
    <n v="939.01745129877986"/>
    <n v="125.31632513837035"/>
    <n v="0"/>
    <n v="187.2424"/>
    <n v="0"/>
    <n v="0"/>
    <n v="312.55872513837033"/>
    <n v="15927.122245013707"/>
    <n v="762.32190212904652"/>
    <n v="640.35039778839939"/>
    <n v="8.8629737609329504E-2"/>
    <n v="1.9241982507288629E-2"/>
    <n v="0.05"/>
    <n v="5.8309037900874633E-2"/>
    <n v="0.14250000000000002"/>
    <n v="0.16618075801749277"/>
    <n v="2879.8783937640701"/>
    <n v="4282.5506936815163"/>
    <n v="20209.672938695221"/>
    <n v="242516.07526434265"/>
    <d v="2025-01-01T00:00:00"/>
    <s v="-"/>
    <s v="-"/>
  </r>
  <r>
    <s v="1.024.23"/>
    <x v="13"/>
    <x v="29"/>
    <s v="SEAC/SINDEAC"/>
    <s v="Apoio"/>
    <x v="0"/>
    <n v="2"/>
    <n v="0"/>
    <n v="7367.5126"/>
    <n v="0"/>
    <n v="0"/>
    <n v="1484.5537999999999"/>
    <n v="0"/>
    <n v="0"/>
    <n v="0"/>
    <n v="0"/>
    <n v="8852.0663999999997"/>
    <n v="1770.41328"/>
    <n v="132.78099599999999"/>
    <n v="88.520663999999996"/>
    <n v="17.7041328"/>
    <n v="221.30166"/>
    <n v="708.16531199999997"/>
    <n v="354.08265599999999"/>
    <n v="53.112398399999996"/>
    <n v="3346.0810992000002"/>
    <n v="737.67219999999998"/>
    <n v="983.56293333333326"/>
    <n v="650.62688039999989"/>
    <n v="2371.8620137333328"/>
    <n v="457.94924400000002"/>
    <n v="1164"/>
    <n v="0"/>
    <n v="191.8"/>
    <n v="0"/>
    <n v="0"/>
    <n v="6.72"/>
    <n v="404.16"/>
    <n v="2224.6292439999997"/>
    <n v="7942.5723569333331"/>
    <n v="62.068626846759258"/>
    <n v="4.9654901477407414"/>
    <n v="1.9861960590962966"/>
    <n v="30.982232400000004"/>
    <n v="11.711283847200002"/>
    <n v="270.67651925333331"/>
    <n v="7.376722"/>
    <n v="389.76707055412959"/>
    <n v="74.750782933333326"/>
    <n v="17.950023533333333"/>
    <n v="1.5122280099999998"/>
    <n v="1.8441805"/>
    <n v="11.474900888888888"/>
    <n v="40.647139797180003"/>
    <n v="148.17925566273556"/>
    <n v="980.05021225855671"/>
    <n v="980.05021225855671"/>
    <n v="0"/>
    <n v="0"/>
    <n v="1128.2294679212923"/>
    <n v="125.31632513837035"/>
    <n v="0"/>
    <n v="187.2424"/>
    <n v="0"/>
    <n v="0"/>
    <n v="312.55872513837033"/>
    <n v="18625.194020547126"/>
    <n v="762.32190212904652"/>
    <n v="640.35039778839939"/>
    <n v="8.8629737609329504E-2"/>
    <n v="1.9241982507288629E-2"/>
    <n v="0.05"/>
    <n v="5.8309037900874633E-2"/>
    <n v="0.14250000000000002"/>
    <n v="0.16618075801749277"/>
    <n v="3328.2460066078161"/>
    <n v="4730.9183065252619"/>
    <n v="23356.112327072387"/>
    <n v="280273.34792486863"/>
    <d v="2025-01-01T00:00:00"/>
    <s v="-"/>
    <s v="-"/>
  </r>
  <r>
    <s v="1.024.24"/>
    <x v="13"/>
    <x v="30"/>
    <s v="SEAC/SINDEAC"/>
    <s v="Apoio"/>
    <x v="0"/>
    <n v="16"/>
    <n v="0"/>
    <n v="58940.1008"/>
    <n v="0"/>
    <n v="0"/>
    <n v="0"/>
    <n v="0"/>
    <n v="0"/>
    <n v="0"/>
    <n v="0"/>
    <n v="58940.1008"/>
    <n v="11788.02016"/>
    <n v="884.10151199999996"/>
    <n v="589.40100800000005"/>
    <n v="117.88020160000001"/>
    <n v="1473.50252"/>
    <n v="4715.2080640000004"/>
    <n v="2357.6040320000002"/>
    <n v="353.64060480000001"/>
    <n v="22279.358102399998"/>
    <n v="4911.6750666666667"/>
    <n v="6548.9000888888886"/>
    <n v="4332.0974087999994"/>
    <n v="15792.672564355555"/>
    <n v="3663.5939520000002"/>
    <n v="9312"/>
    <n v="0"/>
    <n v="1534.4"/>
    <n v="0"/>
    <n v="0"/>
    <n v="53.76"/>
    <n v="3233.28"/>
    <n v="17797.033951999998"/>
    <n v="55869.064618755554"/>
    <n v="413.27425231080247"/>
    <n v="33.061940184864198"/>
    <n v="13.224776073945682"/>
    <n v="206.29035280000002"/>
    <n v="77.977753358400022"/>
    <n v="1802.257304462222"/>
    <n v="49.116750666666668"/>
    <n v="2595.2031298569009"/>
    <n v="497.71640675555551"/>
    <n v="119.51742662222222"/>
    <n v="10.068933886666667"/>
    <n v="12.279187666666667"/>
    <n v="76.403834370370362"/>
    <n v="270.64262835596003"/>
    <n v="986.62841765744145"/>
    <n v="0"/>
    <n v="0"/>
    <n v="0"/>
    <n v="0"/>
    <n v="986.62841765744145"/>
    <n v="1002.5306011069628"/>
    <n v="0"/>
    <n v="1497.9392"/>
    <n v="0"/>
    <n v="0"/>
    <n v="2500.4698011069627"/>
    <n v="120891.46676737686"/>
    <n v="6098.5752170323722"/>
    <n v="5122.8031823071951"/>
    <n v="8.8629737609329504E-2"/>
    <n v="1.9241982507288629E-2"/>
    <n v="0.05"/>
    <n v="5.8309037900874633E-2"/>
    <n v="0.14250000000000002"/>
    <n v="0.16618075801749277"/>
    <n v="21954.612753652593"/>
    <n v="33175.991152992159"/>
    <n v="154067.45792036902"/>
    <n v="1848809.4950444284"/>
    <d v="2025-01-01T00:00:00"/>
    <s v="-"/>
    <s v="-"/>
  </r>
  <r>
    <s v="1.024.28"/>
    <x v="13"/>
    <x v="5"/>
    <s v="SEAC/SINDEAC"/>
    <s v="Apoio"/>
    <x v="0"/>
    <n v="6"/>
    <n v="0"/>
    <n v="13777.054199999999"/>
    <n v="0"/>
    <n v="1821.6000000000001"/>
    <n v="0"/>
    <n v="0"/>
    <n v="0"/>
    <n v="0"/>
    <n v="0"/>
    <n v="15598.654199999997"/>
    <n v="3119.7308399999993"/>
    <n v="233.97981299999998"/>
    <n v="155.98654199999999"/>
    <n v="31.197308399999997"/>
    <n v="389.96635499999991"/>
    <n v="1247.8923359999999"/>
    <n v="623.94616799999994"/>
    <n v="93.591925199999991"/>
    <n v="5896.2912875999991"/>
    <n v="1299.8878499999998"/>
    <n v="1733.1837999999998"/>
    <n v="1146.5010836999998"/>
    <n v="4179.5727336999989"/>
    <n v="1873.3767480000001"/>
    <n v="3492"/>
    <n v="0"/>
    <n v="575.40000000000009"/>
    <n v="0"/>
    <n v="0"/>
    <n v="20.16"/>
    <n v="1212.48"/>
    <n v="7173.4167479999996"/>
    <n v="17249.2807693"/>
    <n v="109.37412837881945"/>
    <n v="8.7499302703055548"/>
    <n v="3.4999721081222219"/>
    <n v="54.595289700000002"/>
    <n v="20.637019506600005"/>
    <n v="476.9721817599999"/>
    <n v="12.998878499999998"/>
    <n v="686.82740022384701"/>
    <n v="131.72196879999998"/>
    <n v="31.630604349999995"/>
    <n v="2.6647700924999995"/>
    <n v="3.2497196249999996"/>
    <n v="20.220477666666664"/>
    <n v="71.626290321915008"/>
    <n v="261.11383085608162"/>
    <n v="0"/>
    <n v="0"/>
    <n v="0"/>
    <n v="0"/>
    <n v="261.11383085608162"/>
    <n v="1357.9993639387303"/>
    <n v="2650.8659677419355"/>
    <n v="678.67858064516122"/>
    <n v="0"/>
    <n v="0"/>
    <n v="4687.5439123258275"/>
    <n v="38483.420112705753"/>
    <n v="2286.9657063871396"/>
    <n v="1921.0511933651983"/>
    <n v="8.8629737609329504E-2"/>
    <n v="1.9241982507288629E-2"/>
    <n v="0.05"/>
    <n v="5.8309037900874633E-2"/>
    <n v="0.14250000000000002"/>
    <n v="0.16618075801749277"/>
    <n v="7094.4953635863312"/>
    <n v="11302.512263338669"/>
    <n v="49785.932376044424"/>
    <n v="597431.18851253309"/>
    <d v="2025-01-01T00:00:00"/>
    <s v="-"/>
    <s v="-"/>
  </r>
  <r>
    <s v="1.024.25"/>
    <x v="13"/>
    <x v="31"/>
    <s v="SEAC/SINDEAC"/>
    <s v="Apoio"/>
    <x v="0"/>
    <n v="2"/>
    <n v="0"/>
    <n v="9609.24"/>
    <n v="0"/>
    <n v="0"/>
    <n v="0"/>
    <n v="0"/>
    <n v="0"/>
    <n v="0"/>
    <n v="0"/>
    <n v="9609.24"/>
    <n v="1921.848"/>
    <n v="144.1386"/>
    <n v="96.092399999999998"/>
    <n v="19.21848"/>
    <n v="240.23099999999999"/>
    <n v="768.73919999999998"/>
    <n v="384.36959999999999"/>
    <n v="57.655439999999999"/>
    <n v="3632.2927199999999"/>
    <n v="800.77"/>
    <n v="1067.6933333333332"/>
    <n v="706.27913999999998"/>
    <n v="2574.7424733333332"/>
    <n v="323.44560000000001"/>
    <n v="1164"/>
    <n v="0"/>
    <n v="191.8"/>
    <n v="0"/>
    <n v="0"/>
    <n v="6.72"/>
    <n v="404.16"/>
    <n v="2090.1255999999998"/>
    <n v="8297.1607933333325"/>
    <n v="67.377751689814815"/>
    <n v="5.3902201351851859"/>
    <n v="2.1560880540740746"/>
    <n v="33.632340000000006"/>
    <n v="12.713024520000003"/>
    <n v="293.82920533333328"/>
    <n v="8.0076999999999998"/>
    <n v="423.1063297324074"/>
    <n v="81.144693333333322"/>
    <n v="19.485403333333331"/>
    <n v="1.6415784999999998"/>
    <n v="2.001925"/>
    <n v="12.456422222222221"/>
    <n v="44.123948463000005"/>
    <n v="160.85397085188885"/>
    <n v="0"/>
    <n v="0"/>
    <n v="0"/>
    <n v="0"/>
    <n v="160.85397085188885"/>
    <n v="181.56935956407941"/>
    <n v="0"/>
    <n v="0"/>
    <n v="0"/>
    <n v="0"/>
    <n v="181.56935956407941"/>
    <n v="18671.930453481709"/>
    <n v="762.32190212904652"/>
    <n v="640.35039778839939"/>
    <n v="8.8629737609329504E-2"/>
    <n v="1.9241982507288629E-2"/>
    <n v="0.05"/>
    <n v="5.8309037900874633E-2"/>
    <n v="0.14250000000000002"/>
    <n v="0.16618075801749277"/>
    <n v="3336.0127024599192"/>
    <n v="4738.685002377365"/>
    <n v="23410.615455859075"/>
    <n v="280927.38547030889"/>
    <d v="2025-01-01T00:00:00"/>
    <s v="-"/>
    <s v="-"/>
  </r>
  <r>
    <s v="1.024.30"/>
    <x v="13"/>
    <x v="32"/>
    <s v="SEAC/SINDEAC"/>
    <s v="Apoio"/>
    <x v="0"/>
    <n v="1"/>
    <n v="0"/>
    <n v="1649.1152999999999"/>
    <n v="0"/>
    <n v="303.60000000000002"/>
    <n v="0"/>
    <n v="0"/>
    <n v="0"/>
    <n v="0"/>
    <n v="0"/>
    <n v="1952.7152999999998"/>
    <n v="390.54305999999997"/>
    <n v="29.290729499999998"/>
    <n v="19.527152999999998"/>
    <n v="3.9054305999999999"/>
    <n v="48.817882499999996"/>
    <n v="156.21722399999999"/>
    <n v="78.108611999999994"/>
    <n v="11.716291799999999"/>
    <n v="738.12638340000001"/>
    <n v="162.72627499999999"/>
    <n v="216.96836666666664"/>
    <n v="143.52457454999998"/>
    <n v="523.21921621666661"/>
    <n v="351.05308200000002"/>
    <n v="582"/>
    <n v="0"/>
    <n v="95.9"/>
    <n v="0"/>
    <n v="0"/>
    <n v="3.36"/>
    <n v="202.08"/>
    <n v="1234.3930819999998"/>
    <n v="2495.7386816166663"/>
    <n v="13.691984652719906"/>
    <n v="1.0953587722175926"/>
    <n v="0.43814350888703707"/>
    <n v="6.8345035500000009"/>
    <n v="2.5834423419000005"/>
    <n v="59.709694506666651"/>
    <n v="1.6272627499999999"/>
    <n v="85.980390082391182"/>
    <n v="16.489595866666665"/>
    <n v="3.959672691666666"/>
    <n v="0.33358886374999996"/>
    <n v="0.40681568749999997"/>
    <n v="2.531297611111111"/>
    <n v="8.9665269324225001"/>
    <n v="32.687497653116935"/>
    <n v="0"/>
    <n v="0"/>
    <n v="0"/>
    <n v="0"/>
    <n v="32.687497653116935"/>
    <n v="130.12869344317153"/>
    <n v="75.19916666666667"/>
    <n v="94.635000000000005"/>
    <n v="1012.8216666666667"/>
    <n v="0"/>
    <n v="1312.7845267765049"/>
    <n v="5879.9063961286793"/>
    <n v="381.16095106452326"/>
    <n v="320.1751988941997"/>
    <n v="8.8629737609329504E-2"/>
    <n v="1.9241982507288629E-2"/>
    <n v="0.05"/>
    <n v="5.8309037900874633E-2"/>
    <n v="0.14250000000000002"/>
    <n v="0.16618075801749277"/>
    <n v="1093.6758750057786"/>
    <n v="1795.0120249645015"/>
    <n v="7674.9184210931808"/>
    <n v="92099.021053118166"/>
    <d v="2025-01-01T00:00:00"/>
    <s v="-"/>
    <s v="-"/>
  </r>
  <r>
    <s v="1.024.31"/>
    <x v="13"/>
    <x v="33"/>
    <s v="SEAC/SINDEAC"/>
    <s v="Apoio"/>
    <x v="0"/>
    <n v="7"/>
    <n v="0"/>
    <n v="17243.053800000002"/>
    <n v="0"/>
    <n v="0"/>
    <n v="0"/>
    <n v="0"/>
    <n v="0"/>
    <n v="0"/>
    <n v="0"/>
    <n v="17243.053800000002"/>
    <n v="3448.61076"/>
    <n v="258.64580699999999"/>
    <n v="172.43053800000001"/>
    <n v="34.486107599999997"/>
    <n v="431.076345"/>
    <n v="1379.4443040000001"/>
    <n v="689.72215200000005"/>
    <n v="103.4583228"/>
    <n v="6517.8743363999993"/>
    <n v="1436.9211500000001"/>
    <n v="1915.8948666666665"/>
    <n v="1267.3644542999996"/>
    <n v="4620.1804709666667"/>
    <n v="2115.416772"/>
    <n v="4074"/>
    <n v="0"/>
    <n v="671.30000000000007"/>
    <n v="0"/>
    <n v="0"/>
    <n v="23.52"/>
    <n v="1414.5600000000002"/>
    <n v="8298.7967719999997"/>
    <n v="19436.851579366667"/>
    <n v="120.90427518831019"/>
    <n v="9.6723420150648156"/>
    <n v="3.868936806025927"/>
    <n v="60.350688300000009"/>
    <n v="22.812560177400009"/>
    <n v="527.25426730666663"/>
    <n v="14.369211500000002"/>
    <n v="759.23228129346751"/>
    <n v="145.60800986666666"/>
    <n v="34.965081316666662"/>
    <n v="2.9456883574999999"/>
    <n v="3.5923028750000006"/>
    <n v="22.352106777777777"/>
    <n v="79.177085515185013"/>
    <n v="288.64027470879608"/>
    <n v="0"/>
    <n v="0"/>
    <n v="0"/>
    <n v="0"/>
    <n v="288.64027470879608"/>
    <n v="690.98718634401655"/>
    <n v="0"/>
    <n v="0"/>
    <n v="0"/>
    <n v="0"/>
    <n v="690.98718634401655"/>
    <n v="38418.765121712939"/>
    <n v="2668.126657451663"/>
    <n v="2241.2263922593979"/>
    <n v="8.8629737609329504E-2"/>
    <n v="1.9241982507288629E-2"/>
    <n v="0.05"/>
    <n v="5.8309037900874633E-2"/>
    <n v="0.14250000000000002"/>
    <n v="0.16618075801749277"/>
    <n v="7200.2995211987427"/>
    <n v="12109.652570909802"/>
    <n v="50528.417692622737"/>
    <n v="606341.01231147279"/>
    <d v="2025-01-01T00:00:00"/>
    <s v="-"/>
    <s v="-"/>
  </r>
  <r>
    <s v="1.024.32"/>
    <x v="13"/>
    <x v="34"/>
    <s v="SEAC/SINDEAC"/>
    <s v="Apoio"/>
    <x v="0"/>
    <n v="13"/>
    <n v="0"/>
    <n v="47759.441599999998"/>
    <n v="0"/>
    <n v="3946.8"/>
    <n v="0"/>
    <n v="0"/>
    <n v="0"/>
    <n v="0"/>
    <n v="0"/>
    <n v="51706.241599999994"/>
    <n v="10341.248320000001"/>
    <n v="775.59362399999986"/>
    <n v="517.06241599999998"/>
    <n v="103.4124832"/>
    <n v="1292.6560400000001"/>
    <n v="4136.4993279999999"/>
    <n v="2068.2496639999999"/>
    <n v="310.23744959999999"/>
    <n v="19544.959324799998"/>
    <n v="4308.8534666666656"/>
    <n v="5745.1379555555541"/>
    <n v="3800.4087575999993"/>
    <n v="13854.40017982222"/>
    <n v="2984.4335040000001"/>
    <n v="7566"/>
    <n v="0"/>
    <n v="1246.7"/>
    <n v="0"/>
    <n v="0"/>
    <n v="43.68"/>
    <n v="2627.04"/>
    <n v="14467.853504000001"/>
    <n v="47867.213008622224"/>
    <n v="362.55211726820983"/>
    <n v="29.004169381456791"/>
    <n v="11.601667752582717"/>
    <n v="180.97184560000002"/>
    <n v="68.407357636800015"/>
    <n v="1581.0619653688887"/>
    <n v="43.088534666666668"/>
    <n v="2276.6876576746049"/>
    <n v="436.63048462222213"/>
    <n v="104.84876768888887"/>
    <n v="8.8331496066666659"/>
    <n v="10.772133666666667"/>
    <n v="67.026609481481472"/>
    <n v="237.42601283492004"/>
    <n v="865.53715790084584"/>
    <n v="0"/>
    <n v="0"/>
    <n v="0"/>
    <n v="0"/>
    <n v="865.53715790084584"/>
    <n v="5247.7318797914768"/>
    <n v="0"/>
    <n v="0"/>
    <n v="0"/>
    <n v="0"/>
    <n v="5247.7318797914768"/>
    <n v="107963.41130398912"/>
    <n v="4955.0923638388022"/>
    <n v="4162.2775856245962"/>
    <n v="8.8629737609329504E-2"/>
    <n v="1.9241982507288629E-2"/>
    <n v="0.05"/>
    <n v="5.8309037900874633E-2"/>
    <n v="0.14250000000000002"/>
    <n v="0.16618075801749277"/>
    <n v="19456.572977978998"/>
    <n v="28573.942927442396"/>
    <n v="136537.35423143153"/>
    <n v="1638448.2507771784"/>
    <d v="2025-01-01T00:00:00"/>
    <s v="-"/>
    <s v="-"/>
  </r>
  <r>
    <s v="1.024.33"/>
    <x v="13"/>
    <x v="35"/>
    <s v="Rodoviarios de Belo Horizonte + SEAC-MG"/>
    <s v="Apoio"/>
    <x v="0"/>
    <n v="2"/>
    <n v="0"/>
    <n v="9116.1419999999998"/>
    <n v="0"/>
    <n v="0"/>
    <n v="0"/>
    <n v="0"/>
    <n v="0"/>
    <n v="0"/>
    <n v="0"/>
    <n v="9116.1419999999998"/>
    <n v="1823.2284"/>
    <n v="136.74213"/>
    <n v="91.161420000000007"/>
    <n v="18.232284"/>
    <n v="227.90355"/>
    <n v="729.29136000000005"/>
    <n v="364.64568000000003"/>
    <n v="54.696852"/>
    <n v="3445.9016760000004"/>
    <n v="759.67849999999999"/>
    <n v="1012.9046666666666"/>
    <n v="670.03643700000009"/>
    <n v="2442.6196036666665"/>
    <n v="353.03147999999999"/>
    <n v="1156.8"/>
    <n v="0"/>
    <n v="36.700000000000003"/>
    <n v="0"/>
    <n v="0"/>
    <n v="6.72"/>
    <n v="1324.84"/>
    <n v="2878.09148"/>
    <n v="8766.6127596666665"/>
    <n v="63.920263417824074"/>
    <n v="5.113621073425926"/>
    <n v="2.0454484293703707"/>
    <n v="31.906497000000005"/>
    <n v="12.060655866000003"/>
    <n v="278.7513642666666"/>
    <n v="7.5967850000000006"/>
    <n v="401.394635053287"/>
    <n v="76.980754666666655"/>
    <n v="18.485510166666664"/>
    <n v="1.5573409249999999"/>
    <n v="1.8991962500000001"/>
    <n v="11.817221111111111"/>
    <n v="41.859728739150007"/>
    <n v="152.59975185859446"/>
    <n v="1009.2871487518717"/>
    <n v="1009.2871487518717"/>
    <n v="0"/>
    <n v="0"/>
    <n v="1161.886900610466"/>
    <n v="184.2015275431414"/>
    <n v="0"/>
    <n v="0"/>
    <n v="0"/>
    <n v="0"/>
    <n v="184.2015275431414"/>
    <n v="19630.237822873558"/>
    <n v="762.32190212904652"/>
    <n v="640.35039778839939"/>
    <n v="8.8629737609329504E-2"/>
    <n v="1.9241982507288629E-2"/>
    <n v="0.05"/>
    <n v="5.8309037900874633E-2"/>
    <n v="0.14250000000000002"/>
    <n v="0.16618075801749277"/>
    <n v="3495.2649475192056"/>
    <n v="4897.9372474366519"/>
    <n v="24528.175070310208"/>
    <n v="294338.10084372247"/>
    <d v="2025-01-01T00:00:00"/>
    <s v="-"/>
    <s v="-"/>
  </r>
  <r>
    <s v="1.024.34"/>
    <x v="13"/>
    <x v="36"/>
    <s v="Rodoviarios de Belo Horizonte + SEAC-MG"/>
    <s v="Apoio"/>
    <x v="0"/>
    <n v="1"/>
    <n v="0"/>
    <n v="3107.7757000000001"/>
    <n v="0"/>
    <n v="0"/>
    <n v="0"/>
    <n v="0"/>
    <n v="0"/>
    <n v="0"/>
    <n v="0"/>
    <n v="3107.7757000000001"/>
    <n v="621.55514000000005"/>
    <n v="46.616635500000001"/>
    <n v="31.077757000000002"/>
    <n v="6.2155514000000007"/>
    <n v="77.694392500000006"/>
    <n v="248.62205600000001"/>
    <n v="124.31102800000001"/>
    <n v="18.6466542"/>
    <n v="1174.7392146000002"/>
    <n v="258.98130833333335"/>
    <n v="345.30841111111113"/>
    <n v="228.42151395000005"/>
    <n v="832.71123339444455"/>
    <n v="263.533458"/>
    <n v="578.4"/>
    <n v="0"/>
    <n v="18.350000000000001"/>
    <n v="0"/>
    <n v="0"/>
    <n v="3.36"/>
    <n v="662.42"/>
    <n v="1526.0634580000001"/>
    <n v="3533.5139059944449"/>
    <n v="21.790999019926698"/>
    <n v="1.7432799215941359"/>
    <n v="0.69731196863765443"/>
    <n v="10.877214950000003"/>
    <n v="4.1115872511000013"/>
    <n v="95.02887473777777"/>
    <n v="2.5898130833333335"/>
    <n v="136.83908093236957"/>
    <n v="26.243439244444442"/>
    <n v="6.3018785027777779"/>
    <n v="0.53091168208333339"/>
    <n v="0.64745327083333337"/>
    <n v="4.0285981296296294"/>
    <n v="14.270362153652503"/>
    <n v="52.022642983421022"/>
    <n v="0"/>
    <n v="0"/>
    <n v="0"/>
    <n v="0"/>
    <n v="52.022642983421022"/>
    <n v="92.100763771570698"/>
    <n v="0"/>
    <n v="0"/>
    <n v="0"/>
    <n v="0"/>
    <n v="92.100763771570698"/>
    <n v="6922.2520936818064"/>
    <n v="381.16095106452326"/>
    <n v="320.1751988941997"/>
    <n v="8.8629737609329504E-2"/>
    <n v="1.9241982507288629E-2"/>
    <n v="0.05"/>
    <n v="5.8309037900874633E-2"/>
    <n v="0.14250000000000002"/>
    <n v="0.16618075801749277"/>
    <n v="1266.8936731414294"/>
    <n v="1968.2298231001523"/>
    <n v="8890.4819167819587"/>
    <n v="106685.7830013835"/>
    <d v="2025-01-01T00:00:00"/>
    <s v="-"/>
    <s v="-"/>
  </r>
  <r>
    <s v="1.024.35"/>
    <x v="13"/>
    <x v="6"/>
    <s v="Rodoviarios de Belo Horizonte + SEAC-MG"/>
    <s v="Apoio"/>
    <x v="0"/>
    <n v="91"/>
    <n v="0"/>
    <n v="414784.46100000001"/>
    <n v="0"/>
    <n v="0"/>
    <n v="0"/>
    <n v="0"/>
    <n v="0"/>
    <n v="0"/>
    <n v="0"/>
    <n v="414784.46100000001"/>
    <n v="82956.892200000002"/>
    <n v="6221.7669150000002"/>
    <n v="4147.8446100000001"/>
    <n v="829.56892200000004"/>
    <n v="10369.611525"/>
    <n v="33182.756880000001"/>
    <n v="16591.37844"/>
    <n v="2488.7067659999998"/>
    <n v="156788.52625800003"/>
    <n v="34565.371749999998"/>
    <n v="46087.162333333326"/>
    <n v="30486.657883500004"/>
    <n v="111139.19196683333"/>
    <n v="16062.932339999999"/>
    <n v="52634.400000000001"/>
    <n v="0"/>
    <n v="1669.8500000000001"/>
    <n v="0"/>
    <n v="0"/>
    <n v="305.76"/>
    <n v="60280.219999999994"/>
    <n v="130953.16234"/>
    <n v="398880.88056483335"/>
    <n v="2908.3719855109953"/>
    <n v="232.66975884087964"/>
    <n v="93.067903536351864"/>
    <n v="1451.7456135000002"/>
    <n v="548.75984190300017"/>
    <n v="12683.18707413333"/>
    <n v="345.65371750000003"/>
    <n v="18263.455894924558"/>
    <n v="3502.6243373333327"/>
    <n v="841.09071258333324"/>
    <n v="70.859012087499991"/>
    <n v="86.413429375000007"/>
    <n v="537.68356055555557"/>
    <n v="1904.6176576313253"/>
    <n v="6943.2887095660481"/>
    <n v="0"/>
    <n v="0"/>
    <n v="0"/>
    <n v="0"/>
    <n v="6943.2887095660481"/>
    <n v="8381.1695032129337"/>
    <n v="0"/>
    <n v="0"/>
    <n v="0"/>
    <n v="0"/>
    <n v="8381.1695032129337"/>
    <n v="847253.25567253679"/>
    <n v="34685.64654687162"/>
    <n v="29135.943099372173"/>
    <n v="8.8629737609329504E-2"/>
    <n v="1.9241982507288629E-2"/>
    <n v="0.05"/>
    <n v="5.8309037900874633E-2"/>
    <n v="0.14250000000000002"/>
    <n v="0.16618075801749277"/>
    <n v="151403.10840574492"/>
    <n v="215224.69805198873"/>
    <n v="1062477.9537245254"/>
    <n v="12749735.444694305"/>
    <d v="2025-01-01T00:00:00"/>
    <s v="-"/>
    <s v="-"/>
  </r>
  <r>
    <s v="1.024.36"/>
    <x v="13"/>
    <x v="37"/>
    <s v="Rodoviarios de Belo Horizonte + SEAC-MG"/>
    <s v="Apoio"/>
    <x v="0"/>
    <n v="13"/>
    <n v="0"/>
    <n v="59254.922999999995"/>
    <n v="0"/>
    <n v="0"/>
    <n v="0"/>
    <n v="17906.838299999999"/>
    <n v="0"/>
    <n v="0"/>
    <n v="0"/>
    <n v="77161.761299999998"/>
    <n v="15432.35226"/>
    <n v="1157.4264194999998"/>
    <n v="771.61761300000001"/>
    <n v="154.32352259999999"/>
    <n v="1929.0440325"/>
    <n v="6172.940904"/>
    <n v="3086.470452"/>
    <n v="462.97056780000003"/>
    <n v="29167.145771400003"/>
    <n v="6430.1467749999993"/>
    <n v="8573.5290333333323"/>
    <n v="5671.3894555499992"/>
    <n v="20675.065263883331"/>
    <n v="2294.70462"/>
    <n v="7519.2"/>
    <n v="0"/>
    <n v="238.55"/>
    <n v="0"/>
    <n v="0"/>
    <n v="43.68"/>
    <n v="8611.4599999999991"/>
    <n v="18707.59462"/>
    <n v="68549.80565528333"/>
    <n v="541.04028963998837"/>
    <n v="43.283223171199076"/>
    <n v="17.313289268479632"/>
    <n v="270.06616455000005"/>
    <n v="102.08501019990003"/>
    <n v="2359.4351899733329"/>
    <n v="64.30146775"/>
    <n v="3397.5246345528999"/>
    <n v="651.58820653333328"/>
    <n v="156.46690485833329"/>
    <n v="13.181800888749999"/>
    <n v="16.0753669375"/>
    <n v="100.02450538888888"/>
    <n v="354.31330458137256"/>
    <n v="1291.6500891881783"/>
    <n v="0"/>
    <n v="0"/>
    <n v="0"/>
    <n v="0"/>
    <n v="1291.6500891881783"/>
    <n v="1197.3099290304192"/>
    <n v="0"/>
    <n v="0"/>
    <n v="0"/>
    <n v="0"/>
    <n v="1197.3099290304192"/>
    <n v="151598.05160805484"/>
    <n v="4955.0923638388022"/>
    <n v="4162.2775856245962"/>
    <n v="8.8629737609329504E-2"/>
    <n v="1.9241982507288629E-2"/>
    <n v="0.05"/>
    <n v="5.8309037900874633E-2"/>
    <n v="0.14250000000000002"/>
    <n v="0.16618075801749277"/>
    <n v="26707.810579529279"/>
    <n v="35825.180528992671"/>
    <n v="187423.23213704751"/>
    <n v="2249078.7856445704"/>
    <d v="2025-01-01T00:00:00"/>
    <s v="-"/>
    <s v="-"/>
  </r>
  <r>
    <s v="3.024.35"/>
    <x v="13"/>
    <x v="6"/>
    <s v="Rodoviarios de Belo Horizonte + SEAC-MG"/>
    <s v="Apoio"/>
    <x v="1"/>
    <n v="7"/>
    <n v="0"/>
    <n v="31906.496999999999"/>
    <n v="0"/>
    <n v="0"/>
    <n v="0"/>
    <n v="0"/>
    <n v="0"/>
    <n v="0"/>
    <n v="0"/>
    <n v="31906.496999999999"/>
    <n v="6381.2993999999999"/>
    <n v="478.59745500000002"/>
    <n v="319.06497000000002"/>
    <n v="63.812994000000003"/>
    <n v="797.66242499999998"/>
    <n v="2552.5197600000001"/>
    <n v="1276.2598800000001"/>
    <n v="191.43898200000001"/>
    <n v="12060.655866000001"/>
    <n v="2658.8747499999999"/>
    <n v="3545.1663333333331"/>
    <n v="2345.1275295000005"/>
    <n v="8549.1686128333331"/>
    <n v="1235.6101799999999"/>
    <n v="4048.7999999999997"/>
    <n v="0"/>
    <n v="128.45000000000002"/>
    <n v="0"/>
    <n v="0"/>
    <n v="23.52"/>
    <n v="4636.9399999999996"/>
    <n v="10073.320180000001"/>
    <n v="30683.144658833335"/>
    <n v="223.72092196238427"/>
    <n v="17.897673756990741"/>
    <n v="7.1590695027962976"/>
    <n v="111.67273950000002"/>
    <n v="42.212295531000009"/>
    <n v="975.62977493333312"/>
    <n v="26.588747500000004"/>
    <n v="1404.8812226865045"/>
    <n v="269.43264133333332"/>
    <n v="64.699285583333321"/>
    <n v="5.4506932374999995"/>
    <n v="6.6471868750000009"/>
    <n v="41.360273888888891"/>
    <n v="146.50905058702503"/>
    <n v="534.09913150508055"/>
    <n v="0"/>
    <n v="0"/>
    <n v="0"/>
    <n v="0"/>
    <n v="534.09913150508055"/>
    <n v="644.70534640099493"/>
    <n v="0"/>
    <n v="0"/>
    <n v="0"/>
    <n v="0"/>
    <n v="644.70534640099493"/>
    <n v="65173.327359425901"/>
    <n v="2668.126657451663"/>
    <n v="2241.2263922593979"/>
    <n v="8.8629737609329504E-2"/>
    <n v="1.9241982507288629E-2"/>
    <n v="0.05"/>
    <n v="5.8309037900874633E-2"/>
    <n v="0.14250000000000002"/>
    <n v="0.16618075801749277"/>
    <n v="11646.392954288071"/>
    <n v="16555.746003999131"/>
    <n v="81729.073363425035"/>
    <n v="980748.88036110043"/>
    <d v="2025-01-01T00:00:00"/>
    <s v="-"/>
    <s v="-"/>
  </r>
  <r>
    <s v="1.024.37"/>
    <x v="13"/>
    <x v="38"/>
    <s v="SETTASPOC"/>
    <s v="Apoio"/>
    <x v="0"/>
    <n v="3"/>
    <n v="0"/>
    <n v="5501.5538999999999"/>
    <n v="0"/>
    <n v="0"/>
    <n v="0"/>
    <n v="0"/>
    <n v="0"/>
    <n v="0"/>
    <n v="0"/>
    <n v="5501.5538999999999"/>
    <n v="1100.31078"/>
    <n v="82.523308499999999"/>
    <n v="55.015539000000004"/>
    <n v="11.0031078"/>
    <n v="137.5388475"/>
    <n v="440.12431200000003"/>
    <n v="220.06215600000002"/>
    <n v="33.0093234"/>
    <n v="2079.5873741999999"/>
    <n v="458.46282500000001"/>
    <n v="611.28376666666668"/>
    <n v="404.36421164999996"/>
    <n v="1474.1108033166668"/>
    <n v="1019.9067660000001"/>
    <n v="1745.3999999999999"/>
    <n v="0"/>
    <n v="155.19"/>
    <n v="0"/>
    <n v="0"/>
    <n v="10.08"/>
    <n v="606.24"/>
    <n v="3536.8167659999999"/>
    <n v="7090.5149435166659"/>
    <n v="38.575613948900461"/>
    <n v="3.0860491159120373"/>
    <n v="1.2344196463648152"/>
    <n v="19.255438650000002"/>
    <n v="7.278555809700002"/>
    <n v="168.22529258666665"/>
    <n v="4.5846282500000006"/>
    <n v="242.23999800754399"/>
    <n v="46.45756626666666"/>
    <n v="11.155928741666665"/>
    <n v="0.93984879124999998"/>
    <n v="1.1461570625000002"/>
    <n v="7.1316439444444439"/>
    <n v="25.262172736867505"/>
    <n v="92.093317543395273"/>
    <n v="0"/>
    <n v="0"/>
    <n v="0"/>
    <n v="0"/>
    <n v="92.093317543395273"/>
    <n v="272.35403934611912"/>
    <n v="0"/>
    <n v="0"/>
    <n v="0"/>
    <n v="0"/>
    <n v="272.35403934611912"/>
    <n v="13198.756198413725"/>
    <n v="1143.4828531935698"/>
    <n v="960.52559668259914"/>
    <n v="8.8629737609329504E-2"/>
    <n v="1.9241982507288629E-2"/>
    <n v="0.05"/>
    <n v="5.8309037900874633E-2"/>
    <n v="0.14250000000000002"/>
    <n v="0.16618075801749277"/>
    <n v="2543.0250290161052"/>
    <n v="4647.0334788922737"/>
    <n v="17845.789677305998"/>
    <n v="214149.47612767198"/>
    <d v="2025-01-01T00:00:00"/>
    <s v="-"/>
    <s v="-"/>
  </r>
  <r>
    <s v="1.024.39"/>
    <x v="13"/>
    <x v="39"/>
    <s v="SEAC/SINDEAC"/>
    <s v="Apoio"/>
    <x v="0"/>
    <n v="6"/>
    <n v="0"/>
    <n v="22042.819199999998"/>
    <n v="0"/>
    <n v="0"/>
    <n v="0"/>
    <n v="0"/>
    <n v="0"/>
    <n v="0"/>
    <n v="0"/>
    <n v="22042.819199999998"/>
    <n v="4408.5638399999998"/>
    <n v="330.64228800000001"/>
    <n v="220.42819199999997"/>
    <n v="44.085638400000001"/>
    <n v="551.07047999999998"/>
    <n v="1763.4255359999997"/>
    <n v="881.71276799999987"/>
    <n v="132.25691520000001"/>
    <n v="8332.1856575999991"/>
    <n v="1836.9015999999999"/>
    <n v="2449.2021333333332"/>
    <n v="1620.1472112000001"/>
    <n v="5906.2509445333326"/>
    <n v="1377.430848"/>
    <n v="3492"/>
    <n v="0"/>
    <n v="575.40000000000009"/>
    <n v="0"/>
    <n v="0"/>
    <n v="20.16"/>
    <n v="1212.48"/>
    <n v="6677.4708480000008"/>
    <n v="20915.907450133331"/>
    <n v="154.55911170925924"/>
    <n v="12.364728936740741"/>
    <n v="4.9458915746962973"/>
    <n v="77.149867200000003"/>
    <n v="29.162649801600011"/>
    <n v="674.02042709333318"/>
    <n v="18.369016000000002"/>
    <n v="970.57169231562943"/>
    <n v="186.13936213333332"/>
    <n v="44.697938933333326"/>
    <n v="3.7656482799999997"/>
    <n v="4.5922540000000005"/>
    <n v="28.574024888888886"/>
    <n v="101.21676827304"/>
    <n v="368.98599650859552"/>
    <n v="0"/>
    <n v="0"/>
    <n v="0"/>
    <n v="0"/>
    <n v="368.98599650859552"/>
    <n v="2168.5850983652972"/>
    <n v="0"/>
    <n v="0"/>
    <n v="0"/>
    <n v="0"/>
    <n v="2168.5850983652972"/>
    <n v="46466.86943732285"/>
    <n v="2286.9657063871396"/>
    <n v="1921.0511933651983"/>
    <n v="8.8629737609329504E-2"/>
    <n v="1.9241982507288629E-2"/>
    <n v="0.05"/>
    <n v="5.8309037900874633E-2"/>
    <n v="0.14250000000000002"/>
    <n v="0.16618075801749277"/>
    <n v="8421.1910239454428"/>
    <n v="12629.207923697781"/>
    <n v="59096.077361020638"/>
    <n v="709152.92833224765"/>
    <d v="2025-01-01T00:00:00"/>
    <s v="-"/>
    <s v="-"/>
  </r>
  <r>
    <s v="1.024.40"/>
    <x v="13"/>
    <x v="40"/>
    <s v="SEAC/SINDEAC"/>
    <s v="Apoio"/>
    <x v="0"/>
    <n v="8"/>
    <n v="0"/>
    <n v="29390.425599999999"/>
    <n v="0"/>
    <n v="2428.8000000000002"/>
    <n v="0"/>
    <n v="0"/>
    <n v="0"/>
    <n v="0"/>
    <n v="0"/>
    <n v="31819.225599999998"/>
    <n v="6363.84512"/>
    <n v="477.28838399999995"/>
    <n v="318.19225599999999"/>
    <n v="63.638451199999999"/>
    <n v="795.48063999999999"/>
    <n v="2545.5380479999999"/>
    <n v="1272.7690239999999"/>
    <n v="190.9153536"/>
    <n v="12027.667276799999"/>
    <n v="2651.6021333333329"/>
    <n v="3535.4695111111105"/>
    <n v="2338.7130815999994"/>
    <n v="8525.7847260444432"/>
    <n v="1836.574464"/>
    <n v="4656"/>
    <n v="0"/>
    <n v="767.2"/>
    <n v="0"/>
    <n v="0"/>
    <n v="26.88"/>
    <n v="1616.64"/>
    <n v="8903.2944640000005"/>
    <n v="29456.746466844445"/>
    <n v="223.10899524197529"/>
    <n v="17.848719619358025"/>
    <n v="7.1394878477432107"/>
    <n v="111.36728960000001"/>
    <n v="42.096835468800009"/>
    <n v="972.96120945777761"/>
    <n v="26.516021333333335"/>
    <n v="1401.0385585689876"/>
    <n v="268.69568284444438"/>
    <n v="64.522318577777767"/>
    <n v="5.4357843733333331"/>
    <n v="6.6290053333333336"/>
    <n v="41.247144296296291"/>
    <n v="146.10831559072003"/>
    <n v="532.6382510159051"/>
    <n v="0"/>
    <n v="0"/>
    <n v="0"/>
    <n v="0"/>
    <n v="532.6382510159051"/>
    <n v="2755.0667978203965"/>
    <n v="0"/>
    <n v="0"/>
    <n v="0"/>
    <n v="0"/>
    <n v="2755.0667978203965"/>
    <n v="65964.715674249732"/>
    <n v="3049.2876085161861"/>
    <n v="2561.4015911535976"/>
    <n v="8.8629737609329504E-2"/>
    <n v="1.9241982507288629E-2"/>
    <n v="0.05"/>
    <n v="5.8309037900874633E-2"/>
    <n v="0.14250000000000002"/>
    <n v="0.16618075801749277"/>
    <n v="11894.455037356891"/>
    <n v="17505.144237026674"/>
    <n v="83469.859911276406"/>
    <n v="1001638.3189353169"/>
    <d v="2025-01-01T00:00:00"/>
    <s v="-"/>
    <s v="-"/>
  </r>
  <r>
    <s v="1.024.41"/>
    <x v="13"/>
    <x v="41"/>
    <s v="SEAC/SINDEAC"/>
    <s v="Apoio"/>
    <x v="0"/>
    <n v="16"/>
    <n v="0"/>
    <n v="34156.856"/>
    <n v="0"/>
    <n v="0"/>
    <n v="0"/>
    <n v="0"/>
    <n v="0"/>
    <n v="0"/>
    <n v="0"/>
    <n v="34156.856"/>
    <n v="6831.3712000000005"/>
    <n v="512.35284000000001"/>
    <n v="341.56855999999999"/>
    <n v="68.313711999999995"/>
    <n v="853.92140000000006"/>
    <n v="2732.5484799999999"/>
    <n v="1366.27424"/>
    <n v="204.941136"/>
    <n v="12911.291568000001"/>
    <n v="2846.4046666666663"/>
    <n v="3795.2062222222221"/>
    <n v="2510.5289159999998"/>
    <n v="9152.1398048888877"/>
    <n v="5150.5886399999999"/>
    <n v="9312"/>
    <n v="0"/>
    <n v="1534.4"/>
    <n v="0"/>
    <n v="0"/>
    <n v="53.76"/>
    <n v="3233.28"/>
    <n v="19284.02864"/>
    <n v="41347.460012888885"/>
    <n v="239.49991488117283"/>
    <n v="19.159993190493829"/>
    <n v="7.6639972761975326"/>
    <n v="119.54899600000002"/>
    <n v="45.189520488000014"/>
    <n v="1044.4407523555553"/>
    <n v="28.464046666666668"/>
    <n v="1503.9672208580862"/>
    <n v="288.43567288888886"/>
    <n v="69.262513555555557"/>
    <n v="5.8351295666666667"/>
    <n v="7.1160116666666671"/>
    <n v="44.277405925925926"/>
    <n v="156.84230530220003"/>
    <n v="571.7690389059037"/>
    <n v="3781.6518964521465"/>
    <n v="3781.6518964521465"/>
    <n v="0"/>
    <n v="0"/>
    <n v="4353.42093535805"/>
    <n v="906.28766340069433"/>
    <n v="0"/>
    <n v="0"/>
    <n v="0"/>
    <n v="0"/>
    <n v="906.28766340069433"/>
    <n v="82267.991832505722"/>
    <n v="6098.5752170323722"/>
    <n v="5122.8031823071951"/>
    <n v="8.8629737609329504E-2"/>
    <n v="1.9241982507288629E-2"/>
    <n v="0.05"/>
    <n v="5.8309037900874633E-2"/>
    <n v="0.14250000000000002"/>
    <n v="0.16618075801749277"/>
    <n v="15536.134411706073"/>
    <n v="26757.512811045639"/>
    <n v="109025.50464355137"/>
    <n v="1308306.0557226164"/>
    <d v="2025-01-01T00:00:00"/>
    <s v="-"/>
    <s v="-"/>
  </r>
  <r>
    <s v="1.024.42"/>
    <x v="13"/>
    <x v="42"/>
    <s v="SEAC/SINDEAC"/>
    <s v="Apoio"/>
    <x v="0"/>
    <n v="18"/>
    <n v="0"/>
    <n v="38426.463000000003"/>
    <n v="0"/>
    <n v="0"/>
    <n v="7742.9321999999993"/>
    <n v="0"/>
    <n v="0"/>
    <n v="0"/>
    <n v="0"/>
    <n v="46169.395199999999"/>
    <n v="9233.8790399999998"/>
    <n v="692.54092799999989"/>
    <n v="461.69395199999997"/>
    <n v="92.338790399999993"/>
    <n v="1154.23488"/>
    <n v="3693.5516159999997"/>
    <n v="1846.7758079999999"/>
    <n v="277.01637119999998"/>
    <n v="17452.031385600003"/>
    <n v="3847.4495999999995"/>
    <n v="5129.9327999999987"/>
    <n v="3393.4505472000001"/>
    <n v="12370.832947199999"/>
    <n v="5794.4122200000002"/>
    <n v="10476"/>
    <n v="0"/>
    <n v="1726.2"/>
    <n v="0"/>
    <n v="0"/>
    <n v="60.48"/>
    <n v="3637.44"/>
    <n v="21694.532220000001"/>
    <n v="51517.396552800004"/>
    <n v="323.72904053333332"/>
    <n v="25.898323242666667"/>
    <n v="10.359329297066667"/>
    <n v="161.59288319999999"/>
    <n v="61.082109849600016"/>
    <n v="1411.7575065599999"/>
    <n v="38.474495999999995"/>
    <n v="2032.8936886826664"/>
    <n v="389.87489279999994"/>
    <n v="93.621273599999981"/>
    <n v="7.8872716799999996"/>
    <n v="9.6186239999999987"/>
    <n v="59.849215999999998"/>
    <n v="212.00178311424003"/>
    <n v="772.8530611942399"/>
    <n v="5111.6115977856616"/>
    <n v="5111.6115977856616"/>
    <n v="0"/>
    <n v="0"/>
    <n v="5884.4646589799022"/>
    <n v="1019.5736213257811"/>
    <n v="0"/>
    <n v="0"/>
    <n v="0"/>
    <n v="0"/>
    <n v="1019.5736213257811"/>
    <n v="106623.72372178835"/>
    <n v="6860.8971191614182"/>
    <n v="5763.1535800955944"/>
    <n v="8.8629737609329504E-2"/>
    <n v="1.9241982507288629E-2"/>
    <n v="0.05"/>
    <n v="5.8309037900874633E-2"/>
    <n v="0.14250000000000002"/>
    <n v="0.16618075801749277"/>
    <n v="19816.685545188302"/>
    <n v="32440.736244445314"/>
    <n v="139064.45996623367"/>
    <n v="1668773.5195948039"/>
    <d v="2025-01-01T00:00:00"/>
    <s v="-"/>
    <s v="-"/>
  </r>
  <r>
    <s v="1.024.43"/>
    <x v="13"/>
    <x v="2"/>
    <s v="SEAC/SINDEAC"/>
    <s v="Apoio"/>
    <x v="0"/>
    <n v="5"/>
    <n v="0"/>
    <n v="10674.0175"/>
    <n v="0"/>
    <n v="0"/>
    <n v="0"/>
    <n v="0"/>
    <n v="0"/>
    <n v="0"/>
    <n v="0"/>
    <n v="10674.0175"/>
    <n v="2134.8035"/>
    <n v="160.1102625"/>
    <n v="106.74017499999999"/>
    <n v="21.348034999999999"/>
    <n v="266.8504375"/>
    <n v="853.92139999999995"/>
    <n v="426.96069999999997"/>
    <n v="64.044105000000002"/>
    <n v="4034.7786150000002"/>
    <n v="889.50145833333318"/>
    <n v="1186.0019444444445"/>
    <n v="784.54028624999989"/>
    <n v="2860.0436890277774"/>
    <n v="1609.5589500000001"/>
    <n v="2910"/>
    <n v="0"/>
    <n v="479.5"/>
    <n v="0"/>
    <n v="0"/>
    <n v="16.8"/>
    <n v="1010.4000000000001"/>
    <n v="6026.2589500000004"/>
    <n v="12921.081254027777"/>
    <n v="74.843723400366514"/>
    <n v="5.987497872029321"/>
    <n v="2.394999148811729"/>
    <n v="37.359061250000003"/>
    <n v="14.121725152500005"/>
    <n v="326.38773511111106"/>
    <n v="8.8950145833333334"/>
    <n v="469.98975651815192"/>
    <n v="90.136147777777765"/>
    <n v="21.64453548611111"/>
    <n v="1.8234779895833333"/>
    <n v="2.2237536458333333"/>
    <n v="13.836689351851852"/>
    <n v="49.013220406937506"/>
    <n v="178.67782465809489"/>
    <n v="1455.5478340449977"/>
    <n v="1455.5478340449977"/>
    <n v="0"/>
    <n v="0"/>
    <n v="1634.2256587030924"/>
    <n v="283.21489481271698"/>
    <n v="0"/>
    <n v="0"/>
    <n v="0"/>
    <n v="0"/>
    <n v="283.21489481271698"/>
    <n v="25982.529064061742"/>
    <n v="1905.8047553226163"/>
    <n v="1600.8759944709984"/>
    <n v="8.8629737609329504E-2"/>
    <n v="1.9241982507288629E-2"/>
    <n v="0.05"/>
    <n v="5.8309037900874633E-2"/>
    <n v="0.14250000000000002"/>
    <n v="0.16618075801749277"/>
    <n v="4900.5392402033694"/>
    <n v="8407.2199899969837"/>
    <n v="34389.749054058724"/>
    <n v="412676.98864870472"/>
    <d v="2025-01-01T00:00:00"/>
    <s v="-"/>
    <s v="-"/>
  </r>
  <r>
    <s v="1.024.44"/>
    <x v="13"/>
    <x v="7"/>
    <s v="SEAC/SINDEAC"/>
    <s v="Apoio"/>
    <x v="0"/>
    <n v="5"/>
    <n v="0"/>
    <n v="11581.148499999999"/>
    <n v="0"/>
    <n v="0"/>
    <n v="0"/>
    <n v="0"/>
    <n v="0"/>
    <n v="0"/>
    <n v="0"/>
    <n v="11581.148499999999"/>
    <n v="2316.2296999999999"/>
    <n v="173.71722750000001"/>
    <n v="115.81148499999999"/>
    <n v="23.162297000000002"/>
    <n v="289.52871249999998"/>
    <n v="926.49187999999992"/>
    <n v="463.24593999999996"/>
    <n v="69.486891"/>
    <n v="4377.6741329999995"/>
    <n v="965.09570833333328"/>
    <n v="1286.7942777777776"/>
    <n v="851.21441474999995"/>
    <n v="3103.1044008611111"/>
    <n v="1555.1310899999999"/>
    <n v="2910"/>
    <n v="0"/>
    <n v="479.5"/>
    <n v="0"/>
    <n v="0"/>
    <n v="16.8"/>
    <n v="1010.4000000000001"/>
    <n v="5971.8310899999997"/>
    <n v="13452.60962386111"/>
    <n v="81.204314588445214"/>
    <n v="6.496345167075618"/>
    <n v="2.5985380668302471"/>
    <n v="40.534019750000006"/>
    <n v="15.321859465500003"/>
    <n v="354.12578524444433"/>
    <n v="9.6509570833333331"/>
    <n v="509.93181936562877"/>
    <n v="97.796365111111086"/>
    <n v="23.483995569444438"/>
    <n v="1.9784462020833331"/>
    <n v="2.4127392708333333"/>
    <n v="15.012599907407406"/>
    <n v="53.178607211012505"/>
    <n v="193.8627532718921"/>
    <n v="0"/>
    <n v="0"/>
    <n v="0"/>
    <n v="0"/>
    <n v="193.8627532718921"/>
    <n v="283.21489481271698"/>
    <n v="0"/>
    <n v="0"/>
    <n v="0"/>
    <n v="0"/>
    <n v="283.21489481271698"/>
    <n v="26020.767591311345"/>
    <n v="1905.8047553226163"/>
    <n v="1600.8759944709984"/>
    <n v="8.8629737609329504E-2"/>
    <n v="1.9241982507288629E-2"/>
    <n v="0.05"/>
    <n v="5.8309037900874633E-2"/>
    <n v="0.14250000000000002"/>
    <n v="0.16618075801749277"/>
    <n v="4906.893747647181"/>
    <n v="8413.5744974407953"/>
    <n v="34434.342088752142"/>
    <n v="413212.10506502574"/>
    <d v="2025-01-01T00:00:00"/>
    <s v="-"/>
    <s v="-"/>
  </r>
  <r>
    <s v="1.024.45"/>
    <x v="13"/>
    <x v="4"/>
    <s v="SEAC/SINDEAC"/>
    <s v="Apoio"/>
    <x v="0"/>
    <n v="146"/>
    <n v="0"/>
    <n v="495981.06760000001"/>
    <n v="0"/>
    <n v="0"/>
    <n v="0"/>
    <n v="0"/>
    <n v="0"/>
    <n v="0"/>
    <n v="0"/>
    <n v="495981.06760000001"/>
    <n v="99196.213520000019"/>
    <n v="7439.7160139999996"/>
    <n v="4959.8106760000001"/>
    <n v="991.96213520000003"/>
    <n v="12399.526690000002"/>
    <n v="39678.485408"/>
    <n v="19839.242704"/>
    <n v="2975.8864055999998"/>
    <n v="187480.84355280001"/>
    <n v="41331.755633333327"/>
    <n v="55109.007511111107"/>
    <n v="36454.608468600003"/>
    <n v="132895.37161304444"/>
    <n v="35941.135944000001"/>
    <n v="84972"/>
    <n v="0"/>
    <n v="14001.400000000001"/>
    <n v="0"/>
    <n v="0"/>
    <n v="490.56"/>
    <n v="29503.68"/>
    <n v="164908.77594399999"/>
    <n v="485284.99110984453"/>
    <n v="3477.703670176003"/>
    <n v="278.21629361408026"/>
    <n v="111.28651744563211"/>
    <n v="1735.9337366000002"/>
    <n v="656.1829524348002"/>
    <n v="15165.998867057775"/>
    <n v="413.31755633333336"/>
    <n v="21838.639593661625"/>
    <n v="4188.2845708444438"/>
    <n v="1005.7393870777778"/>
    <n v="84.730099048333329"/>
    <n v="103.32938908333334"/>
    <n v="642.93842096296294"/>
    <n v="2277.4582657323704"/>
    <n v="8302.4801327492223"/>
    <n v="0"/>
    <n v="0"/>
    <n v="0"/>
    <n v="0"/>
    <n v="8302.4801327492223"/>
    <n v="8269.8749285313352"/>
    <n v="0"/>
    <n v="0"/>
    <n v="0"/>
    <n v="0"/>
    <n v="8269.8749285313352"/>
    <n v="1019677.0533647867"/>
    <n v="55649.498855420396"/>
    <n v="46745.579038553158"/>
    <n v="8.8629737609329504E-2"/>
    <n v="1.9241982507288629E-2"/>
    <n v="0.05"/>
    <n v="5.8309037900874633E-2"/>
    <n v="0.14250000000000002"/>
    <n v="0.16618075801749277"/>
    <n v="186466.79732288441"/>
    <n v="288861.87521685794"/>
    <n v="1308538.9285816448"/>
    <n v="15702467.142979737"/>
    <d v="2025-01-01T00:00:00"/>
    <s v="-"/>
    <s v="-"/>
  </r>
  <r>
    <s v="3.024.45"/>
    <x v="13"/>
    <x v="4"/>
    <s v="SEAC/SINDEAC"/>
    <s v="Apoio"/>
    <x v="1"/>
    <n v="10"/>
    <n v="0"/>
    <n v="33971.305999999997"/>
    <n v="0"/>
    <n v="0"/>
    <n v="0"/>
    <n v="0"/>
    <n v="0"/>
    <n v="0"/>
    <n v="0"/>
    <n v="33971.305999999997"/>
    <n v="6794.2612000000008"/>
    <n v="509.56958999999995"/>
    <n v="339.71305999999998"/>
    <n v="67.942611999999997"/>
    <n v="849.2826500000001"/>
    <n v="2717.7044799999999"/>
    <n v="1358.8522399999999"/>
    <n v="203.82783599999999"/>
    <n v="12841.153668000003"/>
    <n v="2830.9421666666663"/>
    <n v="3774.5895555555553"/>
    <n v="2496.8909910000002"/>
    <n v="9102.4227132222222"/>
    <n v="2461.7216400000002"/>
    <n v="5820"/>
    <n v="0"/>
    <n v="959"/>
    <n v="0"/>
    <n v="0"/>
    <n v="33.6"/>
    <n v="2020.8000000000002"/>
    <n v="11295.121639999999"/>
    <n v="33238.698021222226"/>
    <n v="238.19888151890433"/>
    <n v="19.055910521512345"/>
    <n v="7.6223642086049388"/>
    <n v="118.89957100000002"/>
    <n v="44.944037838000014"/>
    <n v="1038.7670456888886"/>
    <n v="28.309421666666669"/>
    <n v="1495.7972324425771"/>
    <n v="286.86880622222219"/>
    <n v="68.886259388888888"/>
    <n v="5.8034314416666666"/>
    <n v="7.0773554166666672"/>
    <n v="44.036878148148148"/>
    <n v="155.99029217345003"/>
    <n v="568.66302279104264"/>
    <n v="0"/>
    <n v="0"/>
    <n v="0"/>
    <n v="0"/>
    <n v="568.66302279104264"/>
    <n v="566.42978962543395"/>
    <n v="0"/>
    <n v="0"/>
    <n v="0"/>
    <n v="0"/>
    <n v="566.42978962543395"/>
    <n v="69840.89406608128"/>
    <n v="3811.6095106452326"/>
    <n v="3201.7519889419968"/>
    <n v="8.8629737609329504E-2"/>
    <n v="1.9241982507288629E-2"/>
    <n v="0.05"/>
    <n v="5.8309037900874633E-2"/>
    <n v="0.14250000000000002"/>
    <n v="0.16618075801749277"/>
    <n v="12771.698446772905"/>
    <n v="19785.059946360132"/>
    <n v="89625.95401244142"/>
    <n v="1075511.4481492969"/>
    <d v="2025-01-01T00:00:00"/>
    <s v="-"/>
    <s v="-"/>
  </r>
  <r>
    <s v="1.024.46"/>
    <x v="13"/>
    <x v="43"/>
    <s v="SEAC/SINDEAC"/>
    <s v="Apoio"/>
    <x v="0"/>
    <n v="4"/>
    <n v="0"/>
    <n v="17804.777600000001"/>
    <n v="0"/>
    <n v="0"/>
    <n v="0"/>
    <n v="0"/>
    <n v="0"/>
    <n v="0"/>
    <n v="0"/>
    <n v="17804.777600000001"/>
    <n v="3560.9555200000004"/>
    <n v="267.071664"/>
    <n v="178.04777600000003"/>
    <n v="35.609555200000003"/>
    <n v="445.11944000000005"/>
    <n v="1424.3822080000002"/>
    <n v="712.19110400000011"/>
    <n v="106.82866560000001"/>
    <n v="6730.2059328000014"/>
    <n v="1483.7314666666666"/>
    <n v="1978.3086222222223"/>
    <n v="1308.6511536000003"/>
    <n v="4770.6912424888887"/>
    <n v="731.71334400000001"/>
    <n v="2328"/>
    <n v="0"/>
    <n v="383.6"/>
    <n v="0"/>
    <n v="0"/>
    <n v="13.44"/>
    <n v="808.32"/>
    <n v="4265.0733439999995"/>
    <n v="15765.970519288891"/>
    <n v="124.84295157839507"/>
    <n v="9.9874361262716072"/>
    <n v="3.9949744505086429"/>
    <n v="62.316721600000015"/>
    <n v="23.555720764800007"/>
    <n v="544.43053283555548"/>
    <n v="14.83731466666667"/>
    <n v="783.96565202219756"/>
    <n v="150.35145528888887"/>
    <n v="36.104132355555556"/>
    <n v="3.0416495066666669"/>
    <n v="3.7093286666666674"/>
    <n v="23.080267259259259"/>
    <n v="81.756422903120026"/>
    <n v="298.04325598015703"/>
    <n v="0"/>
    <n v="0"/>
    <n v="0"/>
    <n v="0"/>
    <n v="298.04325598015703"/>
    <n v="363.13871912815881"/>
    <n v="0"/>
    <n v="0"/>
    <n v="0"/>
    <n v="0"/>
    <n v="363.13871912815881"/>
    <n v="35015.89574641941"/>
    <n v="1524.643804258093"/>
    <n v="1280.7007955767988"/>
    <n v="8.8629737609329504E-2"/>
    <n v="1.9241982507288629E-2"/>
    <n v="0.05"/>
    <n v="5.8309037900874633E-2"/>
    <n v="0.14250000000000002"/>
    <n v="0.16618075801749277"/>
    <n v="6285.1623899023207"/>
    <n v="9090.5069897372123"/>
    <n v="44106.402736156626"/>
    <n v="529276.83283387951"/>
    <d v="2025-01-01T00:00:00"/>
    <s v="-"/>
    <s v="-"/>
  </r>
  <r>
    <s v="1.024.47"/>
    <x v="13"/>
    <x v="44"/>
    <s v="SEAC/SINDEAC"/>
    <s v="Apoio"/>
    <x v="0"/>
    <n v="4"/>
    <n v="0"/>
    <n v="17804.777600000001"/>
    <n v="0"/>
    <n v="0"/>
    <n v="0"/>
    <n v="0"/>
    <n v="0"/>
    <n v="0"/>
    <n v="2136.5731999999998"/>
    <n v="19941.3508"/>
    <n v="3988.27016"/>
    <n v="299.12026199999997"/>
    <n v="199.41350800000001"/>
    <n v="39.882701600000004"/>
    <n v="498.53377"/>
    <n v="1595.3080640000001"/>
    <n v="797.65403200000003"/>
    <n v="119.6481048"/>
    <n v="7537.8306023999994"/>
    <n v="1661.7792333333332"/>
    <n v="2215.7056444444443"/>
    <n v="1465.6892837999997"/>
    <n v="5343.1741615777773"/>
    <n v="731.71334400000001"/>
    <n v="2328"/>
    <n v="0"/>
    <n v="383.6"/>
    <n v="0"/>
    <n v="0"/>
    <n v="13.44"/>
    <n v="808.32"/>
    <n v="4265.0733439999995"/>
    <n v="17146.078107977777"/>
    <n v="139.82410498248456"/>
    <n v="11.185928398598767"/>
    <n v="4.4743713594395071"/>
    <n v="69.794727800000004"/>
    <n v="26.38240710840001"/>
    <n v="609.76219335111102"/>
    <n v="16.617792333333334"/>
    <n v="878.04152533336719"/>
    <n v="168.39362897777775"/>
    <n v="40.436628011111111"/>
    <n v="3.4066474283333332"/>
    <n v="4.1544480833333335"/>
    <n v="25.849899185185183"/>
    <n v="91.567193137210012"/>
    <n v="333.80844482295072"/>
    <n v="0"/>
    <n v="0"/>
    <n v="0"/>
    <n v="0"/>
    <n v="333.80844482295072"/>
    <n v="363.13871912815881"/>
    <n v="0"/>
    <n v="0"/>
    <n v="0"/>
    <n v="0"/>
    <n v="363.13871912815881"/>
    <n v="38662.417597262262"/>
    <n v="1524.643804258093"/>
    <n v="1280.7007955767988"/>
    <n v="8.8629737609329504E-2"/>
    <n v="1.9241982507288629E-2"/>
    <n v="0.05"/>
    <n v="5.8309037900874633E-2"/>
    <n v="0.14250000000000002"/>
    <n v="0.16618075801749277"/>
    <n v="6891.1441552027363"/>
    <n v="9696.4887550376279"/>
    <n v="48358.906352299891"/>
    <n v="580306.87622759864"/>
    <d v="2025-01-01T00:00:00"/>
    <s v="-"/>
    <s v="-"/>
  </r>
  <r>
    <s v="1.024.38"/>
    <x v="13"/>
    <x v="45"/>
    <s v="SINTERT"/>
    <s v="Apoio"/>
    <x v="0"/>
    <n v="17"/>
    <n v="0"/>
    <n v="55689.62"/>
    <n v="0"/>
    <n v="0"/>
    <n v="0"/>
    <n v="0"/>
    <n v="0"/>
    <n v="0"/>
    <n v="5568.9620000000004"/>
    <n v="61258.581999999995"/>
    <n v="12251.716400000001"/>
    <n v="918.8787299999999"/>
    <n v="612.58582000000001"/>
    <n v="122.51716399999999"/>
    <n v="1531.4645500000001"/>
    <n v="4900.6865600000001"/>
    <n v="2450.34328"/>
    <n v="367.551492"/>
    <n v="23155.743996000005"/>
    <n v="5104.8818333333329"/>
    <n v="6806.5091111111105"/>
    <n v="4502.5057769999994"/>
    <n v="16413.896721444442"/>
    <n v="4308.6228000000001"/>
    <n v="9894"/>
    <n v="0"/>
    <n v="0"/>
    <n v="0"/>
    <n v="0"/>
    <n v="57.12"/>
    <n v="3435.36"/>
    <n v="17695.102800000001"/>
    <n v="57264.74351744444"/>
    <n v="429.53090222183641"/>
    <n v="34.362472177746916"/>
    <n v="13.744988871098768"/>
    <n v="214.40503700000002"/>
    <n v="81.045103986000015"/>
    <n v="1873.1513073777774"/>
    <n v="51.04881833333333"/>
    <n v="2697.288629967793"/>
    <n v="517.29469244444442"/>
    <n v="124.21879127777777"/>
    <n v="10.465007758333332"/>
    <n v="12.762204583333332"/>
    <n v="79.409272962962959"/>
    <n v="281.28868829215003"/>
    <n v="1025.4386573190018"/>
    <n v="0"/>
    <n v="0"/>
    <n v="0"/>
    <n v="0"/>
    <n v="1025.4386573190018"/>
    <n v="2050.4810109409182"/>
    <n v="0"/>
    <n v="0"/>
    <n v="0"/>
    <n v="0"/>
    <n v="2050.4810109409182"/>
    <n v="124296.53381567217"/>
    <n v="6479.7361680968952"/>
    <n v="5442.9783812013948"/>
    <n v="8.8629737609329504E-2"/>
    <n v="1.9241982507288629E-2"/>
    <n v="0.05"/>
    <n v="5.8309037900874633E-2"/>
    <n v="0.14250000000000002"/>
    <n v="0.16618075801749277"/>
    <n v="22637.017949863901"/>
    <n v="34559.732499162194"/>
    <n v="158856.26631483436"/>
    <n v="1906275.1957780123"/>
    <d v="2025-01-01T00:00:00"/>
    <s v="-"/>
    <s v="-"/>
  </r>
  <r>
    <s v="1.024.48"/>
    <x v="13"/>
    <x v="46"/>
    <s v="SETTASPOC"/>
    <s v="Apoio"/>
    <x v="0"/>
    <n v="1"/>
    <n v="0"/>
    <n v="4673.5828000000001"/>
    <n v="0"/>
    <n v="0"/>
    <n v="0"/>
    <n v="0"/>
    <n v="0"/>
    <n v="0"/>
    <n v="0"/>
    <n v="4673.5828000000001"/>
    <n v="934.71656000000007"/>
    <n v="70.103741999999997"/>
    <n v="46.735828000000005"/>
    <n v="9.3471656000000003"/>
    <n v="116.83957000000001"/>
    <n v="373.88662400000004"/>
    <n v="186.94331200000002"/>
    <n v="28.041496800000001"/>
    <n v="1766.6142984000003"/>
    <n v="389.46523333333334"/>
    <n v="519.28697777777779"/>
    <n v="343.50833580000005"/>
    <n v="1252.2605469111113"/>
    <n v="169.58503200000001"/>
    <n v="581.79999999999995"/>
    <n v="0"/>
    <n v="51.73"/>
    <n v="0"/>
    <n v="0"/>
    <n v="3.36"/>
    <n v="202.08"/>
    <n v="1008.555032"/>
    <n v="4027.4298773111113"/>
    <n v="32.770073533410496"/>
    <n v="2.6216058826728399"/>
    <n v="1.048642353069136"/>
    <n v="16.357539800000001"/>
    <n v="6.1831500444000023"/>
    <n v="142.90777628444442"/>
    <n v="3.8946523333333336"/>
    <n v="205.78344023133025"/>
    <n v="39.465810311111106"/>
    <n v="9.4769873444444439"/>
    <n v="0.79840372833333328"/>
    <n v="0.9736630833333334"/>
    <n v="6.0583480740740745"/>
    <n v="21.460274340610002"/>
    <n v="78.233486881906302"/>
    <n v="0"/>
    <n v="0"/>
    <n v="0"/>
    <n v="0"/>
    <n v="78.233486881906302"/>
    <n v="90.784679782039703"/>
    <n v="0"/>
    <n v="0"/>
    <n v="0"/>
    <n v="0"/>
    <n v="90.784679782039703"/>
    <n v="9075.8142842063899"/>
    <n v="381.16095106452326"/>
    <n v="320.1751988941997"/>
    <n v="8.8629737609329504E-2"/>
    <n v="1.9241982507288629E-2"/>
    <n v="0.05"/>
    <n v="5.8309037900874633E-2"/>
    <n v="0.14250000000000002"/>
    <n v="0.16618075801749277"/>
    <n v="1624.7742704006168"/>
    <n v="2326.1104203593395"/>
    <n v="11401.924704565728"/>
    <n v="136823.09645478876"/>
    <d v="2025-01-01T00:00:00"/>
    <s v="-"/>
    <s v="-"/>
  </r>
  <r>
    <s v="1.024.49"/>
    <x v="13"/>
    <x v="47"/>
    <s v="SETTASPOC"/>
    <s v="Apoio"/>
    <x v="0"/>
    <n v="2"/>
    <n v="0"/>
    <n v="10281.8848"/>
    <n v="0"/>
    <n v="0"/>
    <n v="0"/>
    <n v="0"/>
    <n v="0"/>
    <n v="0"/>
    <n v="0"/>
    <n v="10281.8848"/>
    <n v="2056.3769600000001"/>
    <n v="154.228272"/>
    <n v="102.818848"/>
    <n v="20.563769600000001"/>
    <n v="257.04712000000001"/>
    <n v="822.55078400000002"/>
    <n v="411.27539200000001"/>
    <n v="61.691308800000002"/>
    <n v="3886.5524544"/>
    <n v="856.82373333333328"/>
    <n v="1142.4316444444444"/>
    <n v="755.71853279999993"/>
    <n v="2754.9739105777776"/>
    <n v="283.08691199999998"/>
    <n v="1163.5999999999999"/>
    <n v="0"/>
    <n v="103.46"/>
    <n v="0"/>
    <n v="0"/>
    <n v="6.72"/>
    <n v="404.16"/>
    <n v="1961.026912"/>
    <n v="8602.5532769777765"/>
    <n v="72.094180284567898"/>
    <n v="5.7675344227654328"/>
    <n v="2.3070137691061734"/>
    <n v="35.986596800000008"/>
    <n v="13.602933590400005"/>
    <n v="314.39718855111107"/>
    <n v="8.5682373333333341"/>
    <n v="452.72368475128394"/>
    <n v="86.824804977777774"/>
    <n v="20.849377511111108"/>
    <n v="1.7564886533333333"/>
    <n v="2.1420593333333335"/>
    <n v="13.328369185185185"/>
    <n v="47.212615671760005"/>
    <n v="172.11371533250073"/>
    <n v="0"/>
    <n v="0"/>
    <n v="0"/>
    <n v="0"/>
    <n v="172.11371533250073"/>
    <n v="181.56935956407941"/>
    <n v="0"/>
    <n v="0"/>
    <n v="0"/>
    <n v="0"/>
    <n v="181.56935956407941"/>
    <n v="19690.844836625642"/>
    <n v="762.32190212904652"/>
    <n v="640.35039778839939"/>
    <n v="8.8629737609329504E-2"/>
    <n v="1.9241982507288629E-2"/>
    <n v="0.05"/>
    <n v="5.8309037900874633E-2"/>
    <n v="0.14250000000000002"/>
    <n v="0.16618075801749277"/>
    <n v="3505.3366670057039"/>
    <n v="4908.0089669231493"/>
    <n v="24598.853803548791"/>
    <n v="295186.24564258551"/>
    <d v="2025-01-01T00:00:00"/>
    <s v="-"/>
    <s v="-"/>
  </r>
  <r>
    <s v="1.024.50"/>
    <x v="13"/>
    <x v="48"/>
    <s v="SETTASPOC"/>
    <s v="Apoio"/>
    <x v="0"/>
    <n v="8"/>
    <n v="0"/>
    <n v="48601.706400000003"/>
    <n v="0"/>
    <n v="0"/>
    <n v="0"/>
    <n v="0"/>
    <n v="0"/>
    <n v="0"/>
    <n v="0"/>
    <n v="48601.706400000003"/>
    <n v="9720.3412800000006"/>
    <n v="729.02559600000006"/>
    <n v="486.01706400000006"/>
    <n v="97.203412800000009"/>
    <n v="1215.0426600000001"/>
    <n v="3888.1365120000005"/>
    <n v="1944.0682560000002"/>
    <n v="291.61023840000001"/>
    <n v="18371.4450192"/>
    <n v="4050.1422000000002"/>
    <n v="5400.1895999999997"/>
    <n v="3572.2254204000001"/>
    <n v="13022.5572204"/>
    <n v="683.89761599999974"/>
    <n v="4654.3999999999996"/>
    <n v="0"/>
    <n v="413.84"/>
    <n v="0"/>
    <n v="0"/>
    <n v="26.88"/>
    <n v="1616.64"/>
    <n v="7395.6576160000004"/>
    <n v="38789.659855599995"/>
    <n v="340.78383987916669"/>
    <n v="27.262707190333337"/>
    <n v="10.905082876133337"/>
    <n v="170.10597240000004"/>
    <n v="64.300057567200028"/>
    <n v="1486.1321779199998"/>
    <n v="40.501422000000005"/>
    <n v="2139.9912598328333"/>
    <n v="410.4144096"/>
    <n v="98.553460200000004"/>
    <n v="8.3027915100000005"/>
    <n v="10.125355500000001"/>
    <n v="63.002212"/>
    <n v="223.17053049018006"/>
    <n v="813.56875930018009"/>
    <n v="0"/>
    <n v="0"/>
    <n v="0"/>
    <n v="0"/>
    <n v="813.56875930018009"/>
    <n v="726.27743825631762"/>
    <n v="0"/>
    <n v="0"/>
    <n v="0"/>
    <n v="0"/>
    <n v="726.27743825631762"/>
    <n v="91071.203712989343"/>
    <n v="3049.2876085161861"/>
    <n v="2561.4015911535976"/>
    <n v="8.8629737609329504E-2"/>
    <n v="1.9241982507288629E-2"/>
    <n v="0.05"/>
    <n v="5.8309037900874633E-2"/>
    <n v="0.14250000000000002"/>
    <n v="0.16618075801749277"/>
    <n v="16066.670250791754"/>
    <n v="21677.359450461539"/>
    <n v="112748.56316345089"/>
    <n v="1352982.7579614106"/>
    <d v="2025-01-01T00:00:00"/>
    <s v="-"/>
    <s v="-"/>
  </r>
  <r>
    <s v="1.024.51"/>
    <x v="13"/>
    <x v="49"/>
    <s v="SEAC/SINDEAC"/>
    <s v="Apoio"/>
    <x v="0"/>
    <n v="23"/>
    <n v="0"/>
    <n v="167969"/>
    <n v="0"/>
    <n v="0"/>
    <n v="0"/>
    <n v="0"/>
    <n v="0"/>
    <n v="0"/>
    <n v="0"/>
    <n v="167969"/>
    <n v="33593.800000000003"/>
    <n v="2519.5349999999999"/>
    <n v="1679.69"/>
    <n v="335.93799999999999"/>
    <n v="4199.2250000000004"/>
    <n v="13437.52"/>
    <n v="6718.76"/>
    <n v="1007.814"/>
    <n v="63492.282000000014"/>
    <n v="13997.416666666664"/>
    <n v="18663.222222222219"/>
    <n v="12345.7215"/>
    <n v="45006.360388888883"/>
    <n v="271.85999999999984"/>
    <n v="13386"/>
    <n v="0"/>
    <n v="2205.7000000000003"/>
    <n v="0"/>
    <n v="0"/>
    <n v="77.28"/>
    <n v="4647.84"/>
    <n v="20588.68"/>
    <n v="129087.32238888888"/>
    <n v="1177.7594870756172"/>
    <n v="94.220758966049388"/>
    <n v="37.688303586419757"/>
    <n v="587.89150000000006"/>
    <n v="222.22298700000007"/>
    <n v="5136.1187555555553"/>
    <n v="139.97416666666666"/>
    <n v="7395.8759588503071"/>
    <n v="1418.4048888888888"/>
    <n v="340.60380555555554"/>
    <n v="28.694704166666664"/>
    <n v="34.993541666666665"/>
    <n v="217.73759259259259"/>
    <n v="771.2842534250002"/>
    <n v="2811.7187862953706"/>
    <n v="0"/>
    <n v="0"/>
    <n v="0"/>
    <n v="0"/>
    <n v="2811.7187862953706"/>
    <n v="4102.7134683202457"/>
    <n v="0"/>
    <n v="0"/>
    <n v="0"/>
    <n v="0"/>
    <n v="4102.7134683202457"/>
    <n v="311366.63060235477"/>
    <n v="8766.7018744840352"/>
    <n v="7364.0295745665926"/>
    <n v="8.8629737609329504E-2"/>
    <n v="1.9241982507288629E-2"/>
    <n v="0.05"/>
    <n v="5.8309037900874633E-2"/>
    <n v="0.14250000000000002"/>
    <n v="0.16618075801749277"/>
    <n v="54423.759874431824"/>
    <n v="70554.491323482449"/>
    <n v="381921.1219258373"/>
    <n v="4583053.4631100474"/>
    <d v="2025-01-01T00:00:00"/>
    <s v="-"/>
    <s v="-"/>
  </r>
  <r>
    <s v="1.024.52"/>
    <x v="13"/>
    <x v="50"/>
    <s v="SEAC/SINDEAC"/>
    <s v="Apoio"/>
    <x v="0"/>
    <n v="6"/>
    <n v="0"/>
    <n v="43818"/>
    <n v="0"/>
    <n v="0"/>
    <n v="0"/>
    <n v="0"/>
    <n v="0"/>
    <n v="0"/>
    <n v="0"/>
    <n v="43818"/>
    <n v="8763.6"/>
    <n v="657.27"/>
    <n v="438.18"/>
    <n v="87.635999999999996"/>
    <n v="1095.45"/>
    <n v="3505.44"/>
    <n v="1752.72"/>
    <n v="262.90800000000002"/>
    <n v="16563.204000000005"/>
    <n v="3651.4999999999995"/>
    <n v="4868.6666666666661"/>
    <n v="3220.6229999999996"/>
    <n v="11740.789666666664"/>
    <n v="70.919999999999959"/>
    <n v="3492"/>
    <n v="0"/>
    <n v="575.40000000000009"/>
    <n v="0"/>
    <n v="0"/>
    <n v="20.16"/>
    <n v="1212.48"/>
    <n v="5370.96"/>
    <n v="33674.953666666668"/>
    <n v="307.24160532407404"/>
    <n v="24.579328425925926"/>
    <n v="9.8317313703703721"/>
    <n v="153.36300000000003"/>
    <n v="57.971214000000018"/>
    <n v="1339.8570666666665"/>
    <n v="36.515000000000001"/>
    <n v="1929.3589457870366"/>
    <n v="370.01866666666666"/>
    <n v="88.853166666666652"/>
    <n v="7.485574999999999"/>
    <n v="9.1287500000000001"/>
    <n v="56.801111111111112"/>
    <n v="201.20458785000005"/>
    <n v="733.49185729444446"/>
    <n v="0"/>
    <n v="0"/>
    <n v="0"/>
    <n v="0"/>
    <n v="733.49185729444446"/>
    <n v="1052.3230786922381"/>
    <n v="0"/>
    <n v="0"/>
    <n v="0"/>
    <n v="0"/>
    <n v="1052.3230786922381"/>
    <n v="81208.127548440374"/>
    <n v="2286.9657063871396"/>
    <n v="1921.0511933651983"/>
    <n v="8.8629737609329504E-2"/>
    <n v="1.9241982507288629E-2"/>
    <n v="0.05"/>
    <n v="5.8309037900874633E-2"/>
    <n v="0.14250000000000002"/>
    <n v="0.16618075801749277"/>
    <n v="14194.519631332323"/>
    <n v="18402.536531084661"/>
    <n v="99610.664079525042"/>
    <n v="1195327.9689543005"/>
    <d v="2025-01-01T00:00:00"/>
    <s v="-"/>
    <s v="-"/>
  </r>
  <r>
    <s v="1.024.53"/>
    <x v="13"/>
    <x v="51"/>
    <s v="SEAC/SINDEAC"/>
    <s v="Apoio"/>
    <x v="0"/>
    <n v="2"/>
    <n v="0"/>
    <n v="9537.32"/>
    <n v="0"/>
    <n v="0"/>
    <n v="0"/>
    <n v="0"/>
    <n v="0"/>
    <n v="0"/>
    <n v="0"/>
    <n v="9537.32"/>
    <n v="1907.4639999999999"/>
    <n v="143.0598"/>
    <n v="95.373199999999997"/>
    <n v="19.074639999999999"/>
    <n v="238.43299999999999"/>
    <n v="762.98559999999998"/>
    <n v="381.49279999999999"/>
    <n v="57.22392"/>
    <n v="3605.1069599999996"/>
    <n v="794.77666666666664"/>
    <n v="1059.7022222222222"/>
    <n v="700.99301999999989"/>
    <n v="2555.4719088888887"/>
    <n v="327.76080000000002"/>
    <n v="1164"/>
    <n v="0"/>
    <n v="191.8"/>
    <n v="0"/>
    <n v="0"/>
    <n v="6.72"/>
    <n v="404.16"/>
    <n v="2094.4407999999999"/>
    <n v="8255.0196688888882"/>
    <n v="66.873465408950622"/>
    <n v="5.3498772327160493"/>
    <n v="2.1399508930864202"/>
    <n v="33.38062"/>
    <n v="12.617874360000004"/>
    <n v="291.6300515555555"/>
    <n v="7.9477666666666673"/>
    <n v="419.93960611697526"/>
    <n v="80.537368888888878"/>
    <n v="19.339565555555552"/>
    <n v="1.6292921666666667"/>
    <n v="1.9869416666666668"/>
    <n v="12.363192592592592"/>
    <n v="43.793704409000007"/>
    <n v="159.65006527937038"/>
    <n v="1055.9175714285714"/>
    <n v="1055.9175714285714"/>
    <n v="0"/>
    <n v="0"/>
    <n v="1215.5676367079418"/>
    <n v="181.56935956407941"/>
    <n v="0"/>
    <n v="0"/>
    <n v="0"/>
    <n v="0"/>
    <n v="181.56935956407941"/>
    <n v="19609.416271277889"/>
    <n v="762.32190212904652"/>
    <n v="640.35039778839939"/>
    <n v="8.8629737609329504E-2"/>
    <n v="1.9241982507288629E-2"/>
    <n v="0.05"/>
    <n v="5.8309037900874633E-2"/>
    <n v="0.14250000000000002"/>
    <n v="0.16618075801749277"/>
    <n v="3491.8048062919374"/>
    <n v="4894.4771062093832"/>
    <n v="24503.893377487271"/>
    <n v="294046.72052984725"/>
    <d v="2025-01-01T00:00:00"/>
    <s v="-"/>
    <s v="-"/>
  </r>
  <r>
    <s v="1.024.54"/>
    <x v="13"/>
    <x v="52"/>
    <s v="SEAC/SINDEAC"/>
    <s v="Apoio"/>
    <x v="0"/>
    <n v="2"/>
    <n v="0"/>
    <n v="9537.32"/>
    <n v="0"/>
    <n v="0"/>
    <n v="1921.77"/>
    <n v="0"/>
    <n v="0"/>
    <n v="0"/>
    <n v="0"/>
    <n v="11459.09"/>
    <n v="2291.8180000000002"/>
    <n v="171.88634999999999"/>
    <n v="114.5909"/>
    <n v="22.91818"/>
    <n v="286.47725000000003"/>
    <n v="916.72720000000004"/>
    <n v="458.36360000000002"/>
    <n v="68.754540000000006"/>
    <n v="4331.5360199999996"/>
    <n v="954.92416666666668"/>
    <n v="1273.2322222222222"/>
    <n v="842.24311499999976"/>
    <n v="3070.3995038888884"/>
    <n v="327.76080000000002"/>
    <n v="1164"/>
    <n v="0"/>
    <n v="191.8"/>
    <n v="0"/>
    <n v="0"/>
    <n v="6.72"/>
    <n v="404.16"/>
    <n v="2094.4407999999999"/>
    <n v="9496.3763238888878"/>
    <n v="80.348468829089512"/>
    <n v="6.4278775063271612"/>
    <n v="2.5711510025308648"/>
    <n v="40.106815000000005"/>
    <n v="15.160376070000005"/>
    <n v="350.39350755555552"/>
    <n v="9.5492416666666671"/>
    <n v="504.55743763016977"/>
    <n v="96.765648888888876"/>
    <n v="23.236488055555554"/>
    <n v="1.9575945416666667"/>
    <n v="2.3873104166666668"/>
    <n v="14.854375925925925"/>
    <n v="52.61813593925001"/>
    <n v="191.81955376795369"/>
    <n v="1268.6849620714283"/>
    <n v="1268.6849620714283"/>
    <n v="0"/>
    <n v="0"/>
    <n v="1460.5045158393821"/>
    <n v="181.56935956407941"/>
    <n v="0"/>
    <n v="0"/>
    <n v="0"/>
    <n v="0"/>
    <n v="181.56935956407941"/>
    <n v="23102.097636922521"/>
    <n v="762.32190212904652"/>
    <n v="640.35039778839939"/>
    <n v="8.8629737609329504E-2"/>
    <n v="1.9241982507288629E-2"/>
    <n v="0.05"/>
    <n v="5.8309037900874633E-2"/>
    <n v="0.14250000000000002"/>
    <n v="0.16618075801749277"/>
    <n v="4072.221243148334"/>
    <n v="5474.8935430657802"/>
    <n v="28576.991179988301"/>
    <n v="342923.89415985963"/>
    <d v="2025-01-01T00:00:00"/>
    <s v="-"/>
    <s v="-"/>
  </r>
  <r>
    <s v="1.024.55"/>
    <x v="13"/>
    <x v="53"/>
    <s v="SEAC/SINDEAC"/>
    <s v="Apoio"/>
    <x v="0"/>
    <n v="30"/>
    <n v="0"/>
    <n v="143059.79999999999"/>
    <n v="0"/>
    <n v="0"/>
    <n v="0"/>
    <n v="0"/>
    <n v="0"/>
    <n v="0"/>
    <n v="0"/>
    <n v="143059.79999999999"/>
    <n v="28611.96"/>
    <n v="2145.8969999999999"/>
    <n v="1430.598"/>
    <n v="286.11959999999999"/>
    <n v="3576.4949999999999"/>
    <n v="11444.784"/>
    <n v="5722.3919999999998"/>
    <n v="858.35879999999997"/>
    <n v="54076.604399999997"/>
    <n v="11921.65"/>
    <n v="15895.533333333333"/>
    <n v="10514.895299999998"/>
    <n v="38332.078633333331"/>
    <n v="4916.4120000000003"/>
    <n v="17460"/>
    <n v="0"/>
    <n v="2877"/>
    <n v="0"/>
    <n v="0"/>
    <n v="100.8"/>
    <n v="6062.4000000000005"/>
    <n v="31416.611999999997"/>
    <n v="123825.29503333333"/>
    <n v="1003.1019811342593"/>
    <n v="80.248158490740735"/>
    <n v="32.099263396296301"/>
    <n v="500.70929999999998"/>
    <n v="189.26811540000006"/>
    <n v="4374.4507733333321"/>
    <n v="119.21650000000001"/>
    <n v="6299.0940917546286"/>
    <n v="1208.0605333333331"/>
    <n v="290.09348333333327"/>
    <n v="24.439382500000001"/>
    <n v="29.804125000000003"/>
    <n v="185.44788888888888"/>
    <n v="656.90556613500007"/>
    <n v="2394.7509791905559"/>
    <n v="0"/>
    <n v="0"/>
    <n v="0"/>
    <n v="0"/>
    <n v="2394.7509791905559"/>
    <n v="2723.5403934611909"/>
    <n v="0"/>
    <n v="0"/>
    <n v="0"/>
    <n v="0"/>
    <n v="2723.5403934611909"/>
    <n v="278302.48049773974"/>
    <n v="11434.828531935698"/>
    <n v="9605.255966825991"/>
    <n v="8.8629737609329504E-2"/>
    <n v="1.9241982507288629E-2"/>
    <n v="0.05"/>
    <n v="5.8309037900874633E-2"/>
    <n v="0.14250000000000002"/>
    <n v="0.16618075801749277"/>
    <n v="49744.974358019201"/>
    <n v="70785.058856780888"/>
    <n v="349087.53935452062"/>
    <n v="4189050.4722542474"/>
    <d v="2025-01-01T00:00:00"/>
    <s v="-"/>
    <s v="-"/>
  </r>
  <r>
    <s v="1.024.56"/>
    <x v="13"/>
    <x v="54"/>
    <s v="SEAC/SINDEAC"/>
    <s v="Apoio"/>
    <x v="0"/>
    <n v="5"/>
    <n v="0"/>
    <n v="36515"/>
    <n v="0"/>
    <n v="0"/>
    <n v="0"/>
    <n v="0"/>
    <n v="0"/>
    <n v="0"/>
    <n v="0"/>
    <n v="36515"/>
    <n v="7303.0000000000009"/>
    <n v="547.72500000000002"/>
    <n v="365.15"/>
    <n v="73.03"/>
    <n v="912.87500000000011"/>
    <n v="2921.2"/>
    <n v="1460.6"/>
    <n v="219.08999999999997"/>
    <n v="13802.670000000002"/>
    <n v="3042.9166666666661"/>
    <n v="4057.2222222222217"/>
    <n v="2683.8525"/>
    <n v="9783.9913888888877"/>
    <n v="59.099999999999966"/>
    <n v="2910"/>
    <n v="0"/>
    <n v="479.5"/>
    <n v="0"/>
    <n v="0"/>
    <n v="16.8"/>
    <n v="1010.4000000000001"/>
    <n v="4475.8"/>
    <n v="28062.461388888885"/>
    <n v="256.03467110339506"/>
    <n v="20.482773688271607"/>
    <n v="8.1931094753086438"/>
    <n v="127.80250000000002"/>
    <n v="48.309345000000015"/>
    <n v="1116.5475555555554"/>
    <n v="30.429166666666667"/>
    <n v="1607.7991214891972"/>
    <n v="308.34888888888889"/>
    <n v="74.044305555555553"/>
    <n v="6.2379791666666664"/>
    <n v="7.6072916666666668"/>
    <n v="47.334259259259255"/>
    <n v="167.67048987500004"/>
    <n v="611.2432144120371"/>
    <n v="0"/>
    <n v="0"/>
    <n v="0"/>
    <n v="0"/>
    <n v="611.2432144120371"/>
    <n v="876.93589891019826"/>
    <n v="0"/>
    <n v="0"/>
    <n v="0"/>
    <n v="0"/>
    <n v="876.93589891019826"/>
    <n v="67673.439623700309"/>
    <n v="1905.8047553226163"/>
    <n v="1600.8759944709984"/>
    <n v="8.8629737609329504E-2"/>
    <n v="1.9241982507288629E-2"/>
    <n v="0.05"/>
    <n v="5.8309037900874633E-2"/>
    <n v="0.14250000000000002"/>
    <n v="0.16618075801749277"/>
    <n v="11828.766359443602"/>
    <n v="15335.447109237215"/>
    <n v="83008.886732937535"/>
    <n v="996106.64079525042"/>
    <d v="2025-01-01T00:00:00"/>
    <s v="-"/>
    <s v="-"/>
  </r>
  <r>
    <s v="1.024.57"/>
    <x v="13"/>
    <x v="55"/>
    <s v="SETTASPOC"/>
    <s v="Apoio"/>
    <x v="0"/>
    <n v="30"/>
    <n v="0"/>
    <n v="144138.6"/>
    <n v="0"/>
    <n v="0"/>
    <n v="0"/>
    <n v="0"/>
    <n v="0"/>
    <n v="8071.7609999999995"/>
    <n v="0"/>
    <n v="152210.36099999998"/>
    <n v="30442.072199999999"/>
    <n v="2283.1554149999997"/>
    <n v="1522.1036099999997"/>
    <n v="304.42072199999996"/>
    <n v="3805.2590249999998"/>
    <n v="12176.828879999997"/>
    <n v="6088.4144399999986"/>
    <n v="913.26216599999998"/>
    <n v="57535.516457999998"/>
    <n v="12684.196749999997"/>
    <n v="16912.262333333332"/>
    <n v="11187.461533499998"/>
    <n v="40783.920616833326"/>
    <n v="4851.6840000000002"/>
    <n v="17454"/>
    <n v="0"/>
    <n v="1551.8999999999999"/>
    <n v="0"/>
    <n v="0"/>
    <n v="100.8"/>
    <n v="6062.4000000000005"/>
    <n v="30020.784"/>
    <n v="128340.22107483332"/>
    <n v="1067.2635825596064"/>
    <n v="85.381086604768512"/>
    <n v="34.152434641907405"/>
    <n v="532.73626349999995"/>
    <n v="201.37430760300003"/>
    <n v="4654.2545941333319"/>
    <n v="126.84196750000001"/>
    <n v="6702.0042365426143"/>
    <n v="1285.3319373333331"/>
    <n v="308.64878758333327"/>
    <n v="26.002603337499998"/>
    <n v="31.710491875000002"/>
    <n v="197.30972722222219"/>
    <n v="698.92334089882502"/>
    <n v="2547.9268882502133"/>
    <n v="0"/>
    <n v="0"/>
    <n v="0"/>
    <n v="0"/>
    <n v="2547.9268882502133"/>
    <n v="2723.5403934611904"/>
    <n v="0"/>
    <n v="0"/>
    <n v="0"/>
    <n v="0"/>
    <n v="2723.5403934611904"/>
    <n v="292524.05359308742"/>
    <n v="11434.828531935698"/>
    <n v="9605.255966825991"/>
    <n v="8.8629737609329504E-2"/>
    <n v="1.9241982507288629E-2"/>
    <n v="0.05"/>
    <n v="5.8309037900874633E-2"/>
    <n v="0.14250000000000002"/>
    <n v="0.16618075801749277"/>
    <n v="52108.326155205257"/>
    <n v="73148.410653966945"/>
    <n v="365672.4642470543"/>
    <n v="4388069.5709646512"/>
    <d v="2025-01-01T00:00:00"/>
    <s v="-"/>
    <s v="-"/>
  </r>
  <r>
    <s v="1.024.58"/>
    <x v="13"/>
    <x v="56"/>
    <s v="SETTASPOC"/>
    <s v="Apoio"/>
    <x v="0"/>
    <n v="30"/>
    <n v="0"/>
    <n v="170333.1"/>
    <n v="0"/>
    <n v="0"/>
    <n v="0"/>
    <n v="0"/>
    <n v="0"/>
    <n v="9538.6530000000002"/>
    <n v="0"/>
    <n v="179871.75300000003"/>
    <n v="35974.350600000005"/>
    <n v="2698.0762950000003"/>
    <n v="1798.7175300000001"/>
    <n v="359.74350600000002"/>
    <n v="4496.7938250000007"/>
    <n v="14389.740240000001"/>
    <n v="7194.8701200000005"/>
    <n v="1079.2305180000001"/>
    <n v="67991.522634000008"/>
    <n v="14989.312750000001"/>
    <n v="19985.750333333337"/>
    <n v="13220.573845500001"/>
    <n v="48195.636928833337"/>
    <n v="3280.0140000000001"/>
    <n v="17454"/>
    <n v="0"/>
    <n v="1551.8999999999999"/>
    <n v="0"/>
    <n v="0"/>
    <n v="100.8"/>
    <n v="6062.4000000000005"/>
    <n v="28449.114000000001"/>
    <n v="144636.27356283335"/>
    <n v="1261.2188174762732"/>
    <n v="100.89750539810187"/>
    <n v="40.359002159240752"/>
    <n v="629.5511355000001"/>
    <n v="237.97032921900009"/>
    <n v="5500.0784917333331"/>
    <n v="149.89312750000002"/>
    <n v="7919.9684089859484"/>
    <n v="1518.9170253333332"/>
    <n v="364.73994358333334"/>
    <n v="30.728091137500002"/>
    <n v="37.473281875000005"/>
    <n v="233.16708722222225"/>
    <n v="825.93961221922518"/>
    <n v="3010.9650413706136"/>
    <n v="0"/>
    <n v="0"/>
    <n v="0"/>
    <n v="0"/>
    <n v="3010.9650413706136"/>
    <n v="2723.5403934611904"/>
    <n v="0"/>
    <n v="0"/>
    <n v="0"/>
    <n v="0"/>
    <n v="2723.5403934611904"/>
    <n v="338162.50040665112"/>
    <n v="11434.828531935698"/>
    <n v="9605.255966825991"/>
    <n v="8.8629737609329504E-2"/>
    <n v="1.9241982507288629E-2"/>
    <n v="0.05"/>
    <n v="5.8309037900874633E-2"/>
    <n v="0.14250000000000002"/>
    <n v="0.16618075801749277"/>
    <n v="59692.557841424299"/>
    <n v="80732.642340185994"/>
    <n v="418895.14274683711"/>
    <n v="5026741.7129620453"/>
    <d v="2025-01-01T00:00:00"/>
    <s v="-"/>
    <s v="-"/>
  </r>
  <r>
    <s v="1.024.59"/>
    <x v="13"/>
    <x v="57"/>
    <s v="SETTASPOC"/>
    <s v="Apoio"/>
    <x v="0"/>
    <n v="24"/>
    <n v="0"/>
    <n v="164080.79999999999"/>
    <n v="0"/>
    <n v="0"/>
    <n v="0"/>
    <n v="0"/>
    <n v="0"/>
    <n v="9188.5248000000011"/>
    <n v="0"/>
    <n v="173269.3248"/>
    <n v="34653.864959999999"/>
    <n v="2599.0398719999998"/>
    <n v="1732.693248"/>
    <n v="346.53864959999999"/>
    <n v="4331.7331199999999"/>
    <n v="13861.545984"/>
    <n v="6930.7729920000002"/>
    <n v="1039.6159487999998"/>
    <n v="65495.8047744"/>
    <n v="14439.1104"/>
    <n v="19252.147199999999"/>
    <n v="12735.295372799999"/>
    <n v="46426.552972800004"/>
    <n v="955.15200000000004"/>
    <n v="13963.199999999999"/>
    <n v="0"/>
    <n v="1241.52"/>
    <n v="0"/>
    <n v="0"/>
    <n v="80.64"/>
    <n v="4849.92"/>
    <n v="21090.432000000001"/>
    <n v="133012.7897472"/>
    <n v="1214.9241294666667"/>
    <n v="97.193930357333329"/>
    <n v="38.877572142933339"/>
    <n v="606.44263680000006"/>
    <n v="229.23531671040007"/>
    <n v="5298.1909094399998"/>
    <n v="144.39110400000001"/>
    <n v="7629.2555989173334"/>
    <n v="1463.1631871999998"/>
    <n v="351.35168639999995"/>
    <n v="29.600176319999999"/>
    <n v="36.097776000000003"/>
    <n v="224.608384"/>
    <n v="795.6224173497601"/>
    <n v="2900.4436272697599"/>
    <n v="0"/>
    <n v="0"/>
    <n v="0"/>
    <n v="0"/>
    <n v="2900.4436272697599"/>
    <n v="2178.832314768953"/>
    <n v="0"/>
    <n v="0"/>
    <n v="0"/>
    <n v="0"/>
    <n v="2178.832314768953"/>
    <n v="318990.64608815603"/>
    <n v="9147.8628255485582"/>
    <n v="7684.2047734607931"/>
    <n v="8.8629737609329504E-2"/>
    <n v="1.9241982507288629E-2"/>
    <n v="0.05"/>
    <n v="5.8309037900874633E-2"/>
    <n v="0.14250000000000002"/>
    <n v="0.16618075801749277"/>
    <n v="55807.273120024583"/>
    <n v="72639.340719033935"/>
    <n v="391629.98680718994"/>
    <n v="4699559.8416862795"/>
    <d v="2025-01-01T00:00:00"/>
    <s v="-"/>
    <s v="-"/>
  </r>
  <r>
    <s v="1.024.60"/>
    <x v="13"/>
    <x v="58"/>
    <s v="Sinttel"/>
    <s v="Apoio"/>
    <x v="0"/>
    <n v="3"/>
    <n v="0"/>
    <n v="7214.2019999999993"/>
    <n v="0"/>
    <n v="0"/>
    <n v="0"/>
    <n v="0"/>
    <n v="0"/>
    <n v="0"/>
    <n v="0"/>
    <n v="7214.2019999999993"/>
    <n v="1442.8404"/>
    <n v="108.21302999999997"/>
    <n v="72.142020000000002"/>
    <n v="14.428404"/>
    <n v="180.35505000000001"/>
    <n v="577.13616000000002"/>
    <n v="288.56808000000001"/>
    <n v="43.285212000000001"/>
    <n v="2726.9683559999999"/>
    <n v="601.18349999999998"/>
    <n v="801.57799999999997"/>
    <n v="530.24384699999996"/>
    <n v="1933.0053469999998"/>
    <n v="917.14787999999999"/>
    <n v="1506"/>
    <n v="0"/>
    <n v="0"/>
    <n v="0"/>
    <n v="0"/>
    <n v="10.08"/>
    <n v="606.24"/>
    <n v="3039.4678800000002"/>
    <n v="7699.4415829999998"/>
    <n v="50.584303336805554"/>
    <n v="4.0467442669444447"/>
    <n v="1.6186977067777781"/>
    <n v="25.249707000000001"/>
    <n v="9.5443892460000033"/>
    <n v="220.59426559999994"/>
    <n v="6.0118349999999996"/>
    <n v="317.64994215652774"/>
    <n v="60.919927999999999"/>
    <n v="14.628798499999998"/>
    <n v="1.2324261750000001"/>
    <n v="1.5029587499999999"/>
    <n v="9.3517433333333333"/>
    <n v="33.12635309865"/>
    <n v="120.76220785698334"/>
    <n v="0"/>
    <n v="0"/>
    <n v="0"/>
    <n v="0"/>
    <n v="120.76220785698334"/>
    <n v="127.82265164113775"/>
    <n v="0"/>
    <n v="0"/>
    <n v="0"/>
    <n v="0"/>
    <n v="127.82265164113775"/>
    <n v="15479.87838465465"/>
    <n v="1143.4828531935698"/>
    <n v="960.52559668259914"/>
    <n v="8.8629737609329504E-2"/>
    <n v="1.9241982507288629E-2"/>
    <n v="0.05"/>
    <n v="5.8309037900874633E-2"/>
    <n v="0.14250000000000002"/>
    <n v="0.16618075801749277"/>
    <n v="2922.1036430561426"/>
    <n v="5026.1120929323115"/>
    <n v="20505.990477586958"/>
    <n v="246071.8857310435"/>
    <d v="2024-01-01T00:00:00"/>
    <s v="-"/>
    <s v="-"/>
  </r>
  <r>
    <s v="1.027.13"/>
    <x v="14"/>
    <x v="3"/>
    <s v="Sind - Asseio"/>
    <s v="Apoio"/>
    <x v="0"/>
    <n v="2"/>
    <n v="0"/>
    <n v="3298.2305999999999"/>
    <n v="0"/>
    <n v="0"/>
    <n v="0"/>
    <n v="0"/>
    <n v="0"/>
    <n v="0"/>
    <n v="0"/>
    <n v="3298.2305999999999"/>
    <n v="659.64612"/>
    <n v="49.473458999999998"/>
    <n v="32.982306000000001"/>
    <n v="6.5964612000000002"/>
    <n v="82.455765"/>
    <n v="263.85844800000001"/>
    <n v="131.929224"/>
    <n v="19.789383600000001"/>
    <n v="1246.7311668000002"/>
    <n v="274.85254999999995"/>
    <n v="366.47006666666664"/>
    <n v="242.4199491"/>
    <n v="883.74256576666653"/>
    <n v="314.10616400000004"/>
    <n v="1164"/>
    <n v="0"/>
    <n v="154.5"/>
    <n v="0"/>
    <n v="0"/>
    <n v="6.72"/>
    <n v="0"/>
    <n v="1639.3261640000001"/>
    <n v="3769.7998965666666"/>
    <n v="23.126424398032405"/>
    <n v="1.8501139518425926"/>
    <n v="0.74004558073703719"/>
    <n v="11.5438071"/>
    <n v="4.3635590838000011"/>
    <n v="100.85256234666664"/>
    <n v="2.7485255"/>
    <n v="145.22503796107867"/>
    <n v="27.851725066666663"/>
    <n v="6.6880787166666664"/>
    <n v="0.56344772749999994"/>
    <n v="0.68713137499999999"/>
    <n v="4.275484111111111"/>
    <n v="15.144897724845002"/>
    <n v="55.210764721789438"/>
    <n v="0"/>
    <n v="0"/>
    <n v="0"/>
    <n v="0"/>
    <n v="55.210764721789438"/>
    <n v="112.28342732397984"/>
    <n v="0"/>
    <n v="0"/>
    <n v="0"/>
    <n v="0"/>
    <n v="112.28342732397984"/>
    <n v="7380.7497265735137"/>
    <n v="762.32190212904652"/>
    <n v="640.35039778839939"/>
    <n v="8.7406555491661944E-2"/>
    <n v="1.8976423231742381E-2"/>
    <n v="3.7999999999999999E-2"/>
    <n v="4.370327774583093E-2"/>
    <n v="0.1305"/>
    <n v="0.15008625646923526"/>
    <n v="1318.2709309454524"/>
    <n v="2720.9432308628984"/>
    <n v="10101.692957436411"/>
    <n v="121220.31548923693"/>
    <d v="2025-01-01T00:00:00"/>
    <s v="-"/>
    <s v="-"/>
  </r>
  <r>
    <s v="1.027.14"/>
    <x v="14"/>
    <x v="20"/>
    <s v="Sind - Asseio"/>
    <s v="Apoio"/>
    <x v="0"/>
    <n v="1"/>
    <n v="0"/>
    <n v="6454.87"/>
    <n v="0"/>
    <n v="0"/>
    <n v="0"/>
    <n v="0"/>
    <n v="0"/>
    <n v="0"/>
    <n v="0"/>
    <n v="6454.87"/>
    <n v="1290.9740000000002"/>
    <n v="96.823049999999995"/>
    <n v="64.548699999999997"/>
    <n v="12.909739999999999"/>
    <n v="161.37175000000002"/>
    <n v="516.38959999999997"/>
    <n v="258.19479999999999"/>
    <n v="38.729219999999998"/>
    <n v="2439.9408600000006"/>
    <n v="537.90583333333325"/>
    <n v="717.20777777777778"/>
    <n v="474.43294500000007"/>
    <n v="1729.5465561111109"/>
    <n v="0"/>
    <n v="582"/>
    <n v="0"/>
    <n v="77.25"/>
    <n v="0"/>
    <n v="0"/>
    <n v="3.36"/>
    <n v="0"/>
    <n v="662.61"/>
    <n v="4832.0974161111108"/>
    <n v="45.260044295910497"/>
    <n v="3.6208035436728396"/>
    <n v="1.4483214174691361"/>
    <n v="22.592045000000002"/>
    <n v="8.5397930100000021"/>
    <n v="197.37558044444441"/>
    <n v="5.3790583333333339"/>
    <n v="284.21564604483024"/>
    <n v="54.507791111111104"/>
    <n v="13.089041944444443"/>
    <n v="1.1027069583333333"/>
    <n v="1.3447645833333335"/>
    <n v="8.3674240740740728"/>
    <n v="29.639633437750003"/>
    <n v="108.05136210904629"/>
    <n v="0"/>
    <n v="0"/>
    <n v="0"/>
    <n v="0"/>
    <n v="108.05136210904629"/>
    <n v="90.784679782039703"/>
    <n v="0"/>
    <n v="0"/>
    <n v="0"/>
    <n v="0"/>
    <n v="90.784679782039703"/>
    <n v="11770.019104047027"/>
    <n v="381.16095106452326"/>
    <n v="320.1751988941997"/>
    <n v="8.7406555491661944E-2"/>
    <n v="1.8976423231742381E-2"/>
    <n v="3.7999999999999999E-2"/>
    <n v="4.370327774583093E-2"/>
    <n v="0.1305"/>
    <n v="0.15008625646923526"/>
    <n v="1871.7790231716517"/>
    <n v="2573.1151731303744"/>
    <n v="14343.134277177402"/>
    <n v="172117.61132612883"/>
    <d v="2025-01-01T00:00:00"/>
    <s v="-"/>
    <s v="-"/>
  </r>
  <r>
    <s v="1.027.35"/>
    <x v="14"/>
    <x v="6"/>
    <s v="Rodoviarios de Betim + SEAC-MG"/>
    <s v="Apoio"/>
    <x v="0"/>
    <n v="2"/>
    <n v="0"/>
    <n v="8682.0400000000009"/>
    <n v="0"/>
    <n v="0"/>
    <n v="0"/>
    <n v="0"/>
    <n v="0"/>
    <n v="0"/>
    <n v="0"/>
    <n v="8682.0400000000009"/>
    <n v="1736.4080000000004"/>
    <n v="130.23060000000001"/>
    <n v="86.820400000000006"/>
    <n v="17.364080000000001"/>
    <n v="217.05100000000004"/>
    <n v="694.56320000000005"/>
    <n v="347.28160000000003"/>
    <n v="52.092240000000004"/>
    <n v="3281.8111200000003"/>
    <n v="723.50333333333333"/>
    <n v="964.67111111111114"/>
    <n v="638.12993999999992"/>
    <n v="2326.3043844444442"/>
    <n v="0"/>
    <n v="1156.8"/>
    <n v="0"/>
    <n v="45.04"/>
    <n v="0"/>
    <n v="0"/>
    <n v="6.72"/>
    <n v="1324.84"/>
    <n v="2533.3999999999996"/>
    <n v="8141.5155044444436"/>
    <n v="60.876441350308646"/>
    <n v="4.8701153080246922"/>
    <n v="1.9480461232098771"/>
    <n v="30.387140000000006"/>
    <n v="11.486338920000005"/>
    <n v="265.47748977777775"/>
    <n v="7.2350333333333348"/>
    <n v="382.2806048126543"/>
    <n v="73.31500444444444"/>
    <n v="17.605247777777777"/>
    <n v="1.4831818333333335"/>
    <n v="1.8087583333333337"/>
    <n v="11.254496296296297"/>
    <n v="39.866408323000009"/>
    <n v="145.33309700818518"/>
    <n v="0"/>
    <n v="0"/>
    <n v="0"/>
    <n v="0"/>
    <n v="145.33309700818518"/>
    <n v="184.2015275431414"/>
    <n v="0"/>
    <n v="0"/>
    <n v="0"/>
    <n v="0"/>
    <n v="184.2015275431414"/>
    <n v="17535.370733808424"/>
    <n v="762.32190212904652"/>
    <n v="640.35039778839939"/>
    <n v="8.7406555491661944E-2"/>
    <n v="1.8976423231742381E-2"/>
    <n v="3.7999999999999999E-2"/>
    <n v="4.370327774583093E-2"/>
    <n v="0.1305"/>
    <n v="0.15008625646923526"/>
    <n v="2842.3399837851953"/>
    <n v="4245.0122837026411"/>
    <n v="21780.383017511063"/>
    <n v="261364.59621013276"/>
    <d v="2025-01-01T00:00:00"/>
    <s v="-"/>
    <s v="-"/>
  </r>
  <r>
    <s v="1.027.44"/>
    <x v="14"/>
    <x v="7"/>
    <s v="Sind - Asseio"/>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77.25"/>
    <n v="0"/>
    <n v="0"/>
    <n v="3.36"/>
    <n v="0"/>
    <n v="779.63621799999999"/>
    <n v="2275.79192477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89.4235182622697"/>
    <n v="381.16095106452326"/>
    <n v="320.1751988941997"/>
    <n v="8.7406555491661944E-2"/>
    <n v="1.8976423231742381E-2"/>
    <n v="3.7999999999999999E-2"/>
    <n v="4.370327774583093E-2"/>
    <n v="0.1305"/>
    <n v="0.15008625646923526"/>
    <n v="824.08756377554903"/>
    <n v="1525.423713734272"/>
    <n v="6314.8472319965422"/>
    <n v="75778.166783958499"/>
    <d v="2025-01-01T00:00:00"/>
    <s v="-"/>
    <s v="-"/>
  </r>
  <r>
    <s v="1.027.45"/>
    <x v="14"/>
    <x v="4"/>
    <s v="Sind - Asseio"/>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77.25"/>
    <n v="0"/>
    <n v="0"/>
    <n v="3.36"/>
    <n v="0"/>
    <n v="714.78216400000008"/>
    <n v="2909.1398021222226"/>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69.3594066081278"/>
    <n v="381.16095106452326"/>
    <n v="320.1751988941997"/>
    <n v="8.7406555491661944E-2"/>
    <n v="1.8976423231742381E-2"/>
    <n v="3.7999999999999999E-2"/>
    <n v="4.370327774583093E-2"/>
    <n v="0.1305"/>
    <n v="0.15008625646923526"/>
    <n v="1091.2314780126214"/>
    <n v="1792.5676279713443"/>
    <n v="8361.9270345794721"/>
    <n v="100343.12441495367"/>
    <d v="2025-01-01T00:00:00"/>
    <s v="-"/>
    <s v="-"/>
  </r>
  <r>
    <s v="1.027.55"/>
    <x v="14"/>
    <x v="53"/>
    <s v="Sind - Asseio"/>
    <s v="Apoio"/>
    <x v="0"/>
    <n v="3"/>
    <n v="0"/>
    <n v="14305.98"/>
    <n v="0"/>
    <n v="0"/>
    <n v="0"/>
    <n v="0"/>
    <n v="0"/>
    <n v="0"/>
    <n v="0"/>
    <n v="14305.98"/>
    <n v="2861.1959999999999"/>
    <n v="214.58969999999999"/>
    <n v="143.0598"/>
    <n v="28.611959999999996"/>
    <n v="357.64949999999999"/>
    <n v="1144.4784"/>
    <n v="572.23919999999998"/>
    <n v="85.835880000000003"/>
    <n v="5407.6604399999997"/>
    <n v="1192.165"/>
    <n v="1589.5533333333333"/>
    <n v="1051.4895299999998"/>
    <n v="3833.2078633333331"/>
    <n v="0"/>
    <n v="1746"/>
    <n v="0"/>
    <n v="231.75"/>
    <n v="0"/>
    <n v="0"/>
    <n v="10.08"/>
    <n v="0"/>
    <n v="1987.83"/>
    <n v="11228.698303333333"/>
    <n v="100.31019811342594"/>
    <n v="8.0248158490740735"/>
    <n v="3.2099263396296305"/>
    <n v="50.070930000000004"/>
    <n v="18.926811540000006"/>
    <n v="437.44507733333324"/>
    <n v="11.921650000000001"/>
    <n v="629.90940917546288"/>
    <n v="120.80605333333332"/>
    <n v="29.009348333333328"/>
    <n v="2.44393825"/>
    <n v="2.9804125000000004"/>
    <n v="18.544788888888888"/>
    <n v="65.690556613500007"/>
    <n v="239.47509791905557"/>
    <n v="0"/>
    <n v="0"/>
    <n v="0"/>
    <n v="0"/>
    <n v="239.47509791905557"/>
    <n v="272.35403934611912"/>
    <n v="0"/>
    <n v="0"/>
    <n v="0"/>
    <n v="0"/>
    <n v="272.35403934611912"/>
    <n v="26676.416849773967"/>
    <n v="1143.4828531935698"/>
    <n v="960.52559668259914"/>
    <n v="8.7406555491661944E-2"/>
    <n v="1.8976423231742381E-2"/>
    <n v="3.7999999999999999E-2"/>
    <n v="4.370327774583093E-2"/>
    <n v="0.1305"/>
    <n v="0.15008625646923526"/>
    <n v="4319.5462928169572"/>
    <n v="6423.5547426931262"/>
    <n v="33099.971592467096"/>
    <n v="397199.65910960513"/>
    <d v="2025-01-01T00:00:00"/>
    <s v="-"/>
    <s v="-"/>
  </r>
  <r>
    <s v="1.071.13"/>
    <x v="15"/>
    <x v="3"/>
    <s v="Regiao de Sao Lourenco"/>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0"/>
    <n v="0"/>
    <n v="3.36"/>
    <n v="0"/>
    <n v="745.583572"/>
    <n v="1776.68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26.1099646554144"/>
    <n v="381.16095106452326"/>
    <n v="320.1751988941997"/>
    <n v="8.6609686609686695E-2"/>
    <n v="1.880341880341882E-2"/>
    <n v="0.03"/>
    <n v="3.4188034188034219E-2"/>
    <n v="0.1225"/>
    <n v="0.13960113960113973"/>
    <n v="590.15629520254402"/>
    <n v="1291.4924451612669"/>
    <n v="4817.6024098166818"/>
    <n v="57811.228917800181"/>
    <d v="2025-01-01T00:00:00"/>
    <s v="-"/>
    <s v="-"/>
  </r>
  <r>
    <s v="1.073.45"/>
    <x v="16"/>
    <x v="4"/>
    <s v="Sethac Norte de Minas"/>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86"/>
    <n v="0"/>
    <n v="0"/>
    <n v="3.36"/>
    <n v="0"/>
    <n v="689.39216400000009"/>
    <n v="2883.7498021222227"/>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9694066081274"/>
    <n v="381.16095106452326"/>
    <n v="320.1751988941997"/>
    <n v="8.6609686609686695E-2"/>
    <n v="1.880341880341882E-2"/>
    <n v="0.03"/>
    <n v="3.4188034188034219E-2"/>
    <n v="0.1225"/>
    <n v="0.13960113960113973"/>
    <n v="1011.4529124552023"/>
    <n v="1712.7890624139252"/>
    <n v="8256.7584690220519"/>
    <n v="99081.101628264616"/>
    <d v="2025-01-01T00:00:00"/>
    <s v="-"/>
    <s v="-"/>
  </r>
  <r>
    <s v="1.074.43"/>
    <x v="17"/>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6609686609686695E-2"/>
    <n v="1.880341880341882E-2"/>
    <n v="0.03"/>
    <n v="3.4188034188034219E-2"/>
    <n v="0.1225"/>
    <n v="0.13960113960113973"/>
    <n v="714.10528799342251"/>
    <n v="1415.4414379521454"/>
    <n v="5829.4309223952805"/>
    <n v="69953.171068743366"/>
    <d v="2025-01-01T00:00:00"/>
    <s v="-"/>
    <s v="-"/>
  </r>
  <r>
    <s v="1.080.45"/>
    <x v="18"/>
    <x v="4"/>
    <s v="Regiao de Sao Lourenco"/>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0"/>
    <n v="0"/>
    <n v="0"/>
    <n v="3.36"/>
    <n v="0"/>
    <n v="637.53216400000008"/>
    <n v="2831.8898021222226"/>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492.1094066081278"/>
    <n v="381.16095106452326"/>
    <n v="320.1751988941997"/>
    <n v="8.6609686609686695E-2"/>
    <n v="1.880341880341882E-2"/>
    <n v="0.03"/>
    <n v="3.4188034188034219E-2"/>
    <n v="0.1225"/>
    <n v="0.13960113960113973"/>
    <n v="1004.2131973554872"/>
    <n v="1705.5493473142101"/>
    <n v="8197.6587539223383"/>
    <n v="98371.905047068052"/>
    <d v="2025-01-01T00:00:00"/>
    <s v="-"/>
    <s v="-"/>
  </r>
  <r>
    <s v="1.086.43"/>
    <x v="19"/>
    <x v="2"/>
    <s v="Sethac Norte de Mina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6609686609686695E-2"/>
    <n v="1.880341880341882E-2"/>
    <n v="0.03"/>
    <n v="3.4188034188034219E-2"/>
    <n v="0.1225"/>
    <n v="0.13960113960113973"/>
    <n v="712.00149881963318"/>
    <n v="1413.3376487783562"/>
    <n v="5812.2571332214911"/>
    <n v="69747.085598657897"/>
    <d v="2025-01-01T00:00:00"/>
    <s v="-"/>
    <s v="-"/>
  </r>
  <r>
    <s v="1.090.45"/>
    <x v="20"/>
    <x v="4"/>
    <s v="Sind - Asseio"/>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77.25"/>
    <n v="0"/>
    <n v="0"/>
    <n v="3.36"/>
    <n v="0"/>
    <n v="714.78216400000008"/>
    <n v="2909.1398021222226"/>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69.3594066081278"/>
    <n v="381.16095106452326"/>
    <n v="320.1751988941997"/>
    <n v="8.8629737609329504E-2"/>
    <n v="1.9241982507288629E-2"/>
    <n v="0.05"/>
    <n v="5.8309037900874633E-2"/>
    <n v="0.14250000000000002"/>
    <n v="0.16618075801749277"/>
    <n v="1208.2496989046956"/>
    <n v="1909.5858488634185"/>
    <n v="8478.9452554715463"/>
    <n v="101747.34306565856"/>
    <d v="2025-01-01T00:00:00"/>
    <s v="-"/>
    <s v="-"/>
  </r>
  <r>
    <s v="1.093.43"/>
    <x v="21"/>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5633802816901458E-2"/>
    <n v="1.8591549295774657E-2"/>
    <n v="0.02"/>
    <n v="2.2535211267605645E-2"/>
    <n v="0.1125"/>
    <n v="0.12676056338028174"/>
    <n v="648.42155929037665"/>
    <n v="1349.7577092490997"/>
    <n v="5763.7471936922357"/>
    <n v="69164.966324306821"/>
    <d v="2025-01-01T00:00:00"/>
    <s v="-"/>
    <s v="-"/>
  </r>
  <r>
    <s v="1.045.45"/>
    <x v="22"/>
    <x v="4"/>
    <s v="Fethemg RM"/>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0"/>
    <n v="15.07"/>
    <n v="0"/>
    <n v="3.36"/>
    <n v="0"/>
    <n v="652.60216400000013"/>
    <n v="2846.9598021222228"/>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07.1794066081284"/>
    <n v="381.16095106452326"/>
    <n v="320.1751988941997"/>
    <n v="8.6609686609686695E-2"/>
    <n v="1.880341880341882E-2"/>
    <n v="0.03"/>
    <n v="3.4188034188034219E-2"/>
    <n v="0.1225"/>
    <n v="0.13960113960113973"/>
    <n v="1006.3169865292765"/>
    <n v="1707.6531364879993"/>
    <n v="8214.8325430961268"/>
    <n v="98577.990517153521"/>
    <d v="2025-01-01T00:00:00"/>
    <s v="-"/>
    <s v="-"/>
  </r>
  <r>
    <s v="1.878.43"/>
    <x v="23"/>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5633802816901458E-2"/>
    <n v="1.8591549295774657E-2"/>
    <n v="0.02"/>
    <n v="2.2535211267605645E-2"/>
    <n v="0.1125"/>
    <n v="0.12676056338028174"/>
    <n v="648.42155929037665"/>
    <n v="1349.7577092490997"/>
    <n v="5763.7471936922357"/>
    <n v="69164.966324306821"/>
    <d v="2025-01-01T00:00:00"/>
    <s v="-"/>
    <s v="-"/>
  </r>
  <r>
    <s v="1.106.43"/>
    <x v="24"/>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5633802816901458E-2"/>
    <n v="1.8591549295774657E-2"/>
    <n v="0.02"/>
    <n v="2.2535211267605645E-2"/>
    <n v="0.1125"/>
    <n v="0.12676056338028174"/>
    <n v="648.42155929037665"/>
    <n v="1349.7577092490997"/>
    <n v="5763.7471936922357"/>
    <n v="69164.966324306821"/>
    <d v="2025-01-01T00:00:00"/>
    <s v="-"/>
    <s v="-"/>
  </r>
  <r>
    <s v="3.112.35"/>
    <x v="25"/>
    <x v="6"/>
    <s v="Rodoviarios de Lavras + SEAC-MG"/>
    <s v="Apoio"/>
    <x v="1"/>
    <n v="1"/>
    <n v="0"/>
    <n v="4599.5983999999999"/>
    <n v="0"/>
    <n v="0"/>
    <n v="0"/>
    <n v="0"/>
    <n v="0"/>
    <n v="0"/>
    <n v="0"/>
    <n v="4599.5983999999999"/>
    <n v="919.91967999999997"/>
    <n v="68.993975999999989"/>
    <n v="45.995984"/>
    <n v="9.1991967999999993"/>
    <n v="114.98996"/>
    <n v="367.967872"/>
    <n v="183.983936"/>
    <n v="27.597590400000001"/>
    <n v="1738.6481951999999"/>
    <n v="383.29986666666662"/>
    <n v="511.06648888888884"/>
    <n v="338.07048239999995"/>
    <n v="1232.4368379555553"/>
    <n v="0"/>
    <n v="578.4"/>
    <n v="0"/>
    <n v="0"/>
    <n v="0"/>
    <n v="0"/>
    <n v="3.36"/>
    <n v="662.42"/>
    <n v="1244.1799999999998"/>
    <n v="4215.2650331555551"/>
    <n v="32.25131216080247"/>
    <n v="2.5801049728641976"/>
    <n v="1.0320419891456791"/>
    <n v="16.098594400000003"/>
    <n v="6.0852686832000016"/>
    <n v="140.6454977422222"/>
    <n v="3.8329986666666667"/>
    <n v="202.52581861490123"/>
    <n v="38.841053155555549"/>
    <n v="9.3269634222222209"/>
    <n v="0.78576472666666664"/>
    <n v="0.95824966666666667"/>
    <n v="5.9624423703703702"/>
    <n v="21.120550923080003"/>
    <n v="76.995024264561465"/>
    <n v="0"/>
    <n v="0"/>
    <n v="0"/>
    <n v="0"/>
    <n v="76.995024264561465"/>
    <n v="92.100763771570698"/>
    <n v="0"/>
    <n v="0"/>
    <n v="0"/>
    <n v="0"/>
    <n v="92.100763771570698"/>
    <n v="9186.4850398065864"/>
    <n v="381.16095106452326"/>
    <n v="320.1751988941997"/>
    <n v="8.6609686609686695E-2"/>
    <n v="1.880341880341882E-2"/>
    <n v="0.03"/>
    <n v="3.4188034188034219E-2"/>
    <n v="0.1225"/>
    <n v="0.13960113960113973"/>
    <n v="1380.3511062635346"/>
    <n v="2081.6872562222575"/>
    <n v="11268.172296028844"/>
    <n v="135218.06755234613"/>
    <d v="2025-01-01T00:00:00"/>
    <s v="-"/>
    <s v="-"/>
  </r>
  <r>
    <s v="1.112.44"/>
    <x v="25"/>
    <x v="7"/>
    <s v="Regiao de Sao Lourenco"/>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582"/>
    <n v="0"/>
    <n v="0"/>
    <n v="0"/>
    <n v="0"/>
    <n v="3.36"/>
    <n v="0"/>
    <n v="702.386482"/>
    <n v="2198.5393466166665"/>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712.1662727156063"/>
    <n v="381.16095106452326"/>
    <n v="320.1751988941997"/>
    <n v="8.6609686609686695E-2"/>
    <n v="1.880341880341882E-2"/>
    <n v="0.03"/>
    <n v="3.4188034188034219E-2"/>
    <n v="0.1225"/>
    <n v="0.13960113960113973"/>
    <n v="755.73110743886718"/>
    <n v="1457.0672573975901"/>
    <n v="6169.2335301131961"/>
    <n v="74030.80236135835"/>
    <d v="2025-01-01T00:00:00"/>
    <s v="-"/>
    <s v="-"/>
  </r>
  <r>
    <s v="1.115.44"/>
    <x v="26"/>
    <x v="7"/>
    <s v="Alto Paranaiba"/>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0"/>
    <n v="387.79"/>
    <n v="42.97"/>
    <n v="0"/>
    <n v="0"/>
    <n v="3.36"/>
    <n v="0"/>
    <n v="551.14648200000011"/>
    <n v="2047.2993466166668"/>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560.9262727156065"/>
    <n v="381.16095106452326"/>
    <n v="320.1751988941997"/>
    <n v="8.6609686609686695E-2"/>
    <n v="1.880341880341882E-2"/>
    <n v="0.03"/>
    <n v="3.4188034188034219E-2"/>
    <n v="0.1225"/>
    <n v="0.13960113960113973"/>
    <n v="734.61783108559086"/>
    <n v="1435.9539810443139"/>
    <n v="5996.8802537599204"/>
    <n v="71962.563045119052"/>
    <d v="2025-01-01T00:00:00"/>
    <s v="-"/>
    <s v="-"/>
  </r>
  <r>
    <s v="1.116.13"/>
    <x v="27"/>
    <x v="3"/>
    <s v="Regiao de Sao Lourenco"/>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0"/>
    <n v="0"/>
    <n v="3.36"/>
    <n v="0"/>
    <n v="745.583572"/>
    <n v="1776.68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26.1099646554144"/>
    <n v="381.16095106452326"/>
    <n v="320.1751988941997"/>
    <n v="8.6609686609686695E-2"/>
    <n v="1.880341880341882E-2"/>
    <n v="0.03"/>
    <n v="3.4188034188034219E-2"/>
    <n v="0.1225"/>
    <n v="0.13960113960113973"/>
    <n v="590.15629520254402"/>
    <n v="1291.4924451612669"/>
    <n v="4817.6024098166818"/>
    <n v="57811.228917800181"/>
    <d v="2025-01-01T00:00:00"/>
    <s v="-"/>
    <s v="-"/>
  </r>
  <r>
    <s v="1.118.13"/>
    <x v="28"/>
    <x v="3"/>
    <s v="Alto Paranaiba"/>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0"/>
    <n v="387.79"/>
    <n v="42.97"/>
    <n v="0"/>
    <n v="0"/>
    <n v="3.36"/>
    <n v="0"/>
    <n v="594.34357200000011"/>
    <n v="1625.44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374.8699646554142"/>
    <n v="381.16095106452326"/>
    <n v="320.1751988941997"/>
    <n v="8.5633802816901458E-2"/>
    <n v="1.8591549295774657E-2"/>
    <n v="0.02"/>
    <n v="2.2535211267605645E-2"/>
    <n v="0.1125"/>
    <n v="0.12676056338028174"/>
    <n v="516.70218354263727"/>
    <n v="1218.0383335013603"/>
    <n v="4592.9082981567744"/>
    <n v="55114.899577881297"/>
    <d v="2025-01-01T00:00:00"/>
    <s v="-"/>
    <s v="-"/>
  </r>
  <r>
    <s v="1.120.43"/>
    <x v="29"/>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0"/>
    <n v="0"/>
    <n v="0"/>
    <n v="3.36"/>
    <n v="0"/>
    <n v="723.5557"/>
    <n v="1991.80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398.9087890732853"/>
    <n v="381.16095106452326"/>
    <n v="320.1751988941997"/>
    <n v="8.6609686609686695E-2"/>
    <n v="1.880341880341882E-2"/>
    <n v="0.03"/>
    <n v="3.4188034188034219E-2"/>
    <n v="0.1225"/>
    <n v="0.13960113960113973"/>
    <n v="712.00000573381374"/>
    <n v="1413.3361556925365"/>
    <n v="5812.2449447658219"/>
    <n v="69746.939337189862"/>
    <d v="2025-01-01T00:00:00"/>
    <s v="-"/>
    <s v="-"/>
  </r>
  <r>
    <s v="1.123.13"/>
    <x v="30"/>
    <x v="3"/>
    <s v="Regiao de Teofilo Otoni"/>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15.07"/>
    <n v="0"/>
    <n v="3.36"/>
    <n v="0"/>
    <n v="760.65357200000005"/>
    <n v="1791.75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41.1799646554141"/>
    <n v="381.16095106452326"/>
    <n v="320.1751988941997"/>
    <n v="8.6609686609686695E-2"/>
    <n v="1.880341880341882E-2"/>
    <n v="0.03"/>
    <n v="3.4188034188034219E-2"/>
    <n v="0.1225"/>
    <n v="0.13960113960113973"/>
    <n v="592.26008437633311"/>
    <n v="1293.5962343350561"/>
    <n v="4834.7761989904702"/>
    <n v="58017.314387885643"/>
    <d v="2025-01-01T00:00:00"/>
    <s v="-"/>
    <s v="-"/>
  </r>
  <r>
    <s v="1.132.44"/>
    <x v="31"/>
    <x v="7"/>
    <s v="Fethemg Interior"/>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0"/>
    <n v="15.07"/>
    <n v="0"/>
    <n v="3.36"/>
    <n v="0"/>
    <n v="717.45621800000004"/>
    <n v="2213.611924772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27.2435182622694"/>
    <n v="381.16095106452326"/>
    <n v="320.1751988941997"/>
    <n v="8.8629737609329504E-2"/>
    <n v="1.9241982507288629E-2"/>
    <n v="0.05"/>
    <n v="5.8309037900874633E-2"/>
    <n v="0.14250000000000002"/>
    <n v="0.16618075801749277"/>
    <n v="902.12548422331383"/>
    <n v="1603.4616341820367"/>
    <n v="6330.7051524443059"/>
    <n v="75968.461829331674"/>
    <d v="2025-01-01T00:00:00"/>
    <s v="-"/>
    <s v="-"/>
  </r>
  <r>
    <s v="1.133.13"/>
    <x v="32"/>
    <x v="3"/>
    <s v="Regiao de Juiz de Fora"/>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1.88"/>
    <n v="0"/>
    <n v="0"/>
    <n v="3.36"/>
    <n v="0"/>
    <n v="797.463572"/>
    <n v="1828.56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77.989964655414"/>
    <n v="381.16095106452326"/>
    <n v="320.1751988941997"/>
    <n v="8.8629737609329504E-2"/>
    <n v="1.9241982507288629E-2"/>
    <n v="0.05"/>
    <n v="5.8309037900874633E-2"/>
    <n v="0.14250000000000002"/>
    <n v="0.16618075801749277"/>
    <n v="711.14165753062935"/>
    <n v="1412.4778074893522"/>
    <n v="4990.4677721447661"/>
    <n v="59885.613265737193"/>
    <d v="2025-01-01T00:00:00"/>
    <s v="-"/>
    <s v="-"/>
  </r>
  <r>
    <s v="1.133.27"/>
    <x v="32"/>
    <x v="59"/>
    <s v="Regiao de Juiz de Fora"/>
    <s v="Apoio"/>
    <x v="0"/>
    <n v="1"/>
    <n v="0"/>
    <n v="2087.4324000000001"/>
    <n v="0"/>
    <n v="303.60000000000002"/>
    <n v="0"/>
    <n v="0"/>
    <n v="0"/>
    <n v="0"/>
    <n v="0"/>
    <n v="2391.0324000000001"/>
    <n v="478.20648000000006"/>
    <n v="35.865485999999997"/>
    <n v="23.910324000000003"/>
    <n v="4.7820648000000006"/>
    <n v="59.775810000000007"/>
    <n v="191.28259200000002"/>
    <n v="95.641296000000011"/>
    <n v="14.3461944"/>
    <n v="903.81024720000005"/>
    <n v="199.2527"/>
    <n v="265.67026666666663"/>
    <n v="175.74088139999998"/>
    <n v="640.66384806666656"/>
    <n v="130.75405599999999"/>
    <n v="582"/>
    <n v="0"/>
    <n v="51.88"/>
    <n v="0"/>
    <n v="0"/>
    <n v="3.36"/>
    <n v="0"/>
    <n v="767.994056"/>
    <n v="2312.4681512666666"/>
    <n v="16.765362019212965"/>
    <n v="1.3412289615370372"/>
    <n v="0.53649158461481494"/>
    <n v="8.368613400000001"/>
    <n v="3.163335865200001"/>
    <n v="73.112457386666662"/>
    <n v="1.9925270000000002"/>
    <n v="105.28001621723148"/>
    <n v="20.190940266666665"/>
    <n v="4.8484823666666665"/>
    <n v="0.40846803500000001"/>
    <n v="0.49813175000000004"/>
    <n v="3.0994864444444445"/>
    <n v="10.979202350130002"/>
    <n v="40.024711212907775"/>
    <n v="0"/>
    <n v="0"/>
    <n v="0"/>
    <n v="0"/>
    <n v="40.024711212907775"/>
    <n v="253.83572732312174"/>
    <n v="441.81099462365592"/>
    <n v="113.11309677419354"/>
    <n v="0"/>
    <n v="0"/>
    <n v="808.75981872097123"/>
    <n v="5657.5650974177779"/>
    <n v="381.16095106452326"/>
    <n v="320.1751988941997"/>
    <n v="8.8629737609329504E-2"/>
    <n v="1.9241982507288629E-2"/>
    <n v="0.05"/>
    <n v="5.8309037900874633E-2"/>
    <n v="0.14250000000000002"/>
    <n v="0.16618075801749277"/>
    <n v="1056.7270294474072"/>
    <n v="1758.0631794061301"/>
    <n v="7415.628276823908"/>
    <n v="88987.539321886899"/>
    <d v="2025-01-01T00:00:00"/>
    <s v="-"/>
    <s v="-"/>
  </r>
  <r>
    <s v="1.133.43"/>
    <x v="32"/>
    <x v="2"/>
    <s v="Regiao de Juiz de Fora"/>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88"/>
    <n v="0"/>
    <n v="0"/>
    <n v="3.36"/>
    <n v="0"/>
    <n v="775.43534"/>
    <n v="2043.68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799484443136"/>
    <n v="381.16095106452326"/>
    <n v="320.1751988941997"/>
    <n v="8.8629737609329504E-2"/>
    <n v="1.9241982507288629E-2"/>
    <n v="0.05"/>
    <n v="5.8309037900874633E-2"/>
    <n v="0.14250000000000002"/>
    <n v="0.16618075801749277"/>
    <n v="856.18580513383688"/>
    <n v="1557.5219550925599"/>
    <n v="6008.3214395356954"/>
    <n v="72099.857274428345"/>
    <d v="2025-01-01T00:00:00"/>
    <s v="-"/>
    <s v="-"/>
  </r>
  <r>
    <s v="1.134.13"/>
    <x v="33"/>
    <x v="3"/>
    <s v="Seethur"/>
    <s v="Apoio"/>
    <x v="0"/>
    <n v="3"/>
    <n v="0"/>
    <n v="4788.8213999999998"/>
    <n v="0"/>
    <n v="0"/>
    <n v="0"/>
    <n v="0"/>
    <n v="0"/>
    <n v="0"/>
    <n v="0"/>
    <n v="4788.8213999999998"/>
    <n v="957.7642800000001"/>
    <n v="71.832320999999993"/>
    <n v="47.888213999999998"/>
    <n v="9.5776427999999996"/>
    <n v="119.72053500000001"/>
    <n v="383.10571199999998"/>
    <n v="191.55285599999999"/>
    <n v="28.732928399999999"/>
    <n v="1810.1744892000002"/>
    <n v="399.06844999999993"/>
    <n v="532.09126666666657"/>
    <n v="351.97837290000001"/>
    <n v="1283.1380895666666"/>
    <n v="480.67071599999997"/>
    <n v="1746"/>
    <n v="0"/>
    <n v="155.57999999999998"/>
    <n v="0"/>
    <n v="0"/>
    <n v="10.08"/>
    <n v="0"/>
    <n v="2392.3307159999999"/>
    <n v="5485.6432947666663"/>
    <n v="33.578099743171293"/>
    <n v="2.6862479794537037"/>
    <n v="1.0744991917814817"/>
    <n v="16.760874900000005"/>
    <n v="6.335610712200002"/>
    <n v="146.43151658666665"/>
    <n v="3.9906845"/>
    <n v="210.85753361327312"/>
    <n v="40.438936266666666"/>
    <n v="9.7106656166666667"/>
    <n v="0.81809032250000002"/>
    <n v="0.99767112499999999"/>
    <n v="6.2077314444444429"/>
    <n v="21.989429825055005"/>
    <n v="80.162524600332802"/>
    <n v="0"/>
    <n v="0"/>
    <n v="0"/>
    <n v="0"/>
    <n v="80.162524600332802"/>
    <n v="168.42514098596976"/>
    <n v="0"/>
    <n v="0"/>
    <n v="0"/>
    <n v="0"/>
    <n v="168.42514098596976"/>
    <n v="10733.909893966242"/>
    <n v="1143.4828531935698"/>
    <n v="960.52559668259914"/>
    <n v="8.6609686609686695E-2"/>
    <n v="1.880341880341882E-2"/>
    <n v="0.03"/>
    <n v="3.4188034188034219E-2"/>
    <n v="0.1225"/>
    <n v="0.13960113960113973"/>
    <n v="1792.1880309067769"/>
    <n v="3896.1964807829454"/>
    <n v="14630.106374749186"/>
    <n v="175561.27649699023"/>
    <d v="2025-01-01T00:00:00"/>
    <s v="-"/>
    <s v="-"/>
  </r>
  <r>
    <s v="1.134.45"/>
    <x v="33"/>
    <x v="4"/>
    <s v="Seethur"/>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86"/>
    <n v="0"/>
    <n v="0"/>
    <n v="3.36"/>
    <n v="0"/>
    <n v="689.39216400000009"/>
    <n v="2883.7498021222227"/>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9694066081274"/>
    <n v="381.16095106452326"/>
    <n v="320.1751988941997"/>
    <n v="8.6609686609686695E-2"/>
    <n v="1.880341880341882E-2"/>
    <n v="0.03"/>
    <n v="3.4188034188034219E-2"/>
    <n v="0.1225"/>
    <n v="0.13960113960113973"/>
    <n v="1011.4529124552023"/>
    <n v="1712.7890624139252"/>
    <n v="8256.7584690220519"/>
    <n v="99081.101628264616"/>
    <d v="2025-01-01T00:00:00"/>
    <s v="-"/>
    <s v="-"/>
  </r>
  <r>
    <s v="1.134.35"/>
    <x v="33"/>
    <x v="6"/>
    <s v="Rodoviarios de Coronel Fabriciano + SEAC-MG"/>
    <s v="Apoio"/>
    <x v="0"/>
    <n v="1"/>
    <n v="0"/>
    <n v="4599.5953"/>
    <n v="0"/>
    <n v="0"/>
    <n v="0"/>
    <n v="0"/>
    <n v="0"/>
    <n v="0"/>
    <n v="0"/>
    <n v="4599.5953"/>
    <n v="919.91906000000006"/>
    <n v="68.993929499999993"/>
    <n v="45.995953"/>
    <n v="9.1991905999999997"/>
    <n v="114.98988250000001"/>
    <n v="367.967624"/>
    <n v="183.983812"/>
    <n v="27.597571800000001"/>
    <n v="1738.6470234000003"/>
    <n v="383.29960833333331"/>
    <n v="511.06614444444443"/>
    <n v="338.07025455000002"/>
    <n v="1232.4360073277778"/>
    <n v="0"/>
    <n v="578.4"/>
    <n v="0"/>
    <n v="0"/>
    <n v="0"/>
    <n v="0"/>
    <n v="3.36"/>
    <n v="662.42"/>
    <n v="1244.1799999999998"/>
    <n v="4215.2630307277777"/>
    <n v="32.251290424324843"/>
    <n v="2.5801032339459877"/>
    <n v="1.0320412935783951"/>
    <n v="16.098583550000001"/>
    <n v="6.0852645819000015"/>
    <n v="140.64540295111109"/>
    <n v="3.8329960833333336"/>
    <n v="202.52568211819366"/>
    <n v="38.841026977777773"/>
    <n v="9.3269571361111101"/>
    <n v="0.78576419708333334"/>
    <n v="0.95824902083333341"/>
    <n v="5.9624383518518513"/>
    <n v="21.120536688422504"/>
    <n v="76.9949723720799"/>
    <n v="0"/>
    <n v="0"/>
    <n v="0"/>
    <n v="0"/>
    <n v="76.9949723720799"/>
    <n v="92.100763771570698"/>
    <n v="0"/>
    <n v="0"/>
    <n v="0"/>
    <n v="0"/>
    <n v="92.100763771570698"/>
    <n v="9186.4797489896209"/>
    <n v="381.16095106452326"/>
    <n v="320.1751988941997"/>
    <n v="8.6609686609686695E-2"/>
    <n v="1.880341880341882E-2"/>
    <n v="0.03"/>
    <n v="3.4188034188034219E-2"/>
    <n v="0.1225"/>
    <n v="0.13960113960113973"/>
    <n v="1380.3503676594567"/>
    <n v="2081.6865176181796"/>
    <n v="11268.166266607801"/>
    <n v="135217.9951992936"/>
    <d v="2025-01-01T00:00:00"/>
    <s v="-"/>
    <s v="-"/>
  </r>
  <r>
    <s v="1.144.44"/>
    <x v="34"/>
    <x v="7"/>
    <s v="Regiao de Sao Lourenco"/>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582"/>
    <n v="0"/>
    <n v="0"/>
    <n v="0"/>
    <n v="0"/>
    <n v="3.36"/>
    <n v="0"/>
    <n v="702.386482"/>
    <n v="2198.5393466166665"/>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712.1662727156063"/>
    <n v="381.16095106452326"/>
    <n v="320.1751988941997"/>
    <n v="8.5633802816901458E-2"/>
    <n v="1.8591549295774657E-2"/>
    <n v="0.02"/>
    <n v="2.2535211267605645E-2"/>
    <n v="0.1125"/>
    <n v="0.12676056338028174"/>
    <n v="686.21861695871803"/>
    <n v="1387.5547669174409"/>
    <n v="6099.7210396330474"/>
    <n v="73196.652475596566"/>
    <d v="2025-01-01T00:00:00"/>
    <s v="-"/>
    <s v="-"/>
  </r>
  <r>
    <s v="1.153.27"/>
    <x v="35"/>
    <x v="59"/>
    <s v="Cataguases"/>
    <s v="Apoio"/>
    <x v="0"/>
    <n v="1"/>
    <n v="0"/>
    <n v="2087.4324000000001"/>
    <n v="0"/>
    <n v="303.60000000000002"/>
    <n v="0"/>
    <n v="0"/>
    <n v="0"/>
    <n v="0"/>
    <n v="0"/>
    <n v="2391.0324000000001"/>
    <n v="478.20648000000006"/>
    <n v="35.865485999999997"/>
    <n v="23.910324000000003"/>
    <n v="4.7820648000000006"/>
    <n v="59.775810000000007"/>
    <n v="191.28259200000002"/>
    <n v="95.641296000000011"/>
    <n v="14.3461944"/>
    <n v="903.81024720000005"/>
    <n v="199.2527"/>
    <n v="265.67026666666663"/>
    <n v="175.74088139999998"/>
    <n v="640.66384806666656"/>
    <n v="130.75405599999999"/>
    <n v="582"/>
    <n v="0"/>
    <n v="57.07"/>
    <n v="0"/>
    <n v="0"/>
    <n v="3.36"/>
    <n v="0"/>
    <n v="773.18405600000006"/>
    <n v="2317.6581512666667"/>
    <n v="16.765362019212965"/>
    <n v="1.3412289615370372"/>
    <n v="0.53649158461481494"/>
    <n v="8.368613400000001"/>
    <n v="3.163335865200001"/>
    <n v="73.112457386666662"/>
    <n v="1.9925270000000002"/>
    <n v="105.28001621723148"/>
    <n v="20.190940266666665"/>
    <n v="4.8484823666666665"/>
    <n v="0.40846803500000001"/>
    <n v="0.49813175000000004"/>
    <n v="3.0994864444444445"/>
    <n v="10.979202350130002"/>
    <n v="40.024711212907775"/>
    <n v="0"/>
    <n v="0"/>
    <n v="0"/>
    <n v="0"/>
    <n v="40.024711212907775"/>
    <n v="253.83572732312174"/>
    <n v="441.81099462365592"/>
    <n v="113.11309677419354"/>
    <n v="0"/>
    <n v="0"/>
    <n v="808.75981872097123"/>
    <n v="5662.7550974177784"/>
    <n v="381.16095106452326"/>
    <n v="320.1751988941997"/>
    <n v="8.8629737609329504E-2"/>
    <n v="1.9241982507288629E-2"/>
    <n v="0.05"/>
    <n v="5.8309037900874633E-2"/>
    <n v="0.14250000000000002"/>
    <n v="0.16618075801749277"/>
    <n v="1057.5895075815181"/>
    <n v="1758.925657540241"/>
    <n v="7421.680754958019"/>
    <n v="89060.169059496227"/>
    <d v="2025-01-01T00:00:00"/>
    <s v="-"/>
    <s v="-"/>
  </r>
  <r>
    <s v="1.153.29"/>
    <x v="35"/>
    <x v="1"/>
    <s v="Cataguases"/>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57.07"/>
    <n v="0"/>
    <n v="0"/>
    <n v="3.36"/>
    <n v="0"/>
    <n v="760.65945800000009"/>
    <n v="2439.9701282166666"/>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196.62072732312174"/>
    <n v="441.81099462365592"/>
    <n v="113.11309677419354"/>
    <n v="0"/>
    <n v="0"/>
    <n v="751.54481872097119"/>
    <n v="5949.2808521176257"/>
    <n v="381.16095106452326"/>
    <n v="320.1751988941997"/>
    <n v="8.8629737609329504E-2"/>
    <n v="1.9241982507288629E-2"/>
    <n v="0.05"/>
    <n v="5.8309037900874633E-2"/>
    <n v="0.14250000000000002"/>
    <n v="0.16618075801749277"/>
    <n v="1105.2045746890728"/>
    <n v="1806.5407246477957"/>
    <n v="7755.8215767654219"/>
    <n v="93069.858921185063"/>
    <d v="2025-01-01T00:00:00"/>
    <s v="-"/>
    <s v="-"/>
  </r>
  <r>
    <s v="1.153.45"/>
    <x v="35"/>
    <x v="4"/>
    <s v="Cataguases"/>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7.07"/>
    <n v="0"/>
    <n v="0"/>
    <n v="3.36"/>
    <n v="0"/>
    <n v="694.60216400000013"/>
    <n v="2888.9598021222228"/>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9.1794066081284"/>
    <n v="381.16095106452326"/>
    <n v="320.1751988941997"/>
    <n v="8.8629737609329504E-2"/>
    <n v="1.9241982507288629E-2"/>
    <n v="0.05"/>
    <n v="5.8309037900874633E-2"/>
    <n v="0.14250000000000002"/>
    <n v="0.16618075801749277"/>
    <n v="1204.8961712079029"/>
    <n v="1906.2323211666258"/>
    <n v="8455.4117277747537"/>
    <n v="101464.94073329704"/>
    <d v="2025-01-01T00:00:00"/>
    <s v="-"/>
    <s v="-"/>
  </r>
  <r>
    <s v="1.180.42"/>
    <x v="36"/>
    <x v="42"/>
    <s v="Regiao de Ouro Preto"/>
    <s v="Apoio"/>
    <x v="0"/>
    <n v="2"/>
    <n v="0"/>
    <n v="3926.8220000000001"/>
    <n v="0"/>
    <n v="0"/>
    <n v="791.25459999999998"/>
    <n v="0"/>
    <n v="0"/>
    <n v="0"/>
    <n v="0"/>
    <n v="4718.0766000000003"/>
    <n v="943.61532000000011"/>
    <n v="70.771149000000008"/>
    <n v="47.180766000000006"/>
    <n v="9.4361532000000015"/>
    <n v="117.95191500000001"/>
    <n v="377.44612800000004"/>
    <n v="188.72306400000002"/>
    <n v="28.308459600000003"/>
    <n v="1783.4329548000005"/>
    <n v="393.17304999999999"/>
    <n v="524.23073333333332"/>
    <n v="346.77863010000004"/>
    <n v="1264.1824134333333"/>
    <n v="276.39067999999997"/>
    <n v="1164"/>
    <n v="0"/>
    <n v="103.74"/>
    <n v="0"/>
    <n v="0"/>
    <n v="6.72"/>
    <n v="0"/>
    <n v="1550.85068"/>
    <n v="4598.4660482333338"/>
    <n v="33.082053690856483"/>
    <n v="2.6465642952685191"/>
    <n v="1.0586257181074077"/>
    <n v="16.513268100000005"/>
    <n v="6.2420153418000019"/>
    <n v="144.26829781333333"/>
    <n v="3.9317305000000005"/>
    <n v="207.74255545936575"/>
    <n v="39.84153573333333"/>
    <n v="9.5672108833333329"/>
    <n v="0.80600475250000003"/>
    <n v="0.98293262500000012"/>
    <n v="6.1160252222222224"/>
    <n v="21.664582083795004"/>
    <n v="78.978291300183884"/>
    <n v="522.35848681753384"/>
    <n v="522.35848681753384"/>
    <n v="0"/>
    <n v="0"/>
    <n v="601.3367781177177"/>
    <n v="113.28595792508679"/>
    <n v="0"/>
    <n v="0"/>
    <n v="0"/>
    <n v="0"/>
    <n v="113.28595792508679"/>
    <n v="10238.907939735507"/>
    <n v="762.32190212904652"/>
    <n v="640.35039778839939"/>
    <n v="8.5633802816901458E-2"/>
    <n v="1.8591549295774657E-2"/>
    <n v="0.02"/>
    <n v="2.2535211267605645E-2"/>
    <n v="0.1125"/>
    <n v="0.12676056338028174"/>
    <n v="1475.6932698151636"/>
    <n v="2878.3655697326094"/>
    <n v="13117.273509468116"/>
    <n v="157407.2821136174"/>
    <d v="2025-01-01T00:00:00"/>
    <s v="-"/>
    <s v="-"/>
  </r>
  <r>
    <s v="1.180.43"/>
    <x v="36"/>
    <x v="2"/>
    <s v="Regiao de Ouro Preto"/>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87"/>
    <n v="0"/>
    <n v="0"/>
    <n v="3.36"/>
    <n v="0"/>
    <n v="775.42534000000001"/>
    <n v="2043.6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7894844431357"/>
    <n v="381.16095106452326"/>
    <n v="320.1751988941997"/>
    <n v="8.5633802816901458E-2"/>
    <n v="1.8591549295774657E-2"/>
    <n v="0.02"/>
    <n v="2.2535211267605645E-2"/>
    <n v="0.1125"/>
    <n v="0.12676056338028174"/>
    <n v="653.08634802277106"/>
    <n v="1354.422497981494"/>
    <n v="5805.2119824246292"/>
    <n v="69662.543789095551"/>
    <d v="2025-01-01T00:00:00"/>
    <s v="-"/>
    <s v="-"/>
  </r>
  <r>
    <s v="1.183.13"/>
    <x v="37"/>
    <x v="3"/>
    <s v="Regiao de Ouro Preto"/>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0"/>
    <n v="0"/>
    <n v="3.36"/>
    <n v="0"/>
    <n v="745.583572"/>
    <n v="1776.68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26.1099646554144"/>
    <n v="381.16095106452326"/>
    <n v="320.1751988941997"/>
    <n v="8.7608069164265154E-2"/>
    <n v="1.9020172910662814E-2"/>
    <n v="0.04"/>
    <n v="4.6109510086455294E-2"/>
    <n v="0.13250000000000001"/>
    <n v="0.15273775216138324"/>
    <n v="645.69061692953665"/>
    <n v="1347.0267668882595"/>
    <n v="4873.1367315436737"/>
    <n v="58477.640778524088"/>
    <d v="2025-01-01T00:00:00"/>
    <s v="-"/>
    <s v="-"/>
  </r>
  <r>
    <s v="1.183.35"/>
    <x v="37"/>
    <x v="6"/>
    <s v="Rodoviarios de Conselheiro Lafaiete + SEAC-MG"/>
    <s v="Apoio"/>
    <x v="0"/>
    <n v="1"/>
    <n v="0"/>
    <n v="4558.0709999999999"/>
    <n v="0"/>
    <n v="0"/>
    <n v="0"/>
    <n v="0"/>
    <n v="0"/>
    <n v="0"/>
    <n v="0"/>
    <n v="4558.0709999999999"/>
    <n v="911.61419999999998"/>
    <n v="68.371065000000002"/>
    <n v="45.580710000000003"/>
    <n v="9.116142"/>
    <n v="113.951775"/>
    <n v="364.64568000000003"/>
    <n v="182.32284000000001"/>
    <n v="27.348426"/>
    <n v="1722.9508380000002"/>
    <n v="379.83924999999999"/>
    <n v="506.45233333333329"/>
    <n v="335.01821850000005"/>
    <n v="1221.3098018333333"/>
    <n v="0"/>
    <n v="578.4"/>
    <n v="0"/>
    <n v="22.52"/>
    <n v="0"/>
    <n v="0"/>
    <n v="3.36"/>
    <n v="662.42"/>
    <n v="1266.6999999999998"/>
    <n v="4210.9606398333335"/>
    <n v="31.960131708912037"/>
    <n v="2.556810536712963"/>
    <n v="1.0227242146851854"/>
    <n v="15.953248500000003"/>
    <n v="6.0303279330000015"/>
    <n v="139.3756821333333"/>
    <n v="3.7983925000000003"/>
    <n v="200.6973175266435"/>
    <n v="38.490377333333328"/>
    <n v="9.2427550833333321"/>
    <n v="0.77867046249999994"/>
    <n v="0.94959812500000007"/>
    <n v="5.9086105555555557"/>
    <n v="20.929864369575004"/>
    <n v="76.29987592929723"/>
    <n v="0"/>
    <n v="0"/>
    <n v="0"/>
    <n v="0"/>
    <n v="76.29987592929723"/>
    <n v="92.100763771570698"/>
    <n v="0"/>
    <n v="0"/>
    <n v="0"/>
    <n v="0"/>
    <n v="92.100763771570698"/>
    <n v="9138.1295970608444"/>
    <n v="381.16095106452326"/>
    <n v="320.1751988941997"/>
    <n v="8.7608069164265154E-2"/>
    <n v="1.9020172910662814E-2"/>
    <n v="0.04"/>
    <n v="4.6109510086455294E-2"/>
    <n v="0.13250000000000001"/>
    <n v="0.15273775216138324"/>
    <n v="1502.8578806686942"/>
    <n v="2204.1940306274173"/>
    <n v="11342.323627688262"/>
    <n v="136107.88353225915"/>
    <d v="2025-01-01T00:00:00"/>
    <s v="-"/>
    <s v="-"/>
  </r>
  <r>
    <s v="1.183.43"/>
    <x v="37"/>
    <x v="2"/>
    <s v="Regiao de Ouro Preto"/>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7608069164265154E-2"/>
    <n v="1.9020172910662814E-2"/>
    <n v="0.04"/>
    <n v="4.6109510086455294E-2"/>
    <n v="0.13250000000000001"/>
    <n v="0.15273775216138324"/>
    <n v="779.00158104696936"/>
    <n v="1480.3377310056921"/>
    <n v="5879.2572154488271"/>
    <n v="70551.086585385929"/>
    <d v="2025-01-01T00:00:00"/>
    <s v="-"/>
    <s v="-"/>
  </r>
  <r>
    <s v="1.183.45"/>
    <x v="37"/>
    <x v="4"/>
    <s v="Regiao de Ouro Preto"/>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0"/>
    <n v="0"/>
    <n v="0"/>
    <n v="3.36"/>
    <n v="0"/>
    <n v="637.53216400000008"/>
    <n v="2831.8898021222226"/>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492.1094066081278"/>
    <n v="381.16095106452326"/>
    <n v="320.1751988941997"/>
    <n v="8.7608069164265154E-2"/>
    <n v="1.9020172910662814E-2"/>
    <n v="0.04"/>
    <n v="4.6109510086455294E-2"/>
    <n v="0.13250000000000001"/>
    <n v="0.15273775216138324"/>
    <n v="1098.7107046053111"/>
    <n v="1800.046854564034"/>
    <n v="8292.156261172162"/>
    <n v="99505.875134065951"/>
    <d v="2025-01-01T00:00:00"/>
    <s v="-"/>
    <s v="-"/>
  </r>
  <r>
    <s v="1.184.43"/>
    <x v="38"/>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6609686609686695E-2"/>
    <n v="1.880341880341882E-2"/>
    <n v="0.03"/>
    <n v="3.4188034188034219E-2"/>
    <n v="0.1225"/>
    <n v="0.13960113960113973"/>
    <n v="714.10528799342251"/>
    <n v="1415.4414379521454"/>
    <n v="5829.4309223952805"/>
    <n v="69953.171068743366"/>
    <d v="2025-01-01T00:00:00"/>
    <s v="-"/>
    <s v="-"/>
  </r>
  <r>
    <s v="1.079.14"/>
    <x v="39"/>
    <x v="20"/>
    <s v="Sind - Asseio"/>
    <s v="Apoio"/>
    <x v="0"/>
    <n v="1"/>
    <n v="0"/>
    <n v="6454.87"/>
    <n v="0"/>
    <n v="0"/>
    <n v="0"/>
    <n v="0"/>
    <n v="0"/>
    <n v="0"/>
    <n v="0"/>
    <n v="6454.87"/>
    <n v="1290.9740000000002"/>
    <n v="96.823049999999995"/>
    <n v="64.548699999999997"/>
    <n v="12.909739999999999"/>
    <n v="161.37175000000002"/>
    <n v="516.38959999999997"/>
    <n v="258.19479999999999"/>
    <n v="38.729219999999998"/>
    <n v="2439.9408600000006"/>
    <n v="537.90583333333325"/>
    <n v="717.20777777777778"/>
    <n v="474.43294500000007"/>
    <n v="1729.5465561111109"/>
    <n v="0"/>
    <n v="582"/>
    <n v="0"/>
    <n v="77.25"/>
    <n v="0"/>
    <n v="0"/>
    <n v="3.36"/>
    <n v="0"/>
    <n v="662.61"/>
    <n v="4832.0974161111108"/>
    <n v="45.260044295910497"/>
    <n v="3.6208035436728396"/>
    <n v="1.4483214174691361"/>
    <n v="22.592045000000002"/>
    <n v="8.5397930100000021"/>
    <n v="197.37558044444441"/>
    <n v="5.3790583333333339"/>
    <n v="284.21564604483024"/>
    <n v="54.507791111111104"/>
    <n v="13.089041944444443"/>
    <n v="1.1027069583333333"/>
    <n v="1.3447645833333335"/>
    <n v="8.3674240740740728"/>
    <n v="29.639633437750003"/>
    <n v="108.05136210904629"/>
    <n v="0"/>
    <n v="0"/>
    <n v="0"/>
    <n v="0"/>
    <n v="108.05136210904629"/>
    <n v="90.784679782039703"/>
    <n v="0"/>
    <n v="0"/>
    <n v="0"/>
    <n v="0"/>
    <n v="90.784679782039703"/>
    <n v="11770.019104047027"/>
    <n v="381.16095106452326"/>
    <n v="320.1751988941997"/>
    <n v="8.6609686609686695E-2"/>
    <n v="1.880341880341882E-2"/>
    <n v="0.03"/>
    <n v="3.4188034188034219E-2"/>
    <n v="0.1225"/>
    <n v="0.13960113960113973"/>
    <n v="1741.0154058298642"/>
    <n v="2442.3515557885871"/>
    <n v="14212.370659835615"/>
    <n v="170548.44791802738"/>
    <d v="2025-01-01T00:00:00"/>
    <s v="-"/>
    <s v="-"/>
  </r>
  <r>
    <s v="1.079.15"/>
    <x v="39"/>
    <x v="21"/>
    <s v="Sind - Asseio"/>
    <s v="Apoio"/>
    <x v="0"/>
    <n v="1"/>
    <n v="0"/>
    <n v="1649.1152999999999"/>
    <n v="0"/>
    <n v="0"/>
    <n v="0"/>
    <n v="0"/>
    <n v="0"/>
    <n v="0"/>
    <n v="0"/>
    <n v="1649.1152999999999"/>
    <n v="329.82306"/>
    <n v="24.736729499999999"/>
    <n v="16.491153000000001"/>
    <n v="3.2982306000000001"/>
    <n v="41.2278825"/>
    <n v="131.929224"/>
    <n v="65.964612000000002"/>
    <n v="9.8946918000000004"/>
    <n v="623.36558340000011"/>
    <n v="137.42627499999998"/>
    <n v="183.23503333333332"/>
    <n v="121.20997455"/>
    <n v="441.87128288333327"/>
    <n v="157.05308200000002"/>
    <n v="582"/>
    <n v="0"/>
    <n v="77.25"/>
    <n v="0"/>
    <n v="0"/>
    <n v="3.36"/>
    <n v="0"/>
    <n v="819.66308200000003"/>
    <n v="1884.8999482833333"/>
    <n v="11.563212199016203"/>
    <n v="0.92505697592129632"/>
    <n v="0.37002279036851859"/>
    <n v="5.7719035500000002"/>
    <n v="2.1817795419000006"/>
    <n v="50.426281173333322"/>
    <n v="1.37426275"/>
    <n v="72.612518980539335"/>
    <n v="13.925862533333332"/>
    <n v="3.3440393583333332"/>
    <n v="0.28172386374999997"/>
    <n v="0.34356568749999999"/>
    <n v="2.1377420555555555"/>
    <n v="7.572448862422501"/>
    <n v="27.605382360894719"/>
    <n v="0"/>
    <n v="0"/>
    <n v="0"/>
    <n v="0"/>
    <n v="27.605382360894719"/>
    <n v="107.69869344317156"/>
    <n v="0"/>
    <n v="0"/>
    <n v="0"/>
    <n v="0"/>
    <n v="107.69869344317156"/>
    <n v="3741.9318430679386"/>
    <n v="381.16095106452326"/>
    <n v="320.1751988941997"/>
    <n v="8.6609686609686695E-2"/>
    <n v="1.880341880341882E-2"/>
    <n v="0.03"/>
    <n v="3.4188034188034219E-2"/>
    <n v="0.1225"/>
    <n v="0.13960113960113973"/>
    <n v="620.28527537979096"/>
    <n v="1321.6214253385137"/>
    <n v="5063.5532684064528"/>
    <n v="60762.639220877434"/>
    <d v="2025-01-01T00:00:00"/>
    <s v="-"/>
    <s v="-"/>
  </r>
  <r>
    <s v="1.079.35"/>
    <x v="39"/>
    <x v="6"/>
    <s v="Rodoviarios de Contagem + SEAC-MG"/>
    <s v="Apoio"/>
    <x v="0"/>
    <n v="3"/>
    <n v="0"/>
    <n v="13141.700699999999"/>
    <n v="0"/>
    <n v="0"/>
    <n v="0"/>
    <n v="0"/>
    <n v="0"/>
    <n v="0"/>
    <n v="0"/>
    <n v="13141.700699999999"/>
    <n v="2628.3401400000002"/>
    <n v="197.12551049999996"/>
    <n v="131.41700700000001"/>
    <n v="26.283401399999999"/>
    <n v="328.54251750000003"/>
    <n v="1051.3360560000001"/>
    <n v="525.66802800000005"/>
    <n v="78.850204199999993"/>
    <n v="4967.5628646000005"/>
    <n v="1095.141725"/>
    <n v="1460.1889666666666"/>
    <n v="965.91500145000009"/>
    <n v="3521.2456931166662"/>
    <n v="0"/>
    <n v="1735.1999999999998"/>
    <n v="0"/>
    <n v="0"/>
    <n v="0"/>
    <n v="0"/>
    <n v="10.08"/>
    <n v="1987.2599999999998"/>
    <n v="3732.5399999999995"/>
    <n v="12221.348557716667"/>
    <n v="92.146542967650461"/>
    <n v="7.3717234374120384"/>
    <n v="2.9486893749648155"/>
    <n v="45.995952450000004"/>
    <n v="17.386470026100007"/>
    <n v="401.84400362666656"/>
    <n v="10.95141725"/>
    <n v="578.64479913279388"/>
    <n v="110.97436146666666"/>
    <n v="26.648448641666661"/>
    <n v="2.2450405362499999"/>
    <n v="2.7378543125000001"/>
    <n v="17.035537944444442"/>
    <n v="60.344389816777507"/>
    <n v="219.98563271830531"/>
    <n v="0"/>
    <n v="0"/>
    <n v="0"/>
    <n v="0"/>
    <n v="219.98563271830531"/>
    <n v="276.30229131471208"/>
    <n v="0"/>
    <n v="0"/>
    <n v="0"/>
    <n v="0"/>
    <n v="276.30229131471208"/>
    <n v="26437.981980882472"/>
    <n v="1143.4828531935698"/>
    <n v="960.52559668259914"/>
    <n v="8.6609686609686695E-2"/>
    <n v="1.880341880341882E-2"/>
    <n v="0.03"/>
    <n v="3.4188034188034219E-2"/>
    <n v="0.1225"/>
    <n v="0.13960113960113973"/>
    <n v="3984.4943906187318"/>
    <n v="6088.5028404949007"/>
    <n v="32526.484821377373"/>
    <n v="390317.81785652845"/>
    <d v="2025-01-01T00:00:00"/>
    <s v="-"/>
    <s v="-"/>
  </r>
  <r>
    <s v="3.079.35"/>
    <x v="39"/>
    <x v="6"/>
    <s v="Rodoviarios de Contagem + SEAC-MG"/>
    <s v="Apoio"/>
    <x v="1"/>
    <n v="1"/>
    <n v="0"/>
    <n v="4380.5668999999998"/>
    <n v="0"/>
    <n v="0"/>
    <n v="0"/>
    <n v="0"/>
    <n v="0"/>
    <n v="0"/>
    <n v="0"/>
    <n v="4380.5668999999998"/>
    <n v="876.11338000000001"/>
    <n v="65.708503499999992"/>
    <n v="43.805669000000002"/>
    <n v="8.7611337999999996"/>
    <n v="109.5141725"/>
    <n v="350.44535200000001"/>
    <n v="175.22267600000001"/>
    <n v="26.283401399999999"/>
    <n v="1655.8542882000002"/>
    <n v="365.04724166666665"/>
    <n v="486.7296555555555"/>
    <n v="321.97166715000003"/>
    <n v="1173.7485643722221"/>
    <n v="0"/>
    <n v="578.4"/>
    <n v="0"/>
    <n v="0"/>
    <n v="0"/>
    <n v="0"/>
    <n v="3.36"/>
    <n v="662.42"/>
    <n v="1244.1799999999998"/>
    <n v="4073.7828525722221"/>
    <n v="30.715514322550153"/>
    <n v="2.4572411458040126"/>
    <n v="0.9828964583216051"/>
    <n v="15.331984150000002"/>
    <n v="5.7954900087000016"/>
    <n v="133.94800120888885"/>
    <n v="3.6504724166666667"/>
    <n v="192.88159971093131"/>
    <n v="36.991453822222219"/>
    <n v="8.8828162138888871"/>
    <n v="0.74834684541666663"/>
    <n v="0.91261810416666667"/>
    <n v="5.678512648148148"/>
    <n v="20.114796605592502"/>
    <n v="73.328544239435104"/>
    <n v="0"/>
    <n v="0"/>
    <n v="0"/>
    <n v="0"/>
    <n v="73.328544239435104"/>
    <n v="92.100763771570698"/>
    <n v="0"/>
    <n v="0"/>
    <n v="0"/>
    <n v="0"/>
    <n v="92.100763771570698"/>
    <n v="8812.6606602941574"/>
    <n v="381.16095106452326"/>
    <n v="320.1751988941997"/>
    <n v="8.6609686609686695E-2"/>
    <n v="1.880341880341882E-2"/>
    <n v="0.03"/>
    <n v="3.4188034188034219E-2"/>
    <n v="0.1225"/>
    <n v="0.13960113960113973"/>
    <n v="1328.1647968729105"/>
    <n v="2029.5009468316334"/>
    <n v="10842.16160712579"/>
    <n v="130105.93928550949"/>
    <d v="2025-01-01T00:00:00"/>
    <s v="-"/>
    <s v="-"/>
  </r>
  <r>
    <s v="1.079.45"/>
    <x v="39"/>
    <x v="4"/>
    <s v="Sind - Asseio"/>
    <s v="Apoio"/>
    <x v="0"/>
    <n v="3"/>
    <n v="0"/>
    <n v="10191.391799999999"/>
    <n v="0"/>
    <n v="0"/>
    <n v="0"/>
    <n v="0"/>
    <n v="0"/>
    <n v="0"/>
    <n v="0"/>
    <n v="10191.391799999999"/>
    <n v="2038.2783600000002"/>
    <n v="152.87087700000001"/>
    <n v="101.913918"/>
    <n v="20.3827836"/>
    <n v="254.78479500000003"/>
    <n v="815.31134399999996"/>
    <n v="407.65567199999998"/>
    <n v="61.148350800000003"/>
    <n v="3852.3461004000005"/>
    <n v="849.28264999999988"/>
    <n v="1132.3768666666665"/>
    <n v="749.06729730000006"/>
    <n v="2730.7268139666667"/>
    <n v="156.51649200000003"/>
    <n v="1746"/>
    <n v="0"/>
    <n v="231.75"/>
    <n v="0"/>
    <n v="0"/>
    <n v="10.08"/>
    <n v="0"/>
    <n v="2144.3464920000001"/>
    <n v="8727.4194063666673"/>
    <n v="71.459664455671287"/>
    <n v="5.7167731564537041"/>
    <n v="2.286709262581482"/>
    <n v="35.669871300000004"/>
    <n v="13.483211351400003"/>
    <n v="311.63011370666663"/>
    <n v="8.4928265000000014"/>
    <n v="448.73916973277312"/>
    <n v="86.060641866666657"/>
    <n v="20.665877816666665"/>
    <n v="1.7410294325"/>
    <n v="2.1232066250000003"/>
    <n v="13.211063444444443"/>
    <n v="46.797087652035003"/>
    <n v="170.59890683731277"/>
    <n v="0"/>
    <n v="0"/>
    <n v="0"/>
    <n v="0"/>
    <n v="170.59890683731277"/>
    <n v="169.92893688763019"/>
    <n v="0"/>
    <n v="0"/>
    <n v="0"/>
    <n v="0"/>
    <n v="169.92893688763019"/>
    <n v="19708.078219824383"/>
    <n v="1143.4828531935698"/>
    <n v="960.52559668259914"/>
    <n v="8.6609686609686695E-2"/>
    <n v="1.880341880341882E-2"/>
    <n v="0.03"/>
    <n v="3.4188034188034219E-2"/>
    <n v="0.1225"/>
    <n v="0.13960113960113973"/>
    <n v="3044.9921561690257"/>
    <n v="5149.0006060451942"/>
    <n v="24857.078825869576"/>
    <n v="298284.94591043494"/>
    <d v="2025-01-01T00:00:00"/>
    <s v="-"/>
    <s v="-"/>
  </r>
  <r>
    <s v="1.079.55"/>
    <x v="39"/>
    <x v="53"/>
    <s v="Sind - Asseio"/>
    <s v="Apoio"/>
    <x v="0"/>
    <n v="1"/>
    <n v="0"/>
    <n v="4768.66"/>
    <n v="0"/>
    <n v="0"/>
    <n v="0"/>
    <n v="0"/>
    <n v="0"/>
    <n v="0"/>
    <n v="0"/>
    <n v="4768.66"/>
    <n v="953.73199999999997"/>
    <n v="71.529899999999998"/>
    <n v="47.686599999999999"/>
    <n v="9.5373199999999994"/>
    <n v="119.2165"/>
    <n v="381.49279999999999"/>
    <n v="190.74639999999999"/>
    <n v="28.61196"/>
    <n v="1802.5534799999998"/>
    <n v="397.38833333333332"/>
    <n v="529.85111111111109"/>
    <n v="350.49650999999994"/>
    <n v="1277.7359544444444"/>
    <n v="0"/>
    <n v="582"/>
    <n v="0"/>
    <n v="77.25"/>
    <n v="0"/>
    <n v="0"/>
    <n v="3.36"/>
    <n v="0"/>
    <n v="662.61"/>
    <n v="3742.8994344444441"/>
    <n v="33.436732704475311"/>
    <n v="2.6749386163580247"/>
    <n v="1.0699754465432101"/>
    <n v="16.69031"/>
    <n v="6.3089371800000018"/>
    <n v="145.81502577777775"/>
    <n v="3.9738833333333337"/>
    <n v="209.96980305848763"/>
    <n v="40.268684444444439"/>
    <n v="9.6697827777777761"/>
    <n v="0.81464608333333333"/>
    <n v="0.99347083333333341"/>
    <n v="6.1815962962962958"/>
    <n v="21.896852204500004"/>
    <n v="79.82503263968519"/>
    <n v="0"/>
    <n v="0"/>
    <n v="0"/>
    <n v="0"/>
    <n v="79.82503263968519"/>
    <n v="90.784679782039703"/>
    <n v="0"/>
    <n v="0"/>
    <n v="0"/>
    <n v="0"/>
    <n v="90.784679782039703"/>
    <n v="8892.1389499246561"/>
    <n v="381.16095106452326"/>
    <n v="320.1751988941997"/>
    <n v="8.6609686609686695E-2"/>
    <n v="1.880341880341882E-2"/>
    <n v="0.03"/>
    <n v="3.4188034188034219E-2"/>
    <n v="0.1225"/>
    <n v="0.13960113960113973"/>
    <n v="1339.2600566788776"/>
    <n v="2040.5962066376005"/>
    <n v="10932.735156562256"/>
    <n v="131192.82187874708"/>
    <d v="2025-01-01T00:00:00"/>
    <s v="-"/>
    <s v="-"/>
  </r>
  <r>
    <s v="1.775.43"/>
    <x v="40"/>
    <x v="2"/>
    <s v="Sethac Norte de Mina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6609686609686695E-2"/>
    <n v="1.880341880341882E-2"/>
    <n v="0.03"/>
    <n v="3.4188034188034219E-2"/>
    <n v="0.1225"/>
    <n v="0.13960113960113973"/>
    <n v="712.00149881963318"/>
    <n v="1413.3376487783562"/>
    <n v="5812.2571332214911"/>
    <n v="69747.085598657897"/>
    <d v="2025-01-01T00:00:00"/>
    <s v="-"/>
    <s v="-"/>
  </r>
  <r>
    <s v="1.193.44"/>
    <x v="41"/>
    <x v="7"/>
    <s v="Alto Paranaiba"/>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0"/>
    <n v="387.79"/>
    <n v="42.97"/>
    <n v="0"/>
    <n v="0"/>
    <n v="3.36"/>
    <n v="0"/>
    <n v="551.14648200000011"/>
    <n v="2047.2993466166668"/>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560.9262727156065"/>
    <n v="381.16095106452326"/>
    <n v="320.1751988941997"/>
    <n v="8.6609686609686695E-2"/>
    <n v="1.880341880341882E-2"/>
    <n v="0.03"/>
    <n v="3.4188034188034219E-2"/>
    <n v="0.1225"/>
    <n v="0.13960113960113973"/>
    <n v="734.61783108559086"/>
    <n v="1435.9539810443139"/>
    <n v="5996.8802537599204"/>
    <n v="71962.563045119052"/>
    <d v="2025-01-01T00:00:00"/>
    <s v="-"/>
    <s v="-"/>
  </r>
  <r>
    <s v="1.194.13"/>
    <x v="42"/>
    <x v="3"/>
    <s v="Seethur"/>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1.86"/>
    <n v="0"/>
    <n v="0"/>
    <n v="3.36"/>
    <n v="0"/>
    <n v="797.44357200000002"/>
    <n v="1828.54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77.9699646554141"/>
    <n v="381.16095106452326"/>
    <n v="320.1751988941997"/>
    <n v="8.8629737609329504E-2"/>
    <n v="1.9241982507288629E-2"/>
    <n v="0.05"/>
    <n v="5.8309037900874633E-2"/>
    <n v="0.14250000000000002"/>
    <n v="0.16618075801749277"/>
    <n v="711.13833391546916"/>
    <n v="1412.4744838741922"/>
    <n v="4990.4444485296062"/>
    <n v="59885.333382355275"/>
    <d v="2025-01-01T00:00:00"/>
    <s v="-"/>
    <s v="-"/>
  </r>
  <r>
    <s v="1.194.45"/>
    <x v="42"/>
    <x v="4"/>
    <s v="Seethur"/>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86"/>
    <n v="0"/>
    <n v="0"/>
    <n v="3.36"/>
    <n v="0"/>
    <n v="689.39216400000009"/>
    <n v="2883.7498021222227"/>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9694066081274"/>
    <n v="381.16095106452326"/>
    <n v="320.1751988941997"/>
    <n v="8.8629737609329504E-2"/>
    <n v="1.9241982507288629E-2"/>
    <n v="0.05"/>
    <n v="5.8309037900874633E-2"/>
    <n v="0.14250000000000002"/>
    <n v="0.16618075801749277"/>
    <n v="1204.0303694586314"/>
    <n v="1905.3665194173543"/>
    <n v="8449.335926025482"/>
    <n v="101392.03111230579"/>
    <d v="2025-01-01T00:00:00"/>
    <s v="-"/>
    <s v="-"/>
  </r>
  <r>
    <s v="1.209.45"/>
    <x v="43"/>
    <x v="4"/>
    <s v="Curvelo"/>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74"/>
    <n v="0"/>
    <n v="0"/>
    <n v="3.36"/>
    <n v="0"/>
    <n v="689.27216400000009"/>
    <n v="2883.6298021222224"/>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8494066081275"/>
    <n v="381.16095106452326"/>
    <n v="320.1751988941997"/>
    <n v="8.6609686609686695E-2"/>
    <n v="1.880341880341882E-2"/>
    <n v="0.03"/>
    <n v="3.4188034188034219E-2"/>
    <n v="0.1225"/>
    <n v="0.13960113960113973"/>
    <n v="1011.4361603184501"/>
    <n v="1712.7723102771729"/>
    <n v="8256.6217168853"/>
    <n v="99079.4606026236"/>
    <d v="2025-01-01T00:00:00"/>
    <s v="-"/>
    <s v="-"/>
  </r>
  <r>
    <s v="1.216.35"/>
    <x v="44"/>
    <x v="6"/>
    <s v="Rodoviarios de Curvelo + SEAC-MG"/>
    <s v="Apoio"/>
    <x v="0"/>
    <n v="1"/>
    <n v="0"/>
    <n v="4380.5668999999998"/>
    <n v="0"/>
    <n v="0"/>
    <n v="0"/>
    <n v="0"/>
    <n v="0"/>
    <n v="0"/>
    <n v="0"/>
    <n v="4380.5668999999998"/>
    <n v="876.11338000000001"/>
    <n v="65.708503499999992"/>
    <n v="43.805669000000002"/>
    <n v="8.7611337999999996"/>
    <n v="109.5141725"/>
    <n v="350.44535200000001"/>
    <n v="175.22267600000001"/>
    <n v="26.283401399999999"/>
    <n v="1655.8542882000002"/>
    <n v="365.04724166666665"/>
    <n v="486.7296555555555"/>
    <n v="321.97166715000003"/>
    <n v="1173.7485643722221"/>
    <n v="0"/>
    <n v="578.4"/>
    <n v="0"/>
    <n v="0"/>
    <n v="0"/>
    <n v="0"/>
    <n v="3.36"/>
    <n v="662.42"/>
    <n v="1244.1799999999998"/>
    <n v="4073.7828525722221"/>
    <n v="30.715514322550153"/>
    <n v="2.4572411458040126"/>
    <n v="0.9828964583216051"/>
    <n v="15.331984150000002"/>
    <n v="5.7954900087000016"/>
    <n v="133.94800120888885"/>
    <n v="3.6504724166666667"/>
    <n v="192.88159971093131"/>
    <n v="36.991453822222219"/>
    <n v="8.8828162138888871"/>
    <n v="0.74834684541666663"/>
    <n v="0.91261810416666667"/>
    <n v="5.678512648148148"/>
    <n v="20.114796605592502"/>
    <n v="73.328544239435104"/>
    <n v="0"/>
    <n v="0"/>
    <n v="0"/>
    <n v="0"/>
    <n v="73.328544239435104"/>
    <n v="92.100763771570698"/>
    <n v="0"/>
    <n v="0"/>
    <n v="0"/>
    <n v="0"/>
    <n v="92.100763771570698"/>
    <n v="8812.6606602941574"/>
    <n v="381.16095106452326"/>
    <n v="320.1751988941997"/>
    <n v="8.8629737609329504E-2"/>
    <n v="1.9241982507288629E-2"/>
    <n v="0.05"/>
    <n v="5.8309037900874633E-2"/>
    <n v="0.14250000000000002"/>
    <n v="0.16618075801749277"/>
    <n v="1581.043201703832"/>
    <n v="2282.3793516625547"/>
    <n v="11095.040011956713"/>
    <n v="133140.48014348056"/>
    <d v="2025-01-01T00:00:00"/>
    <s v="-"/>
    <s v="-"/>
  </r>
  <r>
    <s v="1.216.41"/>
    <x v="44"/>
    <x v="41"/>
    <s v="Curvelo"/>
    <s v="Apoio"/>
    <x v="0"/>
    <n v="2"/>
    <n v="0"/>
    <n v="3926.8220000000001"/>
    <n v="0"/>
    <n v="0"/>
    <n v="0"/>
    <n v="0"/>
    <n v="0"/>
    <n v="0"/>
    <n v="0"/>
    <n v="3926.8220000000001"/>
    <n v="785.36440000000005"/>
    <n v="58.902329999999999"/>
    <n v="39.268219999999999"/>
    <n v="7.8536440000000001"/>
    <n v="98.170550000000006"/>
    <n v="314.14576"/>
    <n v="157.07288"/>
    <n v="23.560932000000001"/>
    <n v="1484.3387160000002"/>
    <n v="327.23516666666666"/>
    <n v="436.31355555555552"/>
    <n v="288.62141700000001"/>
    <n v="1052.1701392222221"/>
    <n v="276.39067999999997"/>
    <n v="1164"/>
    <n v="0"/>
    <n v="103.48"/>
    <n v="0"/>
    <n v="0"/>
    <n v="6.72"/>
    <n v="0"/>
    <n v="1550.59068"/>
    <n v="4087.0995352222226"/>
    <n v="27.533960817515432"/>
    <n v="2.2027168654012348"/>
    <n v="0.88108674616049398"/>
    <n v="13.743877000000003"/>
    <n v="5.1951855060000014"/>
    <n v="120.07349048888888"/>
    <n v="3.2723516666666668"/>
    <n v="172.90266909063274"/>
    <n v="33.159830222222219"/>
    <n v="7.9627223888888885"/>
    <n v="0.67083209166666669"/>
    <n v="0.81808791666666669"/>
    <n v="5.0903248148148146"/>
    <n v="18.031279430150004"/>
    <n v="65.733076864409256"/>
    <n v="434.75529489599154"/>
    <n v="434.75529489599154"/>
    <n v="0"/>
    <n v="0"/>
    <n v="500.48837176040081"/>
    <n v="113.28595792508679"/>
    <n v="0"/>
    <n v="0"/>
    <n v="0"/>
    <n v="0"/>
    <n v="113.28595792508679"/>
    <n v="8800.5985339983436"/>
    <n v="762.32190212904652"/>
    <n v="640.35039778839939"/>
    <n v="8.8629737609329504E-2"/>
    <n v="1.9241982507288629E-2"/>
    <n v="0.05"/>
    <n v="5.8309037900874633E-2"/>
    <n v="0.14250000000000002"/>
    <n v="0.16618075801749277"/>
    <n v="1695.5872814379013"/>
    <n v="3098.2595813553471"/>
    <n v="11898.858115353691"/>
    <n v="142786.29738424427"/>
    <d v="2025-01-01T00:00:00"/>
    <s v="-"/>
    <s v="-"/>
  </r>
  <r>
    <s v="1.216.45"/>
    <x v="44"/>
    <x v="4"/>
    <s v="Curvelo"/>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74"/>
    <n v="0"/>
    <n v="0"/>
    <n v="3.36"/>
    <n v="0"/>
    <n v="689.27216400000009"/>
    <n v="2883.6298021222224"/>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8494066081275"/>
    <n v="381.16095106452326"/>
    <n v="320.1751988941997"/>
    <n v="8.8629737609329504E-2"/>
    <n v="1.9241982507288629E-2"/>
    <n v="0.05"/>
    <n v="5.8309037900874633E-2"/>
    <n v="0.14250000000000002"/>
    <n v="0.16618075801749277"/>
    <n v="1204.0104277676694"/>
    <n v="1905.3465777263923"/>
    <n v="8449.1959843345194"/>
    <n v="101390.35181201424"/>
    <d v="2025-01-01T00:00:00"/>
    <s v="-"/>
    <s v="-"/>
  </r>
  <r>
    <s v="1.220.26"/>
    <x v="45"/>
    <x v="0"/>
    <s v="Seethur"/>
    <s v="Apoio"/>
    <x v="0"/>
    <n v="1"/>
    <n v="0"/>
    <n v="1043.7162000000001"/>
    <n v="0"/>
    <n v="303.60000000000002"/>
    <n v="0"/>
    <n v="0"/>
    <n v="0"/>
    <n v="0"/>
    <n v="0"/>
    <n v="1347.3162000000002"/>
    <n v="269.46324000000004"/>
    <n v="20.209743000000003"/>
    <n v="13.473162000000002"/>
    <n v="2.6946324000000006"/>
    <n v="33.682905000000005"/>
    <n v="107.78529600000002"/>
    <n v="53.892648000000008"/>
    <n v="8.0838972000000009"/>
    <n v="509.28552360000009"/>
    <n v="112.27635000000001"/>
    <n v="149.70180000000002"/>
    <n v="99.02774070000001"/>
    <n v="361.00589070000001"/>
    <n v="193.377028"/>
    <n v="582"/>
    <n v="0"/>
    <n v="0"/>
    <n v="0"/>
    <n v="0"/>
    <n v="3.36"/>
    <n v="0"/>
    <n v="778.73702800000001"/>
    <n v="1649.0284423000001"/>
    <n v="9.4470672364583343"/>
    <n v="0.75576537891666684"/>
    <n v="0.30230615156666679"/>
    <n v="4.7156067000000013"/>
    <n v="1.7824993326000007"/>
    <n v="41.197935360000002"/>
    <n v="1.1227635000000002"/>
    <n v="59.323943659541669"/>
    <n v="11.3773368"/>
    <n v="2.7320578500000003"/>
    <n v="0.23016651750000003"/>
    <n v="0.28069087500000006"/>
    <n v="1.7465210000000002"/>
    <n v="6.1866402100650024"/>
    <n v="22.553413252565001"/>
    <n v="0"/>
    <n v="0"/>
    <n v="0"/>
    <n v="0"/>
    <n v="22.553413252565001"/>
    <n v="196.62072732312174"/>
    <n v="441.81099462365592"/>
    <n v="113.11309677419354"/>
    <n v="0"/>
    <n v="0"/>
    <n v="751.54481872097119"/>
    <n v="3829.7668179330785"/>
    <n v="381.16095106452326"/>
    <n v="320.1751988941997"/>
    <n v="8.6609686609686695E-2"/>
    <n v="1.880341880341882E-2"/>
    <n v="0.03"/>
    <n v="3.4188034188034219E-2"/>
    <n v="0.1225"/>
    <n v="0.13960113960113973"/>
    <n v="632.54713796780186"/>
    <n v="1333.8832879265246"/>
    <n v="5163.6501058596032"/>
    <n v="61963.801270315234"/>
    <d v="2025-01-01T00:00:00"/>
    <s v="-"/>
    <s v="-"/>
  </r>
  <r>
    <s v="1.220.29"/>
    <x v="45"/>
    <x v="1"/>
    <s v="Seethur"/>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0"/>
    <n v="0"/>
    <n v="0"/>
    <n v="3.36"/>
    <n v="0"/>
    <n v="703.58945800000004"/>
    <n v="2382.9001282166664"/>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196.62072732312174"/>
    <n v="441.81099462365592"/>
    <n v="113.11309677419354"/>
    <n v="0"/>
    <n v="0"/>
    <n v="751.54481872097119"/>
    <n v="5892.210852117626"/>
    <n v="381.16095106452326"/>
    <n v="320.1751988941997"/>
    <n v="8.6609686609686695E-2"/>
    <n v="1.880341880341882E-2"/>
    <n v="0.03"/>
    <n v="3.4188034188034219E-2"/>
    <n v="0.1225"/>
    <n v="0.13960113960113973"/>
    <n v="920.46667550353675"/>
    <n v="1621.8028254622595"/>
    <n v="7514.0136775798856"/>
    <n v="90168.164130958627"/>
    <d v="2025-01-01T00:00:00"/>
    <s v="-"/>
    <s v="-"/>
  </r>
  <r>
    <s v="1.220.43"/>
    <x v="45"/>
    <x v="2"/>
    <s v="Seethu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6609686609686695E-2"/>
    <n v="1.880341880341882E-2"/>
    <n v="0.03"/>
    <n v="3.4188034188034219E-2"/>
    <n v="0.1225"/>
    <n v="0.13960113960113973"/>
    <n v="712.00149881963318"/>
    <n v="1413.3376487783562"/>
    <n v="5812.2571332214911"/>
    <n v="69747.085598657897"/>
    <d v="2025-01-01T00:00:00"/>
    <s v="-"/>
    <s v="-"/>
  </r>
  <r>
    <s v="1.223.35"/>
    <x v="46"/>
    <x v="6"/>
    <s v="Rodoviarios de Divinopolis + SEAC-MG"/>
    <s v="Apoio"/>
    <x v="0"/>
    <n v="2"/>
    <n v="0"/>
    <n v="8761.1337999999996"/>
    <n v="0"/>
    <n v="0"/>
    <n v="0"/>
    <n v="0"/>
    <n v="0"/>
    <n v="0"/>
    <n v="0"/>
    <n v="8761.1337999999996"/>
    <n v="1752.22676"/>
    <n v="131.41700699999998"/>
    <n v="87.611338000000003"/>
    <n v="17.522267599999999"/>
    <n v="219.028345"/>
    <n v="700.89070400000003"/>
    <n v="350.44535200000001"/>
    <n v="52.566802799999998"/>
    <n v="3311.7085764000003"/>
    <n v="730.0944833333333"/>
    <n v="973.45931111111099"/>
    <n v="643.94333430000006"/>
    <n v="2347.4971287444441"/>
    <n v="0"/>
    <n v="1156.8"/>
    <n v="0"/>
    <n v="0"/>
    <n v="0"/>
    <n v="0"/>
    <n v="6.72"/>
    <n v="1324.84"/>
    <n v="2488.3599999999997"/>
    <n v="8147.5657051444441"/>
    <n v="61.431028645100305"/>
    <n v="4.9144822916080253"/>
    <n v="1.9657929166432102"/>
    <n v="30.663968300000004"/>
    <n v="11.590980017400003"/>
    <n v="267.89600241777771"/>
    <n v="7.3009448333333333"/>
    <n v="385.76319942186262"/>
    <n v="73.982907644444438"/>
    <n v="17.765632427777774"/>
    <n v="1.4966936908333333"/>
    <n v="1.8252362083333333"/>
    <n v="11.357025296296296"/>
    <n v="40.229593211185005"/>
    <n v="146.65708847887021"/>
    <n v="0"/>
    <n v="0"/>
    <n v="0"/>
    <n v="0"/>
    <n v="146.65708847887021"/>
    <n v="184.2015275431414"/>
    <n v="0"/>
    <n v="0"/>
    <n v="0"/>
    <n v="0"/>
    <n v="184.2015275431414"/>
    <n v="17625.321320588315"/>
    <n v="762.32190212904652"/>
    <n v="640.35039778839939"/>
    <n v="8.5633802816901458E-2"/>
    <n v="1.8591549295774657E-2"/>
    <n v="0.02"/>
    <n v="2.2535211267605645E-2"/>
    <n v="0.1125"/>
    <n v="0.12676056338028174"/>
    <n v="2411.9991913317172"/>
    <n v="3814.671491249163"/>
    <n v="21439.992811837477"/>
    <n v="257279.91374204971"/>
    <d v="2025-01-01T00:00:00"/>
    <s v="-"/>
    <s v="-"/>
  </r>
  <r>
    <s v="3.223.35"/>
    <x v="46"/>
    <x v="6"/>
    <s v="Rodoviarios de Divinopolis + SEAC-MG"/>
    <s v="Apoio"/>
    <x v="1"/>
    <n v="1"/>
    <n v="0"/>
    <n v="4380.5668999999998"/>
    <n v="0"/>
    <n v="0"/>
    <n v="0"/>
    <n v="0"/>
    <n v="0"/>
    <n v="0"/>
    <n v="0"/>
    <n v="4380.5668999999998"/>
    <n v="876.11338000000001"/>
    <n v="65.708503499999992"/>
    <n v="43.805669000000002"/>
    <n v="8.7611337999999996"/>
    <n v="109.5141725"/>
    <n v="350.44535200000001"/>
    <n v="175.22267600000001"/>
    <n v="26.283401399999999"/>
    <n v="1655.8542882000002"/>
    <n v="365.04724166666665"/>
    <n v="486.7296555555555"/>
    <n v="321.97166715000003"/>
    <n v="1173.7485643722221"/>
    <n v="0"/>
    <n v="578.4"/>
    <n v="0"/>
    <n v="0"/>
    <n v="0"/>
    <n v="0"/>
    <n v="3.36"/>
    <n v="662.42"/>
    <n v="1244.1799999999998"/>
    <n v="4073.7828525722221"/>
    <n v="30.715514322550153"/>
    <n v="2.4572411458040126"/>
    <n v="0.9828964583216051"/>
    <n v="15.331984150000002"/>
    <n v="5.7954900087000016"/>
    <n v="133.94800120888885"/>
    <n v="3.6504724166666667"/>
    <n v="192.88159971093131"/>
    <n v="36.991453822222219"/>
    <n v="8.8828162138888871"/>
    <n v="0.74834684541666663"/>
    <n v="0.91261810416666667"/>
    <n v="5.678512648148148"/>
    <n v="20.114796605592502"/>
    <n v="73.328544239435104"/>
    <n v="0"/>
    <n v="0"/>
    <n v="0"/>
    <n v="0"/>
    <n v="73.328544239435104"/>
    <n v="92.100763771570698"/>
    <n v="0"/>
    <n v="0"/>
    <n v="0"/>
    <n v="0"/>
    <n v="92.100763771570698"/>
    <n v="8812.6606602941574"/>
    <n v="381.16095106452326"/>
    <n v="320.1751988941997"/>
    <n v="8.5633802816901458E-2"/>
    <n v="1.8591549295774657E-2"/>
    <n v="0.02"/>
    <n v="2.2535211267605645E-2"/>
    <n v="0.1125"/>
    <n v="0.12676056338028174"/>
    <n v="1205.9995956658586"/>
    <n v="1907.3357456245815"/>
    <n v="10719.996405918739"/>
    <n v="128639.95687102486"/>
    <d v="2025-01-01T00:00:00"/>
    <s v="-"/>
    <s v="-"/>
  </r>
  <r>
    <s v="1.223.44"/>
    <x v="46"/>
    <x v="7"/>
    <s v="Divinopolis"/>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582"/>
    <n v="0"/>
    <n v="51.88"/>
    <n v="0"/>
    <n v="0"/>
    <n v="3.36"/>
    <n v="0"/>
    <n v="754.266482"/>
    <n v="2250.4193466166666"/>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764.0462727156073"/>
    <n v="381.16095106452326"/>
    <n v="320.1751988941997"/>
    <n v="8.5633802816901458E-2"/>
    <n v="1.8591549295774657E-2"/>
    <n v="0.02"/>
    <n v="2.2535211267605645E-2"/>
    <n v="0.1125"/>
    <n v="0.12676056338028174"/>
    <n v="692.79495498688721"/>
    <n v="1394.1311049456101"/>
    <n v="6158.1773776612172"/>
    <n v="73898.128531934606"/>
    <d v="2025-01-01T00:00:00"/>
    <s v="-"/>
    <s v="-"/>
  </r>
  <r>
    <s v="1.223.45"/>
    <x v="46"/>
    <x v="4"/>
    <s v="Divinopolis"/>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1.88"/>
    <n v="0"/>
    <n v="0"/>
    <n v="3.36"/>
    <n v="0"/>
    <n v="689.41217000000006"/>
    <n v="2883.7697435277782"/>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3.9892419366124"/>
    <n v="381.16095106452326"/>
    <n v="320.1751988941997"/>
    <n v="8.5633802816901458E-2"/>
    <n v="1.8591549295774657E-2"/>
    <n v="0.02"/>
    <n v="2.2535211267605645E-2"/>
    <n v="0.1125"/>
    <n v="0.12676056338028174"/>
    <n v="918.42152855011329"/>
    <n v="1619.7576785088363"/>
    <n v="8163.7469204454483"/>
    <n v="97964.963045345386"/>
    <d v="2025-01-01T00:00:00"/>
    <s v="-"/>
    <s v="-"/>
  </r>
  <r>
    <s v="1.236.43"/>
    <x v="47"/>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0"/>
    <n v="0"/>
    <n v="0"/>
    <n v="3.36"/>
    <n v="0"/>
    <n v="723.5557"/>
    <n v="1991.80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398.9087890732853"/>
    <n v="381.16095106452326"/>
    <n v="320.1751988941997"/>
    <n v="8.6609686609686695E-2"/>
    <n v="1.880341880341882E-2"/>
    <n v="0.03"/>
    <n v="3.4188034188034219E-2"/>
    <n v="0.1225"/>
    <n v="0.13960113960113973"/>
    <n v="712.00000573381374"/>
    <n v="1413.3361556925365"/>
    <n v="5812.2449447658219"/>
    <n v="69746.939337189862"/>
    <d v="2025-01-01T00:00:00"/>
    <s v="-"/>
    <s v="-"/>
  </r>
  <r>
    <s v="1.241.43"/>
    <x v="48"/>
    <x v="2"/>
    <s v="Fethemg RM"/>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5633802816901458E-2"/>
    <n v="1.8591549295774657E-2"/>
    <n v="0.02"/>
    <n v="2.2535211267605645E-2"/>
    <n v="0.1125"/>
    <n v="0.12676056338028174"/>
    <n v="648.42155929037665"/>
    <n v="1349.7577092490997"/>
    <n v="5763.7471936922357"/>
    <n v="69164.966324306821"/>
    <d v="2025-01-01T00:00:00"/>
    <s v="-"/>
    <s v="-"/>
  </r>
  <r>
    <s v="1.241.45"/>
    <x v="48"/>
    <x v="4"/>
    <s v="Fethemg RM"/>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0"/>
    <n v="15.07"/>
    <n v="0"/>
    <n v="3.36"/>
    <n v="0"/>
    <n v="652.60217000000011"/>
    <n v="2846.9597435277783"/>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07.1792419366129"/>
    <n v="381.16095106452326"/>
    <n v="320.1751988941997"/>
    <n v="8.5633802816901458E-2"/>
    <n v="1.8591549295774657E-2"/>
    <n v="0.02"/>
    <n v="2.2535211267605645E-2"/>
    <n v="0.1125"/>
    <n v="0.12676056338028174"/>
    <n v="913.75547221208512"/>
    <n v="1615.091622170808"/>
    <n v="8122.2708641074205"/>
    <n v="97467.250369289046"/>
    <d v="2025-01-01T00:00:00"/>
    <s v="-"/>
    <s v="-"/>
  </r>
  <r>
    <s v="1.242.13"/>
    <x v="49"/>
    <x v="3"/>
    <s v="Regiao de Juiz de Fora"/>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1.88"/>
    <n v="0"/>
    <n v="0"/>
    <n v="3.36"/>
    <n v="0"/>
    <n v="797.463572"/>
    <n v="1828.56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77.989964655414"/>
    <n v="381.16095106452326"/>
    <n v="320.1751988941997"/>
    <n v="8.6609686609686695E-2"/>
    <n v="1.880341880341882E-2"/>
    <n v="0.03"/>
    <n v="3.4188034188034219E-2"/>
    <n v="0.1225"/>
    <n v="0.13960113960113973"/>
    <n v="597.39880232505095"/>
    <n v="1298.734952283774"/>
    <n v="4876.724916939188"/>
    <n v="58520.69900327026"/>
    <d v="2025-01-01T00:00:00"/>
    <s v="-"/>
    <s v="-"/>
  </r>
  <r>
    <s v="1.251.45"/>
    <x v="50"/>
    <x v="4"/>
    <s v="Regiao de Sao Lourenco"/>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0"/>
    <n v="0"/>
    <n v="0"/>
    <n v="3.36"/>
    <n v="0"/>
    <n v="637.53217000000006"/>
    <n v="2831.8897435277781"/>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492.1092419366132"/>
    <n v="381.16095106452326"/>
    <n v="320.1751988941997"/>
    <n v="8.5633802816901458E-2"/>
    <n v="1.8591549295774657E-2"/>
    <n v="0.02"/>
    <n v="2.2535211267605645E-2"/>
    <n v="0.1125"/>
    <n v="0.12676056338028174"/>
    <n v="911.84519052194435"/>
    <n v="1613.1813404806671"/>
    <n v="8105.2905824172803"/>
    <n v="97263.486989007361"/>
    <d v="2025-01-01T00:00:00"/>
    <s v="-"/>
    <s v="-"/>
  </r>
  <r>
    <s v="1.261.44"/>
    <x v="51"/>
    <x v="7"/>
    <s v="Regiao de Sao Lourenco"/>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582"/>
    <n v="0"/>
    <n v="0"/>
    <n v="0"/>
    <n v="0"/>
    <n v="3.36"/>
    <n v="0"/>
    <n v="702.386482"/>
    <n v="2198.5393466166665"/>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712.1662727156063"/>
    <n v="381.16095106452326"/>
    <n v="320.1751988941997"/>
    <n v="8.5633802816901458E-2"/>
    <n v="1.8591549295774657E-2"/>
    <n v="0.02"/>
    <n v="2.2535211267605645E-2"/>
    <n v="0.1125"/>
    <n v="0.12676056338028174"/>
    <n v="686.21861695871803"/>
    <n v="1387.5547669174409"/>
    <n v="6099.7210396330474"/>
    <n v="73196.652475596566"/>
    <d v="2025-01-01T00:00:00"/>
    <s v="-"/>
    <s v="-"/>
  </r>
  <r>
    <s v="1.267.43"/>
    <x v="52"/>
    <x v="2"/>
    <s v="Sethac Norte de Mina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7608069164265154E-2"/>
    <n v="1.9020172910662814E-2"/>
    <n v="0.04"/>
    <n v="4.6109510086455294E-2"/>
    <n v="0.13250000000000001"/>
    <n v="0.15273775216138324"/>
    <n v="779.00158104696936"/>
    <n v="1480.3377310056921"/>
    <n v="5879.2572154488271"/>
    <n v="70551.086585385929"/>
    <d v="2025-01-01T00:00:00"/>
    <s v="-"/>
    <s v="-"/>
  </r>
  <r>
    <s v="1.271.43"/>
    <x v="53"/>
    <x v="2"/>
    <s v="Regiao Uberaba"/>
    <s v="Apoio"/>
    <x v="0"/>
    <n v="1"/>
    <n v="0"/>
    <n v="2134.8042"/>
    <n v="0"/>
    <n v="0"/>
    <n v="0"/>
    <n v="0"/>
    <n v="0"/>
    <n v="0"/>
    <n v="0"/>
    <n v="2134.8042"/>
    <n v="426.96084000000002"/>
    <n v="32.022063000000003"/>
    <n v="21.348042"/>
    <n v="4.2696084000000001"/>
    <n v="53.370105000000002"/>
    <n v="170.784336"/>
    <n v="85.392167999999998"/>
    <n v="12.808825200000001"/>
    <n v="806.95598759999996"/>
    <n v="177.90035"/>
    <n v="237.20046666666667"/>
    <n v="156.90810869999999"/>
    <n v="572.00892536666663"/>
    <n v="127.91174799999999"/>
    <n v="582"/>
    <n v="0"/>
    <n v="51.86"/>
    <n v="0"/>
    <n v="0"/>
    <n v="3.36"/>
    <n v="0"/>
    <n v="765.13174800000002"/>
    <n v="2144.0966609666666"/>
    <n v="14.968749588310185"/>
    <n v="1.197499967064815"/>
    <n v="0.47899998682592604"/>
    <n v="7.4718147000000013"/>
    <n v="2.8243459566000011"/>
    <n v="65.277568426666662"/>
    <n v="1.7790035000000002"/>
    <n v="93.997982125467587"/>
    <n v="18.027235466666664"/>
    <n v="4.3289085166666661"/>
    <n v="0.36469571750000002"/>
    <n v="0.44475087500000005"/>
    <n v="2.7673387777777778"/>
    <n v="9.8026472956650021"/>
    <n v="35.735576649276105"/>
    <n v="291.10965839090369"/>
    <n v="291.10965839090369"/>
    <n v="0"/>
    <n v="0"/>
    <n v="326.84523504017977"/>
    <n v="56.642978962543395"/>
    <n v="0"/>
    <n v="0"/>
    <n v="0"/>
    <n v="0"/>
    <n v="56.642978962543395"/>
    <n v="4756.3870570948575"/>
    <n v="381.16095106452326"/>
    <n v="320.1751988941997"/>
    <n v="8.5633802816901458E-2"/>
    <n v="1.8591549295774657E-2"/>
    <n v="0.02"/>
    <n v="2.2535211267605645E-2"/>
    <n v="0.1125"/>
    <n v="0.12676056338028174"/>
    <n v="691.82406849974984"/>
    <n v="1393.1602184584726"/>
    <n v="6149.5472755533301"/>
    <n v="73794.567306639961"/>
    <d v="2025-01-01T00:00:00"/>
    <s v="-"/>
    <s v="-"/>
  </r>
  <r>
    <s v="1.105.27"/>
    <x v="54"/>
    <x v="59"/>
    <s v="Gov. Valadares"/>
    <s v="Apoio"/>
    <x v="0"/>
    <n v="1"/>
    <n v="0"/>
    <n v="2233.5527000000002"/>
    <n v="0"/>
    <n v="303.60000000000002"/>
    <n v="0"/>
    <n v="0"/>
    <n v="0"/>
    <n v="0"/>
    <n v="0"/>
    <n v="2537.1527000000001"/>
    <n v="507.43054000000006"/>
    <n v="38.057290500000001"/>
    <n v="25.371527"/>
    <n v="5.0743054000000001"/>
    <n v="63.428817500000008"/>
    <n v="202.972216"/>
    <n v="101.486108"/>
    <n v="15.2229162"/>
    <n v="959.04372060000003"/>
    <n v="211.42939166666667"/>
    <n v="281.90585555555555"/>
    <n v="186.48072345"/>
    <n v="679.81597067222219"/>
    <n v="121.98683800000001"/>
    <n v="582"/>
    <n v="0"/>
    <n v="51.88"/>
    <n v="0"/>
    <n v="0"/>
    <n v="3.36"/>
    <n v="0"/>
    <n v="759.22683800000004"/>
    <n v="2398.0865292722224"/>
    <n v="17.789923513175154"/>
    <n v="1.4231938810540126"/>
    <n v="0.56927755242160505"/>
    <n v="8.8800344500000019"/>
    <n v="3.356653022100001"/>
    <n v="77.580491448888878"/>
    <n v="2.114293916666667"/>
    <n v="111.71386778430632"/>
    <n v="21.424845022222222"/>
    <n v="5.1447818638888885"/>
    <n v="0.43343025291666665"/>
    <n v="0.52857347916666675"/>
    <n v="3.2889016481481481"/>
    <n v="11.650161196677502"/>
    <n v="42.470693463020091"/>
    <n v="0"/>
    <n v="0"/>
    <n v="0"/>
    <n v="0"/>
    <n v="42.470693463020091"/>
    <n v="253.83572732312174"/>
    <n v="441.81099462365592"/>
    <n v="113.11309677419354"/>
    <n v="0"/>
    <n v="0"/>
    <n v="808.75981872097123"/>
    <n v="5898.1836092405201"/>
    <n v="381.16095106452326"/>
    <n v="320.1751988941997"/>
    <n v="8.8629737609329504E-2"/>
    <n v="1.9241982507288629E-2"/>
    <n v="0.05"/>
    <n v="5.8309037900874633E-2"/>
    <n v="0.14250000000000002"/>
    <n v="0.16618075801749277"/>
    <n v="1096.7131961351515"/>
    <n v="1798.0493460938744"/>
    <n v="7696.2329553343943"/>
    <n v="92354.795464012728"/>
    <d v="2025-01-01T00:00:00"/>
    <s v="-"/>
    <s v="-"/>
  </r>
  <r>
    <s v="1.105.29"/>
    <x v="54"/>
    <x v="1"/>
    <s v="Gov. Valadares"/>
    <s v="Apoio"/>
    <x v="0"/>
    <n v="1"/>
    <n v="0"/>
    <n v="2456.9079999999999"/>
    <n v="0"/>
    <n v="303.60000000000002"/>
    <n v="0"/>
    <n v="0"/>
    <n v="0"/>
    <n v="0"/>
    <n v="0"/>
    <n v="2760.5079999999998"/>
    <n v="552.10159999999996"/>
    <n v="41.407619999999994"/>
    <n v="27.605079999999997"/>
    <n v="5.5210159999999995"/>
    <n v="69.012699999999995"/>
    <n v="220.84063999999998"/>
    <n v="110.42031999999999"/>
    <n v="16.563047999999998"/>
    <n v="1043.4720239999999"/>
    <n v="230.04233333333332"/>
    <n v="306.72311111111105"/>
    <n v="202.89733799999996"/>
    <n v="739.66278244444436"/>
    <n v="108.58552"/>
    <n v="582"/>
    <n v="0"/>
    <n v="51.88"/>
    <n v="0"/>
    <n v="0"/>
    <n v="3.36"/>
    <n v="0"/>
    <n v="745.82551999999998"/>
    <n v="2528.960326444444"/>
    <n v="19.356038829475306"/>
    <n v="1.5484831063580247"/>
    <n v="0.61939324254320993"/>
    <n v="9.661778"/>
    <n v="3.6521520840000008"/>
    <n v="84.410200177777753"/>
    <n v="2.3004233333333333"/>
    <n v="121.54846877348763"/>
    <n v="23.310956444444439"/>
    <n v="5.5976967777777773"/>
    <n v="0.47158678333333331"/>
    <n v="0.57510583333333332"/>
    <n v="3.5784362962962959"/>
    <n v="12.675769647100001"/>
    <n v="46.209551782285175"/>
    <n v="0"/>
    <n v="0"/>
    <n v="0"/>
    <n v="0"/>
    <n v="46.209551782285175"/>
    <n v="196.62072732312174"/>
    <n v="441.81099462365592"/>
    <n v="113.11309677419354"/>
    <n v="0"/>
    <n v="0"/>
    <n v="751.54481872097119"/>
    <n v="6208.7711657211885"/>
    <n v="381.16095106452326"/>
    <n v="320.1751988941997"/>
    <n v="8.8629737609329504E-2"/>
    <n v="1.9241982507288629E-2"/>
    <n v="0.05"/>
    <n v="5.8309037900874633E-2"/>
    <n v="0.14250000000000002"/>
    <n v="0.16618075801749277"/>
    <n v="1148.3268717019098"/>
    <n v="1849.6630216606327"/>
    <n v="8058.4341873818212"/>
    <n v="96701.210248581861"/>
    <d v="2025-01-01T00:00:00"/>
    <s v="-"/>
    <s v="-"/>
  </r>
  <r>
    <s v="1.105.35"/>
    <x v="54"/>
    <x v="6"/>
    <s v="Rodoviarios de Governador Valadares + SEAC-MG"/>
    <s v="Apoio"/>
    <x v="0"/>
    <n v="3"/>
    <n v="0"/>
    <n v="13141.700699999999"/>
    <n v="0"/>
    <n v="0"/>
    <n v="0"/>
    <n v="0"/>
    <n v="0"/>
    <n v="0"/>
    <n v="0"/>
    <n v="13141.700699999999"/>
    <n v="2628.3401400000002"/>
    <n v="197.12551049999996"/>
    <n v="131.41700700000001"/>
    <n v="26.283401399999999"/>
    <n v="328.54251750000003"/>
    <n v="1051.3360560000001"/>
    <n v="525.66802800000005"/>
    <n v="78.850204199999993"/>
    <n v="4967.5628646000005"/>
    <n v="1095.141725"/>
    <n v="1460.1889666666666"/>
    <n v="965.91500145000009"/>
    <n v="3521.2456931166662"/>
    <n v="0"/>
    <n v="1735.1999999999998"/>
    <n v="0"/>
    <n v="0"/>
    <n v="0"/>
    <n v="0"/>
    <n v="10.08"/>
    <n v="1987.2599999999998"/>
    <n v="3732.5399999999995"/>
    <n v="12221.348557716667"/>
    <n v="92.146542967650461"/>
    <n v="7.3717234374120384"/>
    <n v="2.9486893749648155"/>
    <n v="45.995952450000004"/>
    <n v="17.386470026100007"/>
    <n v="401.84400362666656"/>
    <n v="10.95141725"/>
    <n v="578.64479913279388"/>
    <n v="110.97436146666666"/>
    <n v="26.648448641666661"/>
    <n v="2.2450405362499999"/>
    <n v="2.7378543125000001"/>
    <n v="17.035537944444442"/>
    <n v="60.344389816777507"/>
    <n v="219.98563271830531"/>
    <n v="0"/>
    <n v="0"/>
    <n v="0"/>
    <n v="0"/>
    <n v="219.98563271830531"/>
    <n v="276.30229131471208"/>
    <n v="0"/>
    <n v="0"/>
    <n v="0"/>
    <n v="0"/>
    <n v="276.30229131471208"/>
    <n v="26437.981980882472"/>
    <n v="1143.4828531935698"/>
    <n v="960.52559668259914"/>
    <n v="8.8629737609329504E-2"/>
    <n v="1.9241982507288629E-2"/>
    <n v="0.05"/>
    <n v="5.8309037900874633E-2"/>
    <n v="0.14250000000000002"/>
    <n v="0.16618075801749277"/>
    <n v="4743.1296051114959"/>
    <n v="6847.138054987664"/>
    <n v="33285.120035870139"/>
    <n v="399421.44043044164"/>
    <d v="2025-01-01T00:00:00"/>
    <s v="-"/>
    <s v="-"/>
  </r>
  <r>
    <s v="1.105.43"/>
    <x v="54"/>
    <x v="2"/>
    <s v="Gov. Valadares"/>
    <s v="Apoio"/>
    <x v="0"/>
    <n v="3"/>
    <n v="0"/>
    <n v="6404.4125999999997"/>
    <n v="0"/>
    <n v="0"/>
    <n v="0"/>
    <n v="0"/>
    <n v="0"/>
    <n v="0"/>
    <n v="0"/>
    <n v="6404.4125999999997"/>
    <n v="1280.8825200000001"/>
    <n v="96.066189000000008"/>
    <n v="64.044126000000006"/>
    <n v="12.808825200000001"/>
    <n v="160.11031500000001"/>
    <n v="512.35300800000005"/>
    <n v="256.17650400000002"/>
    <n v="38.426475600000003"/>
    <n v="2420.8679628"/>
    <n v="533.70105000000001"/>
    <n v="711.60140000000001"/>
    <n v="470.72432609999998"/>
    <n v="1716.0267761"/>
    <n v="383.73524399999997"/>
    <n v="1746"/>
    <n v="0"/>
    <n v="155.64000000000001"/>
    <n v="0"/>
    <n v="0"/>
    <n v="10.08"/>
    <n v="0"/>
    <n v="2295.4552439999998"/>
    <n v="6432.3499828999993"/>
    <n v="44.906248764930552"/>
    <n v="3.592499901194445"/>
    <n v="1.4369999604777781"/>
    <n v="22.415444100000002"/>
    <n v="8.4730378698000024"/>
    <n v="195.83270527999997"/>
    <n v="5.3370105000000008"/>
    <n v="281.99394637640273"/>
    <n v="54.081706399999987"/>
    <n v="12.986725549999999"/>
    <n v="1.0940871525"/>
    <n v="1.3342526250000002"/>
    <n v="8.3020163333333343"/>
    <n v="29.407941886995005"/>
    <n v="107.20672994782831"/>
    <n v="873.32897517271113"/>
    <n v="873.32897517271113"/>
    <n v="0"/>
    <n v="0"/>
    <n v="980.53570512053932"/>
    <n v="169.92893688763019"/>
    <n v="0"/>
    <n v="0"/>
    <n v="0"/>
    <n v="0"/>
    <n v="169.92893688763019"/>
    <n v="14269.221171284571"/>
    <n v="1143.4828531935698"/>
    <n v="960.52559668259914"/>
    <n v="8.8629737609329504E-2"/>
    <n v="1.9241982507288629E-2"/>
    <n v="0.05"/>
    <n v="5.8309037900874633E-2"/>
    <n v="0.14250000000000002"/>
    <n v="0.16618075801749277"/>
    <n v="2720.9157096389572"/>
    <n v="4824.9241595151261"/>
    <n v="19094.145330799696"/>
    <n v="229129.74396959634"/>
    <d v="2025-01-01T00:00:00"/>
    <s v="-"/>
    <s v="-"/>
  </r>
  <r>
    <s v="1.105.45"/>
    <x v="54"/>
    <x v="4"/>
    <s v="Gov. Valadares"/>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1.88"/>
    <n v="0"/>
    <n v="0"/>
    <n v="3.36"/>
    <n v="0"/>
    <n v="689.41217000000006"/>
    <n v="2883.7697435277782"/>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3.9892419366124"/>
    <n v="381.16095106452326"/>
    <n v="320.1751988941997"/>
    <n v="8.8629737609329504E-2"/>
    <n v="1.9241982507288629E-2"/>
    <n v="0.05"/>
    <n v="5.8309037900874633E-2"/>
    <n v="0.14250000000000002"/>
    <n v="0.16618075801749277"/>
    <n v="1204.0336657085547"/>
    <n v="1905.3698156672776"/>
    <n v="8449.3590576038896"/>
    <n v="101392.30869124667"/>
    <d v="2025-01-01T00:00:00"/>
    <s v="-"/>
    <s v="-"/>
  </r>
  <r>
    <s v="1.295.43"/>
    <x v="55"/>
    <x v="2"/>
    <s v="Alto Paranaiba"/>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0"/>
    <n v="387.79"/>
    <n v="42.97"/>
    <n v="0"/>
    <n v="0"/>
    <n v="3.36"/>
    <n v="0"/>
    <n v="572.31569999999999"/>
    <n v="1840.5662519444445"/>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247.6687890732856"/>
    <n v="381.16095106452326"/>
    <n v="320.1751988941997"/>
    <n v="8.5633802816901458E-2"/>
    <n v="1.8591549295774657E-2"/>
    <n v="0.02"/>
    <n v="2.2535211267605645E-2"/>
    <n v="0.1125"/>
    <n v="0.12676056338028174"/>
    <n v="627.33865424349426"/>
    <n v="1328.6748042022173"/>
    <n v="5576.3435932755028"/>
    <n v="66916.123119306038"/>
    <d v="2025-01-01T00:00:00"/>
    <s v="-"/>
    <s v="-"/>
  </r>
  <r>
    <s v="1.114.41"/>
    <x v="56"/>
    <x v="41"/>
    <s v="Sind - Asseio"/>
    <s v="Apoio"/>
    <x v="0"/>
    <n v="2"/>
    <n v="0"/>
    <n v="4269.607"/>
    <n v="0"/>
    <n v="0"/>
    <n v="0"/>
    <n v="0"/>
    <n v="0"/>
    <n v="0"/>
    <n v="0"/>
    <n v="4269.607"/>
    <n v="853.92140000000006"/>
    <n v="64.044105000000002"/>
    <n v="42.696069999999999"/>
    <n v="8.5392139999999994"/>
    <n v="106.74017500000001"/>
    <n v="341.56855999999999"/>
    <n v="170.78428"/>
    <n v="25.617642"/>
    <n v="1613.9114460000001"/>
    <n v="355.80058333333329"/>
    <n v="474.40077777777776"/>
    <n v="313.81611449999997"/>
    <n v="1144.017475611111"/>
    <n v="255.82357999999999"/>
    <n v="1164"/>
    <n v="0"/>
    <n v="154.5"/>
    <n v="0"/>
    <n v="0"/>
    <n v="6.72"/>
    <n v="0"/>
    <n v="1581.04358"/>
    <n v="4338.9725016111115"/>
    <n v="29.937489360146603"/>
    <n v="2.3949991488117286"/>
    <n v="0.95799965952469157"/>
    <n v="14.943624500000002"/>
    <n v="5.6486900610000017"/>
    <n v="130.55509404444442"/>
    <n v="3.5580058333333335"/>
    <n v="187.99590260726077"/>
    <n v="36.054459111111107"/>
    <n v="8.6578141944444447"/>
    <n v="0.72939119583333334"/>
    <n v="0.88950145833333338"/>
    <n v="5.5346757407407408"/>
    <n v="19.605288162775004"/>
    <n v="71.471129863237962"/>
    <n v="472.70648705651831"/>
    <n v="472.70648705651831"/>
    <n v="0"/>
    <n v="0"/>
    <n v="544.17761691975625"/>
    <n v="113.28595792508679"/>
    <n v="0"/>
    <n v="0"/>
    <n v="0"/>
    <n v="0"/>
    <n v="113.28595792508679"/>
    <n v="9454.0389790632162"/>
    <n v="762.32190212904652"/>
    <n v="640.35039778839939"/>
    <n v="8.5633802816901458E-2"/>
    <n v="1.8591549295774657E-2"/>
    <n v="0.02"/>
    <n v="2.2535211267605645E-2"/>
    <n v="0.1125"/>
    <n v="0.12676056338028174"/>
    <n v="1376.2028381806479"/>
    <n v="2778.8751380980939"/>
    <n v="12232.91411716131"/>
    <n v="146794.96940593573"/>
    <d v="2025-01-01T00:00:00"/>
    <s v="-"/>
    <s v="-"/>
  </r>
  <r>
    <s v="1.114.42"/>
    <x v="56"/>
    <x v="42"/>
    <s v="Sind - Asseio"/>
    <s v="Apoio"/>
    <x v="0"/>
    <n v="2"/>
    <n v="0"/>
    <n v="4269.607"/>
    <n v="0"/>
    <n v="0"/>
    <n v="860.32579999999996"/>
    <n v="0"/>
    <n v="0"/>
    <n v="0"/>
    <n v="0"/>
    <n v="5129.9327999999996"/>
    <n v="1025.9865600000001"/>
    <n v="76.94899199999999"/>
    <n v="51.299327999999996"/>
    <n v="10.259865599999999"/>
    <n v="128.24832000000001"/>
    <n v="410.39462399999996"/>
    <n v="205.19731199999998"/>
    <n v="30.779596799999997"/>
    <n v="1939.1145984000002"/>
    <n v="427.49439999999993"/>
    <n v="569.9925333333332"/>
    <n v="377.05006079999998"/>
    <n v="1374.5369941333331"/>
    <n v="255.82357999999999"/>
    <n v="1164"/>
    <n v="0"/>
    <n v="154.5"/>
    <n v="0"/>
    <n v="0"/>
    <n v="6.72"/>
    <n v="0"/>
    <n v="1581.04358"/>
    <n v="4894.6951725333329"/>
    <n v="35.969893392592589"/>
    <n v="2.8775914714074076"/>
    <n v="1.151036588562963"/>
    <n v="17.9547648"/>
    <n v="6.7869010944000019"/>
    <n v="156.86194517333331"/>
    <n v="4.2749439999999996"/>
    <n v="225.87707652029627"/>
    <n v="43.319432533333327"/>
    <n v="10.402363733333331"/>
    <n v="0.87636351999999995"/>
    <n v="1.0687359999999999"/>
    <n v="6.6499128888888883"/>
    <n v="23.555753679360002"/>
    <n v="85.872562354915544"/>
    <n v="567.95684419840688"/>
    <n v="567.95684419840688"/>
    <n v="0"/>
    <n v="0"/>
    <n v="653.82940655332243"/>
    <n v="113.28595792508679"/>
    <n v="0"/>
    <n v="0"/>
    <n v="0"/>
    <n v="0"/>
    <n v="113.28595792508679"/>
    <n v="11017.62041353204"/>
    <n v="762.32190212904652"/>
    <n v="640.35039778839939"/>
    <n v="8.5633802816901458E-2"/>
    <n v="1.8591549295774657E-2"/>
    <n v="0.02"/>
    <n v="2.2535211267605645E-2"/>
    <n v="0.1125"/>
    <n v="0.12676056338028174"/>
    <n v="1574.403301704865"/>
    <n v="2977.0756016223108"/>
    <n v="13994.696015154352"/>
    <n v="167936.35218185221"/>
    <d v="2025-01-01T00:00:00"/>
    <s v="-"/>
    <s v="-"/>
  </r>
  <r>
    <s v="1.114.45"/>
    <x v="56"/>
    <x v="4"/>
    <s v="Sind - Asseio"/>
    <s v="Apoio"/>
    <x v="0"/>
    <n v="2"/>
    <n v="0"/>
    <n v="6794.2611999999999"/>
    <n v="0"/>
    <n v="0"/>
    <n v="0"/>
    <n v="0"/>
    <n v="0"/>
    <n v="0"/>
    <n v="0"/>
    <n v="6794.2611999999999"/>
    <n v="1358.8522400000002"/>
    <n v="101.913918"/>
    <n v="67.942611999999997"/>
    <n v="13.5885224"/>
    <n v="169.85653000000002"/>
    <n v="543.54089599999998"/>
    <n v="271.77044799999999"/>
    <n v="40.7655672"/>
    <n v="2568.2307336000003"/>
    <n v="566.18843333333325"/>
    <n v="754.91791111111104"/>
    <n v="499.37819820000004"/>
    <n v="1820.4845426444444"/>
    <n v="104.34432800000002"/>
    <n v="1164"/>
    <n v="0"/>
    <n v="154.5"/>
    <n v="0"/>
    <n v="0"/>
    <n v="6.72"/>
    <n v="0"/>
    <n v="1429.5643280000002"/>
    <n v="5818.2796042444452"/>
    <n v="47.639776303780863"/>
    <n v="3.8111821043024694"/>
    <n v="1.5244728417209878"/>
    <n v="23.779914200000004"/>
    <n v="8.9888075676000021"/>
    <n v="207.75340913777774"/>
    <n v="5.661884333333334"/>
    <n v="299.15944648851541"/>
    <n v="57.373761244444438"/>
    <n v="13.777251877777777"/>
    <n v="1.1606862883333333"/>
    <n v="1.4154710833333335"/>
    <n v="8.8073756296296288"/>
    <n v="31.198058434690005"/>
    <n v="113.73260455820852"/>
    <n v="0"/>
    <n v="0"/>
    <n v="0"/>
    <n v="0"/>
    <n v="113.73260455820852"/>
    <n v="113.28595792508679"/>
    <n v="0"/>
    <n v="0"/>
    <n v="0"/>
    <n v="0"/>
    <n v="113.28595792508679"/>
    <n v="13138.718813216256"/>
    <n v="762.32190212904652"/>
    <n v="640.35039778839939"/>
    <n v="8.5633802816901458E-2"/>
    <n v="1.8591549295774657E-2"/>
    <n v="0.02"/>
    <n v="2.2535211267605645E-2"/>
    <n v="0.1125"/>
    <n v="0.12676056338028174"/>
    <n v="1843.2749298338501"/>
    <n v="3245.9472297512957"/>
    <n v="16384.66604296755"/>
    <n v="196615.99251561059"/>
    <d v="2025-01-01T00:00:00"/>
    <s v="-"/>
    <s v="-"/>
  </r>
  <r>
    <s v="1.309.13"/>
    <x v="57"/>
    <x v="3"/>
    <s v="Seethur"/>
    <s v="Apoio"/>
    <x v="0"/>
    <n v="2"/>
    <n v="0"/>
    <n v="3192.5475999999999"/>
    <n v="0"/>
    <n v="0"/>
    <n v="0"/>
    <n v="0"/>
    <n v="0"/>
    <n v="0"/>
    <n v="0"/>
    <n v="3192.5475999999999"/>
    <n v="638.50952000000007"/>
    <n v="47.888213999999998"/>
    <n v="31.925476"/>
    <n v="6.3850952000000003"/>
    <n v="79.813690000000008"/>
    <n v="255.403808"/>
    <n v="127.701904"/>
    <n v="19.155285599999999"/>
    <n v="1206.7829928000001"/>
    <n v="266.04563333333329"/>
    <n v="354.72751111111108"/>
    <n v="234.65224860000001"/>
    <n v="855.42539304444438"/>
    <n v="320.44714399999998"/>
    <n v="1164"/>
    <n v="0"/>
    <n v="103.72"/>
    <n v="0"/>
    <n v="0"/>
    <n v="6.72"/>
    <n v="0"/>
    <n v="1594.887144"/>
    <n v="3657.0955298444442"/>
    <n v="22.385399828780862"/>
    <n v="1.7908319863024693"/>
    <n v="0.71633279452098775"/>
    <n v="11.173916600000002"/>
    <n v="4.2237404748000014"/>
    <n v="97.621011057777764"/>
    <n v="2.6604563333333333"/>
    <n v="140.57168907551542"/>
    <n v="26.959290844444443"/>
    <n v="6.4737770777777772"/>
    <n v="0.54539354833333331"/>
    <n v="0.66511408333333333"/>
    <n v="4.1384876296296289"/>
    <n v="14.659619883370002"/>
    <n v="53.44168306688853"/>
    <n v="0"/>
    <n v="0"/>
    <n v="0"/>
    <n v="0"/>
    <n v="53.44168306688853"/>
    <n v="112.28342732397984"/>
    <n v="0"/>
    <n v="0"/>
    <n v="0"/>
    <n v="0"/>
    <n v="112.28342732397984"/>
    <n v="7155.9399293108281"/>
    <n v="762.32190212904652"/>
    <n v="640.35039778839939"/>
    <n v="8.6609686609686695E-2"/>
    <n v="1.880341880341882E-2"/>
    <n v="0.03"/>
    <n v="3.4188034188034219E-2"/>
    <n v="0.1225"/>
    <n v="0.13960113960113973"/>
    <n v="1194.792020604518"/>
    <n v="2597.4643205219636"/>
    <n v="9753.4042498327908"/>
    <n v="117040.85099799349"/>
    <d v="2025-01-01T00:00:00"/>
    <s v="-"/>
    <s v="-"/>
  </r>
  <r>
    <s v="1.309.43"/>
    <x v="57"/>
    <x v="2"/>
    <s v="Seethu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86"/>
    <n v="0"/>
    <n v="0"/>
    <n v="3.36"/>
    <n v="0"/>
    <n v="775.41534000000001"/>
    <n v="2043.66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7794844431355"/>
    <n v="381.16095106452326"/>
    <n v="320.1751988941997"/>
    <n v="8.6609686609686695E-2"/>
    <n v="1.880341880341882E-2"/>
    <n v="0.03"/>
    <n v="3.4188034188034219E-2"/>
    <n v="0.1225"/>
    <n v="0.13960113960113973"/>
    <n v="719.24121391934841"/>
    <n v="1420.5773638780713"/>
    <n v="5871.3568483212066"/>
    <n v="70456.282179854476"/>
    <d v="2025-01-01T00:00:00"/>
    <s v="-"/>
    <s v="-"/>
  </r>
  <r>
    <s v="1.312.13"/>
    <x v="58"/>
    <x v="3"/>
    <s v="Fethemg Interior"/>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15.07"/>
    <n v="0"/>
    <n v="3.36"/>
    <n v="0"/>
    <n v="760.65357200000005"/>
    <n v="1791.75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41.1799646554141"/>
    <n v="381.16095106452326"/>
    <n v="320.1751988941997"/>
    <n v="8.8629737609329504E-2"/>
    <n v="1.9241982507288629E-2"/>
    <n v="0.05"/>
    <n v="5.8309037900874633E-2"/>
    <n v="0.14250000000000002"/>
    <n v="0.16618075801749277"/>
    <n v="705.02454382800556"/>
    <n v="1406.3606937867285"/>
    <n v="4947.5406584421426"/>
    <n v="59370.487901305707"/>
    <d v="2025-01-01T00:00:00"/>
    <s v="-"/>
    <s v="-"/>
  </r>
  <r>
    <s v="1.313.27"/>
    <x v="59"/>
    <x v="59"/>
    <s v="SECI"/>
    <s v="Apoio"/>
    <x v="0"/>
    <n v="1"/>
    <n v="0"/>
    <n v="2087.4324000000001"/>
    <n v="0"/>
    <n v="303.60000000000002"/>
    <n v="0"/>
    <n v="0"/>
    <n v="0"/>
    <n v="0"/>
    <n v="0"/>
    <n v="2391.0324000000001"/>
    <n v="478.20648000000006"/>
    <n v="35.865485999999997"/>
    <n v="23.910324000000003"/>
    <n v="4.7820648000000006"/>
    <n v="59.775810000000007"/>
    <n v="191.28259200000002"/>
    <n v="95.641296000000011"/>
    <n v="14.3461944"/>
    <n v="903.81024720000005"/>
    <n v="199.2527"/>
    <n v="265.67026666666663"/>
    <n v="175.74088139999998"/>
    <n v="640.66384806666656"/>
    <n v="130.75405599999999"/>
    <n v="582"/>
    <n v="0"/>
    <n v="51.86"/>
    <n v="0"/>
    <n v="0"/>
    <n v="3.36"/>
    <n v="0"/>
    <n v="767.97405600000002"/>
    <n v="2312.4481512666666"/>
    <n v="16.765362019212965"/>
    <n v="1.3412289615370372"/>
    <n v="0.53649158461481494"/>
    <n v="8.368613400000001"/>
    <n v="3.163335865200001"/>
    <n v="73.112457386666662"/>
    <n v="1.9925270000000002"/>
    <n v="105.28001621723148"/>
    <n v="20.190940266666665"/>
    <n v="4.8484823666666665"/>
    <n v="0.40846803500000001"/>
    <n v="0.49813175000000004"/>
    <n v="3.0994864444444445"/>
    <n v="10.979202350130002"/>
    <n v="40.024711212907775"/>
    <n v="0"/>
    <n v="0"/>
    <n v="0"/>
    <n v="0"/>
    <n v="40.024711212907775"/>
    <n v="253.83572732312174"/>
    <n v="441.81099462365592"/>
    <n v="113.11309677419354"/>
    <n v="0"/>
    <n v="0"/>
    <n v="808.75981872097123"/>
    <n v="5657.5450974177775"/>
    <n v="381.16095106452326"/>
    <n v="320.1751988941997"/>
    <n v="8.6609686609686695E-2"/>
    <n v="1.880341880341882E-2"/>
    <n v="0.03"/>
    <n v="3.4188034188034219E-2"/>
    <n v="0.1225"/>
    <n v="0.13960113960113973"/>
    <n v="887.70706872207631"/>
    <n v="1589.0432186807993"/>
    <n v="7246.5883160985768"/>
    <n v="86959.059793182925"/>
    <d v="2025-01-01T00:00:00"/>
    <s v="-"/>
    <s v="-"/>
  </r>
  <r>
    <s v="1.313.29"/>
    <x v="59"/>
    <x v="1"/>
    <s v="SECI"/>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51.86"/>
    <n v="0"/>
    <n v="0"/>
    <n v="3.36"/>
    <n v="0"/>
    <n v="755.44945800000005"/>
    <n v="2434.7601282166665"/>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196.62072732312174"/>
    <n v="441.81099462365592"/>
    <n v="113.11309677419354"/>
    <n v="0"/>
    <n v="0"/>
    <n v="751.54481872097119"/>
    <n v="5944.0708521176257"/>
    <n v="381.16095106452326"/>
    <n v="320.1751988941997"/>
    <n v="8.6609686609686695E-2"/>
    <n v="1.880341880341882E-2"/>
    <n v="0.03"/>
    <n v="3.4188034188034219E-2"/>
    <n v="0.1225"/>
    <n v="0.13960113960113973"/>
    <n v="927.70639060325175"/>
    <n v="1629.0425405619746"/>
    <n v="7573.1133926796001"/>
    <n v="90877.360712155205"/>
    <d v="2025-01-01T00:00:00"/>
    <s v="-"/>
    <s v="-"/>
  </r>
  <r>
    <s v="1.313.35"/>
    <x v="59"/>
    <x v="6"/>
    <s v="Rodoviarios de Coronel Fabriciano + SEAC-MG"/>
    <s v="Apoio"/>
    <x v="0"/>
    <n v="1"/>
    <n v="0"/>
    <n v="4599.5953"/>
    <n v="0"/>
    <n v="0"/>
    <n v="0"/>
    <n v="0"/>
    <n v="0"/>
    <n v="0"/>
    <n v="0"/>
    <n v="4599.5953"/>
    <n v="919.91906000000006"/>
    <n v="68.993929499999993"/>
    <n v="45.995953"/>
    <n v="9.1991905999999997"/>
    <n v="114.98988250000001"/>
    <n v="367.967624"/>
    <n v="183.983812"/>
    <n v="27.597571800000001"/>
    <n v="1738.6470234000003"/>
    <n v="383.29960833333331"/>
    <n v="511.06614444444443"/>
    <n v="338.07025455000002"/>
    <n v="1232.4360073277778"/>
    <n v="0"/>
    <n v="578.4"/>
    <n v="0"/>
    <n v="0"/>
    <n v="0"/>
    <n v="0"/>
    <n v="3.36"/>
    <n v="662.42"/>
    <n v="1244.1799999999998"/>
    <n v="4215.2630307277777"/>
    <n v="32.251290424324843"/>
    <n v="2.5801032339459877"/>
    <n v="1.0320412935783951"/>
    <n v="16.098583550000001"/>
    <n v="6.0852645819000015"/>
    <n v="140.64540295111109"/>
    <n v="3.8329960833333336"/>
    <n v="202.52568211819366"/>
    <n v="38.841026977777773"/>
    <n v="9.3269571361111101"/>
    <n v="0.78576419708333334"/>
    <n v="0.95824902083333341"/>
    <n v="5.9624383518518513"/>
    <n v="21.120536688422504"/>
    <n v="76.9949723720799"/>
    <n v="0"/>
    <n v="0"/>
    <n v="0"/>
    <n v="0"/>
    <n v="76.9949723720799"/>
    <n v="92.100763771570698"/>
    <n v="0"/>
    <n v="0"/>
    <n v="0"/>
    <n v="0"/>
    <n v="92.100763771570698"/>
    <n v="9186.4797489896209"/>
    <n v="381.16095106452326"/>
    <n v="320.1751988941997"/>
    <n v="8.6609686609686695E-2"/>
    <n v="1.880341880341882E-2"/>
    <n v="0.03"/>
    <n v="3.4188034188034219E-2"/>
    <n v="0.1225"/>
    <n v="0.13960113960113973"/>
    <n v="1380.3503676594567"/>
    <n v="2081.6865176181796"/>
    <n v="11268.166266607801"/>
    <n v="135217.9951992936"/>
    <d v="2025-01-01T00:00:00"/>
    <s v="-"/>
    <s v="-"/>
  </r>
  <r>
    <s v="1.313.45"/>
    <x v="59"/>
    <x v="4"/>
    <s v="SECI"/>
    <s v="Apoio"/>
    <x v="0"/>
    <n v="3"/>
    <n v="0"/>
    <n v="10191.391799999999"/>
    <n v="0"/>
    <n v="0"/>
    <n v="0"/>
    <n v="0"/>
    <n v="0"/>
    <n v="0"/>
    <n v="0"/>
    <n v="10191.391799999999"/>
    <n v="2038.2783600000002"/>
    <n v="152.87087700000001"/>
    <n v="101.913918"/>
    <n v="20.3827836"/>
    <n v="254.78479500000003"/>
    <n v="815.31134399999996"/>
    <n v="407.65567199999998"/>
    <n v="61.148350800000003"/>
    <n v="3852.3461004000005"/>
    <n v="849.28264999999988"/>
    <n v="1132.3768666666665"/>
    <n v="749.06729730000006"/>
    <n v="2730.7268139666667"/>
    <n v="156.51649200000003"/>
    <n v="1746"/>
    <n v="0"/>
    <n v="155.57999999999998"/>
    <n v="0"/>
    <n v="0"/>
    <n v="10.08"/>
    <n v="0"/>
    <n v="2068.1764920000005"/>
    <n v="8651.2494063666672"/>
    <n v="71.459664455671287"/>
    <n v="5.7167731564537041"/>
    <n v="2.286709262581482"/>
    <n v="35.669871300000004"/>
    <n v="13.483211351400003"/>
    <n v="311.63011370666663"/>
    <n v="8.4928265000000014"/>
    <n v="448.73916973277312"/>
    <n v="86.060641866666657"/>
    <n v="20.665877816666665"/>
    <n v="1.7410294325"/>
    <n v="2.1232066250000003"/>
    <n v="13.211063444444443"/>
    <n v="46.797087652035003"/>
    <n v="170.59890683731277"/>
    <n v="0"/>
    <n v="0"/>
    <n v="0"/>
    <n v="0"/>
    <n v="170.59890683731277"/>
    <n v="169.92893688763019"/>
    <n v="0"/>
    <n v="0"/>
    <n v="0"/>
    <n v="0"/>
    <n v="169.92893688763019"/>
    <n v="19631.908219824381"/>
    <n v="1143.4828531935698"/>
    <n v="960.52559668259914"/>
    <n v="8.6609686609686695E-2"/>
    <n v="1.880341880341882E-2"/>
    <n v="0.03"/>
    <n v="3.4188034188034219E-2"/>
    <n v="0.1225"/>
    <n v="0.13960113960113973"/>
    <n v="3034.3587373656069"/>
    <n v="5138.3671872417754"/>
    <n v="24770.275407066154"/>
    <n v="297243.30488479382"/>
    <d v="2025-01-01T00:00:00"/>
    <s v="-"/>
    <s v="-"/>
  </r>
  <r>
    <s v="1.317.13"/>
    <x v="60"/>
    <x v="3"/>
    <s v="Itabira"/>
    <s v="Apoio"/>
    <x v="0"/>
    <n v="1"/>
    <n v="0"/>
    <n v="1649.1152999999999"/>
    <n v="0"/>
    <n v="0"/>
    <n v="0"/>
    <n v="0"/>
    <n v="0"/>
    <n v="0"/>
    <n v="0"/>
    <n v="1649.1152999999999"/>
    <n v="329.82306"/>
    <n v="24.736729499999999"/>
    <n v="16.491153000000001"/>
    <n v="3.2982306000000001"/>
    <n v="41.2278825"/>
    <n v="131.929224"/>
    <n v="65.964612000000002"/>
    <n v="9.8946918000000004"/>
    <n v="623.36558340000011"/>
    <n v="137.42627499999998"/>
    <n v="183.23503333333332"/>
    <n v="121.20997455"/>
    <n v="441.87128288333327"/>
    <n v="157.05308200000002"/>
    <n v="582"/>
    <n v="0"/>
    <n v="51.88"/>
    <n v="0"/>
    <n v="0"/>
    <n v="3.36"/>
    <n v="0"/>
    <n v="794.29308200000003"/>
    <n v="1859.5299482833334"/>
    <n v="11.563212199016203"/>
    <n v="0.92505697592129632"/>
    <n v="0.37002279036851859"/>
    <n v="5.7719035500000002"/>
    <n v="2.1817795419000006"/>
    <n v="50.426281173333322"/>
    <n v="1.37426275"/>
    <n v="72.612518980539335"/>
    <n v="13.925862533333332"/>
    <n v="3.3440393583333332"/>
    <n v="0.28172386374999997"/>
    <n v="0.34356568749999999"/>
    <n v="2.1377420555555555"/>
    <n v="7.572448862422501"/>
    <n v="27.605382360894719"/>
    <n v="0"/>
    <n v="0"/>
    <n v="0"/>
    <n v="0"/>
    <n v="27.605382360894719"/>
    <n v="56.141713661989918"/>
    <n v="0"/>
    <n v="0"/>
    <n v="0"/>
    <n v="0"/>
    <n v="56.141713661989918"/>
    <n v="3665.004863286757"/>
    <n v="381.16095106452326"/>
    <n v="320.1751988941997"/>
    <n v="8.6609686609686695E-2"/>
    <n v="1.880341880341882E-2"/>
    <n v="0.03"/>
    <n v="3.4188034188034219E-2"/>
    <n v="0.1225"/>
    <n v="0.13960113960113973"/>
    <n v="609.54618133626423"/>
    <n v="1310.8823312949871"/>
    <n v="4975.8871945817446"/>
    <n v="59710.646334980935"/>
    <d v="2025-01-01T00:00:00"/>
    <s v="-"/>
    <s v="-"/>
  </r>
  <r>
    <s v="1.317.41"/>
    <x v="60"/>
    <x v="41"/>
    <s v="Itabira"/>
    <s v="Apoio"/>
    <x v="0"/>
    <n v="2"/>
    <n v="0"/>
    <n v="4269.607"/>
    <n v="0"/>
    <n v="0"/>
    <n v="0"/>
    <n v="0"/>
    <n v="0"/>
    <n v="0"/>
    <n v="0"/>
    <n v="4269.607"/>
    <n v="853.92140000000006"/>
    <n v="64.044105000000002"/>
    <n v="42.696069999999999"/>
    <n v="8.5392139999999994"/>
    <n v="106.74017500000001"/>
    <n v="341.56855999999999"/>
    <n v="170.78428"/>
    <n v="25.617642"/>
    <n v="1613.9114460000001"/>
    <n v="355.80058333333329"/>
    <n v="474.40077777777776"/>
    <n v="313.81611449999997"/>
    <n v="1144.017475611111"/>
    <n v="255.82357999999999"/>
    <n v="1164"/>
    <n v="0"/>
    <n v="103.76"/>
    <n v="0"/>
    <n v="0"/>
    <n v="6.72"/>
    <n v="0"/>
    <n v="1530.30358"/>
    <n v="4288.2325016111108"/>
    <n v="29.937489360146603"/>
    <n v="2.3949991488117286"/>
    <n v="0.95799965952469157"/>
    <n v="14.943624500000002"/>
    <n v="5.6486900610000017"/>
    <n v="130.55509404444442"/>
    <n v="3.5580058333333335"/>
    <n v="187.99590260726077"/>
    <n v="36.054459111111107"/>
    <n v="8.6578141944444447"/>
    <n v="0.72939119583333334"/>
    <n v="0.88950145833333338"/>
    <n v="5.5346757407407408"/>
    <n v="19.605288162775004"/>
    <n v="71.471129863237962"/>
    <n v="472.70648705651831"/>
    <n v="472.70648705651831"/>
    <n v="0"/>
    <n v="0"/>
    <n v="544.17761691975625"/>
    <n v="113.28595792508679"/>
    <n v="0"/>
    <n v="0"/>
    <n v="0"/>
    <n v="0"/>
    <n v="113.28595792508679"/>
    <n v="9403.2989790632146"/>
    <n v="762.32190212904652"/>
    <n v="640.35039778839939"/>
    <n v="8.6609686609686695E-2"/>
    <n v="1.880341880341882E-2"/>
    <n v="0.03"/>
    <n v="3.4188034188034219E-2"/>
    <n v="0.1225"/>
    <n v="0.13960113960113973"/>
    <n v="1508.5259050428856"/>
    <n v="2911.1982049603312"/>
    <n v="12314.497184023545"/>
    <n v="147773.96620828254"/>
    <d v="2025-01-01T00:00:00"/>
    <s v="-"/>
    <s v="-"/>
  </r>
  <r>
    <s v="1.317.42"/>
    <x v="60"/>
    <x v="42"/>
    <s v="Itabira"/>
    <s v="Apoio"/>
    <x v="0"/>
    <n v="2"/>
    <n v="0"/>
    <n v="4269.607"/>
    <n v="0"/>
    <n v="0"/>
    <n v="860.32579999999996"/>
    <n v="0"/>
    <n v="0"/>
    <n v="0"/>
    <n v="0"/>
    <n v="5129.9327999999996"/>
    <n v="1025.9865600000001"/>
    <n v="76.94899199999999"/>
    <n v="51.299327999999996"/>
    <n v="10.259865599999999"/>
    <n v="128.24832000000001"/>
    <n v="410.39462399999996"/>
    <n v="205.19731199999998"/>
    <n v="30.779596799999997"/>
    <n v="1939.1145984000002"/>
    <n v="427.49439999999993"/>
    <n v="569.9925333333332"/>
    <n v="377.05006079999998"/>
    <n v="1374.5369941333331"/>
    <n v="255.82357999999999"/>
    <n v="1164"/>
    <n v="0"/>
    <n v="103.76"/>
    <n v="0"/>
    <n v="0"/>
    <n v="6.72"/>
    <n v="0"/>
    <n v="1530.30358"/>
    <n v="4843.9551725333331"/>
    <n v="35.969893392592589"/>
    <n v="2.8775914714074076"/>
    <n v="1.151036588562963"/>
    <n v="17.9547648"/>
    <n v="6.7869010944000019"/>
    <n v="156.86194517333331"/>
    <n v="4.2749439999999996"/>
    <n v="225.87707652029627"/>
    <n v="43.319432533333327"/>
    <n v="10.402363733333331"/>
    <n v="0.87636351999999995"/>
    <n v="1.0687359999999999"/>
    <n v="6.6499128888888883"/>
    <n v="23.555753679360002"/>
    <n v="85.872562354915544"/>
    <n v="567.95684419840688"/>
    <n v="567.95684419840688"/>
    <n v="0"/>
    <n v="0"/>
    <n v="653.82940655332243"/>
    <n v="113.28595792508679"/>
    <n v="0"/>
    <n v="0"/>
    <n v="0"/>
    <n v="0"/>
    <n v="113.28595792508679"/>
    <n v="10966.880413532039"/>
    <n v="762.32190212904652"/>
    <n v="640.35039778839939"/>
    <n v="8.6609686609686695E-2"/>
    <n v="1.880341880341882E-2"/>
    <n v="0.03"/>
    <n v="3.4188034188034219E-2"/>
    <n v="0.1225"/>
    <n v="0.13960113960113973"/>
    <n v="1726.8036551539183"/>
    <n v="3129.4759550713643"/>
    <n v="14096.356368603403"/>
    <n v="169156.27642324084"/>
    <d v="2025-01-01T00:00:00"/>
    <s v="-"/>
    <s v="-"/>
  </r>
  <r>
    <s v="1.317.44"/>
    <x v="60"/>
    <x v="7"/>
    <s v="Itabira"/>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51.88"/>
    <n v="0"/>
    <n v="0"/>
    <n v="3.36"/>
    <n v="0"/>
    <n v="754.26621799999998"/>
    <n v="2250.421924772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64.0535182622698"/>
    <n v="381.16095106452326"/>
    <n v="320.1751988941997"/>
    <n v="8.6609686609686695E-2"/>
    <n v="1.880341880341882E-2"/>
    <n v="0.03"/>
    <n v="3.4188034188034219E-2"/>
    <n v="0.1225"/>
    <n v="0.13960113960113973"/>
    <n v="762.97462604794555"/>
    <n v="1464.3107760066684"/>
    <n v="6228.3642942689385"/>
    <n v="74740.371531227254"/>
    <d v="2025-01-01T00:00:00"/>
    <s v="-"/>
    <s v="-"/>
  </r>
  <r>
    <s v="1.324.43"/>
    <x v="61"/>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53.27"/>
    <n v="0"/>
    <n v="0"/>
    <n v="3.36"/>
    <n v="0"/>
    <n v="776.82569999999998"/>
    <n v="2045.07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452.1787890732849"/>
    <n v="381.16095106452326"/>
    <n v="320.1751988941997"/>
    <n v="8.5633802816901458E-2"/>
    <n v="1.8591549295774657E-2"/>
    <n v="0.02"/>
    <n v="2.2535211267605645E-2"/>
    <n v="0.1125"/>
    <n v="0.12676056338028174"/>
    <n v="653.2624570603956"/>
    <n v="1354.5986070191184"/>
    <n v="5806.7773960924033"/>
    <n v="69681.328753108843"/>
    <d v="2025-01-01T00:00:00"/>
    <s v="-"/>
    <s v="-"/>
  </r>
  <r>
    <s v="1.325.13"/>
    <x v="62"/>
    <x v="3"/>
    <s v="Fethemg Interior"/>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15.07"/>
    <n v="0"/>
    <n v="3.36"/>
    <n v="0"/>
    <n v="760.65357200000005"/>
    <n v="1791.75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41.1799646554141"/>
    <n v="381.16095106452326"/>
    <n v="320.1751988941997"/>
    <n v="8.8629737609329504E-2"/>
    <n v="1.9241982507288629E-2"/>
    <n v="0.05"/>
    <n v="5.8309037900874633E-2"/>
    <n v="0.14250000000000002"/>
    <n v="0.16618075801749277"/>
    <n v="705.02454382800556"/>
    <n v="1406.3606937867285"/>
    <n v="4947.5406584421426"/>
    <n v="59370.487901305707"/>
    <d v="2025-01-01T00:00:00"/>
    <s v="-"/>
    <s v="-"/>
  </r>
  <r>
    <s v="1.327.16"/>
    <x v="63"/>
    <x v="22"/>
    <s v="SETTASPOC"/>
    <s v="Apoio"/>
    <x v="0"/>
    <n v="1"/>
    <n v="0"/>
    <n v="1836.5985000000001"/>
    <n v="0"/>
    <n v="0"/>
    <n v="0"/>
    <n v="0"/>
    <n v="0"/>
    <n v="0"/>
    <n v="0"/>
    <n v="1836.5985000000001"/>
    <n v="367.31970000000001"/>
    <n v="27.548977499999999"/>
    <n v="18.365985000000002"/>
    <n v="3.673197"/>
    <n v="45.914962500000001"/>
    <n v="146.92788000000002"/>
    <n v="73.463940000000008"/>
    <n v="11.019591"/>
    <n v="694.23423300000002"/>
    <n v="153.04987499999999"/>
    <n v="204.06649999999999"/>
    <n v="134.98998974999998"/>
    <n v="492.1063647499999"/>
    <n v="145.80409"/>
    <n v="581.79999999999995"/>
    <n v="0"/>
    <n v="51.73"/>
    <n v="0"/>
    <n v="0"/>
    <n v="3.36"/>
    <n v="0"/>
    <n v="782.69408999999996"/>
    <n v="1969.0346877499999"/>
    <n v="12.87780070920139"/>
    <n v="1.0302240567361112"/>
    <n v="0.41208962269444455"/>
    <n v="6.4280947500000014"/>
    <n v="2.4298198155000006"/>
    <n v="56.15910079999999"/>
    <n v="1.5304987500000002"/>
    <n v="80.867628504131943"/>
    <n v="15.509053999999999"/>
    <n v="3.724213625"/>
    <n v="0.31375224374999999"/>
    <n v="0.38262468750000006"/>
    <n v="2.3807758333333333"/>
    <n v="8.4333389072625025"/>
    <n v="30.743759296845838"/>
    <n v="0"/>
    <n v="0"/>
    <n v="0"/>
    <n v="0"/>
    <n v="30.743759296845838"/>
    <n v="44.111346448706357"/>
    <n v="0"/>
    <n v="0"/>
    <n v="0"/>
    <n v="0"/>
    <n v="44.111346448706357"/>
    <n v="3961.3559219996837"/>
    <n v="381.16095106452326"/>
    <n v="320.1751988941997"/>
    <n v="8.6609686609686695E-2"/>
    <n v="1.880341880341882E-2"/>
    <n v="0.03"/>
    <n v="3.4188034188034219E-2"/>
    <n v="0.1225"/>
    <n v="0.13960113960113973"/>
    <n v="650.91712685459299"/>
    <n v="1352.253276813316"/>
    <n v="5313.6091988129992"/>
    <n v="63763.310385755991"/>
    <d v="2025-01-01T00:00:00"/>
    <s v="-"/>
    <s v="-"/>
  </r>
  <r>
    <s v="1.327.44"/>
    <x v="63"/>
    <x v="7"/>
    <s v="Regiao de Teofilo Otoni"/>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0"/>
    <n v="15.07"/>
    <n v="0"/>
    <n v="3.36"/>
    <n v="0"/>
    <n v="717.45621800000004"/>
    <n v="2213.611924772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27.2435182622694"/>
    <n v="381.16095106452326"/>
    <n v="320.1751988941997"/>
    <n v="8.6609686609686695E-2"/>
    <n v="1.880341880341882E-2"/>
    <n v="0.03"/>
    <n v="3.4188034188034219E-2"/>
    <n v="0.1225"/>
    <n v="0.13960113960113973"/>
    <n v="757.83590809922748"/>
    <n v="1459.1720580579504"/>
    <n v="6186.4155763202198"/>
    <n v="74236.98691584263"/>
    <d v="2025-01-01T00:00:00"/>
    <s v="-"/>
    <s v="-"/>
  </r>
  <r>
    <s v="1.329.13"/>
    <x v="64"/>
    <x v="3"/>
    <s v="Regiao de Sao Lourenco"/>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0"/>
    <n v="0"/>
    <n v="3.36"/>
    <n v="0"/>
    <n v="745.583572"/>
    <n v="1776.68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26.1099646554144"/>
    <n v="381.16095106452326"/>
    <n v="320.1751988941997"/>
    <n v="8.6609686609686695E-2"/>
    <n v="1.880341880341882E-2"/>
    <n v="0.03"/>
    <n v="3.4188034188034219E-2"/>
    <n v="0.1225"/>
    <n v="0.13960113960113973"/>
    <n v="590.15629520254402"/>
    <n v="1291.4924451612669"/>
    <n v="4817.6024098166818"/>
    <n v="57811.228917800181"/>
    <d v="2025-01-01T00:00:00"/>
    <s v="-"/>
    <s v="-"/>
  </r>
  <r>
    <s v="1.338.43"/>
    <x v="65"/>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5633802816901458E-2"/>
    <n v="1.8591549295774657E-2"/>
    <n v="0.02"/>
    <n v="2.2535211267605645E-2"/>
    <n v="0.1125"/>
    <n v="0.12676056338028174"/>
    <n v="648.42155929037665"/>
    <n v="1349.7577092490997"/>
    <n v="5763.7471936922357"/>
    <n v="69164.966324306821"/>
    <d v="2025-01-01T00:00:00"/>
    <s v="-"/>
    <s v="-"/>
  </r>
  <r>
    <s v="1.338.45"/>
    <x v="65"/>
    <x v="4"/>
    <s v="Fethemg Interior"/>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0"/>
    <n v="15.07"/>
    <n v="0"/>
    <n v="3.36"/>
    <n v="0"/>
    <n v="652.60216400000013"/>
    <n v="2846.9598021222228"/>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07.1794066081284"/>
    <n v="381.16095106452326"/>
    <n v="320.1751988941997"/>
    <n v="8.5633802816901458E-2"/>
    <n v="1.8591549295774657E-2"/>
    <n v="0.02"/>
    <n v="2.2535211267605645E-2"/>
    <n v="0.1125"/>
    <n v="0.12676056338028174"/>
    <n v="913.75549308593929"/>
    <n v="1615.0916430446623"/>
    <n v="8122.2710496527907"/>
    <n v="97467.252595833488"/>
    <d v="2025-01-01T00:00:00"/>
    <s v="-"/>
    <s v="-"/>
  </r>
  <r>
    <s v="1.342.35"/>
    <x v="66"/>
    <x v="6"/>
    <s v="Rodoviarios de Ituiutaba + SEAC-MG"/>
    <s v="Apoio"/>
    <x v="0"/>
    <n v="1"/>
    <n v="0"/>
    <n v="4380.5668999999998"/>
    <n v="0"/>
    <n v="0"/>
    <n v="0"/>
    <n v="0"/>
    <n v="0"/>
    <n v="0"/>
    <n v="0"/>
    <n v="4380.5668999999998"/>
    <n v="876.11338000000001"/>
    <n v="65.708503499999992"/>
    <n v="43.805669000000002"/>
    <n v="8.7611337999999996"/>
    <n v="109.5141725"/>
    <n v="350.44535200000001"/>
    <n v="175.22267600000001"/>
    <n v="26.283401399999999"/>
    <n v="1655.8542882000002"/>
    <n v="365.04724166666665"/>
    <n v="486.7296555555555"/>
    <n v="321.97166715000003"/>
    <n v="1173.7485643722221"/>
    <n v="0"/>
    <n v="578.4"/>
    <n v="0"/>
    <n v="0"/>
    <n v="0"/>
    <n v="0"/>
    <n v="3.36"/>
    <n v="662.42"/>
    <n v="1244.1799999999998"/>
    <n v="4073.7828525722221"/>
    <n v="30.715514322550153"/>
    <n v="2.4572411458040126"/>
    <n v="0.9828964583216051"/>
    <n v="15.331984150000002"/>
    <n v="5.7954900087000016"/>
    <n v="133.94800120888885"/>
    <n v="3.6504724166666667"/>
    <n v="192.88159971093131"/>
    <n v="36.991453822222219"/>
    <n v="8.8828162138888871"/>
    <n v="0.74834684541666663"/>
    <n v="0.91261810416666667"/>
    <n v="5.678512648148148"/>
    <n v="20.114796605592502"/>
    <n v="73.328544239435104"/>
    <n v="0"/>
    <n v="0"/>
    <n v="0"/>
    <n v="0"/>
    <n v="73.328544239435104"/>
    <n v="92.100763771570698"/>
    <n v="0"/>
    <n v="0"/>
    <n v="0"/>
    <n v="0"/>
    <n v="92.100763771570698"/>
    <n v="8812.6606602941574"/>
    <n v="381.16095106452326"/>
    <n v="320.1751988941997"/>
    <n v="8.7608069164265154E-2"/>
    <n v="1.9020172910662814E-2"/>
    <n v="0.04"/>
    <n v="4.6109510086455294E-2"/>
    <n v="0.13250000000000001"/>
    <n v="0.15273775216138324"/>
    <n v="1453.146486868595"/>
    <n v="2154.4826368273179"/>
    <n v="10967.143297121474"/>
    <n v="131605.71956545769"/>
    <d v="2025-01-01T00:00:00"/>
    <s v="-"/>
    <s v="-"/>
  </r>
  <r>
    <s v="1.342.43"/>
    <x v="66"/>
    <x v="2"/>
    <s v="Alto Paranaiba"/>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0"/>
    <n v="387.79"/>
    <n v="42.97"/>
    <n v="0"/>
    <n v="0"/>
    <n v="3.36"/>
    <n v="0"/>
    <n v="572.31569999999999"/>
    <n v="1840.5662519444445"/>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247.6687890732856"/>
    <n v="381.16095106452326"/>
    <n v="320.1751988941997"/>
    <n v="8.7608069164265154E-2"/>
    <n v="1.9020172910662814E-2"/>
    <n v="0.04"/>
    <n v="4.6109510086455294E-2"/>
    <n v="0.13250000000000001"/>
    <n v="0.15273775216138324"/>
    <n v="755.8998898233325"/>
    <n v="1457.2360397820553"/>
    <n v="5704.9048288553404"/>
    <n v="68458.857946264092"/>
    <d v="2025-01-01T00:00:00"/>
    <s v="-"/>
    <s v="-"/>
  </r>
  <r>
    <s v="1.344.13"/>
    <x v="67"/>
    <x v="3"/>
    <s v="Alto Paranaiba"/>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0"/>
    <n v="387.79"/>
    <n v="42.97"/>
    <n v="0"/>
    <n v="0"/>
    <n v="3.36"/>
    <n v="0"/>
    <n v="594.34357200000011"/>
    <n v="1625.44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374.8699646554142"/>
    <n v="381.16095106452326"/>
    <n v="320.1751988941997"/>
    <n v="8.6609686609686695E-2"/>
    <n v="1.880341880341882E-2"/>
    <n v="0.03"/>
    <n v="3.4188034188034219E-2"/>
    <n v="0.1225"/>
    <n v="0.13960113960113973"/>
    <n v="569.04301884926747"/>
    <n v="1270.3791688079905"/>
    <n v="4645.2491334634051"/>
    <n v="55742.989601560861"/>
    <d v="2025-01-01T00:00:00"/>
    <s v="-"/>
    <s v="-"/>
  </r>
  <r>
    <s v="1.344.45"/>
    <x v="67"/>
    <x v="4"/>
    <s v="Alto Paranaiba"/>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0"/>
    <n v="387.79"/>
    <n v="42.97"/>
    <n v="0"/>
    <n v="0"/>
    <n v="3.36"/>
    <n v="0"/>
    <n v="486.29216400000007"/>
    <n v="2680.6498021222224"/>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340.8694066081271"/>
    <n v="381.16095106452326"/>
    <n v="320.1751988941997"/>
    <n v="8.6609686609686695E-2"/>
    <n v="1.880341880341882E-2"/>
    <n v="0.03"/>
    <n v="3.4188034188034219E-2"/>
    <n v="0.1225"/>
    <n v="0.13960113960113973"/>
    <n v="983.09992100221075"/>
    <n v="1684.4360709609336"/>
    <n v="8025.3054775690607"/>
    <n v="96303.665730828725"/>
    <d v="2025-01-01T00:00:00"/>
    <s v="-"/>
    <s v="-"/>
  </r>
  <r>
    <s v="1.346.43"/>
    <x v="68"/>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6609686609686695E-2"/>
    <n v="1.880341880341882E-2"/>
    <n v="0.03"/>
    <n v="3.4188034188034219E-2"/>
    <n v="0.1225"/>
    <n v="0.13960113960113973"/>
    <n v="714.10528799342251"/>
    <n v="1415.4414379521454"/>
    <n v="5829.4309223952805"/>
    <n v="69953.171068743366"/>
    <d v="2025-01-01T00:00:00"/>
    <s v="-"/>
    <s v="-"/>
  </r>
  <r>
    <s v="1.347.44"/>
    <x v="69"/>
    <x v="7"/>
    <s v="Fethemg Interior"/>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0"/>
    <n v="15.07"/>
    <n v="0"/>
    <n v="3.36"/>
    <n v="0"/>
    <n v="717.45621800000004"/>
    <n v="2213.611924772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27.2435182622694"/>
    <n v="381.16095106452326"/>
    <n v="320.1751988941997"/>
    <n v="8.6609686609686695E-2"/>
    <n v="1.880341880341882E-2"/>
    <n v="0.03"/>
    <n v="3.4188034188034219E-2"/>
    <n v="0.1225"/>
    <n v="0.13960113960113973"/>
    <n v="757.83590809922748"/>
    <n v="1459.1720580579504"/>
    <n v="6186.4155763202198"/>
    <n v="74236.98691584263"/>
    <d v="2025-01-01T00:00:00"/>
    <s v="-"/>
    <s v="-"/>
  </r>
  <r>
    <s v="1.352.43"/>
    <x v="70"/>
    <x v="2"/>
    <s v="Sethac Norte de Mina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86"/>
    <n v="0"/>
    <n v="0"/>
    <n v="3.36"/>
    <n v="0"/>
    <n v="775.41534000000001"/>
    <n v="2043.66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7794844431355"/>
    <n v="381.16095106452326"/>
    <n v="320.1751988941997"/>
    <n v="8.6609686609686695E-2"/>
    <n v="1.880341880341882E-2"/>
    <n v="0.03"/>
    <n v="3.4188034188034219E-2"/>
    <n v="0.1225"/>
    <n v="0.13960113960113973"/>
    <n v="719.24121391934841"/>
    <n v="1420.5773638780713"/>
    <n v="5871.3568483212066"/>
    <n v="70456.282179854476"/>
    <d v="2025-01-01T00:00:00"/>
    <s v="-"/>
    <s v="-"/>
  </r>
  <r>
    <s v="1.145.13"/>
    <x v="71"/>
    <x v="3"/>
    <s v="Juiz de Fora"/>
    <s v="Apoio"/>
    <x v="0"/>
    <n v="6"/>
    <n v="0"/>
    <n v="9618.9060000000009"/>
    <n v="0"/>
    <n v="0"/>
    <n v="0"/>
    <n v="0"/>
    <n v="0"/>
    <n v="0"/>
    <n v="0"/>
    <n v="9618.9060000000009"/>
    <n v="1923.7812000000004"/>
    <n v="144.28359"/>
    <n v="96.189060000000012"/>
    <n v="19.237811999999998"/>
    <n v="240.47265000000004"/>
    <n v="769.5124800000001"/>
    <n v="384.75624000000005"/>
    <n v="57.713436000000002"/>
    <n v="3635.946468000001"/>
    <n v="801.57549999999992"/>
    <n v="1068.7673333333332"/>
    <n v="706.98959100000002"/>
    <n v="2577.3324243333332"/>
    <n v="958.8656400000001"/>
    <n v="3492"/>
    <n v="0"/>
    <n v="337.79999999999995"/>
    <n v="88.14"/>
    <n v="0"/>
    <n v="20.16"/>
    <n v="0"/>
    <n v="4896.9656400000003"/>
    <n v="11110.244532333336"/>
    <n v="67.44552742939814"/>
    <n v="5.3956421943518524"/>
    <n v="2.1582568777407412"/>
    <n v="33.666171000000006"/>
    <n v="12.725812638000004"/>
    <n v="294.1247701333333"/>
    <n v="8.0157550000000004"/>
    <n v="423.53193527282411"/>
    <n v="81.226317333333327"/>
    <n v="19.505003833333333"/>
    <n v="1.643229775"/>
    <n v="2.0039387500000001"/>
    <n v="12.468952222222224"/>
    <n v="44.168333043450005"/>
    <n v="161.01577495733886"/>
    <n v="0"/>
    <n v="0"/>
    <n v="0"/>
    <n v="0"/>
    <n v="161.01577495733886"/>
    <n v="336.85028197193952"/>
    <n v="0"/>
    <n v="0"/>
    <n v="0"/>
    <n v="0"/>
    <n v="336.85028197193952"/>
    <n v="21650.548524535436"/>
    <n v="2286.9657063871396"/>
    <n v="1921.0511933651983"/>
    <n v="8.8629737609329504E-2"/>
    <n v="1.9241982507288629E-2"/>
    <n v="0.05"/>
    <n v="5.8309037900874633E-2"/>
    <n v="0.14250000000000002"/>
    <n v="0.16618075801749277"/>
    <n v="4297.1960034530712"/>
    <n v="8505.2129032054072"/>
    <n v="30155.761427740847"/>
    <n v="361869.13713289017"/>
    <d v="2025-01-01T00:00:00"/>
    <s v="-"/>
    <s v="-"/>
  </r>
  <r>
    <s v="1.145.35"/>
    <x v="71"/>
    <x v="6"/>
    <s v="Rodoviarios de Juiz de Fora + SEAC-MG"/>
    <s v="Apoio"/>
    <x v="0"/>
    <n v="2"/>
    <n v="0"/>
    <n v="8368.0504000000001"/>
    <n v="0"/>
    <n v="0"/>
    <n v="0"/>
    <n v="0"/>
    <n v="0"/>
    <n v="0"/>
    <n v="0"/>
    <n v="8368.0504000000001"/>
    <n v="1673.6100800000002"/>
    <n v="125.52075599999999"/>
    <n v="83.680503999999999"/>
    <n v="16.736100799999999"/>
    <n v="209.20126000000002"/>
    <n v="669.44403199999999"/>
    <n v="334.722016"/>
    <n v="50.208302400000001"/>
    <n v="3163.1230511999997"/>
    <n v="697.33753333333334"/>
    <n v="929.78337777777779"/>
    <n v="615.05170439999995"/>
    <n v="2242.172615511111"/>
    <n v="9.9169760000000338"/>
    <n v="1164"/>
    <n v="0"/>
    <n v="0"/>
    <n v="0"/>
    <n v="0"/>
    <n v="6.72"/>
    <n v="1324.84"/>
    <n v="2505.4769759999999"/>
    <n v="7910.7726427111102"/>
    <n v="58.67481944243827"/>
    <n v="4.693985555395062"/>
    <n v="1.8775942221580251"/>
    <n v="29.288176400000005"/>
    <n v="11.070930679200004"/>
    <n v="255.8763855644444"/>
    <n v="6.9733753333333341"/>
    <n v="368.45526719696909"/>
    <n v="70.663536711111107"/>
    <n v="16.968546644444444"/>
    <n v="1.4295419433333334"/>
    <n v="1.7433438333333335"/>
    <n v="10.847472740740741"/>
    <n v="38.424623027980005"/>
    <n v="140.07706490094296"/>
    <n v="0"/>
    <n v="0"/>
    <n v="0"/>
    <n v="0"/>
    <n v="140.07706490094296"/>
    <n v="184.2015275431414"/>
    <n v="0"/>
    <n v="0"/>
    <n v="0"/>
    <n v="0"/>
    <n v="184.2015275431414"/>
    <n v="16971.556902352164"/>
    <n v="762.32190212904652"/>
    <n v="640.35039778839939"/>
    <n v="8.8629737609329504E-2"/>
    <n v="1.9241982507288629E-2"/>
    <n v="0.05"/>
    <n v="5.8309037900874633E-2"/>
    <n v="0.14250000000000002"/>
    <n v="0.16618075801749277"/>
    <n v="3053.4433368203149"/>
    <n v="4456.1156367377607"/>
    <n v="21427.672539089923"/>
    <n v="257132.07046907907"/>
    <d v="2025-01-01T00:00:00"/>
    <s v="-"/>
    <s v="-"/>
  </r>
  <r>
    <s v="3.145.35"/>
    <x v="71"/>
    <x v="6"/>
    <s v="Rodoviarios de Juiz de Fora + SEAC-MG"/>
    <s v="Apoio"/>
    <x v="1"/>
    <n v="1"/>
    <n v="0"/>
    <n v="4184.0252"/>
    <n v="0"/>
    <n v="0"/>
    <n v="0"/>
    <n v="0"/>
    <n v="0"/>
    <n v="0"/>
    <n v="0"/>
    <n v="4184.0252"/>
    <n v="836.80504000000008"/>
    <n v="62.760377999999996"/>
    <n v="41.840252"/>
    <n v="8.3680503999999996"/>
    <n v="104.60063000000001"/>
    <n v="334.722016"/>
    <n v="167.361008"/>
    <n v="25.1041512"/>
    <n v="1581.5615255999999"/>
    <n v="348.66876666666667"/>
    <n v="464.89168888888889"/>
    <n v="307.52585219999997"/>
    <n v="1121.0863077555555"/>
    <n v="4.9584880000000169"/>
    <n v="582"/>
    <n v="0"/>
    <n v="0"/>
    <n v="0"/>
    <n v="0"/>
    <n v="3.36"/>
    <n v="662.42"/>
    <n v="1252.738488"/>
    <n v="3955.3863213555551"/>
    <n v="29.337409721219135"/>
    <n v="2.346992777697531"/>
    <n v="0.93879711107901254"/>
    <n v="14.644088200000002"/>
    <n v="5.5354653396000018"/>
    <n v="127.9381927822222"/>
    <n v="3.4866876666666671"/>
    <n v="184.22763359848454"/>
    <n v="35.331768355555553"/>
    <n v="8.4842733222222222"/>
    <n v="0.7147709716666667"/>
    <n v="0.87167191666666677"/>
    <n v="5.4237363703703707"/>
    <n v="19.212311513990002"/>
    <n v="70.038532450471479"/>
    <n v="0"/>
    <n v="0"/>
    <n v="0"/>
    <n v="0"/>
    <n v="70.038532450471479"/>
    <n v="92.100763771570698"/>
    <n v="0"/>
    <n v="0"/>
    <n v="0"/>
    <n v="0"/>
    <n v="92.100763771570698"/>
    <n v="8485.7784511760819"/>
    <n v="381.16095106452326"/>
    <n v="320.1751988941997"/>
    <n v="8.8629737609329504E-2"/>
    <n v="1.9241982507288629E-2"/>
    <n v="0.05"/>
    <n v="5.8309037900874633E-2"/>
    <n v="0.14250000000000002"/>
    <n v="0.16618075801749277"/>
    <n v="1526.7216684101575"/>
    <n v="2228.0578183688804"/>
    <n v="10713.836269544961"/>
    <n v="128566.03523453954"/>
    <d v="2025-01-01T00:00:00"/>
    <s v="-"/>
    <s v="-"/>
  </r>
  <r>
    <s v="1.145.45"/>
    <x v="71"/>
    <x v="4"/>
    <s v="Juiz de Fora"/>
    <s v="Apoio"/>
    <x v="0"/>
    <n v="1"/>
    <n v="0"/>
    <n v="3429.0284000000001"/>
    <n v="0"/>
    <n v="0"/>
    <n v="0"/>
    <n v="0"/>
    <n v="0"/>
    <n v="0"/>
    <n v="0"/>
    <n v="3429.0284000000001"/>
    <n v="685.80568000000005"/>
    <n v="51.435426"/>
    <n v="34.290284"/>
    <n v="6.8580568000000008"/>
    <n v="85.725710000000007"/>
    <n v="274.322272"/>
    <n v="137.161136"/>
    <n v="20.5741704"/>
    <n v="1296.1727352"/>
    <n v="285.75236666666666"/>
    <n v="381.00315555555557"/>
    <n v="252.03358740000002"/>
    <n v="918.78910962222221"/>
    <n v="50.258296000000001"/>
    <n v="582"/>
    <n v="0"/>
    <n v="56.3"/>
    <n v="14.69"/>
    <n v="0"/>
    <n v="3.36"/>
    <n v="0"/>
    <n v="706.608296"/>
    <n v="2921.5701408222221"/>
    <n v="24.043548092515433"/>
    <n v="1.9234838474012348"/>
    <n v="0.76939353896049401"/>
    <n v="12.001599400000002"/>
    <n v="4.5366045732000018"/>
    <n v="104.85206840888888"/>
    <n v="2.8575236666666668"/>
    <n v="150.98422152763271"/>
    <n v="28.956239822222219"/>
    <n v="6.9533075888888884"/>
    <n v="0.58579235166666666"/>
    <n v="0.7143809166666667"/>
    <n v="4.4450368148148147"/>
    <n v="15.745498332830003"/>
    <n v="57.400255827089261"/>
    <n v="0"/>
    <n v="0"/>
    <n v="0"/>
    <n v="0"/>
    <n v="57.400255827089261"/>
    <n v="56.642978962543395"/>
    <n v="0"/>
    <n v="0"/>
    <n v="0"/>
    <n v="0"/>
    <n v="56.642978962543395"/>
    <n v="6615.6259971394884"/>
    <n v="381.16095106452326"/>
    <n v="320.1751988941997"/>
    <n v="8.8629737609329504E-2"/>
    <n v="1.9241982507288629E-2"/>
    <n v="0.05"/>
    <n v="5.8309037900874633E-2"/>
    <n v="0.14250000000000002"/>
    <n v="0.16618075801749277"/>
    <n v="1215.9383159900822"/>
    <n v="1917.2744659488051"/>
    <n v="8532.9004630882937"/>
    <n v="102394.80555705953"/>
    <d v="2025-01-01T00:00:00"/>
    <s v="-"/>
    <s v="-"/>
  </r>
  <r>
    <s v="1.372.45"/>
    <x v="72"/>
    <x v="4"/>
    <s v="Regiao de Divinopolis"/>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1.88"/>
    <n v="0"/>
    <n v="0"/>
    <n v="3.36"/>
    <n v="0"/>
    <n v="689.41217000000006"/>
    <n v="2883.7697435277782"/>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3.9892419366124"/>
    <n v="381.16095106452326"/>
    <n v="320.1751988941997"/>
    <n v="8.5633802816901458E-2"/>
    <n v="1.8591549295774657E-2"/>
    <n v="0.02"/>
    <n v="2.2535211267605645E-2"/>
    <n v="0.1125"/>
    <n v="0.12676056338028174"/>
    <n v="918.42152855011329"/>
    <n v="1619.7576785088363"/>
    <n v="8163.7469204454483"/>
    <n v="97964.963045345386"/>
    <d v="2025-01-01T00:00:00"/>
    <s v="-"/>
    <s v="-"/>
  </r>
  <r>
    <s v="1.148.43"/>
    <x v="73"/>
    <x v="2"/>
    <s v="Sind - Asseio"/>
    <s v="Apoio"/>
    <x v="0"/>
    <n v="1"/>
    <n v="0"/>
    <n v="2134.8035"/>
    <n v="0"/>
    <n v="0"/>
    <n v="0"/>
    <n v="0"/>
    <n v="0"/>
    <n v="0"/>
    <n v="0"/>
    <n v="2134.8035"/>
    <n v="426.96070000000003"/>
    <n v="32.022052500000001"/>
    <n v="21.348034999999999"/>
    <n v="4.2696069999999997"/>
    <n v="53.370087500000004"/>
    <n v="170.78428"/>
    <n v="85.392139999999998"/>
    <n v="12.808821"/>
    <n v="806.95572300000003"/>
    <n v="177.90029166666665"/>
    <n v="237.20038888888888"/>
    <n v="156.90805724999998"/>
    <n v="572.00873780555548"/>
    <n v="127.91179"/>
    <n v="582"/>
    <n v="0"/>
    <n v="77.25"/>
    <n v="0"/>
    <n v="0"/>
    <n v="3.36"/>
    <n v="0"/>
    <n v="790.52179000000001"/>
    <n v="2169.4862508055558"/>
    <n v="14.968744680073302"/>
    <n v="1.1974995744058643"/>
    <n v="0.47899982976234579"/>
    <n v="7.471812250000001"/>
    <n v="2.8243450305000009"/>
    <n v="65.277547022222208"/>
    <n v="1.7790029166666668"/>
    <n v="93.997951303630387"/>
    <n v="18.027229555555554"/>
    <n v="4.3289070972222223"/>
    <n v="0.36469559791666667"/>
    <n v="0.44475072916666669"/>
    <n v="2.7673378703703704"/>
    <n v="9.802644081387502"/>
    <n v="35.735564931618981"/>
    <n v="291.10956680899955"/>
    <n v="291.10956680899955"/>
    <n v="0"/>
    <n v="0"/>
    <n v="326.84513174061851"/>
    <n v="56.642978962543395"/>
    <n v="0"/>
    <n v="0"/>
    <n v="0"/>
    <n v="0"/>
    <n v="56.642978962543395"/>
    <n v="4781.7758128123487"/>
    <n v="381.16095106452326"/>
    <n v="320.1751988941997"/>
    <n v="8.8629737609329504E-2"/>
    <n v="1.9241982507288629E-2"/>
    <n v="0.05"/>
    <n v="5.8309037900874633E-2"/>
    <n v="0.14250000000000002"/>
    <n v="0.16618075801749277"/>
    <n v="911.18770226807919"/>
    <n v="1612.5238522268021"/>
    <n v="6394.2996650391506"/>
    <n v="76731.595980469807"/>
    <d v="2025-01-01T00:00:00"/>
    <s v="-"/>
    <s v="-"/>
  </r>
  <r>
    <s v="1.382.13"/>
    <x v="74"/>
    <x v="3"/>
    <s v="Regiao de Sao Lourenco"/>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3.27"/>
    <n v="0"/>
    <n v="0"/>
    <n v="3.36"/>
    <n v="0"/>
    <n v="798.85357199999999"/>
    <n v="1829.95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79.3799646554139"/>
    <n v="381.16095106452326"/>
    <n v="320.1751988941997"/>
    <n v="8.8629737609329504E-2"/>
    <n v="1.9241982507288629E-2"/>
    <n v="0.05"/>
    <n v="5.8309037900874633E-2"/>
    <n v="0.14250000000000002"/>
    <n v="0.16618075801749277"/>
    <n v="711.37264878427379"/>
    <n v="1412.7087987429968"/>
    <n v="4992.0887633984112"/>
    <n v="59905.065160780934"/>
    <d v="2025-01-01T00:00:00"/>
    <s v="-"/>
    <s v="-"/>
  </r>
  <r>
    <s v="1.382.28"/>
    <x v="74"/>
    <x v="5"/>
    <s v="Regiao de Sao Lourenco"/>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53.27"/>
    <n v="0"/>
    <n v="0"/>
    <n v="3.36"/>
    <n v="0"/>
    <n v="756.85945800000002"/>
    <n v="2436.1701282166664"/>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226.33322732312172"/>
    <n v="441.81099462365592"/>
    <n v="113.11309677419354"/>
    <n v="0"/>
    <n v="0"/>
    <n v="781.25731872097117"/>
    <n v="5975.1933521176252"/>
    <n v="381.16095106452326"/>
    <n v="320.1751988941997"/>
    <n v="8.8629737609329504E-2"/>
    <n v="1.9241982507288629E-2"/>
    <n v="0.05"/>
    <n v="5.8309037900874633E-2"/>
    <n v="0.14250000000000002"/>
    <n v="0.16618075801749277"/>
    <n v="1109.5107335812011"/>
    <n v="1810.846883539924"/>
    <n v="7786.0402356575487"/>
    <n v="93432.482827890577"/>
    <d v="2025-01-01T00:00:00"/>
    <s v="-"/>
    <s v="-"/>
  </r>
  <r>
    <s v="1.382.29"/>
    <x v="74"/>
    <x v="1"/>
    <s v="Regiao de Sao Lourenco"/>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53.27"/>
    <n v="0"/>
    <n v="0"/>
    <n v="3.36"/>
    <n v="0"/>
    <n v="756.85945800000002"/>
    <n v="2436.1701282166664"/>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196.62072732312174"/>
    <n v="441.81099462365592"/>
    <n v="113.11309677419354"/>
    <n v="0"/>
    <n v="0"/>
    <n v="751.54481872097119"/>
    <n v="5945.4808521176255"/>
    <n v="381.16095106452326"/>
    <n v="320.1751988941997"/>
    <n v="8.8629737609329504E-2"/>
    <n v="1.9241982507288629E-2"/>
    <n v="0.05"/>
    <n v="5.8309037900874633E-2"/>
    <n v="0.14250000000000002"/>
    <n v="0.16618075801749277"/>
    <n v="1104.5730878086063"/>
    <n v="1805.9092377673292"/>
    <n v="7751.3900898849552"/>
    <n v="93016.681078619469"/>
    <d v="2025-01-01T00:00:00"/>
    <s v="-"/>
    <s v="-"/>
  </r>
  <r>
    <s v="1.382.35"/>
    <x v="74"/>
    <x v="6"/>
    <s v="Rodoviarios de Lavras + SEAC-MG"/>
    <s v="Apoio"/>
    <x v="0"/>
    <n v="1"/>
    <n v="0"/>
    <n v="4599.5983999999999"/>
    <n v="0"/>
    <n v="0"/>
    <n v="0"/>
    <n v="0"/>
    <n v="0"/>
    <n v="0"/>
    <n v="0"/>
    <n v="4599.5983999999999"/>
    <n v="919.91967999999997"/>
    <n v="68.993975999999989"/>
    <n v="45.995984"/>
    <n v="9.1991967999999993"/>
    <n v="114.98996"/>
    <n v="367.967872"/>
    <n v="183.983936"/>
    <n v="27.597590400000001"/>
    <n v="1738.6481951999999"/>
    <n v="383.29986666666662"/>
    <n v="511.06648888888884"/>
    <n v="338.07048239999995"/>
    <n v="1232.4368379555553"/>
    <n v="0"/>
    <n v="578.4"/>
    <n v="0"/>
    <n v="0"/>
    <n v="0"/>
    <n v="0"/>
    <n v="3.36"/>
    <n v="662.42"/>
    <n v="1244.1799999999998"/>
    <n v="4215.2650331555551"/>
    <n v="32.25131216080247"/>
    <n v="2.5801049728641976"/>
    <n v="1.0320419891456791"/>
    <n v="16.098594400000003"/>
    <n v="6.0852686832000016"/>
    <n v="140.6454977422222"/>
    <n v="3.8329986666666667"/>
    <n v="202.52581861490123"/>
    <n v="38.841053155555549"/>
    <n v="9.3269634222222209"/>
    <n v="0.78576472666666664"/>
    <n v="0.95824966666666667"/>
    <n v="5.9624423703703702"/>
    <n v="21.120550923080003"/>
    <n v="76.995024264561465"/>
    <n v="0"/>
    <n v="0"/>
    <n v="0"/>
    <n v="0"/>
    <n v="76.995024264561465"/>
    <n v="92.100763771570698"/>
    <n v="0"/>
    <n v="0"/>
    <n v="0"/>
    <n v="0"/>
    <n v="92.100763771570698"/>
    <n v="9186.4850398065864"/>
    <n v="381.16095106452326"/>
    <n v="320.1751988941997"/>
    <n v="8.8629737609329504E-2"/>
    <n v="1.9241982507288629E-2"/>
    <n v="0.05"/>
    <n v="5.8309037900874633E-2"/>
    <n v="0.14250000000000002"/>
    <n v="0.16618075801749277"/>
    <n v="1643.1656204566264"/>
    <n v="2344.5017704153493"/>
    <n v="11530.986810221935"/>
    <n v="138371.84172266323"/>
    <d v="2025-01-01T00:00:00"/>
    <s v="-"/>
    <s v="-"/>
  </r>
  <r>
    <s v="1.382.43"/>
    <x v="74"/>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53.27"/>
    <n v="0"/>
    <n v="0"/>
    <n v="3.36"/>
    <n v="0"/>
    <n v="776.82569999999998"/>
    <n v="2045.07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452.1787890732849"/>
    <n v="381.16095106452326"/>
    <n v="320.1751988941997"/>
    <n v="8.8629737609329504E-2"/>
    <n v="1.9241982507288629E-2"/>
    <n v="0.05"/>
    <n v="5.8309037900874633E-2"/>
    <n v="0.14250000000000002"/>
    <n v="0.16618075801749277"/>
    <n v="856.41501902281209"/>
    <n v="1557.7511689815351"/>
    <n v="6009.9299580548195"/>
    <n v="72119.159496657841"/>
    <d v="2025-01-01T00:00:00"/>
    <s v="-"/>
    <s v="-"/>
  </r>
  <r>
    <s v="1.382.45"/>
    <x v="74"/>
    <x v="4"/>
    <s v="Regiao de Sao Lourenco"/>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3.27"/>
    <n v="0"/>
    <n v="0"/>
    <n v="3.36"/>
    <n v="0"/>
    <n v="690.80217000000005"/>
    <n v="2885.1597435277781"/>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5.3792419366127"/>
    <n v="381.16095106452326"/>
    <n v="320.1751988941997"/>
    <n v="8.8629737609329504E-2"/>
    <n v="1.9241982507288629E-2"/>
    <n v="0.05"/>
    <n v="5.8309037900874633E-2"/>
    <n v="0.14250000000000002"/>
    <n v="0.16618075801749277"/>
    <n v="1204.2646569621991"/>
    <n v="1905.600806920922"/>
    <n v="8450.9800488575347"/>
    <n v="101411.76058629042"/>
    <d v="2025-01-01T00:00:00"/>
    <s v="-"/>
    <s v="-"/>
  </r>
  <r>
    <s v="1.382.44"/>
    <x v="74"/>
    <x v="7"/>
    <s v="Regiao de Sao Lourenco"/>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582"/>
    <n v="0"/>
    <n v="53.27"/>
    <n v="0"/>
    <n v="0"/>
    <n v="3.36"/>
    <n v="0"/>
    <n v="755.65648199999998"/>
    <n v="2251.8093466166665"/>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765.4362727156067"/>
    <n v="381.16095106452326"/>
    <n v="320.1751988941997"/>
    <n v="8.8629737609329504E-2"/>
    <n v="1.9241982507288629E-2"/>
    <n v="0.05"/>
    <n v="5.8309037900874633E-2"/>
    <n v="0.14250000000000002"/>
    <n v="0.16618075801749277"/>
    <n v="908.47238510914542"/>
    <n v="1609.8085350678684"/>
    <n v="6375.2448077834752"/>
    <n v="76502.937693401705"/>
    <d v="2025-01-01T00:00:00"/>
    <s v="-"/>
    <s v="-"/>
  </r>
  <r>
    <s v="1.390.16"/>
    <x v="75"/>
    <x v="22"/>
    <s v="SETTASPOC"/>
    <s v="Apoio"/>
    <x v="0"/>
    <n v="1"/>
    <n v="0"/>
    <n v="1836.5985000000001"/>
    <n v="0"/>
    <n v="0"/>
    <n v="0"/>
    <n v="0"/>
    <n v="0"/>
    <n v="0"/>
    <n v="0"/>
    <n v="1836.5985000000001"/>
    <n v="367.31970000000001"/>
    <n v="27.548977499999999"/>
    <n v="18.365985000000002"/>
    <n v="3.673197"/>
    <n v="45.914962500000001"/>
    <n v="146.92788000000002"/>
    <n v="73.463940000000008"/>
    <n v="11.019591"/>
    <n v="694.23423300000002"/>
    <n v="153.04987499999999"/>
    <n v="204.06649999999999"/>
    <n v="134.98998974999998"/>
    <n v="492.1063647499999"/>
    <n v="145.80409"/>
    <n v="581.79999999999995"/>
    <n v="0"/>
    <n v="51.73"/>
    <n v="0"/>
    <n v="0"/>
    <n v="3.36"/>
    <n v="0"/>
    <n v="782.69408999999996"/>
    <n v="1969.0346877499999"/>
    <n v="12.87780070920139"/>
    <n v="1.0302240567361112"/>
    <n v="0.41208962269444455"/>
    <n v="6.4280947500000014"/>
    <n v="2.4298198155000006"/>
    <n v="56.15910079999999"/>
    <n v="1.5304987500000002"/>
    <n v="80.867628504131943"/>
    <n v="15.509053999999999"/>
    <n v="3.724213625"/>
    <n v="0.31375224374999999"/>
    <n v="0.38262468750000006"/>
    <n v="2.3807758333333333"/>
    <n v="8.4333389072625025"/>
    <n v="30.743759296845838"/>
    <n v="0"/>
    <n v="0"/>
    <n v="0"/>
    <n v="0"/>
    <n v="30.743759296845838"/>
    <n v="44.111346448706357"/>
    <n v="0"/>
    <n v="0"/>
    <n v="0"/>
    <n v="0"/>
    <n v="44.111346448706357"/>
    <n v="3961.3559219996837"/>
    <n v="381.16095106452326"/>
    <n v="320.1751988941997"/>
    <n v="8.6609686609686695E-2"/>
    <n v="1.880341880341882E-2"/>
    <n v="0.03"/>
    <n v="3.4188034188034219E-2"/>
    <n v="0.1225"/>
    <n v="0.13960113960113973"/>
    <n v="650.91712685459299"/>
    <n v="1352.253276813316"/>
    <n v="5313.6091988129992"/>
    <n v="63763.310385755991"/>
    <d v="2025-01-01T00:00:00"/>
    <s v="-"/>
    <s v="-"/>
  </r>
  <r>
    <s v="1.390.45"/>
    <x v="75"/>
    <x v="4"/>
    <s v="Regiao de Sao Lourenco"/>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0"/>
    <n v="0"/>
    <n v="0"/>
    <n v="3.36"/>
    <n v="0"/>
    <n v="637.53217000000006"/>
    <n v="2831.8897435277781"/>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492.1092419366132"/>
    <n v="381.16095106452326"/>
    <n v="320.1751988941997"/>
    <n v="8.6609686609686695E-2"/>
    <n v="1.880341880341882E-2"/>
    <n v="0.03"/>
    <n v="3.4188034188034219E-2"/>
    <n v="0.1225"/>
    <n v="0.13960113960113973"/>
    <n v="1004.2131743671561"/>
    <n v="1705.5493243258788"/>
    <n v="8197.658566262493"/>
    <n v="98371.902795149916"/>
    <d v="2025-01-01T00:00:00"/>
    <s v="-"/>
    <s v="-"/>
  </r>
  <r>
    <s v="1.393.13"/>
    <x v="76"/>
    <x v="3"/>
    <s v="Sethac Norte de Minas"/>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0"/>
    <n v="0"/>
    <n v="3.36"/>
    <n v="0"/>
    <n v="745.583572"/>
    <n v="1776.68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26.1099646554144"/>
    <n v="381.16095106452326"/>
    <n v="320.1751988941997"/>
    <n v="8.5633802816901458E-2"/>
    <n v="1.8591549295774657E-2"/>
    <n v="0.02"/>
    <n v="2.2535211267605645E-2"/>
    <n v="0.1125"/>
    <n v="0.12676056338028174"/>
    <n v="535.87345114827122"/>
    <n v="1237.2096011069941"/>
    <n v="4763.3195657624083"/>
    <n v="57159.834789148896"/>
    <d v="2025-01-01T00:00:00"/>
    <s v="-"/>
    <s v="-"/>
  </r>
  <r>
    <s v="1.393.41"/>
    <x v="76"/>
    <x v="41"/>
    <s v="Sethac Norte de Minas"/>
    <s v="Apoio"/>
    <x v="0"/>
    <n v="2"/>
    <n v="0"/>
    <n v="3926.8220000000001"/>
    <n v="0"/>
    <n v="0"/>
    <n v="0"/>
    <n v="0"/>
    <n v="0"/>
    <n v="0"/>
    <n v="0"/>
    <n v="3926.8220000000001"/>
    <n v="785.36440000000005"/>
    <n v="58.902329999999999"/>
    <n v="39.268219999999999"/>
    <n v="7.8536440000000001"/>
    <n v="98.170550000000006"/>
    <n v="314.14576"/>
    <n v="157.07288"/>
    <n v="23.560932000000001"/>
    <n v="1484.3387160000002"/>
    <n v="327.23516666666666"/>
    <n v="436.31355555555552"/>
    <n v="288.62141700000001"/>
    <n v="1052.1701392222221"/>
    <n v="276.39067999999997"/>
    <n v="1164"/>
    <n v="0"/>
    <n v="0"/>
    <n v="0"/>
    <n v="0"/>
    <n v="6.72"/>
    <n v="0"/>
    <n v="1447.11068"/>
    <n v="3983.6195352222221"/>
    <n v="27.533960817515432"/>
    <n v="2.2027168654012348"/>
    <n v="0.88108674616049398"/>
    <n v="13.743877000000003"/>
    <n v="5.1951855060000014"/>
    <n v="120.07349048888888"/>
    <n v="3.2723516666666668"/>
    <n v="172.90266909063274"/>
    <n v="33.159830222222219"/>
    <n v="7.9627223888888885"/>
    <n v="0.67083209166666669"/>
    <n v="0.81808791666666669"/>
    <n v="5.0903248148148146"/>
    <n v="18.031279430150004"/>
    <n v="65.733076864409256"/>
    <n v="434.75529489599154"/>
    <n v="434.75529489599154"/>
    <n v="0"/>
    <n v="0"/>
    <n v="500.48837176040081"/>
    <n v="113.28595792508679"/>
    <n v="0"/>
    <n v="0"/>
    <n v="0"/>
    <n v="0"/>
    <n v="113.28595792508679"/>
    <n v="8697.118533998344"/>
    <n v="762.32190212904652"/>
    <n v="640.35039778839939"/>
    <n v="8.5633802816901458E-2"/>
    <n v="1.8591549295774657E-2"/>
    <n v="0.02"/>
    <n v="2.2535211267605645E-2"/>
    <n v="0.1125"/>
    <n v="0.12676056338028174"/>
    <n v="1280.2551761301711"/>
    <n v="2682.9274760476169"/>
    <n v="11380.04601004596"/>
    <n v="136560.55212055153"/>
    <d v="2025-01-01T00:00:00"/>
    <s v="-"/>
    <s v="-"/>
  </r>
  <r>
    <s v="1.393.42"/>
    <x v="76"/>
    <x v="42"/>
    <s v="Sethac Norte de Minas"/>
    <s v="Apoio"/>
    <x v="0"/>
    <n v="2"/>
    <n v="0"/>
    <n v="3926.8220000000001"/>
    <n v="0"/>
    <n v="0"/>
    <n v="791.25459999999998"/>
    <n v="0"/>
    <n v="0"/>
    <n v="0"/>
    <n v="0"/>
    <n v="4718.0766000000003"/>
    <n v="943.61532000000011"/>
    <n v="70.771149000000008"/>
    <n v="47.180766000000006"/>
    <n v="9.4361532000000015"/>
    <n v="117.95191500000001"/>
    <n v="377.44612800000004"/>
    <n v="188.72306400000002"/>
    <n v="28.308459600000003"/>
    <n v="1783.4329548000005"/>
    <n v="393.17304999999999"/>
    <n v="524.23073333333332"/>
    <n v="346.77863010000004"/>
    <n v="1264.1824134333333"/>
    <n v="276.39067999999997"/>
    <n v="1164"/>
    <n v="0"/>
    <n v="0"/>
    <n v="0"/>
    <n v="0"/>
    <n v="6.72"/>
    <n v="0"/>
    <n v="1447.11068"/>
    <n v="4494.726048233334"/>
    <n v="33.082053690856483"/>
    <n v="2.6465642952685191"/>
    <n v="1.0586257181074077"/>
    <n v="16.513268100000005"/>
    <n v="6.2420153418000019"/>
    <n v="144.26829781333333"/>
    <n v="3.9317305000000005"/>
    <n v="207.74255545936575"/>
    <n v="39.84153573333333"/>
    <n v="9.5672108833333329"/>
    <n v="0.80600475250000003"/>
    <n v="0.98293262500000012"/>
    <n v="6.1160252222222224"/>
    <n v="21.664582083795004"/>
    <n v="78.978291300183884"/>
    <n v="522.35848681753384"/>
    <n v="522.35848681753384"/>
    <n v="0"/>
    <n v="0"/>
    <n v="601.3367781177177"/>
    <n v="113.28595792508679"/>
    <n v="0"/>
    <n v="0"/>
    <n v="0"/>
    <n v="0"/>
    <n v="113.28595792508679"/>
    <n v="10135.167939735506"/>
    <n v="762.32190212904652"/>
    <n v="640.35039778839939"/>
    <n v="8.5633802816901458E-2"/>
    <n v="1.8591549295774657E-2"/>
    <n v="0.02"/>
    <n v="2.2535211267605645E-2"/>
    <n v="0.1125"/>
    <n v="0.12676056338028174"/>
    <n v="1462.543128970093"/>
    <n v="2865.215428887539"/>
    <n v="13000.383368623045"/>
    <n v="156004.60042347654"/>
    <d v="2025-01-01T00:00:00"/>
    <s v="-"/>
    <s v="-"/>
  </r>
  <r>
    <s v="1.394.43"/>
    <x v="77"/>
    <x v="2"/>
    <s v="Regiao de Juiz de Fora"/>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88"/>
    <n v="0"/>
    <n v="0"/>
    <n v="3.36"/>
    <n v="0"/>
    <n v="775.43534"/>
    <n v="2043.68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799484443136"/>
    <n v="381.16095106452326"/>
    <n v="320.1751988941997"/>
    <n v="8.6609686609686695E-2"/>
    <n v="1.880341880341882E-2"/>
    <n v="0.03"/>
    <n v="3.4188034188034219E-2"/>
    <n v="0.1225"/>
    <n v="0.13960113960113973"/>
    <n v="719.24400594214046"/>
    <n v="1420.5801559008632"/>
    <n v="5871.3796403439992"/>
    <n v="70456.55568412799"/>
    <d v="2025-01-01T00:00:00"/>
    <s v="-"/>
    <s v="-"/>
  </r>
  <r>
    <s v="1.394.45"/>
    <x v="77"/>
    <x v="4"/>
    <s v="Regiao de Juiz de Fora"/>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88"/>
    <n v="0"/>
    <n v="0"/>
    <n v="3.36"/>
    <n v="0"/>
    <n v="689.41216400000008"/>
    <n v="2883.7698021222222"/>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9894066081279"/>
    <n v="381.16095106452326"/>
    <n v="320.1751988941997"/>
    <n v="8.6609686609686695E-2"/>
    <n v="1.880341880341882E-2"/>
    <n v="0.03"/>
    <n v="3.4188034188034219E-2"/>
    <n v="0.1225"/>
    <n v="0.13960113960113973"/>
    <n v="1011.4557044779943"/>
    <n v="1712.7918544367171"/>
    <n v="8256.7812610448455"/>
    <n v="99081.375132538145"/>
    <d v="2025-01-01T00:00:00"/>
    <s v="-"/>
    <s v="-"/>
  </r>
  <r>
    <s v="1.395.13"/>
    <x v="78"/>
    <x v="3"/>
    <s v="Regiao de Ouro Preto"/>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0"/>
    <n v="0"/>
    <n v="3.36"/>
    <n v="0"/>
    <n v="745.583572"/>
    <n v="1776.68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26.1099646554144"/>
    <n v="381.16095106452326"/>
    <n v="320.1751988941997"/>
    <n v="8.5633802816901458E-2"/>
    <n v="1.8591549295774657E-2"/>
    <n v="0.02"/>
    <n v="2.2535211267605645E-2"/>
    <n v="0.1125"/>
    <n v="0.12676056338028174"/>
    <n v="535.87345114827122"/>
    <n v="1237.2096011069941"/>
    <n v="4763.3195657624083"/>
    <n v="57159.834789148896"/>
    <d v="2025-01-01T00:00:00"/>
    <s v="-"/>
    <s v="-"/>
  </r>
  <r>
    <s v="1.395.45"/>
    <x v="78"/>
    <x v="4"/>
    <s v="Regiao de Ouro Preto"/>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0"/>
    <n v="0"/>
    <n v="0"/>
    <n v="3.36"/>
    <n v="0"/>
    <n v="637.53216400000008"/>
    <n v="2831.8898021222226"/>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492.1094066081278"/>
    <n v="381.16095106452326"/>
    <n v="320.1751988941997"/>
    <n v="8.5633802816901458E-2"/>
    <n v="1.8591549295774657E-2"/>
    <n v="0.02"/>
    <n v="2.2535211267605645E-2"/>
    <n v="0.1125"/>
    <n v="0.12676056338028174"/>
    <n v="911.84521139579829"/>
    <n v="1613.1813613545212"/>
    <n v="8105.2907679626487"/>
    <n v="97263.489215551788"/>
    <d v="2025-01-01T00:00:00"/>
    <s v="-"/>
    <s v="-"/>
  </r>
  <r>
    <s v="1.396.13"/>
    <x v="79"/>
    <x v="3"/>
    <s v="Fethemg Interior"/>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15.07"/>
    <n v="0"/>
    <n v="3.36"/>
    <n v="0"/>
    <n v="760.65357200000005"/>
    <n v="1791.75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41.1799646554141"/>
    <n v="381.16095106452326"/>
    <n v="320.1751988941997"/>
    <n v="8.6609686609686695E-2"/>
    <n v="1.880341880341882E-2"/>
    <n v="0.03"/>
    <n v="3.4188034188034219E-2"/>
    <n v="0.1225"/>
    <n v="0.13960113960113973"/>
    <n v="592.26008437633311"/>
    <n v="1293.5962343350561"/>
    <n v="4834.7761989904702"/>
    <n v="58017.314387885643"/>
    <d v="2025-01-01T00:00:00"/>
    <s v="-"/>
    <s v="-"/>
  </r>
  <r>
    <s v="1.400.45"/>
    <x v="80"/>
    <x v="4"/>
    <s v="Regiao de Ouro Preto"/>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87"/>
    <n v="0"/>
    <n v="0"/>
    <n v="3.36"/>
    <n v="0"/>
    <n v="689.40216400000008"/>
    <n v="2883.7598021222225"/>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9794066081276"/>
    <n v="381.16095106452326"/>
    <n v="320.1751988941997"/>
    <n v="8.6609686609686695E-2"/>
    <n v="1.880341880341882E-2"/>
    <n v="0.03"/>
    <n v="3.4188034188034219E-2"/>
    <n v="0.1225"/>
    <n v="0.13960113960113973"/>
    <n v="1011.4543084665983"/>
    <n v="1712.790458425321"/>
    <n v="8256.7698650334496"/>
    <n v="99081.238380401395"/>
    <d v="2025-01-01T00:00:00"/>
    <s v="-"/>
    <s v="-"/>
  </r>
  <r>
    <s v="1.411.44"/>
    <x v="81"/>
    <x v="7"/>
    <s v="Sind - Asseio"/>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77.25"/>
    <n v="0"/>
    <n v="0"/>
    <n v="3.36"/>
    <n v="0"/>
    <n v="779.63621799999999"/>
    <n v="2275.79192477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89.4235182622697"/>
    <n v="381.16095106452326"/>
    <n v="320.1751988941997"/>
    <n v="8.5633802816901458E-2"/>
    <n v="1.8591549295774657E-2"/>
    <n v="0.02"/>
    <n v="2.2535211267605645E-2"/>
    <n v="0.1125"/>
    <n v="0.12676056338028174"/>
    <n v="696.01178892942187"/>
    <n v="1397.3479388881447"/>
    <n v="6186.7714571504148"/>
    <n v="74241.257485804977"/>
    <d v="2025-01-01T00:00:00"/>
    <s v="-"/>
    <s v="-"/>
  </r>
  <r>
    <s v="1.422.43"/>
    <x v="82"/>
    <x v="2"/>
    <s v="Regiao de Juiz de Fora"/>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88"/>
    <n v="0"/>
    <n v="0"/>
    <n v="3.36"/>
    <n v="0"/>
    <n v="775.43534"/>
    <n v="2043.68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799484443136"/>
    <n v="381.16095106452326"/>
    <n v="320.1751988941997"/>
    <n v="8.6609686609686695E-2"/>
    <n v="1.880341880341882E-2"/>
    <n v="0.03"/>
    <n v="3.4188034188034219E-2"/>
    <n v="0.1225"/>
    <n v="0.13960113960113973"/>
    <n v="719.24400594214046"/>
    <n v="1420.5801559008632"/>
    <n v="5871.3796403439992"/>
    <n v="70456.55568412799"/>
    <d v="2025-01-01T00:00:00"/>
    <s v="-"/>
    <s v="-"/>
  </r>
  <r>
    <s v="1.429.43"/>
    <x v="83"/>
    <x v="2"/>
    <s v="Sethac Norte de Mina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6609686609686695E-2"/>
    <n v="1.880341880341882E-2"/>
    <n v="0.03"/>
    <n v="3.4188034188034219E-2"/>
    <n v="0.1225"/>
    <n v="0.13960113960113973"/>
    <n v="712.00149881963318"/>
    <n v="1413.3376487783562"/>
    <n v="5812.2571332214911"/>
    <n v="69747.085598657897"/>
    <d v="2025-01-01T00:00:00"/>
    <s v="-"/>
    <s v="-"/>
  </r>
  <r>
    <s v="1.433.06"/>
    <x v="84"/>
    <x v="13"/>
    <s v="Montes Claros"/>
    <s v="Apoio"/>
    <x v="0"/>
    <n v="1"/>
    <n v="0"/>
    <n v="2443.5248999999999"/>
    <n v="0"/>
    <n v="0"/>
    <n v="0"/>
    <n v="0"/>
    <n v="0"/>
    <n v="0"/>
    <n v="0"/>
    <n v="2443.5248999999999"/>
    <n v="488.70497999999998"/>
    <n v="36.652873499999998"/>
    <n v="24.435248999999999"/>
    <n v="4.8870497999999998"/>
    <n v="61.088122499999997"/>
    <n v="195.48199199999999"/>
    <n v="97.740995999999996"/>
    <n v="14.661149399999999"/>
    <n v="923.65241219999996"/>
    <n v="203.62707499999999"/>
    <n v="271.50276666666662"/>
    <n v="179.59908014999999"/>
    <n v="654.72892181666657"/>
    <n v="109.38850600000001"/>
    <n v="582"/>
    <n v="0"/>
    <n v="51.86"/>
    <n v="0"/>
    <n v="0"/>
    <n v="3.36"/>
    <n v="0"/>
    <n v="746.60850600000003"/>
    <n v="2324.9898400166667"/>
    <n v="17.133427197164352"/>
    <n v="1.3706741757731482"/>
    <n v="0.54826967030925933"/>
    <n v="8.5523371500000014"/>
    <n v="3.2327834427000006"/>
    <n v="74.717561386666645"/>
    <n v="2.0362707499999999"/>
    <n v="107.59132377261341"/>
    <n v="20.634210266666663"/>
    <n v="4.9549254916666658"/>
    <n v="0.41743550374999999"/>
    <n v="0.50906768749999998"/>
    <n v="3.1675322777777777"/>
    <n v="11.220238723942501"/>
    <n v="40.903409951303601"/>
    <n v="0"/>
    <n v="0"/>
    <n v="0"/>
    <n v="0"/>
    <n v="40.903409951303601"/>
    <n v="190.56060491869394"/>
    <n v="0"/>
    <n v="0"/>
    <n v="0"/>
    <n v="0"/>
    <n v="190.56060491869394"/>
    <n v="5107.570078659277"/>
    <n v="381.16095106452326"/>
    <n v="320.1751988941997"/>
    <n v="8.6609686609686695E-2"/>
    <n v="1.880341880341882E-2"/>
    <n v="0.03"/>
    <n v="3.4188034188034219E-2"/>
    <n v="0.1225"/>
    <n v="0.13960113960113973"/>
    <n v="810.92992935123152"/>
    <n v="1512.2660793099544"/>
    <n v="6619.8361579692319"/>
    <n v="79438.033895630782"/>
    <d v="2025-01-01T00:00:00"/>
    <s v="-"/>
    <s v="-"/>
  </r>
  <r>
    <s v="1.433.13"/>
    <x v="84"/>
    <x v="3"/>
    <s v="Montes Claros"/>
    <s v="Apoio"/>
    <x v="0"/>
    <n v="4"/>
    <n v="0"/>
    <n v="6596.4611999999997"/>
    <n v="0"/>
    <n v="0"/>
    <n v="0"/>
    <n v="0"/>
    <n v="0"/>
    <n v="0"/>
    <n v="0"/>
    <n v="6596.4611999999997"/>
    <n v="1319.29224"/>
    <n v="98.946917999999997"/>
    <n v="65.964612000000002"/>
    <n v="13.1929224"/>
    <n v="164.91153"/>
    <n v="527.71689600000002"/>
    <n v="263.85844800000001"/>
    <n v="39.578767200000001"/>
    <n v="2493.4623336000004"/>
    <n v="549.7050999999999"/>
    <n v="732.94013333333328"/>
    <n v="484.83989819999999"/>
    <n v="1767.4851315333331"/>
    <n v="628.21232800000007"/>
    <n v="2328"/>
    <n v="0"/>
    <n v="207.44"/>
    <n v="0"/>
    <n v="0"/>
    <n v="13.44"/>
    <n v="0"/>
    <n v="3177.0923280000002"/>
    <n v="7438.0397931333337"/>
    <n v="46.252848796064811"/>
    <n v="3.7002279036851853"/>
    <n v="1.4800911614740744"/>
    <n v="23.087614200000001"/>
    <n v="8.7271181676000023"/>
    <n v="201.70512469333329"/>
    <n v="5.4970509999999999"/>
    <n v="290.45007592215734"/>
    <n v="55.703450133333327"/>
    <n v="13.376157433333333"/>
    <n v="1.1268954549999999"/>
    <n v="1.37426275"/>
    <n v="8.5509682222222221"/>
    <n v="30.289795449690004"/>
    <n v="110.42152944357888"/>
    <n v="0"/>
    <n v="0"/>
    <n v="0"/>
    <n v="0"/>
    <n v="110.42152944357888"/>
    <n v="224.56685464795967"/>
    <n v="0"/>
    <n v="0"/>
    <n v="0"/>
    <n v="0"/>
    <n v="224.56685464795967"/>
    <n v="14659.939453147028"/>
    <n v="1524.643804258093"/>
    <n v="1280.7007955767988"/>
    <n v="8.6609686609686695E-2"/>
    <n v="1.880341880341882E-2"/>
    <n v="0.03"/>
    <n v="3.4188034188034219E-2"/>
    <n v="0.1225"/>
    <n v="0.13960113960113973"/>
    <n v="2438.1735572538882"/>
    <n v="5243.5181570887798"/>
    <n v="19903.457610235808"/>
    <n v="238841.49132282968"/>
    <d v="2025-01-01T00:00:00"/>
    <s v="-"/>
    <s v="-"/>
  </r>
  <r>
    <s v="1.433.28"/>
    <x v="84"/>
    <x v="5"/>
    <s v="Montes Claros"/>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51.86"/>
    <n v="0"/>
    <n v="0"/>
    <n v="3.36"/>
    <n v="0"/>
    <n v="755.44945800000005"/>
    <n v="2434.7601282166665"/>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226.33322732312172"/>
    <n v="441.81099462365592"/>
    <n v="113.11309677419354"/>
    <n v="0"/>
    <n v="0"/>
    <n v="781.25731872097117"/>
    <n v="5973.7833521176253"/>
    <n v="381.16095106452326"/>
    <n v="320.1751988941997"/>
    <n v="8.6609686609686695E-2"/>
    <n v="1.880341880341882E-2"/>
    <n v="0.03"/>
    <n v="3.4188034188034219E-2"/>
    <n v="0.1225"/>
    <n v="0.13960113960113973"/>
    <n v="931.85428946365062"/>
    <n v="1633.1904394223734"/>
    <n v="7606.9737915399983"/>
    <n v="91283.685498479987"/>
    <d v="2025-01-01T00:00:00"/>
    <s v="-"/>
    <s v="-"/>
  </r>
  <r>
    <s v="1.433.35"/>
    <x v="84"/>
    <x v="6"/>
    <s v="Rodoviarios de Montes Claros + SEAC-MG"/>
    <s v="Apoio"/>
    <x v="0"/>
    <n v="4"/>
    <n v="0"/>
    <n v="17364.080000000002"/>
    <n v="0"/>
    <n v="0"/>
    <n v="0"/>
    <n v="0"/>
    <n v="0"/>
    <n v="0"/>
    <n v="0"/>
    <n v="17364.080000000002"/>
    <n v="3472.8160000000007"/>
    <n v="260.46120000000002"/>
    <n v="173.64080000000001"/>
    <n v="34.728160000000003"/>
    <n v="434.10200000000009"/>
    <n v="1389.1264000000001"/>
    <n v="694.56320000000005"/>
    <n v="104.18448000000001"/>
    <n v="6563.6222400000006"/>
    <n v="1447.0066666666667"/>
    <n v="1929.3422222222223"/>
    <n v="1276.2598799999998"/>
    <n v="4652.6087688888883"/>
    <n v="0"/>
    <n v="2313.6"/>
    <n v="0"/>
    <n v="90.08"/>
    <n v="0"/>
    <n v="0"/>
    <n v="13.44"/>
    <n v="2649.68"/>
    <n v="5066.7999999999993"/>
    <n v="16283.031008888887"/>
    <n v="121.75288270061729"/>
    <n v="9.7402306160493843"/>
    <n v="3.8960922464197543"/>
    <n v="60.774280000000012"/>
    <n v="22.97267784000001"/>
    <n v="530.9549795555555"/>
    <n v="14.47006666666667"/>
    <n v="764.56120962530861"/>
    <n v="146.63000888888888"/>
    <n v="35.210495555555553"/>
    <n v="2.9663636666666671"/>
    <n v="3.6175166666666674"/>
    <n v="22.508992592592595"/>
    <n v="79.732816646000018"/>
    <n v="290.66619401637035"/>
    <n v="0"/>
    <n v="0"/>
    <n v="0"/>
    <n v="0"/>
    <n v="290.66619401637035"/>
    <n v="368.40305508628279"/>
    <n v="0"/>
    <n v="0"/>
    <n v="0"/>
    <n v="0"/>
    <n v="368.40305508628279"/>
    <n v="35070.741467616848"/>
    <n v="1524.643804258093"/>
    <n v="1280.7007955767988"/>
    <n v="8.6609686609686695E-2"/>
    <n v="1.880341880341882E-2"/>
    <n v="0.03"/>
    <n v="3.4188034188034219E-2"/>
    <n v="0.1225"/>
    <n v="0.13960113960113973"/>
    <n v="5287.5447786471141"/>
    <n v="8092.8893784820057"/>
    <n v="43163.630846098851"/>
    <n v="517963.57015318621"/>
    <d v="2025-01-01T00:00:00"/>
    <s v="-"/>
    <s v="-"/>
  </r>
  <r>
    <s v="1.433.41"/>
    <x v="84"/>
    <x v="41"/>
    <s v="Montes Claros"/>
    <s v="Apoio"/>
    <x v="0"/>
    <n v="2"/>
    <n v="0"/>
    <n v="4269.607"/>
    <n v="0"/>
    <n v="0"/>
    <n v="0"/>
    <n v="0"/>
    <n v="0"/>
    <n v="0"/>
    <n v="0"/>
    <n v="4269.607"/>
    <n v="853.92140000000006"/>
    <n v="64.044105000000002"/>
    <n v="42.696069999999999"/>
    <n v="8.5392139999999994"/>
    <n v="106.74017500000001"/>
    <n v="341.56855999999999"/>
    <n v="170.78428"/>
    <n v="25.617642"/>
    <n v="1613.9114460000001"/>
    <n v="355.80058333333329"/>
    <n v="474.40077777777776"/>
    <n v="313.81611449999997"/>
    <n v="1144.017475611111"/>
    <n v="255.82357999999999"/>
    <n v="1164"/>
    <n v="0"/>
    <n v="103.72"/>
    <n v="0"/>
    <n v="0"/>
    <n v="6.72"/>
    <n v="0"/>
    <n v="1530.26358"/>
    <n v="4288.1925016111109"/>
    <n v="29.937489360146603"/>
    <n v="2.3949991488117286"/>
    <n v="0.95799965952469157"/>
    <n v="14.943624500000002"/>
    <n v="5.6486900610000017"/>
    <n v="130.55509404444442"/>
    <n v="3.5580058333333335"/>
    <n v="187.99590260726077"/>
    <n v="36.054459111111107"/>
    <n v="8.6578141944444447"/>
    <n v="0.72939119583333334"/>
    <n v="0.88950145833333338"/>
    <n v="5.5346757407407408"/>
    <n v="19.605288162775004"/>
    <n v="71.471129863237962"/>
    <n v="472.70648705651831"/>
    <n v="472.70648705651831"/>
    <n v="0"/>
    <n v="0"/>
    <n v="544.17761691975625"/>
    <n v="113.28595792508679"/>
    <n v="0"/>
    <n v="0"/>
    <n v="0"/>
    <n v="0"/>
    <n v="113.28595792508679"/>
    <n v="9403.2589790632155"/>
    <n v="762.32190212904652"/>
    <n v="640.35039778839939"/>
    <n v="8.6609686609686695E-2"/>
    <n v="1.880341880341882E-2"/>
    <n v="0.03"/>
    <n v="3.4188034188034219E-2"/>
    <n v="0.1225"/>
    <n v="0.13960113960113973"/>
    <n v="1508.5203209973017"/>
    <n v="2911.1926209147477"/>
    <n v="12314.451599977963"/>
    <n v="147773.41919973557"/>
    <d v="2025-01-01T00:00:00"/>
    <s v="-"/>
    <s v="-"/>
  </r>
  <r>
    <s v="1.433.42"/>
    <x v="84"/>
    <x v="42"/>
    <s v="Montes Claros"/>
    <s v="Apoio"/>
    <x v="0"/>
    <n v="2"/>
    <n v="0"/>
    <n v="4269.607"/>
    <n v="0"/>
    <n v="0"/>
    <n v="860.32579999999996"/>
    <n v="0"/>
    <n v="0"/>
    <n v="0"/>
    <n v="0"/>
    <n v="5129.9327999999996"/>
    <n v="1025.9865600000001"/>
    <n v="76.94899199999999"/>
    <n v="51.299327999999996"/>
    <n v="10.259865599999999"/>
    <n v="128.24832000000001"/>
    <n v="410.39462399999996"/>
    <n v="205.19731199999998"/>
    <n v="30.779596799999997"/>
    <n v="1939.1145984000002"/>
    <n v="427.49439999999993"/>
    <n v="569.9925333333332"/>
    <n v="377.05006079999998"/>
    <n v="1374.5369941333331"/>
    <n v="255.82357999999999"/>
    <n v="1164"/>
    <n v="0"/>
    <n v="103.72"/>
    <n v="0"/>
    <n v="0"/>
    <n v="6.72"/>
    <n v="0"/>
    <n v="1530.26358"/>
    <n v="4843.9151725333331"/>
    <n v="35.969893392592589"/>
    <n v="2.8775914714074076"/>
    <n v="1.151036588562963"/>
    <n v="17.9547648"/>
    <n v="6.7869010944000019"/>
    <n v="156.86194517333331"/>
    <n v="4.2749439999999996"/>
    <n v="225.87707652029627"/>
    <n v="43.319432533333327"/>
    <n v="10.402363733333331"/>
    <n v="0.87636351999999995"/>
    <n v="1.0687359999999999"/>
    <n v="6.6499128888888883"/>
    <n v="23.555753679360002"/>
    <n v="85.872562354915544"/>
    <n v="567.95684419840688"/>
    <n v="567.95684419840688"/>
    <n v="0"/>
    <n v="0"/>
    <n v="653.82940655332243"/>
    <n v="113.28595792508679"/>
    <n v="0"/>
    <n v="0"/>
    <n v="0"/>
    <n v="0"/>
    <n v="113.28595792508679"/>
    <n v="10966.84041353204"/>
    <n v="762.32190212904652"/>
    <n v="640.35039778839939"/>
    <n v="8.6609686609686695E-2"/>
    <n v="1.880341880341882E-2"/>
    <n v="0.03"/>
    <n v="3.4188034188034219E-2"/>
    <n v="0.1225"/>
    <n v="0.13960113960113973"/>
    <n v="1726.7980711083344"/>
    <n v="3129.47037102578"/>
    <n v="14096.31078455782"/>
    <n v="169155.72941469384"/>
    <d v="2025-01-01T00:00:00"/>
    <s v="-"/>
    <s v="-"/>
  </r>
  <r>
    <s v="1.433.45"/>
    <x v="84"/>
    <x v="4"/>
    <s v="Montes Claros"/>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86"/>
    <n v="0"/>
    <n v="0"/>
    <n v="3.36"/>
    <n v="0"/>
    <n v="689.39216400000009"/>
    <n v="2883.7498021222227"/>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9694066081274"/>
    <n v="381.16095106452326"/>
    <n v="320.1751988941997"/>
    <n v="8.6609686609686695E-2"/>
    <n v="1.880341880341882E-2"/>
    <n v="0.03"/>
    <n v="3.4188034188034219E-2"/>
    <n v="0.1225"/>
    <n v="0.13960113960113973"/>
    <n v="1011.4529124552023"/>
    <n v="1712.7890624139252"/>
    <n v="8256.7584690220519"/>
    <n v="99081.101628264616"/>
    <d v="2025-01-01T00:00:00"/>
    <s v="-"/>
    <s v="-"/>
  </r>
  <r>
    <s v="1.439.13"/>
    <x v="85"/>
    <x v="3"/>
    <s v="Cataguases"/>
    <s v="Apoio"/>
    <x v="0"/>
    <n v="2"/>
    <n v="0"/>
    <n v="3192.5475999999999"/>
    <n v="0"/>
    <n v="0"/>
    <n v="0"/>
    <n v="0"/>
    <n v="0"/>
    <n v="0"/>
    <n v="0"/>
    <n v="3192.5475999999999"/>
    <n v="638.50952000000007"/>
    <n v="47.888213999999998"/>
    <n v="31.925476"/>
    <n v="6.3850952000000003"/>
    <n v="79.813690000000008"/>
    <n v="255.403808"/>
    <n v="127.701904"/>
    <n v="19.155285599999999"/>
    <n v="1206.7829928000001"/>
    <n v="266.04563333333329"/>
    <n v="354.72751111111108"/>
    <n v="234.65224860000001"/>
    <n v="855.42539304444438"/>
    <n v="320.44714399999998"/>
    <n v="1164"/>
    <n v="0"/>
    <n v="114.14"/>
    <n v="0"/>
    <n v="0"/>
    <n v="6.72"/>
    <n v="0"/>
    <n v="1605.3071440000001"/>
    <n v="3667.5155298444442"/>
    <n v="22.385399828780862"/>
    <n v="1.7908319863024693"/>
    <n v="0.71633279452098775"/>
    <n v="11.173916600000002"/>
    <n v="4.2237404748000014"/>
    <n v="97.621011057777764"/>
    <n v="2.6604563333333333"/>
    <n v="140.57168907551542"/>
    <n v="26.959290844444443"/>
    <n v="6.4737770777777772"/>
    <n v="0.54539354833333331"/>
    <n v="0.66511408333333333"/>
    <n v="4.1384876296296289"/>
    <n v="14.659619883370002"/>
    <n v="53.44168306688853"/>
    <n v="0"/>
    <n v="0"/>
    <n v="0"/>
    <n v="0"/>
    <n v="53.44168306688853"/>
    <n v="112.28342732397984"/>
    <n v="0"/>
    <n v="0"/>
    <n v="0"/>
    <n v="0"/>
    <n v="112.28342732397984"/>
    <n v="7166.3599293108282"/>
    <n v="762.32190212904652"/>
    <n v="640.35039778839939"/>
    <n v="8.6609686609686695E-2"/>
    <n v="1.880341880341882E-2"/>
    <n v="0.03"/>
    <n v="3.4188034188034219E-2"/>
    <n v="0.1225"/>
    <n v="0.13960113960113973"/>
    <n v="1196.2466644791621"/>
    <n v="2598.9189643966079"/>
    <n v="9765.2788937074365"/>
    <n v="117183.34672448924"/>
    <d v="2025-01-01T00:00:00"/>
    <s v="-"/>
    <s v="-"/>
  </r>
  <r>
    <s v="1.439.45"/>
    <x v="85"/>
    <x v="4"/>
    <s v="Cataguases"/>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7.07"/>
    <n v="0"/>
    <n v="0"/>
    <n v="3.36"/>
    <n v="0"/>
    <n v="694.60216400000013"/>
    <n v="2888.9598021222228"/>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9.1794066081284"/>
    <n v="381.16095106452326"/>
    <n v="320.1751988941997"/>
    <n v="8.6609686609686695E-2"/>
    <n v="1.880341880341882E-2"/>
    <n v="0.03"/>
    <n v="3.4188034188034219E-2"/>
    <n v="0.1225"/>
    <n v="0.13960113960113973"/>
    <n v="1012.1802343925243"/>
    <n v="1713.5163843512473"/>
    <n v="8262.6957909593766"/>
    <n v="99152.349491512519"/>
    <d v="2025-01-01T00:00:00"/>
    <s v="-"/>
    <s v="-"/>
  </r>
  <r>
    <s v="1.440.44"/>
    <x v="86"/>
    <x v="7"/>
    <s v="Fethemg Interior"/>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0"/>
    <n v="15.07"/>
    <n v="0"/>
    <n v="3.36"/>
    <n v="0"/>
    <n v="717.45621800000004"/>
    <n v="2213.611924772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27.2435182622694"/>
    <n v="381.16095106452326"/>
    <n v="320.1751988941997"/>
    <n v="8.6609686609686695E-2"/>
    <n v="1.880341880341882E-2"/>
    <n v="0.03"/>
    <n v="3.4188034188034219E-2"/>
    <n v="0.1225"/>
    <n v="0.13960113960113973"/>
    <n v="757.83590809922748"/>
    <n v="1459.1720580579504"/>
    <n v="6186.4155763202198"/>
    <n v="74236.98691584263"/>
    <d v="2025-01-01T00:00:00"/>
    <s v="-"/>
    <s v="-"/>
  </r>
  <r>
    <s v="1.441.43"/>
    <x v="87"/>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6609686609686695E-2"/>
    <n v="1.880341880341882E-2"/>
    <n v="0.03"/>
    <n v="3.4188034188034219E-2"/>
    <n v="0.1225"/>
    <n v="0.13960113960113973"/>
    <n v="714.10528799342251"/>
    <n v="1415.4414379521454"/>
    <n v="5829.4309223952805"/>
    <n v="69953.171068743366"/>
    <d v="2025-01-01T00:00:00"/>
    <s v="-"/>
    <s v="-"/>
  </r>
  <r>
    <s v="1.188.35"/>
    <x v="88"/>
    <x v="6"/>
    <s v="Rodoviarios de Belo Horizonte + SEAC-MG"/>
    <s v="Apoio"/>
    <x v="0"/>
    <n v="1"/>
    <n v="0"/>
    <n v="4558.0709999999999"/>
    <n v="0"/>
    <n v="0"/>
    <n v="0"/>
    <n v="0"/>
    <n v="0"/>
    <n v="0"/>
    <n v="0"/>
    <n v="4558.0709999999999"/>
    <n v="911.61419999999998"/>
    <n v="68.371065000000002"/>
    <n v="45.580710000000003"/>
    <n v="9.116142"/>
    <n v="113.951775"/>
    <n v="364.64568000000003"/>
    <n v="182.32284000000001"/>
    <n v="27.348426"/>
    <n v="1722.9508380000002"/>
    <n v="379.83924999999999"/>
    <n v="506.45233333333329"/>
    <n v="335.01821850000005"/>
    <n v="1221.3098018333333"/>
    <n v="0"/>
    <n v="578.4"/>
    <n v="0"/>
    <n v="18.350000000000001"/>
    <n v="0"/>
    <n v="0"/>
    <n v="3.36"/>
    <n v="662.42"/>
    <n v="1262.53"/>
    <n v="4206.7906398333334"/>
    <n v="31.960131708912037"/>
    <n v="2.556810536712963"/>
    <n v="1.0227242146851854"/>
    <n v="15.953248500000003"/>
    <n v="6.0303279330000015"/>
    <n v="139.3756821333333"/>
    <n v="3.7983925000000003"/>
    <n v="200.6973175266435"/>
    <n v="38.490377333333328"/>
    <n v="9.2427550833333321"/>
    <n v="0.77867046249999994"/>
    <n v="0.94959812500000007"/>
    <n v="5.9086105555555557"/>
    <n v="20.929864369575004"/>
    <n v="76.29987592929723"/>
    <n v="0"/>
    <n v="0"/>
    <n v="0"/>
    <n v="0"/>
    <n v="76.29987592929723"/>
    <n v="92.100763771570698"/>
    <n v="0"/>
    <n v="0"/>
    <n v="0"/>
    <n v="0"/>
    <n v="92.100763771570698"/>
    <n v="9133.9595970608425"/>
    <n v="381.16095106452326"/>
    <n v="320.1751988941997"/>
    <n v="8.6609686609686695E-2"/>
    <n v="1.880341880341882E-2"/>
    <n v="0.03"/>
    <n v="3.4188034188034219E-2"/>
    <n v="0.1225"/>
    <n v="0.13960113960113973"/>
    <n v="1373.0184945981741"/>
    <n v="2074.3546445568973"/>
    <n v="11208.31424161774"/>
    <n v="134499.77089941286"/>
    <d v="2025-01-01T00:00:00"/>
    <s v="-"/>
    <s v="-"/>
  </r>
  <r>
    <s v="1.188.41"/>
    <x v="88"/>
    <x v="41"/>
    <s v="Sind - Asseio"/>
    <s v="Apoio"/>
    <x v="0"/>
    <n v="2"/>
    <n v="0"/>
    <n v="4269.607"/>
    <n v="0"/>
    <n v="0"/>
    <n v="0"/>
    <n v="0"/>
    <n v="0"/>
    <n v="0"/>
    <n v="0"/>
    <n v="4269.607"/>
    <n v="853.92140000000006"/>
    <n v="64.044105000000002"/>
    <n v="42.696069999999999"/>
    <n v="8.5392139999999994"/>
    <n v="106.74017500000001"/>
    <n v="341.56855999999999"/>
    <n v="170.78428"/>
    <n v="25.617642"/>
    <n v="1613.9114460000001"/>
    <n v="355.80058333333329"/>
    <n v="474.40077777777776"/>
    <n v="313.81611449999997"/>
    <n v="1144.017475611111"/>
    <n v="255.82357999999999"/>
    <n v="1164"/>
    <n v="0"/>
    <n v="154.5"/>
    <n v="0"/>
    <n v="0"/>
    <n v="6.72"/>
    <n v="0"/>
    <n v="1581.04358"/>
    <n v="4338.9725016111115"/>
    <n v="29.937489360146603"/>
    <n v="2.3949991488117286"/>
    <n v="0.95799965952469157"/>
    <n v="14.943624500000002"/>
    <n v="5.6486900610000017"/>
    <n v="130.55509404444442"/>
    <n v="3.5580058333333335"/>
    <n v="187.99590260726077"/>
    <n v="36.054459111111107"/>
    <n v="8.6578141944444447"/>
    <n v="0.72939119583333334"/>
    <n v="0.88950145833333338"/>
    <n v="5.5346757407407408"/>
    <n v="19.605288162775004"/>
    <n v="71.471129863237962"/>
    <n v="472.70648705651831"/>
    <n v="472.70648705651831"/>
    <n v="0"/>
    <n v="0"/>
    <n v="544.17761691975625"/>
    <n v="113.28595792508679"/>
    <n v="0"/>
    <n v="0"/>
    <n v="0"/>
    <n v="0"/>
    <n v="113.28595792508679"/>
    <n v="9454.0389790632162"/>
    <n v="762.32190212904652"/>
    <n v="640.35039778839939"/>
    <n v="8.6609686609686695E-2"/>
    <n v="1.880341880341882E-2"/>
    <n v="0.03"/>
    <n v="3.4188034188034219E-2"/>
    <n v="0.1225"/>
    <n v="0.13960113960113973"/>
    <n v="1515.6092668662477"/>
    <n v="2918.2815667836935"/>
    <n v="12372.320545846909"/>
    <n v="148467.84655016291"/>
    <d v="2025-01-01T00:00:00"/>
    <s v="-"/>
    <s v="-"/>
  </r>
  <r>
    <s v="1.188.42"/>
    <x v="88"/>
    <x v="42"/>
    <s v="Sind - Asseio"/>
    <s v="Apoio"/>
    <x v="0"/>
    <n v="2"/>
    <n v="0"/>
    <n v="4269.607"/>
    <n v="0"/>
    <n v="0"/>
    <n v="860.32579999999996"/>
    <n v="0"/>
    <n v="0"/>
    <n v="0"/>
    <n v="0"/>
    <n v="5129.9327999999996"/>
    <n v="1025.9865600000001"/>
    <n v="76.94899199999999"/>
    <n v="51.299327999999996"/>
    <n v="10.259865599999999"/>
    <n v="128.24832000000001"/>
    <n v="410.39462399999996"/>
    <n v="205.19731199999998"/>
    <n v="30.779596799999997"/>
    <n v="1939.1145984000002"/>
    <n v="427.49439999999993"/>
    <n v="569.9925333333332"/>
    <n v="377.05006079999998"/>
    <n v="1374.5369941333331"/>
    <n v="255.82357999999999"/>
    <n v="1164"/>
    <n v="0"/>
    <n v="154.5"/>
    <n v="0"/>
    <n v="0"/>
    <n v="6.72"/>
    <n v="0"/>
    <n v="1581.04358"/>
    <n v="4894.6951725333329"/>
    <n v="35.969893392592589"/>
    <n v="2.8775914714074076"/>
    <n v="1.151036588562963"/>
    <n v="17.9547648"/>
    <n v="6.7869010944000019"/>
    <n v="156.86194517333331"/>
    <n v="4.2749439999999996"/>
    <n v="225.87707652029627"/>
    <n v="43.319432533333327"/>
    <n v="10.402363733333331"/>
    <n v="0.87636351999999995"/>
    <n v="1.0687359999999999"/>
    <n v="6.6499128888888883"/>
    <n v="23.555753679360002"/>
    <n v="85.872562354915544"/>
    <n v="567.95684419840688"/>
    <n v="567.95684419840688"/>
    <n v="0"/>
    <n v="0"/>
    <n v="653.82940655332243"/>
    <n v="113.28595792508679"/>
    <n v="0"/>
    <n v="0"/>
    <n v="0"/>
    <n v="0"/>
    <n v="113.28595792508679"/>
    <n v="11017.62041353204"/>
    <n v="762.32190212904652"/>
    <n v="640.35039778839939"/>
    <n v="8.6609686609686695E-2"/>
    <n v="1.880341880341882E-2"/>
    <n v="0.03"/>
    <n v="3.4188034188034219E-2"/>
    <n v="0.1225"/>
    <n v="0.13960113960113973"/>
    <n v="1733.8870169772804"/>
    <n v="3136.5593168947262"/>
    <n v="14154.179730426767"/>
    <n v="169850.15676512121"/>
    <d v="2025-01-01T00:00:00"/>
    <s v="-"/>
    <s v="-"/>
  </r>
  <r>
    <s v="1.188.44"/>
    <x v="88"/>
    <x v="7"/>
    <s v="Sind - Asseio"/>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77.25"/>
    <n v="0"/>
    <n v="0"/>
    <n v="3.36"/>
    <n v="0"/>
    <n v="779.63621799999999"/>
    <n v="2275.79192477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89.4235182622697"/>
    <n v="381.16095106452326"/>
    <n v="320.1751988941997"/>
    <n v="8.6609686609686695E-2"/>
    <n v="1.880341880341882E-2"/>
    <n v="0.03"/>
    <n v="3.4188034188034219E-2"/>
    <n v="0.1225"/>
    <n v="0.13960113960113973"/>
    <n v="766.51630695962649"/>
    <n v="1467.8524569183494"/>
    <n v="6257.2759751806188"/>
    <n v="75087.311702167426"/>
    <d v="2025-01-01T00:00:00"/>
    <s v="-"/>
    <s v="-"/>
  </r>
  <r>
    <s v="1.450.45"/>
    <x v="89"/>
    <x v="4"/>
    <s v="Alto Paranaiba"/>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0"/>
    <n v="387.79"/>
    <n v="42.97"/>
    <n v="0"/>
    <n v="0"/>
    <n v="3.36"/>
    <n v="0"/>
    <n v="486.29217000000006"/>
    <n v="2680.6497435277784"/>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340.8692419366134"/>
    <n v="381.16095106452326"/>
    <n v="320.1751988941997"/>
    <n v="8.6609686609686695E-2"/>
    <n v="1.880341880341882E-2"/>
    <n v="0.03"/>
    <n v="3.4188034188034219E-2"/>
    <n v="0.1225"/>
    <n v="0.13960113960113973"/>
    <n v="983.09989801387974"/>
    <n v="1684.4360479726026"/>
    <n v="8025.3052899092163"/>
    <n v="96303.663478910603"/>
    <d v="2025-01-01T00:00:00"/>
    <s v="-"/>
    <s v="-"/>
  </r>
  <r>
    <s v="1.452.13"/>
    <x v="90"/>
    <x v="3"/>
    <s v="Regiao de Divinopolis"/>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1.88"/>
    <n v="0"/>
    <n v="0"/>
    <n v="3.36"/>
    <n v="0"/>
    <n v="797.463572"/>
    <n v="1828.56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77.989964655414"/>
    <n v="381.16095106452326"/>
    <n v="320.1751988941997"/>
    <n v="8.6609686609686695E-2"/>
    <n v="1.880341880341882E-2"/>
    <n v="0.03"/>
    <n v="3.4188034188034219E-2"/>
    <n v="0.1225"/>
    <n v="0.13960113960113973"/>
    <n v="597.39880232505095"/>
    <n v="1298.734952283774"/>
    <n v="4876.724916939188"/>
    <n v="58520.69900327026"/>
    <d v="2025-01-01T00:00:00"/>
    <s v="-"/>
    <s v="-"/>
  </r>
  <r>
    <s v="1.452.45"/>
    <x v="90"/>
    <x v="4"/>
    <s v="Regiao de Divinopolis"/>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1.88"/>
    <n v="0"/>
    <n v="0"/>
    <n v="3.36"/>
    <n v="0"/>
    <n v="689.41217000000006"/>
    <n v="2883.7697435277782"/>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3.9892419366124"/>
    <n v="381.16095106452326"/>
    <n v="320.1751988941997"/>
    <n v="8.6609686609686695E-2"/>
    <n v="1.880341880341882E-2"/>
    <n v="0.03"/>
    <n v="3.4188034188034219E-2"/>
    <n v="0.1225"/>
    <n v="0.13960113960113973"/>
    <n v="1011.4556814896631"/>
    <n v="1712.7918314483859"/>
    <n v="8256.7810733849983"/>
    <n v="99081.37288061998"/>
    <d v="2025-01-01T00:00:00"/>
    <s v="-"/>
    <s v="-"/>
  </r>
  <r>
    <s v="1.456.43"/>
    <x v="91"/>
    <x v="2"/>
    <s v="Regiao de Divinopolis"/>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51.88"/>
    <n v="0"/>
    <n v="0"/>
    <n v="3.36"/>
    <n v="0"/>
    <n v="775.4357"/>
    <n v="2043.6862519444444"/>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450.7887890732854"/>
    <n v="381.16095106452326"/>
    <n v="320.1751988941997"/>
    <n v="8.6609686609686695E-2"/>
    <n v="1.880341880341882E-2"/>
    <n v="0.03"/>
    <n v="3.4188034188034219E-2"/>
    <n v="0.1225"/>
    <n v="0.13960113960113973"/>
    <n v="719.2425128563209"/>
    <n v="1420.5786628150438"/>
    <n v="5871.367451888329"/>
    <n v="70456.409422659955"/>
    <d v="2025-01-01T00:00:00"/>
    <s v="-"/>
    <s v="-"/>
  </r>
  <r>
    <s v="1.456.45"/>
    <x v="91"/>
    <x v="4"/>
    <s v="Regiao de Divinopolis"/>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1.88"/>
    <n v="0"/>
    <n v="0"/>
    <n v="3.36"/>
    <n v="0"/>
    <n v="689.41217000000006"/>
    <n v="2883.7697435277782"/>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3.9892419366124"/>
    <n v="381.16095106452326"/>
    <n v="320.1751988941997"/>
    <n v="8.6609686609686695E-2"/>
    <n v="1.880341880341882E-2"/>
    <n v="0.03"/>
    <n v="3.4188034188034219E-2"/>
    <n v="0.1225"/>
    <n v="0.13960113960113973"/>
    <n v="1011.4556814896631"/>
    <n v="1712.7918314483859"/>
    <n v="8256.7810733849983"/>
    <n v="99081.37288061998"/>
    <d v="2025-01-01T00:00:00"/>
    <s v="-"/>
    <s v="-"/>
  </r>
  <r>
    <s v="1.461.13"/>
    <x v="92"/>
    <x v="3"/>
    <s v="Regiao de Ouro Preto"/>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1.87"/>
    <n v="0"/>
    <n v="0"/>
    <n v="3.36"/>
    <n v="0"/>
    <n v="797.45357200000001"/>
    <n v="1828.5577649222223"/>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77.9799646554143"/>
    <n v="381.16095106452326"/>
    <n v="320.1751988941997"/>
    <n v="8.8629737609329504E-2"/>
    <n v="1.9241982507288629E-2"/>
    <n v="0.05"/>
    <n v="5.8309037900874633E-2"/>
    <n v="0.14250000000000002"/>
    <n v="0.16618075801749277"/>
    <n v="711.13999572304931"/>
    <n v="1412.4761456817723"/>
    <n v="4990.4561103371871"/>
    <n v="59885.473324046245"/>
    <d v="2025-01-01T00:00:00"/>
    <s v="-"/>
    <s v="-"/>
  </r>
  <r>
    <s v="1.461.43"/>
    <x v="92"/>
    <x v="2"/>
    <s v="Regiao de Ouro Preto"/>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87"/>
    <n v="0"/>
    <n v="0"/>
    <n v="3.36"/>
    <n v="0"/>
    <n v="775.42534000000001"/>
    <n v="2043.6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7894844431357"/>
    <n v="381.16095106452326"/>
    <n v="320.1751988941997"/>
    <n v="8.8629737609329504E-2"/>
    <n v="1.9241982507288629E-2"/>
    <n v="0.05"/>
    <n v="5.8309037900874633E-2"/>
    <n v="0.14250000000000002"/>
    <n v="0.16618075801749277"/>
    <n v="856.18414332625662"/>
    <n v="1557.5202932849795"/>
    <n v="6008.3097777281155"/>
    <n v="72099.717332737389"/>
    <d v="2025-01-01T00:00:00"/>
    <s v="-"/>
    <s v="-"/>
  </r>
  <r>
    <s v="1.470.45"/>
    <x v="93"/>
    <x v="4"/>
    <s v="Fethemg Interior"/>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0"/>
    <n v="15.07"/>
    <n v="0"/>
    <n v="3.36"/>
    <n v="0"/>
    <n v="652.60216400000013"/>
    <n v="2846.9598021222228"/>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07.1794066081284"/>
    <n v="381.16095106452326"/>
    <n v="320.1751988941997"/>
    <n v="8.7608069164265154E-2"/>
    <n v="1.9020172910662814E-2"/>
    <n v="0.04"/>
    <n v="4.6109510086455294E-2"/>
    <n v="0.13250000000000001"/>
    <n v="0.15273775216138324"/>
    <n v="1101.0124625303833"/>
    <n v="1802.3486124891062"/>
    <n v="8309.5280190972353"/>
    <n v="99714.336229166831"/>
    <d v="2025-01-01T00:00:00"/>
    <s v="-"/>
    <s v="-"/>
  </r>
  <r>
    <s v="1.472.43"/>
    <x v="94"/>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0"/>
    <n v="0"/>
    <n v="0"/>
    <n v="3.36"/>
    <n v="0"/>
    <n v="723.5557"/>
    <n v="1991.80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398.9087890732853"/>
    <n v="381.16095106452326"/>
    <n v="320.1751988941997"/>
    <n v="8.6609686609686695E-2"/>
    <n v="1.880341880341882E-2"/>
    <n v="0.03"/>
    <n v="3.4188034188034219E-2"/>
    <n v="0.1225"/>
    <n v="0.13960113960113973"/>
    <n v="712.00000573381374"/>
    <n v="1413.3361556925365"/>
    <n v="5812.2449447658219"/>
    <n v="69746.939337189862"/>
    <d v="2025-01-01T00:00:00"/>
    <s v="-"/>
    <s v="-"/>
  </r>
  <r>
    <s v="1.474.43"/>
    <x v="95"/>
    <x v="2"/>
    <s v="Sete Lagoas"/>
    <s v="Apoio"/>
    <x v="0"/>
    <n v="1"/>
    <n v="0"/>
    <n v="2134.8035"/>
    <n v="0"/>
    <n v="0"/>
    <n v="0"/>
    <n v="0"/>
    <n v="0"/>
    <n v="0"/>
    <n v="0"/>
    <n v="2134.8035"/>
    <n v="426.96070000000003"/>
    <n v="32.022052500000001"/>
    <n v="21.348034999999999"/>
    <n v="4.2696069999999997"/>
    <n v="53.370087500000004"/>
    <n v="170.78428"/>
    <n v="85.392139999999998"/>
    <n v="12.808821"/>
    <n v="806.95572300000003"/>
    <n v="177.90029166666665"/>
    <n v="237.20038888888888"/>
    <n v="156.90805724999998"/>
    <n v="572.00873780555548"/>
    <n v="127.91179"/>
    <n v="582"/>
    <n v="0"/>
    <n v="51.86"/>
    <n v="0"/>
    <n v="0"/>
    <n v="3.36"/>
    <n v="0"/>
    <n v="765.13179000000002"/>
    <n v="2144.0962508055554"/>
    <n v="14.968744680073302"/>
    <n v="1.1974995744058643"/>
    <n v="0.47899982976234579"/>
    <n v="7.471812250000001"/>
    <n v="2.8243450305000009"/>
    <n v="65.277547022222208"/>
    <n v="1.7790029166666668"/>
    <n v="93.997951303630387"/>
    <n v="18.027229555555554"/>
    <n v="4.3289070972222223"/>
    <n v="0.36469559791666667"/>
    <n v="0.44475072916666669"/>
    <n v="2.7673378703703704"/>
    <n v="9.802644081387502"/>
    <n v="35.735564931618981"/>
    <n v="291.10956680899955"/>
    <n v="291.10956680899955"/>
    <n v="0"/>
    <n v="0"/>
    <n v="326.84513174061851"/>
    <n v="56.642978962543395"/>
    <n v="0"/>
    <n v="0"/>
    <n v="0"/>
    <n v="0"/>
    <n v="56.642978962543395"/>
    <n v="4756.3858128123484"/>
    <n v="381.16095106452326"/>
    <n v="320.1751988941997"/>
    <n v="8.6609686609686695E-2"/>
    <n v="1.880341880341882E-2"/>
    <n v="0.03"/>
    <n v="3.4188034188034219E-2"/>
    <n v="0.1225"/>
    <n v="0.13960113960113973"/>
    <n v="761.90420562901068"/>
    <n v="1463.2403555877336"/>
    <n v="6219.626168400082"/>
    <n v="74635.514020800983"/>
    <d v="2025-01-01T00:00:00"/>
    <s v="-"/>
    <s v="-"/>
  </r>
  <r>
    <s v="1.479.35"/>
    <x v="96"/>
    <x v="6"/>
    <s v="Rodoviarios de Passos + SEAC-MG"/>
    <s v="Apoio"/>
    <x v="0"/>
    <n v="2"/>
    <n v="0"/>
    <n v="9199.1905999999999"/>
    <n v="0"/>
    <n v="0"/>
    <n v="0"/>
    <n v="0"/>
    <n v="0"/>
    <n v="0"/>
    <n v="0"/>
    <n v="9199.1905999999999"/>
    <n v="1839.8381200000001"/>
    <n v="137.98785899999999"/>
    <n v="91.991906"/>
    <n v="18.398381199999999"/>
    <n v="229.97976500000001"/>
    <n v="735.935248"/>
    <n v="367.967624"/>
    <n v="55.195143600000002"/>
    <n v="3477.2940468000006"/>
    <n v="766.59921666666662"/>
    <n v="1022.1322888888889"/>
    <n v="676.14050910000003"/>
    <n v="2464.8720146555556"/>
    <n v="0"/>
    <n v="1156.8"/>
    <n v="0"/>
    <n v="0"/>
    <n v="0"/>
    <n v="0"/>
    <n v="6.72"/>
    <n v="1324.84"/>
    <n v="2488.3599999999997"/>
    <n v="8430.5260614555555"/>
    <n v="64.502580848649686"/>
    <n v="5.1602064678919755"/>
    <n v="2.0640825871567903"/>
    <n v="32.197167100000001"/>
    <n v="12.170529163800003"/>
    <n v="281.29080590222219"/>
    <n v="7.6659921666666673"/>
    <n v="405.05136423638731"/>
    <n v="77.682053955555546"/>
    <n v="18.65391427222222"/>
    <n v="1.5715283941666667"/>
    <n v="1.9164980416666668"/>
    <n v="11.924876703703703"/>
    <n v="42.241073376845009"/>
    <n v="153.9899447441598"/>
    <n v="0"/>
    <n v="0"/>
    <n v="0"/>
    <n v="0"/>
    <n v="153.9899447441598"/>
    <n v="184.2015275431414"/>
    <n v="0"/>
    <n v="0"/>
    <n v="0"/>
    <n v="0"/>
    <n v="184.2015275431414"/>
    <n v="18372.959497979242"/>
    <n v="762.32190212904652"/>
    <n v="640.35039778839939"/>
    <n v="8.6609686609686695E-2"/>
    <n v="1.880341880341882E-2"/>
    <n v="0.03"/>
    <n v="3.4188034188034219E-2"/>
    <n v="0.1225"/>
    <n v="0.13960113960113973"/>
    <n v="2760.7007353189133"/>
    <n v="4163.3730352363591"/>
    <n v="22536.332533215602"/>
    <n v="270435.99039858719"/>
    <d v="2025-01-01T00:00:00"/>
    <s v="-"/>
    <s v="-"/>
  </r>
  <r>
    <s v="3.479.35"/>
    <x v="96"/>
    <x v="6"/>
    <s v="Rodoviarios de Passos + SEAC-MG"/>
    <s v="Apoio"/>
    <x v="1"/>
    <n v="1"/>
    <n v="0"/>
    <n v="4599.5953"/>
    <n v="0"/>
    <n v="0"/>
    <n v="0"/>
    <n v="0"/>
    <n v="0"/>
    <n v="0"/>
    <n v="0"/>
    <n v="4599.5953"/>
    <n v="919.91906000000006"/>
    <n v="68.993929499999993"/>
    <n v="45.995953"/>
    <n v="9.1991905999999997"/>
    <n v="114.98988250000001"/>
    <n v="367.967624"/>
    <n v="183.983812"/>
    <n v="27.597571800000001"/>
    <n v="1738.6470234000003"/>
    <n v="383.29960833333331"/>
    <n v="511.06614444444443"/>
    <n v="338.07025455000002"/>
    <n v="1232.4360073277778"/>
    <n v="0"/>
    <n v="578.4"/>
    <n v="0"/>
    <n v="0"/>
    <n v="0"/>
    <n v="0"/>
    <n v="3.36"/>
    <n v="662.42"/>
    <n v="1244.1799999999998"/>
    <n v="4215.2630307277777"/>
    <n v="32.251290424324843"/>
    <n v="2.5801032339459877"/>
    <n v="1.0320412935783951"/>
    <n v="16.098583550000001"/>
    <n v="6.0852645819000015"/>
    <n v="140.64540295111109"/>
    <n v="3.8329960833333336"/>
    <n v="202.52568211819366"/>
    <n v="38.841026977777773"/>
    <n v="9.3269571361111101"/>
    <n v="0.78576419708333334"/>
    <n v="0.95824902083333341"/>
    <n v="5.9624383518518513"/>
    <n v="21.120536688422504"/>
    <n v="76.9949723720799"/>
    <n v="0"/>
    <n v="0"/>
    <n v="0"/>
    <n v="0"/>
    <n v="76.9949723720799"/>
    <n v="92.100763771570698"/>
    <n v="0"/>
    <n v="0"/>
    <n v="0"/>
    <n v="0"/>
    <n v="92.100763771570698"/>
    <n v="9186.4797489896209"/>
    <n v="381.16095106452326"/>
    <n v="320.1751988941997"/>
    <n v="8.6609686609686695E-2"/>
    <n v="1.880341880341882E-2"/>
    <n v="0.03"/>
    <n v="3.4188034188034219E-2"/>
    <n v="0.1225"/>
    <n v="0.13960113960113973"/>
    <n v="1380.3503676594567"/>
    <n v="2081.6865176181796"/>
    <n v="11268.166266607801"/>
    <n v="135217.9951992936"/>
    <d v="2025-01-01T00:00:00"/>
    <s v="-"/>
    <s v="-"/>
  </r>
  <r>
    <s v="1.479.43"/>
    <x v="96"/>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0"/>
    <n v="0"/>
    <n v="0"/>
    <n v="3.36"/>
    <n v="0"/>
    <n v="723.5557"/>
    <n v="1991.80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398.9087890732853"/>
    <n v="381.16095106452326"/>
    <n v="320.1751988941997"/>
    <n v="8.6609686609686695E-2"/>
    <n v="1.880341880341882E-2"/>
    <n v="0.03"/>
    <n v="3.4188034188034219E-2"/>
    <n v="0.1225"/>
    <n v="0.13960113960113973"/>
    <n v="712.00000573381374"/>
    <n v="1413.3361556925365"/>
    <n v="5812.2449447658219"/>
    <n v="69746.939337189862"/>
    <d v="2025-01-01T00:00:00"/>
    <s v="-"/>
    <s v="-"/>
  </r>
  <r>
    <s v="1.479.45"/>
    <x v="96"/>
    <x v="4"/>
    <s v="Regiao de Sao Lourenco"/>
    <s v="Apoio"/>
    <x v="0"/>
    <n v="3"/>
    <n v="0"/>
    <n v="10191.391500000002"/>
    <n v="0"/>
    <n v="0"/>
    <n v="0"/>
    <n v="0"/>
    <n v="0"/>
    <n v="0"/>
    <n v="0"/>
    <n v="10191.391500000002"/>
    <n v="2038.2783000000004"/>
    <n v="152.87087250000002"/>
    <n v="101.913915"/>
    <n v="20.382783000000003"/>
    <n v="254.78478750000005"/>
    <n v="815.31132000000002"/>
    <n v="407.65566000000001"/>
    <n v="61.14834900000001"/>
    <n v="3852.3459870000006"/>
    <n v="849.28262499999994"/>
    <n v="1132.3768333333333"/>
    <n v="749.06727525000019"/>
    <n v="2730.726733583333"/>
    <n v="156.51650999999998"/>
    <n v="1746"/>
    <n v="0"/>
    <n v="0"/>
    <n v="0"/>
    <n v="0"/>
    <n v="10.08"/>
    <n v="0"/>
    <n v="1912.5965100000003"/>
    <n v="8495.6692305833349"/>
    <n v="71.459662352141208"/>
    <n v="5.7167729881712974"/>
    <n v="2.2867091952685192"/>
    <n v="35.66987025000001"/>
    <n v="13.483210954500006"/>
    <n v="311.63010453333334"/>
    <n v="8.492826250000002"/>
    <n v="448.73915652341435"/>
    <n v="86.060639333333327"/>
    <n v="20.665877208333335"/>
    <n v="1.7410293812500002"/>
    <n v="2.1232065625000005"/>
    <n v="13.211063055555556"/>
    <n v="46.797086274487512"/>
    <n v="170.5989018154597"/>
    <n v="0"/>
    <n v="0"/>
    <n v="0"/>
    <n v="0"/>
    <n v="170.5989018154597"/>
    <n v="169.92893688763019"/>
    <n v="0"/>
    <n v="0"/>
    <n v="0"/>
    <n v="0"/>
    <n v="169.92893688763019"/>
    <n v="19476.327725809839"/>
    <n v="1143.4828531935698"/>
    <n v="960.52559668259914"/>
    <n v="8.6609686609686695E-2"/>
    <n v="1.880341880341882E-2"/>
    <n v="0.03"/>
    <n v="3.4188034188034219E-2"/>
    <n v="0.1225"/>
    <n v="0.13960113960113973"/>
    <n v="3012.6395231014681"/>
    <n v="5116.6479729776365"/>
    <n v="24592.975698787479"/>
    <n v="295115.70838544972"/>
    <d v="2025-01-01T00:00:00"/>
    <s v="-"/>
    <s v="-"/>
  </r>
  <r>
    <s v="1.480.35"/>
    <x v="97"/>
    <x v="6"/>
    <s v="Rodoviarios de Patos de Minas + SEAC-MG"/>
    <s v="Apoio"/>
    <x v="0"/>
    <n v="2"/>
    <n v="0"/>
    <n v="9116.1419999999998"/>
    <n v="0"/>
    <n v="0"/>
    <n v="0"/>
    <n v="0"/>
    <n v="0"/>
    <n v="0"/>
    <n v="0"/>
    <n v="9116.1419999999998"/>
    <n v="1823.2284"/>
    <n v="136.74213"/>
    <n v="91.161420000000007"/>
    <n v="18.232284"/>
    <n v="227.90355"/>
    <n v="729.29136000000005"/>
    <n v="364.64568000000003"/>
    <n v="54.696852"/>
    <n v="3445.9016760000004"/>
    <n v="759.67849999999999"/>
    <n v="1012.9046666666666"/>
    <n v="670.03643700000009"/>
    <n v="2442.6196036666665"/>
    <n v="0"/>
    <n v="1156.8"/>
    <n v="0"/>
    <n v="45.04"/>
    <n v="0"/>
    <n v="0"/>
    <n v="6.72"/>
    <n v="1324.84"/>
    <n v="2533.3999999999996"/>
    <n v="8421.921279666667"/>
    <n v="63.920263417824074"/>
    <n v="5.113621073425926"/>
    <n v="2.0454484293703707"/>
    <n v="31.906497000000005"/>
    <n v="12.060655866000003"/>
    <n v="278.7513642666666"/>
    <n v="7.5967850000000006"/>
    <n v="401.394635053287"/>
    <n v="76.980754666666655"/>
    <n v="18.485510166666664"/>
    <n v="1.5573409249999999"/>
    <n v="1.8991962500000001"/>
    <n v="11.817221111111111"/>
    <n v="41.859728739150007"/>
    <n v="152.59975185859446"/>
    <n v="0"/>
    <n v="0"/>
    <n v="0"/>
    <n v="0"/>
    <n v="152.59975185859446"/>
    <n v="184.2015275431414"/>
    <n v="0"/>
    <n v="0"/>
    <n v="0"/>
    <n v="0"/>
    <n v="184.2015275431414"/>
    <n v="18276.259194121689"/>
    <n v="762.32190212904652"/>
    <n v="640.35039778839939"/>
    <n v="8.5633802816901458E-2"/>
    <n v="1.8591549295774657E-2"/>
    <n v="0.02"/>
    <n v="2.2535211267605645E-2"/>
    <n v="0.1125"/>
    <n v="0.12676056338028174"/>
    <n v="2494.5124429063703"/>
    <n v="3897.1847428238161"/>
    <n v="22173.443936945507"/>
    <n v="266081.32724334608"/>
    <d v="2025-01-01T00:00:00"/>
    <s v="-"/>
    <s v="-"/>
  </r>
  <r>
    <s v="1.480.45"/>
    <x v="97"/>
    <x v="4"/>
    <s v="Regiao Uberaba"/>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1.86"/>
    <n v="0"/>
    <n v="0"/>
    <n v="3.36"/>
    <n v="0"/>
    <n v="689.39217000000008"/>
    <n v="2883.7497435277783"/>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3.9692419366129"/>
    <n v="381.16095106452326"/>
    <n v="320.1751988941997"/>
    <n v="8.5633802816901458E-2"/>
    <n v="1.8591549295774657E-2"/>
    <n v="0.02"/>
    <n v="2.2535211267605645E-2"/>
    <n v="0.1125"/>
    <n v="0.12676056338028174"/>
    <n v="918.41899333884578"/>
    <n v="1619.7551432975688"/>
    <n v="8163.7243852341817"/>
    <n v="97964.69262281018"/>
    <d v="2025-01-01T00:00:00"/>
    <s v="-"/>
    <s v="-"/>
  </r>
  <r>
    <s v="1.486.43"/>
    <x v="98"/>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8629737609329504E-2"/>
    <n v="1.9241982507288629E-2"/>
    <n v="0.05"/>
    <n v="5.8309037900874633E-2"/>
    <n v="0.14250000000000002"/>
    <n v="0.16618075801749277"/>
    <n v="850.06869143121287"/>
    <n v="1551.4048413899359"/>
    <n v="5965.394325833071"/>
    <n v="71584.731909996859"/>
    <d v="2025-01-01T00:00:00"/>
    <s v="-"/>
    <s v="-"/>
  </r>
  <r>
    <s v="1.210.13"/>
    <x v="99"/>
    <x v="3"/>
    <s v="Fethemg RM"/>
    <s v="Apoio"/>
    <x v="0"/>
    <n v="2"/>
    <n v="0"/>
    <n v="3298.2305999999999"/>
    <n v="0"/>
    <n v="0"/>
    <n v="0"/>
    <n v="0"/>
    <n v="0"/>
    <n v="0"/>
    <n v="0"/>
    <n v="3298.2305999999999"/>
    <n v="659.64612"/>
    <n v="49.473458999999998"/>
    <n v="32.982306000000001"/>
    <n v="6.5964612000000002"/>
    <n v="82.455765"/>
    <n v="263.85844800000001"/>
    <n v="131.929224"/>
    <n v="19.789383600000001"/>
    <n v="1246.7311668000002"/>
    <n v="274.85254999999995"/>
    <n v="366.47006666666664"/>
    <n v="242.4199491"/>
    <n v="883.74256576666653"/>
    <n v="314.10616400000004"/>
    <n v="1164"/>
    <n v="0"/>
    <n v="0"/>
    <n v="30.14"/>
    <n v="0"/>
    <n v="6.72"/>
    <n v="0"/>
    <n v="1514.9661640000002"/>
    <n v="3645.4398965666669"/>
    <n v="23.126424398032405"/>
    <n v="1.8501139518425926"/>
    <n v="0.74004558073703719"/>
    <n v="11.5438071"/>
    <n v="4.3635590838000011"/>
    <n v="100.85256234666664"/>
    <n v="2.7485255"/>
    <n v="145.22503796107867"/>
    <n v="27.851725066666663"/>
    <n v="6.6880787166666664"/>
    <n v="0.56344772749999994"/>
    <n v="0.68713137499999999"/>
    <n v="4.275484111111111"/>
    <n v="15.144897724845002"/>
    <n v="55.210764721789438"/>
    <n v="0"/>
    <n v="0"/>
    <n v="0"/>
    <n v="0"/>
    <n v="55.210764721789438"/>
    <n v="112.28342732397984"/>
    <n v="0"/>
    <n v="0"/>
    <n v="0"/>
    <n v="0"/>
    <n v="112.28342732397984"/>
    <n v="7256.3897265735141"/>
    <n v="762.32190212904652"/>
    <n v="640.35039778839939"/>
    <n v="8.6314593980692772E-2"/>
    <n v="1.8739352640545163E-2"/>
    <n v="2.7000000000000003E-2"/>
    <n v="3.0664395229982992E-2"/>
    <n v="0.1195"/>
    <n v="0.13571834185122092"/>
    <n v="1175.1935402222257"/>
    <n v="2577.8658401396715"/>
    <n v="9834.2555667131855"/>
    <n v="118011.06680055823"/>
    <d v="2025-01-01T00:00:00"/>
    <s v="-"/>
    <s v="-"/>
  </r>
  <r>
    <s v="1.210.45"/>
    <x v="99"/>
    <x v="4"/>
    <s v="Fethemg RM"/>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0"/>
    <n v="15.07"/>
    <n v="0"/>
    <n v="3.36"/>
    <n v="0"/>
    <n v="652.60216400000013"/>
    <n v="2846.9598021222228"/>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07.1794066081284"/>
    <n v="381.16095106452326"/>
    <n v="320.1751988941997"/>
    <n v="8.6314593980692772E-2"/>
    <n v="1.8739352640545163E-2"/>
    <n v="2.7000000000000003E-2"/>
    <n v="3.0664395229982992E-2"/>
    <n v="0.1195"/>
    <n v="0.13571834185122092"/>
    <n v="978.32777854598396"/>
    <n v="1679.6639285047067"/>
    <n v="8186.8433351128351"/>
    <n v="98242.120021354029"/>
    <d v="2025-01-01T00:00:00"/>
    <s v="-"/>
    <s v="-"/>
  </r>
  <r>
    <s v="1.508.44"/>
    <x v="100"/>
    <x v="7"/>
    <s v="Regiao de Ouro Preto"/>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0"/>
    <n v="0"/>
    <n v="0"/>
    <n v="3.36"/>
    <n v="0"/>
    <n v="702.38621799999999"/>
    <n v="2198.54192477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12.1735182622697"/>
    <n v="381.16095106452326"/>
    <n v="320.1751988941997"/>
    <n v="8.6609686609686695E-2"/>
    <n v="1.880341880341882E-2"/>
    <n v="0.03"/>
    <n v="3.4188034188034219E-2"/>
    <n v="0.1225"/>
    <n v="0.13960113960113973"/>
    <n v="755.73211892543839"/>
    <n v="1457.0682688841612"/>
    <n v="6169.2417871464313"/>
    <n v="74030.901445757176"/>
    <d v="2025-01-01T00:00:00"/>
    <s v="-"/>
    <s v="-"/>
  </r>
  <r>
    <s v="1.512.45"/>
    <x v="101"/>
    <x v="4"/>
    <s v="Sethac Norte de Minas"/>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86"/>
    <n v="0"/>
    <n v="0"/>
    <n v="3.36"/>
    <n v="0"/>
    <n v="689.39216400000009"/>
    <n v="2883.7498021222227"/>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9694066081274"/>
    <n v="381.16095106452326"/>
    <n v="320.1751988941997"/>
    <n v="8.6609686609686695E-2"/>
    <n v="1.880341880341882E-2"/>
    <n v="0.03"/>
    <n v="3.4188034188034219E-2"/>
    <n v="0.1225"/>
    <n v="0.13960113960113973"/>
    <n v="1011.4529124552023"/>
    <n v="1712.7890624139252"/>
    <n v="8256.7584690220519"/>
    <n v="99081.101628264616"/>
    <d v="2025-01-01T00:00:00"/>
    <s v="-"/>
    <s v="-"/>
  </r>
  <r>
    <s v="1.514.44"/>
    <x v="102"/>
    <x v="7"/>
    <s v="Regiao de Divinopolis"/>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582"/>
    <n v="0"/>
    <n v="0"/>
    <n v="0"/>
    <n v="0"/>
    <n v="3.36"/>
    <n v="0"/>
    <n v="702.386482"/>
    <n v="2198.5393466166665"/>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712.1662727156063"/>
    <n v="381.16095106452326"/>
    <n v="320.1751988941997"/>
    <n v="8.5633802816901458E-2"/>
    <n v="1.8591549295774657E-2"/>
    <n v="0.02"/>
    <n v="2.2535211267605645E-2"/>
    <n v="0.1125"/>
    <n v="0.12676056338028174"/>
    <n v="686.21861695871803"/>
    <n v="1387.5547669174409"/>
    <n v="6099.7210396330474"/>
    <n v="73196.652475596566"/>
    <d v="2025-01-01T00:00:00"/>
    <s v="-"/>
    <s v="-"/>
  </r>
  <r>
    <s v="1.517.13"/>
    <x v="103"/>
    <x v="3"/>
    <s v="Regiao de Sao Lourenco"/>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0"/>
    <n v="0"/>
    <n v="3.36"/>
    <n v="0"/>
    <n v="745.583572"/>
    <n v="1776.68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26.1099646554144"/>
    <n v="381.16095106452326"/>
    <n v="320.1751988941997"/>
    <n v="8.6609686609686695E-2"/>
    <n v="1.880341880341882E-2"/>
    <n v="0.03"/>
    <n v="3.4188034188034219E-2"/>
    <n v="0.1225"/>
    <n v="0.13960113960113973"/>
    <n v="590.15629520254402"/>
    <n v="1291.4924451612669"/>
    <n v="4817.6024098166818"/>
    <n v="57811.228917800181"/>
    <d v="2025-01-01T00:00:00"/>
    <s v="-"/>
    <s v="-"/>
  </r>
  <r>
    <s v="1.518.13"/>
    <x v="104"/>
    <x v="3"/>
    <s v="SETHPC - Pocos de Caldas"/>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1.86"/>
    <n v="0"/>
    <n v="0"/>
    <n v="3.36"/>
    <n v="0"/>
    <n v="797.44357200000002"/>
    <n v="1828.54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77.9699646554141"/>
    <n v="381.16095106452326"/>
    <n v="320.1751988941997"/>
    <n v="8.8629737609329504E-2"/>
    <n v="1.9241982507288629E-2"/>
    <n v="0.05"/>
    <n v="5.8309037900874633E-2"/>
    <n v="0.14250000000000002"/>
    <n v="0.16618075801749277"/>
    <n v="711.13833391546916"/>
    <n v="1412.4744838741922"/>
    <n v="4990.4444485296062"/>
    <n v="59885.333382355275"/>
    <d v="2025-01-01T00:00:00"/>
    <s v="-"/>
    <s v="-"/>
  </r>
  <r>
    <s v="1.518.35"/>
    <x v="104"/>
    <x v="6"/>
    <s v="Rodoviarios de Pocos de Caldas + SEAC-MG"/>
    <s v="Apoio"/>
    <x v="0"/>
    <n v="1"/>
    <n v="0"/>
    <n v="4599.5953"/>
    <n v="0"/>
    <n v="0"/>
    <n v="0"/>
    <n v="0"/>
    <n v="0"/>
    <n v="0"/>
    <n v="0"/>
    <n v="4599.5953"/>
    <n v="919.91906000000006"/>
    <n v="68.993929499999993"/>
    <n v="45.995953"/>
    <n v="9.1991905999999997"/>
    <n v="114.98988250000001"/>
    <n v="367.967624"/>
    <n v="183.983812"/>
    <n v="27.597571800000001"/>
    <n v="1738.6470234000003"/>
    <n v="383.29960833333331"/>
    <n v="511.06614444444443"/>
    <n v="338.07025455000002"/>
    <n v="1232.4360073277778"/>
    <n v="0"/>
    <n v="578.4"/>
    <n v="0"/>
    <n v="0"/>
    <n v="0"/>
    <n v="0"/>
    <n v="3.36"/>
    <n v="662.42"/>
    <n v="1244.1799999999998"/>
    <n v="4215.2630307277777"/>
    <n v="32.251290424324843"/>
    <n v="2.5801032339459877"/>
    <n v="1.0320412935783951"/>
    <n v="16.098583550000001"/>
    <n v="6.0852645819000015"/>
    <n v="140.64540295111109"/>
    <n v="3.8329960833333336"/>
    <n v="202.52568211819366"/>
    <n v="38.841026977777773"/>
    <n v="9.3269571361111101"/>
    <n v="0.78576419708333334"/>
    <n v="0.95824902083333341"/>
    <n v="5.9624383518518513"/>
    <n v="21.120536688422504"/>
    <n v="76.9949723720799"/>
    <n v="0"/>
    <n v="0"/>
    <n v="0"/>
    <n v="0"/>
    <n v="76.9949723720799"/>
    <n v="92.100763771570698"/>
    <n v="0"/>
    <n v="0"/>
    <n v="0"/>
    <n v="0"/>
    <n v="92.100763771570698"/>
    <n v="9186.4797489896209"/>
    <n v="381.16095106452326"/>
    <n v="320.1751988941997"/>
    <n v="8.8629737609329504E-2"/>
    <n v="1.9241982507288629E-2"/>
    <n v="0.05"/>
    <n v="5.8309037900874633E-2"/>
    <n v="0.14250000000000002"/>
    <n v="0.16618075801749277"/>
    <n v="1643.1647412246525"/>
    <n v="2344.5008911833756"/>
    <n v="11530.980640172997"/>
    <n v="138371.76768207597"/>
    <d v="2025-01-01T00:00:00"/>
    <s v="-"/>
    <s v="-"/>
  </r>
  <r>
    <s v="3.518.35"/>
    <x v="104"/>
    <x v="6"/>
    <s v="Rodoviarios de Pocos de Caldas + SEAC-MG"/>
    <s v="Apoio"/>
    <x v="1"/>
    <n v="1"/>
    <n v="0"/>
    <n v="4599.5953"/>
    <n v="0"/>
    <n v="0"/>
    <n v="0"/>
    <n v="0"/>
    <n v="0"/>
    <n v="0"/>
    <n v="0"/>
    <n v="4599.5953"/>
    <n v="919.91906000000006"/>
    <n v="68.993929499999993"/>
    <n v="45.995953"/>
    <n v="9.1991905999999997"/>
    <n v="114.98988250000001"/>
    <n v="367.967624"/>
    <n v="183.983812"/>
    <n v="27.597571800000001"/>
    <n v="1738.6470234000003"/>
    <n v="383.29960833333331"/>
    <n v="511.06614444444443"/>
    <n v="338.07025455000002"/>
    <n v="1232.4360073277778"/>
    <n v="0"/>
    <n v="578.4"/>
    <n v="0"/>
    <n v="0"/>
    <n v="0"/>
    <n v="0"/>
    <n v="3.36"/>
    <n v="662.42"/>
    <n v="1244.1799999999998"/>
    <n v="4215.2630307277777"/>
    <n v="32.251290424324843"/>
    <n v="2.5801032339459877"/>
    <n v="1.0320412935783951"/>
    <n v="16.098583550000001"/>
    <n v="6.0852645819000015"/>
    <n v="140.64540295111109"/>
    <n v="3.8329960833333336"/>
    <n v="202.52568211819366"/>
    <n v="38.841026977777773"/>
    <n v="9.3269571361111101"/>
    <n v="0.78576419708333334"/>
    <n v="0.95824902083333341"/>
    <n v="5.9624383518518513"/>
    <n v="21.120536688422504"/>
    <n v="76.9949723720799"/>
    <n v="0"/>
    <n v="0"/>
    <n v="0"/>
    <n v="0"/>
    <n v="76.9949723720799"/>
    <n v="92.100763771570698"/>
    <n v="0"/>
    <n v="0"/>
    <n v="0"/>
    <n v="0"/>
    <n v="92.100763771570698"/>
    <n v="9186.4797489896209"/>
    <n v="381.16095106452326"/>
    <n v="320.1751988941997"/>
    <n v="8.8629737609329504E-2"/>
    <n v="1.9241982507288629E-2"/>
    <n v="0.05"/>
    <n v="5.8309037900874633E-2"/>
    <n v="0.14250000000000002"/>
    <n v="0.16618075801749277"/>
    <n v="1643.1647412246525"/>
    <n v="2344.5008911833756"/>
    <n v="11530.980640172997"/>
    <n v="138371.76768207597"/>
    <d v="2025-01-01T00:00:00"/>
    <s v="-"/>
    <s v="-"/>
  </r>
  <r>
    <s v="1.520.43"/>
    <x v="105"/>
    <x v="2"/>
    <s v="Curvelo"/>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5633802816901458E-2"/>
    <n v="1.8591549295774657E-2"/>
    <n v="0.02"/>
    <n v="2.2535211267605645E-2"/>
    <n v="0.1125"/>
    <n v="0.12676056338028174"/>
    <n v="646.51127760023576"/>
    <n v="1347.8474275589588"/>
    <n v="5746.7669120020937"/>
    <n v="68961.202944025121"/>
    <d v="2025-01-01T00:00:00"/>
    <s v="-"/>
    <s v="-"/>
  </r>
  <r>
    <s v="1.521.27"/>
    <x v="106"/>
    <x v="59"/>
    <s v="Regiao de Ouro Preto"/>
    <s v="Apoio"/>
    <x v="0"/>
    <n v="1"/>
    <n v="0"/>
    <n v="2087.4324000000001"/>
    <n v="0"/>
    <n v="303.60000000000002"/>
    <n v="0"/>
    <n v="0"/>
    <n v="0"/>
    <n v="0"/>
    <n v="0"/>
    <n v="2391.0324000000001"/>
    <n v="478.20648000000006"/>
    <n v="35.865485999999997"/>
    <n v="23.910324000000003"/>
    <n v="4.7820648000000006"/>
    <n v="59.775810000000007"/>
    <n v="191.28259200000002"/>
    <n v="95.641296000000011"/>
    <n v="14.3461944"/>
    <n v="903.81024720000005"/>
    <n v="199.2527"/>
    <n v="265.67026666666663"/>
    <n v="175.74088139999998"/>
    <n v="640.66384806666656"/>
    <n v="130.75405599999999"/>
    <n v="582"/>
    <n v="0"/>
    <n v="0"/>
    <n v="0"/>
    <n v="0"/>
    <n v="3.36"/>
    <n v="0"/>
    <n v="716.11405600000001"/>
    <n v="2260.5881512666665"/>
    <n v="16.765362019212965"/>
    <n v="1.3412289615370372"/>
    <n v="0.53649158461481494"/>
    <n v="8.368613400000001"/>
    <n v="3.163335865200001"/>
    <n v="73.112457386666662"/>
    <n v="1.9925270000000002"/>
    <n v="105.28001621723148"/>
    <n v="20.190940266666665"/>
    <n v="4.8484823666666665"/>
    <n v="0.40846803500000001"/>
    <n v="0.49813175000000004"/>
    <n v="3.0994864444444445"/>
    <n v="10.979202350130002"/>
    <n v="40.024711212907775"/>
    <n v="0"/>
    <n v="0"/>
    <n v="0"/>
    <n v="0"/>
    <n v="40.024711212907775"/>
    <n v="253.83572732312174"/>
    <n v="441.81099462365592"/>
    <n v="113.11309677419354"/>
    <n v="0"/>
    <n v="0"/>
    <n v="808.75981872097123"/>
    <n v="5605.6850974177778"/>
    <n v="381.16095106452326"/>
    <n v="320.1751988941997"/>
    <n v="8.6609686609686695E-2"/>
    <n v="1.880341880341882E-2"/>
    <n v="0.03"/>
    <n v="3.4188034188034219E-2"/>
    <n v="0.1225"/>
    <n v="0.13960113960113973"/>
    <n v="880.46735362236132"/>
    <n v="1581.8035035810842"/>
    <n v="7187.4886009988622"/>
    <n v="86249.863211986347"/>
    <d v="2025-01-01T00:00:00"/>
    <s v="-"/>
    <s v="-"/>
  </r>
  <r>
    <s v="1.521.29"/>
    <x v="106"/>
    <x v="1"/>
    <s v="Regiao de Ouro Preto"/>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0"/>
    <n v="0"/>
    <n v="0"/>
    <n v="3.36"/>
    <n v="0"/>
    <n v="703.58945800000004"/>
    <n v="2382.9001282166664"/>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196.62072732312174"/>
    <n v="441.81099462365592"/>
    <n v="113.11309677419354"/>
    <n v="0"/>
    <n v="0"/>
    <n v="751.54481872097119"/>
    <n v="5892.210852117626"/>
    <n v="381.16095106452326"/>
    <n v="320.1751988941997"/>
    <n v="8.6609686609686695E-2"/>
    <n v="1.880341880341882E-2"/>
    <n v="0.03"/>
    <n v="3.4188034188034219E-2"/>
    <n v="0.1225"/>
    <n v="0.13960113960113973"/>
    <n v="920.46667550353675"/>
    <n v="1621.8028254622595"/>
    <n v="7514.0136775798856"/>
    <n v="90168.164130958627"/>
    <d v="2025-01-01T00:00:00"/>
    <s v="-"/>
    <s v="-"/>
  </r>
  <r>
    <s v="1.521.42"/>
    <x v="106"/>
    <x v="42"/>
    <s v="Regiao de Ouro Preto"/>
    <s v="Apoio"/>
    <x v="0"/>
    <n v="2"/>
    <n v="0"/>
    <n v="3926.8220000000001"/>
    <n v="0"/>
    <n v="0"/>
    <n v="791.25459999999998"/>
    <n v="0"/>
    <n v="0"/>
    <n v="0"/>
    <n v="0"/>
    <n v="4718.0766000000003"/>
    <n v="943.61532000000011"/>
    <n v="70.771149000000008"/>
    <n v="47.180766000000006"/>
    <n v="9.4361532000000015"/>
    <n v="117.95191500000001"/>
    <n v="377.44612800000004"/>
    <n v="188.72306400000002"/>
    <n v="28.308459600000003"/>
    <n v="1783.4329548000005"/>
    <n v="393.17304999999999"/>
    <n v="524.23073333333332"/>
    <n v="346.77863010000004"/>
    <n v="1264.1824134333333"/>
    <n v="276.39067999999997"/>
    <n v="1164"/>
    <n v="0"/>
    <n v="0"/>
    <n v="0"/>
    <n v="0"/>
    <n v="6.72"/>
    <n v="0"/>
    <n v="1447.11068"/>
    <n v="4494.726048233334"/>
    <n v="33.082053690856483"/>
    <n v="2.6465642952685191"/>
    <n v="1.0586257181074077"/>
    <n v="16.513268100000005"/>
    <n v="6.2420153418000019"/>
    <n v="144.26829781333333"/>
    <n v="3.9317305000000005"/>
    <n v="207.74255545936575"/>
    <n v="39.84153573333333"/>
    <n v="9.5672108833333329"/>
    <n v="0.80600475250000003"/>
    <n v="0.98293262500000012"/>
    <n v="6.1160252222222224"/>
    <n v="21.664582083795004"/>
    <n v="78.978291300183884"/>
    <n v="522.35848681753384"/>
    <n v="522.35848681753384"/>
    <n v="0"/>
    <n v="0"/>
    <n v="601.3367781177177"/>
    <n v="113.28595792508679"/>
    <n v="0"/>
    <n v="0"/>
    <n v="0"/>
    <n v="0"/>
    <n v="113.28595792508679"/>
    <n v="10135.167939735506"/>
    <n v="762.32190212904652"/>
    <n v="640.35039778839939"/>
    <n v="8.6609686609686695E-2"/>
    <n v="1.880341880341882E-2"/>
    <n v="0.03"/>
    <n v="3.4188034188034219E-2"/>
    <n v="0.1225"/>
    <n v="0.13960113960113973"/>
    <n v="1610.6956459914391"/>
    <n v="3013.3679459088848"/>
    <n v="13148.535885644391"/>
    <n v="157782.43062773268"/>
    <d v="2025-01-01T00:00:00"/>
    <s v="-"/>
    <s v="-"/>
  </r>
  <r>
    <s v="1.521.43"/>
    <x v="106"/>
    <x v="2"/>
    <s v="Regiao de Ouro Preto"/>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6609686609686695E-2"/>
    <n v="1.880341880341882E-2"/>
    <n v="0.03"/>
    <n v="3.4188034188034219E-2"/>
    <n v="0.1225"/>
    <n v="0.13960113960113973"/>
    <n v="712.00149881963318"/>
    <n v="1413.3376487783562"/>
    <n v="5812.2571332214911"/>
    <n v="69747.085598657897"/>
    <d v="2025-01-01T00:00:00"/>
    <s v="-"/>
    <s v="-"/>
  </r>
  <r>
    <s v="1.525.35"/>
    <x v="107"/>
    <x v="6"/>
    <s v="Rodoviarios de Pouso Alegre + SEAC-MG"/>
    <s v="Apoio"/>
    <x v="0"/>
    <n v="1"/>
    <n v="0"/>
    <n v="4558.0709999999999"/>
    <n v="0"/>
    <n v="0"/>
    <n v="0"/>
    <n v="0"/>
    <n v="0"/>
    <n v="0"/>
    <n v="0"/>
    <n v="4558.0709999999999"/>
    <n v="911.61419999999998"/>
    <n v="68.371065000000002"/>
    <n v="45.580710000000003"/>
    <n v="9.116142"/>
    <n v="113.951775"/>
    <n v="364.64568000000003"/>
    <n v="182.32284000000001"/>
    <n v="27.348426"/>
    <n v="1722.9508380000002"/>
    <n v="379.83924999999999"/>
    <n v="506.45233333333329"/>
    <n v="335.01821850000005"/>
    <n v="1221.3098018333333"/>
    <n v="0"/>
    <n v="578.4"/>
    <n v="0"/>
    <n v="0"/>
    <n v="0"/>
    <n v="0"/>
    <n v="3.36"/>
    <n v="662.42"/>
    <n v="1244.1799999999998"/>
    <n v="4188.440639833334"/>
    <n v="31.960131708912037"/>
    <n v="2.556810536712963"/>
    <n v="1.0227242146851854"/>
    <n v="15.953248500000003"/>
    <n v="6.0303279330000015"/>
    <n v="139.3756821333333"/>
    <n v="3.7983925000000003"/>
    <n v="200.6973175266435"/>
    <n v="38.490377333333328"/>
    <n v="9.2427550833333321"/>
    <n v="0.77867046249999994"/>
    <n v="0.94959812500000007"/>
    <n v="5.9086105555555557"/>
    <n v="20.929864369575004"/>
    <n v="76.29987592929723"/>
    <n v="0"/>
    <n v="0"/>
    <n v="0"/>
    <n v="0"/>
    <n v="76.29987592929723"/>
    <n v="92.100763771570698"/>
    <n v="0"/>
    <n v="0"/>
    <n v="0"/>
    <n v="0"/>
    <n v="92.100763771570698"/>
    <n v="9115.609597060844"/>
    <n v="381.16095106452326"/>
    <n v="320.1751988941997"/>
    <n v="8.5633802816901458E-2"/>
    <n v="1.8591549295774657E-2"/>
    <n v="0.02"/>
    <n v="2.2535211267605645E-2"/>
    <n v="0.1125"/>
    <n v="0.12676056338028174"/>
    <n v="1244.4015735658611"/>
    <n v="1945.737723524584"/>
    <n v="11061.347320585428"/>
    <n v="132736.16784702515"/>
    <d v="2025-01-01T00:00:00"/>
    <s v="-"/>
    <s v="-"/>
  </r>
  <r>
    <s v="3.525.35"/>
    <x v="107"/>
    <x v="6"/>
    <s v="Rodoviarios de Pouso Alegre + SEAC-MG"/>
    <s v="Apoio"/>
    <x v="1"/>
    <n v="1"/>
    <n v="0"/>
    <n v="4558.0709999999999"/>
    <n v="0"/>
    <n v="0"/>
    <n v="0"/>
    <n v="0"/>
    <n v="0"/>
    <n v="0"/>
    <n v="0"/>
    <n v="4558.0709999999999"/>
    <n v="911.61419999999998"/>
    <n v="68.371065000000002"/>
    <n v="45.580710000000003"/>
    <n v="9.116142"/>
    <n v="113.951775"/>
    <n v="364.64568000000003"/>
    <n v="182.32284000000001"/>
    <n v="27.348426"/>
    <n v="1722.9508380000002"/>
    <n v="379.83924999999999"/>
    <n v="506.45233333333329"/>
    <n v="335.01821850000005"/>
    <n v="1221.3098018333333"/>
    <n v="0"/>
    <n v="578.4"/>
    <n v="0"/>
    <n v="0"/>
    <n v="0"/>
    <n v="0"/>
    <n v="3.36"/>
    <n v="662.42"/>
    <n v="1244.1799999999998"/>
    <n v="4188.440639833334"/>
    <n v="31.960131708912037"/>
    <n v="2.556810536712963"/>
    <n v="1.0227242146851854"/>
    <n v="15.953248500000003"/>
    <n v="6.0303279330000015"/>
    <n v="139.3756821333333"/>
    <n v="3.7983925000000003"/>
    <n v="200.6973175266435"/>
    <n v="38.490377333333328"/>
    <n v="9.2427550833333321"/>
    <n v="0.77867046249999994"/>
    <n v="0.94959812500000007"/>
    <n v="5.9086105555555557"/>
    <n v="20.929864369575004"/>
    <n v="76.29987592929723"/>
    <n v="0"/>
    <n v="0"/>
    <n v="0"/>
    <n v="0"/>
    <n v="76.29987592929723"/>
    <n v="92.100763771570698"/>
    <n v="0"/>
    <n v="0"/>
    <n v="0"/>
    <n v="0"/>
    <n v="92.100763771570698"/>
    <n v="9115.609597060844"/>
    <n v="381.16095106452326"/>
    <n v="320.1751988941997"/>
    <n v="8.5633802816901458E-2"/>
    <n v="1.8591549295774657E-2"/>
    <n v="0.02"/>
    <n v="2.2535211267605645E-2"/>
    <n v="0.1125"/>
    <n v="0.12676056338028174"/>
    <n v="1244.4015735658611"/>
    <n v="1945.737723524584"/>
    <n v="11061.347320585428"/>
    <n v="132736.16784702515"/>
    <d v="2025-01-01T00:00:00"/>
    <s v="-"/>
    <s v="-"/>
  </r>
  <r>
    <s v="1.525.43"/>
    <x v="107"/>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53.27"/>
    <n v="0"/>
    <n v="0"/>
    <n v="3.36"/>
    <n v="0"/>
    <n v="776.82569999999998"/>
    <n v="2045.07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452.1787890732849"/>
    <n v="381.16095106452326"/>
    <n v="320.1751988941997"/>
    <n v="8.5633802816901458E-2"/>
    <n v="1.8591549295774657E-2"/>
    <n v="0.02"/>
    <n v="2.2535211267605645E-2"/>
    <n v="0.1125"/>
    <n v="0.12676056338028174"/>
    <n v="653.2624570603956"/>
    <n v="1354.5986070191184"/>
    <n v="5806.7773960924033"/>
    <n v="69681.328753108843"/>
    <d v="2025-01-01T00:00:00"/>
    <s v="-"/>
    <s v="-"/>
  </r>
  <r>
    <s v="1.231.13"/>
    <x v="108"/>
    <x v="3"/>
    <s v="Sind - Asseio"/>
    <s v="Apoio"/>
    <x v="0"/>
    <n v="3"/>
    <n v="0"/>
    <n v="4947.3459000000003"/>
    <n v="0"/>
    <n v="0"/>
    <n v="0"/>
    <n v="0"/>
    <n v="0"/>
    <n v="0"/>
    <n v="0"/>
    <n v="4947.3459000000003"/>
    <n v="989.46918000000005"/>
    <n v="74.210188500000001"/>
    <n v="49.473459000000005"/>
    <n v="9.8946918000000004"/>
    <n v="123.68364750000001"/>
    <n v="395.78767200000004"/>
    <n v="197.89383600000002"/>
    <n v="29.684075400000001"/>
    <n v="1870.0967502000003"/>
    <n v="412.27882499999993"/>
    <n v="549.7050999999999"/>
    <n v="363.62992365000002"/>
    <n v="1325.6138486499999"/>
    <n v="471.15924600000005"/>
    <n v="1746"/>
    <n v="0"/>
    <n v="231.75"/>
    <n v="0"/>
    <n v="0"/>
    <n v="10.08"/>
    <n v="0"/>
    <n v="2458.9892460000001"/>
    <n v="5654.6998448499999"/>
    <n v="34.689636597048604"/>
    <n v="2.775170927763889"/>
    <n v="1.1100683711055557"/>
    <n v="17.31571065"/>
    <n v="6.5453386257000012"/>
    <n v="151.27884351999995"/>
    <n v="4.1227882500000002"/>
    <n v="217.837556941618"/>
    <n v="41.777587599999997"/>
    <n v="10.032118075"/>
    <n v="0.84517159124999997"/>
    <n v="1.0306970625"/>
    <n v="6.4132261666666661"/>
    <n v="22.717346587267503"/>
    <n v="82.816147082684154"/>
    <n v="0"/>
    <n v="0"/>
    <n v="0"/>
    <n v="0"/>
    <n v="82.816147082684154"/>
    <n v="168.42514098596976"/>
    <n v="0"/>
    <n v="0"/>
    <n v="0"/>
    <n v="0"/>
    <n v="168.42514098596976"/>
    <n v="11071.12458986027"/>
    <n v="1143.4828531935698"/>
    <n v="960.52559668259914"/>
    <n v="8.8629737609329504E-2"/>
    <n v="1.9241982507288629E-2"/>
    <n v="0.05"/>
    <n v="5.8309037900874633E-2"/>
    <n v="0.14250000000000002"/>
    <n v="0.16618075801749277"/>
    <n v="2189.4535955247156"/>
    <n v="4293.4620454008837"/>
    <n v="15364.586635261156"/>
    <n v="184375.03962313387"/>
    <d v="2025-01-01T00:00:00"/>
    <s v="-"/>
    <s v="-"/>
  </r>
  <r>
    <s v="1.231.31"/>
    <x v="108"/>
    <x v="33"/>
    <s v="Sind - Asseio"/>
    <s v="Apoio"/>
    <x v="0"/>
    <n v="1"/>
    <n v="0"/>
    <n v="2463.2934"/>
    <n v="0"/>
    <n v="0"/>
    <n v="0"/>
    <n v="0"/>
    <n v="0"/>
    <n v="0"/>
    <n v="0"/>
    <n v="2463.2934"/>
    <n v="492.65868"/>
    <n v="36.949401000000002"/>
    <n v="24.632934000000002"/>
    <n v="4.9265867999999999"/>
    <n v="61.582335"/>
    <n v="197.06347200000002"/>
    <n v="98.531736000000009"/>
    <n v="14.779760400000001"/>
    <n v="931.12490519999994"/>
    <n v="205.27445"/>
    <n v="273.69926666666663"/>
    <n v="181.05206489999995"/>
    <n v="660.02578156666664"/>
    <n v="108.20239599999999"/>
    <n v="582"/>
    <n v="0"/>
    <n v="77.25"/>
    <n v="0"/>
    <n v="0"/>
    <n v="3.36"/>
    <n v="0"/>
    <n v="770.81239600000004"/>
    <n v="2361.963082766667"/>
    <n v="17.272039312615743"/>
    <n v="1.3817631450092593"/>
    <n v="0.55270525800370385"/>
    <n v="8.621526900000001"/>
    <n v="3.258937168200001"/>
    <n v="75.32203818666666"/>
    <n v="2.0527445000000002"/>
    <n v="108.46175447049536"/>
    <n v="20.801144266666665"/>
    <n v="4.995011616666666"/>
    <n v="0.42081262250000001"/>
    <n v="0.51318612500000005"/>
    <n v="3.1931581111111109"/>
    <n v="11.311012216455001"/>
    <n v="41.234324958399441"/>
    <n v="0"/>
    <n v="0"/>
    <n v="0"/>
    <n v="0"/>
    <n v="41.234324958399441"/>
    <n v="98.712455192002366"/>
    <n v="0"/>
    <n v="0"/>
    <n v="0"/>
    <n v="0"/>
    <n v="98.712455192002366"/>
    <n v="5073.6650173875632"/>
    <n v="381.16095106452326"/>
    <n v="320.1751988941997"/>
    <n v="8.8629737609329504E-2"/>
    <n v="1.9241982507288629E-2"/>
    <n v="0.05"/>
    <n v="5.8309037900874633E-2"/>
    <n v="0.14250000000000002"/>
    <n v="0.16618075801749277"/>
    <n v="959.69407154151145"/>
    <n v="1661.0302215002343"/>
    <n v="6734.695238887798"/>
    <n v="80816.342866653576"/>
    <d v="2025-01-01T00:00:00"/>
    <s v="-"/>
    <s v="-"/>
  </r>
  <r>
    <s v="1.231.35"/>
    <x v="108"/>
    <x v="6"/>
    <s v="Rodoviarios de RMBH + SEAC-MG"/>
    <s v="Apoio"/>
    <x v="0"/>
    <n v="2"/>
    <n v="0"/>
    <n v="8931.2564000000002"/>
    <n v="0"/>
    <n v="0"/>
    <n v="0"/>
    <n v="0"/>
    <n v="0"/>
    <n v="0"/>
    <n v="0"/>
    <n v="8931.2564000000002"/>
    <n v="1786.2512800000002"/>
    <n v="133.96884599999998"/>
    <n v="89.312564000000009"/>
    <n v="17.862512800000001"/>
    <n v="223.28141000000002"/>
    <n v="714.50051200000007"/>
    <n v="357.25025600000004"/>
    <n v="53.5875384"/>
    <n v="3376.0149192000008"/>
    <n v="744.27136666666661"/>
    <n v="992.36182222222214"/>
    <n v="656.44734540000002"/>
    <n v="2393.0805342888889"/>
    <n v="0"/>
    <n v="1156.8"/>
    <n v="0"/>
    <n v="45.04"/>
    <n v="0"/>
    <n v="0"/>
    <n v="6.72"/>
    <n v="1324.84"/>
    <n v="2533.3999999999996"/>
    <n v="8302.4954534888893"/>
    <n v="62.623888673533955"/>
    <n v="5.0099110938827165"/>
    <n v="2.003964437553087"/>
    <n v="31.259397400000005"/>
    <n v="11.816052217200005"/>
    <n v="273.09797347555553"/>
    <n v="7.4427136666666671"/>
    <n v="393.25390096439202"/>
    <n v="75.419498488888877"/>
    <n v="18.110603255555557"/>
    <n v="1.5257563016666666"/>
    <n v="1.8606784166666668"/>
    <n v="11.577554592592593"/>
    <n v="41.010766418930011"/>
    <n v="149.50485747430037"/>
    <n v="0"/>
    <n v="0"/>
    <n v="0"/>
    <n v="0"/>
    <n v="149.50485747430037"/>
    <n v="184.2015275431414"/>
    <n v="0"/>
    <n v="0"/>
    <n v="0"/>
    <n v="0"/>
    <n v="184.2015275431414"/>
    <n v="17960.712139470721"/>
    <n v="762.32190212904652"/>
    <n v="640.35039778839939"/>
    <n v="8.8629737609329504E-2"/>
    <n v="1.9241982507288629E-2"/>
    <n v="0.05"/>
    <n v="5.8309037900874633E-2"/>
    <n v="0.14250000000000002"/>
    <n v="0.16618075801749277"/>
    <n v="3217.8219039216497"/>
    <n v="4620.4942038390955"/>
    <n v="22581.206343309816"/>
    <n v="270974.47611971782"/>
    <d v="2025-01-01T00:00:00"/>
    <s v="-"/>
    <s v="-"/>
  </r>
  <r>
    <s v="1.231.43"/>
    <x v="108"/>
    <x v="2"/>
    <s v="Sind - Asseio"/>
    <s v="Apoio"/>
    <x v="0"/>
    <n v="1"/>
    <n v="0"/>
    <n v="2134.8035"/>
    <n v="0"/>
    <n v="0"/>
    <n v="0"/>
    <n v="0"/>
    <n v="0"/>
    <n v="0"/>
    <n v="0"/>
    <n v="2134.8035"/>
    <n v="426.96070000000003"/>
    <n v="32.022052500000001"/>
    <n v="21.348034999999999"/>
    <n v="4.2696069999999997"/>
    <n v="53.370087500000004"/>
    <n v="170.78428"/>
    <n v="85.392139999999998"/>
    <n v="12.808821"/>
    <n v="806.95572300000003"/>
    <n v="177.90029166666665"/>
    <n v="237.20038888888888"/>
    <n v="156.90805724999998"/>
    <n v="572.00873780555548"/>
    <n v="127.91179"/>
    <n v="582"/>
    <n v="0"/>
    <n v="77.25"/>
    <n v="0"/>
    <n v="0"/>
    <n v="3.36"/>
    <n v="0"/>
    <n v="790.52179000000001"/>
    <n v="2169.4862508055558"/>
    <n v="14.968744680073302"/>
    <n v="1.1974995744058643"/>
    <n v="0.47899982976234579"/>
    <n v="7.471812250000001"/>
    <n v="2.8243450305000009"/>
    <n v="65.277547022222208"/>
    <n v="1.7790029166666668"/>
    <n v="93.997951303630387"/>
    <n v="18.027229555555554"/>
    <n v="4.3289070972222223"/>
    <n v="0.36469559791666667"/>
    <n v="0.44475072916666669"/>
    <n v="2.7673378703703704"/>
    <n v="9.802644081387502"/>
    <n v="35.735564931618981"/>
    <n v="291.10956680899955"/>
    <n v="291.10956680899955"/>
    <n v="0"/>
    <n v="0"/>
    <n v="326.84513174061851"/>
    <n v="56.642978962543395"/>
    <n v="0"/>
    <n v="0"/>
    <n v="0"/>
    <n v="0"/>
    <n v="56.642978962543395"/>
    <n v="4781.7758128123487"/>
    <n v="381.16095106452326"/>
    <n v="320.1751988941997"/>
    <n v="8.8629737609329504E-2"/>
    <n v="1.9241982507288629E-2"/>
    <n v="0.05"/>
    <n v="5.8309037900874633E-2"/>
    <n v="0.14250000000000002"/>
    <n v="0.16618075801749277"/>
    <n v="911.18770226807919"/>
    <n v="1612.5238522268021"/>
    <n v="6394.2996650391506"/>
    <n v="76731.595980469807"/>
    <d v="2025-01-01T00:00:00"/>
    <s v="-"/>
    <s v="-"/>
  </r>
  <r>
    <s v="1.231.45"/>
    <x v="108"/>
    <x v="4"/>
    <s v="Sind - Asseio"/>
    <s v="Apoio"/>
    <x v="0"/>
    <n v="2"/>
    <n v="0"/>
    <n v="6794.2611999999999"/>
    <n v="0"/>
    <n v="0"/>
    <n v="0"/>
    <n v="0"/>
    <n v="0"/>
    <n v="0"/>
    <n v="0"/>
    <n v="6794.2611999999999"/>
    <n v="1358.8522400000002"/>
    <n v="101.913918"/>
    <n v="67.942611999999997"/>
    <n v="13.5885224"/>
    <n v="169.85653000000002"/>
    <n v="543.54089599999998"/>
    <n v="271.77044799999999"/>
    <n v="40.7655672"/>
    <n v="2568.2307336000003"/>
    <n v="566.18843333333325"/>
    <n v="754.91791111111104"/>
    <n v="499.37819820000004"/>
    <n v="1820.4845426444444"/>
    <n v="104.34432800000002"/>
    <n v="1164"/>
    <n v="0"/>
    <n v="154.5"/>
    <n v="0"/>
    <n v="0"/>
    <n v="6.72"/>
    <n v="0"/>
    <n v="1429.5643280000002"/>
    <n v="5818.2796042444452"/>
    <n v="47.639776303780863"/>
    <n v="3.8111821043024694"/>
    <n v="1.5244728417209878"/>
    <n v="23.779914200000004"/>
    <n v="8.9888075676000021"/>
    <n v="207.75340913777774"/>
    <n v="5.661884333333334"/>
    <n v="299.15944648851541"/>
    <n v="57.373761244444438"/>
    <n v="13.777251877777777"/>
    <n v="1.1606862883333333"/>
    <n v="1.4154710833333335"/>
    <n v="8.8073756296296288"/>
    <n v="31.198058434690005"/>
    <n v="113.73260455820852"/>
    <n v="0"/>
    <n v="0"/>
    <n v="0"/>
    <n v="0"/>
    <n v="113.73260455820852"/>
    <n v="113.28595792508679"/>
    <n v="0"/>
    <n v="0"/>
    <n v="0"/>
    <n v="0"/>
    <n v="113.28595792508679"/>
    <n v="13138.718813216256"/>
    <n v="762.32190212904652"/>
    <n v="640.35039778839939"/>
    <n v="8.8629737609329504E-2"/>
    <n v="1.9241982507288629E-2"/>
    <n v="0.05"/>
    <n v="5.8309037900874633E-2"/>
    <n v="0.14250000000000002"/>
    <n v="0.16618075801749277"/>
    <n v="2416.4993978093912"/>
    <n v="3819.171697726837"/>
    <n v="16957.890510943093"/>
    <n v="203494.68613131711"/>
    <d v="2025-01-01T00:00:00"/>
    <s v="-"/>
    <s v="-"/>
  </r>
  <r>
    <s v="1.549.43"/>
    <x v="109"/>
    <x v="2"/>
    <s v="Regiao de Ouro Preto"/>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8629737609329504E-2"/>
    <n v="1.9241982507288629E-2"/>
    <n v="0.05"/>
    <n v="5.8309037900874633E-2"/>
    <n v="0.14250000000000002"/>
    <n v="0.16618075801749277"/>
    <n v="847.56434740788916"/>
    <n v="1548.9004973666119"/>
    <n v="5947.8199818097473"/>
    <n v="71373.839781716961"/>
    <d v="2025-01-01T00:00:00"/>
    <s v="-"/>
    <s v="-"/>
  </r>
  <r>
    <s v="1.555.43"/>
    <x v="110"/>
    <x v="2"/>
    <s v="Alto Paranaiba"/>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0"/>
    <n v="387.79"/>
    <n v="42.97"/>
    <n v="0"/>
    <n v="0"/>
    <n v="3.36"/>
    <n v="0"/>
    <n v="572.31569999999999"/>
    <n v="1840.5662519444445"/>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247.6687890732856"/>
    <n v="381.16095106452326"/>
    <n v="320.1751988941997"/>
    <n v="8.6609686609686695E-2"/>
    <n v="1.880341880341882E-2"/>
    <n v="0.03"/>
    <n v="3.4188034188034219E-2"/>
    <n v="0.1225"/>
    <n v="0.13960113960113973"/>
    <n v="690.88672938053742"/>
    <n v="1392.2228793392603"/>
    <n v="5639.8916684125461"/>
    <n v="67678.70002095055"/>
    <d v="2025-01-01T00:00:00"/>
    <s v="-"/>
    <s v="-"/>
  </r>
  <r>
    <s v="1.560.43"/>
    <x v="111"/>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6609686609686695E-2"/>
    <n v="1.880341880341882E-2"/>
    <n v="0.03"/>
    <n v="3.4188034188034219E-2"/>
    <n v="0.1225"/>
    <n v="0.13960113960113973"/>
    <n v="714.10528799342251"/>
    <n v="1415.4414379521454"/>
    <n v="5829.4309223952805"/>
    <n v="69953.171068743366"/>
    <d v="2025-01-01T00:00:00"/>
    <s v="-"/>
    <s v="-"/>
  </r>
  <r>
    <s v="1.567.43"/>
    <x v="112"/>
    <x v="2"/>
    <s v="Sind - Asseio"/>
    <s v="Apoio"/>
    <x v="0"/>
    <n v="1"/>
    <n v="0"/>
    <n v="2134.8035"/>
    <n v="0"/>
    <n v="0"/>
    <n v="0"/>
    <n v="0"/>
    <n v="0"/>
    <n v="0"/>
    <n v="0"/>
    <n v="2134.8035"/>
    <n v="426.96070000000003"/>
    <n v="32.022052500000001"/>
    <n v="21.348034999999999"/>
    <n v="4.2696069999999997"/>
    <n v="53.370087500000004"/>
    <n v="170.78428"/>
    <n v="85.392139999999998"/>
    <n v="12.808821"/>
    <n v="806.95572300000003"/>
    <n v="177.90029166666665"/>
    <n v="237.20038888888888"/>
    <n v="156.90805724999998"/>
    <n v="572.00873780555548"/>
    <n v="127.91179"/>
    <n v="582"/>
    <n v="0"/>
    <n v="77.25"/>
    <n v="0"/>
    <n v="0"/>
    <n v="3.36"/>
    <n v="0"/>
    <n v="790.52179000000001"/>
    <n v="2169.4862508055558"/>
    <n v="14.968744680073302"/>
    <n v="1.1974995744058643"/>
    <n v="0.47899982976234579"/>
    <n v="7.471812250000001"/>
    <n v="2.8243450305000009"/>
    <n v="65.277547022222208"/>
    <n v="1.7790029166666668"/>
    <n v="93.997951303630387"/>
    <n v="18.027229555555554"/>
    <n v="4.3289070972222223"/>
    <n v="0.36469559791666667"/>
    <n v="0.44475072916666669"/>
    <n v="2.7673378703703704"/>
    <n v="9.802644081387502"/>
    <n v="35.735564931618981"/>
    <n v="291.10956680899955"/>
    <n v="291.10956680899955"/>
    <n v="0"/>
    <n v="0"/>
    <n v="326.84513174061851"/>
    <n v="56.642978962543395"/>
    <n v="0"/>
    <n v="0"/>
    <n v="0"/>
    <n v="0"/>
    <n v="56.642978962543395"/>
    <n v="4781.7758128123487"/>
    <n v="381.16095106452326"/>
    <n v="320.1751988941997"/>
    <n v="8.5633802816901458E-2"/>
    <n v="1.8591549295774657E-2"/>
    <n v="0.02"/>
    <n v="2.2535211267605645E-2"/>
    <n v="0.1125"/>
    <n v="0.12676056338028174"/>
    <n v="695.04236147802339"/>
    <n v="1396.3785114367463"/>
    <n v="6178.1543242490952"/>
    <n v="74137.851890989143"/>
    <d v="2025-01-01T00:00:00"/>
    <s v="-"/>
    <s v="-"/>
  </r>
  <r>
    <s v="1.567.45"/>
    <x v="112"/>
    <x v="4"/>
    <s v="Sind - Asseio"/>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77.25"/>
    <n v="0"/>
    <n v="0"/>
    <n v="3.36"/>
    <n v="0"/>
    <n v="714.78216400000008"/>
    <n v="2909.1398021222226"/>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69.3594066081278"/>
    <n v="381.16095106452326"/>
    <n v="320.1751988941997"/>
    <n v="8.5633802816901458E-2"/>
    <n v="1.8591549295774657E-2"/>
    <n v="0.02"/>
    <n v="2.2535211267605645E-2"/>
    <n v="0.1125"/>
    <n v="0.12676056338028174"/>
    <n v="921.63746491692507"/>
    <n v="1622.9736148756479"/>
    <n v="8192.3330214837752"/>
    <n v="98307.996257805295"/>
    <d v="2025-01-01T00:00:00"/>
    <s v="-"/>
    <s v="-"/>
  </r>
  <r>
    <s v="1.572.45"/>
    <x v="113"/>
    <x v="4"/>
    <s v="Regiao de Joao Monlevade"/>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582"/>
    <n v="0"/>
    <n v="50.74"/>
    <n v="0"/>
    <n v="0"/>
    <n v="3.36"/>
    <n v="0"/>
    <n v="753.12648200000001"/>
    <n v="2249.2793466166668"/>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762.906272715607"/>
    <n v="381.16095106452326"/>
    <n v="320.1751988941997"/>
    <n v="8.5633802816901458E-2"/>
    <n v="1.8591549295774657E-2"/>
    <n v="0.02"/>
    <n v="2.2535211267605645E-2"/>
    <n v="0.1125"/>
    <n v="0.12676056338028174"/>
    <n v="692.65044794463358"/>
    <n v="1393.9865979033566"/>
    <n v="6156.8928706189636"/>
    <n v="73882.71444742757"/>
    <d v="2025-01-01T00:00:00"/>
    <s v="-"/>
    <s v="-"/>
  </r>
  <r>
    <s v="1.245.35"/>
    <x v="114"/>
    <x v="6"/>
    <s v="Rodoviarios de RMBH + SEAC-MG"/>
    <s v="Apoio"/>
    <x v="0"/>
    <n v="1"/>
    <n v="0"/>
    <n v="4465.6282000000001"/>
    <n v="0"/>
    <n v="0"/>
    <n v="0"/>
    <n v="0"/>
    <n v="0"/>
    <n v="0"/>
    <n v="0"/>
    <n v="4465.6282000000001"/>
    <n v="893.12564000000009"/>
    <n v="66.984422999999992"/>
    <n v="44.656282000000004"/>
    <n v="8.9312564000000005"/>
    <n v="111.64070500000001"/>
    <n v="357.25025600000004"/>
    <n v="178.62512800000002"/>
    <n v="26.7937692"/>
    <n v="1688.0074596000004"/>
    <n v="372.1356833333333"/>
    <n v="496.18091111111107"/>
    <n v="328.22367270000001"/>
    <n v="1196.5402671444444"/>
    <n v="0"/>
    <n v="578.4"/>
    <n v="0"/>
    <n v="22.52"/>
    <n v="0"/>
    <n v="0"/>
    <n v="3.36"/>
    <n v="662.42"/>
    <n v="1266.6999999999998"/>
    <n v="4151.2477267444447"/>
    <n v="31.311944336766977"/>
    <n v="2.5049555469413582"/>
    <n v="1.0019822187765435"/>
    <n v="15.629698700000002"/>
    <n v="5.9080261086000023"/>
    <n v="136.54898673777777"/>
    <n v="3.7213568333333336"/>
    <n v="196.62695048219601"/>
    <n v="37.709749244444438"/>
    <n v="9.0553016277777783"/>
    <n v="0.76287815083333332"/>
    <n v="0.93033920833333339"/>
    <n v="5.7887772962962964"/>
    <n v="20.505383209465005"/>
    <n v="74.752428737150183"/>
    <n v="0"/>
    <n v="0"/>
    <n v="0"/>
    <n v="0"/>
    <n v="74.752428737150183"/>
    <n v="92.100763771570698"/>
    <n v="0"/>
    <n v="0"/>
    <n v="0"/>
    <n v="0"/>
    <n v="92.100763771570698"/>
    <n v="8980.3560697353605"/>
    <n v="381.16095106452326"/>
    <n v="320.1751988941997"/>
    <n v="8.5633802816901458E-2"/>
    <n v="1.8591549295774657E-2"/>
    <n v="0.02"/>
    <n v="2.2535211267605645E-2"/>
    <n v="0.1125"/>
    <n v="0.12676056338028174"/>
    <n v="1227.2567602429124"/>
    <n v="1928.5929102016353"/>
    <n v="10908.948979936995"/>
    <n v="130907.38775924394"/>
    <d v="2025-01-01T00:00:00"/>
    <s v="-"/>
    <s v="-"/>
  </r>
  <r>
    <s v="1.245.44"/>
    <x v="114"/>
    <x v="7"/>
    <s v="Sind - Asseio"/>
    <s v="Apoio"/>
    <x v="0"/>
    <n v="1"/>
    <n v="0"/>
    <n v="2316.2296999999999"/>
    <n v="0"/>
    <n v="0"/>
    <n v="0"/>
    <n v="0"/>
    <n v="0"/>
    <n v="0"/>
    <n v="0"/>
    <n v="2316.2296999999999"/>
    <n v="463.24594000000002"/>
    <n v="34.7434455"/>
    <n v="23.162296999999999"/>
    <n v="4.6324594000000001"/>
    <n v="57.905742500000002"/>
    <n v="185.29837599999999"/>
    <n v="92.649187999999995"/>
    <n v="13.8973782"/>
    <n v="875.53482659999997"/>
    <n v="193.01914166666666"/>
    <n v="257.35885555555552"/>
    <n v="170.24288294999999"/>
    <n v="620.6208801722222"/>
    <n v="117.026218"/>
    <n v="582"/>
    <n v="0"/>
    <n v="77.25"/>
    <n v="0"/>
    <n v="0"/>
    <n v="3.36"/>
    <n v="0"/>
    <n v="779.63621799999999"/>
    <n v="2275.791924772222"/>
    <n v="16.240862917689043"/>
    <n v="1.2992690334151236"/>
    <n v="0.51970761336604943"/>
    <n v="8.1068039500000015"/>
    <n v="3.0643718931000006"/>
    <n v="70.825157048888869"/>
    <n v="1.9301914166666667"/>
    <n v="101.98636387312575"/>
    <n v="19.559273022222218"/>
    <n v="4.696799113888888"/>
    <n v="0.39568924041666664"/>
    <n v="0.48254785416666668"/>
    <n v="3.0025199814814814"/>
    <n v="10.635721442202501"/>
    <n v="38.772550654378421"/>
    <n v="0"/>
    <n v="0"/>
    <n v="0"/>
    <n v="0"/>
    <n v="38.772550654378421"/>
    <n v="56.642978962543395"/>
    <n v="0"/>
    <n v="0"/>
    <n v="0"/>
    <n v="0"/>
    <n v="56.642978962543395"/>
    <n v="4789.4235182622697"/>
    <n v="381.16095106452326"/>
    <n v="320.1751988941997"/>
    <n v="8.5633802816901458E-2"/>
    <n v="1.8591549295774657E-2"/>
    <n v="0.02"/>
    <n v="2.2535211267605645E-2"/>
    <n v="0.1125"/>
    <n v="0.12676056338028174"/>
    <n v="696.01178892942187"/>
    <n v="1397.3479388881447"/>
    <n v="6186.7714571504148"/>
    <n v="74241.257485804977"/>
    <d v="2025-01-01T00:00:00"/>
    <s v="-"/>
    <s v="-"/>
  </r>
  <r>
    <s v="1.592.45"/>
    <x v="115"/>
    <x v="4"/>
    <s v="Regiao de Sao Lourenco"/>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0"/>
    <n v="0"/>
    <n v="0"/>
    <n v="3.36"/>
    <n v="0"/>
    <n v="637.53217000000006"/>
    <n v="2831.8897435277781"/>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492.1092419366132"/>
    <n v="381.16095106452326"/>
    <n v="320.1751988941997"/>
    <n v="8.6609686609686695E-2"/>
    <n v="1.880341880341882E-2"/>
    <n v="0.03"/>
    <n v="3.4188034188034219E-2"/>
    <n v="0.1225"/>
    <n v="0.13960113960113973"/>
    <n v="1004.2131743671561"/>
    <n v="1705.5493243258788"/>
    <n v="8197.658566262493"/>
    <n v="98371.902795149916"/>
    <d v="2025-01-01T00:00:00"/>
    <s v="-"/>
    <s v="-"/>
  </r>
  <r>
    <s v="1.604.43"/>
    <x v="116"/>
    <x v="2"/>
    <s v="Regiao de Divinopolis"/>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51.88"/>
    <n v="0"/>
    <n v="0"/>
    <n v="3.36"/>
    <n v="0"/>
    <n v="775.4357"/>
    <n v="2043.6862519444444"/>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450.7887890732854"/>
    <n v="381.16095106452326"/>
    <n v="320.1751988941997"/>
    <n v="8.6609686609686695E-2"/>
    <n v="1.880341880341882E-2"/>
    <n v="0.03"/>
    <n v="3.4188034188034219E-2"/>
    <n v="0.1225"/>
    <n v="0.13960113960113973"/>
    <n v="719.2425128563209"/>
    <n v="1420.5786628150438"/>
    <n v="5871.367451888329"/>
    <n v="70456.409422659955"/>
    <d v="2025-01-01T00:00:00"/>
    <s v="-"/>
    <s v="-"/>
  </r>
  <r>
    <s v="1.607.13"/>
    <x v="117"/>
    <x v="3"/>
    <s v="Regiao de Juiz de Fora"/>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1.88"/>
    <n v="0"/>
    <n v="0"/>
    <n v="3.36"/>
    <n v="0"/>
    <n v="797.463572"/>
    <n v="1828.56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77.989964655414"/>
    <n v="381.16095106452326"/>
    <n v="320.1751988941997"/>
    <n v="8.6609686609686695E-2"/>
    <n v="1.880341880341882E-2"/>
    <n v="0.03"/>
    <n v="3.4188034188034219E-2"/>
    <n v="0.1225"/>
    <n v="0.13960113960113973"/>
    <n v="597.39880232505095"/>
    <n v="1298.734952283774"/>
    <n v="4876.724916939188"/>
    <n v="58520.69900327026"/>
    <d v="2025-01-01T00:00:00"/>
    <s v="-"/>
    <s v="-"/>
  </r>
  <r>
    <s v="1.611.28"/>
    <x v="118"/>
    <x v="5"/>
    <s v="Sethac Norte de Minas"/>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0"/>
    <n v="0"/>
    <n v="0"/>
    <n v="3.36"/>
    <n v="0"/>
    <n v="703.58945800000004"/>
    <n v="2382.9001282166664"/>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226.33322732312172"/>
    <n v="441.81099462365592"/>
    <n v="113.11309677419354"/>
    <n v="0"/>
    <n v="0"/>
    <n v="781.25731872097117"/>
    <n v="5921.9233521176257"/>
    <n v="381.16095106452326"/>
    <n v="320.1751988941997"/>
    <n v="8.7608069164265154E-2"/>
    <n v="1.9020172910662814E-2"/>
    <n v="0.04"/>
    <n v="4.6109510086455294E-2"/>
    <n v="0.13250000000000001"/>
    <n v="0.15273775216138324"/>
    <n v="1011.6217683286638"/>
    <n v="1712.9579182873867"/>
    <n v="7634.8812704050124"/>
    <n v="91618.575244860142"/>
    <d v="2025-01-01T00:00:00"/>
    <s v="-"/>
    <s v="-"/>
  </r>
  <r>
    <s v="1.611.43"/>
    <x v="118"/>
    <x v="2"/>
    <s v="Sethac Norte de Mina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7608069164265154E-2"/>
    <n v="1.9020172910662814E-2"/>
    <n v="0.04"/>
    <n v="4.6109510086455294E-2"/>
    <n v="0.13250000000000001"/>
    <n v="0.15273775216138324"/>
    <n v="779.00158104696936"/>
    <n v="1480.3377310056921"/>
    <n v="5879.2572154488271"/>
    <n v="70551.086585385929"/>
    <d v="2025-01-01T00:00:00"/>
    <s v="-"/>
    <s v="-"/>
  </r>
  <r>
    <s v="1.621.45"/>
    <x v="119"/>
    <x v="4"/>
    <s v="Alto Paranaiba"/>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0"/>
    <n v="387.79"/>
    <n v="42.97"/>
    <n v="0"/>
    <n v="0"/>
    <n v="3.36"/>
    <n v="0"/>
    <n v="486.29217000000006"/>
    <n v="2680.6497435277784"/>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340.8692419366134"/>
    <n v="381.16095106452326"/>
    <n v="320.1751988941997"/>
    <n v="8.5633802816901458E-2"/>
    <n v="1.8591549295774657E-2"/>
    <n v="0.02"/>
    <n v="2.2535211267605645E-2"/>
    <n v="0.1125"/>
    <n v="0.12676056338028174"/>
    <n v="892.67392291631063"/>
    <n v="1594.0100728750335"/>
    <n v="7934.8793148116474"/>
    <n v="95218.551777739776"/>
    <d v="2025-01-01T00:00:00"/>
    <s v="-"/>
    <s v="-"/>
  </r>
  <r>
    <s v="1.624.43"/>
    <x v="120"/>
    <x v="2"/>
    <s v="Sethac Norte de Mina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7106017191977067E-2"/>
    <n v="1.8911174785100283E-2"/>
    <n v="3.5000000000000003E-2"/>
    <n v="4.0114613180515762E-2"/>
    <n v="0.1275"/>
    <n v="0.14613180515759311"/>
    <n v="745.30956262032873"/>
    <n v="1446.6457125790516"/>
    <n v="5845.5651970221861"/>
    <n v="70146.782364266226"/>
    <d v="2025-01-01T00:00:00"/>
    <s v="-"/>
    <s v="-"/>
  </r>
  <r>
    <s v="1.625.35"/>
    <x v="121"/>
    <x v="6"/>
    <s v="Rodoviarios de Sao Joao Del Rei + SEAC-MG"/>
    <s v="Apoio"/>
    <x v="0"/>
    <n v="1"/>
    <n v="0"/>
    <n v="4599.5953"/>
    <n v="0"/>
    <n v="0"/>
    <n v="0"/>
    <n v="0"/>
    <n v="0"/>
    <n v="0"/>
    <n v="0"/>
    <n v="4599.5953"/>
    <n v="919.91906000000006"/>
    <n v="68.993929499999993"/>
    <n v="45.995953"/>
    <n v="9.1991905999999997"/>
    <n v="114.98988250000001"/>
    <n v="367.967624"/>
    <n v="183.983812"/>
    <n v="27.597571800000001"/>
    <n v="1738.6470234000003"/>
    <n v="383.29960833333331"/>
    <n v="511.06614444444443"/>
    <n v="338.07025455000002"/>
    <n v="1232.4360073277778"/>
    <n v="0"/>
    <n v="578.4"/>
    <n v="0"/>
    <n v="0"/>
    <n v="0"/>
    <n v="0"/>
    <n v="3.36"/>
    <n v="662.42"/>
    <n v="1244.1799999999998"/>
    <n v="4215.2630307277777"/>
    <n v="32.251290424324843"/>
    <n v="2.5801032339459877"/>
    <n v="1.0320412935783951"/>
    <n v="16.098583550000001"/>
    <n v="6.0852645819000015"/>
    <n v="140.64540295111109"/>
    <n v="3.8329960833333336"/>
    <n v="202.52568211819366"/>
    <n v="38.841026977777773"/>
    <n v="9.3269571361111101"/>
    <n v="0.78576419708333334"/>
    <n v="0.95824902083333341"/>
    <n v="5.9624383518518513"/>
    <n v="21.120536688422504"/>
    <n v="76.9949723720799"/>
    <n v="0"/>
    <n v="0"/>
    <n v="0"/>
    <n v="0"/>
    <n v="76.9949723720799"/>
    <n v="92.100763771570698"/>
    <n v="0"/>
    <n v="0"/>
    <n v="0"/>
    <n v="0"/>
    <n v="92.100763771570698"/>
    <n v="9186.4797489896209"/>
    <n v="381.16095106452326"/>
    <n v="320.1751988941997"/>
    <n v="8.5633802816901458E-2"/>
    <n v="1.8591549295774657E-2"/>
    <n v="0.02"/>
    <n v="2.2535211267605645E-2"/>
    <n v="0.1125"/>
    <n v="0.12676056338028174"/>
    <n v="1253.3851139511989"/>
    <n v="1954.7212639099218"/>
    <n v="11141.201012899543"/>
    <n v="133694.4121547945"/>
    <d v="2025-01-01T00:00:00"/>
    <s v="-"/>
    <s v="-"/>
  </r>
  <r>
    <s v="1.625.41"/>
    <x v="121"/>
    <x v="41"/>
    <s v="Regiao de Juiz de Fora"/>
    <s v="Apoio"/>
    <x v="0"/>
    <n v="2"/>
    <n v="0"/>
    <n v="3926.8220000000001"/>
    <n v="0"/>
    <n v="0"/>
    <n v="0"/>
    <n v="0"/>
    <n v="0"/>
    <n v="0"/>
    <n v="0"/>
    <n v="3926.8220000000001"/>
    <n v="785.36440000000005"/>
    <n v="58.902329999999999"/>
    <n v="39.268219999999999"/>
    <n v="7.8536440000000001"/>
    <n v="98.170550000000006"/>
    <n v="314.14576"/>
    <n v="157.07288"/>
    <n v="23.560932000000001"/>
    <n v="1484.3387160000002"/>
    <n v="327.23516666666666"/>
    <n v="436.31355555555552"/>
    <n v="288.62141700000001"/>
    <n v="1052.1701392222221"/>
    <n v="276.39067999999997"/>
    <n v="1164"/>
    <n v="0"/>
    <n v="103.76"/>
    <n v="0"/>
    <n v="0"/>
    <n v="6.72"/>
    <n v="0"/>
    <n v="1550.87068"/>
    <n v="4087.3795352222223"/>
    <n v="27.533960817515432"/>
    <n v="2.2027168654012348"/>
    <n v="0.88108674616049398"/>
    <n v="13.743877000000003"/>
    <n v="5.1951855060000014"/>
    <n v="120.07349048888888"/>
    <n v="3.2723516666666668"/>
    <n v="172.90266909063274"/>
    <n v="33.159830222222219"/>
    <n v="7.9627223888888885"/>
    <n v="0.67083209166666669"/>
    <n v="0.81808791666666669"/>
    <n v="5.0903248148148146"/>
    <n v="18.031279430150004"/>
    <n v="65.733076864409256"/>
    <n v="434.75529489599154"/>
    <n v="434.75529489599154"/>
    <n v="0"/>
    <n v="0"/>
    <n v="500.48837176040081"/>
    <n v="113.28595792508679"/>
    <n v="0"/>
    <n v="0"/>
    <n v="0"/>
    <n v="0"/>
    <n v="113.28595792508679"/>
    <n v="8800.8785339983442"/>
    <n v="762.32190212904652"/>
    <n v="640.35039778839939"/>
    <n v="8.5633802816901458E-2"/>
    <n v="1.8591549295774657E-2"/>
    <n v="0.02"/>
    <n v="2.2535211267605645E-2"/>
    <n v="0.1125"/>
    <n v="0.12676056338028174"/>
    <n v="1293.407852186509"/>
    <n v="2696.0801521039548"/>
    <n v="11496.958686102298"/>
    <n v="137963.50423322758"/>
    <d v="2025-01-01T00:00:00"/>
    <s v="-"/>
    <s v="-"/>
  </r>
  <r>
    <s v="1.625.42"/>
    <x v="121"/>
    <x v="42"/>
    <s v="Regiao de Juiz de Fora"/>
    <s v="Apoio"/>
    <x v="0"/>
    <n v="2"/>
    <n v="0"/>
    <n v="3926.8220000000001"/>
    <n v="0"/>
    <n v="0"/>
    <n v="791.25459999999998"/>
    <n v="0"/>
    <n v="0"/>
    <n v="0"/>
    <n v="0"/>
    <n v="4718.0766000000003"/>
    <n v="943.61532000000011"/>
    <n v="70.771149000000008"/>
    <n v="47.180766000000006"/>
    <n v="9.4361532000000015"/>
    <n v="117.95191500000001"/>
    <n v="377.44612800000004"/>
    <n v="188.72306400000002"/>
    <n v="28.308459600000003"/>
    <n v="1783.4329548000005"/>
    <n v="393.17304999999999"/>
    <n v="524.23073333333332"/>
    <n v="346.77863010000004"/>
    <n v="1264.1824134333333"/>
    <n v="276.39067999999997"/>
    <n v="1164"/>
    <n v="0"/>
    <n v="103.76"/>
    <n v="0"/>
    <n v="0"/>
    <n v="6.72"/>
    <n v="0"/>
    <n v="1550.87068"/>
    <n v="4598.4860482333333"/>
    <n v="33.082053690856483"/>
    <n v="2.6465642952685191"/>
    <n v="1.0586257181074077"/>
    <n v="16.513268100000005"/>
    <n v="6.2420153418000019"/>
    <n v="144.26829781333333"/>
    <n v="3.9317305000000005"/>
    <n v="207.74255545936575"/>
    <n v="39.84153573333333"/>
    <n v="9.5672108833333329"/>
    <n v="0.80600475250000003"/>
    <n v="0.98293262500000012"/>
    <n v="6.1160252222222224"/>
    <n v="21.664582083795004"/>
    <n v="78.978291300183884"/>
    <n v="522.35848681753384"/>
    <n v="522.35848681753384"/>
    <n v="0"/>
    <n v="0"/>
    <n v="601.3367781177177"/>
    <n v="113.28595792508679"/>
    <n v="0"/>
    <n v="0"/>
    <n v="0"/>
    <n v="0"/>
    <n v="113.28595792508679"/>
    <n v="10238.927939735506"/>
    <n v="762.32190212904652"/>
    <n v="640.35039778839939"/>
    <n v="8.5633802816901458E-2"/>
    <n v="1.8591549295774657E-2"/>
    <n v="0.02"/>
    <n v="2.2535211267605645E-2"/>
    <n v="0.1125"/>
    <n v="0.12676056338028174"/>
    <n v="1475.6958050264311"/>
    <n v="2878.3681049438769"/>
    <n v="13117.296044679382"/>
    <n v="157407.55253615259"/>
    <d v="2025-01-01T00:00:00"/>
    <s v="-"/>
    <s v="-"/>
  </r>
  <r>
    <s v="1.625.45"/>
    <x v="121"/>
    <x v="4"/>
    <s v="Regiao de Juiz de Fora"/>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88"/>
    <n v="0"/>
    <n v="0"/>
    <n v="3.36"/>
    <n v="0"/>
    <n v="689.41216400000008"/>
    <n v="2883.7698021222222"/>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9894066081279"/>
    <n v="381.16095106452326"/>
    <n v="320.1751988941997"/>
    <n v="8.5633802816901458E-2"/>
    <n v="1.8591549295774657E-2"/>
    <n v="0.02"/>
    <n v="2.2535211267605645E-2"/>
    <n v="0.1125"/>
    <n v="0.12676056338028174"/>
    <n v="918.42154942396735"/>
    <n v="1619.7576993826901"/>
    <n v="8163.7471059908185"/>
    <n v="97964.965271889814"/>
    <d v="2025-01-01T00:00:00"/>
    <s v="-"/>
    <s v="-"/>
  </r>
  <r>
    <s v="1.637.41"/>
    <x v="122"/>
    <x v="41"/>
    <s v="Sao Lourenco"/>
    <s v="Apoio"/>
    <x v="0"/>
    <n v="2"/>
    <n v="0"/>
    <n v="4056.7033999999999"/>
    <n v="0"/>
    <n v="0"/>
    <n v="0"/>
    <n v="0"/>
    <n v="0"/>
    <n v="0"/>
    <n v="0"/>
    <n v="4056.7033999999999"/>
    <n v="811.34068000000002"/>
    <n v="60.850550999999996"/>
    <n v="40.567034"/>
    <n v="8.1134067999999999"/>
    <n v="101.417585"/>
    <n v="324.536272"/>
    <n v="162.268136"/>
    <n v="24.3402204"/>
    <n v="1533.4338851999998"/>
    <n v="338.05861666666664"/>
    <n v="450.74482222222218"/>
    <n v="298.16769989999995"/>
    <n v="1086.9711387888888"/>
    <n v="268.59779600000002"/>
    <n v="1164"/>
    <n v="0"/>
    <n v="106.54"/>
    <n v="0"/>
    <n v="0"/>
    <n v="6.72"/>
    <n v="0"/>
    <n v="1545.857796"/>
    <n v="4166.2628199888886"/>
    <n v="28.444658928742282"/>
    <n v="2.2755727142993827"/>
    <n v="0.91022908571975325"/>
    <n v="14.198461900000002"/>
    <n v="5.3670185982000014"/>
    <n v="124.04497507555553"/>
    <n v="3.3805861666666668"/>
    <n v="178.62150246918361"/>
    <n v="34.256606488888885"/>
    <n v="8.2260930055555548"/>
    <n v="0.69302016416666667"/>
    <n v="0.8451465416666667"/>
    <n v="5.2586895925925923"/>
    <n v="18.627672089705001"/>
    <n v="67.90722788257537"/>
    <n v="449.1350194510033"/>
    <n v="449.1350194510033"/>
    <n v="0"/>
    <n v="0"/>
    <n v="517.04224733357864"/>
    <n v="113.28595792508679"/>
    <n v="0"/>
    <n v="0"/>
    <n v="0"/>
    <n v="0"/>
    <n v="113.28595792508679"/>
    <n v="9031.9159277167364"/>
    <n v="762.32190212904652"/>
    <n v="640.35039778839939"/>
    <n v="8.6609686609686695E-2"/>
    <n v="1.880341880341882E-2"/>
    <n v="0.03"/>
    <n v="3.4188034188034219E-2"/>
    <n v="0.1225"/>
    <n v="0.13960113960113973"/>
    <n v="1456.6804078463686"/>
    <n v="2859.3527077638146"/>
    <n v="11891.268635480552"/>
    <n v="142695.22362576664"/>
    <d v="2025-01-01T00:00:00"/>
    <s v="-"/>
    <s v="-"/>
  </r>
  <r>
    <s v="1.637.42"/>
    <x v="122"/>
    <x v="42"/>
    <s v="Sao Lourenco"/>
    <s v="Apoio"/>
    <x v="0"/>
    <n v="2"/>
    <n v="0"/>
    <n v="4056.7033999999999"/>
    <n v="0"/>
    <n v="0"/>
    <n v="817.42579999999998"/>
    <n v="0"/>
    <n v="0"/>
    <n v="0"/>
    <n v="0"/>
    <n v="4874.1291999999994"/>
    <n v="974.82583999999997"/>
    <n v="73.111937999999995"/>
    <n v="48.741291999999994"/>
    <n v="9.7482583999999992"/>
    <n v="121.85323"/>
    <n v="389.93033599999995"/>
    <n v="194.96516799999998"/>
    <n v="29.244775199999996"/>
    <n v="1842.4208375999997"/>
    <n v="406.17743333333328"/>
    <n v="541.56991111111097"/>
    <n v="358.24849619999992"/>
    <n v="1305.9958406444441"/>
    <n v="268.59779600000002"/>
    <n v="1164"/>
    <n v="0"/>
    <n v="106.54"/>
    <n v="0"/>
    <n v="0"/>
    <n v="6.72"/>
    <n v="0"/>
    <n v="1545.857796"/>
    <n v="4694.2744742444438"/>
    <n v="34.17625815794753"/>
    <n v="2.7341006526358025"/>
    <n v="1.093640261054321"/>
    <n v="17.059452199999999"/>
    <n v="6.4484729316000013"/>
    <n v="149.04003953777774"/>
    <n v="4.0617743333333332"/>
    <n v="214.61373807434873"/>
    <n v="41.159313244444434"/>
    <n v="9.8836508777777752"/>
    <n v="0.83266373833333318"/>
    <n v="1.0154435833333333"/>
    <n v="6.3183156296296286"/>
    <n v="22.38114831379"/>
    <n v="81.590535387308506"/>
    <n v="539.6357258703805"/>
    <n v="539.6357258703805"/>
    <n v="0"/>
    <n v="0"/>
    <n v="621.22626125768898"/>
    <n v="113.28595792508679"/>
    <n v="0"/>
    <n v="0"/>
    <n v="0"/>
    <n v="0"/>
    <n v="113.28595792508679"/>
    <n v="10517.529631501569"/>
    <n v="762.32190212904652"/>
    <n v="640.35039778839939"/>
    <n v="8.6609686609686695E-2"/>
    <n v="1.880341880341882E-2"/>
    <n v="0.03"/>
    <n v="3.4188034188034219E-2"/>
    <n v="0.1225"/>
    <n v="0.13960113960113973"/>
    <n v="1664.0737739018014"/>
    <n v="3066.7460738192472"/>
    <n v="13584.275705320817"/>
    <n v="163011.3084638498"/>
    <d v="2025-01-01T00:00:00"/>
    <s v="-"/>
    <s v="-"/>
  </r>
  <r>
    <s v="1.642.43"/>
    <x v="123"/>
    <x v="2"/>
    <s v="Sethac Norte de Mina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6609686609686695E-2"/>
    <n v="1.880341880341882E-2"/>
    <n v="0.03"/>
    <n v="3.4188034188034219E-2"/>
    <n v="0.1225"/>
    <n v="0.13960113960113973"/>
    <n v="712.00149881963318"/>
    <n v="1413.3376487783562"/>
    <n v="5812.2571332214911"/>
    <n v="69747.085598657897"/>
    <d v="2025-01-01T00:00:00"/>
    <s v="-"/>
    <s v="-"/>
  </r>
  <r>
    <s v="1.647.13"/>
    <x v="124"/>
    <x v="3"/>
    <s v="Regiao de Sao Lourenco"/>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0"/>
    <n v="0"/>
    <n v="0"/>
    <n v="3.36"/>
    <n v="0"/>
    <n v="745.583572"/>
    <n v="1776.6877649222222"/>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26.1099646554144"/>
    <n v="381.16095106452326"/>
    <n v="320.1751988941997"/>
    <n v="8.6609686609686695E-2"/>
    <n v="1.880341880341882E-2"/>
    <n v="0.03"/>
    <n v="3.4188034188034219E-2"/>
    <n v="0.1225"/>
    <n v="0.13960113960113973"/>
    <n v="590.15629520254402"/>
    <n v="1291.4924451612669"/>
    <n v="4817.6024098166818"/>
    <n v="57811.228917800181"/>
    <d v="2025-01-01T00:00:00"/>
    <s v="-"/>
    <s v="-"/>
  </r>
  <r>
    <s v="1.647.43"/>
    <x v="124"/>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0"/>
    <n v="0"/>
    <n v="0"/>
    <n v="3.36"/>
    <n v="0"/>
    <n v="723.5557"/>
    <n v="1991.80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398.9087890732853"/>
    <n v="381.16095106452326"/>
    <n v="320.1751988941997"/>
    <n v="8.6609686609686695E-2"/>
    <n v="1.880341880341882E-2"/>
    <n v="0.03"/>
    <n v="3.4188034188034219E-2"/>
    <n v="0.1225"/>
    <n v="0.13960113960113973"/>
    <n v="712.00000573381374"/>
    <n v="1413.3361556925365"/>
    <n v="5812.2449447658219"/>
    <n v="69746.939337189862"/>
    <d v="2025-01-01T00:00:00"/>
    <s v="-"/>
    <s v="-"/>
  </r>
  <r>
    <s v="1.671.43"/>
    <x v="125"/>
    <x v="2"/>
    <s v="Curvelo"/>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74"/>
    <n v="0"/>
    <n v="0"/>
    <n v="3.36"/>
    <n v="0"/>
    <n v="775.29534000000001"/>
    <n v="2043.5497676111113"/>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6594844431356"/>
    <n v="381.16095106452326"/>
    <n v="320.1751988941997"/>
    <n v="8.6609686609686695E-2"/>
    <n v="1.880341880341882E-2"/>
    <n v="0.03"/>
    <n v="3.4188034188034219E-2"/>
    <n v="0.1225"/>
    <n v="0.13960113960113973"/>
    <n v="719.22446178259634"/>
    <n v="1420.5606117413192"/>
    <n v="5871.2200961844546"/>
    <n v="70454.641154213459"/>
    <d v="2025-01-01T00:00:00"/>
    <s v="-"/>
    <s v="-"/>
  </r>
  <r>
    <s v="1.672.13"/>
    <x v="126"/>
    <x v="3"/>
    <s v="Sete Lagoas"/>
    <s v="Apoio"/>
    <x v="0"/>
    <n v="1"/>
    <n v="0"/>
    <n v="1649.1152999999999"/>
    <n v="0"/>
    <n v="0"/>
    <n v="0"/>
    <n v="0"/>
    <n v="0"/>
    <n v="0"/>
    <n v="0"/>
    <n v="1649.1152999999999"/>
    <n v="329.82306"/>
    <n v="24.736729499999999"/>
    <n v="16.491153000000001"/>
    <n v="3.2982306000000001"/>
    <n v="41.2278825"/>
    <n v="131.929224"/>
    <n v="65.964612000000002"/>
    <n v="9.8946918000000004"/>
    <n v="623.36558340000011"/>
    <n v="137.42627499999998"/>
    <n v="183.23503333333332"/>
    <n v="121.20997455"/>
    <n v="441.87128288333327"/>
    <n v="157.05308200000002"/>
    <n v="582"/>
    <n v="0"/>
    <n v="51.86"/>
    <n v="0"/>
    <n v="0"/>
    <n v="3.36"/>
    <n v="0"/>
    <n v="794.27308200000004"/>
    <n v="1859.5099482833334"/>
    <n v="11.563212199016203"/>
    <n v="0.92505697592129632"/>
    <n v="0.37002279036851859"/>
    <n v="5.7719035500000002"/>
    <n v="2.1817795419000006"/>
    <n v="50.426281173333322"/>
    <n v="1.37426275"/>
    <n v="72.612518980539335"/>
    <n v="13.925862533333332"/>
    <n v="3.3440393583333332"/>
    <n v="0.28172386374999997"/>
    <n v="0.34356568749999999"/>
    <n v="2.1377420555555555"/>
    <n v="7.572448862422501"/>
    <n v="27.605382360894719"/>
    <n v="0"/>
    <n v="0"/>
    <n v="0"/>
    <n v="0"/>
    <n v="27.605382360894719"/>
    <n v="56.141713661989918"/>
    <n v="0"/>
    <n v="0"/>
    <n v="0"/>
    <n v="0"/>
    <n v="56.141713661989918"/>
    <n v="3664.984863286757"/>
    <n v="381.16095106452326"/>
    <n v="320.1751988941997"/>
    <n v="8.6609686609686695E-2"/>
    <n v="1.880341880341882E-2"/>
    <n v="0.03"/>
    <n v="3.4188034188034219E-2"/>
    <n v="0.1225"/>
    <n v="0.13960113960113973"/>
    <n v="609.54338931347206"/>
    <n v="1310.879539272195"/>
    <n v="4975.864402558952"/>
    <n v="59710.37283070742"/>
    <d v="2025-01-01T00:00:00"/>
    <s v="-"/>
    <s v="-"/>
  </r>
  <r>
    <s v="1.672.35"/>
    <x v="126"/>
    <x v="6"/>
    <s v="Rodoviarios de Sete Lagoas + SEAC-MG"/>
    <s v="Apoio"/>
    <x v="0"/>
    <n v="1"/>
    <n v="0"/>
    <n v="4599.5953"/>
    <n v="0"/>
    <n v="0"/>
    <n v="0"/>
    <n v="0"/>
    <n v="0"/>
    <n v="0"/>
    <n v="0"/>
    <n v="4599.5953"/>
    <n v="919.91906000000006"/>
    <n v="68.993929499999993"/>
    <n v="45.995953"/>
    <n v="9.1991905999999997"/>
    <n v="114.98988250000001"/>
    <n v="367.967624"/>
    <n v="183.983812"/>
    <n v="27.597571800000001"/>
    <n v="1738.6470234000003"/>
    <n v="383.29960833333331"/>
    <n v="511.06614444444443"/>
    <n v="338.07025455000002"/>
    <n v="1232.4360073277778"/>
    <n v="0"/>
    <n v="578.4"/>
    <n v="0"/>
    <n v="0"/>
    <n v="0"/>
    <n v="0"/>
    <n v="3.36"/>
    <n v="662.42"/>
    <n v="1244.1799999999998"/>
    <n v="4215.2630307277777"/>
    <n v="32.251290424324843"/>
    <n v="2.5801032339459877"/>
    <n v="1.0320412935783951"/>
    <n v="16.098583550000001"/>
    <n v="6.0852645819000015"/>
    <n v="140.64540295111109"/>
    <n v="3.8329960833333336"/>
    <n v="202.52568211819366"/>
    <n v="38.841026977777773"/>
    <n v="9.3269571361111101"/>
    <n v="0.78576419708333334"/>
    <n v="0.95824902083333341"/>
    <n v="5.9624383518518513"/>
    <n v="21.120536688422504"/>
    <n v="76.9949723720799"/>
    <n v="0"/>
    <n v="0"/>
    <n v="0"/>
    <n v="0"/>
    <n v="76.9949723720799"/>
    <n v="92.100763771570698"/>
    <n v="0"/>
    <n v="0"/>
    <n v="0"/>
    <n v="0"/>
    <n v="92.100763771570698"/>
    <n v="9186.4797489896209"/>
    <n v="381.16095106452326"/>
    <n v="320.1751988941997"/>
    <n v="8.6609686609686695E-2"/>
    <n v="1.880341880341882E-2"/>
    <n v="0.03"/>
    <n v="3.4188034188034219E-2"/>
    <n v="0.1225"/>
    <n v="0.13960113960113973"/>
    <n v="1380.3503676594567"/>
    <n v="2081.6865176181796"/>
    <n v="11268.166266607801"/>
    <n v="135217.9951992936"/>
    <d v="2025-01-01T00:00:00"/>
    <s v="-"/>
    <s v="-"/>
  </r>
  <r>
    <s v="1.672.41"/>
    <x v="126"/>
    <x v="41"/>
    <s v="Sete Lagoas"/>
    <s v="Apoio"/>
    <x v="0"/>
    <n v="2"/>
    <n v="0"/>
    <n v="4269.607"/>
    <n v="0"/>
    <n v="0"/>
    <n v="0"/>
    <n v="0"/>
    <n v="0"/>
    <n v="0"/>
    <n v="0"/>
    <n v="4269.607"/>
    <n v="853.92140000000006"/>
    <n v="64.044105000000002"/>
    <n v="42.696069999999999"/>
    <n v="8.5392139999999994"/>
    <n v="106.74017500000001"/>
    <n v="341.56855999999999"/>
    <n v="170.78428"/>
    <n v="25.617642"/>
    <n v="1613.9114460000001"/>
    <n v="355.80058333333329"/>
    <n v="474.40077777777776"/>
    <n v="313.81611449999997"/>
    <n v="1144.017475611111"/>
    <n v="255.82357999999999"/>
    <n v="1164"/>
    <n v="0"/>
    <n v="103.72"/>
    <n v="0"/>
    <n v="0"/>
    <n v="6.72"/>
    <n v="0"/>
    <n v="1530.26358"/>
    <n v="4288.1925016111109"/>
    <n v="29.937489360146603"/>
    <n v="2.3949991488117286"/>
    <n v="0.95799965952469157"/>
    <n v="14.943624500000002"/>
    <n v="5.6486900610000017"/>
    <n v="130.55509404444442"/>
    <n v="3.5580058333333335"/>
    <n v="187.99590260726077"/>
    <n v="36.054459111111107"/>
    <n v="8.6578141944444447"/>
    <n v="0.72939119583333334"/>
    <n v="0.88950145833333338"/>
    <n v="5.5346757407407408"/>
    <n v="19.605288162775004"/>
    <n v="71.471129863237962"/>
    <n v="472.70648705651831"/>
    <n v="472.70648705651831"/>
    <n v="0"/>
    <n v="0"/>
    <n v="544.17761691975625"/>
    <n v="113.28595792508679"/>
    <n v="0"/>
    <n v="0"/>
    <n v="0"/>
    <n v="0"/>
    <n v="113.28595792508679"/>
    <n v="9403.2589790632155"/>
    <n v="762.32190212904652"/>
    <n v="640.35039778839939"/>
    <n v="8.6609686609686695E-2"/>
    <n v="1.880341880341882E-2"/>
    <n v="0.03"/>
    <n v="3.4188034188034219E-2"/>
    <n v="0.1225"/>
    <n v="0.13960113960113973"/>
    <n v="1508.5203209973017"/>
    <n v="2911.1926209147477"/>
    <n v="12314.451599977963"/>
    <n v="147773.41919973557"/>
    <d v="2025-01-01T00:00:00"/>
    <s v="-"/>
    <s v="-"/>
  </r>
  <r>
    <s v="1.672.42"/>
    <x v="126"/>
    <x v="42"/>
    <s v="Sete Lagoas"/>
    <s v="Apoio"/>
    <x v="0"/>
    <n v="2"/>
    <n v="0"/>
    <n v="4269.607"/>
    <n v="0"/>
    <n v="0"/>
    <n v="860.32579999999996"/>
    <n v="0"/>
    <n v="0"/>
    <n v="0"/>
    <n v="0"/>
    <n v="5129.9327999999996"/>
    <n v="1025.9865600000001"/>
    <n v="76.94899199999999"/>
    <n v="51.299327999999996"/>
    <n v="10.259865599999999"/>
    <n v="128.24832000000001"/>
    <n v="410.39462399999996"/>
    <n v="205.19731199999998"/>
    <n v="30.779596799999997"/>
    <n v="1939.1145984000002"/>
    <n v="427.49439999999993"/>
    <n v="569.9925333333332"/>
    <n v="377.05006079999998"/>
    <n v="1374.5369941333331"/>
    <n v="255.82357999999999"/>
    <n v="1164"/>
    <n v="0"/>
    <n v="103.72"/>
    <n v="0"/>
    <n v="0"/>
    <n v="6.72"/>
    <n v="0"/>
    <n v="1530.26358"/>
    <n v="4843.9151725333331"/>
    <n v="35.969893392592589"/>
    <n v="2.8775914714074076"/>
    <n v="1.151036588562963"/>
    <n v="17.9547648"/>
    <n v="6.7869010944000019"/>
    <n v="156.86194517333331"/>
    <n v="4.2749439999999996"/>
    <n v="225.87707652029627"/>
    <n v="43.319432533333327"/>
    <n v="10.402363733333331"/>
    <n v="0.87636351999999995"/>
    <n v="1.0687359999999999"/>
    <n v="6.6499128888888883"/>
    <n v="23.555753679360002"/>
    <n v="85.872562354915544"/>
    <n v="567.95684419840688"/>
    <n v="567.95684419840688"/>
    <n v="0"/>
    <n v="0"/>
    <n v="653.82940655332243"/>
    <n v="113.28595792508679"/>
    <n v="0"/>
    <n v="0"/>
    <n v="0"/>
    <n v="0"/>
    <n v="113.28595792508679"/>
    <n v="10966.84041353204"/>
    <n v="762.32190212904652"/>
    <n v="640.35039778839939"/>
    <n v="8.6609686609686695E-2"/>
    <n v="1.880341880341882E-2"/>
    <n v="0.03"/>
    <n v="3.4188034188034219E-2"/>
    <n v="0.1225"/>
    <n v="0.13960113960113973"/>
    <n v="1726.7980711083344"/>
    <n v="3129.47037102578"/>
    <n v="14096.31078455782"/>
    <n v="169155.72941469384"/>
    <d v="2025-01-01T00:00:00"/>
    <s v="-"/>
    <s v="-"/>
  </r>
  <r>
    <s v="1.680.43"/>
    <x v="127"/>
    <x v="2"/>
    <s v="Sethac Norte de Mina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0"/>
    <n v="0"/>
    <n v="3.36"/>
    <n v="0"/>
    <n v="723.55534"/>
    <n v="1991.8097676111111"/>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398.9194844431349"/>
    <n v="381.16095106452326"/>
    <n v="320.1751988941997"/>
    <n v="8.6609686609686695E-2"/>
    <n v="1.880341880341882E-2"/>
    <n v="0.03"/>
    <n v="3.4188034188034219E-2"/>
    <n v="0.1225"/>
    <n v="0.13960113960113973"/>
    <n v="712.00149881963318"/>
    <n v="1413.3376487783562"/>
    <n v="5812.2571332214911"/>
    <n v="69747.085598657897"/>
    <d v="2025-01-01T00:00:00"/>
    <s v="-"/>
    <s v="-"/>
  </r>
  <r>
    <s v="1.686.28"/>
    <x v="128"/>
    <x v="5"/>
    <s v="Teofilo Otoni"/>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0"/>
    <n v="15.07"/>
    <n v="0"/>
    <n v="3.36"/>
    <n v="0"/>
    <n v="718.65945800000009"/>
    <n v="2397.9701282166666"/>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226.33322732312172"/>
    <n v="441.81099462365592"/>
    <n v="113.11309677419354"/>
    <n v="0"/>
    <n v="0"/>
    <n v="781.25731872097117"/>
    <n v="5936.9933521176254"/>
    <n v="381.16095106452326"/>
    <n v="320.1751988941997"/>
    <n v="8.5633802816901458E-2"/>
    <n v="1.8591549295774657E-2"/>
    <n v="0.02"/>
    <n v="2.2535211267605645E-2"/>
    <n v="0.1125"/>
    <n v="0.12676056338028174"/>
    <n v="841.47838758714306"/>
    <n v="1542.814537545866"/>
    <n v="7479.8078896634916"/>
    <n v="89757.694675961902"/>
    <d v="2025-01-01T00:00:00"/>
    <s v="-"/>
    <s v="-"/>
  </r>
  <r>
    <s v="1.686.35"/>
    <x v="128"/>
    <x v="6"/>
    <s v="Rodoviarios de Teofilo Otoni + SEAC-MG"/>
    <s v="Apoio"/>
    <x v="0"/>
    <n v="3"/>
    <n v="0"/>
    <n v="13023.060000000001"/>
    <n v="0"/>
    <n v="0"/>
    <n v="0"/>
    <n v="0"/>
    <n v="0"/>
    <n v="0"/>
    <n v="0"/>
    <n v="13023.060000000001"/>
    <n v="2604.6120000000005"/>
    <n v="195.34590000000003"/>
    <n v="130.23060000000001"/>
    <n v="26.046120000000002"/>
    <n v="325.57650000000007"/>
    <n v="1041.8448000000001"/>
    <n v="520.92240000000004"/>
    <n v="78.138360000000006"/>
    <n v="4922.7166800000005"/>
    <n v="1085.2550000000001"/>
    <n v="1447.0066666666667"/>
    <n v="957.19490999999994"/>
    <n v="3489.4565766666665"/>
    <n v="0"/>
    <n v="1735.1999999999998"/>
    <n v="0"/>
    <n v="67.56"/>
    <n v="0"/>
    <n v="0"/>
    <n v="10.08"/>
    <n v="1987.2599999999998"/>
    <n v="3800.0999999999995"/>
    <n v="12212.273256666665"/>
    <n v="91.314662025462965"/>
    <n v="7.3051729620370383"/>
    <n v="2.9220691848148155"/>
    <n v="45.58071000000001"/>
    <n v="17.229508380000006"/>
    <n v="398.21623466666665"/>
    <n v="10.852550000000003"/>
    <n v="573.42090721898148"/>
    <n v="109.97250666666666"/>
    <n v="26.407871666666665"/>
    <n v="2.2247727500000005"/>
    <n v="2.7131375000000006"/>
    <n v="16.881744444444447"/>
    <n v="59.799612484500017"/>
    <n v="217.99964551227777"/>
    <n v="0"/>
    <n v="0"/>
    <n v="0"/>
    <n v="0"/>
    <n v="217.99964551227777"/>
    <n v="276.30229131471208"/>
    <n v="0"/>
    <n v="0"/>
    <n v="0"/>
    <n v="0"/>
    <n v="276.30229131471208"/>
    <n v="26303.056100712638"/>
    <n v="1143.4828531935698"/>
    <n v="960.52559668259914"/>
    <n v="8.5633802816901458E-2"/>
    <n v="1.8591549295774657E-2"/>
    <n v="0.02"/>
    <n v="2.2535211267605645E-2"/>
    <n v="0.1125"/>
    <n v="0.12676056338028174"/>
    <n v="3600.8955064126671"/>
    <n v="5704.9039562888356"/>
    <n v="32007.96005700147"/>
    <n v="384095.52068401763"/>
    <d v="2025-01-01T00:00:00"/>
    <s v="-"/>
    <s v="-"/>
  </r>
  <r>
    <s v="3.686.35"/>
    <x v="128"/>
    <x v="6"/>
    <s v="Rodoviarios de Teofilo Otoni + SEAC-MG"/>
    <s v="Apoio"/>
    <x v="1"/>
    <n v="1"/>
    <n v="0"/>
    <n v="4341.0200000000004"/>
    <n v="0"/>
    <n v="0"/>
    <n v="0"/>
    <n v="0"/>
    <n v="0"/>
    <n v="0"/>
    <n v="0"/>
    <n v="4341.0200000000004"/>
    <n v="868.20400000000018"/>
    <n v="65.115300000000005"/>
    <n v="43.410200000000003"/>
    <n v="8.6820400000000006"/>
    <n v="108.52550000000002"/>
    <n v="347.28160000000003"/>
    <n v="173.64080000000001"/>
    <n v="26.046120000000002"/>
    <n v="1640.9055600000002"/>
    <n v="361.75166666666667"/>
    <n v="482.33555555555557"/>
    <n v="319.06496999999996"/>
    <n v="1163.1521922222221"/>
    <n v="0"/>
    <n v="578.4"/>
    <n v="0"/>
    <n v="22.52"/>
    <n v="0"/>
    <n v="0"/>
    <n v="3.36"/>
    <n v="662.42"/>
    <n v="1266.6999999999998"/>
    <n v="4070.7577522222218"/>
    <n v="30.438220675154323"/>
    <n v="2.4350576540123461"/>
    <n v="0.97402306160493857"/>
    <n v="15.193570000000003"/>
    <n v="5.7431694600000025"/>
    <n v="132.73874488888887"/>
    <n v="3.6175166666666674"/>
    <n v="191.14030240632715"/>
    <n v="36.65750222222222"/>
    <n v="8.8026238888888884"/>
    <n v="0.74159091666666677"/>
    <n v="0.90437916666666684"/>
    <n v="5.6272481481481487"/>
    <n v="19.933204161500004"/>
    <n v="72.666548504092589"/>
    <n v="0"/>
    <n v="0"/>
    <n v="0"/>
    <n v="0"/>
    <n v="72.666548504092589"/>
    <n v="92.100763771570698"/>
    <n v="0"/>
    <n v="0"/>
    <n v="0"/>
    <n v="0"/>
    <n v="92.100763771570698"/>
    <n v="8767.6853669042121"/>
    <n v="381.16095106452326"/>
    <n v="320.1751988941997"/>
    <n v="8.5633802816901458E-2"/>
    <n v="1.8591549295774657E-2"/>
    <n v="0.02"/>
    <n v="2.2535211267605645E-2"/>
    <n v="0.1125"/>
    <n v="0.12676056338028174"/>
    <n v="1200.2985021375557"/>
    <n v="1901.6346520962786"/>
    <n v="10669.32001900049"/>
    <n v="128031.84022800588"/>
    <d v="2025-01-01T00:00:00"/>
    <s v="-"/>
    <s v="-"/>
  </r>
  <r>
    <s v="1.686.41"/>
    <x v="128"/>
    <x v="41"/>
    <s v="Teofilo Otoni"/>
    <s v="Apoio"/>
    <x v="0"/>
    <n v="4"/>
    <n v="0"/>
    <n v="8539.2168000000001"/>
    <n v="0"/>
    <n v="0"/>
    <n v="0"/>
    <n v="0"/>
    <n v="0"/>
    <n v="0"/>
    <n v="0"/>
    <n v="8539.2168000000001"/>
    <n v="1707.8433600000001"/>
    <n v="128.08825200000001"/>
    <n v="85.392167999999998"/>
    <n v="17.0784336"/>
    <n v="213.48042000000001"/>
    <n v="683.13734399999998"/>
    <n v="341.56867199999999"/>
    <n v="51.235300800000005"/>
    <n v="3227.8239503999998"/>
    <n v="711.60140000000001"/>
    <n v="948.80186666666668"/>
    <n v="627.63243479999994"/>
    <n v="2288.0357014666665"/>
    <n v="511.64699199999995"/>
    <n v="2328"/>
    <n v="0"/>
    <n v="0"/>
    <n v="60.28"/>
    <n v="0"/>
    <n v="13.44"/>
    <n v="0"/>
    <n v="2913.3669920000002"/>
    <n v="8429.2266438666666"/>
    <n v="59.874998353240741"/>
    <n v="4.7899998682592599"/>
    <n v="1.9159999473037042"/>
    <n v="29.887258800000005"/>
    <n v="11.297383826400004"/>
    <n v="261.11027370666665"/>
    <n v="7.1160140000000007"/>
    <n v="375.99192850187035"/>
    <n v="72.108941866666655"/>
    <n v="17.315634066666664"/>
    <n v="1.4587828700000001"/>
    <n v="1.7790035000000002"/>
    <n v="11.069355111111111"/>
    <n v="39.210589182660009"/>
    <n v="142.94230659710442"/>
    <n v="945.41327153617294"/>
    <n v="945.41327153617294"/>
    <n v="0"/>
    <n v="0"/>
    <n v="1088.3555781332773"/>
    <n v="226.57191585017358"/>
    <n v="0"/>
    <n v="0"/>
    <n v="0"/>
    <n v="0"/>
    <n v="226.57191585017358"/>
    <n v="18659.362866351985"/>
    <n v="1524.643804258093"/>
    <n v="1280.7007955767988"/>
    <n v="8.5633802816901458E-2"/>
    <n v="1.8591549295774657E-2"/>
    <n v="0.02"/>
    <n v="2.2535211267605645E-2"/>
    <n v="0.1125"/>
    <n v="0.12676056338028174"/>
    <n v="2720.8784112067883"/>
    <n v="5526.2230110416804"/>
    <n v="24185.585877393663"/>
    <n v="290227.03052872396"/>
    <d v="2025-01-01T00:00:00"/>
    <s v="-"/>
    <s v="-"/>
  </r>
  <r>
    <s v="1.686.42"/>
    <x v="128"/>
    <x v="42"/>
    <s v="Teofilo Otoni"/>
    <s v="Apoio"/>
    <x v="0"/>
    <n v="4"/>
    <n v="0"/>
    <n v="8539.2168000000001"/>
    <n v="0"/>
    <n v="0"/>
    <n v="1720.652"/>
    <n v="0"/>
    <n v="0"/>
    <n v="0"/>
    <n v="0"/>
    <n v="10259.8688"/>
    <n v="2051.9737600000003"/>
    <n v="153.898032"/>
    <n v="102.59868800000001"/>
    <n v="20.519737599999999"/>
    <n v="256.49672000000004"/>
    <n v="820.78950400000008"/>
    <n v="410.39475200000004"/>
    <n v="61.559212800000005"/>
    <n v="3878.2304064000009"/>
    <n v="854.98906666666664"/>
    <n v="1139.9854222222223"/>
    <n v="754.10035680000021"/>
    <n v="2749.0748456888891"/>
    <n v="511.64699199999995"/>
    <n v="2328"/>
    <n v="0"/>
    <n v="0"/>
    <n v="60.28"/>
    <n v="0"/>
    <n v="13.44"/>
    <n v="0"/>
    <n v="2913.3669920000002"/>
    <n v="9540.6722440888916"/>
    <n v="71.939809222839514"/>
    <n v="5.755184737827161"/>
    <n v="2.3020738951308646"/>
    <n v="35.909540800000009"/>
    <n v="13.573806422400004"/>
    <n v="313.72398819555553"/>
    <n v="8.5498906666666681"/>
    <n v="451.75429394041976"/>
    <n v="86.63889208888888"/>
    <n v="20.804733955555555"/>
    <n v="1.7527275866666667"/>
    <n v="2.137472666666667"/>
    <n v="13.299829925925925"/>
    <n v="47.111522052560012"/>
    <n v="171.74517827626372"/>
    <n v="1135.9140457507119"/>
    <n v="1135.9140457507119"/>
    <n v="0"/>
    <n v="0"/>
    <n v="1307.6592240269756"/>
    <n v="226.57191585017358"/>
    <n v="0"/>
    <n v="0"/>
    <n v="0"/>
    <n v="0"/>
    <n v="226.57191585017358"/>
    <n v="21786.52647790646"/>
    <n v="1524.643804258093"/>
    <n v="1280.7007955767988"/>
    <n v="8.5633802816901458E-2"/>
    <n v="1.8591549295774657E-2"/>
    <n v="0.02"/>
    <n v="2.2535211267605645E-2"/>
    <n v="0.1125"/>
    <n v="0.12676056338028174"/>
    <n v="3117.2794323897501"/>
    <n v="5922.6240322246413"/>
    <n v="27709.150510131101"/>
    <n v="332509.8061215732"/>
    <d v="2025-01-01T00:00:00"/>
    <s v="-"/>
    <s v="-"/>
  </r>
  <r>
    <s v="1.687.45"/>
    <x v="129"/>
    <x v="4"/>
    <s v="Seethur"/>
    <s v="Apoio"/>
    <x v="0"/>
    <n v="1"/>
    <n v="0"/>
    <n v="3397.1306"/>
    <n v="0"/>
    <n v="0"/>
    <n v="0"/>
    <n v="0"/>
    <n v="0"/>
    <n v="0"/>
    <n v="0"/>
    <n v="3397.1306"/>
    <n v="679.42612000000008"/>
    <n v="50.956958999999998"/>
    <n v="33.971305999999998"/>
    <n v="6.7942612000000002"/>
    <n v="84.92826500000001"/>
    <n v="271.77044799999999"/>
    <n v="135.88522399999999"/>
    <n v="20.3827836"/>
    <n v="1284.1153668000002"/>
    <n v="283.09421666666663"/>
    <n v="377.45895555555552"/>
    <n v="249.68909910000002"/>
    <n v="910.24227132222222"/>
    <n v="52.172164000000009"/>
    <n v="582"/>
    <n v="0"/>
    <n v="51.86"/>
    <n v="0"/>
    <n v="0"/>
    <n v="3.36"/>
    <n v="0"/>
    <n v="689.39216400000009"/>
    <n v="2883.7498021222227"/>
    <n v="23.819888151890432"/>
    <n v="1.9055910521512347"/>
    <n v="0.76223642086049392"/>
    <n v="11.889957100000002"/>
    <n v="4.4944037838000011"/>
    <n v="103.87670456888887"/>
    <n v="2.830942166666667"/>
    <n v="149.57972324425771"/>
    <n v="28.686880622222219"/>
    <n v="6.8886259388888886"/>
    <n v="0.58034314416666666"/>
    <n v="0.70773554166666675"/>
    <n v="4.4036878148148144"/>
    <n v="15.599029217345002"/>
    <n v="56.866302279104261"/>
    <n v="0"/>
    <n v="0"/>
    <n v="0"/>
    <n v="0"/>
    <n v="56.866302279104261"/>
    <n v="56.642978962543395"/>
    <n v="0"/>
    <n v="0"/>
    <n v="0"/>
    <n v="0"/>
    <n v="56.642978962543395"/>
    <n v="6543.9694066081274"/>
    <n v="381.16095106452326"/>
    <n v="320.1751988941997"/>
    <n v="8.6609686609686695E-2"/>
    <n v="1.880341880341882E-2"/>
    <n v="0.03"/>
    <n v="3.4188034188034219E-2"/>
    <n v="0.1225"/>
    <n v="0.13960113960113973"/>
    <n v="1011.4529124552023"/>
    <n v="1712.7890624139252"/>
    <n v="8256.7584690220519"/>
    <n v="99081.101628264616"/>
    <d v="2025-01-01T00:00:00"/>
    <s v="-"/>
    <s v="-"/>
  </r>
  <r>
    <s v="1.692.43"/>
    <x v="130"/>
    <x v="2"/>
    <s v="Regiao de Juiz de Fora"/>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88"/>
    <n v="0"/>
    <n v="0"/>
    <n v="3.36"/>
    <n v="0"/>
    <n v="775.43534"/>
    <n v="2043.68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799484443136"/>
    <n v="381.16095106452326"/>
    <n v="320.1751988941997"/>
    <n v="8.6609686609686695E-2"/>
    <n v="1.880341880341882E-2"/>
    <n v="0.03"/>
    <n v="3.4188034188034219E-2"/>
    <n v="0.1225"/>
    <n v="0.13960113960113973"/>
    <n v="719.24400594214046"/>
    <n v="1420.5801559008632"/>
    <n v="5871.3796403439992"/>
    <n v="70456.55568412799"/>
    <d v="2025-01-01T00:00:00"/>
    <s v="-"/>
    <s v="-"/>
  </r>
  <r>
    <s v="1.693.45"/>
    <x v="131"/>
    <x v="4"/>
    <s v="Regiao de Sao Lourenco"/>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3.27"/>
    <n v="0"/>
    <n v="0"/>
    <n v="3.36"/>
    <n v="0"/>
    <n v="690.80217000000005"/>
    <n v="2885.1597435277781"/>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5.3792419366127"/>
    <n v="381.16095106452326"/>
    <n v="320.1751988941997"/>
    <n v="8.6609686609686695E-2"/>
    <n v="1.880341880341882E-2"/>
    <n v="0.03"/>
    <n v="3.4188034188034219E-2"/>
    <n v="0.1225"/>
    <n v="0.13960113960113973"/>
    <n v="1011.6497270737087"/>
    <n v="1712.9858770324317"/>
    <n v="8258.3651189690445"/>
    <n v="99100.381427628541"/>
    <d v="2025-01-01T00:00:00"/>
    <s v="-"/>
    <s v="-"/>
  </r>
  <r>
    <s v="1.696.44"/>
    <x v="132"/>
    <x v="7"/>
    <s v="Alto Paranaiba"/>
    <s v="Apoio"/>
    <x v="0"/>
    <n v="1"/>
    <n v="0"/>
    <n v="2316.2253000000001"/>
    <n v="0"/>
    <n v="0"/>
    <n v="0"/>
    <n v="0"/>
    <n v="0"/>
    <n v="0"/>
    <n v="0"/>
    <n v="2316.2253000000001"/>
    <n v="463.24506000000002"/>
    <n v="34.743379499999996"/>
    <n v="23.162253"/>
    <n v="4.6324506000000003"/>
    <n v="57.905632500000003"/>
    <n v="185.298024"/>
    <n v="92.649011999999999"/>
    <n v="13.897351800000001"/>
    <n v="875.53316340000003"/>
    <n v="193.01877500000001"/>
    <n v="257.35836666666665"/>
    <n v="170.24255955000001"/>
    <n v="620.61970121666673"/>
    <n v="117.02648200000002"/>
    <n v="0"/>
    <n v="387.79"/>
    <n v="42.97"/>
    <n v="0"/>
    <n v="0"/>
    <n v="3.36"/>
    <n v="0"/>
    <n v="551.14648200000011"/>
    <n v="2047.2993466166668"/>
    <n v="16.240832065914354"/>
    <n v="1.2992665652731483"/>
    <n v="0.51970662610925933"/>
    <n v="8.106788550000001"/>
    <n v="3.0643660719000008"/>
    <n v="70.825022506666656"/>
    <n v="1.9301877500000002"/>
    <n v="101.98617013586342"/>
    <n v="19.559235866666665"/>
    <n v="4.6967901916666666"/>
    <n v="0.39568848875000001"/>
    <n v="0.48254693750000005"/>
    <n v="3.0025142777777778"/>
    <n v="10.635701238172501"/>
    <n v="38.772477000533613"/>
    <n v="0"/>
    <n v="0"/>
    <n v="0"/>
    <n v="0"/>
    <n v="38.772477000533613"/>
    <n v="56.642978962543395"/>
    <n v="0"/>
    <n v="0"/>
    <n v="0"/>
    <n v="0"/>
    <n v="56.642978962543395"/>
    <n v="4560.9262727156065"/>
    <n v="381.16095106452326"/>
    <n v="320.1751988941997"/>
    <n v="8.5633802816901458E-2"/>
    <n v="1.8591549295774657E-2"/>
    <n v="0.02"/>
    <n v="2.2535211267605645E-2"/>
    <n v="0.1125"/>
    <n v="0.12676056338028174"/>
    <n v="667.04734935308431"/>
    <n v="1368.3834993118071"/>
    <n v="5929.3097720274136"/>
    <n v="71151.717264328967"/>
    <d v="2025-01-01T00:00:00"/>
    <s v="-"/>
    <s v="-"/>
  </r>
  <r>
    <s v="1.699.35"/>
    <x v="133"/>
    <x v="6"/>
    <s v="Rodoviarios de Juiz de Fora e Região + SEAC-MG"/>
    <s v="Apoio"/>
    <x v="0"/>
    <n v="1"/>
    <n v="0"/>
    <n v="4599.5953"/>
    <n v="0"/>
    <n v="0"/>
    <n v="0"/>
    <n v="0"/>
    <n v="0"/>
    <n v="0"/>
    <n v="0"/>
    <n v="4599.5953"/>
    <n v="919.91906000000006"/>
    <n v="68.993929499999993"/>
    <n v="45.995953"/>
    <n v="9.1991905999999997"/>
    <n v="114.98988250000001"/>
    <n v="367.967624"/>
    <n v="183.983812"/>
    <n v="27.597571800000001"/>
    <n v="1738.6470234000003"/>
    <n v="383.29960833333331"/>
    <n v="511.06614444444443"/>
    <n v="338.07025455000002"/>
    <n v="1232.4360073277778"/>
    <n v="0"/>
    <n v="578.4"/>
    <n v="0"/>
    <n v="0"/>
    <n v="0"/>
    <n v="0"/>
    <n v="3.36"/>
    <n v="662.42"/>
    <n v="1244.1799999999998"/>
    <n v="4215.2630307277777"/>
    <n v="32.251290424324843"/>
    <n v="2.5801032339459877"/>
    <n v="1.0320412935783951"/>
    <n v="16.098583550000001"/>
    <n v="6.0852645819000015"/>
    <n v="140.64540295111109"/>
    <n v="3.8329960833333336"/>
    <n v="202.52568211819366"/>
    <n v="38.841026977777773"/>
    <n v="9.3269571361111101"/>
    <n v="0.78576419708333334"/>
    <n v="0.95824902083333341"/>
    <n v="5.9624383518518513"/>
    <n v="21.120536688422504"/>
    <n v="76.9949723720799"/>
    <n v="0"/>
    <n v="0"/>
    <n v="0"/>
    <n v="0"/>
    <n v="76.9949723720799"/>
    <n v="92.100763771570698"/>
    <n v="0"/>
    <n v="0"/>
    <n v="0"/>
    <n v="0"/>
    <n v="92.100763771570698"/>
    <n v="9186.4797489896209"/>
    <n v="381.16095106452326"/>
    <n v="320.1751988941997"/>
    <n v="8.6609686609686695E-2"/>
    <n v="1.880341880341882E-2"/>
    <n v="0.03"/>
    <n v="3.4188034188034219E-2"/>
    <n v="0.1225"/>
    <n v="0.13960113960113973"/>
    <n v="1380.3503676594567"/>
    <n v="2081.6865176181796"/>
    <n v="11268.166266607801"/>
    <n v="135217.9951992936"/>
    <d v="2025-01-01T00:00:00"/>
    <s v="-"/>
    <s v="-"/>
  </r>
  <r>
    <s v="1.699.43"/>
    <x v="133"/>
    <x v="2"/>
    <s v="Cataguase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7.07"/>
    <n v="0"/>
    <n v="0"/>
    <n v="3.36"/>
    <n v="0"/>
    <n v="780.62534000000005"/>
    <n v="2048.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5.9894844431356"/>
    <n v="381.16095106452326"/>
    <n v="320.1751988941997"/>
    <n v="8.6609686609686695E-2"/>
    <n v="1.880341880341882E-2"/>
    <n v="0.03"/>
    <n v="3.4188034188034219E-2"/>
    <n v="0.1225"/>
    <n v="0.13960113960113973"/>
    <n v="719.96853585667031"/>
    <n v="1421.3046858153932"/>
    <n v="5877.2941702585285"/>
    <n v="70527.530043102335"/>
    <d v="2025-01-01T00:00:00"/>
    <s v="-"/>
    <s v="-"/>
  </r>
  <r>
    <s v="1.701.13"/>
    <x v="134"/>
    <x v="3"/>
    <s v="Uberaba"/>
    <s v="Apoio"/>
    <x v="0"/>
    <n v="1"/>
    <n v="0"/>
    <n v="1649.1152999999999"/>
    <n v="0"/>
    <n v="0"/>
    <n v="0"/>
    <n v="0"/>
    <n v="0"/>
    <n v="0"/>
    <n v="0"/>
    <n v="1649.1152999999999"/>
    <n v="329.82306"/>
    <n v="24.736729499999999"/>
    <n v="16.491153000000001"/>
    <n v="3.2982306000000001"/>
    <n v="41.2278825"/>
    <n v="131.929224"/>
    <n v="65.964612000000002"/>
    <n v="9.8946918000000004"/>
    <n v="623.36558340000011"/>
    <n v="137.42627499999998"/>
    <n v="183.23503333333332"/>
    <n v="121.20997455"/>
    <n v="441.87128288333327"/>
    <n v="157.05308200000002"/>
    <n v="582"/>
    <n v="0"/>
    <n v="51.86"/>
    <n v="0"/>
    <n v="0"/>
    <n v="3.36"/>
    <n v="0"/>
    <n v="794.27308200000004"/>
    <n v="1859.5099482833334"/>
    <n v="11.563212199016203"/>
    <n v="0.92505697592129632"/>
    <n v="0.37002279036851859"/>
    <n v="5.7719035500000002"/>
    <n v="2.1817795419000006"/>
    <n v="50.426281173333322"/>
    <n v="1.37426275"/>
    <n v="72.612518980539335"/>
    <n v="13.925862533333332"/>
    <n v="3.3440393583333332"/>
    <n v="0.28172386374999997"/>
    <n v="0.34356568749999999"/>
    <n v="2.1377420555555555"/>
    <n v="7.572448862422501"/>
    <n v="27.605382360894719"/>
    <n v="0"/>
    <n v="0"/>
    <n v="0"/>
    <n v="0"/>
    <n v="27.605382360894719"/>
    <n v="56.141713661989918"/>
    <n v="0"/>
    <n v="0"/>
    <n v="0"/>
    <n v="0"/>
    <n v="56.141713661989918"/>
    <n v="3664.984863286757"/>
    <n v="381.16095106452326"/>
    <n v="320.1751988941997"/>
    <n v="8.6609686609686695E-2"/>
    <n v="1.880341880341882E-2"/>
    <n v="0.03"/>
    <n v="3.4188034188034219E-2"/>
    <n v="0.1225"/>
    <n v="0.13960113960113973"/>
    <n v="609.54338931347206"/>
    <n v="1310.879539272195"/>
    <n v="4975.864402558952"/>
    <n v="59710.37283070742"/>
    <d v="2025-01-01T00:00:00"/>
    <s v="-"/>
    <s v="-"/>
  </r>
  <r>
    <s v="1.701.16"/>
    <x v="134"/>
    <x v="22"/>
    <s v="SETTASPOC"/>
    <s v="Apoio"/>
    <x v="0"/>
    <n v="5"/>
    <n v="0"/>
    <n v="9182.9925000000003"/>
    <n v="0"/>
    <n v="0"/>
    <n v="0"/>
    <n v="0"/>
    <n v="0"/>
    <n v="0"/>
    <n v="0"/>
    <n v="9182.9925000000003"/>
    <n v="1836.5985000000001"/>
    <n v="137.7448875"/>
    <n v="91.829925000000003"/>
    <n v="18.365985000000002"/>
    <n v="229.57481250000001"/>
    <n v="734.63940000000002"/>
    <n v="367.31970000000001"/>
    <n v="55.097954999999999"/>
    <n v="3471.1711650000002"/>
    <n v="765.24937499999987"/>
    <n v="1020.3325"/>
    <n v="674.94994874999986"/>
    <n v="2460.5318237499996"/>
    <n v="729.02044999999998"/>
    <n v="2909"/>
    <n v="0"/>
    <n v="258.64999999999998"/>
    <n v="0"/>
    <n v="0"/>
    <n v="16.8"/>
    <n v="0"/>
    <n v="3913.4704499999998"/>
    <n v="9845.1734387500001"/>
    <n v="64.389003546006947"/>
    <n v="5.1511202836805561"/>
    <n v="2.0604481134722228"/>
    <n v="32.140473750000005"/>
    <n v="12.149099077500003"/>
    <n v="280.79550399999994"/>
    <n v="7.6524937500000014"/>
    <n v="404.33814252065974"/>
    <n v="77.545269999999988"/>
    <n v="18.621068125000001"/>
    <n v="1.56876121875"/>
    <n v="1.9131234375000004"/>
    <n v="11.903879166666666"/>
    <n v="42.166694536312512"/>
    <n v="153.71879648422919"/>
    <n v="0"/>
    <n v="0"/>
    <n v="0"/>
    <n v="0"/>
    <n v="153.71879648422919"/>
    <n v="220.55673224353177"/>
    <n v="0"/>
    <n v="0"/>
    <n v="0"/>
    <n v="0"/>
    <n v="220.55673224353177"/>
    <n v="19806.779609998419"/>
    <n v="1905.8047553226163"/>
    <n v="1600.8759944709984"/>
    <n v="8.6609686609686695E-2"/>
    <n v="1.880341880341882E-2"/>
    <n v="0.03"/>
    <n v="3.4188034188034219E-2"/>
    <n v="0.1225"/>
    <n v="0.13960113960113973"/>
    <n v="3254.5856342729649"/>
    <n v="6761.26638406658"/>
    <n v="26568.045994064996"/>
    <n v="318816.55192877993"/>
    <d v="2025-01-01T00:00:00"/>
    <s v="-"/>
    <s v="-"/>
  </r>
  <r>
    <s v="1.701.28"/>
    <x v="134"/>
    <x v="5"/>
    <s v="Uberaba"/>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51.86"/>
    <n v="0"/>
    <n v="0"/>
    <n v="3.36"/>
    <n v="0"/>
    <n v="755.44945800000005"/>
    <n v="2434.7601282166665"/>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226.33322732312172"/>
    <n v="441.81099462365592"/>
    <n v="113.11309677419354"/>
    <n v="0"/>
    <n v="0"/>
    <n v="781.25731872097117"/>
    <n v="5973.7833521176253"/>
    <n v="381.16095106452326"/>
    <n v="320.1751988941997"/>
    <n v="8.6609686609686695E-2"/>
    <n v="1.880341880341882E-2"/>
    <n v="0.03"/>
    <n v="3.4188034188034219E-2"/>
    <n v="0.1225"/>
    <n v="0.13960113960113973"/>
    <n v="931.85428946365062"/>
    <n v="1633.1904394223734"/>
    <n v="7606.9737915399983"/>
    <n v="91283.685498479987"/>
    <d v="2025-01-01T00:00:00"/>
    <s v="-"/>
    <s v="-"/>
  </r>
  <r>
    <s v="1.701.35"/>
    <x v="134"/>
    <x v="6"/>
    <s v="Rodoviarios de Uberaba + SEAC-MG"/>
    <s v="Apoio"/>
    <x v="0"/>
    <n v="4"/>
    <n v="0"/>
    <n v="18398.3812"/>
    <n v="0"/>
    <n v="0"/>
    <n v="0"/>
    <n v="0"/>
    <n v="0"/>
    <n v="0"/>
    <n v="0"/>
    <n v="18398.3812"/>
    <n v="3679.6762400000002"/>
    <n v="275.97571799999997"/>
    <n v="183.983812"/>
    <n v="36.796762399999999"/>
    <n v="459.95953000000003"/>
    <n v="1471.870496"/>
    <n v="735.935248"/>
    <n v="110.3902872"/>
    <n v="6954.5880936000012"/>
    <n v="1533.1984333333332"/>
    <n v="2044.2645777777777"/>
    <n v="1352.2810182000001"/>
    <n v="4929.7440293111113"/>
    <n v="0"/>
    <n v="2313.6"/>
    <n v="0"/>
    <n v="0"/>
    <n v="0"/>
    <n v="0"/>
    <n v="13.44"/>
    <n v="2649.68"/>
    <n v="4976.7199999999993"/>
    <n v="16861.052122911111"/>
    <n v="129.00516169729937"/>
    <n v="10.320412935783951"/>
    <n v="4.1281651743135805"/>
    <n v="64.394334200000003"/>
    <n v="24.341058327600006"/>
    <n v="562.58161180444438"/>
    <n v="15.331984333333335"/>
    <n v="810.10272847277463"/>
    <n v="155.36410791111109"/>
    <n v="37.30782854444444"/>
    <n v="3.1430567883333334"/>
    <n v="3.8329960833333336"/>
    <n v="23.849753407407405"/>
    <n v="84.482146753690017"/>
    <n v="307.9798894883196"/>
    <n v="0"/>
    <n v="0"/>
    <n v="0"/>
    <n v="0"/>
    <n v="307.9798894883196"/>
    <n v="368.40305508628279"/>
    <n v="0"/>
    <n v="0"/>
    <n v="0"/>
    <n v="0"/>
    <n v="368.40305508628279"/>
    <n v="36745.918995958484"/>
    <n v="1524.643804258093"/>
    <n v="1280.7007955767988"/>
    <n v="8.6609686609686695E-2"/>
    <n v="1.880341880341882E-2"/>
    <n v="0.03"/>
    <n v="3.4188034188034219E-2"/>
    <n v="0.1225"/>
    <n v="0.13960113960113973"/>
    <n v="5521.4014706378266"/>
    <n v="8326.7460704727182"/>
    <n v="45072.665066431204"/>
    <n v="540871.98079717439"/>
    <d v="2025-01-01T00:00:00"/>
    <s v="-"/>
    <s v="-"/>
  </r>
  <r>
    <s v="1.701.43"/>
    <x v="134"/>
    <x v="2"/>
    <s v="Uberaba"/>
    <s v="Apoio"/>
    <x v="0"/>
    <n v="1"/>
    <n v="0"/>
    <n v="2134.8042"/>
    <n v="0"/>
    <n v="0"/>
    <n v="0"/>
    <n v="0"/>
    <n v="0"/>
    <n v="0"/>
    <n v="0"/>
    <n v="2134.8042"/>
    <n v="426.96084000000002"/>
    <n v="32.022063000000003"/>
    <n v="21.348042"/>
    <n v="4.2696084000000001"/>
    <n v="53.370105000000002"/>
    <n v="170.784336"/>
    <n v="85.392167999999998"/>
    <n v="12.808825200000001"/>
    <n v="806.95598759999996"/>
    <n v="177.90035"/>
    <n v="237.20046666666667"/>
    <n v="156.90810869999999"/>
    <n v="572.00892536666663"/>
    <n v="127.91174799999999"/>
    <n v="582"/>
    <n v="0"/>
    <n v="51.86"/>
    <n v="0"/>
    <n v="0"/>
    <n v="3.36"/>
    <n v="0"/>
    <n v="765.13174800000002"/>
    <n v="2144.0966609666666"/>
    <n v="14.968749588310185"/>
    <n v="1.197499967064815"/>
    <n v="0.47899998682592604"/>
    <n v="7.4718147000000013"/>
    <n v="2.8243459566000011"/>
    <n v="65.277568426666662"/>
    <n v="1.7790035000000002"/>
    <n v="93.997982125467587"/>
    <n v="18.027235466666664"/>
    <n v="4.3289085166666661"/>
    <n v="0.36469571750000002"/>
    <n v="0.44475087500000005"/>
    <n v="2.7673387777777778"/>
    <n v="9.8026472956650021"/>
    <n v="35.735576649276105"/>
    <n v="291.10965839090369"/>
    <n v="291.10965839090369"/>
    <n v="0"/>
    <n v="0"/>
    <n v="326.84523504017977"/>
    <n v="56.642978962543395"/>
    <n v="0"/>
    <n v="0"/>
    <n v="0"/>
    <n v="0"/>
    <n v="56.642978962543395"/>
    <n v="4756.3870570948575"/>
    <n v="381.16095106452326"/>
    <n v="320.1751988941997"/>
    <n v="8.6609686609686695E-2"/>
    <n v="1.880341880341882E-2"/>
    <n v="0.03"/>
    <n v="3.4188034188034219E-2"/>
    <n v="0.1225"/>
    <n v="0.13960113960113973"/>
    <n v="761.9043793322669"/>
    <n v="1463.2405292909898"/>
    <n v="6219.6275863858473"/>
    <n v="74635.531036630171"/>
    <d v="2025-01-01T00:00:00"/>
    <s v="-"/>
    <s v="-"/>
  </r>
  <r>
    <s v="1.701.45"/>
    <x v="134"/>
    <x v="4"/>
    <s v="Uberaba"/>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51.86"/>
    <n v="0"/>
    <n v="0"/>
    <n v="3.36"/>
    <n v="0"/>
    <n v="689.39217000000008"/>
    <n v="2883.7497435277783"/>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543.9692419366129"/>
    <n v="381.16095106452326"/>
    <n v="320.1751988941997"/>
    <n v="8.6609686609686695E-2"/>
    <n v="1.880341880341882E-2"/>
    <n v="0.03"/>
    <n v="3.4188034188034219E-2"/>
    <n v="0.1225"/>
    <n v="0.13960113960113973"/>
    <n v="1011.4528894668712"/>
    <n v="1712.7890394255942"/>
    <n v="8256.7582813622066"/>
    <n v="99081.099376346479"/>
    <d v="2025-01-01T00:00:00"/>
    <s v="-"/>
    <s v="-"/>
  </r>
  <r>
    <s v="1.702.06"/>
    <x v="135"/>
    <x v="13"/>
    <s v="Uberlandia"/>
    <s v="Apoio"/>
    <x v="0"/>
    <n v="1"/>
    <n v="0"/>
    <n v="2443.5248999999999"/>
    <n v="0"/>
    <n v="0"/>
    <n v="0"/>
    <n v="0"/>
    <n v="0"/>
    <n v="0"/>
    <n v="0"/>
    <n v="2443.5248999999999"/>
    <n v="488.70497999999998"/>
    <n v="36.652873499999998"/>
    <n v="24.435248999999999"/>
    <n v="4.8870497999999998"/>
    <n v="61.088122499999997"/>
    <n v="195.48199199999999"/>
    <n v="97.740995999999996"/>
    <n v="14.661149399999999"/>
    <n v="923.65241219999996"/>
    <n v="203.62707499999999"/>
    <n v="271.50276666666662"/>
    <n v="179.59908014999999"/>
    <n v="654.72892181666657"/>
    <n v="109.38850600000001"/>
    <n v="0"/>
    <n v="387.79"/>
    <n v="42.97"/>
    <n v="0"/>
    <n v="0"/>
    <n v="3.36"/>
    <n v="0"/>
    <n v="543.50850600000001"/>
    <n v="2121.8898400166668"/>
    <n v="17.133427197164352"/>
    <n v="1.3706741757731482"/>
    <n v="0.54826967030925933"/>
    <n v="8.5523371500000014"/>
    <n v="3.2327834427000006"/>
    <n v="74.717561386666645"/>
    <n v="2.0362707499999999"/>
    <n v="107.59132377261341"/>
    <n v="20.634210266666663"/>
    <n v="4.9549254916666658"/>
    <n v="0.41743550374999999"/>
    <n v="0.50906768749999998"/>
    <n v="3.1675322777777777"/>
    <n v="11.220238723942501"/>
    <n v="40.903409951303601"/>
    <n v="0"/>
    <n v="0"/>
    <n v="0"/>
    <n v="0"/>
    <n v="40.903409951303601"/>
    <n v="190.56060491869394"/>
    <n v="0"/>
    <n v="0"/>
    <n v="0"/>
    <n v="0"/>
    <n v="190.56060491869394"/>
    <n v="4904.4700786592775"/>
    <n v="381.16095106452326"/>
    <n v="320.1751988941997"/>
    <n v="8.5633802816901458E-2"/>
    <n v="1.8591549295774657E-2"/>
    <n v="0.02"/>
    <n v="2.2535211267605645E-2"/>
    <n v="0.1125"/>
    <n v="0.12676056338028174"/>
    <n v="710.59515574031013"/>
    <n v="1411.9313056990331"/>
    <n v="6316.4013843583107"/>
    <n v="75796.816612299735"/>
    <d v="2025-01-01T00:00:00"/>
    <s v="-"/>
    <s v="-"/>
  </r>
  <r>
    <s v="1.702.13"/>
    <x v="135"/>
    <x v="3"/>
    <s v="Uberlandia"/>
    <s v="Apoio"/>
    <x v="0"/>
    <n v="6"/>
    <n v="0"/>
    <n v="9894.7488000000012"/>
    <n v="0"/>
    <n v="0"/>
    <n v="0"/>
    <n v="0"/>
    <n v="0"/>
    <n v="0"/>
    <n v="0"/>
    <n v="9894.7488000000012"/>
    <n v="1978.9497600000002"/>
    <n v="148.42123199999997"/>
    <n v="98.947488000000021"/>
    <n v="19.789497600000001"/>
    <n v="247.36872000000002"/>
    <n v="791.57990400000017"/>
    <n v="395.78995200000008"/>
    <n v="59.368492799999999"/>
    <n v="3740.2150464000006"/>
    <n v="824.56240000000003"/>
    <n v="1099.4165333333333"/>
    <n v="727.2640368000001"/>
    <n v="2651.2429701333331"/>
    <n v="942.3150720000001"/>
    <n v="0"/>
    <n v="2326.7400000000002"/>
    <n v="257.82"/>
    <n v="0"/>
    <n v="0"/>
    <n v="20.16"/>
    <n v="0"/>
    <n v="3547.0350720000006"/>
    <n v="9938.4930885333342"/>
    <n v="69.379672864814808"/>
    <n v="5.5503738291851858"/>
    <n v="2.2201495316740747"/>
    <n v="34.631620800000007"/>
    <n v="13.090752662400005"/>
    <n v="302.55942997333329"/>
    <n v="8.2456240000000012"/>
    <n v="435.67762366140732"/>
    <n v="83.555656533333334"/>
    <n v="20.064351733333332"/>
    <n v="1.69035292"/>
    <n v="2.0614060000000003"/>
    <n v="12.826526222222224"/>
    <n v="45.434954908560009"/>
    <n v="165.63324831744887"/>
    <n v="0"/>
    <n v="0"/>
    <n v="0"/>
    <n v="0"/>
    <n v="165.63324831744887"/>
    <n v="336.85028197193952"/>
    <n v="0"/>
    <n v="0"/>
    <n v="0"/>
    <n v="0"/>
    <n v="336.85028197193952"/>
    <n v="20771.403042484129"/>
    <n v="2286.9657063871396"/>
    <n v="1921.0511933651983"/>
    <n v="8.5633802816901458E-2"/>
    <n v="1.8591549295774657E-2"/>
    <n v="0.02"/>
    <n v="2.2535211267605645E-2"/>
    <n v="0.1125"/>
    <n v="0.12676056338028174"/>
    <n v="3166.4053447905399"/>
    <n v="7374.4222445428777"/>
    <n v="28145.825287027008"/>
    <n v="337749.9034443241"/>
    <d v="2025-01-01T00:00:00"/>
    <s v="-"/>
    <s v="-"/>
  </r>
  <r>
    <s v="1.702.16"/>
    <x v="135"/>
    <x v="22"/>
    <s v="SETTASPOC"/>
    <s v="Apoio"/>
    <x v="0"/>
    <n v="2"/>
    <n v="0"/>
    <n v="3673.1970000000001"/>
    <n v="0"/>
    <n v="0"/>
    <n v="0"/>
    <n v="0"/>
    <n v="0"/>
    <n v="0"/>
    <n v="0"/>
    <n v="3673.1970000000001"/>
    <n v="734.63940000000002"/>
    <n v="55.097954999999999"/>
    <n v="36.731970000000004"/>
    <n v="7.3463940000000001"/>
    <n v="91.829925000000003"/>
    <n v="293.85576000000003"/>
    <n v="146.92788000000002"/>
    <n v="22.039182"/>
    <n v="1388.468466"/>
    <n v="306.09974999999997"/>
    <n v="408.13299999999998"/>
    <n v="269.97997949999996"/>
    <n v="984.2127294999998"/>
    <n v="291.60818"/>
    <n v="1163.5999999999999"/>
    <n v="0"/>
    <n v="103.46"/>
    <n v="0"/>
    <n v="0"/>
    <n v="6.72"/>
    <n v="0"/>
    <n v="1565.3881799999999"/>
    <n v="3938.0693754999998"/>
    <n v="25.75560141840278"/>
    <n v="2.0604481134722223"/>
    <n v="0.82417924538888909"/>
    <n v="12.856189500000003"/>
    <n v="4.8596396310000012"/>
    <n v="112.31820159999998"/>
    <n v="3.0609975000000005"/>
    <n v="161.73525700826389"/>
    <n v="31.018107999999998"/>
    <n v="7.4484272499999999"/>
    <n v="0.62750448749999999"/>
    <n v="0.76524937500000012"/>
    <n v="4.7615516666666666"/>
    <n v="16.866677814525005"/>
    <n v="61.487518593691675"/>
    <n v="0"/>
    <n v="0"/>
    <n v="0"/>
    <n v="0"/>
    <n v="61.487518593691675"/>
    <n v="88.222692897412713"/>
    <n v="0"/>
    <n v="0"/>
    <n v="0"/>
    <n v="0"/>
    <n v="88.222692897412713"/>
    <n v="7922.7118439993674"/>
    <n v="762.32190212904652"/>
    <n v="640.35039778839939"/>
    <n v="8.5633802816901458E-2"/>
    <n v="1.8591549295774657E-2"/>
    <n v="0.02"/>
    <n v="2.2535211267605645E-2"/>
    <n v="0.1125"/>
    <n v="0.12676056338028174"/>
    <n v="1182.0909478204417"/>
    <n v="2584.7632477378875"/>
    <n v="10507.475091737255"/>
    <n v="126089.70110084706"/>
    <d v="2025-01-01T00:00:00"/>
    <s v="-"/>
    <s v="-"/>
  </r>
  <r>
    <s v="1.702.28"/>
    <x v="135"/>
    <x v="5"/>
    <s v="Uberlandia"/>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0"/>
    <n v="387.79"/>
    <n v="42.97"/>
    <n v="0"/>
    <n v="0"/>
    <n v="3.36"/>
    <n v="0"/>
    <n v="552.34945800000003"/>
    <n v="2231.6601282166666"/>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226.33322732312172"/>
    <n v="441.81099462365592"/>
    <n v="113.11309677419354"/>
    <n v="0"/>
    <n v="0"/>
    <n v="781.25731872097117"/>
    <n v="5770.6833521176259"/>
    <n v="381.16095106452326"/>
    <n v="320.1751988941997"/>
    <n v="8.5633802816901458E-2"/>
    <n v="1.8591549295774657E-2"/>
    <n v="0.02"/>
    <n v="2.2535211267605645E-2"/>
    <n v="0.1125"/>
    <n v="0.12676056338028174"/>
    <n v="820.39683829136845"/>
    <n v="1521.7329882500912"/>
    <n v="7292.4163403677176"/>
    <n v="87508.996084412618"/>
    <d v="2025-01-01T00:00:00"/>
    <s v="-"/>
    <s v="-"/>
  </r>
  <r>
    <s v="1.702.35"/>
    <x v="135"/>
    <x v="6"/>
    <s v="Rodoviarios de Uberlandia + SEAC-MG"/>
    <s v="Apoio"/>
    <x v="0"/>
    <n v="5"/>
    <n v="0"/>
    <n v="22790.355"/>
    <n v="0"/>
    <n v="0"/>
    <n v="0"/>
    <n v="0"/>
    <n v="0"/>
    <n v="0"/>
    <n v="0"/>
    <n v="22790.355"/>
    <n v="4558.0709999999999"/>
    <n v="341.85532499999999"/>
    <n v="227.90355000000002"/>
    <n v="45.580709999999996"/>
    <n v="569.75887499999999"/>
    <n v="1823.2284000000002"/>
    <n v="911.6142000000001"/>
    <n v="136.74213"/>
    <n v="8614.7541900000015"/>
    <n v="1899.19625"/>
    <n v="2532.2616666666663"/>
    <n v="1675.0910925000003"/>
    <n v="6106.5490091666661"/>
    <n v="0"/>
    <n v="2892"/>
    <n v="0"/>
    <n v="112.6"/>
    <n v="0"/>
    <n v="0"/>
    <n v="16.8"/>
    <n v="3312.1"/>
    <n v="6333.4999999999991"/>
    <n v="21054.803199166668"/>
    <n v="159.80065854456018"/>
    <n v="12.784052683564815"/>
    <n v="5.1136210734259269"/>
    <n v="79.766242500000018"/>
    <n v="30.151639665000008"/>
    <n v="696.87841066666647"/>
    <n v="18.9919625"/>
    <n v="1003.4865876332175"/>
    <n v="192.45188666666664"/>
    <n v="46.213775416666664"/>
    <n v="3.8933523124999998"/>
    <n v="4.7479906249999999"/>
    <n v="29.543052777777778"/>
    <n v="104.64932184787502"/>
    <n v="381.49937964648615"/>
    <n v="0"/>
    <n v="0"/>
    <n v="0"/>
    <n v="0"/>
    <n v="381.49937964648615"/>
    <n v="460.5038188578535"/>
    <n v="0"/>
    <n v="0"/>
    <n v="0"/>
    <n v="0"/>
    <n v="460.5038188578535"/>
    <n v="45690.647985304226"/>
    <n v="1905.8047553226163"/>
    <n v="1600.8759944709984"/>
    <n v="8.5633802816901458E-2"/>
    <n v="1.8591549295774657E-2"/>
    <n v="0.02"/>
    <n v="2.2535211267605645E-2"/>
    <n v="0.1125"/>
    <n v="0.12676056338028174"/>
    <n v="6236.281107265926"/>
    <n v="9742.9618570595412"/>
    <n v="55433.609842363767"/>
    <n v="665203.31810836517"/>
    <d v="2025-01-01T00:00:00"/>
    <s v="-"/>
    <s v="-"/>
  </r>
  <r>
    <s v="3.702.35"/>
    <x v="135"/>
    <x v="6"/>
    <s v="Rodoviarios de Uberlandia + SEAC-MG"/>
    <s v="Apoio"/>
    <x v="1"/>
    <n v="1"/>
    <n v="0"/>
    <n v="4558.0709999999999"/>
    <n v="0"/>
    <n v="0"/>
    <n v="0"/>
    <n v="0"/>
    <n v="0"/>
    <n v="0"/>
    <n v="0"/>
    <n v="4558.0709999999999"/>
    <n v="911.61419999999998"/>
    <n v="68.371065000000002"/>
    <n v="45.580710000000003"/>
    <n v="9.116142"/>
    <n v="113.951775"/>
    <n v="364.64568000000003"/>
    <n v="182.32284000000001"/>
    <n v="27.348426"/>
    <n v="1722.9508380000002"/>
    <n v="379.83924999999999"/>
    <n v="506.45233333333329"/>
    <n v="335.01821850000005"/>
    <n v="1221.3098018333333"/>
    <n v="0"/>
    <n v="578.4"/>
    <n v="0"/>
    <n v="22.52"/>
    <n v="0"/>
    <n v="0"/>
    <n v="3.36"/>
    <n v="662.42"/>
    <n v="1266.6999999999998"/>
    <n v="4210.9606398333335"/>
    <n v="31.960131708912037"/>
    <n v="2.556810536712963"/>
    <n v="1.0227242146851854"/>
    <n v="15.953248500000003"/>
    <n v="6.0303279330000015"/>
    <n v="139.3756821333333"/>
    <n v="3.7983925000000003"/>
    <n v="200.6973175266435"/>
    <n v="38.490377333333328"/>
    <n v="9.2427550833333321"/>
    <n v="0.77867046249999994"/>
    <n v="0.94959812500000007"/>
    <n v="5.9086105555555557"/>
    <n v="20.929864369575004"/>
    <n v="76.29987592929723"/>
    <n v="0"/>
    <n v="0"/>
    <n v="0"/>
    <n v="0"/>
    <n v="76.29987592929723"/>
    <n v="92.100763771570698"/>
    <n v="0"/>
    <n v="0"/>
    <n v="0"/>
    <n v="0"/>
    <n v="92.100763771570698"/>
    <n v="9138.1295970608444"/>
    <n v="381.16095106452326"/>
    <n v="320.1751988941997"/>
    <n v="8.5633802816901458E-2"/>
    <n v="1.8591549295774657E-2"/>
    <n v="0.02"/>
    <n v="2.2535211267605645E-2"/>
    <n v="0.1125"/>
    <n v="0.12676056338028174"/>
    <n v="1247.2562214531852"/>
    <n v="1948.5923714119081"/>
    <n v="11086.721968472753"/>
    <n v="133040.66362167304"/>
    <d v="2025-01-01T00:00:00"/>
    <s v="-"/>
    <s v="-"/>
  </r>
  <r>
    <s v="1.702.43"/>
    <x v="135"/>
    <x v="2"/>
    <s v="Uberlandia"/>
    <s v="Apoio"/>
    <x v="0"/>
    <n v="1"/>
    <n v="0"/>
    <n v="2134.8042"/>
    <n v="0"/>
    <n v="0"/>
    <n v="0"/>
    <n v="0"/>
    <n v="0"/>
    <n v="0"/>
    <n v="0"/>
    <n v="2134.8042"/>
    <n v="426.96084000000002"/>
    <n v="32.022063000000003"/>
    <n v="21.348042"/>
    <n v="4.2696084000000001"/>
    <n v="53.370105000000002"/>
    <n v="170.784336"/>
    <n v="85.392167999999998"/>
    <n v="12.808825200000001"/>
    <n v="806.95598759999996"/>
    <n v="177.90035"/>
    <n v="237.20046666666667"/>
    <n v="156.90810869999999"/>
    <n v="572.00892536666663"/>
    <n v="127.91174799999999"/>
    <n v="0"/>
    <n v="387.79"/>
    <n v="42.97"/>
    <n v="0"/>
    <n v="0"/>
    <n v="3.36"/>
    <n v="0"/>
    <n v="562.03174799999999"/>
    <n v="1940.9966609666667"/>
    <n v="14.968749588310185"/>
    <n v="1.197499967064815"/>
    <n v="0.47899998682592604"/>
    <n v="7.4718147000000013"/>
    <n v="2.8243459566000011"/>
    <n v="65.277568426666662"/>
    <n v="1.7790035000000002"/>
    <n v="93.997982125467587"/>
    <n v="18.027235466666664"/>
    <n v="4.3289085166666661"/>
    <n v="0.36469571750000002"/>
    <n v="0.44475087500000005"/>
    <n v="2.7673387777777778"/>
    <n v="9.8026472956650021"/>
    <n v="35.735576649276105"/>
    <n v="291.10965839090369"/>
    <n v="291.10965839090369"/>
    <n v="0"/>
    <n v="0"/>
    <n v="326.84523504017977"/>
    <n v="56.642978962543395"/>
    <n v="0"/>
    <n v="0"/>
    <n v="0"/>
    <n v="0"/>
    <n v="56.642978962543395"/>
    <n v="4553.2870570948571"/>
    <n v="381.16095106452326"/>
    <n v="320.1751988941997"/>
    <n v="8.5633802816901458E-2"/>
    <n v="1.8591549295774657E-2"/>
    <n v="0.02"/>
    <n v="2.2535211267605645E-2"/>
    <n v="0.1125"/>
    <n v="0.12676056338028174"/>
    <n v="666.07899807721458"/>
    <n v="1367.4151480359374"/>
    <n v="5920.702205130794"/>
    <n v="71048.426461569528"/>
    <d v="2025-01-01T00:00:00"/>
    <s v="-"/>
    <s v="-"/>
  </r>
  <r>
    <s v="1.702.45"/>
    <x v="135"/>
    <x v="4"/>
    <s v="Uberlandia"/>
    <s v="Apoio"/>
    <x v="0"/>
    <n v="5"/>
    <n v="0"/>
    <n v="16985.6525"/>
    <n v="0"/>
    <n v="0"/>
    <n v="0"/>
    <n v="0"/>
    <n v="0"/>
    <n v="0"/>
    <n v="0"/>
    <n v="16985.6525"/>
    <n v="3397.1305000000007"/>
    <n v="254.78478749999999"/>
    <n v="169.856525"/>
    <n v="33.971305000000001"/>
    <n v="424.64131250000008"/>
    <n v="1358.8522"/>
    <n v="679.42610000000002"/>
    <n v="101.91391500000002"/>
    <n v="6420.576645000001"/>
    <n v="1415.4710416666667"/>
    <n v="1887.2947222222224"/>
    <n v="1248.4454587500002"/>
    <n v="4551.211222638889"/>
    <n v="260.86084999999997"/>
    <n v="0"/>
    <n v="1938.95"/>
    <n v="214.85"/>
    <n v="0"/>
    <n v="0"/>
    <n v="16.8"/>
    <n v="0"/>
    <n v="2431.4608500000004"/>
    <n v="13403.248717638891"/>
    <n v="119.09943725356868"/>
    <n v="9.5279549802854966"/>
    <n v="3.8111819921141987"/>
    <n v="59.449783750000016"/>
    <n v="22.472018257500007"/>
    <n v="519.38350755555552"/>
    <n v="14.154710416666669"/>
    <n v="747.89859420569064"/>
    <n v="143.43439888888889"/>
    <n v="34.443128680555553"/>
    <n v="2.9017156354166667"/>
    <n v="3.5386776041666672"/>
    <n v="22.018438425925929"/>
    <n v="77.99514379081252"/>
    <n v="284.33150302576615"/>
    <n v="0"/>
    <n v="0"/>
    <n v="0"/>
    <n v="0"/>
    <n v="284.33150302576615"/>
    <n v="283.21489481271698"/>
    <n v="0"/>
    <n v="0"/>
    <n v="0"/>
    <n v="0"/>
    <n v="283.21489481271698"/>
    <n v="31704.346209683066"/>
    <n v="1905.8047553226163"/>
    <n v="1600.8759944709984"/>
    <n v="8.5633802816901458E-2"/>
    <n v="1.8591549295774657E-2"/>
    <n v="0.02"/>
    <n v="2.2535211267605645E-2"/>
    <n v="0.1125"/>
    <n v="0.12676056338028174"/>
    <n v="4463.3696145815529"/>
    <n v="7970.0503643751672"/>
    <n v="39674.396574058235"/>
    <n v="476092.75888869882"/>
    <d v="2025-01-01T00:00:00"/>
    <s v="-"/>
    <s v="-"/>
  </r>
  <r>
    <s v="1.702.60"/>
    <x v="135"/>
    <x v="58"/>
    <s v="Sinttel"/>
    <s v="Apoio"/>
    <x v="0"/>
    <n v="1"/>
    <n v="0"/>
    <n v="2404.7339999999999"/>
    <n v="0"/>
    <n v="0"/>
    <n v="0"/>
    <n v="0"/>
    <n v="0"/>
    <n v="0"/>
    <n v="0"/>
    <n v="2404.7339999999999"/>
    <n v="480.9468"/>
    <n v="36.071009999999994"/>
    <n v="24.047339999999998"/>
    <n v="4.8094679999999999"/>
    <n v="60.11835"/>
    <n v="192.37871999999999"/>
    <n v="96.189359999999994"/>
    <n v="14.428404"/>
    <n v="908.98945199999991"/>
    <n v="200.39449999999999"/>
    <n v="267.19266666666664"/>
    <n v="176.74794899999998"/>
    <n v="644.33511566666664"/>
    <n v="111.71596000000002"/>
    <n v="502"/>
    <n v="0"/>
    <n v="0"/>
    <n v="0"/>
    <n v="0"/>
    <n v="3.36"/>
    <n v="0"/>
    <n v="617.07596000000001"/>
    <n v="2170.4005276666667"/>
    <n v="16.861434445601851"/>
    <n v="1.3489147556481482"/>
    <n v="0.53956590225925938"/>
    <n v="8.4165690000000009"/>
    <n v="3.1814630820000009"/>
    <n v="73.531421866666648"/>
    <n v="2.0039449999999999"/>
    <n v="105.88331405217592"/>
    <n v="20.306642666666665"/>
    <n v="4.8762661666666665"/>
    <n v="0.41080872499999999"/>
    <n v="0.50098624999999997"/>
    <n v="3.1172477777777776"/>
    <n v="11.042117699550001"/>
    <n v="40.25406928566111"/>
    <n v="0"/>
    <n v="0"/>
    <n v="0"/>
    <n v="0"/>
    <n v="40.25406928566111"/>
    <n v="42.607550547045918"/>
    <n v="0"/>
    <n v="0"/>
    <n v="0"/>
    <n v="0"/>
    <n v="42.607550547045918"/>
    <n v="4763.8794615515499"/>
    <n v="381.16095106452326"/>
    <n v="320.1751988941997"/>
    <n v="8.5633802816901458E-2"/>
    <n v="1.8591549295774657E-2"/>
    <n v="0.02"/>
    <n v="2.2535211267605645E-2"/>
    <n v="0.1125"/>
    <n v="0.12676056338028174"/>
    <n v="692.77380990975314"/>
    <n v="1394.1099598684759"/>
    <n v="6157.9894214200258"/>
    <n v="73895.873057040313"/>
    <d v="2024-01-01T00:00:00"/>
    <s v="-"/>
    <s v="-"/>
  </r>
  <r>
    <s v="1.704.43"/>
    <x v="136"/>
    <x v="2"/>
    <s v="Fethemg Interior"/>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0"/>
    <n v="15.07"/>
    <n v="0"/>
    <n v="3.36"/>
    <n v="0"/>
    <n v="738.62534000000005"/>
    <n v="2006.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13.9894844431356"/>
    <n v="381.16095106452326"/>
    <n v="320.1751988941997"/>
    <n v="8.7608069164265154E-2"/>
    <n v="1.9020172910662814E-2"/>
    <n v="0.04"/>
    <n v="4.6109510086455294E-2"/>
    <n v="0.13250000000000001"/>
    <n v="0.15273775216138324"/>
    <n v="781.3033389720415"/>
    <n v="1482.6394889307644"/>
    <n v="5896.6289733738995"/>
    <n v="70759.547680486794"/>
    <d v="2025-01-01T00:00:00"/>
    <s v="-"/>
    <s v="-"/>
  </r>
  <r>
    <s v="1.707.35"/>
    <x v="137"/>
    <x v="6"/>
    <s v="Rodoviarios de Varginha + SEAC-MG"/>
    <s v="Apoio"/>
    <x v="0"/>
    <n v="1"/>
    <n v="0"/>
    <n v="4558.0709999999999"/>
    <n v="0"/>
    <n v="0"/>
    <n v="0"/>
    <n v="0"/>
    <n v="0"/>
    <n v="0"/>
    <n v="0"/>
    <n v="4558.0709999999999"/>
    <n v="911.61419999999998"/>
    <n v="68.371065000000002"/>
    <n v="45.580710000000003"/>
    <n v="9.116142"/>
    <n v="113.951775"/>
    <n v="364.64568000000003"/>
    <n v="182.32284000000001"/>
    <n v="27.348426"/>
    <n v="1722.9508380000002"/>
    <n v="379.83924999999999"/>
    <n v="506.45233333333329"/>
    <n v="335.01821850000005"/>
    <n v="1221.3098018333333"/>
    <n v="0"/>
    <n v="578.4"/>
    <n v="0"/>
    <n v="0"/>
    <n v="0"/>
    <n v="0"/>
    <n v="3.36"/>
    <n v="662.42"/>
    <n v="1244.1799999999998"/>
    <n v="4188.440639833334"/>
    <n v="31.960131708912037"/>
    <n v="2.556810536712963"/>
    <n v="1.0227242146851854"/>
    <n v="15.953248500000003"/>
    <n v="6.0303279330000015"/>
    <n v="139.3756821333333"/>
    <n v="3.7983925000000003"/>
    <n v="200.6973175266435"/>
    <n v="38.490377333333328"/>
    <n v="9.2427550833333321"/>
    <n v="0.77867046249999994"/>
    <n v="0.94959812500000007"/>
    <n v="5.9086105555555557"/>
    <n v="20.929864369575004"/>
    <n v="76.29987592929723"/>
    <n v="0"/>
    <n v="0"/>
    <n v="0"/>
    <n v="0"/>
    <n v="76.29987592929723"/>
    <n v="92.100763771570698"/>
    <n v="0"/>
    <n v="0"/>
    <n v="0"/>
    <n v="0"/>
    <n v="92.100763771570698"/>
    <n v="9115.609597060844"/>
    <n v="381.16095106452326"/>
    <n v="320.1751988941997"/>
    <n v="8.6609686609686695E-2"/>
    <n v="1.880341880341882E-2"/>
    <n v="0.03"/>
    <n v="3.4188034188034219E-2"/>
    <n v="0.1225"/>
    <n v="0.13960113960113973"/>
    <n v="1370.4568136864934"/>
    <n v="2071.7929636452163"/>
    <n v="11187.402560706061"/>
    <n v="134248.83072847273"/>
    <d v="2025-01-01T00:00:00"/>
    <s v="-"/>
    <s v="-"/>
  </r>
  <r>
    <s v="1.707.43"/>
    <x v="137"/>
    <x v="2"/>
    <s v="Regiao de Sao Lourenco"/>
    <s v="Apoio"/>
    <x v="0"/>
    <n v="1"/>
    <n v="0"/>
    <n v="1963.405"/>
    <n v="0"/>
    <n v="0"/>
    <n v="0"/>
    <n v="0"/>
    <n v="0"/>
    <n v="0"/>
    <n v="0"/>
    <n v="1963.405"/>
    <n v="392.68100000000004"/>
    <n v="29.451074999999999"/>
    <n v="19.634049999999998"/>
    <n v="3.9268100000000001"/>
    <n v="49.085125000000005"/>
    <n v="157.07239999999999"/>
    <n v="78.536199999999994"/>
    <n v="11.780430000000001"/>
    <n v="742.16709000000003"/>
    <n v="163.61708333333331"/>
    <n v="218.1561111111111"/>
    <n v="144.31026749999998"/>
    <n v="526.08346194444437"/>
    <n v="138.19569999999999"/>
    <n v="582"/>
    <n v="0"/>
    <n v="53.27"/>
    <n v="0"/>
    <n v="0"/>
    <n v="3.36"/>
    <n v="0"/>
    <n v="776.82569999999998"/>
    <n v="2045.0762519444443"/>
    <n v="13.766938338155864"/>
    <n v="1.1013550670524692"/>
    <n v="0.44054202682098775"/>
    <n v="6.8719175000000012"/>
    <n v="2.5975848150000007"/>
    <n v="60.03656177777777"/>
    <n v="1.6361708333333334"/>
    <n v="86.451070358140427"/>
    <n v="16.579864444444443"/>
    <n v="3.9813490277777777"/>
    <n v="0.3354150208333333"/>
    <n v="0.40904270833333334"/>
    <n v="2.5451546296296295"/>
    <n v="9.0156121641250007"/>
    <n v="32.866437995143521"/>
    <n v="267.73704981301341"/>
    <n v="267.73704981301341"/>
    <n v="0"/>
    <n v="0"/>
    <n v="300.60348780815696"/>
    <n v="56.642978962543395"/>
    <n v="0"/>
    <n v="0"/>
    <n v="0"/>
    <n v="0"/>
    <n v="56.642978962543395"/>
    <n v="4452.1787890732849"/>
    <n v="381.16095106452326"/>
    <n v="320.1751988941997"/>
    <n v="8.6609686609686695E-2"/>
    <n v="1.880341880341882E-2"/>
    <n v="0.03"/>
    <n v="3.4188034188034219E-2"/>
    <n v="0.1225"/>
    <n v="0.13960113960113973"/>
    <n v="719.43655844036641"/>
    <n v="1420.7727083990894"/>
    <n v="5872.9514974723743"/>
    <n v="70475.417969668488"/>
    <d v="2025-01-01T00:00:00"/>
    <s v="-"/>
    <s v="-"/>
  </r>
  <r>
    <s v="1.290.35"/>
    <x v="138"/>
    <x v="6"/>
    <s v="Rodoviarios de RMBH + SEAC-MG"/>
    <s v="Apoio"/>
    <x v="0"/>
    <n v="1"/>
    <n v="0"/>
    <n v="4465.6282000000001"/>
    <n v="0"/>
    <n v="0"/>
    <n v="0"/>
    <n v="0"/>
    <n v="0"/>
    <n v="0"/>
    <n v="0"/>
    <n v="4465.6282000000001"/>
    <n v="893.12564000000009"/>
    <n v="66.984422999999992"/>
    <n v="44.656282000000004"/>
    <n v="8.9312564000000005"/>
    <n v="111.64070500000001"/>
    <n v="357.25025600000004"/>
    <n v="178.62512800000002"/>
    <n v="26.7937692"/>
    <n v="1688.0074596000004"/>
    <n v="372.1356833333333"/>
    <n v="496.18091111111107"/>
    <n v="328.22367270000001"/>
    <n v="1196.5402671444444"/>
    <n v="0"/>
    <n v="578.4"/>
    <n v="0"/>
    <n v="22.52"/>
    <n v="0"/>
    <n v="0"/>
    <n v="3.36"/>
    <n v="662.42"/>
    <n v="1266.6999999999998"/>
    <n v="4151.2477267444447"/>
    <n v="31.311944336766977"/>
    <n v="2.5049555469413582"/>
    <n v="1.0019822187765435"/>
    <n v="15.629698700000002"/>
    <n v="5.9080261086000023"/>
    <n v="136.54898673777777"/>
    <n v="3.7213568333333336"/>
    <n v="196.62695048219601"/>
    <n v="37.709749244444438"/>
    <n v="9.0553016277777783"/>
    <n v="0.76287815083333332"/>
    <n v="0.93033920833333339"/>
    <n v="5.7887772962962964"/>
    <n v="20.505383209465005"/>
    <n v="74.752428737150183"/>
    <n v="0"/>
    <n v="0"/>
    <n v="0"/>
    <n v="0"/>
    <n v="74.752428737150183"/>
    <n v="92.100763771570698"/>
    <n v="0"/>
    <n v="0"/>
    <n v="0"/>
    <n v="0"/>
    <n v="92.100763771570698"/>
    <n v="8980.3560697353605"/>
    <n v="381.16095106452326"/>
    <n v="320.1751988941997"/>
    <n v="8.5633802816901458E-2"/>
    <n v="1.8591549295774657E-2"/>
    <n v="0.02"/>
    <n v="2.2535211267605645E-2"/>
    <n v="0.1125"/>
    <n v="0.12676056338028174"/>
    <n v="1227.2567602429124"/>
    <n v="1928.5929102016353"/>
    <n v="10908.948979936995"/>
    <n v="130907.38775924394"/>
    <d v="2025-01-01T00:00:00"/>
    <s v="-"/>
    <s v="-"/>
  </r>
  <r>
    <s v="1.290.41"/>
    <x v="138"/>
    <x v="41"/>
    <s v="Vespasiano"/>
    <s v="Apoio"/>
    <x v="0"/>
    <n v="2"/>
    <n v="0"/>
    <n v="4269.6084000000001"/>
    <n v="0"/>
    <n v="0"/>
    <n v="0"/>
    <n v="0"/>
    <n v="0"/>
    <n v="0"/>
    <n v="0"/>
    <n v="4269.6084000000001"/>
    <n v="853.92168000000004"/>
    <n v="64.044126000000006"/>
    <n v="42.696083999999999"/>
    <n v="8.5392168000000002"/>
    <n v="106.74021"/>
    <n v="341.56867199999999"/>
    <n v="170.784336"/>
    <n v="25.617650400000002"/>
    <n v="1613.9119751999999"/>
    <n v="355.80070000000001"/>
    <n v="474.40093333333334"/>
    <n v="313.81621739999997"/>
    <n v="1144.0178507333333"/>
    <n v="255.82349599999998"/>
    <n v="1164"/>
    <n v="0"/>
    <n v="0"/>
    <n v="0"/>
    <n v="0"/>
    <n v="6.72"/>
    <n v="0"/>
    <n v="1426.543496"/>
    <n v="4184.473321933333"/>
    <n v="29.937499176620371"/>
    <n v="2.39499993412963"/>
    <n v="0.95799997365185208"/>
    <n v="14.943629400000003"/>
    <n v="5.6486919132000022"/>
    <n v="130.55513685333332"/>
    <n v="3.5580070000000004"/>
    <n v="187.99596425093517"/>
    <n v="36.054470933333327"/>
    <n v="8.6578170333333322"/>
    <n v="0.72939143500000003"/>
    <n v="0.88950175000000009"/>
    <n v="5.5346775555555556"/>
    <n v="19.605294591330004"/>
    <n v="71.47115329855221"/>
    <n v="472.70663576808647"/>
    <n v="472.70663576808647"/>
    <n v="0"/>
    <n v="0"/>
    <n v="544.17778906663864"/>
    <n v="113.28595792508679"/>
    <n v="0"/>
    <n v="0"/>
    <n v="0"/>
    <n v="0"/>
    <n v="113.28595792508679"/>
    <n v="9299.541433175993"/>
    <n v="762.32190212904652"/>
    <n v="640.35039778839939"/>
    <n v="8.5633802816901458E-2"/>
    <n v="1.8591549295774657E-2"/>
    <n v="0.02"/>
    <n v="2.2535211267605645E-2"/>
    <n v="0.1125"/>
    <n v="0.12676056338028174"/>
    <n v="1356.6186422231124"/>
    <n v="2759.2909421405584"/>
    <n v="12058.832375316551"/>
    <n v="144705.98850379861"/>
    <d v="2025-01-01T00:00:00"/>
    <s v="-"/>
    <s v="-"/>
  </r>
  <r>
    <s v="1.290.42"/>
    <x v="138"/>
    <x v="42"/>
    <s v="Vespasiano"/>
    <s v="Apoio"/>
    <x v="0"/>
    <n v="2"/>
    <n v="0"/>
    <n v="4269.6084000000001"/>
    <n v="0"/>
    <n v="0"/>
    <n v="860.32600000000002"/>
    <n v="0"/>
    <n v="0"/>
    <n v="0"/>
    <n v="0"/>
    <n v="5129.9344000000001"/>
    <n v="1025.9868800000002"/>
    <n v="76.949016"/>
    <n v="51.299344000000005"/>
    <n v="10.2598688"/>
    <n v="128.24836000000002"/>
    <n v="410.39475200000004"/>
    <n v="205.19737600000002"/>
    <n v="30.779606400000002"/>
    <n v="1939.1152032000005"/>
    <n v="427.49453333333332"/>
    <n v="569.99271111111113"/>
    <n v="377.05017840000011"/>
    <n v="1374.5374228444446"/>
    <n v="255.82349599999998"/>
    <n v="1164"/>
    <n v="0"/>
    <n v="0"/>
    <n v="0"/>
    <n v="0"/>
    <n v="6.72"/>
    <n v="0"/>
    <n v="1426.543496"/>
    <n v="4740.1961220444455"/>
    <n v="35.969904611419757"/>
    <n v="2.8775923689135805"/>
    <n v="1.1510369475654323"/>
    <n v="17.954770400000005"/>
    <n v="6.7869032112000021"/>
    <n v="156.86199409777777"/>
    <n v="4.274945333333334"/>
    <n v="225.87714697020988"/>
    <n v="43.31944604444444"/>
    <n v="10.402366977777778"/>
    <n v="0.87636379333333336"/>
    <n v="1.0687363333333335"/>
    <n v="6.6499149629629626"/>
    <n v="23.555761026280006"/>
    <n v="85.872589138131858"/>
    <n v="567.95702287535596"/>
    <n v="567.95702287535596"/>
    <n v="0"/>
    <n v="0"/>
    <n v="653.8296120134878"/>
    <n v="113.28595792508679"/>
    <n v="0"/>
    <n v="0"/>
    <n v="0"/>
    <n v="0"/>
    <n v="113.28595792508679"/>
    <n v="10863.123238953229"/>
    <n v="762.32190212904652"/>
    <n v="640.35039778839939"/>
    <n v="8.5633802816901458E-2"/>
    <n v="1.8591549295774657E-2"/>
    <n v="0.02"/>
    <n v="2.2535211267605645E-2"/>
    <n v="0.1125"/>
    <n v="0.12676056338028174"/>
    <n v="1554.8191528145931"/>
    <n v="2957.4914527320389"/>
    <n v="13820.614691685267"/>
    <n v="165847.3763002232"/>
    <d v="2025-01-01T00:00:00"/>
    <s v="-"/>
    <s v="-"/>
  </r>
  <r>
    <s v="1.290.45"/>
    <x v="138"/>
    <x v="4"/>
    <s v="Vespasiano"/>
    <s v="Apoio"/>
    <x v="0"/>
    <n v="1"/>
    <n v="0"/>
    <n v="3397.1305000000002"/>
    <n v="0"/>
    <n v="0"/>
    <n v="0"/>
    <n v="0"/>
    <n v="0"/>
    <n v="0"/>
    <n v="0"/>
    <n v="3397.1305000000002"/>
    <n v="679.42610000000013"/>
    <n v="50.956957500000001"/>
    <n v="33.971305000000001"/>
    <n v="6.7942610000000005"/>
    <n v="84.928262500000017"/>
    <n v="271.77044000000001"/>
    <n v="135.88522"/>
    <n v="20.382783000000003"/>
    <n v="1284.1153290000002"/>
    <n v="283.09420833333331"/>
    <n v="377.45894444444446"/>
    <n v="249.68909175000005"/>
    <n v="910.24224452777776"/>
    <n v="52.172169999999994"/>
    <n v="582"/>
    <n v="0"/>
    <n v="0"/>
    <n v="0"/>
    <n v="0"/>
    <n v="3.36"/>
    <n v="0"/>
    <n v="637.53217000000006"/>
    <n v="2831.8897435277781"/>
    <n v="23.819887450713736"/>
    <n v="1.9055909960570991"/>
    <n v="0.76223639842283974"/>
    <n v="11.889956750000003"/>
    <n v="4.4944036515000017"/>
    <n v="103.87670151111111"/>
    <n v="2.8309420833333339"/>
    <n v="149.57971884113812"/>
    <n v="28.686879777777776"/>
    <n v="6.888625736111111"/>
    <n v="0.58034312708333335"/>
    <n v="0.70773552083333346"/>
    <n v="4.4036876851851856"/>
    <n v="15.599028758162504"/>
    <n v="56.866300605153235"/>
    <n v="0"/>
    <n v="0"/>
    <n v="0"/>
    <n v="0"/>
    <n v="56.866300605153235"/>
    <n v="56.642978962543395"/>
    <n v="0"/>
    <n v="0"/>
    <n v="0"/>
    <n v="0"/>
    <n v="56.642978962543395"/>
    <n v="6492.1092419366132"/>
    <n v="381.16095106452326"/>
    <n v="320.1751988941997"/>
    <n v="8.5633802816901458E-2"/>
    <n v="1.8591549295774657E-2"/>
    <n v="0.02"/>
    <n v="2.2535211267605645E-2"/>
    <n v="0.1125"/>
    <n v="0.12676056338028174"/>
    <n v="911.84519052194435"/>
    <n v="1613.1813404806671"/>
    <n v="8105.2905824172803"/>
    <n v="97263.486989007361"/>
    <d v="2025-01-01T00:00:00"/>
    <s v="-"/>
    <s v="-"/>
  </r>
  <r>
    <s v="1.713.27"/>
    <x v="139"/>
    <x v="59"/>
    <s v="Vicosa e Regiao"/>
    <s v="Apoio"/>
    <x v="0"/>
    <n v="1"/>
    <n v="0"/>
    <n v="2087.4324000000001"/>
    <n v="0"/>
    <n v="303.60000000000002"/>
    <n v="0"/>
    <n v="0"/>
    <n v="0"/>
    <n v="0"/>
    <n v="0"/>
    <n v="2391.0324000000001"/>
    <n v="478.20648000000006"/>
    <n v="35.865485999999997"/>
    <n v="23.910324000000003"/>
    <n v="4.7820648000000006"/>
    <n v="59.775810000000007"/>
    <n v="191.28259200000002"/>
    <n v="95.641296000000011"/>
    <n v="14.3461944"/>
    <n v="903.81024720000005"/>
    <n v="199.2527"/>
    <n v="265.67026666666663"/>
    <n v="175.74088139999998"/>
    <n v="640.66384806666656"/>
    <n v="130.75405599999999"/>
    <n v="582"/>
    <n v="0"/>
    <n v="51.86"/>
    <n v="0"/>
    <n v="0"/>
    <n v="3.36"/>
    <n v="0"/>
    <n v="767.97405600000002"/>
    <n v="2312.4481512666666"/>
    <n v="16.765362019212965"/>
    <n v="1.3412289615370372"/>
    <n v="0.53649158461481494"/>
    <n v="8.368613400000001"/>
    <n v="3.163335865200001"/>
    <n v="73.112457386666662"/>
    <n v="1.9925270000000002"/>
    <n v="105.28001621723148"/>
    <n v="20.190940266666665"/>
    <n v="4.8484823666666665"/>
    <n v="0.40846803500000001"/>
    <n v="0.49813175000000004"/>
    <n v="3.0994864444444445"/>
    <n v="10.979202350130002"/>
    <n v="40.024711212907775"/>
    <n v="0"/>
    <n v="0"/>
    <n v="0"/>
    <n v="0"/>
    <n v="40.024711212907775"/>
    <n v="253.83572732312174"/>
    <n v="441.81099462365592"/>
    <n v="113.11309677419354"/>
    <n v="0"/>
    <n v="0"/>
    <n v="808.75981872097123"/>
    <n v="5657.5450974177775"/>
    <n v="381.16095106452326"/>
    <n v="320.1751988941997"/>
    <n v="8.6609686609686695E-2"/>
    <n v="1.880341880341882E-2"/>
    <n v="0.03"/>
    <n v="3.4188034188034219E-2"/>
    <n v="0.1225"/>
    <n v="0.13960113960113973"/>
    <n v="887.70706872207631"/>
    <n v="1589.0432186807993"/>
    <n v="7246.5883160985768"/>
    <n v="86959.059793182925"/>
    <d v="2025-01-01T00:00:00"/>
    <s v="-"/>
    <s v="-"/>
  </r>
  <r>
    <s v="1.713.29"/>
    <x v="139"/>
    <x v="1"/>
    <s v="Vicosa e Regiao"/>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51.86"/>
    <n v="0"/>
    <n v="0"/>
    <n v="3.36"/>
    <n v="0"/>
    <n v="755.44945800000005"/>
    <n v="2434.7601282166665"/>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196.62072732312174"/>
    <n v="441.81099462365592"/>
    <n v="113.11309677419354"/>
    <n v="0"/>
    <n v="0"/>
    <n v="751.54481872097119"/>
    <n v="5944.0708521176257"/>
    <n v="381.16095106452326"/>
    <n v="320.1751988941997"/>
    <n v="8.6609686609686695E-2"/>
    <n v="1.880341880341882E-2"/>
    <n v="0.03"/>
    <n v="3.4188034188034219E-2"/>
    <n v="0.1225"/>
    <n v="0.13960113960113973"/>
    <n v="927.70639060325175"/>
    <n v="1629.0425405619746"/>
    <n v="7573.1133926796001"/>
    <n v="90877.360712155205"/>
    <d v="2025-01-01T00:00:00"/>
    <s v="-"/>
    <s v="-"/>
  </r>
  <r>
    <s v="1.713.43"/>
    <x v="139"/>
    <x v="2"/>
    <s v="Vicosa e Regiao"/>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1.86"/>
    <n v="0"/>
    <n v="0"/>
    <n v="3.36"/>
    <n v="0"/>
    <n v="775.41534000000001"/>
    <n v="2043.66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0.7794844431355"/>
    <n v="381.16095106452326"/>
    <n v="320.1751988941997"/>
    <n v="8.6609686609686695E-2"/>
    <n v="1.880341880341882E-2"/>
    <n v="0.03"/>
    <n v="3.4188034188034219E-2"/>
    <n v="0.1225"/>
    <n v="0.13960113960113973"/>
    <n v="719.24121391934841"/>
    <n v="1420.5773638780713"/>
    <n v="5871.3568483212066"/>
    <n v="70456.282179854476"/>
    <d v="2025-01-01T00:00:00"/>
    <s v="-"/>
    <s v="-"/>
  </r>
  <r>
    <s v="1.720.13"/>
    <x v="140"/>
    <x v="3"/>
    <s v="Cataguases"/>
    <s v="Apoio"/>
    <x v="0"/>
    <n v="1"/>
    <n v="0"/>
    <n v="1596.2737999999999"/>
    <n v="0"/>
    <n v="0"/>
    <n v="0"/>
    <n v="0"/>
    <n v="0"/>
    <n v="0"/>
    <n v="0"/>
    <n v="1596.2737999999999"/>
    <n v="319.25476000000003"/>
    <n v="23.944106999999999"/>
    <n v="15.962738"/>
    <n v="3.1925476000000002"/>
    <n v="39.906845000000004"/>
    <n v="127.701904"/>
    <n v="63.850951999999999"/>
    <n v="9.5776427999999996"/>
    <n v="603.39149640000005"/>
    <n v="133.02281666666664"/>
    <n v="177.36375555555554"/>
    <n v="117.3261243"/>
    <n v="427.71269652222219"/>
    <n v="160.22357199999999"/>
    <n v="582"/>
    <n v="0"/>
    <n v="57.07"/>
    <n v="0"/>
    <n v="0"/>
    <n v="3.36"/>
    <n v="0"/>
    <n v="802.65357200000005"/>
    <n v="1833.7577649222221"/>
    <n v="11.192699914390431"/>
    <n v="0.89541599315123466"/>
    <n v="0.35816639726049387"/>
    <n v="5.5869583000000009"/>
    <n v="2.1118702374000007"/>
    <n v="48.810505528888882"/>
    <n v="1.3302281666666667"/>
    <n v="70.285844537757711"/>
    <n v="13.479645422222221"/>
    <n v="3.2368885388888886"/>
    <n v="0.27269677416666666"/>
    <n v="0.33255704166666666"/>
    <n v="2.0692438148148145"/>
    <n v="7.3298099416850011"/>
    <n v="26.720841533444265"/>
    <n v="0"/>
    <n v="0"/>
    <n v="0"/>
    <n v="0"/>
    <n v="26.720841533444265"/>
    <n v="56.141713661989918"/>
    <n v="0"/>
    <n v="0"/>
    <n v="0"/>
    <n v="0"/>
    <n v="56.141713661989918"/>
    <n v="3583.1799646554141"/>
    <n v="381.16095106452326"/>
    <n v="320.1751988941997"/>
    <n v="8.6609686609686695E-2"/>
    <n v="1.880341880341882E-2"/>
    <n v="0.03"/>
    <n v="3.4188034188034219E-2"/>
    <n v="0.1225"/>
    <n v="0.13960113960113973"/>
    <n v="598.12333223958103"/>
    <n v="1299.4594821983039"/>
    <n v="4882.6394468537183"/>
    <n v="58591.673362244619"/>
    <d v="2025-01-01T00:00:00"/>
    <s v="-"/>
    <s v="-"/>
  </r>
  <r>
    <s v="1.720.27"/>
    <x v="140"/>
    <x v="59"/>
    <s v="Cataguases"/>
    <s v="Apoio"/>
    <x v="0"/>
    <n v="1"/>
    <n v="0"/>
    <n v="2087.4324000000001"/>
    <n v="0"/>
    <n v="303.60000000000002"/>
    <n v="0"/>
    <n v="0"/>
    <n v="0"/>
    <n v="0"/>
    <n v="0"/>
    <n v="2391.0324000000001"/>
    <n v="478.20648000000006"/>
    <n v="35.865485999999997"/>
    <n v="23.910324000000003"/>
    <n v="4.7820648000000006"/>
    <n v="59.775810000000007"/>
    <n v="191.28259200000002"/>
    <n v="95.641296000000011"/>
    <n v="14.3461944"/>
    <n v="903.81024720000005"/>
    <n v="199.2527"/>
    <n v="265.67026666666663"/>
    <n v="175.74088139999998"/>
    <n v="640.66384806666656"/>
    <n v="130.75405599999999"/>
    <n v="582"/>
    <n v="0"/>
    <n v="57.07"/>
    <n v="0"/>
    <n v="0"/>
    <n v="3.36"/>
    <n v="0"/>
    <n v="773.18405600000006"/>
    <n v="2317.6581512666667"/>
    <n v="16.765362019212965"/>
    <n v="1.3412289615370372"/>
    <n v="0.53649158461481494"/>
    <n v="8.368613400000001"/>
    <n v="3.163335865200001"/>
    <n v="73.112457386666662"/>
    <n v="1.9925270000000002"/>
    <n v="105.28001621723148"/>
    <n v="20.190940266666665"/>
    <n v="4.8484823666666665"/>
    <n v="0.40846803500000001"/>
    <n v="0.49813175000000004"/>
    <n v="3.0994864444444445"/>
    <n v="10.979202350130002"/>
    <n v="40.024711212907775"/>
    <n v="0"/>
    <n v="0"/>
    <n v="0"/>
    <n v="0"/>
    <n v="40.024711212907775"/>
    <n v="253.83572732312174"/>
    <n v="441.81099462365592"/>
    <n v="113.11309677419354"/>
    <n v="0"/>
    <n v="0"/>
    <n v="808.75981872097123"/>
    <n v="5662.7550974177784"/>
    <n v="381.16095106452326"/>
    <n v="320.1751988941997"/>
    <n v="8.6609686609686695E-2"/>
    <n v="1.880341880341882E-2"/>
    <n v="0.03"/>
    <n v="3.4188034188034219E-2"/>
    <n v="0.1225"/>
    <n v="0.13960113960113973"/>
    <n v="888.43439065939845"/>
    <n v="1589.7705406181212"/>
    <n v="7252.5256380358996"/>
    <n v="87030.307656430799"/>
    <d v="2025-01-01T00:00:00"/>
    <s v="-"/>
    <s v="-"/>
  </r>
  <r>
    <s v="1.720.29"/>
    <x v="140"/>
    <x v="1"/>
    <s v="Cataguases"/>
    <s v="Apoio"/>
    <x v="0"/>
    <n v="1"/>
    <n v="0"/>
    <n v="2296.1756999999998"/>
    <n v="0"/>
    <n v="303.60000000000002"/>
    <n v="0"/>
    <n v="0"/>
    <n v="0"/>
    <n v="0"/>
    <n v="0"/>
    <n v="2599.7756999999997"/>
    <n v="519.95513999999991"/>
    <n v="38.996635499999996"/>
    <n v="25.997756999999996"/>
    <n v="5.1995513999999998"/>
    <n v="64.994392499999989"/>
    <n v="207.98205599999997"/>
    <n v="103.99102799999999"/>
    <n v="15.598654199999999"/>
    <n v="982.71521459999985"/>
    <n v="216.64797499999997"/>
    <n v="288.86396666666661"/>
    <n v="191.08351394999997"/>
    <n v="696.59545561666653"/>
    <n v="118.22945800000002"/>
    <n v="582"/>
    <n v="0"/>
    <n v="57.07"/>
    <n v="0"/>
    <n v="0"/>
    <n v="3.36"/>
    <n v="0"/>
    <n v="760.65945800000009"/>
    <n v="2439.9701282166666"/>
    <n v="18.229021396469907"/>
    <n v="1.4583217117175926"/>
    <n v="0.58332868468703702"/>
    <n v="9.0992149500000004"/>
    <n v="3.4395032511000005"/>
    <n v="79.495363626666645"/>
    <n v="2.1664797499999997"/>
    <n v="114.47123337064117"/>
    <n v="21.953661466666663"/>
    <n v="5.2717673916666659"/>
    <n v="0.44412834874999996"/>
    <n v="0.54161993749999993"/>
    <n v="3.3700796111111107"/>
    <n v="11.9377150536525"/>
    <n v="43.518971809346937"/>
    <n v="0"/>
    <n v="0"/>
    <n v="0"/>
    <n v="0"/>
    <n v="43.518971809346937"/>
    <n v="196.62072732312174"/>
    <n v="441.81099462365592"/>
    <n v="113.11309677419354"/>
    <n v="0"/>
    <n v="0"/>
    <n v="751.54481872097119"/>
    <n v="5949.2808521176257"/>
    <n v="381.16095106452326"/>
    <n v="320.1751988941997"/>
    <n v="8.6609686609686695E-2"/>
    <n v="1.880341880341882E-2"/>
    <n v="0.03"/>
    <n v="3.4188034188034219E-2"/>
    <n v="0.1225"/>
    <n v="0.13960113960113973"/>
    <n v="928.43371254057377"/>
    <n v="1629.7698624992968"/>
    <n v="7579.0507146169221"/>
    <n v="90948.608575403065"/>
    <d v="2025-01-01T00:00:00"/>
    <s v="-"/>
    <s v="-"/>
  </r>
  <r>
    <s v="1.720.43"/>
    <x v="140"/>
    <x v="2"/>
    <s v="Cataguases"/>
    <s v="Apoio"/>
    <x v="0"/>
    <n v="1"/>
    <n v="0"/>
    <n v="1963.4110000000001"/>
    <n v="0"/>
    <n v="0"/>
    <n v="0"/>
    <n v="0"/>
    <n v="0"/>
    <n v="0"/>
    <n v="0"/>
    <n v="1963.4110000000001"/>
    <n v="392.68220000000002"/>
    <n v="29.451165"/>
    <n v="19.63411"/>
    <n v="3.926822"/>
    <n v="49.085275000000003"/>
    <n v="157.07288"/>
    <n v="78.536439999999999"/>
    <n v="11.780466000000001"/>
    <n v="742.1693580000001"/>
    <n v="163.61758333333333"/>
    <n v="218.15677777777776"/>
    <n v="144.3107085"/>
    <n v="526.08506961111107"/>
    <n v="138.19533999999999"/>
    <n v="582"/>
    <n v="0"/>
    <n v="57.07"/>
    <n v="0"/>
    <n v="0"/>
    <n v="3.36"/>
    <n v="0"/>
    <n v="780.62534000000005"/>
    <n v="2048.8797676111112"/>
    <n v="13.766980408757716"/>
    <n v="1.1013584327006174"/>
    <n v="0.44054337308024699"/>
    <n v="6.8719385000000015"/>
    <n v="2.5975927530000007"/>
    <n v="60.03674524444444"/>
    <n v="1.6361758333333334"/>
    <n v="86.451334545316371"/>
    <n v="16.579915111111109"/>
    <n v="3.9813611944444443"/>
    <n v="0.33541604583333334"/>
    <n v="0.40904395833333335"/>
    <n v="2.5451624074074073"/>
    <n v="9.0156397150750021"/>
    <n v="32.866538432204628"/>
    <n v="267.73786489195959"/>
    <n v="267.73786489195959"/>
    <n v="0"/>
    <n v="0"/>
    <n v="300.6044033241642"/>
    <n v="56.642978962543395"/>
    <n v="0"/>
    <n v="0"/>
    <n v="0"/>
    <n v="0"/>
    <n v="56.642978962543395"/>
    <n v="4455.9894844431356"/>
    <n v="381.16095106452326"/>
    <n v="320.1751988941997"/>
    <n v="8.6609686609686695E-2"/>
    <n v="1.880341880341882E-2"/>
    <n v="0.03"/>
    <n v="3.4188034188034219E-2"/>
    <n v="0.1225"/>
    <n v="0.13960113960113973"/>
    <n v="719.96853585667031"/>
    <n v="1421.3046858153932"/>
    <n v="5877.2941702585285"/>
    <n v="70527.530043102335"/>
    <d v="2025-01-01T00:00:00"/>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DinamUniformes" cacheId="0" applyNumberFormats="0" applyBorderFormats="0" applyFontFormats="0" applyPatternFormats="0" applyAlignmentFormats="0" applyWidthHeightFormats="1" dataCaption="Valores" updatedVersion="8" minRefreshableVersion="3" showDrill="0" useAutoFormatting="1" itemPrintTitles="1" createdVersion="8" indent="0" compact="0" compactData="0" multipleFieldFilters="0">
  <location ref="M5:HS68" firstHeaderRow="1" firstDataRow="3" firstDataCol="2"/>
  <pivotFields count="11">
    <pivotField compact="0" outline="0" subtotalTop="0" showAll="0" defaultSubtotal="0">
      <extLst>
        <ext xmlns:x14="http://schemas.microsoft.com/office/spreadsheetml/2009/9/main" uri="{2946ED86-A175-432a-8AC1-64E0C546D7DE}">
          <x14:pivotField fillDownLabels="1"/>
        </ext>
      </extLst>
    </pivotField>
    <pivotField axis="axisCol" compact="0" outline="0" showAll="0" defaultSubtotal="0">
      <items count="106">
        <item m="1" x="103"/>
        <item x="50"/>
        <item x="51"/>
        <item m="1" x="105"/>
        <item x="41"/>
        <item x="1"/>
        <item x="30"/>
        <item x="3"/>
        <item x="2"/>
        <item x="56"/>
        <item x="53"/>
        <item x="55"/>
        <item x="68"/>
        <item m="1" x="88"/>
        <item m="1" x="102"/>
        <item m="1" x="74"/>
        <item m="1" x="84"/>
        <item m="1" x="70"/>
        <item m="1" x="87"/>
        <item m="1" x="89"/>
        <item m="1" x="95"/>
        <item x="31"/>
        <item x="6"/>
        <item m="1" x="97"/>
        <item m="1" x="96"/>
        <item m="1" x="75"/>
        <item m="1" x="85"/>
        <item m="1" x="78"/>
        <item m="1" x="93"/>
        <item m="1" x="90"/>
        <item m="1" x="79"/>
        <item m="1" x="86"/>
        <item m="1" x="94"/>
        <item m="1" x="83"/>
        <item m="1" x="82"/>
        <item m="1" x="98"/>
        <item m="1" x="104"/>
        <item m="1" x="76"/>
        <item m="1" x="81"/>
        <item m="1" x="80"/>
        <item m="1" x="100"/>
        <item m="1" x="99"/>
        <item m="1" x="77"/>
        <item m="1" x="92"/>
        <item m="1" x="91"/>
        <item m="1" x="101"/>
        <item x="52"/>
        <item x="49"/>
        <item x="54"/>
        <item x="67"/>
        <item m="1" x="71"/>
        <item x="7"/>
        <item x="9"/>
        <item x="8"/>
        <item x="4"/>
        <item x="5"/>
        <item m="1" x="72"/>
        <item m="1" x="73"/>
        <item x="0"/>
        <item x="10"/>
        <item x="11"/>
        <item x="12"/>
        <item x="13"/>
        <item x="14"/>
        <item x="15"/>
        <item x="16"/>
        <item x="17"/>
        <item x="18"/>
        <item x="19"/>
        <item x="20"/>
        <item x="21"/>
        <item x="22"/>
        <item x="23"/>
        <item x="24"/>
        <item x="25"/>
        <item x="26"/>
        <item x="27"/>
        <item x="28"/>
        <item x="29"/>
        <item x="32"/>
        <item x="33"/>
        <item x="34"/>
        <item x="35"/>
        <item x="36"/>
        <item x="37"/>
        <item x="38"/>
        <item x="39"/>
        <item x="40"/>
        <item x="42"/>
        <item x="43"/>
        <item x="44"/>
        <item x="45"/>
        <item x="46"/>
        <item x="47"/>
        <item x="48"/>
        <item x="57"/>
        <item x="58"/>
        <item x="59"/>
        <item x="60"/>
        <item x="61"/>
        <item x="62"/>
        <item x="63"/>
        <item x="64"/>
        <item x="65"/>
        <item x="66"/>
        <item x="69"/>
      </items>
      <extLst>
        <ext xmlns:x14="http://schemas.microsoft.com/office/spreadsheetml/2009/9/main" uri="{2946ED86-A175-432a-8AC1-64E0C546D7DE}">
          <x14:pivotField fillDownLabels="1"/>
        </ext>
      </extLst>
    </pivotField>
    <pivotField compact="0" numFmtId="14" outline="0" subtotalTop="0" showAll="0" defaultSubtotal="0">
      <extLst>
        <ext xmlns:x14="http://schemas.microsoft.com/office/spreadsheetml/2009/9/main" uri="{2946ED86-A175-432a-8AC1-64E0C546D7DE}">
          <x14:pivotField fillDownLabels="1"/>
        </ext>
      </extLst>
    </pivotField>
    <pivotField compact="0" numFmtId="169" outline="0" subtotalTop="0" showAll="0" defaultSubtotal="0">
      <extLst>
        <ext xmlns:x14="http://schemas.microsoft.com/office/spreadsheetml/2009/9/main" uri="{2946ED86-A175-432a-8AC1-64E0C546D7DE}">
          <x14:pivotField fillDownLabels="1"/>
        </ext>
      </extLst>
    </pivotField>
    <pivotField compact="0" numFmtId="169"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axis="axisRow" compact="0" outline="0" showAll="0" defaultSubtotal="0">
      <items count="69">
        <item x="0"/>
        <item m="1" x="67"/>
        <item m="1" x="68"/>
        <item x="1"/>
        <item x="2"/>
        <item x="5"/>
        <item x="6"/>
        <item x="8"/>
        <item x="9"/>
        <item x="10"/>
        <item x="11"/>
        <item x="12"/>
        <item x="14"/>
        <item m="1" x="62"/>
        <item x="15"/>
        <item x="16"/>
        <item x="19"/>
        <item x="20"/>
        <item x="23"/>
        <item x="27"/>
        <item x="29"/>
        <item x="30"/>
        <item x="31"/>
        <item m="1" x="66"/>
        <item x="35"/>
        <item x="36"/>
        <item x="38"/>
        <item x="39"/>
        <item x="40"/>
        <item x="41"/>
        <item x="42"/>
        <item x="43"/>
        <item x="44"/>
        <item x="45"/>
        <item x="46"/>
        <item m="1" x="63"/>
        <item x="47"/>
        <item x="48"/>
        <item x="49"/>
        <item m="1" x="64"/>
        <item x="50"/>
        <item x="51"/>
        <item x="55"/>
        <item m="1" x="65"/>
        <item x="59"/>
        <item x="34"/>
        <item x="32"/>
        <item x="33"/>
        <item m="1" x="61"/>
        <item x="3"/>
        <item x="4"/>
        <item m="1" x="60"/>
        <item x="13"/>
        <item x="17"/>
        <item x="18"/>
        <item x="21"/>
        <item x="22"/>
        <item x="24"/>
        <item x="25"/>
        <item x="26"/>
        <item x="37"/>
        <item x="52"/>
        <item x="53"/>
        <item x="54"/>
        <item x="56"/>
        <item x="57"/>
        <item x="58"/>
        <item x="7"/>
        <item x="28"/>
      </items>
      <extLst>
        <ext xmlns:x14="http://schemas.microsoft.com/office/spreadsheetml/2009/9/main" uri="{2946ED86-A175-432a-8AC1-64E0C546D7DE}">
          <x14:pivotField fillDownLabels="1"/>
        </ext>
      </extLst>
    </pivotField>
    <pivotField axis="axisRow" compact="0" outline="0" showAll="0" defaultSubtotal="0">
      <items count="57">
        <item x="20"/>
        <item m="1" x="56"/>
        <item x="3"/>
        <item m="1" x="35"/>
        <item x="6"/>
        <item m="1" x="48"/>
        <item x="22"/>
        <item m="1" x="37"/>
        <item x="29"/>
        <item x="0"/>
        <item x="15"/>
        <item x="17"/>
        <item m="1" x="49"/>
        <item x="4"/>
        <item x="13"/>
        <item x="7"/>
        <item x="19"/>
        <item x="5"/>
        <item x="16"/>
        <item m="1" x="55"/>
        <item x="14"/>
        <item x="10"/>
        <item m="1" x="50"/>
        <item m="1" x="51"/>
        <item m="1" x="52"/>
        <item x="23"/>
        <item m="1" x="44"/>
        <item m="1" x="53"/>
        <item m="1" x="54"/>
        <item m="1" x="46"/>
        <item x="1"/>
        <item m="1" x="32"/>
        <item m="1" x="36"/>
        <item x="12"/>
        <item m="1" x="42"/>
        <item x="18"/>
        <item m="1" x="43"/>
        <item m="1" x="45"/>
        <item m="1" x="47"/>
        <item m="1" x="31"/>
        <item x="9"/>
        <item x="8"/>
        <item m="1" x="38"/>
        <item x="25"/>
        <item m="1" x="39"/>
        <item m="1" x="40"/>
        <item m="1" x="41"/>
        <item m="1" x="33"/>
        <item m="1" x="34"/>
        <item x="24"/>
        <item x="26"/>
        <item x="27"/>
        <item x="28"/>
        <item x="30"/>
        <item x="2"/>
        <item x="11"/>
        <item x="21"/>
      </items>
      <extLst>
        <ext xmlns:x14="http://schemas.microsoft.com/office/spreadsheetml/2009/9/main" uri="{2946ED86-A175-432a-8AC1-64E0C546D7DE}">
          <x14:pivotField fillDownLabels="1"/>
        </ext>
      </extLst>
    </pivotField>
    <pivotField dataField="1" compact="0" numFmtId="44" outline="0" showAll="0" defaultSubtotal="0">
      <extLst>
        <ext xmlns:x14="http://schemas.microsoft.com/office/spreadsheetml/2009/9/main" uri="{2946ED86-A175-432a-8AC1-64E0C546D7DE}">
          <x14:pivotField fillDownLabels="1"/>
        </ext>
      </extLst>
    </pivotField>
    <pivotField dataField="1" compact="0" outline="0" subtotalTop="0" showAll="0" defaultSubtotal="0">
      <items count="178">
        <item x="82"/>
        <item x="36"/>
        <item x="22"/>
        <item m="1" x="125"/>
        <item m="1" x="176"/>
        <item m="1" x="177"/>
        <item x="3"/>
        <item x="55"/>
        <item x="33"/>
        <item x="39"/>
        <item x="49"/>
        <item m="1" x="122"/>
        <item x="95"/>
        <item x="1"/>
        <item x="28"/>
        <item x="0"/>
        <item m="1" x="160"/>
        <item x="13"/>
        <item x="65"/>
        <item x="40"/>
        <item x="29"/>
        <item x="23"/>
        <item x="32"/>
        <item m="1" x="128"/>
        <item x="69"/>
        <item x="46"/>
        <item x="43"/>
        <item m="1" x="166"/>
        <item x="79"/>
        <item x="97"/>
        <item m="1" x="149"/>
        <item m="1" x="123"/>
        <item m="1" x="173"/>
        <item x="70"/>
        <item x="58"/>
        <item x="76"/>
        <item m="1" x="169"/>
        <item x="45"/>
        <item m="1" x="150"/>
        <item m="1" x="171"/>
        <item m="1" x="175"/>
        <item x="111"/>
        <item x="41"/>
        <item x="53"/>
        <item x="11"/>
        <item x="94"/>
        <item x="74"/>
        <item m="1" x="162"/>
        <item x="20"/>
        <item x="30"/>
        <item x="71"/>
        <item x="10"/>
        <item m="1" x="121"/>
        <item x="2"/>
        <item x="77"/>
        <item m="1" x="159"/>
        <item x="63"/>
        <item x="16"/>
        <item x="68"/>
        <item x="81"/>
        <item x="26"/>
        <item x="75"/>
        <item x="52"/>
        <item m="1" x="163"/>
        <item m="1" x="165"/>
        <item x="64"/>
        <item x="106"/>
        <item m="1" x="170"/>
        <item m="1" x="172"/>
        <item m="1" x="167"/>
        <item x="12"/>
        <item x="93"/>
        <item x="42"/>
        <item x="4"/>
        <item x="44"/>
        <item x="108"/>
        <item m="1" x="174"/>
        <item x="66"/>
        <item m="1" x="161"/>
        <item m="1" x="157"/>
        <item x="86"/>
        <item m="1" x="118"/>
        <item x="85"/>
        <item m="1" x="119"/>
        <item m="1" x="129"/>
        <item x="38"/>
        <item x="25"/>
        <item x="19"/>
        <item m="1" x="155"/>
        <item m="1" x="164"/>
        <item m="1" x="168"/>
        <item x="5"/>
        <item x="6"/>
        <item x="7"/>
        <item x="110"/>
        <item x="9"/>
        <item m="1" x="120"/>
        <item x="78"/>
        <item x="56"/>
        <item m="1" x="113"/>
        <item x="54"/>
        <item x="57"/>
        <item m="1" x="114"/>
        <item m="1" x="115"/>
        <item m="1" x="141"/>
        <item m="1" x="142"/>
        <item m="1" x="143"/>
        <item m="1" x="144"/>
        <item x="73"/>
        <item m="1" x="116"/>
        <item m="1" x="117"/>
        <item m="1" x="145"/>
        <item m="1" x="146"/>
        <item m="1" x="147"/>
        <item m="1" x="148"/>
        <item x="92"/>
        <item x="67"/>
        <item m="1" x="151"/>
        <item m="1" x="152"/>
        <item m="1" x="153"/>
        <item m="1" x="154"/>
        <item m="1" x="156"/>
        <item m="1" x="158"/>
        <item m="1" x="112"/>
        <item x="47"/>
        <item x="31"/>
        <item m="1" x="124"/>
        <item m="1" x="126"/>
        <item m="1" x="127"/>
        <item x="80"/>
        <item m="1" x="130"/>
        <item m="1" x="131"/>
        <item m="1" x="132"/>
        <item m="1" x="133"/>
        <item m="1" x="134"/>
        <item m="1" x="135"/>
        <item m="1" x="136"/>
        <item m="1" x="137"/>
        <item m="1" x="138"/>
        <item m="1" x="139"/>
        <item m="1" x="140"/>
        <item x="60"/>
        <item x="59"/>
        <item x="62"/>
        <item x="61"/>
        <item x="89"/>
        <item x="90"/>
        <item x="91"/>
        <item x="88"/>
        <item x="99"/>
        <item x="100"/>
        <item x="101"/>
        <item x="98"/>
        <item x="103"/>
        <item x="104"/>
        <item x="105"/>
        <item x="102"/>
        <item x="107"/>
        <item x="109"/>
        <item x="8"/>
        <item x="14"/>
        <item x="15"/>
        <item x="17"/>
        <item x="18"/>
        <item x="21"/>
        <item x="24"/>
        <item x="27"/>
        <item x="34"/>
        <item x="35"/>
        <item x="37"/>
        <item x="48"/>
        <item x="50"/>
        <item x="51"/>
        <item x="72"/>
        <item x="83"/>
        <item x="84"/>
        <item x="87"/>
        <item x="96"/>
      </items>
      <extLst>
        <ext xmlns:x14="http://schemas.microsoft.com/office/spreadsheetml/2009/9/main" uri="{2946ED86-A175-432a-8AC1-64E0C546D7DE}">
          <x14:pivotField fillDownLabels="1"/>
        </ext>
      </extLst>
    </pivotField>
    <pivotField dataField="1" compact="0" numFmtId="44" outline="0" subtotalTop="0" showAll="0" defaultSubtotal="0">
      <extLst>
        <ext xmlns:x14="http://schemas.microsoft.com/office/spreadsheetml/2009/9/main" uri="{2946ED86-A175-432a-8AC1-64E0C546D7DE}">
          <x14:pivotField fillDownLabels="1"/>
        </ext>
      </extLst>
    </pivotField>
  </pivotFields>
  <rowFields count="2">
    <field x="6"/>
    <field x="7"/>
  </rowFields>
  <rowItems count="61">
    <i>
      <x/>
      <x v="9"/>
    </i>
    <i>
      <x v="3"/>
      <x v="30"/>
    </i>
    <i>
      <x v="4"/>
      <x v="54"/>
    </i>
    <i>
      <x v="5"/>
      <x v="13"/>
    </i>
    <i>
      <x v="6"/>
      <x v="17"/>
    </i>
    <i>
      <x v="7"/>
      <x v="15"/>
    </i>
    <i>
      <x v="8"/>
      <x v="41"/>
    </i>
    <i>
      <x v="9"/>
      <x v="40"/>
    </i>
    <i>
      <x v="10"/>
      <x v="21"/>
    </i>
    <i>
      <x v="11"/>
      <x v="55"/>
    </i>
    <i>
      <x v="12"/>
      <x v="14"/>
    </i>
    <i>
      <x v="14"/>
      <x v="20"/>
    </i>
    <i>
      <x v="15"/>
      <x v="10"/>
    </i>
    <i>
      <x v="16"/>
      <x v="11"/>
    </i>
    <i>
      <x v="17"/>
      <x v="4"/>
    </i>
    <i>
      <x v="18"/>
      <x v="35"/>
    </i>
    <i>
      <x v="19"/>
      <x v="14"/>
    </i>
    <i>
      <x v="20"/>
      <x/>
    </i>
    <i>
      <x v="21"/>
      <x v="40"/>
    </i>
    <i>
      <x v="22"/>
      <x v="14"/>
    </i>
    <i>
      <x v="24"/>
      <x v="14"/>
    </i>
    <i>
      <x v="25"/>
      <x v="17"/>
    </i>
    <i>
      <x v="26"/>
      <x v="15"/>
    </i>
    <i>
      <x v="27"/>
      <x v="40"/>
    </i>
    <i>
      <x v="28"/>
      <x v="6"/>
    </i>
    <i>
      <x v="29"/>
      <x v="25"/>
    </i>
    <i>
      <x v="30"/>
      <x v="49"/>
    </i>
    <i>
      <x v="31"/>
      <x v="43"/>
    </i>
    <i>
      <x v="32"/>
      <x v="50"/>
    </i>
    <i>
      <x v="33"/>
      <x v="4"/>
    </i>
    <i>
      <x v="34"/>
      <x v="4"/>
    </i>
    <i>
      <x v="36"/>
      <x/>
    </i>
    <i>
      <x v="37"/>
      <x v="18"/>
    </i>
    <i>
      <x v="38"/>
      <x v="40"/>
    </i>
    <i>
      <x v="40"/>
      <x v="51"/>
    </i>
    <i>
      <x v="41"/>
      <x v="15"/>
    </i>
    <i>
      <x v="42"/>
      <x v="11"/>
    </i>
    <i>
      <x v="44"/>
      <x v="4"/>
    </i>
    <i>
      <x v="45"/>
      <x v="56"/>
    </i>
    <i>
      <x v="46"/>
      <x v="18"/>
    </i>
    <i>
      <x v="47"/>
      <x/>
    </i>
    <i>
      <x v="49"/>
      <x v="2"/>
    </i>
    <i>
      <x v="50"/>
      <x v="9"/>
    </i>
    <i>
      <x v="52"/>
      <x v="33"/>
    </i>
    <i>
      <x v="53"/>
      <x v="18"/>
    </i>
    <i>
      <x v="54"/>
      <x v="18"/>
    </i>
    <i>
      <x v="55"/>
      <x v="18"/>
    </i>
    <i>
      <x v="56"/>
      <x v="18"/>
    </i>
    <i>
      <x v="57"/>
      <x v="18"/>
    </i>
    <i>
      <x v="58"/>
      <x v="18"/>
    </i>
    <i>
      <x v="59"/>
      <x v="33"/>
    </i>
    <i>
      <x v="60"/>
      <x v="20"/>
    </i>
    <i>
      <x v="61"/>
      <x v="18"/>
    </i>
    <i>
      <x v="62"/>
      <x v="18"/>
    </i>
    <i>
      <x v="63"/>
      <x v="52"/>
    </i>
    <i>
      <x v="64"/>
      <x v="8"/>
    </i>
    <i>
      <x v="65"/>
      <x v="8"/>
    </i>
    <i>
      <x v="66"/>
      <x v="53"/>
    </i>
    <i>
      <x v="67"/>
      <x v="4"/>
    </i>
    <i>
      <x v="68"/>
      <x v="16"/>
    </i>
    <i t="grand">
      <x/>
    </i>
  </rowItems>
  <colFields count="2">
    <field x="1"/>
    <field x="-2"/>
  </colFields>
  <colItems count="213">
    <i>
      <x v="1"/>
      <x/>
    </i>
    <i r="1" i="1">
      <x v="1"/>
    </i>
    <i r="1" i="2">
      <x v="2"/>
    </i>
    <i>
      <x v="2"/>
      <x/>
    </i>
    <i r="1" i="1">
      <x v="1"/>
    </i>
    <i r="1" i="2">
      <x v="2"/>
    </i>
    <i>
      <x v="4"/>
      <x/>
    </i>
    <i r="1" i="1">
      <x v="1"/>
    </i>
    <i r="1" i="2">
      <x v="2"/>
    </i>
    <i>
      <x v="5"/>
      <x/>
    </i>
    <i r="1" i="1">
      <x v="1"/>
    </i>
    <i r="1" i="2">
      <x v="2"/>
    </i>
    <i>
      <x v="6"/>
      <x/>
    </i>
    <i r="1" i="1">
      <x v="1"/>
    </i>
    <i r="1" i="2">
      <x v="2"/>
    </i>
    <i>
      <x v="7"/>
      <x/>
    </i>
    <i r="1" i="1">
      <x v="1"/>
    </i>
    <i r="1" i="2">
      <x v="2"/>
    </i>
    <i>
      <x v="8"/>
      <x/>
    </i>
    <i r="1" i="1">
      <x v="1"/>
    </i>
    <i r="1" i="2">
      <x v="2"/>
    </i>
    <i>
      <x v="9"/>
      <x/>
    </i>
    <i r="1" i="1">
      <x v="1"/>
    </i>
    <i r="1" i="2">
      <x v="2"/>
    </i>
    <i>
      <x v="10"/>
      <x/>
    </i>
    <i r="1" i="1">
      <x v="1"/>
    </i>
    <i r="1" i="2">
      <x v="2"/>
    </i>
    <i>
      <x v="11"/>
      <x/>
    </i>
    <i r="1" i="1">
      <x v="1"/>
    </i>
    <i r="1" i="2">
      <x v="2"/>
    </i>
    <i>
      <x v="12"/>
      <x/>
    </i>
    <i r="1" i="1">
      <x v="1"/>
    </i>
    <i r="1" i="2">
      <x v="2"/>
    </i>
    <i>
      <x v="21"/>
      <x/>
    </i>
    <i r="1" i="1">
      <x v="1"/>
    </i>
    <i r="1" i="2">
      <x v="2"/>
    </i>
    <i>
      <x v="22"/>
      <x/>
    </i>
    <i r="1" i="1">
      <x v="1"/>
    </i>
    <i r="1" i="2">
      <x v="2"/>
    </i>
    <i>
      <x v="46"/>
      <x/>
    </i>
    <i r="1" i="1">
      <x v="1"/>
    </i>
    <i r="1" i="2">
      <x v="2"/>
    </i>
    <i>
      <x v="47"/>
      <x/>
    </i>
    <i r="1" i="1">
      <x v="1"/>
    </i>
    <i r="1" i="2">
      <x v="2"/>
    </i>
    <i>
      <x v="48"/>
      <x/>
    </i>
    <i r="1" i="1">
      <x v="1"/>
    </i>
    <i r="1" i="2">
      <x v="2"/>
    </i>
    <i>
      <x v="49"/>
      <x/>
    </i>
    <i r="1" i="1">
      <x v="1"/>
    </i>
    <i r="1" i="2">
      <x v="2"/>
    </i>
    <i>
      <x v="51"/>
      <x/>
    </i>
    <i r="1" i="1">
      <x v="1"/>
    </i>
    <i r="1" i="2">
      <x v="2"/>
    </i>
    <i>
      <x v="52"/>
      <x/>
    </i>
    <i r="1" i="1">
      <x v="1"/>
    </i>
    <i r="1" i="2">
      <x v="2"/>
    </i>
    <i>
      <x v="53"/>
      <x/>
    </i>
    <i r="1" i="1">
      <x v="1"/>
    </i>
    <i r="1" i="2">
      <x v="2"/>
    </i>
    <i>
      <x v="54"/>
      <x/>
    </i>
    <i r="1" i="1">
      <x v="1"/>
    </i>
    <i r="1" i="2">
      <x v="2"/>
    </i>
    <i>
      <x v="55"/>
      <x/>
    </i>
    <i r="1" i="1">
      <x v="1"/>
    </i>
    <i r="1" i="2">
      <x v="2"/>
    </i>
    <i>
      <x v="58"/>
      <x/>
    </i>
    <i r="1" i="1">
      <x v="1"/>
    </i>
    <i r="1" i="2">
      <x v="2"/>
    </i>
    <i>
      <x v="59"/>
      <x/>
    </i>
    <i r="1" i="1">
      <x v="1"/>
    </i>
    <i r="1" i="2">
      <x v="2"/>
    </i>
    <i>
      <x v="60"/>
      <x/>
    </i>
    <i r="1" i="1">
      <x v="1"/>
    </i>
    <i r="1" i="2">
      <x v="2"/>
    </i>
    <i>
      <x v="61"/>
      <x/>
    </i>
    <i r="1" i="1">
      <x v="1"/>
    </i>
    <i r="1" i="2">
      <x v="2"/>
    </i>
    <i>
      <x v="62"/>
      <x/>
    </i>
    <i r="1" i="1">
      <x v="1"/>
    </i>
    <i r="1" i="2">
      <x v="2"/>
    </i>
    <i>
      <x v="63"/>
      <x/>
    </i>
    <i r="1" i="1">
      <x v="1"/>
    </i>
    <i r="1" i="2">
      <x v="2"/>
    </i>
    <i>
      <x v="64"/>
      <x/>
    </i>
    <i r="1" i="1">
      <x v="1"/>
    </i>
    <i r="1" i="2">
      <x v="2"/>
    </i>
    <i>
      <x v="65"/>
      <x/>
    </i>
    <i r="1" i="1">
      <x v="1"/>
    </i>
    <i r="1" i="2">
      <x v="2"/>
    </i>
    <i>
      <x v="66"/>
      <x/>
    </i>
    <i r="1" i="1">
      <x v="1"/>
    </i>
    <i r="1" i="2">
      <x v="2"/>
    </i>
    <i>
      <x v="67"/>
      <x/>
    </i>
    <i r="1" i="1">
      <x v="1"/>
    </i>
    <i r="1" i="2">
      <x v="2"/>
    </i>
    <i>
      <x v="68"/>
      <x/>
    </i>
    <i r="1" i="1">
      <x v="1"/>
    </i>
    <i r="1" i="2">
      <x v="2"/>
    </i>
    <i>
      <x v="69"/>
      <x/>
    </i>
    <i r="1" i="1">
      <x v="1"/>
    </i>
    <i r="1" i="2">
      <x v="2"/>
    </i>
    <i>
      <x v="70"/>
      <x/>
    </i>
    <i r="1" i="1">
      <x v="1"/>
    </i>
    <i r="1" i="2">
      <x v="2"/>
    </i>
    <i>
      <x v="71"/>
      <x/>
    </i>
    <i r="1" i="1">
      <x v="1"/>
    </i>
    <i r="1" i="2">
      <x v="2"/>
    </i>
    <i>
      <x v="72"/>
      <x/>
    </i>
    <i r="1" i="1">
      <x v="1"/>
    </i>
    <i r="1" i="2">
      <x v="2"/>
    </i>
    <i>
      <x v="73"/>
      <x/>
    </i>
    <i r="1" i="1">
      <x v="1"/>
    </i>
    <i r="1" i="2">
      <x v="2"/>
    </i>
    <i>
      <x v="74"/>
      <x/>
    </i>
    <i r="1" i="1">
      <x v="1"/>
    </i>
    <i r="1" i="2">
      <x v="2"/>
    </i>
    <i>
      <x v="75"/>
      <x/>
    </i>
    <i r="1" i="1">
      <x v="1"/>
    </i>
    <i r="1" i="2">
      <x v="2"/>
    </i>
    <i>
      <x v="76"/>
      <x/>
    </i>
    <i r="1" i="1">
      <x v="1"/>
    </i>
    <i r="1" i="2">
      <x v="2"/>
    </i>
    <i>
      <x v="77"/>
      <x/>
    </i>
    <i r="1" i="1">
      <x v="1"/>
    </i>
    <i r="1" i="2">
      <x v="2"/>
    </i>
    <i>
      <x v="78"/>
      <x/>
    </i>
    <i r="1" i="1">
      <x v="1"/>
    </i>
    <i r="1" i="2">
      <x v="2"/>
    </i>
    <i>
      <x v="79"/>
      <x/>
    </i>
    <i r="1" i="1">
      <x v="1"/>
    </i>
    <i r="1" i="2">
      <x v="2"/>
    </i>
    <i>
      <x v="80"/>
      <x/>
    </i>
    <i r="1" i="1">
      <x v="1"/>
    </i>
    <i r="1" i="2">
      <x v="2"/>
    </i>
    <i>
      <x v="81"/>
      <x/>
    </i>
    <i r="1" i="1">
      <x v="1"/>
    </i>
    <i r="1" i="2">
      <x v="2"/>
    </i>
    <i>
      <x v="82"/>
      <x/>
    </i>
    <i r="1" i="1">
      <x v="1"/>
    </i>
    <i r="1" i="2">
      <x v="2"/>
    </i>
    <i>
      <x v="83"/>
      <x/>
    </i>
    <i r="1" i="1">
      <x v="1"/>
    </i>
    <i r="1" i="2">
      <x v="2"/>
    </i>
    <i>
      <x v="84"/>
      <x/>
    </i>
    <i r="1" i="1">
      <x v="1"/>
    </i>
    <i r="1" i="2">
      <x v="2"/>
    </i>
    <i>
      <x v="85"/>
      <x/>
    </i>
    <i r="1" i="1">
      <x v="1"/>
    </i>
    <i r="1" i="2">
      <x v="2"/>
    </i>
    <i>
      <x v="86"/>
      <x/>
    </i>
    <i r="1" i="1">
      <x v="1"/>
    </i>
    <i r="1" i="2">
      <x v="2"/>
    </i>
    <i>
      <x v="87"/>
      <x/>
    </i>
    <i r="1" i="1">
      <x v="1"/>
    </i>
    <i r="1" i="2">
      <x v="2"/>
    </i>
    <i>
      <x v="88"/>
      <x/>
    </i>
    <i r="1" i="1">
      <x v="1"/>
    </i>
    <i r="1" i="2">
      <x v="2"/>
    </i>
    <i>
      <x v="89"/>
      <x/>
    </i>
    <i r="1" i="1">
      <x v="1"/>
    </i>
    <i r="1" i="2">
      <x v="2"/>
    </i>
    <i>
      <x v="90"/>
      <x/>
    </i>
    <i r="1" i="1">
      <x v="1"/>
    </i>
    <i r="1" i="2">
      <x v="2"/>
    </i>
    <i>
      <x v="91"/>
      <x/>
    </i>
    <i r="1" i="1">
      <x v="1"/>
    </i>
    <i r="1" i="2">
      <x v="2"/>
    </i>
    <i>
      <x v="92"/>
      <x/>
    </i>
    <i r="1" i="1">
      <x v="1"/>
    </i>
    <i r="1" i="2">
      <x v="2"/>
    </i>
    <i>
      <x v="93"/>
      <x/>
    </i>
    <i r="1" i="1">
      <x v="1"/>
    </i>
    <i r="1" i="2">
      <x v="2"/>
    </i>
    <i>
      <x v="94"/>
      <x/>
    </i>
    <i r="1" i="1">
      <x v="1"/>
    </i>
    <i r="1" i="2">
      <x v="2"/>
    </i>
    <i>
      <x v="95"/>
      <x/>
    </i>
    <i r="1" i="1">
      <x v="1"/>
    </i>
    <i r="1" i="2">
      <x v="2"/>
    </i>
    <i>
      <x v="96"/>
      <x/>
    </i>
    <i r="1" i="1">
      <x v="1"/>
    </i>
    <i r="1" i="2">
      <x v="2"/>
    </i>
    <i>
      <x v="97"/>
      <x/>
    </i>
    <i r="1" i="1">
      <x v="1"/>
    </i>
    <i r="1" i="2">
      <x v="2"/>
    </i>
    <i>
      <x v="98"/>
      <x/>
    </i>
    <i r="1" i="1">
      <x v="1"/>
    </i>
    <i r="1" i="2">
      <x v="2"/>
    </i>
    <i>
      <x v="99"/>
      <x/>
    </i>
    <i r="1" i="1">
      <x v="1"/>
    </i>
    <i r="1" i="2">
      <x v="2"/>
    </i>
    <i>
      <x v="100"/>
      <x/>
    </i>
    <i r="1" i="1">
      <x v="1"/>
    </i>
    <i r="1" i="2">
      <x v="2"/>
    </i>
    <i>
      <x v="101"/>
      <x/>
    </i>
    <i r="1" i="1">
      <x v="1"/>
    </i>
    <i r="1" i="2">
      <x v="2"/>
    </i>
    <i>
      <x v="102"/>
      <x/>
    </i>
    <i r="1" i="1">
      <x v="1"/>
    </i>
    <i r="1" i="2">
      <x v="2"/>
    </i>
    <i>
      <x v="103"/>
      <x/>
    </i>
    <i r="1" i="1">
      <x v="1"/>
    </i>
    <i r="1" i="2">
      <x v="2"/>
    </i>
    <i>
      <x v="104"/>
      <x/>
    </i>
    <i r="1" i="1">
      <x v="1"/>
    </i>
    <i r="1" i="2">
      <x v="2"/>
    </i>
    <i>
      <x v="105"/>
      <x/>
    </i>
    <i r="1" i="1">
      <x v="1"/>
    </i>
    <i r="1" i="2">
      <x v="2"/>
    </i>
    <i t="grand">
      <x/>
    </i>
    <i t="grand" i="1">
      <x/>
    </i>
    <i t="grand" i="2">
      <x/>
    </i>
  </colItems>
  <dataFields count="3">
    <dataField name="Qtde. peças p/ ano" fld="9" baseField="5" baseItem="0"/>
    <dataField name="Valor p/ ano" fld="8" baseField="5" baseItem="0" numFmtId="44"/>
    <dataField name="Valor unitário mensal" fld="10" baseField="5" baseItem="0" numFmtId="44"/>
  </dataFields>
  <formats count="11">
    <format dxfId="616">
      <pivotArea outline="0" collapsedLevelsAreSubtotals="1" fieldPosition="0"/>
    </format>
    <format dxfId="615">
      <pivotArea field="9" type="button" dataOnly="0" labelOnly="1" outline="0"/>
    </format>
    <format dxfId="614">
      <pivotArea field="9" type="button" dataOnly="0" labelOnly="1" outline="0"/>
    </format>
    <format dxfId="613">
      <pivotArea field="9" type="button" dataOnly="0" labelOnly="1" outline="0"/>
    </format>
    <format dxfId="612">
      <pivotArea field="1" type="button" dataOnly="0" labelOnly="1" outline="0" axis="axisCol" fieldPosition="1"/>
    </format>
    <format dxfId="611">
      <pivotArea field="-2" type="button" dataOnly="0" labelOnly="1" outline="0" axis="axisCol" fieldPosition="2"/>
    </format>
    <format dxfId="610">
      <pivotArea field="7" type="button" dataOnly="0" labelOnly="1" outline="0" axis="axisRow" fieldPosition="1"/>
    </format>
    <format dxfId="609">
      <pivotArea field="6" type="button" dataOnly="0" labelOnly="1" outline="0" axis="axisRow" fieldPosition="0"/>
    </format>
    <format dxfId="608">
      <pivotArea field="7" type="button" dataOnly="0" labelOnly="1" outline="0" axis="axisRow" fieldPosition="1"/>
    </format>
    <format dxfId="607">
      <pivotArea field="6" type="button" dataOnly="0" labelOnly="1" outline="0" axis="axisRow" fieldPosition="0"/>
    </format>
    <format dxfId="606">
      <pivotArea field="6" type="button" dataOnly="0" labelOnly="1" outline="0" axis="axisRow" fieldPosition="0"/>
    </format>
  </formats>
  <pivotTableStyleInfo name="PivotStyleLight9"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name="Tabela dinâmica1"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6" rowHeaderCaption="CARGOS">
  <location ref="G3:O6" firstHeaderRow="0" firstDataRow="1" firstDataCol="1" rowPageCount="1" colPageCount="1"/>
  <pivotFields count="83">
    <pivotField showAll="0"/>
    <pivotField axis="axisPage" showAll="0">
      <items count="300">
        <item m="1" x="143"/>
        <item x="0"/>
        <item m="1" x="144"/>
        <item m="1" x="184"/>
        <item x="1"/>
        <item m="1" x="145"/>
        <item x="2"/>
        <item x="3"/>
        <item x="4"/>
        <item x="5"/>
        <item m="1" x="185"/>
        <item m="1" x="146"/>
        <item x="6"/>
        <item m="1" x="186"/>
        <item m="1" x="187"/>
        <item x="7"/>
        <item x="8"/>
        <item x="9"/>
        <item m="1" x="147"/>
        <item x="10"/>
        <item m="1" x="148"/>
        <item m="1" x="188"/>
        <item x="11"/>
        <item x="12"/>
        <item m="1" x="189"/>
        <item x="13"/>
        <item m="1" x="149"/>
        <item x="14"/>
        <item m="1" x="190"/>
        <item x="15"/>
        <item x="16"/>
        <item x="17"/>
        <item x="18"/>
        <item m="1" x="150"/>
        <item m="1" x="191"/>
        <item m="1" x="192"/>
        <item m="1" x="193"/>
        <item x="19"/>
        <item m="1" x="194"/>
        <item x="20"/>
        <item m="1" x="151"/>
        <item m="1" x="195"/>
        <item x="21"/>
        <item m="1" x="196"/>
        <item m="1" x="152"/>
        <item x="22"/>
        <item m="1" x="153"/>
        <item x="23"/>
        <item x="24"/>
        <item m="1" x="197"/>
        <item m="1" x="198"/>
        <item m="1" x="154"/>
        <item m="1" x="199"/>
        <item x="25"/>
        <item x="26"/>
        <item x="27"/>
        <item x="28"/>
        <item x="29"/>
        <item x="30"/>
        <item m="1" x="200"/>
        <item x="31"/>
        <item x="32"/>
        <item x="33"/>
        <item m="1" x="201"/>
        <item m="1" x="202"/>
        <item m="1" x="203"/>
        <item m="1" x="155"/>
        <item m="1" x="156"/>
        <item x="34"/>
        <item m="1" x="204"/>
        <item m="1" x="205"/>
        <item x="35"/>
        <item m="1" x="142"/>
        <item m="1" x="206"/>
        <item m="1" x="157"/>
        <item m="1" x="158"/>
        <item m="1" x="207"/>
        <item x="36"/>
        <item m="1" x="208"/>
        <item x="37"/>
        <item x="38"/>
        <item x="39"/>
        <item x="40"/>
        <item m="1" x="209"/>
        <item x="41"/>
        <item x="42"/>
        <item m="1" x="210"/>
        <item m="1" x="211"/>
        <item x="43"/>
        <item x="44"/>
        <item x="45"/>
        <item x="46"/>
        <item m="1" x="159"/>
        <item x="47"/>
        <item m="1" x="212"/>
        <item m="1" x="160"/>
        <item x="48"/>
        <item x="49"/>
        <item m="1" x="161"/>
        <item m="1" x="213"/>
        <item m="1" x="214"/>
        <item x="50"/>
        <item m="1" x="215"/>
        <item x="51"/>
        <item x="52"/>
        <item x="53"/>
        <item m="1" x="216"/>
        <item x="54"/>
        <item m="1" x="217"/>
        <item m="1" x="162"/>
        <item m="1" x="218"/>
        <item m="1" x="219"/>
        <item m="1" x="220"/>
        <item m="1" x="221"/>
        <item x="55"/>
        <item m="1" x="222"/>
        <item x="56"/>
        <item m="1" x="223"/>
        <item m="1" x="224"/>
        <item x="57"/>
        <item x="58"/>
        <item x="59"/>
        <item x="60"/>
        <item m="1" x="225"/>
        <item m="1" x="226"/>
        <item x="61"/>
        <item x="62"/>
        <item x="63"/>
        <item x="64"/>
        <item m="1" x="163"/>
        <item m="1" x="227"/>
        <item m="1" x="228"/>
        <item m="1" x="229"/>
        <item m="1" x="230"/>
        <item x="65"/>
        <item x="66"/>
        <item m="1" x="231"/>
        <item x="67"/>
        <item x="68"/>
        <item x="69"/>
        <item m="1" x="232"/>
        <item m="1" x="233"/>
        <item m="1" x="164"/>
        <item m="1" x="165"/>
        <item x="70"/>
        <item m="1" x="234"/>
        <item m="1" x="235"/>
        <item m="1" x="236"/>
        <item m="1" x="237"/>
        <item m="1" x="238"/>
        <item x="71"/>
        <item x="72"/>
        <item x="73"/>
        <item m="1" x="239"/>
        <item m="1" x="240"/>
        <item x="74"/>
        <item m="1" x="241"/>
        <item m="1" x="242"/>
        <item m="1" x="243"/>
        <item x="75"/>
        <item m="1" x="244"/>
        <item x="76"/>
        <item x="77"/>
        <item x="78"/>
        <item x="79"/>
        <item m="1" x="245"/>
        <item x="80"/>
        <item m="1" x="166"/>
        <item m="1" x="167"/>
        <item m="1" x="246"/>
        <item x="81"/>
        <item m="1" x="247"/>
        <item m="1" x="168"/>
        <item m="1" x="248"/>
        <item m="1" x="249"/>
        <item m="1" x="250"/>
        <item x="82"/>
        <item m="1" x="251"/>
        <item m="1" x="252"/>
        <item x="83"/>
        <item m="1" x="253"/>
        <item m="1" x="254"/>
        <item m="1" x="255"/>
        <item m="1" x="256"/>
        <item x="84"/>
        <item m="1" x="257"/>
        <item x="85"/>
        <item x="86"/>
        <item x="87"/>
        <item m="1" x="169"/>
        <item m="1" x="258"/>
        <item m="1" x="259"/>
        <item m="1" x="260"/>
        <item x="88"/>
        <item x="89"/>
        <item m="1" x="261"/>
        <item x="90"/>
        <item m="1" x="170"/>
        <item x="91"/>
        <item m="1" x="262"/>
        <item m="1" x="263"/>
        <item x="92"/>
        <item m="1" x="264"/>
        <item m="1" x="171"/>
        <item x="93"/>
        <item x="94"/>
        <item m="1" x="172"/>
        <item x="95"/>
        <item m="1" x="265"/>
        <item m="1" x="266"/>
        <item x="96"/>
        <item x="97"/>
        <item m="1" x="267"/>
        <item x="98"/>
        <item m="1" x="268"/>
        <item m="1" x="269"/>
        <item x="99"/>
        <item m="1" x="270"/>
        <item m="1" x="271"/>
        <item x="100"/>
        <item m="1" x="272"/>
        <item x="101"/>
        <item x="102"/>
        <item m="1" x="273"/>
        <item x="103"/>
        <item x="104"/>
        <item x="105"/>
        <item x="106"/>
        <item m="1" x="274"/>
        <item x="107"/>
        <item m="1" x="275"/>
        <item m="1" x="276"/>
        <item m="1" x="173"/>
        <item m="1" x="277"/>
        <item m="1" x="278"/>
        <item m="1" x="279"/>
        <item m="1" x="280"/>
        <item x="108"/>
        <item x="109"/>
        <item m="1" x="281"/>
        <item x="110"/>
        <item m="1" x="282"/>
        <item m="1" x="283"/>
        <item m="1" x="174"/>
        <item m="1" x="284"/>
        <item x="111"/>
        <item x="112"/>
        <item m="1" x="285"/>
        <item m="1" x="286"/>
        <item m="1" x="175"/>
        <item x="113"/>
        <item x="114"/>
        <item m="1" x="176"/>
        <item x="115"/>
        <item m="1" x="287"/>
        <item m="1" x="288"/>
        <item x="116"/>
        <item x="117"/>
        <item m="1" x="289"/>
        <item x="118"/>
        <item m="1" x="290"/>
        <item x="119"/>
        <item x="120"/>
        <item x="121"/>
        <item m="1" x="291"/>
        <item m="1" x="292"/>
        <item m="1" x="293"/>
        <item x="122"/>
        <item x="123"/>
        <item m="1" x="294"/>
        <item x="124"/>
        <item m="1" x="295"/>
        <item x="125"/>
        <item x="126"/>
        <item m="1" x="177"/>
        <item x="127"/>
        <item m="1" x="178"/>
        <item m="1" x="179"/>
        <item x="128"/>
        <item x="129"/>
        <item m="1" x="180"/>
        <item x="130"/>
        <item x="131"/>
        <item m="1" x="181"/>
        <item m="1" x="182"/>
        <item x="132"/>
        <item m="1" x="296"/>
        <item x="133"/>
        <item x="134"/>
        <item x="135"/>
        <item x="136"/>
        <item x="137"/>
        <item m="1" x="297"/>
        <item m="1" x="183"/>
        <item x="138"/>
        <item x="139"/>
        <item m="1" x="298"/>
        <item x="140"/>
        <item m="1" x="141"/>
        <item t="default"/>
      </items>
    </pivotField>
    <pivotField axis="axisRow" showAll="0" sortType="ascending">
      <items count="73">
        <item x="8"/>
        <item m="1" x="71"/>
        <item m="1" x="70"/>
        <item m="1" x="61"/>
        <item x="9"/>
        <item x="10"/>
        <item x="11"/>
        <item x="12"/>
        <item x="13"/>
        <item x="14"/>
        <item x="15"/>
        <item x="16"/>
        <item x="17"/>
        <item x="18"/>
        <item x="19"/>
        <item x="3"/>
        <item x="20"/>
        <item x="21"/>
        <item m="1" x="62"/>
        <item x="22"/>
        <item x="23"/>
        <item x="24"/>
        <item x="25"/>
        <item x="26"/>
        <item x="27"/>
        <item x="28"/>
        <item x="29"/>
        <item x="30"/>
        <item x="31"/>
        <item x="0"/>
        <item x="59"/>
        <item x="5"/>
        <item x="1"/>
        <item x="32"/>
        <item x="33"/>
        <item x="34"/>
        <item m="1" x="67"/>
        <item x="35"/>
        <item x="36"/>
        <item x="6"/>
        <item x="37"/>
        <item x="38"/>
        <item x="45"/>
        <item x="39"/>
        <item x="40"/>
        <item x="41"/>
        <item x="42"/>
        <item x="2"/>
        <item x="7"/>
        <item x="4"/>
        <item x="43"/>
        <item x="44"/>
        <item m="1" x="69"/>
        <item m="1" x="63"/>
        <item m="1" x="64"/>
        <item m="1" x="65"/>
        <item x="46"/>
        <item x="47"/>
        <item x="48"/>
        <item m="1" x="68"/>
        <item x="49"/>
        <item x="50"/>
        <item x="51"/>
        <item x="52"/>
        <item x="53"/>
        <item x="54"/>
        <item x="55"/>
        <item x="56"/>
        <item x="57"/>
        <item m="1" x="66"/>
        <item x="58"/>
        <item m="1" x="60"/>
        <item t="default"/>
      </items>
    </pivotField>
    <pivotField showAll="0"/>
    <pivotField showAll="0"/>
    <pivotField axis="axisRow" showAll="0">
      <items count="4">
        <item sd="0" x="0"/>
        <item sd="0" x="1"/>
        <item m="1" x="2"/>
        <item t="default"/>
      </items>
    </pivotField>
    <pivotField dataField="1" showAll="0"/>
    <pivotField showAll="0"/>
    <pivotField numFmtId="44" showAll="0"/>
    <pivotField numFmtId="44" showAll="0"/>
    <pivotField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10" showAll="0"/>
    <pivotField numFmtId="10" showAll="0"/>
    <pivotField numFmtId="167" showAll="0"/>
    <pivotField numFmtId="10" showAll="0"/>
    <pivotField numFmtId="10" showAll="0"/>
    <pivotField numFmtId="10" showAll="0"/>
    <pivotField numFmtId="44" showAll="0"/>
    <pivotField dataField="1" numFmtId="44" showAll="0"/>
    <pivotField numFmtId="44" showAll="0"/>
    <pivotField numFmtId="44" showAll="0"/>
    <pivotField numFmtId="165" showAll="0"/>
    <pivotField showAll="0"/>
    <pivotField showAll="0"/>
    <pivotField dataField="1" dragToRow="0" dragToCol="0" dragToPage="0" showAll="0" defaultSubtotal="0"/>
  </pivotFields>
  <rowFields count="2">
    <field x="5"/>
    <field x="2"/>
  </rowFields>
  <rowItems count="3">
    <i>
      <x/>
    </i>
    <i>
      <x v="1"/>
    </i>
    <i t="grand">
      <x/>
    </i>
  </rowItems>
  <colFields count="1">
    <field x="-2"/>
  </colFields>
  <colItems count="8">
    <i>
      <x/>
    </i>
    <i i="1">
      <x v="1"/>
    </i>
    <i i="2">
      <x v="2"/>
    </i>
    <i i="3">
      <x v="3"/>
    </i>
    <i i="4">
      <x v="4"/>
    </i>
    <i i="5">
      <x v="5"/>
    </i>
    <i i="6">
      <x v="6"/>
    </i>
    <i i="7">
      <x v="7"/>
    </i>
  </colItems>
  <pageFields count="1">
    <pageField fld="1" hier="-1"/>
  </pageFields>
  <dataFields count="8">
    <dataField name="TOTAL DE VAGAS CONTRATADAS" fld="6" baseField="5" baseItem="0"/>
    <dataField name="MÓDULO 1_x000a_REMUNERAÇÃO" fld="16" baseField="5" baseItem="0" numFmtId="44"/>
    <dataField name="MODULO 2_x000a_ENVARGOS E BENEFÍCIOS MENSAIS E DIÁRIOS" fld="39" baseField="5" baseItem="0" numFmtId="44"/>
    <dataField name="MODULO 3_x000a_PROVISÃO PARA RESCISÃO" fld="47" baseField="5" baseItem="0" numFmtId="44"/>
    <dataField name="MODULO 4_x000a_CUSTO DE REPOSIÇÃO DO PROFISSIONAL AUSENTE" fld="59" baseField="5" baseItem="0" numFmtId="44"/>
    <dataField name="MODULO 5_x000a_INSUMOS DIVERSOS" fld="65" baseField="5" baseItem="0" numFmtId="44"/>
    <dataField name="MODULO 6_x000a_CUSTOS INDIRETOS, TRIBUTOS E LUCRO" fld="76" baseField="5" baseItem="0" numFmtId="44"/>
    <dataField name="CUSTO MENSAL" fld="82" baseField="5" baseItem="0" numFmtId="44"/>
  </dataFields>
  <formats count="15">
    <format dxfId="326">
      <pivotArea field="5" type="button" dataOnly="0" labelOnly="1" outline="0" axis="axisRow" fieldPosition="0"/>
    </format>
    <format dxfId="325">
      <pivotArea dataOnly="0" labelOnly="1" outline="0" fieldPosition="0">
        <references count="1">
          <reference field="4294967294" count="6">
            <x v="1"/>
            <x v="2"/>
            <x v="3"/>
            <x v="4"/>
            <x v="5"/>
            <x v="6"/>
          </reference>
        </references>
      </pivotArea>
    </format>
    <format dxfId="324">
      <pivotArea field="5" type="button" dataOnly="0" labelOnly="1" outline="0" axis="axisRow" fieldPosition="0"/>
    </format>
    <format dxfId="323">
      <pivotArea dataOnly="0" labelOnly="1" outline="0" fieldPosition="0">
        <references count="1">
          <reference field="4294967294" count="6">
            <x v="1"/>
            <x v="2"/>
            <x v="3"/>
            <x v="4"/>
            <x v="5"/>
            <x v="6"/>
          </reference>
        </references>
      </pivotArea>
    </format>
    <format dxfId="322">
      <pivotArea field="5" type="button" dataOnly="0" labelOnly="1" outline="0" axis="axisRow" fieldPosition="0"/>
    </format>
    <format dxfId="321">
      <pivotArea dataOnly="0" labelOnly="1" outline="0" fieldPosition="0">
        <references count="1">
          <reference field="4294967294" count="6">
            <x v="1"/>
            <x v="2"/>
            <x v="3"/>
            <x v="4"/>
            <x v="5"/>
            <x v="6"/>
          </reference>
        </references>
      </pivotArea>
    </format>
    <format dxfId="320">
      <pivotArea dataOnly="0" labelOnly="1" outline="0" fieldPosition="0">
        <references count="1">
          <reference field="4294967294" count="1">
            <x v="0"/>
          </reference>
        </references>
      </pivotArea>
    </format>
    <format dxfId="319">
      <pivotArea outline="0" collapsedLevelsAreSubtotals="1" fieldPosition="0">
        <references count="1">
          <reference field="4294967294" count="1" selected="0">
            <x v="0"/>
          </reference>
        </references>
      </pivotArea>
    </format>
    <format dxfId="318">
      <pivotArea dataOnly="0" labelOnly="1" outline="0" fieldPosition="0">
        <references count="1">
          <reference field="4294967294" count="1">
            <x v="0"/>
          </reference>
        </references>
      </pivotArea>
    </format>
    <format dxfId="317">
      <pivotArea dataOnly="0" labelOnly="1" outline="0" fieldPosition="0">
        <references count="1">
          <reference field="1" count="1">
            <x v="25"/>
          </reference>
        </references>
      </pivotArea>
    </format>
    <format dxfId="316">
      <pivotArea dataOnly="0" labelOnly="1" outline="0" fieldPosition="0">
        <references count="1">
          <reference field="4294967294" count="7">
            <x v="0"/>
            <x v="1"/>
            <x v="2"/>
            <x v="3"/>
            <x v="4"/>
            <x v="5"/>
            <x v="6"/>
          </reference>
        </references>
      </pivotArea>
    </format>
    <format dxfId="315">
      <pivotArea field="5" type="button" dataOnly="0" labelOnly="1" outline="0" axis="axisRow" fieldPosition="0"/>
    </format>
    <format dxfId="314">
      <pivotArea dataOnly="0" labelOnly="1" outline="0" fieldPosition="0">
        <references count="1">
          <reference field="4294967294" count="1">
            <x v="7"/>
          </reference>
        </references>
      </pivotArea>
    </format>
    <format dxfId="313">
      <pivotArea dataOnly="0" labelOnly="1" outline="0" fieldPosition="0">
        <references count="1">
          <reference field="4294967294" count="1">
            <x v="7"/>
          </reference>
        </references>
      </pivotArea>
    </format>
    <format dxfId="312">
      <pivotArea field="1" type="button" dataOnly="0" labelOnly="1" outline="0" axis="axisPage" fieldPosition="0"/>
    </format>
  </formats>
  <pivotTableStyleInfo name="PivotStyleLight1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name="DadosExternos_1" connectionId="3" autoFormatId="16" applyNumberFormats="0" applyBorderFormats="0" applyFontFormats="0" applyPatternFormats="0" applyAlignmentFormats="0" applyWidthHeightFormats="0">
  <queryTableRefresh nextId="68" unboundColumnsRight="59">
    <queryTableFields count="62">
      <queryTableField id="1" name="Código do Posto" tableColumnId="1"/>
      <queryTableField id="2" name="Comarca" tableColumnId="2"/>
      <queryTableField id="3" name="Função" tableColumnId="3"/>
      <queryTableField id="4" dataBound="0" tableColumnId="4"/>
      <queryTableField id="5" dataBound="0" tableColumnId="5"/>
      <queryTableField id="6" dataBound="0" tableColumnId="6"/>
      <queryTableField id="7" dataBound="0" tableColumnId="7"/>
      <queryTableField id="8" dataBound="0" tableColumnId="8"/>
      <queryTableField id="9" dataBound="0" tableColumnId="9"/>
      <queryTableField id="10" dataBound="0" tableColumnId="10"/>
      <queryTableField id="11" dataBound="0" tableColumnId="11"/>
      <queryTableField id="12" dataBound="0" tableColumnId="12"/>
      <queryTableField id="13" dataBound="0" tableColumnId="13"/>
      <queryTableField id="14" dataBound="0" tableColumnId="14"/>
      <queryTableField id="15" dataBound="0" tableColumnId="15"/>
      <queryTableField id="16" dataBound="0" tableColumnId="16"/>
      <queryTableField id="17" dataBound="0" tableColumnId="17"/>
      <queryTableField id="18" dataBound="0" tableColumnId="18"/>
      <queryTableField id="19" dataBound="0" tableColumnId="19"/>
      <queryTableField id="20" dataBound="0" tableColumnId="20"/>
      <queryTableField id="21" dataBound="0" tableColumnId="21"/>
      <queryTableField id="22" dataBound="0" tableColumnId="22"/>
      <queryTableField id="23" dataBound="0" tableColumnId="23"/>
      <queryTableField id="24" dataBound="0" tableColumnId="24"/>
      <queryTableField id="25" dataBound="0" tableColumnId="25"/>
      <queryTableField id="26" dataBound="0" tableColumnId="26"/>
      <queryTableField id="27" dataBound="0" tableColumnId="27"/>
      <queryTableField id="28" dataBound="0" tableColumnId="28"/>
      <queryTableField id="29" dataBound="0" tableColumnId="29"/>
      <queryTableField id="30" dataBound="0" tableColumnId="30"/>
      <queryTableField id="31" dataBound="0" tableColumnId="31"/>
      <queryTableField id="32" dataBound="0" tableColumnId="32"/>
      <queryTableField id="33" dataBound="0" tableColumnId="33"/>
      <queryTableField id="34" dataBound="0" tableColumnId="34"/>
      <queryTableField id="35" dataBound="0" tableColumnId="35"/>
      <queryTableField id="36" dataBound="0" tableColumnId="36"/>
      <queryTableField id="37" dataBound="0" tableColumnId="37"/>
      <queryTableField id="38" dataBound="0" tableColumnId="38"/>
      <queryTableField id="39" dataBound="0" tableColumnId="39"/>
      <queryTableField id="40" dataBound="0" tableColumnId="40"/>
      <queryTableField id="41" dataBound="0" tableColumnId="41"/>
      <queryTableField id="42" dataBound="0" tableColumnId="42"/>
      <queryTableField id="43" dataBound="0" tableColumnId="43"/>
      <queryTableField id="44" dataBound="0" tableColumnId="44"/>
      <queryTableField id="45" dataBound="0" tableColumnId="45"/>
      <queryTableField id="46" dataBound="0" tableColumnId="46"/>
      <queryTableField id="47" dataBound="0" tableColumnId="47"/>
      <queryTableField id="48" dataBound="0" tableColumnId="48"/>
      <queryTableField id="49" dataBound="0" tableColumnId="49"/>
      <queryTableField id="50" dataBound="0" tableColumnId="50"/>
      <queryTableField id="51" dataBound="0" tableColumnId="51"/>
      <queryTableField id="52" dataBound="0" tableColumnId="52"/>
      <queryTableField id="53" dataBound="0" tableColumnId="53"/>
      <queryTableField id="54" dataBound="0" tableColumnId="54"/>
      <queryTableField id="55" dataBound="0" tableColumnId="55"/>
      <queryTableField id="56" dataBound="0" tableColumnId="56"/>
      <queryTableField id="57" dataBound="0" tableColumnId="57"/>
      <queryTableField id="58" dataBound="0" tableColumnId="58"/>
      <queryTableField id="59" dataBound="0" tableColumnId="59"/>
      <queryTableField id="60" dataBound="0" tableColumnId="60"/>
      <queryTableField id="61" dataBound="0" tableColumnId="61"/>
      <queryTableField id="62" dataBound="0" tableColumnId="62"/>
    </queryTableFields>
    <queryTableDeletedFields count="5">
      <deletedField name="CCT DA CATEGORIA"/>
      <deletedField name="ANO DA CCT"/>
      <deletedField name="Nº DE PEDIDO DA CCT"/>
      <deletedField name="TERMO ADITIVO  ALTERAÇÃO DA CCT"/>
      <deletedField name="Nº REGISTRO MTE/ CCT"/>
    </queryTableDeletedFields>
  </queryTableRefresh>
</queryTable>
</file>

<file path=xl/queryTables/queryTable2.xml><?xml version="1.0" encoding="utf-8"?>
<queryTable xmlns="http://schemas.openxmlformats.org/spreadsheetml/2006/main" name="DadosExternos_1" refreshOnLoad="1" connectionId="2" autoFormatId="16" applyNumberFormats="0" applyBorderFormats="0" applyFontFormats="0" applyPatternFormats="0" applyAlignmentFormats="0" applyWidthHeightFormats="0">
  <queryTableRefresh nextId="92" unboundColumnsRight="66">
    <queryTableFields count="80">
      <queryTableField id="1" name="Código do Posto" tableColumnId="1"/>
      <queryTableField id="2" name="Comarca" tableColumnId="2"/>
      <queryTableField id="3" name="Função" tableColumnId="3"/>
      <queryTableField id="4" name="CCT DA CATEGORIA" tableColumnId="4"/>
      <queryTableField id="5" name="Classificação" tableColumnId="5"/>
      <queryTableField id="6" name="Fonte de Recursos" tableColumnId="6"/>
      <queryTableField id="7" name="Salário Base" tableColumnId="7"/>
      <queryTableField id="83" name="Adicional Periculosidade" tableColumnId="8"/>
      <queryTableField id="84" name="Adicional Insalubridade" tableColumnId="9"/>
      <queryTableField id="85" name="Adicional Noturno" tableColumnId="10"/>
      <queryTableField id="86" name="Adicional Motorista II (Gratificação)" tableColumnId="11"/>
      <queryTableField id="87" name="Adicional de Sobreaviso" tableColumnId="12"/>
      <queryTableField id="90" name="Horas Extras TI" tableColumnId="13"/>
      <queryTableField id="89" name="Adicional de Acúmulo de função" tableColumnId="14"/>
      <queryTableField id="15" dataBound="0" tableColumnId="15"/>
      <queryTableField id="16" dataBound="0" tableColumnId="16"/>
      <queryTableField id="17" dataBound="0" tableColumnId="17"/>
      <queryTableField id="18" dataBound="0" tableColumnId="18"/>
      <queryTableField id="19" dataBound="0" tableColumnId="19"/>
      <queryTableField id="20" dataBound="0" tableColumnId="20"/>
      <queryTableField id="21" dataBound="0" tableColumnId="21"/>
      <queryTableField id="22" dataBound="0" tableColumnId="22"/>
      <queryTableField id="23" dataBound="0" tableColumnId="23"/>
      <queryTableField id="24" dataBound="0" tableColumnId="24"/>
      <queryTableField id="25" dataBound="0" tableColumnId="25"/>
      <queryTableField id="26" dataBound="0" tableColumnId="26"/>
      <queryTableField id="27" dataBound="0" tableColumnId="27"/>
      <queryTableField id="28" dataBound="0" tableColumnId="28"/>
      <queryTableField id="30" dataBound="0" tableColumnId="30"/>
      <queryTableField id="38" dataBound="0" tableColumnId="38"/>
      <queryTableField id="31" dataBound="0" tableColumnId="31"/>
      <queryTableField id="32" dataBound="0" tableColumnId="32"/>
      <queryTableField id="33" dataBound="0" tableColumnId="33"/>
      <queryTableField id="34" dataBound="0" tableColumnId="34"/>
      <queryTableField id="35" dataBound="0" tableColumnId="35"/>
      <queryTableField id="36" dataBound="0" tableColumnId="36"/>
      <queryTableField id="39" dataBound="0" tableColumnId="39"/>
      <queryTableField id="40" dataBound="0" tableColumnId="40"/>
      <queryTableField id="41" dataBound="0" tableColumnId="41"/>
      <queryTableField id="42" dataBound="0" tableColumnId="42"/>
      <queryTableField id="43" dataBound="0" tableColumnId="43"/>
      <queryTableField id="44" dataBound="0" tableColumnId="44"/>
      <queryTableField id="45" dataBound="0" tableColumnId="45"/>
      <queryTableField id="46" dataBound="0" tableColumnId="46"/>
      <queryTableField id="47" dataBound="0" tableColumnId="47"/>
      <queryTableField id="48" dataBound="0" tableColumnId="48"/>
      <queryTableField id="49" dataBound="0" tableColumnId="29"/>
      <queryTableField id="50" dataBound="0" tableColumnId="37"/>
      <queryTableField id="51" dataBound="0" tableColumnId="49"/>
      <queryTableField id="52" dataBound="0" tableColumnId="50"/>
      <queryTableField id="53" dataBound="0" tableColumnId="51"/>
      <queryTableField id="54" dataBound="0" tableColumnId="52"/>
      <queryTableField id="55" dataBound="0" tableColumnId="53"/>
      <queryTableField id="56" dataBound="0" tableColumnId="54"/>
      <queryTableField id="57" dataBound="0" tableColumnId="55"/>
      <queryTableField id="58" dataBound="0" tableColumnId="56"/>
      <queryTableField id="59" dataBound="0" tableColumnId="57"/>
      <queryTableField id="60" dataBound="0" tableColumnId="58"/>
      <queryTableField id="61" dataBound="0" tableColumnId="59"/>
      <queryTableField id="62" dataBound="0" tableColumnId="60"/>
      <queryTableField id="63" dataBound="0" tableColumnId="61"/>
      <queryTableField id="64" dataBound="0" tableColumnId="62"/>
      <queryTableField id="65" dataBound="0" tableColumnId="63"/>
      <queryTableField id="66" dataBound="0" tableColumnId="64"/>
      <queryTableField id="67" dataBound="0" tableColumnId="65"/>
      <queryTableField id="68" dataBound="0" tableColumnId="66"/>
      <queryTableField id="69" dataBound="0" tableColumnId="67"/>
      <queryTableField id="70" dataBound="0" tableColumnId="68"/>
      <queryTableField id="71" dataBound="0" tableColumnId="69"/>
      <queryTableField id="72" dataBound="0" tableColumnId="70"/>
      <queryTableField id="73" dataBound="0" tableColumnId="71"/>
      <queryTableField id="74" dataBound="0" tableColumnId="72"/>
      <queryTableField id="75" dataBound="0" tableColumnId="73"/>
      <queryTableField id="76" dataBound="0" tableColumnId="74"/>
      <queryTableField id="77" dataBound="0" tableColumnId="75"/>
      <queryTableField id="78" dataBound="0" tableColumnId="76"/>
      <queryTableField id="79" dataBound="0" tableColumnId="77"/>
      <queryTableField id="80" dataBound="0" tableColumnId="78"/>
      <queryTableField id="81" dataBound="0" tableColumnId="79"/>
      <queryTableField id="82" dataBound="0" tableColumnId="80"/>
    </queryTableFields>
  </queryTableRefresh>
</queryTable>
</file>

<file path=xl/queryTables/queryTable3.xml><?xml version="1.0" encoding="utf-8"?>
<queryTable xmlns="http://schemas.openxmlformats.org/spreadsheetml/2006/main" name="DadosExternos_2" refreshOnLoad="1" connectionId="1" autoFormatId="16" applyNumberFormats="0" applyBorderFormats="0" applyFontFormats="0" applyPatternFormats="0" applyAlignmentFormats="0" applyWidthHeightFormats="0">
  <queryTableRefresh nextId="86" unboundColumnsRight="74">
    <queryTableFields count="82">
      <queryTableField id="1" name="Código do Posto" tableColumnId="1"/>
      <queryTableField id="2" name="Comarca" tableColumnId="2"/>
      <queryTableField id="3" name="Função" tableColumnId="3"/>
      <queryTableField id="4" name="CCT DA CATEGORIA" tableColumnId="4"/>
      <queryTableField id="5" name="Classificação" tableColumnId="5"/>
      <queryTableField id="6" name="Fonte de Recursos" tableColumnId="6"/>
      <queryTableField id="8" name="Vagas contratadas" tableColumnId="8"/>
      <queryTableField id="9" name="Vagas suspensas" tableColumnId="9"/>
      <queryTableField id="10" dataBound="0" tableColumnId="10"/>
      <queryTableField id="11" dataBound="0" tableColumnId="11"/>
      <queryTableField id="12" dataBound="0" tableColumnId="12"/>
      <queryTableField id="13" dataBound="0" tableColumnId="13"/>
      <queryTableField id="14" dataBound="0" tableColumnId="14"/>
      <queryTableField id="15" dataBound="0" tableColumnId="15"/>
      <queryTableField id="16" dataBound="0" tableColumnId="16"/>
      <queryTableField id="17" dataBound="0" tableColumnId="17"/>
      <queryTableField id="18" dataBound="0" tableColumnId="18"/>
      <queryTableField id="19" dataBound="0" tableColumnId="19"/>
      <queryTableField id="20" dataBound="0" tableColumnId="20"/>
      <queryTableField id="21" dataBound="0" tableColumnId="21"/>
      <queryTableField id="22" dataBound="0" tableColumnId="22"/>
      <queryTableField id="23" dataBound="0" tableColumnId="23"/>
      <queryTableField id="24" dataBound="0" tableColumnId="24"/>
      <queryTableField id="25" dataBound="0" tableColumnId="25"/>
      <queryTableField id="26" dataBound="0" tableColumnId="26"/>
      <queryTableField id="27" dataBound="0" tableColumnId="27"/>
      <queryTableField id="28" dataBound="0" tableColumnId="28"/>
      <queryTableField id="29" dataBound="0" tableColumnId="29"/>
      <queryTableField id="30" dataBound="0" tableColumnId="30"/>
      <queryTableField id="31" dataBound="0" tableColumnId="31"/>
      <queryTableField id="32" dataBound="0" tableColumnId="32"/>
      <queryTableField id="33" dataBound="0" tableColumnId="33"/>
      <queryTableField id="34" dataBound="0" tableColumnId="34"/>
      <queryTableField id="35" dataBound="0" tableColumnId="35"/>
      <queryTableField id="36" dataBound="0" tableColumnId="36"/>
      <queryTableField id="37" dataBound="0" tableColumnId="37"/>
      <queryTableField id="38" dataBound="0" tableColumnId="38"/>
      <queryTableField id="39" dataBound="0" tableColumnId="39"/>
      <queryTableField id="40" dataBound="0" tableColumnId="40"/>
      <queryTableField id="41" dataBound="0" tableColumnId="41"/>
      <queryTableField id="42" dataBound="0" tableColumnId="42"/>
      <queryTableField id="43" dataBound="0" tableColumnId="43"/>
      <queryTableField id="44" dataBound="0" tableColumnId="44"/>
      <queryTableField id="45" dataBound="0" tableColumnId="45"/>
      <queryTableField id="46" dataBound="0" tableColumnId="46"/>
      <queryTableField id="47" dataBound="0" tableColumnId="47"/>
      <queryTableField id="48" dataBound="0" tableColumnId="48"/>
      <queryTableField id="49" dataBound="0" tableColumnId="49"/>
      <queryTableField id="50" dataBound="0" tableColumnId="50"/>
      <queryTableField id="51" dataBound="0" tableColumnId="51"/>
      <queryTableField id="52" dataBound="0" tableColumnId="52"/>
      <queryTableField id="53" dataBound="0" tableColumnId="53"/>
      <queryTableField id="54" dataBound="0" tableColumnId="54"/>
      <queryTableField id="55" dataBound="0" tableColumnId="55"/>
      <queryTableField id="56" dataBound="0" tableColumnId="56"/>
      <queryTableField id="57" dataBound="0" tableColumnId="57"/>
      <queryTableField id="58" dataBound="0" tableColumnId="58"/>
      <queryTableField id="59" dataBound="0" tableColumnId="59"/>
      <queryTableField id="60" dataBound="0" tableColumnId="60"/>
      <queryTableField id="61" dataBound="0" tableColumnId="61"/>
      <queryTableField id="62" dataBound="0" tableColumnId="62"/>
      <queryTableField id="63" dataBound="0" tableColumnId="63"/>
      <queryTableField id="64" dataBound="0" tableColumnId="64"/>
      <queryTableField id="65" dataBound="0" tableColumnId="65"/>
      <queryTableField id="66" dataBound="0" tableColumnId="66"/>
      <queryTableField id="67" dataBound="0" tableColumnId="67"/>
      <queryTableField id="68" dataBound="0" tableColumnId="68"/>
      <queryTableField id="69" dataBound="0" tableColumnId="69"/>
      <queryTableField id="70" dataBound="0" tableColumnId="70"/>
      <queryTableField id="71" dataBound="0" tableColumnId="71"/>
      <queryTableField id="72" dataBound="0" tableColumnId="72"/>
      <queryTableField id="73" dataBound="0" tableColumnId="73"/>
      <queryTableField id="74" dataBound="0" tableColumnId="74"/>
      <queryTableField id="75" dataBound="0" tableColumnId="75"/>
      <queryTableField id="76" dataBound="0" tableColumnId="76"/>
      <queryTableField id="77" dataBound="0" tableColumnId="77"/>
      <queryTableField id="78" dataBound="0" tableColumnId="78"/>
      <queryTableField id="79" dataBound="0" tableColumnId="79"/>
      <queryTableField id="80" dataBound="0" tableColumnId="80"/>
      <queryTableField id="81" dataBound="0" tableColumnId="81"/>
      <queryTableField id="82" dataBound="0" tableColumnId="82"/>
      <queryTableField id="83" dataBound="0" tableColumnId="83"/>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açãodeDados_Cargo" sourceName="Cargo">
  <pivotTables>
    <pivotTable tabId="12" name="tabDinamUniformes"/>
  </pivotTables>
  <data>
    <tabular pivotCacheId="1612167498">
      <items count="69">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 x="48" s="1"/>
        <i x="49" s="1"/>
        <i x="50" s="1"/>
        <i x="51" s="1"/>
        <i x="52" s="1"/>
        <i x="53" s="1"/>
        <i x="54" s="1"/>
        <i x="55" s="1"/>
        <i x="56" s="1"/>
        <i x="57" s="1"/>
        <i x="58" s="1"/>
        <i x="59" s="1"/>
        <i x="67" s="1" nd="1"/>
        <i x="68" s="1" nd="1"/>
        <i x="61" s="1" nd="1"/>
        <i x="62" s="1" nd="1"/>
        <i x="66" s="1" nd="1"/>
        <i x="63" s="1" nd="1"/>
        <i x="64" s="1" nd="1"/>
        <i x="65" s="1" nd="1"/>
        <i x="60"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argo" cache="SegmentaçãodeDados_Cargo" caption="Cargo" startItem="30" rowHeight="257175"/>
</slicers>
</file>

<file path=xl/tables/_rels/table15.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16.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17.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id="1" name="tabLotacao" displayName="tabLotacao" ref="K1:M3" totalsRowShown="0" headerRowDxfId="661" dataDxfId="660">
  <autoFilter ref="K1:M3"/>
  <tableColumns count="3">
    <tableColumn id="1" name="Lotacao" dataDxfId="659"/>
    <tableColumn id="2" name="Tipo" dataDxfId="658"/>
    <tableColumn id="3" name="Codigo Lote" dataDxfId="657"/>
  </tableColumns>
  <tableStyleInfo name="TableStyleMedium7" showFirstColumn="0" showLastColumn="0" showRowStripes="1" showColumnStripes="0"/>
</table>
</file>

<file path=xl/tables/table2.xml><?xml version="1.0" encoding="utf-8"?>
<table xmlns="http://schemas.openxmlformats.org/spreadsheetml/2006/main" id="2" name="tabComarca" displayName="tabComarca" ref="A1:E299" totalsRowShown="0" headerRowDxfId="656" dataDxfId="655">
  <autoFilter ref="A1:E299"/>
  <tableColumns count="5">
    <tableColumn id="1" name="COMARCA" dataDxfId="654"/>
    <tableColumn id="2" name="Sigla" dataDxfId="653"/>
    <tableColumn id="3" name="Codigo Comarca" dataDxfId="652"/>
    <tableColumn id="5" name="ISS" dataDxfId="651" dataCellStyle="Porcentagem"/>
    <tableColumn id="4" name="VT" dataDxfId="650" dataCellStyle="Normal 18"/>
  </tableColumns>
  <tableStyleInfo name="TableStyleMedium7" showFirstColumn="0" showLastColumn="0" showRowStripes="1" showColumnStripes="0"/>
</table>
</file>

<file path=xl/tables/table3.xml><?xml version="1.0" encoding="utf-8"?>
<table xmlns="http://schemas.openxmlformats.org/spreadsheetml/2006/main" id="3" name="tabCargos" displayName="tabCargos" ref="G1:I61" totalsRowShown="0" headerRowDxfId="649" dataDxfId="648">
  <autoFilter ref="G1:I61"/>
  <tableColumns count="3">
    <tableColumn id="1" name="Cargo" dataDxfId="647"/>
    <tableColumn id="3" name="Sigla" dataDxfId="646"/>
    <tableColumn id="2" name="Codigo Cargo" dataDxfId="645"/>
  </tableColumns>
  <tableStyleInfo name="TableStyleMedium7" showFirstColumn="0" showLastColumn="0" showRowStripes="1" showColumnStripes="0"/>
</table>
</file>

<file path=xl/tables/table4.xml><?xml version="1.0" encoding="utf-8"?>
<table xmlns="http://schemas.openxmlformats.org/spreadsheetml/2006/main" id="4" name="Tabela5" displayName="Tabela5" ref="O1:O5" totalsRowShown="0" headerRowDxfId="644" dataDxfId="643" headerRowCellStyle="Normal 18" dataCellStyle="Normal 18">
  <autoFilter ref="O1:O5"/>
  <tableColumns count="1">
    <tableColumn id="1" name="IDENTIFICAÇÃO DO POSTO" dataDxfId="642" dataCellStyle="Normal 18"/>
  </tableColumns>
  <tableStyleInfo name="TableStyleMedium7" showFirstColumn="0" showLastColumn="0" showRowStripes="1" showColumnStripes="0"/>
</table>
</file>

<file path=xl/tables/table5.xml><?xml version="1.0" encoding="utf-8"?>
<table xmlns="http://schemas.openxmlformats.org/spreadsheetml/2006/main" id="18" name="tabDiarias" displayName="tabDiarias" ref="Q1:T3" totalsRowShown="0" headerRowDxfId="641" dataDxfId="640" headerRowCellStyle="Normal 18">
  <autoFilter ref="Q1:T3"/>
  <tableColumns count="4">
    <tableColumn id="1" name="DESPESA DE VIAGEM" dataDxfId="639" dataCellStyle="Normal 10"/>
    <tableColumn id="2" name="VALOR UNIT." dataDxfId="638"/>
    <tableColumn id="3" name="QUANT. POSTOS INICIAL" dataDxfId="637"/>
    <tableColumn id="4" name="VALOR TOTAL PREVISTO" dataDxfId="636" dataCellStyle="Moeda 9"/>
  </tableColumns>
  <tableStyleInfo name="TableStyleMedium7" showFirstColumn="0" showLastColumn="0" showRowStripes="1" showColumnStripes="0"/>
</table>
</file>

<file path=xl/tables/table6.xml><?xml version="1.0" encoding="utf-8"?>
<table xmlns="http://schemas.openxmlformats.org/spreadsheetml/2006/main" id="9" name="tabIndices" displayName="tabIndices" ref="V2:X7" totalsRowShown="0" headerRowDxfId="635" dataDxfId="633" headerRowBorderDxfId="634" tableBorderDxfId="632" totalsRowBorderDxfId="631">
  <autoFilter ref="V2:X7"/>
  <tableColumns count="3">
    <tableColumn id="1" name="TA / APOSTILAMENTO" dataDxfId="630"/>
    <tableColumn id="2" name="DATA DA PUBLICAÇÃO" dataDxfId="629"/>
    <tableColumn id="3" name="PERCENTUAL" dataDxfId="628" dataCellStyle="Porcentagem"/>
  </tableColumns>
  <tableStyleInfo showFirstColumn="0" showLastColumn="0" showRowStripes="1" showColumnStripes="0"/>
</table>
</file>

<file path=xl/tables/table7.xml><?xml version="1.0" encoding="utf-8"?>
<table xmlns="http://schemas.openxmlformats.org/spreadsheetml/2006/main" id="12" name="tabOutrosCustos" displayName="tabOutrosCustos" ref="Z2:AB5" totalsRowShown="0" dataDxfId="626" headerRowBorderDxfId="627" tableBorderDxfId="625" totalsRowBorderDxfId="624">
  <autoFilter ref="Z2:AB5"/>
  <tableColumns count="3">
    <tableColumn id="1" name="TIPO" dataDxfId="623" dataCellStyle="Moeda"/>
    <tableColumn id="2" name="VALOR INICIAL P/ FUNCIONÁRIO" dataDxfId="622" dataCellStyle="Moeda"/>
    <tableColumn id="3" name="VALOR CORRIGIDO" dataDxfId="621" dataCellStyle="Moeda">
      <calculatedColumnFormula array="1">AA3*PRODUCT((1+(_xlfn._xlws.FILTER(tabIndices[PERCENTUAL],tabIndices[PERCENTUAL]&gt;0,0))))</calculatedColumnFormula>
    </tableColumn>
  </tableColumns>
  <tableStyleInfo showFirstColumn="0" showLastColumn="0" showRowStripes="1" showColumnStripes="0"/>
</table>
</file>

<file path=xl/tables/table8.xml><?xml version="1.0" encoding="utf-8"?>
<table xmlns="http://schemas.openxmlformats.org/spreadsheetml/2006/main" id="16" name="tabImpostosNacionais" displayName="tabImpostosNacionais" ref="AD1:AE11" totalsRowShown="0" headerRowDxfId="620" dataDxfId="619" headerRowCellStyle="Normal 18" dataCellStyle="Normal 18">
  <autoFilter ref="AD1:AE11"/>
  <tableColumns count="2">
    <tableColumn id="1" name="Impostos Nacionais" dataDxfId="618" dataCellStyle="Normal 18"/>
    <tableColumn id="2" name="Alíquota" dataDxfId="617" dataCellStyle="Porcentagem"/>
  </tableColumns>
  <tableStyleInfo name="TableStyleMedium2" showFirstColumn="0" showLastColumn="0" showRowStripes="1" showColumnStripes="0"/>
</table>
</file>

<file path=xl/tables/table9.xml><?xml version="1.0" encoding="utf-8"?>
<table xmlns="http://schemas.openxmlformats.org/spreadsheetml/2006/main" id="11" name="tabUniformes" displayName="tabUniformes" ref="A6:K521" totalsRowShown="0" headerRowDxfId="605" dataDxfId="604" headerRowCellStyle="Normal 2" dataCellStyle="Normal 2">
  <autoFilter ref="A6:K521"/>
  <tableColumns count="11">
    <tableColumn id="1" name="Item" dataDxfId="603" dataCellStyle="Normal 2"/>
    <tableColumn id="2" name="Tipo" dataDxfId="602" dataCellStyle="Normal 2"/>
    <tableColumn id="12" name="DATA PUBLICAÇÃO" dataDxfId="601" dataCellStyle="Normal 2"/>
    <tableColumn id="5" name="Valor Inicial" dataDxfId="600" dataCellStyle="Normal 2"/>
    <tableColumn id="4" name="Valor Reajustado" dataDxfId="599" dataCellStyle="Normal 2">
      <calculatedColumnFormula array="1">tabUniformes[[#This Row],[Valor Inicial]]*IFERROR(PRODUCT(1+_xlfn._xlws.FILTER(tabIndices[PERCENTUAL],tabIndices[DATA DA PUBLICAÇÃO]&gt;tabUniformes[[#This Row],[DATA PUBLICAÇÃO]])),1)</calculatedColumnFormula>
    </tableColumn>
    <tableColumn id="6" name="Qtde Anual de Peças" dataDxfId="598" dataCellStyle="Normal 2"/>
    <tableColumn id="7" name="Cargo" dataDxfId="597" dataCellStyle="Normal 2"/>
    <tableColumn id="9" name="Qtde. funcionários" dataDxfId="596" dataCellStyle="Normal 2"/>
    <tableColumn id="8" name="Total" dataDxfId="595" dataCellStyle="Moeda">
      <calculatedColumnFormula>tabUniformes[[#This Row],[Valor Reajustado]]*tabUniformes[[#This Row],[Qtde Anual de Peças]]*tabUniformes[[#This Row],[Qtde. funcionários]]</calculatedColumnFormula>
    </tableColumn>
    <tableColumn id="10" name="Qtde. Geral anual" dataDxfId="594" dataCellStyle="Normal 2">
      <calculatedColumnFormula>tabUniformes[[#This Row],[Qtde Anual de Peças]]*tabUniformes[[#This Row],[Qtde. funcionários]]</calculatedColumnFormula>
    </tableColumn>
    <tableColumn id="11" name="Valor unit. Mensal" dataDxfId="593" dataCellStyle="Normal 2">
      <calculatedColumnFormula>IFERROR(tabUniformes[[#This Row],[Total]]/12/tabUniformes[[#This Row],[Qtde. funcionários]],0)</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10" name="tabJardinagem" displayName="tabJardinagem" ref="A3:P44" totalsRowCount="1" headerRowDxfId="592" dataDxfId="591" headerRowCellStyle="Normal 13" dataCellStyle="Separador de milhares 19">
  <autoFilter ref="A3:P43"/>
  <tableColumns count="16">
    <tableColumn id="1" name="ORDEM" totalsRowLabel="Total" dataDxfId="590" totalsRowDxfId="589" dataCellStyle="Normal 3"/>
    <tableColumn id="2" name="QUANT ANUAL DO ITEM" dataDxfId="588" totalsRowDxfId="587" dataCellStyle="Normal 3"/>
    <tableColumn id="16" name="UNIDADE" dataDxfId="586" totalsRowDxfId="585" dataCellStyle="Normal 3"/>
    <tableColumn id="3" name="QUANT. POSTOS" dataDxfId="584" totalsRowDxfId="583" dataCellStyle="Normal 13">
      <calculatedColumnFormula>SUMIFS(tabPostos[Vagas contratadas],tabPostos[Função],"Jardineiro"&amp;"*")</calculatedColumnFormula>
    </tableColumn>
    <tableColumn id="4" name="DESCRIÇÃO" dataDxfId="582" totalsRowDxfId="581"/>
    <tableColumn id="14" name="TIPO" dataDxfId="580" totalsRowDxfId="579"/>
    <tableColumn id="15" name="PERIODICIDADE DE FORNECIMENTO" dataDxfId="578" totalsRowDxfId="577"/>
    <tableColumn id="5" name="TA / APOST" dataDxfId="576" totalsRowDxfId="575"/>
    <tableColumn id="6" name="DATA PUBLICAÇÃO" dataDxfId="574" totalsRowDxfId="573"/>
    <tableColumn id="7" name="PREÇO INICIAL -  (R$)" totalsRowFunction="custom" dataDxfId="572" totalsRowDxfId="571" dataCellStyle="Separador de milhares 19">
      <totalsRowFormula>SUBTOTAL(9,tabJardinagem[PREÇO INICIAL -  (R$)])</totalsRowFormula>
    </tableColumn>
    <tableColumn id="8" name="PREÇO TOTAL -  (R$)" totalsRowFunction="custom" dataDxfId="570" totalsRowDxfId="569" dataCellStyle="Separador de milhares 19">
      <calculatedColumnFormula>tabJardinagem[[#This Row],[PREÇO UNIDADE -  (R$)]]*tabJardinagem[[#This Row],[QUANT ANUAL DO ITEM]]</calculatedColumnFormula>
      <totalsRowFormula>SUBTOTAL(9,tabJardinagem[PREÇO TOTAL -  (R$)])</totalsRowFormula>
    </tableColumn>
    <tableColumn id="9" name="PREÇO UNIDADE -  (R$)" totalsRowFunction="custom" dataDxfId="568" totalsRowDxfId="567" dataCellStyle="Separador de milhares 19">
      <calculatedColumnFormula array="1">tabJardinagem[[#This Row],[PREÇO INICIAL -  (R$)]]*IFERROR(PRODUCT(1+_xlfn._xlws.FILTER(tabIndices[PERCENTUAL],tabIndices[DATA DA PUBLICAÇÃO]&gt;tabJardinagem[[#This Row],[DATA PUBLICAÇÃO]])),1)</calculatedColumnFormula>
      <totalsRowFormula>SUBTOTAL(9,tabJardinagem[PREÇO UNIDADE -  (R$)])</totalsRowFormula>
    </tableColumn>
    <tableColumn id="10" name="VALOR  - DEPRECIAÇÃO MENSAL - UNIDADE (R$)" totalsRowFunction="custom" dataDxfId="566" totalsRowDxfId="565" dataCellStyle="Separador de milhares 19">
      <calculatedColumnFormula>IF(tabJardinagem[[#This Row],[TIPO]]="Equipamento",tabJardinagem[[#This Row],[PREÇO UNIDADE -  (R$)]]/60,0)</calculatedColumnFormula>
      <totalsRowFormula>SUBTOTAL(9,tabJardinagem[VALOR  - DEPRECIAÇÃO MENSAL - UNIDADE (R$)])</totalsRowFormula>
    </tableColumn>
    <tableColumn id="11" name="VALOR DEPRECIAÇÃO MENSAL - TOTAL (R$)" totalsRowFunction="custom" dataDxfId="564" totalsRowDxfId="563" dataCellStyle="Separador de milhares 19">
      <calculatedColumnFormula>tabJardinagem[[#This Row],[VALOR  - DEPRECIAÇÃO MENSAL - UNIDADE (R$)]]*tabJardinagem[[#This Row],[QUANT ANUAL DO ITEM]]</calculatedColumnFormula>
      <totalsRowFormula>SUBTOTAL(9,tabJardinagem[VALOR DEPRECIAÇÃO MENSAL - TOTAL (R$)])</totalsRowFormula>
    </tableColumn>
    <tableColumn id="12" name="VALOR  - DEPRECIAÇÃO ANUAL - TOTAL (R$) " totalsRowFunction="custom" dataDxfId="562" totalsRowDxfId="561" dataCellStyle="Separador de milhares 19">
      <calculatedColumnFormula>tabJardinagem[[#This Row],[VALOR DEPRECIAÇÃO MENSAL - TOTAL (R$)]]*12</calculatedColumnFormula>
      <totalsRowFormula>SUBTOTAL(9,tabJardinagem[VALOR  - DEPRECIAÇÃO ANUAL - TOTAL (R$) ])</totalsRowFormula>
    </tableColumn>
    <tableColumn id="13" name="VALOR UNITÁRIO P/ POSTO (R$)" totalsRowFunction="custom" dataDxfId="560" totalsRowDxfId="559" dataCellStyle="Separador de milhares 19">
      <calculatedColumnFormula>IFERROR(IF(tabJardinagem[[#This Row],[TIPO]]="Equipamento",tabJardinagem[[#This Row],[VALOR  - DEPRECIAÇÃO ANUAL - TOTAL (R$) ]]/12/tabJardinagem[[#This Row],[QUANT. POSTOS]],tabJardinagem[[#This Row],[PREÇO TOTAL -  (R$)]]/12/tabJardinagem[[#This Row],[QUANT. POSTOS]]),0)</calculatedColumnFormula>
      <totalsRowFormula>SUBTOTAL(9,tabJardinagem[VALOR UNITÁRIO P/ POSTO (R$)])</totalsRowFormula>
    </tableColumn>
  </tableColumns>
  <tableStyleInfo name="TableStyleLight1" showFirstColumn="0" showLastColumn="0" showRowStripes="1" showColumnStripes="0"/>
</table>
</file>

<file path=xl/tables/table11.xml><?xml version="1.0" encoding="utf-8"?>
<table xmlns="http://schemas.openxmlformats.org/spreadsheetml/2006/main" id="13" name="tabVeicular" displayName="tabVeicular" ref="A3:P19" totalsRowCount="1" headerRowDxfId="558" dataDxfId="557" headerRowCellStyle="Normal 13" dataCellStyle="Separador de milhares 19">
  <autoFilter ref="A3:P18"/>
  <tableColumns count="16">
    <tableColumn id="1" name="ORDEM" totalsRowLabel="Total" dataDxfId="556" totalsRowDxfId="555" dataCellStyle="Normal 3"/>
    <tableColumn id="2" name="QUANT ANUAL DO ITEM" dataDxfId="554" totalsRowDxfId="553" dataCellStyle="Normal 3"/>
    <tableColumn id="17" name="UNIDADE" dataDxfId="552" totalsRowDxfId="551" dataCellStyle="Normal 3"/>
    <tableColumn id="3" name="QUANT. POSTOS" dataDxfId="550" totalsRowDxfId="549" dataCellStyle="Normal 13">
      <calculatedColumnFormula>SUMIFS(tabPostos[Vagas contratadas],tabPostos[Função],"Lavador de Veiculos - 220 h")</calculatedColumnFormula>
    </tableColumn>
    <tableColumn id="4" name="DESCRIÇÃO" dataDxfId="548" totalsRowDxfId="547"/>
    <tableColumn id="14" name="TIPO" dataDxfId="546" totalsRowDxfId="545"/>
    <tableColumn id="15" name="PERIODICIDADE DE FORNECIMENTO" dataDxfId="544" totalsRowDxfId="543"/>
    <tableColumn id="5" name="TA / APOST" dataDxfId="542" totalsRowDxfId="541"/>
    <tableColumn id="6" name="DATA PUBLICAÇÃO" dataDxfId="540" totalsRowDxfId="539"/>
    <tableColumn id="7" name="PREÇO INICIAL -  (R$)" totalsRowFunction="custom" dataDxfId="538" totalsRowDxfId="537" dataCellStyle="Separador de milhares 19">
      <totalsRowFormula>SUBTOTAL(9,tabVeicular[PREÇO INICIAL -  (R$)])</totalsRowFormula>
    </tableColumn>
    <tableColumn id="8" name="PREÇO TOTAL -  (R$)" totalsRowFunction="custom" dataDxfId="536" totalsRowDxfId="535" dataCellStyle="Separador de milhares 19">
      <calculatedColumnFormula>tabVeicular[[#This Row],[PREÇO UNIDADE -  (R$)]]*tabVeicular[[#This Row],[QUANT ANUAL DO ITEM]]</calculatedColumnFormula>
      <totalsRowFormula>SUBTOTAL(9,tabVeicular[PREÇO TOTAL -  (R$)])</totalsRowFormula>
    </tableColumn>
    <tableColumn id="9" name="PREÇO UNIDADE -  (R$)" totalsRowFunction="custom" dataDxfId="534" totalsRowDxfId="533" dataCellStyle="Separador de milhares 19">
      <calculatedColumnFormula array="1">tabVeicular[[#This Row],[PREÇO INICIAL -  (R$)]]*IFERROR(PRODUCT(1+_xlfn._xlws.FILTER(tabIndices[PERCENTUAL],tabIndices[DATA DA PUBLICAÇÃO]&gt;tabVeicular[[#This Row],[DATA PUBLICAÇÃO]])),1)</calculatedColumnFormula>
      <totalsRowFormula>SUBTOTAL(9,tabVeicular[PREÇO UNIDADE -  (R$)])</totalsRowFormula>
    </tableColumn>
    <tableColumn id="10" name="VALOR  - DEPRECIAÇÃO MENSAL - UNIDADE (R$)" totalsRowFunction="custom" dataDxfId="532" totalsRowDxfId="531" dataCellStyle="Separador de milhares 19">
      <calculatedColumnFormula>IF(tabVeicular[[#This Row],[TIPO]]="Equipamento",tabVeicular[[#This Row],[PREÇO UNIDADE -  (R$)]]/60,0)</calculatedColumnFormula>
      <totalsRowFormula>SUBTOTAL(9,tabVeicular[VALOR  - DEPRECIAÇÃO MENSAL - UNIDADE (R$)])</totalsRowFormula>
    </tableColumn>
    <tableColumn id="11" name="VALOR DEPRECIAÇÃO MENSAL - TOTAL (R$)" totalsRowFunction="custom" dataDxfId="530" totalsRowDxfId="529" dataCellStyle="Separador de milhares 19">
      <calculatedColumnFormula>tabVeicular[[#This Row],[VALOR  - DEPRECIAÇÃO MENSAL - UNIDADE (R$)]]*tabVeicular[[#This Row],[QUANT ANUAL DO ITEM]]</calculatedColumnFormula>
      <totalsRowFormula>SUBTOTAL(9,tabVeicular[VALOR DEPRECIAÇÃO MENSAL - TOTAL (R$)])</totalsRowFormula>
    </tableColumn>
    <tableColumn id="12" name="VALOR  - DEPRECIAÇÃO ANUAL - TOTAL (R$) " totalsRowFunction="custom" dataDxfId="528" totalsRowDxfId="527" dataCellStyle="Separador de milhares 19">
      <calculatedColumnFormula>tabVeicular[[#This Row],[VALOR DEPRECIAÇÃO MENSAL - TOTAL (R$)]]*12</calculatedColumnFormula>
      <totalsRowFormula>SUBTOTAL(9,tabVeicular[VALOR  - DEPRECIAÇÃO ANUAL - TOTAL (R$) ])</totalsRowFormula>
    </tableColumn>
    <tableColumn id="13" name="VALOR UNITÁRIO P/ POSTO (R$)" totalsRowFunction="custom" dataDxfId="526" totalsRowDxfId="525" dataCellStyle="Separador de milhares 19">
      <calculatedColumnFormula>IFERROR(IF(tabVeicular[[#This Row],[TIPO]]="Equipamento",tabVeicular[[#This Row],[VALOR  - DEPRECIAÇÃO ANUAL - TOTAL (R$) ]]/12/tabVeicular[[#This Row],[QUANT. POSTOS]],tabVeicular[[#This Row],[PREÇO TOTAL -  (R$)]]/12/tabVeicular[[#This Row],[QUANT. POSTOS]]),0)</calculatedColumnFormula>
      <totalsRowFormula>SUBTOTAL(9,tabVeicular[VALOR UNITÁRIO P/ POSTO (R$)])</totalsRowFormula>
    </tableColumn>
  </tableColumns>
  <tableStyleInfo name="TableStyleLight1" showFirstColumn="0" showLastColumn="0" showRowStripes="1" showColumnStripes="0"/>
</table>
</file>

<file path=xl/tables/table12.xml><?xml version="1.0" encoding="utf-8"?>
<table xmlns="http://schemas.openxmlformats.org/spreadsheetml/2006/main" id="7" name="tabGarcom" displayName="tabGarcom" ref="A3:P5" totalsRowCount="1" headerRowDxfId="524" dataDxfId="523" headerRowCellStyle="Normal 13" dataCellStyle="Separador de milhares 19">
  <autoFilter ref="A3:P4"/>
  <tableColumns count="16">
    <tableColumn id="1" name="ORDEM" totalsRowLabel="Total" dataDxfId="522" totalsRowDxfId="521" dataCellStyle="Normal 3"/>
    <tableColumn id="2" name="QUANT ANUAL DO ITEM" dataDxfId="520" totalsRowDxfId="519" dataCellStyle="Normal 3"/>
    <tableColumn id="17" name="UNIDADE" dataDxfId="518" totalsRowDxfId="517" dataCellStyle="Normal 3"/>
    <tableColumn id="3" name="QUANT. POSTOS" dataDxfId="516" totalsRowDxfId="515" dataCellStyle="Normal 13">
      <calculatedColumnFormula>SUMIFS(tabPostos[Vagas contratadas],tabPostos[Função],"Lavador de Veiculos - 220 h")</calculatedColumnFormula>
    </tableColumn>
    <tableColumn id="4" name="DESCRIÇÃO" dataDxfId="514" totalsRowDxfId="513"/>
    <tableColumn id="14" name="TIPO" dataDxfId="512" totalsRowDxfId="511"/>
    <tableColumn id="15" name="PERIODICIDADE DE FORNECIMENTO" dataDxfId="510" totalsRowDxfId="509"/>
    <tableColumn id="5" name="TA / APOST" dataDxfId="508" totalsRowDxfId="507"/>
    <tableColumn id="6" name="DATA PUBLICAÇÃO" dataDxfId="506" totalsRowDxfId="505"/>
    <tableColumn id="7" name="PREÇO INICIAL -  (R$)" totalsRowFunction="custom" dataDxfId="504" totalsRowDxfId="503" dataCellStyle="Separador de milhares 19">
      <totalsRowFormula>SUBTOTAL(9,tabGarcom[PREÇO INICIAL -  (R$)])</totalsRowFormula>
    </tableColumn>
    <tableColumn id="8" name="PREÇO TOTAL -  (R$)" totalsRowFunction="custom" dataDxfId="502" totalsRowDxfId="501" dataCellStyle="Separador de milhares 19">
      <calculatedColumnFormula>tabGarcom[[#This Row],[PREÇO UNIDADE -  (R$)]]*tabGarcom[[#This Row],[QUANT ANUAL DO ITEM]]</calculatedColumnFormula>
      <totalsRowFormula>SUBTOTAL(9,tabGarcom[PREÇO TOTAL -  (R$)])</totalsRowFormula>
    </tableColumn>
    <tableColumn id="9" name="PREÇO UNIDADE -  (R$)" totalsRowFunction="custom" dataDxfId="500" totalsRowDxfId="499" dataCellStyle="Separador de milhares 19">
      <calculatedColumnFormula array="1">tabGarcom[[#This Row],[PREÇO INICIAL -  (R$)]]*IFERROR(PRODUCT(1+_xlfn._xlws.FILTER(tabIndices[PERCENTUAL],tabIndices[DATA DA PUBLICAÇÃO]&gt;tabGarcom[[#This Row],[DATA PUBLICAÇÃO]])),1)</calculatedColumnFormula>
      <totalsRowFormula>SUBTOTAL(9,tabGarcom[PREÇO UNIDADE -  (R$)])</totalsRowFormula>
    </tableColumn>
    <tableColumn id="10" name="VALOR  - DEPRECIAÇÃO MENSAL - UNIDADE (R$)" totalsRowFunction="custom" dataDxfId="498" totalsRowDxfId="497" dataCellStyle="Separador de milhares 19">
      <calculatedColumnFormula>IF(tabGarcom[[#This Row],[TIPO]]="Equipamento",tabGarcom[[#This Row],[PREÇO UNIDADE -  (R$)]]/60,0)</calculatedColumnFormula>
      <totalsRowFormula>SUBTOTAL(9,tabGarcom[VALOR  - DEPRECIAÇÃO MENSAL - UNIDADE (R$)])</totalsRowFormula>
    </tableColumn>
    <tableColumn id="11" name="VALOR DEPRECIAÇÃO MENSAL - TOTAL (R$)" totalsRowFunction="custom" dataDxfId="496" totalsRowDxfId="495" dataCellStyle="Separador de milhares 19">
      <calculatedColumnFormula>tabGarcom[[#This Row],[VALOR  - DEPRECIAÇÃO MENSAL - UNIDADE (R$)]]*tabGarcom[[#This Row],[QUANT ANUAL DO ITEM]]</calculatedColumnFormula>
      <totalsRowFormula>SUBTOTAL(9,tabGarcom[VALOR DEPRECIAÇÃO MENSAL - TOTAL (R$)])</totalsRowFormula>
    </tableColumn>
    <tableColumn id="12" name="VALOR  - DEPRECIAÇÃO ANUAL - TOTAL (R$) " totalsRowFunction="custom" dataDxfId="494" totalsRowDxfId="493" dataCellStyle="Separador de milhares 19">
      <calculatedColumnFormula>tabGarcom[[#This Row],[VALOR DEPRECIAÇÃO MENSAL - TOTAL (R$)]]*12</calculatedColumnFormula>
      <totalsRowFormula>SUBTOTAL(9,tabGarcom[VALOR  - DEPRECIAÇÃO ANUAL - TOTAL (R$) ])</totalsRowFormula>
    </tableColumn>
    <tableColumn id="13" name="VALOR UNITÁRIO P/ POSTO (R$)" totalsRowFunction="custom" dataDxfId="492" totalsRowDxfId="491" dataCellStyle="Separador de milhares 19">
      <calculatedColumnFormula>IFERROR(IF(tabGarcom[[#This Row],[TIPO]]="Equipamento",tabGarcom[[#This Row],[VALOR  - DEPRECIAÇÃO ANUAL - TOTAL (R$) ]]/12/tabGarcom[[#This Row],[QUANT. POSTOS]],tabGarcom[[#This Row],[PREÇO TOTAL -  (R$)]]/12/tabGarcom[[#This Row],[QUANT. POSTOS]]),0)</calculatedColumnFormula>
      <totalsRowFormula>SUBTOTAL(9,tabGarcom[VALOR UNITÁRIO P/ POSTO (R$)])</totalsRowFormula>
    </tableColumn>
  </tableColumns>
  <tableStyleInfo name="TableStyleLight1" showFirstColumn="0" showLastColumn="0" showRowStripes="1" showColumnStripes="0"/>
</table>
</file>

<file path=xl/tables/table13.xml><?xml version="1.0" encoding="utf-8"?>
<table xmlns="http://schemas.openxmlformats.org/spreadsheetml/2006/main" id="5" name="tabSindicatos" displayName="tabSindicatos" ref="A1:N65" totalsRowShown="0" headerRowDxfId="490" dataDxfId="489">
  <autoFilter ref="A1:N65"/>
  <tableColumns count="14">
    <tableColumn id="1" name="SINDICATOS" dataDxfId="488"/>
    <tableColumn id="2" name="ABRANGÊNCIA" dataDxfId="487"/>
    <tableColumn id="3" name="COMARCAS PAF" dataDxfId="486"/>
    <tableColumn id="4" name="FUNÇÕES" dataDxfId="485"/>
    <tableColumn id="14" name="COMARCAS CONTRATO" dataDxfId="484">
      <calculatedColumnFormula array="1">_xlfn.LET(_xlpm.listaComarcas, _xlfn.UNIQUE(_xlfn._xlws.FILTER(tabParametros[Comarca],tabParametros[CCT DA CATEGORIA]=tabSindicatos[[#This Row],[SINDICATOS]],"")),
IF(COUNTA(_xlpm.listaComarcas)=1,
_xlpm.listaComarcas&amp;".",
SUBSTITUTE(_xlfn.TEXTJOIN(", ",TRUE,_xlpm.listaComarcas),", "," e ",COUNTA(_xlpm.listaComarcas)-1)&amp;"."
)
)</calculatedColumnFormula>
    </tableColumn>
    <tableColumn id="5" name="VA" dataDxfId="483" dataCellStyle="Moeda"/>
    <tableColumn id="6" name="Cesta Básica" dataDxfId="482" dataCellStyle="Moeda"/>
    <tableColumn id="7" name="PAF" dataDxfId="481" dataCellStyle="Moeda"/>
    <tableColumn id="8" name="PQM" dataDxfId="480" dataCellStyle="Moeda"/>
    <tableColumn id="9" name="Abono Único e Especial" dataDxfId="479" dataCellStyle="Moeda"/>
    <tableColumn id="10" name="ANO DA CCT" dataDxfId="478"/>
    <tableColumn id="11" name="Nº DE PEDIDO DA CCT" dataDxfId="477"/>
    <tableColumn id="12" name="TERMO ADITIVO  ALTERAÇÃO DA CCT" dataDxfId="476"/>
    <tableColumn id="13" name="Nº REGISTRO MTE/ CCT" dataDxfId="475"/>
  </tableColumns>
  <tableStyleInfo name="TableStyleLight15" showFirstColumn="0" showLastColumn="0" showRowStripes="1" showColumnStripes="0"/>
</table>
</file>

<file path=xl/tables/table14.xml><?xml version="1.0" encoding="utf-8"?>
<table xmlns="http://schemas.openxmlformats.org/spreadsheetml/2006/main" id="19" name="tabPostos" displayName="tabPostos" ref="A1:M339" totalsRowShown="0" headerRowDxfId="474" dataDxfId="473">
  <autoFilter ref="A1:M339"/>
  <tableColumns count="13">
    <tableColumn id="1" name="Código do Posto" dataDxfId="472">
      <calculatedColumnFormula array="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calculatedColumnFormula>
    </tableColumn>
    <tableColumn id="2" name="Comarca" dataDxfId="471"/>
    <tableColumn id="3" name="Função" dataDxfId="470"/>
    <tableColumn id="5" name="CCT DA CATEGORIA" dataDxfId="469">
      <calculatedColumnFormula array="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calculatedColumnFormula>
    </tableColumn>
    <tableColumn id="4" name="Classificação" dataDxfId="468"/>
    <tableColumn id="6" name="Fonte de Recursos" dataDxfId="467"/>
    <tableColumn id="7" name="Vagas contratadas" dataDxfId="466"/>
    <tableColumn id="8" name="Vagas suspensas" dataDxfId="465"/>
    <tableColumn id="9" name="Salário Base" dataDxfId="464" dataCellStyle="Moeda"/>
    <tableColumn id="10" name="ANO DA CCT" dataDxfId="463">
      <calculatedColumnFormula>VLOOKUP(tabPostos[[#This Row],[CCT DA CATEGORIA]],'RELAÇÃO SINDICATOS'!A:N,11,0)</calculatedColumnFormula>
    </tableColumn>
    <tableColumn id="11" name="Nº DE PEDIDO DA CCT" dataDxfId="462">
      <calculatedColumnFormula>VLOOKUP(tabPostos[[#This Row],[CCT DA CATEGORIA]],'RELAÇÃO SINDICATOS'!A:N,12,0)</calculatedColumnFormula>
    </tableColumn>
    <tableColumn id="12" name="TERMO ADITIVO  ALTERAÇÃO DA CCT" dataDxfId="461">
      <calculatedColumnFormula>VLOOKUP(tabPostos[[#This Row],[CCT DA CATEGORIA]],'RELAÇÃO SINDICATOS'!A:N,13,0)</calculatedColumnFormula>
    </tableColumn>
    <tableColumn id="13" name="Nº REGISTRO MTE/ CCT" dataDxfId="460">
      <calculatedColumnFormula>VLOOKUP(tabPostos[[#This Row],[CCT DA CATEGORIA]],'RELAÇÃO SINDICATOS'!A:N,14,0)</calculatedColumnFormula>
    </tableColumn>
  </tableColumns>
  <tableStyleInfo name="TableStyleLight9" showFirstColumn="0" showLastColumn="0" showRowStripes="1" showColumnStripes="0"/>
</table>
</file>

<file path=xl/tables/table15.xml><?xml version="1.0" encoding="utf-8"?>
<table xmlns="http://schemas.openxmlformats.org/spreadsheetml/2006/main" id="20" name="tabParametros" displayName="tabParametros" ref="A3:BJ342" tableType="queryTable" totalsRowCount="1" headerRowDxfId="459" totalsRowDxfId="456" headerRowBorderDxfId="458" tableBorderDxfId="457" totalsRowBorderDxfId="455" headerRowCellStyle="Normal 10">
  <autoFilter ref="A3:BJ341"/>
  <tableColumns count="62">
    <tableColumn id="1" uniqueName="1" name="Código do Posto" totalsRowLabel="TOTAL" queryTableFieldId="1" dataDxfId="454" totalsRowDxfId="453"/>
    <tableColumn id="2" uniqueName="2" name="Comarca" queryTableFieldId="2" dataDxfId="452" totalsRowDxfId="451"/>
    <tableColumn id="3" uniqueName="3" name="Função" queryTableFieldId="3" dataDxfId="450" totalsRowDxfId="449"/>
    <tableColumn id="4" uniqueName="4" name="CCT DA CATEGORIA" queryTableFieldId="4" dataDxfId="448" totalsRowDxfId="447">
      <calculatedColumnFormula>VLOOKUP(tabParametros[[#This Row],[Código do Posto]],tabPostos[],4,0)</calculatedColumnFormula>
    </tableColumn>
    <tableColumn id="5" uniqueName="5" name="Classificação" queryTableFieldId="5" dataDxfId="446" totalsRowDxfId="445">
      <calculatedColumnFormula>VLOOKUP(tabParametros[[#This Row],[Código do Posto]],tabPostos[],5,0)</calculatedColumnFormula>
    </tableColumn>
    <tableColumn id="6" uniqueName="6" name="Fonte de Recursos" queryTableFieldId="6" dataDxfId="444" totalsRowDxfId="443">
      <calculatedColumnFormula>VLOOKUP(tabParametros[[#This Row],[Código do Posto]],tabPostos[],6,0)</calculatedColumnFormula>
    </tableColumn>
    <tableColumn id="7" uniqueName="7" name="Vagas contratadas" totalsRowFunction="custom" queryTableFieldId="7" dataDxfId="442" totalsRowDxfId="441">
      <calculatedColumnFormula>VLOOKUP(tabParametros[[#This Row],[Código do Posto]],tabPostos[],7,0)</calculatedColumnFormula>
      <totalsRowFormula>SUBTOTAL(9,tabParametros[Vagas contratadas])</totalsRowFormula>
    </tableColumn>
    <tableColumn id="8" uniqueName="8" name="Vagas suspensas" totalsRowFunction="custom" queryTableFieldId="8" dataDxfId="440" totalsRowDxfId="439">
      <calculatedColumnFormula>VLOOKUP(tabParametros[[#This Row],[Código do Posto]],tabPostos[],8,0)</calculatedColumnFormula>
      <totalsRowFormula>SUBTOTAL(9,tabParametros[Vagas suspensas])</totalsRowFormula>
    </tableColumn>
    <tableColumn id="9" uniqueName="9" name="Salário Base" totalsRowFunction="custom" queryTableFieldId="9" dataDxfId="438" totalsRowDxfId="437">
      <calculatedColumnFormula>VLOOKUP(tabParametros[[#This Row],[Código do Posto]],tabPostos[],9,0)</calculatedColumnFormula>
      <totalsRowFormula>SUBTOTAL(9,tabParametros[Salário Base])</totalsRowFormula>
    </tableColumn>
    <tableColumn id="10" uniqueName="10" name="Adicional Periculosidade" totalsRowFunction="custom" queryTableFieldId="10" dataDxfId="436" totalsRowDxfId="435">
      <calculatedColumnFormula>IF(ISNUMBER(SEARCH("Eletricista",tabParametros[[#This Row],[Função]],1)),0.3*tabParametros[[#This Row],[Salário Base]],0)</calculatedColumnFormula>
      <totalsRowFormula>SUBTOTAL(9,tabParametros[Adicional Periculosidade])</totalsRowFormula>
    </tableColumn>
    <tableColumn id="11" uniqueName="11" name="Adicional Insalubridade" totalsRowFunction="custom" queryTableFieldId="11" dataDxfId="434" totalsRowDxfId="433">
      <calculatedColumnFormula>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calculatedColumnFormula>
      <totalsRowFormula>SUBTOTAL(9,tabParametros[Adicional Insalubridade])</totalsRowFormula>
    </tableColumn>
    <tableColumn id="12" uniqueName="12" name="Adicional Noturno" totalsRowFunction="custom" queryTableFieldId="12" dataDxfId="432" totalsRowDxfId="431">
      <calculatedColumnFormula>IF(AND(ISNUMBER(SEARCH("Noturno",tabParametros[[#This Row],[Função]],1)),tabParametros[[#This Row],[Comarca]]&lt;&gt;"Juiz de Fora"),tabParametros[[#This Row],[Salário Base]]/210*0.39*7*15.5,IF(ISNUMBER(SEARCH("Noturno",tabParametros[[#This Row],[Função]],1)),tabParametros[[#This Row],[Salário Base]]/210*0.2*8*15.5,0))</calculatedColumnFormula>
      <totalsRowFormula>SUBTOTAL(9,tabParametros[Adicional Noturno])</totalsRowFormula>
    </tableColumn>
    <tableColumn id="13" uniqueName="13" name="Adicional Motorista II (Gratificação)" totalsRowFunction="custom" queryTableFieldId="13" dataDxfId="430" totalsRowDxfId="429">
      <calculatedColumnFormula>IF(ISNUMBER(SEARCH("Motorista II",tabParametros[[#This Row],[Função]],1)),0.3022*tabParametros[[#This Row],[Salário Base]],0)</calculatedColumnFormula>
      <totalsRowFormula>SUBTOTAL(9,tabParametros[Adicional Motorista II (Gratificação)])</totalsRowFormula>
    </tableColumn>
    <tableColumn id="14" uniqueName="14" name="Adicional de Sobreaviso" totalsRowFunction="custom" queryTableFieldId="14" dataDxfId="428" totalsRowDxfId="427">
      <totalsRowFormula>SUBTOTAL(9,tabParametros[Adicional de Sobreaviso])</totalsRowFormula>
    </tableColumn>
    <tableColumn id="15" uniqueName="15" name="Horas Extras TI" totalsRowFunction="custom" queryTableFieldId="15" dataDxfId="426" totalsRowDxfId="425">
      <calculatedColumnFormula>IF(ISNUMBER(SEARCH("TECNOLOGIA DA INFORMACAO",tabParametros[[#This Row],[Função]],1)),0.056*tabParametros[[#This Row],[Salário Base]],0)</calculatedColumnFormula>
      <totalsRowFormula>SUBTOTAL(9,tabParametros[Horas Extras TI])</totalsRowFormula>
    </tableColumn>
    <tableColumn id="16" uniqueName="16" name="Adicional de Acúmulo de função" totalsRowFunction="custom" queryTableFieldId="16" dataDxfId="424" totalsRowDxfId="423">
      <calculatedColumnFormula>IF(tabParametros[[#This Row],[Função]]="Operador de Midia Audiovisual - 150 h",tabParametros[[#This Row],[Salário Base]]/150*50*30%,IF(tabParametros[[#This Row],[Função]]="Supervisor de Manutencao de Veiculos II - 220 h",12%*tabParametros[[#This Row],[Salário Base]],0))</calculatedColumnFormula>
      <totalsRowFormula>SUBTOTAL(9,tabParametros[Adicional de Acúmulo de função])</totalsRowFormula>
    </tableColumn>
    <tableColumn id="17" uniqueName="17" name="INSS" totalsRowFunction="average" queryTableFieldId="17" dataDxfId="422" totalsRowDxfId="421" dataCellStyle="Porcentagem">
      <calculatedColumnFormula>VLOOKUP(tabParametros[[#Headers],[INSS]],tabImpostosNacionais[],2,0)</calculatedColumnFormula>
    </tableColumn>
    <tableColumn id="18" uniqueName="18" name="SESI OU SESC" totalsRowFunction="average" queryTableFieldId="18" dataDxfId="420" totalsRowDxfId="419" dataCellStyle="Porcentagem">
      <calculatedColumnFormula>VLOOKUP(tabParametros[[#Headers],[SESI OU SESC]],tabImpostosNacionais[],2,0)</calculatedColumnFormula>
    </tableColumn>
    <tableColumn id="19" uniqueName="19" name="SENAI OU SENAC" totalsRowFunction="average" queryTableFieldId="19" dataDxfId="418" totalsRowDxfId="417" dataCellStyle="Porcentagem">
      <calculatedColumnFormula>VLOOKUP(tabParametros[[#Headers],[SENAI OU SENAC]],tabImpostosNacionais[],2,0)</calculatedColumnFormula>
    </tableColumn>
    <tableColumn id="20" uniqueName="20" name="INCRA" totalsRowFunction="average" queryTableFieldId="20" dataDxfId="416" totalsRowDxfId="415" dataCellStyle="Porcentagem">
      <calculatedColumnFormula>VLOOKUP(tabParametros[[#Headers],[INCRA]],tabImpostosNacionais[],2,0)</calculatedColumnFormula>
    </tableColumn>
    <tableColumn id="21" uniqueName="21" name="Salário Educação" totalsRowFunction="average" queryTableFieldId="21" dataDxfId="414" totalsRowDxfId="413" dataCellStyle="Porcentagem">
      <calculatedColumnFormula>VLOOKUP(tabParametros[[#Headers],[Salário Educação]],tabImpostosNacionais[],2,0)</calculatedColumnFormula>
    </tableColumn>
    <tableColumn id="22" uniqueName="22" name="FGTS" totalsRowFunction="average" queryTableFieldId="22" dataDxfId="412" totalsRowDxfId="411" dataCellStyle="Porcentagem">
      <calculatedColumnFormula>VLOOKUP(tabParametros[[#Headers],[FGTS]],tabImpostosNacionais[],2,0)</calculatedColumnFormula>
    </tableColumn>
    <tableColumn id="23" uniqueName="23" name="RAT Ajustado" totalsRowFunction="average" queryTableFieldId="23" dataDxfId="410" totalsRowDxfId="409" dataCellStyle="Porcentagem">
      <calculatedColumnFormula>VLOOKUP(tabParametros[[#Headers],[RAT Ajustado]],tabImpostosNacionais[],2,0)</calculatedColumnFormula>
    </tableColumn>
    <tableColumn id="24" uniqueName="24" name="SEBRAE" totalsRowFunction="average" queryTableFieldId="24" dataDxfId="408" totalsRowDxfId="407" dataCellStyle="Porcentagem">
      <calculatedColumnFormula>VLOOKUP(tabParametros[[#Headers],[SEBRAE]],tabImpostosNacionais[],2,0)</calculatedColumnFormula>
    </tableColumn>
    <tableColumn id="25" uniqueName="25" name="13º salário (titular)" totalsRowFunction="custom" queryTableFieldId="25" dataDxfId="406" totalsRowDxfId="405" dataCellStyle="Porcentagem">
      <calculatedColumnFormula>1/12</calculatedColumnFormula>
      <totalsRowFormula>SUBTOTAL(101,tabParametros[SESI OU SESC])</totalsRowFormula>
    </tableColumn>
    <tableColumn id="26" uniqueName="26" name="Férias e Adicional de Férias (titular)" totalsRowFunction="custom" queryTableFieldId="26" dataDxfId="404" totalsRowDxfId="403" dataCellStyle="Porcentagem">
      <calculatedColumnFormula>1/12+1/12/3</calculatedColumnFormula>
      <totalsRowFormula>SUBTOTAL(101,tabParametros[SENAI OU SENAC])</totalsRowFormula>
    </tableColumn>
    <tableColumn id="27" uniqueName="27" name="Vale - Transporte" totalsRowFunction="custom" queryTableFieldId="27" dataDxfId="402" totalsRowDxfId="401">
      <calculatedColumnFormula>VLOOKUP(tabParametros[[#This Row],[Comarca]],tabComarca[],5,0)</calculatedColumnFormula>
      <totalsRowFormula>SUBTOTAL(9,tabParametros[Vale - Transporte])</totalsRowFormula>
    </tableColumn>
    <tableColumn id="28" uniqueName="28" name="Vale - Alimentação" totalsRowFunction="custom" queryTableFieldId="28" dataDxfId="400" totalsRowDxfId="399">
      <calculatedColumnFormula>VLOOKUP(tabParametros[[#This Row],[CCT DA CATEGORIA]],tabSindicatos[],6,0)</calculatedColumnFormula>
      <totalsRowFormula>SUBTOTAL(9,tabParametros[Vale - Alimentação])</totalsRowFormula>
    </tableColumn>
    <tableColumn id="29" uniqueName="29" name="Cesta Básica" totalsRowFunction="custom" queryTableFieldId="29" dataDxfId="398" totalsRowDxfId="397">
      <calculatedColumnFormula>VLOOKUP(tabParametros[[#This Row],[CCT DA CATEGORIA]],tabSindicatos[],7,0)</calculatedColumnFormula>
      <totalsRowFormula>SUBTOTAL(9,tabParametros[Cesta Básica])</totalsRowFormula>
    </tableColumn>
    <tableColumn id="30" uniqueName="30" name="PAF" totalsRowFunction="custom" queryTableFieldId="30" dataDxfId="396" totalsRowDxfId="395">
      <calculatedColumnFormula array="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calculatedColumnFormula>
      <totalsRowFormula>SUBTOTAL(9,tabParametros[PAF])</totalsRowFormula>
    </tableColumn>
    <tableColumn id="31" uniqueName="31" name="PQM" totalsRowFunction="custom" queryTableFieldId="31" dataDxfId="394" totalsRowDxfId="393">
      <calculatedColumnFormula>VLOOKUP(tabParametros[[#This Row],[CCT DA CATEGORIA]],tabSindicatos[],9,0)</calculatedColumnFormula>
      <totalsRowFormula>SUBTOTAL(9,tabParametros[PQM])</totalsRowFormula>
    </tableColumn>
    <tableColumn id="32" uniqueName="32" name="Abono Único e Especial" totalsRowFunction="custom" queryTableFieldId="32" dataDxfId="392" totalsRowDxfId="391">
      <calculatedColumnFormula>VLOOKUP(tabParametros[[#This Row],[CCT DA CATEGORIA]],tabSindicatos[],10,0)</calculatedColumnFormula>
      <totalsRowFormula>SUBTOTAL(9,tabParametros[Abono Único e Especial])</totalsRowFormula>
    </tableColumn>
    <tableColumn id="33" uniqueName="33" name="Seguro de Vida" totalsRowFunction="custom" queryTableFieldId="33" dataDxfId="390" totalsRowDxfId="389" dataCellStyle="Moeda">
      <calculatedColumnFormula>VLOOKUP(tabParametros[[#Headers],[Seguro de Vida]],tabOutrosCustos[],3,0)</calculatedColumnFormula>
      <totalsRowFormula>SUBTOTAL(9,tabParametros[Seguro de Vida])</totalsRowFormula>
    </tableColumn>
    <tableColumn id="34" uniqueName="34" name="Despesas de Viagem" totalsRowFunction="custom" queryTableFieldId="34" dataDxfId="388" totalsRowDxfId="387" dataCellStyle="Moeda">
      <calculatedColumnFormula>IF(ISNUMBER(SEARCH("MOTORISTA",tabParametros[[#This Row],[Função]],1)),VLOOKUP("MOTORISTAS",tabDiarias[],2,0),IF(tabParametros[[#This Row],[Comarca]]="Belo Horizonte",VLOOKUP("APOIO",tabDiarias[],2,0),0))</calculatedColumnFormula>
      <totalsRowFormula>SUBTOTAL(9,tabParametros[Despesas de Viagem])</totalsRowFormula>
    </tableColumn>
    <tableColumn id="35" uniqueName="35" name="Aviso Prévio Indenizado (API) e Reflexo do Aviso Prévio Indenizado" totalsRowFunction="average" queryTableFieldId="35" dataDxfId="386" totalsRowDxfId="385" dataCellStyle="Porcentagem">
      <calculatedColumnFormula>(1/12*7%)+((1+1+1/3)*1/12)*(7%/12)+((1/12*0.05)+((1+1+1/3)*1/12)*(7%/12))/30*3*5/60</calculatedColumnFormula>
    </tableColumn>
    <tableColumn id="36" uniqueName="36" name="Incidência do FGTS sobre API e Reflexo do API" totalsRowFunction="average" queryTableFieldId="36" dataDxfId="384" totalsRowDxfId="383">
      <calculatedColumnFormula>tabParametros[[#This Row],[FGTS]]*tabParametros[[#This Row],[Aviso Prévio Indenizado (API) e Reflexo do Aviso Prévio Indenizado]]</calculatedColumnFormula>
    </tableColumn>
    <tableColumn id="37" uniqueName="37" name="Multa Rescisória do FGTS sobre o Aviso Prévio Indenizado" totalsRowFunction="average" queryTableFieldId="37" dataDxfId="382" totalsRowDxfId="381">
      <calculatedColumnFormula>tabParametros[[#This Row],[FGTS]]*tabParametros[[#This Row],[Aviso Prévio Indenizado (API) e Reflexo do Aviso Prévio Indenizado]]*40%</calculatedColumnFormula>
    </tableColumn>
    <tableColumn id="38" uniqueName="38" name="Aviso Prévio Trabalhado - APT" totalsRowFunction="average" queryTableFieldId="38" dataDxfId="380" totalsRowDxfId="379" dataCellStyle="Porcentagem">
      <calculatedColumnFormula>((1/30*7)*0.9)/60</calculatedColumnFormula>
    </tableColumn>
    <tableColumn id="39" uniqueName="39" name="Incidência dos encargos do submódulo 2.1 sobre Aviso Prévio Trabalhado" totalsRowFunction="average" queryTableFieldId="39" dataDxfId="378" totalsRowDxfId="377" dataCellStyle="Porcentagem">
      <calculatedColumnFormula>tabParametros[[#This Row],[Aviso Prévio Trabalhado - APT]]*SUM(tabParametros[[#This Row],[INSS]:[SEBRAE]])</calculatedColumnFormula>
    </tableColumn>
    <tableColumn id="40" uniqueName="40" name="Multa Rescisória do FGTS" totalsRowFunction="average" queryTableFieldId="40" dataDxfId="376" totalsRowDxfId="375" dataCellStyle="Porcentagem">
      <calculatedColumnFormula>0.4*0.08*0.8*(1+1/12+1/12+1/3/12)</calculatedColumnFormula>
    </tableColumn>
    <tableColumn id="41" uniqueName="41" name="Indenização Adicional (Art. 9º da Lei nº 7.238/84)" totalsRowFunction="average" queryTableFieldId="41" dataDxfId="374" totalsRowDxfId="373" dataCellStyle="Porcentagem">
      <calculatedColumnFormula>(1*1%)/12</calculatedColumnFormula>
    </tableColumn>
    <tableColumn id="42" uniqueName="42" name="Ausência por Doença" totalsRowFunction="average" queryTableFieldId="42" dataDxfId="372" totalsRowDxfId="371" dataCellStyle="Porcentagem">
      <calculatedColumnFormula>1/30*3.04/12</calculatedColumnFormula>
    </tableColumn>
    <tableColumn id="43" uniqueName="43" name="Ausências Legais" totalsRowFunction="average" queryTableFieldId="43" dataDxfId="370" totalsRowDxfId="369" dataCellStyle="Porcentagem">
      <calculatedColumnFormula>0.73/30/12</calculatedColumnFormula>
    </tableColumn>
    <tableColumn id="44" uniqueName="44" name="Licença Paternidade" totalsRowFunction="average" queryTableFieldId="44" dataDxfId="368" totalsRowDxfId="367" dataCellStyle="Porcentagem">
      <calculatedColumnFormula>5/30/12*1.23%</calculatedColumnFormula>
    </tableColumn>
    <tableColumn id="45" uniqueName="45" name="Ausência por Acidente de Trabalho" totalsRowFunction="average" queryTableFieldId="45" dataDxfId="366" totalsRowDxfId="365" dataCellStyle="Porcentagem">
      <calculatedColumnFormula>1/30*15*0.5%/12</calculatedColumnFormula>
    </tableColumn>
    <tableColumn id="46" uniqueName="46" name="Férias, Adicional de Férias e 13º  com empregada em gozo de Licença Maternidade" totalsRowFunction="average" queryTableFieldId="46" dataDxfId="364" totalsRowDxfId="363" dataCellStyle="Porcentagem">
      <calculatedColumnFormula>((1/12+1/12+1/3/12)*4/12)*2%</calculatedColumnFormula>
    </tableColumn>
    <tableColumn id="47" uniqueName="47" name="Incidência do Submódulo 2.1 sobre Ausências Legais" totalsRowFunction="average" queryTableFieldId="47" dataDxfId="362" totalsRowDxfId="361">
      <calculatedColumnFormula>SUM(tabParametros[[#This Row],[Ausência por Doença]:[Férias, Adicional de Férias e 13º  com empregada em gozo de Licença Maternidade]])*SUM(tabParametros[[#This Row],[INSS]:[SEBRAE]])</calculatedColumnFormula>
    </tableColumn>
    <tableColumn id="48" uniqueName="48" name="Intervalo para Repouso ou Alimentação" totalsRowFunction="custom" queryTableFieldId="48" dataDxfId="360" totalsRowDxfId="359">
      <calculatedColumnFormula>IF(tabParametros[[#This Row],[Função]]="Porteiro - 220 h",SUM(tabParametros[[#This Row],[Salário Base]:[Adicional de Acúmulo de função]])/220*20*1.5,IF(ISNUMBER(SEARCH("12 x 36",tabParametros[[#This Row],[Função]],1)),SUM(tabParametros[[#This Row],[Salário Base]:[Adicional de Acúmulo de função]])/210*15.5*1.5,0))</calculatedColumnFormula>
      <totalsRowFormula>SUBTOTAL(9,tabParametros[Intervalo para Repouso ou Alimentação])</totalsRowFormula>
    </tableColumn>
    <tableColumn id="49" uniqueName="49" name="Suspensão Temporária do Contrato de Trabalho" totalsRowFunction="custom" queryTableFieldId="49" dataDxfId="358" totalsRowDxfId="357">
      <calculatedColumnFormula>IF(tabParametros[[#This Row],[Vagas contratadas]]&gt;0,(SUM(tabParametros[[#This Row],[Salário Base]:[Adicional de Acúmulo de função]])*30%+SUM(tabParametros[[#This Row],[Vale - Alimentação]:[Seguro de Vida]]))/tabParametros[[#This Row],[Vagas contratadas]]*tabParametros[[#This Row],[Vagas suspensas]],0)</calculatedColumnFormula>
      <totalsRowFormula>SUBTOTAL(9,tabParametros[Suspensão Temporária do Contrato de Trabalho])</totalsRowFormula>
    </tableColumn>
    <tableColumn id="50" uniqueName="50" name="Uniformes e EPIs" totalsRowFunction="custom" queryTableFieldId="50" dataDxfId="356" totalsRowDxfId="355">
      <calculatedColumnFormula>SUMIF(tabUniformes[Cargo],tabParametros[[#This Row],[Função]],tabUniformes[Valor unit. Mensal])</calculatedColumnFormula>
      <totalsRowFormula>SUBTOTAL(9,tabParametros[Uniformes e EPIs])</totalsRowFormula>
    </tableColumn>
    <tableColumn id="51" uniqueName="51" name="Materiais de Consumo" totalsRowFunction="custom" queryTableFieldId="51" dataDxfId="354" totalsRowDxfId="353">
      <calculatedColumnFormula>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calculatedColumnFormula>
      <totalsRowFormula>SUBTOTAL(9,tabParametros[Materiais de Consumo])</totalsRowFormula>
    </tableColumn>
    <tableColumn id="52" uniqueName="52" name="Máquinas e Equipamentos (depreciação)" totalsRowFunction="custom" queryTableFieldId="52" dataDxfId="352" totalsRowDxfId="351">
      <calculatedColumnFormula>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calculatedColumnFormula>
      <totalsRowFormula>SUBTOTAL(9,tabParametros[Máquinas e Equipamentos (depreciação)])</totalsRowFormula>
    </tableColumn>
    <tableColumn id="53" uniqueName="53" name="Produtos de Limpeza e Materiais de Higiene Pessoal" totalsRowFunction="custom" queryTableFieldId="53" dataDxfId="350" totalsRowDxfId="349">
      <calculatedColumnFormula>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calculatedColumnFormula>
      <totalsRowFormula>SUBTOTAL(9,tabParametros[Produtos de Limpeza e Materiais de Higiene Pessoal])</totalsRowFormula>
    </tableColumn>
    <tableColumn id="54" uniqueName="54" name="Outros (especificar)" totalsRowFunction="custom" queryTableFieldId="54" dataDxfId="348" totalsRowDxfId="347">
      <totalsRowFormula>SUBTOTAL(9,tabParametros[Outros (especificar)])</totalsRowFormula>
    </tableColumn>
    <tableColumn id="55" uniqueName="55" name="Custos Indiretos" totalsRowFunction="custom" queryTableFieldId="55" dataDxfId="346" totalsRowDxfId="345" dataCellStyle="Moeda">
      <calculatedColumnFormula>VLOOKUP(tabParametros[[#Headers],[Custos Indiretos]],tabOutrosCustos[],3,0)</calculatedColumnFormula>
      <totalsRowFormula>SUBTOTAL(9,tabParametros[Custos Indiretos])</totalsRowFormula>
    </tableColumn>
    <tableColumn id="56" uniqueName="56" name="Lucro" totalsRowFunction="custom" queryTableFieldId="56" dataDxfId="344" totalsRowDxfId="343" dataCellStyle="Moeda">
      <calculatedColumnFormula>VLOOKUP(tabParametros[[#Headers],[Lucro]],tabOutrosCustos[],3,0)</calculatedColumnFormula>
      <totalsRowFormula>SUBTOTAL(9,tabParametros[Lucro])</totalsRowFormula>
    </tableColumn>
    <tableColumn id="57" uniqueName="57" name="COFINS" totalsRowFunction="average" queryTableFieldId="57" dataDxfId="342" totalsRowDxfId="341" dataCellStyle="Porcentagem">
      <calculatedColumnFormula>VLOOKUP(tabParametros[[#Headers],[COFINS]],tabImpostosNacionais[],2,0)</calculatedColumnFormula>
    </tableColumn>
    <tableColumn id="58" uniqueName="58" name="PIS" totalsRowFunction="average" queryTableFieldId="58" dataDxfId="340" totalsRowDxfId="339" dataCellStyle="Porcentagem">
      <calculatedColumnFormula>VLOOKUP(tabParametros[[#Headers],[PIS]],tabImpostosNacionais[],2,0)</calculatedColumnFormula>
    </tableColumn>
    <tableColumn id="59" uniqueName="59" name="ISS" totalsRowFunction="average" queryTableFieldId="59" dataDxfId="338" totalsRowDxfId="337" dataCellStyle="Porcentagem">
      <calculatedColumnFormula>VLOOKUP(tabParametros[[#This Row],[Comarca]],tabComarca[],4,0)</calculatedColumnFormula>
    </tableColumn>
    <tableColumn id="60" uniqueName="60" name="ANO DA CCT" queryTableFieldId="60" dataDxfId="336" totalsRowDxfId="335">
      <calculatedColumnFormula>VLOOKUP(tabParametros[[#This Row],[CCT DA CATEGORIA]],tabSindicatos[],11,0)</calculatedColumnFormula>
    </tableColumn>
    <tableColumn id="61" uniqueName="61" name="Nº DE PEDIDO DA CCT" queryTableFieldId="61" dataDxfId="334" totalsRowDxfId="333">
      <calculatedColumnFormula>VLOOKUP(tabParametros[[#This Row],[CCT DA CATEGORIA]],tabSindicatos[],12,0)</calculatedColumnFormula>
    </tableColumn>
    <tableColumn id="62" uniqueName="62" name="TERMO ADITIVO ALTERAÇÃO DA CCT" queryTableFieldId="62" dataDxfId="332" totalsRowDxfId="331">
      <calculatedColumnFormula>VLOOKUP(tabParametros[[#This Row],[CCT DA CATEGORIA]],tabSindicatos[],13,0)</calculatedColumnFormula>
    </tableColumn>
  </tableColumns>
  <tableStyleInfo showFirstColumn="0" showLastColumn="0" showRowStripes="1" showColumnStripes="0"/>
</table>
</file>

<file path=xl/tables/table16.xml><?xml version="1.0" encoding="utf-8"?>
<table xmlns="http://schemas.openxmlformats.org/spreadsheetml/2006/main" id="8" name="tabCustoUnit" displayName="tabCustoUnit" ref="A3:CB342" tableType="queryTable" totalsRowCount="1" headerRowDxfId="330" totalsRowDxfId="329">
  <autoFilter ref="A3:CB341"/>
  <tableColumns count="80">
    <tableColumn id="1" uniqueName="1" name="Código do Posto" totalsRowLabel="Total" queryTableFieldId="1" dataDxfId="234" totalsRowDxfId="235"/>
    <tableColumn id="2" uniqueName="2" name="Comarca" queryTableFieldId="2"/>
    <tableColumn id="3" uniqueName="3" name="Função" queryTableFieldId="3"/>
    <tableColumn id="4" uniqueName="4" name="CCT DA CATEGORIA" queryTableFieldId="4"/>
    <tableColumn id="5" uniqueName="5" name="Classificação" queryTableFieldId="5" dataDxfId="233" totalsRowDxfId="236"/>
    <tableColumn id="6" uniqueName="6" name="Fonte de Recursos" queryTableFieldId="6" dataDxfId="232" totalsRowDxfId="237"/>
    <tableColumn id="7" uniqueName="7" name="Salário Base" totalsRowFunction="custom" queryTableFieldId="7" dataDxfId="231" totalsRowDxfId="238" dataCellStyle="Moeda">
      <totalsRowFormula>SUBTOTAL(9,tabCustoUnit[Salário Base])</totalsRowFormula>
    </tableColumn>
    <tableColumn id="8" uniqueName="8" name="Adicional Periculosidade" totalsRowFunction="custom" queryTableFieldId="83" dataDxfId="230" totalsRowDxfId="239" dataCellStyle="Moeda">
      <totalsRowFormula>SUBTOTAL(9,tabCustoUnit[Adicional Periculosidade])</totalsRowFormula>
    </tableColumn>
    <tableColumn id="9" uniqueName="9" name="Adicional Insalubridade" totalsRowFunction="custom" queryTableFieldId="84" dataDxfId="229" totalsRowDxfId="240" dataCellStyle="Moeda">
      <totalsRowFormula>SUBTOTAL(9,tabCustoUnit[Adicional Insalubridade])</totalsRowFormula>
    </tableColumn>
    <tableColumn id="10" uniqueName="10" name="Adicional Noturno" totalsRowFunction="custom" queryTableFieldId="85" dataDxfId="228" totalsRowDxfId="241" dataCellStyle="Moeda">
      <totalsRowFormula>SUBTOTAL(9,tabCustoUnit[Adicional Noturno])</totalsRowFormula>
    </tableColumn>
    <tableColumn id="11" uniqueName="11" name="Adicional Motorista II (Gratificação)" totalsRowFunction="custom" queryTableFieldId="86" dataDxfId="227" totalsRowDxfId="242" dataCellStyle="Moeda">
      <totalsRowFormula>SUBTOTAL(9,tabCustoUnit[Adicional Motorista II (Gratificação)])</totalsRowFormula>
    </tableColumn>
    <tableColumn id="12" uniqueName="12" name="Adicional de Sobreaviso" totalsRowFunction="custom" queryTableFieldId="87" dataDxfId="226" totalsRowDxfId="243" dataCellStyle="Moeda">
      <totalsRowFormula>SUBTOTAL(9,tabCustoUnit[Adicional de Sobreaviso])</totalsRowFormula>
    </tableColumn>
    <tableColumn id="13" uniqueName="13" name="Horas Extras TI" totalsRowFunction="custom" queryTableFieldId="90" dataDxfId="225" totalsRowDxfId="244" dataCellStyle="Moeda">
      <totalsRowFormula>SUBTOTAL(9,tabCustoUnit[Horas Extras TI])</totalsRowFormula>
    </tableColumn>
    <tableColumn id="14" uniqueName="14" name="Adicional de Acúmulo de função" totalsRowFunction="custom" queryTableFieldId="89" dataDxfId="224" totalsRowDxfId="245" dataCellStyle="Moeda">
      <totalsRowFormula>SUBTOTAL(9,tabCustoUnit[Adicional de Acúmulo de função])</totalsRowFormula>
    </tableColumn>
    <tableColumn id="15" uniqueName="15" name="MODULO 1 - REMUNERAÇÃO " totalsRowFunction="custom" queryTableFieldId="15" dataDxfId="223" totalsRowDxfId="246" dataCellStyle="Moeda">
      <calculatedColumnFormula>SUM(tabCustoUnit[[#This Row],[Salário Base]:[Adicional de Acúmulo de função]])</calculatedColumnFormula>
      <totalsRowFormula>SUBTOTAL(9,tabCustoUnit[MODULO 1 - REMUNERAÇÃO ])</totalsRowFormula>
    </tableColumn>
    <tableColumn id="16" uniqueName="16" name="INSS" totalsRowFunction="custom" queryTableFieldId="16" dataDxfId="222" totalsRowDxfId="247" dataCellStyle="Moeda">
      <calculatedColumnFormula>tabCustoUnit[[#This Row],[MODULO 1 - REMUNERAÇÃO ]]*SUMIFS(tabParametros[INSS],tabParametros[Código do Posto],tabCustoUnit[[#This Row],[Código do Posto]])</calculatedColumnFormula>
      <totalsRowFormula>SUBTOTAL(9,tabCustoUnit[INSS])</totalsRowFormula>
    </tableColumn>
    <tableColumn id="17" uniqueName="17" name="SESI OU SESC" totalsRowFunction="custom" queryTableFieldId="17" dataDxfId="221" totalsRowDxfId="248" dataCellStyle="Moeda">
      <calculatedColumnFormula>tabCustoUnit[[#This Row],[MODULO 1 - REMUNERAÇÃO ]]*SUMIFS(tabParametros[SESI OU SESC],tabParametros[Código do Posto],tabCustoUnit[[#This Row],[Código do Posto]])</calculatedColumnFormula>
      <totalsRowFormula>SUBTOTAL(9,tabCustoUnit[SESI OU SESC])</totalsRowFormula>
    </tableColumn>
    <tableColumn id="18" uniqueName="18" name="SENAI OU SENAC" totalsRowFunction="custom" queryTableFieldId="18" dataDxfId="220" totalsRowDxfId="249" dataCellStyle="Moeda">
      <calculatedColumnFormula>tabCustoUnit[[#This Row],[MODULO 1 - REMUNERAÇÃO ]]*SUMIFS(tabParametros[SENAI OU SENAC],tabParametros[Código do Posto],tabCustoUnit[[#This Row],[Código do Posto]])</calculatedColumnFormula>
      <totalsRowFormula>SUBTOTAL(9,tabCustoUnit[SENAI OU SENAC])</totalsRowFormula>
    </tableColumn>
    <tableColumn id="19" uniqueName="19" name="INCRA" totalsRowFunction="custom" queryTableFieldId="19" dataDxfId="219" totalsRowDxfId="250" dataCellStyle="Moeda">
      <calculatedColumnFormula>tabCustoUnit[[#This Row],[MODULO 1 - REMUNERAÇÃO ]]*SUMIFS(tabParametros[INCRA],tabParametros[Código do Posto],tabCustoUnit[[#This Row],[Código do Posto]])</calculatedColumnFormula>
      <totalsRowFormula>SUBTOTAL(9,tabCustoUnit[INCRA])</totalsRowFormula>
    </tableColumn>
    <tableColumn id="20" uniqueName="20" name="Salário Educação" totalsRowFunction="custom" queryTableFieldId="20" dataDxfId="218" totalsRowDxfId="251" dataCellStyle="Moeda">
      <calculatedColumnFormula>tabCustoUnit[[#This Row],[MODULO 1 - REMUNERAÇÃO ]]*SUMIFS(tabParametros[Salário Educação],tabParametros[Código do Posto],tabCustoUnit[[#This Row],[Código do Posto]])</calculatedColumnFormula>
      <totalsRowFormula>SUBTOTAL(9,tabCustoUnit[Salário Educação])</totalsRowFormula>
    </tableColumn>
    <tableColumn id="21" uniqueName="21" name="FGTS" totalsRowFunction="custom" queryTableFieldId="21" dataDxfId="217" totalsRowDxfId="252" dataCellStyle="Moeda">
      <calculatedColumnFormula>tabCustoUnit[[#This Row],[MODULO 1 - REMUNERAÇÃO ]]*SUMIFS(tabParametros[FGTS],tabParametros[Código do Posto],tabCustoUnit[[#This Row],[Código do Posto]])</calculatedColumnFormula>
      <totalsRowFormula>SUBTOTAL(9,tabCustoUnit[FGTS])</totalsRowFormula>
    </tableColumn>
    <tableColumn id="22" uniqueName="22" name="RAT Ajustado" totalsRowFunction="custom" queryTableFieldId="22" dataDxfId="216" totalsRowDxfId="253" dataCellStyle="Moeda">
      <calculatedColumnFormula>tabCustoUnit[[#This Row],[MODULO 1 - REMUNERAÇÃO ]]*SUMIFS(tabParametros[RAT Ajustado],tabParametros[Código do Posto],tabCustoUnit[[#This Row],[Código do Posto]])</calculatedColumnFormula>
      <totalsRowFormula>SUBTOTAL(9,tabCustoUnit[RAT Ajustado])</totalsRowFormula>
    </tableColumn>
    <tableColumn id="23" uniqueName="23" name="SEBRAE" totalsRowFunction="custom" queryTableFieldId="23" dataDxfId="215" totalsRowDxfId="254" dataCellStyle="Moeda">
      <calculatedColumnFormula>tabCustoUnit[[#This Row],[MODULO 1 - REMUNERAÇÃO ]]*SUMIFS(tabParametros[SEBRAE],tabParametros[Código do Posto],tabCustoUnit[[#This Row],[Código do Posto]])</calculatedColumnFormula>
      <totalsRowFormula>SUBTOTAL(9,tabCustoUnit[SEBRAE])</totalsRowFormula>
    </tableColumn>
    <tableColumn id="24" uniqueName="24" name="Submódulo 2.1" totalsRowFunction="custom" queryTableFieldId="24" dataDxfId="214" totalsRowDxfId="255" dataCellStyle="Moeda">
      <calculatedColumnFormula>SUM(tabCustoUnit[[#This Row],[INSS]:[SEBRAE]])</calculatedColumnFormula>
      <totalsRowFormula>SUBTOTAL(9,tabCustoUnit[Submódulo 2.1])</totalsRowFormula>
    </tableColumn>
    <tableColumn id="25" uniqueName="25" name="13º salário (titular)" totalsRowFunction="custom" queryTableFieldId="25" dataDxfId="213" totalsRowDxfId="256" dataCellStyle="Moeda">
      <calculatedColumnFormula>tabCustoUnit[[#This Row],[MODULO 1 - REMUNERAÇÃO ]]*SUMIFS(tabParametros[13º salário (titular)],tabParametros[Código do Posto],tabCustoUnit[[#This Row],[Código do Posto]])</calculatedColumnFormula>
      <totalsRowFormula>SUBTOTAL(9,tabCustoUnit[13º salário (titular)])</totalsRowFormula>
    </tableColumn>
    <tableColumn id="26" uniqueName="26" name="Férias e Adicional de Férias (titular)" totalsRowFunction="custom" queryTableFieldId="26" dataDxfId="212" totalsRowDxfId="257" dataCellStyle="Moeda">
      <calculatedColumnFormula>tabCustoUnit[[#This Row],[MODULO 1 - REMUNERAÇÃO ]]*SUMIFS(tabParametros[Férias e Adicional de Férias (titular)],tabParametros[Código do Posto],tabCustoUnit[[#This Row],[Código do Posto]])</calculatedColumnFormula>
      <totalsRowFormula>SUBTOTAL(9,tabCustoUnit[Férias e Adicional de Férias (titular)])</totalsRowFormula>
    </tableColumn>
    <tableColumn id="27" uniqueName="27" name="Incidência do Submódulo 2.1 sobre 13º Salário, Férias e Adicional de Férias" totalsRowFunction="custom" queryTableFieldId="27" dataDxfId="211" totalsRowDxfId="258" dataCellStyle="Moeda">
      <calculatedColumnFormula>IFERROR((tabCustoUnit[[#This Row],[Submódulo 2.1]]/tabCustoUnit[[#This Row],[MODULO 1 - REMUNERAÇÃO ]])*SUM(tabCustoUnit[[#This Row],[13º salário (titular)]:[Férias e Adicional de Férias (titular)]]),0)</calculatedColumnFormula>
      <totalsRowFormula>SUBTOTAL(9,tabCustoUnit[Incidência do Submódulo 2.1 sobre 13º Salário, Férias e Adicional de Férias])</totalsRowFormula>
    </tableColumn>
    <tableColumn id="28" uniqueName="28" name="Submódulo 2.2" totalsRowFunction="custom" queryTableFieldId="28" dataDxfId="210" totalsRowDxfId="259" dataCellStyle="Moeda">
      <calculatedColumnFormula>SUM(tabCustoUnit[[#This Row],[13º salário (titular)]:[Incidência do Submódulo 2.1 sobre 13º Salário, Férias e Adicional de Férias]])</calculatedColumnFormula>
      <totalsRowFormula>SUBTOTAL(9,tabCustoUnit[Submódulo 2.2])</totalsRowFormula>
    </tableColumn>
    <tableColumn id="30" uniqueName="30" name="Vale - Transporte (Descontada parcela do empregado)" totalsRowFunction="custom" queryTableFieldId="30" dataDxfId="209" totalsRowDxfId="260">
      <calculatedColumnFormula>_xlfn.LET(_xlpm.VT,SUMIF(tabParametros[Código do Posto],tabCustoUnit[[#This Row],[Código do Posto]],tabParametros[Vale - Transporte])*2*20,
IF((_xlpm.VT-tabCustoUnit[[#This Row],[Salário Base]]*0.06)&gt;=0,(_xlpm.VT-tabCustoUnit[[#This Row],[Salário Base]]*0.06),0)
)</calculatedColumnFormula>
      <totalsRowFormula>SUBTOTAL(9,tabCustoUnit[Vale - Transporte (Descontada parcela do empregado)])</totalsRowFormula>
    </tableColumn>
    <tableColumn id="38" uniqueName="38" name="Vale - Alimentação (Descontada parcela do empregado)" totalsRowFunction="custom" queryTableFieldId="38" dataDxfId="208" totalsRowDxfId="261">
      <calculatedColumnFormula>IF(SUMIF(tabParametros[Código do Posto],tabCustoUnit[[#This Row],[Código do Posto]],tabParametros[Vale - Alimentação])&lt;=0,0,
SUMIF(tabParametros[Código do Posto],tabCustoUnit[[#This Row],[Código do Posto]],tabParametros[Vale - Alimentação])*20-1)</calculatedColumnFormula>
      <totalsRowFormula>SUBTOTAL(9,tabCustoUnit[Vale - Alimentação (Descontada parcela do empregado)])</totalsRowFormula>
    </tableColumn>
    <tableColumn id="31" uniqueName="31" name="Cesta Básica" totalsRowFunction="custom" queryTableFieldId="31" dataDxfId="207" totalsRowDxfId="262">
      <calculatedColumnFormula>SUMIF(tabParametros[Código do Posto],tabCustoUnit[[#This Row],[Código do Posto]],tabParametros[Cesta Básica])</calculatedColumnFormula>
      <totalsRowFormula>SUBTOTAL(9,tabCustoUnit[Cesta Básica])</totalsRowFormula>
    </tableColumn>
    <tableColumn id="32" uniqueName="32" name="PAF" totalsRowFunction="custom" queryTableFieldId="32" dataDxfId="206" totalsRowDxfId="263">
      <calculatedColumnFormula>SUMIF(tabParametros[Código do Posto],tabCustoUnit[[#This Row],[Código do Posto]],tabParametros[PAF])</calculatedColumnFormula>
      <totalsRowFormula>SUBTOTAL(9,tabCustoUnit[PAF])</totalsRowFormula>
    </tableColumn>
    <tableColumn id="33" uniqueName="33" name="PQM" totalsRowFunction="custom" queryTableFieldId="33" dataDxfId="205" totalsRowDxfId="264">
      <calculatedColumnFormula>SUMIF(tabParametros[Código do Posto],tabCustoUnit[[#This Row],[Código do Posto]],tabParametros[PQM])</calculatedColumnFormula>
      <totalsRowFormula>SUBTOTAL(9,tabCustoUnit[PQM])</totalsRowFormula>
    </tableColumn>
    <tableColumn id="34" uniqueName="34" name="Abono Único e Especial" totalsRowFunction="custom" queryTableFieldId="34" dataDxfId="204" totalsRowDxfId="265">
      <calculatedColumnFormula>SUMIF(tabParametros[Código do Posto],tabCustoUnit[[#This Row],[Código do Posto]],tabParametros[Abono Único e Especial])</calculatedColumnFormula>
      <totalsRowFormula>SUBTOTAL(9,tabCustoUnit[Abono Único e Especial])</totalsRowFormula>
    </tableColumn>
    <tableColumn id="35" uniqueName="35" name="Seguro de Vida" totalsRowFunction="custom" queryTableFieldId="35" dataDxfId="203" totalsRowDxfId="266">
      <calculatedColumnFormula>SUMIF(tabParametros[Código do Posto],tabCustoUnit[[#This Row],[Código do Posto]],tabParametros[Seguro de Vida])</calculatedColumnFormula>
      <totalsRowFormula>SUBTOTAL(9,tabCustoUnit[Seguro de Vida])</totalsRowFormula>
    </tableColumn>
    <tableColumn id="36" uniqueName="36" name="Despesas de Viagem" totalsRowFunction="custom" queryTableFieldId="36" dataDxfId="202" totalsRowDxfId="267">
      <calculatedColumnFormula>SUMIF(tabParametros[Código do Posto],tabCustoUnit[[#This Row],[Código do Posto]],tabParametros[Despesas de Viagem])</calculatedColumnFormula>
      <totalsRowFormula>SUBTOTAL(9,tabCustoUnit[Despesas de Viagem])</totalsRowFormula>
    </tableColumn>
    <tableColumn id="39" uniqueName="39" name="Submódulo 2.3" totalsRowFunction="custom" queryTableFieldId="39" dataDxfId="201" totalsRowDxfId="268">
      <calculatedColumnFormula>SUM(tabCustoUnit[[#This Row],[Vale - Transporte (Descontada parcela do empregado)]:[Despesas de Viagem]])</calculatedColumnFormula>
      <totalsRowFormula>SUBTOTAL(9,tabCustoUnit[Submódulo 2.3])</totalsRowFormula>
    </tableColumn>
    <tableColumn id="40" uniqueName="40" name="MÓDULO 2 - Total Encargos e Benefícios mensais e diários" totalsRowFunction="custom" queryTableFieldId="40" dataDxfId="200" totalsRowDxfId="269">
      <calculatedColumnFormula>tabCustoUnit[[#This Row],[Submódulo 2.1]]+tabCustoUnit[[#This Row],[Submódulo 2.2]]+tabCustoUnit[[#This Row],[Submódulo 2.3]]</calculatedColumnFormula>
      <totalsRowFormula>SUBTOTAL(9,tabCustoUnit[MÓDULO 2 - Total Encargos e Benefícios mensais e diários])</totalsRowFormula>
    </tableColumn>
    <tableColumn id="41" uniqueName="41" name="Aviso Prévio Indenizado (API) e Reflexo do Aviso Prévio Indenizado" totalsRowFunction="custom" queryTableFieldId="41" dataDxfId="199" totalsRowDxfId="270">
      <calculatedColumnFormula>SUMIF(tabParametros[Código do Posto],tabCustoUnit[[#This Row],[Código do Posto]],tabParametros[Aviso Prévio Indenizado (API) e Reflexo do Aviso Prévio Indenizado])*tabCustoUnit[[#This Row],[MODULO 1 - REMUNERAÇÃO ]]</calculatedColumnFormula>
      <totalsRowFormula>SUBTOTAL(9,tabCustoUnit[Aviso Prévio Indenizado (API) e Reflexo do Aviso Prévio Indenizado])</totalsRowFormula>
    </tableColumn>
    <tableColumn id="42" uniqueName="42" name="Incidência do FGTS sobre API e Reflexo do API" totalsRowFunction="custom" queryTableFieldId="42" dataDxfId="198" totalsRowDxfId="271">
      <calculatedColumnFormula>SUMIF(tabParametros[Código do Posto],tabCustoUnit[[#This Row],[Código do Posto]],tabParametros[Incidência do FGTS sobre API e Reflexo do API])*tabCustoUnit[[#This Row],[MODULO 1 - REMUNERAÇÃO ]]</calculatedColumnFormula>
      <totalsRowFormula>SUBTOTAL(9,tabCustoUnit[Incidência do FGTS sobre API e Reflexo do API])</totalsRowFormula>
    </tableColumn>
    <tableColumn id="43" uniqueName="43" name="Multa Rescisória do FGTS sobre o Aviso Prévio Indenizado" totalsRowFunction="custom" queryTableFieldId="43" dataDxfId="197" totalsRowDxfId="272">
      <calculatedColumnFormula>SUMIF(tabParametros[Código do Posto],tabCustoUnit[[#This Row],[Código do Posto]],tabParametros[Multa Rescisória do FGTS sobre o Aviso Prévio Indenizado])*tabCustoUnit[[#This Row],[MODULO 1 - REMUNERAÇÃO ]]</calculatedColumnFormula>
      <totalsRowFormula>SUBTOTAL(9,tabCustoUnit[Multa Rescisória do FGTS sobre o Aviso Prévio Indenizado])</totalsRowFormula>
    </tableColumn>
    <tableColumn id="44" uniqueName="44" name="Aviso Prévio Trabalhado - APT" totalsRowFunction="custom" queryTableFieldId="44" dataDxfId="196" totalsRowDxfId="273">
      <calculatedColumnFormula>SUMIF(tabParametros[Código do Posto],tabCustoUnit[[#This Row],[Código do Posto]],tabParametros[Aviso Prévio Trabalhado - APT])*tabCustoUnit[[#This Row],[MODULO 1 - REMUNERAÇÃO ]]</calculatedColumnFormula>
      <totalsRowFormula>SUBTOTAL(9,tabCustoUnit[Aviso Prévio Trabalhado - APT])</totalsRowFormula>
    </tableColumn>
    <tableColumn id="45" uniqueName="45" name="Incidência dos encargos do submódulo 2.1 sobre Aviso Prévio Trabalhado" totalsRowFunction="custom" queryTableFieldId="45" dataDxfId="195" totalsRowDxfId="274">
      <calculatedColumnFormula>SUMIF(tabParametros[Código do Posto],tabCustoUnit[[#This Row],[Código do Posto]],tabParametros[Incidência dos encargos do submódulo 2.1 sobre Aviso Prévio Trabalhado])*tabCustoUnit[[#This Row],[MODULO 1 - REMUNERAÇÃO ]]</calculatedColumnFormula>
      <totalsRowFormula>SUBTOTAL(9,tabCustoUnit[Incidência dos encargos do submódulo 2.1 sobre Aviso Prévio Trabalhado])</totalsRowFormula>
    </tableColumn>
    <tableColumn id="46" uniqueName="46" name="Multa Rescisória do FGTS" totalsRowFunction="custom" queryTableFieldId="46" dataDxfId="194" totalsRowDxfId="275">
      <calculatedColumnFormula>SUMIF(tabParametros[Código do Posto],tabCustoUnit[[#This Row],[Código do Posto]],tabParametros[Multa Rescisória do FGTS])*tabCustoUnit[[#This Row],[MODULO 1 - REMUNERAÇÃO ]]</calculatedColumnFormula>
      <totalsRowFormula>SUBTOTAL(9,tabCustoUnit[Multa Rescisória do FGTS])</totalsRowFormula>
    </tableColumn>
    <tableColumn id="47" uniqueName="47" name="Indenização Adicional (Art. 9º da Lei nº 7.238/84)" totalsRowFunction="custom" queryTableFieldId="47" dataDxfId="193" totalsRowDxfId="276">
      <calculatedColumnFormula>SUMIF(tabParametros[Código do Posto],tabCustoUnit[[#This Row],[Código do Posto]],tabParametros[Indenização Adicional (Art. 9º da Lei nº 7.238/84)])*tabCustoUnit[[#This Row],[MODULO 1 - REMUNERAÇÃO ]]</calculatedColumnFormula>
      <totalsRowFormula>SUBTOTAL(9,tabCustoUnit[Indenização Adicional (Art. 9º da Lei nº 7.238/84)])</totalsRowFormula>
    </tableColumn>
    <tableColumn id="48" uniqueName="48" name="MÓDULO 3 – PROVISÃO PARA RESCISÃO" totalsRowFunction="custom" queryTableFieldId="48" dataDxfId="192" totalsRowDxfId="277">
      <calculatedColumnFormula>SUM(tabCustoUnit[[#This Row],[Aviso Prévio Indenizado (API) e Reflexo do Aviso Prévio Indenizado]:[Indenização Adicional (Art. 9º da Lei nº 7.238/84)]])</calculatedColumnFormula>
      <totalsRowFormula>SUBTOTAL(9,tabCustoUnit[MÓDULO 3 – PROVISÃO PARA RESCISÃO])</totalsRowFormula>
    </tableColumn>
    <tableColumn id="29" uniqueName="29" name="Ausência por Doença" totalsRowFunction="custom" queryTableFieldId="49" dataDxfId="191" totalsRowDxfId="278">
      <calculatedColumnFormula>SUMIF(tabParametros[Código do Posto],tabCustoUnit[[#This Row],[Código do Posto]],tabParametros[Ausência por Doença])*tabCustoUnit[[#This Row],[MODULO 1 - REMUNERAÇÃO ]]</calculatedColumnFormula>
      <totalsRowFormula>SUBTOTAL(9,tabCustoUnit[Ausência por Doença])</totalsRowFormula>
    </tableColumn>
    <tableColumn id="37" uniqueName="37" name="Ausências Legais" totalsRowFunction="custom" queryTableFieldId="50" dataDxfId="190" totalsRowDxfId="279">
      <calculatedColumnFormula>SUMIF(tabParametros[Código do Posto],tabCustoUnit[[#This Row],[Código do Posto]],tabParametros[Ausências Legais])*tabCustoUnit[[#This Row],[MODULO 1 - REMUNERAÇÃO ]]</calculatedColumnFormula>
      <totalsRowFormula>SUBTOTAL(9,tabCustoUnit[Ausências Legais])</totalsRowFormula>
    </tableColumn>
    <tableColumn id="49" uniqueName="49" name="Licença Paternidade" totalsRowFunction="custom" queryTableFieldId="51" dataDxfId="189" totalsRowDxfId="280">
      <calculatedColumnFormula>SUMIF(tabParametros[Código do Posto],tabCustoUnit[[#This Row],[Código do Posto]],tabParametros[Licença Paternidade])*tabCustoUnit[[#This Row],[MODULO 1 - REMUNERAÇÃO ]]</calculatedColumnFormula>
      <totalsRowFormula>SUBTOTAL(9,tabCustoUnit[Licença Paternidade])</totalsRowFormula>
    </tableColumn>
    <tableColumn id="50" uniqueName="50" name="Ausência por Acidente de Trabalho" totalsRowFunction="custom" queryTableFieldId="52" dataDxfId="188" totalsRowDxfId="281">
      <calculatedColumnFormula>SUMIF(tabParametros[Código do Posto],tabCustoUnit[[#This Row],[Código do Posto]],tabParametros[Ausência por Acidente de Trabalho])*tabCustoUnit[[#This Row],[MODULO 1 - REMUNERAÇÃO ]]</calculatedColumnFormula>
      <totalsRowFormula>SUBTOTAL(9,tabCustoUnit[Ausência por Acidente de Trabalho])</totalsRowFormula>
    </tableColumn>
    <tableColumn id="51" uniqueName="51" name="Férias, Adicional de Férias e 13º  com empregada em gozo de Licença Maternidade" totalsRowFunction="custom" queryTableFieldId="53" dataDxfId="187" totalsRowDxfId="282">
      <calculatedColumnFormula>SUMIF(tabParametros[Código do Posto],tabCustoUnit[[#This Row],[Código do Posto]],tabParametros[Férias, Adicional de Férias e 13º  com empregada em gozo de Licença Maternidade])*tabCustoUnit[[#This Row],[MODULO 1 - REMUNERAÇÃO ]]</calculatedColumnFormula>
      <totalsRowFormula>SUBTOTAL(9,tabCustoUnit[Férias, Adicional de Férias e 13º  com empregada em gozo de Licença Maternidade])</totalsRowFormula>
    </tableColumn>
    <tableColumn id="52" uniqueName="52" name="Incidência do Submódulo 2.1 sobre Ausências Legais" totalsRowFunction="custom" queryTableFieldId="54" dataDxfId="186" totalsRowDxfId="283">
      <calculatedColumnFormula>SUMIF(tabParametros[Código do Posto],tabCustoUnit[[#This Row],[Código do Posto]],tabParametros[Incidência do Submódulo 2.1 sobre Ausências Legais])*tabCustoUnit[[#This Row],[MODULO 1 - REMUNERAÇÃO ]]</calculatedColumnFormula>
      <totalsRowFormula>SUBTOTAL(9,tabCustoUnit[Incidência do Submódulo 2.1 sobre Ausências Legais])</totalsRowFormula>
    </tableColumn>
    <tableColumn id="53" uniqueName="53" name="Submódulo 4.1" totalsRowFunction="custom" queryTableFieldId="55" dataDxfId="185" totalsRowDxfId="284">
      <calculatedColumnFormula>SUM(tabCustoUnit[[#This Row],[Ausência por Doença]:[Incidência do Submódulo 2.1 sobre Ausências Legais]])</calculatedColumnFormula>
      <totalsRowFormula>SUBTOTAL(9,tabCustoUnit[Submódulo 4.1])</totalsRowFormula>
    </tableColumn>
    <tableColumn id="54" uniqueName="54" name="Intervalo para Repouso ou Alimentação" totalsRowFunction="custom" queryTableFieldId="56" dataDxfId="184" totalsRowDxfId="285">
      <calculatedColumnFormula>SUMIF(tabParametros[Código do Posto],tabCustoUnit[[#This Row],[Código do Posto]],tabParametros[Intervalo para Repouso ou Alimentação])</calculatedColumnFormula>
      <totalsRowFormula>SUBTOTAL(9,tabCustoUnit[Intervalo para Repouso ou Alimentação])</totalsRowFormula>
    </tableColumn>
    <tableColumn id="55" uniqueName="55" name="Submódulo 4.2" totalsRowFunction="custom" queryTableFieldId="57" dataDxfId="183" totalsRowDxfId="286">
      <calculatedColumnFormula>tabCustoUnit[[#This Row],[Intervalo para Repouso ou Alimentação]]</calculatedColumnFormula>
      <totalsRowFormula>SUBTOTAL(9,tabCustoUnit[Submódulo 4.2])</totalsRowFormula>
    </tableColumn>
    <tableColumn id="56" uniqueName="56" name="Suspensão Temporária do Contrato de Trabalho" totalsRowFunction="custom" queryTableFieldId="58" dataDxfId="182" totalsRowDxfId="287">
      <calculatedColumnFormula>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calculatedColumnFormula>
      <totalsRowFormula>SUBTOTAL(9,tabCustoUnit[Suspensão Temporária do Contrato de Trabalho])</totalsRowFormula>
    </tableColumn>
    <tableColumn id="57" uniqueName="57" name="Submódulo 4.3" totalsRowFunction="custom" queryTableFieldId="59" dataDxfId="181" totalsRowDxfId="288">
      <calculatedColumnFormula>tabCustoUnit[[#This Row],[Suspensão Temporária do Contrato de Trabalho]]</calculatedColumnFormula>
      <totalsRowFormula>SUBTOTAL(9,tabCustoUnit[Submódulo 4.3])</totalsRowFormula>
    </tableColumn>
    <tableColumn id="58" uniqueName="58" name="MÓDULO 4 – CUSTO DE REPOSIÇÃO DO PROFISSIONAL AUSENTE" totalsRowFunction="custom" queryTableFieldId="60" dataDxfId="180" totalsRowDxfId="289">
      <calculatedColumnFormula>tabCustoUnit[[#This Row],[Submódulo 4.1]]+tabCustoUnit[[#This Row],[Submódulo 4.2]]+tabCustoUnit[[#This Row],[Submódulo 4.3]]</calculatedColumnFormula>
      <totalsRowFormula>SUBTOTAL(9,tabCustoUnit[MÓDULO 4 – CUSTO DE REPOSIÇÃO DO PROFISSIONAL AUSENTE])</totalsRowFormula>
    </tableColumn>
    <tableColumn id="59" uniqueName="59" name="Uniformes e EPIs" totalsRowFunction="custom" queryTableFieldId="61" dataDxfId="179" totalsRowDxfId="290">
      <calculatedColumnFormula>VLOOKUP(tabCustoUnit[[#This Row],[Código do Posto]],tabParametros[],MATCH(tabCustoUnit[[#Headers],[Uniformes e EPIs]],tabParametros[#Headers],0),0)</calculatedColumnFormula>
      <totalsRowFormula>SUBTOTAL(9,tabCustoUnit[Uniformes e EPIs])</totalsRowFormula>
    </tableColumn>
    <tableColumn id="60" uniqueName="60" name="Materiais de Consumo" totalsRowFunction="custom" queryTableFieldId="62" dataDxfId="178" totalsRowDxfId="291">
      <calculatedColumnFormula>VLOOKUP(tabCustoUnit[[#This Row],[Código do Posto]],tabParametros[],MATCH(tabCustoUnit[[#Headers],[Materiais de Consumo]],tabParametros[#Headers],0),0)</calculatedColumnFormula>
      <totalsRowFormula>SUBTOTAL(9,tabCustoUnit[Materiais de Consumo])</totalsRowFormula>
    </tableColumn>
    <tableColumn id="61" uniqueName="61" name="Máquinas e Equipamentos (depreciação)" totalsRowFunction="custom" queryTableFieldId="63" dataDxfId="177" totalsRowDxfId="292">
      <calculatedColumnFormula>VLOOKUP(tabCustoUnit[[#This Row],[Código do Posto]],tabParametros[],MATCH(tabCustoUnit[[#Headers],[Máquinas e Equipamentos (depreciação)]],tabParametros[#Headers],0),0)</calculatedColumnFormula>
      <totalsRowFormula>SUBTOTAL(9,tabCustoUnit[Máquinas e Equipamentos (depreciação)])</totalsRowFormula>
    </tableColumn>
    <tableColumn id="62" uniqueName="62" name="Produtos de Limpeza e Materiais de Higiene Pessoal" totalsRowFunction="custom" queryTableFieldId="64" dataDxfId="176" totalsRowDxfId="293">
      <calculatedColumnFormula>VLOOKUP(tabCustoUnit[[#This Row],[Código do Posto]],tabParametros[],MATCH(tabCustoUnit[[#Headers],[Produtos de Limpeza e Materiais de Higiene Pessoal]],tabParametros[#Headers],0),0)</calculatedColumnFormula>
      <totalsRowFormula>SUBTOTAL(9,tabCustoUnit[Produtos de Limpeza e Materiais de Higiene Pessoal])</totalsRowFormula>
    </tableColumn>
    <tableColumn id="63" uniqueName="63" name="Outros (especificar)" totalsRowFunction="custom" queryTableFieldId="65" dataDxfId="175" totalsRowDxfId="294">
      <calculatedColumnFormula>VLOOKUP(tabCustoUnit[[#This Row],[Código do Posto]],tabParametros[],MATCH(tabCustoUnit[[#Headers],[Outros (especificar)]],tabParametros[#Headers],0),0)</calculatedColumnFormula>
      <totalsRowFormula>SUBTOTAL(9,tabCustoUnit[Outros (especificar)])</totalsRowFormula>
    </tableColumn>
    <tableColumn id="64" uniqueName="64" name="MÓDULO 5 – INSUMOS DIVERSOS" totalsRowFunction="custom" queryTableFieldId="66" dataDxfId="174" totalsRowDxfId="295">
      <calculatedColumnFormula>SUM(tabCustoUnit[[#This Row],[Uniformes e EPIs]:[Outros (especificar)]])</calculatedColumnFormula>
      <totalsRowFormula>SUBTOTAL(9,tabCustoUnit[MÓDULO 5 – INSUMOS DIVERSOS])</totalsRowFormula>
    </tableColumn>
    <tableColumn id="65" uniqueName="65" name="TOTAL MÓDULOS 1+2+3+4+5" totalsRowFunction="custom" queryTableFieldId="67" dataDxfId="173" totalsRowDxfId="296">
      <calculatedColumnFormula>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calculatedColumnFormula>
      <totalsRowFormula>SUBTOTAL(9,tabCustoUnit[TOTAL MÓDULOS 1+2+3+4+5])</totalsRowFormula>
    </tableColumn>
    <tableColumn id="66" uniqueName="66" name="Custos Indiretos" totalsRowFunction="custom" queryTableFieldId="68" dataDxfId="172" totalsRowDxfId="297">
      <calculatedColumnFormula>VLOOKUP(tabCustoUnit[[#This Row],[Código do Posto]],tabParametros[],MATCH(tabCustoUnit[[#Headers],[Custos Indiretos]],tabParametros[#Headers],0),0)</calculatedColumnFormula>
      <totalsRowFormula>SUBTOTAL(9,tabCustoUnit[Custos Indiretos])</totalsRowFormula>
    </tableColumn>
    <tableColumn id="67" uniqueName="67" name="Lucro" totalsRowFunction="custom" queryTableFieldId="69" dataDxfId="171" totalsRowDxfId="298">
      <calculatedColumnFormula>VLOOKUP(tabCustoUnit[[#This Row],[Código do Posto]],tabParametros[],MATCH(tabCustoUnit[[#Headers],[Lucro]],tabParametros[#Headers],0),0)</calculatedColumnFormula>
      <totalsRowFormula>SUBTOTAL(9,tabCustoUnit[Lucro])</totalsRowFormula>
    </tableColumn>
    <tableColumn id="68" uniqueName="68" name="COFINS" totalsRowFunction="average" queryTableFieldId="70" dataDxfId="170" totalsRowDxfId="299" dataCellStyle="Porcentagem">
      <calculatedColumnFormula>((100/((1-tabCustoUnit[[#This Row],[Resumo de Alíquotas (PIS+CONFINS+ISS)]]))-100)*VLOOKUP(tabCustoUnit[[#This Row],[Código do Posto]],tabParametros[],MATCH(tabCustoUnit[[#Headers],[COFINS]],tabParametros[#Headers],0),0))/(tabCustoUnit[[#This Row],[Resumo de Alíquotas (PIS+CONFINS+ISS)]]*100)</calculatedColumnFormula>
    </tableColumn>
    <tableColumn id="69" uniqueName="69" name="PIS" totalsRowFunction="average" queryTableFieldId="71" dataDxfId="169" totalsRowDxfId="300" dataCellStyle="Porcentagem">
      <calculatedColumnFormula>((100/((100-(tabCustoUnit[[#This Row],[Resumo de Alíquotas (PIS+CONFINS+ISS)]]*100))%)-100)*VLOOKUP(tabCustoUnit[[#This Row],[Código do Posto]],tabParametros[],MATCH(tabCustoUnit[[#Headers],[PIS]],tabParametros[#Headers],0),0))/(tabCustoUnit[[#This Row],[Resumo de Alíquotas (PIS+CONFINS+ISS)]]*100)</calculatedColumnFormula>
    </tableColumn>
    <tableColumn id="70" uniqueName="70" name="ISS" totalsRowFunction="average" queryTableFieldId="72" dataDxfId="168" totalsRowDxfId="301" dataCellStyle="Porcentagem">
      <calculatedColumnFormula>VLOOKUP(tabCustoUnit[[#This Row],[Código do Posto]],tabParametros[],MATCH(tabCustoUnit[[#Headers],[ISS]],tabParametros[#Headers],0),0)</calculatedColumnFormula>
    </tableColumn>
    <tableColumn id="71" uniqueName="71" name="ISS (Conversão Alíquota s/ fatura)" totalsRowFunction="average" queryTableFieldId="73" dataDxfId="167" totalsRowDxfId="302" dataCellStyle="Porcentagem">
      <calculatedColumnFormula>(((100/((100-(tabCustoUnit[[#This Row],[Resumo de Alíquotas (PIS+CONFINS+ISS)]]*100))%)-100)*tabCustoUnit[[#This Row],[ISS]])/tabCustoUnit[[#This Row],[Resumo de Alíquotas (PIS+CONFINS+ISS)]])/100</calculatedColumnFormula>
    </tableColumn>
    <tableColumn id="72" uniqueName="72" name="Resumo de Alíquotas (PIS+CONFINS+ISS)" totalsRowFunction="average" queryTableFieldId="74" dataDxfId="166" totalsRowDxfId="303" dataCellStyle="Porcentagem">
      <calculatedColumnFormula>(VLOOKUP(tabCustoUnit[[#This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calculatedColumnFormula>
    </tableColumn>
    <tableColumn id="73" uniqueName="73" name="PIS + COFINS + ISS (Total Conversão  Alíquota s/ Fatura)" totalsRowFunction="average" queryTableFieldId="75" dataDxfId="165" totalsRowDxfId="304">
      <calculatedColumnFormula>tabCustoUnit[[#This Row],[COFINS]]+tabCustoUnit[[#This Row],[PIS]]+tabCustoUnit[[#This Row],[ISS (Conversão Alíquota s/ fatura)]]</calculatedColumnFormula>
    </tableColumn>
    <tableColumn id="74" uniqueName="74" name="Valor dos Tributos (ISS, PIS, CONFINS)" totalsRowFunction="custom" queryTableFieldId="76" dataDxfId="164" totalsRowDxfId="305">
      <calculatedColumnFormula>(tabCustoUnit[[#This Row],[TOTAL MÓDULOS 1+2+3+4+5]]+tabCustoUnit[[#This Row],[Custos Indiretos]]+tabCustoUnit[[#This Row],[Lucro]])*tabCustoUnit[[#This Row],[PIS + COFINS + ISS (Total Conversão  Alíquota s/ Fatura)]]</calculatedColumnFormula>
      <totalsRowFormula>SUBTOTAL(9,tabCustoUnit[Valor dos Tributos (ISS, PIS, CONFINS)])</totalsRowFormula>
    </tableColumn>
    <tableColumn id="75" uniqueName="75" name="MÓDULO 6 – CUSTOS INDIRETOS, TRIBUTOS E LUCRO" totalsRowFunction="custom" queryTableFieldId="77" dataDxfId="163" totalsRowDxfId="306">
      <calculatedColumnFormula>tabCustoUnit[[#This Row],[Custos Indiretos]]+tabCustoUnit[[#This Row],[Lucro]]+tabCustoUnit[[#This Row],[Valor dos Tributos (ISS, PIS, CONFINS)]]</calculatedColumnFormula>
      <totalsRowFormula>SUBTOTAL(9,tabCustoUnit[MÓDULO 6 – CUSTOS INDIRETOS, TRIBUTOS E LUCRO])</totalsRowFormula>
    </tableColumn>
    <tableColumn id="76" uniqueName="76" name="CUSTO TOTAL MENSAL" totalsRowFunction="custom" queryTableFieldId="78" dataDxfId="162" totalsRowDxfId="307">
      <calculatedColumnFormula>tabCustoUnit[[#This Row],[TOTAL MÓDULOS 1+2+3+4+5]]+tabCustoUnit[[#This Row],[MÓDULO 6 – CUSTOS INDIRETOS, TRIBUTOS E LUCRO]]</calculatedColumnFormula>
      <totalsRowFormula>SUBTOTAL(9,tabCustoUnit[CUSTO TOTAL MENSAL])</totalsRowFormula>
    </tableColumn>
    <tableColumn id="77" uniqueName="77" name="CUSTO TOTAL ANUAL" totalsRowFunction="custom" queryTableFieldId="79" dataDxfId="161" totalsRowDxfId="308">
      <calculatedColumnFormula>tabCustoUnit[[#This Row],[CUSTO TOTAL MENSAL]]*12</calculatedColumnFormula>
      <totalsRowFormula>SUBTOTAL(9,tabCustoUnit[CUSTO TOTAL ANUAL])</totalsRowFormula>
    </tableColumn>
    <tableColumn id="78" uniqueName="78" name="ANO DA CCT" queryTableFieldId="80" dataDxfId="160" totalsRowDxfId="309">
      <calculatedColumnFormula>VLOOKUP(tabCustoUnit[[#This Row],[Código do Posto]],tabParametros[],MATCH(tabCustoUnit[[#Headers],[ANO DA CCT]],tabParametros[#Headers],0),0)</calculatedColumnFormula>
    </tableColumn>
    <tableColumn id="79" uniqueName="79" name="Nº DE PEDIDO DA CCT" queryTableFieldId="81" dataDxfId="159" totalsRowDxfId="310">
      <calculatedColumnFormula>VLOOKUP(tabCustoUnit[[#This Row],[Código do Posto]],tabParametros[],MATCH(tabCustoUnit[[#Headers],[Nº DE PEDIDO DA CCT]],tabParametros[#Headers],0),0)</calculatedColumnFormula>
    </tableColumn>
    <tableColumn id="80" uniqueName="80" name="TERMO ADITIVO ALTERAÇÃO DA CCT" queryTableFieldId="82" dataDxfId="158" totalsRowDxfId="311">
      <calculatedColumnFormula>VLOOKUP(tabCustoUnit[[#This Row],[Código do Posto]],tabParametros[],MATCH(tabCustoUnit[[#Headers],[TERMO ADITIVO ALTERAÇÃO DA CCT]],tabParametros[#Headers],0),0)</calculatedColumnFormula>
    </tableColumn>
  </tableColumns>
  <tableStyleInfo name="TableStyleLight1" showFirstColumn="0" showLastColumn="0" showRowStripes="1" showColumnStripes="0"/>
</table>
</file>

<file path=xl/tables/table17.xml><?xml version="1.0" encoding="utf-8"?>
<table xmlns="http://schemas.openxmlformats.org/spreadsheetml/2006/main" id="6" name="CUSTO_GLOBAL" displayName="CUSTO_GLOBAL" ref="A3:CD342" tableType="queryTable" totalsRowCount="1">
  <autoFilter ref="A3:CD341"/>
  <tableColumns count="82">
    <tableColumn id="1" uniqueName="1" name="Código do Posto" totalsRowLabel="Total" queryTableFieldId="1" dataDxfId="78" totalsRowDxfId="79"/>
    <tableColumn id="2" uniqueName="2" name="Comarca" queryTableFieldId="2"/>
    <tableColumn id="3" uniqueName="3" name="Função" queryTableFieldId="3"/>
    <tableColumn id="4" uniqueName="4" name="CCT DA CATEGORIA" queryTableFieldId="4"/>
    <tableColumn id="5" uniqueName="5" name="Classificação" queryTableFieldId="5" dataDxfId="77" totalsRowDxfId="80"/>
    <tableColumn id="6" uniqueName="6" name="Fonte de Recursos" queryTableFieldId="6" dataDxfId="76" totalsRowDxfId="81"/>
    <tableColumn id="8" uniqueName="8" name="Vagas contratadas" totalsRowFunction="custom" queryTableFieldId="8" dataDxfId="75" totalsRowDxfId="82">
      <totalsRowFormula>SUBTOTAL(9,CUSTO_GLOBAL[Vagas contratadas])</totalsRowFormula>
    </tableColumn>
    <tableColumn id="9" uniqueName="9" name="Vagas suspensas" totalsRowFunction="custom" queryTableFieldId="9" dataDxfId="74" totalsRowDxfId="83">
      <totalsRowFormula>SUBTOTAL(9,CUSTO_GLOBAL[Vagas suspensas])</totalsRowFormula>
    </tableColumn>
    <tableColumn id="10" uniqueName="10" name="Salário Base" totalsRowFunction="custom" queryTableFieldId="10" dataDxfId="73" totalsRowDxfId="84" dataCellStyle="Moeda">
      <calculatedColumnFormula>VLOOKUP($A4,tabCustoUnit[],COLUMN(CUSTO_GLOBAL[[#Headers],[Salário Base]])-2,0)*($G4-$H4)</calculatedColumnFormula>
      <totalsRowFormula>SUBTOTAL(9,CUSTO_GLOBAL[Salário Base])</totalsRowFormula>
    </tableColumn>
    <tableColumn id="11" uniqueName="11" name="Adicional Periculosidade" totalsRowFunction="custom" queryTableFieldId="11" dataDxfId="72" totalsRowDxfId="85" dataCellStyle="Moeda">
      <calculatedColumnFormula>VLOOKUP($A4,tabCustoUnit[],COLUMN(CUSTO_GLOBAL[[#Headers],[Adicional Periculosidade]])-2,0)*($G4-$H4)</calculatedColumnFormula>
      <totalsRowFormula>SUBTOTAL(9,CUSTO_GLOBAL[Adicional Periculosidade])</totalsRowFormula>
    </tableColumn>
    <tableColumn id="12" uniqueName="12" name="Adicional Insalubridade" totalsRowFunction="custom" queryTableFieldId="12" dataDxfId="71" totalsRowDxfId="86" dataCellStyle="Moeda">
      <calculatedColumnFormula>VLOOKUP($A4,tabCustoUnit[],COLUMN(CUSTO_GLOBAL[[#Headers],[Adicional Insalubridade]])-2,0)*($G4-$H4)</calculatedColumnFormula>
      <totalsRowFormula>SUBTOTAL(9,CUSTO_GLOBAL[Adicional Insalubridade])</totalsRowFormula>
    </tableColumn>
    <tableColumn id="13" uniqueName="13" name="Adicional Noturno" totalsRowFunction="custom" queryTableFieldId="13" dataDxfId="70" totalsRowDxfId="87" dataCellStyle="Moeda">
      <calculatedColumnFormula>VLOOKUP($A4,tabCustoUnit[],COLUMN(CUSTO_GLOBAL[[#Headers],[Adicional Noturno]])-2,0)*($G4-$H4)</calculatedColumnFormula>
      <totalsRowFormula>SUBTOTAL(9,CUSTO_GLOBAL[Adicional Noturno])</totalsRowFormula>
    </tableColumn>
    <tableColumn id="14" uniqueName="14" name="Adicional Motorista II (Gratificação)" totalsRowFunction="custom" queryTableFieldId="14" dataDxfId="69" totalsRowDxfId="88" dataCellStyle="Moeda">
      <calculatedColumnFormula>VLOOKUP($A4,tabCustoUnit[],COLUMN(CUSTO_GLOBAL[[#Headers],[Adicional Motorista II (Gratificação)]])-2,0)*($G4-$H4)</calculatedColumnFormula>
      <totalsRowFormula>SUBTOTAL(9,CUSTO_GLOBAL[Adicional Motorista II (Gratificação)])</totalsRowFormula>
    </tableColumn>
    <tableColumn id="15" uniqueName="15" name="Adicional de Sobreaviso" totalsRowFunction="custom" queryTableFieldId="15" dataDxfId="68" totalsRowDxfId="89" dataCellStyle="Moeda">
      <calculatedColumnFormula>VLOOKUP($A4,tabCustoUnit[],COLUMN(CUSTO_GLOBAL[[#Headers],[Adicional de Sobreaviso]])-2,0)*($G4-$H4)</calculatedColumnFormula>
      <totalsRowFormula>SUBTOTAL(9,CUSTO_GLOBAL[Adicional de Sobreaviso])</totalsRowFormula>
    </tableColumn>
    <tableColumn id="16" uniqueName="16" name="Horas Extras TI" totalsRowFunction="custom" queryTableFieldId="16" dataDxfId="67" totalsRowDxfId="90" dataCellStyle="Moeda">
      <calculatedColumnFormula>VLOOKUP($A4,tabCustoUnit[],COLUMN(CUSTO_GLOBAL[[#Headers],[Horas Extras TI]])-2,0)*($G4-$H4)</calculatedColumnFormula>
      <totalsRowFormula>SUBTOTAL(9,CUSTO_GLOBAL[Horas Extras TI])</totalsRowFormula>
    </tableColumn>
    <tableColumn id="17" uniqueName="17" name="Adicional de Acúmulo de função" totalsRowFunction="custom" queryTableFieldId="17" dataDxfId="66" totalsRowDxfId="91" dataCellStyle="Moeda">
      <calculatedColumnFormula>VLOOKUP($A4,tabCustoUnit[],COLUMN(CUSTO_GLOBAL[[#Headers],[Adicional de Acúmulo de função]])-2,0)*($G4-$H4)</calculatedColumnFormula>
      <totalsRowFormula>SUBTOTAL(9,CUSTO_GLOBAL[Adicional de Acúmulo de função])</totalsRowFormula>
    </tableColumn>
    <tableColumn id="18" uniqueName="18" name="MODULO 1 - REMUNERAÇÃO " totalsRowFunction="custom" queryTableFieldId="18" dataDxfId="65" totalsRowDxfId="92" dataCellStyle="Moeda">
      <calculatedColumnFormula>VLOOKUP($A4,tabCustoUnit[],COLUMN(CUSTO_GLOBAL[[#Headers],[MODULO 1 - REMUNERAÇÃO ]])-2,0)*($G4-$H4)</calculatedColumnFormula>
      <totalsRowFormula>SUBTOTAL(9,CUSTO_GLOBAL[MODULO 1 - REMUNERAÇÃO ])</totalsRowFormula>
    </tableColumn>
    <tableColumn id="19" uniqueName="19" name="INSS" totalsRowFunction="custom" queryTableFieldId="19" dataDxfId="64" totalsRowDxfId="93" dataCellStyle="Moeda">
      <calculatedColumnFormula>VLOOKUP($A4,tabCustoUnit[],COLUMN(CUSTO_GLOBAL[[#Headers],[INSS]])-2,0)*($G4-$H4)</calculatedColumnFormula>
      <totalsRowFormula>SUBTOTAL(9,CUSTO_GLOBAL[INSS])</totalsRowFormula>
    </tableColumn>
    <tableColumn id="20" uniqueName="20" name="SESI OU SESC" totalsRowFunction="custom" queryTableFieldId="20" dataDxfId="63" totalsRowDxfId="94" dataCellStyle="Moeda">
      <calculatedColumnFormula>VLOOKUP($A4,tabCustoUnit[],COLUMN(CUSTO_GLOBAL[[#Headers],[SESI OU SESC]])-2,0)*($G4-$H4)</calculatedColumnFormula>
      <totalsRowFormula>SUBTOTAL(9,CUSTO_GLOBAL[SESI OU SESC])</totalsRowFormula>
    </tableColumn>
    <tableColumn id="21" uniqueName="21" name="SENAI OU SENAC" totalsRowFunction="custom" queryTableFieldId="21" dataDxfId="62" totalsRowDxfId="95" dataCellStyle="Moeda">
      <calculatedColumnFormula>VLOOKUP($A4,tabCustoUnit[],COLUMN(CUSTO_GLOBAL[[#Headers],[SENAI OU SENAC]])-2,0)*($G4-$H4)</calculatedColumnFormula>
      <totalsRowFormula>SUBTOTAL(9,CUSTO_GLOBAL[SENAI OU SENAC])</totalsRowFormula>
    </tableColumn>
    <tableColumn id="22" uniqueName="22" name="INCRA" totalsRowFunction="custom" queryTableFieldId="22" dataDxfId="61" totalsRowDxfId="96" dataCellStyle="Moeda">
      <calculatedColumnFormula>VLOOKUP($A4,tabCustoUnit[],COLUMN(CUSTO_GLOBAL[[#Headers],[INCRA]])-2,0)*($G4-$H4)</calculatedColumnFormula>
      <totalsRowFormula>SUBTOTAL(9,CUSTO_GLOBAL[INCRA])</totalsRowFormula>
    </tableColumn>
    <tableColumn id="23" uniqueName="23" name="Salário Educação" totalsRowFunction="custom" queryTableFieldId="23" dataDxfId="60" totalsRowDxfId="97" dataCellStyle="Moeda">
      <calculatedColumnFormula>VLOOKUP($A4,tabCustoUnit[],COLUMN(CUSTO_GLOBAL[[#Headers],[Salário Educação]])-2,0)*($G4-$H4)</calculatedColumnFormula>
      <totalsRowFormula>SUBTOTAL(9,CUSTO_GLOBAL[Salário Educação])</totalsRowFormula>
    </tableColumn>
    <tableColumn id="24" uniqueName="24" name="FGTS" totalsRowFunction="custom" queryTableFieldId="24" dataDxfId="59" totalsRowDxfId="98" dataCellStyle="Moeda">
      <calculatedColumnFormula>VLOOKUP($A4,tabCustoUnit[],COLUMN(CUSTO_GLOBAL[[#Headers],[FGTS]])-2,0)*($G4-$H4)</calculatedColumnFormula>
      <totalsRowFormula>SUBTOTAL(9,CUSTO_GLOBAL[FGTS])</totalsRowFormula>
    </tableColumn>
    <tableColumn id="25" uniqueName="25" name="RAT Ajustado" totalsRowFunction="custom" queryTableFieldId="25" dataDxfId="58" totalsRowDxfId="99" dataCellStyle="Moeda">
      <calculatedColumnFormula>VLOOKUP($A4,tabCustoUnit[],COLUMN(CUSTO_GLOBAL[[#Headers],[RAT Ajustado]])-2,0)*($G4-$H4)</calculatedColumnFormula>
      <totalsRowFormula>SUBTOTAL(9,CUSTO_GLOBAL[RAT Ajustado])</totalsRowFormula>
    </tableColumn>
    <tableColumn id="26" uniqueName="26" name="SEBRAE" totalsRowFunction="custom" queryTableFieldId="26" dataDxfId="57" totalsRowDxfId="100" dataCellStyle="Moeda">
      <calculatedColumnFormula>VLOOKUP($A4,tabCustoUnit[],COLUMN(CUSTO_GLOBAL[[#Headers],[SEBRAE]])-2,0)*($G4-$H4)</calculatedColumnFormula>
      <totalsRowFormula>SUBTOTAL(9,CUSTO_GLOBAL[SEBRAE])</totalsRowFormula>
    </tableColumn>
    <tableColumn id="27" uniqueName="27" name="Submódulo 2.1" totalsRowFunction="custom" queryTableFieldId="27" dataDxfId="56" totalsRowDxfId="101" dataCellStyle="Moeda">
      <calculatedColumnFormula>VLOOKUP($A4,tabCustoUnit[],COLUMN(CUSTO_GLOBAL[[#Headers],[Submódulo 2.1]])-2,0)*($G4-$H4)</calculatedColumnFormula>
      <totalsRowFormula>SUBTOTAL(9,CUSTO_GLOBAL[Submódulo 2.1])</totalsRowFormula>
    </tableColumn>
    <tableColumn id="28" uniqueName="28" name="13º salário (titular)" totalsRowFunction="custom" queryTableFieldId="28" dataDxfId="55" totalsRowDxfId="102" dataCellStyle="Moeda">
      <calculatedColumnFormula>VLOOKUP($A4,tabCustoUnit[],COLUMN(CUSTO_GLOBAL[[#Headers],[13º salário (titular)]])-2,0)*($G4-$H4)</calculatedColumnFormula>
      <totalsRowFormula>SUBTOTAL(9,CUSTO_GLOBAL[13º salário (titular)])</totalsRowFormula>
    </tableColumn>
    <tableColumn id="29" uniqueName="29" name="Férias e Adicional de Férias (titular)" totalsRowFunction="custom" queryTableFieldId="29" dataDxfId="54" totalsRowDxfId="103" dataCellStyle="Moeda">
      <calculatedColumnFormula>VLOOKUP($A4,tabCustoUnit[],COLUMN(CUSTO_GLOBAL[[#Headers],[Férias e Adicional de Férias (titular)]])-2,0)*($G4-$H4)</calculatedColumnFormula>
      <totalsRowFormula>SUBTOTAL(9,CUSTO_GLOBAL[Férias e Adicional de Férias (titular)])</totalsRowFormula>
    </tableColumn>
    <tableColumn id="30" uniqueName="30" name="Incidência do Submódulo 2.1 sobre 13º Salário, Férias e Adicional de Férias" totalsRowFunction="custom" queryTableFieldId="30" dataDxfId="53" totalsRowDxfId="104" dataCellStyle="Moeda">
      <calculatedColumnFormula>VLOOKUP($A4,tabCustoUnit[],COLUMN(CUSTO_GLOBAL[[#Headers],[Incidência do Submódulo 2.1 sobre 13º Salário, Férias e Adicional de Férias]])-2,0)*($G4-$H4)</calculatedColumnFormula>
      <totalsRowFormula>SUBTOTAL(9,CUSTO_GLOBAL[Incidência do Submódulo 2.1 sobre 13º Salário, Férias e Adicional de Férias])</totalsRowFormula>
    </tableColumn>
    <tableColumn id="31" uniqueName="31" name="Submódulo 2.2" totalsRowFunction="custom" queryTableFieldId="31" dataDxfId="52" totalsRowDxfId="105" dataCellStyle="Moeda">
      <calculatedColumnFormula>VLOOKUP($A4,tabCustoUnit[],COLUMN(CUSTO_GLOBAL[[#Headers],[Submódulo 2.2]])-2,0)*($G4-$H4)</calculatedColumnFormula>
      <totalsRowFormula>SUBTOTAL(9,CUSTO_GLOBAL[Submódulo 2.2])</totalsRowFormula>
    </tableColumn>
    <tableColumn id="32" uniqueName="32" name="Vale - Transporte (Descontada parcela do empregado)" totalsRowFunction="custom" queryTableFieldId="32" dataDxfId="51" totalsRowDxfId="106">
      <calculatedColumnFormula>VLOOKUP($A4,tabCustoUnit[],COLUMN(CUSTO_GLOBAL[[#Headers],[Vale - Transporte (Descontada parcela do empregado)]])-2,0)*($G4-$H4)</calculatedColumnFormula>
      <totalsRowFormula>SUBTOTAL(9,CUSTO_GLOBAL[Vale - Transporte (Descontada parcela do empregado)])</totalsRowFormula>
    </tableColumn>
    <tableColumn id="33" uniqueName="33" name="Vale - Alimentação (Descontada parcela do empregado)" totalsRowFunction="custom" queryTableFieldId="33" dataDxfId="50" totalsRowDxfId="107">
      <calculatedColumnFormula>VLOOKUP($A4,tabCustoUnit[],COLUMN(CUSTO_GLOBAL[[#Headers],[Vale - Alimentação (Descontada parcela do empregado)]])-2,0)*($G4-$H4)</calculatedColumnFormula>
      <totalsRowFormula>SUBTOTAL(9,CUSTO_GLOBAL[Vale - Alimentação (Descontada parcela do empregado)])</totalsRowFormula>
    </tableColumn>
    <tableColumn id="34" uniqueName="34" name="Cesta Básica" totalsRowFunction="custom" queryTableFieldId="34" dataDxfId="49" totalsRowDxfId="108">
      <calculatedColumnFormula>VLOOKUP($A4,tabCustoUnit[],COLUMN(CUSTO_GLOBAL[[#Headers],[Cesta Básica]])-2,0)*($G4-$H4)</calculatedColumnFormula>
      <totalsRowFormula>SUBTOTAL(9,CUSTO_GLOBAL[Cesta Básica])</totalsRowFormula>
    </tableColumn>
    <tableColumn id="35" uniqueName="35" name="PAF" totalsRowFunction="custom" queryTableFieldId="35" dataDxfId="48" totalsRowDxfId="109">
      <calculatedColumnFormula>VLOOKUP($A4,tabCustoUnit[],COLUMN(CUSTO_GLOBAL[[#Headers],[PAF]])-2,0)*($G4-$H4)</calculatedColumnFormula>
      <totalsRowFormula>SUBTOTAL(9,CUSTO_GLOBAL[PAF])</totalsRowFormula>
    </tableColumn>
    <tableColumn id="36" uniqueName="36" name="PQM" totalsRowFunction="custom" queryTableFieldId="36" dataDxfId="47" totalsRowDxfId="110">
      <calculatedColumnFormula>VLOOKUP($A4,tabCustoUnit[],COLUMN(CUSTO_GLOBAL[[#Headers],[PQM]])-2,0)*($G4-$H4)</calculatedColumnFormula>
      <totalsRowFormula>SUBTOTAL(9,CUSTO_GLOBAL[PQM])</totalsRowFormula>
    </tableColumn>
    <tableColumn id="37" uniqueName="37" name="Abono Único e Especial" totalsRowFunction="custom" queryTableFieldId="37" dataDxfId="46" totalsRowDxfId="111">
      <totalsRowFormula>SUBTOTAL(9,CUSTO_GLOBAL[Abono Único e Especial])</totalsRowFormula>
    </tableColumn>
    <tableColumn id="38" uniqueName="38" name="Seguro de Vida" totalsRowFunction="custom" queryTableFieldId="38" dataDxfId="45" totalsRowDxfId="112">
      <calculatedColumnFormula>VLOOKUP($A4,tabCustoUnit[],COLUMN(CUSTO_GLOBAL[[#Headers],[Seguro de Vida]])-2,0)*($G4-$H4)</calculatedColumnFormula>
      <totalsRowFormula>SUBTOTAL(9,CUSTO_GLOBAL[Seguro de Vida])</totalsRowFormula>
    </tableColumn>
    <tableColumn id="39" uniqueName="39" name="Despesas de Viagem" totalsRowFunction="custom" queryTableFieldId="39" dataDxfId="44" totalsRowDxfId="113">
      <calculatedColumnFormula>VLOOKUP($A4,tabCustoUnit[],COLUMN(CUSTO_GLOBAL[[#Headers],[Despesas de Viagem]])-2,0)*($G4-$H4)</calculatedColumnFormula>
      <totalsRowFormula>SUBTOTAL(9,CUSTO_GLOBAL[Despesas de Viagem])</totalsRowFormula>
    </tableColumn>
    <tableColumn id="40" uniqueName="40" name="Submódulo 2.3" totalsRowFunction="custom" queryTableFieldId="40" dataDxfId="43" totalsRowDxfId="114">
      <calculatedColumnFormula>VLOOKUP($A4,tabCustoUnit[],COLUMN(CUSTO_GLOBAL[[#Headers],[Submódulo 2.3]])-2,0)*($G4-$H4)</calculatedColumnFormula>
      <totalsRowFormula>SUBTOTAL(9,CUSTO_GLOBAL[Submódulo 2.3])</totalsRowFormula>
    </tableColumn>
    <tableColumn id="41" uniqueName="41" name="MÓDULO 2 - Total Encargos e Benefícios mensais e diários" totalsRowFunction="custom" queryTableFieldId="41" dataDxfId="42" totalsRowDxfId="115">
      <calculatedColumnFormula>VLOOKUP($A4,tabCustoUnit[],COLUMN(CUSTO_GLOBAL[[#Headers],[MÓDULO 2 - Total Encargos e Benefícios mensais e diários]])-2,0)*($G4-$H4)</calculatedColumnFormula>
      <totalsRowFormula>SUBTOTAL(9,CUSTO_GLOBAL[MÓDULO 2 - Total Encargos e Benefícios mensais e diários])</totalsRowFormula>
    </tableColumn>
    <tableColumn id="42" uniqueName="42" name="Aviso Prévio Indenizado (API) e Reflexo do Aviso Prévio Indenizado" totalsRowFunction="custom" queryTableFieldId="42" dataDxfId="41" totalsRowDxfId="116">
      <calculatedColumnFormula>VLOOKUP($A4,tabCustoUnit[],COLUMN(CUSTO_GLOBAL[[#Headers],[Aviso Prévio Indenizado (API) e Reflexo do Aviso Prévio Indenizado]])-2,0)*($G4-$H4)</calculatedColumnFormula>
      <totalsRowFormula>SUBTOTAL(9,CUSTO_GLOBAL[Aviso Prévio Indenizado (API) e Reflexo do Aviso Prévio Indenizado])</totalsRowFormula>
    </tableColumn>
    <tableColumn id="43" uniqueName="43" name="Incidência do FGTS sobre API e Reflexo do API" totalsRowFunction="custom" queryTableFieldId="43" dataDxfId="40" totalsRowDxfId="117">
      <calculatedColumnFormula>VLOOKUP($A4,tabCustoUnit[],COLUMN(CUSTO_GLOBAL[[#Headers],[Incidência do FGTS sobre API e Reflexo do API]])-2,0)*($G4-$H4)</calculatedColumnFormula>
      <totalsRowFormula>SUBTOTAL(9,CUSTO_GLOBAL[Incidência do FGTS sobre API e Reflexo do API])</totalsRowFormula>
    </tableColumn>
    <tableColumn id="44" uniqueName="44" name="Multa Rescisória do FGTS sobre o Aviso Prévio Indenizado" totalsRowFunction="custom" queryTableFieldId="44" dataDxfId="39" totalsRowDxfId="118">
      <calculatedColumnFormula>VLOOKUP($A4,tabCustoUnit[],COLUMN(CUSTO_GLOBAL[[#Headers],[Multa Rescisória do FGTS sobre o Aviso Prévio Indenizado]])-2,0)*($G4-$H4)</calculatedColumnFormula>
      <totalsRowFormula>SUBTOTAL(9,CUSTO_GLOBAL[Multa Rescisória do FGTS sobre o Aviso Prévio Indenizado])</totalsRowFormula>
    </tableColumn>
    <tableColumn id="45" uniqueName="45" name="Aviso Prévio Trabalhado - APT" totalsRowFunction="custom" queryTableFieldId="45" dataDxfId="38" totalsRowDxfId="119">
      <calculatedColumnFormula>VLOOKUP($A4,tabCustoUnit[],COLUMN(CUSTO_GLOBAL[[#Headers],[Aviso Prévio Trabalhado - APT]])-2,0)*($G4-$H4)</calculatedColumnFormula>
      <totalsRowFormula>SUBTOTAL(9,CUSTO_GLOBAL[Aviso Prévio Trabalhado - APT])</totalsRowFormula>
    </tableColumn>
    <tableColumn id="46" uniqueName="46" name="Incidência dos encargos do submódulo 2.1 sobre Aviso Prévio Trabalhado" totalsRowFunction="custom" queryTableFieldId="46" dataDxfId="37" totalsRowDxfId="120">
      <calculatedColumnFormula>VLOOKUP($A4,tabCustoUnit[],COLUMN(CUSTO_GLOBAL[[#Headers],[Incidência dos encargos do submódulo 2.1 sobre Aviso Prévio Trabalhado]])-2,0)*($G4-$H4)</calculatedColumnFormula>
      <totalsRowFormula>SUBTOTAL(9,CUSTO_GLOBAL[Incidência dos encargos do submódulo 2.1 sobre Aviso Prévio Trabalhado])</totalsRowFormula>
    </tableColumn>
    <tableColumn id="47" uniqueName="47" name="Multa Rescisória do FGTS" totalsRowFunction="custom" queryTableFieldId="47" dataDxfId="36" totalsRowDxfId="121">
      <calculatedColumnFormula>VLOOKUP($A4,tabCustoUnit[],COLUMN(CUSTO_GLOBAL[[#Headers],[Multa Rescisória do FGTS]])-2,0)*($G4-$H4)</calculatedColumnFormula>
      <totalsRowFormula>SUBTOTAL(9,CUSTO_GLOBAL[Multa Rescisória do FGTS])</totalsRowFormula>
    </tableColumn>
    <tableColumn id="48" uniqueName="48" name="Indenização Adicional (Art. 9º da Lei nº 7.238/84)" totalsRowFunction="custom" queryTableFieldId="48" dataDxfId="35" totalsRowDxfId="122">
      <calculatedColumnFormula>VLOOKUP($A4,tabCustoUnit[],COLUMN(CUSTO_GLOBAL[[#Headers],[Indenização Adicional (Art. 9º da Lei nº 7.238/84)]])-2,0)*($G4-$H4)</calculatedColumnFormula>
      <totalsRowFormula>SUBTOTAL(9,CUSTO_GLOBAL[Indenização Adicional (Art. 9º da Lei nº 7.238/84)])</totalsRowFormula>
    </tableColumn>
    <tableColumn id="49" uniqueName="49" name="MÓDULO 3 – PROVISÃO PARA RESCISÃO" totalsRowFunction="custom" queryTableFieldId="49" dataDxfId="34" totalsRowDxfId="123">
      <calculatedColumnFormula>VLOOKUP($A4,tabCustoUnit[],COLUMN(CUSTO_GLOBAL[[#Headers],[MÓDULO 3 – PROVISÃO PARA RESCISÃO]])-2,0)*($G4-$H4)</calculatedColumnFormula>
      <totalsRowFormula>SUBTOTAL(9,CUSTO_GLOBAL[MÓDULO 3 – PROVISÃO PARA RESCISÃO])</totalsRowFormula>
    </tableColumn>
    <tableColumn id="50" uniqueName="50" name="Ausência por Doença" totalsRowFunction="custom" queryTableFieldId="50" dataDxfId="33" totalsRowDxfId="124">
      <calculatedColumnFormula>VLOOKUP($A4,tabCustoUnit[],COLUMN(CUSTO_GLOBAL[[#Headers],[Ausência por Doença]])-2,0)*($G4-$H4)</calculatedColumnFormula>
      <totalsRowFormula>SUBTOTAL(9,CUSTO_GLOBAL[Ausência por Doença])</totalsRowFormula>
    </tableColumn>
    <tableColumn id="51" uniqueName="51" name="Ausências Legais" totalsRowFunction="custom" queryTableFieldId="51" dataDxfId="32" totalsRowDxfId="125">
      <calculatedColumnFormula>VLOOKUP($A4,tabCustoUnit[],COLUMN(CUSTO_GLOBAL[[#Headers],[Ausências Legais]])-2,0)*($G4-$H4)</calculatedColumnFormula>
      <totalsRowFormula>SUBTOTAL(9,CUSTO_GLOBAL[Ausências Legais])</totalsRowFormula>
    </tableColumn>
    <tableColumn id="52" uniqueName="52" name="Licença Paternidade" totalsRowFunction="custom" queryTableFieldId="52" dataDxfId="31" totalsRowDxfId="126">
      <calculatedColumnFormula>VLOOKUP($A4,tabCustoUnit[],COLUMN(CUSTO_GLOBAL[[#Headers],[Licença Paternidade]])-2,0)*($G4-$H4)</calculatedColumnFormula>
      <totalsRowFormula>SUBTOTAL(9,CUSTO_GLOBAL[Licença Paternidade])</totalsRowFormula>
    </tableColumn>
    <tableColumn id="53" uniqueName="53" name="Ausência por Acidente de Trabalho" totalsRowFunction="custom" queryTableFieldId="53" dataDxfId="30" totalsRowDxfId="127">
      <calculatedColumnFormula>VLOOKUP($A4,tabCustoUnit[],COLUMN(CUSTO_GLOBAL[[#Headers],[Ausência por Acidente de Trabalho]])-2,0)*($G4-$H4)</calculatedColumnFormula>
      <totalsRowFormula>SUBTOTAL(9,CUSTO_GLOBAL[Ausência por Acidente de Trabalho])</totalsRowFormula>
    </tableColumn>
    <tableColumn id="54" uniqueName="54" name="Férias, Adicional de Férias e 13º  com empregada em gozo de Licença Maternidade" totalsRowFunction="custom" queryTableFieldId="54" dataDxfId="29" totalsRowDxfId="128">
      <calculatedColumnFormula>VLOOKUP($A4,tabCustoUnit[],COLUMN(CUSTO_GLOBAL[[#Headers],[Férias, Adicional de Férias e 13º  com empregada em gozo de Licença Maternidade]])-2,0)*($G4-$H4)</calculatedColumnFormula>
      <totalsRowFormula>SUBTOTAL(9,CUSTO_GLOBAL[Férias, Adicional de Férias e 13º  com empregada em gozo de Licença Maternidade])</totalsRowFormula>
    </tableColumn>
    <tableColumn id="55" uniqueName="55" name="Incidência do Submódulo 2.1 sobre Ausências Legais" totalsRowFunction="custom" queryTableFieldId="55" dataDxfId="28" totalsRowDxfId="129">
      <calculatedColumnFormula>VLOOKUP($A4,tabCustoUnit[],COLUMN(CUSTO_GLOBAL[[#Headers],[Incidência do Submódulo 2.1 sobre Ausências Legais]])-2,0)*($G4-$H4)</calculatedColumnFormula>
      <totalsRowFormula>SUBTOTAL(9,CUSTO_GLOBAL[Incidência do Submódulo 2.1 sobre Ausências Legais])</totalsRowFormula>
    </tableColumn>
    <tableColumn id="56" uniqueName="56" name="Submódulo 4.1" totalsRowFunction="custom" queryTableFieldId="56" dataDxfId="27" totalsRowDxfId="130">
      <calculatedColumnFormula>VLOOKUP($A4,tabCustoUnit[],COLUMN(CUSTO_GLOBAL[[#Headers],[Submódulo 4.1]])-2,0)*($G4-$H4)</calculatedColumnFormula>
      <totalsRowFormula>SUBTOTAL(9,CUSTO_GLOBAL[Submódulo 4.1])</totalsRowFormula>
    </tableColumn>
    <tableColumn id="57" uniqueName="57" name="Intervalo para Repouso ou Alimentação" totalsRowFunction="custom" queryTableFieldId="57" dataDxfId="26" totalsRowDxfId="131">
      <calculatedColumnFormula>VLOOKUP($A4,tabCustoUnit[],COLUMN(CUSTO_GLOBAL[[#Headers],[Intervalo para Repouso ou Alimentação]])-2,0)*($G4-$H4)</calculatedColumnFormula>
      <totalsRowFormula>SUBTOTAL(9,CUSTO_GLOBAL[Intervalo para Repouso ou Alimentação])</totalsRowFormula>
    </tableColumn>
    <tableColumn id="58" uniqueName="58" name="Submódulo 4.2" totalsRowFunction="custom" queryTableFieldId="58" dataDxfId="25" totalsRowDxfId="132">
      <calculatedColumnFormula>VLOOKUP($A4,tabCustoUnit[],COLUMN(CUSTO_GLOBAL[[#Headers],[Submódulo 4.2]])-2,0)*($G4-$H4)</calculatedColumnFormula>
      <totalsRowFormula>SUBTOTAL(9,CUSTO_GLOBAL[Submódulo 4.2])</totalsRowFormula>
    </tableColumn>
    <tableColumn id="59" uniqueName="59" name="Suspensão Temporária do Contrato de Trabalho" totalsRowFunction="custom" queryTableFieldId="59" dataDxfId="24" totalsRowDxfId="133">
      <calculatedColumnFormula>VLOOKUP($A4,tabCustoUnit[],COLUMN(CUSTO_GLOBAL[[#Headers],[Suspensão Temporária do Contrato de Trabalho]])-2,0)*($G4-$H4)</calculatedColumnFormula>
      <totalsRowFormula>SUBTOTAL(9,CUSTO_GLOBAL[Suspensão Temporária do Contrato de Trabalho])</totalsRowFormula>
    </tableColumn>
    <tableColumn id="60" uniqueName="60" name="Submódulo 4.3" totalsRowFunction="custom" queryTableFieldId="60" dataDxfId="23" totalsRowDxfId="134">
      <calculatedColumnFormula>VLOOKUP($A4,tabCustoUnit[],COLUMN(CUSTO_GLOBAL[[#Headers],[Submódulo 4.3]])-2,0)*($G4-$H4)</calculatedColumnFormula>
      <totalsRowFormula>SUBTOTAL(9,CUSTO_GLOBAL[Submódulo 4.3])</totalsRowFormula>
    </tableColumn>
    <tableColumn id="61" uniqueName="61" name="MÓDULO 4 – CUSTO DE REPOSIÇÃO DO PROFISSIONAL AUSENTE" totalsRowFunction="custom" queryTableFieldId="61" dataDxfId="22" totalsRowDxfId="135">
      <calculatedColumnFormula>VLOOKUP($A4,tabCustoUnit[],COLUMN(CUSTO_GLOBAL[[#Headers],[MÓDULO 4 – CUSTO DE REPOSIÇÃO DO PROFISSIONAL AUSENTE]])-2,0)*($G4-$H4)</calculatedColumnFormula>
      <totalsRowFormula>SUBTOTAL(9,CUSTO_GLOBAL[MÓDULO 4 – CUSTO DE REPOSIÇÃO DO PROFISSIONAL AUSENTE])</totalsRowFormula>
    </tableColumn>
    <tableColumn id="62" uniqueName="62" name="Uniformes e EPIs" totalsRowFunction="custom" queryTableFieldId="62" dataDxfId="21" totalsRowDxfId="136">
      <calculatedColumnFormula>VLOOKUP($A4,tabCustoUnit[],COLUMN(CUSTO_GLOBAL[[#Headers],[Uniformes e EPIs]])-2,0)*($G4-$H4)</calculatedColumnFormula>
      <totalsRowFormula>SUBTOTAL(9,CUSTO_GLOBAL[Uniformes e EPIs])</totalsRowFormula>
    </tableColumn>
    <tableColumn id="63" uniqueName="63" name="Materiais de Consumo" totalsRowFunction="custom" queryTableFieldId="63" dataDxfId="20" totalsRowDxfId="137">
      <calculatedColumnFormula>VLOOKUP($A4,tabCustoUnit[],COLUMN(CUSTO_GLOBAL[[#Headers],[Materiais de Consumo]])-2,0)*($G4-$H4)</calculatedColumnFormula>
      <totalsRowFormula>SUBTOTAL(9,CUSTO_GLOBAL[Materiais de Consumo])</totalsRowFormula>
    </tableColumn>
    <tableColumn id="64" uniqueName="64" name="Máquinas e Equipamentos (depreciação)" totalsRowFunction="custom" queryTableFieldId="64" dataDxfId="19" totalsRowDxfId="138">
      <calculatedColumnFormula>VLOOKUP($A4,tabCustoUnit[],COLUMN(CUSTO_GLOBAL[[#Headers],[Máquinas e Equipamentos (depreciação)]])-2,0)*($G4-$H4)</calculatedColumnFormula>
      <totalsRowFormula>SUBTOTAL(9,CUSTO_GLOBAL[Máquinas e Equipamentos (depreciação)])</totalsRowFormula>
    </tableColumn>
    <tableColumn id="65" uniqueName="65" name="Produtos de Limpeza e Materiais de Higiene Pessoal" totalsRowFunction="custom" queryTableFieldId="65" dataDxfId="18" totalsRowDxfId="139">
      <calculatedColumnFormula>VLOOKUP($A4,tabCustoUnit[],COLUMN(CUSTO_GLOBAL[[#Headers],[Produtos de Limpeza e Materiais de Higiene Pessoal]])-2,0)*($G4-$H4)</calculatedColumnFormula>
      <totalsRowFormula>SUBTOTAL(9,CUSTO_GLOBAL[Produtos de Limpeza e Materiais de Higiene Pessoal])</totalsRowFormula>
    </tableColumn>
    <tableColumn id="66" uniqueName="66" name="Outros (especificar)" totalsRowFunction="custom" queryTableFieldId="66" dataDxfId="17" totalsRowDxfId="140">
      <calculatedColumnFormula>VLOOKUP($A4,tabCustoUnit[],COLUMN(CUSTO_GLOBAL[[#Headers],[Outros (especificar)]])-2,0)*($G4-$H4)</calculatedColumnFormula>
      <totalsRowFormula>SUBTOTAL(9,CUSTO_GLOBAL[Outros (especificar)])</totalsRowFormula>
    </tableColumn>
    <tableColumn id="67" uniqueName="67" name="MÓDULO 5 – INSUMOS DIVERSOS" totalsRowFunction="custom" queryTableFieldId="67" dataDxfId="16" totalsRowDxfId="141">
      <calculatedColumnFormula>VLOOKUP($A4,tabCustoUnit[],COLUMN(CUSTO_GLOBAL[[#Headers],[MÓDULO 5 – INSUMOS DIVERSOS]])-2,0)*($G4-$H4)</calculatedColumnFormula>
      <totalsRowFormula>SUBTOTAL(9,CUSTO_GLOBAL[MÓDULO 5 – INSUMOS DIVERSOS])</totalsRowFormula>
    </tableColumn>
    <tableColumn id="68" uniqueName="68" name="TOTAL MÓDULOS 1+2+3+4+5" totalsRowFunction="custom" queryTableFieldId="68" dataDxfId="15" totalsRowDxfId="142">
      <calculatedColumnFormula>VLOOKUP($A4,tabCustoUnit[],COLUMN(CUSTO_GLOBAL[[#Headers],[TOTAL MÓDULOS 1+2+3+4+5]])-2,0)*($G4-$H4)</calculatedColumnFormula>
      <totalsRowFormula>SUBTOTAL(9,CUSTO_GLOBAL[TOTAL MÓDULOS 1+2+3+4+5])</totalsRowFormula>
    </tableColumn>
    <tableColumn id="69" uniqueName="69" name="Custos Indiretos" totalsRowFunction="custom" queryTableFieldId="69" dataDxfId="14" totalsRowDxfId="143">
      <calculatedColumnFormula>VLOOKUP($A4,tabCustoUnit[],COLUMN(CUSTO_GLOBAL[[#Headers],[Custos Indiretos]])-2,0)*($G4-$H4)</calculatedColumnFormula>
      <totalsRowFormula>SUBTOTAL(9,CUSTO_GLOBAL[Custos Indiretos])</totalsRowFormula>
    </tableColumn>
    <tableColumn id="70" uniqueName="70" name="Lucro" totalsRowFunction="custom" queryTableFieldId="70" dataDxfId="13" totalsRowDxfId="144">
      <calculatedColumnFormula>VLOOKUP($A4,tabCustoUnit[],COLUMN(CUSTO_GLOBAL[[#Headers],[Lucro]])-2,0)*($G4-$H4)</calculatedColumnFormula>
      <totalsRowFormula>SUBTOTAL(9,CUSTO_GLOBAL[Lucro])</totalsRowFormula>
    </tableColumn>
    <tableColumn id="71" uniqueName="71" name="COFINS" totalsRowFunction="average" queryTableFieldId="71" dataDxfId="12" totalsRowDxfId="145" dataCellStyle="Porcentagem">
      <calculatedColumnFormula>VLOOKUP($A4,tabCustoUnit[],COLUMN(CUSTO_GLOBAL[[#Headers],[COFINS]])-2,0)</calculatedColumnFormula>
    </tableColumn>
    <tableColumn id="72" uniqueName="72" name="PIS" totalsRowFunction="average" queryTableFieldId="72" dataDxfId="11" totalsRowDxfId="146" dataCellStyle="Porcentagem">
      <calculatedColumnFormula>VLOOKUP($A4,tabCustoUnit[],COLUMN(CUSTO_GLOBAL[[#Headers],[PIS]])-2,0)</calculatedColumnFormula>
    </tableColumn>
    <tableColumn id="73" uniqueName="73" name="ISS" totalsRowFunction="average" queryTableFieldId="73" dataDxfId="10" totalsRowDxfId="147" dataCellStyle="Porcentagem">
      <calculatedColumnFormula>VLOOKUP($A4,tabCustoUnit[],COLUMN(CUSTO_GLOBAL[[#Headers],[ISS]])-2,0)</calculatedColumnFormula>
    </tableColumn>
    <tableColumn id="74" uniqueName="74" name="ISS (Conversão Alíquota s/ fatura)" totalsRowFunction="average" queryTableFieldId="74" dataDxfId="9" totalsRowDxfId="148" dataCellStyle="Porcentagem">
      <calculatedColumnFormula>VLOOKUP($A4,tabCustoUnit[],COLUMN(CUSTO_GLOBAL[[#Headers],[ISS (Conversão Alíquota s/ fatura)]])-2,0)</calculatedColumnFormula>
    </tableColumn>
    <tableColumn id="75" uniqueName="75" name="Resumo de Alíquotas (PIS+CONFINS+ISS)" totalsRowFunction="average" queryTableFieldId="75" dataDxfId="8" totalsRowDxfId="149" dataCellStyle="Porcentagem">
      <calculatedColumnFormula>VLOOKUP($A4,tabCustoUnit[],COLUMN(CUSTO_GLOBAL[[#Headers],[Resumo de Alíquotas (PIS+CONFINS+ISS)]])-2,0)</calculatedColumnFormula>
    </tableColumn>
    <tableColumn id="76" uniqueName="76" name="PIS + COFINS + ISS (Total Conversão  Alíquota s/ Fatura)" totalsRowFunction="average" queryTableFieldId="76" dataDxfId="7" totalsRowDxfId="150">
      <calculatedColumnFormula>VLOOKUP($A4,tabCustoUnit[],COLUMN(CUSTO_GLOBAL[[#Headers],[PIS + COFINS + ISS (Total Conversão  Alíquota s/ Fatura)]])-2,0)</calculatedColumnFormula>
    </tableColumn>
    <tableColumn id="77" uniqueName="77" name="Valor dos Tributos (ISS, PIS, CONFINS)" totalsRowFunction="custom" queryTableFieldId="77" dataDxfId="6" totalsRowDxfId="151">
      <calculatedColumnFormula>VLOOKUP($A4,tabCustoUnit[],COLUMN(CUSTO_GLOBAL[[#Headers],[Valor dos Tributos (ISS, PIS, CONFINS)]])-2,0)*($G4-$H4)</calculatedColumnFormula>
      <totalsRowFormula>SUBTOTAL(9,CUSTO_GLOBAL[Valor dos Tributos (ISS, PIS, CONFINS)])</totalsRowFormula>
    </tableColumn>
    <tableColumn id="78" uniqueName="78" name="MÓDULO 6 – CUSTOS INDIRETOS, TRIBUTOS E LUCRO" totalsRowFunction="custom" queryTableFieldId="78" dataDxfId="5" totalsRowDxfId="152">
      <calculatedColumnFormula>VLOOKUP($A4,tabCustoUnit[],COLUMN(CUSTO_GLOBAL[[#Headers],[MÓDULO 6 – CUSTOS INDIRETOS, TRIBUTOS E LUCRO]])-2,0)*($G4-$H4)</calculatedColumnFormula>
      <totalsRowFormula>SUBTOTAL(9,CUSTO_GLOBAL[MÓDULO 6 – CUSTOS INDIRETOS, TRIBUTOS E LUCRO])</totalsRowFormula>
    </tableColumn>
    <tableColumn id="79" uniqueName="79" name="CUSTO TOTAL MENSAL" totalsRowFunction="custom" queryTableFieldId="79" dataDxfId="4" totalsRowDxfId="153">
      <calculatedColumnFormula>VLOOKUP($A4,tabCustoUnit[],COLUMN(CUSTO_GLOBAL[[#Headers],[CUSTO TOTAL MENSAL]])-2,0)*($G4-$H4)</calculatedColumnFormula>
      <totalsRowFormula>SUBTOTAL(9,CUSTO_GLOBAL[CUSTO TOTAL MENSAL])</totalsRowFormula>
    </tableColumn>
    <tableColumn id="80" uniqueName="80" name="CUSTO TOTAL ANUAL" totalsRowFunction="custom" queryTableFieldId="80" dataDxfId="3" totalsRowDxfId="154">
      <calculatedColumnFormula>CUSTO_GLOBAL[[#This Row],[CUSTO TOTAL MENSAL]]*12</calculatedColumnFormula>
      <totalsRowFormula>SUBTOTAL(9,CUSTO_GLOBAL[CUSTO TOTAL ANUAL])</totalsRowFormula>
    </tableColumn>
    <tableColumn id="81" uniqueName="81" name="ANO DA CCT" queryTableFieldId="81" dataDxfId="2" totalsRowDxfId="155">
      <calculatedColumnFormula>VLOOKUP($A4,tabCustoUnit[],COLUMN(CUSTO_GLOBAL[[#Headers],[ANO DA CCT]])-2,0)</calculatedColumnFormula>
    </tableColumn>
    <tableColumn id="82" uniqueName="82" name="Nº DE PEDIDO DA CCT" queryTableFieldId="82" dataDxfId="1" totalsRowDxfId="156">
      <calculatedColumnFormula>VLOOKUP($A4,tabCustoUnit[],COLUMN(CUSTO_GLOBAL[[#Headers],[Nº DE PEDIDO DA CCT]])-2,0)</calculatedColumnFormula>
    </tableColumn>
    <tableColumn id="83" uniqueName="83" name="TERMO ADITIVO ALTERAÇÃO DA CCT" queryTableFieldId="83" dataDxfId="0" totalsRowDxfId="157">
      <calculatedColumnFormula>VLOOKUP($A4,tabCustoUnit[],COLUMN(CUSTO_GLOBAL[[#Headers],[TERMO ADITIVO ALTERAÇÃO DA CCT]])-2,0)</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 Id="rId9" Type="http://schemas.openxmlformats.org/officeDocument/2006/relationships/table" Target="../tables/table8.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5" Type="http://schemas.microsoft.com/office/2007/relationships/slicer" Target="../slicers/slicer1.xml"/><Relationship Id="rId4"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6.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7.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9.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tabSelected="1" workbookViewId="0">
      <selection activeCell="B14" sqref="B14"/>
    </sheetView>
  </sheetViews>
  <sheetFormatPr defaultColWidth="9.125" defaultRowHeight="12.75"/>
  <cols>
    <col min="1" max="1" width="30.375" style="11" customWidth="1"/>
    <col min="2" max="2" width="173" style="11" customWidth="1"/>
    <col min="3" max="16384" width="9.125" style="11"/>
  </cols>
  <sheetData>
    <row r="1" spans="1:2" ht="24.75" customHeight="1">
      <c r="A1" s="315" t="s">
        <v>1899</v>
      </c>
      <c r="B1" s="315"/>
    </row>
    <row r="2" spans="1:2">
      <c r="A2" s="295" t="s">
        <v>1900</v>
      </c>
      <c r="B2" s="295" t="s">
        <v>1900</v>
      </c>
    </row>
    <row r="3" spans="1:2" ht="171">
      <c r="A3" s="296" t="s">
        <v>1901</v>
      </c>
      <c r="B3" s="297" t="s">
        <v>1925</v>
      </c>
    </row>
    <row r="4" spans="1:2" ht="15.75" customHeight="1">
      <c r="A4" s="298" t="s">
        <v>1900</v>
      </c>
      <c r="B4" s="299" t="s">
        <v>1900</v>
      </c>
    </row>
    <row r="5" spans="1:2" s="309" customFormat="1" ht="57">
      <c r="A5" s="307" t="s">
        <v>1908</v>
      </c>
      <c r="B5" s="308" t="s">
        <v>1909</v>
      </c>
    </row>
    <row r="6" spans="1:2" ht="42.75">
      <c r="A6" s="296" t="s">
        <v>1902</v>
      </c>
      <c r="B6" s="300" t="s">
        <v>1910</v>
      </c>
    </row>
    <row r="7" spans="1:2" ht="57">
      <c r="A7" s="296" t="s">
        <v>1903</v>
      </c>
      <c r="B7" s="300" t="s">
        <v>1911</v>
      </c>
    </row>
    <row r="8" spans="1:2" ht="85.5">
      <c r="A8" s="296" t="s">
        <v>1904</v>
      </c>
      <c r="B8" s="301" t="s">
        <v>1916</v>
      </c>
    </row>
    <row r="9" spans="1:2" ht="71.25">
      <c r="A9" s="296" t="s">
        <v>1905</v>
      </c>
      <c r="B9" s="302" t="s">
        <v>1917</v>
      </c>
    </row>
    <row r="10" spans="1:2" ht="78.75" customHeight="1">
      <c r="A10" s="303" t="s">
        <v>1919</v>
      </c>
      <c r="B10" s="304" t="s">
        <v>1918</v>
      </c>
    </row>
    <row r="11" spans="1:2" ht="14.25" customHeight="1">
      <c r="A11" s="305"/>
      <c r="B11" s="305"/>
    </row>
    <row r="12" spans="1:2" ht="36" customHeight="1">
      <c r="A12" s="316" t="s">
        <v>1912</v>
      </c>
      <c r="B12" s="317"/>
    </row>
    <row r="13" spans="1:2" ht="156.75">
      <c r="A13" s="296" t="s">
        <v>1906</v>
      </c>
      <c r="B13" s="306" t="s">
        <v>1920</v>
      </c>
    </row>
    <row r="14" spans="1:2" ht="156.75">
      <c r="A14" s="296" t="s">
        <v>1907</v>
      </c>
      <c r="B14" s="306" t="s">
        <v>1921</v>
      </c>
    </row>
    <row r="15" spans="1:2" s="309" customFormat="1" ht="57">
      <c r="A15" s="307" t="s">
        <v>1922</v>
      </c>
      <c r="B15" s="308" t="s">
        <v>1926</v>
      </c>
    </row>
    <row r="16" spans="1:2" s="309" customFormat="1" ht="57">
      <c r="A16" s="307" t="s">
        <v>1923</v>
      </c>
      <c r="B16" s="308" t="s">
        <v>1927</v>
      </c>
    </row>
  </sheetData>
  <mergeCells count="2">
    <mergeCell ref="A1:B1"/>
    <mergeCell ref="A12:B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AE299"/>
  <sheetViews>
    <sheetView topLeftCell="I1" workbookViewId="0">
      <selection activeCell="AA4" sqref="AA4"/>
    </sheetView>
  </sheetViews>
  <sheetFormatPr defaultColWidth="9.125" defaultRowHeight="14.25"/>
  <cols>
    <col min="1" max="1" width="28.375" style="176" bestFit="1" customWidth="1"/>
    <col min="2" max="2" width="10" style="177" customWidth="1"/>
    <col min="3" max="3" width="11.875" style="177" customWidth="1"/>
    <col min="4" max="4" width="9.625" style="177" customWidth="1"/>
    <col min="5" max="5" width="8.125" style="175" bestFit="1" customWidth="1"/>
    <col min="6" max="6" width="2.75" style="175" customWidth="1"/>
    <col min="7" max="7" width="59.375" style="175" bestFit="1" customWidth="1"/>
    <col min="8" max="8" width="9.875" style="175" bestFit="1" customWidth="1"/>
    <col min="9" max="9" width="10" style="175" customWidth="1"/>
    <col min="10" max="10" width="2.75" style="175" customWidth="1"/>
    <col min="11" max="11" width="10.375" style="175" customWidth="1"/>
    <col min="12" max="12" width="10.875" style="175" customWidth="1"/>
    <col min="13" max="13" width="8.625" style="175" customWidth="1"/>
    <col min="14" max="14" width="2.75" style="175" customWidth="1"/>
    <col min="15" max="15" width="15.25" style="175" customWidth="1"/>
    <col min="16" max="16" width="2.75" style="175" customWidth="1"/>
    <col min="17" max="17" width="15" style="175" customWidth="1"/>
    <col min="18" max="18" width="13.75" style="175" customWidth="1"/>
    <col min="19" max="19" width="15.75" style="175" customWidth="1"/>
    <col min="20" max="20" width="14.625" style="175" customWidth="1"/>
    <col min="21" max="21" width="2.75" style="175" customWidth="1"/>
    <col min="22" max="22" width="20" style="175" customWidth="1"/>
    <col min="23" max="24" width="15.75" style="175" customWidth="1"/>
    <col min="25" max="25" width="2.75" style="175" customWidth="1"/>
    <col min="26" max="26" width="16.25" style="175" customWidth="1"/>
    <col min="27" max="28" width="15.75" style="175" customWidth="1"/>
    <col min="29" max="29" width="2.75" style="175" customWidth="1"/>
    <col min="30" max="30" width="20.875" style="175" customWidth="1"/>
    <col min="31" max="31" width="10.625" style="175" customWidth="1"/>
    <col min="32" max="16384" width="9.125" style="175"/>
  </cols>
  <sheetData>
    <row r="1" spans="1:31" ht="45">
      <c r="A1" s="203" t="s">
        <v>98</v>
      </c>
      <c r="B1" s="203" t="s">
        <v>99</v>
      </c>
      <c r="C1" s="203" t="s">
        <v>100</v>
      </c>
      <c r="D1" s="203" t="s">
        <v>101</v>
      </c>
      <c r="E1" s="203" t="s">
        <v>102</v>
      </c>
      <c r="G1" s="203" t="s">
        <v>5</v>
      </c>
      <c r="H1" s="203" t="s">
        <v>99</v>
      </c>
      <c r="I1" s="203" t="s">
        <v>103</v>
      </c>
      <c r="K1" s="203" t="s">
        <v>104</v>
      </c>
      <c r="L1" s="203" t="s">
        <v>0</v>
      </c>
      <c r="M1" s="203" t="s">
        <v>105</v>
      </c>
      <c r="O1" s="203" t="s">
        <v>106</v>
      </c>
      <c r="Q1" s="203" t="s">
        <v>107</v>
      </c>
      <c r="R1" s="203" t="s">
        <v>108</v>
      </c>
      <c r="S1" s="203" t="s">
        <v>109</v>
      </c>
      <c r="T1" s="203" t="s">
        <v>110</v>
      </c>
      <c r="V1" s="318" t="s">
        <v>111</v>
      </c>
      <c r="W1" s="318"/>
      <c r="X1" s="318"/>
      <c r="Z1" s="318" t="s">
        <v>112</v>
      </c>
      <c r="AA1" s="318"/>
      <c r="AB1" s="318"/>
      <c r="AD1" s="175" t="s">
        <v>113</v>
      </c>
      <c r="AE1" s="175" t="s">
        <v>114</v>
      </c>
    </row>
    <row r="2" spans="1:31" ht="34.5" customHeight="1">
      <c r="A2" s="176" t="s">
        <v>115</v>
      </c>
      <c r="B2" s="177" t="s">
        <v>116</v>
      </c>
      <c r="C2" s="204" t="s">
        <v>117</v>
      </c>
      <c r="D2" s="202">
        <v>2.5000000000000001E-2</v>
      </c>
      <c r="E2" s="205">
        <v>6.4</v>
      </c>
      <c r="G2" s="175" t="s">
        <v>26</v>
      </c>
      <c r="H2" s="177"/>
      <c r="I2" s="206" t="s">
        <v>119</v>
      </c>
      <c r="K2" s="177" t="s">
        <v>120</v>
      </c>
      <c r="L2" s="177" t="s">
        <v>121</v>
      </c>
      <c r="M2" s="177">
        <v>1</v>
      </c>
      <c r="O2" s="175" t="s">
        <v>122</v>
      </c>
      <c r="Q2" s="207" t="s">
        <v>123</v>
      </c>
      <c r="R2" s="208">
        <v>662.42</v>
      </c>
      <c r="S2" s="209">
        <v>175</v>
      </c>
      <c r="T2" s="210">
        <f>tabDiarias[[#This Row],[VALOR UNIT.]]*tabDiarias[[#This Row],[QUANT. POSTOS INICIAL]]</f>
        <v>115923.5</v>
      </c>
      <c r="V2" s="165" t="s">
        <v>124</v>
      </c>
      <c r="W2" s="166" t="s">
        <v>125</v>
      </c>
      <c r="X2" s="167" t="s">
        <v>126</v>
      </c>
      <c r="Z2" s="178" t="s">
        <v>83</v>
      </c>
      <c r="AA2" s="179" t="s">
        <v>127</v>
      </c>
      <c r="AB2" s="167" t="s">
        <v>128</v>
      </c>
      <c r="AD2" s="175" t="s">
        <v>129</v>
      </c>
      <c r="AE2" s="211">
        <v>0.2</v>
      </c>
    </row>
    <row r="3" spans="1:31">
      <c r="A3" s="176" t="s">
        <v>130</v>
      </c>
      <c r="B3" s="177" t="s">
        <v>131</v>
      </c>
      <c r="C3" s="204" t="s">
        <v>132</v>
      </c>
      <c r="D3" s="202">
        <v>0.03</v>
      </c>
      <c r="E3" s="205">
        <v>6.4</v>
      </c>
      <c r="G3" s="175" t="s">
        <v>42</v>
      </c>
      <c r="H3" s="177"/>
      <c r="I3" s="206" t="s">
        <v>134</v>
      </c>
      <c r="K3" s="177" t="s">
        <v>135</v>
      </c>
      <c r="L3" s="177" t="s">
        <v>121</v>
      </c>
      <c r="M3" s="177">
        <v>3</v>
      </c>
      <c r="O3" s="175" t="s">
        <v>136</v>
      </c>
      <c r="Q3" s="207" t="s">
        <v>121</v>
      </c>
      <c r="R3" s="208">
        <v>202.08</v>
      </c>
      <c r="S3" s="209">
        <v>819</v>
      </c>
      <c r="T3" s="210">
        <f>tabDiarias[[#This Row],[VALOR UNIT.]]*tabDiarias[[#This Row],[QUANT. POSTOS INICIAL]]</f>
        <v>165503.52000000002</v>
      </c>
      <c r="V3" s="248"/>
      <c r="W3" s="174"/>
      <c r="X3" s="163">
        <v>0</v>
      </c>
      <c r="Z3" s="290" t="s">
        <v>137</v>
      </c>
      <c r="AA3" s="291" t="e">
        <f ca="1">(SUMIF('CUSTO GLOBAL'!E:E,"Apoio",'CUSTO GLOBAL'!BO:BO)/SUMIF('CUSTO GLOBAL'!E:E,"Apoio",'CUSTO GLOBAL'!G:G)*5%)</f>
        <v>#NAME?</v>
      </c>
      <c r="AB3" s="292" t="e" cm="1">
        <f t="array" aca="1" ref="AB3" ca="1">AA3*PRODUCT((1+(_xlfn._xlws.FILTER(tabIndices[PERCENTUAL],tabIndices[PERCENTUAL]&gt;0,0))))</f>
        <v>#NAME?</v>
      </c>
      <c r="AD3" s="175" t="s">
        <v>138</v>
      </c>
      <c r="AE3" s="211">
        <v>1.4999999999999999E-2</v>
      </c>
    </row>
    <row r="4" spans="1:31">
      <c r="A4" s="176" t="s">
        <v>139</v>
      </c>
      <c r="B4" s="177" t="s">
        <v>140</v>
      </c>
      <c r="C4" s="204" t="s">
        <v>141</v>
      </c>
      <c r="D4" s="202">
        <v>0.04</v>
      </c>
      <c r="E4" s="205">
        <v>6.4</v>
      </c>
      <c r="G4" s="175" t="s">
        <v>43</v>
      </c>
      <c r="H4" s="177"/>
      <c r="I4" s="206" t="s">
        <v>143</v>
      </c>
      <c r="O4" s="175" t="s">
        <v>5</v>
      </c>
      <c r="V4" s="248"/>
      <c r="W4" s="174"/>
      <c r="X4" s="163">
        <v>0</v>
      </c>
      <c r="Z4" s="275" t="s">
        <v>144</v>
      </c>
      <c r="AA4" s="276" t="e">
        <f ca="1">(SUMIF('CUSTO GLOBAL'!E:E,"Apoio",'CUSTO GLOBAL'!BO:BO)+SUMIF('CUSTO GLOBAL'!E:E,"Apoio",'CUSTO GLOBAL'!BP:BP))/SUMIF('CUSTO GLOBAL'!E:E,"Apoio",'CUSTO GLOBAL'!G:G)*4%</f>
        <v>#NAME?</v>
      </c>
      <c r="AB4" s="277" t="e" cm="1">
        <f t="array" aca="1" ref="AB4" ca="1">AA4*PRODUCT((1+(_xlfn._xlws.FILTER(tabIndices[PERCENTUAL],tabIndices[PERCENTUAL]&gt;0,0))))</f>
        <v>#NAME?</v>
      </c>
      <c r="AD4" s="175" t="s">
        <v>145</v>
      </c>
      <c r="AE4" s="211">
        <v>0.01</v>
      </c>
    </row>
    <row r="5" spans="1:31" ht="30">
      <c r="A5" s="176" t="s">
        <v>146</v>
      </c>
      <c r="B5" s="177" t="s">
        <v>147</v>
      </c>
      <c r="C5" s="204" t="s">
        <v>148</v>
      </c>
      <c r="D5" s="202" t="s">
        <v>149</v>
      </c>
      <c r="E5" s="205">
        <v>6.4</v>
      </c>
      <c r="G5" s="175" t="s">
        <v>1388</v>
      </c>
      <c r="H5" s="177"/>
      <c r="I5" s="206" t="s">
        <v>151</v>
      </c>
      <c r="O5" s="175" t="s">
        <v>152</v>
      </c>
      <c r="Q5" s="250" t="s">
        <v>153</v>
      </c>
      <c r="R5" s="251">
        <v>1518</v>
      </c>
      <c r="V5" s="248"/>
      <c r="W5" s="174"/>
      <c r="X5" s="163">
        <v>0</v>
      </c>
      <c r="Z5" s="275" t="s">
        <v>154</v>
      </c>
      <c r="AA5" s="276">
        <v>3.36</v>
      </c>
      <c r="AB5" s="277" cm="1">
        <f t="array" ref="AB5">AA5*PRODUCT((1+(_xlfn._xlws.FILTER(tabIndices[PERCENTUAL],tabIndices[PERCENTUAL]&gt;0,0))))</f>
        <v>3.36</v>
      </c>
      <c r="AD5" s="175" t="s">
        <v>155</v>
      </c>
      <c r="AE5" s="211">
        <v>2E-3</v>
      </c>
    </row>
    <row r="6" spans="1:31" ht="15">
      <c r="A6" s="176" t="s">
        <v>156</v>
      </c>
      <c r="B6" s="177" t="s">
        <v>157</v>
      </c>
      <c r="C6" s="204" t="s">
        <v>158</v>
      </c>
      <c r="D6" s="202">
        <v>0.05</v>
      </c>
      <c r="E6" s="205">
        <v>6.4</v>
      </c>
      <c r="G6" s="175" t="s">
        <v>1389</v>
      </c>
      <c r="H6" s="177"/>
      <c r="I6" s="206" t="s">
        <v>160</v>
      </c>
      <c r="V6" s="161"/>
      <c r="W6" s="174"/>
      <c r="X6" s="163">
        <v>0</v>
      </c>
      <c r="AD6" s="175" t="s">
        <v>161</v>
      </c>
      <c r="AE6" s="211">
        <v>2.5000000000000001E-2</v>
      </c>
    </row>
    <row r="7" spans="1:31" ht="15">
      <c r="A7" s="176" t="s">
        <v>162</v>
      </c>
      <c r="B7" s="177" t="s">
        <v>163</v>
      </c>
      <c r="C7" s="204" t="s">
        <v>164</v>
      </c>
      <c r="D7" s="202">
        <v>0.03</v>
      </c>
      <c r="E7" s="205">
        <v>6.4</v>
      </c>
      <c r="G7" s="175" t="s">
        <v>44</v>
      </c>
      <c r="H7" s="177"/>
      <c r="I7" s="206" t="s">
        <v>166</v>
      </c>
      <c r="V7" s="162"/>
      <c r="W7" s="174"/>
      <c r="X7" s="164">
        <v>0</v>
      </c>
      <c r="AD7" s="175" t="s">
        <v>167</v>
      </c>
      <c r="AE7" s="211">
        <v>0.08</v>
      </c>
    </row>
    <row r="8" spans="1:31">
      <c r="A8" s="176" t="s">
        <v>168</v>
      </c>
      <c r="B8" s="177" t="s">
        <v>169</v>
      </c>
      <c r="C8" s="204" t="s">
        <v>170</v>
      </c>
      <c r="D8" s="202">
        <v>0.02</v>
      </c>
      <c r="E8" s="205">
        <v>6.4</v>
      </c>
      <c r="G8" s="175" t="s">
        <v>45</v>
      </c>
      <c r="H8" s="177"/>
      <c r="I8" s="206" t="s">
        <v>172</v>
      </c>
      <c r="AD8" s="288" t="s">
        <v>173</v>
      </c>
      <c r="AE8" s="289">
        <f>2%*2</f>
        <v>0.04</v>
      </c>
    </row>
    <row r="9" spans="1:31">
      <c r="A9" s="176" t="s">
        <v>174</v>
      </c>
      <c r="B9" s="177" t="s">
        <v>175</v>
      </c>
      <c r="C9" s="204" t="s">
        <v>176</v>
      </c>
      <c r="D9" s="202">
        <v>0.02</v>
      </c>
      <c r="E9" s="205">
        <v>6.4</v>
      </c>
      <c r="G9" s="175" t="s">
        <v>1797</v>
      </c>
      <c r="H9" s="177"/>
      <c r="I9" s="206" t="s">
        <v>178</v>
      </c>
      <c r="AD9" s="175" t="s">
        <v>179</v>
      </c>
      <c r="AE9" s="211">
        <v>6.0000000000000001E-3</v>
      </c>
    </row>
    <row r="10" spans="1:31">
      <c r="A10" s="176" t="s">
        <v>180</v>
      </c>
      <c r="B10" s="177" t="s">
        <v>181</v>
      </c>
      <c r="C10" s="204" t="s">
        <v>182</v>
      </c>
      <c r="D10" s="202">
        <v>0.03</v>
      </c>
      <c r="E10" s="205">
        <v>6.4</v>
      </c>
      <c r="G10" s="175" t="s">
        <v>46</v>
      </c>
      <c r="H10" s="177"/>
      <c r="I10" s="206" t="s">
        <v>184</v>
      </c>
      <c r="AD10" s="288" t="s">
        <v>185</v>
      </c>
      <c r="AE10" s="289">
        <v>7.5999999999999998E-2</v>
      </c>
    </row>
    <row r="11" spans="1:31">
      <c r="A11" s="176" t="s">
        <v>186</v>
      </c>
      <c r="B11" s="177" t="s">
        <v>187</v>
      </c>
      <c r="C11" s="204" t="s">
        <v>188</v>
      </c>
      <c r="D11" s="202">
        <v>0.02</v>
      </c>
      <c r="E11" s="205">
        <v>6.4</v>
      </c>
      <c r="G11" s="175" t="s">
        <v>47</v>
      </c>
      <c r="H11" s="177"/>
      <c r="I11" s="206" t="s">
        <v>190</v>
      </c>
      <c r="AA11" s="314"/>
      <c r="AB11" s="314"/>
      <c r="AD11" s="288" t="s">
        <v>191</v>
      </c>
      <c r="AE11" s="289">
        <v>1.6500000000000001E-2</v>
      </c>
    </row>
    <row r="12" spans="1:31">
      <c r="A12" s="176" t="s">
        <v>192</v>
      </c>
      <c r="B12" s="177" t="s">
        <v>193</v>
      </c>
      <c r="C12" s="204" t="s">
        <v>194</v>
      </c>
      <c r="D12" s="202" t="s">
        <v>149</v>
      </c>
      <c r="E12" s="205">
        <v>6.4</v>
      </c>
      <c r="G12" s="175" t="s">
        <v>48</v>
      </c>
      <c r="H12" s="177"/>
      <c r="I12" s="206" t="s">
        <v>196</v>
      </c>
      <c r="AA12" s="314"/>
      <c r="AB12" s="314"/>
    </row>
    <row r="13" spans="1:31">
      <c r="A13" s="176" t="s">
        <v>197</v>
      </c>
      <c r="B13" s="177" t="s">
        <v>198</v>
      </c>
      <c r="C13" s="204" t="s">
        <v>199</v>
      </c>
      <c r="D13" s="202">
        <v>0.03</v>
      </c>
      <c r="E13" s="205">
        <v>6.4</v>
      </c>
      <c r="G13" s="175" t="s">
        <v>49</v>
      </c>
      <c r="H13" s="177"/>
      <c r="I13" s="206" t="s">
        <v>201</v>
      </c>
    </row>
    <row r="14" spans="1:31">
      <c r="A14" s="176" t="s">
        <v>202</v>
      </c>
      <c r="B14" s="177" t="s">
        <v>203</v>
      </c>
      <c r="C14" s="204" t="s">
        <v>204</v>
      </c>
      <c r="D14" s="202">
        <v>0.05</v>
      </c>
      <c r="E14" s="205">
        <v>6.4</v>
      </c>
      <c r="G14" s="175" t="s">
        <v>50</v>
      </c>
      <c r="H14" s="177"/>
      <c r="I14" s="206" t="s">
        <v>206</v>
      </c>
    </row>
    <row r="15" spans="1:31">
      <c r="A15" s="176" t="s">
        <v>207</v>
      </c>
      <c r="B15" s="177" t="s">
        <v>208</v>
      </c>
      <c r="C15" s="204" t="s">
        <v>209</v>
      </c>
      <c r="D15" s="202" t="s">
        <v>149</v>
      </c>
      <c r="E15" s="205">
        <v>6.4</v>
      </c>
      <c r="G15" s="175" t="s">
        <v>1390</v>
      </c>
      <c r="H15" s="177"/>
      <c r="I15" s="206" t="s">
        <v>210</v>
      </c>
    </row>
    <row r="16" spans="1:31">
      <c r="A16" s="176" t="s">
        <v>211</v>
      </c>
      <c r="B16" s="177" t="s">
        <v>212</v>
      </c>
      <c r="C16" s="204" t="s">
        <v>213</v>
      </c>
      <c r="D16" s="202" t="s">
        <v>149</v>
      </c>
      <c r="E16" s="205">
        <v>6.4</v>
      </c>
      <c r="G16" s="175" t="s">
        <v>51</v>
      </c>
      <c r="H16" s="177"/>
      <c r="I16" s="206" t="s">
        <v>215</v>
      </c>
    </row>
    <row r="17" spans="1:9">
      <c r="A17" s="176" t="s">
        <v>216</v>
      </c>
      <c r="B17" s="177" t="s">
        <v>217</v>
      </c>
      <c r="C17" s="204" t="s">
        <v>218</v>
      </c>
      <c r="D17" s="202">
        <v>0.03</v>
      </c>
      <c r="E17" s="205">
        <v>6.4</v>
      </c>
      <c r="G17" s="175" t="s">
        <v>52</v>
      </c>
      <c r="H17" s="177"/>
      <c r="I17" s="206" t="s">
        <v>220</v>
      </c>
    </row>
    <row r="18" spans="1:9">
      <c r="A18" s="176" t="s">
        <v>221</v>
      </c>
      <c r="B18" s="177" t="s">
        <v>222</v>
      </c>
      <c r="C18" s="204" t="s">
        <v>223</v>
      </c>
      <c r="D18" s="202">
        <v>0.02</v>
      </c>
      <c r="E18" s="205">
        <v>6.4</v>
      </c>
      <c r="G18" s="175" t="s">
        <v>53</v>
      </c>
      <c r="H18" s="177"/>
      <c r="I18" s="206" t="s">
        <v>225</v>
      </c>
    </row>
    <row r="19" spans="1:9">
      <c r="A19" s="176" t="s">
        <v>226</v>
      </c>
      <c r="B19" s="177" t="s">
        <v>227</v>
      </c>
      <c r="C19" s="204" t="s">
        <v>228</v>
      </c>
      <c r="D19" s="202">
        <v>0.02</v>
      </c>
      <c r="E19" s="205">
        <v>6.4</v>
      </c>
      <c r="G19" s="175" t="s">
        <v>1391</v>
      </c>
      <c r="H19" s="177"/>
      <c r="I19" s="206" t="s">
        <v>230</v>
      </c>
    </row>
    <row r="20" spans="1:9">
      <c r="A20" s="176" t="s">
        <v>231</v>
      </c>
      <c r="B20" s="177" t="s">
        <v>232</v>
      </c>
      <c r="C20" s="204" t="s">
        <v>233</v>
      </c>
      <c r="D20" s="202">
        <v>0.04</v>
      </c>
      <c r="E20" s="205">
        <v>6.4</v>
      </c>
      <c r="G20" s="175" t="s">
        <v>1525</v>
      </c>
      <c r="H20" s="177"/>
      <c r="I20" s="206" t="s">
        <v>235</v>
      </c>
    </row>
    <row r="21" spans="1:9">
      <c r="A21" s="176" t="s">
        <v>236</v>
      </c>
      <c r="B21" s="177" t="s">
        <v>237</v>
      </c>
      <c r="C21" s="204" t="s">
        <v>238</v>
      </c>
      <c r="D21" s="202">
        <v>0.03</v>
      </c>
      <c r="E21" s="205">
        <v>6.4</v>
      </c>
      <c r="G21" s="175" t="s">
        <v>54</v>
      </c>
      <c r="H21" s="177"/>
      <c r="I21" s="206" t="s">
        <v>240</v>
      </c>
    </row>
    <row r="22" spans="1:9">
      <c r="A22" s="176" t="s">
        <v>241</v>
      </c>
      <c r="B22" s="177" t="s">
        <v>242</v>
      </c>
      <c r="C22" s="204" t="s">
        <v>243</v>
      </c>
      <c r="D22" s="202">
        <v>0.03</v>
      </c>
      <c r="E22" s="205">
        <v>6.4</v>
      </c>
      <c r="G22" s="175" t="s">
        <v>55</v>
      </c>
      <c r="H22" s="177"/>
      <c r="I22" s="206" t="s">
        <v>245</v>
      </c>
    </row>
    <row r="23" spans="1:9">
      <c r="A23" s="176" t="s">
        <v>246</v>
      </c>
      <c r="B23" s="177" t="s">
        <v>247</v>
      </c>
      <c r="C23" s="204" t="s">
        <v>248</v>
      </c>
      <c r="D23" s="202" t="s">
        <v>149</v>
      </c>
      <c r="E23" s="205">
        <v>6.4</v>
      </c>
      <c r="G23" s="175" t="s">
        <v>1392</v>
      </c>
      <c r="H23" s="177"/>
      <c r="I23" s="206" t="s">
        <v>250</v>
      </c>
    </row>
    <row r="24" spans="1:9">
      <c r="A24" s="176" t="s">
        <v>251</v>
      </c>
      <c r="B24" s="177" t="s">
        <v>252</v>
      </c>
      <c r="C24" s="204" t="s">
        <v>253</v>
      </c>
      <c r="D24" s="202">
        <v>0.05</v>
      </c>
      <c r="E24" s="205">
        <v>6.4</v>
      </c>
      <c r="G24" s="175" t="s">
        <v>1526</v>
      </c>
      <c r="H24" s="177"/>
      <c r="I24" s="206" t="s">
        <v>255</v>
      </c>
    </row>
    <row r="25" spans="1:9">
      <c r="A25" s="176" t="s">
        <v>256</v>
      </c>
      <c r="B25" s="177" t="s">
        <v>257</v>
      </c>
      <c r="C25" s="204" t="s">
        <v>258</v>
      </c>
      <c r="D25" s="202">
        <v>3.5000000000000003E-2</v>
      </c>
      <c r="E25" s="205">
        <v>6.4</v>
      </c>
      <c r="G25" s="175" t="s">
        <v>56</v>
      </c>
      <c r="H25" s="177"/>
      <c r="I25" s="206" t="s">
        <v>260</v>
      </c>
    </row>
    <row r="26" spans="1:9">
      <c r="A26" s="176" t="s">
        <v>261</v>
      </c>
      <c r="B26" s="177" t="s">
        <v>262</v>
      </c>
      <c r="C26" s="204" t="s">
        <v>263</v>
      </c>
      <c r="D26" s="202" t="s">
        <v>149</v>
      </c>
      <c r="E26" s="205">
        <v>6.4</v>
      </c>
      <c r="G26" s="175" t="s">
        <v>1393</v>
      </c>
      <c r="H26" s="177"/>
      <c r="I26" s="206" t="s">
        <v>265</v>
      </c>
    </row>
    <row r="27" spans="1:9">
      <c r="A27" s="176" t="s">
        <v>266</v>
      </c>
      <c r="B27" s="177" t="s">
        <v>267</v>
      </c>
      <c r="C27" s="204" t="s">
        <v>268</v>
      </c>
      <c r="D27" s="202">
        <v>0.05</v>
      </c>
      <c r="E27" s="205">
        <f>5.75+5.5</f>
        <v>11.25</v>
      </c>
      <c r="G27" s="175" t="s">
        <v>1394</v>
      </c>
      <c r="H27" s="177"/>
      <c r="I27" s="206" t="s">
        <v>270</v>
      </c>
    </row>
    <row r="28" spans="1:9">
      <c r="A28" s="176" t="s">
        <v>271</v>
      </c>
      <c r="B28" s="177" t="s">
        <v>272</v>
      </c>
      <c r="C28" s="204" t="s">
        <v>273</v>
      </c>
      <c r="D28" s="202">
        <v>0.05</v>
      </c>
      <c r="E28" s="205">
        <v>6.4</v>
      </c>
      <c r="G28" s="175" t="s">
        <v>1395</v>
      </c>
      <c r="H28" s="177"/>
      <c r="I28" s="206" t="s">
        <v>275</v>
      </c>
    </row>
    <row r="29" spans="1:9">
      <c r="A29" s="176" t="s">
        <v>276</v>
      </c>
      <c r="B29" s="177" t="s">
        <v>277</v>
      </c>
      <c r="C29" s="204" t="s">
        <v>278</v>
      </c>
      <c r="D29" s="202">
        <v>3.7999999999999999E-2</v>
      </c>
      <c r="E29" s="205">
        <v>6.4</v>
      </c>
      <c r="G29" s="175" t="s">
        <v>57</v>
      </c>
      <c r="H29" s="177"/>
      <c r="I29" s="206" t="s">
        <v>280</v>
      </c>
    </row>
    <row r="30" spans="1:9">
      <c r="A30" s="176" t="s">
        <v>281</v>
      </c>
      <c r="B30" s="177" t="s">
        <v>282</v>
      </c>
      <c r="C30" s="204" t="s">
        <v>283</v>
      </c>
      <c r="D30" s="202" t="s">
        <v>149</v>
      </c>
      <c r="E30" s="205">
        <v>6.4</v>
      </c>
      <c r="G30" s="175" t="s">
        <v>1396</v>
      </c>
      <c r="H30" s="177"/>
      <c r="I30" s="206" t="s">
        <v>285</v>
      </c>
    </row>
    <row r="31" spans="1:9">
      <c r="A31" s="176" t="s">
        <v>286</v>
      </c>
      <c r="B31" s="177" t="s">
        <v>287</v>
      </c>
      <c r="C31" s="204" t="s">
        <v>288</v>
      </c>
      <c r="D31" s="202">
        <v>0.03</v>
      </c>
      <c r="E31" s="205">
        <v>6.4</v>
      </c>
      <c r="G31" s="175" t="s">
        <v>58</v>
      </c>
      <c r="H31" s="177"/>
      <c r="I31" s="206" t="s">
        <v>290</v>
      </c>
    </row>
    <row r="32" spans="1:9">
      <c r="A32" s="176" t="s">
        <v>291</v>
      </c>
      <c r="B32" s="177" t="s">
        <v>292</v>
      </c>
      <c r="C32" s="204" t="s">
        <v>293</v>
      </c>
      <c r="D32" s="202">
        <v>0.03</v>
      </c>
      <c r="E32" s="205">
        <v>6.4</v>
      </c>
      <c r="G32" s="175" t="s">
        <v>59</v>
      </c>
      <c r="H32" s="177"/>
      <c r="I32" s="206" t="s">
        <v>295</v>
      </c>
    </row>
    <row r="33" spans="1:9">
      <c r="A33" s="176" t="s">
        <v>296</v>
      </c>
      <c r="B33" s="177" t="s">
        <v>297</v>
      </c>
      <c r="C33" s="204" t="s">
        <v>298</v>
      </c>
      <c r="D33" s="202">
        <v>0.03</v>
      </c>
      <c r="E33" s="205">
        <v>6.4</v>
      </c>
      <c r="G33" s="175" t="s">
        <v>60</v>
      </c>
      <c r="H33" s="177"/>
      <c r="I33" s="206" t="s">
        <v>300</v>
      </c>
    </row>
    <row r="34" spans="1:9">
      <c r="A34" s="176" t="s">
        <v>301</v>
      </c>
      <c r="B34" s="177" t="s">
        <v>302</v>
      </c>
      <c r="C34" s="204" t="s">
        <v>303</v>
      </c>
      <c r="D34" s="202">
        <v>0.03</v>
      </c>
      <c r="E34" s="205">
        <v>6.4</v>
      </c>
      <c r="G34" s="175" t="s">
        <v>1360</v>
      </c>
      <c r="H34" s="177"/>
      <c r="I34" s="206" t="s">
        <v>305</v>
      </c>
    </row>
    <row r="35" spans="1:9">
      <c r="A35" s="176" t="s">
        <v>306</v>
      </c>
      <c r="B35" s="177" t="s">
        <v>307</v>
      </c>
      <c r="C35" s="204" t="s">
        <v>308</v>
      </c>
      <c r="D35" s="202">
        <v>0.02</v>
      </c>
      <c r="E35" s="205">
        <v>6.4</v>
      </c>
      <c r="G35" s="175" t="s">
        <v>1361</v>
      </c>
      <c r="H35" s="177"/>
      <c r="I35" s="206" t="s">
        <v>310</v>
      </c>
    </row>
    <row r="36" spans="1:9">
      <c r="A36" s="176" t="s">
        <v>311</v>
      </c>
      <c r="B36" s="177" t="s">
        <v>312</v>
      </c>
      <c r="C36" s="204" t="s">
        <v>313</v>
      </c>
      <c r="D36" s="202" t="s">
        <v>149</v>
      </c>
      <c r="E36" s="205">
        <v>6.4</v>
      </c>
      <c r="G36" s="175" t="s">
        <v>1362</v>
      </c>
      <c r="H36" s="177"/>
      <c r="I36" s="206" t="s">
        <v>315</v>
      </c>
    </row>
    <row r="37" spans="1:9">
      <c r="A37" s="176" t="s">
        <v>316</v>
      </c>
      <c r="B37" s="177" t="s">
        <v>317</v>
      </c>
      <c r="C37" s="204" t="s">
        <v>318</v>
      </c>
      <c r="D37" s="202" t="s">
        <v>149</v>
      </c>
      <c r="E37" s="205">
        <v>6.4</v>
      </c>
      <c r="G37" s="175" t="s">
        <v>61</v>
      </c>
      <c r="H37" s="177"/>
      <c r="I37" s="206" t="s">
        <v>320</v>
      </c>
    </row>
    <row r="38" spans="1:9">
      <c r="A38" s="176" t="s">
        <v>321</v>
      </c>
      <c r="B38" s="177" t="s">
        <v>322</v>
      </c>
      <c r="C38" s="204" t="s">
        <v>323</v>
      </c>
      <c r="D38" s="202" t="s">
        <v>149</v>
      </c>
      <c r="E38" s="205">
        <v>6.4</v>
      </c>
      <c r="G38" s="175" t="s">
        <v>62</v>
      </c>
      <c r="H38" s="177"/>
      <c r="I38" s="206" t="s">
        <v>325</v>
      </c>
    </row>
    <row r="39" spans="1:9">
      <c r="A39" s="176" t="s">
        <v>326</v>
      </c>
      <c r="B39" s="177" t="s">
        <v>327</v>
      </c>
      <c r="C39" s="204" t="s">
        <v>328</v>
      </c>
      <c r="D39" s="202">
        <v>0.03</v>
      </c>
      <c r="E39" s="205">
        <v>6.4</v>
      </c>
      <c r="G39" s="175" t="s">
        <v>1397</v>
      </c>
      <c r="H39" s="177"/>
      <c r="I39" s="206" t="s">
        <v>330</v>
      </c>
    </row>
    <row r="40" spans="1:9">
      <c r="A40" s="176" t="s">
        <v>331</v>
      </c>
      <c r="B40" s="177" t="s">
        <v>332</v>
      </c>
      <c r="C40" s="204" t="s">
        <v>333</v>
      </c>
      <c r="D40" s="202" t="s">
        <v>149</v>
      </c>
      <c r="E40" s="205">
        <v>6.4</v>
      </c>
      <c r="G40" s="175" t="s">
        <v>63</v>
      </c>
      <c r="H40" s="177"/>
      <c r="I40" s="206" t="s">
        <v>335</v>
      </c>
    </row>
    <row r="41" spans="1:9">
      <c r="A41" s="176" t="s">
        <v>336</v>
      </c>
      <c r="B41" s="177" t="s">
        <v>337</v>
      </c>
      <c r="C41" s="204" t="s">
        <v>338</v>
      </c>
      <c r="D41" s="202">
        <v>0.05</v>
      </c>
      <c r="E41" s="205">
        <v>6.4</v>
      </c>
      <c r="G41" s="175" t="s">
        <v>64</v>
      </c>
      <c r="H41" s="177"/>
      <c r="I41" s="206" t="s">
        <v>339</v>
      </c>
    </row>
    <row r="42" spans="1:9">
      <c r="A42" s="176" t="s">
        <v>340</v>
      </c>
      <c r="B42" s="177" t="s">
        <v>341</v>
      </c>
      <c r="C42" s="204" t="s">
        <v>342</v>
      </c>
      <c r="D42" s="202">
        <v>0.02</v>
      </c>
      <c r="E42" s="205">
        <v>6.4</v>
      </c>
      <c r="G42" s="175" t="s">
        <v>65</v>
      </c>
      <c r="H42" s="177"/>
      <c r="I42" s="206" t="s">
        <v>343</v>
      </c>
    </row>
    <row r="43" spans="1:9">
      <c r="A43" s="176" t="s">
        <v>344</v>
      </c>
      <c r="B43" s="177" t="s">
        <v>345</v>
      </c>
      <c r="C43" s="204" t="s">
        <v>346</v>
      </c>
      <c r="D43" s="202" t="s">
        <v>149</v>
      </c>
      <c r="E43" s="205">
        <v>6.4</v>
      </c>
      <c r="G43" s="175" t="s">
        <v>66</v>
      </c>
      <c r="H43" s="177"/>
      <c r="I43" s="206" t="s">
        <v>347</v>
      </c>
    </row>
    <row r="44" spans="1:9">
      <c r="A44" s="176" t="s">
        <v>348</v>
      </c>
      <c r="B44" s="177" t="s">
        <v>349</v>
      </c>
      <c r="C44" s="204" t="s">
        <v>350</v>
      </c>
      <c r="D44" s="202">
        <v>0.02</v>
      </c>
      <c r="E44" s="205">
        <v>6.4</v>
      </c>
      <c r="G44" s="175" t="s">
        <v>67</v>
      </c>
      <c r="H44" s="177"/>
      <c r="I44" s="206" t="s">
        <v>352</v>
      </c>
    </row>
    <row r="45" spans="1:9">
      <c r="A45" s="176" t="s">
        <v>353</v>
      </c>
      <c r="B45" s="177" t="s">
        <v>354</v>
      </c>
      <c r="C45" s="204" t="s">
        <v>355</v>
      </c>
      <c r="D45" s="202" t="s">
        <v>149</v>
      </c>
      <c r="E45" s="205">
        <v>6.4</v>
      </c>
      <c r="G45" s="175" t="s">
        <v>68</v>
      </c>
      <c r="H45" s="147"/>
      <c r="I45" s="206" t="s">
        <v>357</v>
      </c>
    </row>
    <row r="46" spans="1:9">
      <c r="A46" s="176" t="s">
        <v>358</v>
      </c>
      <c r="B46" s="177" t="s">
        <v>359</v>
      </c>
      <c r="C46" s="204" t="s">
        <v>360</v>
      </c>
      <c r="D46" s="202">
        <v>0.03</v>
      </c>
      <c r="E46" s="205">
        <v>6.4</v>
      </c>
      <c r="G46" s="175" t="s">
        <v>69</v>
      </c>
      <c r="H46" s="147"/>
      <c r="I46" s="206" t="s">
        <v>362</v>
      </c>
    </row>
    <row r="47" spans="1:9">
      <c r="A47" s="176" t="s">
        <v>363</v>
      </c>
      <c r="B47" s="177" t="s">
        <v>364</v>
      </c>
      <c r="C47" s="204" t="s">
        <v>365</v>
      </c>
      <c r="D47" s="202">
        <v>0.03</v>
      </c>
      <c r="E47" s="205">
        <v>6.4</v>
      </c>
      <c r="G47" s="175" t="s">
        <v>70</v>
      </c>
      <c r="H47" s="147"/>
      <c r="I47" s="206" t="s">
        <v>367</v>
      </c>
    </row>
    <row r="48" spans="1:9">
      <c r="A48" s="176" t="s">
        <v>368</v>
      </c>
      <c r="B48" s="177" t="s">
        <v>369</v>
      </c>
      <c r="C48" s="204" t="s">
        <v>370</v>
      </c>
      <c r="D48" s="202">
        <v>0.02</v>
      </c>
      <c r="E48" s="205">
        <v>6.4</v>
      </c>
      <c r="G48" s="175" t="s">
        <v>71</v>
      </c>
      <c r="H48" s="147"/>
      <c r="I48" s="206" t="s">
        <v>372</v>
      </c>
    </row>
    <row r="49" spans="1:9">
      <c r="A49" s="176" t="s">
        <v>373</v>
      </c>
      <c r="B49" s="177" t="s">
        <v>374</v>
      </c>
      <c r="C49" s="204">
        <v>878</v>
      </c>
      <c r="D49" s="202">
        <v>0.02</v>
      </c>
      <c r="E49" s="205">
        <v>6.4</v>
      </c>
      <c r="G49" s="175" t="s">
        <v>72</v>
      </c>
      <c r="H49" s="147"/>
      <c r="I49" s="206" t="s">
        <v>376</v>
      </c>
    </row>
    <row r="50" spans="1:9">
      <c r="A50" s="176" t="s">
        <v>377</v>
      </c>
      <c r="B50" s="177" t="s">
        <v>378</v>
      </c>
      <c r="C50" s="204">
        <v>106</v>
      </c>
      <c r="D50" s="202">
        <v>0.02</v>
      </c>
      <c r="E50" s="205">
        <v>6.4</v>
      </c>
      <c r="G50" s="175" t="s">
        <v>73</v>
      </c>
      <c r="H50" s="147"/>
      <c r="I50" s="206" t="s">
        <v>380</v>
      </c>
    </row>
    <row r="51" spans="1:9">
      <c r="A51" s="176" t="s">
        <v>381</v>
      </c>
      <c r="B51" s="177" t="s">
        <v>382</v>
      </c>
      <c r="C51" s="204">
        <v>107</v>
      </c>
      <c r="D51" s="202" t="s">
        <v>149</v>
      </c>
      <c r="E51" s="205">
        <v>6.4</v>
      </c>
      <c r="G51" s="175" t="s">
        <v>74</v>
      </c>
      <c r="H51" s="147"/>
      <c r="I51" s="206" t="s">
        <v>384</v>
      </c>
    </row>
    <row r="52" spans="1:9">
      <c r="A52" s="176" t="s">
        <v>385</v>
      </c>
      <c r="B52" s="177" t="s">
        <v>386</v>
      </c>
      <c r="C52" s="204">
        <v>109</v>
      </c>
      <c r="D52" s="202" t="s">
        <v>149</v>
      </c>
      <c r="E52" s="205">
        <v>6.4</v>
      </c>
      <c r="G52" s="175" t="s">
        <v>75</v>
      </c>
      <c r="H52" s="147"/>
      <c r="I52" s="206" t="s">
        <v>388</v>
      </c>
    </row>
    <row r="53" spans="1:9">
      <c r="A53" s="176" t="s">
        <v>389</v>
      </c>
      <c r="B53" s="177" t="s">
        <v>390</v>
      </c>
      <c r="C53" s="204">
        <v>110</v>
      </c>
      <c r="D53" s="202">
        <v>0.02</v>
      </c>
      <c r="E53" s="205">
        <v>6.4</v>
      </c>
      <c r="G53" s="175" t="s">
        <v>76</v>
      </c>
      <c r="H53" s="147"/>
      <c r="I53" s="206" t="s">
        <v>391</v>
      </c>
    </row>
    <row r="54" spans="1:9">
      <c r="A54" s="176" t="s">
        <v>392</v>
      </c>
      <c r="B54" s="177" t="s">
        <v>393</v>
      </c>
      <c r="C54" s="204">
        <v>111</v>
      </c>
      <c r="D54" s="202" t="s">
        <v>149</v>
      </c>
      <c r="E54" s="205">
        <v>6.4</v>
      </c>
      <c r="G54" s="175" t="s">
        <v>1398</v>
      </c>
      <c r="H54" s="147"/>
      <c r="I54" s="206" t="s">
        <v>395</v>
      </c>
    </row>
    <row r="55" spans="1:9">
      <c r="A55" s="176" t="s">
        <v>396</v>
      </c>
      <c r="B55" s="177" t="s">
        <v>397</v>
      </c>
      <c r="C55" s="204">
        <v>112</v>
      </c>
      <c r="D55" s="202">
        <v>0.03</v>
      </c>
      <c r="E55" s="205">
        <v>6.4</v>
      </c>
      <c r="G55" s="175" t="s">
        <v>1527</v>
      </c>
      <c r="I55" s="206" t="s">
        <v>1363</v>
      </c>
    </row>
    <row r="56" spans="1:9">
      <c r="A56" s="176" t="s">
        <v>398</v>
      </c>
      <c r="B56" s="177" t="s">
        <v>399</v>
      </c>
      <c r="C56" s="204">
        <v>115</v>
      </c>
      <c r="D56" s="202">
        <v>0.03</v>
      </c>
      <c r="E56" s="205">
        <v>6.4</v>
      </c>
      <c r="G56" s="175" t="s">
        <v>1399</v>
      </c>
      <c r="I56" s="206" t="s">
        <v>1372</v>
      </c>
    </row>
    <row r="57" spans="1:9">
      <c r="A57" s="176" t="s">
        <v>400</v>
      </c>
      <c r="B57" s="177" t="s">
        <v>401</v>
      </c>
      <c r="C57" s="204">
        <v>116</v>
      </c>
      <c r="D57" s="202">
        <v>0.03</v>
      </c>
      <c r="E57" s="205">
        <v>6.4</v>
      </c>
      <c r="G57" s="175" t="s">
        <v>77</v>
      </c>
      <c r="I57" s="206" t="s">
        <v>1373</v>
      </c>
    </row>
    <row r="58" spans="1:9">
      <c r="A58" s="176" t="s">
        <v>402</v>
      </c>
      <c r="B58" s="177" t="s">
        <v>403</v>
      </c>
      <c r="C58" s="204">
        <v>118</v>
      </c>
      <c r="D58" s="202">
        <v>0.02</v>
      </c>
      <c r="E58" s="205">
        <v>6.4</v>
      </c>
      <c r="G58" s="175" t="s">
        <v>1400</v>
      </c>
      <c r="I58" s="206" t="s">
        <v>1374</v>
      </c>
    </row>
    <row r="59" spans="1:9">
      <c r="A59" s="176" t="s">
        <v>404</v>
      </c>
      <c r="B59" s="177" t="s">
        <v>405</v>
      </c>
      <c r="C59" s="204">
        <v>120</v>
      </c>
      <c r="D59" s="202">
        <v>0.03</v>
      </c>
      <c r="E59" s="205">
        <v>6.4</v>
      </c>
      <c r="G59" s="175" t="s">
        <v>1401</v>
      </c>
      <c r="H59" s="177"/>
      <c r="I59" s="206" t="s">
        <v>1375</v>
      </c>
    </row>
    <row r="60" spans="1:9">
      <c r="A60" s="176" t="s">
        <v>406</v>
      </c>
      <c r="B60" s="177" t="s">
        <v>407</v>
      </c>
      <c r="C60" s="204">
        <v>123</v>
      </c>
      <c r="D60" s="202">
        <v>0.03</v>
      </c>
      <c r="E60" s="205">
        <v>6.4</v>
      </c>
      <c r="G60" s="175" t="s">
        <v>1402</v>
      </c>
      <c r="H60" s="177"/>
      <c r="I60" s="206" t="s">
        <v>1376</v>
      </c>
    </row>
    <row r="61" spans="1:9">
      <c r="A61" s="176" t="s">
        <v>408</v>
      </c>
      <c r="B61" s="177" t="s">
        <v>409</v>
      </c>
      <c r="C61" s="204">
        <v>126</v>
      </c>
      <c r="D61" s="202" t="s">
        <v>149</v>
      </c>
      <c r="E61" s="205">
        <v>6.4</v>
      </c>
      <c r="G61" s="175" t="s">
        <v>78</v>
      </c>
      <c r="H61" s="177"/>
      <c r="I61" s="206" t="s">
        <v>1524</v>
      </c>
    </row>
    <row r="62" spans="1:9">
      <c r="A62" s="176" t="s">
        <v>410</v>
      </c>
      <c r="B62" s="177" t="s">
        <v>411</v>
      </c>
      <c r="C62" s="204">
        <v>132</v>
      </c>
      <c r="D62" s="202">
        <v>0.05</v>
      </c>
      <c r="E62" s="205">
        <v>6.4</v>
      </c>
      <c r="G62"/>
      <c r="H62"/>
      <c r="I62"/>
    </row>
    <row r="63" spans="1:9">
      <c r="A63" s="176" t="s">
        <v>412</v>
      </c>
      <c r="B63" s="177" t="s">
        <v>413</v>
      </c>
      <c r="C63" s="204">
        <v>133</v>
      </c>
      <c r="D63" s="202">
        <v>0.05</v>
      </c>
      <c r="E63" s="205">
        <v>6.4</v>
      </c>
      <c r="G63"/>
      <c r="H63"/>
      <c r="I63"/>
    </row>
    <row r="64" spans="1:9">
      <c r="A64" s="176" t="s">
        <v>414</v>
      </c>
      <c r="B64" s="177" t="s">
        <v>415</v>
      </c>
      <c r="C64" s="204">
        <v>134</v>
      </c>
      <c r="D64" s="202">
        <v>0.03</v>
      </c>
      <c r="E64" s="205">
        <v>6.4</v>
      </c>
      <c r="G64"/>
      <c r="H64"/>
      <c r="I64"/>
    </row>
    <row r="65" spans="1:9">
      <c r="A65" s="176" t="s">
        <v>416</v>
      </c>
      <c r="B65" s="177" t="s">
        <v>417</v>
      </c>
      <c r="C65" s="204">
        <v>137</v>
      </c>
      <c r="D65" s="202" t="s">
        <v>149</v>
      </c>
      <c r="E65" s="205">
        <v>6.4</v>
      </c>
      <c r="G65"/>
      <c r="H65"/>
      <c r="I65"/>
    </row>
    <row r="66" spans="1:9">
      <c r="A66" s="176" t="s">
        <v>418</v>
      </c>
      <c r="B66" s="177" t="s">
        <v>419</v>
      </c>
      <c r="C66" s="204">
        <v>140</v>
      </c>
      <c r="D66" s="202" t="s">
        <v>149</v>
      </c>
      <c r="E66" s="205">
        <v>6.4</v>
      </c>
      <c r="G66"/>
      <c r="H66"/>
      <c r="I66"/>
    </row>
    <row r="67" spans="1:9">
      <c r="A67" s="176" t="s">
        <v>420</v>
      </c>
      <c r="B67" s="177" t="s">
        <v>421</v>
      </c>
      <c r="C67" s="204">
        <v>141</v>
      </c>
      <c r="D67" s="202" t="s">
        <v>149</v>
      </c>
      <c r="E67" s="205">
        <v>6.4</v>
      </c>
      <c r="G67"/>
      <c r="H67"/>
      <c r="I67"/>
    </row>
    <row r="68" spans="1:9">
      <c r="A68" s="176" t="s">
        <v>422</v>
      </c>
      <c r="B68" s="177" t="s">
        <v>423</v>
      </c>
      <c r="C68" s="204">
        <v>142</v>
      </c>
      <c r="D68" s="202">
        <v>0.02</v>
      </c>
      <c r="E68" s="205">
        <v>6.4</v>
      </c>
      <c r="G68"/>
      <c r="H68"/>
      <c r="I68"/>
    </row>
    <row r="69" spans="1:9">
      <c r="A69" s="176" t="s">
        <v>424</v>
      </c>
      <c r="B69" s="177" t="s">
        <v>425</v>
      </c>
      <c r="C69" s="204">
        <v>143</v>
      </c>
      <c r="D69" s="202">
        <v>0.03</v>
      </c>
      <c r="E69" s="205">
        <v>6.4</v>
      </c>
      <c r="G69"/>
      <c r="H69"/>
      <c r="I69"/>
    </row>
    <row r="70" spans="1:9">
      <c r="A70" s="176" t="s">
        <v>426</v>
      </c>
      <c r="B70" s="177" t="s">
        <v>427</v>
      </c>
      <c r="C70" s="204">
        <v>144</v>
      </c>
      <c r="D70" s="202">
        <v>0.02</v>
      </c>
      <c r="E70" s="205">
        <v>6.4</v>
      </c>
      <c r="G70"/>
      <c r="H70"/>
      <c r="I70"/>
    </row>
    <row r="71" spans="1:9">
      <c r="A71" s="176" t="s">
        <v>428</v>
      </c>
      <c r="B71" s="177" t="s">
        <v>429</v>
      </c>
      <c r="C71" s="204">
        <v>879</v>
      </c>
      <c r="D71" s="202" t="s">
        <v>149</v>
      </c>
      <c r="E71" s="205">
        <v>6.4</v>
      </c>
      <c r="G71"/>
      <c r="H71"/>
      <c r="I71"/>
    </row>
    <row r="72" spans="1:9">
      <c r="A72" s="176" t="s">
        <v>430</v>
      </c>
      <c r="B72" s="177" t="s">
        <v>431</v>
      </c>
      <c r="C72" s="204">
        <v>151</v>
      </c>
      <c r="D72" s="202" t="s">
        <v>149</v>
      </c>
      <c r="E72" s="205">
        <v>6.4</v>
      </c>
      <c r="G72"/>
      <c r="H72"/>
      <c r="I72"/>
    </row>
    <row r="73" spans="1:9">
      <c r="A73" s="176" t="s">
        <v>432</v>
      </c>
      <c r="B73" s="177" t="s">
        <v>433</v>
      </c>
      <c r="C73" s="204">
        <v>153</v>
      </c>
      <c r="D73" s="202">
        <v>0.05</v>
      </c>
      <c r="E73" s="205">
        <v>6.4</v>
      </c>
      <c r="G73"/>
      <c r="H73"/>
      <c r="I73"/>
    </row>
    <row r="74" spans="1:9">
      <c r="A74" s="176" t="s">
        <v>434</v>
      </c>
      <c r="B74" s="177" t="s">
        <v>435</v>
      </c>
      <c r="C74" s="204">
        <v>155</v>
      </c>
      <c r="D74" s="202">
        <v>0.03</v>
      </c>
      <c r="E74" s="205">
        <v>6.4</v>
      </c>
      <c r="G74"/>
      <c r="H74"/>
      <c r="I74"/>
    </row>
    <row r="75" spans="1:9">
      <c r="A75" s="176" t="s">
        <v>436</v>
      </c>
      <c r="B75" s="177" t="s">
        <v>437</v>
      </c>
      <c r="C75" s="204">
        <v>166</v>
      </c>
      <c r="D75" s="202" t="s">
        <v>149</v>
      </c>
      <c r="E75" s="205">
        <v>6.4</v>
      </c>
      <c r="G75"/>
      <c r="H75"/>
      <c r="I75"/>
    </row>
    <row r="76" spans="1:9">
      <c r="A76" s="176" t="s">
        <v>438</v>
      </c>
      <c r="B76" s="177" t="s">
        <v>439</v>
      </c>
      <c r="C76" s="204">
        <v>172</v>
      </c>
      <c r="D76" s="202">
        <v>0.02</v>
      </c>
      <c r="E76" s="205">
        <v>6.4</v>
      </c>
      <c r="G76"/>
      <c r="H76"/>
      <c r="I76"/>
    </row>
    <row r="77" spans="1:9">
      <c r="A77" s="176" t="s">
        <v>440</v>
      </c>
      <c r="B77" s="177" t="s">
        <v>441</v>
      </c>
      <c r="C77" s="204">
        <v>175</v>
      </c>
      <c r="D77" s="202">
        <v>0.03</v>
      </c>
      <c r="E77" s="205">
        <v>6.4</v>
      </c>
      <c r="G77"/>
      <c r="H77"/>
      <c r="I77"/>
    </row>
    <row r="78" spans="1:9">
      <c r="A78" s="176" t="s">
        <v>442</v>
      </c>
      <c r="B78" s="177" t="s">
        <v>443</v>
      </c>
      <c r="C78" s="204">
        <v>177</v>
      </c>
      <c r="D78" s="202" t="s">
        <v>149</v>
      </c>
      <c r="E78" s="205">
        <v>6.4</v>
      </c>
      <c r="G78"/>
      <c r="H78"/>
      <c r="I78"/>
    </row>
    <row r="79" spans="1:9">
      <c r="A79" s="176" t="s">
        <v>444</v>
      </c>
      <c r="B79" s="177" t="s">
        <v>445</v>
      </c>
      <c r="C79" s="204">
        <v>180</v>
      </c>
      <c r="D79" s="202">
        <v>0.02</v>
      </c>
      <c r="E79" s="205">
        <v>6.4</v>
      </c>
      <c r="G79"/>
      <c r="H79"/>
      <c r="I79"/>
    </row>
    <row r="80" spans="1:9">
      <c r="A80" s="176" t="s">
        <v>446</v>
      </c>
      <c r="B80" s="177" t="s">
        <v>447</v>
      </c>
      <c r="C80" s="204">
        <v>182</v>
      </c>
      <c r="D80" s="202" t="s">
        <v>149</v>
      </c>
      <c r="E80" s="205">
        <v>6.4</v>
      </c>
      <c r="G80"/>
      <c r="H80"/>
      <c r="I80"/>
    </row>
    <row r="81" spans="1:9">
      <c r="A81" s="176" t="s">
        <v>448</v>
      </c>
      <c r="B81" s="177" t="s">
        <v>449</v>
      </c>
      <c r="C81" s="204">
        <v>183</v>
      </c>
      <c r="D81" s="202">
        <v>0.04</v>
      </c>
      <c r="E81" s="205">
        <v>6.4</v>
      </c>
      <c r="G81"/>
      <c r="H81"/>
      <c r="I81"/>
    </row>
    <row r="82" spans="1:9">
      <c r="A82" s="176" t="s">
        <v>450</v>
      </c>
      <c r="B82" s="177" t="s">
        <v>451</v>
      </c>
      <c r="C82" s="204">
        <v>184</v>
      </c>
      <c r="D82" s="202">
        <v>0.03</v>
      </c>
      <c r="E82" s="205">
        <v>6.4</v>
      </c>
      <c r="G82"/>
      <c r="H82"/>
      <c r="I82"/>
    </row>
    <row r="83" spans="1:9">
      <c r="A83" s="176" t="s">
        <v>452</v>
      </c>
      <c r="B83" s="177" t="s">
        <v>453</v>
      </c>
      <c r="C83" s="204" t="s">
        <v>454</v>
      </c>
      <c r="D83" s="202">
        <v>0.03</v>
      </c>
      <c r="E83" s="205">
        <v>6.4</v>
      </c>
      <c r="G83"/>
      <c r="H83"/>
      <c r="I83"/>
    </row>
    <row r="84" spans="1:9">
      <c r="A84" s="176" t="s">
        <v>455</v>
      </c>
      <c r="B84" s="177" t="s">
        <v>456</v>
      </c>
      <c r="C84" s="204">
        <v>775</v>
      </c>
      <c r="D84" s="202">
        <v>0.03</v>
      </c>
      <c r="E84" s="205">
        <v>6.4</v>
      </c>
      <c r="G84"/>
      <c r="H84"/>
      <c r="I84"/>
    </row>
    <row r="85" spans="1:9">
      <c r="A85" s="176" t="s">
        <v>457</v>
      </c>
      <c r="B85" s="177" t="s">
        <v>458</v>
      </c>
      <c r="C85" s="204">
        <v>191</v>
      </c>
      <c r="D85" s="202" t="s">
        <v>149</v>
      </c>
      <c r="E85" s="205">
        <v>6.4</v>
      </c>
      <c r="G85"/>
      <c r="H85"/>
      <c r="I85"/>
    </row>
    <row r="86" spans="1:9">
      <c r="A86" s="176" t="s">
        <v>459</v>
      </c>
      <c r="B86" s="177" t="s">
        <v>460</v>
      </c>
      <c r="C86" s="204">
        <v>193</v>
      </c>
      <c r="D86" s="202">
        <v>0.03</v>
      </c>
      <c r="E86" s="205">
        <v>6.4</v>
      </c>
      <c r="G86"/>
      <c r="H86"/>
      <c r="I86"/>
    </row>
    <row r="87" spans="1:9">
      <c r="A87" s="176" t="s">
        <v>461</v>
      </c>
      <c r="B87" s="177" t="s">
        <v>462</v>
      </c>
      <c r="C87" s="204">
        <v>194</v>
      </c>
      <c r="D87" s="202">
        <v>0.05</v>
      </c>
      <c r="E87" s="205">
        <v>6.4</v>
      </c>
      <c r="G87"/>
      <c r="H87"/>
      <c r="I87"/>
    </row>
    <row r="88" spans="1:9">
      <c r="A88" s="176" t="s">
        <v>463</v>
      </c>
      <c r="B88" s="177" t="s">
        <v>464</v>
      </c>
      <c r="C88" s="204">
        <v>205</v>
      </c>
      <c r="D88" s="202" t="s">
        <v>149</v>
      </c>
      <c r="E88" s="205">
        <v>6.4</v>
      </c>
      <c r="G88"/>
      <c r="H88"/>
      <c r="I88"/>
    </row>
    <row r="89" spans="1:9">
      <c r="A89" s="176" t="s">
        <v>465</v>
      </c>
      <c r="B89" s="177" t="s">
        <v>466</v>
      </c>
      <c r="C89" s="204">
        <v>208</v>
      </c>
      <c r="D89" s="202" t="s">
        <v>149</v>
      </c>
      <c r="E89" s="205">
        <v>6.4</v>
      </c>
      <c r="G89"/>
      <c r="H89"/>
      <c r="I89"/>
    </row>
    <row r="90" spans="1:9">
      <c r="A90" s="176" t="s">
        <v>467</v>
      </c>
      <c r="B90" s="177" t="s">
        <v>468</v>
      </c>
      <c r="C90" s="204">
        <v>209</v>
      </c>
      <c r="D90" s="202">
        <v>0.03</v>
      </c>
      <c r="E90" s="205">
        <v>6.4</v>
      </c>
      <c r="G90"/>
      <c r="H90"/>
      <c r="I90"/>
    </row>
    <row r="91" spans="1:9">
      <c r="A91" s="176" t="s">
        <v>469</v>
      </c>
      <c r="B91" s="177" t="s">
        <v>470</v>
      </c>
      <c r="C91" s="204">
        <v>216</v>
      </c>
      <c r="D91" s="202">
        <v>0.05</v>
      </c>
      <c r="E91" s="205">
        <v>6.4</v>
      </c>
      <c r="G91"/>
      <c r="H91"/>
      <c r="I91"/>
    </row>
    <row r="92" spans="1:9">
      <c r="A92" s="176" t="s">
        <v>471</v>
      </c>
      <c r="B92" s="177" t="s">
        <v>472</v>
      </c>
      <c r="C92" s="204">
        <v>220</v>
      </c>
      <c r="D92" s="202">
        <v>0.03</v>
      </c>
      <c r="E92" s="205">
        <v>6.4</v>
      </c>
      <c r="G92"/>
      <c r="H92"/>
      <c r="I92"/>
    </row>
    <row r="93" spans="1:9">
      <c r="A93" s="176" t="s">
        <v>473</v>
      </c>
      <c r="B93" s="177" t="s">
        <v>474</v>
      </c>
      <c r="C93" s="204">
        <v>223</v>
      </c>
      <c r="D93" s="202">
        <v>0.02</v>
      </c>
      <c r="E93" s="205">
        <v>6.4</v>
      </c>
      <c r="G93"/>
      <c r="H93"/>
      <c r="I93"/>
    </row>
    <row r="94" spans="1:9">
      <c r="A94" s="176" t="s">
        <v>475</v>
      </c>
      <c r="B94" s="177" t="s">
        <v>476</v>
      </c>
      <c r="C94" s="204">
        <v>232</v>
      </c>
      <c r="D94" s="202">
        <v>0.02</v>
      </c>
      <c r="E94" s="205">
        <v>6.4</v>
      </c>
      <c r="G94"/>
      <c r="H94"/>
      <c r="I94"/>
    </row>
    <row r="95" spans="1:9">
      <c r="A95" s="176" t="s">
        <v>477</v>
      </c>
      <c r="B95" s="177" t="s">
        <v>478</v>
      </c>
      <c r="C95" s="204">
        <v>236</v>
      </c>
      <c r="D95" s="202">
        <v>0.03</v>
      </c>
      <c r="E95" s="205">
        <v>6.4</v>
      </c>
      <c r="G95"/>
      <c r="H95"/>
      <c r="I95"/>
    </row>
    <row r="96" spans="1:9">
      <c r="A96" s="176" t="s">
        <v>479</v>
      </c>
      <c r="B96" s="177" t="s">
        <v>480</v>
      </c>
      <c r="C96" s="204">
        <v>239</v>
      </c>
      <c r="D96" s="202" t="s">
        <v>149</v>
      </c>
      <c r="E96" s="205">
        <v>6.4</v>
      </c>
      <c r="G96"/>
      <c r="H96"/>
      <c r="I96"/>
    </row>
    <row r="97" spans="1:9">
      <c r="A97" s="176" t="s">
        <v>481</v>
      </c>
      <c r="B97" s="177" t="s">
        <v>482</v>
      </c>
      <c r="C97" s="204">
        <v>240</v>
      </c>
      <c r="D97" s="202">
        <v>0.03</v>
      </c>
      <c r="E97" s="205">
        <v>6.4</v>
      </c>
      <c r="G97"/>
      <c r="H97"/>
      <c r="I97"/>
    </row>
    <row r="98" spans="1:9">
      <c r="A98" s="176" t="s">
        <v>483</v>
      </c>
      <c r="B98" s="177" t="s">
        <v>484</v>
      </c>
      <c r="C98" s="204">
        <v>241</v>
      </c>
      <c r="D98" s="202">
        <v>0.02</v>
      </c>
      <c r="E98" s="205">
        <v>6.4</v>
      </c>
      <c r="G98"/>
      <c r="H98"/>
      <c r="I98"/>
    </row>
    <row r="99" spans="1:9">
      <c r="A99" s="176" t="s">
        <v>485</v>
      </c>
      <c r="B99" s="177" t="s">
        <v>486</v>
      </c>
      <c r="C99" s="204">
        <v>242</v>
      </c>
      <c r="D99" s="202">
        <v>0.03</v>
      </c>
      <c r="E99" s="205">
        <v>6.4</v>
      </c>
      <c r="G99"/>
      <c r="H99"/>
      <c r="I99"/>
    </row>
    <row r="100" spans="1:9">
      <c r="A100" s="176" t="s">
        <v>487</v>
      </c>
      <c r="B100" s="177" t="s">
        <v>488</v>
      </c>
      <c r="C100" s="204">
        <v>243</v>
      </c>
      <c r="D100" s="202">
        <v>0.03</v>
      </c>
      <c r="E100" s="205">
        <v>6.4</v>
      </c>
      <c r="G100"/>
      <c r="H100"/>
      <c r="I100"/>
    </row>
    <row r="101" spans="1:9">
      <c r="A101" s="176" t="s">
        <v>489</v>
      </c>
      <c r="B101" s="177" t="s">
        <v>490</v>
      </c>
      <c r="C101" s="204">
        <v>248</v>
      </c>
      <c r="D101" s="202" t="s">
        <v>149</v>
      </c>
      <c r="E101" s="205">
        <v>6.4</v>
      </c>
      <c r="G101"/>
      <c r="H101"/>
      <c r="I101"/>
    </row>
    <row r="102" spans="1:9">
      <c r="A102" s="176" t="s">
        <v>491</v>
      </c>
      <c r="B102" s="177" t="s">
        <v>492</v>
      </c>
      <c r="C102" s="204">
        <v>249</v>
      </c>
      <c r="D102" s="202" t="s">
        <v>149</v>
      </c>
      <c r="E102" s="205">
        <v>6.4</v>
      </c>
      <c r="G102"/>
      <c r="H102"/>
      <c r="I102"/>
    </row>
    <row r="103" spans="1:9">
      <c r="A103" s="176" t="s">
        <v>493</v>
      </c>
      <c r="B103" s="177" t="s">
        <v>494</v>
      </c>
      <c r="C103" s="204">
        <v>251</v>
      </c>
      <c r="D103" s="202">
        <v>0.02</v>
      </c>
      <c r="E103" s="205">
        <v>6.4</v>
      </c>
      <c r="G103"/>
      <c r="H103"/>
      <c r="I103"/>
    </row>
    <row r="104" spans="1:9">
      <c r="A104" s="176" t="s">
        <v>495</v>
      </c>
      <c r="B104" s="177" t="s">
        <v>496</v>
      </c>
      <c r="C104" s="204">
        <v>259</v>
      </c>
      <c r="D104" s="202" t="s">
        <v>149</v>
      </c>
      <c r="E104" s="205">
        <v>6.4</v>
      </c>
      <c r="G104"/>
      <c r="H104"/>
      <c r="I104"/>
    </row>
    <row r="105" spans="1:9">
      <c r="A105" s="176" t="s">
        <v>497</v>
      </c>
      <c r="B105" s="177" t="s">
        <v>498</v>
      </c>
      <c r="C105" s="204">
        <v>261</v>
      </c>
      <c r="D105" s="202">
        <v>0.02</v>
      </c>
      <c r="E105" s="205">
        <v>6.4</v>
      </c>
      <c r="G105"/>
      <c r="H105"/>
      <c r="I105"/>
    </row>
    <row r="106" spans="1:9">
      <c r="A106" s="176" t="s">
        <v>499</v>
      </c>
      <c r="B106" s="177" t="s">
        <v>500</v>
      </c>
      <c r="C106" s="204">
        <v>267</v>
      </c>
      <c r="D106" s="202">
        <v>0.04</v>
      </c>
      <c r="E106" s="205">
        <v>6.4</v>
      </c>
      <c r="G106"/>
      <c r="H106"/>
      <c r="I106"/>
    </row>
    <row r="107" spans="1:9">
      <c r="A107" s="176" t="s">
        <v>501</v>
      </c>
      <c r="B107" s="177" t="s">
        <v>502</v>
      </c>
      <c r="C107" s="204">
        <v>271</v>
      </c>
      <c r="D107" s="202">
        <v>0.02</v>
      </c>
      <c r="E107" s="205">
        <v>6.4</v>
      </c>
      <c r="G107"/>
      <c r="H107"/>
      <c r="I107"/>
    </row>
    <row r="108" spans="1:9">
      <c r="A108" s="176" t="s">
        <v>503</v>
      </c>
      <c r="B108" s="177" t="s">
        <v>504</v>
      </c>
      <c r="C108" s="204">
        <v>273</v>
      </c>
      <c r="D108" s="202" t="s">
        <v>149</v>
      </c>
      <c r="E108" s="205">
        <v>6.4</v>
      </c>
      <c r="G108"/>
      <c r="H108"/>
      <c r="I108"/>
    </row>
    <row r="109" spans="1:9">
      <c r="A109" s="176" t="s">
        <v>505</v>
      </c>
      <c r="B109" s="177" t="s">
        <v>506</v>
      </c>
      <c r="C109" s="204">
        <v>105</v>
      </c>
      <c r="D109" s="202">
        <v>0.05</v>
      </c>
      <c r="E109" s="205">
        <v>6.4</v>
      </c>
      <c r="G109"/>
      <c r="H109"/>
      <c r="I109"/>
    </row>
    <row r="110" spans="1:9">
      <c r="A110" s="176" t="s">
        <v>507</v>
      </c>
      <c r="B110" s="177" t="s">
        <v>508</v>
      </c>
      <c r="C110" s="204">
        <v>278</v>
      </c>
      <c r="D110" s="202" t="s">
        <v>149</v>
      </c>
      <c r="E110" s="205">
        <v>6.4</v>
      </c>
      <c r="G110"/>
      <c r="H110"/>
      <c r="I110"/>
    </row>
    <row r="111" spans="1:9">
      <c r="A111" s="176" t="s">
        <v>509</v>
      </c>
      <c r="B111" s="177" t="s">
        <v>510</v>
      </c>
      <c r="C111" s="204">
        <v>280</v>
      </c>
      <c r="D111" s="202">
        <v>3.5000000000000003E-2</v>
      </c>
      <c r="E111" s="205">
        <v>6.4</v>
      </c>
      <c r="G111"/>
      <c r="H111"/>
      <c r="I111"/>
    </row>
    <row r="112" spans="1:9">
      <c r="A112" s="176" t="s">
        <v>511</v>
      </c>
      <c r="B112" s="177" t="s">
        <v>512</v>
      </c>
      <c r="C112" s="204">
        <v>281</v>
      </c>
      <c r="D112" s="202" t="s">
        <v>149</v>
      </c>
      <c r="E112" s="205">
        <v>6.4</v>
      </c>
      <c r="G112"/>
      <c r="H112"/>
      <c r="I112"/>
    </row>
    <row r="113" spans="1:9">
      <c r="A113" s="176" t="s">
        <v>513</v>
      </c>
      <c r="B113" s="177" t="s">
        <v>514</v>
      </c>
      <c r="C113" s="204">
        <v>283</v>
      </c>
      <c r="D113" s="202" t="s">
        <v>149</v>
      </c>
      <c r="E113" s="205">
        <v>6.4</v>
      </c>
      <c r="G113"/>
      <c r="H113"/>
      <c r="I113"/>
    </row>
    <row r="114" spans="1:9">
      <c r="A114" s="176" t="s">
        <v>515</v>
      </c>
      <c r="B114" s="177" t="s">
        <v>516</v>
      </c>
      <c r="C114" s="204">
        <v>284</v>
      </c>
      <c r="D114" s="202" t="s">
        <v>149</v>
      </c>
      <c r="E114" s="205">
        <v>6.4</v>
      </c>
      <c r="G114"/>
      <c r="H114"/>
      <c r="I114"/>
    </row>
    <row r="115" spans="1:9">
      <c r="A115" s="176" t="s">
        <v>517</v>
      </c>
      <c r="B115" s="177" t="s">
        <v>518</v>
      </c>
      <c r="C115" s="204">
        <v>287</v>
      </c>
      <c r="D115" s="202" t="s">
        <v>149</v>
      </c>
      <c r="E115" s="205">
        <v>6.4</v>
      </c>
      <c r="G115"/>
      <c r="H115"/>
      <c r="I115"/>
    </row>
    <row r="116" spans="1:9">
      <c r="A116" s="176" t="s">
        <v>519</v>
      </c>
      <c r="B116" s="177" t="s">
        <v>520</v>
      </c>
      <c r="C116" s="204">
        <v>295</v>
      </c>
      <c r="D116" s="202">
        <v>0.02</v>
      </c>
      <c r="E116" s="205">
        <v>6.4</v>
      </c>
      <c r="G116"/>
      <c r="H116"/>
      <c r="I116"/>
    </row>
    <row r="117" spans="1:9">
      <c r="A117" s="176" t="s">
        <v>521</v>
      </c>
      <c r="B117" s="177" t="s">
        <v>522</v>
      </c>
      <c r="C117" s="204">
        <v>297</v>
      </c>
      <c r="D117" s="202" t="s">
        <v>149</v>
      </c>
      <c r="E117" s="205">
        <v>6.4</v>
      </c>
      <c r="G117"/>
      <c r="H117"/>
      <c r="I117"/>
    </row>
    <row r="118" spans="1:9">
      <c r="A118" s="176" t="s">
        <v>523</v>
      </c>
      <c r="B118" s="177" t="s">
        <v>524</v>
      </c>
      <c r="C118" s="204">
        <v>114</v>
      </c>
      <c r="D118" s="202">
        <v>0.02</v>
      </c>
      <c r="E118" s="205">
        <v>6.4</v>
      </c>
      <c r="G118"/>
      <c r="H118"/>
      <c r="I118"/>
    </row>
    <row r="119" spans="1:9">
      <c r="A119" s="176" t="s">
        <v>525</v>
      </c>
      <c r="B119" s="177" t="s">
        <v>526</v>
      </c>
      <c r="C119" s="204">
        <v>301</v>
      </c>
      <c r="D119" s="202" t="s">
        <v>149</v>
      </c>
      <c r="E119" s="205">
        <v>6.4</v>
      </c>
      <c r="G119"/>
      <c r="H119"/>
      <c r="I119"/>
    </row>
    <row r="120" spans="1:9">
      <c r="A120" s="176" t="s">
        <v>527</v>
      </c>
      <c r="B120" s="177" t="s">
        <v>528</v>
      </c>
      <c r="C120" s="204">
        <v>303</v>
      </c>
      <c r="D120" s="202">
        <v>0.03</v>
      </c>
      <c r="E120" s="205">
        <v>6.4</v>
      </c>
      <c r="G120"/>
      <c r="H120"/>
      <c r="I120"/>
    </row>
    <row r="121" spans="1:9">
      <c r="A121" s="176" t="s">
        <v>529</v>
      </c>
      <c r="B121" s="177" t="s">
        <v>530</v>
      </c>
      <c r="C121" s="204">
        <v>309</v>
      </c>
      <c r="D121" s="202">
        <v>0.03</v>
      </c>
      <c r="E121" s="205">
        <v>6.4</v>
      </c>
      <c r="G121"/>
      <c r="H121"/>
      <c r="I121"/>
    </row>
    <row r="122" spans="1:9">
      <c r="A122" s="176" t="s">
        <v>531</v>
      </c>
      <c r="B122" s="177" t="s">
        <v>532</v>
      </c>
      <c r="C122" s="204">
        <v>312</v>
      </c>
      <c r="D122" s="202">
        <v>0.05</v>
      </c>
      <c r="E122" s="205">
        <v>6.4</v>
      </c>
      <c r="G122"/>
      <c r="H122"/>
      <c r="I122"/>
    </row>
    <row r="123" spans="1:9">
      <c r="A123" s="176" t="s">
        <v>533</v>
      </c>
      <c r="B123" s="177" t="s">
        <v>534</v>
      </c>
      <c r="C123" s="204">
        <v>313</v>
      </c>
      <c r="D123" s="202">
        <v>0.03</v>
      </c>
      <c r="E123" s="205">
        <v>6.4</v>
      </c>
      <c r="G123"/>
      <c r="H123"/>
      <c r="I123"/>
    </row>
    <row r="124" spans="1:9">
      <c r="A124" s="176" t="s">
        <v>535</v>
      </c>
      <c r="B124" s="177" t="s">
        <v>536</v>
      </c>
      <c r="C124" s="204">
        <v>317</v>
      </c>
      <c r="D124" s="202">
        <v>0.03</v>
      </c>
      <c r="E124" s="205">
        <v>6.4</v>
      </c>
      <c r="G124"/>
      <c r="H124"/>
      <c r="I124"/>
    </row>
    <row r="125" spans="1:9">
      <c r="A125" s="176" t="s">
        <v>537</v>
      </c>
      <c r="B125" s="177" t="s">
        <v>538</v>
      </c>
      <c r="C125" s="204">
        <v>319</v>
      </c>
      <c r="D125" s="202" t="s">
        <v>149</v>
      </c>
      <c r="E125" s="205">
        <v>6.4</v>
      </c>
      <c r="G125"/>
      <c r="H125"/>
      <c r="I125"/>
    </row>
    <row r="126" spans="1:9">
      <c r="A126" s="176" t="s">
        <v>539</v>
      </c>
      <c r="B126" s="177" t="s">
        <v>540</v>
      </c>
      <c r="C126" s="204">
        <v>322</v>
      </c>
      <c r="D126" s="202" t="s">
        <v>149</v>
      </c>
      <c r="E126" s="205">
        <v>6.4</v>
      </c>
      <c r="G126"/>
      <c r="H126"/>
      <c r="I126"/>
    </row>
    <row r="127" spans="1:9">
      <c r="A127" s="176" t="s">
        <v>541</v>
      </c>
      <c r="B127" s="177" t="s">
        <v>542</v>
      </c>
      <c r="C127" s="204">
        <v>324</v>
      </c>
      <c r="D127" s="202">
        <v>0.02</v>
      </c>
      <c r="E127" s="205">
        <v>6.4</v>
      </c>
      <c r="G127"/>
      <c r="H127"/>
      <c r="I127"/>
    </row>
    <row r="128" spans="1:9">
      <c r="A128" s="176" t="s">
        <v>543</v>
      </c>
      <c r="B128" s="177" t="s">
        <v>544</v>
      </c>
      <c r="C128" s="204">
        <v>325</v>
      </c>
      <c r="D128" s="202">
        <v>0.05</v>
      </c>
      <c r="E128" s="205">
        <v>6.4</v>
      </c>
      <c r="G128"/>
      <c r="H128"/>
      <c r="I128"/>
    </row>
    <row r="129" spans="1:9">
      <c r="A129" s="176" t="s">
        <v>545</v>
      </c>
      <c r="B129" s="177" t="s">
        <v>546</v>
      </c>
      <c r="C129" s="204">
        <v>327</v>
      </c>
      <c r="D129" s="202">
        <v>0.03</v>
      </c>
      <c r="E129" s="205">
        <v>6.4</v>
      </c>
      <c r="G129"/>
      <c r="H129"/>
      <c r="I129"/>
    </row>
    <row r="130" spans="1:9">
      <c r="A130" s="176" t="s">
        <v>547</v>
      </c>
      <c r="B130" s="177" t="s">
        <v>548</v>
      </c>
      <c r="C130" s="204">
        <v>329</v>
      </c>
      <c r="D130" s="202">
        <v>0.03</v>
      </c>
      <c r="E130" s="205">
        <v>6.4</v>
      </c>
      <c r="G130"/>
      <c r="H130"/>
      <c r="I130"/>
    </row>
    <row r="131" spans="1:9">
      <c r="A131" s="176" t="s">
        <v>549</v>
      </c>
      <c r="B131" s="177" t="s">
        <v>550</v>
      </c>
      <c r="C131" s="204">
        <v>330</v>
      </c>
      <c r="D131" s="202">
        <v>0.03</v>
      </c>
      <c r="E131" s="205">
        <v>6.4</v>
      </c>
      <c r="G131"/>
      <c r="H131"/>
      <c r="I131"/>
    </row>
    <row r="132" spans="1:9">
      <c r="A132" s="176" t="s">
        <v>551</v>
      </c>
      <c r="B132" s="177" t="s">
        <v>552</v>
      </c>
      <c r="C132" s="204">
        <v>331</v>
      </c>
      <c r="D132" s="202" t="s">
        <v>149</v>
      </c>
      <c r="E132" s="205">
        <v>6.4</v>
      </c>
      <c r="G132"/>
      <c r="H132"/>
      <c r="I132"/>
    </row>
    <row r="133" spans="1:9">
      <c r="A133" s="176" t="s">
        <v>553</v>
      </c>
      <c r="B133" s="177" t="s">
        <v>554</v>
      </c>
      <c r="C133" s="204">
        <v>332</v>
      </c>
      <c r="D133" s="202" t="s">
        <v>149</v>
      </c>
      <c r="E133" s="205">
        <v>6.4</v>
      </c>
      <c r="G133"/>
      <c r="H133"/>
      <c r="I133"/>
    </row>
    <row r="134" spans="1:9">
      <c r="A134" s="176" t="s">
        <v>555</v>
      </c>
      <c r="B134" s="177" t="s">
        <v>556</v>
      </c>
      <c r="C134" s="204">
        <v>334</v>
      </c>
      <c r="D134" s="202" t="s">
        <v>149</v>
      </c>
      <c r="E134" s="205">
        <v>6.4</v>
      </c>
      <c r="G134"/>
      <c r="H134"/>
      <c r="I134"/>
    </row>
    <row r="135" spans="1:9">
      <c r="A135" s="176" t="s">
        <v>557</v>
      </c>
      <c r="B135" s="177" t="s">
        <v>558</v>
      </c>
      <c r="C135" s="204">
        <v>335</v>
      </c>
      <c r="D135" s="202" t="s">
        <v>149</v>
      </c>
      <c r="E135" s="205">
        <v>6.4</v>
      </c>
      <c r="G135"/>
      <c r="H135"/>
      <c r="I135"/>
    </row>
    <row r="136" spans="1:9">
      <c r="A136" s="176" t="s">
        <v>559</v>
      </c>
      <c r="B136" s="177" t="s">
        <v>560</v>
      </c>
      <c r="C136" s="204">
        <v>338</v>
      </c>
      <c r="D136" s="202">
        <v>0.02</v>
      </c>
      <c r="E136" s="205">
        <v>6.4</v>
      </c>
      <c r="G136"/>
      <c r="H136"/>
      <c r="I136"/>
    </row>
    <row r="137" spans="1:9">
      <c r="A137" s="176" t="s">
        <v>561</v>
      </c>
      <c r="B137" s="177" t="s">
        <v>562</v>
      </c>
      <c r="C137" s="204">
        <v>342</v>
      </c>
      <c r="D137" s="202">
        <v>0.04</v>
      </c>
      <c r="E137" s="205">
        <v>6.4</v>
      </c>
      <c r="G137"/>
      <c r="H137"/>
      <c r="I137"/>
    </row>
    <row r="138" spans="1:9">
      <c r="A138" s="176" t="s">
        <v>563</v>
      </c>
      <c r="B138" s="177" t="s">
        <v>564</v>
      </c>
      <c r="C138" s="204">
        <v>343</v>
      </c>
      <c r="D138" s="202" t="s">
        <v>149</v>
      </c>
      <c r="E138" s="205">
        <v>6.4</v>
      </c>
      <c r="G138"/>
      <c r="H138"/>
      <c r="I138"/>
    </row>
    <row r="139" spans="1:9">
      <c r="A139" s="176" t="s">
        <v>565</v>
      </c>
      <c r="B139" s="177" t="s">
        <v>566</v>
      </c>
      <c r="C139" s="204">
        <v>344</v>
      </c>
      <c r="D139" s="202">
        <v>0.03</v>
      </c>
      <c r="E139" s="205">
        <v>6.4</v>
      </c>
      <c r="G139"/>
      <c r="H139"/>
      <c r="I139"/>
    </row>
    <row r="140" spans="1:9">
      <c r="A140" s="176" t="s">
        <v>567</v>
      </c>
      <c r="B140" s="177" t="s">
        <v>568</v>
      </c>
      <c r="C140" s="204">
        <v>346</v>
      </c>
      <c r="D140" s="202">
        <v>0.03</v>
      </c>
      <c r="E140" s="205">
        <v>6.4</v>
      </c>
      <c r="G140"/>
      <c r="H140"/>
      <c r="I140"/>
    </row>
    <row r="141" spans="1:9">
      <c r="A141" s="176" t="s">
        <v>569</v>
      </c>
      <c r="B141" s="177" t="s">
        <v>570</v>
      </c>
      <c r="C141" s="204">
        <v>347</v>
      </c>
      <c r="D141" s="202">
        <v>0.03</v>
      </c>
      <c r="E141" s="205">
        <v>6.4</v>
      </c>
      <c r="G141"/>
      <c r="H141"/>
      <c r="I141"/>
    </row>
    <row r="142" spans="1:9">
      <c r="A142" s="176" t="s">
        <v>571</v>
      </c>
      <c r="B142" s="177" t="s">
        <v>572</v>
      </c>
      <c r="C142" s="204">
        <v>348</v>
      </c>
      <c r="D142" s="202" t="s">
        <v>149</v>
      </c>
      <c r="E142" s="205">
        <v>6.4</v>
      </c>
      <c r="G142"/>
      <c r="H142"/>
      <c r="I142"/>
    </row>
    <row r="143" spans="1:9">
      <c r="A143" s="176" t="s">
        <v>573</v>
      </c>
      <c r="B143" s="177" t="s">
        <v>574</v>
      </c>
      <c r="C143" s="204">
        <v>349</v>
      </c>
      <c r="D143" s="202" t="s">
        <v>149</v>
      </c>
      <c r="E143" s="205">
        <v>6.4</v>
      </c>
      <c r="G143"/>
      <c r="H143"/>
      <c r="I143"/>
    </row>
    <row r="144" spans="1:9">
      <c r="A144" s="176" t="s">
        <v>575</v>
      </c>
      <c r="B144" s="177" t="s">
        <v>576</v>
      </c>
      <c r="C144" s="204">
        <v>738</v>
      </c>
      <c r="D144" s="202">
        <v>0.03</v>
      </c>
      <c r="E144" s="205">
        <v>6.4</v>
      </c>
      <c r="G144"/>
      <c r="H144"/>
      <c r="I144"/>
    </row>
    <row r="145" spans="1:9">
      <c r="A145" s="176" t="s">
        <v>577</v>
      </c>
      <c r="B145" s="177" t="s">
        <v>578</v>
      </c>
      <c r="C145" s="204">
        <v>351</v>
      </c>
      <c r="D145" s="202">
        <v>0.04</v>
      </c>
      <c r="E145" s="205">
        <v>6.4</v>
      </c>
      <c r="G145"/>
      <c r="H145"/>
      <c r="I145"/>
    </row>
    <row r="146" spans="1:9">
      <c r="A146" s="176" t="s">
        <v>579</v>
      </c>
      <c r="B146" s="177" t="s">
        <v>580</v>
      </c>
      <c r="C146" s="204">
        <v>352</v>
      </c>
      <c r="D146" s="202">
        <v>0.03</v>
      </c>
      <c r="E146" s="205">
        <v>6.4</v>
      </c>
      <c r="G146"/>
      <c r="H146"/>
      <c r="I146"/>
    </row>
    <row r="147" spans="1:9">
      <c r="A147" s="176" t="s">
        <v>581</v>
      </c>
      <c r="B147" s="177" t="s">
        <v>582</v>
      </c>
      <c r="C147" s="204">
        <v>355</v>
      </c>
      <c r="D147" s="202" t="s">
        <v>149</v>
      </c>
      <c r="E147" s="205">
        <v>6.4</v>
      </c>
      <c r="G147"/>
      <c r="H147"/>
      <c r="I147"/>
    </row>
    <row r="148" spans="1:9">
      <c r="A148" s="176" t="s">
        <v>583</v>
      </c>
      <c r="B148" s="177" t="s">
        <v>584</v>
      </c>
      <c r="C148" s="204">
        <v>358</v>
      </c>
      <c r="D148" s="202" t="s">
        <v>149</v>
      </c>
      <c r="E148" s="205">
        <v>6.4</v>
      </c>
      <c r="G148"/>
      <c r="H148"/>
      <c r="I148"/>
    </row>
    <row r="149" spans="1:9">
      <c r="A149" s="176" t="s">
        <v>585</v>
      </c>
      <c r="B149" s="177" t="s">
        <v>586</v>
      </c>
      <c r="C149" s="204">
        <v>362</v>
      </c>
      <c r="D149" s="202" t="s">
        <v>149</v>
      </c>
      <c r="E149" s="205">
        <v>6.4</v>
      </c>
      <c r="G149"/>
      <c r="H149"/>
      <c r="I149"/>
    </row>
    <row r="150" spans="1:9">
      <c r="A150" s="176" t="s">
        <v>587</v>
      </c>
      <c r="B150" s="177" t="s">
        <v>588</v>
      </c>
      <c r="C150" s="204">
        <v>363</v>
      </c>
      <c r="D150" s="202" t="s">
        <v>149</v>
      </c>
      <c r="E150" s="205">
        <v>6.4</v>
      </c>
      <c r="G150"/>
      <c r="H150"/>
      <c r="I150"/>
    </row>
    <row r="151" spans="1:9">
      <c r="A151" s="176" t="s">
        <v>589</v>
      </c>
      <c r="B151" s="177" t="s">
        <v>590</v>
      </c>
      <c r="C151" s="204">
        <v>740</v>
      </c>
      <c r="D151" s="202" t="s">
        <v>149</v>
      </c>
      <c r="E151" s="205">
        <v>6.4</v>
      </c>
      <c r="G151"/>
      <c r="H151"/>
      <c r="I151"/>
    </row>
    <row r="152" spans="1:9">
      <c r="A152" s="176" t="s">
        <v>591</v>
      </c>
      <c r="B152" s="177" t="s">
        <v>592</v>
      </c>
      <c r="C152" s="204">
        <v>145</v>
      </c>
      <c r="D152" s="202">
        <v>0.05</v>
      </c>
      <c r="E152" s="205">
        <v>6.4</v>
      </c>
      <c r="G152"/>
      <c r="H152"/>
      <c r="I152"/>
    </row>
    <row r="153" spans="1:9">
      <c r="A153" s="176" t="s">
        <v>593</v>
      </c>
      <c r="B153" s="177" t="s">
        <v>594</v>
      </c>
      <c r="C153" s="204">
        <v>372</v>
      </c>
      <c r="D153" s="202">
        <v>0.02</v>
      </c>
      <c r="E153" s="205">
        <v>6.4</v>
      </c>
      <c r="G153"/>
      <c r="H153"/>
      <c r="I153"/>
    </row>
    <row r="154" spans="1:9">
      <c r="A154" s="176" t="s">
        <v>595</v>
      </c>
      <c r="B154" s="177" t="s">
        <v>596</v>
      </c>
      <c r="C154" s="204">
        <v>148</v>
      </c>
      <c r="D154" s="202">
        <v>0.05</v>
      </c>
      <c r="E154" s="205">
        <v>6.4</v>
      </c>
      <c r="G154"/>
      <c r="H154"/>
      <c r="I154"/>
    </row>
    <row r="155" spans="1:9">
      <c r="A155" s="176" t="s">
        <v>597</v>
      </c>
      <c r="B155" s="177" t="s">
        <v>598</v>
      </c>
      <c r="C155" s="204">
        <v>377</v>
      </c>
      <c r="D155" s="202" t="s">
        <v>149</v>
      </c>
      <c r="E155" s="205">
        <v>6.4</v>
      </c>
      <c r="G155"/>
      <c r="H155"/>
      <c r="I155"/>
    </row>
    <row r="156" spans="1:9">
      <c r="A156" s="176" t="s">
        <v>599</v>
      </c>
      <c r="B156" s="177" t="s">
        <v>600</v>
      </c>
      <c r="C156" s="204">
        <v>378</v>
      </c>
      <c r="D156" s="202" t="s">
        <v>149</v>
      </c>
      <c r="E156" s="205">
        <v>6.4</v>
      </c>
      <c r="G156"/>
      <c r="H156"/>
      <c r="I156"/>
    </row>
    <row r="157" spans="1:9">
      <c r="A157" s="176" t="s">
        <v>601</v>
      </c>
      <c r="B157" s="177" t="s">
        <v>602</v>
      </c>
      <c r="C157" s="204">
        <v>382</v>
      </c>
      <c r="D157" s="202">
        <v>0.05</v>
      </c>
      <c r="E157" s="205">
        <v>6.4</v>
      </c>
      <c r="G157"/>
      <c r="H157"/>
      <c r="I157"/>
    </row>
    <row r="158" spans="1:9">
      <c r="A158" s="176" t="s">
        <v>603</v>
      </c>
      <c r="B158" s="177" t="s">
        <v>604</v>
      </c>
      <c r="C158" s="204">
        <v>384</v>
      </c>
      <c r="D158" s="202" t="s">
        <v>149</v>
      </c>
      <c r="E158" s="205">
        <v>6.4</v>
      </c>
      <c r="G158"/>
      <c r="H158"/>
      <c r="I158"/>
    </row>
    <row r="159" spans="1:9">
      <c r="A159" s="176" t="s">
        <v>605</v>
      </c>
      <c r="B159" s="177" t="s">
        <v>606</v>
      </c>
      <c r="C159" s="204">
        <v>386</v>
      </c>
      <c r="D159" s="202" t="s">
        <v>149</v>
      </c>
      <c r="E159" s="205">
        <v>6.4</v>
      </c>
      <c r="G159"/>
      <c r="H159"/>
      <c r="I159"/>
    </row>
    <row r="160" spans="1:9">
      <c r="A160" s="176" t="s">
        <v>607</v>
      </c>
      <c r="B160" s="177" t="s">
        <v>607</v>
      </c>
      <c r="C160" s="204">
        <v>388</v>
      </c>
      <c r="D160" s="202" t="s">
        <v>149</v>
      </c>
      <c r="E160" s="205">
        <v>6.4</v>
      </c>
      <c r="G160"/>
      <c r="H160"/>
      <c r="I160"/>
    </row>
    <row r="161" spans="1:9">
      <c r="A161" s="176" t="s">
        <v>608</v>
      </c>
      <c r="B161" s="177" t="s">
        <v>609</v>
      </c>
      <c r="C161" s="204">
        <v>390</v>
      </c>
      <c r="D161" s="202">
        <v>0.03</v>
      </c>
      <c r="E161" s="205">
        <v>6.4</v>
      </c>
      <c r="G161"/>
      <c r="H161"/>
      <c r="I161"/>
    </row>
    <row r="162" spans="1:9">
      <c r="A162" s="176" t="s">
        <v>610</v>
      </c>
      <c r="B162" s="177" t="s">
        <v>611</v>
      </c>
      <c r="C162" s="204">
        <v>392</v>
      </c>
      <c r="D162" s="202" t="s">
        <v>149</v>
      </c>
      <c r="E162" s="205">
        <v>6.4</v>
      </c>
      <c r="G162"/>
      <c r="H162"/>
      <c r="I162"/>
    </row>
    <row r="163" spans="1:9">
      <c r="A163" s="176" t="s">
        <v>612</v>
      </c>
      <c r="B163" s="177" t="s">
        <v>613</v>
      </c>
      <c r="C163" s="204">
        <v>393</v>
      </c>
      <c r="D163" s="202">
        <v>0.02</v>
      </c>
      <c r="E163" s="205">
        <v>6.4</v>
      </c>
      <c r="G163"/>
      <c r="H163"/>
      <c r="I163"/>
    </row>
    <row r="164" spans="1:9">
      <c r="A164" s="176" t="s">
        <v>614</v>
      </c>
      <c r="B164" s="177" t="s">
        <v>615</v>
      </c>
      <c r="C164" s="204">
        <v>394</v>
      </c>
      <c r="D164" s="202">
        <v>0.03</v>
      </c>
      <c r="E164" s="205">
        <v>6.4</v>
      </c>
      <c r="G164"/>
      <c r="H164"/>
      <c r="I164"/>
    </row>
    <row r="165" spans="1:9">
      <c r="A165" s="176" t="s">
        <v>616</v>
      </c>
      <c r="B165" s="177" t="s">
        <v>617</v>
      </c>
      <c r="C165" s="204">
        <v>395</v>
      </c>
      <c r="D165" s="202">
        <v>0.02</v>
      </c>
      <c r="E165" s="205">
        <v>6.4</v>
      </c>
      <c r="G165"/>
      <c r="H165"/>
      <c r="I165"/>
    </row>
    <row r="166" spans="1:9">
      <c r="A166" s="176" t="s">
        <v>618</v>
      </c>
      <c r="B166" s="177" t="s">
        <v>619</v>
      </c>
      <c r="C166" s="204">
        <v>396</v>
      </c>
      <c r="D166" s="202">
        <v>0.03</v>
      </c>
      <c r="E166" s="205">
        <v>6.4</v>
      </c>
      <c r="G166"/>
      <c r="H166"/>
      <c r="I166"/>
    </row>
    <row r="167" spans="1:9">
      <c r="A167" s="176" t="s">
        <v>620</v>
      </c>
      <c r="B167" s="177" t="s">
        <v>621</v>
      </c>
      <c r="C167" s="204">
        <v>398</v>
      </c>
      <c r="D167" s="202" t="s">
        <v>149</v>
      </c>
      <c r="E167" s="205">
        <v>6.4</v>
      </c>
      <c r="G167"/>
      <c r="H167"/>
      <c r="I167"/>
    </row>
    <row r="168" spans="1:9">
      <c r="A168" s="176" t="s">
        <v>622</v>
      </c>
      <c r="B168" s="177" t="s">
        <v>623</v>
      </c>
      <c r="C168" s="204">
        <v>400</v>
      </c>
      <c r="D168" s="202">
        <v>0.03</v>
      </c>
      <c r="E168" s="205">
        <v>6.4</v>
      </c>
      <c r="G168"/>
      <c r="H168"/>
      <c r="I168"/>
    </row>
    <row r="169" spans="1:9">
      <c r="A169" s="176" t="s">
        <v>624</v>
      </c>
      <c r="B169" s="177" t="s">
        <v>625</v>
      </c>
      <c r="C169" s="204">
        <v>405</v>
      </c>
      <c r="D169" s="202">
        <v>0.05</v>
      </c>
      <c r="E169" s="205">
        <v>6.4</v>
      </c>
      <c r="G169"/>
      <c r="H169"/>
      <c r="I169"/>
    </row>
    <row r="170" spans="1:9">
      <c r="A170" s="176" t="s">
        <v>626</v>
      </c>
      <c r="B170" s="177" t="s">
        <v>627</v>
      </c>
      <c r="C170" s="204">
        <v>407</v>
      </c>
      <c r="D170" s="202">
        <v>0.03</v>
      </c>
      <c r="E170" s="205">
        <v>6.4</v>
      </c>
      <c r="G170"/>
      <c r="H170"/>
      <c r="I170"/>
    </row>
    <row r="171" spans="1:9">
      <c r="A171" s="176" t="s">
        <v>628</v>
      </c>
      <c r="B171" s="177" t="s">
        <v>629</v>
      </c>
      <c r="C171" s="204">
        <v>408</v>
      </c>
      <c r="D171" s="202" t="s">
        <v>149</v>
      </c>
      <c r="E171" s="205">
        <v>6.4</v>
      </c>
      <c r="G171"/>
      <c r="H171"/>
      <c r="I171"/>
    </row>
    <row r="172" spans="1:9">
      <c r="A172" s="176" t="s">
        <v>630</v>
      </c>
      <c r="B172" s="177" t="s">
        <v>631</v>
      </c>
      <c r="C172" s="204">
        <v>411</v>
      </c>
      <c r="D172" s="202">
        <v>0.02</v>
      </c>
      <c r="E172" s="205">
        <v>6.4</v>
      </c>
      <c r="G172"/>
      <c r="H172"/>
      <c r="I172"/>
    </row>
    <row r="173" spans="1:9">
      <c r="A173" s="176" t="s">
        <v>632</v>
      </c>
      <c r="B173" s="177" t="s">
        <v>633</v>
      </c>
      <c r="C173" s="204">
        <v>414</v>
      </c>
      <c r="D173" s="202" t="s">
        <v>149</v>
      </c>
      <c r="E173" s="205">
        <v>6.4</v>
      </c>
      <c r="G173"/>
      <c r="H173"/>
      <c r="I173"/>
    </row>
    <row r="174" spans="1:9">
      <c r="A174" s="176" t="s">
        <v>634</v>
      </c>
      <c r="B174" s="177" t="s">
        <v>635</v>
      </c>
      <c r="C174" s="204">
        <v>416</v>
      </c>
      <c r="D174" s="202">
        <v>0.03</v>
      </c>
      <c r="E174" s="205">
        <v>6.4</v>
      </c>
      <c r="G174"/>
      <c r="H174"/>
      <c r="I174"/>
    </row>
    <row r="175" spans="1:9">
      <c r="A175" s="176" t="s">
        <v>636</v>
      </c>
      <c r="B175" s="177" t="s">
        <v>637</v>
      </c>
      <c r="C175" s="204">
        <v>417</v>
      </c>
      <c r="D175" s="202" t="s">
        <v>149</v>
      </c>
      <c r="E175" s="205">
        <v>6.4</v>
      </c>
      <c r="G175"/>
      <c r="H175"/>
      <c r="I175"/>
    </row>
    <row r="176" spans="1:9">
      <c r="A176" s="176" t="s">
        <v>638</v>
      </c>
      <c r="B176" s="177" t="s">
        <v>639</v>
      </c>
      <c r="C176" s="204">
        <v>418</v>
      </c>
      <c r="D176" s="202" t="s">
        <v>149</v>
      </c>
      <c r="E176" s="205">
        <v>6.4</v>
      </c>
      <c r="G176"/>
      <c r="H176"/>
      <c r="I176"/>
    </row>
    <row r="177" spans="1:9">
      <c r="A177" s="176" t="s">
        <v>640</v>
      </c>
      <c r="B177" s="177" t="s">
        <v>641</v>
      </c>
      <c r="C177" s="204">
        <v>421</v>
      </c>
      <c r="D177" s="202" t="s">
        <v>149</v>
      </c>
      <c r="E177" s="205">
        <v>6.4</v>
      </c>
      <c r="G177"/>
      <c r="H177"/>
      <c r="I177"/>
    </row>
    <row r="178" spans="1:9">
      <c r="A178" s="176" t="s">
        <v>642</v>
      </c>
      <c r="B178" s="177" t="s">
        <v>643</v>
      </c>
      <c r="C178" s="204">
        <v>422</v>
      </c>
      <c r="D178" s="202">
        <v>0.03</v>
      </c>
      <c r="E178" s="205">
        <v>6.4</v>
      </c>
      <c r="G178"/>
      <c r="H178"/>
      <c r="I178"/>
    </row>
    <row r="179" spans="1:9">
      <c r="A179" s="176" t="s">
        <v>644</v>
      </c>
      <c r="B179" s="177" t="s">
        <v>645</v>
      </c>
      <c r="C179" s="204">
        <v>427</v>
      </c>
      <c r="D179" s="202" t="s">
        <v>149</v>
      </c>
      <c r="E179" s="205">
        <v>6.4</v>
      </c>
      <c r="G179"/>
      <c r="H179"/>
      <c r="I179"/>
    </row>
    <row r="180" spans="1:9">
      <c r="A180" s="176" t="s">
        <v>646</v>
      </c>
      <c r="B180" s="177" t="s">
        <v>647</v>
      </c>
      <c r="C180" s="204">
        <v>428</v>
      </c>
      <c r="D180" s="202" t="s">
        <v>149</v>
      </c>
      <c r="E180" s="205">
        <v>6.4</v>
      </c>
      <c r="G180"/>
      <c r="H180"/>
      <c r="I180"/>
    </row>
    <row r="181" spans="1:9">
      <c r="A181" s="176" t="s">
        <v>648</v>
      </c>
      <c r="B181" s="177" t="s">
        <v>649</v>
      </c>
      <c r="C181" s="204">
        <v>429</v>
      </c>
      <c r="D181" s="202">
        <v>0.03</v>
      </c>
      <c r="E181" s="205">
        <v>6.4</v>
      </c>
      <c r="G181"/>
      <c r="H181"/>
      <c r="I181"/>
    </row>
    <row r="182" spans="1:9">
      <c r="A182" s="176" t="s">
        <v>650</v>
      </c>
      <c r="B182" s="177" t="s">
        <v>651</v>
      </c>
      <c r="C182" s="204">
        <v>430</v>
      </c>
      <c r="D182" s="202" t="s">
        <v>149</v>
      </c>
      <c r="E182" s="205">
        <v>6.4</v>
      </c>
      <c r="G182"/>
      <c r="H182"/>
      <c r="I182"/>
    </row>
    <row r="183" spans="1:9">
      <c r="A183" s="176" t="s">
        <v>652</v>
      </c>
      <c r="B183" s="177" t="s">
        <v>653</v>
      </c>
      <c r="C183" s="204">
        <v>431</v>
      </c>
      <c r="D183" s="202" t="s">
        <v>149</v>
      </c>
      <c r="E183" s="205">
        <v>6.4</v>
      </c>
      <c r="G183"/>
      <c r="H183"/>
      <c r="I183"/>
    </row>
    <row r="184" spans="1:9">
      <c r="A184" s="176" t="s">
        <v>654</v>
      </c>
      <c r="B184" s="177" t="s">
        <v>655</v>
      </c>
      <c r="C184" s="204">
        <v>432</v>
      </c>
      <c r="D184" s="202" t="s">
        <v>149</v>
      </c>
      <c r="E184" s="205">
        <v>6.4</v>
      </c>
      <c r="G184"/>
      <c r="H184"/>
      <c r="I184"/>
    </row>
    <row r="185" spans="1:9">
      <c r="A185" s="176" t="s">
        <v>656</v>
      </c>
      <c r="B185" s="177" t="s">
        <v>657</v>
      </c>
      <c r="C185" s="204">
        <v>434</v>
      </c>
      <c r="D185" s="202" t="s">
        <v>149</v>
      </c>
      <c r="E185" s="205">
        <v>6.4</v>
      </c>
      <c r="G185"/>
      <c r="H185"/>
      <c r="I185"/>
    </row>
    <row r="186" spans="1:9">
      <c r="A186" s="176" t="s">
        <v>658</v>
      </c>
      <c r="B186" s="177" t="s">
        <v>659</v>
      </c>
      <c r="C186" s="204">
        <v>433</v>
      </c>
      <c r="D186" s="202">
        <v>0.03</v>
      </c>
      <c r="E186" s="205">
        <v>6.4</v>
      </c>
      <c r="G186"/>
      <c r="H186"/>
      <c r="I186"/>
    </row>
    <row r="187" spans="1:9">
      <c r="A187" s="176" t="s">
        <v>660</v>
      </c>
      <c r="B187" s="177" t="s">
        <v>661</v>
      </c>
      <c r="C187" s="204">
        <v>435</v>
      </c>
      <c r="D187" s="202" t="s">
        <v>149</v>
      </c>
      <c r="E187" s="205">
        <v>6.4</v>
      </c>
      <c r="G187"/>
      <c r="H187"/>
      <c r="I187"/>
    </row>
    <row r="188" spans="1:9">
      <c r="A188" s="176" t="s">
        <v>662</v>
      </c>
      <c r="B188" s="177" t="s">
        <v>663</v>
      </c>
      <c r="C188" s="204">
        <v>439</v>
      </c>
      <c r="D188" s="202">
        <v>0.03</v>
      </c>
      <c r="E188" s="205">
        <v>6.4</v>
      </c>
      <c r="G188"/>
      <c r="H188"/>
      <c r="I188"/>
    </row>
    <row r="189" spans="1:9">
      <c r="A189" s="176" t="s">
        <v>664</v>
      </c>
      <c r="B189" s="177" t="s">
        <v>665</v>
      </c>
      <c r="C189" s="204">
        <v>440</v>
      </c>
      <c r="D189" s="202">
        <v>0.03</v>
      </c>
      <c r="E189" s="205">
        <v>6.4</v>
      </c>
      <c r="G189"/>
      <c r="H189"/>
      <c r="I189"/>
    </row>
    <row r="190" spans="1:9">
      <c r="A190" s="176" t="s">
        <v>666</v>
      </c>
      <c r="B190" s="177" t="s">
        <v>667</v>
      </c>
      <c r="C190" s="204">
        <v>441</v>
      </c>
      <c r="D190" s="202">
        <v>0.03</v>
      </c>
      <c r="E190" s="205">
        <v>6.4</v>
      </c>
      <c r="G190"/>
      <c r="H190"/>
      <c r="I190"/>
    </row>
    <row r="191" spans="1:9">
      <c r="A191" s="176" t="s">
        <v>668</v>
      </c>
      <c r="B191" s="177" t="s">
        <v>669</v>
      </c>
      <c r="C191" s="204">
        <v>443</v>
      </c>
      <c r="D191" s="202">
        <v>0.03</v>
      </c>
      <c r="E191" s="205">
        <v>6.4</v>
      </c>
      <c r="G191"/>
      <c r="H191"/>
      <c r="I191"/>
    </row>
    <row r="192" spans="1:9">
      <c r="A192" s="176" t="s">
        <v>670</v>
      </c>
      <c r="B192" s="177" t="s">
        <v>671</v>
      </c>
      <c r="C192" s="204">
        <v>444</v>
      </c>
      <c r="D192" s="202" t="s">
        <v>149</v>
      </c>
      <c r="E192" s="205">
        <v>6.4</v>
      </c>
      <c r="G192"/>
      <c r="H192"/>
      <c r="I192"/>
    </row>
    <row r="193" spans="1:9">
      <c r="A193" s="176" t="s">
        <v>672</v>
      </c>
      <c r="B193" s="177" t="s">
        <v>673</v>
      </c>
      <c r="C193" s="204">
        <v>446</v>
      </c>
      <c r="D193" s="202" t="s">
        <v>149</v>
      </c>
      <c r="E193" s="205">
        <v>6.4</v>
      </c>
      <c r="G193"/>
      <c r="H193"/>
      <c r="I193"/>
    </row>
    <row r="194" spans="1:9">
      <c r="A194" s="176" t="s">
        <v>674</v>
      </c>
      <c r="B194" s="177" t="s">
        <v>675</v>
      </c>
      <c r="C194" s="204">
        <v>447</v>
      </c>
      <c r="D194" s="202" t="s">
        <v>149</v>
      </c>
      <c r="E194" s="205">
        <v>6.4</v>
      </c>
      <c r="G194"/>
      <c r="H194"/>
      <c r="I194"/>
    </row>
    <row r="195" spans="1:9">
      <c r="A195" s="176" t="s">
        <v>676</v>
      </c>
      <c r="B195" s="177" t="s">
        <v>677</v>
      </c>
      <c r="C195" s="204">
        <v>188</v>
      </c>
      <c r="D195" s="202">
        <v>0.03</v>
      </c>
      <c r="E195" s="205">
        <v>6.4</v>
      </c>
      <c r="G195"/>
      <c r="H195"/>
      <c r="I195"/>
    </row>
    <row r="196" spans="1:9">
      <c r="A196" s="176" t="s">
        <v>678</v>
      </c>
      <c r="B196" s="177" t="s">
        <v>679</v>
      </c>
      <c r="C196" s="204">
        <v>450</v>
      </c>
      <c r="D196" s="202">
        <v>0.03</v>
      </c>
      <c r="E196" s="205">
        <v>6.4</v>
      </c>
      <c r="G196"/>
      <c r="H196"/>
      <c r="I196"/>
    </row>
    <row r="197" spans="1:9">
      <c r="A197" s="176" t="s">
        <v>680</v>
      </c>
      <c r="B197" s="177" t="s">
        <v>681</v>
      </c>
      <c r="C197" s="204">
        <v>451</v>
      </c>
      <c r="D197" s="202" t="s">
        <v>149</v>
      </c>
      <c r="E197" s="205">
        <v>6.4</v>
      </c>
      <c r="G197"/>
      <c r="H197"/>
      <c r="I197"/>
    </row>
    <row r="198" spans="1:9">
      <c r="A198" s="176" t="s">
        <v>682</v>
      </c>
      <c r="B198" s="177" t="s">
        <v>683</v>
      </c>
      <c r="C198" s="204">
        <v>452</v>
      </c>
      <c r="D198" s="202">
        <v>0.03</v>
      </c>
      <c r="E198" s="205">
        <v>6.4</v>
      </c>
      <c r="G198"/>
      <c r="H198"/>
      <c r="I198"/>
    </row>
    <row r="199" spans="1:9">
      <c r="A199" s="176" t="s">
        <v>684</v>
      </c>
      <c r="B199" s="177" t="s">
        <v>685</v>
      </c>
      <c r="C199" s="204">
        <v>453</v>
      </c>
      <c r="D199" s="202">
        <v>0.03</v>
      </c>
      <c r="E199" s="205">
        <v>6.4</v>
      </c>
      <c r="G199"/>
      <c r="H199"/>
      <c r="I199"/>
    </row>
    <row r="200" spans="1:9">
      <c r="A200" s="176" t="s">
        <v>686</v>
      </c>
      <c r="B200" s="177" t="s">
        <v>687</v>
      </c>
      <c r="C200" s="204">
        <v>456</v>
      </c>
      <c r="D200" s="202">
        <v>0.03</v>
      </c>
      <c r="E200" s="205">
        <v>6.4</v>
      </c>
      <c r="G200"/>
      <c r="H200"/>
      <c r="I200"/>
    </row>
    <row r="201" spans="1:9">
      <c r="A201" s="176" t="s">
        <v>688</v>
      </c>
      <c r="B201" s="177" t="s">
        <v>689</v>
      </c>
      <c r="C201" s="204">
        <v>459</v>
      </c>
      <c r="D201" s="202" t="s">
        <v>149</v>
      </c>
      <c r="E201" s="205">
        <v>6.4</v>
      </c>
      <c r="G201"/>
      <c r="H201"/>
      <c r="I201"/>
    </row>
    <row r="202" spans="1:9">
      <c r="A202" s="176" t="s">
        <v>690</v>
      </c>
      <c r="B202" s="177" t="s">
        <v>691</v>
      </c>
      <c r="C202" s="204">
        <v>460</v>
      </c>
      <c r="D202" s="202" t="s">
        <v>149</v>
      </c>
      <c r="E202" s="205">
        <v>6.4</v>
      </c>
      <c r="G202"/>
      <c r="H202"/>
      <c r="I202"/>
    </row>
    <row r="203" spans="1:9">
      <c r="A203" s="176" t="s">
        <v>692</v>
      </c>
      <c r="B203" s="177" t="s">
        <v>693</v>
      </c>
      <c r="C203" s="204">
        <v>461</v>
      </c>
      <c r="D203" s="202">
        <v>0.05</v>
      </c>
      <c r="E203" s="205">
        <v>6.4</v>
      </c>
      <c r="G203"/>
      <c r="H203"/>
      <c r="I203"/>
    </row>
    <row r="204" spans="1:9">
      <c r="A204" s="176" t="s">
        <v>694</v>
      </c>
      <c r="B204" s="177" t="s">
        <v>695</v>
      </c>
      <c r="C204" s="204">
        <v>467</v>
      </c>
      <c r="D204" s="202" t="s">
        <v>149</v>
      </c>
      <c r="E204" s="205">
        <v>6.4</v>
      </c>
      <c r="G204"/>
      <c r="H204"/>
      <c r="I204"/>
    </row>
    <row r="205" spans="1:9">
      <c r="A205" s="176" t="s">
        <v>696</v>
      </c>
      <c r="B205" s="177" t="s">
        <v>697</v>
      </c>
      <c r="C205" s="204">
        <v>471</v>
      </c>
      <c r="D205" s="202">
        <v>0.03</v>
      </c>
      <c r="E205" s="205">
        <v>6.4</v>
      </c>
      <c r="G205"/>
      <c r="H205"/>
      <c r="I205"/>
    </row>
    <row r="206" spans="1:9">
      <c r="A206" s="176" t="s">
        <v>698</v>
      </c>
      <c r="B206" s="177" t="s">
        <v>699</v>
      </c>
      <c r="C206" s="204">
        <v>470</v>
      </c>
      <c r="D206" s="202">
        <v>0.04</v>
      </c>
      <c r="E206" s="205">
        <v>6.4</v>
      </c>
      <c r="G206"/>
      <c r="H206"/>
      <c r="I206"/>
    </row>
    <row r="207" spans="1:9">
      <c r="A207" s="176" t="s">
        <v>700</v>
      </c>
      <c r="B207" s="177" t="s">
        <v>701</v>
      </c>
      <c r="C207" s="204">
        <v>472</v>
      </c>
      <c r="D207" s="202">
        <v>0.03</v>
      </c>
      <c r="E207" s="205">
        <v>6.4</v>
      </c>
      <c r="G207"/>
      <c r="H207"/>
      <c r="I207"/>
    </row>
    <row r="208" spans="1:9">
      <c r="A208" s="176" t="s">
        <v>702</v>
      </c>
      <c r="B208" s="177" t="s">
        <v>703</v>
      </c>
      <c r="C208" s="204">
        <v>473</v>
      </c>
      <c r="D208" s="202">
        <v>0.03</v>
      </c>
      <c r="E208" s="205">
        <v>6.4</v>
      </c>
      <c r="G208"/>
      <c r="H208"/>
      <c r="I208"/>
    </row>
    <row r="209" spans="1:9">
      <c r="A209" s="176" t="s">
        <v>704</v>
      </c>
      <c r="B209" s="177" t="s">
        <v>705</v>
      </c>
      <c r="C209" s="204">
        <v>474</v>
      </c>
      <c r="D209" s="202">
        <v>0.03</v>
      </c>
      <c r="E209" s="205">
        <v>6.4</v>
      </c>
      <c r="G209"/>
      <c r="H209"/>
      <c r="I209"/>
    </row>
    <row r="210" spans="1:9">
      <c r="A210" s="176" t="s">
        <v>706</v>
      </c>
      <c r="B210" s="177" t="s">
        <v>707</v>
      </c>
      <c r="C210" s="204">
        <v>476</v>
      </c>
      <c r="D210" s="202" t="s">
        <v>149</v>
      </c>
      <c r="E210" s="205">
        <v>6.4</v>
      </c>
      <c r="G210"/>
      <c r="H210"/>
      <c r="I210"/>
    </row>
    <row r="211" spans="1:9">
      <c r="A211" s="176" t="s">
        <v>708</v>
      </c>
      <c r="B211" s="177" t="s">
        <v>709</v>
      </c>
      <c r="C211" s="204">
        <v>477</v>
      </c>
      <c r="D211" s="202" t="s">
        <v>149</v>
      </c>
      <c r="E211" s="205">
        <v>6.4</v>
      </c>
      <c r="G211"/>
      <c r="H211"/>
      <c r="I211"/>
    </row>
    <row r="212" spans="1:9">
      <c r="A212" s="176" t="s">
        <v>710</v>
      </c>
      <c r="B212" s="177" t="s">
        <v>711</v>
      </c>
      <c r="C212" s="204">
        <v>479</v>
      </c>
      <c r="D212" s="202">
        <v>0.03</v>
      </c>
      <c r="E212" s="205">
        <v>6.4</v>
      </c>
      <c r="G212"/>
      <c r="H212"/>
      <c r="I212"/>
    </row>
    <row r="213" spans="1:9">
      <c r="A213" s="176" t="s">
        <v>712</v>
      </c>
      <c r="B213" s="177" t="s">
        <v>713</v>
      </c>
      <c r="C213" s="204">
        <v>480</v>
      </c>
      <c r="D213" s="202">
        <v>0.02</v>
      </c>
      <c r="E213" s="205">
        <v>6.4</v>
      </c>
      <c r="G213"/>
      <c r="H213"/>
      <c r="I213"/>
    </row>
    <row r="214" spans="1:9">
      <c r="A214" s="176" t="s">
        <v>714</v>
      </c>
      <c r="B214" s="177" t="s">
        <v>715</v>
      </c>
      <c r="C214" s="204">
        <v>481</v>
      </c>
      <c r="D214" s="202" t="s">
        <v>149</v>
      </c>
      <c r="E214" s="205">
        <v>6.4</v>
      </c>
      <c r="G214"/>
      <c r="H214"/>
      <c r="I214"/>
    </row>
    <row r="215" spans="1:9">
      <c r="A215" s="176" t="s">
        <v>716</v>
      </c>
      <c r="B215" s="177" t="s">
        <v>717</v>
      </c>
      <c r="C215" s="204">
        <v>486</v>
      </c>
      <c r="D215" s="202">
        <v>0.05</v>
      </c>
      <c r="E215" s="205">
        <v>6.4</v>
      </c>
      <c r="G215"/>
      <c r="H215"/>
      <c r="I215"/>
    </row>
    <row r="216" spans="1:9">
      <c r="A216" s="176" t="s">
        <v>718</v>
      </c>
      <c r="B216" s="177" t="s">
        <v>719</v>
      </c>
      <c r="C216" s="204">
        <v>487</v>
      </c>
      <c r="D216" s="202" t="s">
        <v>149</v>
      </c>
      <c r="E216" s="205">
        <v>6.4</v>
      </c>
      <c r="G216"/>
      <c r="H216"/>
      <c r="I216"/>
    </row>
    <row r="217" spans="1:9">
      <c r="A217" s="176" t="s">
        <v>720</v>
      </c>
      <c r="B217" s="177" t="s">
        <v>721</v>
      </c>
      <c r="C217" s="204">
        <v>491</v>
      </c>
      <c r="D217" s="202" t="s">
        <v>149</v>
      </c>
      <c r="E217" s="205">
        <v>6.4</v>
      </c>
      <c r="G217"/>
      <c r="H217"/>
      <c r="I217"/>
    </row>
    <row r="218" spans="1:9">
      <c r="A218" s="176" t="s">
        <v>722</v>
      </c>
      <c r="B218" s="177" t="s">
        <v>723</v>
      </c>
      <c r="C218" s="204">
        <v>210</v>
      </c>
      <c r="D218" s="202">
        <v>2.7000000000000003E-2</v>
      </c>
      <c r="E218" s="205">
        <v>6.4</v>
      </c>
      <c r="G218"/>
      <c r="H218"/>
      <c r="I218"/>
    </row>
    <row r="219" spans="1:9">
      <c r="A219" s="176" t="s">
        <v>724</v>
      </c>
      <c r="B219" s="177" t="s">
        <v>725</v>
      </c>
      <c r="C219" s="204">
        <v>498</v>
      </c>
      <c r="D219" s="202" t="s">
        <v>149</v>
      </c>
      <c r="E219" s="205">
        <v>6.4</v>
      </c>
      <c r="G219"/>
      <c r="H219"/>
      <c r="I219"/>
    </row>
    <row r="220" spans="1:9">
      <c r="A220" s="176" t="s">
        <v>726</v>
      </c>
      <c r="B220" s="177" t="s">
        <v>727</v>
      </c>
      <c r="C220" s="204">
        <v>499</v>
      </c>
      <c r="D220" s="202" t="s">
        <v>149</v>
      </c>
      <c r="E220" s="205">
        <v>6.4</v>
      </c>
      <c r="G220"/>
      <c r="H220"/>
      <c r="I220"/>
    </row>
    <row r="221" spans="1:9">
      <c r="A221" s="176" t="s">
        <v>728</v>
      </c>
      <c r="B221" s="177" t="s">
        <v>729</v>
      </c>
      <c r="C221" s="204">
        <v>508</v>
      </c>
      <c r="D221" s="202">
        <v>0.03</v>
      </c>
      <c r="E221" s="205">
        <v>6.4</v>
      </c>
      <c r="G221"/>
      <c r="H221"/>
      <c r="I221"/>
    </row>
    <row r="222" spans="1:9">
      <c r="A222" s="176" t="s">
        <v>730</v>
      </c>
      <c r="B222" s="177" t="s">
        <v>731</v>
      </c>
      <c r="C222" s="204">
        <v>511</v>
      </c>
      <c r="D222" s="202" t="s">
        <v>149</v>
      </c>
      <c r="E222" s="205">
        <v>6.4</v>
      </c>
      <c r="G222"/>
      <c r="H222"/>
      <c r="I222"/>
    </row>
    <row r="223" spans="1:9">
      <c r="A223" s="176" t="s">
        <v>732</v>
      </c>
      <c r="B223" s="177" t="s">
        <v>733</v>
      </c>
      <c r="C223" s="204">
        <v>512</v>
      </c>
      <c r="D223" s="202">
        <v>0.03</v>
      </c>
      <c r="E223" s="205">
        <v>6.4</v>
      </c>
      <c r="G223"/>
      <c r="H223"/>
      <c r="I223"/>
    </row>
    <row r="224" spans="1:9">
      <c r="A224" s="176" t="s">
        <v>734</v>
      </c>
      <c r="B224" s="177" t="s">
        <v>735</v>
      </c>
      <c r="C224" s="204">
        <v>514</v>
      </c>
      <c r="D224" s="202">
        <v>0.02</v>
      </c>
      <c r="E224" s="205">
        <v>6.4</v>
      </c>
      <c r="G224"/>
      <c r="H224"/>
      <c r="I224"/>
    </row>
    <row r="225" spans="1:9">
      <c r="A225" s="176" t="s">
        <v>736</v>
      </c>
      <c r="B225" s="177" t="s">
        <v>737</v>
      </c>
      <c r="C225" s="204">
        <v>515</v>
      </c>
      <c r="D225" s="202" t="s">
        <v>149</v>
      </c>
      <c r="E225" s="205">
        <v>6.4</v>
      </c>
      <c r="G225"/>
      <c r="H225"/>
      <c r="I225"/>
    </row>
    <row r="226" spans="1:9">
      <c r="A226" s="176" t="s">
        <v>738</v>
      </c>
      <c r="B226" s="177" t="s">
        <v>739</v>
      </c>
      <c r="C226" s="204">
        <v>517</v>
      </c>
      <c r="D226" s="202">
        <v>0.03</v>
      </c>
      <c r="E226" s="205">
        <v>6.4</v>
      </c>
      <c r="G226"/>
      <c r="H226"/>
      <c r="I226"/>
    </row>
    <row r="227" spans="1:9">
      <c r="A227" s="176" t="s">
        <v>740</v>
      </c>
      <c r="B227" s="177" t="s">
        <v>741</v>
      </c>
      <c r="C227" s="204">
        <v>518</v>
      </c>
      <c r="D227" s="202">
        <v>0.05</v>
      </c>
      <c r="E227" s="205">
        <v>6.4</v>
      </c>
      <c r="G227"/>
      <c r="H227"/>
      <c r="I227"/>
    </row>
    <row r="228" spans="1:9">
      <c r="A228" s="176" t="s">
        <v>742</v>
      </c>
      <c r="B228" s="177" t="s">
        <v>743</v>
      </c>
      <c r="C228" s="204">
        <v>520</v>
      </c>
      <c r="D228" s="202">
        <v>0.02</v>
      </c>
      <c r="E228" s="205">
        <v>6.4</v>
      </c>
      <c r="G228"/>
      <c r="H228"/>
      <c r="I228"/>
    </row>
    <row r="229" spans="1:9">
      <c r="A229" s="176" t="s">
        <v>744</v>
      </c>
      <c r="B229" s="177" t="s">
        <v>745</v>
      </c>
      <c r="C229" s="204">
        <v>521</v>
      </c>
      <c r="D229" s="202">
        <v>0.03</v>
      </c>
      <c r="E229" s="205">
        <v>6.4</v>
      </c>
      <c r="G229"/>
      <c r="H229"/>
      <c r="I229"/>
    </row>
    <row r="230" spans="1:9">
      <c r="A230" s="176" t="s">
        <v>746</v>
      </c>
      <c r="B230" s="177" t="s">
        <v>747</v>
      </c>
      <c r="C230" s="204">
        <v>522</v>
      </c>
      <c r="D230" s="202" t="s">
        <v>149</v>
      </c>
      <c r="E230" s="205">
        <v>6.4</v>
      </c>
      <c r="G230"/>
      <c r="H230"/>
      <c r="I230"/>
    </row>
    <row r="231" spans="1:9">
      <c r="A231" s="176" t="s">
        <v>748</v>
      </c>
      <c r="B231" s="177" t="s">
        <v>749</v>
      </c>
      <c r="C231" s="204">
        <v>525</v>
      </c>
      <c r="D231" s="202">
        <v>0.02</v>
      </c>
      <c r="E231" s="205">
        <v>6.4</v>
      </c>
      <c r="G231"/>
      <c r="H231"/>
      <c r="I231"/>
    </row>
    <row r="232" spans="1:9">
      <c r="A232" s="176" t="s">
        <v>750</v>
      </c>
      <c r="B232" s="177" t="s">
        <v>751</v>
      </c>
      <c r="C232" s="204">
        <v>527</v>
      </c>
      <c r="D232" s="202" t="s">
        <v>149</v>
      </c>
      <c r="E232" s="205">
        <v>6.4</v>
      </c>
      <c r="G232"/>
      <c r="H232"/>
      <c r="I232"/>
    </row>
    <row r="233" spans="1:9">
      <c r="A233" s="176" t="s">
        <v>752</v>
      </c>
      <c r="B233" s="177" t="s">
        <v>753</v>
      </c>
      <c r="C233" s="204">
        <v>528</v>
      </c>
      <c r="D233" s="202" t="s">
        <v>149</v>
      </c>
      <c r="E233" s="205">
        <v>6.4</v>
      </c>
      <c r="G233"/>
      <c r="H233"/>
      <c r="I233"/>
    </row>
    <row r="234" spans="1:9">
      <c r="A234" s="176" t="s">
        <v>754</v>
      </c>
      <c r="B234" s="177" t="s">
        <v>755</v>
      </c>
      <c r="C234" s="204">
        <v>529</v>
      </c>
      <c r="D234" s="202">
        <v>0.02</v>
      </c>
      <c r="E234" s="205">
        <v>6.4</v>
      </c>
      <c r="G234"/>
      <c r="H234"/>
      <c r="I234"/>
    </row>
    <row r="235" spans="1:9">
      <c r="A235" s="176" t="s">
        <v>756</v>
      </c>
      <c r="B235" s="177" t="s">
        <v>757</v>
      </c>
      <c r="C235" s="204">
        <v>534</v>
      </c>
      <c r="D235" s="202" t="s">
        <v>149</v>
      </c>
      <c r="E235" s="205">
        <v>6.4</v>
      </c>
      <c r="G235"/>
      <c r="H235"/>
      <c r="I235"/>
    </row>
    <row r="236" spans="1:9">
      <c r="A236" s="176" t="s">
        <v>758</v>
      </c>
      <c r="B236" s="177" t="s">
        <v>759</v>
      </c>
      <c r="C236" s="204">
        <v>540</v>
      </c>
      <c r="D236" s="202" t="s">
        <v>149</v>
      </c>
      <c r="E236" s="205">
        <v>6.4</v>
      </c>
      <c r="G236"/>
      <c r="H236"/>
      <c r="I236"/>
    </row>
    <row r="237" spans="1:9">
      <c r="A237" s="176" t="s">
        <v>760</v>
      </c>
      <c r="B237" s="177" t="s">
        <v>761</v>
      </c>
      <c r="C237" s="204">
        <v>542</v>
      </c>
      <c r="D237" s="202" t="s">
        <v>149</v>
      </c>
      <c r="E237" s="205">
        <v>6.4</v>
      </c>
      <c r="G237"/>
      <c r="H237"/>
      <c r="I237"/>
    </row>
    <row r="238" spans="1:9">
      <c r="A238" s="176" t="s">
        <v>762</v>
      </c>
      <c r="B238" s="177" t="s">
        <v>763</v>
      </c>
      <c r="C238" s="204">
        <v>543</v>
      </c>
      <c r="D238" s="202" t="s">
        <v>149</v>
      </c>
      <c r="E238" s="205">
        <v>6.4</v>
      </c>
      <c r="G238"/>
      <c r="H238"/>
      <c r="I238"/>
    </row>
    <row r="239" spans="1:9">
      <c r="A239" s="176" t="s">
        <v>764</v>
      </c>
      <c r="B239" s="177" t="s">
        <v>765</v>
      </c>
      <c r="C239" s="204">
        <v>231</v>
      </c>
      <c r="D239" s="202">
        <v>0.05</v>
      </c>
      <c r="E239" s="205">
        <v>6.4</v>
      </c>
      <c r="G239"/>
      <c r="H239"/>
      <c r="I239"/>
    </row>
    <row r="240" spans="1:9">
      <c r="A240" s="176" t="s">
        <v>766</v>
      </c>
      <c r="B240" s="177" t="s">
        <v>767</v>
      </c>
      <c r="C240" s="204">
        <v>549</v>
      </c>
      <c r="D240" s="202">
        <v>0.05</v>
      </c>
      <c r="E240" s="205">
        <v>6.4</v>
      </c>
      <c r="G240"/>
      <c r="H240"/>
      <c r="I240"/>
    </row>
    <row r="241" spans="1:9">
      <c r="A241" s="176" t="s">
        <v>768</v>
      </c>
      <c r="B241" s="177" t="s">
        <v>769</v>
      </c>
      <c r="C241" s="204">
        <v>554</v>
      </c>
      <c r="D241" s="202" t="s">
        <v>149</v>
      </c>
      <c r="E241" s="205">
        <v>6.4</v>
      </c>
      <c r="G241"/>
      <c r="H241"/>
      <c r="I241"/>
    </row>
    <row r="242" spans="1:9">
      <c r="A242" s="176" t="s">
        <v>770</v>
      </c>
      <c r="B242" s="177" t="s">
        <v>771</v>
      </c>
      <c r="C242" s="204">
        <v>555</v>
      </c>
      <c r="D242" s="202">
        <v>0.03</v>
      </c>
      <c r="E242" s="205">
        <v>6.4</v>
      </c>
      <c r="G242"/>
      <c r="H242"/>
      <c r="I242"/>
    </row>
    <row r="243" spans="1:9">
      <c r="A243" s="176" t="s">
        <v>772</v>
      </c>
      <c r="B243" s="177" t="s">
        <v>773</v>
      </c>
      <c r="C243" s="204">
        <v>556</v>
      </c>
      <c r="D243" s="202" t="s">
        <v>149</v>
      </c>
      <c r="E243" s="205">
        <v>6.4</v>
      </c>
      <c r="G243"/>
      <c r="H243"/>
      <c r="I243"/>
    </row>
    <row r="244" spans="1:9">
      <c r="A244" s="176" t="s">
        <v>774</v>
      </c>
      <c r="B244" s="177" t="s">
        <v>775</v>
      </c>
      <c r="C244" s="204">
        <v>557</v>
      </c>
      <c r="D244" s="202" t="s">
        <v>149</v>
      </c>
      <c r="E244" s="205">
        <v>6.4</v>
      </c>
      <c r="G244"/>
      <c r="H244"/>
      <c r="I244"/>
    </row>
    <row r="245" spans="1:9">
      <c r="A245" s="176" t="s">
        <v>776</v>
      </c>
      <c r="B245" s="177" t="s">
        <v>777</v>
      </c>
      <c r="C245" s="204">
        <v>558</v>
      </c>
      <c r="D245" s="202">
        <v>0.03</v>
      </c>
      <c r="E245" s="205">
        <v>6.4</v>
      </c>
      <c r="G245"/>
      <c r="H245"/>
      <c r="I245"/>
    </row>
    <row r="246" spans="1:9">
      <c r="A246" s="176" t="s">
        <v>778</v>
      </c>
      <c r="B246" s="177" t="s">
        <v>779</v>
      </c>
      <c r="C246" s="204">
        <v>559</v>
      </c>
      <c r="D246" s="202" t="s">
        <v>149</v>
      </c>
      <c r="E246" s="205">
        <v>6.4</v>
      </c>
      <c r="G246"/>
      <c r="H246"/>
      <c r="I246"/>
    </row>
    <row r="247" spans="1:9">
      <c r="A247" s="176" t="s">
        <v>780</v>
      </c>
      <c r="B247" s="177" t="s">
        <v>781</v>
      </c>
      <c r="C247" s="204">
        <v>560</v>
      </c>
      <c r="D247" s="202">
        <v>0.03</v>
      </c>
      <c r="E247" s="205">
        <v>6.4</v>
      </c>
      <c r="G247"/>
      <c r="H247"/>
      <c r="I247"/>
    </row>
    <row r="248" spans="1:9">
      <c r="A248" s="176" t="s">
        <v>782</v>
      </c>
      <c r="B248" s="177" t="s">
        <v>783</v>
      </c>
      <c r="C248" s="204">
        <v>567</v>
      </c>
      <c r="D248" s="202">
        <v>0.02</v>
      </c>
      <c r="E248" s="205">
        <v>6.4</v>
      </c>
      <c r="G248"/>
      <c r="H248"/>
      <c r="I248"/>
    </row>
    <row r="249" spans="1:9">
      <c r="A249" s="176" t="s">
        <v>784</v>
      </c>
      <c r="B249" s="177" t="s">
        <v>785</v>
      </c>
      <c r="C249" s="204">
        <v>568</v>
      </c>
      <c r="D249" s="202" t="s">
        <v>149</v>
      </c>
      <c r="E249" s="205">
        <v>6.4</v>
      </c>
      <c r="G249"/>
      <c r="H249"/>
      <c r="I249"/>
    </row>
    <row r="250" spans="1:9">
      <c r="A250" s="176" t="s">
        <v>786</v>
      </c>
      <c r="B250" s="177" t="s">
        <v>787</v>
      </c>
      <c r="C250" s="204">
        <v>569</v>
      </c>
      <c r="D250" s="202" t="s">
        <v>149</v>
      </c>
      <c r="E250" s="205">
        <v>6.4</v>
      </c>
      <c r="G250"/>
      <c r="H250"/>
      <c r="I250"/>
    </row>
    <row r="251" spans="1:9">
      <c r="A251" s="176" t="s">
        <v>788</v>
      </c>
      <c r="B251" s="177" t="s">
        <v>789</v>
      </c>
      <c r="C251" s="204">
        <v>570</v>
      </c>
      <c r="D251" s="202">
        <v>0.04</v>
      </c>
      <c r="E251" s="205">
        <v>6.4</v>
      </c>
      <c r="G251"/>
      <c r="H251"/>
      <c r="I251"/>
    </row>
    <row r="252" spans="1:9">
      <c r="A252" s="176" t="s">
        <v>790</v>
      </c>
      <c r="B252" s="177" t="s">
        <v>791</v>
      </c>
      <c r="C252" s="204">
        <v>572</v>
      </c>
      <c r="D252" s="202">
        <v>0.02</v>
      </c>
      <c r="E252" s="205">
        <v>6.4</v>
      </c>
      <c r="G252"/>
      <c r="H252"/>
      <c r="I252"/>
    </row>
    <row r="253" spans="1:9">
      <c r="A253" s="176" t="s">
        <v>792</v>
      </c>
      <c r="B253" s="177" t="s">
        <v>793</v>
      </c>
      <c r="C253" s="204">
        <v>245</v>
      </c>
      <c r="D253" s="202">
        <v>0.02</v>
      </c>
      <c r="E253" s="205">
        <v>6.4</v>
      </c>
      <c r="G253"/>
      <c r="H253"/>
      <c r="I253"/>
    </row>
    <row r="254" spans="1:9">
      <c r="A254" s="176" t="s">
        <v>794</v>
      </c>
      <c r="B254" s="177" t="s">
        <v>795</v>
      </c>
      <c r="C254" s="204">
        <v>582</v>
      </c>
      <c r="D254" s="202">
        <v>0.03</v>
      </c>
      <c r="E254" s="205">
        <v>6.4</v>
      </c>
      <c r="G254"/>
      <c r="H254"/>
      <c r="I254"/>
    </row>
    <row r="255" spans="1:9">
      <c r="A255" s="176" t="s">
        <v>796</v>
      </c>
      <c r="B255" s="177" t="s">
        <v>797</v>
      </c>
      <c r="C255" s="204">
        <v>592</v>
      </c>
      <c r="D255" s="202">
        <v>0.03</v>
      </c>
      <c r="E255" s="205">
        <v>6.4</v>
      </c>
      <c r="G255"/>
      <c r="H255"/>
      <c r="I255"/>
    </row>
    <row r="256" spans="1:9">
      <c r="A256" s="176" t="s">
        <v>798</v>
      </c>
      <c r="B256" s="177" t="s">
        <v>799</v>
      </c>
      <c r="C256" s="204">
        <v>596</v>
      </c>
      <c r="D256" s="202" t="s">
        <v>149</v>
      </c>
      <c r="E256" s="205">
        <v>6.4</v>
      </c>
      <c r="G256"/>
      <c r="H256"/>
      <c r="I256"/>
    </row>
    <row r="257" spans="1:9">
      <c r="A257" s="176" t="s">
        <v>800</v>
      </c>
      <c r="B257" s="177" t="s">
        <v>801</v>
      </c>
      <c r="C257" s="204">
        <v>598</v>
      </c>
      <c r="D257" s="202" t="s">
        <v>149</v>
      </c>
      <c r="E257" s="205">
        <v>6.4</v>
      </c>
      <c r="G257"/>
      <c r="H257"/>
      <c r="I257"/>
    </row>
    <row r="258" spans="1:9">
      <c r="A258" s="176" t="s">
        <v>802</v>
      </c>
      <c r="B258" s="177" t="s">
        <v>803</v>
      </c>
      <c r="C258" s="204">
        <v>604</v>
      </c>
      <c r="D258" s="202">
        <v>0.03</v>
      </c>
      <c r="E258" s="205">
        <v>6.4</v>
      </c>
      <c r="G258"/>
      <c r="H258"/>
      <c r="I258"/>
    </row>
    <row r="259" spans="1:9">
      <c r="A259" s="176" t="s">
        <v>804</v>
      </c>
      <c r="B259" s="177" t="s">
        <v>805</v>
      </c>
      <c r="C259" s="204">
        <v>607</v>
      </c>
      <c r="D259" s="202">
        <v>0.03</v>
      </c>
      <c r="E259" s="205">
        <v>6.4</v>
      </c>
      <c r="G259"/>
      <c r="H259"/>
      <c r="I259"/>
    </row>
    <row r="260" spans="1:9">
      <c r="A260" s="176" t="s">
        <v>806</v>
      </c>
      <c r="B260" s="177" t="s">
        <v>807</v>
      </c>
      <c r="C260" s="204">
        <v>610</v>
      </c>
      <c r="D260" s="202" t="s">
        <v>149</v>
      </c>
      <c r="E260" s="205">
        <v>6.4</v>
      </c>
      <c r="G260"/>
      <c r="H260"/>
      <c r="I260"/>
    </row>
    <row r="261" spans="1:9">
      <c r="A261" s="176" t="s">
        <v>808</v>
      </c>
      <c r="B261" s="177" t="s">
        <v>809</v>
      </c>
      <c r="C261" s="204">
        <v>611</v>
      </c>
      <c r="D261" s="202">
        <v>0.04</v>
      </c>
      <c r="E261" s="205">
        <v>6.4</v>
      </c>
      <c r="G261"/>
      <c r="H261"/>
      <c r="I261"/>
    </row>
    <row r="262" spans="1:9">
      <c r="A262" s="176" t="s">
        <v>810</v>
      </c>
      <c r="B262" s="177" t="s">
        <v>811</v>
      </c>
      <c r="C262" s="204">
        <v>620</v>
      </c>
      <c r="D262" s="202" t="s">
        <v>149</v>
      </c>
      <c r="E262" s="205">
        <v>6.4</v>
      </c>
    </row>
    <row r="263" spans="1:9">
      <c r="A263" s="176" t="s">
        <v>812</v>
      </c>
      <c r="B263" s="177" t="s">
        <v>813</v>
      </c>
      <c r="C263" s="204">
        <v>621</v>
      </c>
      <c r="D263" s="202">
        <v>0.02</v>
      </c>
      <c r="E263" s="205">
        <v>6.4</v>
      </c>
    </row>
    <row r="264" spans="1:9">
      <c r="A264" s="176" t="s">
        <v>814</v>
      </c>
      <c r="B264" s="177" t="s">
        <v>815</v>
      </c>
      <c r="C264" s="204">
        <v>624</v>
      </c>
      <c r="D264" s="202">
        <v>3.5000000000000003E-2</v>
      </c>
      <c r="E264" s="205">
        <v>6.4</v>
      </c>
    </row>
    <row r="265" spans="1:9">
      <c r="A265" s="176" t="s">
        <v>816</v>
      </c>
      <c r="B265" s="177" t="s">
        <v>817</v>
      </c>
      <c r="C265" s="204">
        <v>625</v>
      </c>
      <c r="D265" s="202">
        <v>0.02</v>
      </c>
      <c r="E265" s="205">
        <v>6.4</v>
      </c>
    </row>
    <row r="266" spans="1:9">
      <c r="A266" s="176" t="s">
        <v>818</v>
      </c>
      <c r="B266" s="177" t="s">
        <v>819</v>
      </c>
      <c r="C266" s="204">
        <v>627</v>
      </c>
      <c r="D266" s="202" t="s">
        <v>149</v>
      </c>
      <c r="E266" s="205">
        <v>6.4</v>
      </c>
    </row>
    <row r="267" spans="1:9">
      <c r="A267" s="176" t="s">
        <v>820</v>
      </c>
      <c r="B267" s="177" t="s">
        <v>821</v>
      </c>
      <c r="C267" s="204">
        <v>628</v>
      </c>
      <c r="D267" s="202" t="s">
        <v>149</v>
      </c>
      <c r="E267" s="205">
        <v>6.4</v>
      </c>
    </row>
    <row r="268" spans="1:9">
      <c r="A268" s="176" t="s">
        <v>822</v>
      </c>
      <c r="B268" s="177" t="s">
        <v>823</v>
      </c>
      <c r="C268" s="204">
        <v>629</v>
      </c>
      <c r="D268" s="202" t="s">
        <v>149</v>
      </c>
      <c r="E268" s="205">
        <v>6.4</v>
      </c>
    </row>
    <row r="269" spans="1:9">
      <c r="A269" s="176" t="s">
        <v>824</v>
      </c>
      <c r="B269" s="177" t="s">
        <v>825</v>
      </c>
      <c r="C269" s="204">
        <v>637</v>
      </c>
      <c r="D269" s="202">
        <v>0.03</v>
      </c>
      <c r="E269" s="205">
        <v>6.4</v>
      </c>
    </row>
    <row r="270" spans="1:9">
      <c r="A270" s="176" t="s">
        <v>826</v>
      </c>
      <c r="B270" s="177" t="s">
        <v>827</v>
      </c>
      <c r="C270" s="204">
        <v>642</v>
      </c>
      <c r="D270" s="202">
        <v>0.03</v>
      </c>
      <c r="E270" s="205">
        <v>6.4</v>
      </c>
    </row>
    <row r="271" spans="1:9">
      <c r="A271" s="176" t="s">
        <v>828</v>
      </c>
      <c r="B271" s="177" t="s">
        <v>829</v>
      </c>
      <c r="C271" s="204">
        <v>643</v>
      </c>
      <c r="D271" s="202" t="s">
        <v>149</v>
      </c>
      <c r="E271" s="205">
        <v>6.4</v>
      </c>
    </row>
    <row r="272" spans="1:9">
      <c r="A272" s="176" t="s">
        <v>830</v>
      </c>
      <c r="B272" s="177" t="s">
        <v>831</v>
      </c>
      <c r="C272" s="204">
        <v>647</v>
      </c>
      <c r="D272" s="202">
        <v>0.03</v>
      </c>
      <c r="E272" s="205">
        <v>6.4</v>
      </c>
    </row>
    <row r="273" spans="1:5">
      <c r="A273" s="176" t="s">
        <v>832</v>
      </c>
      <c r="B273" s="177" t="s">
        <v>833</v>
      </c>
      <c r="C273" s="204">
        <v>657</v>
      </c>
      <c r="D273" s="202" t="s">
        <v>149</v>
      </c>
      <c r="E273" s="205">
        <v>6.4</v>
      </c>
    </row>
    <row r="274" spans="1:5">
      <c r="A274" s="176" t="s">
        <v>834</v>
      </c>
      <c r="B274" s="177" t="s">
        <v>835</v>
      </c>
      <c r="C274" s="204">
        <v>671</v>
      </c>
      <c r="D274" s="202">
        <v>0.03</v>
      </c>
      <c r="E274" s="205">
        <v>6.4</v>
      </c>
    </row>
    <row r="275" spans="1:5">
      <c r="A275" s="176" t="s">
        <v>836</v>
      </c>
      <c r="B275" s="177" t="s">
        <v>837</v>
      </c>
      <c r="C275" s="204">
        <v>672</v>
      </c>
      <c r="D275" s="202">
        <v>0.03</v>
      </c>
      <c r="E275" s="205">
        <v>6.4</v>
      </c>
    </row>
    <row r="276" spans="1:5">
      <c r="A276" s="176" t="s">
        <v>838</v>
      </c>
      <c r="B276" s="177" t="s">
        <v>839</v>
      </c>
      <c r="C276" s="204">
        <v>674</v>
      </c>
      <c r="D276" s="202">
        <v>0.02</v>
      </c>
      <c r="E276" s="205">
        <v>6.4</v>
      </c>
    </row>
    <row r="277" spans="1:5">
      <c r="A277" s="176" t="s">
        <v>840</v>
      </c>
      <c r="B277" s="177" t="s">
        <v>841</v>
      </c>
      <c r="C277" s="204">
        <v>680</v>
      </c>
      <c r="D277" s="202">
        <v>0.03</v>
      </c>
      <c r="E277" s="205">
        <v>6.4</v>
      </c>
    </row>
    <row r="278" spans="1:5">
      <c r="A278" s="176" t="s">
        <v>842</v>
      </c>
      <c r="B278" s="177" t="s">
        <v>843</v>
      </c>
      <c r="C278" s="204">
        <v>684</v>
      </c>
      <c r="D278" s="202">
        <v>0.03</v>
      </c>
      <c r="E278" s="205">
        <v>6.4</v>
      </c>
    </row>
    <row r="279" spans="1:5">
      <c r="A279" s="176" t="s">
        <v>844</v>
      </c>
      <c r="B279" s="177" t="s">
        <v>845</v>
      </c>
      <c r="C279" s="204">
        <v>685</v>
      </c>
      <c r="D279" s="202">
        <v>0.03</v>
      </c>
      <c r="E279" s="205">
        <v>6.4</v>
      </c>
    </row>
    <row r="280" spans="1:5">
      <c r="A280" s="176" t="s">
        <v>846</v>
      </c>
      <c r="B280" s="177" t="s">
        <v>847</v>
      </c>
      <c r="C280" s="204">
        <v>686</v>
      </c>
      <c r="D280" s="202">
        <v>0.02</v>
      </c>
      <c r="E280" s="205">
        <v>6.4</v>
      </c>
    </row>
    <row r="281" spans="1:5">
      <c r="A281" s="176" t="s">
        <v>848</v>
      </c>
      <c r="B281" s="177" t="s">
        <v>849</v>
      </c>
      <c r="C281" s="204">
        <v>687</v>
      </c>
      <c r="D281" s="202">
        <v>0.03</v>
      </c>
      <c r="E281" s="205">
        <v>6.4</v>
      </c>
    </row>
    <row r="282" spans="1:5">
      <c r="A282" s="176" t="s">
        <v>850</v>
      </c>
      <c r="B282" s="177" t="s">
        <v>851</v>
      </c>
      <c r="C282" s="204">
        <v>689</v>
      </c>
      <c r="D282" s="202">
        <v>0.03</v>
      </c>
      <c r="E282" s="205">
        <v>6.4</v>
      </c>
    </row>
    <row r="283" spans="1:5">
      <c r="A283" s="176" t="s">
        <v>852</v>
      </c>
      <c r="B283" s="177" t="s">
        <v>853</v>
      </c>
      <c r="C283" s="204">
        <v>692</v>
      </c>
      <c r="D283" s="202">
        <v>0.03</v>
      </c>
      <c r="E283" s="205">
        <v>6.4</v>
      </c>
    </row>
    <row r="284" spans="1:5">
      <c r="A284" s="176" t="s">
        <v>854</v>
      </c>
      <c r="B284" s="177" t="s">
        <v>855</v>
      </c>
      <c r="C284" s="204">
        <v>693</v>
      </c>
      <c r="D284" s="202">
        <v>0.03</v>
      </c>
      <c r="E284" s="205">
        <v>6.4</v>
      </c>
    </row>
    <row r="285" spans="1:5">
      <c r="A285" s="176" t="s">
        <v>856</v>
      </c>
      <c r="B285" s="177" t="s">
        <v>857</v>
      </c>
      <c r="C285" s="204" t="s">
        <v>858</v>
      </c>
      <c r="D285" s="202">
        <v>0.03</v>
      </c>
      <c r="E285" s="205">
        <v>6.4</v>
      </c>
    </row>
    <row r="286" spans="1:5">
      <c r="A286" s="176" t="s">
        <v>859</v>
      </c>
      <c r="B286" s="177" t="s">
        <v>860</v>
      </c>
      <c r="C286" s="204">
        <v>694</v>
      </c>
      <c r="D286" s="202">
        <v>2.5000000000000001E-2</v>
      </c>
      <c r="E286" s="205">
        <v>6.4</v>
      </c>
    </row>
    <row r="287" spans="1:5">
      <c r="A287" s="176" t="s">
        <v>861</v>
      </c>
      <c r="B287" s="177" t="s">
        <v>862</v>
      </c>
      <c r="C287" s="204">
        <v>696</v>
      </c>
      <c r="D287" s="202">
        <v>0.02</v>
      </c>
      <c r="E287" s="205">
        <v>6.4</v>
      </c>
    </row>
    <row r="288" spans="1:5">
      <c r="A288" s="176" t="s">
        <v>863</v>
      </c>
      <c r="B288" s="177" t="s">
        <v>864</v>
      </c>
      <c r="C288" s="204">
        <v>697</v>
      </c>
      <c r="D288" s="202" t="s">
        <v>149</v>
      </c>
      <c r="E288" s="205">
        <v>6.4</v>
      </c>
    </row>
    <row r="289" spans="1:5">
      <c r="A289" s="176" t="s">
        <v>865</v>
      </c>
      <c r="B289" s="177" t="s">
        <v>865</v>
      </c>
      <c r="C289" s="204">
        <v>699</v>
      </c>
      <c r="D289" s="202">
        <v>0.03</v>
      </c>
      <c r="E289" s="205">
        <v>6.4</v>
      </c>
    </row>
    <row r="290" spans="1:5">
      <c r="A290" s="176" t="s">
        <v>866</v>
      </c>
      <c r="B290" s="177" t="s">
        <v>867</v>
      </c>
      <c r="C290" s="204">
        <v>701</v>
      </c>
      <c r="D290" s="202">
        <v>0.03</v>
      </c>
      <c r="E290" s="205">
        <v>6.4</v>
      </c>
    </row>
    <row r="291" spans="1:5">
      <c r="A291" s="176" t="s">
        <v>868</v>
      </c>
      <c r="B291" s="177" t="s">
        <v>869</v>
      </c>
      <c r="C291" s="204">
        <v>702</v>
      </c>
      <c r="D291" s="202">
        <v>0.02</v>
      </c>
      <c r="E291" s="205">
        <v>6.4</v>
      </c>
    </row>
    <row r="292" spans="1:5">
      <c r="A292" s="176" t="s">
        <v>870</v>
      </c>
      <c r="B292" s="177" t="s">
        <v>871</v>
      </c>
      <c r="C292" s="204">
        <v>704</v>
      </c>
      <c r="D292" s="202">
        <v>0.04</v>
      </c>
      <c r="E292" s="205">
        <v>6.4</v>
      </c>
    </row>
    <row r="293" spans="1:5">
      <c r="A293" s="176" t="s">
        <v>872</v>
      </c>
      <c r="B293" s="177" t="s">
        <v>873</v>
      </c>
      <c r="C293" s="204">
        <v>707</v>
      </c>
      <c r="D293" s="202">
        <v>0.03</v>
      </c>
      <c r="E293" s="205">
        <v>6.4</v>
      </c>
    </row>
    <row r="294" spans="1:5">
      <c r="A294" s="176" t="s">
        <v>874</v>
      </c>
      <c r="B294" s="177" t="s">
        <v>875</v>
      </c>
      <c r="C294" s="204">
        <v>708</v>
      </c>
      <c r="D294" s="202" t="s">
        <v>149</v>
      </c>
      <c r="E294" s="205">
        <v>6.4</v>
      </c>
    </row>
    <row r="295" spans="1:5">
      <c r="A295" s="176" t="s">
        <v>876</v>
      </c>
      <c r="B295" s="177" t="s">
        <v>877</v>
      </c>
      <c r="C295" s="204">
        <v>710</v>
      </c>
      <c r="D295" s="202">
        <v>0.04</v>
      </c>
      <c r="E295" s="205">
        <v>6.4</v>
      </c>
    </row>
    <row r="296" spans="1:5">
      <c r="A296" s="176" t="s">
        <v>878</v>
      </c>
      <c r="B296" s="177" t="s">
        <v>879</v>
      </c>
      <c r="C296" s="204">
        <v>290</v>
      </c>
      <c r="D296" s="202">
        <v>0.02</v>
      </c>
      <c r="E296" s="205">
        <v>6.4</v>
      </c>
    </row>
    <row r="297" spans="1:5">
      <c r="A297" s="176" t="s">
        <v>880</v>
      </c>
      <c r="B297" s="177" t="s">
        <v>881</v>
      </c>
      <c r="C297" s="204">
        <v>713</v>
      </c>
      <c r="D297" s="202">
        <v>0.03</v>
      </c>
      <c r="E297" s="205">
        <v>6.4</v>
      </c>
    </row>
    <row r="298" spans="1:5">
      <c r="A298" s="176" t="s">
        <v>882</v>
      </c>
      <c r="B298" s="177" t="s">
        <v>883</v>
      </c>
      <c r="C298" s="204">
        <v>718</v>
      </c>
      <c r="D298" s="202" t="s">
        <v>149</v>
      </c>
      <c r="E298" s="205">
        <v>6.4</v>
      </c>
    </row>
    <row r="299" spans="1:5">
      <c r="A299" s="176" t="s">
        <v>884</v>
      </c>
      <c r="B299" s="177" t="s">
        <v>885</v>
      </c>
      <c r="C299" s="204">
        <v>720</v>
      </c>
      <c r="D299" s="202">
        <v>0.03</v>
      </c>
      <c r="E299" s="205">
        <v>6.4</v>
      </c>
    </row>
  </sheetData>
  <mergeCells count="2">
    <mergeCell ref="V1:X1"/>
    <mergeCell ref="Z1:AB1"/>
  </mergeCells>
  <phoneticPr fontId="9" type="noConversion"/>
  <pageMargins left="0.511811024" right="0.511811024" top="0.78740157499999996" bottom="0.78740157499999996" header="0.31496062000000002" footer="0.31496062000000002"/>
  <pageSetup paperSize="9" orientation="portrait" r:id="rId1"/>
  <tableParts count="8">
    <tablePart r:id="rId2"/>
    <tablePart r:id="rId3"/>
    <tablePart r:id="rId4"/>
    <tablePart r:id="rId5"/>
    <tablePart r:id="rId6"/>
    <tablePart r:id="rId7"/>
    <tablePart r:id="rId8"/>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HS521"/>
  <sheetViews>
    <sheetView zoomScale="70" zoomScaleNormal="70" workbookViewId="0">
      <pane ySplit="6" topLeftCell="A7" activePane="bottomLeft" state="frozen"/>
      <selection pane="bottomLeft" activeCell="G13" sqref="G13"/>
    </sheetView>
  </sheetViews>
  <sheetFormatPr defaultColWidth="9.125" defaultRowHeight="12.75"/>
  <cols>
    <col min="1" max="1" width="18.75" style="141" customWidth="1"/>
    <col min="2" max="2" width="71" style="141" customWidth="1"/>
    <col min="3" max="3" width="13.75" style="141" customWidth="1"/>
    <col min="4" max="4" width="11.75" style="141" customWidth="1"/>
    <col min="5" max="5" width="11" style="141" customWidth="1"/>
    <col min="6" max="6" width="8.125" style="141" customWidth="1"/>
    <col min="7" max="7" width="46.25" style="141" customWidth="1"/>
    <col min="8" max="8" width="15.375" style="141" customWidth="1"/>
    <col min="9" max="10" width="14.25" style="141" customWidth="1"/>
    <col min="11" max="11" width="12" style="141" bestFit="1" customWidth="1"/>
    <col min="12" max="12" width="18.25" style="141" customWidth="1"/>
    <col min="13" max="13" width="52.875" style="141" bestFit="1" customWidth="1"/>
    <col min="14" max="14" width="22.625" style="143" bestFit="1" customWidth="1"/>
    <col min="15" max="18" width="18.75" style="141" customWidth="1"/>
    <col min="19" max="19" width="22.125" style="141" customWidth="1"/>
    <col min="20" max="24" width="18.75" style="141" customWidth="1"/>
    <col min="25" max="25" width="22" style="141" customWidth="1"/>
    <col min="26" max="27" width="18.75" style="141" customWidth="1"/>
    <col min="28" max="28" width="21.375" style="141" customWidth="1"/>
    <col min="29" max="30" width="18.75" style="141" customWidth="1"/>
    <col min="31" max="31" width="20.125" style="141" customWidth="1"/>
    <col min="32" max="33" width="18.75" style="141" customWidth="1"/>
    <col min="34" max="34" width="21.75" style="141" customWidth="1"/>
    <col min="35" max="219" width="18.75" style="141" customWidth="1"/>
    <col min="220" max="220" width="21.125" style="141" customWidth="1"/>
    <col min="221" max="222" width="18.75" style="141" customWidth="1"/>
    <col min="223" max="223" width="20.75" style="141" customWidth="1"/>
    <col min="224" max="224" width="18.75" style="141" customWidth="1"/>
    <col min="225" max="225" width="23" style="141" bestFit="1" customWidth="1"/>
    <col min="226" max="226" width="22.75" style="141" customWidth="1"/>
    <col min="227" max="227" width="25.25" style="141" bestFit="1" customWidth="1"/>
    <col min="228" max="16384" width="9.125" style="141"/>
  </cols>
  <sheetData>
    <row r="1" spans="1:227">
      <c r="A1" s="11"/>
    </row>
    <row r="2" spans="1:227">
      <c r="A2" s="310" t="s">
        <v>1913</v>
      </c>
    </row>
    <row r="3" spans="1:227">
      <c r="A3" s="142"/>
    </row>
    <row r="4" spans="1:227">
      <c r="A4" s="142"/>
    </row>
    <row r="5" spans="1:227" s="145" customFormat="1" ht="14.25">
      <c r="A5" s="141"/>
      <c r="B5" s="11"/>
      <c r="C5" s="142"/>
      <c r="D5" s="141"/>
      <c r="E5" s="141"/>
      <c r="F5" s="141"/>
      <c r="G5" s="141"/>
      <c r="H5" s="141"/>
      <c r="I5" s="141"/>
      <c r="J5" s="141"/>
      <c r="M5"/>
      <c r="N5"/>
      <c r="O5" s="279" t="s">
        <v>0</v>
      </c>
      <c r="P5" s="146" t="s">
        <v>1</v>
      </c>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row>
    <row r="6" spans="1:227" ht="38.25">
      <c r="A6" s="144" t="s">
        <v>1864</v>
      </c>
      <c r="B6" s="144" t="s">
        <v>0</v>
      </c>
      <c r="C6" s="168" t="s">
        <v>2</v>
      </c>
      <c r="D6" s="144" t="s">
        <v>3</v>
      </c>
      <c r="E6" s="144" t="s">
        <v>4</v>
      </c>
      <c r="F6" s="144" t="s">
        <v>1788</v>
      </c>
      <c r="G6" s="144" t="s">
        <v>5</v>
      </c>
      <c r="H6" s="144" t="s">
        <v>6</v>
      </c>
      <c r="I6" s="144" t="s">
        <v>7</v>
      </c>
      <c r="J6" s="144" t="s">
        <v>8</v>
      </c>
      <c r="K6" s="144" t="s">
        <v>9</v>
      </c>
      <c r="M6"/>
      <c r="N6"/>
      <c r="O6" t="s">
        <v>27</v>
      </c>
      <c r="P6" t="s">
        <v>27</v>
      </c>
      <c r="Q6" t="s">
        <v>27</v>
      </c>
      <c r="R6" t="s">
        <v>28</v>
      </c>
      <c r="S6" t="s">
        <v>28</v>
      </c>
      <c r="T6" t="s">
        <v>28</v>
      </c>
      <c r="U6" t="s">
        <v>29</v>
      </c>
      <c r="V6" t="s">
        <v>29</v>
      </c>
      <c r="W6" t="s">
        <v>29</v>
      </c>
      <c r="X6" t="s">
        <v>30</v>
      </c>
      <c r="Y6" t="s">
        <v>30</v>
      </c>
      <c r="Z6" t="s">
        <v>30</v>
      </c>
      <c r="AA6" t="s">
        <v>31</v>
      </c>
      <c r="AB6" t="s">
        <v>31</v>
      </c>
      <c r="AC6" t="s">
        <v>31</v>
      </c>
      <c r="AD6" t="s">
        <v>32</v>
      </c>
      <c r="AE6" t="s">
        <v>32</v>
      </c>
      <c r="AF6" t="s">
        <v>32</v>
      </c>
      <c r="AG6" t="s">
        <v>25</v>
      </c>
      <c r="AH6" t="s">
        <v>25</v>
      </c>
      <c r="AI6" t="s">
        <v>25</v>
      </c>
      <c r="AJ6" t="s">
        <v>33</v>
      </c>
      <c r="AK6" t="s">
        <v>33</v>
      </c>
      <c r="AL6" t="s">
        <v>33</v>
      </c>
      <c r="AM6" t="s">
        <v>34</v>
      </c>
      <c r="AN6" t="s">
        <v>34</v>
      </c>
      <c r="AO6" t="s">
        <v>34</v>
      </c>
      <c r="AP6" t="s">
        <v>35</v>
      </c>
      <c r="AQ6" t="s">
        <v>35</v>
      </c>
      <c r="AR6" t="s">
        <v>35</v>
      </c>
      <c r="AS6" t="s">
        <v>36</v>
      </c>
      <c r="AT6" t="s">
        <v>36</v>
      </c>
      <c r="AU6" t="s">
        <v>36</v>
      </c>
      <c r="AV6" t="s">
        <v>37</v>
      </c>
      <c r="AW6" t="s">
        <v>37</v>
      </c>
      <c r="AX6" t="s">
        <v>37</v>
      </c>
      <c r="AY6" t="s">
        <v>38</v>
      </c>
      <c r="AZ6" t="s">
        <v>38</v>
      </c>
      <c r="BA6" t="s">
        <v>38</v>
      </c>
      <c r="BB6" t="s">
        <v>1790</v>
      </c>
      <c r="BC6" t="s">
        <v>1790</v>
      </c>
      <c r="BD6" t="s">
        <v>1790</v>
      </c>
      <c r="BE6" t="s">
        <v>1791</v>
      </c>
      <c r="BF6" t="s">
        <v>1791</v>
      </c>
      <c r="BG6" t="s">
        <v>1791</v>
      </c>
      <c r="BH6" t="s">
        <v>1789</v>
      </c>
      <c r="BI6" t="s">
        <v>1789</v>
      </c>
      <c r="BJ6" t="s">
        <v>1789</v>
      </c>
      <c r="BK6" t="s">
        <v>1787</v>
      </c>
      <c r="BL6" t="s">
        <v>1787</v>
      </c>
      <c r="BM6" t="s">
        <v>1787</v>
      </c>
      <c r="BN6" t="s">
        <v>1794</v>
      </c>
      <c r="BO6" t="s">
        <v>1794</v>
      </c>
      <c r="BP6" t="s">
        <v>1794</v>
      </c>
      <c r="BQ6" t="s">
        <v>1795</v>
      </c>
      <c r="BR6" t="s">
        <v>1795</v>
      </c>
      <c r="BS6" t="s">
        <v>1795</v>
      </c>
      <c r="BT6" t="s">
        <v>1796</v>
      </c>
      <c r="BU6" t="s">
        <v>1796</v>
      </c>
      <c r="BV6" t="s">
        <v>1796</v>
      </c>
      <c r="BW6" t="s">
        <v>1792</v>
      </c>
      <c r="BX6" t="s">
        <v>1792</v>
      </c>
      <c r="BY6" t="s">
        <v>1792</v>
      </c>
      <c r="BZ6" t="s">
        <v>1793</v>
      </c>
      <c r="CA6" t="s">
        <v>1793</v>
      </c>
      <c r="CB6" t="s">
        <v>1793</v>
      </c>
      <c r="CC6" t="s">
        <v>1808</v>
      </c>
      <c r="CD6" t="s">
        <v>1808</v>
      </c>
      <c r="CE6" t="s">
        <v>1808</v>
      </c>
      <c r="CF6" t="s">
        <v>1809</v>
      </c>
      <c r="CG6" t="s">
        <v>1809</v>
      </c>
      <c r="CH6" t="s">
        <v>1809</v>
      </c>
      <c r="CI6" t="s">
        <v>1810</v>
      </c>
      <c r="CJ6" t="s">
        <v>1810</v>
      </c>
      <c r="CK6" t="s">
        <v>1810</v>
      </c>
      <c r="CL6" t="s">
        <v>1811</v>
      </c>
      <c r="CM6" t="s">
        <v>1811</v>
      </c>
      <c r="CN6" t="s">
        <v>1811</v>
      </c>
      <c r="CO6" t="s">
        <v>1812</v>
      </c>
      <c r="CP6" t="s">
        <v>1812</v>
      </c>
      <c r="CQ6" t="s">
        <v>1812</v>
      </c>
      <c r="CR6" t="s">
        <v>1813</v>
      </c>
      <c r="CS6" t="s">
        <v>1813</v>
      </c>
      <c r="CT6" t="s">
        <v>1813</v>
      </c>
      <c r="CU6" t="s">
        <v>1814</v>
      </c>
      <c r="CV6" t="s">
        <v>1814</v>
      </c>
      <c r="CW6" t="s">
        <v>1814</v>
      </c>
      <c r="CX6" t="s">
        <v>1815</v>
      </c>
      <c r="CY6" t="s">
        <v>1815</v>
      </c>
      <c r="CZ6" t="s">
        <v>1815</v>
      </c>
      <c r="DA6" t="s">
        <v>1816</v>
      </c>
      <c r="DB6" t="s">
        <v>1816</v>
      </c>
      <c r="DC6" t="s">
        <v>1816</v>
      </c>
      <c r="DD6" t="s">
        <v>1817</v>
      </c>
      <c r="DE6" t="s">
        <v>1817</v>
      </c>
      <c r="DF6" t="s">
        <v>1817</v>
      </c>
      <c r="DG6" t="s">
        <v>1818</v>
      </c>
      <c r="DH6" t="s">
        <v>1818</v>
      </c>
      <c r="DI6" t="s">
        <v>1818</v>
      </c>
      <c r="DJ6" t="s">
        <v>1819</v>
      </c>
      <c r="DK6" t="s">
        <v>1819</v>
      </c>
      <c r="DL6" t="s">
        <v>1819</v>
      </c>
      <c r="DM6" t="s">
        <v>1820</v>
      </c>
      <c r="DN6" t="s">
        <v>1820</v>
      </c>
      <c r="DO6" t="s">
        <v>1820</v>
      </c>
      <c r="DP6" t="s">
        <v>1821</v>
      </c>
      <c r="DQ6" t="s">
        <v>1821</v>
      </c>
      <c r="DR6" t="s">
        <v>1821</v>
      </c>
      <c r="DS6" t="s">
        <v>1822</v>
      </c>
      <c r="DT6" t="s">
        <v>1822</v>
      </c>
      <c r="DU6" t="s">
        <v>1822</v>
      </c>
      <c r="DV6" t="s">
        <v>1823</v>
      </c>
      <c r="DW6" t="s">
        <v>1823</v>
      </c>
      <c r="DX6" t="s">
        <v>1823</v>
      </c>
      <c r="DY6" t="s">
        <v>1824</v>
      </c>
      <c r="DZ6" t="s">
        <v>1824</v>
      </c>
      <c r="EA6" t="s">
        <v>1824</v>
      </c>
      <c r="EB6" t="s">
        <v>1825</v>
      </c>
      <c r="EC6" t="s">
        <v>1825</v>
      </c>
      <c r="ED6" t="s">
        <v>1825</v>
      </c>
      <c r="EE6" t="s">
        <v>1826</v>
      </c>
      <c r="EF6" t="s">
        <v>1826</v>
      </c>
      <c r="EG6" t="s">
        <v>1826</v>
      </c>
      <c r="EH6" t="s">
        <v>1827</v>
      </c>
      <c r="EI6" t="s">
        <v>1827</v>
      </c>
      <c r="EJ6" t="s">
        <v>1827</v>
      </c>
      <c r="EK6" t="s">
        <v>1828</v>
      </c>
      <c r="EL6" t="s">
        <v>1828</v>
      </c>
      <c r="EM6" t="s">
        <v>1828</v>
      </c>
      <c r="EN6" t="s">
        <v>1829</v>
      </c>
      <c r="EO6" t="s">
        <v>1829</v>
      </c>
      <c r="EP6" t="s">
        <v>1829</v>
      </c>
      <c r="EQ6" t="s">
        <v>1830</v>
      </c>
      <c r="ER6" t="s">
        <v>1830</v>
      </c>
      <c r="ES6" t="s">
        <v>1830</v>
      </c>
      <c r="ET6" t="s">
        <v>1831</v>
      </c>
      <c r="EU6" t="s">
        <v>1831</v>
      </c>
      <c r="EV6" t="s">
        <v>1831</v>
      </c>
      <c r="EW6" t="s">
        <v>1868</v>
      </c>
      <c r="EX6" t="s">
        <v>1868</v>
      </c>
      <c r="EY6" t="s">
        <v>1868</v>
      </c>
      <c r="EZ6" t="s">
        <v>1832</v>
      </c>
      <c r="FA6" t="s">
        <v>1832</v>
      </c>
      <c r="FB6" t="s">
        <v>1832</v>
      </c>
      <c r="FC6" t="s">
        <v>1833</v>
      </c>
      <c r="FD6" t="s">
        <v>1833</v>
      </c>
      <c r="FE6" t="s">
        <v>1833</v>
      </c>
      <c r="FF6" t="s">
        <v>1834</v>
      </c>
      <c r="FG6" t="s">
        <v>1834</v>
      </c>
      <c r="FH6" t="s">
        <v>1834</v>
      </c>
      <c r="FI6" t="s">
        <v>20</v>
      </c>
      <c r="FJ6" t="s">
        <v>20</v>
      </c>
      <c r="FK6" t="s">
        <v>20</v>
      </c>
      <c r="FL6" t="s">
        <v>1835</v>
      </c>
      <c r="FM6" t="s">
        <v>1835</v>
      </c>
      <c r="FN6" t="s">
        <v>1835</v>
      </c>
      <c r="FO6" t="s">
        <v>1836</v>
      </c>
      <c r="FP6" t="s">
        <v>1836</v>
      </c>
      <c r="FQ6" t="s">
        <v>1836</v>
      </c>
      <c r="FR6" t="s">
        <v>1837</v>
      </c>
      <c r="FS6" t="s">
        <v>1837</v>
      </c>
      <c r="FT6" t="s">
        <v>1837</v>
      </c>
      <c r="FU6" t="s">
        <v>1867</v>
      </c>
      <c r="FV6" t="s">
        <v>1867</v>
      </c>
      <c r="FW6" t="s">
        <v>1867</v>
      </c>
      <c r="FX6" t="s">
        <v>1838</v>
      </c>
      <c r="FY6" t="s">
        <v>1838</v>
      </c>
      <c r="FZ6" t="s">
        <v>1838</v>
      </c>
      <c r="GA6" t="s">
        <v>1839</v>
      </c>
      <c r="GB6" t="s">
        <v>1839</v>
      </c>
      <c r="GC6" t="s">
        <v>1839</v>
      </c>
      <c r="GD6" t="s">
        <v>1840</v>
      </c>
      <c r="GE6" t="s">
        <v>1840</v>
      </c>
      <c r="GF6" t="s">
        <v>1840</v>
      </c>
      <c r="GG6" t="s">
        <v>1841</v>
      </c>
      <c r="GH6" t="s">
        <v>1841</v>
      </c>
      <c r="GI6" t="s">
        <v>1841</v>
      </c>
      <c r="GJ6" t="s">
        <v>1842</v>
      </c>
      <c r="GK6" t="s">
        <v>1842</v>
      </c>
      <c r="GL6" t="s">
        <v>1842</v>
      </c>
      <c r="GM6" t="s">
        <v>1843</v>
      </c>
      <c r="GN6" t="s">
        <v>1843</v>
      </c>
      <c r="GO6" t="s">
        <v>1843</v>
      </c>
      <c r="GP6" t="s">
        <v>1844</v>
      </c>
      <c r="GQ6" t="s">
        <v>1844</v>
      </c>
      <c r="GR6" t="s">
        <v>1844</v>
      </c>
      <c r="GS6" t="s">
        <v>1845</v>
      </c>
      <c r="GT6" t="s">
        <v>1845</v>
      </c>
      <c r="GU6" t="s">
        <v>1845</v>
      </c>
      <c r="GV6" t="s">
        <v>1846</v>
      </c>
      <c r="GW6" t="s">
        <v>1846</v>
      </c>
      <c r="GX6" t="s">
        <v>1846</v>
      </c>
      <c r="GY6" t="s">
        <v>1847</v>
      </c>
      <c r="GZ6" t="s">
        <v>1847</v>
      </c>
      <c r="HA6" t="s">
        <v>1847</v>
      </c>
      <c r="HB6" t="s">
        <v>1848</v>
      </c>
      <c r="HC6" t="s">
        <v>1848</v>
      </c>
      <c r="HD6" t="s">
        <v>1848</v>
      </c>
      <c r="HE6" t="s">
        <v>1849</v>
      </c>
      <c r="HF6" t="s">
        <v>1849</v>
      </c>
      <c r="HG6" t="s">
        <v>1849</v>
      </c>
      <c r="HH6" t="s">
        <v>1850</v>
      </c>
      <c r="HI6" t="s">
        <v>1850</v>
      </c>
      <c r="HJ6" t="s">
        <v>1850</v>
      </c>
      <c r="HK6" t="s">
        <v>1851</v>
      </c>
      <c r="HL6" t="s">
        <v>1851</v>
      </c>
      <c r="HM6" t="s">
        <v>1851</v>
      </c>
      <c r="HN6" t="s">
        <v>1852</v>
      </c>
      <c r="HO6" t="s">
        <v>1852</v>
      </c>
      <c r="HP6" t="s">
        <v>1852</v>
      </c>
      <c r="HQ6" t="s">
        <v>22</v>
      </c>
      <c r="HR6" t="s">
        <v>23</v>
      </c>
      <c r="HS6" t="s">
        <v>24</v>
      </c>
    </row>
    <row r="7" spans="1:227" ht="14.25">
      <c r="A7" s="169" t="s">
        <v>17</v>
      </c>
      <c r="B7" s="278" t="s">
        <v>1808</v>
      </c>
      <c r="C7" s="171"/>
      <c r="D7" s="311">
        <v>280.04000000000002</v>
      </c>
      <c r="E7" s="170" cm="1">
        <f t="array" ref="E7">tabUniformes[[#This Row],[Valor Inicial]]*IFERROR(PRODUCT(1+_xlfn._xlws.FILTER(tabIndices[PERCENTUAL],tabIndices[DATA DA PUBLICAÇÃO]&gt;tabUniformes[[#This Row],[DATA PUBLICAÇÃO]])),1)</f>
        <v>280.04000000000002</v>
      </c>
      <c r="F7" s="172">
        <v>2</v>
      </c>
      <c r="G7" s="172" t="s">
        <v>26</v>
      </c>
      <c r="H7" s="172">
        <v>10</v>
      </c>
      <c r="I7" s="173">
        <f>tabUniformes[[#This Row],[Valor Reajustado]]*tabUniformes[[#This Row],[Qtde Anual de Peças]]*tabUniformes[[#This Row],[Qtde. funcionários]]</f>
        <v>5600.8</v>
      </c>
      <c r="J7" s="172">
        <f>tabUniformes[[#This Row],[Qtde Anual de Peças]]*tabUniformes[[#This Row],[Qtde. funcionários]]</f>
        <v>20</v>
      </c>
      <c r="K7" s="170">
        <f>IFERROR(tabUniformes[[#This Row],[Total]]/12/tabUniformes[[#This Row],[Qtde. funcionários]],0)</f>
        <v>46.673333333333332</v>
      </c>
      <c r="M7" s="180" t="s">
        <v>5</v>
      </c>
      <c r="N7" s="181" t="s">
        <v>6</v>
      </c>
      <c r="O7" t="s">
        <v>39</v>
      </c>
      <c r="P7" t="s">
        <v>40</v>
      </c>
      <c r="Q7" t="s">
        <v>41</v>
      </c>
      <c r="R7" t="s">
        <v>39</v>
      </c>
      <c r="S7" t="s">
        <v>40</v>
      </c>
      <c r="T7" t="s">
        <v>41</v>
      </c>
      <c r="U7" t="s">
        <v>39</v>
      </c>
      <c r="V7" t="s">
        <v>40</v>
      </c>
      <c r="W7" t="s">
        <v>41</v>
      </c>
      <c r="X7" t="s">
        <v>39</v>
      </c>
      <c r="Y7" t="s">
        <v>40</v>
      </c>
      <c r="Z7" t="s">
        <v>41</v>
      </c>
      <c r="AA7" t="s">
        <v>39</v>
      </c>
      <c r="AB7" t="s">
        <v>40</v>
      </c>
      <c r="AC7" t="s">
        <v>41</v>
      </c>
      <c r="AD7" t="s">
        <v>39</v>
      </c>
      <c r="AE7" t="s">
        <v>40</v>
      </c>
      <c r="AF7" t="s">
        <v>41</v>
      </c>
      <c r="AG7" t="s">
        <v>39</v>
      </c>
      <c r="AH7" t="s">
        <v>40</v>
      </c>
      <c r="AI7" t="s">
        <v>41</v>
      </c>
      <c r="AJ7" t="s">
        <v>39</v>
      </c>
      <c r="AK7" t="s">
        <v>40</v>
      </c>
      <c r="AL7" t="s">
        <v>41</v>
      </c>
      <c r="AM7" t="s">
        <v>39</v>
      </c>
      <c r="AN7" t="s">
        <v>40</v>
      </c>
      <c r="AO7" t="s">
        <v>41</v>
      </c>
      <c r="AP7" t="s">
        <v>39</v>
      </c>
      <c r="AQ7" t="s">
        <v>40</v>
      </c>
      <c r="AR7" t="s">
        <v>41</v>
      </c>
      <c r="AS7" t="s">
        <v>39</v>
      </c>
      <c r="AT7" t="s">
        <v>40</v>
      </c>
      <c r="AU7" t="s">
        <v>41</v>
      </c>
      <c r="AV7" t="s">
        <v>39</v>
      </c>
      <c r="AW7" t="s">
        <v>40</v>
      </c>
      <c r="AX7" t="s">
        <v>41</v>
      </c>
      <c r="AY7" t="s">
        <v>39</v>
      </c>
      <c r="AZ7" t="s">
        <v>40</v>
      </c>
      <c r="BA7" t="s">
        <v>41</v>
      </c>
      <c r="BB7" t="s">
        <v>39</v>
      </c>
      <c r="BC7" t="s">
        <v>40</v>
      </c>
      <c r="BD7" t="s">
        <v>41</v>
      </c>
      <c r="BE7" t="s">
        <v>39</v>
      </c>
      <c r="BF7" t="s">
        <v>40</v>
      </c>
      <c r="BG7" t="s">
        <v>41</v>
      </c>
      <c r="BH7" t="s">
        <v>39</v>
      </c>
      <c r="BI7" t="s">
        <v>40</v>
      </c>
      <c r="BJ7" t="s">
        <v>41</v>
      </c>
      <c r="BK7" t="s">
        <v>39</v>
      </c>
      <c r="BL7" t="s">
        <v>40</v>
      </c>
      <c r="BM7" t="s">
        <v>41</v>
      </c>
      <c r="BN7" t="s">
        <v>39</v>
      </c>
      <c r="BO7" t="s">
        <v>40</v>
      </c>
      <c r="BP7" t="s">
        <v>41</v>
      </c>
      <c r="BQ7" t="s">
        <v>39</v>
      </c>
      <c r="BR7" t="s">
        <v>40</v>
      </c>
      <c r="BS7" t="s">
        <v>41</v>
      </c>
      <c r="BT7" t="s">
        <v>39</v>
      </c>
      <c r="BU7" t="s">
        <v>40</v>
      </c>
      <c r="BV7" t="s">
        <v>41</v>
      </c>
      <c r="BW7" t="s">
        <v>39</v>
      </c>
      <c r="BX7" t="s">
        <v>40</v>
      </c>
      <c r="BY7" t="s">
        <v>41</v>
      </c>
      <c r="BZ7" t="s">
        <v>39</v>
      </c>
      <c r="CA7" t="s">
        <v>40</v>
      </c>
      <c r="CB7" t="s">
        <v>41</v>
      </c>
      <c r="CC7" t="s">
        <v>39</v>
      </c>
      <c r="CD7" t="s">
        <v>40</v>
      </c>
      <c r="CE7" t="s">
        <v>41</v>
      </c>
      <c r="CF7" t="s">
        <v>39</v>
      </c>
      <c r="CG7" t="s">
        <v>40</v>
      </c>
      <c r="CH7" t="s">
        <v>41</v>
      </c>
      <c r="CI7" t="s">
        <v>39</v>
      </c>
      <c r="CJ7" t="s">
        <v>40</v>
      </c>
      <c r="CK7" t="s">
        <v>41</v>
      </c>
      <c r="CL7" t="s">
        <v>39</v>
      </c>
      <c r="CM7" t="s">
        <v>40</v>
      </c>
      <c r="CN7" t="s">
        <v>41</v>
      </c>
      <c r="CO7" t="s">
        <v>39</v>
      </c>
      <c r="CP7" t="s">
        <v>40</v>
      </c>
      <c r="CQ7" t="s">
        <v>41</v>
      </c>
      <c r="CR7" t="s">
        <v>39</v>
      </c>
      <c r="CS7" t="s">
        <v>40</v>
      </c>
      <c r="CT7" t="s">
        <v>41</v>
      </c>
      <c r="CU7" t="s">
        <v>39</v>
      </c>
      <c r="CV7" t="s">
        <v>40</v>
      </c>
      <c r="CW7" t="s">
        <v>41</v>
      </c>
      <c r="CX7" t="s">
        <v>39</v>
      </c>
      <c r="CY7" t="s">
        <v>40</v>
      </c>
      <c r="CZ7" t="s">
        <v>41</v>
      </c>
      <c r="DA7" t="s">
        <v>39</v>
      </c>
      <c r="DB7" t="s">
        <v>40</v>
      </c>
      <c r="DC7" t="s">
        <v>41</v>
      </c>
      <c r="DD7" t="s">
        <v>39</v>
      </c>
      <c r="DE7" t="s">
        <v>40</v>
      </c>
      <c r="DF7" t="s">
        <v>41</v>
      </c>
      <c r="DG7" t="s">
        <v>39</v>
      </c>
      <c r="DH7" t="s">
        <v>40</v>
      </c>
      <c r="DI7" t="s">
        <v>41</v>
      </c>
      <c r="DJ7" t="s">
        <v>39</v>
      </c>
      <c r="DK7" t="s">
        <v>40</v>
      </c>
      <c r="DL7" t="s">
        <v>41</v>
      </c>
      <c r="DM7" t="s">
        <v>39</v>
      </c>
      <c r="DN7" t="s">
        <v>40</v>
      </c>
      <c r="DO7" t="s">
        <v>41</v>
      </c>
      <c r="DP7" t="s">
        <v>39</v>
      </c>
      <c r="DQ7" t="s">
        <v>40</v>
      </c>
      <c r="DR7" t="s">
        <v>41</v>
      </c>
      <c r="DS7" t="s">
        <v>39</v>
      </c>
      <c r="DT7" t="s">
        <v>40</v>
      </c>
      <c r="DU7" t="s">
        <v>41</v>
      </c>
      <c r="DV7" t="s">
        <v>39</v>
      </c>
      <c r="DW7" t="s">
        <v>40</v>
      </c>
      <c r="DX7" t="s">
        <v>41</v>
      </c>
      <c r="DY7" t="s">
        <v>39</v>
      </c>
      <c r="DZ7" t="s">
        <v>40</v>
      </c>
      <c r="EA7" t="s">
        <v>41</v>
      </c>
      <c r="EB7" t="s">
        <v>39</v>
      </c>
      <c r="EC7" t="s">
        <v>40</v>
      </c>
      <c r="ED7" t="s">
        <v>41</v>
      </c>
      <c r="EE7" t="s">
        <v>39</v>
      </c>
      <c r="EF7" t="s">
        <v>40</v>
      </c>
      <c r="EG7" t="s">
        <v>41</v>
      </c>
      <c r="EH7" t="s">
        <v>39</v>
      </c>
      <c r="EI7" t="s">
        <v>40</v>
      </c>
      <c r="EJ7" t="s">
        <v>41</v>
      </c>
      <c r="EK7" t="s">
        <v>39</v>
      </c>
      <c r="EL7" t="s">
        <v>40</v>
      </c>
      <c r="EM7" t="s">
        <v>41</v>
      </c>
      <c r="EN7" t="s">
        <v>39</v>
      </c>
      <c r="EO7" t="s">
        <v>40</v>
      </c>
      <c r="EP7" t="s">
        <v>41</v>
      </c>
      <c r="EQ7" t="s">
        <v>39</v>
      </c>
      <c r="ER7" t="s">
        <v>40</v>
      </c>
      <c r="ES7" t="s">
        <v>41</v>
      </c>
      <c r="ET7" t="s">
        <v>39</v>
      </c>
      <c r="EU7" t="s">
        <v>40</v>
      </c>
      <c r="EV7" t="s">
        <v>41</v>
      </c>
      <c r="EW7" t="s">
        <v>39</v>
      </c>
      <c r="EX7" t="s">
        <v>40</v>
      </c>
      <c r="EY7" t="s">
        <v>41</v>
      </c>
      <c r="EZ7" t="s">
        <v>39</v>
      </c>
      <c r="FA7" t="s">
        <v>40</v>
      </c>
      <c r="FB7" t="s">
        <v>41</v>
      </c>
      <c r="FC7" t="s">
        <v>39</v>
      </c>
      <c r="FD7" t="s">
        <v>40</v>
      </c>
      <c r="FE7" t="s">
        <v>41</v>
      </c>
      <c r="FF7" t="s">
        <v>39</v>
      </c>
      <c r="FG7" t="s">
        <v>40</v>
      </c>
      <c r="FH7" t="s">
        <v>41</v>
      </c>
      <c r="FI7" t="s">
        <v>39</v>
      </c>
      <c r="FJ7" t="s">
        <v>40</v>
      </c>
      <c r="FK7" t="s">
        <v>41</v>
      </c>
      <c r="FL7" t="s">
        <v>39</v>
      </c>
      <c r="FM7" t="s">
        <v>40</v>
      </c>
      <c r="FN7" t="s">
        <v>41</v>
      </c>
      <c r="FO7" t="s">
        <v>39</v>
      </c>
      <c r="FP7" t="s">
        <v>40</v>
      </c>
      <c r="FQ7" t="s">
        <v>41</v>
      </c>
      <c r="FR7" t="s">
        <v>39</v>
      </c>
      <c r="FS7" t="s">
        <v>40</v>
      </c>
      <c r="FT7" t="s">
        <v>41</v>
      </c>
      <c r="FU7" t="s">
        <v>39</v>
      </c>
      <c r="FV7" t="s">
        <v>40</v>
      </c>
      <c r="FW7" t="s">
        <v>41</v>
      </c>
      <c r="FX7" t="s">
        <v>39</v>
      </c>
      <c r="FY7" t="s">
        <v>40</v>
      </c>
      <c r="FZ7" t="s">
        <v>41</v>
      </c>
      <c r="GA7" t="s">
        <v>39</v>
      </c>
      <c r="GB7" t="s">
        <v>40</v>
      </c>
      <c r="GC7" t="s">
        <v>41</v>
      </c>
      <c r="GD7" t="s">
        <v>39</v>
      </c>
      <c r="GE7" t="s">
        <v>40</v>
      </c>
      <c r="GF7" t="s">
        <v>41</v>
      </c>
      <c r="GG7" t="s">
        <v>39</v>
      </c>
      <c r="GH7" t="s">
        <v>40</v>
      </c>
      <c r="GI7" t="s">
        <v>41</v>
      </c>
      <c r="GJ7" t="s">
        <v>39</v>
      </c>
      <c r="GK7" t="s">
        <v>40</v>
      </c>
      <c r="GL7" t="s">
        <v>41</v>
      </c>
      <c r="GM7" t="s">
        <v>39</v>
      </c>
      <c r="GN7" t="s">
        <v>40</v>
      </c>
      <c r="GO7" t="s">
        <v>41</v>
      </c>
      <c r="GP7" t="s">
        <v>39</v>
      </c>
      <c r="GQ7" t="s">
        <v>40</v>
      </c>
      <c r="GR7" t="s">
        <v>41</v>
      </c>
      <c r="GS7" t="s">
        <v>39</v>
      </c>
      <c r="GT7" t="s">
        <v>40</v>
      </c>
      <c r="GU7" t="s">
        <v>41</v>
      </c>
      <c r="GV7" t="s">
        <v>39</v>
      </c>
      <c r="GW7" t="s">
        <v>40</v>
      </c>
      <c r="GX7" t="s">
        <v>41</v>
      </c>
      <c r="GY7" t="s">
        <v>39</v>
      </c>
      <c r="GZ7" t="s">
        <v>40</v>
      </c>
      <c r="HA7" t="s">
        <v>41</v>
      </c>
      <c r="HB7" t="s">
        <v>39</v>
      </c>
      <c r="HC7" t="s">
        <v>40</v>
      </c>
      <c r="HD7" t="s">
        <v>41</v>
      </c>
      <c r="HE7" t="s">
        <v>39</v>
      </c>
      <c r="HF7" t="s">
        <v>40</v>
      </c>
      <c r="HG7" t="s">
        <v>41</v>
      </c>
      <c r="HH7" t="s">
        <v>39</v>
      </c>
      <c r="HI7" t="s">
        <v>40</v>
      </c>
      <c r="HJ7" t="s">
        <v>41</v>
      </c>
      <c r="HK7" t="s">
        <v>39</v>
      </c>
      <c r="HL7" t="s">
        <v>40</v>
      </c>
      <c r="HM7" t="s">
        <v>41</v>
      </c>
      <c r="HN7" t="s">
        <v>39</v>
      </c>
      <c r="HO7" t="s">
        <v>40</v>
      </c>
      <c r="HP7" t="s">
        <v>41</v>
      </c>
      <c r="HQ7"/>
      <c r="HR7"/>
      <c r="HS7"/>
    </row>
    <row r="8" spans="1:227" ht="14.25">
      <c r="A8" s="169" t="s">
        <v>11</v>
      </c>
      <c r="B8" s="278" t="s">
        <v>30</v>
      </c>
      <c r="C8" s="171"/>
      <c r="D8" s="311">
        <v>94.82</v>
      </c>
      <c r="E8" s="170" cm="1">
        <f t="array" ref="E8">tabUniformes[[#This Row],[Valor Inicial]]*IFERROR(PRODUCT(1+_xlfn._xlws.FILTER(tabIndices[PERCENTUAL],tabIndices[DATA DA PUBLICAÇÃO]&gt;tabUniformes[[#This Row],[DATA PUBLICAÇÃO]])),1)</f>
        <v>94.82</v>
      </c>
      <c r="F8" s="172">
        <v>4</v>
      </c>
      <c r="G8" s="172" t="s">
        <v>26</v>
      </c>
      <c r="H8" s="172">
        <v>10</v>
      </c>
      <c r="I8" s="173">
        <f>tabUniformes[[#This Row],[Valor Reajustado]]*tabUniformes[[#This Row],[Qtde Anual de Peças]]*tabUniformes[[#This Row],[Qtde. funcionários]]</f>
        <v>3792.7999999999997</v>
      </c>
      <c r="J8" s="172">
        <f>tabUniformes[[#This Row],[Qtde Anual de Peças]]*tabUniformes[[#This Row],[Qtde. funcionários]]</f>
        <v>40</v>
      </c>
      <c r="K8" s="170">
        <f>IFERROR(tabUniformes[[#This Row],[Total]]/12/tabUniformes[[#This Row],[Qtde. funcionários]],0)</f>
        <v>31.606666666666666</v>
      </c>
      <c r="M8" t="s">
        <v>26</v>
      </c>
      <c r="N8">
        <v>10</v>
      </c>
      <c r="O8" s="20"/>
      <c r="P8" s="25"/>
      <c r="Q8" s="25"/>
      <c r="R8" s="20"/>
      <c r="S8" s="25"/>
      <c r="T8" s="25"/>
      <c r="U8" s="20"/>
      <c r="V8" s="25"/>
      <c r="W8" s="25"/>
      <c r="X8" s="20">
        <v>40</v>
      </c>
      <c r="Y8" s="25">
        <v>3792.7999999999997</v>
      </c>
      <c r="Z8" s="25">
        <v>31.606666666666666</v>
      </c>
      <c r="AA8" s="20"/>
      <c r="AB8" s="25"/>
      <c r="AC8" s="25"/>
      <c r="AD8" s="20">
        <v>60</v>
      </c>
      <c r="AE8" s="25">
        <v>4189.8</v>
      </c>
      <c r="AF8" s="25">
        <v>34.915000000000006</v>
      </c>
      <c r="AG8" s="20">
        <v>10</v>
      </c>
      <c r="AH8" s="25">
        <v>951.3</v>
      </c>
      <c r="AI8" s="25">
        <v>7.9274999999999993</v>
      </c>
      <c r="AJ8" s="20"/>
      <c r="AK8" s="25"/>
      <c r="AL8" s="25"/>
      <c r="AM8" s="20"/>
      <c r="AN8" s="25"/>
      <c r="AO8" s="25"/>
      <c r="AP8" s="20"/>
      <c r="AQ8" s="25"/>
      <c r="AR8" s="25"/>
      <c r="AS8" s="20"/>
      <c r="AT8" s="25"/>
      <c r="AU8" s="25"/>
      <c r="AV8" s="20"/>
      <c r="AW8" s="25"/>
      <c r="AX8" s="25"/>
      <c r="AY8" s="20"/>
      <c r="AZ8" s="25"/>
      <c r="BA8" s="25"/>
      <c r="BB8" s="20"/>
      <c r="BC8" s="25"/>
      <c r="BD8" s="25"/>
      <c r="BE8" s="20"/>
      <c r="BF8" s="25"/>
      <c r="BG8" s="25"/>
      <c r="BH8" s="20"/>
      <c r="BI8" s="25"/>
      <c r="BJ8" s="25"/>
      <c r="BK8" s="20"/>
      <c r="BL8" s="25"/>
      <c r="BM8" s="25"/>
      <c r="BN8" s="20"/>
      <c r="BO8" s="25"/>
      <c r="BP8" s="25"/>
      <c r="BQ8" s="20"/>
      <c r="BR8" s="25"/>
      <c r="BS8" s="25"/>
      <c r="BT8" s="20"/>
      <c r="BU8" s="25"/>
      <c r="BV8" s="25"/>
      <c r="BW8" s="20"/>
      <c r="BX8" s="25"/>
      <c r="BY8" s="25"/>
      <c r="BZ8" s="20"/>
      <c r="CA8" s="25"/>
      <c r="CB8" s="25"/>
      <c r="CC8" s="20">
        <v>20</v>
      </c>
      <c r="CD8" s="25">
        <v>5600.8</v>
      </c>
      <c r="CE8" s="25">
        <v>46.673333333333332</v>
      </c>
      <c r="CF8" s="20"/>
      <c r="CG8" s="25"/>
      <c r="CH8" s="25"/>
      <c r="CI8" s="20"/>
      <c r="CJ8" s="25"/>
      <c r="CK8" s="25"/>
      <c r="CL8" s="20"/>
      <c r="CM8" s="25"/>
      <c r="CN8" s="25"/>
      <c r="CO8" s="20"/>
      <c r="CP8" s="25"/>
      <c r="CQ8" s="25"/>
      <c r="CR8" s="20"/>
      <c r="CS8" s="25"/>
      <c r="CT8" s="25"/>
      <c r="CU8" s="20"/>
      <c r="CV8" s="25"/>
      <c r="CW8" s="25"/>
      <c r="CX8" s="20"/>
      <c r="CY8" s="25"/>
      <c r="CZ8" s="25"/>
      <c r="DA8" s="20"/>
      <c r="DB8" s="25"/>
      <c r="DC8" s="25"/>
      <c r="DD8" s="20"/>
      <c r="DE8" s="25"/>
      <c r="DF8" s="25"/>
      <c r="DG8" s="20"/>
      <c r="DH8" s="25"/>
      <c r="DI8" s="25"/>
      <c r="DJ8" s="20"/>
      <c r="DK8" s="25"/>
      <c r="DL8" s="25"/>
      <c r="DM8" s="20"/>
      <c r="DN8" s="25"/>
      <c r="DO8" s="25"/>
      <c r="DP8" s="20"/>
      <c r="DQ8" s="25"/>
      <c r="DR8" s="25"/>
      <c r="DS8" s="20"/>
      <c r="DT8" s="25"/>
      <c r="DU8" s="25"/>
      <c r="DV8" s="20"/>
      <c r="DW8" s="25"/>
      <c r="DX8" s="25"/>
      <c r="DY8" s="20"/>
      <c r="DZ8" s="25"/>
      <c r="EA8" s="25"/>
      <c r="EB8" s="20"/>
      <c r="EC8" s="25"/>
      <c r="ED8" s="25"/>
      <c r="EE8" s="20"/>
      <c r="EF8" s="25"/>
      <c r="EG8" s="25"/>
      <c r="EH8" s="20"/>
      <c r="EI8" s="25"/>
      <c r="EJ8" s="25"/>
      <c r="EK8" s="20"/>
      <c r="EL8" s="25"/>
      <c r="EM8" s="25"/>
      <c r="EN8" s="20"/>
      <c r="EO8" s="25"/>
      <c r="EP8" s="25"/>
      <c r="EQ8" s="20"/>
      <c r="ER8" s="25"/>
      <c r="ES8" s="25"/>
      <c r="ET8" s="20"/>
      <c r="EU8" s="25"/>
      <c r="EV8" s="25"/>
      <c r="EW8" s="20"/>
      <c r="EX8" s="25"/>
      <c r="EY8" s="25"/>
      <c r="EZ8" s="20"/>
      <c r="FA8" s="25"/>
      <c r="FB8" s="25"/>
      <c r="FC8" s="20"/>
      <c r="FD8" s="25"/>
      <c r="FE8" s="25"/>
      <c r="FF8" s="20"/>
      <c r="FG8" s="25"/>
      <c r="FH8" s="25"/>
      <c r="FI8" s="20"/>
      <c r="FJ8" s="25"/>
      <c r="FK8" s="25"/>
      <c r="FL8" s="20"/>
      <c r="FM8" s="25"/>
      <c r="FN8" s="25"/>
      <c r="FO8" s="20"/>
      <c r="FP8" s="25"/>
      <c r="FQ8" s="25"/>
      <c r="FR8" s="20"/>
      <c r="FS8" s="25"/>
      <c r="FT8" s="25"/>
      <c r="FU8" s="20"/>
      <c r="FV8" s="25"/>
      <c r="FW8" s="25"/>
      <c r="FX8" s="20"/>
      <c r="FY8" s="25"/>
      <c r="FZ8" s="25"/>
      <c r="GA8" s="20"/>
      <c r="GB8" s="25"/>
      <c r="GC8" s="25"/>
      <c r="GD8" s="20"/>
      <c r="GE8" s="25"/>
      <c r="GF8" s="25"/>
      <c r="GG8" s="20"/>
      <c r="GH8" s="25"/>
      <c r="GI8" s="25"/>
      <c r="GJ8" s="20"/>
      <c r="GK8" s="25"/>
      <c r="GL8" s="25"/>
      <c r="GM8" s="20"/>
      <c r="GN8" s="25"/>
      <c r="GO8" s="25"/>
      <c r="GP8" s="20"/>
      <c r="GQ8" s="25"/>
      <c r="GR8" s="25"/>
      <c r="GS8" s="20"/>
      <c r="GT8" s="25"/>
      <c r="GU8" s="25"/>
      <c r="GV8" s="20"/>
      <c r="GW8" s="25"/>
      <c r="GX8" s="25"/>
      <c r="GY8" s="20"/>
      <c r="GZ8" s="25"/>
      <c r="HA8" s="25"/>
      <c r="HB8" s="20"/>
      <c r="HC8" s="25"/>
      <c r="HD8" s="25"/>
      <c r="HE8" s="20"/>
      <c r="HF8" s="25"/>
      <c r="HG8" s="25"/>
      <c r="HH8" s="20"/>
      <c r="HI8" s="25"/>
      <c r="HJ8" s="25"/>
      <c r="HK8" s="20"/>
      <c r="HL8" s="25"/>
      <c r="HM8" s="25"/>
      <c r="HN8" s="20"/>
      <c r="HO8" s="25"/>
      <c r="HP8" s="25"/>
      <c r="HQ8" s="20">
        <v>130</v>
      </c>
      <c r="HR8" s="25">
        <v>14534.7</v>
      </c>
      <c r="HS8" s="25">
        <v>121.1225</v>
      </c>
    </row>
    <row r="9" spans="1:227" ht="14.25">
      <c r="A9" s="169" t="s">
        <v>14</v>
      </c>
      <c r="B9" s="278" t="s">
        <v>25</v>
      </c>
      <c r="C9" s="171"/>
      <c r="D9" s="311">
        <v>95.13</v>
      </c>
      <c r="E9" s="170" cm="1">
        <f t="array" ref="E9">tabUniformes[[#This Row],[Valor Inicial]]*IFERROR(PRODUCT(1+_xlfn._xlws.FILTER(tabIndices[PERCENTUAL],tabIndices[DATA DA PUBLICAÇÃO]&gt;tabUniformes[[#This Row],[DATA PUBLICAÇÃO]])),1)</f>
        <v>95.13</v>
      </c>
      <c r="F9" s="172">
        <v>1</v>
      </c>
      <c r="G9" s="172" t="s">
        <v>26</v>
      </c>
      <c r="H9" s="172">
        <v>10</v>
      </c>
      <c r="I9" s="173">
        <f>tabUniformes[[#This Row],[Valor Reajustado]]*tabUniformes[[#This Row],[Qtde Anual de Peças]]*tabUniformes[[#This Row],[Qtde. funcionários]]</f>
        <v>951.3</v>
      </c>
      <c r="J9" s="172">
        <f>tabUniformes[[#This Row],[Qtde Anual de Peças]]*tabUniformes[[#This Row],[Qtde. funcionários]]</f>
        <v>10</v>
      </c>
      <c r="K9" s="170">
        <f>IFERROR(tabUniformes[[#This Row],[Total]]/12/tabUniformes[[#This Row],[Qtde. funcionários]],0)</f>
        <v>7.9274999999999993</v>
      </c>
      <c r="M9" t="s">
        <v>42</v>
      </c>
      <c r="N9">
        <v>21</v>
      </c>
      <c r="O9" s="20"/>
      <c r="P9" s="25"/>
      <c r="Q9" s="25"/>
      <c r="R9" s="20"/>
      <c r="S9" s="25"/>
      <c r="T9" s="25"/>
      <c r="U9" s="20"/>
      <c r="V9" s="25"/>
      <c r="W9" s="25"/>
      <c r="X9" s="20">
        <v>84</v>
      </c>
      <c r="Y9" s="25">
        <v>7964.8799999999992</v>
      </c>
      <c r="Z9" s="25">
        <v>31.606666666666662</v>
      </c>
      <c r="AA9" s="20"/>
      <c r="AB9" s="25"/>
      <c r="AC9" s="25"/>
      <c r="AD9" s="20">
        <v>126</v>
      </c>
      <c r="AE9" s="25">
        <v>8798.58</v>
      </c>
      <c r="AF9" s="25">
        <v>34.914999999999999</v>
      </c>
      <c r="AG9" s="20">
        <v>21</v>
      </c>
      <c r="AH9" s="25">
        <v>1997.73</v>
      </c>
      <c r="AI9" s="25">
        <v>7.9274999999999993</v>
      </c>
      <c r="AJ9" s="20"/>
      <c r="AK9" s="25"/>
      <c r="AL9" s="25"/>
      <c r="AM9" s="20"/>
      <c r="AN9" s="25"/>
      <c r="AO9" s="25"/>
      <c r="AP9" s="20"/>
      <c r="AQ9" s="25"/>
      <c r="AR9" s="25"/>
      <c r="AS9" s="20"/>
      <c r="AT9" s="25"/>
      <c r="AU9" s="25"/>
      <c r="AV9" s="20"/>
      <c r="AW9" s="25"/>
      <c r="AX9" s="25"/>
      <c r="AY9" s="20"/>
      <c r="AZ9" s="25"/>
      <c r="BA9" s="25"/>
      <c r="BB9" s="20"/>
      <c r="BC9" s="25"/>
      <c r="BD9" s="25"/>
      <c r="BE9" s="20"/>
      <c r="BF9" s="25"/>
      <c r="BG9" s="25"/>
      <c r="BH9" s="20"/>
      <c r="BI9" s="25"/>
      <c r="BJ9" s="25"/>
      <c r="BK9" s="20"/>
      <c r="BL9" s="25"/>
      <c r="BM9" s="25"/>
      <c r="BN9" s="20"/>
      <c r="BO9" s="25"/>
      <c r="BP9" s="25"/>
      <c r="BQ9" s="20"/>
      <c r="BR9" s="25"/>
      <c r="BS9" s="25"/>
      <c r="BT9" s="20"/>
      <c r="BU9" s="25"/>
      <c r="BV9" s="25"/>
      <c r="BW9" s="20"/>
      <c r="BX9" s="25"/>
      <c r="BY9" s="25"/>
      <c r="BZ9" s="20"/>
      <c r="CA9" s="25"/>
      <c r="CB9" s="25"/>
      <c r="CC9" s="20"/>
      <c r="CD9" s="25"/>
      <c r="CE9" s="25"/>
      <c r="CF9" s="20"/>
      <c r="CG9" s="25"/>
      <c r="CH9" s="25"/>
      <c r="CI9" s="20"/>
      <c r="CJ9" s="25"/>
      <c r="CK9" s="25"/>
      <c r="CL9" s="20"/>
      <c r="CM9" s="25"/>
      <c r="CN9" s="25"/>
      <c r="CO9" s="20"/>
      <c r="CP9" s="25"/>
      <c r="CQ9" s="25"/>
      <c r="CR9" s="20"/>
      <c r="CS9" s="25"/>
      <c r="CT9" s="25"/>
      <c r="CU9" s="20"/>
      <c r="CV9" s="25"/>
      <c r="CW9" s="25"/>
      <c r="CX9" s="20"/>
      <c r="CY9" s="25"/>
      <c r="CZ9" s="25"/>
      <c r="DA9" s="20"/>
      <c r="DB9" s="25"/>
      <c r="DC9" s="25"/>
      <c r="DD9" s="20"/>
      <c r="DE9" s="25"/>
      <c r="DF9" s="25"/>
      <c r="DG9" s="20"/>
      <c r="DH9" s="25"/>
      <c r="DI9" s="25"/>
      <c r="DJ9" s="20"/>
      <c r="DK9" s="25"/>
      <c r="DL9" s="25"/>
      <c r="DM9" s="20"/>
      <c r="DN9" s="25"/>
      <c r="DO9" s="25"/>
      <c r="DP9" s="20"/>
      <c r="DQ9" s="25"/>
      <c r="DR9" s="25"/>
      <c r="DS9" s="20"/>
      <c r="DT9" s="25"/>
      <c r="DU9" s="25"/>
      <c r="DV9" s="20"/>
      <c r="DW9" s="25"/>
      <c r="DX9" s="25"/>
      <c r="DY9" s="20"/>
      <c r="DZ9" s="25"/>
      <c r="EA9" s="25"/>
      <c r="EB9" s="20"/>
      <c r="EC9" s="25"/>
      <c r="ED9" s="25"/>
      <c r="EE9" s="20"/>
      <c r="EF9" s="25"/>
      <c r="EG9" s="25"/>
      <c r="EH9" s="20"/>
      <c r="EI9" s="25"/>
      <c r="EJ9" s="25"/>
      <c r="EK9" s="20"/>
      <c r="EL9" s="25"/>
      <c r="EM9" s="25"/>
      <c r="EN9" s="20"/>
      <c r="EO9" s="25"/>
      <c r="EP9" s="25"/>
      <c r="EQ9" s="20"/>
      <c r="ER9" s="25"/>
      <c r="ES9" s="25"/>
      <c r="ET9" s="20"/>
      <c r="EU9" s="25"/>
      <c r="EV9" s="25"/>
      <c r="EW9" s="20"/>
      <c r="EX9" s="25"/>
      <c r="EY9" s="25"/>
      <c r="EZ9" s="20"/>
      <c r="FA9" s="25"/>
      <c r="FB9" s="25"/>
      <c r="FC9" s="20"/>
      <c r="FD9" s="25"/>
      <c r="FE9" s="25"/>
      <c r="FF9" s="20"/>
      <c r="FG9" s="25"/>
      <c r="FH9" s="25"/>
      <c r="FI9" s="20"/>
      <c r="FJ9" s="25"/>
      <c r="FK9" s="25"/>
      <c r="FL9" s="20"/>
      <c r="FM9" s="25"/>
      <c r="FN9" s="25"/>
      <c r="FO9" s="20"/>
      <c r="FP9" s="25"/>
      <c r="FQ9" s="25"/>
      <c r="FR9" s="20"/>
      <c r="FS9" s="25"/>
      <c r="FT9" s="25"/>
      <c r="FU9" s="20"/>
      <c r="FV9" s="25"/>
      <c r="FW9" s="25"/>
      <c r="FX9" s="20"/>
      <c r="FY9" s="25"/>
      <c r="FZ9" s="25"/>
      <c r="GA9" s="20"/>
      <c r="GB9" s="25"/>
      <c r="GC9" s="25"/>
      <c r="GD9" s="20"/>
      <c r="GE9" s="25"/>
      <c r="GF9" s="25"/>
      <c r="GG9" s="20"/>
      <c r="GH9" s="25"/>
      <c r="GI9" s="25"/>
      <c r="GJ9" s="20"/>
      <c r="GK9" s="25"/>
      <c r="GL9" s="25"/>
      <c r="GM9" s="20"/>
      <c r="GN9" s="25"/>
      <c r="GO9" s="25"/>
      <c r="GP9" s="20"/>
      <c r="GQ9" s="25"/>
      <c r="GR9" s="25"/>
      <c r="GS9" s="20"/>
      <c r="GT9" s="25"/>
      <c r="GU9" s="25"/>
      <c r="GV9" s="20"/>
      <c r="GW9" s="25"/>
      <c r="GX9" s="25"/>
      <c r="GY9" s="20"/>
      <c r="GZ9" s="25"/>
      <c r="HA9" s="25"/>
      <c r="HB9" s="20"/>
      <c r="HC9" s="25"/>
      <c r="HD9" s="25"/>
      <c r="HE9" s="20"/>
      <c r="HF9" s="25"/>
      <c r="HG9" s="25"/>
      <c r="HH9" s="20"/>
      <c r="HI9" s="25"/>
      <c r="HJ9" s="25"/>
      <c r="HK9" s="20"/>
      <c r="HL9" s="25"/>
      <c r="HM9" s="25"/>
      <c r="HN9" s="20"/>
      <c r="HO9" s="25"/>
      <c r="HP9" s="25"/>
      <c r="HQ9" s="20">
        <v>231</v>
      </c>
      <c r="HR9" s="25">
        <v>18761.189999999999</v>
      </c>
      <c r="HS9" s="25">
        <v>74.449166666666656</v>
      </c>
    </row>
    <row r="10" spans="1:227" ht="14.25">
      <c r="A10" s="169" t="s">
        <v>12</v>
      </c>
      <c r="B10" s="278" t="s">
        <v>32</v>
      </c>
      <c r="C10" s="171"/>
      <c r="D10" s="311">
        <v>69.83</v>
      </c>
      <c r="E10" s="170" cm="1">
        <f t="array" ref="E10">tabUniformes[[#This Row],[Valor Inicial]]*IFERROR(PRODUCT(1+_xlfn._xlws.FILTER(tabIndices[PERCENTUAL],tabIndices[DATA DA PUBLICAÇÃO]&gt;tabUniformes[[#This Row],[DATA PUBLICAÇÃO]])),1)</f>
        <v>69.83</v>
      </c>
      <c r="F10" s="172">
        <v>6</v>
      </c>
      <c r="G10" s="172" t="s">
        <v>26</v>
      </c>
      <c r="H10" s="172">
        <v>10</v>
      </c>
      <c r="I10" s="173">
        <f>tabUniformes[[#This Row],[Valor Reajustado]]*tabUniformes[[#This Row],[Qtde Anual de Peças]]*tabUniformes[[#This Row],[Qtde. funcionários]]</f>
        <v>4189.8</v>
      </c>
      <c r="J10" s="172">
        <f>tabUniformes[[#This Row],[Qtde Anual de Peças]]*tabUniformes[[#This Row],[Qtde. funcionários]]</f>
        <v>60</v>
      </c>
      <c r="K10" s="170">
        <f>IFERROR(tabUniformes[[#This Row],[Total]]/12/tabUniformes[[#This Row],[Qtde. funcionários]],0)</f>
        <v>34.915000000000006</v>
      </c>
      <c r="M10" t="s">
        <v>43</v>
      </c>
      <c r="N10">
        <v>117</v>
      </c>
      <c r="O10" s="20"/>
      <c r="P10" s="25"/>
      <c r="Q10" s="25"/>
      <c r="R10" s="20"/>
      <c r="S10" s="25"/>
      <c r="T10" s="25"/>
      <c r="U10" s="20"/>
      <c r="V10" s="25"/>
      <c r="W10" s="25"/>
      <c r="X10" s="20">
        <v>408</v>
      </c>
      <c r="Y10" s="25">
        <v>22087.754203588604</v>
      </c>
      <c r="Z10" s="25">
        <v>46.016154590809592</v>
      </c>
      <c r="AA10" s="20"/>
      <c r="AB10" s="25"/>
      <c r="AC10" s="25"/>
      <c r="AD10" s="20">
        <v>612</v>
      </c>
      <c r="AE10" s="25">
        <v>25769.04657085337</v>
      </c>
      <c r="AF10" s="25">
        <v>53.685513689277855</v>
      </c>
      <c r="AG10" s="20">
        <v>117</v>
      </c>
      <c r="AH10" s="25">
        <v>11130.21</v>
      </c>
      <c r="AI10" s="25">
        <v>23.187937499999997</v>
      </c>
      <c r="AJ10" s="20"/>
      <c r="AK10" s="25"/>
      <c r="AL10" s="25"/>
      <c r="AM10" s="20"/>
      <c r="AN10" s="25"/>
      <c r="AO10" s="25"/>
      <c r="AP10" s="20"/>
      <c r="AQ10" s="25"/>
      <c r="AR10" s="25"/>
      <c r="AS10" s="20"/>
      <c r="AT10" s="25"/>
      <c r="AU10" s="25"/>
      <c r="AV10" s="20"/>
      <c r="AW10" s="25"/>
      <c r="AX10" s="25"/>
      <c r="AY10" s="20"/>
      <c r="AZ10" s="25"/>
      <c r="BA10" s="25"/>
      <c r="BB10" s="20"/>
      <c r="BC10" s="25"/>
      <c r="BD10" s="25"/>
      <c r="BE10" s="20"/>
      <c r="BF10" s="25"/>
      <c r="BG10" s="25"/>
      <c r="BH10" s="20"/>
      <c r="BI10" s="25"/>
      <c r="BJ10" s="25"/>
      <c r="BK10" s="20"/>
      <c r="BL10" s="25"/>
      <c r="BM10" s="25"/>
      <c r="BN10" s="20"/>
      <c r="BO10" s="25"/>
      <c r="BP10" s="25"/>
      <c r="BQ10" s="20"/>
      <c r="BR10" s="25"/>
      <c r="BS10" s="25"/>
      <c r="BT10" s="20"/>
      <c r="BU10" s="25"/>
      <c r="BV10" s="25"/>
      <c r="BW10" s="20"/>
      <c r="BX10" s="25"/>
      <c r="BY10" s="25"/>
      <c r="BZ10" s="20"/>
      <c r="CA10" s="25"/>
      <c r="CB10" s="25"/>
      <c r="CC10" s="20"/>
      <c r="CD10" s="25"/>
      <c r="CE10" s="25"/>
      <c r="CF10" s="20"/>
      <c r="CG10" s="25"/>
      <c r="CH10" s="25"/>
      <c r="CI10" s="20"/>
      <c r="CJ10" s="25"/>
      <c r="CK10" s="25"/>
      <c r="CL10" s="20"/>
      <c r="CM10" s="25"/>
      <c r="CN10" s="25"/>
      <c r="CO10" s="20"/>
      <c r="CP10" s="25"/>
      <c r="CQ10" s="25"/>
      <c r="CR10" s="20"/>
      <c r="CS10" s="25"/>
      <c r="CT10" s="25"/>
      <c r="CU10" s="20"/>
      <c r="CV10" s="25"/>
      <c r="CW10" s="25"/>
      <c r="CX10" s="20"/>
      <c r="CY10" s="25"/>
      <c r="CZ10" s="25"/>
      <c r="DA10" s="20"/>
      <c r="DB10" s="25"/>
      <c r="DC10" s="25"/>
      <c r="DD10" s="20"/>
      <c r="DE10" s="25"/>
      <c r="DF10" s="25"/>
      <c r="DG10" s="20"/>
      <c r="DH10" s="25"/>
      <c r="DI10" s="25"/>
      <c r="DJ10" s="20"/>
      <c r="DK10" s="25"/>
      <c r="DL10" s="25"/>
      <c r="DM10" s="20"/>
      <c r="DN10" s="25"/>
      <c r="DO10" s="25"/>
      <c r="DP10" s="20"/>
      <c r="DQ10" s="25"/>
      <c r="DR10" s="25"/>
      <c r="DS10" s="20"/>
      <c r="DT10" s="25"/>
      <c r="DU10" s="25"/>
      <c r="DV10" s="20"/>
      <c r="DW10" s="25"/>
      <c r="DX10" s="25"/>
      <c r="DY10" s="20"/>
      <c r="DZ10" s="25"/>
      <c r="EA10" s="25"/>
      <c r="EB10" s="20"/>
      <c r="EC10" s="25"/>
      <c r="ED10" s="25"/>
      <c r="EE10" s="20"/>
      <c r="EF10" s="25"/>
      <c r="EG10" s="25"/>
      <c r="EH10" s="20"/>
      <c r="EI10" s="25"/>
      <c r="EJ10" s="25"/>
      <c r="EK10" s="20"/>
      <c r="EL10" s="25"/>
      <c r="EM10" s="25"/>
      <c r="EN10" s="20"/>
      <c r="EO10" s="25"/>
      <c r="EP10" s="25"/>
      <c r="EQ10" s="20"/>
      <c r="ER10" s="25"/>
      <c r="ES10" s="25"/>
      <c r="ET10" s="20"/>
      <c r="EU10" s="25"/>
      <c r="EV10" s="25"/>
      <c r="EW10" s="20"/>
      <c r="EX10" s="25"/>
      <c r="EY10" s="25"/>
      <c r="EZ10" s="20"/>
      <c r="FA10" s="25"/>
      <c r="FB10" s="25"/>
      <c r="FC10" s="20"/>
      <c r="FD10" s="25"/>
      <c r="FE10" s="25"/>
      <c r="FF10" s="20"/>
      <c r="FG10" s="25"/>
      <c r="FH10" s="25"/>
      <c r="FI10" s="20"/>
      <c r="FJ10" s="25"/>
      <c r="FK10" s="25"/>
      <c r="FL10" s="20"/>
      <c r="FM10" s="25"/>
      <c r="FN10" s="25"/>
      <c r="FO10" s="20"/>
      <c r="FP10" s="25"/>
      <c r="FQ10" s="25"/>
      <c r="FR10" s="20"/>
      <c r="FS10" s="25"/>
      <c r="FT10" s="25"/>
      <c r="FU10" s="20"/>
      <c r="FV10" s="25"/>
      <c r="FW10" s="25"/>
      <c r="FX10" s="20"/>
      <c r="FY10" s="25"/>
      <c r="FZ10" s="25"/>
      <c r="GA10" s="20"/>
      <c r="GB10" s="25"/>
      <c r="GC10" s="25"/>
      <c r="GD10" s="20"/>
      <c r="GE10" s="25"/>
      <c r="GF10" s="25"/>
      <c r="GG10" s="20"/>
      <c r="GH10" s="25"/>
      <c r="GI10" s="25"/>
      <c r="GJ10" s="20"/>
      <c r="GK10" s="25"/>
      <c r="GL10" s="25"/>
      <c r="GM10" s="20"/>
      <c r="GN10" s="25"/>
      <c r="GO10" s="25"/>
      <c r="GP10" s="20"/>
      <c r="GQ10" s="25"/>
      <c r="GR10" s="25"/>
      <c r="GS10" s="20"/>
      <c r="GT10" s="25"/>
      <c r="GU10" s="25"/>
      <c r="GV10" s="20"/>
      <c r="GW10" s="25"/>
      <c r="GX10" s="25"/>
      <c r="GY10" s="20"/>
      <c r="GZ10" s="25"/>
      <c r="HA10" s="25"/>
      <c r="HB10" s="20"/>
      <c r="HC10" s="25"/>
      <c r="HD10" s="25"/>
      <c r="HE10" s="20"/>
      <c r="HF10" s="25"/>
      <c r="HG10" s="25"/>
      <c r="HH10" s="20"/>
      <c r="HI10" s="25"/>
      <c r="HJ10" s="25"/>
      <c r="HK10" s="20"/>
      <c r="HL10" s="25"/>
      <c r="HM10" s="25"/>
      <c r="HN10" s="20"/>
      <c r="HO10" s="25"/>
      <c r="HP10" s="25"/>
      <c r="HQ10" s="20">
        <v>1137</v>
      </c>
      <c r="HR10" s="25">
        <v>58987.010774441973</v>
      </c>
      <c r="HS10" s="25">
        <v>122.88960578008744</v>
      </c>
    </row>
    <row r="11" spans="1:227" ht="14.25">
      <c r="A11" s="169" t="s">
        <v>11</v>
      </c>
      <c r="B11" s="278" t="s">
        <v>30</v>
      </c>
      <c r="C11" s="171"/>
      <c r="D11" s="311">
        <v>94.82</v>
      </c>
      <c r="E11" s="170" cm="1">
        <f t="array" ref="E11">tabUniformes[[#This Row],[Valor Inicial]]*IFERROR(PRODUCT(1+_xlfn._xlws.FILTER(tabIndices[PERCENTUAL],tabIndices[DATA DA PUBLICAÇÃO]&gt;tabUniformes[[#This Row],[DATA PUBLICAÇÃO]])),1)</f>
        <v>94.82</v>
      </c>
      <c r="F11" s="172">
        <v>4</v>
      </c>
      <c r="G11" s="172" t="s">
        <v>42</v>
      </c>
      <c r="H11" s="172">
        <v>21</v>
      </c>
      <c r="I11" s="173">
        <f>tabUniformes[[#This Row],[Valor Reajustado]]*tabUniformes[[#This Row],[Qtde Anual de Peças]]*tabUniformes[[#This Row],[Qtde. funcionários]]</f>
        <v>7964.8799999999992</v>
      </c>
      <c r="J11" s="172">
        <f>tabUniformes[[#This Row],[Qtde Anual de Peças]]*tabUniformes[[#This Row],[Qtde. funcionários]]</f>
        <v>84</v>
      </c>
      <c r="K11" s="170">
        <f>IFERROR(tabUniformes[[#This Row],[Total]]/12/tabUniformes[[#This Row],[Qtde. funcionários]],0)</f>
        <v>31.606666666666662</v>
      </c>
      <c r="M11" t="s">
        <v>44</v>
      </c>
      <c r="N11">
        <v>27</v>
      </c>
      <c r="O11" s="20"/>
      <c r="P11" s="25"/>
      <c r="Q11" s="25"/>
      <c r="R11" s="20"/>
      <c r="S11" s="25"/>
      <c r="T11" s="25"/>
      <c r="U11" s="20"/>
      <c r="V11" s="25"/>
      <c r="W11" s="25"/>
      <c r="X11" s="20">
        <v>108</v>
      </c>
      <c r="Y11" s="25">
        <v>5846.7584656558065</v>
      </c>
      <c r="Z11" s="25">
        <v>18.045550819925328</v>
      </c>
      <c r="AA11" s="20"/>
      <c r="AB11" s="25"/>
      <c r="AC11" s="25"/>
      <c r="AD11" s="20">
        <v>162</v>
      </c>
      <c r="AE11" s="25">
        <v>6821.2182099317743</v>
      </c>
      <c r="AF11" s="25">
        <v>21.053142623246217</v>
      </c>
      <c r="AG11" s="20">
        <v>27</v>
      </c>
      <c r="AH11" s="25">
        <v>1624.0995737932797</v>
      </c>
      <c r="AI11" s="25">
        <v>5.0126530055348137</v>
      </c>
      <c r="AJ11" s="20"/>
      <c r="AK11" s="25"/>
      <c r="AL11" s="25"/>
      <c r="AM11" s="20"/>
      <c r="AN11" s="25"/>
      <c r="AO11" s="25"/>
      <c r="AP11" s="20"/>
      <c r="AQ11" s="25"/>
      <c r="AR11" s="25"/>
      <c r="AS11" s="20"/>
      <c r="AT11" s="25"/>
      <c r="AU11" s="25"/>
      <c r="AV11" s="20"/>
      <c r="AW11" s="25"/>
      <c r="AX11" s="25"/>
      <c r="AY11" s="20">
        <v>27</v>
      </c>
      <c r="AZ11" s="25">
        <v>974.45974427596775</v>
      </c>
      <c r="BA11" s="25">
        <v>3.0075918033208882</v>
      </c>
      <c r="BB11" s="20"/>
      <c r="BC11" s="25"/>
      <c r="BD11" s="25"/>
      <c r="BE11" s="20"/>
      <c r="BF11" s="25"/>
      <c r="BG11" s="25"/>
      <c r="BH11" s="20"/>
      <c r="BI11" s="25"/>
      <c r="BJ11" s="25"/>
      <c r="BK11" s="20"/>
      <c r="BL11" s="25"/>
      <c r="BM11" s="25"/>
      <c r="BN11" s="20">
        <v>9720</v>
      </c>
      <c r="BO11" s="25">
        <v>2235.6</v>
      </c>
      <c r="BP11" s="25">
        <v>6.8999999999999995</v>
      </c>
      <c r="BQ11" s="20">
        <v>648</v>
      </c>
      <c r="BR11" s="25">
        <v>1438.56</v>
      </c>
      <c r="BS11" s="25">
        <v>4.4399999999999995</v>
      </c>
      <c r="BT11" s="20">
        <v>648</v>
      </c>
      <c r="BU11" s="25">
        <v>900.72</v>
      </c>
      <c r="BV11" s="25">
        <v>2.7800000000000002</v>
      </c>
      <c r="BW11" s="20">
        <v>18900</v>
      </c>
      <c r="BX11" s="25">
        <v>5167.26</v>
      </c>
      <c r="BY11" s="25">
        <v>15.948333333333334</v>
      </c>
      <c r="BZ11" s="20">
        <v>3240</v>
      </c>
      <c r="CA11" s="25">
        <v>972</v>
      </c>
      <c r="CB11" s="25">
        <v>3</v>
      </c>
      <c r="CC11" s="20">
        <v>54</v>
      </c>
      <c r="CD11" s="25">
        <v>15122.160000000002</v>
      </c>
      <c r="CE11" s="25">
        <v>46.673333333333339</v>
      </c>
      <c r="CF11" s="20">
        <v>324</v>
      </c>
      <c r="CG11" s="25">
        <v>2485.08</v>
      </c>
      <c r="CH11" s="25">
        <v>7.67</v>
      </c>
      <c r="CI11" s="20">
        <v>702</v>
      </c>
      <c r="CJ11" s="25">
        <v>17514.899999999998</v>
      </c>
      <c r="CK11" s="25">
        <v>54.05833333333333</v>
      </c>
      <c r="CL11" s="20">
        <v>702</v>
      </c>
      <c r="CM11" s="25">
        <v>638.82000000000005</v>
      </c>
      <c r="CN11" s="25">
        <v>1.9716666666666669</v>
      </c>
      <c r="CO11" s="20"/>
      <c r="CP11" s="25"/>
      <c r="CQ11" s="25"/>
      <c r="CR11" s="20"/>
      <c r="CS11" s="25"/>
      <c r="CT11" s="25"/>
      <c r="CU11" s="20"/>
      <c r="CV11" s="25"/>
      <c r="CW11" s="25"/>
      <c r="CX11" s="20"/>
      <c r="CY11" s="25"/>
      <c r="CZ11" s="25"/>
      <c r="DA11" s="20"/>
      <c r="DB11" s="25"/>
      <c r="DC11" s="25"/>
      <c r="DD11" s="20"/>
      <c r="DE11" s="25"/>
      <c r="DF11" s="25"/>
      <c r="DG11" s="20"/>
      <c r="DH11" s="25"/>
      <c r="DI11" s="25"/>
      <c r="DJ11" s="20"/>
      <c r="DK11" s="25"/>
      <c r="DL11" s="25"/>
      <c r="DM11" s="20"/>
      <c r="DN11" s="25"/>
      <c r="DO11" s="25"/>
      <c r="DP11" s="20"/>
      <c r="DQ11" s="25"/>
      <c r="DR11" s="25"/>
      <c r="DS11" s="20"/>
      <c r="DT11" s="25"/>
      <c r="DU11" s="25"/>
      <c r="DV11" s="20"/>
      <c r="DW11" s="25"/>
      <c r="DX11" s="25"/>
      <c r="DY11" s="20"/>
      <c r="DZ11" s="25"/>
      <c r="EA11" s="25"/>
      <c r="EB11" s="20"/>
      <c r="EC11" s="25"/>
      <c r="ED11" s="25"/>
      <c r="EE11" s="20"/>
      <c r="EF11" s="25"/>
      <c r="EG11" s="25"/>
      <c r="EH11" s="20"/>
      <c r="EI11" s="25"/>
      <c r="EJ11" s="25"/>
      <c r="EK11" s="20"/>
      <c r="EL11" s="25"/>
      <c r="EM11" s="25"/>
      <c r="EN11" s="20"/>
      <c r="EO11" s="25"/>
      <c r="EP11" s="25"/>
      <c r="EQ11" s="20"/>
      <c r="ER11" s="25"/>
      <c r="ES11" s="25"/>
      <c r="ET11" s="20"/>
      <c r="EU11" s="25"/>
      <c r="EV11" s="25"/>
      <c r="EW11" s="20"/>
      <c r="EX11" s="25"/>
      <c r="EY11" s="25"/>
      <c r="EZ11" s="20"/>
      <c r="FA11" s="25"/>
      <c r="FB11" s="25"/>
      <c r="FC11" s="20"/>
      <c r="FD11" s="25"/>
      <c r="FE11" s="25"/>
      <c r="FF11" s="20"/>
      <c r="FG11" s="25"/>
      <c r="FH11" s="25"/>
      <c r="FI11" s="20"/>
      <c r="FJ11" s="25"/>
      <c r="FK11" s="25"/>
      <c r="FL11" s="20"/>
      <c r="FM11" s="25"/>
      <c r="FN11" s="25"/>
      <c r="FO11" s="20"/>
      <c r="FP11" s="25"/>
      <c r="FQ11" s="25"/>
      <c r="FR11" s="20"/>
      <c r="FS11" s="25"/>
      <c r="FT11" s="25"/>
      <c r="FU11" s="20"/>
      <c r="FV11" s="25"/>
      <c r="FW11" s="25"/>
      <c r="FX11" s="20"/>
      <c r="FY11" s="25"/>
      <c r="FZ11" s="25"/>
      <c r="GA11" s="20"/>
      <c r="GB11" s="25"/>
      <c r="GC11" s="25"/>
      <c r="GD11" s="20"/>
      <c r="GE11" s="25"/>
      <c r="GF11" s="25"/>
      <c r="GG11" s="20"/>
      <c r="GH11" s="25"/>
      <c r="GI11" s="25"/>
      <c r="GJ11" s="20"/>
      <c r="GK11" s="25"/>
      <c r="GL11" s="25"/>
      <c r="GM11" s="20"/>
      <c r="GN11" s="25"/>
      <c r="GO11" s="25"/>
      <c r="GP11" s="20"/>
      <c r="GQ11" s="25"/>
      <c r="GR11" s="25"/>
      <c r="GS11" s="20"/>
      <c r="GT11" s="25"/>
      <c r="GU11" s="25"/>
      <c r="GV11" s="20"/>
      <c r="GW11" s="25"/>
      <c r="GX11" s="25"/>
      <c r="GY11" s="20"/>
      <c r="GZ11" s="25"/>
      <c r="HA11" s="25"/>
      <c r="HB11" s="20"/>
      <c r="HC11" s="25"/>
      <c r="HD11" s="25"/>
      <c r="HE11" s="20"/>
      <c r="HF11" s="25"/>
      <c r="HG11" s="25"/>
      <c r="HH11" s="20"/>
      <c r="HI11" s="25"/>
      <c r="HJ11" s="25"/>
      <c r="HK11" s="20"/>
      <c r="HL11" s="25"/>
      <c r="HM11" s="25"/>
      <c r="HN11" s="20"/>
      <c r="HO11" s="25"/>
      <c r="HP11" s="25"/>
      <c r="HQ11" s="20">
        <v>35262</v>
      </c>
      <c r="HR11" s="25">
        <v>61741.635993656826</v>
      </c>
      <c r="HS11" s="25">
        <v>190.56060491869391</v>
      </c>
    </row>
    <row r="12" spans="1:227" ht="14.25">
      <c r="A12" s="169" t="s">
        <v>14</v>
      </c>
      <c r="B12" s="278" t="s">
        <v>25</v>
      </c>
      <c r="C12" s="171"/>
      <c r="D12" s="311">
        <v>95.13</v>
      </c>
      <c r="E12" s="170" cm="1">
        <f t="array" ref="E12">tabUniformes[[#This Row],[Valor Inicial]]*IFERROR(PRODUCT(1+_xlfn._xlws.FILTER(tabIndices[PERCENTUAL],tabIndices[DATA DA PUBLICAÇÃO]&gt;tabUniformes[[#This Row],[DATA PUBLICAÇÃO]])),1)</f>
        <v>95.13</v>
      </c>
      <c r="F12" s="172">
        <v>1</v>
      </c>
      <c r="G12" s="172" t="s">
        <v>42</v>
      </c>
      <c r="H12" s="172">
        <v>21</v>
      </c>
      <c r="I12" s="173">
        <f>tabUniformes[[#This Row],[Valor Reajustado]]*tabUniformes[[#This Row],[Qtde Anual de Peças]]*tabUniformes[[#This Row],[Qtde. funcionários]]</f>
        <v>1997.73</v>
      </c>
      <c r="J12" s="172">
        <f>tabUniformes[[#This Row],[Qtde Anual de Peças]]*tabUniformes[[#This Row],[Qtde. funcionários]]</f>
        <v>21</v>
      </c>
      <c r="K12" s="170">
        <f>IFERROR(tabUniformes[[#This Row],[Total]]/12/tabUniformes[[#This Row],[Qtde. funcionários]],0)</f>
        <v>7.9274999999999993</v>
      </c>
      <c r="M12" t="s">
        <v>45</v>
      </c>
      <c r="N12">
        <v>3</v>
      </c>
      <c r="O12" s="20"/>
      <c r="P12" s="25"/>
      <c r="Q12" s="25"/>
      <c r="R12" s="20"/>
      <c r="S12" s="25"/>
      <c r="T12" s="25"/>
      <c r="U12" s="20"/>
      <c r="V12" s="25"/>
      <c r="W12" s="25"/>
      <c r="X12" s="20">
        <v>12</v>
      </c>
      <c r="Y12" s="25">
        <v>649.63982951731191</v>
      </c>
      <c r="Z12" s="25">
        <v>18.045550819925332</v>
      </c>
      <c r="AA12" s="20"/>
      <c r="AB12" s="25"/>
      <c r="AC12" s="25"/>
      <c r="AD12" s="20">
        <v>18</v>
      </c>
      <c r="AE12" s="25">
        <v>757.91313443686386</v>
      </c>
      <c r="AF12" s="25">
        <v>21.05314262324622</v>
      </c>
      <c r="AG12" s="20">
        <v>3</v>
      </c>
      <c r="AH12" s="25">
        <v>180.4555081992533</v>
      </c>
      <c r="AI12" s="25">
        <v>5.0126530055348137</v>
      </c>
      <c r="AJ12" s="20"/>
      <c r="AK12" s="25"/>
      <c r="AL12" s="25"/>
      <c r="AM12" s="20"/>
      <c r="AN12" s="25"/>
      <c r="AO12" s="25"/>
      <c r="AP12" s="20"/>
      <c r="AQ12" s="25"/>
      <c r="AR12" s="25"/>
      <c r="AS12" s="20"/>
      <c r="AT12" s="25"/>
      <c r="AU12" s="25"/>
      <c r="AV12" s="20"/>
      <c r="AW12" s="25"/>
      <c r="AX12" s="25"/>
      <c r="AY12" s="20">
        <v>3</v>
      </c>
      <c r="AZ12" s="25">
        <v>108.27330491955198</v>
      </c>
      <c r="BA12" s="25">
        <v>3.0075918033208882</v>
      </c>
      <c r="BB12" s="20"/>
      <c r="BC12" s="25"/>
      <c r="BD12" s="25"/>
      <c r="BE12" s="20"/>
      <c r="BF12" s="25"/>
      <c r="BG12" s="25"/>
      <c r="BH12" s="20"/>
      <c r="BI12" s="25"/>
      <c r="BJ12" s="25"/>
      <c r="BK12" s="20"/>
      <c r="BL12" s="25"/>
      <c r="BM12" s="25"/>
      <c r="BN12" s="20">
        <v>1080</v>
      </c>
      <c r="BO12" s="25">
        <v>248.39999999999998</v>
      </c>
      <c r="BP12" s="25">
        <v>6.8999999999999995</v>
      </c>
      <c r="BQ12" s="20">
        <v>72</v>
      </c>
      <c r="BR12" s="25">
        <v>159.84</v>
      </c>
      <c r="BS12" s="25">
        <v>4.4400000000000004</v>
      </c>
      <c r="BT12" s="20">
        <v>72</v>
      </c>
      <c r="BU12" s="25">
        <v>100.08</v>
      </c>
      <c r="BV12" s="25">
        <v>2.78</v>
      </c>
      <c r="BW12" s="20">
        <v>2100</v>
      </c>
      <c r="BX12" s="25">
        <v>574.14</v>
      </c>
      <c r="BY12" s="25">
        <v>15.948333333333332</v>
      </c>
      <c r="BZ12" s="20">
        <v>360</v>
      </c>
      <c r="CA12" s="25">
        <v>108</v>
      </c>
      <c r="CB12" s="25">
        <v>3</v>
      </c>
      <c r="CC12" s="20">
        <v>6</v>
      </c>
      <c r="CD12" s="25">
        <v>1680.2400000000002</v>
      </c>
      <c r="CE12" s="25">
        <v>46.673333333333339</v>
      </c>
      <c r="CF12" s="20">
        <v>36</v>
      </c>
      <c r="CG12" s="25">
        <v>276.12</v>
      </c>
      <c r="CH12" s="25">
        <v>7.6700000000000008</v>
      </c>
      <c r="CI12" s="20">
        <v>78</v>
      </c>
      <c r="CJ12" s="25">
        <v>1946.1</v>
      </c>
      <c r="CK12" s="25">
        <v>54.05833333333333</v>
      </c>
      <c r="CL12" s="20">
        <v>78</v>
      </c>
      <c r="CM12" s="25">
        <v>70.98</v>
      </c>
      <c r="CN12" s="25">
        <v>1.9716666666666667</v>
      </c>
      <c r="CO12" s="20"/>
      <c r="CP12" s="25"/>
      <c r="CQ12" s="25"/>
      <c r="CR12" s="20"/>
      <c r="CS12" s="25"/>
      <c r="CT12" s="25"/>
      <c r="CU12" s="20"/>
      <c r="CV12" s="25"/>
      <c r="CW12" s="25"/>
      <c r="CX12" s="20"/>
      <c r="CY12" s="25"/>
      <c r="CZ12" s="25"/>
      <c r="DA12" s="20"/>
      <c r="DB12" s="25"/>
      <c r="DC12" s="25"/>
      <c r="DD12" s="20"/>
      <c r="DE12" s="25"/>
      <c r="DF12" s="25"/>
      <c r="DG12" s="20"/>
      <c r="DH12" s="25"/>
      <c r="DI12" s="25"/>
      <c r="DJ12" s="20"/>
      <c r="DK12" s="25"/>
      <c r="DL12" s="25"/>
      <c r="DM12" s="20"/>
      <c r="DN12" s="25"/>
      <c r="DO12" s="25"/>
      <c r="DP12" s="20"/>
      <c r="DQ12" s="25"/>
      <c r="DR12" s="25"/>
      <c r="DS12" s="20"/>
      <c r="DT12" s="25"/>
      <c r="DU12" s="25"/>
      <c r="DV12" s="20"/>
      <c r="DW12" s="25"/>
      <c r="DX12" s="25"/>
      <c r="DY12" s="20"/>
      <c r="DZ12" s="25"/>
      <c r="EA12" s="25"/>
      <c r="EB12" s="20"/>
      <c r="EC12" s="25"/>
      <c r="ED12" s="25"/>
      <c r="EE12" s="20"/>
      <c r="EF12" s="25"/>
      <c r="EG12" s="25"/>
      <c r="EH12" s="20"/>
      <c r="EI12" s="25"/>
      <c r="EJ12" s="25"/>
      <c r="EK12" s="20"/>
      <c r="EL12" s="25"/>
      <c r="EM12" s="25"/>
      <c r="EN12" s="20"/>
      <c r="EO12" s="25"/>
      <c r="EP12" s="25"/>
      <c r="EQ12" s="20"/>
      <c r="ER12" s="25"/>
      <c r="ES12" s="25"/>
      <c r="ET12" s="20"/>
      <c r="EU12" s="25"/>
      <c r="EV12" s="25"/>
      <c r="EW12" s="20"/>
      <c r="EX12" s="25"/>
      <c r="EY12" s="25"/>
      <c r="EZ12" s="20"/>
      <c r="FA12" s="25"/>
      <c r="FB12" s="25"/>
      <c r="FC12" s="20"/>
      <c r="FD12" s="25"/>
      <c r="FE12" s="25"/>
      <c r="FF12" s="20"/>
      <c r="FG12" s="25"/>
      <c r="FH12" s="25"/>
      <c r="FI12" s="20"/>
      <c r="FJ12" s="25"/>
      <c r="FK12" s="25"/>
      <c r="FL12" s="20"/>
      <c r="FM12" s="25"/>
      <c r="FN12" s="25"/>
      <c r="FO12" s="20"/>
      <c r="FP12" s="25"/>
      <c r="FQ12" s="25"/>
      <c r="FR12" s="20"/>
      <c r="FS12" s="25"/>
      <c r="FT12" s="25"/>
      <c r="FU12" s="20"/>
      <c r="FV12" s="25"/>
      <c r="FW12" s="25"/>
      <c r="FX12" s="20"/>
      <c r="FY12" s="25"/>
      <c r="FZ12" s="25"/>
      <c r="GA12" s="20"/>
      <c r="GB12" s="25"/>
      <c r="GC12" s="25"/>
      <c r="GD12" s="20"/>
      <c r="GE12" s="25"/>
      <c r="GF12" s="25"/>
      <c r="GG12" s="20"/>
      <c r="GH12" s="25"/>
      <c r="GI12" s="25"/>
      <c r="GJ12" s="20"/>
      <c r="GK12" s="25"/>
      <c r="GL12" s="25"/>
      <c r="GM12" s="20"/>
      <c r="GN12" s="25"/>
      <c r="GO12" s="25"/>
      <c r="GP12" s="20"/>
      <c r="GQ12" s="25"/>
      <c r="GR12" s="25"/>
      <c r="GS12" s="20"/>
      <c r="GT12" s="25"/>
      <c r="GU12" s="25"/>
      <c r="GV12" s="20"/>
      <c r="GW12" s="25"/>
      <c r="GX12" s="25"/>
      <c r="GY12" s="20"/>
      <c r="GZ12" s="25"/>
      <c r="HA12" s="25"/>
      <c r="HB12" s="20"/>
      <c r="HC12" s="25"/>
      <c r="HD12" s="25"/>
      <c r="HE12" s="20"/>
      <c r="HF12" s="25"/>
      <c r="HG12" s="25"/>
      <c r="HH12" s="20"/>
      <c r="HI12" s="25"/>
      <c r="HJ12" s="25"/>
      <c r="HK12" s="20"/>
      <c r="HL12" s="25"/>
      <c r="HM12" s="25"/>
      <c r="HN12" s="20"/>
      <c r="HO12" s="25"/>
      <c r="HP12" s="25"/>
      <c r="HQ12" s="20">
        <v>3918</v>
      </c>
      <c r="HR12" s="25">
        <v>6860.1817770729795</v>
      </c>
      <c r="HS12" s="25">
        <v>190.56060491869391</v>
      </c>
    </row>
    <row r="13" spans="1:227" ht="14.25">
      <c r="A13" s="169" t="s">
        <v>12</v>
      </c>
      <c r="B13" s="278" t="s">
        <v>32</v>
      </c>
      <c r="C13" s="171"/>
      <c r="D13" s="311">
        <v>69.83</v>
      </c>
      <c r="E13" s="170" cm="1">
        <f t="array" ref="E13">tabUniformes[[#This Row],[Valor Inicial]]*IFERROR(PRODUCT(1+_xlfn._xlws.FILTER(tabIndices[PERCENTUAL],tabIndices[DATA DA PUBLICAÇÃO]&gt;tabUniformes[[#This Row],[DATA PUBLICAÇÃO]])),1)</f>
        <v>69.83</v>
      </c>
      <c r="F13" s="172">
        <v>6</v>
      </c>
      <c r="G13" s="172" t="s">
        <v>42</v>
      </c>
      <c r="H13" s="172">
        <v>21</v>
      </c>
      <c r="I13" s="173">
        <f>tabUniformes[[#This Row],[Valor Reajustado]]*tabUniformes[[#This Row],[Qtde Anual de Peças]]*tabUniformes[[#This Row],[Qtde. funcionários]]</f>
        <v>8798.58</v>
      </c>
      <c r="J13" s="172">
        <f>tabUniformes[[#This Row],[Qtde Anual de Peças]]*tabUniformes[[#This Row],[Qtde. funcionários]]</f>
        <v>126</v>
      </c>
      <c r="K13" s="170">
        <f>IFERROR(tabUniformes[[#This Row],[Total]]/12/tabUniformes[[#This Row],[Qtde. funcionários]],0)</f>
        <v>34.914999999999999</v>
      </c>
      <c r="M13" t="s">
        <v>46</v>
      </c>
      <c r="N13">
        <v>6</v>
      </c>
      <c r="O13" s="20"/>
      <c r="P13" s="25"/>
      <c r="Q13" s="25"/>
      <c r="R13" s="20"/>
      <c r="S13" s="25"/>
      <c r="T13" s="25"/>
      <c r="U13" s="20"/>
      <c r="V13" s="25"/>
      <c r="W13" s="25"/>
      <c r="X13" s="20">
        <v>24</v>
      </c>
      <c r="Y13" s="25">
        <v>1299.2796590346238</v>
      </c>
      <c r="Z13" s="25">
        <v>18.045550819925332</v>
      </c>
      <c r="AA13" s="20"/>
      <c r="AB13" s="25"/>
      <c r="AC13" s="25"/>
      <c r="AD13" s="20">
        <v>36</v>
      </c>
      <c r="AE13" s="25">
        <v>1515.8262688737277</v>
      </c>
      <c r="AF13" s="25">
        <v>21.05314262324622</v>
      </c>
      <c r="AG13" s="20">
        <v>6</v>
      </c>
      <c r="AH13" s="25">
        <v>360.9110163985066</v>
      </c>
      <c r="AI13" s="25">
        <v>5.0126530055348137</v>
      </c>
      <c r="AJ13" s="20"/>
      <c r="AK13" s="25"/>
      <c r="AL13" s="25"/>
      <c r="AM13" s="20"/>
      <c r="AN13" s="25"/>
      <c r="AO13" s="25"/>
      <c r="AP13" s="20"/>
      <c r="AQ13" s="25"/>
      <c r="AR13" s="25"/>
      <c r="AS13" s="20"/>
      <c r="AT13" s="25"/>
      <c r="AU13" s="25"/>
      <c r="AV13" s="20"/>
      <c r="AW13" s="25"/>
      <c r="AX13" s="25"/>
      <c r="AY13" s="20"/>
      <c r="AZ13" s="25"/>
      <c r="BA13" s="25"/>
      <c r="BB13" s="20"/>
      <c r="BC13" s="25"/>
      <c r="BD13" s="25"/>
      <c r="BE13" s="20"/>
      <c r="BF13" s="25"/>
      <c r="BG13" s="25"/>
      <c r="BH13" s="20"/>
      <c r="BI13" s="25"/>
      <c r="BJ13" s="25"/>
      <c r="BK13" s="20"/>
      <c r="BL13" s="25"/>
      <c r="BM13" s="25"/>
      <c r="BN13" s="20"/>
      <c r="BO13" s="25"/>
      <c r="BP13" s="25"/>
      <c r="BQ13" s="20"/>
      <c r="BR13" s="25"/>
      <c r="BS13" s="25"/>
      <c r="BT13" s="20"/>
      <c r="BU13" s="25"/>
      <c r="BV13" s="25"/>
      <c r="BW13" s="20"/>
      <c r="BX13" s="25"/>
      <c r="BY13" s="25"/>
      <c r="BZ13" s="20"/>
      <c r="CA13" s="25"/>
      <c r="CB13" s="25"/>
      <c r="CC13" s="20">
        <v>12</v>
      </c>
      <c r="CD13" s="25">
        <v>3360.4800000000005</v>
      </c>
      <c r="CE13" s="25">
        <v>46.673333333333339</v>
      </c>
      <c r="CF13" s="20"/>
      <c r="CG13" s="25"/>
      <c r="CH13" s="25"/>
      <c r="CI13" s="20"/>
      <c r="CJ13" s="25"/>
      <c r="CK13" s="25"/>
      <c r="CL13" s="20"/>
      <c r="CM13" s="25"/>
      <c r="CN13" s="25"/>
      <c r="CO13" s="20"/>
      <c r="CP13" s="25"/>
      <c r="CQ13" s="25"/>
      <c r="CR13" s="20"/>
      <c r="CS13" s="25"/>
      <c r="CT13" s="25"/>
      <c r="CU13" s="20"/>
      <c r="CV13" s="25"/>
      <c r="CW13" s="25"/>
      <c r="CX13" s="20"/>
      <c r="CY13" s="25"/>
      <c r="CZ13" s="25"/>
      <c r="DA13" s="20"/>
      <c r="DB13" s="25"/>
      <c r="DC13" s="25"/>
      <c r="DD13" s="20"/>
      <c r="DE13" s="25"/>
      <c r="DF13" s="25"/>
      <c r="DG13" s="20"/>
      <c r="DH13" s="25"/>
      <c r="DI13" s="25"/>
      <c r="DJ13" s="20"/>
      <c r="DK13" s="25"/>
      <c r="DL13" s="25"/>
      <c r="DM13" s="20"/>
      <c r="DN13" s="25"/>
      <c r="DO13" s="25"/>
      <c r="DP13" s="20"/>
      <c r="DQ13" s="25"/>
      <c r="DR13" s="25"/>
      <c r="DS13" s="20"/>
      <c r="DT13" s="25"/>
      <c r="DU13" s="25"/>
      <c r="DV13" s="20"/>
      <c r="DW13" s="25"/>
      <c r="DX13" s="25"/>
      <c r="DY13" s="20"/>
      <c r="DZ13" s="25"/>
      <c r="EA13" s="25"/>
      <c r="EB13" s="20"/>
      <c r="EC13" s="25"/>
      <c r="ED13" s="25"/>
      <c r="EE13" s="20"/>
      <c r="EF13" s="25"/>
      <c r="EG13" s="25"/>
      <c r="EH13" s="20"/>
      <c r="EI13" s="25"/>
      <c r="EJ13" s="25"/>
      <c r="EK13" s="20"/>
      <c r="EL13" s="25"/>
      <c r="EM13" s="25"/>
      <c r="EN13" s="20"/>
      <c r="EO13" s="25"/>
      <c r="EP13" s="25"/>
      <c r="EQ13" s="20"/>
      <c r="ER13" s="25"/>
      <c r="ES13" s="25"/>
      <c r="ET13" s="20"/>
      <c r="EU13" s="25"/>
      <c r="EV13" s="25"/>
      <c r="EW13" s="20"/>
      <c r="EX13" s="25"/>
      <c r="EY13" s="25"/>
      <c r="EZ13" s="20"/>
      <c r="FA13" s="25"/>
      <c r="FB13" s="25"/>
      <c r="FC13" s="20"/>
      <c r="FD13" s="25"/>
      <c r="FE13" s="25"/>
      <c r="FF13" s="20"/>
      <c r="FG13" s="25"/>
      <c r="FH13" s="25"/>
      <c r="FI13" s="20"/>
      <c r="FJ13" s="25"/>
      <c r="FK13" s="25"/>
      <c r="FL13" s="20"/>
      <c r="FM13" s="25"/>
      <c r="FN13" s="25"/>
      <c r="FO13" s="20"/>
      <c r="FP13" s="25"/>
      <c r="FQ13" s="25"/>
      <c r="FR13" s="20"/>
      <c r="FS13" s="25"/>
      <c r="FT13" s="25"/>
      <c r="FU13" s="20"/>
      <c r="FV13" s="25"/>
      <c r="FW13" s="25"/>
      <c r="FX13" s="20"/>
      <c r="FY13" s="25"/>
      <c r="FZ13" s="25"/>
      <c r="GA13" s="20"/>
      <c r="GB13" s="25"/>
      <c r="GC13" s="25"/>
      <c r="GD13" s="20"/>
      <c r="GE13" s="25"/>
      <c r="GF13" s="25"/>
      <c r="GG13" s="20"/>
      <c r="GH13" s="25"/>
      <c r="GI13" s="25"/>
      <c r="GJ13" s="20"/>
      <c r="GK13" s="25"/>
      <c r="GL13" s="25"/>
      <c r="GM13" s="20"/>
      <c r="GN13" s="25"/>
      <c r="GO13" s="25"/>
      <c r="GP13" s="20"/>
      <c r="GQ13" s="25"/>
      <c r="GR13" s="25"/>
      <c r="GS13" s="20"/>
      <c r="GT13" s="25"/>
      <c r="GU13" s="25"/>
      <c r="GV13" s="20"/>
      <c r="GW13" s="25"/>
      <c r="GX13" s="25"/>
      <c r="GY13" s="20"/>
      <c r="GZ13" s="25"/>
      <c r="HA13" s="25"/>
      <c r="HB13" s="20"/>
      <c r="HC13" s="25"/>
      <c r="HD13" s="25"/>
      <c r="HE13" s="20"/>
      <c r="HF13" s="25"/>
      <c r="HG13" s="25"/>
      <c r="HH13" s="20"/>
      <c r="HI13" s="25"/>
      <c r="HJ13" s="25"/>
      <c r="HK13" s="20"/>
      <c r="HL13" s="25"/>
      <c r="HM13" s="25"/>
      <c r="HN13" s="20"/>
      <c r="HO13" s="25"/>
      <c r="HP13" s="25"/>
      <c r="HQ13" s="20">
        <v>78</v>
      </c>
      <c r="HR13" s="25">
        <v>6536.4969443068585</v>
      </c>
      <c r="HS13" s="25">
        <v>90.784679782039717</v>
      </c>
    </row>
    <row r="14" spans="1:227" ht="14.25">
      <c r="A14" s="169" t="s">
        <v>11</v>
      </c>
      <c r="B14" s="278" t="s">
        <v>30</v>
      </c>
      <c r="C14" s="171"/>
      <c r="D14" s="311">
        <v>94.82</v>
      </c>
      <c r="E14" s="170" cm="1">
        <f t="array" ref="E14">tabUniformes[[#This Row],[Valor Inicial]]*IFERROR(PRODUCT(1+_xlfn._xlws.FILTER(tabIndices[PERCENTUAL],tabIndices[DATA DA PUBLICAÇÃO]&gt;tabUniformes[[#This Row],[DATA PUBLICAÇÃO]])),1)</f>
        <v>94.82</v>
      </c>
      <c r="F14" s="172">
        <v>4</v>
      </c>
      <c r="G14" s="172" t="s">
        <v>43</v>
      </c>
      <c r="H14" s="172">
        <v>117</v>
      </c>
      <c r="I14" s="173">
        <v>22087.754203588604</v>
      </c>
      <c r="J14" s="172">
        <v>408</v>
      </c>
      <c r="K14" s="170">
        <v>46.016154590809592</v>
      </c>
      <c r="M14" t="s">
        <v>47</v>
      </c>
      <c r="N14">
        <v>22</v>
      </c>
      <c r="O14" s="20"/>
      <c r="P14" s="25"/>
      <c r="Q14" s="25"/>
      <c r="R14" s="20"/>
      <c r="S14" s="25"/>
      <c r="T14" s="25"/>
      <c r="U14" s="20"/>
      <c r="V14" s="25"/>
      <c r="W14" s="25"/>
      <c r="X14" s="20">
        <v>80</v>
      </c>
      <c r="Y14" s="25">
        <v>4330.9321967820788</v>
      </c>
      <c r="Z14" s="25">
        <v>18.045550819925328</v>
      </c>
      <c r="AA14" s="20">
        <v>160</v>
      </c>
      <c r="AB14" s="25">
        <v>4812.1468853134211</v>
      </c>
      <c r="AC14" s="25">
        <v>20.050612022139255</v>
      </c>
      <c r="AD14" s="20"/>
      <c r="AE14" s="25"/>
      <c r="AF14" s="25"/>
      <c r="AG14" s="20">
        <v>20</v>
      </c>
      <c r="AH14" s="25">
        <v>1203.0367213283553</v>
      </c>
      <c r="AI14" s="25">
        <v>5.0126530055348137</v>
      </c>
      <c r="AJ14" s="20"/>
      <c r="AK14" s="25"/>
      <c r="AL14" s="25"/>
      <c r="AM14" s="20"/>
      <c r="AN14" s="25"/>
      <c r="AO14" s="25"/>
      <c r="AP14" s="20"/>
      <c r="AQ14" s="25"/>
      <c r="AR14" s="25"/>
      <c r="AS14" s="20"/>
      <c r="AT14" s="25"/>
      <c r="AU14" s="25"/>
      <c r="AV14" s="20">
        <v>40</v>
      </c>
      <c r="AW14" s="25">
        <v>1443.6440655940262</v>
      </c>
      <c r="AX14" s="25">
        <v>6.0151836066417754</v>
      </c>
      <c r="AY14" s="20"/>
      <c r="AZ14" s="25"/>
      <c r="BA14" s="25"/>
      <c r="BB14" s="20"/>
      <c r="BC14" s="25"/>
      <c r="BD14" s="25"/>
      <c r="BE14" s="20"/>
      <c r="BF14" s="25"/>
      <c r="BG14" s="25"/>
      <c r="BH14" s="20"/>
      <c r="BI14" s="25"/>
      <c r="BJ14" s="25"/>
      <c r="BK14" s="20"/>
      <c r="BL14" s="25"/>
      <c r="BM14" s="25"/>
      <c r="BN14" s="20"/>
      <c r="BO14" s="25"/>
      <c r="BP14" s="25"/>
      <c r="BQ14" s="20"/>
      <c r="BR14" s="25"/>
      <c r="BS14" s="25"/>
      <c r="BT14" s="20"/>
      <c r="BU14" s="25"/>
      <c r="BV14" s="25"/>
      <c r="BW14" s="20"/>
      <c r="BX14" s="25"/>
      <c r="BY14" s="25"/>
      <c r="BZ14" s="20"/>
      <c r="CA14" s="25"/>
      <c r="CB14" s="25"/>
      <c r="CC14" s="20">
        <v>44</v>
      </c>
      <c r="CD14" s="25">
        <v>12321.76</v>
      </c>
      <c r="CE14" s="25">
        <v>46.673333333333332</v>
      </c>
      <c r="CF14" s="20">
        <v>44</v>
      </c>
      <c r="CG14" s="25">
        <v>337.48</v>
      </c>
      <c r="CH14" s="25">
        <v>1.2783333333333333</v>
      </c>
      <c r="CI14" s="20"/>
      <c r="CJ14" s="25"/>
      <c r="CK14" s="25"/>
      <c r="CL14" s="20"/>
      <c r="CM14" s="25"/>
      <c r="CN14" s="25"/>
      <c r="CO14" s="20">
        <v>22</v>
      </c>
      <c r="CP14" s="25">
        <v>540.1</v>
      </c>
      <c r="CQ14" s="25">
        <v>2.0458333333333334</v>
      </c>
      <c r="CR14" s="20">
        <v>22</v>
      </c>
      <c r="CS14" s="25">
        <v>1991.66</v>
      </c>
      <c r="CT14" s="25">
        <v>7.5441666666666665</v>
      </c>
      <c r="CU14" s="20">
        <v>44</v>
      </c>
      <c r="CV14" s="25">
        <v>2199.56</v>
      </c>
      <c r="CW14" s="25">
        <v>8.3316666666666652</v>
      </c>
      <c r="CX14" s="20">
        <v>88</v>
      </c>
      <c r="CY14" s="25">
        <v>15519.68</v>
      </c>
      <c r="CZ14" s="25">
        <v>58.786666666666662</v>
      </c>
      <c r="DA14" s="20">
        <v>88</v>
      </c>
      <c r="DB14" s="25">
        <v>15223.12</v>
      </c>
      <c r="DC14" s="25">
        <v>57.663333333333341</v>
      </c>
      <c r="DD14" s="20">
        <v>22</v>
      </c>
      <c r="DE14" s="25">
        <v>488.4</v>
      </c>
      <c r="DF14" s="25">
        <v>1.8499999999999999</v>
      </c>
      <c r="DG14" s="20">
        <v>22</v>
      </c>
      <c r="DH14" s="25">
        <v>1412.4</v>
      </c>
      <c r="DI14" s="25">
        <v>5.3500000000000005</v>
      </c>
      <c r="DJ14" s="20">
        <v>22</v>
      </c>
      <c r="DK14" s="25">
        <v>7725.2999999999993</v>
      </c>
      <c r="DL14" s="25">
        <v>29.262499999999999</v>
      </c>
      <c r="DM14" s="20">
        <v>264</v>
      </c>
      <c r="DN14" s="25">
        <v>2560.7999999999997</v>
      </c>
      <c r="DO14" s="25">
        <v>9.6999999999999993</v>
      </c>
      <c r="DP14" s="20">
        <v>22</v>
      </c>
      <c r="DQ14" s="25">
        <v>7674.48</v>
      </c>
      <c r="DR14" s="25">
        <v>29.069999999999997</v>
      </c>
      <c r="DS14" s="20">
        <v>88</v>
      </c>
      <c r="DT14" s="25">
        <v>1774.96</v>
      </c>
      <c r="DU14" s="25">
        <v>6.7233333333333327</v>
      </c>
      <c r="DV14" s="20">
        <v>264</v>
      </c>
      <c r="DW14" s="25">
        <v>9316.5600000000013</v>
      </c>
      <c r="DX14" s="25">
        <v>35.290000000000006</v>
      </c>
      <c r="DY14" s="20">
        <v>44</v>
      </c>
      <c r="DZ14" s="25">
        <v>319.88</v>
      </c>
      <c r="EA14" s="25">
        <v>1.2116666666666667</v>
      </c>
      <c r="EB14" s="20">
        <v>264</v>
      </c>
      <c r="EC14" s="25">
        <v>1615.6799999999998</v>
      </c>
      <c r="ED14" s="25">
        <v>6.1199999999999992</v>
      </c>
      <c r="EE14" s="20">
        <v>44</v>
      </c>
      <c r="EF14" s="25">
        <v>720.71999999999991</v>
      </c>
      <c r="EG14" s="25">
        <v>2.73</v>
      </c>
      <c r="EH14" s="20">
        <v>132</v>
      </c>
      <c r="EI14" s="25">
        <v>4224</v>
      </c>
      <c r="EJ14" s="25">
        <v>16</v>
      </c>
      <c r="EK14" s="20">
        <v>1100</v>
      </c>
      <c r="EL14" s="25">
        <v>15862</v>
      </c>
      <c r="EM14" s="25">
        <v>60.083333333333329</v>
      </c>
      <c r="EN14" s="20">
        <v>22</v>
      </c>
      <c r="EO14" s="25">
        <v>436.91999999999996</v>
      </c>
      <c r="EP14" s="25">
        <v>1.6549999999999998</v>
      </c>
      <c r="EQ14" s="20">
        <v>22</v>
      </c>
      <c r="ER14" s="25">
        <v>7577.9</v>
      </c>
      <c r="ES14" s="25">
        <v>28.704166666666666</v>
      </c>
      <c r="ET14" s="20">
        <v>880</v>
      </c>
      <c r="EU14" s="25">
        <v>2200</v>
      </c>
      <c r="EV14" s="25">
        <v>8.3333333333333339</v>
      </c>
      <c r="EW14" s="20">
        <v>440</v>
      </c>
      <c r="EX14" s="25">
        <v>10762.400000000001</v>
      </c>
      <c r="EY14" s="25">
        <v>40.766666666666673</v>
      </c>
      <c r="EZ14" s="20">
        <v>22</v>
      </c>
      <c r="FA14" s="25">
        <v>797.71999999999991</v>
      </c>
      <c r="FB14" s="25">
        <v>3.0216666666666665</v>
      </c>
      <c r="FC14" s="20">
        <v>440</v>
      </c>
      <c r="FD14" s="25">
        <v>2261.6</v>
      </c>
      <c r="FE14" s="25">
        <v>8.5666666666666664</v>
      </c>
      <c r="FF14" s="20">
        <v>88</v>
      </c>
      <c r="FG14" s="25">
        <v>5271.2</v>
      </c>
      <c r="FH14" s="25">
        <v>19.966666666666665</v>
      </c>
      <c r="FI14" s="20">
        <v>44</v>
      </c>
      <c r="FJ14" s="25">
        <v>1459.48</v>
      </c>
      <c r="FK14" s="25">
        <v>5.5283333333333333</v>
      </c>
      <c r="FL14" s="20">
        <v>22</v>
      </c>
      <c r="FM14" s="25">
        <v>7189.16</v>
      </c>
      <c r="FN14" s="25">
        <v>27.231666666666669</v>
      </c>
      <c r="FO14" s="20"/>
      <c r="FP14" s="25"/>
      <c r="FQ14" s="25"/>
      <c r="FR14" s="20"/>
      <c r="FS14" s="25"/>
      <c r="FT14" s="25"/>
      <c r="FU14" s="20"/>
      <c r="FV14" s="25"/>
      <c r="FW14" s="25"/>
      <c r="FX14" s="20"/>
      <c r="FY14" s="25"/>
      <c r="FZ14" s="25"/>
      <c r="GA14" s="20"/>
      <c r="GB14" s="25"/>
      <c r="GC14" s="25"/>
      <c r="GD14" s="20"/>
      <c r="GE14" s="25"/>
      <c r="GF14" s="25"/>
      <c r="GG14" s="20"/>
      <c r="GH14" s="25"/>
      <c r="GI14" s="25"/>
      <c r="GJ14" s="20"/>
      <c r="GK14" s="25"/>
      <c r="GL14" s="25"/>
      <c r="GM14" s="20"/>
      <c r="GN14" s="25"/>
      <c r="GO14" s="25"/>
      <c r="GP14" s="20"/>
      <c r="GQ14" s="25"/>
      <c r="GR14" s="25"/>
      <c r="GS14" s="20"/>
      <c r="GT14" s="25"/>
      <c r="GU14" s="25"/>
      <c r="GV14" s="20"/>
      <c r="GW14" s="25"/>
      <c r="GX14" s="25"/>
      <c r="GY14" s="20"/>
      <c r="GZ14" s="25"/>
      <c r="HA14" s="25"/>
      <c r="HB14" s="20"/>
      <c r="HC14" s="25"/>
      <c r="HD14" s="25"/>
      <c r="HE14" s="20"/>
      <c r="HF14" s="25"/>
      <c r="HG14" s="25"/>
      <c r="HH14" s="20"/>
      <c r="HI14" s="25"/>
      <c r="HJ14" s="25"/>
      <c r="HK14" s="20"/>
      <c r="HL14" s="25"/>
      <c r="HM14" s="25"/>
      <c r="HN14" s="20"/>
      <c r="HO14" s="25"/>
      <c r="HP14" s="25"/>
      <c r="HQ14" s="20">
        <v>4920</v>
      </c>
      <c r="HR14" s="25">
        <v>151574.67986901791</v>
      </c>
      <c r="HS14" s="25">
        <v>578.61233278757447</v>
      </c>
    </row>
    <row r="15" spans="1:227" ht="14.25">
      <c r="A15" s="169" t="s">
        <v>14</v>
      </c>
      <c r="B15" s="278" t="s">
        <v>25</v>
      </c>
      <c r="C15" s="171"/>
      <c r="D15" s="311">
        <v>95.13</v>
      </c>
      <c r="E15" s="170" cm="1">
        <f t="array" ref="E15">tabUniformes[[#This Row],[Valor Inicial]]*IFERROR(PRODUCT(1+_xlfn._xlws.FILTER(tabIndices[PERCENTUAL],tabIndices[DATA DA PUBLICAÇÃO]&gt;tabUniformes[[#This Row],[DATA PUBLICAÇÃO]])),1)</f>
        <v>95.13</v>
      </c>
      <c r="F15" s="172">
        <v>1</v>
      </c>
      <c r="G15" s="172" t="s">
        <v>43</v>
      </c>
      <c r="H15" s="172">
        <v>117</v>
      </c>
      <c r="I15" s="173">
        <f>tabUniformes[[#This Row],[Valor Reajustado]]*tabUniformes[[#This Row],[Qtde Anual de Peças]]*tabUniformes[[#This Row],[Qtde. funcionários]]</f>
        <v>11130.21</v>
      </c>
      <c r="J15" s="172">
        <f>tabUniformes[[#This Row],[Qtde Anual de Peças]]*tabUniformes[[#This Row],[Qtde. funcionários]]</f>
        <v>117</v>
      </c>
      <c r="K15" s="170">
        <f>IFERROR(tabUniformes[[#This Row],[Total]]/12/40,0)</f>
        <v>23.187937499999997</v>
      </c>
      <c r="M15" t="s">
        <v>48</v>
      </c>
      <c r="N15">
        <v>8</v>
      </c>
      <c r="O15" s="20"/>
      <c r="P15" s="25"/>
      <c r="Q15" s="25"/>
      <c r="R15" s="20"/>
      <c r="S15" s="25"/>
      <c r="T15" s="25"/>
      <c r="U15" s="20"/>
      <c r="V15" s="25"/>
      <c r="W15" s="25"/>
      <c r="X15" s="20">
        <v>28</v>
      </c>
      <c r="Y15" s="25">
        <v>1515.8262688737277</v>
      </c>
      <c r="Z15" s="25">
        <v>18.045550819925332</v>
      </c>
      <c r="AA15" s="20">
        <v>56</v>
      </c>
      <c r="AB15" s="25">
        <v>1684.2514098596973</v>
      </c>
      <c r="AC15" s="25">
        <v>20.050612022139255</v>
      </c>
      <c r="AD15" s="20"/>
      <c r="AE15" s="25"/>
      <c r="AF15" s="25"/>
      <c r="AG15" s="20">
        <v>7</v>
      </c>
      <c r="AH15" s="25">
        <v>421.06285246492433</v>
      </c>
      <c r="AI15" s="25">
        <v>5.0126530055348137</v>
      </c>
      <c r="AJ15" s="20"/>
      <c r="AK15" s="25"/>
      <c r="AL15" s="25"/>
      <c r="AM15" s="20"/>
      <c r="AN15" s="25"/>
      <c r="AO15" s="25"/>
      <c r="AP15" s="20"/>
      <c r="AQ15" s="25"/>
      <c r="AR15" s="25"/>
      <c r="AS15" s="20"/>
      <c r="AT15" s="25"/>
      <c r="AU15" s="25"/>
      <c r="AV15" s="20">
        <v>28</v>
      </c>
      <c r="AW15" s="25">
        <v>1010.5508459158184</v>
      </c>
      <c r="AX15" s="25">
        <v>12.030367213283553</v>
      </c>
      <c r="AY15" s="20"/>
      <c r="AZ15" s="25"/>
      <c r="BA15" s="25"/>
      <c r="BB15" s="20"/>
      <c r="BC15" s="25"/>
      <c r="BD15" s="25"/>
      <c r="BE15" s="20"/>
      <c r="BF15" s="25"/>
      <c r="BG15" s="25"/>
      <c r="BH15" s="20"/>
      <c r="BI15" s="25"/>
      <c r="BJ15" s="25"/>
      <c r="BK15" s="20"/>
      <c r="BL15" s="25"/>
      <c r="BM15" s="25"/>
      <c r="BN15" s="20"/>
      <c r="BO15" s="25"/>
      <c r="BP15" s="25"/>
      <c r="BQ15" s="20"/>
      <c r="BR15" s="25"/>
      <c r="BS15" s="25"/>
      <c r="BT15" s="20"/>
      <c r="BU15" s="25"/>
      <c r="BV15" s="25"/>
      <c r="BW15" s="20"/>
      <c r="BX15" s="25"/>
      <c r="BY15" s="25"/>
      <c r="BZ15" s="20"/>
      <c r="CA15" s="25"/>
      <c r="CB15" s="25"/>
      <c r="CC15" s="20">
        <v>16</v>
      </c>
      <c r="CD15" s="25">
        <v>4480.6400000000003</v>
      </c>
      <c r="CE15" s="25">
        <v>46.673333333333339</v>
      </c>
      <c r="CF15" s="20">
        <v>16</v>
      </c>
      <c r="CG15" s="25">
        <v>122.72</v>
      </c>
      <c r="CH15" s="25">
        <v>1.2783333333333333</v>
      </c>
      <c r="CI15" s="20"/>
      <c r="CJ15" s="25"/>
      <c r="CK15" s="25"/>
      <c r="CL15" s="20"/>
      <c r="CM15" s="25"/>
      <c r="CN15" s="25"/>
      <c r="CO15" s="20"/>
      <c r="CP15" s="25"/>
      <c r="CQ15" s="25"/>
      <c r="CR15" s="20">
        <v>8</v>
      </c>
      <c r="CS15" s="25">
        <v>724.24</v>
      </c>
      <c r="CT15" s="25">
        <v>7.5441666666666665</v>
      </c>
      <c r="CU15" s="20">
        <v>16</v>
      </c>
      <c r="CV15" s="25">
        <v>799.84</v>
      </c>
      <c r="CW15" s="25">
        <v>8.331666666666667</v>
      </c>
      <c r="CX15" s="20"/>
      <c r="CY15" s="25"/>
      <c r="CZ15" s="25"/>
      <c r="DA15" s="20"/>
      <c r="DB15" s="25"/>
      <c r="DC15" s="25"/>
      <c r="DD15" s="20">
        <v>8</v>
      </c>
      <c r="DE15" s="25">
        <v>177.6</v>
      </c>
      <c r="DF15" s="25">
        <v>1.8499999999999999</v>
      </c>
      <c r="DG15" s="20">
        <v>8</v>
      </c>
      <c r="DH15" s="25">
        <v>513.6</v>
      </c>
      <c r="DI15" s="25">
        <v>5.3500000000000005</v>
      </c>
      <c r="DJ15" s="20">
        <v>8</v>
      </c>
      <c r="DK15" s="25">
        <v>2809.2</v>
      </c>
      <c r="DL15" s="25">
        <v>29.262499999999999</v>
      </c>
      <c r="DM15" s="20">
        <v>96</v>
      </c>
      <c r="DN15" s="25">
        <v>931.19999999999993</v>
      </c>
      <c r="DO15" s="25">
        <v>9.6999999999999993</v>
      </c>
      <c r="DP15" s="20"/>
      <c r="DQ15" s="25"/>
      <c r="DR15" s="25"/>
      <c r="DS15" s="20">
        <v>32</v>
      </c>
      <c r="DT15" s="25">
        <v>645.44000000000005</v>
      </c>
      <c r="DU15" s="25">
        <v>6.7233333333333336</v>
      </c>
      <c r="DV15" s="20"/>
      <c r="DW15" s="25"/>
      <c r="DX15" s="25"/>
      <c r="DY15" s="20">
        <v>16</v>
      </c>
      <c r="DZ15" s="25">
        <v>116.32</v>
      </c>
      <c r="EA15" s="25">
        <v>1.2116666666666667</v>
      </c>
      <c r="EB15" s="20">
        <v>96</v>
      </c>
      <c r="EC15" s="25">
        <v>587.52</v>
      </c>
      <c r="ED15" s="25">
        <v>6.12</v>
      </c>
      <c r="EE15" s="20">
        <v>8</v>
      </c>
      <c r="EF15" s="25">
        <v>131.04</v>
      </c>
      <c r="EG15" s="25">
        <v>1.365</v>
      </c>
      <c r="EH15" s="20">
        <v>32</v>
      </c>
      <c r="EI15" s="25">
        <v>1024</v>
      </c>
      <c r="EJ15" s="25">
        <v>10.666666666666666</v>
      </c>
      <c r="EK15" s="20">
        <v>400</v>
      </c>
      <c r="EL15" s="25">
        <v>5768</v>
      </c>
      <c r="EM15" s="25">
        <v>60.083333333333336</v>
      </c>
      <c r="EN15" s="20"/>
      <c r="EO15" s="25"/>
      <c r="EP15" s="25"/>
      <c r="EQ15" s="20">
        <v>8</v>
      </c>
      <c r="ER15" s="25">
        <v>2755.6</v>
      </c>
      <c r="ES15" s="25">
        <v>28.704166666666666</v>
      </c>
      <c r="ET15" s="20">
        <v>192</v>
      </c>
      <c r="EU15" s="25">
        <v>480</v>
      </c>
      <c r="EV15" s="25">
        <v>5</v>
      </c>
      <c r="EW15" s="20">
        <v>160</v>
      </c>
      <c r="EX15" s="25">
        <v>3913.6000000000004</v>
      </c>
      <c r="EY15" s="25">
        <v>40.766666666666673</v>
      </c>
      <c r="EZ15" s="20">
        <v>8</v>
      </c>
      <c r="FA15" s="25">
        <v>290.08</v>
      </c>
      <c r="FB15" s="25">
        <v>3.0216666666666665</v>
      </c>
      <c r="FC15" s="20">
        <v>80</v>
      </c>
      <c r="FD15" s="25">
        <v>411.2</v>
      </c>
      <c r="FE15" s="25">
        <v>4.2833333333333332</v>
      </c>
      <c r="FF15" s="20"/>
      <c r="FG15" s="25"/>
      <c r="FH15" s="25"/>
      <c r="FI15" s="20"/>
      <c r="FJ15" s="25"/>
      <c r="FK15" s="25"/>
      <c r="FL15" s="20">
        <v>96</v>
      </c>
      <c r="FM15" s="25">
        <v>31370.879999999997</v>
      </c>
      <c r="FN15" s="25">
        <v>326.77999999999997</v>
      </c>
      <c r="FO15" s="20"/>
      <c r="FP15" s="25"/>
      <c r="FQ15" s="25"/>
      <c r="FR15" s="20"/>
      <c r="FS15" s="25"/>
      <c r="FT15" s="25"/>
      <c r="FU15" s="20"/>
      <c r="FV15" s="25"/>
      <c r="FW15" s="25"/>
      <c r="FX15" s="20"/>
      <c r="FY15" s="25"/>
      <c r="FZ15" s="25"/>
      <c r="GA15" s="20"/>
      <c r="GB15" s="25"/>
      <c r="GC15" s="25"/>
      <c r="GD15" s="20"/>
      <c r="GE15" s="25"/>
      <c r="GF15" s="25"/>
      <c r="GG15" s="20"/>
      <c r="GH15" s="25"/>
      <c r="GI15" s="25"/>
      <c r="GJ15" s="20"/>
      <c r="GK15" s="25"/>
      <c r="GL15" s="25"/>
      <c r="GM15" s="20"/>
      <c r="GN15" s="25"/>
      <c r="GO15" s="25"/>
      <c r="GP15" s="20"/>
      <c r="GQ15" s="25"/>
      <c r="GR15" s="25"/>
      <c r="GS15" s="20"/>
      <c r="GT15" s="25"/>
      <c r="GU15" s="25"/>
      <c r="GV15" s="20"/>
      <c r="GW15" s="25"/>
      <c r="GX15" s="25"/>
      <c r="GY15" s="20"/>
      <c r="GZ15" s="25"/>
      <c r="HA15" s="25"/>
      <c r="HB15" s="20"/>
      <c r="HC15" s="25"/>
      <c r="HD15" s="25"/>
      <c r="HE15" s="20"/>
      <c r="HF15" s="25"/>
      <c r="HG15" s="25"/>
      <c r="HH15" s="20"/>
      <c r="HI15" s="25"/>
      <c r="HJ15" s="25"/>
      <c r="HK15" s="20"/>
      <c r="HL15" s="25"/>
      <c r="HM15" s="25"/>
      <c r="HN15" s="20"/>
      <c r="HO15" s="25"/>
      <c r="HP15" s="25"/>
      <c r="HQ15" s="20">
        <v>1423</v>
      </c>
      <c r="HR15" s="25">
        <v>62684.411377114171</v>
      </c>
      <c r="HS15" s="25">
        <v>659.85501639421625</v>
      </c>
    </row>
    <row r="16" spans="1:227" ht="14.25">
      <c r="A16" s="169" t="s">
        <v>12</v>
      </c>
      <c r="B16" s="278" t="s">
        <v>32</v>
      </c>
      <c r="C16" s="171"/>
      <c r="D16" s="311">
        <v>69.83</v>
      </c>
      <c r="E16" s="170" cm="1">
        <f t="array" ref="E16">tabUniformes[[#This Row],[Valor Inicial]]*IFERROR(PRODUCT(1+_xlfn._xlws.FILTER(tabIndices[PERCENTUAL],tabIndices[DATA DA PUBLICAÇÃO]&gt;tabUniformes[[#This Row],[DATA PUBLICAÇÃO]])),1)</f>
        <v>69.83</v>
      </c>
      <c r="F16" s="172">
        <v>6</v>
      </c>
      <c r="G16" s="172" t="s">
        <v>43</v>
      </c>
      <c r="H16" s="172">
        <v>117</v>
      </c>
      <c r="I16" s="173">
        <v>25769.04657085337</v>
      </c>
      <c r="J16" s="172">
        <v>612</v>
      </c>
      <c r="K16" s="170">
        <v>53.685513689277855</v>
      </c>
      <c r="M16" t="s">
        <v>49</v>
      </c>
      <c r="N16">
        <v>20</v>
      </c>
      <c r="O16" s="20"/>
      <c r="P16" s="25"/>
      <c r="Q16" s="25"/>
      <c r="R16" s="20"/>
      <c r="S16" s="25"/>
      <c r="T16" s="25"/>
      <c r="U16" s="20">
        <v>80</v>
      </c>
      <c r="V16" s="25">
        <v>3368.5028197193947</v>
      </c>
      <c r="W16" s="25">
        <v>14.035428415497478</v>
      </c>
      <c r="X16" s="20"/>
      <c r="Y16" s="25"/>
      <c r="Z16" s="25"/>
      <c r="AA16" s="20">
        <v>160</v>
      </c>
      <c r="AB16" s="25">
        <v>4812.1468853134211</v>
      </c>
      <c r="AC16" s="25">
        <v>20.050612022139255</v>
      </c>
      <c r="AD16" s="20"/>
      <c r="AE16" s="25"/>
      <c r="AF16" s="25"/>
      <c r="AG16" s="20">
        <v>20</v>
      </c>
      <c r="AH16" s="25">
        <v>1203.0367213283553</v>
      </c>
      <c r="AI16" s="25">
        <v>5.0126530055348137</v>
      </c>
      <c r="AJ16" s="20"/>
      <c r="AK16" s="25"/>
      <c r="AL16" s="25"/>
      <c r="AM16" s="20"/>
      <c r="AN16" s="25"/>
      <c r="AO16" s="25"/>
      <c r="AP16" s="20"/>
      <c r="AQ16" s="25"/>
      <c r="AR16" s="25"/>
      <c r="AS16" s="20"/>
      <c r="AT16" s="25"/>
      <c r="AU16" s="25"/>
      <c r="AV16" s="20"/>
      <c r="AW16" s="25"/>
      <c r="AX16" s="25"/>
      <c r="AY16" s="20"/>
      <c r="AZ16" s="25"/>
      <c r="BA16" s="25"/>
      <c r="BB16" s="20"/>
      <c r="BC16" s="25"/>
      <c r="BD16" s="25"/>
      <c r="BE16" s="20"/>
      <c r="BF16" s="25"/>
      <c r="BG16" s="25"/>
      <c r="BH16" s="20"/>
      <c r="BI16" s="25"/>
      <c r="BJ16" s="25"/>
      <c r="BK16" s="20"/>
      <c r="BL16" s="25"/>
      <c r="BM16" s="25"/>
      <c r="BN16" s="20"/>
      <c r="BO16" s="25"/>
      <c r="BP16" s="25"/>
      <c r="BQ16" s="20"/>
      <c r="BR16" s="25"/>
      <c r="BS16" s="25"/>
      <c r="BT16" s="20"/>
      <c r="BU16" s="25"/>
      <c r="BV16" s="25"/>
      <c r="BW16" s="20"/>
      <c r="BX16" s="25"/>
      <c r="BY16" s="25"/>
      <c r="BZ16" s="20"/>
      <c r="CA16" s="25"/>
      <c r="CB16" s="25"/>
      <c r="CC16" s="20">
        <v>40</v>
      </c>
      <c r="CD16" s="25">
        <v>11201.6</v>
      </c>
      <c r="CE16" s="25">
        <v>46.673333333333332</v>
      </c>
      <c r="CF16" s="20"/>
      <c r="CG16" s="25"/>
      <c r="CH16" s="25"/>
      <c r="CI16" s="20"/>
      <c r="CJ16" s="25"/>
      <c r="CK16" s="25"/>
      <c r="CL16" s="20"/>
      <c r="CM16" s="25"/>
      <c r="CN16" s="25"/>
      <c r="CO16" s="20"/>
      <c r="CP16" s="25"/>
      <c r="CQ16" s="25"/>
      <c r="CR16" s="20"/>
      <c r="CS16" s="25"/>
      <c r="CT16" s="25"/>
      <c r="CU16" s="20"/>
      <c r="CV16" s="25"/>
      <c r="CW16" s="25"/>
      <c r="CX16" s="20"/>
      <c r="CY16" s="25"/>
      <c r="CZ16" s="25"/>
      <c r="DA16" s="20"/>
      <c r="DB16" s="25"/>
      <c r="DC16" s="25"/>
      <c r="DD16" s="20"/>
      <c r="DE16" s="25"/>
      <c r="DF16" s="25"/>
      <c r="DG16" s="20"/>
      <c r="DH16" s="25"/>
      <c r="DI16" s="25"/>
      <c r="DJ16" s="20"/>
      <c r="DK16" s="25"/>
      <c r="DL16" s="25"/>
      <c r="DM16" s="20"/>
      <c r="DN16" s="25"/>
      <c r="DO16" s="25"/>
      <c r="DP16" s="20"/>
      <c r="DQ16" s="25"/>
      <c r="DR16" s="25"/>
      <c r="DS16" s="20"/>
      <c r="DT16" s="25"/>
      <c r="DU16" s="25"/>
      <c r="DV16" s="20"/>
      <c r="DW16" s="25"/>
      <c r="DX16" s="25"/>
      <c r="DY16" s="20">
        <v>240</v>
      </c>
      <c r="DZ16" s="25">
        <v>1744.8</v>
      </c>
      <c r="EA16" s="25">
        <v>7.2700000000000005</v>
      </c>
      <c r="EB16" s="20"/>
      <c r="EC16" s="25"/>
      <c r="ED16" s="25"/>
      <c r="EE16" s="20"/>
      <c r="EF16" s="25"/>
      <c r="EG16" s="25"/>
      <c r="EH16" s="20"/>
      <c r="EI16" s="25"/>
      <c r="EJ16" s="25"/>
      <c r="EK16" s="20"/>
      <c r="EL16" s="25"/>
      <c r="EM16" s="25"/>
      <c r="EN16" s="20"/>
      <c r="EO16" s="25"/>
      <c r="EP16" s="25"/>
      <c r="EQ16" s="20"/>
      <c r="ER16" s="25"/>
      <c r="ES16" s="25"/>
      <c r="ET16" s="20"/>
      <c r="EU16" s="25"/>
      <c r="EV16" s="25"/>
      <c r="EW16" s="20"/>
      <c r="EX16" s="25"/>
      <c r="EY16" s="25"/>
      <c r="EZ16" s="20"/>
      <c r="FA16" s="25"/>
      <c r="FB16" s="25"/>
      <c r="FC16" s="20"/>
      <c r="FD16" s="25"/>
      <c r="FE16" s="25"/>
      <c r="FF16" s="20"/>
      <c r="FG16" s="25"/>
      <c r="FH16" s="25"/>
      <c r="FI16" s="20"/>
      <c r="FJ16" s="25"/>
      <c r="FK16" s="25"/>
      <c r="FL16" s="20"/>
      <c r="FM16" s="25"/>
      <c r="FN16" s="25"/>
      <c r="FO16" s="20">
        <v>20</v>
      </c>
      <c r="FP16" s="25">
        <v>361.4</v>
      </c>
      <c r="FQ16" s="25">
        <v>1.5058333333333331</v>
      </c>
      <c r="FR16" s="20">
        <v>20</v>
      </c>
      <c r="FS16" s="25">
        <v>1711.3999999999999</v>
      </c>
      <c r="FT16" s="25">
        <v>7.1308333333333325</v>
      </c>
      <c r="FU16" s="20"/>
      <c r="FV16" s="25"/>
      <c r="FW16" s="25"/>
      <c r="FX16" s="20"/>
      <c r="FY16" s="25"/>
      <c r="FZ16" s="25"/>
      <c r="GA16" s="20"/>
      <c r="GB16" s="25"/>
      <c r="GC16" s="25"/>
      <c r="GD16" s="20"/>
      <c r="GE16" s="25"/>
      <c r="GF16" s="25"/>
      <c r="GG16" s="20"/>
      <c r="GH16" s="25"/>
      <c r="GI16" s="25"/>
      <c r="GJ16" s="20"/>
      <c r="GK16" s="25"/>
      <c r="GL16" s="25"/>
      <c r="GM16" s="20"/>
      <c r="GN16" s="25"/>
      <c r="GO16" s="25"/>
      <c r="GP16" s="20"/>
      <c r="GQ16" s="25"/>
      <c r="GR16" s="25"/>
      <c r="GS16" s="20"/>
      <c r="GT16" s="25"/>
      <c r="GU16" s="25"/>
      <c r="GV16" s="20"/>
      <c r="GW16" s="25"/>
      <c r="GX16" s="25"/>
      <c r="GY16" s="20"/>
      <c r="GZ16" s="25"/>
      <c r="HA16" s="25"/>
      <c r="HB16" s="20"/>
      <c r="HC16" s="25"/>
      <c r="HD16" s="25"/>
      <c r="HE16" s="20"/>
      <c r="HF16" s="25"/>
      <c r="HG16" s="25"/>
      <c r="HH16" s="20"/>
      <c r="HI16" s="25"/>
      <c r="HJ16" s="25"/>
      <c r="HK16" s="20"/>
      <c r="HL16" s="25"/>
      <c r="HM16" s="25"/>
      <c r="HN16" s="20"/>
      <c r="HO16" s="25"/>
      <c r="HP16" s="25"/>
      <c r="HQ16" s="20">
        <v>580</v>
      </c>
      <c r="HR16" s="25">
        <v>24402.886426361172</v>
      </c>
      <c r="HS16" s="25">
        <v>101.67869344317153</v>
      </c>
    </row>
    <row r="17" spans="1:227" ht="14.25">
      <c r="A17" s="169" t="s">
        <v>11</v>
      </c>
      <c r="B17" s="278" t="s">
        <v>30</v>
      </c>
      <c r="C17" s="171"/>
      <c r="D17" s="311">
        <v>94.82</v>
      </c>
      <c r="E17" s="170" cm="1">
        <f t="array" ref="E17">tabUniformes[[#This Row],[Valor Inicial]]*IFERROR(PRODUCT(1+_xlfn._xlws.FILTER(tabIndices[PERCENTUAL],tabIndices[DATA DA PUBLICAÇÃO]&gt;tabUniformes[[#This Row],[DATA PUBLICAÇÃO]])),1)</f>
        <v>94.82</v>
      </c>
      <c r="F17" s="172">
        <v>4</v>
      </c>
      <c r="G17" s="172" t="s">
        <v>1388</v>
      </c>
      <c r="H17" s="172">
        <v>15</v>
      </c>
      <c r="I17" s="173">
        <v>3248.1991475865593</v>
      </c>
      <c r="J17" s="172">
        <v>60</v>
      </c>
      <c r="K17" s="170">
        <v>18.045550819925328</v>
      </c>
      <c r="M17" t="s">
        <v>50</v>
      </c>
      <c r="N17">
        <v>106</v>
      </c>
      <c r="O17" s="20"/>
      <c r="P17" s="25"/>
      <c r="Q17" s="25"/>
      <c r="R17" s="20"/>
      <c r="S17" s="25"/>
      <c r="T17" s="25"/>
      <c r="U17" s="20"/>
      <c r="V17" s="25"/>
      <c r="W17" s="25"/>
      <c r="X17" s="20">
        <v>420</v>
      </c>
      <c r="Y17" s="25">
        <v>22737.394033105917</v>
      </c>
      <c r="Z17" s="25">
        <v>18.045550819925332</v>
      </c>
      <c r="AA17" s="20"/>
      <c r="AB17" s="25"/>
      <c r="AC17" s="25"/>
      <c r="AD17" s="20">
        <v>630</v>
      </c>
      <c r="AE17" s="25">
        <v>26526.959705290232</v>
      </c>
      <c r="AF17" s="25">
        <v>21.053142623246217</v>
      </c>
      <c r="AG17" s="20">
        <v>105</v>
      </c>
      <c r="AH17" s="25">
        <v>6315.9427869738656</v>
      </c>
      <c r="AI17" s="25">
        <v>5.0126530055348137</v>
      </c>
      <c r="AJ17" s="20"/>
      <c r="AK17" s="25"/>
      <c r="AL17" s="25"/>
      <c r="AM17" s="20"/>
      <c r="AN17" s="25"/>
      <c r="AO17" s="25"/>
      <c r="AP17" s="20"/>
      <c r="AQ17" s="25"/>
      <c r="AR17" s="25"/>
      <c r="AS17" s="20"/>
      <c r="AT17" s="25"/>
      <c r="AU17" s="25"/>
      <c r="AV17" s="20"/>
      <c r="AW17" s="25"/>
      <c r="AX17" s="25"/>
      <c r="AY17" s="20"/>
      <c r="AZ17" s="25"/>
      <c r="BA17" s="25"/>
      <c r="BB17" s="20"/>
      <c r="BC17" s="25"/>
      <c r="BD17" s="25"/>
      <c r="BE17" s="20"/>
      <c r="BF17" s="25"/>
      <c r="BG17" s="25"/>
      <c r="BH17" s="20"/>
      <c r="BI17" s="25"/>
      <c r="BJ17" s="25"/>
      <c r="BK17" s="20"/>
      <c r="BL17" s="25"/>
      <c r="BM17" s="25"/>
      <c r="BN17" s="20"/>
      <c r="BO17" s="25"/>
      <c r="BP17" s="25"/>
      <c r="BQ17" s="20"/>
      <c r="BR17" s="25"/>
      <c r="BS17" s="25"/>
      <c r="BT17" s="20"/>
      <c r="BU17" s="25"/>
      <c r="BV17" s="25"/>
      <c r="BW17" s="20"/>
      <c r="BX17" s="25"/>
      <c r="BY17" s="25"/>
      <c r="BZ17" s="20"/>
      <c r="CA17" s="25"/>
      <c r="CB17" s="25"/>
      <c r="CC17" s="20"/>
      <c r="CD17" s="25"/>
      <c r="CE17" s="25"/>
      <c r="CF17" s="20"/>
      <c r="CG17" s="25"/>
      <c r="CH17" s="25"/>
      <c r="CI17" s="20"/>
      <c r="CJ17" s="25"/>
      <c r="CK17" s="25"/>
      <c r="CL17" s="20"/>
      <c r="CM17" s="25"/>
      <c r="CN17" s="25"/>
      <c r="CO17" s="20"/>
      <c r="CP17" s="25"/>
      <c r="CQ17" s="25"/>
      <c r="CR17" s="20"/>
      <c r="CS17" s="25"/>
      <c r="CT17" s="25"/>
      <c r="CU17" s="20"/>
      <c r="CV17" s="25"/>
      <c r="CW17" s="25"/>
      <c r="CX17" s="20"/>
      <c r="CY17" s="25"/>
      <c r="CZ17" s="25"/>
      <c r="DA17" s="20"/>
      <c r="DB17" s="25"/>
      <c r="DC17" s="25"/>
      <c r="DD17" s="20"/>
      <c r="DE17" s="25"/>
      <c r="DF17" s="25"/>
      <c r="DG17" s="20"/>
      <c r="DH17" s="25"/>
      <c r="DI17" s="25"/>
      <c r="DJ17" s="20"/>
      <c r="DK17" s="25"/>
      <c r="DL17" s="25"/>
      <c r="DM17" s="20"/>
      <c r="DN17" s="25"/>
      <c r="DO17" s="25"/>
      <c r="DP17" s="20"/>
      <c r="DQ17" s="25"/>
      <c r="DR17" s="25"/>
      <c r="DS17" s="20"/>
      <c r="DT17" s="25"/>
      <c r="DU17" s="25"/>
      <c r="DV17" s="20"/>
      <c r="DW17" s="25"/>
      <c r="DX17" s="25"/>
      <c r="DY17" s="20"/>
      <c r="DZ17" s="25"/>
      <c r="EA17" s="25"/>
      <c r="EB17" s="20"/>
      <c r="EC17" s="25"/>
      <c r="ED17" s="25"/>
      <c r="EE17" s="20"/>
      <c r="EF17" s="25"/>
      <c r="EG17" s="25"/>
      <c r="EH17" s="20"/>
      <c r="EI17" s="25"/>
      <c r="EJ17" s="25"/>
      <c r="EK17" s="20"/>
      <c r="EL17" s="25"/>
      <c r="EM17" s="25"/>
      <c r="EN17" s="20"/>
      <c r="EO17" s="25"/>
      <c r="EP17" s="25"/>
      <c r="EQ17" s="20"/>
      <c r="ER17" s="25"/>
      <c r="ES17" s="25"/>
      <c r="ET17" s="20"/>
      <c r="EU17" s="25"/>
      <c r="EV17" s="25"/>
      <c r="EW17" s="20"/>
      <c r="EX17" s="25"/>
      <c r="EY17" s="25"/>
      <c r="EZ17" s="20"/>
      <c r="FA17" s="25"/>
      <c r="FB17" s="25"/>
      <c r="FC17" s="20"/>
      <c r="FD17" s="25"/>
      <c r="FE17" s="25"/>
      <c r="FF17" s="20"/>
      <c r="FG17" s="25"/>
      <c r="FH17" s="25"/>
      <c r="FI17" s="20"/>
      <c r="FJ17" s="25"/>
      <c r="FK17" s="25"/>
      <c r="FL17" s="20"/>
      <c r="FM17" s="25"/>
      <c r="FN17" s="25"/>
      <c r="FO17" s="20"/>
      <c r="FP17" s="25"/>
      <c r="FQ17" s="25"/>
      <c r="FR17" s="20"/>
      <c r="FS17" s="25"/>
      <c r="FT17" s="25"/>
      <c r="FU17" s="20">
        <v>210</v>
      </c>
      <c r="FV17" s="25">
        <v>15158.262688737275</v>
      </c>
      <c r="FW17" s="25">
        <v>12.030367213283553</v>
      </c>
      <c r="FX17" s="20"/>
      <c r="FY17" s="25"/>
      <c r="FZ17" s="25"/>
      <c r="GA17" s="20"/>
      <c r="GB17" s="25"/>
      <c r="GC17" s="25"/>
      <c r="GD17" s="20"/>
      <c r="GE17" s="25"/>
      <c r="GF17" s="25"/>
      <c r="GG17" s="20"/>
      <c r="GH17" s="25"/>
      <c r="GI17" s="25"/>
      <c r="GJ17" s="20"/>
      <c r="GK17" s="25"/>
      <c r="GL17" s="25"/>
      <c r="GM17" s="20"/>
      <c r="GN17" s="25"/>
      <c r="GO17" s="25"/>
      <c r="GP17" s="20"/>
      <c r="GQ17" s="25"/>
      <c r="GR17" s="25"/>
      <c r="GS17" s="20"/>
      <c r="GT17" s="25"/>
      <c r="GU17" s="25"/>
      <c r="GV17" s="20"/>
      <c r="GW17" s="25"/>
      <c r="GX17" s="25"/>
      <c r="GY17" s="20"/>
      <c r="GZ17" s="25"/>
      <c r="HA17" s="25"/>
      <c r="HB17" s="20"/>
      <c r="HC17" s="25"/>
      <c r="HD17" s="25"/>
      <c r="HE17" s="20"/>
      <c r="HF17" s="25"/>
      <c r="HG17" s="25"/>
      <c r="HH17" s="20"/>
      <c r="HI17" s="25"/>
      <c r="HJ17" s="25"/>
      <c r="HK17" s="20"/>
      <c r="HL17" s="25"/>
      <c r="HM17" s="25"/>
      <c r="HN17" s="20"/>
      <c r="HO17" s="25"/>
      <c r="HP17" s="25"/>
      <c r="HQ17" s="20">
        <v>1365</v>
      </c>
      <c r="HR17" s="25">
        <v>70738.559214107285</v>
      </c>
      <c r="HS17" s="25">
        <v>56.141713661989918</v>
      </c>
    </row>
    <row r="18" spans="1:227" ht="14.25">
      <c r="A18" s="169" t="s">
        <v>14</v>
      </c>
      <c r="B18" s="278" t="s">
        <v>25</v>
      </c>
      <c r="C18" s="171"/>
      <c r="D18" s="311">
        <v>95.13</v>
      </c>
      <c r="E18" s="170" cm="1">
        <f t="array" ref="E18">tabUniformes[[#This Row],[Valor Inicial]]*IFERROR(PRODUCT(1+_xlfn._xlws.FILTER(tabIndices[PERCENTUAL],tabIndices[DATA DA PUBLICAÇÃO]&gt;tabUniformes[[#This Row],[DATA PUBLICAÇÃO]])),1)</f>
        <v>95.13</v>
      </c>
      <c r="F18" s="172">
        <v>1</v>
      </c>
      <c r="G18" s="172" t="s">
        <v>1388</v>
      </c>
      <c r="H18" s="172">
        <v>15</v>
      </c>
      <c r="I18" s="173">
        <v>902.27754099626645</v>
      </c>
      <c r="J18" s="172">
        <v>15</v>
      </c>
      <c r="K18" s="170">
        <v>5.0126530055348137</v>
      </c>
      <c r="M18" t="s">
        <v>51</v>
      </c>
      <c r="N18">
        <v>13</v>
      </c>
      <c r="O18" s="20"/>
      <c r="P18" s="25"/>
      <c r="Q18" s="25"/>
      <c r="R18" s="20"/>
      <c r="S18" s="25"/>
      <c r="T18" s="25"/>
      <c r="U18" s="20">
        <v>52</v>
      </c>
      <c r="V18" s="25">
        <v>2189.5268328176066</v>
      </c>
      <c r="W18" s="25">
        <v>14.035428415497478</v>
      </c>
      <c r="X18" s="20"/>
      <c r="Y18" s="25"/>
      <c r="Z18" s="25"/>
      <c r="AA18" s="20">
        <v>104</v>
      </c>
      <c r="AB18" s="25">
        <v>3127.895475453724</v>
      </c>
      <c r="AC18" s="25">
        <v>20.050612022139259</v>
      </c>
      <c r="AD18" s="20"/>
      <c r="AE18" s="25"/>
      <c r="AF18" s="25"/>
      <c r="AG18" s="20">
        <v>13</v>
      </c>
      <c r="AH18" s="25">
        <v>781.97386886343099</v>
      </c>
      <c r="AI18" s="25">
        <v>5.0126530055348146</v>
      </c>
      <c r="AJ18" s="20"/>
      <c r="AK18" s="25"/>
      <c r="AL18" s="25"/>
      <c r="AM18" s="20"/>
      <c r="AN18" s="25"/>
      <c r="AO18" s="25"/>
      <c r="AP18" s="20"/>
      <c r="AQ18" s="25"/>
      <c r="AR18" s="25"/>
      <c r="AS18" s="20"/>
      <c r="AT18" s="25"/>
      <c r="AU18" s="25"/>
      <c r="AV18" s="20"/>
      <c r="AW18" s="25"/>
      <c r="AX18" s="25"/>
      <c r="AY18" s="20"/>
      <c r="AZ18" s="25"/>
      <c r="BA18" s="25"/>
      <c r="BB18" s="20"/>
      <c r="BC18" s="25"/>
      <c r="BD18" s="25"/>
      <c r="BE18" s="20"/>
      <c r="BF18" s="25"/>
      <c r="BG18" s="25"/>
      <c r="BH18" s="20"/>
      <c r="BI18" s="25"/>
      <c r="BJ18" s="25"/>
      <c r="BK18" s="20"/>
      <c r="BL18" s="25"/>
      <c r="BM18" s="25"/>
      <c r="BN18" s="20"/>
      <c r="BO18" s="25"/>
      <c r="BP18" s="25"/>
      <c r="BQ18" s="20"/>
      <c r="BR18" s="25"/>
      <c r="BS18" s="25"/>
      <c r="BT18" s="20"/>
      <c r="BU18" s="25"/>
      <c r="BV18" s="25"/>
      <c r="BW18" s="20"/>
      <c r="BX18" s="25"/>
      <c r="BY18" s="25"/>
      <c r="BZ18" s="20"/>
      <c r="CA18" s="25"/>
      <c r="CB18" s="25"/>
      <c r="CC18" s="20">
        <v>26</v>
      </c>
      <c r="CD18" s="25">
        <v>7281.0400000000009</v>
      </c>
      <c r="CE18" s="25">
        <v>46.673333333333339</v>
      </c>
      <c r="CF18" s="20"/>
      <c r="CG18" s="25"/>
      <c r="CH18" s="25"/>
      <c r="CI18" s="20"/>
      <c r="CJ18" s="25"/>
      <c r="CK18" s="25"/>
      <c r="CL18" s="20"/>
      <c r="CM18" s="25"/>
      <c r="CN18" s="25"/>
      <c r="CO18" s="20"/>
      <c r="CP18" s="25"/>
      <c r="CQ18" s="25"/>
      <c r="CR18" s="20"/>
      <c r="CS18" s="25"/>
      <c r="CT18" s="25"/>
      <c r="CU18" s="20"/>
      <c r="CV18" s="25"/>
      <c r="CW18" s="25"/>
      <c r="CX18" s="20"/>
      <c r="CY18" s="25"/>
      <c r="CZ18" s="25"/>
      <c r="DA18" s="20"/>
      <c r="DB18" s="25"/>
      <c r="DC18" s="25"/>
      <c r="DD18" s="20"/>
      <c r="DE18" s="25"/>
      <c r="DF18" s="25"/>
      <c r="DG18" s="20"/>
      <c r="DH18" s="25"/>
      <c r="DI18" s="25"/>
      <c r="DJ18" s="20"/>
      <c r="DK18" s="25"/>
      <c r="DL18" s="25"/>
      <c r="DM18" s="20"/>
      <c r="DN18" s="25"/>
      <c r="DO18" s="25"/>
      <c r="DP18" s="20"/>
      <c r="DQ18" s="25"/>
      <c r="DR18" s="25"/>
      <c r="DS18" s="20"/>
      <c r="DT18" s="25"/>
      <c r="DU18" s="25"/>
      <c r="DV18" s="20"/>
      <c r="DW18" s="25"/>
      <c r="DX18" s="25"/>
      <c r="DY18" s="20"/>
      <c r="DZ18" s="25"/>
      <c r="EA18" s="25"/>
      <c r="EB18" s="20">
        <v>312</v>
      </c>
      <c r="EC18" s="25">
        <v>1909.44</v>
      </c>
      <c r="ED18" s="25">
        <v>12.24</v>
      </c>
      <c r="EE18" s="20"/>
      <c r="EF18" s="25"/>
      <c r="EG18" s="25"/>
      <c r="EH18" s="20"/>
      <c r="EI18" s="25"/>
      <c r="EJ18" s="25"/>
      <c r="EK18" s="20"/>
      <c r="EL18" s="25"/>
      <c r="EM18" s="25"/>
      <c r="EN18" s="20"/>
      <c r="EO18" s="25"/>
      <c r="EP18" s="25"/>
      <c r="EQ18" s="20"/>
      <c r="ER18" s="25"/>
      <c r="ES18" s="25"/>
      <c r="ET18" s="20"/>
      <c r="EU18" s="25"/>
      <c r="EV18" s="25"/>
      <c r="EW18" s="20"/>
      <c r="EX18" s="25"/>
      <c r="EY18" s="25"/>
      <c r="EZ18" s="20"/>
      <c r="FA18" s="25"/>
      <c r="FB18" s="25"/>
      <c r="FC18" s="20"/>
      <c r="FD18" s="25"/>
      <c r="FE18" s="25"/>
      <c r="FF18" s="20"/>
      <c r="FG18" s="25"/>
      <c r="FH18" s="25"/>
      <c r="FI18" s="20"/>
      <c r="FJ18" s="25"/>
      <c r="FK18" s="25"/>
      <c r="FL18" s="20"/>
      <c r="FM18" s="25"/>
      <c r="FN18" s="25"/>
      <c r="FO18" s="20"/>
      <c r="FP18" s="25"/>
      <c r="FQ18" s="25"/>
      <c r="FR18" s="20"/>
      <c r="FS18" s="25"/>
      <c r="FT18" s="25"/>
      <c r="FU18" s="20"/>
      <c r="FV18" s="25"/>
      <c r="FW18" s="25"/>
      <c r="FX18" s="20">
        <v>52</v>
      </c>
      <c r="FY18" s="25">
        <v>691.07999999999993</v>
      </c>
      <c r="FZ18" s="25">
        <v>4.43</v>
      </c>
      <c r="GA18" s="20">
        <v>52</v>
      </c>
      <c r="GB18" s="25">
        <v>16.64</v>
      </c>
      <c r="GC18" s="25">
        <v>0.10666666666666667</v>
      </c>
      <c r="GD18" s="20">
        <v>52</v>
      </c>
      <c r="GE18" s="25">
        <v>803.4</v>
      </c>
      <c r="GF18" s="25">
        <v>5.15</v>
      </c>
      <c r="GG18" s="20"/>
      <c r="GH18" s="25"/>
      <c r="GI18" s="25"/>
      <c r="GJ18" s="20"/>
      <c r="GK18" s="25"/>
      <c r="GL18" s="25"/>
      <c r="GM18" s="20"/>
      <c r="GN18" s="25"/>
      <c r="GO18" s="25"/>
      <c r="GP18" s="20"/>
      <c r="GQ18" s="25"/>
      <c r="GR18" s="25"/>
      <c r="GS18" s="20"/>
      <c r="GT18" s="25"/>
      <c r="GU18" s="25"/>
      <c r="GV18" s="20"/>
      <c r="GW18" s="25"/>
      <c r="GX18" s="25"/>
      <c r="GY18" s="20"/>
      <c r="GZ18" s="25"/>
      <c r="HA18" s="25"/>
      <c r="HB18" s="20"/>
      <c r="HC18" s="25"/>
      <c r="HD18" s="25"/>
      <c r="HE18" s="20"/>
      <c r="HF18" s="25"/>
      <c r="HG18" s="25"/>
      <c r="HH18" s="20"/>
      <c r="HI18" s="25"/>
      <c r="HJ18" s="25"/>
      <c r="HK18" s="20"/>
      <c r="HL18" s="25"/>
      <c r="HM18" s="25"/>
      <c r="HN18" s="20"/>
      <c r="HO18" s="25"/>
      <c r="HP18" s="25"/>
      <c r="HQ18" s="20">
        <v>663</v>
      </c>
      <c r="HR18" s="25">
        <v>16800.996177134763</v>
      </c>
      <c r="HS18" s="25">
        <v>107.69869344317156</v>
      </c>
    </row>
    <row r="19" spans="1:227" ht="14.25">
      <c r="A19" s="169" t="s">
        <v>12</v>
      </c>
      <c r="B19" s="278" t="s">
        <v>32</v>
      </c>
      <c r="C19" s="171"/>
      <c r="D19" s="311">
        <v>69.83</v>
      </c>
      <c r="E19" s="170" cm="1">
        <f t="array" ref="E19">tabUniformes[[#This Row],[Valor Inicial]]*IFERROR(PRODUCT(1+_xlfn._xlws.FILTER(tabIndices[PERCENTUAL],tabIndices[DATA DA PUBLICAÇÃO]&gt;tabUniformes[[#This Row],[DATA PUBLICAÇÃO]])),1)</f>
        <v>69.83</v>
      </c>
      <c r="F19" s="172">
        <v>6</v>
      </c>
      <c r="G19" s="172" t="s">
        <v>1388</v>
      </c>
      <c r="H19" s="172">
        <v>15</v>
      </c>
      <c r="I19" s="173">
        <v>3789.5656721843188</v>
      </c>
      <c r="J19" s="172">
        <v>90</v>
      </c>
      <c r="K19" s="170">
        <v>21.053142623246217</v>
      </c>
      <c r="M19" t="s">
        <v>52</v>
      </c>
      <c r="N19">
        <v>17</v>
      </c>
      <c r="O19" s="20"/>
      <c r="P19" s="25"/>
      <c r="Q19" s="25"/>
      <c r="R19" s="20"/>
      <c r="S19" s="25"/>
      <c r="T19" s="25"/>
      <c r="U19" s="20"/>
      <c r="V19" s="25"/>
      <c r="W19" s="25"/>
      <c r="X19" s="20">
        <v>68</v>
      </c>
      <c r="Y19" s="25">
        <v>3681.2923672647671</v>
      </c>
      <c r="Z19" s="25">
        <v>18.045550819925328</v>
      </c>
      <c r="AA19" s="20"/>
      <c r="AB19" s="25"/>
      <c r="AC19" s="25"/>
      <c r="AD19" s="20">
        <v>102</v>
      </c>
      <c r="AE19" s="25">
        <v>4294.8410951422284</v>
      </c>
      <c r="AF19" s="25">
        <v>21.053142623246217</v>
      </c>
      <c r="AG19" s="20">
        <v>17</v>
      </c>
      <c r="AH19" s="25">
        <v>1022.581213129102</v>
      </c>
      <c r="AI19" s="25">
        <v>5.0126530055348137</v>
      </c>
      <c r="AJ19" s="20"/>
      <c r="AK19" s="25"/>
      <c r="AL19" s="25"/>
      <c r="AM19" s="20"/>
      <c r="AN19" s="25"/>
      <c r="AO19" s="25"/>
      <c r="AP19" s="20"/>
      <c r="AQ19" s="25"/>
      <c r="AR19" s="25"/>
      <c r="AS19" s="20"/>
      <c r="AT19" s="25"/>
      <c r="AU19" s="25"/>
      <c r="AV19" s="20"/>
      <c r="AW19" s="25"/>
      <c r="AX19" s="25"/>
      <c r="AY19" s="20"/>
      <c r="AZ19" s="25"/>
      <c r="BA19" s="25"/>
      <c r="BB19" s="20"/>
      <c r="BC19" s="25"/>
      <c r="BD19" s="25"/>
      <c r="BE19" s="20"/>
      <c r="BF19" s="25"/>
      <c r="BG19" s="25"/>
      <c r="BH19" s="20"/>
      <c r="BI19" s="25"/>
      <c r="BJ19" s="25"/>
      <c r="BK19" s="20"/>
      <c r="BL19" s="25"/>
      <c r="BM19" s="25"/>
      <c r="BN19" s="20"/>
      <c r="BO19" s="25"/>
      <c r="BP19" s="25"/>
      <c r="BQ19" s="20"/>
      <c r="BR19" s="25"/>
      <c r="BS19" s="25"/>
      <c r="BT19" s="20"/>
      <c r="BU19" s="25"/>
      <c r="BV19" s="25"/>
      <c r="BW19" s="20"/>
      <c r="BX19" s="25"/>
      <c r="BY19" s="25"/>
      <c r="BZ19" s="20"/>
      <c r="CA19" s="25"/>
      <c r="CB19" s="25"/>
      <c r="CC19" s="20"/>
      <c r="CD19" s="25"/>
      <c r="CE19" s="25"/>
      <c r="CF19" s="20"/>
      <c r="CG19" s="25"/>
      <c r="CH19" s="25"/>
      <c r="CI19" s="20"/>
      <c r="CJ19" s="25"/>
      <c r="CK19" s="25"/>
      <c r="CL19" s="20"/>
      <c r="CM19" s="25"/>
      <c r="CN19" s="25"/>
      <c r="CO19" s="20"/>
      <c r="CP19" s="25"/>
      <c r="CQ19" s="25"/>
      <c r="CR19" s="20"/>
      <c r="CS19" s="25"/>
      <c r="CT19" s="25"/>
      <c r="CU19" s="20"/>
      <c r="CV19" s="25"/>
      <c r="CW19" s="25"/>
      <c r="CX19" s="20"/>
      <c r="CY19" s="25"/>
      <c r="CZ19" s="25"/>
      <c r="DA19" s="20"/>
      <c r="DB19" s="25"/>
      <c r="DC19" s="25"/>
      <c r="DD19" s="20"/>
      <c r="DE19" s="25"/>
      <c r="DF19" s="25"/>
      <c r="DG19" s="20"/>
      <c r="DH19" s="25"/>
      <c r="DI19" s="25"/>
      <c r="DJ19" s="20"/>
      <c r="DK19" s="25"/>
      <c r="DL19" s="25"/>
      <c r="DM19" s="20"/>
      <c r="DN19" s="25"/>
      <c r="DO19" s="25"/>
      <c r="DP19" s="20"/>
      <c r="DQ19" s="25"/>
      <c r="DR19" s="25"/>
      <c r="DS19" s="20"/>
      <c r="DT19" s="25"/>
      <c r="DU19" s="25"/>
      <c r="DV19" s="20"/>
      <c r="DW19" s="25"/>
      <c r="DX19" s="25"/>
      <c r="DY19" s="20"/>
      <c r="DZ19" s="25"/>
      <c r="EA19" s="25"/>
      <c r="EB19" s="20"/>
      <c r="EC19" s="25"/>
      <c r="ED19" s="25"/>
      <c r="EE19" s="20"/>
      <c r="EF19" s="25"/>
      <c r="EG19" s="25"/>
      <c r="EH19" s="20"/>
      <c r="EI19" s="25"/>
      <c r="EJ19" s="25"/>
      <c r="EK19" s="20"/>
      <c r="EL19" s="25"/>
      <c r="EM19" s="25"/>
      <c r="EN19" s="20"/>
      <c r="EO19" s="25"/>
      <c r="EP19" s="25"/>
      <c r="EQ19" s="20"/>
      <c r="ER19" s="25"/>
      <c r="ES19" s="25"/>
      <c r="ET19" s="20"/>
      <c r="EU19" s="25"/>
      <c r="EV19" s="25"/>
      <c r="EW19" s="20"/>
      <c r="EX19" s="25"/>
      <c r="EY19" s="25"/>
      <c r="EZ19" s="20"/>
      <c r="FA19" s="25"/>
      <c r="FB19" s="25"/>
      <c r="FC19" s="20"/>
      <c r="FD19" s="25"/>
      <c r="FE19" s="25"/>
      <c r="FF19" s="20"/>
      <c r="FG19" s="25"/>
      <c r="FH19" s="25"/>
      <c r="FI19" s="20"/>
      <c r="FJ19" s="25"/>
      <c r="FK19" s="25"/>
      <c r="FL19" s="20"/>
      <c r="FM19" s="25"/>
      <c r="FN19" s="25"/>
      <c r="FO19" s="20"/>
      <c r="FP19" s="25"/>
      <c r="FQ19" s="25"/>
      <c r="FR19" s="20"/>
      <c r="FS19" s="25"/>
      <c r="FT19" s="25"/>
      <c r="FU19" s="20"/>
      <c r="FV19" s="25"/>
      <c r="FW19" s="25"/>
      <c r="FX19" s="20"/>
      <c r="FY19" s="25"/>
      <c r="FZ19" s="25"/>
      <c r="GA19" s="20"/>
      <c r="GB19" s="25"/>
      <c r="GC19" s="25"/>
      <c r="GD19" s="20"/>
      <c r="GE19" s="25"/>
      <c r="GF19" s="25"/>
      <c r="GG19" s="20"/>
      <c r="GH19" s="25"/>
      <c r="GI19" s="25"/>
      <c r="GJ19" s="20"/>
      <c r="GK19" s="25"/>
      <c r="GL19" s="25"/>
      <c r="GM19" s="20"/>
      <c r="GN19" s="25"/>
      <c r="GO19" s="25"/>
      <c r="GP19" s="20"/>
      <c r="GQ19" s="25"/>
      <c r="GR19" s="25"/>
      <c r="GS19" s="20"/>
      <c r="GT19" s="25"/>
      <c r="GU19" s="25"/>
      <c r="GV19" s="20"/>
      <c r="GW19" s="25"/>
      <c r="GX19" s="25"/>
      <c r="GY19" s="20"/>
      <c r="GZ19" s="25"/>
      <c r="HA19" s="25"/>
      <c r="HB19" s="20"/>
      <c r="HC19" s="25"/>
      <c r="HD19" s="25"/>
      <c r="HE19" s="20"/>
      <c r="HF19" s="25"/>
      <c r="HG19" s="25"/>
      <c r="HH19" s="20"/>
      <c r="HI19" s="25"/>
      <c r="HJ19" s="25"/>
      <c r="HK19" s="20"/>
      <c r="HL19" s="25"/>
      <c r="HM19" s="25"/>
      <c r="HN19" s="20"/>
      <c r="HO19" s="25"/>
      <c r="HP19" s="25"/>
      <c r="HQ19" s="20">
        <v>187</v>
      </c>
      <c r="HR19" s="25">
        <v>8998.7146755360973</v>
      </c>
      <c r="HS19" s="25">
        <v>44.111346448706357</v>
      </c>
    </row>
    <row r="20" spans="1:227" ht="14.25">
      <c r="A20" s="169" t="s">
        <v>11</v>
      </c>
      <c r="B20" s="278" t="s">
        <v>30</v>
      </c>
      <c r="C20" s="171"/>
      <c r="D20" s="311">
        <v>94.82</v>
      </c>
      <c r="E20" s="170" cm="1">
        <f t="array" ref="E20">tabUniformes[[#This Row],[Valor Inicial]]*IFERROR(PRODUCT(1+_xlfn._xlws.FILTER(tabIndices[PERCENTUAL],tabIndices[DATA DA PUBLICAÇÃO]&gt;tabUniformes[[#This Row],[DATA PUBLICAÇÃO]])),1)</f>
        <v>94.82</v>
      </c>
      <c r="F20" s="172">
        <v>4</v>
      </c>
      <c r="G20" s="172" t="s">
        <v>1389</v>
      </c>
      <c r="H20" s="172">
        <v>10</v>
      </c>
      <c r="I20" s="173">
        <v>2165.4660983910394</v>
      </c>
      <c r="J20" s="172">
        <v>40</v>
      </c>
      <c r="K20" s="170">
        <v>18.045550819925328</v>
      </c>
      <c r="M20" t="s">
        <v>53</v>
      </c>
      <c r="N20">
        <v>18</v>
      </c>
      <c r="O20" s="20"/>
      <c r="P20" s="25"/>
      <c r="Q20" s="25"/>
      <c r="R20" s="20"/>
      <c r="S20" s="25"/>
      <c r="T20" s="25"/>
      <c r="U20" s="20"/>
      <c r="V20" s="25"/>
      <c r="W20" s="25"/>
      <c r="X20" s="20">
        <v>68</v>
      </c>
      <c r="Y20" s="25">
        <v>3681.2923672647671</v>
      </c>
      <c r="Z20" s="25">
        <v>18.045550819925328</v>
      </c>
      <c r="AA20" s="20">
        <v>136</v>
      </c>
      <c r="AB20" s="25">
        <v>4090.3248525164081</v>
      </c>
      <c r="AC20" s="25">
        <v>20.050612022139255</v>
      </c>
      <c r="AD20" s="20"/>
      <c r="AE20" s="25"/>
      <c r="AF20" s="25"/>
      <c r="AG20" s="20">
        <v>17</v>
      </c>
      <c r="AH20" s="25">
        <v>1022.581213129102</v>
      </c>
      <c r="AI20" s="25">
        <v>5.0126530055348137</v>
      </c>
      <c r="AJ20" s="20"/>
      <c r="AK20" s="25"/>
      <c r="AL20" s="25"/>
      <c r="AM20" s="20"/>
      <c r="AN20" s="25"/>
      <c r="AO20" s="25"/>
      <c r="AP20" s="20"/>
      <c r="AQ20" s="25"/>
      <c r="AR20" s="25"/>
      <c r="AS20" s="20"/>
      <c r="AT20" s="25"/>
      <c r="AU20" s="25"/>
      <c r="AV20" s="20">
        <v>68</v>
      </c>
      <c r="AW20" s="25">
        <v>2454.1949115098446</v>
      </c>
      <c r="AX20" s="25">
        <v>12.030367213283553</v>
      </c>
      <c r="AY20" s="20"/>
      <c r="AZ20" s="25"/>
      <c r="BA20" s="25"/>
      <c r="BB20" s="20"/>
      <c r="BC20" s="25"/>
      <c r="BD20" s="25"/>
      <c r="BE20" s="20"/>
      <c r="BF20" s="25"/>
      <c r="BG20" s="25"/>
      <c r="BH20" s="20"/>
      <c r="BI20" s="25"/>
      <c r="BJ20" s="25"/>
      <c r="BK20" s="20"/>
      <c r="BL20" s="25"/>
      <c r="BM20" s="25"/>
      <c r="BN20" s="20"/>
      <c r="BO20" s="25"/>
      <c r="BP20" s="25"/>
      <c r="BQ20" s="20"/>
      <c r="BR20" s="25"/>
      <c r="BS20" s="25"/>
      <c r="BT20" s="20"/>
      <c r="BU20" s="25"/>
      <c r="BV20" s="25"/>
      <c r="BW20" s="20"/>
      <c r="BX20" s="25"/>
      <c r="BY20" s="25"/>
      <c r="BZ20" s="20"/>
      <c r="CA20" s="25"/>
      <c r="CB20" s="25"/>
      <c r="CC20" s="20">
        <v>36</v>
      </c>
      <c r="CD20" s="25">
        <v>10081.44</v>
      </c>
      <c r="CE20" s="25">
        <v>46.673333333333332</v>
      </c>
      <c r="CF20" s="20">
        <v>36</v>
      </c>
      <c r="CG20" s="25">
        <v>276.12</v>
      </c>
      <c r="CH20" s="25">
        <v>1.2783333333333333</v>
      </c>
      <c r="CI20" s="20"/>
      <c r="CJ20" s="25"/>
      <c r="CK20" s="25"/>
      <c r="CL20" s="20"/>
      <c r="CM20" s="25"/>
      <c r="CN20" s="25"/>
      <c r="CO20" s="20"/>
      <c r="CP20" s="25"/>
      <c r="CQ20" s="25"/>
      <c r="CR20" s="20">
        <v>18</v>
      </c>
      <c r="CS20" s="25">
        <v>1629.54</v>
      </c>
      <c r="CT20" s="25">
        <v>7.5441666666666656</v>
      </c>
      <c r="CU20" s="20"/>
      <c r="CV20" s="25"/>
      <c r="CW20" s="25"/>
      <c r="CX20" s="20">
        <v>72</v>
      </c>
      <c r="CY20" s="25">
        <v>12697.920000000002</v>
      </c>
      <c r="CZ20" s="25">
        <v>58.786666666666669</v>
      </c>
      <c r="DA20" s="20">
        <v>72</v>
      </c>
      <c r="DB20" s="25">
        <v>12455.28</v>
      </c>
      <c r="DC20" s="25">
        <v>57.663333333333334</v>
      </c>
      <c r="DD20" s="20">
        <v>18</v>
      </c>
      <c r="DE20" s="25">
        <v>399.59999999999997</v>
      </c>
      <c r="DF20" s="25">
        <v>1.8499999999999999</v>
      </c>
      <c r="DG20" s="20">
        <v>18</v>
      </c>
      <c r="DH20" s="25">
        <v>1155.6000000000001</v>
      </c>
      <c r="DI20" s="25">
        <v>5.3500000000000005</v>
      </c>
      <c r="DJ20" s="20">
        <v>18</v>
      </c>
      <c r="DK20" s="25">
        <v>6320.7</v>
      </c>
      <c r="DL20" s="25">
        <v>29.262500000000003</v>
      </c>
      <c r="DM20" s="20"/>
      <c r="DN20" s="25"/>
      <c r="DO20" s="25"/>
      <c r="DP20" s="20">
        <v>18</v>
      </c>
      <c r="DQ20" s="25">
        <v>6279.12</v>
      </c>
      <c r="DR20" s="25">
        <v>29.07</v>
      </c>
      <c r="DS20" s="20">
        <v>36</v>
      </c>
      <c r="DT20" s="25">
        <v>726.12000000000012</v>
      </c>
      <c r="DU20" s="25">
        <v>3.3616666666666672</v>
      </c>
      <c r="DV20" s="20"/>
      <c r="DW20" s="25"/>
      <c r="DX20" s="25"/>
      <c r="DY20" s="20">
        <v>36</v>
      </c>
      <c r="DZ20" s="25">
        <v>261.71999999999997</v>
      </c>
      <c r="EA20" s="25">
        <v>1.2116666666666667</v>
      </c>
      <c r="EB20" s="20"/>
      <c r="EC20" s="25"/>
      <c r="ED20" s="25"/>
      <c r="EE20" s="20">
        <v>18</v>
      </c>
      <c r="EF20" s="25">
        <v>294.83999999999997</v>
      </c>
      <c r="EG20" s="25">
        <v>1.3649999999999998</v>
      </c>
      <c r="EH20" s="20"/>
      <c r="EI20" s="25"/>
      <c r="EJ20" s="25"/>
      <c r="EK20" s="20">
        <v>900</v>
      </c>
      <c r="EL20" s="25">
        <v>12978</v>
      </c>
      <c r="EM20" s="25">
        <v>60.083333333333336</v>
      </c>
      <c r="EN20" s="20"/>
      <c r="EO20" s="25"/>
      <c r="EP20" s="25"/>
      <c r="EQ20" s="20">
        <v>18</v>
      </c>
      <c r="ER20" s="25">
        <v>6200.0999999999995</v>
      </c>
      <c r="ES20" s="25">
        <v>28.704166666666666</v>
      </c>
      <c r="ET20" s="20"/>
      <c r="EU20" s="25"/>
      <c r="EV20" s="25"/>
      <c r="EW20" s="20">
        <v>360</v>
      </c>
      <c r="EX20" s="25">
        <v>8805.6</v>
      </c>
      <c r="EY20" s="25">
        <v>40.766666666666673</v>
      </c>
      <c r="EZ20" s="20">
        <v>18</v>
      </c>
      <c r="FA20" s="25">
        <v>652.67999999999995</v>
      </c>
      <c r="FB20" s="25">
        <v>3.0216666666666665</v>
      </c>
      <c r="FC20" s="20">
        <v>180</v>
      </c>
      <c r="FD20" s="25">
        <v>925.19999999999993</v>
      </c>
      <c r="FE20" s="25">
        <v>4.2833333333333332</v>
      </c>
      <c r="FF20" s="20"/>
      <c r="FG20" s="25"/>
      <c r="FH20" s="25"/>
      <c r="FI20" s="20"/>
      <c r="FJ20" s="25"/>
      <c r="FK20" s="25"/>
      <c r="FL20" s="20"/>
      <c r="FM20" s="25"/>
      <c r="FN20" s="25"/>
      <c r="FO20" s="20"/>
      <c r="FP20" s="25"/>
      <c r="FQ20" s="25"/>
      <c r="FR20" s="20"/>
      <c r="FS20" s="25"/>
      <c r="FT20" s="25"/>
      <c r="FU20" s="20"/>
      <c r="FV20" s="25"/>
      <c r="FW20" s="25"/>
      <c r="FX20" s="20"/>
      <c r="FY20" s="25"/>
      <c r="FZ20" s="25"/>
      <c r="GA20" s="20"/>
      <c r="GB20" s="25"/>
      <c r="GC20" s="25"/>
      <c r="GD20" s="20"/>
      <c r="GE20" s="25"/>
      <c r="GF20" s="25"/>
      <c r="GG20" s="20">
        <v>36</v>
      </c>
      <c r="GH20" s="25">
        <v>1185.8399999999999</v>
      </c>
      <c r="GI20" s="25">
        <v>5.4899999999999993</v>
      </c>
      <c r="GJ20" s="20"/>
      <c r="GK20" s="25"/>
      <c r="GL20" s="25"/>
      <c r="GM20" s="20"/>
      <c r="GN20" s="25"/>
      <c r="GO20" s="25"/>
      <c r="GP20" s="20"/>
      <c r="GQ20" s="25"/>
      <c r="GR20" s="25"/>
      <c r="GS20" s="20"/>
      <c r="GT20" s="25"/>
      <c r="GU20" s="25"/>
      <c r="GV20" s="20"/>
      <c r="GW20" s="25"/>
      <c r="GX20" s="25"/>
      <c r="GY20" s="20"/>
      <c r="GZ20" s="25"/>
      <c r="HA20" s="25"/>
      <c r="HB20" s="20"/>
      <c r="HC20" s="25"/>
      <c r="HD20" s="25"/>
      <c r="HE20" s="20"/>
      <c r="HF20" s="25"/>
      <c r="HG20" s="25"/>
      <c r="HH20" s="20"/>
      <c r="HI20" s="25"/>
      <c r="HJ20" s="25"/>
      <c r="HK20" s="20"/>
      <c r="HL20" s="25"/>
      <c r="HM20" s="25"/>
      <c r="HN20" s="20"/>
      <c r="HO20" s="25"/>
      <c r="HP20" s="25"/>
      <c r="HQ20" s="20">
        <v>2197</v>
      </c>
      <c r="HR20" s="25">
        <v>94573.813344420123</v>
      </c>
      <c r="HS20" s="25">
        <v>440.90501639421626</v>
      </c>
    </row>
    <row r="21" spans="1:227" ht="14.25">
      <c r="A21" s="169" t="s">
        <v>14</v>
      </c>
      <c r="B21" s="278" t="s">
        <v>25</v>
      </c>
      <c r="C21" s="171"/>
      <c r="D21" s="311">
        <v>95.13</v>
      </c>
      <c r="E21" s="170" cm="1">
        <f t="array" ref="E21">tabUniformes[[#This Row],[Valor Inicial]]*IFERROR(PRODUCT(1+_xlfn._xlws.FILTER(tabIndices[PERCENTUAL],tabIndices[DATA DA PUBLICAÇÃO]&gt;tabUniformes[[#This Row],[DATA PUBLICAÇÃO]])),1)</f>
        <v>95.13</v>
      </c>
      <c r="F21" s="172">
        <v>1</v>
      </c>
      <c r="G21" s="172" t="s">
        <v>1389</v>
      </c>
      <c r="H21" s="172">
        <v>10</v>
      </c>
      <c r="I21" s="173">
        <v>601.51836066417764</v>
      </c>
      <c r="J21" s="172">
        <v>10</v>
      </c>
      <c r="K21" s="170">
        <v>5.0126530055348137</v>
      </c>
      <c r="M21" t="s">
        <v>54</v>
      </c>
      <c r="N21">
        <v>5</v>
      </c>
      <c r="O21" s="20">
        <v>5</v>
      </c>
      <c r="P21" s="25">
        <v>390.9869344317155</v>
      </c>
      <c r="Q21" s="25">
        <v>6.5164489071952589</v>
      </c>
      <c r="R21" s="20">
        <v>20</v>
      </c>
      <c r="S21" s="25">
        <v>842.12570492984867</v>
      </c>
      <c r="T21" s="25">
        <v>14.035428415497478</v>
      </c>
      <c r="U21" s="20"/>
      <c r="V21" s="25"/>
      <c r="W21" s="25"/>
      <c r="X21" s="20"/>
      <c r="Y21" s="25"/>
      <c r="Z21" s="25"/>
      <c r="AA21" s="20"/>
      <c r="AB21" s="25"/>
      <c r="AC21" s="25"/>
      <c r="AD21" s="20"/>
      <c r="AE21" s="25"/>
      <c r="AF21" s="25"/>
      <c r="AG21" s="20"/>
      <c r="AH21" s="25"/>
      <c r="AI21" s="25"/>
      <c r="AJ21" s="20"/>
      <c r="AK21" s="25"/>
      <c r="AL21" s="25"/>
      <c r="AM21" s="20"/>
      <c r="AN21" s="25"/>
      <c r="AO21" s="25"/>
      <c r="AP21" s="20"/>
      <c r="AQ21" s="25"/>
      <c r="AR21" s="25"/>
      <c r="AS21" s="20"/>
      <c r="AT21" s="25"/>
      <c r="AU21" s="25"/>
      <c r="AV21" s="20"/>
      <c r="AW21" s="25"/>
      <c r="AX21" s="25"/>
      <c r="AY21" s="20"/>
      <c r="AZ21" s="25"/>
      <c r="BA21" s="25"/>
      <c r="BB21" s="20">
        <v>10</v>
      </c>
      <c r="BC21" s="25">
        <v>721.82203279701309</v>
      </c>
      <c r="BD21" s="25">
        <v>12.030367213283551</v>
      </c>
      <c r="BE21" s="20">
        <v>30</v>
      </c>
      <c r="BF21" s="25">
        <v>1443.6440655940262</v>
      </c>
      <c r="BG21" s="25">
        <v>24.060734426567102</v>
      </c>
      <c r="BH21" s="20"/>
      <c r="BI21" s="25"/>
      <c r="BJ21" s="25"/>
      <c r="BK21" s="20"/>
      <c r="BL21" s="25"/>
      <c r="BM21" s="25"/>
      <c r="BN21" s="20"/>
      <c r="BO21" s="25"/>
      <c r="BP21" s="25"/>
      <c r="BQ21" s="20"/>
      <c r="BR21" s="25"/>
      <c r="BS21" s="25"/>
      <c r="BT21" s="20"/>
      <c r="BU21" s="25"/>
      <c r="BV21" s="25"/>
      <c r="BW21" s="20"/>
      <c r="BX21" s="25"/>
      <c r="BY21" s="25"/>
      <c r="BZ21" s="20"/>
      <c r="CA21" s="25"/>
      <c r="CB21" s="25"/>
      <c r="CC21" s="20"/>
      <c r="CD21" s="25"/>
      <c r="CE21" s="25"/>
      <c r="CF21" s="20"/>
      <c r="CG21" s="25"/>
      <c r="CH21" s="25"/>
      <c r="CI21" s="20"/>
      <c r="CJ21" s="25"/>
      <c r="CK21" s="25"/>
      <c r="CL21" s="20"/>
      <c r="CM21" s="25"/>
      <c r="CN21" s="25"/>
      <c r="CO21" s="20"/>
      <c r="CP21" s="25"/>
      <c r="CQ21" s="25"/>
      <c r="CR21" s="20"/>
      <c r="CS21" s="25"/>
      <c r="CT21" s="25"/>
      <c r="CU21" s="20"/>
      <c r="CV21" s="25"/>
      <c r="CW21" s="25"/>
      <c r="CX21" s="20"/>
      <c r="CY21" s="25"/>
      <c r="CZ21" s="25"/>
      <c r="DA21" s="20"/>
      <c r="DB21" s="25"/>
      <c r="DC21" s="25"/>
      <c r="DD21" s="20"/>
      <c r="DE21" s="25"/>
      <c r="DF21" s="25"/>
      <c r="DG21" s="20"/>
      <c r="DH21" s="25"/>
      <c r="DI21" s="25"/>
      <c r="DJ21" s="20"/>
      <c r="DK21" s="25"/>
      <c r="DL21" s="25"/>
      <c r="DM21" s="20"/>
      <c r="DN21" s="25"/>
      <c r="DO21" s="25"/>
      <c r="DP21" s="20"/>
      <c r="DQ21" s="25"/>
      <c r="DR21" s="25"/>
      <c r="DS21" s="20"/>
      <c r="DT21" s="25"/>
      <c r="DU21" s="25"/>
      <c r="DV21" s="20"/>
      <c r="DW21" s="25"/>
      <c r="DX21" s="25"/>
      <c r="DY21" s="20"/>
      <c r="DZ21" s="25"/>
      <c r="EA21" s="25"/>
      <c r="EB21" s="20"/>
      <c r="EC21" s="25"/>
      <c r="ED21" s="25"/>
      <c r="EE21" s="20"/>
      <c r="EF21" s="25"/>
      <c r="EG21" s="25"/>
      <c r="EH21" s="20"/>
      <c r="EI21" s="25"/>
      <c r="EJ21" s="25"/>
      <c r="EK21" s="20"/>
      <c r="EL21" s="25"/>
      <c r="EM21" s="25"/>
      <c r="EN21" s="20"/>
      <c r="EO21" s="25"/>
      <c r="EP21" s="25"/>
      <c r="EQ21" s="20"/>
      <c r="ER21" s="25"/>
      <c r="ES21" s="25"/>
      <c r="ET21" s="20"/>
      <c r="EU21" s="25"/>
      <c r="EV21" s="25"/>
      <c r="EW21" s="20"/>
      <c r="EX21" s="25"/>
      <c r="EY21" s="25"/>
      <c r="EZ21" s="20"/>
      <c r="FA21" s="25"/>
      <c r="FB21" s="25"/>
      <c r="FC21" s="20"/>
      <c r="FD21" s="25"/>
      <c r="FE21" s="25"/>
      <c r="FF21" s="20"/>
      <c r="FG21" s="25"/>
      <c r="FH21" s="25"/>
      <c r="FI21" s="20"/>
      <c r="FJ21" s="25"/>
      <c r="FK21" s="25"/>
      <c r="FL21" s="20"/>
      <c r="FM21" s="25"/>
      <c r="FN21" s="25"/>
      <c r="FO21" s="20"/>
      <c r="FP21" s="25"/>
      <c r="FQ21" s="25"/>
      <c r="FR21" s="20"/>
      <c r="FS21" s="25"/>
      <c r="FT21" s="25"/>
      <c r="FU21" s="20"/>
      <c r="FV21" s="25"/>
      <c r="FW21" s="25"/>
      <c r="FX21" s="20"/>
      <c r="FY21" s="25"/>
      <c r="FZ21" s="25"/>
      <c r="GA21" s="20"/>
      <c r="GB21" s="25"/>
      <c r="GC21" s="25"/>
      <c r="GD21" s="20"/>
      <c r="GE21" s="25"/>
      <c r="GF21" s="25"/>
      <c r="GG21" s="20"/>
      <c r="GH21" s="25"/>
      <c r="GI21" s="25"/>
      <c r="GJ21" s="20"/>
      <c r="GK21" s="25"/>
      <c r="GL21" s="25"/>
      <c r="GM21" s="20"/>
      <c r="GN21" s="25"/>
      <c r="GO21" s="25"/>
      <c r="GP21" s="20"/>
      <c r="GQ21" s="25"/>
      <c r="GR21" s="25"/>
      <c r="GS21" s="20"/>
      <c r="GT21" s="25"/>
      <c r="GU21" s="25"/>
      <c r="GV21" s="20"/>
      <c r="GW21" s="25"/>
      <c r="GX21" s="25"/>
      <c r="GY21" s="20"/>
      <c r="GZ21" s="25"/>
      <c r="HA21" s="25"/>
      <c r="HB21" s="20"/>
      <c r="HC21" s="25"/>
      <c r="HD21" s="25"/>
      <c r="HE21" s="20"/>
      <c r="HF21" s="25"/>
      <c r="HG21" s="25"/>
      <c r="HH21" s="20"/>
      <c r="HI21" s="25"/>
      <c r="HJ21" s="25"/>
      <c r="HK21" s="20"/>
      <c r="HL21" s="25"/>
      <c r="HM21" s="25"/>
      <c r="HN21" s="20"/>
      <c r="HO21" s="25"/>
      <c r="HP21" s="25"/>
      <c r="HQ21" s="20">
        <v>65</v>
      </c>
      <c r="HR21" s="25">
        <v>3398.578737752603</v>
      </c>
      <c r="HS21" s="25">
        <v>56.642978962543388</v>
      </c>
    </row>
    <row r="22" spans="1:227" ht="14.25">
      <c r="A22" s="169" t="s">
        <v>12</v>
      </c>
      <c r="B22" s="278" t="s">
        <v>32</v>
      </c>
      <c r="C22" s="171"/>
      <c r="D22" s="311">
        <v>69.83</v>
      </c>
      <c r="E22" s="170" cm="1">
        <f t="array" ref="E22">tabUniformes[[#This Row],[Valor Inicial]]*IFERROR(PRODUCT(1+_xlfn._xlws.FILTER(tabIndices[PERCENTUAL],tabIndices[DATA DA PUBLICAÇÃO]&gt;tabUniformes[[#This Row],[DATA PUBLICAÇÃO]])),1)</f>
        <v>69.83</v>
      </c>
      <c r="F22" s="172">
        <v>6</v>
      </c>
      <c r="G22" s="172" t="s">
        <v>1389</v>
      </c>
      <c r="H22" s="172">
        <v>10</v>
      </c>
      <c r="I22" s="173">
        <v>2526.3771147895459</v>
      </c>
      <c r="J22" s="172">
        <v>60</v>
      </c>
      <c r="K22" s="170">
        <v>21.053142623246217</v>
      </c>
      <c r="M22" t="s">
        <v>55</v>
      </c>
      <c r="N22">
        <v>4</v>
      </c>
      <c r="O22" s="20"/>
      <c r="P22" s="25"/>
      <c r="Q22" s="25"/>
      <c r="R22" s="20">
        <v>4</v>
      </c>
      <c r="S22" s="25">
        <v>420</v>
      </c>
      <c r="T22" s="25">
        <v>8.75</v>
      </c>
      <c r="U22" s="20"/>
      <c r="V22" s="25"/>
      <c r="W22" s="25"/>
      <c r="X22" s="20">
        <v>16</v>
      </c>
      <c r="Y22" s="25">
        <v>866.1864393564158</v>
      </c>
      <c r="Z22" s="25">
        <v>18.045550819925328</v>
      </c>
      <c r="AA22" s="20"/>
      <c r="AB22" s="25"/>
      <c r="AC22" s="25"/>
      <c r="AD22" s="20">
        <v>24</v>
      </c>
      <c r="AE22" s="25">
        <v>1010.5508459158184</v>
      </c>
      <c r="AF22" s="25">
        <v>21.053142623246217</v>
      </c>
      <c r="AG22" s="20"/>
      <c r="AH22" s="25"/>
      <c r="AI22" s="25"/>
      <c r="AJ22" s="20"/>
      <c r="AK22" s="25"/>
      <c r="AL22" s="25"/>
      <c r="AM22" s="20">
        <v>4</v>
      </c>
      <c r="AN22" s="25">
        <v>312.78954754537239</v>
      </c>
      <c r="AO22" s="25">
        <v>6.516448907195258</v>
      </c>
      <c r="AP22" s="20"/>
      <c r="AQ22" s="25"/>
      <c r="AR22" s="25"/>
      <c r="AS22" s="20"/>
      <c r="AT22" s="25"/>
      <c r="AU22" s="25"/>
      <c r="AV22" s="20"/>
      <c r="AW22" s="25"/>
      <c r="AX22" s="25"/>
      <c r="AY22" s="20"/>
      <c r="AZ22" s="25"/>
      <c r="BA22" s="25"/>
      <c r="BB22" s="20"/>
      <c r="BC22" s="25"/>
      <c r="BD22" s="25"/>
      <c r="BE22" s="20">
        <v>8</v>
      </c>
      <c r="BF22" s="25">
        <v>792</v>
      </c>
      <c r="BG22" s="25">
        <v>16.5</v>
      </c>
      <c r="BH22" s="20">
        <v>4</v>
      </c>
      <c r="BI22" s="25">
        <v>288.72881311880525</v>
      </c>
      <c r="BJ22" s="25">
        <v>6.0151836066417763</v>
      </c>
      <c r="BK22" s="20"/>
      <c r="BL22" s="25"/>
      <c r="BM22" s="25"/>
      <c r="BN22" s="20"/>
      <c r="BO22" s="25"/>
      <c r="BP22" s="25"/>
      <c r="BQ22" s="20"/>
      <c r="BR22" s="25"/>
      <c r="BS22" s="25"/>
      <c r="BT22" s="20"/>
      <c r="BU22" s="25"/>
      <c r="BV22" s="25"/>
      <c r="BW22" s="20"/>
      <c r="BX22" s="25"/>
      <c r="BY22" s="25"/>
      <c r="BZ22" s="20"/>
      <c r="CA22" s="25"/>
      <c r="CB22" s="25"/>
      <c r="CC22" s="20">
        <v>8</v>
      </c>
      <c r="CD22" s="25">
        <v>2240.3200000000002</v>
      </c>
      <c r="CE22" s="25">
        <v>46.673333333333339</v>
      </c>
      <c r="CF22" s="20"/>
      <c r="CG22" s="25"/>
      <c r="CH22" s="25"/>
      <c r="CI22" s="20"/>
      <c r="CJ22" s="25"/>
      <c r="CK22" s="25"/>
      <c r="CL22" s="20"/>
      <c r="CM22" s="25"/>
      <c r="CN22" s="25"/>
      <c r="CO22" s="20"/>
      <c r="CP22" s="25"/>
      <c r="CQ22" s="25"/>
      <c r="CR22" s="20"/>
      <c r="CS22" s="25"/>
      <c r="CT22" s="25"/>
      <c r="CU22" s="20"/>
      <c r="CV22" s="25"/>
      <c r="CW22" s="25"/>
      <c r="CX22" s="20"/>
      <c r="CY22" s="25"/>
      <c r="CZ22" s="25"/>
      <c r="DA22" s="20"/>
      <c r="DB22" s="25"/>
      <c r="DC22" s="25"/>
      <c r="DD22" s="20"/>
      <c r="DE22" s="25"/>
      <c r="DF22" s="25"/>
      <c r="DG22" s="20"/>
      <c r="DH22" s="25"/>
      <c r="DI22" s="25"/>
      <c r="DJ22" s="20"/>
      <c r="DK22" s="25"/>
      <c r="DL22" s="25"/>
      <c r="DM22" s="20"/>
      <c r="DN22" s="25"/>
      <c r="DO22" s="25"/>
      <c r="DP22" s="20"/>
      <c r="DQ22" s="25"/>
      <c r="DR22" s="25"/>
      <c r="DS22" s="20"/>
      <c r="DT22" s="25"/>
      <c r="DU22" s="25"/>
      <c r="DV22" s="20"/>
      <c r="DW22" s="25"/>
      <c r="DX22" s="25"/>
      <c r="DY22" s="20"/>
      <c r="DZ22" s="25"/>
      <c r="EA22" s="25"/>
      <c r="EB22" s="20"/>
      <c r="EC22" s="25"/>
      <c r="ED22" s="25"/>
      <c r="EE22" s="20"/>
      <c r="EF22" s="25"/>
      <c r="EG22" s="25"/>
      <c r="EH22" s="20"/>
      <c r="EI22" s="25"/>
      <c r="EJ22" s="25"/>
      <c r="EK22" s="20"/>
      <c r="EL22" s="25"/>
      <c r="EM22" s="25"/>
      <c r="EN22" s="20"/>
      <c r="EO22" s="25"/>
      <c r="EP22" s="25"/>
      <c r="EQ22" s="20"/>
      <c r="ER22" s="25"/>
      <c r="ES22" s="25"/>
      <c r="ET22" s="20"/>
      <c r="EU22" s="25"/>
      <c r="EV22" s="25"/>
      <c r="EW22" s="20"/>
      <c r="EX22" s="25"/>
      <c r="EY22" s="25"/>
      <c r="EZ22" s="20"/>
      <c r="FA22" s="25"/>
      <c r="FB22" s="25"/>
      <c r="FC22" s="20"/>
      <c r="FD22" s="25"/>
      <c r="FE22" s="25"/>
      <c r="FF22" s="20"/>
      <c r="FG22" s="25"/>
      <c r="FH22" s="25"/>
      <c r="FI22" s="20"/>
      <c r="FJ22" s="25"/>
      <c r="FK22" s="25"/>
      <c r="FL22" s="20"/>
      <c r="FM22" s="25"/>
      <c r="FN22" s="25"/>
      <c r="FO22" s="20"/>
      <c r="FP22" s="25"/>
      <c r="FQ22" s="25"/>
      <c r="FR22" s="20"/>
      <c r="FS22" s="25"/>
      <c r="FT22" s="25"/>
      <c r="FU22" s="20"/>
      <c r="FV22" s="25"/>
      <c r="FW22" s="25"/>
      <c r="FX22" s="20"/>
      <c r="FY22" s="25"/>
      <c r="FZ22" s="25"/>
      <c r="GA22" s="20"/>
      <c r="GB22" s="25"/>
      <c r="GC22" s="25"/>
      <c r="GD22" s="20"/>
      <c r="GE22" s="25"/>
      <c r="GF22" s="25"/>
      <c r="GG22" s="20"/>
      <c r="GH22" s="25"/>
      <c r="GI22" s="25"/>
      <c r="GJ22" s="20"/>
      <c r="GK22" s="25"/>
      <c r="GL22" s="25"/>
      <c r="GM22" s="20"/>
      <c r="GN22" s="25"/>
      <c r="GO22" s="25"/>
      <c r="GP22" s="20"/>
      <c r="GQ22" s="25"/>
      <c r="GR22" s="25"/>
      <c r="GS22" s="20"/>
      <c r="GT22" s="25"/>
      <c r="GU22" s="25"/>
      <c r="GV22" s="20"/>
      <c r="GW22" s="25"/>
      <c r="GX22" s="25"/>
      <c r="GY22" s="20"/>
      <c r="GZ22" s="25"/>
      <c r="HA22" s="25"/>
      <c r="HB22" s="20"/>
      <c r="HC22" s="25"/>
      <c r="HD22" s="25"/>
      <c r="HE22" s="20"/>
      <c r="HF22" s="25"/>
      <c r="HG22" s="25"/>
      <c r="HH22" s="20"/>
      <c r="HI22" s="25"/>
      <c r="HJ22" s="25"/>
      <c r="HK22" s="20"/>
      <c r="HL22" s="25"/>
      <c r="HM22" s="25"/>
      <c r="HN22" s="20"/>
      <c r="HO22" s="25"/>
      <c r="HP22" s="25"/>
      <c r="HQ22" s="20">
        <v>68</v>
      </c>
      <c r="HR22" s="25">
        <v>5930.575645936412</v>
      </c>
      <c r="HS22" s="25">
        <v>123.5536592903419</v>
      </c>
    </row>
    <row r="23" spans="1:227" ht="14.25">
      <c r="A23" s="169" t="s">
        <v>17</v>
      </c>
      <c r="B23" s="278" t="s">
        <v>1808</v>
      </c>
      <c r="C23" s="171"/>
      <c r="D23" s="311">
        <v>280.04000000000002</v>
      </c>
      <c r="E23" s="170" cm="1">
        <f t="array" ref="E23">tabUniformes[[#This Row],[Valor Inicial]]*IFERROR(PRODUCT(1+_xlfn._xlws.FILTER(tabIndices[PERCENTUAL],tabIndices[DATA DA PUBLICAÇÃO]&gt;tabUniformes[[#This Row],[DATA PUBLICAÇÃO]])),1)</f>
        <v>280.04000000000002</v>
      </c>
      <c r="F23" s="172">
        <v>2</v>
      </c>
      <c r="G23" s="172" t="s">
        <v>44</v>
      </c>
      <c r="H23" s="172">
        <v>27</v>
      </c>
      <c r="I23" s="173">
        <f>tabUniformes[[#This Row],[Valor Reajustado]]*tabUniformes[[#This Row],[Qtde Anual de Peças]]*tabUniformes[[#This Row],[Qtde. funcionários]]</f>
        <v>15122.160000000002</v>
      </c>
      <c r="J23" s="172">
        <f>tabUniformes[[#This Row],[Qtde Anual de Peças]]*tabUniformes[[#This Row],[Qtde. funcionários]]</f>
        <v>54</v>
      </c>
      <c r="K23" s="170">
        <f>IFERROR(tabUniformes[[#This Row],[Total]]/12/tabUniformes[[#This Row],[Qtde. funcionários]],0)</f>
        <v>46.673333333333339</v>
      </c>
      <c r="M23" t="s">
        <v>56</v>
      </c>
      <c r="N23">
        <v>16</v>
      </c>
      <c r="O23" s="20">
        <v>16</v>
      </c>
      <c r="P23" s="25">
        <v>1251.1581901814895</v>
      </c>
      <c r="Q23" s="25">
        <v>6.516448907195258</v>
      </c>
      <c r="R23" s="20">
        <v>64</v>
      </c>
      <c r="S23" s="25">
        <v>2694.8022557755157</v>
      </c>
      <c r="T23" s="25">
        <v>14.035428415497478</v>
      </c>
      <c r="U23" s="20"/>
      <c r="V23" s="25"/>
      <c r="W23" s="25"/>
      <c r="X23" s="20"/>
      <c r="Y23" s="25"/>
      <c r="Z23" s="25"/>
      <c r="AA23" s="20"/>
      <c r="AB23" s="25"/>
      <c r="AC23" s="25"/>
      <c r="AD23" s="20"/>
      <c r="AE23" s="25"/>
      <c r="AF23" s="25"/>
      <c r="AG23" s="20"/>
      <c r="AH23" s="25"/>
      <c r="AI23" s="25"/>
      <c r="AJ23" s="20">
        <v>16</v>
      </c>
      <c r="AK23" s="25">
        <v>769.94350165014737</v>
      </c>
      <c r="AL23" s="25">
        <v>4.0101224044278512</v>
      </c>
      <c r="AM23" s="20"/>
      <c r="AN23" s="25"/>
      <c r="AO23" s="25"/>
      <c r="AP23" s="20">
        <v>16</v>
      </c>
      <c r="AQ23" s="25">
        <v>384.97175082507368</v>
      </c>
      <c r="AR23" s="25">
        <v>2.0050612022139256</v>
      </c>
      <c r="AS23" s="20"/>
      <c r="AT23" s="25"/>
      <c r="AU23" s="25"/>
      <c r="AV23" s="20"/>
      <c r="AW23" s="25"/>
      <c r="AX23" s="25"/>
      <c r="AY23" s="20"/>
      <c r="AZ23" s="25"/>
      <c r="BA23" s="25"/>
      <c r="BB23" s="20"/>
      <c r="BC23" s="25"/>
      <c r="BD23" s="25"/>
      <c r="BE23" s="20">
        <v>96</v>
      </c>
      <c r="BF23" s="25">
        <v>4619.661009900884</v>
      </c>
      <c r="BG23" s="25">
        <v>24.060734426567105</v>
      </c>
      <c r="BH23" s="20">
        <v>32</v>
      </c>
      <c r="BI23" s="25">
        <v>2309.830504950442</v>
      </c>
      <c r="BJ23" s="25">
        <v>12.030367213283553</v>
      </c>
      <c r="BK23" s="20"/>
      <c r="BL23" s="25"/>
      <c r="BM23" s="25"/>
      <c r="BN23" s="20"/>
      <c r="BO23" s="25"/>
      <c r="BP23" s="25"/>
      <c r="BQ23" s="20"/>
      <c r="BR23" s="25"/>
      <c r="BS23" s="25"/>
      <c r="BT23" s="20"/>
      <c r="BU23" s="25"/>
      <c r="BV23" s="25"/>
      <c r="BW23" s="20"/>
      <c r="BX23" s="25"/>
      <c r="BY23" s="25"/>
      <c r="BZ23" s="20"/>
      <c r="CA23" s="25"/>
      <c r="CB23" s="25"/>
      <c r="CC23" s="20"/>
      <c r="CD23" s="25"/>
      <c r="CE23" s="25"/>
      <c r="CF23" s="20"/>
      <c r="CG23" s="25"/>
      <c r="CH23" s="25"/>
      <c r="CI23" s="20"/>
      <c r="CJ23" s="25"/>
      <c r="CK23" s="25"/>
      <c r="CL23" s="20"/>
      <c r="CM23" s="25"/>
      <c r="CN23" s="25"/>
      <c r="CO23" s="20"/>
      <c r="CP23" s="25"/>
      <c r="CQ23" s="25"/>
      <c r="CR23" s="20"/>
      <c r="CS23" s="25"/>
      <c r="CT23" s="25"/>
      <c r="CU23" s="20"/>
      <c r="CV23" s="25"/>
      <c r="CW23" s="25"/>
      <c r="CX23" s="20"/>
      <c r="CY23" s="25"/>
      <c r="CZ23" s="25"/>
      <c r="DA23" s="20"/>
      <c r="DB23" s="25"/>
      <c r="DC23" s="25"/>
      <c r="DD23" s="20"/>
      <c r="DE23" s="25"/>
      <c r="DF23" s="25"/>
      <c r="DG23" s="20"/>
      <c r="DH23" s="25"/>
      <c r="DI23" s="25"/>
      <c r="DJ23" s="20"/>
      <c r="DK23" s="25"/>
      <c r="DL23" s="25"/>
      <c r="DM23" s="20"/>
      <c r="DN23" s="25"/>
      <c r="DO23" s="25"/>
      <c r="DP23" s="20"/>
      <c r="DQ23" s="25"/>
      <c r="DR23" s="25"/>
      <c r="DS23" s="20"/>
      <c r="DT23" s="25"/>
      <c r="DU23" s="25"/>
      <c r="DV23" s="20"/>
      <c r="DW23" s="25"/>
      <c r="DX23" s="25"/>
      <c r="DY23" s="20"/>
      <c r="DZ23" s="25"/>
      <c r="EA23" s="25"/>
      <c r="EB23" s="20"/>
      <c r="EC23" s="25"/>
      <c r="ED23" s="25"/>
      <c r="EE23" s="20"/>
      <c r="EF23" s="25"/>
      <c r="EG23" s="25"/>
      <c r="EH23" s="20"/>
      <c r="EI23" s="25"/>
      <c r="EJ23" s="25"/>
      <c r="EK23" s="20"/>
      <c r="EL23" s="25"/>
      <c r="EM23" s="25"/>
      <c r="EN23" s="20"/>
      <c r="EO23" s="25"/>
      <c r="EP23" s="25"/>
      <c r="EQ23" s="20"/>
      <c r="ER23" s="25"/>
      <c r="ES23" s="25"/>
      <c r="ET23" s="20"/>
      <c r="EU23" s="25"/>
      <c r="EV23" s="25"/>
      <c r="EW23" s="20"/>
      <c r="EX23" s="25"/>
      <c r="EY23" s="25"/>
      <c r="EZ23" s="20"/>
      <c r="FA23" s="25"/>
      <c r="FB23" s="25"/>
      <c r="FC23" s="20"/>
      <c r="FD23" s="25"/>
      <c r="FE23" s="25"/>
      <c r="FF23" s="20"/>
      <c r="FG23" s="25"/>
      <c r="FH23" s="25"/>
      <c r="FI23" s="20"/>
      <c r="FJ23" s="25"/>
      <c r="FK23" s="25"/>
      <c r="FL23" s="20"/>
      <c r="FM23" s="25"/>
      <c r="FN23" s="25"/>
      <c r="FO23" s="20"/>
      <c r="FP23" s="25"/>
      <c r="FQ23" s="25"/>
      <c r="FR23" s="20"/>
      <c r="FS23" s="25"/>
      <c r="FT23" s="25"/>
      <c r="FU23" s="20"/>
      <c r="FV23" s="25"/>
      <c r="FW23" s="25"/>
      <c r="FX23" s="20"/>
      <c r="FY23" s="25"/>
      <c r="FZ23" s="25"/>
      <c r="GA23" s="20"/>
      <c r="GB23" s="25"/>
      <c r="GC23" s="25"/>
      <c r="GD23" s="20"/>
      <c r="GE23" s="25"/>
      <c r="GF23" s="25"/>
      <c r="GG23" s="20"/>
      <c r="GH23" s="25"/>
      <c r="GI23" s="25"/>
      <c r="GJ23" s="20"/>
      <c r="GK23" s="25"/>
      <c r="GL23" s="25"/>
      <c r="GM23" s="20"/>
      <c r="GN23" s="25"/>
      <c r="GO23" s="25"/>
      <c r="GP23" s="20"/>
      <c r="GQ23" s="25"/>
      <c r="GR23" s="25"/>
      <c r="GS23" s="20"/>
      <c r="GT23" s="25"/>
      <c r="GU23" s="25"/>
      <c r="GV23" s="20"/>
      <c r="GW23" s="25"/>
      <c r="GX23" s="25"/>
      <c r="GY23" s="20"/>
      <c r="GZ23" s="25"/>
      <c r="HA23" s="25"/>
      <c r="HB23" s="20"/>
      <c r="HC23" s="25"/>
      <c r="HD23" s="25"/>
      <c r="HE23" s="20"/>
      <c r="HF23" s="25"/>
      <c r="HG23" s="25"/>
      <c r="HH23" s="20"/>
      <c r="HI23" s="25"/>
      <c r="HJ23" s="25"/>
      <c r="HK23" s="20"/>
      <c r="HL23" s="25"/>
      <c r="HM23" s="25"/>
      <c r="HN23" s="20"/>
      <c r="HO23" s="25"/>
      <c r="HP23" s="25"/>
      <c r="HQ23" s="20">
        <v>240</v>
      </c>
      <c r="HR23" s="25">
        <v>12030.367213283553</v>
      </c>
      <c r="HS23" s="25">
        <v>62.658162569185173</v>
      </c>
    </row>
    <row r="24" spans="1:227" ht="14.25">
      <c r="A24" s="169" t="s">
        <v>11</v>
      </c>
      <c r="B24" s="278" t="s">
        <v>30</v>
      </c>
      <c r="C24" s="171"/>
      <c r="D24" s="311">
        <v>94.82</v>
      </c>
      <c r="E24" s="170" cm="1">
        <f t="array" ref="E24">tabUniformes[[#This Row],[Valor Inicial]]*IFERROR(PRODUCT(1+_xlfn._xlws.FILTER(tabIndices[PERCENTUAL],tabIndices[DATA DA PUBLICAÇÃO]&gt;tabUniformes[[#This Row],[DATA PUBLICAÇÃO]])),1)</f>
        <v>94.82</v>
      </c>
      <c r="F24" s="172">
        <v>4</v>
      </c>
      <c r="G24" s="172" t="s">
        <v>44</v>
      </c>
      <c r="H24" s="172">
        <v>27</v>
      </c>
      <c r="I24" s="173">
        <v>5846.7584656558065</v>
      </c>
      <c r="J24" s="172">
        <v>108</v>
      </c>
      <c r="K24" s="170">
        <v>18.045550819925328</v>
      </c>
      <c r="M24" t="s">
        <v>57</v>
      </c>
      <c r="N24">
        <v>13</v>
      </c>
      <c r="O24" s="20"/>
      <c r="P24" s="25"/>
      <c r="Q24" s="25"/>
      <c r="R24" s="20"/>
      <c r="S24" s="25"/>
      <c r="T24" s="25"/>
      <c r="U24" s="20">
        <v>52</v>
      </c>
      <c r="V24" s="25">
        <v>2189.5268328176066</v>
      </c>
      <c r="W24" s="25">
        <v>14.035428415497478</v>
      </c>
      <c r="X24" s="20"/>
      <c r="Y24" s="25"/>
      <c r="Z24" s="25"/>
      <c r="AA24" s="20">
        <v>104</v>
      </c>
      <c r="AB24" s="25">
        <v>3127.895475453724</v>
      </c>
      <c r="AC24" s="25">
        <v>20.050612022139259</v>
      </c>
      <c r="AD24" s="20"/>
      <c r="AE24" s="25"/>
      <c r="AF24" s="25"/>
      <c r="AG24" s="20">
        <v>13</v>
      </c>
      <c r="AH24" s="25">
        <v>781.97386886343099</v>
      </c>
      <c r="AI24" s="25">
        <v>5.0126530055348146</v>
      </c>
      <c r="AJ24" s="20"/>
      <c r="AK24" s="25"/>
      <c r="AL24" s="25"/>
      <c r="AM24" s="20"/>
      <c r="AN24" s="25"/>
      <c r="AO24" s="25"/>
      <c r="AP24" s="20"/>
      <c r="AQ24" s="25"/>
      <c r="AR24" s="25"/>
      <c r="AS24" s="20"/>
      <c r="AT24" s="25"/>
      <c r="AU24" s="25"/>
      <c r="AV24" s="20">
        <v>52</v>
      </c>
      <c r="AW24" s="25">
        <v>1876.7372852722342</v>
      </c>
      <c r="AX24" s="25">
        <v>12.030367213283553</v>
      </c>
      <c r="AY24" s="20"/>
      <c r="AZ24" s="25"/>
      <c r="BA24" s="25"/>
      <c r="BB24" s="20"/>
      <c r="BC24" s="25"/>
      <c r="BD24" s="25"/>
      <c r="BE24" s="20"/>
      <c r="BF24" s="25"/>
      <c r="BG24" s="25"/>
      <c r="BH24" s="20"/>
      <c r="BI24" s="25"/>
      <c r="BJ24" s="25"/>
      <c r="BK24" s="20"/>
      <c r="BL24" s="25"/>
      <c r="BM24" s="25"/>
      <c r="BN24" s="20"/>
      <c r="BO24" s="25"/>
      <c r="BP24" s="25"/>
      <c r="BQ24" s="20"/>
      <c r="BR24" s="25"/>
      <c r="BS24" s="25"/>
      <c r="BT24" s="20"/>
      <c r="BU24" s="25"/>
      <c r="BV24" s="25"/>
      <c r="BW24" s="20"/>
      <c r="BX24" s="25"/>
      <c r="BY24" s="25"/>
      <c r="BZ24" s="20"/>
      <c r="CA24" s="25"/>
      <c r="CB24" s="25"/>
      <c r="CC24" s="20">
        <v>13</v>
      </c>
      <c r="CD24" s="25">
        <v>3640.5200000000004</v>
      </c>
      <c r="CE24" s="25">
        <v>23.33666666666667</v>
      </c>
      <c r="CF24" s="20">
        <v>13</v>
      </c>
      <c r="CG24" s="25">
        <v>99.71</v>
      </c>
      <c r="CH24" s="25">
        <v>0.63916666666666666</v>
      </c>
      <c r="CI24" s="20"/>
      <c r="CJ24" s="25"/>
      <c r="CK24" s="25"/>
      <c r="CL24" s="20"/>
      <c r="CM24" s="25"/>
      <c r="CN24" s="25"/>
      <c r="CO24" s="20">
        <v>26</v>
      </c>
      <c r="CP24" s="25">
        <v>638.30000000000007</v>
      </c>
      <c r="CQ24" s="25">
        <v>4.0916666666666668</v>
      </c>
      <c r="CR24" s="20">
        <v>13</v>
      </c>
      <c r="CS24" s="25">
        <v>1176.8900000000001</v>
      </c>
      <c r="CT24" s="25">
        <v>7.5441666666666674</v>
      </c>
      <c r="CU24" s="20">
        <v>13</v>
      </c>
      <c r="CV24" s="25">
        <v>649.87</v>
      </c>
      <c r="CW24" s="25">
        <v>4.1658333333333335</v>
      </c>
      <c r="CX24" s="20"/>
      <c r="CY24" s="25"/>
      <c r="CZ24" s="25"/>
      <c r="DA24" s="20"/>
      <c r="DB24" s="25"/>
      <c r="DC24" s="25"/>
      <c r="DD24" s="20">
        <v>13</v>
      </c>
      <c r="DE24" s="25">
        <v>288.59999999999997</v>
      </c>
      <c r="DF24" s="25">
        <v>1.8499999999999999</v>
      </c>
      <c r="DG24" s="20"/>
      <c r="DH24" s="25"/>
      <c r="DI24" s="25"/>
      <c r="DJ24" s="20">
        <v>13</v>
      </c>
      <c r="DK24" s="25">
        <v>4564.95</v>
      </c>
      <c r="DL24" s="25">
        <v>29.262499999999996</v>
      </c>
      <c r="DM24" s="20"/>
      <c r="DN24" s="25"/>
      <c r="DO24" s="25"/>
      <c r="DP24" s="20"/>
      <c r="DQ24" s="25"/>
      <c r="DR24" s="25"/>
      <c r="DS24" s="20">
        <v>52</v>
      </c>
      <c r="DT24" s="25">
        <v>1048.8400000000001</v>
      </c>
      <c r="DU24" s="25">
        <v>6.7233333333333345</v>
      </c>
      <c r="DV24" s="20"/>
      <c r="DW24" s="25"/>
      <c r="DX24" s="25"/>
      <c r="DY24" s="20"/>
      <c r="DZ24" s="25"/>
      <c r="EA24" s="25"/>
      <c r="EB24" s="20"/>
      <c r="EC24" s="25"/>
      <c r="ED24" s="25"/>
      <c r="EE24" s="20">
        <v>13</v>
      </c>
      <c r="EF24" s="25">
        <v>212.94</v>
      </c>
      <c r="EG24" s="25">
        <v>1.365</v>
      </c>
      <c r="EH24" s="20">
        <v>78</v>
      </c>
      <c r="EI24" s="25">
        <v>2496</v>
      </c>
      <c r="EJ24" s="25">
        <v>16</v>
      </c>
      <c r="EK24" s="20"/>
      <c r="EL24" s="25"/>
      <c r="EM24" s="25"/>
      <c r="EN24" s="20"/>
      <c r="EO24" s="25"/>
      <c r="EP24" s="25"/>
      <c r="EQ24" s="20"/>
      <c r="ER24" s="25"/>
      <c r="ES24" s="25"/>
      <c r="ET24" s="20"/>
      <c r="EU24" s="25"/>
      <c r="EV24" s="25"/>
      <c r="EW24" s="20"/>
      <c r="EX24" s="25"/>
      <c r="EY24" s="25"/>
      <c r="EZ24" s="20"/>
      <c r="FA24" s="25"/>
      <c r="FB24" s="25"/>
      <c r="FC24" s="20">
        <v>78</v>
      </c>
      <c r="FD24" s="25">
        <v>400.91999999999996</v>
      </c>
      <c r="FE24" s="25">
        <v>2.57</v>
      </c>
      <c r="FF24" s="20">
        <v>13</v>
      </c>
      <c r="FG24" s="25">
        <v>778.69999999999993</v>
      </c>
      <c r="FH24" s="25">
        <v>4.9916666666666663</v>
      </c>
      <c r="FI24" s="20">
        <v>13</v>
      </c>
      <c r="FJ24" s="25">
        <v>431.21000000000004</v>
      </c>
      <c r="FK24" s="25">
        <v>2.7641666666666671</v>
      </c>
      <c r="FL24" s="20">
        <v>13</v>
      </c>
      <c r="FM24" s="25">
        <v>4248.1399999999994</v>
      </c>
      <c r="FN24" s="25">
        <v>27.231666666666662</v>
      </c>
      <c r="FO24" s="20">
        <v>13</v>
      </c>
      <c r="FP24" s="25">
        <v>234.91</v>
      </c>
      <c r="FQ24" s="25">
        <v>1.5058333333333331</v>
      </c>
      <c r="FR24" s="20"/>
      <c r="FS24" s="25"/>
      <c r="FT24" s="25"/>
      <c r="FU24" s="20"/>
      <c r="FV24" s="25"/>
      <c r="FW24" s="25"/>
      <c r="FX24" s="20"/>
      <c r="FY24" s="25"/>
      <c r="FZ24" s="25"/>
      <c r="GA24" s="20"/>
      <c r="GB24" s="25"/>
      <c r="GC24" s="25"/>
      <c r="GD24" s="20"/>
      <c r="GE24" s="25"/>
      <c r="GF24" s="25"/>
      <c r="GG24" s="20"/>
      <c r="GH24" s="25"/>
      <c r="GI24" s="25"/>
      <c r="GJ24" s="20">
        <v>312</v>
      </c>
      <c r="GK24" s="25">
        <v>848.64</v>
      </c>
      <c r="GL24" s="25">
        <v>5.4399999999999995</v>
      </c>
      <c r="GM24" s="20">
        <v>13</v>
      </c>
      <c r="GN24" s="25">
        <v>558.48</v>
      </c>
      <c r="GO24" s="25">
        <v>3.58</v>
      </c>
      <c r="GP24" s="20">
        <v>78</v>
      </c>
      <c r="GQ24" s="25">
        <v>198.89999999999998</v>
      </c>
      <c r="GR24" s="25">
        <v>1.2749999999999999</v>
      </c>
      <c r="GS24" s="20">
        <v>156</v>
      </c>
      <c r="GT24" s="25">
        <v>4670.6400000000003</v>
      </c>
      <c r="GU24" s="25">
        <v>29.94</v>
      </c>
      <c r="GV24" s="20">
        <v>13</v>
      </c>
      <c r="GW24" s="25">
        <v>144.69</v>
      </c>
      <c r="GX24" s="25">
        <v>0.92749999999999999</v>
      </c>
      <c r="GY24" s="20"/>
      <c r="GZ24" s="25"/>
      <c r="HA24" s="25"/>
      <c r="HB24" s="20"/>
      <c r="HC24" s="25"/>
      <c r="HD24" s="25"/>
      <c r="HE24" s="20"/>
      <c r="HF24" s="25"/>
      <c r="HG24" s="25"/>
      <c r="HH24" s="20"/>
      <c r="HI24" s="25"/>
      <c r="HJ24" s="25"/>
      <c r="HK24" s="20"/>
      <c r="HL24" s="25"/>
      <c r="HM24" s="25"/>
      <c r="HN24" s="20"/>
      <c r="HO24" s="25"/>
      <c r="HP24" s="25"/>
      <c r="HQ24" s="20">
        <v>1170</v>
      </c>
      <c r="HR24" s="25">
        <v>35307.983462406992</v>
      </c>
      <c r="HS24" s="25">
        <v>226.33322732312178</v>
      </c>
    </row>
    <row r="25" spans="1:227" ht="14.25">
      <c r="A25" s="169" t="s">
        <v>1807</v>
      </c>
      <c r="B25" s="278" t="s">
        <v>1792</v>
      </c>
      <c r="C25" s="171"/>
      <c r="D25" s="311">
        <v>0.27339999999999998</v>
      </c>
      <c r="E25" s="170" cm="1">
        <f t="array" ref="E25">tabUniformes[[#This Row],[Valor Inicial]]*IFERROR(PRODUCT(1+_xlfn._xlws.FILTER(tabIndices[PERCENTUAL],tabIndices[DATA DA PUBLICAÇÃO]&gt;tabUniformes[[#This Row],[DATA PUBLICAÇÃO]])),1)</f>
        <v>0.27339999999999998</v>
      </c>
      <c r="F25" s="172">
        <v>700</v>
      </c>
      <c r="G25" s="172" t="s">
        <v>44</v>
      </c>
      <c r="H25" s="172">
        <v>27</v>
      </c>
      <c r="I25" s="173">
        <f>tabUniformes[[#This Row],[Valor Reajustado]]*tabUniformes[[#This Row],[Qtde Anual de Peças]]*tabUniformes[[#This Row],[Qtde. funcionários]]</f>
        <v>5167.26</v>
      </c>
      <c r="J25" s="172">
        <f>tabUniformes[[#This Row],[Qtde Anual de Peças]]*tabUniformes[[#This Row],[Qtde. funcionários]]</f>
        <v>18900</v>
      </c>
      <c r="K25" s="170">
        <f>IFERROR(tabUniformes[[#This Row],[Total]]/12/tabUniformes[[#This Row],[Qtde. funcionários]],0)</f>
        <v>15.948333333333334</v>
      </c>
      <c r="M25" t="s">
        <v>58</v>
      </c>
      <c r="N25">
        <v>1</v>
      </c>
      <c r="O25" s="20"/>
      <c r="P25" s="25"/>
      <c r="Q25" s="25"/>
      <c r="R25" s="20"/>
      <c r="S25" s="25"/>
      <c r="T25" s="25"/>
      <c r="U25" s="20">
        <v>4</v>
      </c>
      <c r="V25" s="25">
        <v>168.42514098596973</v>
      </c>
      <c r="W25" s="25">
        <v>14.035428415497478</v>
      </c>
      <c r="X25" s="20"/>
      <c r="Y25" s="25"/>
      <c r="Z25" s="25"/>
      <c r="AA25" s="20">
        <v>8</v>
      </c>
      <c r="AB25" s="25">
        <v>240.60734426567106</v>
      </c>
      <c r="AC25" s="25">
        <v>20.050612022139255</v>
      </c>
      <c r="AD25" s="20"/>
      <c r="AE25" s="25"/>
      <c r="AF25" s="25"/>
      <c r="AG25" s="20">
        <v>1</v>
      </c>
      <c r="AH25" s="25">
        <v>60.151836066417765</v>
      </c>
      <c r="AI25" s="25">
        <v>5.0126530055348137</v>
      </c>
      <c r="AJ25" s="20"/>
      <c r="AK25" s="25"/>
      <c r="AL25" s="25"/>
      <c r="AM25" s="20"/>
      <c r="AN25" s="25"/>
      <c r="AO25" s="25"/>
      <c r="AP25" s="20"/>
      <c r="AQ25" s="25"/>
      <c r="AR25" s="25"/>
      <c r="AS25" s="20"/>
      <c r="AT25" s="25"/>
      <c r="AU25" s="25"/>
      <c r="AV25" s="20"/>
      <c r="AW25" s="25"/>
      <c r="AX25" s="25"/>
      <c r="AY25" s="20"/>
      <c r="AZ25" s="25"/>
      <c r="BA25" s="25"/>
      <c r="BB25" s="20"/>
      <c r="BC25" s="25"/>
      <c r="BD25" s="25"/>
      <c r="BE25" s="20"/>
      <c r="BF25" s="25"/>
      <c r="BG25" s="25"/>
      <c r="BH25" s="20"/>
      <c r="BI25" s="25"/>
      <c r="BJ25" s="25"/>
      <c r="BK25" s="20"/>
      <c r="BL25" s="25"/>
      <c r="BM25" s="25"/>
      <c r="BN25" s="20"/>
      <c r="BO25" s="25"/>
      <c r="BP25" s="25"/>
      <c r="BQ25" s="20"/>
      <c r="BR25" s="25"/>
      <c r="BS25" s="25"/>
      <c r="BT25" s="20"/>
      <c r="BU25" s="25"/>
      <c r="BV25" s="25"/>
      <c r="BW25" s="20"/>
      <c r="BX25" s="25"/>
      <c r="BY25" s="25"/>
      <c r="BZ25" s="20"/>
      <c r="CA25" s="25"/>
      <c r="CB25" s="25"/>
      <c r="CC25" s="20">
        <v>2</v>
      </c>
      <c r="CD25" s="25">
        <v>560.08000000000004</v>
      </c>
      <c r="CE25" s="25">
        <v>46.673333333333339</v>
      </c>
      <c r="CF25" s="20">
        <v>2</v>
      </c>
      <c r="CG25" s="25">
        <v>15.34</v>
      </c>
      <c r="CH25" s="25">
        <v>1.2783333333333333</v>
      </c>
      <c r="CI25" s="20"/>
      <c r="CJ25" s="25"/>
      <c r="CK25" s="25"/>
      <c r="CL25" s="20"/>
      <c r="CM25" s="25"/>
      <c r="CN25" s="25"/>
      <c r="CO25" s="20">
        <v>2</v>
      </c>
      <c r="CP25" s="25">
        <v>49.1</v>
      </c>
      <c r="CQ25" s="25">
        <v>4.0916666666666668</v>
      </c>
      <c r="CR25" s="20"/>
      <c r="CS25" s="25"/>
      <c r="CT25" s="25"/>
      <c r="CU25" s="20">
        <v>2</v>
      </c>
      <c r="CV25" s="25">
        <v>99.98</v>
      </c>
      <c r="CW25" s="25">
        <v>8.331666666666667</v>
      </c>
      <c r="CX25" s="20"/>
      <c r="CY25" s="25"/>
      <c r="CZ25" s="25"/>
      <c r="DA25" s="20"/>
      <c r="DB25" s="25"/>
      <c r="DC25" s="25"/>
      <c r="DD25" s="20"/>
      <c r="DE25" s="25"/>
      <c r="DF25" s="25"/>
      <c r="DG25" s="20"/>
      <c r="DH25" s="25"/>
      <c r="DI25" s="25"/>
      <c r="DJ25" s="20"/>
      <c r="DK25" s="25"/>
      <c r="DL25" s="25"/>
      <c r="DM25" s="20">
        <v>6</v>
      </c>
      <c r="DN25" s="25">
        <v>58.199999999999996</v>
      </c>
      <c r="DO25" s="25">
        <v>4.8499999999999996</v>
      </c>
      <c r="DP25" s="20"/>
      <c r="DQ25" s="25"/>
      <c r="DR25" s="25"/>
      <c r="DS25" s="20"/>
      <c r="DT25" s="25"/>
      <c r="DU25" s="25"/>
      <c r="DV25" s="20"/>
      <c r="DW25" s="25"/>
      <c r="DX25" s="25"/>
      <c r="DY25" s="20"/>
      <c r="DZ25" s="25"/>
      <c r="EA25" s="25"/>
      <c r="EB25" s="20"/>
      <c r="EC25" s="25"/>
      <c r="ED25" s="25"/>
      <c r="EE25" s="20"/>
      <c r="EF25" s="25"/>
      <c r="EG25" s="25"/>
      <c r="EH25" s="20"/>
      <c r="EI25" s="25"/>
      <c r="EJ25" s="25"/>
      <c r="EK25" s="20"/>
      <c r="EL25" s="25"/>
      <c r="EM25" s="25"/>
      <c r="EN25" s="20"/>
      <c r="EO25" s="25"/>
      <c r="EP25" s="25"/>
      <c r="EQ25" s="20"/>
      <c r="ER25" s="25"/>
      <c r="ES25" s="25"/>
      <c r="ET25" s="20"/>
      <c r="EU25" s="25"/>
      <c r="EV25" s="25"/>
      <c r="EW25" s="20"/>
      <c r="EX25" s="25"/>
      <c r="EY25" s="25"/>
      <c r="EZ25" s="20"/>
      <c r="FA25" s="25"/>
      <c r="FB25" s="25"/>
      <c r="FC25" s="20"/>
      <c r="FD25" s="25"/>
      <c r="FE25" s="25"/>
      <c r="FF25" s="20"/>
      <c r="FG25" s="25"/>
      <c r="FH25" s="25"/>
      <c r="FI25" s="20"/>
      <c r="FJ25" s="25"/>
      <c r="FK25" s="25"/>
      <c r="FL25" s="20"/>
      <c r="FM25" s="25"/>
      <c r="FN25" s="25"/>
      <c r="FO25" s="20"/>
      <c r="FP25" s="25"/>
      <c r="FQ25" s="25"/>
      <c r="FR25" s="20"/>
      <c r="FS25" s="25"/>
      <c r="FT25" s="25"/>
      <c r="FU25" s="20"/>
      <c r="FV25" s="25"/>
      <c r="FW25" s="25"/>
      <c r="FX25" s="20"/>
      <c r="FY25" s="25"/>
      <c r="FZ25" s="25"/>
      <c r="GA25" s="20"/>
      <c r="GB25" s="25"/>
      <c r="GC25" s="25"/>
      <c r="GD25" s="20"/>
      <c r="GE25" s="25"/>
      <c r="GF25" s="25"/>
      <c r="GG25" s="20"/>
      <c r="GH25" s="25"/>
      <c r="GI25" s="25"/>
      <c r="GJ25" s="20"/>
      <c r="GK25" s="25"/>
      <c r="GL25" s="25"/>
      <c r="GM25" s="20"/>
      <c r="GN25" s="25"/>
      <c r="GO25" s="25"/>
      <c r="GP25" s="20"/>
      <c r="GQ25" s="25"/>
      <c r="GR25" s="25"/>
      <c r="GS25" s="20"/>
      <c r="GT25" s="25"/>
      <c r="GU25" s="25"/>
      <c r="GV25" s="20"/>
      <c r="GW25" s="25"/>
      <c r="GX25" s="25"/>
      <c r="GY25" s="20">
        <v>2</v>
      </c>
      <c r="GZ25" s="25">
        <v>47.6</v>
      </c>
      <c r="HA25" s="25">
        <v>3.9666666666666668</v>
      </c>
      <c r="HB25" s="20">
        <v>24</v>
      </c>
      <c r="HC25" s="25">
        <v>131.76</v>
      </c>
      <c r="HD25" s="25">
        <v>10.979999999999999</v>
      </c>
      <c r="HE25" s="20">
        <v>2</v>
      </c>
      <c r="HF25" s="25">
        <v>63.4</v>
      </c>
      <c r="HG25" s="25">
        <v>5.2833333333333332</v>
      </c>
      <c r="HH25" s="20">
        <v>2</v>
      </c>
      <c r="HI25" s="25">
        <v>66.900000000000006</v>
      </c>
      <c r="HJ25" s="25">
        <v>5.5750000000000002</v>
      </c>
      <c r="HK25" s="20"/>
      <c r="HL25" s="25"/>
      <c r="HM25" s="25"/>
      <c r="HN25" s="20"/>
      <c r="HO25" s="25"/>
      <c r="HP25" s="25"/>
      <c r="HQ25" s="20">
        <v>57</v>
      </c>
      <c r="HR25" s="25">
        <v>1561.5443213180586</v>
      </c>
      <c r="HS25" s="25">
        <v>130.12869344317156</v>
      </c>
    </row>
    <row r="26" spans="1:227" ht="14.25">
      <c r="A26" s="169" t="s">
        <v>1807</v>
      </c>
      <c r="B26" s="278" t="s">
        <v>1793</v>
      </c>
      <c r="C26" s="171"/>
      <c r="D26" s="311">
        <v>0.3</v>
      </c>
      <c r="E26" s="170" cm="1">
        <f t="array" ref="E26">tabUniformes[[#This Row],[Valor Inicial]]*IFERROR(PRODUCT(1+_xlfn._xlws.FILTER(tabIndices[PERCENTUAL],tabIndices[DATA DA PUBLICAÇÃO]&gt;tabUniformes[[#This Row],[DATA PUBLICAÇÃO]])),1)</f>
        <v>0.3</v>
      </c>
      <c r="F26" s="172">
        <v>120</v>
      </c>
      <c r="G26" s="172" t="s">
        <v>44</v>
      </c>
      <c r="H26" s="172">
        <v>27</v>
      </c>
      <c r="I26" s="173">
        <f>tabUniformes[[#This Row],[Valor Reajustado]]*tabUniformes[[#This Row],[Qtde Anual de Peças]]*tabUniformes[[#This Row],[Qtde. funcionários]]</f>
        <v>972</v>
      </c>
      <c r="J26" s="172">
        <f>tabUniformes[[#This Row],[Qtde Anual de Peças]]*tabUniformes[[#This Row],[Qtde. funcionários]]</f>
        <v>3240</v>
      </c>
      <c r="K26" s="170">
        <f>IFERROR(tabUniformes[[#This Row],[Total]]/12/tabUniformes[[#This Row],[Qtde. funcionários]],0)</f>
        <v>3</v>
      </c>
      <c r="M26" t="s">
        <v>59</v>
      </c>
      <c r="N26">
        <v>8</v>
      </c>
      <c r="O26" s="20">
        <v>7</v>
      </c>
      <c r="P26" s="25">
        <v>421.06285246492433</v>
      </c>
      <c r="Q26" s="25">
        <v>5.0126530055348137</v>
      </c>
      <c r="R26" s="20">
        <v>28</v>
      </c>
      <c r="S26" s="25">
        <v>1178.975986901788</v>
      </c>
      <c r="T26" s="25">
        <v>14.035428415497476</v>
      </c>
      <c r="U26" s="20"/>
      <c r="V26" s="25"/>
      <c r="W26" s="25"/>
      <c r="X26" s="20"/>
      <c r="Y26" s="25"/>
      <c r="Z26" s="25"/>
      <c r="AA26" s="20"/>
      <c r="AB26" s="25"/>
      <c r="AC26" s="25"/>
      <c r="AD26" s="20"/>
      <c r="AE26" s="25"/>
      <c r="AF26" s="25"/>
      <c r="AG26" s="20"/>
      <c r="AH26" s="25"/>
      <c r="AI26" s="25"/>
      <c r="AJ26" s="20"/>
      <c r="AK26" s="25"/>
      <c r="AL26" s="25"/>
      <c r="AM26" s="20"/>
      <c r="AN26" s="25"/>
      <c r="AO26" s="25"/>
      <c r="AP26" s="20"/>
      <c r="AQ26" s="25"/>
      <c r="AR26" s="25"/>
      <c r="AS26" s="20"/>
      <c r="AT26" s="25"/>
      <c r="AU26" s="25"/>
      <c r="AV26" s="20"/>
      <c r="AW26" s="25"/>
      <c r="AX26" s="25"/>
      <c r="AY26" s="20"/>
      <c r="AZ26" s="25"/>
      <c r="BA26" s="25"/>
      <c r="BB26" s="20"/>
      <c r="BC26" s="25"/>
      <c r="BD26" s="25"/>
      <c r="BE26" s="20">
        <v>42</v>
      </c>
      <c r="BF26" s="25">
        <v>2021.1016918316368</v>
      </c>
      <c r="BG26" s="25">
        <v>24.060734426567105</v>
      </c>
      <c r="BH26" s="20">
        <v>14</v>
      </c>
      <c r="BI26" s="25">
        <v>842.12570492984867</v>
      </c>
      <c r="BJ26" s="25">
        <v>10.025306011069627</v>
      </c>
      <c r="BK26" s="20">
        <v>16</v>
      </c>
      <c r="BL26" s="25">
        <v>2915.68</v>
      </c>
      <c r="BM26" s="25">
        <v>30.371666666666666</v>
      </c>
      <c r="BN26" s="20"/>
      <c r="BO26" s="25"/>
      <c r="BP26" s="25"/>
      <c r="BQ26" s="20"/>
      <c r="BR26" s="25"/>
      <c r="BS26" s="25"/>
      <c r="BT26" s="20"/>
      <c r="BU26" s="25"/>
      <c r="BV26" s="25"/>
      <c r="BW26" s="20"/>
      <c r="BX26" s="25"/>
      <c r="BY26" s="25"/>
      <c r="BZ26" s="20"/>
      <c r="CA26" s="25"/>
      <c r="CB26" s="25"/>
      <c r="CC26" s="20"/>
      <c r="CD26" s="25"/>
      <c r="CE26" s="25"/>
      <c r="CF26" s="20"/>
      <c r="CG26" s="25"/>
      <c r="CH26" s="25"/>
      <c r="CI26" s="20"/>
      <c r="CJ26" s="25"/>
      <c r="CK26" s="25"/>
      <c r="CL26" s="20"/>
      <c r="CM26" s="25"/>
      <c r="CN26" s="25"/>
      <c r="CO26" s="20"/>
      <c r="CP26" s="25"/>
      <c r="CQ26" s="25"/>
      <c r="CR26" s="20"/>
      <c r="CS26" s="25"/>
      <c r="CT26" s="25"/>
      <c r="CU26" s="20"/>
      <c r="CV26" s="25"/>
      <c r="CW26" s="25"/>
      <c r="CX26" s="20"/>
      <c r="CY26" s="25"/>
      <c r="CZ26" s="25"/>
      <c r="DA26" s="20"/>
      <c r="DB26" s="25"/>
      <c r="DC26" s="25"/>
      <c r="DD26" s="20"/>
      <c r="DE26" s="25"/>
      <c r="DF26" s="25"/>
      <c r="DG26" s="20"/>
      <c r="DH26" s="25"/>
      <c r="DI26" s="25"/>
      <c r="DJ26" s="20"/>
      <c r="DK26" s="25"/>
      <c r="DL26" s="25"/>
      <c r="DM26" s="20"/>
      <c r="DN26" s="25"/>
      <c r="DO26" s="25"/>
      <c r="DP26" s="20"/>
      <c r="DQ26" s="25"/>
      <c r="DR26" s="25"/>
      <c r="DS26" s="20"/>
      <c r="DT26" s="25"/>
      <c r="DU26" s="25"/>
      <c r="DV26" s="20"/>
      <c r="DW26" s="25"/>
      <c r="DX26" s="25"/>
      <c r="DY26" s="20"/>
      <c r="DZ26" s="25"/>
      <c r="EA26" s="25"/>
      <c r="EB26" s="20"/>
      <c r="EC26" s="25"/>
      <c r="ED26" s="25"/>
      <c r="EE26" s="20"/>
      <c r="EF26" s="25"/>
      <c r="EG26" s="25"/>
      <c r="EH26" s="20"/>
      <c r="EI26" s="25"/>
      <c r="EJ26" s="25"/>
      <c r="EK26" s="20"/>
      <c r="EL26" s="25"/>
      <c r="EM26" s="25"/>
      <c r="EN26" s="20"/>
      <c r="EO26" s="25"/>
      <c r="EP26" s="25"/>
      <c r="EQ26" s="20"/>
      <c r="ER26" s="25"/>
      <c r="ES26" s="25"/>
      <c r="ET26" s="20"/>
      <c r="EU26" s="25"/>
      <c r="EV26" s="25"/>
      <c r="EW26" s="20"/>
      <c r="EX26" s="25"/>
      <c r="EY26" s="25"/>
      <c r="EZ26" s="20"/>
      <c r="FA26" s="25"/>
      <c r="FB26" s="25"/>
      <c r="FC26" s="20"/>
      <c r="FD26" s="25"/>
      <c r="FE26" s="25"/>
      <c r="FF26" s="20"/>
      <c r="FG26" s="25"/>
      <c r="FH26" s="25"/>
      <c r="FI26" s="20"/>
      <c r="FJ26" s="25"/>
      <c r="FK26" s="25"/>
      <c r="FL26" s="20"/>
      <c r="FM26" s="25"/>
      <c r="FN26" s="25"/>
      <c r="FO26" s="20"/>
      <c r="FP26" s="25"/>
      <c r="FQ26" s="25"/>
      <c r="FR26" s="20"/>
      <c r="FS26" s="25"/>
      <c r="FT26" s="25"/>
      <c r="FU26" s="20"/>
      <c r="FV26" s="25"/>
      <c r="FW26" s="25"/>
      <c r="FX26" s="20"/>
      <c r="FY26" s="25"/>
      <c r="FZ26" s="25"/>
      <c r="GA26" s="20"/>
      <c r="GB26" s="25"/>
      <c r="GC26" s="25"/>
      <c r="GD26" s="20"/>
      <c r="GE26" s="25"/>
      <c r="GF26" s="25"/>
      <c r="GG26" s="20"/>
      <c r="GH26" s="25"/>
      <c r="GI26" s="25"/>
      <c r="GJ26" s="20"/>
      <c r="GK26" s="25"/>
      <c r="GL26" s="25"/>
      <c r="GM26" s="20"/>
      <c r="GN26" s="25"/>
      <c r="GO26" s="25"/>
      <c r="GP26" s="20"/>
      <c r="GQ26" s="25"/>
      <c r="GR26" s="25"/>
      <c r="GS26" s="20"/>
      <c r="GT26" s="25"/>
      <c r="GU26" s="25"/>
      <c r="GV26" s="20"/>
      <c r="GW26" s="25"/>
      <c r="GX26" s="25"/>
      <c r="GY26" s="20"/>
      <c r="GZ26" s="25"/>
      <c r="HA26" s="25"/>
      <c r="HB26" s="20"/>
      <c r="HC26" s="25"/>
      <c r="HD26" s="25"/>
      <c r="HE26" s="20"/>
      <c r="HF26" s="25"/>
      <c r="HG26" s="25"/>
      <c r="HH26" s="20"/>
      <c r="HI26" s="25"/>
      <c r="HJ26" s="25"/>
      <c r="HK26" s="20">
        <v>16</v>
      </c>
      <c r="HL26" s="25">
        <v>1459.84</v>
      </c>
      <c r="HM26" s="25">
        <v>15.206666666666665</v>
      </c>
      <c r="HN26" s="20"/>
      <c r="HO26" s="25"/>
      <c r="HP26" s="25"/>
      <c r="HQ26" s="20">
        <v>123</v>
      </c>
      <c r="HR26" s="25">
        <v>8838.7862361281968</v>
      </c>
      <c r="HS26" s="25">
        <v>98.712455192002352</v>
      </c>
    </row>
    <row r="27" spans="1:227" ht="14.25">
      <c r="A27" s="169" t="s">
        <v>19</v>
      </c>
      <c r="B27" s="278" t="s">
        <v>38</v>
      </c>
      <c r="C27" s="171"/>
      <c r="D27" s="311">
        <v>63.5</v>
      </c>
      <c r="E27" s="170" cm="1">
        <f t="array" ref="E27">tabUniformes[[#This Row],[Valor Inicial]]*IFERROR(PRODUCT(1+_xlfn._xlws.FILTER(tabIndices[PERCENTUAL],tabIndices[DATA DA PUBLICAÇÃO]&gt;tabUniformes[[#This Row],[DATA PUBLICAÇÃO]])),1)</f>
        <v>63.5</v>
      </c>
      <c r="F27" s="172">
        <v>1</v>
      </c>
      <c r="G27" s="172" t="s">
        <v>44</v>
      </c>
      <c r="H27" s="172">
        <v>27</v>
      </c>
      <c r="I27" s="173">
        <v>974.45974427596775</v>
      </c>
      <c r="J27" s="172">
        <v>27</v>
      </c>
      <c r="K27" s="170">
        <v>3.0075918033208882</v>
      </c>
      <c r="M27" t="s">
        <v>60</v>
      </c>
      <c r="N27">
        <v>13</v>
      </c>
      <c r="O27" s="20"/>
      <c r="P27" s="25"/>
      <c r="Q27" s="25"/>
      <c r="R27" s="20"/>
      <c r="S27" s="25"/>
      <c r="T27" s="25"/>
      <c r="U27" s="20"/>
      <c r="V27" s="25"/>
      <c r="W27" s="25"/>
      <c r="X27" s="20">
        <v>52</v>
      </c>
      <c r="Y27" s="25">
        <v>2815.1059279083515</v>
      </c>
      <c r="Z27" s="25">
        <v>18.045550819925332</v>
      </c>
      <c r="AA27" s="20">
        <v>104</v>
      </c>
      <c r="AB27" s="25">
        <v>3127.895475453724</v>
      </c>
      <c r="AC27" s="25">
        <v>20.050612022139259</v>
      </c>
      <c r="AD27" s="20"/>
      <c r="AE27" s="25"/>
      <c r="AF27" s="25"/>
      <c r="AG27" s="20">
        <v>13</v>
      </c>
      <c r="AH27" s="25">
        <v>781.97386886343099</v>
      </c>
      <c r="AI27" s="25">
        <v>5.0126530055348146</v>
      </c>
      <c r="AJ27" s="20"/>
      <c r="AK27" s="25"/>
      <c r="AL27" s="25"/>
      <c r="AM27" s="20"/>
      <c r="AN27" s="25"/>
      <c r="AO27" s="25"/>
      <c r="AP27" s="20"/>
      <c r="AQ27" s="25"/>
      <c r="AR27" s="25"/>
      <c r="AS27" s="20"/>
      <c r="AT27" s="25"/>
      <c r="AU27" s="25"/>
      <c r="AV27" s="20">
        <v>52</v>
      </c>
      <c r="AW27" s="25">
        <v>1876.7372852722342</v>
      </c>
      <c r="AX27" s="25">
        <v>12.030367213283553</v>
      </c>
      <c r="AY27" s="20"/>
      <c r="AZ27" s="25"/>
      <c r="BA27" s="25"/>
      <c r="BB27" s="20"/>
      <c r="BC27" s="25"/>
      <c r="BD27" s="25"/>
      <c r="BE27" s="20"/>
      <c r="BF27" s="25"/>
      <c r="BG27" s="25"/>
      <c r="BH27" s="20"/>
      <c r="BI27" s="25"/>
      <c r="BJ27" s="25"/>
      <c r="BK27" s="20"/>
      <c r="BL27" s="25"/>
      <c r="BM27" s="25"/>
      <c r="BN27" s="20"/>
      <c r="BO27" s="25"/>
      <c r="BP27" s="25"/>
      <c r="BQ27" s="20"/>
      <c r="BR27" s="25"/>
      <c r="BS27" s="25"/>
      <c r="BT27" s="20"/>
      <c r="BU27" s="25"/>
      <c r="BV27" s="25"/>
      <c r="BW27" s="20"/>
      <c r="BX27" s="25"/>
      <c r="BY27" s="25"/>
      <c r="BZ27" s="20"/>
      <c r="CA27" s="25"/>
      <c r="CB27" s="25"/>
      <c r="CC27" s="20">
        <v>26</v>
      </c>
      <c r="CD27" s="25">
        <v>7281.0400000000009</v>
      </c>
      <c r="CE27" s="25">
        <v>46.673333333333339</v>
      </c>
      <c r="CF27" s="20">
        <v>26</v>
      </c>
      <c r="CG27" s="25">
        <v>199.42</v>
      </c>
      <c r="CH27" s="25">
        <v>1.2783333333333333</v>
      </c>
      <c r="CI27" s="20"/>
      <c r="CJ27" s="25"/>
      <c r="CK27" s="25"/>
      <c r="CL27" s="20"/>
      <c r="CM27" s="25"/>
      <c r="CN27" s="25"/>
      <c r="CO27" s="20"/>
      <c r="CP27" s="25"/>
      <c r="CQ27" s="25"/>
      <c r="CR27" s="20">
        <v>13</v>
      </c>
      <c r="CS27" s="25">
        <v>1176.8900000000001</v>
      </c>
      <c r="CT27" s="25">
        <v>7.5441666666666674</v>
      </c>
      <c r="CU27" s="20"/>
      <c r="CV27" s="25"/>
      <c r="CW27" s="25"/>
      <c r="CX27" s="20"/>
      <c r="CY27" s="25"/>
      <c r="CZ27" s="25"/>
      <c r="DA27" s="20"/>
      <c r="DB27" s="25"/>
      <c r="DC27" s="25"/>
      <c r="DD27" s="20">
        <v>13</v>
      </c>
      <c r="DE27" s="25">
        <v>288.59999999999997</v>
      </c>
      <c r="DF27" s="25">
        <v>1.8499999999999999</v>
      </c>
      <c r="DG27" s="20">
        <v>13</v>
      </c>
      <c r="DH27" s="25">
        <v>834.6</v>
      </c>
      <c r="DI27" s="25">
        <v>5.35</v>
      </c>
      <c r="DJ27" s="20">
        <v>13</v>
      </c>
      <c r="DK27" s="25">
        <v>4564.95</v>
      </c>
      <c r="DL27" s="25">
        <v>29.262499999999996</v>
      </c>
      <c r="DM27" s="20">
        <v>156</v>
      </c>
      <c r="DN27" s="25">
        <v>1513.1999999999998</v>
      </c>
      <c r="DO27" s="25">
        <v>9.6999999999999993</v>
      </c>
      <c r="DP27" s="20"/>
      <c r="DQ27" s="25"/>
      <c r="DR27" s="25"/>
      <c r="DS27" s="20">
        <v>26</v>
      </c>
      <c r="DT27" s="25">
        <v>524.42000000000007</v>
      </c>
      <c r="DU27" s="25">
        <v>3.3616666666666672</v>
      </c>
      <c r="DV27" s="20"/>
      <c r="DW27" s="25"/>
      <c r="DX27" s="25"/>
      <c r="DY27" s="20">
        <v>26</v>
      </c>
      <c r="DZ27" s="25">
        <v>189.01999999999998</v>
      </c>
      <c r="EA27" s="25">
        <v>1.2116666666666664</v>
      </c>
      <c r="EB27" s="20">
        <v>156</v>
      </c>
      <c r="EC27" s="25">
        <v>954.72</v>
      </c>
      <c r="ED27" s="25">
        <v>6.12</v>
      </c>
      <c r="EE27" s="20">
        <v>13</v>
      </c>
      <c r="EF27" s="25">
        <v>212.94</v>
      </c>
      <c r="EG27" s="25">
        <v>1.365</v>
      </c>
      <c r="EH27" s="20"/>
      <c r="EI27" s="25"/>
      <c r="EJ27" s="25"/>
      <c r="EK27" s="20">
        <v>650</v>
      </c>
      <c r="EL27" s="25">
        <v>9373</v>
      </c>
      <c r="EM27" s="25">
        <v>60.083333333333336</v>
      </c>
      <c r="EN27" s="20"/>
      <c r="EO27" s="25"/>
      <c r="EP27" s="25"/>
      <c r="EQ27" s="20">
        <v>13</v>
      </c>
      <c r="ER27" s="25">
        <v>4477.8499999999995</v>
      </c>
      <c r="ES27" s="25">
        <v>28.704166666666666</v>
      </c>
      <c r="ET27" s="20">
        <v>520</v>
      </c>
      <c r="EU27" s="25">
        <v>1300</v>
      </c>
      <c r="EV27" s="25">
        <v>8.3333333333333321</v>
      </c>
      <c r="EW27" s="20">
        <v>468</v>
      </c>
      <c r="EX27" s="25">
        <v>11447.28</v>
      </c>
      <c r="EY27" s="25">
        <v>73.38000000000001</v>
      </c>
      <c r="EZ27" s="20">
        <v>13</v>
      </c>
      <c r="FA27" s="25">
        <v>471.38</v>
      </c>
      <c r="FB27" s="25">
        <v>3.0216666666666665</v>
      </c>
      <c r="FC27" s="20">
        <v>260</v>
      </c>
      <c r="FD27" s="25">
        <v>1336.3999999999999</v>
      </c>
      <c r="FE27" s="25">
        <v>8.5666666666666664</v>
      </c>
      <c r="FF27" s="20">
        <v>52</v>
      </c>
      <c r="FG27" s="25">
        <v>3114.7999999999997</v>
      </c>
      <c r="FH27" s="25">
        <v>19.966666666666665</v>
      </c>
      <c r="FI27" s="20">
        <v>26</v>
      </c>
      <c r="FJ27" s="25">
        <v>862.42000000000007</v>
      </c>
      <c r="FK27" s="25">
        <v>5.5283333333333342</v>
      </c>
      <c r="FL27" s="20">
        <v>13</v>
      </c>
      <c r="FM27" s="25">
        <v>4248.1399999999994</v>
      </c>
      <c r="FN27" s="25">
        <v>27.231666666666662</v>
      </c>
      <c r="FO27" s="20"/>
      <c r="FP27" s="25"/>
      <c r="FQ27" s="25"/>
      <c r="FR27" s="20"/>
      <c r="FS27" s="25"/>
      <c r="FT27" s="25"/>
      <c r="FU27" s="20"/>
      <c r="FV27" s="25"/>
      <c r="FW27" s="25"/>
      <c r="FX27" s="20"/>
      <c r="FY27" s="25"/>
      <c r="FZ27" s="25"/>
      <c r="GA27" s="20"/>
      <c r="GB27" s="25"/>
      <c r="GC27" s="25"/>
      <c r="GD27" s="20"/>
      <c r="GE27" s="25"/>
      <c r="GF27" s="25"/>
      <c r="GG27" s="20"/>
      <c r="GH27" s="25"/>
      <c r="GI27" s="25"/>
      <c r="GJ27" s="20"/>
      <c r="GK27" s="25"/>
      <c r="GL27" s="25"/>
      <c r="GM27" s="20"/>
      <c r="GN27" s="25"/>
      <c r="GO27" s="25"/>
      <c r="GP27" s="20"/>
      <c r="GQ27" s="25"/>
      <c r="GR27" s="25"/>
      <c r="GS27" s="20"/>
      <c r="GT27" s="25"/>
      <c r="GU27" s="25"/>
      <c r="GV27" s="20"/>
      <c r="GW27" s="25"/>
      <c r="GX27" s="25"/>
      <c r="GY27" s="20"/>
      <c r="GZ27" s="25"/>
      <c r="HA27" s="25"/>
      <c r="HB27" s="20"/>
      <c r="HC27" s="25"/>
      <c r="HD27" s="25"/>
      <c r="HE27" s="20"/>
      <c r="HF27" s="25"/>
      <c r="HG27" s="25"/>
      <c r="HH27" s="20"/>
      <c r="HI27" s="25"/>
      <c r="HJ27" s="25"/>
      <c r="HK27" s="20"/>
      <c r="HL27" s="25"/>
      <c r="HM27" s="25"/>
      <c r="HN27" s="20"/>
      <c r="HO27" s="25"/>
      <c r="HP27" s="25"/>
      <c r="HQ27" s="20">
        <v>2717</v>
      </c>
      <c r="HR27" s="25">
        <v>62972.78255749774</v>
      </c>
      <c r="HS27" s="25">
        <v>403.67168306088291</v>
      </c>
    </row>
    <row r="28" spans="1:227" ht="14.25">
      <c r="A28" s="169" t="s">
        <v>1854</v>
      </c>
      <c r="B28" s="278" t="s">
        <v>1794</v>
      </c>
      <c r="C28" s="171"/>
      <c r="D28" s="311">
        <v>0.23</v>
      </c>
      <c r="E28" s="170" cm="1">
        <f t="array" ref="E28">tabUniformes[[#This Row],[Valor Inicial]]*IFERROR(PRODUCT(1+_xlfn._xlws.FILTER(tabIndices[PERCENTUAL],tabIndices[DATA DA PUBLICAÇÃO]&gt;tabUniformes[[#This Row],[DATA PUBLICAÇÃO]])),1)</f>
        <v>0.23</v>
      </c>
      <c r="F28" s="172">
        <v>360</v>
      </c>
      <c r="G28" s="172" t="s">
        <v>44</v>
      </c>
      <c r="H28" s="172">
        <v>27</v>
      </c>
      <c r="I28" s="173">
        <f>tabUniformes[[#This Row],[Valor Reajustado]]*tabUniformes[[#This Row],[Qtde Anual de Peças]]*tabUniformes[[#This Row],[Qtde. funcionários]]</f>
        <v>2235.6</v>
      </c>
      <c r="J28" s="172">
        <f>tabUniformes[[#This Row],[Qtde Anual de Peças]]*tabUniformes[[#This Row],[Qtde. funcionários]]</f>
        <v>9720</v>
      </c>
      <c r="K28" s="170">
        <f>IFERROR(tabUniformes[[#This Row],[Total]]/12/tabUniformes[[#This Row],[Qtde. funcionários]],0)</f>
        <v>6.8999999999999995</v>
      </c>
      <c r="M28" t="s">
        <v>61</v>
      </c>
      <c r="N28">
        <v>13</v>
      </c>
      <c r="O28" s="20">
        <v>13</v>
      </c>
      <c r="P28" s="25">
        <v>1016.5660295224602</v>
      </c>
      <c r="Q28" s="25">
        <v>6.516448907195258</v>
      </c>
      <c r="R28" s="20">
        <v>52</v>
      </c>
      <c r="S28" s="25">
        <v>2189.5268328176066</v>
      </c>
      <c r="T28" s="25">
        <v>14.035428415497478</v>
      </c>
      <c r="U28" s="20"/>
      <c r="V28" s="25"/>
      <c r="W28" s="25"/>
      <c r="X28" s="20"/>
      <c r="Y28" s="25"/>
      <c r="Z28" s="25"/>
      <c r="AA28" s="20"/>
      <c r="AB28" s="25"/>
      <c r="AC28" s="25"/>
      <c r="AD28" s="20"/>
      <c r="AE28" s="25"/>
      <c r="AF28" s="25"/>
      <c r="AG28" s="20"/>
      <c r="AH28" s="25"/>
      <c r="AI28" s="25"/>
      <c r="AJ28" s="20"/>
      <c r="AK28" s="25"/>
      <c r="AL28" s="25"/>
      <c r="AM28" s="20"/>
      <c r="AN28" s="25"/>
      <c r="AO28" s="25"/>
      <c r="AP28" s="20"/>
      <c r="AQ28" s="25"/>
      <c r="AR28" s="25"/>
      <c r="AS28" s="20">
        <v>26</v>
      </c>
      <c r="AT28" s="25">
        <v>656.85804984528204</v>
      </c>
      <c r="AU28" s="25">
        <v>4.2106285246492439</v>
      </c>
      <c r="AV28" s="20"/>
      <c r="AW28" s="25"/>
      <c r="AX28" s="25"/>
      <c r="AY28" s="20"/>
      <c r="AZ28" s="25"/>
      <c r="BA28" s="25"/>
      <c r="BB28" s="20"/>
      <c r="BC28" s="25"/>
      <c r="BD28" s="25"/>
      <c r="BE28" s="20">
        <v>130</v>
      </c>
      <c r="BF28" s="25">
        <v>6255.790950907448</v>
      </c>
      <c r="BG28" s="25">
        <v>40.101224044278517</v>
      </c>
      <c r="BH28" s="20">
        <v>26</v>
      </c>
      <c r="BI28" s="25">
        <v>1876.7372852722342</v>
      </c>
      <c r="BJ28" s="25">
        <v>12.030367213283553</v>
      </c>
      <c r="BK28" s="20"/>
      <c r="BL28" s="25"/>
      <c r="BM28" s="25"/>
      <c r="BN28" s="20"/>
      <c r="BO28" s="25"/>
      <c r="BP28" s="25"/>
      <c r="BQ28" s="20"/>
      <c r="BR28" s="25"/>
      <c r="BS28" s="25"/>
      <c r="BT28" s="20"/>
      <c r="BU28" s="25"/>
      <c r="BV28" s="25"/>
      <c r="BW28" s="20"/>
      <c r="BX28" s="25"/>
      <c r="BY28" s="25"/>
      <c r="BZ28" s="20"/>
      <c r="CA28" s="25"/>
      <c r="CB28" s="25"/>
      <c r="CC28" s="20"/>
      <c r="CD28" s="25"/>
      <c r="CE28" s="25"/>
      <c r="CF28" s="20"/>
      <c r="CG28" s="25"/>
      <c r="CH28" s="25"/>
      <c r="CI28" s="20"/>
      <c r="CJ28" s="25"/>
      <c r="CK28" s="25"/>
      <c r="CL28" s="20"/>
      <c r="CM28" s="25"/>
      <c r="CN28" s="25"/>
      <c r="CO28" s="20"/>
      <c r="CP28" s="25"/>
      <c r="CQ28" s="25"/>
      <c r="CR28" s="20"/>
      <c r="CS28" s="25"/>
      <c r="CT28" s="25"/>
      <c r="CU28" s="20"/>
      <c r="CV28" s="25"/>
      <c r="CW28" s="25"/>
      <c r="CX28" s="20"/>
      <c r="CY28" s="25"/>
      <c r="CZ28" s="25"/>
      <c r="DA28" s="20"/>
      <c r="DB28" s="25"/>
      <c r="DC28" s="25"/>
      <c r="DD28" s="20"/>
      <c r="DE28" s="25"/>
      <c r="DF28" s="25"/>
      <c r="DG28" s="20"/>
      <c r="DH28" s="25"/>
      <c r="DI28" s="25"/>
      <c r="DJ28" s="20"/>
      <c r="DK28" s="25"/>
      <c r="DL28" s="25"/>
      <c r="DM28" s="20"/>
      <c r="DN28" s="25"/>
      <c r="DO28" s="25"/>
      <c r="DP28" s="20"/>
      <c r="DQ28" s="25"/>
      <c r="DR28" s="25"/>
      <c r="DS28" s="20"/>
      <c r="DT28" s="25"/>
      <c r="DU28" s="25"/>
      <c r="DV28" s="20"/>
      <c r="DW28" s="25"/>
      <c r="DX28" s="25"/>
      <c r="DY28" s="20"/>
      <c r="DZ28" s="25"/>
      <c r="EA28" s="25"/>
      <c r="EB28" s="20"/>
      <c r="EC28" s="25"/>
      <c r="ED28" s="25"/>
      <c r="EE28" s="20"/>
      <c r="EF28" s="25"/>
      <c r="EG28" s="25"/>
      <c r="EH28" s="20"/>
      <c r="EI28" s="25"/>
      <c r="EJ28" s="25"/>
      <c r="EK28" s="20"/>
      <c r="EL28" s="25"/>
      <c r="EM28" s="25"/>
      <c r="EN28" s="20"/>
      <c r="EO28" s="25"/>
      <c r="EP28" s="25"/>
      <c r="EQ28" s="20"/>
      <c r="ER28" s="25"/>
      <c r="ES28" s="25"/>
      <c r="ET28" s="20"/>
      <c r="EU28" s="25"/>
      <c r="EV28" s="25"/>
      <c r="EW28" s="20"/>
      <c r="EX28" s="25"/>
      <c r="EY28" s="25"/>
      <c r="EZ28" s="20"/>
      <c r="FA28" s="25"/>
      <c r="FB28" s="25"/>
      <c r="FC28" s="20"/>
      <c r="FD28" s="25"/>
      <c r="FE28" s="25"/>
      <c r="FF28" s="20"/>
      <c r="FG28" s="25"/>
      <c r="FH28" s="25"/>
      <c r="FI28" s="20"/>
      <c r="FJ28" s="25"/>
      <c r="FK28" s="25"/>
      <c r="FL28" s="20"/>
      <c r="FM28" s="25"/>
      <c r="FN28" s="25"/>
      <c r="FO28" s="20"/>
      <c r="FP28" s="25"/>
      <c r="FQ28" s="25"/>
      <c r="FR28" s="20"/>
      <c r="FS28" s="25"/>
      <c r="FT28" s="25"/>
      <c r="FU28" s="20"/>
      <c r="FV28" s="25"/>
      <c r="FW28" s="25"/>
      <c r="FX28" s="20"/>
      <c r="FY28" s="25"/>
      <c r="FZ28" s="25"/>
      <c r="GA28" s="20"/>
      <c r="GB28" s="25"/>
      <c r="GC28" s="25"/>
      <c r="GD28" s="20"/>
      <c r="GE28" s="25"/>
      <c r="GF28" s="25"/>
      <c r="GG28" s="20"/>
      <c r="GH28" s="25"/>
      <c r="GI28" s="25"/>
      <c r="GJ28" s="20"/>
      <c r="GK28" s="25"/>
      <c r="GL28" s="25"/>
      <c r="GM28" s="20"/>
      <c r="GN28" s="25"/>
      <c r="GO28" s="25"/>
      <c r="GP28" s="20"/>
      <c r="GQ28" s="25"/>
      <c r="GR28" s="25"/>
      <c r="GS28" s="20"/>
      <c r="GT28" s="25"/>
      <c r="GU28" s="25"/>
      <c r="GV28" s="20"/>
      <c r="GW28" s="25"/>
      <c r="GX28" s="25"/>
      <c r="GY28" s="20"/>
      <c r="GZ28" s="25"/>
      <c r="HA28" s="25"/>
      <c r="HB28" s="20"/>
      <c r="HC28" s="25"/>
      <c r="HD28" s="25"/>
      <c r="HE28" s="20"/>
      <c r="HF28" s="25"/>
      <c r="HG28" s="25"/>
      <c r="HH28" s="20"/>
      <c r="HI28" s="25"/>
      <c r="HJ28" s="25"/>
      <c r="HK28" s="20">
        <v>26</v>
      </c>
      <c r="HL28" s="25">
        <v>2372.2399999999998</v>
      </c>
      <c r="HM28" s="25">
        <v>15.206666666666665</v>
      </c>
      <c r="HN28" s="20"/>
      <c r="HO28" s="25"/>
      <c r="HP28" s="25"/>
      <c r="HQ28" s="20">
        <v>273</v>
      </c>
      <c r="HR28" s="25">
        <v>14367.719148365031</v>
      </c>
      <c r="HS28" s="25">
        <v>92.100763771570712</v>
      </c>
    </row>
    <row r="29" spans="1:227" ht="14.25">
      <c r="A29" s="169" t="s">
        <v>1854</v>
      </c>
      <c r="B29" s="278" t="s">
        <v>1796</v>
      </c>
      <c r="C29" s="171"/>
      <c r="D29" s="311">
        <v>1.39</v>
      </c>
      <c r="E29" s="170" cm="1">
        <f t="array" ref="E29">tabUniformes[[#This Row],[Valor Inicial]]*IFERROR(PRODUCT(1+_xlfn._xlws.FILTER(tabIndices[PERCENTUAL],tabIndices[DATA DA PUBLICAÇÃO]&gt;tabUniformes[[#This Row],[DATA PUBLICAÇÃO]])),1)</f>
        <v>1.39</v>
      </c>
      <c r="F29" s="172">
        <v>24</v>
      </c>
      <c r="G29" s="172" t="s">
        <v>44</v>
      </c>
      <c r="H29" s="172">
        <v>27</v>
      </c>
      <c r="I29" s="173">
        <f>tabUniformes[[#This Row],[Valor Reajustado]]*tabUniformes[[#This Row],[Qtde Anual de Peças]]*tabUniformes[[#This Row],[Qtde. funcionários]]</f>
        <v>900.72</v>
      </c>
      <c r="J29" s="172">
        <f>tabUniformes[[#This Row],[Qtde Anual de Peças]]*tabUniformes[[#This Row],[Qtde. funcionários]]</f>
        <v>648</v>
      </c>
      <c r="K29" s="170">
        <f>IFERROR(tabUniformes[[#This Row],[Total]]/12/tabUniformes[[#This Row],[Qtde. funcionários]],0)</f>
        <v>2.7800000000000002</v>
      </c>
      <c r="M29" t="s">
        <v>62</v>
      </c>
      <c r="N29">
        <v>3</v>
      </c>
      <c r="O29" s="20"/>
      <c r="P29" s="25"/>
      <c r="Q29" s="25"/>
      <c r="R29" s="20"/>
      <c r="S29" s="25"/>
      <c r="T29" s="25"/>
      <c r="U29" s="20"/>
      <c r="V29" s="25"/>
      <c r="W29" s="25"/>
      <c r="X29" s="20">
        <v>12</v>
      </c>
      <c r="Y29" s="25">
        <v>649.63982951731191</v>
      </c>
      <c r="Z29" s="25">
        <v>18.045550819925332</v>
      </c>
      <c r="AA29" s="20"/>
      <c r="AB29" s="25"/>
      <c r="AC29" s="25"/>
      <c r="AD29" s="20">
        <v>18</v>
      </c>
      <c r="AE29" s="25">
        <v>757.91313443686386</v>
      </c>
      <c r="AF29" s="25">
        <v>21.05314262324622</v>
      </c>
      <c r="AG29" s="20">
        <v>3</v>
      </c>
      <c r="AH29" s="25">
        <v>180.4555081992533</v>
      </c>
      <c r="AI29" s="25">
        <v>5.0126530055348137</v>
      </c>
      <c r="AJ29" s="20"/>
      <c r="AK29" s="25"/>
      <c r="AL29" s="25"/>
      <c r="AM29" s="20"/>
      <c r="AN29" s="25"/>
      <c r="AO29" s="25"/>
      <c r="AP29" s="20"/>
      <c r="AQ29" s="25"/>
      <c r="AR29" s="25"/>
      <c r="AS29" s="20"/>
      <c r="AT29" s="25"/>
      <c r="AU29" s="25"/>
      <c r="AV29" s="20"/>
      <c r="AW29" s="25"/>
      <c r="AX29" s="25"/>
      <c r="AY29" s="20"/>
      <c r="AZ29" s="25"/>
      <c r="BA29" s="25"/>
      <c r="BB29" s="20"/>
      <c r="BC29" s="25"/>
      <c r="BD29" s="25"/>
      <c r="BE29" s="20"/>
      <c r="BF29" s="25"/>
      <c r="BG29" s="25"/>
      <c r="BH29" s="20"/>
      <c r="BI29" s="25"/>
      <c r="BJ29" s="25"/>
      <c r="BK29" s="20"/>
      <c r="BL29" s="25"/>
      <c r="BM29" s="25"/>
      <c r="BN29" s="20"/>
      <c r="BO29" s="25"/>
      <c r="BP29" s="25"/>
      <c r="BQ29" s="20"/>
      <c r="BR29" s="25"/>
      <c r="BS29" s="25"/>
      <c r="BT29" s="20"/>
      <c r="BU29" s="25"/>
      <c r="BV29" s="25"/>
      <c r="BW29" s="20"/>
      <c r="BX29" s="25"/>
      <c r="BY29" s="25"/>
      <c r="BZ29" s="20"/>
      <c r="CA29" s="25"/>
      <c r="CB29" s="25"/>
      <c r="CC29" s="20">
        <v>6</v>
      </c>
      <c r="CD29" s="25">
        <v>1680.2400000000002</v>
      </c>
      <c r="CE29" s="25">
        <v>46.673333333333339</v>
      </c>
      <c r="CF29" s="20"/>
      <c r="CG29" s="25"/>
      <c r="CH29" s="25"/>
      <c r="CI29" s="20"/>
      <c r="CJ29" s="25"/>
      <c r="CK29" s="25"/>
      <c r="CL29" s="20"/>
      <c r="CM29" s="25"/>
      <c r="CN29" s="25"/>
      <c r="CO29" s="20"/>
      <c r="CP29" s="25"/>
      <c r="CQ29" s="25"/>
      <c r="CR29" s="20"/>
      <c r="CS29" s="25"/>
      <c r="CT29" s="25"/>
      <c r="CU29" s="20"/>
      <c r="CV29" s="25"/>
      <c r="CW29" s="25"/>
      <c r="CX29" s="20"/>
      <c r="CY29" s="25"/>
      <c r="CZ29" s="25"/>
      <c r="DA29" s="20"/>
      <c r="DB29" s="25"/>
      <c r="DC29" s="25"/>
      <c r="DD29" s="20"/>
      <c r="DE29" s="25"/>
      <c r="DF29" s="25"/>
      <c r="DG29" s="20"/>
      <c r="DH29" s="25"/>
      <c r="DI29" s="25"/>
      <c r="DJ29" s="20"/>
      <c r="DK29" s="25"/>
      <c r="DL29" s="25"/>
      <c r="DM29" s="20"/>
      <c r="DN29" s="25"/>
      <c r="DO29" s="25"/>
      <c r="DP29" s="20"/>
      <c r="DQ29" s="25"/>
      <c r="DR29" s="25"/>
      <c r="DS29" s="20"/>
      <c r="DT29" s="25"/>
      <c r="DU29" s="25"/>
      <c r="DV29" s="20"/>
      <c r="DW29" s="25"/>
      <c r="DX29" s="25"/>
      <c r="DY29" s="20"/>
      <c r="DZ29" s="25"/>
      <c r="EA29" s="25"/>
      <c r="EB29" s="20"/>
      <c r="EC29" s="25"/>
      <c r="ED29" s="25"/>
      <c r="EE29" s="20"/>
      <c r="EF29" s="25"/>
      <c r="EG29" s="25"/>
      <c r="EH29" s="20"/>
      <c r="EI29" s="25"/>
      <c r="EJ29" s="25"/>
      <c r="EK29" s="20"/>
      <c r="EL29" s="25"/>
      <c r="EM29" s="25"/>
      <c r="EN29" s="20"/>
      <c r="EO29" s="25"/>
      <c r="EP29" s="25"/>
      <c r="EQ29" s="20"/>
      <c r="ER29" s="25"/>
      <c r="ES29" s="25"/>
      <c r="ET29" s="20"/>
      <c r="EU29" s="25"/>
      <c r="EV29" s="25"/>
      <c r="EW29" s="20"/>
      <c r="EX29" s="25"/>
      <c r="EY29" s="25"/>
      <c r="EZ29" s="20"/>
      <c r="FA29" s="25"/>
      <c r="FB29" s="25"/>
      <c r="FC29" s="20"/>
      <c r="FD29" s="25"/>
      <c r="FE29" s="25"/>
      <c r="FF29" s="20"/>
      <c r="FG29" s="25"/>
      <c r="FH29" s="25"/>
      <c r="FI29" s="20"/>
      <c r="FJ29" s="25"/>
      <c r="FK29" s="25"/>
      <c r="FL29" s="20"/>
      <c r="FM29" s="25"/>
      <c r="FN29" s="25"/>
      <c r="FO29" s="20"/>
      <c r="FP29" s="25"/>
      <c r="FQ29" s="25"/>
      <c r="FR29" s="20"/>
      <c r="FS29" s="25"/>
      <c r="FT29" s="25"/>
      <c r="FU29" s="20"/>
      <c r="FV29" s="25"/>
      <c r="FW29" s="25"/>
      <c r="FX29" s="20"/>
      <c r="FY29" s="25"/>
      <c r="FZ29" s="25"/>
      <c r="GA29" s="20"/>
      <c r="GB29" s="25"/>
      <c r="GC29" s="25"/>
      <c r="GD29" s="20"/>
      <c r="GE29" s="25"/>
      <c r="GF29" s="25"/>
      <c r="GG29" s="20"/>
      <c r="GH29" s="25"/>
      <c r="GI29" s="25"/>
      <c r="GJ29" s="20"/>
      <c r="GK29" s="25"/>
      <c r="GL29" s="25"/>
      <c r="GM29" s="20"/>
      <c r="GN29" s="25"/>
      <c r="GO29" s="25"/>
      <c r="GP29" s="20"/>
      <c r="GQ29" s="25"/>
      <c r="GR29" s="25"/>
      <c r="GS29" s="20"/>
      <c r="GT29" s="25"/>
      <c r="GU29" s="25"/>
      <c r="GV29" s="20"/>
      <c r="GW29" s="25"/>
      <c r="GX29" s="25"/>
      <c r="GY29" s="20"/>
      <c r="GZ29" s="25"/>
      <c r="HA29" s="25"/>
      <c r="HB29" s="20"/>
      <c r="HC29" s="25"/>
      <c r="HD29" s="25"/>
      <c r="HE29" s="20"/>
      <c r="HF29" s="25"/>
      <c r="HG29" s="25"/>
      <c r="HH29" s="20"/>
      <c r="HI29" s="25"/>
      <c r="HJ29" s="25"/>
      <c r="HK29" s="20"/>
      <c r="HL29" s="25"/>
      <c r="HM29" s="25"/>
      <c r="HN29" s="20"/>
      <c r="HO29" s="25"/>
      <c r="HP29" s="25"/>
      <c r="HQ29" s="20">
        <v>39</v>
      </c>
      <c r="HR29" s="25">
        <v>3268.2484721534292</v>
      </c>
      <c r="HS29" s="25">
        <v>90.784679782039717</v>
      </c>
    </row>
    <row r="30" spans="1:227" ht="14.25">
      <c r="A30" s="169" t="s">
        <v>1854</v>
      </c>
      <c r="B30" s="278" t="s">
        <v>1795</v>
      </c>
      <c r="C30" s="171"/>
      <c r="D30" s="311">
        <v>2.2200000000000002</v>
      </c>
      <c r="E30" s="170" cm="1">
        <f t="array" ref="E30">tabUniformes[[#This Row],[Valor Inicial]]*IFERROR(PRODUCT(1+_xlfn._xlws.FILTER(tabIndices[PERCENTUAL],tabIndices[DATA DA PUBLICAÇÃO]&gt;tabUniformes[[#This Row],[DATA PUBLICAÇÃO]])),1)</f>
        <v>2.2200000000000002</v>
      </c>
      <c r="F30" s="172">
        <v>24</v>
      </c>
      <c r="G30" s="172" t="s">
        <v>44</v>
      </c>
      <c r="H30" s="172">
        <v>27</v>
      </c>
      <c r="I30" s="173">
        <f>tabUniformes[[#This Row],[Valor Reajustado]]*tabUniformes[[#This Row],[Qtde Anual de Peças]]*tabUniformes[[#This Row],[Qtde. funcionários]]</f>
        <v>1438.56</v>
      </c>
      <c r="J30" s="172">
        <f>tabUniformes[[#This Row],[Qtde Anual de Peças]]*tabUniformes[[#This Row],[Qtde. funcionários]]</f>
        <v>648</v>
      </c>
      <c r="K30" s="170">
        <f>IFERROR(tabUniformes[[#This Row],[Total]]/12/tabUniformes[[#This Row],[Qtde. funcionários]],0)</f>
        <v>4.4399999999999995</v>
      </c>
      <c r="M30" t="s">
        <v>63</v>
      </c>
      <c r="N30">
        <v>6</v>
      </c>
      <c r="O30" s="20"/>
      <c r="P30" s="25"/>
      <c r="Q30" s="25"/>
      <c r="R30" s="20"/>
      <c r="S30" s="25"/>
      <c r="T30" s="25"/>
      <c r="U30" s="20"/>
      <c r="V30" s="25"/>
      <c r="W30" s="25"/>
      <c r="X30" s="20">
        <v>16</v>
      </c>
      <c r="Y30" s="25">
        <v>866.1864393564158</v>
      </c>
      <c r="Z30" s="25">
        <v>18.045550819925328</v>
      </c>
      <c r="AA30" s="20">
        <v>32</v>
      </c>
      <c r="AB30" s="25">
        <v>962.42937706268424</v>
      </c>
      <c r="AC30" s="25">
        <v>20.050612022139255</v>
      </c>
      <c r="AD30" s="20"/>
      <c r="AE30" s="25"/>
      <c r="AF30" s="25"/>
      <c r="AG30" s="20">
        <v>4</v>
      </c>
      <c r="AH30" s="25">
        <v>240.60734426567106</v>
      </c>
      <c r="AI30" s="25">
        <v>5.0126530055348137</v>
      </c>
      <c r="AJ30" s="20"/>
      <c r="AK30" s="25"/>
      <c r="AL30" s="25"/>
      <c r="AM30" s="20"/>
      <c r="AN30" s="25"/>
      <c r="AO30" s="25"/>
      <c r="AP30" s="20"/>
      <c r="AQ30" s="25"/>
      <c r="AR30" s="25"/>
      <c r="AS30" s="20"/>
      <c r="AT30" s="25"/>
      <c r="AU30" s="25"/>
      <c r="AV30" s="20">
        <v>16</v>
      </c>
      <c r="AW30" s="25">
        <v>577.4576262376105</v>
      </c>
      <c r="AX30" s="25">
        <v>12.030367213283553</v>
      </c>
      <c r="AY30" s="20"/>
      <c r="AZ30" s="25"/>
      <c r="BA30" s="25"/>
      <c r="BB30" s="20"/>
      <c r="BC30" s="25"/>
      <c r="BD30" s="25"/>
      <c r="BE30" s="20"/>
      <c r="BF30" s="25"/>
      <c r="BG30" s="25"/>
      <c r="BH30" s="20"/>
      <c r="BI30" s="25"/>
      <c r="BJ30" s="25"/>
      <c r="BK30" s="20"/>
      <c r="BL30" s="25"/>
      <c r="BM30" s="25"/>
      <c r="BN30" s="20"/>
      <c r="BO30" s="25"/>
      <c r="BP30" s="25"/>
      <c r="BQ30" s="20"/>
      <c r="BR30" s="25"/>
      <c r="BS30" s="25"/>
      <c r="BT30" s="20"/>
      <c r="BU30" s="25"/>
      <c r="BV30" s="25"/>
      <c r="BW30" s="20"/>
      <c r="BX30" s="25"/>
      <c r="BY30" s="25"/>
      <c r="BZ30" s="20"/>
      <c r="CA30" s="25"/>
      <c r="CB30" s="25"/>
      <c r="CC30" s="20">
        <v>12</v>
      </c>
      <c r="CD30" s="25">
        <v>3360.4800000000005</v>
      </c>
      <c r="CE30" s="25">
        <v>46.673333333333339</v>
      </c>
      <c r="CF30" s="20">
        <v>12</v>
      </c>
      <c r="CG30" s="25">
        <v>92.039999999999992</v>
      </c>
      <c r="CH30" s="25">
        <v>1.2783333333333331</v>
      </c>
      <c r="CI30" s="20"/>
      <c r="CJ30" s="25"/>
      <c r="CK30" s="25"/>
      <c r="CL30" s="20"/>
      <c r="CM30" s="25"/>
      <c r="CN30" s="25"/>
      <c r="CO30" s="20"/>
      <c r="CP30" s="25"/>
      <c r="CQ30" s="25"/>
      <c r="CR30" s="20">
        <v>6</v>
      </c>
      <c r="CS30" s="25">
        <v>543.18000000000006</v>
      </c>
      <c r="CT30" s="25">
        <v>7.5441666666666682</v>
      </c>
      <c r="CU30" s="20">
        <v>6</v>
      </c>
      <c r="CV30" s="25">
        <v>299.94</v>
      </c>
      <c r="CW30" s="25">
        <v>4.1658333333333335</v>
      </c>
      <c r="CX30" s="20"/>
      <c r="CY30" s="25"/>
      <c r="CZ30" s="25"/>
      <c r="DA30" s="20"/>
      <c r="DB30" s="25"/>
      <c r="DC30" s="25"/>
      <c r="DD30" s="20">
        <v>6</v>
      </c>
      <c r="DE30" s="25">
        <v>133.19999999999999</v>
      </c>
      <c r="DF30" s="25">
        <v>1.8499999999999999</v>
      </c>
      <c r="DG30" s="20">
        <v>6</v>
      </c>
      <c r="DH30" s="25">
        <v>385.20000000000005</v>
      </c>
      <c r="DI30" s="25">
        <v>5.3500000000000005</v>
      </c>
      <c r="DJ30" s="20">
        <v>6</v>
      </c>
      <c r="DK30" s="25">
        <v>2106.8999999999996</v>
      </c>
      <c r="DL30" s="25">
        <v>29.262499999999992</v>
      </c>
      <c r="DM30" s="20">
        <v>72</v>
      </c>
      <c r="DN30" s="25">
        <v>698.4</v>
      </c>
      <c r="DO30" s="25">
        <v>9.6999999999999993</v>
      </c>
      <c r="DP30" s="20"/>
      <c r="DQ30" s="25"/>
      <c r="DR30" s="25"/>
      <c r="DS30" s="20">
        <v>24</v>
      </c>
      <c r="DT30" s="25">
        <v>484.08000000000004</v>
      </c>
      <c r="DU30" s="25">
        <v>6.7233333333333336</v>
      </c>
      <c r="DV30" s="20"/>
      <c r="DW30" s="25"/>
      <c r="DX30" s="25"/>
      <c r="DY30" s="20">
        <v>12</v>
      </c>
      <c r="DZ30" s="25">
        <v>87.24</v>
      </c>
      <c r="EA30" s="25">
        <v>1.2116666666666667</v>
      </c>
      <c r="EB30" s="20">
        <v>36</v>
      </c>
      <c r="EC30" s="25">
        <v>220.32</v>
      </c>
      <c r="ED30" s="25">
        <v>3.06</v>
      </c>
      <c r="EE30" s="20">
        <v>6</v>
      </c>
      <c r="EF30" s="25">
        <v>98.28</v>
      </c>
      <c r="EG30" s="25">
        <v>1.365</v>
      </c>
      <c r="EH30" s="20"/>
      <c r="EI30" s="25"/>
      <c r="EJ30" s="25"/>
      <c r="EK30" s="20">
        <v>300</v>
      </c>
      <c r="EL30" s="25">
        <v>4326</v>
      </c>
      <c r="EM30" s="25">
        <v>60.083333333333336</v>
      </c>
      <c r="EN30" s="20"/>
      <c r="EO30" s="25"/>
      <c r="EP30" s="25"/>
      <c r="EQ30" s="20">
        <v>6</v>
      </c>
      <c r="ER30" s="25">
        <v>2066.6999999999998</v>
      </c>
      <c r="ES30" s="25">
        <v>28.704166666666666</v>
      </c>
      <c r="ET30" s="20">
        <v>240</v>
      </c>
      <c r="EU30" s="25">
        <v>600</v>
      </c>
      <c r="EV30" s="25">
        <v>8.3333333333333339</v>
      </c>
      <c r="EW30" s="20">
        <v>120</v>
      </c>
      <c r="EX30" s="25">
        <v>2935.2000000000003</v>
      </c>
      <c r="EY30" s="25">
        <v>40.766666666666673</v>
      </c>
      <c r="EZ30" s="20">
        <v>6</v>
      </c>
      <c r="FA30" s="25">
        <v>217.56</v>
      </c>
      <c r="FB30" s="25">
        <v>3.0216666666666665</v>
      </c>
      <c r="FC30" s="20"/>
      <c r="FD30" s="25"/>
      <c r="FE30" s="25"/>
      <c r="FF30" s="20">
        <v>24</v>
      </c>
      <c r="FG30" s="25">
        <v>1437.6</v>
      </c>
      <c r="FH30" s="25">
        <v>19.966666666666665</v>
      </c>
      <c r="FI30" s="20"/>
      <c r="FJ30" s="25"/>
      <c r="FK30" s="25"/>
      <c r="FL30" s="20">
        <v>6</v>
      </c>
      <c r="FM30" s="25">
        <v>1960.6799999999998</v>
      </c>
      <c r="FN30" s="25">
        <v>27.231666666666666</v>
      </c>
      <c r="FO30" s="20"/>
      <c r="FP30" s="25"/>
      <c r="FQ30" s="25"/>
      <c r="FR30" s="20"/>
      <c r="FS30" s="25"/>
      <c r="FT30" s="25"/>
      <c r="FU30" s="20"/>
      <c r="FV30" s="25"/>
      <c r="FW30" s="25"/>
      <c r="FX30" s="20"/>
      <c r="FY30" s="25"/>
      <c r="FZ30" s="25"/>
      <c r="GA30" s="20"/>
      <c r="GB30" s="25"/>
      <c r="GC30" s="25"/>
      <c r="GD30" s="20"/>
      <c r="GE30" s="25"/>
      <c r="GF30" s="25"/>
      <c r="GG30" s="20"/>
      <c r="GH30" s="25"/>
      <c r="GI30" s="25"/>
      <c r="GJ30" s="20"/>
      <c r="GK30" s="25"/>
      <c r="GL30" s="25"/>
      <c r="GM30" s="20"/>
      <c r="GN30" s="25"/>
      <c r="GO30" s="25"/>
      <c r="GP30" s="20"/>
      <c r="GQ30" s="25"/>
      <c r="GR30" s="25"/>
      <c r="GS30" s="20"/>
      <c r="GT30" s="25"/>
      <c r="GU30" s="25"/>
      <c r="GV30" s="20"/>
      <c r="GW30" s="25"/>
      <c r="GX30" s="25"/>
      <c r="GY30" s="20"/>
      <c r="GZ30" s="25"/>
      <c r="HA30" s="25"/>
      <c r="HB30" s="20"/>
      <c r="HC30" s="25"/>
      <c r="HD30" s="25"/>
      <c r="HE30" s="20"/>
      <c r="HF30" s="25"/>
      <c r="HG30" s="25"/>
      <c r="HH30" s="20"/>
      <c r="HI30" s="25"/>
      <c r="HJ30" s="25"/>
      <c r="HK30" s="20"/>
      <c r="HL30" s="25"/>
      <c r="HM30" s="25"/>
      <c r="HN30" s="20"/>
      <c r="HO30" s="25"/>
      <c r="HP30" s="25"/>
      <c r="HQ30" s="20">
        <v>974</v>
      </c>
      <c r="HR30" s="25">
        <v>24699.680786922381</v>
      </c>
      <c r="HS30" s="25">
        <v>361.43084972754957</v>
      </c>
    </row>
    <row r="31" spans="1:227" ht="14.25">
      <c r="A31" s="169" t="s">
        <v>14</v>
      </c>
      <c r="B31" s="278" t="s">
        <v>25</v>
      </c>
      <c r="C31" s="171"/>
      <c r="D31" s="311">
        <v>95.13</v>
      </c>
      <c r="E31" s="170" cm="1">
        <f t="array" ref="E31">tabUniformes[[#This Row],[Valor Inicial]]*IFERROR(PRODUCT(1+_xlfn._xlws.FILTER(tabIndices[PERCENTUAL],tabIndices[DATA DA PUBLICAÇÃO]&gt;tabUniformes[[#This Row],[DATA PUBLICAÇÃO]])),1)</f>
        <v>95.13</v>
      </c>
      <c r="F31" s="172">
        <v>1</v>
      </c>
      <c r="G31" s="172" t="s">
        <v>44</v>
      </c>
      <c r="H31" s="172">
        <v>27</v>
      </c>
      <c r="I31" s="173">
        <v>1624.0995737932797</v>
      </c>
      <c r="J31" s="172">
        <v>27</v>
      </c>
      <c r="K31" s="170">
        <v>5.0126530055348137</v>
      </c>
      <c r="M31" t="s">
        <v>64</v>
      </c>
      <c r="N31">
        <v>8</v>
      </c>
      <c r="O31" s="20"/>
      <c r="P31" s="25"/>
      <c r="Q31" s="25"/>
      <c r="R31" s="20"/>
      <c r="S31" s="25"/>
      <c r="T31" s="25"/>
      <c r="U31" s="20"/>
      <c r="V31" s="25"/>
      <c r="W31" s="25"/>
      <c r="X31" s="20">
        <v>24</v>
      </c>
      <c r="Y31" s="25">
        <v>1299.2796590346238</v>
      </c>
      <c r="Z31" s="25">
        <v>18.045550819925332</v>
      </c>
      <c r="AA31" s="20">
        <v>48</v>
      </c>
      <c r="AB31" s="25">
        <v>1443.6440655940264</v>
      </c>
      <c r="AC31" s="25">
        <v>20.050612022139255</v>
      </c>
      <c r="AD31" s="20"/>
      <c r="AE31" s="25"/>
      <c r="AF31" s="25"/>
      <c r="AG31" s="20">
        <v>6</v>
      </c>
      <c r="AH31" s="25">
        <v>360.9110163985066</v>
      </c>
      <c r="AI31" s="25">
        <v>5.0126530055348137</v>
      </c>
      <c r="AJ31" s="20"/>
      <c r="AK31" s="25"/>
      <c r="AL31" s="25"/>
      <c r="AM31" s="20"/>
      <c r="AN31" s="25"/>
      <c r="AO31" s="25"/>
      <c r="AP31" s="20"/>
      <c r="AQ31" s="25"/>
      <c r="AR31" s="25"/>
      <c r="AS31" s="20"/>
      <c r="AT31" s="25"/>
      <c r="AU31" s="25"/>
      <c r="AV31" s="20">
        <v>24</v>
      </c>
      <c r="AW31" s="25">
        <v>866.1864393564158</v>
      </c>
      <c r="AX31" s="25">
        <v>12.030367213283553</v>
      </c>
      <c r="AY31" s="20"/>
      <c r="AZ31" s="25"/>
      <c r="BA31" s="25"/>
      <c r="BB31" s="20"/>
      <c r="BC31" s="25"/>
      <c r="BD31" s="25"/>
      <c r="BE31" s="20"/>
      <c r="BF31" s="25"/>
      <c r="BG31" s="25"/>
      <c r="BH31" s="20"/>
      <c r="BI31" s="25"/>
      <c r="BJ31" s="25"/>
      <c r="BK31" s="20"/>
      <c r="BL31" s="25"/>
      <c r="BM31" s="25"/>
      <c r="BN31" s="20"/>
      <c r="BO31" s="25"/>
      <c r="BP31" s="25"/>
      <c r="BQ31" s="20"/>
      <c r="BR31" s="25"/>
      <c r="BS31" s="25"/>
      <c r="BT31" s="20"/>
      <c r="BU31" s="25"/>
      <c r="BV31" s="25"/>
      <c r="BW31" s="20"/>
      <c r="BX31" s="25"/>
      <c r="BY31" s="25"/>
      <c r="BZ31" s="20"/>
      <c r="CA31" s="25"/>
      <c r="CB31" s="25"/>
      <c r="CC31" s="20">
        <v>16</v>
      </c>
      <c r="CD31" s="25">
        <v>4480.6400000000003</v>
      </c>
      <c r="CE31" s="25">
        <v>46.673333333333339</v>
      </c>
      <c r="CF31" s="20">
        <v>16</v>
      </c>
      <c r="CG31" s="25">
        <v>122.72</v>
      </c>
      <c r="CH31" s="25">
        <v>1.2783333333333333</v>
      </c>
      <c r="CI31" s="20"/>
      <c r="CJ31" s="25"/>
      <c r="CK31" s="25"/>
      <c r="CL31" s="20"/>
      <c r="CM31" s="25"/>
      <c r="CN31" s="25"/>
      <c r="CO31" s="20"/>
      <c r="CP31" s="25"/>
      <c r="CQ31" s="25"/>
      <c r="CR31" s="20">
        <v>8</v>
      </c>
      <c r="CS31" s="25">
        <v>724.24</v>
      </c>
      <c r="CT31" s="25">
        <v>7.5441666666666665</v>
      </c>
      <c r="CU31" s="20"/>
      <c r="CV31" s="25"/>
      <c r="CW31" s="25"/>
      <c r="CX31" s="20"/>
      <c r="CY31" s="25"/>
      <c r="CZ31" s="25"/>
      <c r="DA31" s="20"/>
      <c r="DB31" s="25"/>
      <c r="DC31" s="25"/>
      <c r="DD31" s="20">
        <v>8</v>
      </c>
      <c r="DE31" s="25">
        <v>177.6</v>
      </c>
      <c r="DF31" s="25">
        <v>1.8499999999999999</v>
      </c>
      <c r="DG31" s="20">
        <v>8</v>
      </c>
      <c r="DH31" s="25">
        <v>513.6</v>
      </c>
      <c r="DI31" s="25">
        <v>5.3500000000000005</v>
      </c>
      <c r="DJ31" s="20">
        <v>8</v>
      </c>
      <c r="DK31" s="25">
        <v>2809.2</v>
      </c>
      <c r="DL31" s="25">
        <v>29.262499999999999</v>
      </c>
      <c r="DM31" s="20">
        <v>96</v>
      </c>
      <c r="DN31" s="25">
        <v>931.19999999999993</v>
      </c>
      <c r="DO31" s="25">
        <v>9.6999999999999993</v>
      </c>
      <c r="DP31" s="20"/>
      <c r="DQ31" s="25"/>
      <c r="DR31" s="25"/>
      <c r="DS31" s="20">
        <v>16</v>
      </c>
      <c r="DT31" s="25">
        <v>322.72000000000003</v>
      </c>
      <c r="DU31" s="25">
        <v>3.3616666666666668</v>
      </c>
      <c r="DV31" s="20"/>
      <c r="DW31" s="25"/>
      <c r="DX31" s="25"/>
      <c r="DY31" s="20">
        <v>16</v>
      </c>
      <c r="DZ31" s="25">
        <v>116.32</v>
      </c>
      <c r="EA31" s="25">
        <v>1.2116666666666667</v>
      </c>
      <c r="EB31" s="20">
        <v>32</v>
      </c>
      <c r="EC31" s="25">
        <v>195.84</v>
      </c>
      <c r="ED31" s="25">
        <v>2.04</v>
      </c>
      <c r="EE31" s="20">
        <v>8</v>
      </c>
      <c r="EF31" s="25">
        <v>131.04</v>
      </c>
      <c r="EG31" s="25">
        <v>1.365</v>
      </c>
      <c r="EH31" s="20"/>
      <c r="EI31" s="25"/>
      <c r="EJ31" s="25"/>
      <c r="EK31" s="20">
        <v>400</v>
      </c>
      <c r="EL31" s="25">
        <v>5768</v>
      </c>
      <c r="EM31" s="25">
        <v>60.083333333333336</v>
      </c>
      <c r="EN31" s="20">
        <v>8</v>
      </c>
      <c r="EO31" s="25">
        <v>158.88</v>
      </c>
      <c r="EP31" s="25">
        <v>1.655</v>
      </c>
      <c r="EQ31" s="20">
        <v>8</v>
      </c>
      <c r="ER31" s="25">
        <v>2755.6</v>
      </c>
      <c r="ES31" s="25">
        <v>28.704166666666666</v>
      </c>
      <c r="ET31" s="20">
        <v>320</v>
      </c>
      <c r="EU31" s="25">
        <v>800</v>
      </c>
      <c r="EV31" s="25">
        <v>8.3333333333333339</v>
      </c>
      <c r="EW31" s="20">
        <v>160</v>
      </c>
      <c r="EX31" s="25">
        <v>3913.6000000000004</v>
      </c>
      <c r="EY31" s="25">
        <v>40.766666666666673</v>
      </c>
      <c r="EZ31" s="20">
        <v>8</v>
      </c>
      <c r="FA31" s="25">
        <v>290.08</v>
      </c>
      <c r="FB31" s="25">
        <v>3.0216666666666665</v>
      </c>
      <c r="FC31" s="20">
        <v>80</v>
      </c>
      <c r="FD31" s="25">
        <v>411.2</v>
      </c>
      <c r="FE31" s="25">
        <v>4.2833333333333332</v>
      </c>
      <c r="FF31" s="20"/>
      <c r="FG31" s="25"/>
      <c r="FH31" s="25"/>
      <c r="FI31" s="20">
        <v>16</v>
      </c>
      <c r="FJ31" s="25">
        <v>530.72</v>
      </c>
      <c r="FK31" s="25">
        <v>5.5283333333333333</v>
      </c>
      <c r="FL31" s="20">
        <v>8</v>
      </c>
      <c r="FM31" s="25">
        <v>2614.2399999999998</v>
      </c>
      <c r="FN31" s="25">
        <v>27.231666666666666</v>
      </c>
      <c r="FO31" s="20"/>
      <c r="FP31" s="25"/>
      <c r="FQ31" s="25"/>
      <c r="FR31" s="20"/>
      <c r="FS31" s="25"/>
      <c r="FT31" s="25"/>
      <c r="FU31" s="20"/>
      <c r="FV31" s="25"/>
      <c r="FW31" s="25"/>
      <c r="FX31" s="20"/>
      <c r="FY31" s="25"/>
      <c r="FZ31" s="25"/>
      <c r="GA31" s="20"/>
      <c r="GB31" s="25"/>
      <c r="GC31" s="25"/>
      <c r="GD31" s="20"/>
      <c r="GE31" s="25"/>
      <c r="GF31" s="25"/>
      <c r="GG31" s="20"/>
      <c r="GH31" s="25"/>
      <c r="GI31" s="25"/>
      <c r="GJ31" s="20"/>
      <c r="GK31" s="25"/>
      <c r="GL31" s="25"/>
      <c r="GM31" s="20"/>
      <c r="GN31" s="25"/>
      <c r="GO31" s="25"/>
      <c r="GP31" s="20"/>
      <c r="GQ31" s="25"/>
      <c r="GR31" s="25"/>
      <c r="GS31" s="20"/>
      <c r="GT31" s="25"/>
      <c r="GU31" s="25"/>
      <c r="GV31" s="20"/>
      <c r="GW31" s="25"/>
      <c r="GX31" s="25"/>
      <c r="GY31" s="20"/>
      <c r="GZ31" s="25"/>
      <c r="HA31" s="25"/>
      <c r="HB31" s="20"/>
      <c r="HC31" s="25"/>
      <c r="HD31" s="25"/>
      <c r="HE31" s="20"/>
      <c r="HF31" s="25"/>
      <c r="HG31" s="25"/>
      <c r="HH31" s="20"/>
      <c r="HI31" s="25"/>
      <c r="HJ31" s="25"/>
      <c r="HK31" s="20"/>
      <c r="HL31" s="25"/>
      <c r="HM31" s="25"/>
      <c r="HN31" s="20"/>
      <c r="HO31" s="25"/>
      <c r="HP31" s="25"/>
      <c r="HQ31" s="20">
        <v>1342</v>
      </c>
      <c r="HR31" s="25">
        <v>31737.46118038358</v>
      </c>
      <c r="HS31" s="25">
        <v>344.38334972754961</v>
      </c>
    </row>
    <row r="32" spans="1:227" ht="14.25">
      <c r="A32" s="169" t="s">
        <v>1853</v>
      </c>
      <c r="B32" s="278" t="s">
        <v>1809</v>
      </c>
      <c r="C32" s="171"/>
      <c r="D32" s="311">
        <v>7.67</v>
      </c>
      <c r="E32" s="170" cm="1">
        <f t="array" ref="E32">tabUniformes[[#This Row],[Valor Inicial]]*IFERROR(PRODUCT(1+_xlfn._xlws.FILTER(tabIndices[PERCENTUAL],tabIndices[DATA DA PUBLICAÇÃO]&gt;tabUniformes[[#This Row],[DATA PUBLICAÇÃO]])),1)</f>
        <v>7.67</v>
      </c>
      <c r="F32" s="172">
        <v>12</v>
      </c>
      <c r="G32" s="172" t="s">
        <v>44</v>
      </c>
      <c r="H32" s="172">
        <v>27</v>
      </c>
      <c r="I32" s="173">
        <f>tabUniformes[[#This Row],[Valor Reajustado]]*tabUniformes[[#This Row],[Qtde Anual de Peças]]*tabUniformes[[#This Row],[Qtde. funcionários]]</f>
        <v>2485.08</v>
      </c>
      <c r="J32" s="172">
        <f>tabUniformes[[#This Row],[Qtde Anual de Peças]]*tabUniformes[[#This Row],[Qtde. funcionários]]</f>
        <v>324</v>
      </c>
      <c r="K32" s="170">
        <f>IFERROR(tabUniformes[[#This Row],[Total]]/12/tabUniformes[[#This Row],[Qtde. funcionários]],0)</f>
        <v>7.67</v>
      </c>
      <c r="M32" t="s">
        <v>65</v>
      </c>
      <c r="N32">
        <v>40</v>
      </c>
      <c r="O32" s="20">
        <v>40</v>
      </c>
      <c r="P32" s="25">
        <v>3127.895475453724</v>
      </c>
      <c r="Q32" s="25">
        <v>6.5164489071952589</v>
      </c>
      <c r="R32" s="20">
        <v>160</v>
      </c>
      <c r="S32" s="25">
        <v>6737.0056394387893</v>
      </c>
      <c r="T32" s="25">
        <v>14.035428415497478</v>
      </c>
      <c r="U32" s="20"/>
      <c r="V32" s="25"/>
      <c r="W32" s="25"/>
      <c r="X32" s="20"/>
      <c r="Y32" s="25"/>
      <c r="Z32" s="25"/>
      <c r="AA32" s="20"/>
      <c r="AB32" s="25"/>
      <c r="AC32" s="25"/>
      <c r="AD32" s="20"/>
      <c r="AE32" s="25"/>
      <c r="AF32" s="25"/>
      <c r="AG32" s="20"/>
      <c r="AH32" s="25"/>
      <c r="AI32" s="25"/>
      <c r="AJ32" s="20"/>
      <c r="AK32" s="25"/>
      <c r="AL32" s="25"/>
      <c r="AM32" s="20"/>
      <c r="AN32" s="25"/>
      <c r="AO32" s="25"/>
      <c r="AP32" s="20"/>
      <c r="AQ32" s="25"/>
      <c r="AR32" s="25"/>
      <c r="AS32" s="20"/>
      <c r="AT32" s="25"/>
      <c r="AU32" s="25"/>
      <c r="AV32" s="20"/>
      <c r="AW32" s="25"/>
      <c r="AX32" s="25"/>
      <c r="AY32" s="20"/>
      <c r="AZ32" s="25"/>
      <c r="BA32" s="25"/>
      <c r="BB32" s="20"/>
      <c r="BC32" s="25"/>
      <c r="BD32" s="25"/>
      <c r="BE32" s="20">
        <v>240</v>
      </c>
      <c r="BF32" s="25">
        <v>11549.15252475221</v>
      </c>
      <c r="BG32" s="25">
        <v>24.060734426567102</v>
      </c>
      <c r="BH32" s="20">
        <v>80</v>
      </c>
      <c r="BI32" s="25">
        <v>5774.5762623761048</v>
      </c>
      <c r="BJ32" s="25">
        <v>12.030367213283551</v>
      </c>
      <c r="BK32" s="20"/>
      <c r="BL32" s="25"/>
      <c r="BM32" s="25"/>
      <c r="BN32" s="20"/>
      <c r="BO32" s="25"/>
      <c r="BP32" s="25"/>
      <c r="BQ32" s="20"/>
      <c r="BR32" s="25"/>
      <c r="BS32" s="25"/>
      <c r="BT32" s="20"/>
      <c r="BU32" s="25"/>
      <c r="BV32" s="25"/>
      <c r="BW32" s="20"/>
      <c r="BX32" s="25"/>
      <c r="BY32" s="25"/>
      <c r="BZ32" s="20"/>
      <c r="CA32" s="25"/>
      <c r="CB32" s="25"/>
      <c r="CC32" s="20"/>
      <c r="CD32" s="25"/>
      <c r="CE32" s="25"/>
      <c r="CF32" s="20"/>
      <c r="CG32" s="25"/>
      <c r="CH32" s="25"/>
      <c r="CI32" s="20"/>
      <c r="CJ32" s="25"/>
      <c r="CK32" s="25"/>
      <c r="CL32" s="20"/>
      <c r="CM32" s="25"/>
      <c r="CN32" s="25"/>
      <c r="CO32" s="20"/>
      <c r="CP32" s="25"/>
      <c r="CQ32" s="25"/>
      <c r="CR32" s="20"/>
      <c r="CS32" s="25"/>
      <c r="CT32" s="25"/>
      <c r="CU32" s="20"/>
      <c r="CV32" s="25"/>
      <c r="CW32" s="25"/>
      <c r="CX32" s="20"/>
      <c r="CY32" s="25"/>
      <c r="CZ32" s="25"/>
      <c r="DA32" s="20"/>
      <c r="DB32" s="25"/>
      <c r="DC32" s="25"/>
      <c r="DD32" s="20"/>
      <c r="DE32" s="25"/>
      <c r="DF32" s="25"/>
      <c r="DG32" s="20"/>
      <c r="DH32" s="25"/>
      <c r="DI32" s="25"/>
      <c r="DJ32" s="20"/>
      <c r="DK32" s="25"/>
      <c r="DL32" s="25"/>
      <c r="DM32" s="20"/>
      <c r="DN32" s="25"/>
      <c r="DO32" s="25"/>
      <c r="DP32" s="20"/>
      <c r="DQ32" s="25"/>
      <c r="DR32" s="25"/>
      <c r="DS32" s="20"/>
      <c r="DT32" s="25"/>
      <c r="DU32" s="25"/>
      <c r="DV32" s="20"/>
      <c r="DW32" s="25"/>
      <c r="DX32" s="25"/>
      <c r="DY32" s="20"/>
      <c r="DZ32" s="25"/>
      <c r="EA32" s="25"/>
      <c r="EB32" s="20"/>
      <c r="EC32" s="25"/>
      <c r="ED32" s="25"/>
      <c r="EE32" s="20"/>
      <c r="EF32" s="25"/>
      <c r="EG32" s="25"/>
      <c r="EH32" s="20"/>
      <c r="EI32" s="25"/>
      <c r="EJ32" s="25"/>
      <c r="EK32" s="20"/>
      <c r="EL32" s="25"/>
      <c r="EM32" s="25"/>
      <c r="EN32" s="20"/>
      <c r="EO32" s="25"/>
      <c r="EP32" s="25"/>
      <c r="EQ32" s="20"/>
      <c r="ER32" s="25"/>
      <c r="ES32" s="25"/>
      <c r="ET32" s="20"/>
      <c r="EU32" s="25"/>
      <c r="EV32" s="25"/>
      <c r="EW32" s="20"/>
      <c r="EX32" s="25"/>
      <c r="EY32" s="25"/>
      <c r="EZ32" s="20"/>
      <c r="FA32" s="25"/>
      <c r="FB32" s="25"/>
      <c r="FC32" s="20"/>
      <c r="FD32" s="25"/>
      <c r="FE32" s="25"/>
      <c r="FF32" s="20"/>
      <c r="FG32" s="25"/>
      <c r="FH32" s="25"/>
      <c r="FI32" s="20"/>
      <c r="FJ32" s="25"/>
      <c r="FK32" s="25"/>
      <c r="FL32" s="20"/>
      <c r="FM32" s="25"/>
      <c r="FN32" s="25"/>
      <c r="FO32" s="20"/>
      <c r="FP32" s="25"/>
      <c r="FQ32" s="25"/>
      <c r="FR32" s="20"/>
      <c r="FS32" s="25"/>
      <c r="FT32" s="25"/>
      <c r="FU32" s="20"/>
      <c r="FV32" s="25"/>
      <c r="FW32" s="25"/>
      <c r="FX32" s="20"/>
      <c r="FY32" s="25"/>
      <c r="FZ32" s="25"/>
      <c r="GA32" s="20"/>
      <c r="GB32" s="25"/>
      <c r="GC32" s="25"/>
      <c r="GD32" s="20"/>
      <c r="GE32" s="25"/>
      <c r="GF32" s="25"/>
      <c r="GG32" s="20"/>
      <c r="GH32" s="25"/>
      <c r="GI32" s="25"/>
      <c r="GJ32" s="20"/>
      <c r="GK32" s="25"/>
      <c r="GL32" s="25"/>
      <c r="GM32" s="20"/>
      <c r="GN32" s="25"/>
      <c r="GO32" s="25"/>
      <c r="GP32" s="20"/>
      <c r="GQ32" s="25"/>
      <c r="GR32" s="25"/>
      <c r="GS32" s="20"/>
      <c r="GT32" s="25"/>
      <c r="GU32" s="25"/>
      <c r="GV32" s="20"/>
      <c r="GW32" s="25"/>
      <c r="GX32" s="25"/>
      <c r="GY32" s="20"/>
      <c r="GZ32" s="25"/>
      <c r="HA32" s="25"/>
      <c r="HB32" s="20"/>
      <c r="HC32" s="25"/>
      <c r="HD32" s="25"/>
      <c r="HE32" s="20"/>
      <c r="HF32" s="25"/>
      <c r="HG32" s="25"/>
      <c r="HH32" s="20"/>
      <c r="HI32" s="25"/>
      <c r="HJ32" s="25"/>
      <c r="HK32" s="20"/>
      <c r="HL32" s="25"/>
      <c r="HM32" s="25"/>
      <c r="HN32" s="20"/>
      <c r="HO32" s="25"/>
      <c r="HP32" s="25"/>
      <c r="HQ32" s="20">
        <v>520</v>
      </c>
      <c r="HR32" s="25">
        <v>27188.629902020824</v>
      </c>
      <c r="HS32" s="25">
        <v>56.642978962543395</v>
      </c>
    </row>
    <row r="33" spans="1:227" ht="14.25">
      <c r="A33" s="169" t="s">
        <v>12</v>
      </c>
      <c r="B33" s="278" t="s">
        <v>32</v>
      </c>
      <c r="C33" s="171"/>
      <c r="D33" s="311">
        <v>69.83</v>
      </c>
      <c r="E33" s="170" cm="1">
        <f t="array" ref="E33">tabUniformes[[#This Row],[Valor Inicial]]*IFERROR(PRODUCT(1+_xlfn._xlws.FILTER(tabIndices[PERCENTUAL],tabIndices[DATA DA PUBLICAÇÃO]&gt;tabUniformes[[#This Row],[DATA PUBLICAÇÃO]])),1)</f>
        <v>69.83</v>
      </c>
      <c r="F33" s="172">
        <v>6</v>
      </c>
      <c r="G33" s="172" t="s">
        <v>44</v>
      </c>
      <c r="H33" s="172">
        <v>27</v>
      </c>
      <c r="I33" s="173">
        <v>6821.2182099317743</v>
      </c>
      <c r="J33" s="172">
        <v>162</v>
      </c>
      <c r="K33" s="170">
        <v>21.053142623246217</v>
      </c>
      <c r="M33" t="s">
        <v>66</v>
      </c>
      <c r="N33">
        <v>44</v>
      </c>
      <c r="O33" s="20">
        <v>44</v>
      </c>
      <c r="P33" s="25">
        <v>3440.6850229990964</v>
      </c>
      <c r="Q33" s="25">
        <v>6.516448907195258</v>
      </c>
      <c r="R33" s="20">
        <v>176</v>
      </c>
      <c r="S33" s="25">
        <v>7410.7062033826678</v>
      </c>
      <c r="T33" s="25">
        <v>14.035428415497478</v>
      </c>
      <c r="U33" s="20"/>
      <c r="V33" s="25"/>
      <c r="W33" s="25"/>
      <c r="X33" s="20"/>
      <c r="Y33" s="25"/>
      <c r="Z33" s="25"/>
      <c r="AA33" s="20"/>
      <c r="AB33" s="25"/>
      <c r="AC33" s="25"/>
      <c r="AD33" s="20"/>
      <c r="AE33" s="25"/>
      <c r="AF33" s="25"/>
      <c r="AG33" s="20"/>
      <c r="AH33" s="25"/>
      <c r="AI33" s="25"/>
      <c r="AJ33" s="20"/>
      <c r="AK33" s="25"/>
      <c r="AL33" s="25"/>
      <c r="AM33" s="20"/>
      <c r="AN33" s="25"/>
      <c r="AO33" s="25"/>
      <c r="AP33" s="20"/>
      <c r="AQ33" s="25"/>
      <c r="AR33" s="25"/>
      <c r="AS33" s="20"/>
      <c r="AT33" s="25"/>
      <c r="AU33" s="25"/>
      <c r="AV33" s="20"/>
      <c r="AW33" s="25"/>
      <c r="AX33" s="25"/>
      <c r="AY33" s="20"/>
      <c r="AZ33" s="25"/>
      <c r="BA33" s="25"/>
      <c r="BB33" s="20"/>
      <c r="BC33" s="25"/>
      <c r="BD33" s="25"/>
      <c r="BE33" s="20">
        <v>264</v>
      </c>
      <c r="BF33" s="25">
        <v>12704.06777722743</v>
      </c>
      <c r="BG33" s="25">
        <v>24.060734426567102</v>
      </c>
      <c r="BH33" s="20">
        <v>88</v>
      </c>
      <c r="BI33" s="25">
        <v>6352.0338886137151</v>
      </c>
      <c r="BJ33" s="25">
        <v>12.030367213283551</v>
      </c>
      <c r="BK33" s="20"/>
      <c r="BL33" s="25"/>
      <c r="BM33" s="25"/>
      <c r="BN33" s="20"/>
      <c r="BO33" s="25"/>
      <c r="BP33" s="25"/>
      <c r="BQ33" s="20"/>
      <c r="BR33" s="25"/>
      <c r="BS33" s="25"/>
      <c r="BT33" s="20"/>
      <c r="BU33" s="25"/>
      <c r="BV33" s="25"/>
      <c r="BW33" s="20"/>
      <c r="BX33" s="25"/>
      <c r="BY33" s="25"/>
      <c r="BZ33" s="20"/>
      <c r="CA33" s="25"/>
      <c r="CB33" s="25"/>
      <c r="CC33" s="20"/>
      <c r="CD33" s="25"/>
      <c r="CE33" s="25"/>
      <c r="CF33" s="20"/>
      <c r="CG33" s="25"/>
      <c r="CH33" s="25"/>
      <c r="CI33" s="20"/>
      <c r="CJ33" s="25"/>
      <c r="CK33" s="25"/>
      <c r="CL33" s="20"/>
      <c r="CM33" s="25"/>
      <c r="CN33" s="25"/>
      <c r="CO33" s="20"/>
      <c r="CP33" s="25"/>
      <c r="CQ33" s="25"/>
      <c r="CR33" s="20"/>
      <c r="CS33" s="25"/>
      <c r="CT33" s="25"/>
      <c r="CU33" s="20"/>
      <c r="CV33" s="25"/>
      <c r="CW33" s="25"/>
      <c r="CX33" s="20"/>
      <c r="CY33" s="25"/>
      <c r="CZ33" s="25"/>
      <c r="DA33" s="20"/>
      <c r="DB33" s="25"/>
      <c r="DC33" s="25"/>
      <c r="DD33" s="20"/>
      <c r="DE33" s="25"/>
      <c r="DF33" s="25"/>
      <c r="DG33" s="20"/>
      <c r="DH33" s="25"/>
      <c r="DI33" s="25"/>
      <c r="DJ33" s="20"/>
      <c r="DK33" s="25"/>
      <c r="DL33" s="25"/>
      <c r="DM33" s="20"/>
      <c r="DN33" s="25"/>
      <c r="DO33" s="25"/>
      <c r="DP33" s="20"/>
      <c r="DQ33" s="25"/>
      <c r="DR33" s="25"/>
      <c r="DS33" s="20"/>
      <c r="DT33" s="25"/>
      <c r="DU33" s="25"/>
      <c r="DV33" s="20"/>
      <c r="DW33" s="25"/>
      <c r="DX33" s="25"/>
      <c r="DY33" s="20"/>
      <c r="DZ33" s="25"/>
      <c r="EA33" s="25"/>
      <c r="EB33" s="20"/>
      <c r="EC33" s="25"/>
      <c r="ED33" s="25"/>
      <c r="EE33" s="20"/>
      <c r="EF33" s="25"/>
      <c r="EG33" s="25"/>
      <c r="EH33" s="20"/>
      <c r="EI33" s="25"/>
      <c r="EJ33" s="25"/>
      <c r="EK33" s="20"/>
      <c r="EL33" s="25"/>
      <c r="EM33" s="25"/>
      <c r="EN33" s="20"/>
      <c r="EO33" s="25"/>
      <c r="EP33" s="25"/>
      <c r="EQ33" s="20"/>
      <c r="ER33" s="25"/>
      <c r="ES33" s="25"/>
      <c r="ET33" s="20"/>
      <c r="EU33" s="25"/>
      <c r="EV33" s="25"/>
      <c r="EW33" s="20"/>
      <c r="EX33" s="25"/>
      <c r="EY33" s="25"/>
      <c r="EZ33" s="20"/>
      <c r="FA33" s="25"/>
      <c r="FB33" s="25"/>
      <c r="FC33" s="20"/>
      <c r="FD33" s="25"/>
      <c r="FE33" s="25"/>
      <c r="FF33" s="20"/>
      <c r="FG33" s="25"/>
      <c r="FH33" s="25"/>
      <c r="FI33" s="20"/>
      <c r="FJ33" s="25"/>
      <c r="FK33" s="25"/>
      <c r="FL33" s="20"/>
      <c r="FM33" s="25"/>
      <c r="FN33" s="25"/>
      <c r="FO33" s="20"/>
      <c r="FP33" s="25"/>
      <c r="FQ33" s="25"/>
      <c r="FR33" s="20"/>
      <c r="FS33" s="25"/>
      <c r="FT33" s="25"/>
      <c r="FU33" s="20"/>
      <c r="FV33" s="25"/>
      <c r="FW33" s="25"/>
      <c r="FX33" s="20"/>
      <c r="FY33" s="25"/>
      <c r="FZ33" s="25"/>
      <c r="GA33" s="20"/>
      <c r="GB33" s="25"/>
      <c r="GC33" s="25"/>
      <c r="GD33" s="20"/>
      <c r="GE33" s="25"/>
      <c r="GF33" s="25"/>
      <c r="GG33" s="20"/>
      <c r="GH33" s="25"/>
      <c r="GI33" s="25"/>
      <c r="GJ33" s="20"/>
      <c r="GK33" s="25"/>
      <c r="GL33" s="25"/>
      <c r="GM33" s="20"/>
      <c r="GN33" s="25"/>
      <c r="GO33" s="25"/>
      <c r="GP33" s="20"/>
      <c r="GQ33" s="25"/>
      <c r="GR33" s="25"/>
      <c r="GS33" s="20"/>
      <c r="GT33" s="25"/>
      <c r="GU33" s="25"/>
      <c r="GV33" s="20"/>
      <c r="GW33" s="25"/>
      <c r="GX33" s="25"/>
      <c r="GY33" s="20"/>
      <c r="GZ33" s="25"/>
      <c r="HA33" s="25"/>
      <c r="HB33" s="20"/>
      <c r="HC33" s="25"/>
      <c r="HD33" s="25"/>
      <c r="HE33" s="20"/>
      <c r="HF33" s="25"/>
      <c r="HG33" s="25"/>
      <c r="HH33" s="20"/>
      <c r="HI33" s="25"/>
      <c r="HJ33" s="25"/>
      <c r="HK33" s="20"/>
      <c r="HL33" s="25"/>
      <c r="HM33" s="25"/>
      <c r="HN33" s="20"/>
      <c r="HO33" s="25"/>
      <c r="HP33" s="25"/>
      <c r="HQ33" s="20">
        <v>572</v>
      </c>
      <c r="HR33" s="25">
        <v>29907.492892222908</v>
      </c>
      <c r="HS33" s="25">
        <v>56.642978962543395</v>
      </c>
    </row>
    <row r="34" spans="1:227" ht="14.25">
      <c r="A34" s="169" t="s">
        <v>21</v>
      </c>
      <c r="B34" s="278" t="s">
        <v>1810</v>
      </c>
      <c r="C34" s="171"/>
      <c r="D34" s="311">
        <v>24.95</v>
      </c>
      <c r="E34" s="170" cm="1">
        <f t="array" ref="E34">tabUniformes[[#This Row],[Valor Inicial]]*IFERROR(PRODUCT(1+_xlfn._xlws.FILTER(tabIndices[PERCENTUAL],tabIndices[DATA DA PUBLICAÇÃO]&gt;tabUniformes[[#This Row],[DATA PUBLICAÇÃO]])),1)</f>
        <v>24.95</v>
      </c>
      <c r="F34" s="172">
        <v>26</v>
      </c>
      <c r="G34" s="172" t="s">
        <v>44</v>
      </c>
      <c r="H34" s="172">
        <v>27</v>
      </c>
      <c r="I34" s="173">
        <f>tabUniformes[[#This Row],[Valor Reajustado]]*tabUniformes[[#This Row],[Qtde Anual de Peças]]*tabUniformes[[#This Row],[Qtde. funcionários]]</f>
        <v>17514.899999999998</v>
      </c>
      <c r="J34" s="172">
        <f>tabUniformes[[#This Row],[Qtde Anual de Peças]]*tabUniformes[[#This Row],[Qtde. funcionários]]</f>
        <v>702</v>
      </c>
      <c r="K34" s="170">
        <f>IFERROR(tabUniformes[[#This Row],[Total]]/12/tabUniformes[[#This Row],[Qtde. funcionários]],0)</f>
        <v>54.05833333333333</v>
      </c>
      <c r="M34" t="s">
        <v>67</v>
      </c>
      <c r="N34">
        <v>71</v>
      </c>
      <c r="O34" s="20">
        <v>71</v>
      </c>
      <c r="P34" s="25">
        <v>5552.0144689303597</v>
      </c>
      <c r="Q34" s="25">
        <v>6.516448907195258</v>
      </c>
      <c r="R34" s="20">
        <v>284</v>
      </c>
      <c r="S34" s="25">
        <v>11958.185010003852</v>
      </c>
      <c r="T34" s="25">
        <v>14.035428415497478</v>
      </c>
      <c r="U34" s="20"/>
      <c r="V34" s="25"/>
      <c r="W34" s="25"/>
      <c r="X34" s="20"/>
      <c r="Y34" s="25"/>
      <c r="Z34" s="25"/>
      <c r="AA34" s="20"/>
      <c r="AB34" s="25"/>
      <c r="AC34" s="25"/>
      <c r="AD34" s="20"/>
      <c r="AE34" s="25"/>
      <c r="AF34" s="25"/>
      <c r="AG34" s="20"/>
      <c r="AH34" s="25"/>
      <c r="AI34" s="25"/>
      <c r="AJ34" s="20"/>
      <c r="AK34" s="25"/>
      <c r="AL34" s="25"/>
      <c r="AM34" s="20"/>
      <c r="AN34" s="25"/>
      <c r="AO34" s="25"/>
      <c r="AP34" s="20"/>
      <c r="AQ34" s="25"/>
      <c r="AR34" s="25"/>
      <c r="AS34" s="20"/>
      <c r="AT34" s="25"/>
      <c r="AU34" s="25"/>
      <c r="AV34" s="20"/>
      <c r="AW34" s="25"/>
      <c r="AX34" s="25"/>
      <c r="AY34" s="20"/>
      <c r="AZ34" s="25"/>
      <c r="BA34" s="25"/>
      <c r="BB34" s="20"/>
      <c r="BC34" s="25"/>
      <c r="BD34" s="25"/>
      <c r="BE34" s="20">
        <v>426</v>
      </c>
      <c r="BF34" s="25">
        <v>20499.745731435174</v>
      </c>
      <c r="BG34" s="25">
        <v>24.060734426567105</v>
      </c>
      <c r="BH34" s="20">
        <v>142</v>
      </c>
      <c r="BI34" s="25">
        <v>10249.872865717587</v>
      </c>
      <c r="BJ34" s="25">
        <v>12.030367213283553</v>
      </c>
      <c r="BK34" s="20"/>
      <c r="BL34" s="25"/>
      <c r="BM34" s="25"/>
      <c r="BN34" s="20"/>
      <c r="BO34" s="25"/>
      <c r="BP34" s="25"/>
      <c r="BQ34" s="20"/>
      <c r="BR34" s="25"/>
      <c r="BS34" s="25"/>
      <c r="BT34" s="20"/>
      <c r="BU34" s="25"/>
      <c r="BV34" s="25"/>
      <c r="BW34" s="20"/>
      <c r="BX34" s="25"/>
      <c r="BY34" s="25"/>
      <c r="BZ34" s="20"/>
      <c r="CA34" s="25"/>
      <c r="CB34" s="25"/>
      <c r="CC34" s="20"/>
      <c r="CD34" s="25"/>
      <c r="CE34" s="25"/>
      <c r="CF34" s="20"/>
      <c r="CG34" s="25"/>
      <c r="CH34" s="25"/>
      <c r="CI34" s="20"/>
      <c r="CJ34" s="25"/>
      <c r="CK34" s="25"/>
      <c r="CL34" s="20"/>
      <c r="CM34" s="25"/>
      <c r="CN34" s="25"/>
      <c r="CO34" s="20"/>
      <c r="CP34" s="25"/>
      <c r="CQ34" s="25"/>
      <c r="CR34" s="20"/>
      <c r="CS34" s="25"/>
      <c r="CT34" s="25"/>
      <c r="CU34" s="20"/>
      <c r="CV34" s="25"/>
      <c r="CW34" s="25"/>
      <c r="CX34" s="20"/>
      <c r="CY34" s="25"/>
      <c r="CZ34" s="25"/>
      <c r="DA34" s="20"/>
      <c r="DB34" s="25"/>
      <c r="DC34" s="25"/>
      <c r="DD34" s="20"/>
      <c r="DE34" s="25"/>
      <c r="DF34" s="25"/>
      <c r="DG34" s="20"/>
      <c r="DH34" s="25"/>
      <c r="DI34" s="25"/>
      <c r="DJ34" s="20"/>
      <c r="DK34" s="25"/>
      <c r="DL34" s="25"/>
      <c r="DM34" s="20"/>
      <c r="DN34" s="25"/>
      <c r="DO34" s="25"/>
      <c r="DP34" s="20"/>
      <c r="DQ34" s="25"/>
      <c r="DR34" s="25"/>
      <c r="DS34" s="20"/>
      <c r="DT34" s="25"/>
      <c r="DU34" s="25"/>
      <c r="DV34" s="20"/>
      <c r="DW34" s="25"/>
      <c r="DX34" s="25"/>
      <c r="DY34" s="20"/>
      <c r="DZ34" s="25"/>
      <c r="EA34" s="25"/>
      <c r="EB34" s="20"/>
      <c r="EC34" s="25"/>
      <c r="ED34" s="25"/>
      <c r="EE34" s="20"/>
      <c r="EF34" s="25"/>
      <c r="EG34" s="25"/>
      <c r="EH34" s="20"/>
      <c r="EI34" s="25"/>
      <c r="EJ34" s="25"/>
      <c r="EK34" s="20"/>
      <c r="EL34" s="25"/>
      <c r="EM34" s="25"/>
      <c r="EN34" s="20"/>
      <c r="EO34" s="25"/>
      <c r="EP34" s="25"/>
      <c r="EQ34" s="20"/>
      <c r="ER34" s="25"/>
      <c r="ES34" s="25"/>
      <c r="ET34" s="20"/>
      <c r="EU34" s="25"/>
      <c r="EV34" s="25"/>
      <c r="EW34" s="20"/>
      <c r="EX34" s="25"/>
      <c r="EY34" s="25"/>
      <c r="EZ34" s="20"/>
      <c r="FA34" s="25"/>
      <c r="FB34" s="25"/>
      <c r="FC34" s="20"/>
      <c r="FD34" s="25"/>
      <c r="FE34" s="25"/>
      <c r="FF34" s="20"/>
      <c r="FG34" s="25"/>
      <c r="FH34" s="25"/>
      <c r="FI34" s="20"/>
      <c r="FJ34" s="25"/>
      <c r="FK34" s="25"/>
      <c r="FL34" s="20"/>
      <c r="FM34" s="25"/>
      <c r="FN34" s="25"/>
      <c r="FO34" s="20"/>
      <c r="FP34" s="25"/>
      <c r="FQ34" s="25"/>
      <c r="FR34" s="20"/>
      <c r="FS34" s="25"/>
      <c r="FT34" s="25"/>
      <c r="FU34" s="20"/>
      <c r="FV34" s="25"/>
      <c r="FW34" s="25"/>
      <c r="FX34" s="20"/>
      <c r="FY34" s="25"/>
      <c r="FZ34" s="25"/>
      <c r="GA34" s="20"/>
      <c r="GB34" s="25"/>
      <c r="GC34" s="25"/>
      <c r="GD34" s="20"/>
      <c r="GE34" s="25"/>
      <c r="GF34" s="25"/>
      <c r="GG34" s="20"/>
      <c r="GH34" s="25"/>
      <c r="GI34" s="25"/>
      <c r="GJ34" s="20"/>
      <c r="GK34" s="25"/>
      <c r="GL34" s="25"/>
      <c r="GM34" s="20"/>
      <c r="GN34" s="25"/>
      <c r="GO34" s="25"/>
      <c r="GP34" s="20"/>
      <c r="GQ34" s="25"/>
      <c r="GR34" s="25"/>
      <c r="GS34" s="20"/>
      <c r="GT34" s="25"/>
      <c r="GU34" s="25"/>
      <c r="GV34" s="20"/>
      <c r="GW34" s="25"/>
      <c r="GX34" s="25"/>
      <c r="GY34" s="20"/>
      <c r="GZ34" s="25"/>
      <c r="HA34" s="25"/>
      <c r="HB34" s="20"/>
      <c r="HC34" s="25"/>
      <c r="HD34" s="25"/>
      <c r="HE34" s="20"/>
      <c r="HF34" s="25"/>
      <c r="HG34" s="25"/>
      <c r="HH34" s="20"/>
      <c r="HI34" s="25"/>
      <c r="HJ34" s="25"/>
      <c r="HK34" s="20"/>
      <c r="HL34" s="25"/>
      <c r="HM34" s="25"/>
      <c r="HN34" s="20"/>
      <c r="HO34" s="25"/>
      <c r="HP34" s="25"/>
      <c r="HQ34" s="20">
        <v>923</v>
      </c>
      <c r="HR34" s="25">
        <v>48259.81807608698</v>
      </c>
      <c r="HS34" s="25">
        <v>56.642978962543395</v>
      </c>
    </row>
    <row r="35" spans="1:227" ht="14.25">
      <c r="A35" s="169" t="s">
        <v>1863</v>
      </c>
      <c r="B35" s="278" t="s">
        <v>1811</v>
      </c>
      <c r="C35" s="171"/>
      <c r="D35" s="311">
        <v>0.91</v>
      </c>
      <c r="E35" s="170" cm="1">
        <f t="array" ref="E35">tabUniformes[[#This Row],[Valor Inicial]]*IFERROR(PRODUCT(1+_xlfn._xlws.FILTER(tabIndices[PERCENTUAL],tabIndices[DATA DA PUBLICAÇÃO]&gt;tabUniformes[[#This Row],[DATA PUBLICAÇÃO]])),1)</f>
        <v>0.91</v>
      </c>
      <c r="F35" s="172">
        <v>26</v>
      </c>
      <c r="G35" s="172" t="s">
        <v>44</v>
      </c>
      <c r="H35" s="172">
        <v>27</v>
      </c>
      <c r="I35" s="173">
        <f>tabUniformes[[#This Row],[Valor Reajustado]]*tabUniformes[[#This Row],[Qtde Anual de Peças]]*tabUniformes[[#This Row],[Qtde. funcionários]]</f>
        <v>638.82000000000005</v>
      </c>
      <c r="J35" s="172">
        <f>tabUniformes[[#This Row],[Qtde Anual de Peças]]*tabUniformes[[#This Row],[Qtde. funcionários]]</f>
        <v>702</v>
      </c>
      <c r="K35" s="170">
        <f>IFERROR(tabUniformes[[#This Row],[Total]]/12/tabUniformes[[#This Row],[Qtde. funcionários]],0)</f>
        <v>1.9716666666666669</v>
      </c>
      <c r="M35" t="s">
        <v>68</v>
      </c>
      <c r="N35">
        <v>26</v>
      </c>
      <c r="O35" s="20">
        <v>26</v>
      </c>
      <c r="P35" s="25">
        <v>2033.1320590449204</v>
      </c>
      <c r="Q35" s="25">
        <v>6.516448907195258</v>
      </c>
      <c r="R35" s="20">
        <v>104</v>
      </c>
      <c r="S35" s="25">
        <v>4379.0536656352133</v>
      </c>
      <c r="T35" s="25">
        <v>14.035428415497478</v>
      </c>
      <c r="U35" s="20"/>
      <c r="V35" s="25"/>
      <c r="W35" s="25"/>
      <c r="X35" s="20"/>
      <c r="Y35" s="25"/>
      <c r="Z35" s="25"/>
      <c r="AA35" s="20"/>
      <c r="AB35" s="25"/>
      <c r="AC35" s="25"/>
      <c r="AD35" s="20"/>
      <c r="AE35" s="25"/>
      <c r="AF35" s="25"/>
      <c r="AG35" s="20"/>
      <c r="AH35" s="25"/>
      <c r="AI35" s="25"/>
      <c r="AJ35" s="20"/>
      <c r="AK35" s="25"/>
      <c r="AL35" s="25"/>
      <c r="AM35" s="20"/>
      <c r="AN35" s="25"/>
      <c r="AO35" s="25"/>
      <c r="AP35" s="20"/>
      <c r="AQ35" s="25"/>
      <c r="AR35" s="25"/>
      <c r="AS35" s="20"/>
      <c r="AT35" s="25"/>
      <c r="AU35" s="25"/>
      <c r="AV35" s="20"/>
      <c r="AW35" s="25"/>
      <c r="AX35" s="25"/>
      <c r="AY35" s="20"/>
      <c r="AZ35" s="25"/>
      <c r="BA35" s="25"/>
      <c r="BB35" s="20"/>
      <c r="BC35" s="25"/>
      <c r="BD35" s="25"/>
      <c r="BE35" s="20">
        <v>156</v>
      </c>
      <c r="BF35" s="25">
        <v>7506.9491410889368</v>
      </c>
      <c r="BG35" s="25">
        <v>24.060734426567105</v>
      </c>
      <c r="BH35" s="20">
        <v>52</v>
      </c>
      <c r="BI35" s="25">
        <v>3753.4745705444684</v>
      </c>
      <c r="BJ35" s="25">
        <v>12.030367213283553</v>
      </c>
      <c r="BK35" s="20"/>
      <c r="BL35" s="25"/>
      <c r="BM35" s="25"/>
      <c r="BN35" s="20"/>
      <c r="BO35" s="25"/>
      <c r="BP35" s="25"/>
      <c r="BQ35" s="20"/>
      <c r="BR35" s="25"/>
      <c r="BS35" s="25"/>
      <c r="BT35" s="20"/>
      <c r="BU35" s="25"/>
      <c r="BV35" s="25"/>
      <c r="BW35" s="20"/>
      <c r="BX35" s="25"/>
      <c r="BY35" s="25"/>
      <c r="BZ35" s="20"/>
      <c r="CA35" s="25"/>
      <c r="CB35" s="25"/>
      <c r="CC35" s="20"/>
      <c r="CD35" s="25"/>
      <c r="CE35" s="25"/>
      <c r="CF35" s="20"/>
      <c r="CG35" s="25"/>
      <c r="CH35" s="25"/>
      <c r="CI35" s="20"/>
      <c r="CJ35" s="25"/>
      <c r="CK35" s="25"/>
      <c r="CL35" s="20"/>
      <c r="CM35" s="25"/>
      <c r="CN35" s="25"/>
      <c r="CO35" s="20"/>
      <c r="CP35" s="25"/>
      <c r="CQ35" s="25"/>
      <c r="CR35" s="20"/>
      <c r="CS35" s="25"/>
      <c r="CT35" s="25"/>
      <c r="CU35" s="20"/>
      <c r="CV35" s="25"/>
      <c r="CW35" s="25"/>
      <c r="CX35" s="20"/>
      <c r="CY35" s="25"/>
      <c r="CZ35" s="25"/>
      <c r="DA35" s="20"/>
      <c r="DB35" s="25"/>
      <c r="DC35" s="25"/>
      <c r="DD35" s="20"/>
      <c r="DE35" s="25"/>
      <c r="DF35" s="25"/>
      <c r="DG35" s="20"/>
      <c r="DH35" s="25"/>
      <c r="DI35" s="25"/>
      <c r="DJ35" s="20"/>
      <c r="DK35" s="25"/>
      <c r="DL35" s="25"/>
      <c r="DM35" s="20"/>
      <c r="DN35" s="25"/>
      <c r="DO35" s="25"/>
      <c r="DP35" s="20"/>
      <c r="DQ35" s="25"/>
      <c r="DR35" s="25"/>
      <c r="DS35" s="20"/>
      <c r="DT35" s="25"/>
      <c r="DU35" s="25"/>
      <c r="DV35" s="20"/>
      <c r="DW35" s="25"/>
      <c r="DX35" s="25"/>
      <c r="DY35" s="20"/>
      <c r="DZ35" s="25"/>
      <c r="EA35" s="25"/>
      <c r="EB35" s="20"/>
      <c r="EC35" s="25"/>
      <c r="ED35" s="25"/>
      <c r="EE35" s="20"/>
      <c r="EF35" s="25"/>
      <c r="EG35" s="25"/>
      <c r="EH35" s="20"/>
      <c r="EI35" s="25"/>
      <c r="EJ35" s="25"/>
      <c r="EK35" s="20"/>
      <c r="EL35" s="25"/>
      <c r="EM35" s="25"/>
      <c r="EN35" s="20"/>
      <c r="EO35" s="25"/>
      <c r="EP35" s="25"/>
      <c r="EQ35" s="20"/>
      <c r="ER35" s="25"/>
      <c r="ES35" s="25"/>
      <c r="ET35" s="20"/>
      <c r="EU35" s="25"/>
      <c r="EV35" s="25"/>
      <c r="EW35" s="20"/>
      <c r="EX35" s="25"/>
      <c r="EY35" s="25"/>
      <c r="EZ35" s="20"/>
      <c r="FA35" s="25"/>
      <c r="FB35" s="25"/>
      <c r="FC35" s="20"/>
      <c r="FD35" s="25"/>
      <c r="FE35" s="25"/>
      <c r="FF35" s="20"/>
      <c r="FG35" s="25"/>
      <c r="FH35" s="25"/>
      <c r="FI35" s="20"/>
      <c r="FJ35" s="25"/>
      <c r="FK35" s="25"/>
      <c r="FL35" s="20"/>
      <c r="FM35" s="25"/>
      <c r="FN35" s="25"/>
      <c r="FO35" s="20"/>
      <c r="FP35" s="25"/>
      <c r="FQ35" s="25"/>
      <c r="FR35" s="20"/>
      <c r="FS35" s="25"/>
      <c r="FT35" s="25"/>
      <c r="FU35" s="20"/>
      <c r="FV35" s="25"/>
      <c r="FW35" s="25"/>
      <c r="FX35" s="20"/>
      <c r="FY35" s="25"/>
      <c r="FZ35" s="25"/>
      <c r="GA35" s="20"/>
      <c r="GB35" s="25"/>
      <c r="GC35" s="25"/>
      <c r="GD35" s="20"/>
      <c r="GE35" s="25"/>
      <c r="GF35" s="25"/>
      <c r="GG35" s="20"/>
      <c r="GH35" s="25"/>
      <c r="GI35" s="25"/>
      <c r="GJ35" s="20"/>
      <c r="GK35" s="25"/>
      <c r="GL35" s="25"/>
      <c r="GM35" s="20"/>
      <c r="GN35" s="25"/>
      <c r="GO35" s="25"/>
      <c r="GP35" s="20"/>
      <c r="GQ35" s="25"/>
      <c r="GR35" s="25"/>
      <c r="GS35" s="20"/>
      <c r="GT35" s="25"/>
      <c r="GU35" s="25"/>
      <c r="GV35" s="20"/>
      <c r="GW35" s="25"/>
      <c r="GX35" s="25"/>
      <c r="GY35" s="20"/>
      <c r="GZ35" s="25"/>
      <c r="HA35" s="25"/>
      <c r="HB35" s="20"/>
      <c r="HC35" s="25"/>
      <c r="HD35" s="25"/>
      <c r="HE35" s="20"/>
      <c r="HF35" s="25"/>
      <c r="HG35" s="25"/>
      <c r="HH35" s="20"/>
      <c r="HI35" s="25"/>
      <c r="HJ35" s="25"/>
      <c r="HK35" s="20"/>
      <c r="HL35" s="25"/>
      <c r="HM35" s="25"/>
      <c r="HN35" s="20"/>
      <c r="HO35" s="25"/>
      <c r="HP35" s="25"/>
      <c r="HQ35" s="20">
        <v>338</v>
      </c>
      <c r="HR35" s="25">
        <v>17672.609436313538</v>
      </c>
      <c r="HS35" s="25">
        <v>56.642978962543395</v>
      </c>
    </row>
    <row r="36" spans="1:227" ht="14.25">
      <c r="A36" s="169" t="s">
        <v>17</v>
      </c>
      <c r="B36" s="278" t="s">
        <v>1808</v>
      </c>
      <c r="C36" s="171"/>
      <c r="D36" s="311">
        <v>280.04000000000002</v>
      </c>
      <c r="E36" s="170" cm="1">
        <f t="array" ref="E36">tabUniformes[[#This Row],[Valor Inicial]]*IFERROR(PRODUCT(1+_xlfn._xlws.FILTER(tabIndices[PERCENTUAL],tabIndices[DATA DA PUBLICAÇÃO]&gt;tabUniformes[[#This Row],[DATA PUBLICAÇÃO]])),1)</f>
        <v>280.04000000000002</v>
      </c>
      <c r="F36" s="172">
        <v>2</v>
      </c>
      <c r="G36" s="172" t="s">
        <v>45</v>
      </c>
      <c r="H36" s="172">
        <v>3</v>
      </c>
      <c r="I36" s="173">
        <f>tabUniformes[[#This Row],[Valor Reajustado]]*tabUniformes[[#This Row],[Qtde Anual de Peças]]*tabUniformes[[#This Row],[Qtde. funcionários]]</f>
        <v>1680.2400000000002</v>
      </c>
      <c r="J36" s="172">
        <f>tabUniformes[[#This Row],[Qtde Anual de Peças]]*tabUniformes[[#This Row],[Qtde. funcionários]]</f>
        <v>6</v>
      </c>
      <c r="K36" s="170">
        <f>IFERROR(tabUniformes[[#This Row],[Total]]/12/tabUniformes[[#This Row],[Qtde. funcionários]],0)</f>
        <v>46.673333333333339</v>
      </c>
      <c r="M36" t="s">
        <v>69</v>
      </c>
      <c r="N36">
        <v>223</v>
      </c>
      <c r="O36" s="20">
        <v>223</v>
      </c>
      <c r="P36" s="25">
        <v>17438.017275654511</v>
      </c>
      <c r="Q36" s="25">
        <v>6.516448907195258</v>
      </c>
      <c r="R36" s="20">
        <v>892</v>
      </c>
      <c r="S36" s="25">
        <v>37558.806439871252</v>
      </c>
      <c r="T36" s="25">
        <v>14.035428415497478</v>
      </c>
      <c r="U36" s="20"/>
      <c r="V36" s="25"/>
      <c r="W36" s="25"/>
      <c r="X36" s="20"/>
      <c r="Y36" s="25"/>
      <c r="Z36" s="25"/>
      <c r="AA36" s="20"/>
      <c r="AB36" s="25"/>
      <c r="AC36" s="25"/>
      <c r="AD36" s="20"/>
      <c r="AE36" s="25"/>
      <c r="AF36" s="25"/>
      <c r="AG36" s="20"/>
      <c r="AH36" s="25"/>
      <c r="AI36" s="25"/>
      <c r="AJ36" s="20"/>
      <c r="AK36" s="25"/>
      <c r="AL36" s="25"/>
      <c r="AM36" s="20"/>
      <c r="AN36" s="25"/>
      <c r="AO36" s="25"/>
      <c r="AP36" s="20"/>
      <c r="AQ36" s="25"/>
      <c r="AR36" s="25"/>
      <c r="AS36" s="20"/>
      <c r="AT36" s="25"/>
      <c r="AU36" s="25"/>
      <c r="AV36" s="20"/>
      <c r="AW36" s="25"/>
      <c r="AX36" s="25"/>
      <c r="AY36" s="20"/>
      <c r="AZ36" s="25"/>
      <c r="BA36" s="25"/>
      <c r="BB36" s="20"/>
      <c r="BC36" s="25"/>
      <c r="BD36" s="25"/>
      <c r="BE36" s="20">
        <v>1338</v>
      </c>
      <c r="BF36" s="25">
        <v>64386.525325493567</v>
      </c>
      <c r="BG36" s="25">
        <v>24.060734426567105</v>
      </c>
      <c r="BH36" s="20">
        <v>446</v>
      </c>
      <c r="BI36" s="25">
        <v>32193.262662746783</v>
      </c>
      <c r="BJ36" s="25">
        <v>12.030367213283553</v>
      </c>
      <c r="BK36" s="20"/>
      <c r="BL36" s="25"/>
      <c r="BM36" s="25"/>
      <c r="BN36" s="20"/>
      <c r="BO36" s="25"/>
      <c r="BP36" s="25"/>
      <c r="BQ36" s="20"/>
      <c r="BR36" s="25"/>
      <c r="BS36" s="25"/>
      <c r="BT36" s="20"/>
      <c r="BU36" s="25"/>
      <c r="BV36" s="25"/>
      <c r="BW36" s="20"/>
      <c r="BX36" s="25"/>
      <c r="BY36" s="25"/>
      <c r="BZ36" s="20"/>
      <c r="CA36" s="25"/>
      <c r="CB36" s="25"/>
      <c r="CC36" s="20"/>
      <c r="CD36" s="25"/>
      <c r="CE36" s="25"/>
      <c r="CF36" s="20"/>
      <c r="CG36" s="25"/>
      <c r="CH36" s="25"/>
      <c r="CI36" s="20"/>
      <c r="CJ36" s="25"/>
      <c r="CK36" s="25"/>
      <c r="CL36" s="20"/>
      <c r="CM36" s="25"/>
      <c r="CN36" s="25"/>
      <c r="CO36" s="20"/>
      <c r="CP36" s="25"/>
      <c r="CQ36" s="25"/>
      <c r="CR36" s="20"/>
      <c r="CS36" s="25"/>
      <c r="CT36" s="25"/>
      <c r="CU36" s="20"/>
      <c r="CV36" s="25"/>
      <c r="CW36" s="25"/>
      <c r="CX36" s="20"/>
      <c r="CY36" s="25"/>
      <c r="CZ36" s="25"/>
      <c r="DA36" s="20"/>
      <c r="DB36" s="25"/>
      <c r="DC36" s="25"/>
      <c r="DD36" s="20"/>
      <c r="DE36" s="25"/>
      <c r="DF36" s="25"/>
      <c r="DG36" s="20"/>
      <c r="DH36" s="25"/>
      <c r="DI36" s="25"/>
      <c r="DJ36" s="20"/>
      <c r="DK36" s="25"/>
      <c r="DL36" s="25"/>
      <c r="DM36" s="20"/>
      <c r="DN36" s="25"/>
      <c r="DO36" s="25"/>
      <c r="DP36" s="20"/>
      <c r="DQ36" s="25"/>
      <c r="DR36" s="25"/>
      <c r="DS36" s="20"/>
      <c r="DT36" s="25"/>
      <c r="DU36" s="25"/>
      <c r="DV36" s="20"/>
      <c r="DW36" s="25"/>
      <c r="DX36" s="25"/>
      <c r="DY36" s="20"/>
      <c r="DZ36" s="25"/>
      <c r="EA36" s="25"/>
      <c r="EB36" s="20"/>
      <c r="EC36" s="25"/>
      <c r="ED36" s="25"/>
      <c r="EE36" s="20"/>
      <c r="EF36" s="25"/>
      <c r="EG36" s="25"/>
      <c r="EH36" s="20"/>
      <c r="EI36" s="25"/>
      <c r="EJ36" s="25"/>
      <c r="EK36" s="20"/>
      <c r="EL36" s="25"/>
      <c r="EM36" s="25"/>
      <c r="EN36" s="20"/>
      <c r="EO36" s="25"/>
      <c r="EP36" s="25"/>
      <c r="EQ36" s="20"/>
      <c r="ER36" s="25"/>
      <c r="ES36" s="25"/>
      <c r="ET36" s="20"/>
      <c r="EU36" s="25"/>
      <c r="EV36" s="25"/>
      <c r="EW36" s="20"/>
      <c r="EX36" s="25"/>
      <c r="EY36" s="25"/>
      <c r="EZ36" s="20"/>
      <c r="FA36" s="25"/>
      <c r="FB36" s="25"/>
      <c r="FC36" s="20"/>
      <c r="FD36" s="25"/>
      <c r="FE36" s="25"/>
      <c r="FF36" s="20"/>
      <c r="FG36" s="25"/>
      <c r="FH36" s="25"/>
      <c r="FI36" s="20"/>
      <c r="FJ36" s="25"/>
      <c r="FK36" s="25"/>
      <c r="FL36" s="20"/>
      <c r="FM36" s="25"/>
      <c r="FN36" s="25"/>
      <c r="FO36" s="20"/>
      <c r="FP36" s="25"/>
      <c r="FQ36" s="25"/>
      <c r="FR36" s="20"/>
      <c r="FS36" s="25"/>
      <c r="FT36" s="25"/>
      <c r="FU36" s="20"/>
      <c r="FV36" s="25"/>
      <c r="FW36" s="25"/>
      <c r="FX36" s="20"/>
      <c r="FY36" s="25"/>
      <c r="FZ36" s="25"/>
      <c r="GA36" s="20"/>
      <c r="GB36" s="25"/>
      <c r="GC36" s="25"/>
      <c r="GD36" s="20"/>
      <c r="GE36" s="25"/>
      <c r="GF36" s="25"/>
      <c r="GG36" s="20"/>
      <c r="GH36" s="25"/>
      <c r="GI36" s="25"/>
      <c r="GJ36" s="20"/>
      <c r="GK36" s="25"/>
      <c r="GL36" s="25"/>
      <c r="GM36" s="20"/>
      <c r="GN36" s="25"/>
      <c r="GO36" s="25"/>
      <c r="GP36" s="20"/>
      <c r="GQ36" s="25"/>
      <c r="GR36" s="25"/>
      <c r="GS36" s="20"/>
      <c r="GT36" s="25"/>
      <c r="GU36" s="25"/>
      <c r="GV36" s="20"/>
      <c r="GW36" s="25"/>
      <c r="GX36" s="25"/>
      <c r="GY36" s="20"/>
      <c r="GZ36" s="25"/>
      <c r="HA36" s="25"/>
      <c r="HB36" s="20"/>
      <c r="HC36" s="25"/>
      <c r="HD36" s="25"/>
      <c r="HE36" s="20"/>
      <c r="HF36" s="25"/>
      <c r="HG36" s="25"/>
      <c r="HH36" s="20"/>
      <c r="HI36" s="25"/>
      <c r="HJ36" s="25"/>
      <c r="HK36" s="20"/>
      <c r="HL36" s="25"/>
      <c r="HM36" s="25"/>
      <c r="HN36" s="20"/>
      <c r="HO36" s="25"/>
      <c r="HP36" s="25"/>
      <c r="HQ36" s="20">
        <v>2899</v>
      </c>
      <c r="HR36" s="25">
        <v>151576.6117037661</v>
      </c>
      <c r="HS36" s="25">
        <v>56.642978962543395</v>
      </c>
    </row>
    <row r="37" spans="1:227" ht="14.25">
      <c r="A37" s="169" t="s">
        <v>11</v>
      </c>
      <c r="B37" s="278" t="s">
        <v>30</v>
      </c>
      <c r="C37" s="171"/>
      <c r="D37" s="311">
        <v>94.82</v>
      </c>
      <c r="E37" s="170" cm="1">
        <f t="array" ref="E37">tabUniformes[[#This Row],[Valor Inicial]]*IFERROR(PRODUCT(1+_xlfn._xlws.FILTER(tabIndices[PERCENTUAL],tabIndices[DATA DA PUBLICAÇÃO]&gt;tabUniformes[[#This Row],[DATA PUBLICAÇÃO]])),1)</f>
        <v>94.82</v>
      </c>
      <c r="F37" s="172">
        <v>4</v>
      </c>
      <c r="G37" s="172" t="s">
        <v>45</v>
      </c>
      <c r="H37" s="172">
        <v>3</v>
      </c>
      <c r="I37" s="173">
        <v>649.63982951731191</v>
      </c>
      <c r="J37" s="172">
        <v>12</v>
      </c>
      <c r="K37" s="170">
        <v>18.045550819925332</v>
      </c>
      <c r="M37" t="s">
        <v>70</v>
      </c>
      <c r="N37">
        <v>4</v>
      </c>
      <c r="O37" s="20"/>
      <c r="P37" s="25"/>
      <c r="Q37" s="25"/>
      <c r="R37" s="20"/>
      <c r="S37" s="25"/>
      <c r="T37" s="25"/>
      <c r="U37" s="20"/>
      <c r="V37" s="25"/>
      <c r="W37" s="25"/>
      <c r="X37" s="20">
        <v>16</v>
      </c>
      <c r="Y37" s="25">
        <v>866.1864393564158</v>
      </c>
      <c r="Z37" s="25">
        <v>18.045550819925328</v>
      </c>
      <c r="AA37" s="20"/>
      <c r="AB37" s="25"/>
      <c r="AC37" s="25"/>
      <c r="AD37" s="20">
        <v>24</v>
      </c>
      <c r="AE37" s="25">
        <v>1010.5508459158184</v>
      </c>
      <c r="AF37" s="25">
        <v>21.053142623246217</v>
      </c>
      <c r="AG37" s="20">
        <v>4</v>
      </c>
      <c r="AH37" s="25">
        <v>240.60734426567106</v>
      </c>
      <c r="AI37" s="25">
        <v>5.0126530055348137</v>
      </c>
      <c r="AJ37" s="20"/>
      <c r="AK37" s="25"/>
      <c r="AL37" s="25"/>
      <c r="AM37" s="20"/>
      <c r="AN37" s="25"/>
      <c r="AO37" s="25"/>
      <c r="AP37" s="20"/>
      <c r="AQ37" s="25"/>
      <c r="AR37" s="25"/>
      <c r="AS37" s="20"/>
      <c r="AT37" s="25"/>
      <c r="AU37" s="25"/>
      <c r="AV37" s="20"/>
      <c r="AW37" s="25"/>
      <c r="AX37" s="25"/>
      <c r="AY37" s="20"/>
      <c r="AZ37" s="25"/>
      <c r="BA37" s="25"/>
      <c r="BB37" s="20"/>
      <c r="BC37" s="25"/>
      <c r="BD37" s="25"/>
      <c r="BE37" s="20"/>
      <c r="BF37" s="25"/>
      <c r="BG37" s="25"/>
      <c r="BH37" s="20"/>
      <c r="BI37" s="25"/>
      <c r="BJ37" s="25"/>
      <c r="BK37" s="20"/>
      <c r="BL37" s="25"/>
      <c r="BM37" s="25"/>
      <c r="BN37" s="20"/>
      <c r="BO37" s="25"/>
      <c r="BP37" s="25"/>
      <c r="BQ37" s="20"/>
      <c r="BR37" s="25"/>
      <c r="BS37" s="25"/>
      <c r="BT37" s="20"/>
      <c r="BU37" s="25"/>
      <c r="BV37" s="25"/>
      <c r="BW37" s="20"/>
      <c r="BX37" s="25"/>
      <c r="BY37" s="25"/>
      <c r="BZ37" s="20"/>
      <c r="CA37" s="25"/>
      <c r="CB37" s="25"/>
      <c r="CC37" s="20">
        <v>8</v>
      </c>
      <c r="CD37" s="25">
        <v>2240.3200000000002</v>
      </c>
      <c r="CE37" s="25">
        <v>46.673333333333339</v>
      </c>
      <c r="CF37" s="20"/>
      <c r="CG37" s="25"/>
      <c r="CH37" s="25"/>
      <c r="CI37" s="20"/>
      <c r="CJ37" s="25"/>
      <c r="CK37" s="25"/>
      <c r="CL37" s="20"/>
      <c r="CM37" s="25"/>
      <c r="CN37" s="25"/>
      <c r="CO37" s="20"/>
      <c r="CP37" s="25"/>
      <c r="CQ37" s="25"/>
      <c r="CR37" s="20"/>
      <c r="CS37" s="25"/>
      <c r="CT37" s="25"/>
      <c r="CU37" s="20"/>
      <c r="CV37" s="25"/>
      <c r="CW37" s="25"/>
      <c r="CX37" s="20"/>
      <c r="CY37" s="25"/>
      <c r="CZ37" s="25"/>
      <c r="DA37" s="20"/>
      <c r="DB37" s="25"/>
      <c r="DC37" s="25"/>
      <c r="DD37" s="20"/>
      <c r="DE37" s="25"/>
      <c r="DF37" s="25"/>
      <c r="DG37" s="20"/>
      <c r="DH37" s="25"/>
      <c r="DI37" s="25"/>
      <c r="DJ37" s="20"/>
      <c r="DK37" s="25"/>
      <c r="DL37" s="25"/>
      <c r="DM37" s="20"/>
      <c r="DN37" s="25"/>
      <c r="DO37" s="25"/>
      <c r="DP37" s="20"/>
      <c r="DQ37" s="25"/>
      <c r="DR37" s="25"/>
      <c r="DS37" s="20"/>
      <c r="DT37" s="25"/>
      <c r="DU37" s="25"/>
      <c r="DV37" s="20"/>
      <c r="DW37" s="25"/>
      <c r="DX37" s="25"/>
      <c r="DY37" s="20"/>
      <c r="DZ37" s="25"/>
      <c r="EA37" s="25"/>
      <c r="EB37" s="20"/>
      <c r="EC37" s="25"/>
      <c r="ED37" s="25"/>
      <c r="EE37" s="20"/>
      <c r="EF37" s="25"/>
      <c r="EG37" s="25"/>
      <c r="EH37" s="20"/>
      <c r="EI37" s="25"/>
      <c r="EJ37" s="25"/>
      <c r="EK37" s="20"/>
      <c r="EL37" s="25"/>
      <c r="EM37" s="25"/>
      <c r="EN37" s="20"/>
      <c r="EO37" s="25"/>
      <c r="EP37" s="25"/>
      <c r="EQ37" s="20"/>
      <c r="ER37" s="25"/>
      <c r="ES37" s="25"/>
      <c r="ET37" s="20"/>
      <c r="EU37" s="25"/>
      <c r="EV37" s="25"/>
      <c r="EW37" s="20"/>
      <c r="EX37" s="25"/>
      <c r="EY37" s="25"/>
      <c r="EZ37" s="20"/>
      <c r="FA37" s="25"/>
      <c r="FB37" s="25"/>
      <c r="FC37" s="20"/>
      <c r="FD37" s="25"/>
      <c r="FE37" s="25"/>
      <c r="FF37" s="20"/>
      <c r="FG37" s="25"/>
      <c r="FH37" s="25"/>
      <c r="FI37" s="20"/>
      <c r="FJ37" s="25"/>
      <c r="FK37" s="25"/>
      <c r="FL37" s="20"/>
      <c r="FM37" s="25"/>
      <c r="FN37" s="25"/>
      <c r="FO37" s="20"/>
      <c r="FP37" s="25"/>
      <c r="FQ37" s="25"/>
      <c r="FR37" s="20"/>
      <c r="FS37" s="25"/>
      <c r="FT37" s="25"/>
      <c r="FU37" s="20"/>
      <c r="FV37" s="25"/>
      <c r="FW37" s="25"/>
      <c r="FX37" s="20"/>
      <c r="FY37" s="25"/>
      <c r="FZ37" s="25"/>
      <c r="GA37" s="20"/>
      <c r="GB37" s="25"/>
      <c r="GC37" s="25"/>
      <c r="GD37" s="20"/>
      <c r="GE37" s="25"/>
      <c r="GF37" s="25"/>
      <c r="GG37" s="20"/>
      <c r="GH37" s="25"/>
      <c r="GI37" s="25"/>
      <c r="GJ37" s="20"/>
      <c r="GK37" s="25"/>
      <c r="GL37" s="25"/>
      <c r="GM37" s="20"/>
      <c r="GN37" s="25"/>
      <c r="GO37" s="25"/>
      <c r="GP37" s="20"/>
      <c r="GQ37" s="25"/>
      <c r="GR37" s="25"/>
      <c r="GS37" s="20"/>
      <c r="GT37" s="25"/>
      <c r="GU37" s="25"/>
      <c r="GV37" s="20"/>
      <c r="GW37" s="25"/>
      <c r="GX37" s="25"/>
      <c r="GY37" s="20"/>
      <c r="GZ37" s="25"/>
      <c r="HA37" s="25"/>
      <c r="HB37" s="20"/>
      <c r="HC37" s="25"/>
      <c r="HD37" s="25"/>
      <c r="HE37" s="20"/>
      <c r="HF37" s="25"/>
      <c r="HG37" s="25"/>
      <c r="HH37" s="20"/>
      <c r="HI37" s="25"/>
      <c r="HJ37" s="25"/>
      <c r="HK37" s="20"/>
      <c r="HL37" s="25"/>
      <c r="HM37" s="25"/>
      <c r="HN37" s="20"/>
      <c r="HO37" s="25"/>
      <c r="HP37" s="25"/>
      <c r="HQ37" s="20">
        <v>52</v>
      </c>
      <c r="HR37" s="25">
        <v>4357.6646295379051</v>
      </c>
      <c r="HS37" s="25">
        <v>90.784679782039689</v>
      </c>
    </row>
    <row r="38" spans="1:227" ht="14.25">
      <c r="A38" s="169" t="s">
        <v>1807</v>
      </c>
      <c r="B38" s="278" t="s">
        <v>1792</v>
      </c>
      <c r="C38" s="171"/>
      <c r="D38" s="311">
        <v>0.27339999999999998</v>
      </c>
      <c r="E38" s="170" cm="1">
        <f t="array" ref="E38">tabUniformes[[#This Row],[Valor Inicial]]*IFERROR(PRODUCT(1+_xlfn._xlws.FILTER(tabIndices[PERCENTUAL],tabIndices[DATA DA PUBLICAÇÃO]&gt;tabUniformes[[#This Row],[DATA PUBLICAÇÃO]])),1)</f>
        <v>0.27339999999999998</v>
      </c>
      <c r="F38" s="172">
        <v>700</v>
      </c>
      <c r="G38" s="172" t="s">
        <v>45</v>
      </c>
      <c r="H38" s="172">
        <v>3</v>
      </c>
      <c r="I38" s="173">
        <f>tabUniformes[[#This Row],[Valor Reajustado]]*tabUniformes[[#This Row],[Qtde Anual de Peças]]*tabUniformes[[#This Row],[Qtde. funcionários]]</f>
        <v>574.14</v>
      </c>
      <c r="J38" s="172">
        <f>tabUniformes[[#This Row],[Qtde Anual de Peças]]*tabUniformes[[#This Row],[Qtde. funcionários]]</f>
        <v>2100</v>
      </c>
      <c r="K38" s="170">
        <f>IFERROR(tabUniformes[[#This Row],[Total]]/12/tabUniformes[[#This Row],[Qtde. funcionários]],0)</f>
        <v>15.948333333333332</v>
      </c>
      <c r="M38" t="s">
        <v>71</v>
      </c>
      <c r="N38">
        <v>4</v>
      </c>
      <c r="O38" s="20"/>
      <c r="P38" s="25"/>
      <c r="Q38" s="25"/>
      <c r="R38" s="20"/>
      <c r="S38" s="25"/>
      <c r="T38" s="25"/>
      <c r="U38" s="20"/>
      <c r="V38" s="25"/>
      <c r="W38" s="25"/>
      <c r="X38" s="20">
        <v>16</v>
      </c>
      <c r="Y38" s="25">
        <v>866.1864393564158</v>
      </c>
      <c r="Z38" s="25">
        <v>18.045550819925328</v>
      </c>
      <c r="AA38" s="20"/>
      <c r="AB38" s="25"/>
      <c r="AC38" s="25"/>
      <c r="AD38" s="20">
        <v>24</v>
      </c>
      <c r="AE38" s="25">
        <v>1010.5508459158184</v>
      </c>
      <c r="AF38" s="25">
        <v>21.053142623246217</v>
      </c>
      <c r="AG38" s="20">
        <v>4</v>
      </c>
      <c r="AH38" s="25">
        <v>240.60734426567106</v>
      </c>
      <c r="AI38" s="25">
        <v>5.0126530055348137</v>
      </c>
      <c r="AJ38" s="20"/>
      <c r="AK38" s="25"/>
      <c r="AL38" s="25"/>
      <c r="AM38" s="20"/>
      <c r="AN38" s="25"/>
      <c r="AO38" s="25"/>
      <c r="AP38" s="20"/>
      <c r="AQ38" s="25"/>
      <c r="AR38" s="25"/>
      <c r="AS38" s="20"/>
      <c r="AT38" s="25"/>
      <c r="AU38" s="25"/>
      <c r="AV38" s="20"/>
      <c r="AW38" s="25"/>
      <c r="AX38" s="25"/>
      <c r="AY38" s="20"/>
      <c r="AZ38" s="25"/>
      <c r="BA38" s="25"/>
      <c r="BB38" s="20"/>
      <c r="BC38" s="25"/>
      <c r="BD38" s="25"/>
      <c r="BE38" s="20"/>
      <c r="BF38" s="25"/>
      <c r="BG38" s="25"/>
      <c r="BH38" s="20"/>
      <c r="BI38" s="25"/>
      <c r="BJ38" s="25"/>
      <c r="BK38" s="20"/>
      <c r="BL38" s="25"/>
      <c r="BM38" s="25"/>
      <c r="BN38" s="20"/>
      <c r="BO38" s="25"/>
      <c r="BP38" s="25"/>
      <c r="BQ38" s="20"/>
      <c r="BR38" s="25"/>
      <c r="BS38" s="25"/>
      <c r="BT38" s="20"/>
      <c r="BU38" s="25"/>
      <c r="BV38" s="25"/>
      <c r="BW38" s="20"/>
      <c r="BX38" s="25"/>
      <c r="BY38" s="25"/>
      <c r="BZ38" s="20"/>
      <c r="CA38" s="25"/>
      <c r="CB38" s="25"/>
      <c r="CC38" s="20">
        <v>8</v>
      </c>
      <c r="CD38" s="25">
        <v>2240.3200000000002</v>
      </c>
      <c r="CE38" s="25">
        <v>46.673333333333339</v>
      </c>
      <c r="CF38" s="20"/>
      <c r="CG38" s="25"/>
      <c r="CH38" s="25"/>
      <c r="CI38" s="20"/>
      <c r="CJ38" s="25"/>
      <c r="CK38" s="25"/>
      <c r="CL38" s="20"/>
      <c r="CM38" s="25"/>
      <c r="CN38" s="25"/>
      <c r="CO38" s="20"/>
      <c r="CP38" s="25"/>
      <c r="CQ38" s="25"/>
      <c r="CR38" s="20"/>
      <c r="CS38" s="25"/>
      <c r="CT38" s="25"/>
      <c r="CU38" s="20"/>
      <c r="CV38" s="25"/>
      <c r="CW38" s="25"/>
      <c r="CX38" s="20"/>
      <c r="CY38" s="25"/>
      <c r="CZ38" s="25"/>
      <c r="DA38" s="20"/>
      <c r="DB38" s="25"/>
      <c r="DC38" s="25"/>
      <c r="DD38" s="20"/>
      <c r="DE38" s="25"/>
      <c r="DF38" s="25"/>
      <c r="DG38" s="20"/>
      <c r="DH38" s="25"/>
      <c r="DI38" s="25"/>
      <c r="DJ38" s="20"/>
      <c r="DK38" s="25"/>
      <c r="DL38" s="25"/>
      <c r="DM38" s="20"/>
      <c r="DN38" s="25"/>
      <c r="DO38" s="25"/>
      <c r="DP38" s="20"/>
      <c r="DQ38" s="25"/>
      <c r="DR38" s="25"/>
      <c r="DS38" s="20"/>
      <c r="DT38" s="25"/>
      <c r="DU38" s="25"/>
      <c r="DV38" s="20"/>
      <c r="DW38" s="25"/>
      <c r="DX38" s="25"/>
      <c r="DY38" s="20"/>
      <c r="DZ38" s="25"/>
      <c r="EA38" s="25"/>
      <c r="EB38" s="20"/>
      <c r="EC38" s="25"/>
      <c r="ED38" s="25"/>
      <c r="EE38" s="20"/>
      <c r="EF38" s="25"/>
      <c r="EG38" s="25"/>
      <c r="EH38" s="20"/>
      <c r="EI38" s="25"/>
      <c r="EJ38" s="25"/>
      <c r="EK38" s="20"/>
      <c r="EL38" s="25"/>
      <c r="EM38" s="25"/>
      <c r="EN38" s="20"/>
      <c r="EO38" s="25"/>
      <c r="EP38" s="25"/>
      <c r="EQ38" s="20"/>
      <c r="ER38" s="25"/>
      <c r="ES38" s="25"/>
      <c r="ET38" s="20"/>
      <c r="EU38" s="25"/>
      <c r="EV38" s="25"/>
      <c r="EW38" s="20"/>
      <c r="EX38" s="25"/>
      <c r="EY38" s="25"/>
      <c r="EZ38" s="20"/>
      <c r="FA38" s="25"/>
      <c r="FB38" s="25"/>
      <c r="FC38" s="20"/>
      <c r="FD38" s="25"/>
      <c r="FE38" s="25"/>
      <c r="FF38" s="20"/>
      <c r="FG38" s="25"/>
      <c r="FH38" s="25"/>
      <c r="FI38" s="20"/>
      <c r="FJ38" s="25"/>
      <c r="FK38" s="25"/>
      <c r="FL38" s="20"/>
      <c r="FM38" s="25"/>
      <c r="FN38" s="25"/>
      <c r="FO38" s="20"/>
      <c r="FP38" s="25"/>
      <c r="FQ38" s="25"/>
      <c r="FR38" s="20"/>
      <c r="FS38" s="25"/>
      <c r="FT38" s="25"/>
      <c r="FU38" s="20"/>
      <c r="FV38" s="25"/>
      <c r="FW38" s="25"/>
      <c r="FX38" s="20"/>
      <c r="FY38" s="25"/>
      <c r="FZ38" s="25"/>
      <c r="GA38" s="20"/>
      <c r="GB38" s="25"/>
      <c r="GC38" s="25"/>
      <c r="GD38" s="20"/>
      <c r="GE38" s="25"/>
      <c r="GF38" s="25"/>
      <c r="GG38" s="20"/>
      <c r="GH38" s="25"/>
      <c r="GI38" s="25"/>
      <c r="GJ38" s="20"/>
      <c r="GK38" s="25"/>
      <c r="GL38" s="25"/>
      <c r="GM38" s="20"/>
      <c r="GN38" s="25"/>
      <c r="GO38" s="25"/>
      <c r="GP38" s="20"/>
      <c r="GQ38" s="25"/>
      <c r="GR38" s="25"/>
      <c r="GS38" s="20"/>
      <c r="GT38" s="25"/>
      <c r="GU38" s="25"/>
      <c r="GV38" s="20"/>
      <c r="GW38" s="25"/>
      <c r="GX38" s="25"/>
      <c r="GY38" s="20"/>
      <c r="GZ38" s="25"/>
      <c r="HA38" s="25"/>
      <c r="HB38" s="20"/>
      <c r="HC38" s="25"/>
      <c r="HD38" s="25"/>
      <c r="HE38" s="20"/>
      <c r="HF38" s="25"/>
      <c r="HG38" s="25"/>
      <c r="HH38" s="20"/>
      <c r="HI38" s="25"/>
      <c r="HJ38" s="25"/>
      <c r="HK38" s="20"/>
      <c r="HL38" s="25"/>
      <c r="HM38" s="25"/>
      <c r="HN38" s="20"/>
      <c r="HO38" s="25"/>
      <c r="HP38" s="25"/>
      <c r="HQ38" s="20">
        <v>52</v>
      </c>
      <c r="HR38" s="25">
        <v>4357.6646295379051</v>
      </c>
      <c r="HS38" s="25">
        <v>90.784679782039689</v>
      </c>
    </row>
    <row r="39" spans="1:227" ht="14.25">
      <c r="A39" s="169" t="s">
        <v>1807</v>
      </c>
      <c r="B39" s="278" t="s">
        <v>1793</v>
      </c>
      <c r="C39" s="171"/>
      <c r="D39" s="311">
        <v>0.3</v>
      </c>
      <c r="E39" s="170" cm="1">
        <f t="array" ref="E39">tabUniformes[[#This Row],[Valor Inicial]]*IFERROR(PRODUCT(1+_xlfn._xlws.FILTER(tabIndices[PERCENTUAL],tabIndices[DATA DA PUBLICAÇÃO]&gt;tabUniformes[[#This Row],[DATA PUBLICAÇÃO]])),1)</f>
        <v>0.3</v>
      </c>
      <c r="F39" s="172">
        <v>120</v>
      </c>
      <c r="G39" s="172" t="s">
        <v>45</v>
      </c>
      <c r="H39" s="172">
        <v>3</v>
      </c>
      <c r="I39" s="173">
        <f>tabUniformes[[#This Row],[Valor Reajustado]]*tabUniformes[[#This Row],[Qtde Anual de Peças]]*tabUniformes[[#This Row],[Qtde. funcionários]]</f>
        <v>108</v>
      </c>
      <c r="J39" s="172">
        <f>tabUniformes[[#This Row],[Qtde Anual de Peças]]*tabUniformes[[#This Row],[Qtde. funcionários]]</f>
        <v>360</v>
      </c>
      <c r="K39" s="170">
        <f>IFERROR(tabUniformes[[#This Row],[Total]]/12/tabUniformes[[#This Row],[Qtde. funcionários]],0)</f>
        <v>3</v>
      </c>
      <c r="M39" t="s">
        <v>72</v>
      </c>
      <c r="N39">
        <v>1</v>
      </c>
      <c r="O39" s="20"/>
      <c r="P39" s="25"/>
      <c r="Q39" s="25"/>
      <c r="R39" s="20"/>
      <c r="S39" s="25"/>
      <c r="T39" s="25"/>
      <c r="U39" s="20"/>
      <c r="V39" s="25"/>
      <c r="W39" s="25"/>
      <c r="X39" s="20">
        <v>8</v>
      </c>
      <c r="Y39" s="25">
        <v>433.0932196782079</v>
      </c>
      <c r="Z39" s="25">
        <v>18.045550819925328</v>
      </c>
      <c r="AA39" s="20"/>
      <c r="AB39" s="25"/>
      <c r="AC39" s="25"/>
      <c r="AD39" s="20">
        <v>12</v>
      </c>
      <c r="AE39" s="25">
        <v>505.2754229579092</v>
      </c>
      <c r="AF39" s="25">
        <v>21.053142623246217</v>
      </c>
      <c r="AG39" s="20">
        <v>2</v>
      </c>
      <c r="AH39" s="25">
        <v>120.30367213283553</v>
      </c>
      <c r="AI39" s="25">
        <v>5.0126530055348137</v>
      </c>
      <c r="AJ39" s="20"/>
      <c r="AK39" s="25"/>
      <c r="AL39" s="25"/>
      <c r="AM39" s="20"/>
      <c r="AN39" s="25"/>
      <c r="AO39" s="25"/>
      <c r="AP39" s="20"/>
      <c r="AQ39" s="25"/>
      <c r="AR39" s="25"/>
      <c r="AS39" s="20"/>
      <c r="AT39" s="25"/>
      <c r="AU39" s="25"/>
      <c r="AV39" s="20"/>
      <c r="AW39" s="25"/>
      <c r="AX39" s="25"/>
      <c r="AY39" s="20"/>
      <c r="AZ39" s="25"/>
      <c r="BA39" s="25"/>
      <c r="BB39" s="20"/>
      <c r="BC39" s="25"/>
      <c r="BD39" s="25"/>
      <c r="BE39" s="20"/>
      <c r="BF39" s="25"/>
      <c r="BG39" s="25"/>
      <c r="BH39" s="20"/>
      <c r="BI39" s="25"/>
      <c r="BJ39" s="25"/>
      <c r="BK39" s="20"/>
      <c r="BL39" s="25"/>
      <c r="BM39" s="25"/>
      <c r="BN39" s="20"/>
      <c r="BO39" s="25"/>
      <c r="BP39" s="25"/>
      <c r="BQ39" s="20"/>
      <c r="BR39" s="25"/>
      <c r="BS39" s="25"/>
      <c r="BT39" s="20"/>
      <c r="BU39" s="25"/>
      <c r="BV39" s="25"/>
      <c r="BW39" s="20"/>
      <c r="BX39" s="25"/>
      <c r="BY39" s="25"/>
      <c r="BZ39" s="20"/>
      <c r="CA39" s="25"/>
      <c r="CB39" s="25"/>
      <c r="CC39" s="20">
        <v>2</v>
      </c>
      <c r="CD39" s="25">
        <v>560.08000000000004</v>
      </c>
      <c r="CE39" s="25">
        <v>46.673333333333339</v>
      </c>
      <c r="CF39" s="20"/>
      <c r="CG39" s="25"/>
      <c r="CH39" s="25"/>
      <c r="CI39" s="20"/>
      <c r="CJ39" s="25"/>
      <c r="CK39" s="25"/>
      <c r="CL39" s="20"/>
      <c r="CM39" s="25"/>
      <c r="CN39" s="25"/>
      <c r="CO39" s="20"/>
      <c r="CP39" s="25"/>
      <c r="CQ39" s="25"/>
      <c r="CR39" s="20"/>
      <c r="CS39" s="25"/>
      <c r="CT39" s="25"/>
      <c r="CU39" s="20"/>
      <c r="CV39" s="25"/>
      <c r="CW39" s="25"/>
      <c r="CX39" s="20"/>
      <c r="CY39" s="25"/>
      <c r="CZ39" s="25"/>
      <c r="DA39" s="20"/>
      <c r="DB39" s="25"/>
      <c r="DC39" s="25"/>
      <c r="DD39" s="20"/>
      <c r="DE39" s="25"/>
      <c r="DF39" s="25"/>
      <c r="DG39" s="20"/>
      <c r="DH39" s="25"/>
      <c r="DI39" s="25"/>
      <c r="DJ39" s="20"/>
      <c r="DK39" s="25"/>
      <c r="DL39" s="25"/>
      <c r="DM39" s="20"/>
      <c r="DN39" s="25"/>
      <c r="DO39" s="25"/>
      <c r="DP39" s="20"/>
      <c r="DQ39" s="25"/>
      <c r="DR39" s="25"/>
      <c r="DS39" s="20"/>
      <c r="DT39" s="25"/>
      <c r="DU39" s="25"/>
      <c r="DV39" s="20"/>
      <c r="DW39" s="25"/>
      <c r="DX39" s="25"/>
      <c r="DY39" s="20"/>
      <c r="DZ39" s="25"/>
      <c r="EA39" s="25"/>
      <c r="EB39" s="20"/>
      <c r="EC39" s="25"/>
      <c r="ED39" s="25"/>
      <c r="EE39" s="20"/>
      <c r="EF39" s="25"/>
      <c r="EG39" s="25"/>
      <c r="EH39" s="20"/>
      <c r="EI39" s="25"/>
      <c r="EJ39" s="25"/>
      <c r="EK39" s="20"/>
      <c r="EL39" s="25"/>
      <c r="EM39" s="25"/>
      <c r="EN39" s="20"/>
      <c r="EO39" s="25"/>
      <c r="EP39" s="25"/>
      <c r="EQ39" s="20"/>
      <c r="ER39" s="25"/>
      <c r="ES39" s="25"/>
      <c r="ET39" s="20"/>
      <c r="EU39" s="25"/>
      <c r="EV39" s="25"/>
      <c r="EW39" s="20"/>
      <c r="EX39" s="25"/>
      <c r="EY39" s="25"/>
      <c r="EZ39" s="20"/>
      <c r="FA39" s="25"/>
      <c r="FB39" s="25"/>
      <c r="FC39" s="20"/>
      <c r="FD39" s="25"/>
      <c r="FE39" s="25"/>
      <c r="FF39" s="20"/>
      <c r="FG39" s="25"/>
      <c r="FH39" s="25"/>
      <c r="FI39" s="20"/>
      <c r="FJ39" s="25"/>
      <c r="FK39" s="25"/>
      <c r="FL39" s="20"/>
      <c r="FM39" s="25"/>
      <c r="FN39" s="25"/>
      <c r="FO39" s="20"/>
      <c r="FP39" s="25"/>
      <c r="FQ39" s="25"/>
      <c r="FR39" s="20"/>
      <c r="FS39" s="25"/>
      <c r="FT39" s="25"/>
      <c r="FU39" s="20"/>
      <c r="FV39" s="25"/>
      <c r="FW39" s="25"/>
      <c r="FX39" s="20"/>
      <c r="FY39" s="25"/>
      <c r="FZ39" s="25"/>
      <c r="GA39" s="20"/>
      <c r="GB39" s="25"/>
      <c r="GC39" s="25"/>
      <c r="GD39" s="20"/>
      <c r="GE39" s="25"/>
      <c r="GF39" s="25"/>
      <c r="GG39" s="20"/>
      <c r="GH39" s="25"/>
      <c r="GI39" s="25"/>
      <c r="GJ39" s="20"/>
      <c r="GK39" s="25"/>
      <c r="GL39" s="25"/>
      <c r="GM39" s="20"/>
      <c r="GN39" s="25"/>
      <c r="GO39" s="25"/>
      <c r="GP39" s="20"/>
      <c r="GQ39" s="25"/>
      <c r="GR39" s="25"/>
      <c r="GS39" s="20"/>
      <c r="GT39" s="25"/>
      <c r="GU39" s="25"/>
      <c r="GV39" s="20"/>
      <c r="GW39" s="25"/>
      <c r="GX39" s="25"/>
      <c r="GY39" s="20"/>
      <c r="GZ39" s="25"/>
      <c r="HA39" s="25"/>
      <c r="HB39" s="20"/>
      <c r="HC39" s="25"/>
      <c r="HD39" s="25"/>
      <c r="HE39" s="20"/>
      <c r="HF39" s="25"/>
      <c r="HG39" s="25"/>
      <c r="HH39" s="20"/>
      <c r="HI39" s="25"/>
      <c r="HJ39" s="25"/>
      <c r="HK39" s="20"/>
      <c r="HL39" s="25"/>
      <c r="HM39" s="25"/>
      <c r="HN39" s="20"/>
      <c r="HO39" s="25"/>
      <c r="HP39" s="25"/>
      <c r="HQ39" s="20">
        <v>24</v>
      </c>
      <c r="HR39" s="25">
        <v>1618.7523147689526</v>
      </c>
      <c r="HS39" s="25">
        <v>90.784679782039689</v>
      </c>
    </row>
    <row r="40" spans="1:227" ht="14.25">
      <c r="A40" s="169" t="s">
        <v>19</v>
      </c>
      <c r="B40" s="278" t="s">
        <v>38</v>
      </c>
      <c r="C40" s="171"/>
      <c r="D40" s="311">
        <v>63.5</v>
      </c>
      <c r="E40" s="170" cm="1">
        <f t="array" ref="E40">tabUniformes[[#This Row],[Valor Inicial]]*IFERROR(PRODUCT(1+_xlfn._xlws.FILTER(tabIndices[PERCENTUAL],tabIndices[DATA DA PUBLICAÇÃO]&gt;tabUniformes[[#This Row],[DATA PUBLICAÇÃO]])),1)</f>
        <v>63.5</v>
      </c>
      <c r="F40" s="172">
        <v>1</v>
      </c>
      <c r="G40" s="172" t="s">
        <v>45</v>
      </c>
      <c r="H40" s="172">
        <v>3</v>
      </c>
      <c r="I40" s="173">
        <v>108.27330491955198</v>
      </c>
      <c r="J40" s="172">
        <v>3</v>
      </c>
      <c r="K40" s="170">
        <v>3.0075918033208882</v>
      </c>
      <c r="M40" t="s">
        <v>73</v>
      </c>
      <c r="N40">
        <v>2</v>
      </c>
      <c r="O40" s="20"/>
      <c r="P40" s="25"/>
      <c r="Q40" s="25"/>
      <c r="R40" s="20"/>
      <c r="S40" s="25"/>
      <c r="T40" s="25"/>
      <c r="U40" s="20"/>
      <c r="V40" s="25"/>
      <c r="W40" s="25"/>
      <c r="X40" s="20">
        <v>8</v>
      </c>
      <c r="Y40" s="25">
        <v>433.0932196782079</v>
      </c>
      <c r="Z40" s="25">
        <v>18.045550819925328</v>
      </c>
      <c r="AA40" s="20"/>
      <c r="AB40" s="25"/>
      <c r="AC40" s="25"/>
      <c r="AD40" s="20">
        <v>12</v>
      </c>
      <c r="AE40" s="25">
        <v>505.2754229579092</v>
      </c>
      <c r="AF40" s="25">
        <v>21.053142623246217</v>
      </c>
      <c r="AG40" s="20">
        <v>2</v>
      </c>
      <c r="AH40" s="25">
        <v>120.30367213283553</v>
      </c>
      <c r="AI40" s="25">
        <v>5.0126530055348137</v>
      </c>
      <c r="AJ40" s="20"/>
      <c r="AK40" s="25"/>
      <c r="AL40" s="25"/>
      <c r="AM40" s="20"/>
      <c r="AN40" s="25"/>
      <c r="AO40" s="25"/>
      <c r="AP40" s="20"/>
      <c r="AQ40" s="25"/>
      <c r="AR40" s="25"/>
      <c r="AS40" s="20"/>
      <c r="AT40" s="25"/>
      <c r="AU40" s="25"/>
      <c r="AV40" s="20"/>
      <c r="AW40" s="25"/>
      <c r="AX40" s="25"/>
      <c r="AY40" s="20"/>
      <c r="AZ40" s="25"/>
      <c r="BA40" s="25"/>
      <c r="BB40" s="20"/>
      <c r="BC40" s="25"/>
      <c r="BD40" s="25"/>
      <c r="BE40" s="20"/>
      <c r="BF40" s="25"/>
      <c r="BG40" s="25"/>
      <c r="BH40" s="20"/>
      <c r="BI40" s="25"/>
      <c r="BJ40" s="25"/>
      <c r="BK40" s="20"/>
      <c r="BL40" s="25"/>
      <c r="BM40" s="25"/>
      <c r="BN40" s="20"/>
      <c r="BO40" s="25"/>
      <c r="BP40" s="25"/>
      <c r="BQ40" s="20"/>
      <c r="BR40" s="25"/>
      <c r="BS40" s="25"/>
      <c r="BT40" s="20"/>
      <c r="BU40" s="25"/>
      <c r="BV40" s="25"/>
      <c r="BW40" s="20"/>
      <c r="BX40" s="25"/>
      <c r="BY40" s="25"/>
      <c r="BZ40" s="20"/>
      <c r="CA40" s="25"/>
      <c r="CB40" s="25"/>
      <c r="CC40" s="20">
        <v>4</v>
      </c>
      <c r="CD40" s="25">
        <v>1120.1600000000001</v>
      </c>
      <c r="CE40" s="25">
        <v>46.673333333333339</v>
      </c>
      <c r="CF40" s="20"/>
      <c r="CG40" s="25"/>
      <c r="CH40" s="25"/>
      <c r="CI40" s="20"/>
      <c r="CJ40" s="25"/>
      <c r="CK40" s="25"/>
      <c r="CL40" s="20"/>
      <c r="CM40" s="25"/>
      <c r="CN40" s="25"/>
      <c r="CO40" s="20"/>
      <c r="CP40" s="25"/>
      <c r="CQ40" s="25"/>
      <c r="CR40" s="20"/>
      <c r="CS40" s="25"/>
      <c r="CT40" s="25"/>
      <c r="CU40" s="20"/>
      <c r="CV40" s="25"/>
      <c r="CW40" s="25"/>
      <c r="CX40" s="20"/>
      <c r="CY40" s="25"/>
      <c r="CZ40" s="25"/>
      <c r="DA40" s="20"/>
      <c r="DB40" s="25"/>
      <c r="DC40" s="25"/>
      <c r="DD40" s="20"/>
      <c r="DE40" s="25"/>
      <c r="DF40" s="25"/>
      <c r="DG40" s="20"/>
      <c r="DH40" s="25"/>
      <c r="DI40" s="25"/>
      <c r="DJ40" s="20"/>
      <c r="DK40" s="25"/>
      <c r="DL40" s="25"/>
      <c r="DM40" s="20"/>
      <c r="DN40" s="25"/>
      <c r="DO40" s="25"/>
      <c r="DP40" s="20"/>
      <c r="DQ40" s="25"/>
      <c r="DR40" s="25"/>
      <c r="DS40" s="20"/>
      <c r="DT40" s="25"/>
      <c r="DU40" s="25"/>
      <c r="DV40" s="20"/>
      <c r="DW40" s="25"/>
      <c r="DX40" s="25"/>
      <c r="DY40" s="20"/>
      <c r="DZ40" s="25"/>
      <c r="EA40" s="25"/>
      <c r="EB40" s="20"/>
      <c r="EC40" s="25"/>
      <c r="ED40" s="25"/>
      <c r="EE40" s="20"/>
      <c r="EF40" s="25"/>
      <c r="EG40" s="25"/>
      <c r="EH40" s="20"/>
      <c r="EI40" s="25"/>
      <c r="EJ40" s="25"/>
      <c r="EK40" s="20"/>
      <c r="EL40" s="25"/>
      <c r="EM40" s="25"/>
      <c r="EN40" s="20"/>
      <c r="EO40" s="25"/>
      <c r="EP40" s="25"/>
      <c r="EQ40" s="20"/>
      <c r="ER40" s="25"/>
      <c r="ES40" s="25"/>
      <c r="ET40" s="20"/>
      <c r="EU40" s="25"/>
      <c r="EV40" s="25"/>
      <c r="EW40" s="20"/>
      <c r="EX40" s="25"/>
      <c r="EY40" s="25"/>
      <c r="EZ40" s="20"/>
      <c r="FA40" s="25"/>
      <c r="FB40" s="25"/>
      <c r="FC40" s="20"/>
      <c r="FD40" s="25"/>
      <c r="FE40" s="25"/>
      <c r="FF40" s="20"/>
      <c r="FG40" s="25"/>
      <c r="FH40" s="25"/>
      <c r="FI40" s="20"/>
      <c r="FJ40" s="25"/>
      <c r="FK40" s="25"/>
      <c r="FL40" s="20"/>
      <c r="FM40" s="25"/>
      <c r="FN40" s="25"/>
      <c r="FO40" s="20"/>
      <c r="FP40" s="25"/>
      <c r="FQ40" s="25"/>
      <c r="FR40" s="20"/>
      <c r="FS40" s="25"/>
      <c r="FT40" s="25"/>
      <c r="FU40" s="20"/>
      <c r="FV40" s="25"/>
      <c r="FW40" s="25"/>
      <c r="FX40" s="20"/>
      <c r="FY40" s="25"/>
      <c r="FZ40" s="25"/>
      <c r="GA40" s="20"/>
      <c r="GB40" s="25"/>
      <c r="GC40" s="25"/>
      <c r="GD40" s="20"/>
      <c r="GE40" s="25"/>
      <c r="GF40" s="25"/>
      <c r="GG40" s="20"/>
      <c r="GH40" s="25"/>
      <c r="GI40" s="25"/>
      <c r="GJ40" s="20"/>
      <c r="GK40" s="25"/>
      <c r="GL40" s="25"/>
      <c r="GM40" s="20"/>
      <c r="GN40" s="25"/>
      <c r="GO40" s="25"/>
      <c r="GP40" s="20"/>
      <c r="GQ40" s="25"/>
      <c r="GR40" s="25"/>
      <c r="GS40" s="20"/>
      <c r="GT40" s="25"/>
      <c r="GU40" s="25"/>
      <c r="GV40" s="20"/>
      <c r="GW40" s="25"/>
      <c r="GX40" s="25"/>
      <c r="GY40" s="20"/>
      <c r="GZ40" s="25"/>
      <c r="HA40" s="25"/>
      <c r="HB40" s="20"/>
      <c r="HC40" s="25"/>
      <c r="HD40" s="25"/>
      <c r="HE40" s="20"/>
      <c r="HF40" s="25"/>
      <c r="HG40" s="25"/>
      <c r="HH40" s="20"/>
      <c r="HI40" s="25"/>
      <c r="HJ40" s="25"/>
      <c r="HK40" s="20"/>
      <c r="HL40" s="25"/>
      <c r="HM40" s="25"/>
      <c r="HN40" s="20"/>
      <c r="HO40" s="25"/>
      <c r="HP40" s="25"/>
      <c r="HQ40" s="20">
        <v>26</v>
      </c>
      <c r="HR40" s="25">
        <v>2178.8323147689525</v>
      </c>
      <c r="HS40" s="25">
        <v>90.784679782039689</v>
      </c>
    </row>
    <row r="41" spans="1:227" ht="14.25">
      <c r="A41" s="169" t="s">
        <v>1854</v>
      </c>
      <c r="B41" s="278" t="s">
        <v>1794</v>
      </c>
      <c r="C41" s="171"/>
      <c r="D41" s="311">
        <v>0.23</v>
      </c>
      <c r="E41" s="170" cm="1">
        <f t="array" ref="E41">tabUniformes[[#This Row],[Valor Inicial]]*IFERROR(PRODUCT(1+_xlfn._xlws.FILTER(tabIndices[PERCENTUAL],tabIndices[DATA DA PUBLICAÇÃO]&gt;tabUniformes[[#This Row],[DATA PUBLICAÇÃO]])),1)</f>
        <v>0.23</v>
      </c>
      <c r="F41" s="172">
        <v>360</v>
      </c>
      <c r="G41" s="172" t="s">
        <v>45</v>
      </c>
      <c r="H41" s="172">
        <v>3</v>
      </c>
      <c r="I41" s="173">
        <f>tabUniformes[[#This Row],[Valor Reajustado]]*tabUniformes[[#This Row],[Qtde Anual de Peças]]*tabUniformes[[#This Row],[Qtde. funcionários]]</f>
        <v>248.39999999999998</v>
      </c>
      <c r="J41" s="172">
        <f>tabUniformes[[#This Row],[Qtde Anual de Peças]]*tabUniformes[[#This Row],[Qtde. funcionários]]</f>
        <v>1080</v>
      </c>
      <c r="K41" s="170">
        <f>IFERROR(tabUniformes[[#This Row],[Total]]/12/tabUniformes[[#This Row],[Qtde. funcionários]],0)</f>
        <v>6.8999999999999995</v>
      </c>
      <c r="M41" t="s">
        <v>74</v>
      </c>
      <c r="N41">
        <v>8</v>
      </c>
      <c r="O41" s="20"/>
      <c r="P41" s="25"/>
      <c r="Q41" s="25"/>
      <c r="R41" s="20"/>
      <c r="S41" s="25"/>
      <c r="T41" s="25"/>
      <c r="U41" s="20"/>
      <c r="V41" s="25"/>
      <c r="W41" s="25"/>
      <c r="X41" s="20">
        <v>32</v>
      </c>
      <c r="Y41" s="25">
        <v>1732.3728787128316</v>
      </c>
      <c r="Z41" s="25">
        <v>18.045550819925328</v>
      </c>
      <c r="AA41" s="20"/>
      <c r="AB41" s="25"/>
      <c r="AC41" s="25"/>
      <c r="AD41" s="20">
        <v>48</v>
      </c>
      <c r="AE41" s="25">
        <v>2021.1016918316368</v>
      </c>
      <c r="AF41" s="25">
        <v>21.053142623246217</v>
      </c>
      <c r="AG41" s="20">
        <v>8</v>
      </c>
      <c r="AH41" s="25">
        <v>481.21468853134212</v>
      </c>
      <c r="AI41" s="25">
        <v>5.0126530055348137</v>
      </c>
      <c r="AJ41" s="20"/>
      <c r="AK41" s="25"/>
      <c r="AL41" s="25"/>
      <c r="AM41" s="20"/>
      <c r="AN41" s="25"/>
      <c r="AO41" s="25"/>
      <c r="AP41" s="20"/>
      <c r="AQ41" s="25"/>
      <c r="AR41" s="25"/>
      <c r="AS41" s="20"/>
      <c r="AT41" s="25"/>
      <c r="AU41" s="25"/>
      <c r="AV41" s="20"/>
      <c r="AW41" s="25"/>
      <c r="AX41" s="25"/>
      <c r="AY41" s="20"/>
      <c r="AZ41" s="25"/>
      <c r="BA41" s="25"/>
      <c r="BB41" s="20"/>
      <c r="BC41" s="25"/>
      <c r="BD41" s="25"/>
      <c r="BE41" s="20"/>
      <c r="BF41" s="25"/>
      <c r="BG41" s="25"/>
      <c r="BH41" s="20"/>
      <c r="BI41" s="25"/>
      <c r="BJ41" s="25"/>
      <c r="BK41" s="20"/>
      <c r="BL41" s="25"/>
      <c r="BM41" s="25"/>
      <c r="BN41" s="20"/>
      <c r="BO41" s="25"/>
      <c r="BP41" s="25"/>
      <c r="BQ41" s="20"/>
      <c r="BR41" s="25"/>
      <c r="BS41" s="25"/>
      <c r="BT41" s="20"/>
      <c r="BU41" s="25"/>
      <c r="BV41" s="25"/>
      <c r="BW41" s="20"/>
      <c r="BX41" s="25"/>
      <c r="BY41" s="25"/>
      <c r="BZ41" s="20"/>
      <c r="CA41" s="25"/>
      <c r="CB41" s="25"/>
      <c r="CC41" s="20">
        <v>16</v>
      </c>
      <c r="CD41" s="25">
        <v>4480.6400000000003</v>
      </c>
      <c r="CE41" s="25">
        <v>46.673333333333339</v>
      </c>
      <c r="CF41" s="20"/>
      <c r="CG41" s="25"/>
      <c r="CH41" s="25"/>
      <c r="CI41" s="20"/>
      <c r="CJ41" s="25"/>
      <c r="CK41" s="25"/>
      <c r="CL41" s="20"/>
      <c r="CM41" s="25"/>
      <c r="CN41" s="25"/>
      <c r="CO41" s="20"/>
      <c r="CP41" s="25"/>
      <c r="CQ41" s="25"/>
      <c r="CR41" s="20"/>
      <c r="CS41" s="25"/>
      <c r="CT41" s="25"/>
      <c r="CU41" s="20"/>
      <c r="CV41" s="25"/>
      <c r="CW41" s="25"/>
      <c r="CX41" s="20"/>
      <c r="CY41" s="25"/>
      <c r="CZ41" s="25"/>
      <c r="DA41" s="20"/>
      <c r="DB41" s="25"/>
      <c r="DC41" s="25"/>
      <c r="DD41" s="20"/>
      <c r="DE41" s="25"/>
      <c r="DF41" s="25"/>
      <c r="DG41" s="20"/>
      <c r="DH41" s="25"/>
      <c r="DI41" s="25"/>
      <c r="DJ41" s="20"/>
      <c r="DK41" s="25"/>
      <c r="DL41" s="25"/>
      <c r="DM41" s="20"/>
      <c r="DN41" s="25"/>
      <c r="DO41" s="25"/>
      <c r="DP41" s="20"/>
      <c r="DQ41" s="25"/>
      <c r="DR41" s="25"/>
      <c r="DS41" s="20"/>
      <c r="DT41" s="25"/>
      <c r="DU41" s="25"/>
      <c r="DV41" s="20"/>
      <c r="DW41" s="25"/>
      <c r="DX41" s="25"/>
      <c r="DY41" s="20"/>
      <c r="DZ41" s="25"/>
      <c r="EA41" s="25"/>
      <c r="EB41" s="20"/>
      <c r="EC41" s="25"/>
      <c r="ED41" s="25"/>
      <c r="EE41" s="20"/>
      <c r="EF41" s="25"/>
      <c r="EG41" s="25"/>
      <c r="EH41" s="20"/>
      <c r="EI41" s="25"/>
      <c r="EJ41" s="25"/>
      <c r="EK41" s="20"/>
      <c r="EL41" s="25"/>
      <c r="EM41" s="25"/>
      <c r="EN41" s="20"/>
      <c r="EO41" s="25"/>
      <c r="EP41" s="25"/>
      <c r="EQ41" s="20"/>
      <c r="ER41" s="25"/>
      <c r="ES41" s="25"/>
      <c r="ET41" s="20"/>
      <c r="EU41" s="25"/>
      <c r="EV41" s="25"/>
      <c r="EW41" s="20"/>
      <c r="EX41" s="25"/>
      <c r="EY41" s="25"/>
      <c r="EZ41" s="20"/>
      <c r="FA41" s="25"/>
      <c r="FB41" s="25"/>
      <c r="FC41" s="20"/>
      <c r="FD41" s="25"/>
      <c r="FE41" s="25"/>
      <c r="FF41" s="20"/>
      <c r="FG41" s="25"/>
      <c r="FH41" s="25"/>
      <c r="FI41" s="20"/>
      <c r="FJ41" s="25"/>
      <c r="FK41" s="25"/>
      <c r="FL41" s="20"/>
      <c r="FM41" s="25"/>
      <c r="FN41" s="25"/>
      <c r="FO41" s="20"/>
      <c r="FP41" s="25"/>
      <c r="FQ41" s="25"/>
      <c r="FR41" s="20"/>
      <c r="FS41" s="25"/>
      <c r="FT41" s="25"/>
      <c r="FU41" s="20"/>
      <c r="FV41" s="25"/>
      <c r="FW41" s="25"/>
      <c r="FX41" s="20"/>
      <c r="FY41" s="25"/>
      <c r="FZ41" s="25"/>
      <c r="GA41" s="20"/>
      <c r="GB41" s="25"/>
      <c r="GC41" s="25"/>
      <c r="GD41" s="20"/>
      <c r="GE41" s="25"/>
      <c r="GF41" s="25"/>
      <c r="GG41" s="20"/>
      <c r="GH41" s="25"/>
      <c r="GI41" s="25"/>
      <c r="GJ41" s="20"/>
      <c r="GK41" s="25"/>
      <c r="GL41" s="25"/>
      <c r="GM41" s="20"/>
      <c r="GN41" s="25"/>
      <c r="GO41" s="25"/>
      <c r="GP41" s="20"/>
      <c r="GQ41" s="25"/>
      <c r="GR41" s="25"/>
      <c r="GS41" s="20"/>
      <c r="GT41" s="25"/>
      <c r="GU41" s="25"/>
      <c r="GV41" s="20"/>
      <c r="GW41" s="25"/>
      <c r="GX41" s="25"/>
      <c r="GY41" s="20"/>
      <c r="GZ41" s="25"/>
      <c r="HA41" s="25"/>
      <c r="HB41" s="20"/>
      <c r="HC41" s="25"/>
      <c r="HD41" s="25"/>
      <c r="HE41" s="20"/>
      <c r="HF41" s="25"/>
      <c r="HG41" s="25"/>
      <c r="HH41" s="20"/>
      <c r="HI41" s="25"/>
      <c r="HJ41" s="25"/>
      <c r="HK41" s="20"/>
      <c r="HL41" s="25"/>
      <c r="HM41" s="25"/>
      <c r="HN41" s="20"/>
      <c r="HO41" s="25"/>
      <c r="HP41" s="25"/>
      <c r="HQ41" s="20">
        <v>104</v>
      </c>
      <c r="HR41" s="25">
        <v>8715.3292590758101</v>
      </c>
      <c r="HS41" s="25">
        <v>90.784679782039689</v>
      </c>
    </row>
    <row r="42" spans="1:227" ht="14.25">
      <c r="A42" s="169" t="s">
        <v>1854</v>
      </c>
      <c r="B42" s="278" t="s">
        <v>1796</v>
      </c>
      <c r="C42" s="171"/>
      <c r="D42" s="311">
        <v>1.39</v>
      </c>
      <c r="E42" s="170" cm="1">
        <f t="array" ref="E42">tabUniformes[[#This Row],[Valor Inicial]]*IFERROR(PRODUCT(1+_xlfn._xlws.FILTER(tabIndices[PERCENTUAL],tabIndices[DATA DA PUBLICAÇÃO]&gt;tabUniformes[[#This Row],[DATA PUBLICAÇÃO]])),1)</f>
        <v>1.39</v>
      </c>
      <c r="F42" s="172">
        <v>24</v>
      </c>
      <c r="G42" s="172" t="s">
        <v>45</v>
      </c>
      <c r="H42" s="172">
        <v>3</v>
      </c>
      <c r="I42" s="173">
        <f>tabUniformes[[#This Row],[Valor Reajustado]]*tabUniformes[[#This Row],[Qtde Anual de Peças]]*tabUniformes[[#This Row],[Qtde. funcionários]]</f>
        <v>100.08</v>
      </c>
      <c r="J42" s="172">
        <f>tabUniformes[[#This Row],[Qtde Anual de Peças]]*tabUniformes[[#This Row],[Qtde. funcionários]]</f>
        <v>72</v>
      </c>
      <c r="K42" s="170">
        <f>IFERROR(tabUniformes[[#This Row],[Total]]/12/tabUniformes[[#This Row],[Qtde. funcionários]],0)</f>
        <v>2.78</v>
      </c>
      <c r="M42" t="s">
        <v>75</v>
      </c>
      <c r="N42">
        <v>23</v>
      </c>
      <c r="O42" s="20"/>
      <c r="P42" s="25"/>
      <c r="Q42" s="25"/>
      <c r="R42" s="20"/>
      <c r="S42" s="25"/>
      <c r="T42" s="25"/>
      <c r="U42" s="20"/>
      <c r="V42" s="25"/>
      <c r="W42" s="25"/>
      <c r="X42" s="20">
        <v>92</v>
      </c>
      <c r="Y42" s="25">
        <v>4980.5720262993909</v>
      </c>
      <c r="Z42" s="25">
        <v>18.045550819925328</v>
      </c>
      <c r="AA42" s="20"/>
      <c r="AB42" s="25"/>
      <c r="AC42" s="25"/>
      <c r="AD42" s="20">
        <v>138</v>
      </c>
      <c r="AE42" s="25">
        <v>5810.6673640159561</v>
      </c>
      <c r="AF42" s="25">
        <v>21.05314262324622</v>
      </c>
      <c r="AG42" s="20">
        <v>23</v>
      </c>
      <c r="AH42" s="25">
        <v>1383.4922295276085</v>
      </c>
      <c r="AI42" s="25">
        <v>5.0126530055348137</v>
      </c>
      <c r="AJ42" s="20"/>
      <c r="AK42" s="25"/>
      <c r="AL42" s="25"/>
      <c r="AM42" s="20"/>
      <c r="AN42" s="25"/>
      <c r="AO42" s="25"/>
      <c r="AP42" s="20"/>
      <c r="AQ42" s="25"/>
      <c r="AR42" s="25"/>
      <c r="AS42" s="20"/>
      <c r="AT42" s="25"/>
      <c r="AU42" s="25"/>
      <c r="AV42" s="20"/>
      <c r="AW42" s="25"/>
      <c r="AX42" s="25"/>
      <c r="AY42" s="20"/>
      <c r="AZ42" s="25"/>
      <c r="BA42" s="25"/>
      <c r="BB42" s="20"/>
      <c r="BC42" s="25"/>
      <c r="BD42" s="25"/>
      <c r="BE42" s="20"/>
      <c r="BF42" s="25"/>
      <c r="BG42" s="25"/>
      <c r="BH42" s="20"/>
      <c r="BI42" s="25"/>
      <c r="BJ42" s="25"/>
      <c r="BK42" s="20"/>
      <c r="BL42" s="25"/>
      <c r="BM42" s="25"/>
      <c r="BN42" s="20"/>
      <c r="BO42" s="25"/>
      <c r="BP42" s="25"/>
      <c r="BQ42" s="20"/>
      <c r="BR42" s="25"/>
      <c r="BS42" s="25"/>
      <c r="BT42" s="20"/>
      <c r="BU42" s="25"/>
      <c r="BV42" s="25"/>
      <c r="BW42" s="20"/>
      <c r="BX42" s="25"/>
      <c r="BY42" s="25"/>
      <c r="BZ42" s="20"/>
      <c r="CA42" s="25"/>
      <c r="CB42" s="25"/>
      <c r="CC42" s="20">
        <v>46</v>
      </c>
      <c r="CD42" s="25">
        <v>12881.84</v>
      </c>
      <c r="CE42" s="25">
        <v>46.673333333333332</v>
      </c>
      <c r="CF42" s="20">
        <v>46</v>
      </c>
      <c r="CG42" s="25">
        <v>352.82</v>
      </c>
      <c r="CH42" s="25">
        <v>1.2783333333333333</v>
      </c>
      <c r="CI42" s="20"/>
      <c r="CJ42" s="25"/>
      <c r="CK42" s="25"/>
      <c r="CL42" s="20"/>
      <c r="CM42" s="25"/>
      <c r="CN42" s="25"/>
      <c r="CO42" s="20"/>
      <c r="CP42" s="25"/>
      <c r="CQ42" s="25"/>
      <c r="CR42" s="20"/>
      <c r="CS42" s="25"/>
      <c r="CT42" s="25"/>
      <c r="CU42" s="20"/>
      <c r="CV42" s="25"/>
      <c r="CW42" s="25"/>
      <c r="CX42" s="20"/>
      <c r="CY42" s="25"/>
      <c r="CZ42" s="25"/>
      <c r="DA42" s="20"/>
      <c r="DB42" s="25"/>
      <c r="DC42" s="25"/>
      <c r="DD42" s="20">
        <v>23</v>
      </c>
      <c r="DE42" s="25">
        <v>510.59999999999997</v>
      </c>
      <c r="DF42" s="25">
        <v>1.8499999999999999</v>
      </c>
      <c r="DG42" s="20"/>
      <c r="DH42" s="25"/>
      <c r="DI42" s="25"/>
      <c r="DJ42" s="20">
        <v>23</v>
      </c>
      <c r="DK42" s="25">
        <v>8076.45</v>
      </c>
      <c r="DL42" s="25">
        <v>29.262499999999999</v>
      </c>
      <c r="DM42" s="20"/>
      <c r="DN42" s="25"/>
      <c r="DO42" s="25"/>
      <c r="DP42" s="20"/>
      <c r="DQ42" s="25"/>
      <c r="DR42" s="25"/>
      <c r="DS42" s="20"/>
      <c r="DT42" s="25"/>
      <c r="DU42" s="25"/>
      <c r="DV42" s="20"/>
      <c r="DW42" s="25"/>
      <c r="DX42" s="25"/>
      <c r="DY42" s="20"/>
      <c r="DZ42" s="25"/>
      <c r="EA42" s="25"/>
      <c r="EB42" s="20"/>
      <c r="EC42" s="25"/>
      <c r="ED42" s="25"/>
      <c r="EE42" s="20"/>
      <c r="EF42" s="25"/>
      <c r="EG42" s="25"/>
      <c r="EH42" s="20"/>
      <c r="EI42" s="25"/>
      <c r="EJ42" s="25"/>
      <c r="EK42" s="20"/>
      <c r="EL42" s="25"/>
      <c r="EM42" s="25"/>
      <c r="EN42" s="20"/>
      <c r="EO42" s="25"/>
      <c r="EP42" s="25"/>
      <c r="EQ42" s="20"/>
      <c r="ER42" s="25"/>
      <c r="ES42" s="25"/>
      <c r="ET42" s="20"/>
      <c r="EU42" s="25"/>
      <c r="EV42" s="25"/>
      <c r="EW42" s="20"/>
      <c r="EX42" s="25"/>
      <c r="EY42" s="25"/>
      <c r="EZ42" s="20"/>
      <c r="FA42" s="25"/>
      <c r="FB42" s="25"/>
      <c r="FC42" s="20">
        <v>92</v>
      </c>
      <c r="FD42" s="25">
        <v>472.88</v>
      </c>
      <c r="FE42" s="25">
        <v>1.7133333333333334</v>
      </c>
      <c r="FF42" s="20"/>
      <c r="FG42" s="25"/>
      <c r="FH42" s="25"/>
      <c r="FI42" s="20"/>
      <c r="FJ42" s="25"/>
      <c r="FK42" s="25"/>
      <c r="FL42" s="20"/>
      <c r="FM42" s="25"/>
      <c r="FN42" s="25"/>
      <c r="FO42" s="20"/>
      <c r="FP42" s="25"/>
      <c r="FQ42" s="25"/>
      <c r="FR42" s="20"/>
      <c r="FS42" s="25"/>
      <c r="FT42" s="25"/>
      <c r="FU42" s="20"/>
      <c r="FV42" s="25"/>
      <c r="FW42" s="25"/>
      <c r="FX42" s="20"/>
      <c r="FY42" s="25"/>
      <c r="FZ42" s="25"/>
      <c r="GA42" s="20"/>
      <c r="GB42" s="25"/>
      <c r="GC42" s="25"/>
      <c r="GD42" s="20"/>
      <c r="GE42" s="25"/>
      <c r="GF42" s="25"/>
      <c r="GG42" s="20"/>
      <c r="GH42" s="25"/>
      <c r="GI42" s="25"/>
      <c r="GJ42" s="20"/>
      <c r="GK42" s="25"/>
      <c r="GL42" s="25"/>
      <c r="GM42" s="20"/>
      <c r="GN42" s="25"/>
      <c r="GO42" s="25"/>
      <c r="GP42" s="20"/>
      <c r="GQ42" s="25"/>
      <c r="GR42" s="25"/>
      <c r="GS42" s="20"/>
      <c r="GT42" s="25"/>
      <c r="GU42" s="25"/>
      <c r="GV42" s="20"/>
      <c r="GW42" s="25"/>
      <c r="GX42" s="25"/>
      <c r="GY42" s="20"/>
      <c r="GZ42" s="25"/>
      <c r="HA42" s="25"/>
      <c r="HB42" s="20"/>
      <c r="HC42" s="25"/>
      <c r="HD42" s="25"/>
      <c r="HE42" s="20"/>
      <c r="HF42" s="25"/>
      <c r="HG42" s="25"/>
      <c r="HH42" s="20"/>
      <c r="HI42" s="25"/>
      <c r="HJ42" s="25"/>
      <c r="HK42" s="20"/>
      <c r="HL42" s="25"/>
      <c r="HM42" s="25"/>
      <c r="HN42" s="20">
        <v>46</v>
      </c>
      <c r="HO42" s="25">
        <v>14763.24</v>
      </c>
      <c r="HP42" s="25">
        <v>53.49</v>
      </c>
      <c r="HQ42" s="20">
        <v>529</v>
      </c>
      <c r="HR42" s="25">
        <v>49232.561619842949</v>
      </c>
      <c r="HS42" s="25">
        <v>178.37884644870635</v>
      </c>
    </row>
    <row r="43" spans="1:227" ht="14.25">
      <c r="A43" s="169" t="s">
        <v>1854</v>
      </c>
      <c r="B43" s="278" t="s">
        <v>1795</v>
      </c>
      <c r="C43" s="171"/>
      <c r="D43" s="311">
        <v>2.2200000000000002</v>
      </c>
      <c r="E43" s="170" cm="1">
        <f t="array" ref="E43">tabUniformes[[#This Row],[Valor Inicial]]*IFERROR(PRODUCT(1+_xlfn._xlws.FILTER(tabIndices[PERCENTUAL],tabIndices[DATA DA PUBLICAÇÃO]&gt;tabUniformes[[#This Row],[DATA PUBLICAÇÃO]])),1)</f>
        <v>2.2200000000000002</v>
      </c>
      <c r="F43" s="172">
        <v>24</v>
      </c>
      <c r="G43" s="172" t="s">
        <v>45</v>
      </c>
      <c r="H43" s="172">
        <v>3</v>
      </c>
      <c r="I43" s="173">
        <f>tabUniformes[[#This Row],[Valor Reajustado]]*tabUniformes[[#This Row],[Qtde Anual de Peças]]*tabUniformes[[#This Row],[Qtde. funcionários]]</f>
        <v>159.84</v>
      </c>
      <c r="J43" s="172">
        <f>tabUniformes[[#This Row],[Qtde Anual de Peças]]*tabUniformes[[#This Row],[Qtde. funcionários]]</f>
        <v>72</v>
      </c>
      <c r="K43" s="170">
        <f>IFERROR(tabUniformes[[#This Row],[Total]]/12/tabUniformes[[#This Row],[Qtde. funcionários]],0)</f>
        <v>4.4400000000000004</v>
      </c>
      <c r="M43" t="s">
        <v>76</v>
      </c>
      <c r="N43">
        <v>6</v>
      </c>
      <c r="O43" s="20"/>
      <c r="P43" s="25"/>
      <c r="Q43" s="25"/>
      <c r="R43" s="20"/>
      <c r="S43" s="25"/>
      <c r="T43" s="25"/>
      <c r="U43" s="20"/>
      <c r="V43" s="25"/>
      <c r="W43" s="25"/>
      <c r="X43" s="20">
        <v>20</v>
      </c>
      <c r="Y43" s="25">
        <v>1082.7330491955197</v>
      </c>
      <c r="Z43" s="25">
        <v>18.045550819925328</v>
      </c>
      <c r="AA43" s="20"/>
      <c r="AB43" s="25"/>
      <c r="AC43" s="25"/>
      <c r="AD43" s="20">
        <v>30</v>
      </c>
      <c r="AE43" s="25">
        <v>1263.1885573947729</v>
      </c>
      <c r="AF43" s="25">
        <v>21.053142623246217</v>
      </c>
      <c r="AG43" s="20">
        <v>5</v>
      </c>
      <c r="AH43" s="25">
        <v>300.75918033208882</v>
      </c>
      <c r="AI43" s="25">
        <v>5.0126530055348137</v>
      </c>
      <c r="AJ43" s="20"/>
      <c r="AK43" s="25"/>
      <c r="AL43" s="25"/>
      <c r="AM43" s="20"/>
      <c r="AN43" s="25"/>
      <c r="AO43" s="25"/>
      <c r="AP43" s="20"/>
      <c r="AQ43" s="25"/>
      <c r="AR43" s="25"/>
      <c r="AS43" s="20"/>
      <c r="AT43" s="25"/>
      <c r="AU43" s="25"/>
      <c r="AV43" s="20"/>
      <c r="AW43" s="25"/>
      <c r="AX43" s="25"/>
      <c r="AY43" s="20"/>
      <c r="AZ43" s="25"/>
      <c r="BA43" s="25"/>
      <c r="BB43" s="20"/>
      <c r="BC43" s="25"/>
      <c r="BD43" s="25"/>
      <c r="BE43" s="20"/>
      <c r="BF43" s="25"/>
      <c r="BG43" s="25"/>
      <c r="BH43" s="20"/>
      <c r="BI43" s="25"/>
      <c r="BJ43" s="25"/>
      <c r="BK43" s="20"/>
      <c r="BL43" s="25"/>
      <c r="BM43" s="25"/>
      <c r="BN43" s="20"/>
      <c r="BO43" s="25"/>
      <c r="BP43" s="25"/>
      <c r="BQ43" s="20"/>
      <c r="BR43" s="25"/>
      <c r="BS43" s="25"/>
      <c r="BT43" s="20"/>
      <c r="BU43" s="25"/>
      <c r="BV43" s="25"/>
      <c r="BW43" s="20"/>
      <c r="BX43" s="25"/>
      <c r="BY43" s="25"/>
      <c r="BZ43" s="20"/>
      <c r="CA43" s="25"/>
      <c r="CB43" s="25"/>
      <c r="CC43" s="20">
        <v>12</v>
      </c>
      <c r="CD43" s="25">
        <v>3360.4800000000005</v>
      </c>
      <c r="CE43" s="25">
        <v>46.673333333333339</v>
      </c>
      <c r="CF43" s="20"/>
      <c r="CG43" s="25"/>
      <c r="CH43" s="25"/>
      <c r="CI43" s="20"/>
      <c r="CJ43" s="25"/>
      <c r="CK43" s="25"/>
      <c r="CL43" s="20"/>
      <c r="CM43" s="25"/>
      <c r="CN43" s="25"/>
      <c r="CO43" s="20"/>
      <c r="CP43" s="25"/>
      <c r="CQ43" s="25"/>
      <c r="CR43" s="20"/>
      <c r="CS43" s="25"/>
      <c r="CT43" s="25"/>
      <c r="CU43" s="20"/>
      <c r="CV43" s="25"/>
      <c r="CW43" s="25"/>
      <c r="CX43" s="20"/>
      <c r="CY43" s="25"/>
      <c r="CZ43" s="25"/>
      <c r="DA43" s="20"/>
      <c r="DB43" s="25"/>
      <c r="DC43" s="25"/>
      <c r="DD43" s="20">
        <v>6</v>
      </c>
      <c r="DE43" s="25">
        <v>133.19999999999999</v>
      </c>
      <c r="DF43" s="25">
        <v>1.8499999999999999</v>
      </c>
      <c r="DG43" s="20"/>
      <c r="DH43" s="25"/>
      <c r="DI43" s="25"/>
      <c r="DJ43" s="20">
        <v>6</v>
      </c>
      <c r="DK43" s="25">
        <v>2106.8999999999996</v>
      </c>
      <c r="DL43" s="25">
        <v>29.262499999999992</v>
      </c>
      <c r="DM43" s="20"/>
      <c r="DN43" s="25"/>
      <c r="DO43" s="25"/>
      <c r="DP43" s="20"/>
      <c r="DQ43" s="25"/>
      <c r="DR43" s="25"/>
      <c r="DS43" s="20"/>
      <c r="DT43" s="25"/>
      <c r="DU43" s="25"/>
      <c r="DV43" s="20"/>
      <c r="DW43" s="25"/>
      <c r="DX43" s="25"/>
      <c r="DY43" s="20"/>
      <c r="DZ43" s="25"/>
      <c r="EA43" s="25"/>
      <c r="EB43" s="20"/>
      <c r="EC43" s="25"/>
      <c r="ED43" s="25"/>
      <c r="EE43" s="20"/>
      <c r="EF43" s="25"/>
      <c r="EG43" s="25"/>
      <c r="EH43" s="20"/>
      <c r="EI43" s="25"/>
      <c r="EJ43" s="25"/>
      <c r="EK43" s="20"/>
      <c r="EL43" s="25"/>
      <c r="EM43" s="25"/>
      <c r="EN43" s="20"/>
      <c r="EO43" s="25"/>
      <c r="EP43" s="25"/>
      <c r="EQ43" s="20"/>
      <c r="ER43" s="25"/>
      <c r="ES43" s="25"/>
      <c r="ET43" s="20"/>
      <c r="EU43" s="25"/>
      <c r="EV43" s="25"/>
      <c r="EW43" s="20"/>
      <c r="EX43" s="25"/>
      <c r="EY43" s="25"/>
      <c r="EZ43" s="20"/>
      <c r="FA43" s="25"/>
      <c r="FB43" s="25"/>
      <c r="FC43" s="20"/>
      <c r="FD43" s="25"/>
      <c r="FE43" s="25"/>
      <c r="FF43" s="20"/>
      <c r="FG43" s="25"/>
      <c r="FH43" s="25"/>
      <c r="FI43" s="20"/>
      <c r="FJ43" s="25"/>
      <c r="FK43" s="25"/>
      <c r="FL43" s="20"/>
      <c r="FM43" s="25"/>
      <c r="FN43" s="25"/>
      <c r="FO43" s="20"/>
      <c r="FP43" s="25"/>
      <c r="FQ43" s="25"/>
      <c r="FR43" s="20"/>
      <c r="FS43" s="25"/>
      <c r="FT43" s="25"/>
      <c r="FU43" s="20"/>
      <c r="FV43" s="25"/>
      <c r="FW43" s="25"/>
      <c r="FX43" s="20"/>
      <c r="FY43" s="25"/>
      <c r="FZ43" s="25"/>
      <c r="GA43" s="20"/>
      <c r="GB43" s="25"/>
      <c r="GC43" s="25"/>
      <c r="GD43" s="20"/>
      <c r="GE43" s="25"/>
      <c r="GF43" s="25"/>
      <c r="GG43" s="20"/>
      <c r="GH43" s="25"/>
      <c r="GI43" s="25"/>
      <c r="GJ43" s="20"/>
      <c r="GK43" s="25"/>
      <c r="GL43" s="25"/>
      <c r="GM43" s="20"/>
      <c r="GN43" s="25"/>
      <c r="GO43" s="25"/>
      <c r="GP43" s="20"/>
      <c r="GQ43" s="25"/>
      <c r="GR43" s="25"/>
      <c r="GS43" s="20"/>
      <c r="GT43" s="25"/>
      <c r="GU43" s="25"/>
      <c r="GV43" s="20"/>
      <c r="GW43" s="25"/>
      <c r="GX43" s="25"/>
      <c r="GY43" s="20"/>
      <c r="GZ43" s="25"/>
      <c r="HA43" s="25"/>
      <c r="HB43" s="20"/>
      <c r="HC43" s="25"/>
      <c r="HD43" s="25"/>
      <c r="HE43" s="20"/>
      <c r="HF43" s="25"/>
      <c r="HG43" s="25"/>
      <c r="HH43" s="20"/>
      <c r="HI43" s="25"/>
      <c r="HJ43" s="25"/>
      <c r="HK43" s="20"/>
      <c r="HL43" s="25"/>
      <c r="HM43" s="25"/>
      <c r="HN43" s="20">
        <v>12</v>
      </c>
      <c r="HO43" s="25">
        <v>3851.2799999999997</v>
      </c>
      <c r="HP43" s="25">
        <v>53.49</v>
      </c>
      <c r="HQ43" s="20">
        <v>91</v>
      </c>
      <c r="HR43" s="25">
        <v>12098.540786922382</v>
      </c>
      <c r="HS43" s="25">
        <v>175.38717978203968</v>
      </c>
    </row>
    <row r="44" spans="1:227" ht="14.25">
      <c r="A44" s="169" t="s">
        <v>14</v>
      </c>
      <c r="B44" s="278" t="s">
        <v>25</v>
      </c>
      <c r="C44" s="171"/>
      <c r="D44" s="311">
        <v>95.13</v>
      </c>
      <c r="E44" s="170" cm="1">
        <f t="array" ref="E44">tabUniformes[[#This Row],[Valor Inicial]]*IFERROR(PRODUCT(1+_xlfn._xlws.FILTER(tabIndices[PERCENTUAL],tabIndices[DATA DA PUBLICAÇÃO]&gt;tabUniformes[[#This Row],[DATA PUBLICAÇÃO]])),1)</f>
        <v>95.13</v>
      </c>
      <c r="F44" s="172">
        <v>1</v>
      </c>
      <c r="G44" s="172" t="s">
        <v>45</v>
      </c>
      <c r="H44" s="172">
        <v>3</v>
      </c>
      <c r="I44" s="173">
        <v>180.4555081992533</v>
      </c>
      <c r="J44" s="172">
        <v>3</v>
      </c>
      <c r="K44" s="170">
        <v>5.0126530055348137</v>
      </c>
      <c r="M44" t="s">
        <v>77</v>
      </c>
      <c r="N44">
        <v>5</v>
      </c>
      <c r="O44" s="20"/>
      <c r="P44" s="25"/>
      <c r="Q44" s="25"/>
      <c r="R44" s="20"/>
      <c r="S44" s="25"/>
      <c r="T44" s="25"/>
      <c r="U44" s="20"/>
      <c r="V44" s="25"/>
      <c r="W44" s="25"/>
      <c r="X44" s="20">
        <v>20</v>
      </c>
      <c r="Y44" s="25">
        <v>1082.7330491955197</v>
      </c>
      <c r="Z44" s="25">
        <v>18.045550819925328</v>
      </c>
      <c r="AA44" s="20"/>
      <c r="AB44" s="25"/>
      <c r="AC44" s="25"/>
      <c r="AD44" s="20">
        <v>30</v>
      </c>
      <c r="AE44" s="25">
        <v>1263.1885573947729</v>
      </c>
      <c r="AF44" s="25">
        <v>21.053142623246217</v>
      </c>
      <c r="AG44" s="20">
        <v>5</v>
      </c>
      <c r="AH44" s="25">
        <v>300.75918033208882</v>
      </c>
      <c r="AI44" s="25">
        <v>5.0126530055348137</v>
      </c>
      <c r="AJ44" s="20"/>
      <c r="AK44" s="25"/>
      <c r="AL44" s="25"/>
      <c r="AM44" s="20"/>
      <c r="AN44" s="25"/>
      <c r="AO44" s="25"/>
      <c r="AP44" s="20"/>
      <c r="AQ44" s="25"/>
      <c r="AR44" s="25"/>
      <c r="AS44" s="20"/>
      <c r="AT44" s="25"/>
      <c r="AU44" s="25"/>
      <c r="AV44" s="20"/>
      <c r="AW44" s="25"/>
      <c r="AX44" s="25"/>
      <c r="AY44" s="20"/>
      <c r="AZ44" s="25"/>
      <c r="BA44" s="25"/>
      <c r="BB44" s="20"/>
      <c r="BC44" s="25"/>
      <c r="BD44" s="25"/>
      <c r="BE44" s="20"/>
      <c r="BF44" s="25"/>
      <c r="BG44" s="25"/>
      <c r="BH44" s="20"/>
      <c r="BI44" s="25"/>
      <c r="BJ44" s="25"/>
      <c r="BK44" s="20"/>
      <c r="BL44" s="25"/>
      <c r="BM44" s="25"/>
      <c r="BN44" s="20"/>
      <c r="BO44" s="25"/>
      <c r="BP44" s="25"/>
      <c r="BQ44" s="20"/>
      <c r="BR44" s="25"/>
      <c r="BS44" s="25"/>
      <c r="BT44" s="20"/>
      <c r="BU44" s="25"/>
      <c r="BV44" s="25"/>
      <c r="BW44" s="20"/>
      <c r="BX44" s="25"/>
      <c r="BY44" s="25"/>
      <c r="BZ44" s="20"/>
      <c r="CA44" s="25"/>
      <c r="CB44" s="25"/>
      <c r="CC44" s="20">
        <v>10</v>
      </c>
      <c r="CD44" s="25">
        <v>2800.4</v>
      </c>
      <c r="CE44" s="25">
        <v>46.673333333333332</v>
      </c>
      <c r="CF44" s="20"/>
      <c r="CG44" s="25"/>
      <c r="CH44" s="25"/>
      <c r="CI44" s="20"/>
      <c r="CJ44" s="25"/>
      <c r="CK44" s="25"/>
      <c r="CL44" s="20"/>
      <c r="CM44" s="25"/>
      <c r="CN44" s="25"/>
      <c r="CO44" s="20"/>
      <c r="CP44" s="25"/>
      <c r="CQ44" s="25"/>
      <c r="CR44" s="20"/>
      <c r="CS44" s="25"/>
      <c r="CT44" s="25"/>
      <c r="CU44" s="20"/>
      <c r="CV44" s="25"/>
      <c r="CW44" s="25"/>
      <c r="CX44" s="20"/>
      <c r="CY44" s="25"/>
      <c r="CZ44" s="25"/>
      <c r="DA44" s="20"/>
      <c r="DB44" s="25"/>
      <c r="DC44" s="25"/>
      <c r="DD44" s="20">
        <v>5</v>
      </c>
      <c r="DE44" s="25">
        <v>111</v>
      </c>
      <c r="DF44" s="25">
        <v>1.85</v>
      </c>
      <c r="DG44" s="20"/>
      <c r="DH44" s="25"/>
      <c r="DI44" s="25"/>
      <c r="DJ44" s="20">
        <v>5</v>
      </c>
      <c r="DK44" s="25">
        <v>1755.75</v>
      </c>
      <c r="DL44" s="25">
        <v>29.262499999999999</v>
      </c>
      <c r="DM44" s="20"/>
      <c r="DN44" s="25"/>
      <c r="DO44" s="25"/>
      <c r="DP44" s="20"/>
      <c r="DQ44" s="25"/>
      <c r="DR44" s="25"/>
      <c r="DS44" s="20"/>
      <c r="DT44" s="25"/>
      <c r="DU44" s="25"/>
      <c r="DV44" s="20"/>
      <c r="DW44" s="25"/>
      <c r="DX44" s="25"/>
      <c r="DY44" s="20"/>
      <c r="DZ44" s="25"/>
      <c r="EA44" s="25"/>
      <c r="EB44" s="20"/>
      <c r="EC44" s="25"/>
      <c r="ED44" s="25"/>
      <c r="EE44" s="20"/>
      <c r="EF44" s="25"/>
      <c r="EG44" s="25"/>
      <c r="EH44" s="20"/>
      <c r="EI44" s="25"/>
      <c r="EJ44" s="25"/>
      <c r="EK44" s="20"/>
      <c r="EL44" s="25"/>
      <c r="EM44" s="25"/>
      <c r="EN44" s="20"/>
      <c r="EO44" s="25"/>
      <c r="EP44" s="25"/>
      <c r="EQ44" s="20"/>
      <c r="ER44" s="25"/>
      <c r="ES44" s="25"/>
      <c r="ET44" s="20"/>
      <c r="EU44" s="25"/>
      <c r="EV44" s="25"/>
      <c r="EW44" s="20"/>
      <c r="EX44" s="25"/>
      <c r="EY44" s="25"/>
      <c r="EZ44" s="20"/>
      <c r="FA44" s="25"/>
      <c r="FB44" s="25"/>
      <c r="FC44" s="20"/>
      <c r="FD44" s="25"/>
      <c r="FE44" s="25"/>
      <c r="FF44" s="20"/>
      <c r="FG44" s="25"/>
      <c r="FH44" s="25"/>
      <c r="FI44" s="20"/>
      <c r="FJ44" s="25"/>
      <c r="FK44" s="25"/>
      <c r="FL44" s="20"/>
      <c r="FM44" s="25"/>
      <c r="FN44" s="25"/>
      <c r="FO44" s="20"/>
      <c r="FP44" s="25"/>
      <c r="FQ44" s="25"/>
      <c r="FR44" s="20"/>
      <c r="FS44" s="25"/>
      <c r="FT44" s="25"/>
      <c r="FU44" s="20"/>
      <c r="FV44" s="25"/>
      <c r="FW44" s="25"/>
      <c r="FX44" s="20"/>
      <c r="FY44" s="25"/>
      <c r="FZ44" s="25"/>
      <c r="GA44" s="20"/>
      <c r="GB44" s="25"/>
      <c r="GC44" s="25"/>
      <c r="GD44" s="20"/>
      <c r="GE44" s="25"/>
      <c r="GF44" s="25"/>
      <c r="GG44" s="20"/>
      <c r="GH44" s="25"/>
      <c r="GI44" s="25"/>
      <c r="GJ44" s="20"/>
      <c r="GK44" s="25"/>
      <c r="GL44" s="25"/>
      <c r="GM44" s="20"/>
      <c r="GN44" s="25"/>
      <c r="GO44" s="25"/>
      <c r="GP44" s="20"/>
      <c r="GQ44" s="25"/>
      <c r="GR44" s="25"/>
      <c r="GS44" s="20"/>
      <c r="GT44" s="25"/>
      <c r="GU44" s="25"/>
      <c r="GV44" s="20"/>
      <c r="GW44" s="25"/>
      <c r="GX44" s="25"/>
      <c r="GY44" s="20"/>
      <c r="GZ44" s="25"/>
      <c r="HA44" s="25"/>
      <c r="HB44" s="20"/>
      <c r="HC44" s="25"/>
      <c r="HD44" s="25"/>
      <c r="HE44" s="20"/>
      <c r="HF44" s="25"/>
      <c r="HG44" s="25"/>
      <c r="HH44" s="20"/>
      <c r="HI44" s="25"/>
      <c r="HJ44" s="25"/>
      <c r="HK44" s="20"/>
      <c r="HL44" s="25"/>
      <c r="HM44" s="25"/>
      <c r="HN44" s="20">
        <v>10</v>
      </c>
      <c r="HO44" s="25">
        <v>3209.4</v>
      </c>
      <c r="HP44" s="25">
        <v>53.489999999999995</v>
      </c>
      <c r="HQ44" s="20">
        <v>85</v>
      </c>
      <c r="HR44" s="25">
        <v>10523.230786922382</v>
      </c>
      <c r="HS44" s="25">
        <v>175.38717978203968</v>
      </c>
    </row>
    <row r="45" spans="1:227" ht="14.25">
      <c r="A45" s="169" t="s">
        <v>1853</v>
      </c>
      <c r="B45" s="278" t="s">
        <v>1809</v>
      </c>
      <c r="C45" s="171"/>
      <c r="D45" s="311">
        <v>7.67</v>
      </c>
      <c r="E45" s="170" cm="1">
        <f t="array" ref="E45">tabUniformes[[#This Row],[Valor Inicial]]*IFERROR(PRODUCT(1+_xlfn._xlws.FILTER(tabIndices[PERCENTUAL],tabIndices[DATA DA PUBLICAÇÃO]&gt;tabUniformes[[#This Row],[DATA PUBLICAÇÃO]])),1)</f>
        <v>7.67</v>
      </c>
      <c r="F45" s="172">
        <v>12</v>
      </c>
      <c r="G45" s="172" t="s">
        <v>45</v>
      </c>
      <c r="H45" s="172">
        <v>3</v>
      </c>
      <c r="I45" s="173">
        <f>tabUniformes[[#This Row],[Valor Reajustado]]*tabUniformes[[#This Row],[Qtde Anual de Peças]]*tabUniformes[[#This Row],[Qtde. funcionários]]</f>
        <v>276.12</v>
      </c>
      <c r="J45" s="172">
        <f>tabUniformes[[#This Row],[Qtde Anual de Peças]]*tabUniformes[[#This Row],[Qtde. funcionários]]</f>
        <v>36</v>
      </c>
      <c r="K45" s="170">
        <f>IFERROR(tabUniformes[[#This Row],[Total]]/12/tabUniformes[[#This Row],[Qtde. funcionários]],0)</f>
        <v>7.6700000000000008</v>
      </c>
      <c r="M45" t="s">
        <v>78</v>
      </c>
      <c r="N45">
        <v>4</v>
      </c>
      <c r="O45" s="20">
        <v>4</v>
      </c>
      <c r="P45" s="25">
        <v>312.78954754537239</v>
      </c>
      <c r="Q45" s="25">
        <v>6.516448907195258</v>
      </c>
      <c r="R45" s="20">
        <v>16</v>
      </c>
      <c r="S45" s="25">
        <v>673.70056394387893</v>
      </c>
      <c r="T45" s="25">
        <v>14.035428415497478</v>
      </c>
      <c r="U45" s="20"/>
      <c r="V45" s="25"/>
      <c r="W45" s="25"/>
      <c r="X45" s="20"/>
      <c r="Y45" s="25"/>
      <c r="Z45" s="25"/>
      <c r="AA45" s="20"/>
      <c r="AB45" s="25"/>
      <c r="AC45" s="25"/>
      <c r="AD45" s="20"/>
      <c r="AE45" s="25"/>
      <c r="AF45" s="25"/>
      <c r="AG45" s="20"/>
      <c r="AH45" s="25"/>
      <c r="AI45" s="25"/>
      <c r="AJ45" s="20"/>
      <c r="AK45" s="25"/>
      <c r="AL45" s="25"/>
      <c r="AM45" s="20"/>
      <c r="AN45" s="25"/>
      <c r="AO45" s="25"/>
      <c r="AP45" s="20"/>
      <c r="AQ45" s="25"/>
      <c r="AR45" s="25"/>
      <c r="AS45" s="20"/>
      <c r="AT45" s="25"/>
      <c r="AU45" s="25"/>
      <c r="AV45" s="20"/>
      <c r="AW45" s="25"/>
      <c r="AX45" s="25"/>
      <c r="AY45" s="20"/>
      <c r="AZ45" s="25"/>
      <c r="BA45" s="25"/>
      <c r="BB45" s="20"/>
      <c r="BC45" s="25"/>
      <c r="BD45" s="25"/>
      <c r="BE45" s="20">
        <v>16</v>
      </c>
      <c r="BF45" s="25">
        <v>769.94350165014737</v>
      </c>
      <c r="BG45" s="25">
        <v>16.040489617711405</v>
      </c>
      <c r="BH45" s="20">
        <v>4</v>
      </c>
      <c r="BI45" s="25">
        <v>288.72881311880525</v>
      </c>
      <c r="BJ45" s="25">
        <v>6.0151836066417763</v>
      </c>
      <c r="BK45" s="20"/>
      <c r="BL45" s="25"/>
      <c r="BM45" s="25"/>
      <c r="BN45" s="20"/>
      <c r="BO45" s="25"/>
      <c r="BP45" s="25"/>
      <c r="BQ45" s="20"/>
      <c r="BR45" s="25"/>
      <c r="BS45" s="25"/>
      <c r="BT45" s="20"/>
      <c r="BU45" s="25"/>
      <c r="BV45" s="25"/>
      <c r="BW45" s="20"/>
      <c r="BX45" s="25"/>
      <c r="BY45" s="25"/>
      <c r="BZ45" s="20"/>
      <c r="CA45" s="25"/>
      <c r="CB45" s="25"/>
      <c r="CC45" s="20"/>
      <c r="CD45" s="25"/>
      <c r="CE45" s="25"/>
      <c r="CF45" s="20"/>
      <c r="CG45" s="25"/>
      <c r="CH45" s="25"/>
      <c r="CI45" s="20"/>
      <c r="CJ45" s="25"/>
      <c r="CK45" s="25"/>
      <c r="CL45" s="20"/>
      <c r="CM45" s="25"/>
      <c r="CN45" s="25"/>
      <c r="CO45" s="20"/>
      <c r="CP45" s="25"/>
      <c r="CQ45" s="25"/>
      <c r="CR45" s="20"/>
      <c r="CS45" s="25"/>
      <c r="CT45" s="25"/>
      <c r="CU45" s="20"/>
      <c r="CV45" s="25"/>
      <c r="CW45" s="25"/>
      <c r="CX45" s="20"/>
      <c r="CY45" s="25"/>
      <c r="CZ45" s="25"/>
      <c r="DA45" s="20"/>
      <c r="DB45" s="25"/>
      <c r="DC45" s="25"/>
      <c r="DD45" s="20"/>
      <c r="DE45" s="25"/>
      <c r="DF45" s="25"/>
      <c r="DG45" s="20"/>
      <c r="DH45" s="25"/>
      <c r="DI45" s="25"/>
      <c r="DJ45" s="20"/>
      <c r="DK45" s="25"/>
      <c r="DL45" s="25"/>
      <c r="DM45" s="20"/>
      <c r="DN45" s="25"/>
      <c r="DO45" s="25"/>
      <c r="DP45" s="20"/>
      <c r="DQ45" s="25"/>
      <c r="DR45" s="25"/>
      <c r="DS45" s="20"/>
      <c r="DT45" s="25"/>
      <c r="DU45" s="25"/>
      <c r="DV45" s="20"/>
      <c r="DW45" s="25"/>
      <c r="DX45" s="25"/>
      <c r="DY45" s="20"/>
      <c r="DZ45" s="25"/>
      <c r="EA45" s="25"/>
      <c r="EB45" s="20"/>
      <c r="EC45" s="25"/>
      <c r="ED45" s="25"/>
      <c r="EE45" s="20"/>
      <c r="EF45" s="25"/>
      <c r="EG45" s="25"/>
      <c r="EH45" s="20"/>
      <c r="EI45" s="25"/>
      <c r="EJ45" s="25"/>
      <c r="EK45" s="20"/>
      <c r="EL45" s="25"/>
      <c r="EM45" s="25"/>
      <c r="EN45" s="20"/>
      <c r="EO45" s="25"/>
      <c r="EP45" s="25"/>
      <c r="EQ45" s="20"/>
      <c r="ER45" s="25"/>
      <c r="ES45" s="25"/>
      <c r="ET45" s="20"/>
      <c r="EU45" s="25"/>
      <c r="EV45" s="25"/>
      <c r="EW45" s="20"/>
      <c r="EX45" s="25"/>
      <c r="EY45" s="25"/>
      <c r="EZ45" s="20"/>
      <c r="FA45" s="25"/>
      <c r="FB45" s="25"/>
      <c r="FC45" s="20"/>
      <c r="FD45" s="25"/>
      <c r="FE45" s="25"/>
      <c r="FF45" s="20"/>
      <c r="FG45" s="25"/>
      <c r="FH45" s="25"/>
      <c r="FI45" s="20"/>
      <c r="FJ45" s="25"/>
      <c r="FK45" s="25"/>
      <c r="FL45" s="20"/>
      <c r="FM45" s="25"/>
      <c r="FN45" s="25"/>
      <c r="FO45" s="20"/>
      <c r="FP45" s="25"/>
      <c r="FQ45" s="25"/>
      <c r="FR45" s="20"/>
      <c r="FS45" s="25"/>
      <c r="FT45" s="25"/>
      <c r="FU45" s="20"/>
      <c r="FV45" s="25"/>
      <c r="FW45" s="25"/>
      <c r="FX45" s="20"/>
      <c r="FY45" s="25"/>
      <c r="FZ45" s="25"/>
      <c r="GA45" s="20"/>
      <c r="GB45" s="25"/>
      <c r="GC45" s="25"/>
      <c r="GD45" s="20"/>
      <c r="GE45" s="25"/>
      <c r="GF45" s="25"/>
      <c r="GG45" s="20"/>
      <c r="GH45" s="25"/>
      <c r="GI45" s="25"/>
      <c r="GJ45" s="20"/>
      <c r="GK45" s="25"/>
      <c r="GL45" s="25"/>
      <c r="GM45" s="20"/>
      <c r="GN45" s="25"/>
      <c r="GO45" s="25"/>
      <c r="GP45" s="20"/>
      <c r="GQ45" s="25"/>
      <c r="GR45" s="25"/>
      <c r="GS45" s="20"/>
      <c r="GT45" s="25"/>
      <c r="GU45" s="25"/>
      <c r="GV45" s="20"/>
      <c r="GW45" s="25"/>
      <c r="GX45" s="25"/>
      <c r="GY45" s="20"/>
      <c r="GZ45" s="25"/>
      <c r="HA45" s="25"/>
      <c r="HB45" s="20"/>
      <c r="HC45" s="25"/>
      <c r="HD45" s="25"/>
      <c r="HE45" s="20"/>
      <c r="HF45" s="25"/>
      <c r="HG45" s="25"/>
      <c r="HH45" s="20"/>
      <c r="HI45" s="25"/>
      <c r="HJ45" s="25"/>
      <c r="HK45" s="20"/>
      <c r="HL45" s="25"/>
      <c r="HM45" s="25"/>
      <c r="HN45" s="20"/>
      <c r="HO45" s="25"/>
      <c r="HP45" s="25"/>
      <c r="HQ45" s="20">
        <v>40</v>
      </c>
      <c r="HR45" s="25">
        <v>2045.1624262582041</v>
      </c>
      <c r="HS45" s="25">
        <v>42.607550547045918</v>
      </c>
    </row>
    <row r="46" spans="1:227" ht="14.25">
      <c r="A46" s="169" t="s">
        <v>12</v>
      </c>
      <c r="B46" s="278" t="s">
        <v>32</v>
      </c>
      <c r="C46" s="171"/>
      <c r="D46" s="311">
        <v>69.83</v>
      </c>
      <c r="E46" s="170" cm="1">
        <f t="array" ref="E46">tabUniformes[[#This Row],[Valor Inicial]]*IFERROR(PRODUCT(1+_xlfn._xlws.FILTER(tabIndices[PERCENTUAL],tabIndices[DATA DA PUBLICAÇÃO]&gt;tabUniformes[[#This Row],[DATA PUBLICAÇÃO]])),1)</f>
        <v>69.83</v>
      </c>
      <c r="F46" s="172">
        <v>6</v>
      </c>
      <c r="G46" s="172" t="s">
        <v>45</v>
      </c>
      <c r="H46" s="172">
        <v>3</v>
      </c>
      <c r="I46" s="173">
        <v>757.91313443686386</v>
      </c>
      <c r="J46" s="172">
        <v>18</v>
      </c>
      <c r="K46" s="170">
        <v>21.05314262324622</v>
      </c>
      <c r="M46" t="s">
        <v>1362</v>
      </c>
      <c r="N46">
        <v>159</v>
      </c>
      <c r="O46" s="20">
        <v>157</v>
      </c>
      <c r="P46" s="25">
        <v>12276.989741155867</v>
      </c>
      <c r="Q46" s="25">
        <v>6.516448907195258</v>
      </c>
      <c r="R46" s="20">
        <v>628</v>
      </c>
      <c r="S46" s="25">
        <v>26442.74713479725</v>
      </c>
      <c r="T46" s="25">
        <v>14.035428415497478</v>
      </c>
      <c r="U46" s="20"/>
      <c r="V46" s="25"/>
      <c r="W46" s="25"/>
      <c r="X46" s="20"/>
      <c r="Y46" s="25"/>
      <c r="Z46" s="25"/>
      <c r="AA46" s="20"/>
      <c r="AB46" s="25"/>
      <c r="AC46" s="25"/>
      <c r="AD46" s="20"/>
      <c r="AE46" s="25"/>
      <c r="AF46" s="25"/>
      <c r="AG46" s="20"/>
      <c r="AH46" s="25"/>
      <c r="AI46" s="25"/>
      <c r="AJ46" s="20"/>
      <c r="AK46" s="25"/>
      <c r="AL46" s="25"/>
      <c r="AM46" s="20"/>
      <c r="AN46" s="25"/>
      <c r="AO46" s="25"/>
      <c r="AP46" s="20"/>
      <c r="AQ46" s="25"/>
      <c r="AR46" s="25"/>
      <c r="AS46" s="20">
        <v>314</v>
      </c>
      <c r="AT46" s="25">
        <v>7932.8241404391747</v>
      </c>
      <c r="AU46" s="25">
        <v>4.2106285246492439</v>
      </c>
      <c r="AV46" s="20"/>
      <c r="AW46" s="25"/>
      <c r="AX46" s="25"/>
      <c r="AY46" s="20"/>
      <c r="AZ46" s="25"/>
      <c r="BA46" s="25"/>
      <c r="BB46" s="20"/>
      <c r="BC46" s="25"/>
      <c r="BD46" s="25"/>
      <c r="BE46" s="20">
        <v>1570</v>
      </c>
      <c r="BF46" s="25">
        <v>75550.706099420713</v>
      </c>
      <c r="BG46" s="25">
        <v>40.10122404427851</v>
      </c>
      <c r="BH46" s="20">
        <v>314</v>
      </c>
      <c r="BI46" s="25">
        <v>22665.21182982621</v>
      </c>
      <c r="BJ46" s="25">
        <v>12.030367213283551</v>
      </c>
      <c r="BK46" s="20"/>
      <c r="BL46" s="25"/>
      <c r="BM46" s="25"/>
      <c r="BN46" s="20"/>
      <c r="BO46" s="25"/>
      <c r="BP46" s="25"/>
      <c r="BQ46" s="20"/>
      <c r="BR46" s="25"/>
      <c r="BS46" s="25"/>
      <c r="BT46" s="20"/>
      <c r="BU46" s="25"/>
      <c r="BV46" s="25"/>
      <c r="BW46" s="20"/>
      <c r="BX46" s="25"/>
      <c r="BY46" s="25"/>
      <c r="BZ46" s="20"/>
      <c r="CA46" s="25"/>
      <c r="CB46" s="25"/>
      <c r="CC46" s="20"/>
      <c r="CD46" s="25"/>
      <c r="CE46" s="25"/>
      <c r="CF46" s="20"/>
      <c r="CG46" s="25"/>
      <c r="CH46" s="25"/>
      <c r="CI46" s="20"/>
      <c r="CJ46" s="25"/>
      <c r="CK46" s="25"/>
      <c r="CL46" s="20"/>
      <c r="CM46" s="25"/>
      <c r="CN46" s="25"/>
      <c r="CO46" s="20"/>
      <c r="CP46" s="25"/>
      <c r="CQ46" s="25"/>
      <c r="CR46" s="20"/>
      <c r="CS46" s="25"/>
      <c r="CT46" s="25"/>
      <c r="CU46" s="20"/>
      <c r="CV46" s="25"/>
      <c r="CW46" s="25"/>
      <c r="CX46" s="20"/>
      <c r="CY46" s="25"/>
      <c r="CZ46" s="25"/>
      <c r="DA46" s="20"/>
      <c r="DB46" s="25"/>
      <c r="DC46" s="25"/>
      <c r="DD46" s="20"/>
      <c r="DE46" s="25"/>
      <c r="DF46" s="25"/>
      <c r="DG46" s="20"/>
      <c r="DH46" s="25"/>
      <c r="DI46" s="25"/>
      <c r="DJ46" s="20"/>
      <c r="DK46" s="25"/>
      <c r="DL46" s="25"/>
      <c r="DM46" s="20"/>
      <c r="DN46" s="25"/>
      <c r="DO46" s="25"/>
      <c r="DP46" s="20"/>
      <c r="DQ46" s="25"/>
      <c r="DR46" s="25"/>
      <c r="DS46" s="20"/>
      <c r="DT46" s="25"/>
      <c r="DU46" s="25"/>
      <c r="DV46" s="20"/>
      <c r="DW46" s="25"/>
      <c r="DX46" s="25"/>
      <c r="DY46" s="20"/>
      <c r="DZ46" s="25"/>
      <c r="EA46" s="25"/>
      <c r="EB46" s="20"/>
      <c r="EC46" s="25"/>
      <c r="ED46" s="25"/>
      <c r="EE46" s="20"/>
      <c r="EF46" s="25"/>
      <c r="EG46" s="25"/>
      <c r="EH46" s="20"/>
      <c r="EI46" s="25"/>
      <c r="EJ46" s="25"/>
      <c r="EK46" s="20"/>
      <c r="EL46" s="25"/>
      <c r="EM46" s="25"/>
      <c r="EN46" s="20"/>
      <c r="EO46" s="25"/>
      <c r="EP46" s="25"/>
      <c r="EQ46" s="20"/>
      <c r="ER46" s="25"/>
      <c r="ES46" s="25"/>
      <c r="ET46" s="20"/>
      <c r="EU46" s="25"/>
      <c r="EV46" s="25"/>
      <c r="EW46" s="20"/>
      <c r="EX46" s="25"/>
      <c r="EY46" s="25"/>
      <c r="EZ46" s="20"/>
      <c r="FA46" s="25"/>
      <c r="FB46" s="25"/>
      <c r="FC46" s="20"/>
      <c r="FD46" s="25"/>
      <c r="FE46" s="25"/>
      <c r="FF46" s="20"/>
      <c r="FG46" s="25"/>
      <c r="FH46" s="25"/>
      <c r="FI46" s="20"/>
      <c r="FJ46" s="25"/>
      <c r="FK46" s="25"/>
      <c r="FL46" s="20"/>
      <c r="FM46" s="25"/>
      <c r="FN46" s="25"/>
      <c r="FO46" s="20"/>
      <c r="FP46" s="25"/>
      <c r="FQ46" s="25"/>
      <c r="FR46" s="20"/>
      <c r="FS46" s="25"/>
      <c r="FT46" s="25"/>
      <c r="FU46" s="20"/>
      <c r="FV46" s="25"/>
      <c r="FW46" s="25"/>
      <c r="FX46" s="20"/>
      <c r="FY46" s="25"/>
      <c r="FZ46" s="25"/>
      <c r="GA46" s="20"/>
      <c r="GB46" s="25"/>
      <c r="GC46" s="25"/>
      <c r="GD46" s="20"/>
      <c r="GE46" s="25"/>
      <c r="GF46" s="25"/>
      <c r="GG46" s="20"/>
      <c r="GH46" s="25"/>
      <c r="GI46" s="25"/>
      <c r="GJ46" s="20"/>
      <c r="GK46" s="25"/>
      <c r="GL46" s="25"/>
      <c r="GM46" s="20"/>
      <c r="GN46" s="25"/>
      <c r="GO46" s="25"/>
      <c r="GP46" s="20"/>
      <c r="GQ46" s="25"/>
      <c r="GR46" s="25"/>
      <c r="GS46" s="20"/>
      <c r="GT46" s="25"/>
      <c r="GU46" s="25"/>
      <c r="GV46" s="20"/>
      <c r="GW46" s="25"/>
      <c r="GX46" s="25"/>
      <c r="GY46" s="20"/>
      <c r="GZ46" s="25"/>
      <c r="HA46" s="25"/>
      <c r="HB46" s="20"/>
      <c r="HC46" s="25"/>
      <c r="HD46" s="25"/>
      <c r="HE46" s="20"/>
      <c r="HF46" s="25"/>
      <c r="HG46" s="25"/>
      <c r="HH46" s="20"/>
      <c r="HI46" s="25"/>
      <c r="HJ46" s="25"/>
      <c r="HK46" s="20">
        <v>318</v>
      </c>
      <c r="HL46" s="25">
        <v>29014.32</v>
      </c>
      <c r="HM46" s="25">
        <v>15.206666666666667</v>
      </c>
      <c r="HN46" s="20"/>
      <c r="HO46" s="25"/>
      <c r="HP46" s="25"/>
      <c r="HQ46" s="20">
        <v>3301</v>
      </c>
      <c r="HR46" s="25">
        <v>173882.79894563922</v>
      </c>
      <c r="HS46" s="25">
        <v>92.100763771570712</v>
      </c>
    </row>
    <row r="47" spans="1:227" ht="14.25">
      <c r="A47" s="169" t="s">
        <v>21</v>
      </c>
      <c r="B47" s="278" t="s">
        <v>1810</v>
      </c>
      <c r="C47" s="171"/>
      <c r="D47" s="311">
        <v>24.95</v>
      </c>
      <c r="E47" s="170" cm="1">
        <f t="array" ref="E47">tabUniformes[[#This Row],[Valor Inicial]]*IFERROR(PRODUCT(1+_xlfn._xlws.FILTER(tabIndices[PERCENTUAL],tabIndices[DATA DA PUBLICAÇÃO]&gt;tabUniformes[[#This Row],[DATA PUBLICAÇÃO]])),1)</f>
        <v>24.95</v>
      </c>
      <c r="F47" s="172">
        <v>26</v>
      </c>
      <c r="G47" s="172" t="s">
        <v>45</v>
      </c>
      <c r="H47" s="172">
        <v>3</v>
      </c>
      <c r="I47" s="173">
        <f>tabUniformes[[#This Row],[Valor Reajustado]]*tabUniformes[[#This Row],[Qtde Anual de Peças]]*tabUniformes[[#This Row],[Qtde. funcionários]]</f>
        <v>1946.1</v>
      </c>
      <c r="J47" s="172">
        <f>tabUniformes[[#This Row],[Qtde Anual de Peças]]*tabUniformes[[#This Row],[Qtde. funcionários]]</f>
        <v>78</v>
      </c>
      <c r="K47" s="170">
        <f>IFERROR(tabUniformes[[#This Row],[Total]]/12/tabUniformes[[#This Row],[Qtde. funcionários]],0)</f>
        <v>54.05833333333333</v>
      </c>
      <c r="M47" t="s">
        <v>1360</v>
      </c>
      <c r="N47">
        <v>2</v>
      </c>
      <c r="O47" s="20">
        <v>2</v>
      </c>
      <c r="P47" s="25">
        <v>156.39477377268619</v>
      </c>
      <c r="Q47" s="25">
        <v>6.516448907195258</v>
      </c>
      <c r="R47" s="20">
        <v>8</v>
      </c>
      <c r="S47" s="25">
        <v>336.85028197193947</v>
      </c>
      <c r="T47" s="25">
        <v>14.035428415497478</v>
      </c>
      <c r="U47" s="20"/>
      <c r="V47" s="25"/>
      <c r="W47" s="25"/>
      <c r="X47" s="20"/>
      <c r="Y47" s="25"/>
      <c r="Z47" s="25"/>
      <c r="AA47" s="20"/>
      <c r="AB47" s="25"/>
      <c r="AC47" s="25"/>
      <c r="AD47" s="20"/>
      <c r="AE47" s="25"/>
      <c r="AF47" s="25"/>
      <c r="AG47" s="20"/>
      <c r="AH47" s="25"/>
      <c r="AI47" s="25"/>
      <c r="AJ47" s="20"/>
      <c r="AK47" s="25"/>
      <c r="AL47" s="25"/>
      <c r="AM47" s="20"/>
      <c r="AN47" s="25"/>
      <c r="AO47" s="25"/>
      <c r="AP47" s="20"/>
      <c r="AQ47" s="25"/>
      <c r="AR47" s="25"/>
      <c r="AS47" s="20">
        <v>4</v>
      </c>
      <c r="AT47" s="25">
        <v>101.05508459158185</v>
      </c>
      <c r="AU47" s="25">
        <v>4.2106285246492439</v>
      </c>
      <c r="AV47" s="20"/>
      <c r="AW47" s="25"/>
      <c r="AX47" s="25"/>
      <c r="AY47" s="20"/>
      <c r="AZ47" s="25"/>
      <c r="BA47" s="25"/>
      <c r="BB47" s="20"/>
      <c r="BC47" s="25"/>
      <c r="BD47" s="25"/>
      <c r="BE47" s="20">
        <v>20</v>
      </c>
      <c r="BF47" s="25">
        <v>962.42937706268424</v>
      </c>
      <c r="BG47" s="25">
        <v>40.10122404427851</v>
      </c>
      <c r="BH47" s="20">
        <v>4</v>
      </c>
      <c r="BI47" s="25">
        <v>288.72881311880525</v>
      </c>
      <c r="BJ47" s="25">
        <v>12.030367213283553</v>
      </c>
      <c r="BK47" s="20"/>
      <c r="BL47" s="25"/>
      <c r="BM47" s="25"/>
      <c r="BN47" s="20"/>
      <c r="BO47" s="25"/>
      <c r="BP47" s="25"/>
      <c r="BQ47" s="20"/>
      <c r="BR47" s="25"/>
      <c r="BS47" s="25"/>
      <c r="BT47" s="20"/>
      <c r="BU47" s="25"/>
      <c r="BV47" s="25"/>
      <c r="BW47" s="20"/>
      <c r="BX47" s="25"/>
      <c r="BY47" s="25"/>
      <c r="BZ47" s="20"/>
      <c r="CA47" s="25"/>
      <c r="CB47" s="25"/>
      <c r="CC47" s="20"/>
      <c r="CD47" s="25"/>
      <c r="CE47" s="25"/>
      <c r="CF47" s="20"/>
      <c r="CG47" s="25"/>
      <c r="CH47" s="25"/>
      <c r="CI47" s="20"/>
      <c r="CJ47" s="25"/>
      <c r="CK47" s="25"/>
      <c r="CL47" s="20"/>
      <c r="CM47" s="25"/>
      <c r="CN47" s="25"/>
      <c r="CO47" s="20"/>
      <c r="CP47" s="25"/>
      <c r="CQ47" s="25"/>
      <c r="CR47" s="20"/>
      <c r="CS47" s="25"/>
      <c r="CT47" s="25"/>
      <c r="CU47" s="20"/>
      <c r="CV47" s="25"/>
      <c r="CW47" s="25"/>
      <c r="CX47" s="20"/>
      <c r="CY47" s="25"/>
      <c r="CZ47" s="25"/>
      <c r="DA47" s="20"/>
      <c r="DB47" s="25"/>
      <c r="DC47" s="25"/>
      <c r="DD47" s="20"/>
      <c r="DE47" s="25"/>
      <c r="DF47" s="25"/>
      <c r="DG47" s="20"/>
      <c r="DH47" s="25"/>
      <c r="DI47" s="25"/>
      <c r="DJ47" s="20"/>
      <c r="DK47" s="25"/>
      <c r="DL47" s="25"/>
      <c r="DM47" s="20"/>
      <c r="DN47" s="25"/>
      <c r="DO47" s="25"/>
      <c r="DP47" s="20"/>
      <c r="DQ47" s="25"/>
      <c r="DR47" s="25"/>
      <c r="DS47" s="20"/>
      <c r="DT47" s="25"/>
      <c r="DU47" s="25"/>
      <c r="DV47" s="20"/>
      <c r="DW47" s="25"/>
      <c r="DX47" s="25"/>
      <c r="DY47" s="20"/>
      <c r="DZ47" s="25"/>
      <c r="EA47" s="25"/>
      <c r="EB47" s="20"/>
      <c r="EC47" s="25"/>
      <c r="ED47" s="25"/>
      <c r="EE47" s="20"/>
      <c r="EF47" s="25"/>
      <c r="EG47" s="25"/>
      <c r="EH47" s="20"/>
      <c r="EI47" s="25"/>
      <c r="EJ47" s="25"/>
      <c r="EK47" s="20"/>
      <c r="EL47" s="25"/>
      <c r="EM47" s="25"/>
      <c r="EN47" s="20"/>
      <c r="EO47" s="25"/>
      <c r="EP47" s="25"/>
      <c r="EQ47" s="20"/>
      <c r="ER47" s="25"/>
      <c r="ES47" s="25"/>
      <c r="ET47" s="20"/>
      <c r="EU47" s="25"/>
      <c r="EV47" s="25"/>
      <c r="EW47" s="20"/>
      <c r="EX47" s="25"/>
      <c r="EY47" s="25"/>
      <c r="EZ47" s="20"/>
      <c r="FA47" s="25"/>
      <c r="FB47" s="25"/>
      <c r="FC47" s="20"/>
      <c r="FD47" s="25"/>
      <c r="FE47" s="25"/>
      <c r="FF47" s="20"/>
      <c r="FG47" s="25"/>
      <c r="FH47" s="25"/>
      <c r="FI47" s="20"/>
      <c r="FJ47" s="25"/>
      <c r="FK47" s="25"/>
      <c r="FL47" s="20"/>
      <c r="FM47" s="25"/>
      <c r="FN47" s="25"/>
      <c r="FO47" s="20"/>
      <c r="FP47" s="25"/>
      <c r="FQ47" s="25"/>
      <c r="FR47" s="20"/>
      <c r="FS47" s="25"/>
      <c r="FT47" s="25"/>
      <c r="FU47" s="20"/>
      <c r="FV47" s="25"/>
      <c r="FW47" s="25"/>
      <c r="FX47" s="20"/>
      <c r="FY47" s="25"/>
      <c r="FZ47" s="25"/>
      <c r="GA47" s="20"/>
      <c r="GB47" s="25"/>
      <c r="GC47" s="25"/>
      <c r="GD47" s="20"/>
      <c r="GE47" s="25"/>
      <c r="GF47" s="25"/>
      <c r="GG47" s="20"/>
      <c r="GH47" s="25"/>
      <c r="GI47" s="25"/>
      <c r="GJ47" s="20"/>
      <c r="GK47" s="25"/>
      <c r="GL47" s="25"/>
      <c r="GM47" s="20"/>
      <c r="GN47" s="25"/>
      <c r="GO47" s="25"/>
      <c r="GP47" s="20"/>
      <c r="GQ47" s="25"/>
      <c r="GR47" s="25"/>
      <c r="GS47" s="20"/>
      <c r="GT47" s="25"/>
      <c r="GU47" s="25"/>
      <c r="GV47" s="20"/>
      <c r="GW47" s="25"/>
      <c r="GX47" s="25"/>
      <c r="GY47" s="20"/>
      <c r="GZ47" s="25"/>
      <c r="HA47" s="25"/>
      <c r="HB47" s="20"/>
      <c r="HC47" s="25"/>
      <c r="HD47" s="25"/>
      <c r="HE47" s="20"/>
      <c r="HF47" s="25"/>
      <c r="HG47" s="25"/>
      <c r="HH47" s="20"/>
      <c r="HI47" s="25"/>
      <c r="HJ47" s="25"/>
      <c r="HK47" s="20">
        <v>4</v>
      </c>
      <c r="HL47" s="25">
        <v>364.96</v>
      </c>
      <c r="HM47" s="25">
        <v>15.206666666666665</v>
      </c>
      <c r="HN47" s="20"/>
      <c r="HO47" s="25"/>
      <c r="HP47" s="25"/>
      <c r="HQ47" s="20">
        <v>42</v>
      </c>
      <c r="HR47" s="25">
        <v>2210.4183305176971</v>
      </c>
      <c r="HS47" s="25">
        <v>92.100763771570712</v>
      </c>
    </row>
    <row r="48" spans="1:227" ht="14.25">
      <c r="A48" s="169" t="s">
        <v>1863</v>
      </c>
      <c r="B48" s="278" t="s">
        <v>1811</v>
      </c>
      <c r="C48" s="171"/>
      <c r="D48" s="311">
        <v>0.91</v>
      </c>
      <c r="E48" s="170" cm="1">
        <f t="array" ref="E48">tabUniformes[[#This Row],[Valor Inicial]]*IFERROR(PRODUCT(1+_xlfn._xlws.FILTER(tabIndices[PERCENTUAL],tabIndices[DATA DA PUBLICAÇÃO]&gt;tabUniformes[[#This Row],[DATA PUBLICAÇÃO]])),1)</f>
        <v>0.91</v>
      </c>
      <c r="F48" s="172">
        <v>26</v>
      </c>
      <c r="G48" s="172" t="s">
        <v>45</v>
      </c>
      <c r="H48" s="172">
        <v>3</v>
      </c>
      <c r="I48" s="173">
        <f>tabUniformes[[#This Row],[Valor Reajustado]]*tabUniformes[[#This Row],[Qtde Anual de Peças]]*tabUniformes[[#This Row],[Qtde. funcionários]]</f>
        <v>70.98</v>
      </c>
      <c r="J48" s="172">
        <f>tabUniformes[[#This Row],[Qtde Anual de Peças]]*tabUniformes[[#This Row],[Qtde. funcionários]]</f>
        <v>78</v>
      </c>
      <c r="K48" s="170">
        <f>IFERROR(tabUniformes[[#This Row],[Total]]/12/tabUniformes[[#This Row],[Qtde. funcionários]],0)</f>
        <v>1.9716666666666667</v>
      </c>
      <c r="M48" t="s">
        <v>1361</v>
      </c>
      <c r="N48">
        <v>1</v>
      </c>
      <c r="O48" s="20">
        <v>1</v>
      </c>
      <c r="P48" s="25">
        <v>78.197386886343097</v>
      </c>
      <c r="Q48" s="25">
        <v>6.516448907195258</v>
      </c>
      <c r="R48" s="20">
        <v>4</v>
      </c>
      <c r="S48" s="25">
        <v>168.42514098596973</v>
      </c>
      <c r="T48" s="25">
        <v>14.035428415497478</v>
      </c>
      <c r="U48" s="20"/>
      <c r="V48" s="25"/>
      <c r="W48" s="25"/>
      <c r="X48" s="20"/>
      <c r="Y48" s="25"/>
      <c r="Z48" s="25"/>
      <c r="AA48" s="20"/>
      <c r="AB48" s="25"/>
      <c r="AC48" s="25"/>
      <c r="AD48" s="20"/>
      <c r="AE48" s="25"/>
      <c r="AF48" s="25"/>
      <c r="AG48" s="20"/>
      <c r="AH48" s="25"/>
      <c r="AI48" s="25"/>
      <c r="AJ48" s="20"/>
      <c r="AK48" s="25"/>
      <c r="AL48" s="25"/>
      <c r="AM48" s="20"/>
      <c r="AN48" s="25"/>
      <c r="AO48" s="25"/>
      <c r="AP48" s="20"/>
      <c r="AQ48" s="25"/>
      <c r="AR48" s="25"/>
      <c r="AS48" s="20">
        <v>2</v>
      </c>
      <c r="AT48" s="25">
        <v>50.527542295790923</v>
      </c>
      <c r="AU48" s="25">
        <v>4.2106285246492439</v>
      </c>
      <c r="AV48" s="20"/>
      <c r="AW48" s="25"/>
      <c r="AX48" s="25"/>
      <c r="AY48" s="20"/>
      <c r="AZ48" s="25"/>
      <c r="BA48" s="25"/>
      <c r="BB48" s="20"/>
      <c r="BC48" s="25"/>
      <c r="BD48" s="25"/>
      <c r="BE48" s="20">
        <v>10</v>
      </c>
      <c r="BF48" s="25">
        <v>481.21468853134212</v>
      </c>
      <c r="BG48" s="25">
        <v>40.10122404427851</v>
      </c>
      <c r="BH48" s="20">
        <v>2</v>
      </c>
      <c r="BI48" s="25">
        <v>144.36440655940262</v>
      </c>
      <c r="BJ48" s="25">
        <v>12.030367213283553</v>
      </c>
      <c r="BK48" s="20"/>
      <c r="BL48" s="25"/>
      <c r="BM48" s="25"/>
      <c r="BN48" s="20"/>
      <c r="BO48" s="25"/>
      <c r="BP48" s="25"/>
      <c r="BQ48" s="20"/>
      <c r="BR48" s="25"/>
      <c r="BS48" s="25"/>
      <c r="BT48" s="20"/>
      <c r="BU48" s="25"/>
      <c r="BV48" s="25"/>
      <c r="BW48" s="20"/>
      <c r="BX48" s="25"/>
      <c r="BY48" s="25"/>
      <c r="BZ48" s="20"/>
      <c r="CA48" s="25"/>
      <c r="CB48" s="25"/>
      <c r="CC48" s="20"/>
      <c r="CD48" s="25"/>
      <c r="CE48" s="25"/>
      <c r="CF48" s="20"/>
      <c r="CG48" s="25"/>
      <c r="CH48" s="25"/>
      <c r="CI48" s="20"/>
      <c r="CJ48" s="25"/>
      <c r="CK48" s="25"/>
      <c r="CL48" s="20"/>
      <c r="CM48" s="25"/>
      <c r="CN48" s="25"/>
      <c r="CO48" s="20"/>
      <c r="CP48" s="25"/>
      <c r="CQ48" s="25"/>
      <c r="CR48" s="20"/>
      <c r="CS48" s="25"/>
      <c r="CT48" s="25"/>
      <c r="CU48" s="20"/>
      <c r="CV48" s="25"/>
      <c r="CW48" s="25"/>
      <c r="CX48" s="20"/>
      <c r="CY48" s="25"/>
      <c r="CZ48" s="25"/>
      <c r="DA48" s="20"/>
      <c r="DB48" s="25"/>
      <c r="DC48" s="25"/>
      <c r="DD48" s="20"/>
      <c r="DE48" s="25"/>
      <c r="DF48" s="25"/>
      <c r="DG48" s="20"/>
      <c r="DH48" s="25"/>
      <c r="DI48" s="25"/>
      <c r="DJ48" s="20"/>
      <c r="DK48" s="25"/>
      <c r="DL48" s="25"/>
      <c r="DM48" s="20"/>
      <c r="DN48" s="25"/>
      <c r="DO48" s="25"/>
      <c r="DP48" s="20"/>
      <c r="DQ48" s="25"/>
      <c r="DR48" s="25"/>
      <c r="DS48" s="20"/>
      <c r="DT48" s="25"/>
      <c r="DU48" s="25"/>
      <c r="DV48" s="20"/>
      <c r="DW48" s="25"/>
      <c r="DX48" s="25"/>
      <c r="DY48" s="20"/>
      <c r="DZ48" s="25"/>
      <c r="EA48" s="25"/>
      <c r="EB48" s="20"/>
      <c r="EC48" s="25"/>
      <c r="ED48" s="25"/>
      <c r="EE48" s="20"/>
      <c r="EF48" s="25"/>
      <c r="EG48" s="25"/>
      <c r="EH48" s="20"/>
      <c r="EI48" s="25"/>
      <c r="EJ48" s="25"/>
      <c r="EK48" s="20"/>
      <c r="EL48" s="25"/>
      <c r="EM48" s="25"/>
      <c r="EN48" s="20"/>
      <c r="EO48" s="25"/>
      <c r="EP48" s="25"/>
      <c r="EQ48" s="20"/>
      <c r="ER48" s="25"/>
      <c r="ES48" s="25"/>
      <c r="ET48" s="20"/>
      <c r="EU48" s="25"/>
      <c r="EV48" s="25"/>
      <c r="EW48" s="20"/>
      <c r="EX48" s="25"/>
      <c r="EY48" s="25"/>
      <c r="EZ48" s="20"/>
      <c r="FA48" s="25"/>
      <c r="FB48" s="25"/>
      <c r="FC48" s="20"/>
      <c r="FD48" s="25"/>
      <c r="FE48" s="25"/>
      <c r="FF48" s="20"/>
      <c r="FG48" s="25"/>
      <c r="FH48" s="25"/>
      <c r="FI48" s="20"/>
      <c r="FJ48" s="25"/>
      <c r="FK48" s="25"/>
      <c r="FL48" s="20"/>
      <c r="FM48" s="25"/>
      <c r="FN48" s="25"/>
      <c r="FO48" s="20"/>
      <c r="FP48" s="25"/>
      <c r="FQ48" s="25"/>
      <c r="FR48" s="20"/>
      <c r="FS48" s="25"/>
      <c r="FT48" s="25"/>
      <c r="FU48" s="20"/>
      <c r="FV48" s="25"/>
      <c r="FW48" s="25"/>
      <c r="FX48" s="20"/>
      <c r="FY48" s="25"/>
      <c r="FZ48" s="25"/>
      <c r="GA48" s="20"/>
      <c r="GB48" s="25"/>
      <c r="GC48" s="25"/>
      <c r="GD48" s="20"/>
      <c r="GE48" s="25"/>
      <c r="GF48" s="25"/>
      <c r="GG48" s="20"/>
      <c r="GH48" s="25"/>
      <c r="GI48" s="25"/>
      <c r="GJ48" s="20"/>
      <c r="GK48" s="25"/>
      <c r="GL48" s="25"/>
      <c r="GM48" s="20"/>
      <c r="GN48" s="25"/>
      <c r="GO48" s="25"/>
      <c r="GP48" s="20"/>
      <c r="GQ48" s="25"/>
      <c r="GR48" s="25"/>
      <c r="GS48" s="20"/>
      <c r="GT48" s="25"/>
      <c r="GU48" s="25"/>
      <c r="GV48" s="20"/>
      <c r="GW48" s="25"/>
      <c r="GX48" s="25"/>
      <c r="GY48" s="20"/>
      <c r="GZ48" s="25"/>
      <c r="HA48" s="25"/>
      <c r="HB48" s="20"/>
      <c r="HC48" s="25"/>
      <c r="HD48" s="25"/>
      <c r="HE48" s="20"/>
      <c r="HF48" s="25"/>
      <c r="HG48" s="25"/>
      <c r="HH48" s="20"/>
      <c r="HI48" s="25"/>
      <c r="HJ48" s="25"/>
      <c r="HK48" s="20">
        <v>2</v>
      </c>
      <c r="HL48" s="25">
        <v>182.48</v>
      </c>
      <c r="HM48" s="25">
        <v>15.206666666666665</v>
      </c>
      <c r="HN48" s="20"/>
      <c r="HO48" s="25"/>
      <c r="HP48" s="25"/>
      <c r="HQ48" s="20">
        <v>21</v>
      </c>
      <c r="HR48" s="25">
        <v>1105.2091652588485</v>
      </c>
      <c r="HS48" s="25">
        <v>92.100763771570712</v>
      </c>
    </row>
    <row r="49" spans="1:227" ht="14.25">
      <c r="A49" s="169" t="s">
        <v>17</v>
      </c>
      <c r="B49" s="278" t="s">
        <v>1808</v>
      </c>
      <c r="C49" s="171"/>
      <c r="D49" s="311">
        <v>280.04000000000002</v>
      </c>
      <c r="E49" s="170" cm="1">
        <f t="array" ref="E49">tabUniformes[[#This Row],[Valor Inicial]]*IFERROR(PRODUCT(1+_xlfn._xlws.FILTER(tabIndices[PERCENTUAL],tabIndices[DATA DA PUBLICAÇÃO]&gt;tabUniformes[[#This Row],[DATA PUBLICAÇÃO]])),1)</f>
        <v>280.04000000000002</v>
      </c>
      <c r="F49" s="172">
        <v>2</v>
      </c>
      <c r="G49" s="172" t="s">
        <v>1797</v>
      </c>
      <c r="H49" s="172">
        <v>4</v>
      </c>
      <c r="I49" s="173">
        <f>tabUniformes[[#This Row],[Valor Reajustado]]*tabUniformes[[#This Row],[Qtde Anual de Peças]]*tabUniformes[[#This Row],[Qtde. funcionários]]</f>
        <v>2240.3200000000002</v>
      </c>
      <c r="J49" s="172">
        <f>tabUniformes[[#This Row],[Qtde Anual de Peças]]*tabUniformes[[#This Row],[Qtde. funcionários]]</f>
        <v>8</v>
      </c>
      <c r="K49" s="170">
        <f>IFERROR(tabUniformes[[#This Row],[Total]]/12/tabUniformes[[#This Row],[Qtde. funcionários]],0)</f>
        <v>46.673333333333339</v>
      </c>
      <c r="M49" t="s">
        <v>1388</v>
      </c>
      <c r="N49">
        <v>15</v>
      </c>
      <c r="O49" s="20"/>
      <c r="P49" s="25"/>
      <c r="Q49" s="25"/>
      <c r="R49" s="20"/>
      <c r="S49" s="25"/>
      <c r="T49" s="25"/>
      <c r="U49" s="20"/>
      <c r="V49" s="25"/>
      <c r="W49" s="25"/>
      <c r="X49" s="20">
        <v>60</v>
      </c>
      <c r="Y49" s="25">
        <v>3248.1991475865593</v>
      </c>
      <c r="Z49" s="25">
        <v>18.045550819925328</v>
      </c>
      <c r="AA49" s="20"/>
      <c r="AB49" s="25"/>
      <c r="AC49" s="25"/>
      <c r="AD49" s="20">
        <v>90</v>
      </c>
      <c r="AE49" s="25">
        <v>3789.5656721843188</v>
      </c>
      <c r="AF49" s="25">
        <v>21.053142623246217</v>
      </c>
      <c r="AG49" s="20">
        <v>15</v>
      </c>
      <c r="AH49" s="25">
        <v>902.27754099626645</v>
      </c>
      <c r="AI49" s="25">
        <v>5.0126530055348137</v>
      </c>
      <c r="AJ49" s="20"/>
      <c r="AK49" s="25"/>
      <c r="AL49" s="25"/>
      <c r="AM49" s="20"/>
      <c r="AN49" s="25"/>
      <c r="AO49" s="25"/>
      <c r="AP49" s="20"/>
      <c r="AQ49" s="25"/>
      <c r="AR49" s="25"/>
      <c r="AS49" s="20"/>
      <c r="AT49" s="25"/>
      <c r="AU49" s="25"/>
      <c r="AV49" s="20"/>
      <c r="AW49" s="25"/>
      <c r="AX49" s="25"/>
      <c r="AY49" s="20"/>
      <c r="AZ49" s="25"/>
      <c r="BA49" s="25"/>
      <c r="BB49" s="20"/>
      <c r="BC49" s="25"/>
      <c r="BD49" s="25"/>
      <c r="BE49" s="20"/>
      <c r="BF49" s="25"/>
      <c r="BG49" s="25"/>
      <c r="BH49" s="20"/>
      <c r="BI49" s="25"/>
      <c r="BJ49" s="25"/>
      <c r="BK49" s="20"/>
      <c r="BL49" s="25"/>
      <c r="BM49" s="25"/>
      <c r="BN49" s="20"/>
      <c r="BO49" s="25"/>
      <c r="BP49" s="25"/>
      <c r="BQ49" s="20"/>
      <c r="BR49" s="25"/>
      <c r="BS49" s="25"/>
      <c r="BT49" s="20"/>
      <c r="BU49" s="25"/>
      <c r="BV49" s="25"/>
      <c r="BW49" s="20"/>
      <c r="BX49" s="25"/>
      <c r="BY49" s="25"/>
      <c r="BZ49" s="20"/>
      <c r="CA49" s="25"/>
      <c r="CB49" s="25"/>
      <c r="CC49" s="20"/>
      <c r="CD49" s="25"/>
      <c r="CE49" s="25"/>
      <c r="CF49" s="20"/>
      <c r="CG49" s="25"/>
      <c r="CH49" s="25"/>
      <c r="CI49" s="20"/>
      <c r="CJ49" s="25"/>
      <c r="CK49" s="25"/>
      <c r="CL49" s="20"/>
      <c r="CM49" s="25"/>
      <c r="CN49" s="25"/>
      <c r="CO49" s="20"/>
      <c r="CP49" s="25"/>
      <c r="CQ49" s="25"/>
      <c r="CR49" s="20"/>
      <c r="CS49" s="25"/>
      <c r="CT49" s="25"/>
      <c r="CU49" s="20"/>
      <c r="CV49" s="25"/>
      <c r="CW49" s="25"/>
      <c r="CX49" s="20"/>
      <c r="CY49" s="25"/>
      <c r="CZ49" s="25"/>
      <c r="DA49" s="20"/>
      <c r="DB49" s="25"/>
      <c r="DC49" s="25"/>
      <c r="DD49" s="20"/>
      <c r="DE49" s="25"/>
      <c r="DF49" s="25"/>
      <c r="DG49" s="20"/>
      <c r="DH49" s="25"/>
      <c r="DI49" s="25"/>
      <c r="DJ49" s="20"/>
      <c r="DK49" s="25"/>
      <c r="DL49" s="25"/>
      <c r="DM49" s="20"/>
      <c r="DN49" s="25"/>
      <c r="DO49" s="25"/>
      <c r="DP49" s="20"/>
      <c r="DQ49" s="25"/>
      <c r="DR49" s="25"/>
      <c r="DS49" s="20"/>
      <c r="DT49" s="25"/>
      <c r="DU49" s="25"/>
      <c r="DV49" s="20"/>
      <c r="DW49" s="25"/>
      <c r="DX49" s="25"/>
      <c r="DY49" s="20"/>
      <c r="DZ49" s="25"/>
      <c r="EA49" s="25"/>
      <c r="EB49" s="20"/>
      <c r="EC49" s="25"/>
      <c r="ED49" s="25"/>
      <c r="EE49" s="20"/>
      <c r="EF49" s="25"/>
      <c r="EG49" s="25"/>
      <c r="EH49" s="20"/>
      <c r="EI49" s="25"/>
      <c r="EJ49" s="25"/>
      <c r="EK49" s="20"/>
      <c r="EL49" s="25"/>
      <c r="EM49" s="25"/>
      <c r="EN49" s="20"/>
      <c r="EO49" s="25"/>
      <c r="EP49" s="25"/>
      <c r="EQ49" s="20"/>
      <c r="ER49" s="25"/>
      <c r="ES49" s="25"/>
      <c r="ET49" s="20"/>
      <c r="EU49" s="25"/>
      <c r="EV49" s="25"/>
      <c r="EW49" s="20"/>
      <c r="EX49" s="25"/>
      <c r="EY49" s="25"/>
      <c r="EZ49" s="20"/>
      <c r="FA49" s="25"/>
      <c r="FB49" s="25"/>
      <c r="FC49" s="20"/>
      <c r="FD49" s="25"/>
      <c r="FE49" s="25"/>
      <c r="FF49" s="20"/>
      <c r="FG49" s="25"/>
      <c r="FH49" s="25"/>
      <c r="FI49" s="20"/>
      <c r="FJ49" s="25"/>
      <c r="FK49" s="25"/>
      <c r="FL49" s="20"/>
      <c r="FM49" s="25"/>
      <c r="FN49" s="25"/>
      <c r="FO49" s="20"/>
      <c r="FP49" s="25"/>
      <c r="FQ49" s="25"/>
      <c r="FR49" s="20"/>
      <c r="FS49" s="25"/>
      <c r="FT49" s="25"/>
      <c r="FU49" s="20"/>
      <c r="FV49" s="25"/>
      <c r="FW49" s="25"/>
      <c r="FX49" s="20"/>
      <c r="FY49" s="25"/>
      <c r="FZ49" s="25"/>
      <c r="GA49" s="20"/>
      <c r="GB49" s="25"/>
      <c r="GC49" s="25"/>
      <c r="GD49" s="20"/>
      <c r="GE49" s="25"/>
      <c r="GF49" s="25"/>
      <c r="GG49" s="20"/>
      <c r="GH49" s="25"/>
      <c r="GI49" s="25"/>
      <c r="GJ49" s="20"/>
      <c r="GK49" s="25"/>
      <c r="GL49" s="25"/>
      <c r="GM49" s="20"/>
      <c r="GN49" s="25"/>
      <c r="GO49" s="25"/>
      <c r="GP49" s="20"/>
      <c r="GQ49" s="25"/>
      <c r="GR49" s="25"/>
      <c r="GS49" s="20"/>
      <c r="GT49" s="25"/>
      <c r="GU49" s="25"/>
      <c r="GV49" s="20"/>
      <c r="GW49" s="25"/>
      <c r="GX49" s="25"/>
      <c r="GY49" s="20"/>
      <c r="GZ49" s="25"/>
      <c r="HA49" s="25"/>
      <c r="HB49" s="20"/>
      <c r="HC49" s="25"/>
      <c r="HD49" s="25"/>
      <c r="HE49" s="20"/>
      <c r="HF49" s="25"/>
      <c r="HG49" s="25"/>
      <c r="HH49" s="20"/>
      <c r="HI49" s="25"/>
      <c r="HJ49" s="25"/>
      <c r="HK49" s="20"/>
      <c r="HL49" s="25"/>
      <c r="HM49" s="25"/>
      <c r="HN49" s="20"/>
      <c r="HO49" s="25"/>
      <c r="HP49" s="25"/>
      <c r="HQ49" s="20">
        <v>165</v>
      </c>
      <c r="HR49" s="25">
        <v>7940.0423607671455</v>
      </c>
      <c r="HS49" s="25">
        <v>44.111346448706357</v>
      </c>
    </row>
    <row r="50" spans="1:227" ht="14.25">
      <c r="A50" s="169" t="s">
        <v>11</v>
      </c>
      <c r="B50" s="278" t="s">
        <v>30</v>
      </c>
      <c r="C50" s="171"/>
      <c r="D50" s="311">
        <v>94.82</v>
      </c>
      <c r="E50" s="170" cm="1">
        <f t="array" ref="E50">tabUniformes[[#This Row],[Valor Inicial]]*IFERROR(PRODUCT(1+_xlfn._xlws.FILTER(tabIndices[PERCENTUAL],tabIndices[DATA DA PUBLICAÇÃO]&gt;tabUniformes[[#This Row],[DATA PUBLICAÇÃO]])),1)</f>
        <v>94.82</v>
      </c>
      <c r="F50" s="172">
        <v>4</v>
      </c>
      <c r="G50" s="172" t="s">
        <v>1797</v>
      </c>
      <c r="H50" s="172">
        <v>4</v>
      </c>
      <c r="I50" s="173">
        <f>tabUniformes[[#This Row],[Valor Reajustado]]*tabUniformes[[#This Row],[Qtde Anual de Peças]]*tabUniformes[[#This Row],[Qtde. funcionários]]</f>
        <v>1517.12</v>
      </c>
      <c r="J50" s="172">
        <f>tabUniformes[[#This Row],[Qtde Anual de Peças]]*tabUniformes[[#This Row],[Qtde. funcionários]]</f>
        <v>16</v>
      </c>
      <c r="K50" s="170">
        <f>IFERROR(tabUniformes[[#This Row],[Total]]/12/tabUniformes[[#This Row],[Qtde. funcionários]],0)</f>
        <v>31.606666666666666</v>
      </c>
      <c r="M50" t="s">
        <v>1389</v>
      </c>
      <c r="N50">
        <v>10</v>
      </c>
      <c r="O50" s="20"/>
      <c r="P50" s="25"/>
      <c r="Q50" s="25"/>
      <c r="R50" s="20"/>
      <c r="S50" s="25"/>
      <c r="T50" s="25"/>
      <c r="U50" s="20"/>
      <c r="V50" s="25"/>
      <c r="W50" s="25"/>
      <c r="X50" s="20">
        <v>40</v>
      </c>
      <c r="Y50" s="25">
        <v>2165.4660983910394</v>
      </c>
      <c r="Z50" s="25">
        <v>18.045550819925328</v>
      </c>
      <c r="AA50" s="20"/>
      <c r="AB50" s="25"/>
      <c r="AC50" s="25"/>
      <c r="AD50" s="20">
        <v>60</v>
      </c>
      <c r="AE50" s="25">
        <v>2526.3771147895459</v>
      </c>
      <c r="AF50" s="25">
        <v>21.053142623246217</v>
      </c>
      <c r="AG50" s="20">
        <v>10</v>
      </c>
      <c r="AH50" s="25">
        <v>601.51836066417764</v>
      </c>
      <c r="AI50" s="25">
        <v>5.0126530055348137</v>
      </c>
      <c r="AJ50" s="20"/>
      <c r="AK50" s="25"/>
      <c r="AL50" s="25"/>
      <c r="AM50" s="20"/>
      <c r="AN50" s="25"/>
      <c r="AO50" s="25"/>
      <c r="AP50" s="20"/>
      <c r="AQ50" s="25"/>
      <c r="AR50" s="25"/>
      <c r="AS50" s="20"/>
      <c r="AT50" s="25"/>
      <c r="AU50" s="25"/>
      <c r="AV50" s="20"/>
      <c r="AW50" s="25"/>
      <c r="AX50" s="25"/>
      <c r="AY50" s="20"/>
      <c r="AZ50" s="25"/>
      <c r="BA50" s="25"/>
      <c r="BB50" s="20"/>
      <c r="BC50" s="25"/>
      <c r="BD50" s="25"/>
      <c r="BE50" s="20"/>
      <c r="BF50" s="25"/>
      <c r="BG50" s="25"/>
      <c r="BH50" s="20"/>
      <c r="BI50" s="25"/>
      <c r="BJ50" s="25"/>
      <c r="BK50" s="20"/>
      <c r="BL50" s="25"/>
      <c r="BM50" s="25"/>
      <c r="BN50" s="20"/>
      <c r="BO50" s="25"/>
      <c r="BP50" s="25"/>
      <c r="BQ50" s="20"/>
      <c r="BR50" s="25"/>
      <c r="BS50" s="25"/>
      <c r="BT50" s="20"/>
      <c r="BU50" s="25"/>
      <c r="BV50" s="25"/>
      <c r="BW50" s="20"/>
      <c r="BX50" s="25"/>
      <c r="BY50" s="25"/>
      <c r="BZ50" s="20"/>
      <c r="CA50" s="25"/>
      <c r="CB50" s="25"/>
      <c r="CC50" s="20"/>
      <c r="CD50" s="25"/>
      <c r="CE50" s="25"/>
      <c r="CF50" s="20"/>
      <c r="CG50" s="25"/>
      <c r="CH50" s="25"/>
      <c r="CI50" s="20"/>
      <c r="CJ50" s="25"/>
      <c r="CK50" s="25"/>
      <c r="CL50" s="20"/>
      <c r="CM50" s="25"/>
      <c r="CN50" s="25"/>
      <c r="CO50" s="20"/>
      <c r="CP50" s="25"/>
      <c r="CQ50" s="25"/>
      <c r="CR50" s="20"/>
      <c r="CS50" s="25"/>
      <c r="CT50" s="25"/>
      <c r="CU50" s="20"/>
      <c r="CV50" s="25"/>
      <c r="CW50" s="25"/>
      <c r="CX50" s="20"/>
      <c r="CY50" s="25"/>
      <c r="CZ50" s="25"/>
      <c r="DA50" s="20"/>
      <c r="DB50" s="25"/>
      <c r="DC50" s="25"/>
      <c r="DD50" s="20"/>
      <c r="DE50" s="25"/>
      <c r="DF50" s="25"/>
      <c r="DG50" s="20"/>
      <c r="DH50" s="25"/>
      <c r="DI50" s="25"/>
      <c r="DJ50" s="20"/>
      <c r="DK50" s="25"/>
      <c r="DL50" s="25"/>
      <c r="DM50" s="20"/>
      <c r="DN50" s="25"/>
      <c r="DO50" s="25"/>
      <c r="DP50" s="20"/>
      <c r="DQ50" s="25"/>
      <c r="DR50" s="25"/>
      <c r="DS50" s="20"/>
      <c r="DT50" s="25"/>
      <c r="DU50" s="25"/>
      <c r="DV50" s="20"/>
      <c r="DW50" s="25"/>
      <c r="DX50" s="25"/>
      <c r="DY50" s="20"/>
      <c r="DZ50" s="25"/>
      <c r="EA50" s="25"/>
      <c r="EB50" s="20"/>
      <c r="EC50" s="25"/>
      <c r="ED50" s="25"/>
      <c r="EE50" s="20"/>
      <c r="EF50" s="25"/>
      <c r="EG50" s="25"/>
      <c r="EH50" s="20"/>
      <c r="EI50" s="25"/>
      <c r="EJ50" s="25"/>
      <c r="EK50" s="20"/>
      <c r="EL50" s="25"/>
      <c r="EM50" s="25"/>
      <c r="EN50" s="20"/>
      <c r="EO50" s="25"/>
      <c r="EP50" s="25"/>
      <c r="EQ50" s="20"/>
      <c r="ER50" s="25"/>
      <c r="ES50" s="25"/>
      <c r="ET50" s="20"/>
      <c r="EU50" s="25"/>
      <c r="EV50" s="25"/>
      <c r="EW50" s="20"/>
      <c r="EX50" s="25"/>
      <c r="EY50" s="25"/>
      <c r="EZ50" s="20"/>
      <c r="FA50" s="25"/>
      <c r="FB50" s="25"/>
      <c r="FC50" s="20"/>
      <c r="FD50" s="25"/>
      <c r="FE50" s="25"/>
      <c r="FF50" s="20"/>
      <c r="FG50" s="25"/>
      <c r="FH50" s="25"/>
      <c r="FI50" s="20"/>
      <c r="FJ50" s="25"/>
      <c r="FK50" s="25"/>
      <c r="FL50" s="20"/>
      <c r="FM50" s="25"/>
      <c r="FN50" s="25"/>
      <c r="FO50" s="20"/>
      <c r="FP50" s="25"/>
      <c r="FQ50" s="25"/>
      <c r="FR50" s="20"/>
      <c r="FS50" s="25"/>
      <c r="FT50" s="25"/>
      <c r="FU50" s="20"/>
      <c r="FV50" s="25"/>
      <c r="FW50" s="25"/>
      <c r="FX50" s="20"/>
      <c r="FY50" s="25"/>
      <c r="FZ50" s="25"/>
      <c r="GA50" s="20"/>
      <c r="GB50" s="25"/>
      <c r="GC50" s="25"/>
      <c r="GD50" s="20"/>
      <c r="GE50" s="25"/>
      <c r="GF50" s="25"/>
      <c r="GG50" s="20"/>
      <c r="GH50" s="25"/>
      <c r="GI50" s="25"/>
      <c r="GJ50" s="20"/>
      <c r="GK50" s="25"/>
      <c r="GL50" s="25"/>
      <c r="GM50" s="20"/>
      <c r="GN50" s="25"/>
      <c r="GO50" s="25"/>
      <c r="GP50" s="20"/>
      <c r="GQ50" s="25"/>
      <c r="GR50" s="25"/>
      <c r="GS50" s="20"/>
      <c r="GT50" s="25"/>
      <c r="GU50" s="25"/>
      <c r="GV50" s="20"/>
      <c r="GW50" s="25"/>
      <c r="GX50" s="25"/>
      <c r="GY50" s="20"/>
      <c r="GZ50" s="25"/>
      <c r="HA50" s="25"/>
      <c r="HB50" s="20"/>
      <c r="HC50" s="25"/>
      <c r="HD50" s="25"/>
      <c r="HE50" s="20"/>
      <c r="HF50" s="25"/>
      <c r="HG50" s="25"/>
      <c r="HH50" s="20"/>
      <c r="HI50" s="25"/>
      <c r="HJ50" s="25"/>
      <c r="HK50" s="20"/>
      <c r="HL50" s="25"/>
      <c r="HM50" s="25"/>
      <c r="HN50" s="20"/>
      <c r="HO50" s="25"/>
      <c r="HP50" s="25"/>
      <c r="HQ50" s="20">
        <v>110</v>
      </c>
      <c r="HR50" s="25">
        <v>5293.3615738447634</v>
      </c>
      <c r="HS50" s="25">
        <v>44.111346448706357</v>
      </c>
    </row>
    <row r="51" spans="1:227" ht="14.25">
      <c r="A51" s="169" t="s">
        <v>1807</v>
      </c>
      <c r="B51" s="278" t="s">
        <v>1792</v>
      </c>
      <c r="C51" s="171"/>
      <c r="D51" s="311">
        <v>0.27339999999999998</v>
      </c>
      <c r="E51" s="170" cm="1">
        <f t="array" ref="E51">tabUniformes[[#This Row],[Valor Inicial]]*IFERROR(PRODUCT(1+_xlfn._xlws.FILTER(tabIndices[PERCENTUAL],tabIndices[DATA DA PUBLICAÇÃO]&gt;tabUniformes[[#This Row],[DATA PUBLICAÇÃO]])),1)</f>
        <v>0.27339999999999998</v>
      </c>
      <c r="F51" s="172">
        <v>700</v>
      </c>
      <c r="G51" s="172" t="s">
        <v>1797</v>
      </c>
      <c r="H51" s="172">
        <v>4</v>
      </c>
      <c r="I51" s="173">
        <f>tabUniformes[[#This Row],[Valor Reajustado]]*tabUniformes[[#This Row],[Qtde Anual de Peças]]*tabUniformes[[#This Row],[Qtde. funcionários]]</f>
        <v>765.52</v>
      </c>
      <c r="J51" s="172">
        <f>tabUniformes[[#This Row],[Qtde Anual de Peças]]*tabUniformes[[#This Row],[Qtde. funcionários]]</f>
        <v>2800</v>
      </c>
      <c r="K51" s="170">
        <f>IFERROR(tabUniformes[[#This Row],[Total]]/12/tabUniformes[[#This Row],[Qtde. funcionários]],0)</f>
        <v>15.948333333333332</v>
      </c>
      <c r="M51" t="s">
        <v>1390</v>
      </c>
      <c r="N51">
        <v>7</v>
      </c>
      <c r="O51" s="20"/>
      <c r="P51" s="25"/>
      <c r="Q51" s="25"/>
      <c r="R51" s="20"/>
      <c r="S51" s="25"/>
      <c r="T51" s="25"/>
      <c r="U51" s="20"/>
      <c r="V51" s="25"/>
      <c r="W51" s="25"/>
      <c r="X51" s="20">
        <v>28</v>
      </c>
      <c r="Y51" s="25">
        <v>1515.8262688737277</v>
      </c>
      <c r="Z51" s="25">
        <v>18.045550819925332</v>
      </c>
      <c r="AA51" s="20"/>
      <c r="AB51" s="25"/>
      <c r="AC51" s="25"/>
      <c r="AD51" s="20">
        <v>42</v>
      </c>
      <c r="AE51" s="25">
        <v>1768.4639803526823</v>
      </c>
      <c r="AF51" s="25">
        <v>21.05314262324622</v>
      </c>
      <c r="AG51" s="20">
        <v>7</v>
      </c>
      <c r="AH51" s="25">
        <v>421.06285246492433</v>
      </c>
      <c r="AI51" s="25">
        <v>5.0126530055348137</v>
      </c>
      <c r="AJ51" s="20"/>
      <c r="AK51" s="25"/>
      <c r="AL51" s="25"/>
      <c r="AM51" s="20"/>
      <c r="AN51" s="25"/>
      <c r="AO51" s="25"/>
      <c r="AP51" s="20"/>
      <c r="AQ51" s="25"/>
      <c r="AR51" s="25"/>
      <c r="AS51" s="20"/>
      <c r="AT51" s="25"/>
      <c r="AU51" s="25"/>
      <c r="AV51" s="20"/>
      <c r="AW51" s="25"/>
      <c r="AX51" s="25"/>
      <c r="AY51" s="20"/>
      <c r="AZ51" s="25"/>
      <c r="BA51" s="25"/>
      <c r="BB51" s="20"/>
      <c r="BC51" s="25"/>
      <c r="BD51" s="25"/>
      <c r="BE51" s="20"/>
      <c r="BF51" s="25"/>
      <c r="BG51" s="25"/>
      <c r="BH51" s="20"/>
      <c r="BI51" s="25"/>
      <c r="BJ51" s="25"/>
      <c r="BK51" s="20"/>
      <c r="BL51" s="25"/>
      <c r="BM51" s="25"/>
      <c r="BN51" s="20"/>
      <c r="BO51" s="25"/>
      <c r="BP51" s="25"/>
      <c r="BQ51" s="20"/>
      <c r="BR51" s="25"/>
      <c r="BS51" s="25"/>
      <c r="BT51" s="20"/>
      <c r="BU51" s="25"/>
      <c r="BV51" s="25"/>
      <c r="BW51" s="20"/>
      <c r="BX51" s="25"/>
      <c r="BY51" s="25"/>
      <c r="BZ51" s="20"/>
      <c r="CA51" s="25"/>
      <c r="CB51" s="25"/>
      <c r="CC51" s="20">
        <v>14</v>
      </c>
      <c r="CD51" s="25">
        <v>3920.5600000000004</v>
      </c>
      <c r="CE51" s="25">
        <v>46.673333333333339</v>
      </c>
      <c r="CF51" s="20"/>
      <c r="CG51" s="25"/>
      <c r="CH51" s="25"/>
      <c r="CI51" s="20"/>
      <c r="CJ51" s="25"/>
      <c r="CK51" s="25"/>
      <c r="CL51" s="20"/>
      <c r="CM51" s="25"/>
      <c r="CN51" s="25"/>
      <c r="CO51" s="20"/>
      <c r="CP51" s="25"/>
      <c r="CQ51" s="25"/>
      <c r="CR51" s="20"/>
      <c r="CS51" s="25"/>
      <c r="CT51" s="25"/>
      <c r="CU51" s="20"/>
      <c r="CV51" s="25"/>
      <c r="CW51" s="25"/>
      <c r="CX51" s="20"/>
      <c r="CY51" s="25"/>
      <c r="CZ51" s="25"/>
      <c r="DA51" s="20"/>
      <c r="DB51" s="25"/>
      <c r="DC51" s="25"/>
      <c r="DD51" s="20"/>
      <c r="DE51" s="25"/>
      <c r="DF51" s="25"/>
      <c r="DG51" s="20"/>
      <c r="DH51" s="25"/>
      <c r="DI51" s="25"/>
      <c r="DJ51" s="20"/>
      <c r="DK51" s="25"/>
      <c r="DL51" s="25"/>
      <c r="DM51" s="20"/>
      <c r="DN51" s="25"/>
      <c r="DO51" s="25"/>
      <c r="DP51" s="20"/>
      <c r="DQ51" s="25"/>
      <c r="DR51" s="25"/>
      <c r="DS51" s="20"/>
      <c r="DT51" s="25"/>
      <c r="DU51" s="25"/>
      <c r="DV51" s="20"/>
      <c r="DW51" s="25"/>
      <c r="DX51" s="25"/>
      <c r="DY51" s="20"/>
      <c r="DZ51" s="25"/>
      <c r="EA51" s="25"/>
      <c r="EB51" s="20"/>
      <c r="EC51" s="25"/>
      <c r="ED51" s="25"/>
      <c r="EE51" s="20"/>
      <c r="EF51" s="25"/>
      <c r="EG51" s="25"/>
      <c r="EH51" s="20"/>
      <c r="EI51" s="25"/>
      <c r="EJ51" s="25"/>
      <c r="EK51" s="20"/>
      <c r="EL51" s="25"/>
      <c r="EM51" s="25"/>
      <c r="EN51" s="20"/>
      <c r="EO51" s="25"/>
      <c r="EP51" s="25"/>
      <c r="EQ51" s="20"/>
      <c r="ER51" s="25"/>
      <c r="ES51" s="25"/>
      <c r="ET51" s="20"/>
      <c r="EU51" s="25"/>
      <c r="EV51" s="25"/>
      <c r="EW51" s="20"/>
      <c r="EX51" s="25"/>
      <c r="EY51" s="25"/>
      <c r="EZ51" s="20"/>
      <c r="FA51" s="25"/>
      <c r="FB51" s="25"/>
      <c r="FC51" s="20"/>
      <c r="FD51" s="25"/>
      <c r="FE51" s="25"/>
      <c r="FF51" s="20"/>
      <c r="FG51" s="25"/>
      <c r="FH51" s="25"/>
      <c r="FI51" s="20"/>
      <c r="FJ51" s="25"/>
      <c r="FK51" s="25"/>
      <c r="FL51" s="20"/>
      <c r="FM51" s="25"/>
      <c r="FN51" s="25"/>
      <c r="FO51" s="20"/>
      <c r="FP51" s="25"/>
      <c r="FQ51" s="25"/>
      <c r="FR51" s="20"/>
      <c r="FS51" s="25"/>
      <c r="FT51" s="25"/>
      <c r="FU51" s="20"/>
      <c r="FV51" s="25"/>
      <c r="FW51" s="25"/>
      <c r="FX51" s="20"/>
      <c r="FY51" s="25"/>
      <c r="FZ51" s="25"/>
      <c r="GA51" s="20"/>
      <c r="GB51" s="25"/>
      <c r="GC51" s="25"/>
      <c r="GD51" s="20"/>
      <c r="GE51" s="25"/>
      <c r="GF51" s="25"/>
      <c r="GG51" s="20"/>
      <c r="GH51" s="25"/>
      <c r="GI51" s="25"/>
      <c r="GJ51" s="20"/>
      <c r="GK51" s="25"/>
      <c r="GL51" s="25"/>
      <c r="GM51" s="20"/>
      <c r="GN51" s="25"/>
      <c r="GO51" s="25"/>
      <c r="GP51" s="20"/>
      <c r="GQ51" s="25"/>
      <c r="GR51" s="25"/>
      <c r="GS51" s="20"/>
      <c r="GT51" s="25"/>
      <c r="GU51" s="25"/>
      <c r="GV51" s="20"/>
      <c r="GW51" s="25"/>
      <c r="GX51" s="25"/>
      <c r="GY51" s="20"/>
      <c r="GZ51" s="25"/>
      <c r="HA51" s="25"/>
      <c r="HB51" s="20"/>
      <c r="HC51" s="25"/>
      <c r="HD51" s="25"/>
      <c r="HE51" s="20"/>
      <c r="HF51" s="25"/>
      <c r="HG51" s="25"/>
      <c r="HH51" s="20"/>
      <c r="HI51" s="25"/>
      <c r="HJ51" s="25"/>
      <c r="HK51" s="20"/>
      <c r="HL51" s="25"/>
      <c r="HM51" s="25"/>
      <c r="HN51" s="20"/>
      <c r="HO51" s="25"/>
      <c r="HP51" s="25"/>
      <c r="HQ51" s="20">
        <v>91</v>
      </c>
      <c r="HR51" s="25">
        <v>7625.9131016913343</v>
      </c>
      <c r="HS51" s="25">
        <v>90.784679782039717</v>
      </c>
    </row>
    <row r="52" spans="1:227" ht="14.25">
      <c r="A52" s="169" t="s">
        <v>1807</v>
      </c>
      <c r="B52" s="278" t="s">
        <v>1793</v>
      </c>
      <c r="C52" s="171"/>
      <c r="D52" s="311">
        <v>0.3</v>
      </c>
      <c r="E52" s="170" cm="1">
        <f t="array" ref="E52">tabUniformes[[#This Row],[Valor Inicial]]*IFERROR(PRODUCT(1+_xlfn._xlws.FILTER(tabIndices[PERCENTUAL],tabIndices[DATA DA PUBLICAÇÃO]&gt;tabUniformes[[#This Row],[DATA PUBLICAÇÃO]])),1)</f>
        <v>0.3</v>
      </c>
      <c r="F52" s="172">
        <v>120</v>
      </c>
      <c r="G52" s="172" t="s">
        <v>1797</v>
      </c>
      <c r="H52" s="172">
        <v>4</v>
      </c>
      <c r="I52" s="173">
        <f>tabUniformes[[#This Row],[Valor Reajustado]]*tabUniformes[[#This Row],[Qtde Anual de Peças]]*tabUniformes[[#This Row],[Qtde. funcionários]]</f>
        <v>144</v>
      </c>
      <c r="J52" s="172">
        <f>tabUniformes[[#This Row],[Qtde Anual de Peças]]*tabUniformes[[#This Row],[Qtde. funcionários]]</f>
        <v>480</v>
      </c>
      <c r="K52" s="170">
        <f>IFERROR(tabUniformes[[#This Row],[Total]]/12/tabUniformes[[#This Row],[Qtde. funcionários]],0)</f>
        <v>3</v>
      </c>
      <c r="M52" t="s">
        <v>1391</v>
      </c>
      <c r="N52">
        <v>2</v>
      </c>
      <c r="O52" s="20">
        <v>2</v>
      </c>
      <c r="P52" s="25">
        <v>156.39477377268619</v>
      </c>
      <c r="Q52" s="25">
        <v>6.516448907195258</v>
      </c>
      <c r="R52" s="20">
        <v>8</v>
      </c>
      <c r="S52" s="25">
        <v>336.85028197193947</v>
      </c>
      <c r="T52" s="25">
        <v>14.035428415497478</v>
      </c>
      <c r="U52" s="20"/>
      <c r="V52" s="25"/>
      <c r="W52" s="25"/>
      <c r="X52" s="20"/>
      <c r="Y52" s="25"/>
      <c r="Z52" s="25"/>
      <c r="AA52" s="20"/>
      <c r="AB52" s="25"/>
      <c r="AC52" s="25"/>
      <c r="AD52" s="20"/>
      <c r="AE52" s="25"/>
      <c r="AF52" s="25"/>
      <c r="AG52" s="20"/>
      <c r="AH52" s="25"/>
      <c r="AI52" s="25"/>
      <c r="AJ52" s="20"/>
      <c r="AK52" s="25"/>
      <c r="AL52" s="25"/>
      <c r="AM52" s="20"/>
      <c r="AN52" s="25"/>
      <c r="AO52" s="25"/>
      <c r="AP52" s="20"/>
      <c r="AQ52" s="25"/>
      <c r="AR52" s="25"/>
      <c r="AS52" s="20"/>
      <c r="AT52" s="25"/>
      <c r="AU52" s="25"/>
      <c r="AV52" s="20"/>
      <c r="AW52" s="25"/>
      <c r="AX52" s="25"/>
      <c r="AY52" s="20"/>
      <c r="AZ52" s="25"/>
      <c r="BA52" s="25"/>
      <c r="BB52" s="20">
        <v>4</v>
      </c>
      <c r="BC52" s="25">
        <v>288.72881311880525</v>
      </c>
      <c r="BD52" s="25">
        <v>12.030367213283553</v>
      </c>
      <c r="BE52" s="20">
        <v>12</v>
      </c>
      <c r="BF52" s="25">
        <v>577.4576262376105</v>
      </c>
      <c r="BG52" s="25">
        <v>24.060734426567105</v>
      </c>
      <c r="BH52" s="20"/>
      <c r="BI52" s="25"/>
      <c r="BJ52" s="25"/>
      <c r="BK52" s="20"/>
      <c r="BL52" s="25"/>
      <c r="BM52" s="25"/>
      <c r="BN52" s="20"/>
      <c r="BO52" s="25"/>
      <c r="BP52" s="25"/>
      <c r="BQ52" s="20"/>
      <c r="BR52" s="25"/>
      <c r="BS52" s="25"/>
      <c r="BT52" s="20"/>
      <c r="BU52" s="25"/>
      <c r="BV52" s="25"/>
      <c r="BW52" s="20"/>
      <c r="BX52" s="25"/>
      <c r="BY52" s="25"/>
      <c r="BZ52" s="20"/>
      <c r="CA52" s="25"/>
      <c r="CB52" s="25"/>
      <c r="CC52" s="20"/>
      <c r="CD52" s="25"/>
      <c r="CE52" s="25"/>
      <c r="CF52" s="20"/>
      <c r="CG52" s="25"/>
      <c r="CH52" s="25"/>
      <c r="CI52" s="20"/>
      <c r="CJ52" s="25"/>
      <c r="CK52" s="25"/>
      <c r="CL52" s="20"/>
      <c r="CM52" s="25"/>
      <c r="CN52" s="25"/>
      <c r="CO52" s="20"/>
      <c r="CP52" s="25"/>
      <c r="CQ52" s="25"/>
      <c r="CR52" s="20"/>
      <c r="CS52" s="25"/>
      <c r="CT52" s="25"/>
      <c r="CU52" s="20"/>
      <c r="CV52" s="25"/>
      <c r="CW52" s="25"/>
      <c r="CX52" s="20"/>
      <c r="CY52" s="25"/>
      <c r="CZ52" s="25"/>
      <c r="DA52" s="20"/>
      <c r="DB52" s="25"/>
      <c r="DC52" s="25"/>
      <c r="DD52" s="20"/>
      <c r="DE52" s="25"/>
      <c r="DF52" s="25"/>
      <c r="DG52" s="20"/>
      <c r="DH52" s="25"/>
      <c r="DI52" s="25"/>
      <c r="DJ52" s="20"/>
      <c r="DK52" s="25"/>
      <c r="DL52" s="25"/>
      <c r="DM52" s="20"/>
      <c r="DN52" s="25"/>
      <c r="DO52" s="25"/>
      <c r="DP52" s="20"/>
      <c r="DQ52" s="25"/>
      <c r="DR52" s="25"/>
      <c r="DS52" s="20"/>
      <c r="DT52" s="25"/>
      <c r="DU52" s="25"/>
      <c r="DV52" s="20"/>
      <c r="DW52" s="25"/>
      <c r="DX52" s="25"/>
      <c r="DY52" s="20"/>
      <c r="DZ52" s="25"/>
      <c r="EA52" s="25"/>
      <c r="EB52" s="20"/>
      <c r="EC52" s="25"/>
      <c r="ED52" s="25"/>
      <c r="EE52" s="20"/>
      <c r="EF52" s="25"/>
      <c r="EG52" s="25"/>
      <c r="EH52" s="20"/>
      <c r="EI52" s="25"/>
      <c r="EJ52" s="25"/>
      <c r="EK52" s="20"/>
      <c r="EL52" s="25"/>
      <c r="EM52" s="25"/>
      <c r="EN52" s="20"/>
      <c r="EO52" s="25"/>
      <c r="EP52" s="25"/>
      <c r="EQ52" s="20"/>
      <c r="ER52" s="25"/>
      <c r="ES52" s="25"/>
      <c r="ET52" s="20"/>
      <c r="EU52" s="25"/>
      <c r="EV52" s="25"/>
      <c r="EW52" s="20"/>
      <c r="EX52" s="25"/>
      <c r="EY52" s="25"/>
      <c r="EZ52" s="20"/>
      <c r="FA52" s="25"/>
      <c r="FB52" s="25"/>
      <c r="FC52" s="20"/>
      <c r="FD52" s="25"/>
      <c r="FE52" s="25"/>
      <c r="FF52" s="20"/>
      <c r="FG52" s="25"/>
      <c r="FH52" s="25"/>
      <c r="FI52" s="20"/>
      <c r="FJ52" s="25"/>
      <c r="FK52" s="25"/>
      <c r="FL52" s="20"/>
      <c r="FM52" s="25"/>
      <c r="FN52" s="25"/>
      <c r="FO52" s="20"/>
      <c r="FP52" s="25"/>
      <c r="FQ52" s="25"/>
      <c r="FR52" s="20"/>
      <c r="FS52" s="25"/>
      <c r="FT52" s="25"/>
      <c r="FU52" s="20"/>
      <c r="FV52" s="25"/>
      <c r="FW52" s="25"/>
      <c r="FX52" s="20"/>
      <c r="FY52" s="25"/>
      <c r="FZ52" s="25"/>
      <c r="GA52" s="20"/>
      <c r="GB52" s="25"/>
      <c r="GC52" s="25"/>
      <c r="GD52" s="20"/>
      <c r="GE52" s="25"/>
      <c r="GF52" s="25"/>
      <c r="GG52" s="20"/>
      <c r="GH52" s="25"/>
      <c r="GI52" s="25"/>
      <c r="GJ52" s="20"/>
      <c r="GK52" s="25"/>
      <c r="GL52" s="25"/>
      <c r="GM52" s="20"/>
      <c r="GN52" s="25"/>
      <c r="GO52" s="25"/>
      <c r="GP52" s="20"/>
      <c r="GQ52" s="25"/>
      <c r="GR52" s="25"/>
      <c r="GS52" s="20"/>
      <c r="GT52" s="25"/>
      <c r="GU52" s="25"/>
      <c r="GV52" s="20"/>
      <c r="GW52" s="25"/>
      <c r="GX52" s="25"/>
      <c r="GY52" s="20"/>
      <c r="GZ52" s="25"/>
      <c r="HA52" s="25"/>
      <c r="HB52" s="20"/>
      <c r="HC52" s="25"/>
      <c r="HD52" s="25"/>
      <c r="HE52" s="20"/>
      <c r="HF52" s="25"/>
      <c r="HG52" s="25"/>
      <c r="HH52" s="20"/>
      <c r="HI52" s="25"/>
      <c r="HJ52" s="25"/>
      <c r="HK52" s="20"/>
      <c r="HL52" s="25"/>
      <c r="HM52" s="25"/>
      <c r="HN52" s="20"/>
      <c r="HO52" s="25"/>
      <c r="HP52" s="25"/>
      <c r="HQ52" s="20">
        <v>26</v>
      </c>
      <c r="HR52" s="25">
        <v>1359.4314951010415</v>
      </c>
      <c r="HS52" s="25">
        <v>56.642978962543395</v>
      </c>
    </row>
    <row r="53" spans="1:227" ht="14.25">
      <c r="A53" s="169" t="s">
        <v>19</v>
      </c>
      <c r="B53" s="278" t="s">
        <v>38</v>
      </c>
      <c r="C53" s="171"/>
      <c r="D53" s="311">
        <v>63.5</v>
      </c>
      <c r="E53" s="170" cm="1">
        <f t="array" ref="E53">tabUniformes[[#This Row],[Valor Inicial]]*IFERROR(PRODUCT(1+_xlfn._xlws.FILTER(tabIndices[PERCENTUAL],tabIndices[DATA DA PUBLICAÇÃO]&gt;tabUniformes[[#This Row],[DATA PUBLICAÇÃO]])),1)</f>
        <v>63.5</v>
      </c>
      <c r="F53" s="172">
        <v>1</v>
      </c>
      <c r="G53" s="172" t="s">
        <v>1797</v>
      </c>
      <c r="H53" s="172">
        <v>4</v>
      </c>
      <c r="I53" s="173">
        <f>tabUniformes[[#This Row],[Valor Reajustado]]*tabUniformes[[#This Row],[Qtde Anual de Peças]]*tabUniformes[[#This Row],[Qtde. funcionários]]</f>
        <v>254</v>
      </c>
      <c r="J53" s="172">
        <f>tabUniformes[[#This Row],[Qtde Anual de Peças]]*tabUniformes[[#This Row],[Qtde. funcionários]]</f>
        <v>4</v>
      </c>
      <c r="K53" s="170">
        <f>IFERROR(tabUniformes[[#This Row],[Total]]/12/tabUniformes[[#This Row],[Qtde. funcionários]],0)</f>
        <v>5.291666666666667</v>
      </c>
      <c r="M53" t="s">
        <v>1525</v>
      </c>
      <c r="N53">
        <v>2</v>
      </c>
      <c r="O53" s="20">
        <v>2</v>
      </c>
      <c r="P53" s="25">
        <v>156.39477377268619</v>
      </c>
      <c r="Q53" s="25">
        <v>6.516448907195258</v>
      </c>
      <c r="R53" s="20">
        <v>8</v>
      </c>
      <c r="S53" s="25">
        <v>336.85028197193947</v>
      </c>
      <c r="T53" s="25">
        <v>14.035428415497478</v>
      </c>
      <c r="U53" s="20"/>
      <c r="V53" s="25"/>
      <c r="W53" s="25"/>
      <c r="X53" s="20"/>
      <c r="Y53" s="25"/>
      <c r="Z53" s="25"/>
      <c r="AA53" s="20"/>
      <c r="AB53" s="25"/>
      <c r="AC53" s="25"/>
      <c r="AD53" s="20"/>
      <c r="AE53" s="25"/>
      <c r="AF53" s="25"/>
      <c r="AG53" s="20"/>
      <c r="AH53" s="25"/>
      <c r="AI53" s="25"/>
      <c r="AJ53" s="20"/>
      <c r="AK53" s="25"/>
      <c r="AL53" s="25"/>
      <c r="AM53" s="20"/>
      <c r="AN53" s="25"/>
      <c r="AO53" s="25"/>
      <c r="AP53" s="20"/>
      <c r="AQ53" s="25"/>
      <c r="AR53" s="25"/>
      <c r="AS53" s="20"/>
      <c r="AT53" s="25"/>
      <c r="AU53" s="25"/>
      <c r="AV53" s="20"/>
      <c r="AW53" s="25"/>
      <c r="AX53" s="25"/>
      <c r="AY53" s="20"/>
      <c r="AZ53" s="25"/>
      <c r="BA53" s="25"/>
      <c r="BB53" s="20">
        <v>4</v>
      </c>
      <c r="BC53" s="25">
        <v>288.72881311880525</v>
      </c>
      <c r="BD53" s="25">
        <v>12.030367213283553</v>
      </c>
      <c r="BE53" s="20">
        <v>12</v>
      </c>
      <c r="BF53" s="25">
        <v>577.4576262376105</v>
      </c>
      <c r="BG53" s="25">
        <v>24.060734426567105</v>
      </c>
      <c r="BH53" s="20"/>
      <c r="BI53" s="25"/>
      <c r="BJ53" s="25"/>
      <c r="BK53" s="20"/>
      <c r="BL53" s="25"/>
      <c r="BM53" s="25"/>
      <c r="BN53" s="20"/>
      <c r="BO53" s="25"/>
      <c r="BP53" s="25"/>
      <c r="BQ53" s="20"/>
      <c r="BR53" s="25"/>
      <c r="BS53" s="25"/>
      <c r="BT53" s="20"/>
      <c r="BU53" s="25"/>
      <c r="BV53" s="25"/>
      <c r="BW53" s="20"/>
      <c r="BX53" s="25"/>
      <c r="BY53" s="25"/>
      <c r="BZ53" s="20"/>
      <c r="CA53" s="25"/>
      <c r="CB53" s="25"/>
      <c r="CC53" s="20"/>
      <c r="CD53" s="25"/>
      <c r="CE53" s="25"/>
      <c r="CF53" s="20"/>
      <c r="CG53" s="25"/>
      <c r="CH53" s="25"/>
      <c r="CI53" s="20"/>
      <c r="CJ53" s="25"/>
      <c r="CK53" s="25"/>
      <c r="CL53" s="20"/>
      <c r="CM53" s="25"/>
      <c r="CN53" s="25"/>
      <c r="CO53" s="20"/>
      <c r="CP53" s="25"/>
      <c r="CQ53" s="25"/>
      <c r="CR53" s="20"/>
      <c r="CS53" s="25"/>
      <c r="CT53" s="25"/>
      <c r="CU53" s="20"/>
      <c r="CV53" s="25"/>
      <c r="CW53" s="25"/>
      <c r="CX53" s="20"/>
      <c r="CY53" s="25"/>
      <c r="CZ53" s="25"/>
      <c r="DA53" s="20"/>
      <c r="DB53" s="25"/>
      <c r="DC53" s="25"/>
      <c r="DD53" s="20"/>
      <c r="DE53" s="25"/>
      <c r="DF53" s="25"/>
      <c r="DG53" s="20"/>
      <c r="DH53" s="25"/>
      <c r="DI53" s="25"/>
      <c r="DJ53" s="20"/>
      <c r="DK53" s="25"/>
      <c r="DL53" s="25"/>
      <c r="DM53" s="20"/>
      <c r="DN53" s="25"/>
      <c r="DO53" s="25"/>
      <c r="DP53" s="20"/>
      <c r="DQ53" s="25"/>
      <c r="DR53" s="25"/>
      <c r="DS53" s="20"/>
      <c r="DT53" s="25"/>
      <c r="DU53" s="25"/>
      <c r="DV53" s="20"/>
      <c r="DW53" s="25"/>
      <c r="DX53" s="25"/>
      <c r="DY53" s="20"/>
      <c r="DZ53" s="25"/>
      <c r="EA53" s="25"/>
      <c r="EB53" s="20"/>
      <c r="EC53" s="25"/>
      <c r="ED53" s="25"/>
      <c r="EE53" s="20"/>
      <c r="EF53" s="25"/>
      <c r="EG53" s="25"/>
      <c r="EH53" s="20"/>
      <c r="EI53" s="25"/>
      <c r="EJ53" s="25"/>
      <c r="EK53" s="20"/>
      <c r="EL53" s="25"/>
      <c r="EM53" s="25"/>
      <c r="EN53" s="20"/>
      <c r="EO53" s="25"/>
      <c r="EP53" s="25"/>
      <c r="EQ53" s="20"/>
      <c r="ER53" s="25"/>
      <c r="ES53" s="25"/>
      <c r="ET53" s="20"/>
      <c r="EU53" s="25"/>
      <c r="EV53" s="25"/>
      <c r="EW53" s="20"/>
      <c r="EX53" s="25"/>
      <c r="EY53" s="25"/>
      <c r="EZ53" s="20"/>
      <c r="FA53" s="25"/>
      <c r="FB53" s="25"/>
      <c r="FC53" s="20"/>
      <c r="FD53" s="25"/>
      <c r="FE53" s="25"/>
      <c r="FF53" s="20"/>
      <c r="FG53" s="25"/>
      <c r="FH53" s="25"/>
      <c r="FI53" s="20"/>
      <c r="FJ53" s="25"/>
      <c r="FK53" s="25"/>
      <c r="FL53" s="20"/>
      <c r="FM53" s="25"/>
      <c r="FN53" s="25"/>
      <c r="FO53" s="20"/>
      <c r="FP53" s="25"/>
      <c r="FQ53" s="25"/>
      <c r="FR53" s="20"/>
      <c r="FS53" s="25"/>
      <c r="FT53" s="25"/>
      <c r="FU53" s="20"/>
      <c r="FV53" s="25"/>
      <c r="FW53" s="25"/>
      <c r="FX53" s="20"/>
      <c r="FY53" s="25"/>
      <c r="FZ53" s="25"/>
      <c r="GA53" s="20"/>
      <c r="GB53" s="25"/>
      <c r="GC53" s="25"/>
      <c r="GD53" s="20"/>
      <c r="GE53" s="25"/>
      <c r="GF53" s="25"/>
      <c r="GG53" s="20"/>
      <c r="GH53" s="25"/>
      <c r="GI53" s="25"/>
      <c r="GJ53" s="20"/>
      <c r="GK53" s="25"/>
      <c r="GL53" s="25"/>
      <c r="GM53" s="20"/>
      <c r="GN53" s="25"/>
      <c r="GO53" s="25"/>
      <c r="GP53" s="20"/>
      <c r="GQ53" s="25"/>
      <c r="GR53" s="25"/>
      <c r="GS53" s="20"/>
      <c r="GT53" s="25"/>
      <c r="GU53" s="25"/>
      <c r="GV53" s="20"/>
      <c r="GW53" s="25"/>
      <c r="GX53" s="25"/>
      <c r="GY53" s="20"/>
      <c r="GZ53" s="25"/>
      <c r="HA53" s="25"/>
      <c r="HB53" s="20"/>
      <c r="HC53" s="25"/>
      <c r="HD53" s="25"/>
      <c r="HE53" s="20"/>
      <c r="HF53" s="25"/>
      <c r="HG53" s="25"/>
      <c r="HH53" s="20"/>
      <c r="HI53" s="25"/>
      <c r="HJ53" s="25"/>
      <c r="HK53" s="20"/>
      <c r="HL53" s="25"/>
      <c r="HM53" s="25"/>
      <c r="HN53" s="20"/>
      <c r="HO53" s="25"/>
      <c r="HP53" s="25"/>
      <c r="HQ53" s="20">
        <v>26</v>
      </c>
      <c r="HR53" s="25">
        <v>1359.4314951010415</v>
      </c>
      <c r="HS53" s="25">
        <v>56.642978962543395</v>
      </c>
    </row>
    <row r="54" spans="1:227" ht="14.25">
      <c r="A54" s="169" t="s">
        <v>1854</v>
      </c>
      <c r="B54" s="278" t="s">
        <v>1794</v>
      </c>
      <c r="C54" s="171"/>
      <c r="D54" s="311">
        <v>0.23</v>
      </c>
      <c r="E54" s="170" cm="1">
        <f t="array" ref="E54">tabUniformes[[#This Row],[Valor Inicial]]*IFERROR(PRODUCT(1+_xlfn._xlws.FILTER(tabIndices[PERCENTUAL],tabIndices[DATA DA PUBLICAÇÃO]&gt;tabUniformes[[#This Row],[DATA PUBLICAÇÃO]])),1)</f>
        <v>0.23</v>
      </c>
      <c r="F54" s="172">
        <v>360</v>
      </c>
      <c r="G54" s="172" t="s">
        <v>1797</v>
      </c>
      <c r="H54" s="172">
        <v>4</v>
      </c>
      <c r="I54" s="173">
        <f>tabUniformes[[#This Row],[Valor Reajustado]]*tabUniformes[[#This Row],[Qtde Anual de Peças]]*tabUniformes[[#This Row],[Qtde. funcionários]]</f>
        <v>331.2</v>
      </c>
      <c r="J54" s="172">
        <f>tabUniformes[[#This Row],[Qtde Anual de Peças]]*tabUniformes[[#This Row],[Qtde. funcionários]]</f>
        <v>1440</v>
      </c>
      <c r="K54" s="170">
        <f>IFERROR(tabUniformes[[#This Row],[Total]]/12/tabUniformes[[#This Row],[Qtde. funcionários]],0)</f>
        <v>6.8999999999999995</v>
      </c>
      <c r="M54" t="s">
        <v>1392</v>
      </c>
      <c r="N54">
        <v>2</v>
      </c>
      <c r="O54" s="20">
        <v>2</v>
      </c>
      <c r="P54" s="25">
        <v>156.39477377268619</v>
      </c>
      <c r="Q54" s="25">
        <v>6.516448907195258</v>
      </c>
      <c r="R54" s="20">
        <v>8</v>
      </c>
      <c r="S54" s="25">
        <v>336.85028197193947</v>
      </c>
      <c r="T54" s="25">
        <v>14.035428415497478</v>
      </c>
      <c r="U54" s="20"/>
      <c r="V54" s="25"/>
      <c r="W54" s="25"/>
      <c r="X54" s="20"/>
      <c r="Y54" s="25"/>
      <c r="Z54" s="25"/>
      <c r="AA54" s="20"/>
      <c r="AB54" s="25"/>
      <c r="AC54" s="25"/>
      <c r="AD54" s="20"/>
      <c r="AE54" s="25"/>
      <c r="AF54" s="25"/>
      <c r="AG54" s="20"/>
      <c r="AH54" s="25"/>
      <c r="AI54" s="25"/>
      <c r="AJ54" s="20">
        <v>2</v>
      </c>
      <c r="AK54" s="25">
        <v>96.242937706268421</v>
      </c>
      <c r="AL54" s="25">
        <v>4.0101224044278512</v>
      </c>
      <c r="AM54" s="20"/>
      <c r="AN54" s="25"/>
      <c r="AO54" s="25"/>
      <c r="AP54" s="20">
        <v>2</v>
      </c>
      <c r="AQ54" s="25">
        <v>48.121468853134211</v>
      </c>
      <c r="AR54" s="25">
        <v>2.0050612022139256</v>
      </c>
      <c r="AS54" s="20"/>
      <c r="AT54" s="25"/>
      <c r="AU54" s="25"/>
      <c r="AV54" s="20"/>
      <c r="AW54" s="25"/>
      <c r="AX54" s="25"/>
      <c r="AY54" s="20"/>
      <c r="AZ54" s="25"/>
      <c r="BA54" s="25"/>
      <c r="BB54" s="20"/>
      <c r="BC54" s="25"/>
      <c r="BD54" s="25"/>
      <c r="BE54" s="20">
        <v>12</v>
      </c>
      <c r="BF54" s="25">
        <v>577.4576262376105</v>
      </c>
      <c r="BG54" s="25">
        <v>24.060734426567105</v>
      </c>
      <c r="BH54" s="20">
        <v>4</v>
      </c>
      <c r="BI54" s="25">
        <v>288.72881311880525</v>
      </c>
      <c r="BJ54" s="25">
        <v>12.030367213283553</v>
      </c>
      <c r="BK54" s="20"/>
      <c r="BL54" s="25"/>
      <c r="BM54" s="25"/>
      <c r="BN54" s="20"/>
      <c r="BO54" s="25"/>
      <c r="BP54" s="25"/>
      <c r="BQ54" s="20"/>
      <c r="BR54" s="25"/>
      <c r="BS54" s="25"/>
      <c r="BT54" s="20"/>
      <c r="BU54" s="25"/>
      <c r="BV54" s="25"/>
      <c r="BW54" s="20"/>
      <c r="BX54" s="25"/>
      <c r="BY54" s="25"/>
      <c r="BZ54" s="20"/>
      <c r="CA54" s="25"/>
      <c r="CB54" s="25"/>
      <c r="CC54" s="20"/>
      <c r="CD54" s="25"/>
      <c r="CE54" s="25"/>
      <c r="CF54" s="20"/>
      <c r="CG54" s="25"/>
      <c r="CH54" s="25"/>
      <c r="CI54" s="20"/>
      <c r="CJ54" s="25"/>
      <c r="CK54" s="25"/>
      <c r="CL54" s="20"/>
      <c r="CM54" s="25"/>
      <c r="CN54" s="25"/>
      <c r="CO54" s="20"/>
      <c r="CP54" s="25"/>
      <c r="CQ54" s="25"/>
      <c r="CR54" s="20"/>
      <c r="CS54" s="25"/>
      <c r="CT54" s="25"/>
      <c r="CU54" s="20"/>
      <c r="CV54" s="25"/>
      <c r="CW54" s="25"/>
      <c r="CX54" s="20"/>
      <c r="CY54" s="25"/>
      <c r="CZ54" s="25"/>
      <c r="DA54" s="20"/>
      <c r="DB54" s="25"/>
      <c r="DC54" s="25"/>
      <c r="DD54" s="20"/>
      <c r="DE54" s="25"/>
      <c r="DF54" s="25"/>
      <c r="DG54" s="20"/>
      <c r="DH54" s="25"/>
      <c r="DI54" s="25"/>
      <c r="DJ54" s="20"/>
      <c r="DK54" s="25"/>
      <c r="DL54" s="25"/>
      <c r="DM54" s="20"/>
      <c r="DN54" s="25"/>
      <c r="DO54" s="25"/>
      <c r="DP54" s="20"/>
      <c r="DQ54" s="25"/>
      <c r="DR54" s="25"/>
      <c r="DS54" s="20"/>
      <c r="DT54" s="25"/>
      <c r="DU54" s="25"/>
      <c r="DV54" s="20"/>
      <c r="DW54" s="25"/>
      <c r="DX54" s="25"/>
      <c r="DY54" s="20"/>
      <c r="DZ54" s="25"/>
      <c r="EA54" s="25"/>
      <c r="EB54" s="20"/>
      <c r="EC54" s="25"/>
      <c r="ED54" s="25"/>
      <c r="EE54" s="20"/>
      <c r="EF54" s="25"/>
      <c r="EG54" s="25"/>
      <c r="EH54" s="20"/>
      <c r="EI54" s="25"/>
      <c r="EJ54" s="25"/>
      <c r="EK54" s="20"/>
      <c r="EL54" s="25"/>
      <c r="EM54" s="25"/>
      <c r="EN54" s="20"/>
      <c r="EO54" s="25"/>
      <c r="EP54" s="25"/>
      <c r="EQ54" s="20"/>
      <c r="ER54" s="25"/>
      <c r="ES54" s="25"/>
      <c r="ET54" s="20"/>
      <c r="EU54" s="25"/>
      <c r="EV54" s="25"/>
      <c r="EW54" s="20"/>
      <c r="EX54" s="25"/>
      <c r="EY54" s="25"/>
      <c r="EZ54" s="20"/>
      <c r="FA54" s="25"/>
      <c r="FB54" s="25"/>
      <c r="FC54" s="20"/>
      <c r="FD54" s="25"/>
      <c r="FE54" s="25"/>
      <c r="FF54" s="20"/>
      <c r="FG54" s="25"/>
      <c r="FH54" s="25"/>
      <c r="FI54" s="20"/>
      <c r="FJ54" s="25"/>
      <c r="FK54" s="25"/>
      <c r="FL54" s="20"/>
      <c r="FM54" s="25"/>
      <c r="FN54" s="25"/>
      <c r="FO54" s="20"/>
      <c r="FP54" s="25"/>
      <c r="FQ54" s="25"/>
      <c r="FR54" s="20"/>
      <c r="FS54" s="25"/>
      <c r="FT54" s="25"/>
      <c r="FU54" s="20"/>
      <c r="FV54" s="25"/>
      <c r="FW54" s="25"/>
      <c r="FX54" s="20"/>
      <c r="FY54" s="25"/>
      <c r="FZ54" s="25"/>
      <c r="GA54" s="20"/>
      <c r="GB54" s="25"/>
      <c r="GC54" s="25"/>
      <c r="GD54" s="20"/>
      <c r="GE54" s="25"/>
      <c r="GF54" s="25"/>
      <c r="GG54" s="20"/>
      <c r="GH54" s="25"/>
      <c r="GI54" s="25"/>
      <c r="GJ54" s="20"/>
      <c r="GK54" s="25"/>
      <c r="GL54" s="25"/>
      <c r="GM54" s="20"/>
      <c r="GN54" s="25"/>
      <c r="GO54" s="25"/>
      <c r="GP54" s="20"/>
      <c r="GQ54" s="25"/>
      <c r="GR54" s="25"/>
      <c r="GS54" s="20"/>
      <c r="GT54" s="25"/>
      <c r="GU54" s="25"/>
      <c r="GV54" s="20"/>
      <c r="GW54" s="25"/>
      <c r="GX54" s="25"/>
      <c r="GY54" s="20"/>
      <c r="GZ54" s="25"/>
      <c r="HA54" s="25"/>
      <c r="HB54" s="20"/>
      <c r="HC54" s="25"/>
      <c r="HD54" s="25"/>
      <c r="HE54" s="20"/>
      <c r="HF54" s="25"/>
      <c r="HG54" s="25"/>
      <c r="HH54" s="20"/>
      <c r="HI54" s="25"/>
      <c r="HJ54" s="25"/>
      <c r="HK54" s="20"/>
      <c r="HL54" s="25"/>
      <c r="HM54" s="25"/>
      <c r="HN54" s="20"/>
      <c r="HO54" s="25"/>
      <c r="HP54" s="25"/>
      <c r="HQ54" s="20">
        <v>30</v>
      </c>
      <c r="HR54" s="25">
        <v>1503.7959016604441</v>
      </c>
      <c r="HS54" s="25">
        <v>62.658162569185173</v>
      </c>
    </row>
    <row r="55" spans="1:227" ht="14.25">
      <c r="A55" s="169" t="s">
        <v>1854</v>
      </c>
      <c r="B55" s="278" t="s">
        <v>1796</v>
      </c>
      <c r="C55" s="171"/>
      <c r="D55" s="311">
        <v>1.39</v>
      </c>
      <c r="E55" s="170" cm="1">
        <f t="array" ref="E55">tabUniformes[[#This Row],[Valor Inicial]]*IFERROR(PRODUCT(1+_xlfn._xlws.FILTER(tabIndices[PERCENTUAL],tabIndices[DATA DA PUBLICAÇÃO]&gt;tabUniformes[[#This Row],[DATA PUBLICAÇÃO]])),1)</f>
        <v>1.39</v>
      </c>
      <c r="F55" s="172">
        <v>24</v>
      </c>
      <c r="G55" s="172" t="s">
        <v>1797</v>
      </c>
      <c r="H55" s="172">
        <v>4</v>
      </c>
      <c r="I55" s="173">
        <f>tabUniformes[[#This Row],[Valor Reajustado]]*tabUniformes[[#This Row],[Qtde Anual de Peças]]*tabUniformes[[#This Row],[Qtde. funcionários]]</f>
        <v>133.44</v>
      </c>
      <c r="J55" s="172">
        <f>tabUniformes[[#This Row],[Qtde Anual de Peças]]*tabUniformes[[#This Row],[Qtde. funcionários]]</f>
        <v>96</v>
      </c>
      <c r="K55" s="170">
        <f>IFERROR(tabUniformes[[#This Row],[Total]]/12/tabUniformes[[#This Row],[Qtde. funcionários]],0)</f>
        <v>2.78</v>
      </c>
      <c r="M55" t="s">
        <v>1526</v>
      </c>
      <c r="N55">
        <v>2</v>
      </c>
      <c r="O55" s="20">
        <v>2</v>
      </c>
      <c r="P55" s="25">
        <v>156.39477377268619</v>
      </c>
      <c r="Q55" s="25">
        <v>6.516448907195258</v>
      </c>
      <c r="R55" s="20">
        <v>8</v>
      </c>
      <c r="S55" s="25">
        <v>336.85028197193947</v>
      </c>
      <c r="T55" s="25">
        <v>14.035428415497478</v>
      </c>
      <c r="U55" s="20"/>
      <c r="V55" s="25"/>
      <c r="W55" s="25"/>
      <c r="X55" s="20"/>
      <c r="Y55" s="25"/>
      <c r="Z55" s="25"/>
      <c r="AA55" s="20"/>
      <c r="AB55" s="25"/>
      <c r="AC55" s="25"/>
      <c r="AD55" s="20"/>
      <c r="AE55" s="25"/>
      <c r="AF55" s="25"/>
      <c r="AG55" s="20"/>
      <c r="AH55" s="25"/>
      <c r="AI55" s="25"/>
      <c r="AJ55" s="20">
        <v>2</v>
      </c>
      <c r="AK55" s="25">
        <v>96.242937706268421</v>
      </c>
      <c r="AL55" s="25">
        <v>4.0101224044278512</v>
      </c>
      <c r="AM55" s="20"/>
      <c r="AN55" s="25"/>
      <c r="AO55" s="25"/>
      <c r="AP55" s="20">
        <v>2</v>
      </c>
      <c r="AQ55" s="25">
        <v>48.121468853134211</v>
      </c>
      <c r="AR55" s="25">
        <v>2.0050612022139256</v>
      </c>
      <c r="AS55" s="20"/>
      <c r="AT55" s="25"/>
      <c r="AU55" s="25"/>
      <c r="AV55" s="20"/>
      <c r="AW55" s="25"/>
      <c r="AX55" s="25"/>
      <c r="AY55" s="20"/>
      <c r="AZ55" s="25"/>
      <c r="BA55" s="25"/>
      <c r="BB55" s="20"/>
      <c r="BC55" s="25"/>
      <c r="BD55" s="25"/>
      <c r="BE55" s="20">
        <v>12</v>
      </c>
      <c r="BF55" s="25">
        <v>577.4576262376105</v>
      </c>
      <c r="BG55" s="25">
        <v>24.060734426567105</v>
      </c>
      <c r="BH55" s="20">
        <v>4</v>
      </c>
      <c r="BI55" s="25">
        <v>288.72881311880525</v>
      </c>
      <c r="BJ55" s="25">
        <v>12.030367213283553</v>
      </c>
      <c r="BK55" s="20"/>
      <c r="BL55" s="25"/>
      <c r="BM55" s="25"/>
      <c r="BN55" s="20"/>
      <c r="BO55" s="25"/>
      <c r="BP55" s="25"/>
      <c r="BQ55" s="20"/>
      <c r="BR55" s="25"/>
      <c r="BS55" s="25"/>
      <c r="BT55" s="20"/>
      <c r="BU55" s="25"/>
      <c r="BV55" s="25"/>
      <c r="BW55" s="20"/>
      <c r="BX55" s="25"/>
      <c r="BY55" s="25"/>
      <c r="BZ55" s="20"/>
      <c r="CA55" s="25"/>
      <c r="CB55" s="25"/>
      <c r="CC55" s="20"/>
      <c r="CD55" s="25"/>
      <c r="CE55" s="25"/>
      <c r="CF55" s="20"/>
      <c r="CG55" s="25"/>
      <c r="CH55" s="25"/>
      <c r="CI55" s="20"/>
      <c r="CJ55" s="25"/>
      <c r="CK55" s="25"/>
      <c r="CL55" s="20"/>
      <c r="CM55" s="25"/>
      <c r="CN55" s="25"/>
      <c r="CO55" s="20"/>
      <c r="CP55" s="25"/>
      <c r="CQ55" s="25"/>
      <c r="CR55" s="20"/>
      <c r="CS55" s="25"/>
      <c r="CT55" s="25"/>
      <c r="CU55" s="20"/>
      <c r="CV55" s="25"/>
      <c r="CW55" s="25"/>
      <c r="CX55" s="20"/>
      <c r="CY55" s="25"/>
      <c r="CZ55" s="25"/>
      <c r="DA55" s="20"/>
      <c r="DB55" s="25"/>
      <c r="DC55" s="25"/>
      <c r="DD55" s="20"/>
      <c r="DE55" s="25"/>
      <c r="DF55" s="25"/>
      <c r="DG55" s="20"/>
      <c r="DH55" s="25"/>
      <c r="DI55" s="25"/>
      <c r="DJ55" s="20"/>
      <c r="DK55" s="25"/>
      <c r="DL55" s="25"/>
      <c r="DM55" s="20"/>
      <c r="DN55" s="25"/>
      <c r="DO55" s="25"/>
      <c r="DP55" s="20"/>
      <c r="DQ55" s="25"/>
      <c r="DR55" s="25"/>
      <c r="DS55" s="20"/>
      <c r="DT55" s="25"/>
      <c r="DU55" s="25"/>
      <c r="DV55" s="20"/>
      <c r="DW55" s="25"/>
      <c r="DX55" s="25"/>
      <c r="DY55" s="20"/>
      <c r="DZ55" s="25"/>
      <c r="EA55" s="25"/>
      <c r="EB55" s="20"/>
      <c r="EC55" s="25"/>
      <c r="ED55" s="25"/>
      <c r="EE55" s="20"/>
      <c r="EF55" s="25"/>
      <c r="EG55" s="25"/>
      <c r="EH55" s="20"/>
      <c r="EI55" s="25"/>
      <c r="EJ55" s="25"/>
      <c r="EK55" s="20"/>
      <c r="EL55" s="25"/>
      <c r="EM55" s="25"/>
      <c r="EN55" s="20"/>
      <c r="EO55" s="25"/>
      <c r="EP55" s="25"/>
      <c r="EQ55" s="20"/>
      <c r="ER55" s="25"/>
      <c r="ES55" s="25"/>
      <c r="ET55" s="20"/>
      <c r="EU55" s="25"/>
      <c r="EV55" s="25"/>
      <c r="EW55" s="20"/>
      <c r="EX55" s="25"/>
      <c r="EY55" s="25"/>
      <c r="EZ55" s="20"/>
      <c r="FA55" s="25"/>
      <c r="FB55" s="25"/>
      <c r="FC55" s="20"/>
      <c r="FD55" s="25"/>
      <c r="FE55" s="25"/>
      <c r="FF55" s="20"/>
      <c r="FG55" s="25"/>
      <c r="FH55" s="25"/>
      <c r="FI55" s="20"/>
      <c r="FJ55" s="25"/>
      <c r="FK55" s="25"/>
      <c r="FL55" s="20"/>
      <c r="FM55" s="25"/>
      <c r="FN55" s="25"/>
      <c r="FO55" s="20"/>
      <c r="FP55" s="25"/>
      <c r="FQ55" s="25"/>
      <c r="FR55" s="20"/>
      <c r="FS55" s="25"/>
      <c r="FT55" s="25"/>
      <c r="FU55" s="20"/>
      <c r="FV55" s="25"/>
      <c r="FW55" s="25"/>
      <c r="FX55" s="20"/>
      <c r="FY55" s="25"/>
      <c r="FZ55" s="25"/>
      <c r="GA55" s="20"/>
      <c r="GB55" s="25"/>
      <c r="GC55" s="25"/>
      <c r="GD55" s="20"/>
      <c r="GE55" s="25"/>
      <c r="GF55" s="25"/>
      <c r="GG55" s="20"/>
      <c r="GH55" s="25"/>
      <c r="GI55" s="25"/>
      <c r="GJ55" s="20"/>
      <c r="GK55" s="25"/>
      <c r="GL55" s="25"/>
      <c r="GM55" s="20"/>
      <c r="GN55" s="25"/>
      <c r="GO55" s="25"/>
      <c r="GP55" s="20"/>
      <c r="GQ55" s="25"/>
      <c r="GR55" s="25"/>
      <c r="GS55" s="20"/>
      <c r="GT55" s="25"/>
      <c r="GU55" s="25"/>
      <c r="GV55" s="20"/>
      <c r="GW55" s="25"/>
      <c r="GX55" s="25"/>
      <c r="GY55" s="20"/>
      <c r="GZ55" s="25"/>
      <c r="HA55" s="25"/>
      <c r="HB55" s="20"/>
      <c r="HC55" s="25"/>
      <c r="HD55" s="25"/>
      <c r="HE55" s="20"/>
      <c r="HF55" s="25"/>
      <c r="HG55" s="25"/>
      <c r="HH55" s="20"/>
      <c r="HI55" s="25"/>
      <c r="HJ55" s="25"/>
      <c r="HK55" s="20"/>
      <c r="HL55" s="25"/>
      <c r="HM55" s="25"/>
      <c r="HN55" s="20"/>
      <c r="HO55" s="25"/>
      <c r="HP55" s="25"/>
      <c r="HQ55" s="20">
        <v>30</v>
      </c>
      <c r="HR55" s="25">
        <v>1503.7959016604441</v>
      </c>
      <c r="HS55" s="25">
        <v>62.658162569185173</v>
      </c>
    </row>
    <row r="56" spans="1:227" ht="14.25">
      <c r="A56" s="169" t="s">
        <v>1854</v>
      </c>
      <c r="B56" s="278" t="s">
        <v>1795</v>
      </c>
      <c r="C56" s="171"/>
      <c r="D56" s="311">
        <v>2.2200000000000002</v>
      </c>
      <c r="E56" s="170" cm="1">
        <f t="array" ref="E56">tabUniformes[[#This Row],[Valor Inicial]]*IFERROR(PRODUCT(1+_xlfn._xlws.FILTER(tabIndices[PERCENTUAL],tabIndices[DATA DA PUBLICAÇÃO]&gt;tabUniformes[[#This Row],[DATA PUBLICAÇÃO]])),1)</f>
        <v>2.2200000000000002</v>
      </c>
      <c r="F56" s="172">
        <v>24</v>
      </c>
      <c r="G56" s="172" t="s">
        <v>1797</v>
      </c>
      <c r="H56" s="172">
        <v>4</v>
      </c>
      <c r="I56" s="173">
        <f>tabUniformes[[#This Row],[Valor Reajustado]]*tabUniformes[[#This Row],[Qtde Anual de Peças]]*tabUniformes[[#This Row],[Qtde. funcionários]]</f>
        <v>213.12</v>
      </c>
      <c r="J56" s="172">
        <f>tabUniformes[[#This Row],[Qtde Anual de Peças]]*tabUniformes[[#This Row],[Qtde. funcionários]]</f>
        <v>96</v>
      </c>
      <c r="K56" s="170">
        <f>IFERROR(tabUniformes[[#This Row],[Total]]/12/tabUniformes[[#This Row],[Qtde. funcionários]],0)</f>
        <v>4.4400000000000004</v>
      </c>
      <c r="M56" t="s">
        <v>1393</v>
      </c>
      <c r="N56">
        <v>2</v>
      </c>
      <c r="O56" s="20"/>
      <c r="P56" s="25"/>
      <c r="Q56" s="25"/>
      <c r="R56" s="20"/>
      <c r="S56" s="25"/>
      <c r="T56" s="25"/>
      <c r="U56" s="20"/>
      <c r="V56" s="25"/>
      <c r="W56" s="25"/>
      <c r="X56" s="20">
        <v>8</v>
      </c>
      <c r="Y56" s="25">
        <v>433.0932196782079</v>
      </c>
      <c r="Z56" s="25">
        <v>18.045550819925328</v>
      </c>
      <c r="AA56" s="20"/>
      <c r="AB56" s="25"/>
      <c r="AC56" s="25"/>
      <c r="AD56" s="20">
        <v>12</v>
      </c>
      <c r="AE56" s="25">
        <v>505.2754229579092</v>
      </c>
      <c r="AF56" s="25">
        <v>21.053142623246217</v>
      </c>
      <c r="AG56" s="20">
        <v>2</v>
      </c>
      <c r="AH56" s="25">
        <v>120.30367213283553</v>
      </c>
      <c r="AI56" s="25">
        <v>5.0126530055348137</v>
      </c>
      <c r="AJ56" s="20"/>
      <c r="AK56" s="25"/>
      <c r="AL56" s="25"/>
      <c r="AM56" s="20"/>
      <c r="AN56" s="25"/>
      <c r="AO56" s="25"/>
      <c r="AP56" s="20"/>
      <c r="AQ56" s="25"/>
      <c r="AR56" s="25"/>
      <c r="AS56" s="20"/>
      <c r="AT56" s="25"/>
      <c r="AU56" s="25"/>
      <c r="AV56" s="20"/>
      <c r="AW56" s="25"/>
      <c r="AX56" s="25"/>
      <c r="AY56" s="20"/>
      <c r="AZ56" s="25"/>
      <c r="BA56" s="25"/>
      <c r="BB56" s="20"/>
      <c r="BC56" s="25"/>
      <c r="BD56" s="25"/>
      <c r="BE56" s="20"/>
      <c r="BF56" s="25"/>
      <c r="BG56" s="25"/>
      <c r="BH56" s="20"/>
      <c r="BI56" s="25"/>
      <c r="BJ56" s="25"/>
      <c r="BK56" s="20"/>
      <c r="BL56" s="25"/>
      <c r="BM56" s="25"/>
      <c r="BN56" s="20"/>
      <c r="BO56" s="25"/>
      <c r="BP56" s="25"/>
      <c r="BQ56" s="20"/>
      <c r="BR56" s="25"/>
      <c r="BS56" s="25"/>
      <c r="BT56" s="20"/>
      <c r="BU56" s="25"/>
      <c r="BV56" s="25"/>
      <c r="BW56" s="20"/>
      <c r="BX56" s="25"/>
      <c r="BY56" s="25"/>
      <c r="BZ56" s="20"/>
      <c r="CA56" s="25"/>
      <c r="CB56" s="25"/>
      <c r="CC56" s="20">
        <v>4</v>
      </c>
      <c r="CD56" s="25">
        <v>1120.1600000000001</v>
      </c>
      <c r="CE56" s="25">
        <v>46.673333333333339</v>
      </c>
      <c r="CF56" s="20"/>
      <c r="CG56" s="25"/>
      <c r="CH56" s="25"/>
      <c r="CI56" s="20"/>
      <c r="CJ56" s="25"/>
      <c r="CK56" s="25"/>
      <c r="CL56" s="20"/>
      <c r="CM56" s="25"/>
      <c r="CN56" s="25"/>
      <c r="CO56" s="20"/>
      <c r="CP56" s="25"/>
      <c r="CQ56" s="25"/>
      <c r="CR56" s="20"/>
      <c r="CS56" s="25"/>
      <c r="CT56" s="25"/>
      <c r="CU56" s="20"/>
      <c r="CV56" s="25"/>
      <c r="CW56" s="25"/>
      <c r="CX56" s="20"/>
      <c r="CY56" s="25"/>
      <c r="CZ56" s="25"/>
      <c r="DA56" s="20"/>
      <c r="DB56" s="25"/>
      <c r="DC56" s="25"/>
      <c r="DD56" s="20"/>
      <c r="DE56" s="25"/>
      <c r="DF56" s="25"/>
      <c r="DG56" s="20"/>
      <c r="DH56" s="25"/>
      <c r="DI56" s="25"/>
      <c r="DJ56" s="20"/>
      <c r="DK56" s="25"/>
      <c r="DL56" s="25"/>
      <c r="DM56" s="20"/>
      <c r="DN56" s="25"/>
      <c r="DO56" s="25"/>
      <c r="DP56" s="20"/>
      <c r="DQ56" s="25"/>
      <c r="DR56" s="25"/>
      <c r="DS56" s="20"/>
      <c r="DT56" s="25"/>
      <c r="DU56" s="25"/>
      <c r="DV56" s="20"/>
      <c r="DW56" s="25"/>
      <c r="DX56" s="25"/>
      <c r="DY56" s="20"/>
      <c r="DZ56" s="25"/>
      <c r="EA56" s="25"/>
      <c r="EB56" s="20"/>
      <c r="EC56" s="25"/>
      <c r="ED56" s="25"/>
      <c r="EE56" s="20"/>
      <c r="EF56" s="25"/>
      <c r="EG56" s="25"/>
      <c r="EH56" s="20"/>
      <c r="EI56" s="25"/>
      <c r="EJ56" s="25"/>
      <c r="EK56" s="20"/>
      <c r="EL56" s="25"/>
      <c r="EM56" s="25"/>
      <c r="EN56" s="20"/>
      <c r="EO56" s="25"/>
      <c r="EP56" s="25"/>
      <c r="EQ56" s="20"/>
      <c r="ER56" s="25"/>
      <c r="ES56" s="25"/>
      <c r="ET56" s="20"/>
      <c r="EU56" s="25"/>
      <c r="EV56" s="25"/>
      <c r="EW56" s="20"/>
      <c r="EX56" s="25"/>
      <c r="EY56" s="25"/>
      <c r="EZ56" s="20"/>
      <c r="FA56" s="25"/>
      <c r="FB56" s="25"/>
      <c r="FC56" s="20"/>
      <c r="FD56" s="25"/>
      <c r="FE56" s="25"/>
      <c r="FF56" s="20"/>
      <c r="FG56" s="25"/>
      <c r="FH56" s="25"/>
      <c r="FI56" s="20"/>
      <c r="FJ56" s="25"/>
      <c r="FK56" s="25"/>
      <c r="FL56" s="20"/>
      <c r="FM56" s="25"/>
      <c r="FN56" s="25"/>
      <c r="FO56" s="20"/>
      <c r="FP56" s="25"/>
      <c r="FQ56" s="25"/>
      <c r="FR56" s="20"/>
      <c r="FS56" s="25"/>
      <c r="FT56" s="25"/>
      <c r="FU56" s="20"/>
      <c r="FV56" s="25"/>
      <c r="FW56" s="25"/>
      <c r="FX56" s="20"/>
      <c r="FY56" s="25"/>
      <c r="FZ56" s="25"/>
      <c r="GA56" s="20"/>
      <c r="GB56" s="25"/>
      <c r="GC56" s="25"/>
      <c r="GD56" s="20"/>
      <c r="GE56" s="25"/>
      <c r="GF56" s="25"/>
      <c r="GG56" s="20"/>
      <c r="GH56" s="25"/>
      <c r="GI56" s="25"/>
      <c r="GJ56" s="20"/>
      <c r="GK56" s="25"/>
      <c r="GL56" s="25"/>
      <c r="GM56" s="20"/>
      <c r="GN56" s="25"/>
      <c r="GO56" s="25"/>
      <c r="GP56" s="20"/>
      <c r="GQ56" s="25"/>
      <c r="GR56" s="25"/>
      <c r="GS56" s="20"/>
      <c r="GT56" s="25"/>
      <c r="GU56" s="25"/>
      <c r="GV56" s="20"/>
      <c r="GW56" s="25"/>
      <c r="GX56" s="25"/>
      <c r="GY56" s="20"/>
      <c r="GZ56" s="25"/>
      <c r="HA56" s="25"/>
      <c r="HB56" s="20"/>
      <c r="HC56" s="25"/>
      <c r="HD56" s="25"/>
      <c r="HE56" s="20"/>
      <c r="HF56" s="25"/>
      <c r="HG56" s="25"/>
      <c r="HH56" s="20"/>
      <c r="HI56" s="25"/>
      <c r="HJ56" s="25"/>
      <c r="HK56" s="20"/>
      <c r="HL56" s="25"/>
      <c r="HM56" s="25"/>
      <c r="HN56" s="20"/>
      <c r="HO56" s="25"/>
      <c r="HP56" s="25"/>
      <c r="HQ56" s="20">
        <v>26</v>
      </c>
      <c r="HR56" s="25">
        <v>2178.8323147689525</v>
      </c>
      <c r="HS56" s="25">
        <v>90.784679782039689</v>
      </c>
    </row>
    <row r="57" spans="1:227" ht="14.25">
      <c r="A57" s="169" t="s">
        <v>14</v>
      </c>
      <c r="B57" s="278" t="s">
        <v>25</v>
      </c>
      <c r="C57" s="171"/>
      <c r="D57" s="311">
        <v>95.13</v>
      </c>
      <c r="E57" s="170" cm="1">
        <f t="array" ref="E57">tabUniformes[[#This Row],[Valor Inicial]]*IFERROR(PRODUCT(1+_xlfn._xlws.FILTER(tabIndices[PERCENTUAL],tabIndices[DATA DA PUBLICAÇÃO]&gt;tabUniformes[[#This Row],[DATA PUBLICAÇÃO]])),1)</f>
        <v>95.13</v>
      </c>
      <c r="F57" s="172">
        <v>1</v>
      </c>
      <c r="G57" s="172" t="s">
        <v>1797</v>
      </c>
      <c r="H57" s="172">
        <v>4</v>
      </c>
      <c r="I57" s="173">
        <f>tabUniformes[[#This Row],[Valor Reajustado]]*tabUniformes[[#This Row],[Qtde Anual de Peças]]*tabUniformes[[#This Row],[Qtde. funcionários]]</f>
        <v>380.52</v>
      </c>
      <c r="J57" s="172">
        <f>tabUniformes[[#This Row],[Qtde Anual de Peças]]*tabUniformes[[#This Row],[Qtde. funcionários]]</f>
        <v>4</v>
      </c>
      <c r="K57" s="170">
        <f>IFERROR(tabUniformes[[#This Row],[Total]]/12/tabUniformes[[#This Row],[Qtde. funcionários]],0)</f>
        <v>7.9274999999999993</v>
      </c>
      <c r="M57" t="s">
        <v>1394</v>
      </c>
      <c r="N57">
        <v>2</v>
      </c>
      <c r="O57" s="20"/>
      <c r="P57" s="25"/>
      <c r="Q57" s="25"/>
      <c r="R57" s="20"/>
      <c r="S57" s="25"/>
      <c r="T57" s="25"/>
      <c r="U57" s="20">
        <v>8</v>
      </c>
      <c r="V57" s="25">
        <v>336.85028197193947</v>
      </c>
      <c r="W57" s="25">
        <v>14.035428415497478</v>
      </c>
      <c r="X57" s="20"/>
      <c r="Y57" s="25"/>
      <c r="Z57" s="25"/>
      <c r="AA57" s="20">
        <v>16</v>
      </c>
      <c r="AB57" s="25">
        <v>481.21468853134212</v>
      </c>
      <c r="AC57" s="25">
        <v>20.050612022139255</v>
      </c>
      <c r="AD57" s="20"/>
      <c r="AE57" s="25"/>
      <c r="AF57" s="25"/>
      <c r="AG57" s="20">
        <v>2</v>
      </c>
      <c r="AH57" s="25">
        <v>120.30367213283553</v>
      </c>
      <c r="AI57" s="25">
        <v>5.0126530055348137</v>
      </c>
      <c r="AJ57" s="20"/>
      <c r="AK57" s="25"/>
      <c r="AL57" s="25"/>
      <c r="AM57" s="20"/>
      <c r="AN57" s="25"/>
      <c r="AO57" s="25"/>
      <c r="AP57" s="20"/>
      <c r="AQ57" s="25"/>
      <c r="AR57" s="25"/>
      <c r="AS57" s="20"/>
      <c r="AT57" s="25"/>
      <c r="AU57" s="25"/>
      <c r="AV57" s="20">
        <v>8</v>
      </c>
      <c r="AW57" s="25">
        <v>288.72881311880525</v>
      </c>
      <c r="AX57" s="25">
        <v>12.030367213283553</v>
      </c>
      <c r="AY57" s="20"/>
      <c r="AZ57" s="25"/>
      <c r="BA57" s="25"/>
      <c r="BB57" s="20"/>
      <c r="BC57" s="25"/>
      <c r="BD57" s="25"/>
      <c r="BE57" s="20"/>
      <c r="BF57" s="25"/>
      <c r="BG57" s="25"/>
      <c r="BH57" s="20"/>
      <c r="BI57" s="25"/>
      <c r="BJ57" s="25"/>
      <c r="BK57" s="20"/>
      <c r="BL57" s="25"/>
      <c r="BM57" s="25"/>
      <c r="BN57" s="20"/>
      <c r="BO57" s="25"/>
      <c r="BP57" s="25"/>
      <c r="BQ57" s="20"/>
      <c r="BR57" s="25"/>
      <c r="BS57" s="25"/>
      <c r="BT57" s="20"/>
      <c r="BU57" s="25"/>
      <c r="BV57" s="25"/>
      <c r="BW57" s="20"/>
      <c r="BX57" s="25"/>
      <c r="BY57" s="25"/>
      <c r="BZ57" s="20"/>
      <c r="CA57" s="25"/>
      <c r="CB57" s="25"/>
      <c r="CC57" s="20">
        <v>2</v>
      </c>
      <c r="CD57" s="25">
        <v>560.08000000000004</v>
      </c>
      <c r="CE57" s="25">
        <v>23.33666666666667</v>
      </c>
      <c r="CF57" s="20">
        <v>2</v>
      </c>
      <c r="CG57" s="25">
        <v>15.34</v>
      </c>
      <c r="CH57" s="25">
        <v>0.63916666666666666</v>
      </c>
      <c r="CI57" s="20"/>
      <c r="CJ57" s="25"/>
      <c r="CK57" s="25"/>
      <c r="CL57" s="20"/>
      <c r="CM57" s="25"/>
      <c r="CN57" s="25"/>
      <c r="CO57" s="20">
        <v>2</v>
      </c>
      <c r="CP57" s="25">
        <v>49.1</v>
      </c>
      <c r="CQ57" s="25">
        <v>2.0458333333333334</v>
      </c>
      <c r="CR57" s="20">
        <v>2</v>
      </c>
      <c r="CS57" s="25">
        <v>181.06</v>
      </c>
      <c r="CT57" s="25">
        <v>7.5441666666666665</v>
      </c>
      <c r="CU57" s="20">
        <v>2</v>
      </c>
      <c r="CV57" s="25">
        <v>99.98</v>
      </c>
      <c r="CW57" s="25">
        <v>4.1658333333333335</v>
      </c>
      <c r="CX57" s="20"/>
      <c r="CY57" s="25"/>
      <c r="CZ57" s="25"/>
      <c r="DA57" s="20"/>
      <c r="DB57" s="25"/>
      <c r="DC57" s="25"/>
      <c r="DD57" s="20">
        <v>2</v>
      </c>
      <c r="DE57" s="25">
        <v>44.4</v>
      </c>
      <c r="DF57" s="25">
        <v>1.8499999999999999</v>
      </c>
      <c r="DG57" s="20"/>
      <c r="DH57" s="25"/>
      <c r="DI57" s="25"/>
      <c r="DJ57" s="20">
        <v>2</v>
      </c>
      <c r="DK57" s="25">
        <v>702.3</v>
      </c>
      <c r="DL57" s="25">
        <v>29.262499999999999</v>
      </c>
      <c r="DM57" s="20"/>
      <c r="DN57" s="25"/>
      <c r="DO57" s="25"/>
      <c r="DP57" s="20"/>
      <c r="DQ57" s="25"/>
      <c r="DR57" s="25"/>
      <c r="DS57" s="20">
        <v>4</v>
      </c>
      <c r="DT57" s="25">
        <v>80.680000000000007</v>
      </c>
      <c r="DU57" s="25">
        <v>3.3616666666666668</v>
      </c>
      <c r="DV57" s="20"/>
      <c r="DW57" s="25"/>
      <c r="DX57" s="25"/>
      <c r="DY57" s="20"/>
      <c r="DZ57" s="25"/>
      <c r="EA57" s="25"/>
      <c r="EB57" s="20"/>
      <c r="EC57" s="25"/>
      <c r="ED57" s="25"/>
      <c r="EE57" s="20">
        <v>2</v>
      </c>
      <c r="EF57" s="25">
        <v>32.76</v>
      </c>
      <c r="EG57" s="25">
        <v>1.365</v>
      </c>
      <c r="EH57" s="20">
        <v>8</v>
      </c>
      <c r="EI57" s="25">
        <v>256</v>
      </c>
      <c r="EJ57" s="25">
        <v>10.666666666666666</v>
      </c>
      <c r="EK57" s="20"/>
      <c r="EL57" s="25"/>
      <c r="EM57" s="25"/>
      <c r="EN57" s="20"/>
      <c r="EO57" s="25"/>
      <c r="EP57" s="25"/>
      <c r="EQ57" s="20"/>
      <c r="ER57" s="25"/>
      <c r="ES57" s="25"/>
      <c r="ET57" s="20"/>
      <c r="EU57" s="25"/>
      <c r="EV57" s="25"/>
      <c r="EW57" s="20"/>
      <c r="EX57" s="25"/>
      <c r="EY57" s="25"/>
      <c r="EZ57" s="20"/>
      <c r="FA57" s="25"/>
      <c r="FB57" s="25"/>
      <c r="FC57" s="20">
        <v>8</v>
      </c>
      <c r="FD57" s="25">
        <v>41.12</v>
      </c>
      <c r="FE57" s="25">
        <v>1.7133333333333332</v>
      </c>
      <c r="FF57" s="20">
        <v>2</v>
      </c>
      <c r="FG57" s="25">
        <v>119.8</v>
      </c>
      <c r="FH57" s="25">
        <v>4.9916666666666663</v>
      </c>
      <c r="FI57" s="20">
        <v>2</v>
      </c>
      <c r="FJ57" s="25">
        <v>66.34</v>
      </c>
      <c r="FK57" s="25">
        <v>2.7641666666666667</v>
      </c>
      <c r="FL57" s="20">
        <v>2</v>
      </c>
      <c r="FM57" s="25">
        <v>653.55999999999995</v>
      </c>
      <c r="FN57" s="25">
        <v>27.231666666666666</v>
      </c>
      <c r="FO57" s="20">
        <v>2</v>
      </c>
      <c r="FP57" s="25">
        <v>36.14</v>
      </c>
      <c r="FQ57" s="25">
        <v>1.5058333333333334</v>
      </c>
      <c r="FR57" s="20"/>
      <c r="FS57" s="25"/>
      <c r="FT57" s="25"/>
      <c r="FU57" s="20"/>
      <c r="FV57" s="25"/>
      <c r="FW57" s="25"/>
      <c r="FX57" s="20"/>
      <c r="FY57" s="25"/>
      <c r="FZ57" s="25"/>
      <c r="GA57" s="20"/>
      <c r="GB57" s="25"/>
      <c r="GC57" s="25"/>
      <c r="GD57" s="20"/>
      <c r="GE57" s="25"/>
      <c r="GF57" s="25"/>
      <c r="GG57" s="20"/>
      <c r="GH57" s="25"/>
      <c r="GI57" s="25"/>
      <c r="GJ57" s="20">
        <v>24</v>
      </c>
      <c r="GK57" s="25">
        <v>65.28</v>
      </c>
      <c r="GL57" s="25">
        <v>2.72</v>
      </c>
      <c r="GM57" s="20">
        <v>2</v>
      </c>
      <c r="GN57" s="25">
        <v>85.92</v>
      </c>
      <c r="GO57" s="25">
        <v>3.58</v>
      </c>
      <c r="GP57" s="20">
        <v>8</v>
      </c>
      <c r="GQ57" s="25">
        <v>20.399999999999999</v>
      </c>
      <c r="GR57" s="25">
        <v>0.85</v>
      </c>
      <c r="GS57" s="20">
        <v>12</v>
      </c>
      <c r="GT57" s="25">
        <v>359.28000000000003</v>
      </c>
      <c r="GU57" s="25">
        <v>14.97</v>
      </c>
      <c r="GV57" s="20">
        <v>2</v>
      </c>
      <c r="GW57" s="25">
        <v>22.26</v>
      </c>
      <c r="GX57" s="25">
        <v>0.9275000000000001</v>
      </c>
      <c r="GY57" s="20"/>
      <c r="GZ57" s="25"/>
      <c r="HA57" s="25"/>
      <c r="HB57" s="20"/>
      <c r="HC57" s="25"/>
      <c r="HD57" s="25"/>
      <c r="HE57" s="20"/>
      <c r="HF57" s="25"/>
      <c r="HG57" s="25"/>
      <c r="HH57" s="20"/>
      <c r="HI57" s="25"/>
      <c r="HJ57" s="25"/>
      <c r="HK57" s="20"/>
      <c r="HL57" s="25"/>
      <c r="HM57" s="25"/>
      <c r="HN57" s="20"/>
      <c r="HO57" s="25"/>
      <c r="HP57" s="25"/>
      <c r="HQ57" s="20">
        <v>126</v>
      </c>
      <c r="HR57" s="25">
        <v>4718.8974557549218</v>
      </c>
      <c r="HS57" s="25">
        <v>196.62072732312177</v>
      </c>
    </row>
    <row r="58" spans="1:227" ht="14.25">
      <c r="A58" s="169" t="s">
        <v>1853</v>
      </c>
      <c r="B58" s="278" t="s">
        <v>1809</v>
      </c>
      <c r="C58" s="171"/>
      <c r="D58" s="311">
        <v>7.67</v>
      </c>
      <c r="E58" s="170" cm="1">
        <f t="array" ref="E58">tabUniformes[[#This Row],[Valor Inicial]]*IFERROR(PRODUCT(1+_xlfn._xlws.FILTER(tabIndices[PERCENTUAL],tabIndices[DATA DA PUBLICAÇÃO]&gt;tabUniformes[[#This Row],[DATA PUBLICAÇÃO]])),1)</f>
        <v>7.67</v>
      </c>
      <c r="F58" s="172">
        <v>12</v>
      </c>
      <c r="G58" s="172" t="s">
        <v>1797</v>
      </c>
      <c r="H58" s="172">
        <v>4</v>
      </c>
      <c r="I58" s="173">
        <f>tabUniformes[[#This Row],[Valor Reajustado]]*tabUniformes[[#This Row],[Qtde Anual de Peças]]*tabUniformes[[#This Row],[Qtde. funcionários]]</f>
        <v>368.15999999999997</v>
      </c>
      <c r="J58" s="172">
        <f>tabUniformes[[#This Row],[Qtde Anual de Peças]]*tabUniformes[[#This Row],[Qtde. funcionários]]</f>
        <v>48</v>
      </c>
      <c r="K58" s="170">
        <f>IFERROR(tabUniformes[[#This Row],[Total]]/12/tabUniformes[[#This Row],[Qtde. funcionários]],0)</f>
        <v>7.669999999999999</v>
      </c>
      <c r="M58" t="s">
        <v>1395</v>
      </c>
      <c r="N58">
        <v>7</v>
      </c>
      <c r="O58" s="20"/>
      <c r="P58" s="25"/>
      <c r="Q58" s="25"/>
      <c r="R58" s="20"/>
      <c r="S58" s="25"/>
      <c r="T58" s="25"/>
      <c r="U58" s="20">
        <v>28</v>
      </c>
      <c r="V58" s="25">
        <v>1178.975986901788</v>
      </c>
      <c r="W58" s="25">
        <v>14.035428415497476</v>
      </c>
      <c r="X58" s="20"/>
      <c r="Y58" s="25"/>
      <c r="Z58" s="25"/>
      <c r="AA58" s="20">
        <v>56</v>
      </c>
      <c r="AB58" s="25">
        <v>1684.2514098596973</v>
      </c>
      <c r="AC58" s="25">
        <v>20.050612022139255</v>
      </c>
      <c r="AD58" s="20"/>
      <c r="AE58" s="25"/>
      <c r="AF58" s="25"/>
      <c r="AG58" s="20">
        <v>7</v>
      </c>
      <c r="AH58" s="25">
        <v>421.06285246492433</v>
      </c>
      <c r="AI58" s="25">
        <v>5.0126530055348137</v>
      </c>
      <c r="AJ58" s="20"/>
      <c r="AK58" s="25"/>
      <c r="AL58" s="25"/>
      <c r="AM58" s="20"/>
      <c r="AN58" s="25"/>
      <c r="AO58" s="25"/>
      <c r="AP58" s="20"/>
      <c r="AQ58" s="25"/>
      <c r="AR58" s="25"/>
      <c r="AS58" s="20"/>
      <c r="AT58" s="25"/>
      <c r="AU58" s="25"/>
      <c r="AV58" s="20">
        <v>28</v>
      </c>
      <c r="AW58" s="25">
        <v>1010.5508459158184</v>
      </c>
      <c r="AX58" s="25">
        <v>12.030367213283553</v>
      </c>
      <c r="AY58" s="20"/>
      <c r="AZ58" s="25"/>
      <c r="BA58" s="25"/>
      <c r="BB58" s="20"/>
      <c r="BC58" s="25"/>
      <c r="BD58" s="25"/>
      <c r="BE58" s="20"/>
      <c r="BF58" s="25"/>
      <c r="BG58" s="25"/>
      <c r="BH58" s="20"/>
      <c r="BI58" s="25"/>
      <c r="BJ58" s="25"/>
      <c r="BK58" s="20"/>
      <c r="BL58" s="25"/>
      <c r="BM58" s="25"/>
      <c r="BN58" s="20"/>
      <c r="BO58" s="25"/>
      <c r="BP58" s="25"/>
      <c r="BQ58" s="20"/>
      <c r="BR58" s="25"/>
      <c r="BS58" s="25"/>
      <c r="BT58" s="20"/>
      <c r="BU58" s="25"/>
      <c r="BV58" s="25"/>
      <c r="BW58" s="20"/>
      <c r="BX58" s="25"/>
      <c r="BY58" s="25"/>
      <c r="BZ58" s="20"/>
      <c r="CA58" s="25"/>
      <c r="CB58" s="25"/>
      <c r="CC58" s="20">
        <v>14</v>
      </c>
      <c r="CD58" s="25">
        <v>3920.5600000000004</v>
      </c>
      <c r="CE58" s="25">
        <v>46.673333333333339</v>
      </c>
      <c r="CF58" s="20">
        <v>7</v>
      </c>
      <c r="CG58" s="25">
        <v>53.69</v>
      </c>
      <c r="CH58" s="25">
        <v>0.63916666666666655</v>
      </c>
      <c r="CI58" s="20"/>
      <c r="CJ58" s="25"/>
      <c r="CK58" s="25"/>
      <c r="CL58" s="20"/>
      <c r="CM58" s="25"/>
      <c r="CN58" s="25"/>
      <c r="CO58" s="20">
        <v>14</v>
      </c>
      <c r="CP58" s="25">
        <v>343.7</v>
      </c>
      <c r="CQ58" s="25">
        <v>4.0916666666666668</v>
      </c>
      <c r="CR58" s="20">
        <v>7</v>
      </c>
      <c r="CS58" s="25">
        <v>633.71</v>
      </c>
      <c r="CT58" s="25">
        <v>7.5441666666666674</v>
      </c>
      <c r="CU58" s="20">
        <v>14</v>
      </c>
      <c r="CV58" s="25">
        <v>699.86</v>
      </c>
      <c r="CW58" s="25">
        <v>8.331666666666667</v>
      </c>
      <c r="CX58" s="20"/>
      <c r="CY58" s="25"/>
      <c r="CZ58" s="25"/>
      <c r="DA58" s="20"/>
      <c r="DB58" s="25"/>
      <c r="DC58" s="25"/>
      <c r="DD58" s="20">
        <v>7</v>
      </c>
      <c r="DE58" s="25">
        <v>155.4</v>
      </c>
      <c r="DF58" s="25">
        <v>1.85</v>
      </c>
      <c r="DG58" s="20"/>
      <c r="DH58" s="25"/>
      <c r="DI58" s="25"/>
      <c r="DJ58" s="20">
        <v>7</v>
      </c>
      <c r="DK58" s="25">
        <v>2458.0499999999997</v>
      </c>
      <c r="DL58" s="25">
        <v>29.262499999999996</v>
      </c>
      <c r="DM58" s="20"/>
      <c r="DN58" s="25"/>
      <c r="DO58" s="25"/>
      <c r="DP58" s="20"/>
      <c r="DQ58" s="25"/>
      <c r="DR58" s="25"/>
      <c r="DS58" s="20">
        <v>28</v>
      </c>
      <c r="DT58" s="25">
        <v>564.76</v>
      </c>
      <c r="DU58" s="25">
        <v>6.7233333333333336</v>
      </c>
      <c r="DV58" s="20"/>
      <c r="DW58" s="25"/>
      <c r="DX58" s="25"/>
      <c r="DY58" s="20"/>
      <c r="DZ58" s="25"/>
      <c r="EA58" s="25"/>
      <c r="EB58" s="20"/>
      <c r="EC58" s="25"/>
      <c r="ED58" s="25"/>
      <c r="EE58" s="20">
        <v>7</v>
      </c>
      <c r="EF58" s="25">
        <v>114.66</v>
      </c>
      <c r="EG58" s="25">
        <v>1.365</v>
      </c>
      <c r="EH58" s="20">
        <v>42</v>
      </c>
      <c r="EI58" s="25">
        <v>1344</v>
      </c>
      <c r="EJ58" s="25">
        <v>16</v>
      </c>
      <c r="EK58" s="20"/>
      <c r="EL58" s="25"/>
      <c r="EM58" s="25"/>
      <c r="EN58" s="20"/>
      <c r="EO58" s="25"/>
      <c r="EP58" s="25"/>
      <c r="EQ58" s="20"/>
      <c r="ER58" s="25"/>
      <c r="ES58" s="25"/>
      <c r="ET58" s="20"/>
      <c r="EU58" s="25"/>
      <c r="EV58" s="25"/>
      <c r="EW58" s="20"/>
      <c r="EX58" s="25"/>
      <c r="EY58" s="25"/>
      <c r="EZ58" s="20"/>
      <c r="FA58" s="25"/>
      <c r="FB58" s="25"/>
      <c r="FC58" s="20">
        <v>42</v>
      </c>
      <c r="FD58" s="25">
        <v>215.87999999999997</v>
      </c>
      <c r="FE58" s="25">
        <v>2.57</v>
      </c>
      <c r="FF58" s="20">
        <v>7</v>
      </c>
      <c r="FG58" s="25">
        <v>419.3</v>
      </c>
      <c r="FH58" s="25">
        <v>4.9916666666666671</v>
      </c>
      <c r="FI58" s="20">
        <v>7</v>
      </c>
      <c r="FJ58" s="25">
        <v>232.19</v>
      </c>
      <c r="FK58" s="25">
        <v>2.7641666666666667</v>
      </c>
      <c r="FL58" s="20">
        <v>7</v>
      </c>
      <c r="FM58" s="25">
        <v>2287.46</v>
      </c>
      <c r="FN58" s="25">
        <v>27.231666666666666</v>
      </c>
      <c r="FO58" s="20">
        <v>7</v>
      </c>
      <c r="FP58" s="25">
        <v>126.49000000000001</v>
      </c>
      <c r="FQ58" s="25">
        <v>1.5058333333333334</v>
      </c>
      <c r="FR58" s="20"/>
      <c r="FS58" s="25"/>
      <c r="FT58" s="25"/>
      <c r="FU58" s="20"/>
      <c r="FV58" s="25"/>
      <c r="FW58" s="25"/>
      <c r="FX58" s="20"/>
      <c r="FY58" s="25"/>
      <c r="FZ58" s="25"/>
      <c r="GA58" s="20"/>
      <c r="GB58" s="25"/>
      <c r="GC58" s="25"/>
      <c r="GD58" s="20"/>
      <c r="GE58" s="25"/>
      <c r="GF58" s="25"/>
      <c r="GG58" s="20"/>
      <c r="GH58" s="25"/>
      <c r="GI58" s="25"/>
      <c r="GJ58" s="20">
        <v>168</v>
      </c>
      <c r="GK58" s="25">
        <v>456.96000000000004</v>
      </c>
      <c r="GL58" s="25">
        <v>5.44</v>
      </c>
      <c r="GM58" s="20">
        <v>7</v>
      </c>
      <c r="GN58" s="25">
        <v>300.72000000000003</v>
      </c>
      <c r="GO58" s="25">
        <v>3.5800000000000005</v>
      </c>
      <c r="GP58" s="20">
        <v>42</v>
      </c>
      <c r="GQ58" s="25">
        <v>107.1</v>
      </c>
      <c r="GR58" s="25">
        <v>1.2749999999999999</v>
      </c>
      <c r="GS58" s="20">
        <v>84</v>
      </c>
      <c r="GT58" s="25">
        <v>2514.96</v>
      </c>
      <c r="GU58" s="25">
        <v>29.94</v>
      </c>
      <c r="GV58" s="20">
        <v>7</v>
      </c>
      <c r="GW58" s="25">
        <v>77.910000000000011</v>
      </c>
      <c r="GX58" s="25">
        <v>0.9275000000000001</v>
      </c>
      <c r="GY58" s="20"/>
      <c r="GZ58" s="25"/>
      <c r="HA58" s="25"/>
      <c r="HB58" s="20"/>
      <c r="HC58" s="25"/>
      <c r="HD58" s="25"/>
      <c r="HE58" s="20"/>
      <c r="HF58" s="25"/>
      <c r="HG58" s="25"/>
      <c r="HH58" s="20"/>
      <c r="HI58" s="25"/>
      <c r="HJ58" s="25"/>
      <c r="HK58" s="20"/>
      <c r="HL58" s="25"/>
      <c r="HM58" s="25"/>
      <c r="HN58" s="20"/>
      <c r="HO58" s="25"/>
      <c r="HP58" s="25"/>
      <c r="HQ58" s="20">
        <v>644</v>
      </c>
      <c r="HR58" s="25">
        <v>21322.201095142227</v>
      </c>
      <c r="HS58" s="25">
        <v>253.83572732312177</v>
      </c>
    </row>
    <row r="59" spans="1:227" ht="14.25">
      <c r="A59" s="169" t="s">
        <v>12</v>
      </c>
      <c r="B59" s="278" t="s">
        <v>32</v>
      </c>
      <c r="C59" s="171"/>
      <c r="D59" s="311">
        <v>69.83</v>
      </c>
      <c r="E59" s="170" cm="1">
        <f t="array" ref="E59">tabUniformes[[#This Row],[Valor Inicial]]*IFERROR(PRODUCT(1+_xlfn._xlws.FILTER(tabIndices[PERCENTUAL],tabIndices[DATA DA PUBLICAÇÃO]&gt;tabUniformes[[#This Row],[DATA PUBLICAÇÃO]])),1)</f>
        <v>69.83</v>
      </c>
      <c r="F59" s="172">
        <v>6</v>
      </c>
      <c r="G59" s="172" t="s">
        <v>1797</v>
      </c>
      <c r="H59" s="172">
        <v>4</v>
      </c>
      <c r="I59" s="173">
        <f>tabUniformes[[#This Row],[Valor Reajustado]]*tabUniformes[[#This Row],[Qtde Anual de Peças]]*tabUniformes[[#This Row],[Qtde. funcionários]]</f>
        <v>1675.92</v>
      </c>
      <c r="J59" s="172">
        <f>tabUniformes[[#This Row],[Qtde Anual de Peças]]*tabUniformes[[#This Row],[Qtde. funcionários]]</f>
        <v>24</v>
      </c>
      <c r="K59" s="170">
        <f>IFERROR(tabUniformes[[#This Row],[Total]]/12/tabUniformes[[#This Row],[Qtde. funcionários]],0)</f>
        <v>34.914999999999999</v>
      </c>
      <c r="M59" t="s">
        <v>1397</v>
      </c>
      <c r="N59">
        <v>17</v>
      </c>
      <c r="O59" s="20"/>
      <c r="P59" s="25"/>
      <c r="Q59" s="25"/>
      <c r="R59" s="20">
        <v>17</v>
      </c>
      <c r="S59" s="25">
        <v>1785</v>
      </c>
      <c r="T59" s="25">
        <v>8.75</v>
      </c>
      <c r="U59" s="20"/>
      <c r="V59" s="25"/>
      <c r="W59" s="25"/>
      <c r="X59" s="20">
        <v>68</v>
      </c>
      <c r="Y59" s="25">
        <v>3681.2923672647671</v>
      </c>
      <c r="Z59" s="25">
        <v>18.045550819925328</v>
      </c>
      <c r="AA59" s="20"/>
      <c r="AB59" s="25"/>
      <c r="AC59" s="25"/>
      <c r="AD59" s="20">
        <v>102</v>
      </c>
      <c r="AE59" s="25">
        <v>4294.8410951422284</v>
      </c>
      <c r="AF59" s="25">
        <v>21.053142623246217</v>
      </c>
      <c r="AG59" s="20">
        <v>17</v>
      </c>
      <c r="AH59" s="25">
        <v>1022.581213129102</v>
      </c>
      <c r="AI59" s="25">
        <v>5.0126530055348137</v>
      </c>
      <c r="AJ59" s="20"/>
      <c r="AK59" s="25"/>
      <c r="AL59" s="25"/>
      <c r="AM59" s="20"/>
      <c r="AN59" s="25"/>
      <c r="AO59" s="25"/>
      <c r="AP59" s="20"/>
      <c r="AQ59" s="25"/>
      <c r="AR59" s="25"/>
      <c r="AS59" s="20"/>
      <c r="AT59" s="25"/>
      <c r="AU59" s="25"/>
      <c r="AV59" s="20"/>
      <c r="AW59" s="25"/>
      <c r="AX59" s="25"/>
      <c r="AY59" s="20"/>
      <c r="AZ59" s="25"/>
      <c r="BA59" s="25"/>
      <c r="BB59" s="20"/>
      <c r="BC59" s="25"/>
      <c r="BD59" s="25"/>
      <c r="BE59" s="20">
        <v>17</v>
      </c>
      <c r="BF59" s="25">
        <v>1683</v>
      </c>
      <c r="BG59" s="25">
        <v>8.25</v>
      </c>
      <c r="BH59" s="20">
        <v>17</v>
      </c>
      <c r="BI59" s="25">
        <v>1227.0974557549223</v>
      </c>
      <c r="BJ59" s="25">
        <v>6.0151836066417763</v>
      </c>
      <c r="BK59" s="20"/>
      <c r="BL59" s="25"/>
      <c r="BM59" s="25"/>
      <c r="BN59" s="20"/>
      <c r="BO59" s="25"/>
      <c r="BP59" s="25"/>
      <c r="BQ59" s="20"/>
      <c r="BR59" s="25"/>
      <c r="BS59" s="25"/>
      <c r="BT59" s="20"/>
      <c r="BU59" s="25"/>
      <c r="BV59" s="25"/>
      <c r="BW59" s="20"/>
      <c r="BX59" s="25"/>
      <c r="BY59" s="25"/>
      <c r="BZ59" s="20"/>
      <c r="CA59" s="25"/>
      <c r="CB59" s="25"/>
      <c r="CC59" s="20"/>
      <c r="CD59" s="25"/>
      <c r="CE59" s="25"/>
      <c r="CF59" s="20"/>
      <c r="CG59" s="25"/>
      <c r="CH59" s="25"/>
      <c r="CI59" s="20"/>
      <c r="CJ59" s="25"/>
      <c r="CK59" s="25"/>
      <c r="CL59" s="20"/>
      <c r="CM59" s="25"/>
      <c r="CN59" s="25"/>
      <c r="CO59" s="20"/>
      <c r="CP59" s="25"/>
      <c r="CQ59" s="25"/>
      <c r="CR59" s="20"/>
      <c r="CS59" s="25"/>
      <c r="CT59" s="25"/>
      <c r="CU59" s="20"/>
      <c r="CV59" s="25"/>
      <c r="CW59" s="25"/>
      <c r="CX59" s="20"/>
      <c r="CY59" s="25"/>
      <c r="CZ59" s="25"/>
      <c r="DA59" s="20"/>
      <c r="DB59" s="25"/>
      <c r="DC59" s="25"/>
      <c r="DD59" s="20"/>
      <c r="DE59" s="25"/>
      <c r="DF59" s="25"/>
      <c r="DG59" s="20"/>
      <c r="DH59" s="25"/>
      <c r="DI59" s="25"/>
      <c r="DJ59" s="20"/>
      <c r="DK59" s="25"/>
      <c r="DL59" s="25"/>
      <c r="DM59" s="20"/>
      <c r="DN59" s="25"/>
      <c r="DO59" s="25"/>
      <c r="DP59" s="20"/>
      <c r="DQ59" s="25"/>
      <c r="DR59" s="25"/>
      <c r="DS59" s="20"/>
      <c r="DT59" s="25"/>
      <c r="DU59" s="25"/>
      <c r="DV59" s="20"/>
      <c r="DW59" s="25"/>
      <c r="DX59" s="25"/>
      <c r="DY59" s="20"/>
      <c r="DZ59" s="25"/>
      <c r="EA59" s="25"/>
      <c r="EB59" s="20"/>
      <c r="EC59" s="25"/>
      <c r="ED59" s="25"/>
      <c r="EE59" s="20"/>
      <c r="EF59" s="25"/>
      <c r="EG59" s="25"/>
      <c r="EH59" s="20"/>
      <c r="EI59" s="25"/>
      <c r="EJ59" s="25"/>
      <c r="EK59" s="20"/>
      <c r="EL59" s="25"/>
      <c r="EM59" s="25"/>
      <c r="EN59" s="20"/>
      <c r="EO59" s="25"/>
      <c r="EP59" s="25"/>
      <c r="EQ59" s="20"/>
      <c r="ER59" s="25"/>
      <c r="ES59" s="25"/>
      <c r="ET59" s="20"/>
      <c r="EU59" s="25"/>
      <c r="EV59" s="25"/>
      <c r="EW59" s="20"/>
      <c r="EX59" s="25"/>
      <c r="EY59" s="25"/>
      <c r="EZ59" s="20"/>
      <c r="FA59" s="25"/>
      <c r="FB59" s="25"/>
      <c r="FC59" s="20"/>
      <c r="FD59" s="25"/>
      <c r="FE59" s="25"/>
      <c r="FF59" s="20"/>
      <c r="FG59" s="25"/>
      <c r="FH59" s="25"/>
      <c r="FI59" s="20"/>
      <c r="FJ59" s="25"/>
      <c r="FK59" s="25"/>
      <c r="FL59" s="20"/>
      <c r="FM59" s="25"/>
      <c r="FN59" s="25"/>
      <c r="FO59" s="20"/>
      <c r="FP59" s="25"/>
      <c r="FQ59" s="25"/>
      <c r="FR59" s="20"/>
      <c r="FS59" s="25"/>
      <c r="FT59" s="25"/>
      <c r="FU59" s="20"/>
      <c r="FV59" s="25"/>
      <c r="FW59" s="25"/>
      <c r="FX59" s="20"/>
      <c r="FY59" s="25"/>
      <c r="FZ59" s="25"/>
      <c r="GA59" s="20"/>
      <c r="GB59" s="25"/>
      <c r="GC59" s="25"/>
      <c r="GD59" s="20"/>
      <c r="GE59" s="25"/>
      <c r="GF59" s="25"/>
      <c r="GG59" s="20"/>
      <c r="GH59" s="25"/>
      <c r="GI59" s="25"/>
      <c r="GJ59" s="20"/>
      <c r="GK59" s="25"/>
      <c r="GL59" s="25"/>
      <c r="GM59" s="20"/>
      <c r="GN59" s="25"/>
      <c r="GO59" s="25"/>
      <c r="GP59" s="20"/>
      <c r="GQ59" s="25"/>
      <c r="GR59" s="25"/>
      <c r="GS59" s="20"/>
      <c r="GT59" s="25"/>
      <c r="GU59" s="25"/>
      <c r="GV59" s="20"/>
      <c r="GW59" s="25"/>
      <c r="GX59" s="25"/>
      <c r="GY59" s="20"/>
      <c r="GZ59" s="25"/>
      <c r="HA59" s="25"/>
      <c r="HB59" s="20"/>
      <c r="HC59" s="25"/>
      <c r="HD59" s="25"/>
      <c r="HE59" s="20"/>
      <c r="HF59" s="25"/>
      <c r="HG59" s="25"/>
      <c r="HH59" s="20"/>
      <c r="HI59" s="25"/>
      <c r="HJ59" s="25"/>
      <c r="HK59" s="20"/>
      <c r="HL59" s="25"/>
      <c r="HM59" s="25"/>
      <c r="HN59" s="20">
        <v>34</v>
      </c>
      <c r="HO59" s="25">
        <v>10911.96</v>
      </c>
      <c r="HP59" s="25">
        <v>53.489999999999995</v>
      </c>
      <c r="HQ59" s="20">
        <v>272</v>
      </c>
      <c r="HR59" s="25">
        <v>24605.772131291018</v>
      </c>
      <c r="HS59" s="25">
        <v>120.61653005534812</v>
      </c>
    </row>
    <row r="60" spans="1:227" ht="14.25">
      <c r="A60" s="169" t="s">
        <v>21</v>
      </c>
      <c r="B60" s="278" t="s">
        <v>1810</v>
      </c>
      <c r="C60" s="171"/>
      <c r="D60" s="311">
        <v>24.95</v>
      </c>
      <c r="E60" s="170" cm="1">
        <f t="array" ref="E60">tabUniformes[[#This Row],[Valor Inicial]]*IFERROR(PRODUCT(1+_xlfn._xlws.FILTER(tabIndices[PERCENTUAL],tabIndices[DATA DA PUBLICAÇÃO]&gt;tabUniformes[[#This Row],[DATA PUBLICAÇÃO]])),1)</f>
        <v>24.95</v>
      </c>
      <c r="F60" s="172">
        <v>26</v>
      </c>
      <c r="G60" s="172" t="s">
        <v>1797</v>
      </c>
      <c r="H60" s="172">
        <v>4</v>
      </c>
      <c r="I60" s="173">
        <f>tabUniformes[[#This Row],[Valor Reajustado]]*tabUniformes[[#This Row],[Qtde Anual de Peças]]*tabUniformes[[#This Row],[Qtde. funcionários]]</f>
        <v>2594.7999999999997</v>
      </c>
      <c r="J60" s="172">
        <f>tabUniformes[[#This Row],[Qtde Anual de Peças]]*tabUniformes[[#This Row],[Qtde. funcionários]]</f>
        <v>104</v>
      </c>
      <c r="K60" s="170">
        <f>IFERROR(tabUniformes[[#This Row],[Total]]/12/tabUniformes[[#This Row],[Qtde. funcionários]],0)</f>
        <v>54.05833333333333</v>
      </c>
      <c r="M60" t="s">
        <v>1398</v>
      </c>
      <c r="N60">
        <v>2</v>
      </c>
      <c r="O60" s="20"/>
      <c r="P60" s="25"/>
      <c r="Q60" s="25"/>
      <c r="R60" s="20"/>
      <c r="S60" s="25"/>
      <c r="T60" s="25"/>
      <c r="U60" s="20"/>
      <c r="V60" s="25"/>
      <c r="W60" s="25"/>
      <c r="X60" s="20">
        <v>8</v>
      </c>
      <c r="Y60" s="25">
        <v>433.0932196782079</v>
      </c>
      <c r="Z60" s="25">
        <v>18.045550819925328</v>
      </c>
      <c r="AA60" s="20"/>
      <c r="AB60" s="25"/>
      <c r="AC60" s="25"/>
      <c r="AD60" s="20">
        <v>12</v>
      </c>
      <c r="AE60" s="25">
        <v>505.2754229579092</v>
      </c>
      <c r="AF60" s="25">
        <v>21.053142623246217</v>
      </c>
      <c r="AG60" s="20">
        <v>2</v>
      </c>
      <c r="AH60" s="25">
        <v>120.30367213283553</v>
      </c>
      <c r="AI60" s="25">
        <v>5.0126530055348137</v>
      </c>
      <c r="AJ60" s="20"/>
      <c r="AK60" s="25"/>
      <c r="AL60" s="25"/>
      <c r="AM60" s="20"/>
      <c r="AN60" s="25"/>
      <c r="AO60" s="25"/>
      <c r="AP60" s="20"/>
      <c r="AQ60" s="25"/>
      <c r="AR60" s="25"/>
      <c r="AS60" s="20"/>
      <c r="AT60" s="25"/>
      <c r="AU60" s="25"/>
      <c r="AV60" s="20"/>
      <c r="AW60" s="25"/>
      <c r="AX60" s="25"/>
      <c r="AY60" s="20"/>
      <c r="AZ60" s="25"/>
      <c r="BA60" s="25"/>
      <c r="BB60" s="20"/>
      <c r="BC60" s="25"/>
      <c r="BD60" s="25"/>
      <c r="BE60" s="20"/>
      <c r="BF60" s="25"/>
      <c r="BG60" s="25"/>
      <c r="BH60" s="20"/>
      <c r="BI60" s="25"/>
      <c r="BJ60" s="25"/>
      <c r="BK60" s="20"/>
      <c r="BL60" s="25"/>
      <c r="BM60" s="25"/>
      <c r="BN60" s="20"/>
      <c r="BO60" s="25"/>
      <c r="BP60" s="25"/>
      <c r="BQ60" s="20"/>
      <c r="BR60" s="25"/>
      <c r="BS60" s="25"/>
      <c r="BT60" s="20"/>
      <c r="BU60" s="25"/>
      <c r="BV60" s="25"/>
      <c r="BW60" s="20"/>
      <c r="BX60" s="25"/>
      <c r="BY60" s="25"/>
      <c r="BZ60" s="20"/>
      <c r="CA60" s="25"/>
      <c r="CB60" s="25"/>
      <c r="CC60" s="20">
        <v>4</v>
      </c>
      <c r="CD60" s="25">
        <v>1120.1600000000001</v>
      </c>
      <c r="CE60" s="25">
        <v>46.673333333333339</v>
      </c>
      <c r="CF60" s="20"/>
      <c r="CG60" s="25"/>
      <c r="CH60" s="25"/>
      <c r="CI60" s="20"/>
      <c r="CJ60" s="25"/>
      <c r="CK60" s="25"/>
      <c r="CL60" s="20"/>
      <c r="CM60" s="25"/>
      <c r="CN60" s="25"/>
      <c r="CO60" s="20"/>
      <c r="CP60" s="25"/>
      <c r="CQ60" s="25"/>
      <c r="CR60" s="20"/>
      <c r="CS60" s="25"/>
      <c r="CT60" s="25"/>
      <c r="CU60" s="20"/>
      <c r="CV60" s="25"/>
      <c r="CW60" s="25"/>
      <c r="CX60" s="20"/>
      <c r="CY60" s="25"/>
      <c r="CZ60" s="25"/>
      <c r="DA60" s="20"/>
      <c r="DB60" s="25"/>
      <c r="DC60" s="25"/>
      <c r="DD60" s="20"/>
      <c r="DE60" s="25"/>
      <c r="DF60" s="25"/>
      <c r="DG60" s="20"/>
      <c r="DH60" s="25"/>
      <c r="DI60" s="25"/>
      <c r="DJ60" s="20"/>
      <c r="DK60" s="25"/>
      <c r="DL60" s="25"/>
      <c r="DM60" s="20"/>
      <c r="DN60" s="25"/>
      <c r="DO60" s="25"/>
      <c r="DP60" s="20"/>
      <c r="DQ60" s="25"/>
      <c r="DR60" s="25"/>
      <c r="DS60" s="20"/>
      <c r="DT60" s="25"/>
      <c r="DU60" s="25"/>
      <c r="DV60" s="20"/>
      <c r="DW60" s="25"/>
      <c r="DX60" s="25"/>
      <c r="DY60" s="20"/>
      <c r="DZ60" s="25"/>
      <c r="EA60" s="25"/>
      <c r="EB60" s="20"/>
      <c r="EC60" s="25"/>
      <c r="ED60" s="25"/>
      <c r="EE60" s="20"/>
      <c r="EF60" s="25"/>
      <c r="EG60" s="25"/>
      <c r="EH60" s="20"/>
      <c r="EI60" s="25"/>
      <c r="EJ60" s="25"/>
      <c r="EK60" s="20"/>
      <c r="EL60" s="25"/>
      <c r="EM60" s="25"/>
      <c r="EN60" s="20"/>
      <c r="EO60" s="25"/>
      <c r="EP60" s="25"/>
      <c r="EQ60" s="20"/>
      <c r="ER60" s="25"/>
      <c r="ES60" s="25"/>
      <c r="ET60" s="20"/>
      <c r="EU60" s="25"/>
      <c r="EV60" s="25"/>
      <c r="EW60" s="20"/>
      <c r="EX60" s="25"/>
      <c r="EY60" s="25"/>
      <c r="EZ60" s="20"/>
      <c r="FA60" s="25"/>
      <c r="FB60" s="25"/>
      <c r="FC60" s="20"/>
      <c r="FD60" s="25"/>
      <c r="FE60" s="25"/>
      <c r="FF60" s="20"/>
      <c r="FG60" s="25"/>
      <c r="FH60" s="25"/>
      <c r="FI60" s="20"/>
      <c r="FJ60" s="25"/>
      <c r="FK60" s="25"/>
      <c r="FL60" s="20"/>
      <c r="FM60" s="25"/>
      <c r="FN60" s="25"/>
      <c r="FO60" s="20"/>
      <c r="FP60" s="25"/>
      <c r="FQ60" s="25"/>
      <c r="FR60" s="20"/>
      <c r="FS60" s="25"/>
      <c r="FT60" s="25"/>
      <c r="FU60" s="20"/>
      <c r="FV60" s="25"/>
      <c r="FW60" s="25"/>
      <c r="FX60" s="20"/>
      <c r="FY60" s="25"/>
      <c r="FZ60" s="25"/>
      <c r="GA60" s="20"/>
      <c r="GB60" s="25"/>
      <c r="GC60" s="25"/>
      <c r="GD60" s="20"/>
      <c r="GE60" s="25"/>
      <c r="GF60" s="25"/>
      <c r="GG60" s="20"/>
      <c r="GH60" s="25"/>
      <c r="GI60" s="25"/>
      <c r="GJ60" s="20"/>
      <c r="GK60" s="25"/>
      <c r="GL60" s="25"/>
      <c r="GM60" s="20"/>
      <c r="GN60" s="25"/>
      <c r="GO60" s="25"/>
      <c r="GP60" s="20"/>
      <c r="GQ60" s="25"/>
      <c r="GR60" s="25"/>
      <c r="GS60" s="20"/>
      <c r="GT60" s="25"/>
      <c r="GU60" s="25"/>
      <c r="GV60" s="20"/>
      <c r="GW60" s="25"/>
      <c r="GX60" s="25"/>
      <c r="GY60" s="20"/>
      <c r="GZ60" s="25"/>
      <c r="HA60" s="25"/>
      <c r="HB60" s="20"/>
      <c r="HC60" s="25"/>
      <c r="HD60" s="25"/>
      <c r="HE60" s="20"/>
      <c r="HF60" s="25"/>
      <c r="HG60" s="25"/>
      <c r="HH60" s="20"/>
      <c r="HI60" s="25"/>
      <c r="HJ60" s="25"/>
      <c r="HK60" s="20"/>
      <c r="HL60" s="25"/>
      <c r="HM60" s="25"/>
      <c r="HN60" s="20"/>
      <c r="HO60" s="25"/>
      <c r="HP60" s="25"/>
      <c r="HQ60" s="20">
        <v>26</v>
      </c>
      <c r="HR60" s="25">
        <v>2178.8323147689525</v>
      </c>
      <c r="HS60" s="25">
        <v>90.784679782039689</v>
      </c>
    </row>
    <row r="61" spans="1:227" ht="14.25">
      <c r="A61" s="169" t="s">
        <v>1863</v>
      </c>
      <c r="B61" s="278" t="s">
        <v>1811</v>
      </c>
      <c r="C61" s="171"/>
      <c r="D61" s="311">
        <v>0.91</v>
      </c>
      <c r="E61" s="170" cm="1">
        <f t="array" ref="E61">tabUniformes[[#This Row],[Valor Inicial]]*IFERROR(PRODUCT(1+_xlfn._xlws.FILTER(tabIndices[PERCENTUAL],tabIndices[DATA DA PUBLICAÇÃO]&gt;tabUniformes[[#This Row],[DATA PUBLICAÇÃO]])),1)</f>
        <v>0.91</v>
      </c>
      <c r="F61" s="172">
        <v>26</v>
      </c>
      <c r="G61" s="172" t="s">
        <v>1797</v>
      </c>
      <c r="H61" s="172">
        <v>4</v>
      </c>
      <c r="I61" s="173">
        <f>tabUniformes[[#This Row],[Valor Reajustado]]*tabUniformes[[#This Row],[Qtde Anual de Peças]]*tabUniformes[[#This Row],[Qtde. funcionários]]</f>
        <v>94.64</v>
      </c>
      <c r="J61" s="172">
        <f>tabUniformes[[#This Row],[Qtde Anual de Peças]]*tabUniformes[[#This Row],[Qtde. funcionários]]</f>
        <v>104</v>
      </c>
      <c r="K61" s="170">
        <f>IFERROR(tabUniformes[[#This Row],[Total]]/12/tabUniformes[[#This Row],[Qtde. funcionários]],0)</f>
        <v>1.9716666666666667</v>
      </c>
      <c r="M61" t="s">
        <v>1527</v>
      </c>
      <c r="N61">
        <v>2</v>
      </c>
      <c r="O61" s="20"/>
      <c r="P61" s="25"/>
      <c r="Q61" s="25"/>
      <c r="R61" s="20"/>
      <c r="S61" s="25"/>
      <c r="T61" s="25"/>
      <c r="U61" s="20"/>
      <c r="V61" s="25"/>
      <c r="W61" s="25"/>
      <c r="X61" s="20">
        <v>8</v>
      </c>
      <c r="Y61" s="25">
        <v>433.0932196782079</v>
      </c>
      <c r="Z61" s="25">
        <v>18.045550819925328</v>
      </c>
      <c r="AA61" s="20"/>
      <c r="AB61" s="25"/>
      <c r="AC61" s="25"/>
      <c r="AD61" s="20">
        <v>12</v>
      </c>
      <c r="AE61" s="25">
        <v>505.2754229579092</v>
      </c>
      <c r="AF61" s="25">
        <v>21.053142623246217</v>
      </c>
      <c r="AG61" s="20">
        <v>2</v>
      </c>
      <c r="AH61" s="25">
        <v>120.30367213283553</v>
      </c>
      <c r="AI61" s="25">
        <v>5.0126530055348137</v>
      </c>
      <c r="AJ61" s="20"/>
      <c r="AK61" s="25"/>
      <c r="AL61" s="25"/>
      <c r="AM61" s="20"/>
      <c r="AN61" s="25"/>
      <c r="AO61" s="25"/>
      <c r="AP61" s="20"/>
      <c r="AQ61" s="25"/>
      <c r="AR61" s="25"/>
      <c r="AS61" s="20"/>
      <c r="AT61" s="25"/>
      <c r="AU61" s="25"/>
      <c r="AV61" s="20"/>
      <c r="AW61" s="25"/>
      <c r="AX61" s="25"/>
      <c r="AY61" s="20"/>
      <c r="AZ61" s="25"/>
      <c r="BA61" s="25"/>
      <c r="BB61" s="20"/>
      <c r="BC61" s="25"/>
      <c r="BD61" s="25"/>
      <c r="BE61" s="20"/>
      <c r="BF61" s="25"/>
      <c r="BG61" s="25"/>
      <c r="BH61" s="20"/>
      <c r="BI61" s="25"/>
      <c r="BJ61" s="25"/>
      <c r="BK61" s="20"/>
      <c r="BL61" s="25"/>
      <c r="BM61" s="25"/>
      <c r="BN61" s="20"/>
      <c r="BO61" s="25"/>
      <c r="BP61" s="25"/>
      <c r="BQ61" s="20"/>
      <c r="BR61" s="25"/>
      <c r="BS61" s="25"/>
      <c r="BT61" s="20"/>
      <c r="BU61" s="25"/>
      <c r="BV61" s="25"/>
      <c r="BW61" s="20"/>
      <c r="BX61" s="25"/>
      <c r="BY61" s="25"/>
      <c r="BZ61" s="20"/>
      <c r="CA61" s="25"/>
      <c r="CB61" s="25"/>
      <c r="CC61" s="20">
        <v>4</v>
      </c>
      <c r="CD61" s="25">
        <v>1120.1600000000001</v>
      </c>
      <c r="CE61" s="25">
        <v>46.673333333333339</v>
      </c>
      <c r="CF61" s="20"/>
      <c r="CG61" s="25"/>
      <c r="CH61" s="25"/>
      <c r="CI61" s="20"/>
      <c r="CJ61" s="25"/>
      <c r="CK61" s="25"/>
      <c r="CL61" s="20"/>
      <c r="CM61" s="25"/>
      <c r="CN61" s="25"/>
      <c r="CO61" s="20"/>
      <c r="CP61" s="25"/>
      <c r="CQ61" s="25"/>
      <c r="CR61" s="20"/>
      <c r="CS61" s="25"/>
      <c r="CT61" s="25"/>
      <c r="CU61" s="20"/>
      <c r="CV61" s="25"/>
      <c r="CW61" s="25"/>
      <c r="CX61" s="20"/>
      <c r="CY61" s="25"/>
      <c r="CZ61" s="25"/>
      <c r="DA61" s="20"/>
      <c r="DB61" s="25"/>
      <c r="DC61" s="25"/>
      <c r="DD61" s="20"/>
      <c r="DE61" s="25"/>
      <c r="DF61" s="25"/>
      <c r="DG61" s="20"/>
      <c r="DH61" s="25"/>
      <c r="DI61" s="25"/>
      <c r="DJ61" s="20"/>
      <c r="DK61" s="25"/>
      <c r="DL61" s="25"/>
      <c r="DM61" s="20"/>
      <c r="DN61" s="25"/>
      <c r="DO61" s="25"/>
      <c r="DP61" s="20"/>
      <c r="DQ61" s="25"/>
      <c r="DR61" s="25"/>
      <c r="DS61" s="20"/>
      <c r="DT61" s="25"/>
      <c r="DU61" s="25"/>
      <c r="DV61" s="20"/>
      <c r="DW61" s="25"/>
      <c r="DX61" s="25"/>
      <c r="DY61" s="20"/>
      <c r="DZ61" s="25"/>
      <c r="EA61" s="25"/>
      <c r="EB61" s="20"/>
      <c r="EC61" s="25"/>
      <c r="ED61" s="25"/>
      <c r="EE61" s="20"/>
      <c r="EF61" s="25"/>
      <c r="EG61" s="25"/>
      <c r="EH61" s="20"/>
      <c r="EI61" s="25"/>
      <c r="EJ61" s="25"/>
      <c r="EK61" s="20"/>
      <c r="EL61" s="25"/>
      <c r="EM61" s="25"/>
      <c r="EN61" s="20"/>
      <c r="EO61" s="25"/>
      <c r="EP61" s="25"/>
      <c r="EQ61" s="20"/>
      <c r="ER61" s="25"/>
      <c r="ES61" s="25"/>
      <c r="ET61" s="20"/>
      <c r="EU61" s="25"/>
      <c r="EV61" s="25"/>
      <c r="EW61" s="20"/>
      <c r="EX61" s="25"/>
      <c r="EY61" s="25"/>
      <c r="EZ61" s="20"/>
      <c r="FA61" s="25"/>
      <c r="FB61" s="25"/>
      <c r="FC61" s="20"/>
      <c r="FD61" s="25"/>
      <c r="FE61" s="25"/>
      <c r="FF61" s="20"/>
      <c r="FG61" s="25"/>
      <c r="FH61" s="25"/>
      <c r="FI61" s="20"/>
      <c r="FJ61" s="25"/>
      <c r="FK61" s="25"/>
      <c r="FL61" s="20"/>
      <c r="FM61" s="25"/>
      <c r="FN61" s="25"/>
      <c r="FO61" s="20"/>
      <c r="FP61" s="25"/>
      <c r="FQ61" s="25"/>
      <c r="FR61" s="20"/>
      <c r="FS61" s="25"/>
      <c r="FT61" s="25"/>
      <c r="FU61" s="20"/>
      <c r="FV61" s="25"/>
      <c r="FW61" s="25"/>
      <c r="FX61" s="20"/>
      <c r="FY61" s="25"/>
      <c r="FZ61" s="25"/>
      <c r="GA61" s="20"/>
      <c r="GB61" s="25"/>
      <c r="GC61" s="25"/>
      <c r="GD61" s="20"/>
      <c r="GE61" s="25"/>
      <c r="GF61" s="25"/>
      <c r="GG61" s="20"/>
      <c r="GH61" s="25"/>
      <c r="GI61" s="25"/>
      <c r="GJ61" s="20"/>
      <c r="GK61" s="25"/>
      <c r="GL61" s="25"/>
      <c r="GM61" s="20"/>
      <c r="GN61" s="25"/>
      <c r="GO61" s="25"/>
      <c r="GP61" s="20"/>
      <c r="GQ61" s="25"/>
      <c r="GR61" s="25"/>
      <c r="GS61" s="20"/>
      <c r="GT61" s="25"/>
      <c r="GU61" s="25"/>
      <c r="GV61" s="20"/>
      <c r="GW61" s="25"/>
      <c r="GX61" s="25"/>
      <c r="GY61" s="20"/>
      <c r="GZ61" s="25"/>
      <c r="HA61" s="25"/>
      <c r="HB61" s="20"/>
      <c r="HC61" s="25"/>
      <c r="HD61" s="25"/>
      <c r="HE61" s="20"/>
      <c r="HF61" s="25"/>
      <c r="HG61" s="25"/>
      <c r="HH61" s="20"/>
      <c r="HI61" s="25"/>
      <c r="HJ61" s="25"/>
      <c r="HK61" s="20"/>
      <c r="HL61" s="25"/>
      <c r="HM61" s="25"/>
      <c r="HN61" s="20"/>
      <c r="HO61" s="25"/>
      <c r="HP61" s="25"/>
      <c r="HQ61" s="20">
        <v>26</v>
      </c>
      <c r="HR61" s="25">
        <v>2178.8323147689525</v>
      </c>
      <c r="HS61" s="25">
        <v>90.784679782039689</v>
      </c>
    </row>
    <row r="62" spans="1:227" ht="14.25">
      <c r="A62" s="169" t="s">
        <v>17</v>
      </c>
      <c r="B62" s="278" t="s">
        <v>1808</v>
      </c>
      <c r="C62" s="171"/>
      <c r="D62" s="311">
        <v>280.04000000000002</v>
      </c>
      <c r="E62" s="170" cm="1">
        <f t="array" ref="E62">tabUniformes[[#This Row],[Valor Inicial]]*IFERROR(PRODUCT(1+_xlfn._xlws.FILTER(tabIndices[PERCENTUAL],tabIndices[DATA DA PUBLICAÇÃO]&gt;tabUniformes[[#This Row],[DATA PUBLICAÇÃO]])),1)</f>
        <v>280.04000000000002</v>
      </c>
      <c r="F62" s="172">
        <v>2</v>
      </c>
      <c r="G62" s="172" t="s">
        <v>46</v>
      </c>
      <c r="H62" s="172">
        <v>6</v>
      </c>
      <c r="I62" s="173">
        <f>tabUniformes[[#This Row],[Valor Reajustado]]*tabUniformes[[#This Row],[Qtde Anual de Peças]]*tabUniformes[[#This Row],[Qtde. funcionários]]</f>
        <v>3360.4800000000005</v>
      </c>
      <c r="J62" s="172">
        <f>tabUniformes[[#This Row],[Qtde Anual de Peças]]*tabUniformes[[#This Row],[Qtde. funcionários]]</f>
        <v>12</v>
      </c>
      <c r="K62" s="170">
        <f>IFERROR(tabUniformes[[#This Row],[Total]]/12/tabUniformes[[#This Row],[Qtde. funcionários]],0)</f>
        <v>46.673333333333339</v>
      </c>
      <c r="M62" t="s">
        <v>1399</v>
      </c>
      <c r="N62">
        <v>34</v>
      </c>
      <c r="O62" s="20"/>
      <c r="P62" s="25"/>
      <c r="Q62" s="25"/>
      <c r="R62" s="20"/>
      <c r="S62" s="25"/>
      <c r="T62" s="25"/>
      <c r="U62" s="20"/>
      <c r="V62" s="25"/>
      <c r="W62" s="25"/>
      <c r="X62" s="20">
        <v>136</v>
      </c>
      <c r="Y62" s="25">
        <v>7362.5847345295342</v>
      </c>
      <c r="Z62" s="25">
        <v>18.045550819925328</v>
      </c>
      <c r="AA62" s="20"/>
      <c r="AB62" s="25"/>
      <c r="AC62" s="25"/>
      <c r="AD62" s="20">
        <v>204</v>
      </c>
      <c r="AE62" s="25">
        <v>8589.6821902844567</v>
      </c>
      <c r="AF62" s="25">
        <v>21.053142623246217</v>
      </c>
      <c r="AG62" s="20">
        <v>34</v>
      </c>
      <c r="AH62" s="25">
        <v>2045.1624262582041</v>
      </c>
      <c r="AI62" s="25">
        <v>5.0126530055348137</v>
      </c>
      <c r="AJ62" s="20"/>
      <c r="AK62" s="25"/>
      <c r="AL62" s="25"/>
      <c r="AM62" s="20"/>
      <c r="AN62" s="25"/>
      <c r="AO62" s="25"/>
      <c r="AP62" s="20"/>
      <c r="AQ62" s="25"/>
      <c r="AR62" s="25"/>
      <c r="AS62" s="20"/>
      <c r="AT62" s="25"/>
      <c r="AU62" s="25"/>
      <c r="AV62" s="20"/>
      <c r="AW62" s="25"/>
      <c r="AX62" s="25"/>
      <c r="AY62" s="20"/>
      <c r="AZ62" s="25"/>
      <c r="BA62" s="25"/>
      <c r="BB62" s="20"/>
      <c r="BC62" s="25"/>
      <c r="BD62" s="25"/>
      <c r="BE62" s="20"/>
      <c r="BF62" s="25"/>
      <c r="BG62" s="25"/>
      <c r="BH62" s="20"/>
      <c r="BI62" s="25"/>
      <c r="BJ62" s="25"/>
      <c r="BK62" s="20"/>
      <c r="BL62" s="25"/>
      <c r="BM62" s="25"/>
      <c r="BN62" s="20"/>
      <c r="BO62" s="25"/>
      <c r="BP62" s="25"/>
      <c r="BQ62" s="20"/>
      <c r="BR62" s="25"/>
      <c r="BS62" s="25"/>
      <c r="BT62" s="20"/>
      <c r="BU62" s="25"/>
      <c r="BV62" s="25"/>
      <c r="BW62" s="20"/>
      <c r="BX62" s="25"/>
      <c r="BY62" s="25"/>
      <c r="BZ62" s="20"/>
      <c r="CA62" s="25"/>
      <c r="CB62" s="25"/>
      <c r="CC62" s="20">
        <v>68</v>
      </c>
      <c r="CD62" s="25">
        <v>19042.72</v>
      </c>
      <c r="CE62" s="25">
        <v>46.673333333333339</v>
      </c>
      <c r="CF62" s="20"/>
      <c r="CG62" s="25"/>
      <c r="CH62" s="25"/>
      <c r="CI62" s="20"/>
      <c r="CJ62" s="25"/>
      <c r="CK62" s="25"/>
      <c r="CL62" s="20"/>
      <c r="CM62" s="25"/>
      <c r="CN62" s="25"/>
      <c r="CO62" s="20"/>
      <c r="CP62" s="25"/>
      <c r="CQ62" s="25"/>
      <c r="CR62" s="20"/>
      <c r="CS62" s="25"/>
      <c r="CT62" s="25"/>
      <c r="CU62" s="20"/>
      <c r="CV62" s="25"/>
      <c r="CW62" s="25"/>
      <c r="CX62" s="20"/>
      <c r="CY62" s="25"/>
      <c r="CZ62" s="25"/>
      <c r="DA62" s="20"/>
      <c r="DB62" s="25"/>
      <c r="DC62" s="25"/>
      <c r="DD62" s="20"/>
      <c r="DE62" s="25"/>
      <c r="DF62" s="25"/>
      <c r="DG62" s="20"/>
      <c r="DH62" s="25"/>
      <c r="DI62" s="25"/>
      <c r="DJ62" s="20"/>
      <c r="DK62" s="25"/>
      <c r="DL62" s="25"/>
      <c r="DM62" s="20"/>
      <c r="DN62" s="25"/>
      <c r="DO62" s="25"/>
      <c r="DP62" s="20"/>
      <c r="DQ62" s="25"/>
      <c r="DR62" s="25"/>
      <c r="DS62" s="20"/>
      <c r="DT62" s="25"/>
      <c r="DU62" s="25"/>
      <c r="DV62" s="20"/>
      <c r="DW62" s="25"/>
      <c r="DX62" s="25"/>
      <c r="DY62" s="20"/>
      <c r="DZ62" s="25"/>
      <c r="EA62" s="25"/>
      <c r="EB62" s="20"/>
      <c r="EC62" s="25"/>
      <c r="ED62" s="25"/>
      <c r="EE62" s="20"/>
      <c r="EF62" s="25"/>
      <c r="EG62" s="25"/>
      <c r="EH62" s="20"/>
      <c r="EI62" s="25"/>
      <c r="EJ62" s="25"/>
      <c r="EK62" s="20"/>
      <c r="EL62" s="25"/>
      <c r="EM62" s="25"/>
      <c r="EN62" s="20"/>
      <c r="EO62" s="25"/>
      <c r="EP62" s="25"/>
      <c r="EQ62" s="20"/>
      <c r="ER62" s="25"/>
      <c r="ES62" s="25"/>
      <c r="ET62" s="20"/>
      <c r="EU62" s="25"/>
      <c r="EV62" s="25"/>
      <c r="EW62" s="20"/>
      <c r="EX62" s="25"/>
      <c r="EY62" s="25"/>
      <c r="EZ62" s="20"/>
      <c r="FA62" s="25"/>
      <c r="FB62" s="25"/>
      <c r="FC62" s="20"/>
      <c r="FD62" s="25"/>
      <c r="FE62" s="25"/>
      <c r="FF62" s="20"/>
      <c r="FG62" s="25"/>
      <c r="FH62" s="25"/>
      <c r="FI62" s="20"/>
      <c r="FJ62" s="25"/>
      <c r="FK62" s="25"/>
      <c r="FL62" s="20"/>
      <c r="FM62" s="25"/>
      <c r="FN62" s="25"/>
      <c r="FO62" s="20"/>
      <c r="FP62" s="25"/>
      <c r="FQ62" s="25"/>
      <c r="FR62" s="20"/>
      <c r="FS62" s="25"/>
      <c r="FT62" s="25"/>
      <c r="FU62" s="20"/>
      <c r="FV62" s="25"/>
      <c r="FW62" s="25"/>
      <c r="FX62" s="20"/>
      <c r="FY62" s="25"/>
      <c r="FZ62" s="25"/>
      <c r="GA62" s="20"/>
      <c r="GB62" s="25"/>
      <c r="GC62" s="25"/>
      <c r="GD62" s="20"/>
      <c r="GE62" s="25"/>
      <c r="GF62" s="25"/>
      <c r="GG62" s="20"/>
      <c r="GH62" s="25"/>
      <c r="GI62" s="25"/>
      <c r="GJ62" s="20"/>
      <c r="GK62" s="25"/>
      <c r="GL62" s="25"/>
      <c r="GM62" s="20"/>
      <c r="GN62" s="25"/>
      <c r="GO62" s="25"/>
      <c r="GP62" s="20"/>
      <c r="GQ62" s="25"/>
      <c r="GR62" s="25"/>
      <c r="GS62" s="20"/>
      <c r="GT62" s="25"/>
      <c r="GU62" s="25"/>
      <c r="GV62" s="20"/>
      <c r="GW62" s="25"/>
      <c r="GX62" s="25"/>
      <c r="GY62" s="20"/>
      <c r="GZ62" s="25"/>
      <c r="HA62" s="25"/>
      <c r="HB62" s="20"/>
      <c r="HC62" s="25"/>
      <c r="HD62" s="25"/>
      <c r="HE62" s="20"/>
      <c r="HF62" s="25"/>
      <c r="HG62" s="25"/>
      <c r="HH62" s="20"/>
      <c r="HI62" s="25"/>
      <c r="HJ62" s="25"/>
      <c r="HK62" s="20"/>
      <c r="HL62" s="25"/>
      <c r="HM62" s="25"/>
      <c r="HN62" s="20"/>
      <c r="HO62" s="25"/>
      <c r="HP62" s="25"/>
      <c r="HQ62" s="20">
        <v>442</v>
      </c>
      <c r="HR62" s="25">
        <v>37040.149351072192</v>
      </c>
      <c r="HS62" s="25">
        <v>90.784679782039689</v>
      </c>
    </row>
    <row r="63" spans="1:227" ht="14.25">
      <c r="A63" s="169" t="s">
        <v>11</v>
      </c>
      <c r="B63" s="278" t="s">
        <v>30</v>
      </c>
      <c r="C63" s="171"/>
      <c r="D63" s="311">
        <v>94.82</v>
      </c>
      <c r="E63" s="170" cm="1">
        <f t="array" ref="E63">tabUniformes[[#This Row],[Valor Inicial]]*IFERROR(PRODUCT(1+_xlfn._xlws.FILTER(tabIndices[PERCENTUAL],tabIndices[DATA DA PUBLICAÇÃO]&gt;tabUniformes[[#This Row],[DATA PUBLICAÇÃO]])),1)</f>
        <v>94.82</v>
      </c>
      <c r="F63" s="172">
        <v>4</v>
      </c>
      <c r="G63" s="172" t="s">
        <v>46</v>
      </c>
      <c r="H63" s="172">
        <v>6</v>
      </c>
      <c r="I63" s="173">
        <v>1299.2796590346238</v>
      </c>
      <c r="J63" s="172">
        <v>24</v>
      </c>
      <c r="K63" s="170">
        <v>18.045550819925332</v>
      </c>
      <c r="M63" t="s">
        <v>1400</v>
      </c>
      <c r="N63">
        <v>30</v>
      </c>
      <c r="O63" s="20"/>
      <c r="P63" s="25"/>
      <c r="Q63" s="25"/>
      <c r="R63" s="20"/>
      <c r="S63" s="25"/>
      <c r="T63" s="25"/>
      <c r="U63" s="20"/>
      <c r="V63" s="25"/>
      <c r="W63" s="25"/>
      <c r="X63" s="20">
        <v>120</v>
      </c>
      <c r="Y63" s="25">
        <v>6496.3982951731186</v>
      </c>
      <c r="Z63" s="25">
        <v>18.045550819925328</v>
      </c>
      <c r="AA63" s="20"/>
      <c r="AB63" s="25"/>
      <c r="AC63" s="25"/>
      <c r="AD63" s="20">
        <v>180</v>
      </c>
      <c r="AE63" s="25">
        <v>7579.1313443686377</v>
      </c>
      <c r="AF63" s="25">
        <v>21.053142623246217</v>
      </c>
      <c r="AG63" s="20">
        <v>30</v>
      </c>
      <c r="AH63" s="25">
        <v>1804.5550819925329</v>
      </c>
      <c r="AI63" s="25">
        <v>5.0126530055348137</v>
      </c>
      <c r="AJ63" s="20"/>
      <c r="AK63" s="25"/>
      <c r="AL63" s="25"/>
      <c r="AM63" s="20"/>
      <c r="AN63" s="25"/>
      <c r="AO63" s="25"/>
      <c r="AP63" s="20"/>
      <c r="AQ63" s="25"/>
      <c r="AR63" s="25"/>
      <c r="AS63" s="20"/>
      <c r="AT63" s="25"/>
      <c r="AU63" s="25"/>
      <c r="AV63" s="20"/>
      <c r="AW63" s="25"/>
      <c r="AX63" s="25"/>
      <c r="AY63" s="20"/>
      <c r="AZ63" s="25"/>
      <c r="BA63" s="25"/>
      <c r="BB63" s="20"/>
      <c r="BC63" s="25"/>
      <c r="BD63" s="25"/>
      <c r="BE63" s="20"/>
      <c r="BF63" s="25"/>
      <c r="BG63" s="25"/>
      <c r="BH63" s="20"/>
      <c r="BI63" s="25"/>
      <c r="BJ63" s="25"/>
      <c r="BK63" s="20"/>
      <c r="BL63" s="25"/>
      <c r="BM63" s="25"/>
      <c r="BN63" s="20"/>
      <c r="BO63" s="25"/>
      <c r="BP63" s="25"/>
      <c r="BQ63" s="20"/>
      <c r="BR63" s="25"/>
      <c r="BS63" s="25"/>
      <c r="BT63" s="20"/>
      <c r="BU63" s="25"/>
      <c r="BV63" s="25"/>
      <c r="BW63" s="20"/>
      <c r="BX63" s="25"/>
      <c r="BY63" s="25"/>
      <c r="BZ63" s="20"/>
      <c r="CA63" s="25"/>
      <c r="CB63" s="25"/>
      <c r="CC63" s="20">
        <v>60</v>
      </c>
      <c r="CD63" s="25">
        <v>16802.400000000001</v>
      </c>
      <c r="CE63" s="25">
        <v>46.673333333333332</v>
      </c>
      <c r="CF63" s="20"/>
      <c r="CG63" s="25"/>
      <c r="CH63" s="25"/>
      <c r="CI63" s="20"/>
      <c r="CJ63" s="25"/>
      <c r="CK63" s="25"/>
      <c r="CL63" s="20"/>
      <c r="CM63" s="25"/>
      <c r="CN63" s="25"/>
      <c r="CO63" s="20"/>
      <c r="CP63" s="25"/>
      <c r="CQ63" s="25"/>
      <c r="CR63" s="20"/>
      <c r="CS63" s="25"/>
      <c r="CT63" s="25"/>
      <c r="CU63" s="20"/>
      <c r="CV63" s="25"/>
      <c r="CW63" s="25"/>
      <c r="CX63" s="20"/>
      <c r="CY63" s="25"/>
      <c r="CZ63" s="25"/>
      <c r="DA63" s="20"/>
      <c r="DB63" s="25"/>
      <c r="DC63" s="25"/>
      <c r="DD63" s="20"/>
      <c r="DE63" s="25"/>
      <c r="DF63" s="25"/>
      <c r="DG63" s="20"/>
      <c r="DH63" s="25"/>
      <c r="DI63" s="25"/>
      <c r="DJ63" s="20"/>
      <c r="DK63" s="25"/>
      <c r="DL63" s="25"/>
      <c r="DM63" s="20"/>
      <c r="DN63" s="25"/>
      <c r="DO63" s="25"/>
      <c r="DP63" s="20"/>
      <c r="DQ63" s="25"/>
      <c r="DR63" s="25"/>
      <c r="DS63" s="20"/>
      <c r="DT63" s="25"/>
      <c r="DU63" s="25"/>
      <c r="DV63" s="20"/>
      <c r="DW63" s="25"/>
      <c r="DX63" s="25"/>
      <c r="DY63" s="20"/>
      <c r="DZ63" s="25"/>
      <c r="EA63" s="25"/>
      <c r="EB63" s="20"/>
      <c r="EC63" s="25"/>
      <c r="ED63" s="25"/>
      <c r="EE63" s="20"/>
      <c r="EF63" s="25"/>
      <c r="EG63" s="25"/>
      <c r="EH63" s="20"/>
      <c r="EI63" s="25"/>
      <c r="EJ63" s="25"/>
      <c r="EK63" s="20"/>
      <c r="EL63" s="25"/>
      <c r="EM63" s="25"/>
      <c r="EN63" s="20"/>
      <c r="EO63" s="25"/>
      <c r="EP63" s="25"/>
      <c r="EQ63" s="20"/>
      <c r="ER63" s="25"/>
      <c r="ES63" s="25"/>
      <c r="ET63" s="20"/>
      <c r="EU63" s="25"/>
      <c r="EV63" s="25"/>
      <c r="EW63" s="20"/>
      <c r="EX63" s="25"/>
      <c r="EY63" s="25"/>
      <c r="EZ63" s="20"/>
      <c r="FA63" s="25"/>
      <c r="FB63" s="25"/>
      <c r="FC63" s="20"/>
      <c r="FD63" s="25"/>
      <c r="FE63" s="25"/>
      <c r="FF63" s="20"/>
      <c r="FG63" s="25"/>
      <c r="FH63" s="25"/>
      <c r="FI63" s="20"/>
      <c r="FJ63" s="25"/>
      <c r="FK63" s="25"/>
      <c r="FL63" s="20"/>
      <c r="FM63" s="25"/>
      <c r="FN63" s="25"/>
      <c r="FO63" s="20"/>
      <c r="FP63" s="25"/>
      <c r="FQ63" s="25"/>
      <c r="FR63" s="20"/>
      <c r="FS63" s="25"/>
      <c r="FT63" s="25"/>
      <c r="FU63" s="20"/>
      <c r="FV63" s="25"/>
      <c r="FW63" s="25"/>
      <c r="FX63" s="20"/>
      <c r="FY63" s="25"/>
      <c r="FZ63" s="25"/>
      <c r="GA63" s="20"/>
      <c r="GB63" s="25"/>
      <c r="GC63" s="25"/>
      <c r="GD63" s="20"/>
      <c r="GE63" s="25"/>
      <c r="GF63" s="25"/>
      <c r="GG63" s="20"/>
      <c r="GH63" s="25"/>
      <c r="GI63" s="25"/>
      <c r="GJ63" s="20"/>
      <c r="GK63" s="25"/>
      <c r="GL63" s="25"/>
      <c r="GM63" s="20"/>
      <c r="GN63" s="25"/>
      <c r="GO63" s="25"/>
      <c r="GP63" s="20"/>
      <c r="GQ63" s="25"/>
      <c r="GR63" s="25"/>
      <c r="GS63" s="20"/>
      <c r="GT63" s="25"/>
      <c r="GU63" s="25"/>
      <c r="GV63" s="20"/>
      <c r="GW63" s="25"/>
      <c r="GX63" s="25"/>
      <c r="GY63" s="20"/>
      <c r="GZ63" s="25"/>
      <c r="HA63" s="25"/>
      <c r="HB63" s="20"/>
      <c r="HC63" s="25"/>
      <c r="HD63" s="25"/>
      <c r="HE63" s="20"/>
      <c r="HF63" s="25"/>
      <c r="HG63" s="25"/>
      <c r="HH63" s="20"/>
      <c r="HI63" s="25"/>
      <c r="HJ63" s="25"/>
      <c r="HK63" s="20"/>
      <c r="HL63" s="25"/>
      <c r="HM63" s="25"/>
      <c r="HN63" s="20"/>
      <c r="HO63" s="25"/>
      <c r="HP63" s="25"/>
      <c r="HQ63" s="20">
        <v>390</v>
      </c>
      <c r="HR63" s="25">
        <v>32682.484721534292</v>
      </c>
      <c r="HS63" s="25">
        <v>90.784679782039689</v>
      </c>
    </row>
    <row r="64" spans="1:227" ht="14.25">
      <c r="A64" s="169" t="s">
        <v>14</v>
      </c>
      <c r="B64" s="278" t="s">
        <v>25</v>
      </c>
      <c r="C64" s="171"/>
      <c r="D64" s="311">
        <v>95.13</v>
      </c>
      <c r="E64" s="170" cm="1">
        <f t="array" ref="E64">tabUniformes[[#This Row],[Valor Inicial]]*IFERROR(PRODUCT(1+_xlfn._xlws.FILTER(tabIndices[PERCENTUAL],tabIndices[DATA DA PUBLICAÇÃO]&gt;tabUniformes[[#This Row],[DATA PUBLICAÇÃO]])),1)</f>
        <v>95.13</v>
      </c>
      <c r="F64" s="172">
        <v>1</v>
      </c>
      <c r="G64" s="172" t="s">
        <v>46</v>
      </c>
      <c r="H64" s="172">
        <v>6</v>
      </c>
      <c r="I64" s="173">
        <v>360.9110163985066</v>
      </c>
      <c r="J64" s="172">
        <v>6</v>
      </c>
      <c r="K64" s="170">
        <v>5.0126530055348137</v>
      </c>
      <c r="M64" t="s">
        <v>1401</v>
      </c>
      <c r="N64">
        <v>30</v>
      </c>
      <c r="O64" s="20"/>
      <c r="P64" s="25"/>
      <c r="Q64" s="25"/>
      <c r="R64" s="20"/>
      <c r="S64" s="25"/>
      <c r="T64" s="25"/>
      <c r="U64" s="20"/>
      <c r="V64" s="25"/>
      <c r="W64" s="25"/>
      <c r="X64" s="20">
        <v>120</v>
      </c>
      <c r="Y64" s="25">
        <v>6496.3982951731186</v>
      </c>
      <c r="Z64" s="25">
        <v>18.045550819925328</v>
      </c>
      <c r="AA64" s="20"/>
      <c r="AB64" s="25"/>
      <c r="AC64" s="25"/>
      <c r="AD64" s="20">
        <v>180</v>
      </c>
      <c r="AE64" s="25">
        <v>7579.1313443686377</v>
      </c>
      <c r="AF64" s="25">
        <v>21.053142623246217</v>
      </c>
      <c r="AG64" s="20">
        <v>30</v>
      </c>
      <c r="AH64" s="25">
        <v>1804.5550819925329</v>
      </c>
      <c r="AI64" s="25">
        <v>5.0126530055348137</v>
      </c>
      <c r="AJ64" s="20"/>
      <c r="AK64" s="25"/>
      <c r="AL64" s="25"/>
      <c r="AM64" s="20"/>
      <c r="AN64" s="25"/>
      <c r="AO64" s="25"/>
      <c r="AP64" s="20"/>
      <c r="AQ64" s="25"/>
      <c r="AR64" s="25"/>
      <c r="AS64" s="20"/>
      <c r="AT64" s="25"/>
      <c r="AU64" s="25"/>
      <c r="AV64" s="20"/>
      <c r="AW64" s="25"/>
      <c r="AX64" s="25"/>
      <c r="AY64" s="20"/>
      <c r="AZ64" s="25"/>
      <c r="BA64" s="25"/>
      <c r="BB64" s="20"/>
      <c r="BC64" s="25"/>
      <c r="BD64" s="25"/>
      <c r="BE64" s="20"/>
      <c r="BF64" s="25"/>
      <c r="BG64" s="25"/>
      <c r="BH64" s="20"/>
      <c r="BI64" s="25"/>
      <c r="BJ64" s="25"/>
      <c r="BK64" s="20"/>
      <c r="BL64" s="25"/>
      <c r="BM64" s="25"/>
      <c r="BN64" s="20"/>
      <c r="BO64" s="25"/>
      <c r="BP64" s="25"/>
      <c r="BQ64" s="20"/>
      <c r="BR64" s="25"/>
      <c r="BS64" s="25"/>
      <c r="BT64" s="20"/>
      <c r="BU64" s="25"/>
      <c r="BV64" s="25"/>
      <c r="BW64" s="20"/>
      <c r="BX64" s="25"/>
      <c r="BY64" s="25"/>
      <c r="BZ64" s="20"/>
      <c r="CA64" s="25"/>
      <c r="CB64" s="25"/>
      <c r="CC64" s="20">
        <v>60</v>
      </c>
      <c r="CD64" s="25">
        <v>16802.400000000001</v>
      </c>
      <c r="CE64" s="25">
        <v>46.673333333333332</v>
      </c>
      <c r="CF64" s="20"/>
      <c r="CG64" s="25"/>
      <c r="CH64" s="25"/>
      <c r="CI64" s="20"/>
      <c r="CJ64" s="25"/>
      <c r="CK64" s="25"/>
      <c r="CL64" s="20"/>
      <c r="CM64" s="25"/>
      <c r="CN64" s="25"/>
      <c r="CO64" s="20"/>
      <c r="CP64" s="25"/>
      <c r="CQ64" s="25"/>
      <c r="CR64" s="20"/>
      <c r="CS64" s="25"/>
      <c r="CT64" s="25"/>
      <c r="CU64" s="20"/>
      <c r="CV64" s="25"/>
      <c r="CW64" s="25"/>
      <c r="CX64" s="20"/>
      <c r="CY64" s="25"/>
      <c r="CZ64" s="25"/>
      <c r="DA64" s="20"/>
      <c r="DB64" s="25"/>
      <c r="DC64" s="25"/>
      <c r="DD64" s="20"/>
      <c r="DE64" s="25"/>
      <c r="DF64" s="25"/>
      <c r="DG64" s="20"/>
      <c r="DH64" s="25"/>
      <c r="DI64" s="25"/>
      <c r="DJ64" s="20"/>
      <c r="DK64" s="25"/>
      <c r="DL64" s="25"/>
      <c r="DM64" s="20"/>
      <c r="DN64" s="25"/>
      <c r="DO64" s="25"/>
      <c r="DP64" s="20"/>
      <c r="DQ64" s="25"/>
      <c r="DR64" s="25"/>
      <c r="DS64" s="20"/>
      <c r="DT64" s="25"/>
      <c r="DU64" s="25"/>
      <c r="DV64" s="20"/>
      <c r="DW64" s="25"/>
      <c r="DX64" s="25"/>
      <c r="DY64" s="20"/>
      <c r="DZ64" s="25"/>
      <c r="EA64" s="25"/>
      <c r="EB64" s="20"/>
      <c r="EC64" s="25"/>
      <c r="ED64" s="25"/>
      <c r="EE64" s="20"/>
      <c r="EF64" s="25"/>
      <c r="EG64" s="25"/>
      <c r="EH64" s="20"/>
      <c r="EI64" s="25"/>
      <c r="EJ64" s="25"/>
      <c r="EK64" s="20"/>
      <c r="EL64" s="25"/>
      <c r="EM64" s="25"/>
      <c r="EN64" s="20"/>
      <c r="EO64" s="25"/>
      <c r="EP64" s="25"/>
      <c r="EQ64" s="20"/>
      <c r="ER64" s="25"/>
      <c r="ES64" s="25"/>
      <c r="ET64" s="20"/>
      <c r="EU64" s="25"/>
      <c r="EV64" s="25"/>
      <c r="EW64" s="20"/>
      <c r="EX64" s="25"/>
      <c r="EY64" s="25"/>
      <c r="EZ64" s="20"/>
      <c r="FA64" s="25"/>
      <c r="FB64" s="25"/>
      <c r="FC64" s="20"/>
      <c r="FD64" s="25"/>
      <c r="FE64" s="25"/>
      <c r="FF64" s="20"/>
      <c r="FG64" s="25"/>
      <c r="FH64" s="25"/>
      <c r="FI64" s="20"/>
      <c r="FJ64" s="25"/>
      <c r="FK64" s="25"/>
      <c r="FL64" s="20"/>
      <c r="FM64" s="25"/>
      <c r="FN64" s="25"/>
      <c r="FO64" s="20"/>
      <c r="FP64" s="25"/>
      <c r="FQ64" s="25"/>
      <c r="FR64" s="20"/>
      <c r="FS64" s="25"/>
      <c r="FT64" s="25"/>
      <c r="FU64" s="20"/>
      <c r="FV64" s="25"/>
      <c r="FW64" s="25"/>
      <c r="FX64" s="20"/>
      <c r="FY64" s="25"/>
      <c r="FZ64" s="25"/>
      <c r="GA64" s="20"/>
      <c r="GB64" s="25"/>
      <c r="GC64" s="25"/>
      <c r="GD64" s="20"/>
      <c r="GE64" s="25"/>
      <c r="GF64" s="25"/>
      <c r="GG64" s="20"/>
      <c r="GH64" s="25"/>
      <c r="GI64" s="25"/>
      <c r="GJ64" s="20"/>
      <c r="GK64" s="25"/>
      <c r="GL64" s="25"/>
      <c r="GM64" s="20"/>
      <c r="GN64" s="25"/>
      <c r="GO64" s="25"/>
      <c r="GP64" s="20"/>
      <c r="GQ64" s="25"/>
      <c r="GR64" s="25"/>
      <c r="GS64" s="20"/>
      <c r="GT64" s="25"/>
      <c r="GU64" s="25"/>
      <c r="GV64" s="20"/>
      <c r="GW64" s="25"/>
      <c r="GX64" s="25"/>
      <c r="GY64" s="20"/>
      <c r="GZ64" s="25"/>
      <c r="HA64" s="25"/>
      <c r="HB64" s="20"/>
      <c r="HC64" s="25"/>
      <c r="HD64" s="25"/>
      <c r="HE64" s="20"/>
      <c r="HF64" s="25"/>
      <c r="HG64" s="25"/>
      <c r="HH64" s="20"/>
      <c r="HI64" s="25"/>
      <c r="HJ64" s="25"/>
      <c r="HK64" s="20"/>
      <c r="HL64" s="25"/>
      <c r="HM64" s="25"/>
      <c r="HN64" s="20"/>
      <c r="HO64" s="25"/>
      <c r="HP64" s="25"/>
      <c r="HQ64" s="20">
        <v>390</v>
      </c>
      <c r="HR64" s="25">
        <v>32682.484721534292</v>
      </c>
      <c r="HS64" s="25">
        <v>90.784679782039689</v>
      </c>
    </row>
    <row r="65" spans="1:227" ht="14.25">
      <c r="A65" s="169" t="s">
        <v>12</v>
      </c>
      <c r="B65" s="278" t="s">
        <v>32</v>
      </c>
      <c r="C65" s="171"/>
      <c r="D65" s="311">
        <v>69.83</v>
      </c>
      <c r="E65" s="170" cm="1">
        <f t="array" ref="E65">tabUniformes[[#This Row],[Valor Inicial]]*IFERROR(PRODUCT(1+_xlfn._xlws.FILTER(tabIndices[PERCENTUAL],tabIndices[DATA DA PUBLICAÇÃO]&gt;tabUniformes[[#This Row],[DATA PUBLICAÇÃO]])),1)</f>
        <v>69.83</v>
      </c>
      <c r="F65" s="172">
        <v>6</v>
      </c>
      <c r="G65" s="172" t="s">
        <v>46</v>
      </c>
      <c r="H65" s="172">
        <v>6</v>
      </c>
      <c r="I65" s="173">
        <v>1515.8262688737277</v>
      </c>
      <c r="J65" s="172">
        <v>36</v>
      </c>
      <c r="K65" s="170">
        <v>21.05314262324622</v>
      </c>
      <c r="M65" t="s">
        <v>1402</v>
      </c>
      <c r="N65">
        <v>24</v>
      </c>
      <c r="O65" s="20"/>
      <c r="P65" s="25"/>
      <c r="Q65" s="25"/>
      <c r="R65" s="20"/>
      <c r="S65" s="25"/>
      <c r="T65" s="25"/>
      <c r="U65" s="20"/>
      <c r="V65" s="25"/>
      <c r="W65" s="25"/>
      <c r="X65" s="20">
        <v>96</v>
      </c>
      <c r="Y65" s="25">
        <v>5197.1186361384953</v>
      </c>
      <c r="Z65" s="25">
        <v>18.045550819925332</v>
      </c>
      <c r="AA65" s="20"/>
      <c r="AB65" s="25"/>
      <c r="AC65" s="25"/>
      <c r="AD65" s="20">
        <v>144</v>
      </c>
      <c r="AE65" s="25">
        <v>6063.3050754949109</v>
      </c>
      <c r="AF65" s="25">
        <v>21.05314262324622</v>
      </c>
      <c r="AG65" s="20">
        <v>24</v>
      </c>
      <c r="AH65" s="25">
        <v>1443.6440655940264</v>
      </c>
      <c r="AI65" s="25">
        <v>5.0126530055348137</v>
      </c>
      <c r="AJ65" s="20"/>
      <c r="AK65" s="25"/>
      <c r="AL65" s="25"/>
      <c r="AM65" s="20"/>
      <c r="AN65" s="25"/>
      <c r="AO65" s="25"/>
      <c r="AP65" s="20"/>
      <c r="AQ65" s="25"/>
      <c r="AR65" s="25"/>
      <c r="AS65" s="20"/>
      <c r="AT65" s="25"/>
      <c r="AU65" s="25"/>
      <c r="AV65" s="20"/>
      <c r="AW65" s="25"/>
      <c r="AX65" s="25"/>
      <c r="AY65" s="20"/>
      <c r="AZ65" s="25"/>
      <c r="BA65" s="25"/>
      <c r="BB65" s="20"/>
      <c r="BC65" s="25"/>
      <c r="BD65" s="25"/>
      <c r="BE65" s="20"/>
      <c r="BF65" s="25"/>
      <c r="BG65" s="25"/>
      <c r="BH65" s="20"/>
      <c r="BI65" s="25"/>
      <c r="BJ65" s="25"/>
      <c r="BK65" s="20"/>
      <c r="BL65" s="25"/>
      <c r="BM65" s="25"/>
      <c r="BN65" s="20"/>
      <c r="BO65" s="25"/>
      <c r="BP65" s="25"/>
      <c r="BQ65" s="20"/>
      <c r="BR65" s="25"/>
      <c r="BS65" s="25"/>
      <c r="BT65" s="20"/>
      <c r="BU65" s="25"/>
      <c r="BV65" s="25"/>
      <c r="BW65" s="20"/>
      <c r="BX65" s="25"/>
      <c r="BY65" s="25"/>
      <c r="BZ65" s="20"/>
      <c r="CA65" s="25"/>
      <c r="CB65" s="25"/>
      <c r="CC65" s="20">
        <v>48</v>
      </c>
      <c r="CD65" s="25">
        <v>13441.920000000002</v>
      </c>
      <c r="CE65" s="25">
        <v>46.673333333333339</v>
      </c>
      <c r="CF65" s="20"/>
      <c r="CG65" s="25"/>
      <c r="CH65" s="25"/>
      <c r="CI65" s="20"/>
      <c r="CJ65" s="25"/>
      <c r="CK65" s="25"/>
      <c r="CL65" s="20"/>
      <c r="CM65" s="25"/>
      <c r="CN65" s="25"/>
      <c r="CO65" s="20"/>
      <c r="CP65" s="25"/>
      <c r="CQ65" s="25"/>
      <c r="CR65" s="20"/>
      <c r="CS65" s="25"/>
      <c r="CT65" s="25"/>
      <c r="CU65" s="20"/>
      <c r="CV65" s="25"/>
      <c r="CW65" s="25"/>
      <c r="CX65" s="20"/>
      <c r="CY65" s="25"/>
      <c r="CZ65" s="25"/>
      <c r="DA65" s="20"/>
      <c r="DB65" s="25"/>
      <c r="DC65" s="25"/>
      <c r="DD65" s="20"/>
      <c r="DE65" s="25"/>
      <c r="DF65" s="25"/>
      <c r="DG65" s="20"/>
      <c r="DH65" s="25"/>
      <c r="DI65" s="25"/>
      <c r="DJ65" s="20"/>
      <c r="DK65" s="25"/>
      <c r="DL65" s="25"/>
      <c r="DM65" s="20"/>
      <c r="DN65" s="25"/>
      <c r="DO65" s="25"/>
      <c r="DP65" s="20"/>
      <c r="DQ65" s="25"/>
      <c r="DR65" s="25"/>
      <c r="DS65" s="20"/>
      <c r="DT65" s="25"/>
      <c r="DU65" s="25"/>
      <c r="DV65" s="20"/>
      <c r="DW65" s="25"/>
      <c r="DX65" s="25"/>
      <c r="DY65" s="20"/>
      <c r="DZ65" s="25"/>
      <c r="EA65" s="25"/>
      <c r="EB65" s="20"/>
      <c r="EC65" s="25"/>
      <c r="ED65" s="25"/>
      <c r="EE65" s="20"/>
      <c r="EF65" s="25"/>
      <c r="EG65" s="25"/>
      <c r="EH65" s="20"/>
      <c r="EI65" s="25"/>
      <c r="EJ65" s="25"/>
      <c r="EK65" s="20"/>
      <c r="EL65" s="25"/>
      <c r="EM65" s="25"/>
      <c r="EN65" s="20"/>
      <c r="EO65" s="25"/>
      <c r="EP65" s="25"/>
      <c r="EQ65" s="20"/>
      <c r="ER65" s="25"/>
      <c r="ES65" s="25"/>
      <c r="ET65" s="20"/>
      <c r="EU65" s="25"/>
      <c r="EV65" s="25"/>
      <c r="EW65" s="20"/>
      <c r="EX65" s="25"/>
      <c r="EY65" s="25"/>
      <c r="EZ65" s="20"/>
      <c r="FA65" s="25"/>
      <c r="FB65" s="25"/>
      <c r="FC65" s="20"/>
      <c r="FD65" s="25"/>
      <c r="FE65" s="25"/>
      <c r="FF65" s="20"/>
      <c r="FG65" s="25"/>
      <c r="FH65" s="25"/>
      <c r="FI65" s="20"/>
      <c r="FJ65" s="25"/>
      <c r="FK65" s="25"/>
      <c r="FL65" s="20"/>
      <c r="FM65" s="25"/>
      <c r="FN65" s="25"/>
      <c r="FO65" s="20"/>
      <c r="FP65" s="25"/>
      <c r="FQ65" s="25"/>
      <c r="FR65" s="20"/>
      <c r="FS65" s="25"/>
      <c r="FT65" s="25"/>
      <c r="FU65" s="20"/>
      <c r="FV65" s="25"/>
      <c r="FW65" s="25"/>
      <c r="FX65" s="20"/>
      <c r="FY65" s="25"/>
      <c r="FZ65" s="25"/>
      <c r="GA65" s="20"/>
      <c r="GB65" s="25"/>
      <c r="GC65" s="25"/>
      <c r="GD65" s="20"/>
      <c r="GE65" s="25"/>
      <c r="GF65" s="25"/>
      <c r="GG65" s="20"/>
      <c r="GH65" s="25"/>
      <c r="GI65" s="25"/>
      <c r="GJ65" s="20"/>
      <c r="GK65" s="25"/>
      <c r="GL65" s="25"/>
      <c r="GM65" s="20"/>
      <c r="GN65" s="25"/>
      <c r="GO65" s="25"/>
      <c r="GP65" s="20"/>
      <c r="GQ65" s="25"/>
      <c r="GR65" s="25"/>
      <c r="GS65" s="20"/>
      <c r="GT65" s="25"/>
      <c r="GU65" s="25"/>
      <c r="GV65" s="20"/>
      <c r="GW65" s="25"/>
      <c r="GX65" s="25"/>
      <c r="GY65" s="20"/>
      <c r="GZ65" s="25"/>
      <c r="HA65" s="25"/>
      <c r="HB65" s="20"/>
      <c r="HC65" s="25"/>
      <c r="HD65" s="25"/>
      <c r="HE65" s="20"/>
      <c r="HF65" s="25"/>
      <c r="HG65" s="25"/>
      <c r="HH65" s="20"/>
      <c r="HI65" s="25"/>
      <c r="HJ65" s="25"/>
      <c r="HK65" s="20"/>
      <c r="HL65" s="25"/>
      <c r="HM65" s="25"/>
      <c r="HN65" s="20"/>
      <c r="HO65" s="25"/>
      <c r="HP65" s="25"/>
      <c r="HQ65" s="20">
        <v>312</v>
      </c>
      <c r="HR65" s="25">
        <v>26145.987777227434</v>
      </c>
      <c r="HS65" s="25">
        <v>90.784679782039717</v>
      </c>
    </row>
    <row r="66" spans="1:227" ht="14.25">
      <c r="A66" s="169" t="s">
        <v>18</v>
      </c>
      <c r="B66" s="278" t="s">
        <v>1812</v>
      </c>
      <c r="C66" s="171"/>
      <c r="D66" s="311">
        <v>24.55</v>
      </c>
      <c r="E66" s="170" cm="1">
        <f t="array" ref="E66">tabUniformes[[#This Row],[Valor Inicial]]*IFERROR(PRODUCT(1+_xlfn._xlws.FILTER(tabIndices[PERCENTUAL],tabIndices[DATA DA PUBLICAÇÃO]&gt;tabUniformes[[#This Row],[DATA PUBLICAÇÃO]])),1)</f>
        <v>24.55</v>
      </c>
      <c r="F66" s="172">
        <v>1</v>
      </c>
      <c r="G66" s="172" t="s">
        <v>47</v>
      </c>
      <c r="H66" s="172">
        <v>22</v>
      </c>
      <c r="I66" s="173">
        <f>tabUniformes[[#This Row],[Valor Reajustado]]*tabUniformes[[#This Row],[Qtde Anual de Peças]]*tabUniformes[[#This Row],[Qtde. funcionários]]</f>
        <v>540.1</v>
      </c>
      <c r="J66" s="172">
        <f>tabUniformes[[#This Row],[Qtde Anual de Peças]]*tabUniformes[[#This Row],[Qtde. funcionários]]</f>
        <v>22</v>
      </c>
      <c r="K66" s="170">
        <f>IFERROR(tabUniformes[[#This Row],[Total]]/12/tabUniformes[[#This Row],[Qtde. funcionários]],0)</f>
        <v>2.0458333333333334</v>
      </c>
      <c r="M66" t="s">
        <v>1797</v>
      </c>
      <c r="N66">
        <v>4</v>
      </c>
      <c r="O66" s="20"/>
      <c r="P66" s="25"/>
      <c r="Q66" s="25"/>
      <c r="R66" s="20"/>
      <c r="S66" s="25"/>
      <c r="T66" s="25"/>
      <c r="U66" s="20"/>
      <c r="V66" s="25"/>
      <c r="W66" s="25"/>
      <c r="X66" s="20">
        <v>16</v>
      </c>
      <c r="Y66" s="25">
        <v>1517.12</v>
      </c>
      <c r="Z66" s="25">
        <v>31.606666666666666</v>
      </c>
      <c r="AA66" s="20"/>
      <c r="AB66" s="25"/>
      <c r="AC66" s="25"/>
      <c r="AD66" s="20">
        <v>24</v>
      </c>
      <c r="AE66" s="25">
        <v>1675.92</v>
      </c>
      <c r="AF66" s="25">
        <v>34.914999999999999</v>
      </c>
      <c r="AG66" s="20">
        <v>4</v>
      </c>
      <c r="AH66" s="25">
        <v>380.52</v>
      </c>
      <c r="AI66" s="25">
        <v>7.9274999999999993</v>
      </c>
      <c r="AJ66" s="20"/>
      <c r="AK66" s="25"/>
      <c r="AL66" s="25"/>
      <c r="AM66" s="20"/>
      <c r="AN66" s="25"/>
      <c r="AO66" s="25"/>
      <c r="AP66" s="20"/>
      <c r="AQ66" s="25"/>
      <c r="AR66" s="25"/>
      <c r="AS66" s="20"/>
      <c r="AT66" s="25"/>
      <c r="AU66" s="25"/>
      <c r="AV66" s="20"/>
      <c r="AW66" s="25"/>
      <c r="AX66" s="25"/>
      <c r="AY66" s="20">
        <v>4</v>
      </c>
      <c r="AZ66" s="25">
        <v>254</v>
      </c>
      <c r="BA66" s="25">
        <v>5.291666666666667</v>
      </c>
      <c r="BB66" s="20"/>
      <c r="BC66" s="25"/>
      <c r="BD66" s="25"/>
      <c r="BE66" s="20"/>
      <c r="BF66" s="25"/>
      <c r="BG66" s="25"/>
      <c r="BH66" s="20"/>
      <c r="BI66" s="25"/>
      <c r="BJ66" s="25"/>
      <c r="BK66" s="20"/>
      <c r="BL66" s="25"/>
      <c r="BM66" s="25"/>
      <c r="BN66" s="20">
        <v>1440</v>
      </c>
      <c r="BO66" s="25">
        <v>331.2</v>
      </c>
      <c r="BP66" s="25">
        <v>6.8999999999999995</v>
      </c>
      <c r="BQ66" s="20">
        <v>96</v>
      </c>
      <c r="BR66" s="25">
        <v>213.12</v>
      </c>
      <c r="BS66" s="25">
        <v>4.4400000000000004</v>
      </c>
      <c r="BT66" s="20">
        <v>96</v>
      </c>
      <c r="BU66" s="25">
        <v>133.44</v>
      </c>
      <c r="BV66" s="25">
        <v>2.78</v>
      </c>
      <c r="BW66" s="20">
        <v>2800</v>
      </c>
      <c r="BX66" s="25">
        <v>765.52</v>
      </c>
      <c r="BY66" s="25">
        <v>15.948333333333332</v>
      </c>
      <c r="BZ66" s="20">
        <v>480</v>
      </c>
      <c r="CA66" s="25">
        <v>144</v>
      </c>
      <c r="CB66" s="25">
        <v>3</v>
      </c>
      <c r="CC66" s="20">
        <v>8</v>
      </c>
      <c r="CD66" s="25">
        <v>2240.3200000000002</v>
      </c>
      <c r="CE66" s="25">
        <v>46.673333333333339</v>
      </c>
      <c r="CF66" s="20">
        <v>48</v>
      </c>
      <c r="CG66" s="25">
        <v>368.15999999999997</v>
      </c>
      <c r="CH66" s="25">
        <v>7.669999999999999</v>
      </c>
      <c r="CI66" s="20">
        <v>104</v>
      </c>
      <c r="CJ66" s="25">
        <v>2594.7999999999997</v>
      </c>
      <c r="CK66" s="25">
        <v>54.05833333333333</v>
      </c>
      <c r="CL66" s="20">
        <v>104</v>
      </c>
      <c r="CM66" s="25">
        <v>94.64</v>
      </c>
      <c r="CN66" s="25">
        <v>1.9716666666666667</v>
      </c>
      <c r="CO66" s="20"/>
      <c r="CP66" s="25"/>
      <c r="CQ66" s="25"/>
      <c r="CR66" s="20"/>
      <c r="CS66" s="25"/>
      <c r="CT66" s="25"/>
      <c r="CU66" s="20"/>
      <c r="CV66" s="25"/>
      <c r="CW66" s="25"/>
      <c r="CX66" s="20"/>
      <c r="CY66" s="25"/>
      <c r="CZ66" s="25"/>
      <c r="DA66" s="20"/>
      <c r="DB66" s="25"/>
      <c r="DC66" s="25"/>
      <c r="DD66" s="20"/>
      <c r="DE66" s="25"/>
      <c r="DF66" s="25"/>
      <c r="DG66" s="20"/>
      <c r="DH66" s="25"/>
      <c r="DI66" s="25"/>
      <c r="DJ66" s="20"/>
      <c r="DK66" s="25"/>
      <c r="DL66" s="25"/>
      <c r="DM66" s="20"/>
      <c r="DN66" s="25"/>
      <c r="DO66" s="25"/>
      <c r="DP66" s="20"/>
      <c r="DQ66" s="25"/>
      <c r="DR66" s="25"/>
      <c r="DS66" s="20"/>
      <c r="DT66" s="25"/>
      <c r="DU66" s="25"/>
      <c r="DV66" s="20"/>
      <c r="DW66" s="25"/>
      <c r="DX66" s="25"/>
      <c r="DY66" s="20"/>
      <c r="DZ66" s="25"/>
      <c r="EA66" s="25"/>
      <c r="EB66" s="20"/>
      <c r="EC66" s="25"/>
      <c r="ED66" s="25"/>
      <c r="EE66" s="20"/>
      <c r="EF66" s="25"/>
      <c r="EG66" s="25"/>
      <c r="EH66" s="20"/>
      <c r="EI66" s="25"/>
      <c r="EJ66" s="25"/>
      <c r="EK66" s="20"/>
      <c r="EL66" s="25"/>
      <c r="EM66" s="25"/>
      <c r="EN66" s="20"/>
      <c r="EO66" s="25"/>
      <c r="EP66" s="25"/>
      <c r="EQ66" s="20"/>
      <c r="ER66" s="25"/>
      <c r="ES66" s="25"/>
      <c r="ET66" s="20"/>
      <c r="EU66" s="25"/>
      <c r="EV66" s="25"/>
      <c r="EW66" s="20"/>
      <c r="EX66" s="25"/>
      <c r="EY66" s="25"/>
      <c r="EZ66" s="20"/>
      <c r="FA66" s="25"/>
      <c r="FB66" s="25"/>
      <c r="FC66" s="20"/>
      <c r="FD66" s="25"/>
      <c r="FE66" s="25"/>
      <c r="FF66" s="20"/>
      <c r="FG66" s="25"/>
      <c r="FH66" s="25"/>
      <c r="FI66" s="20"/>
      <c r="FJ66" s="25"/>
      <c r="FK66" s="25"/>
      <c r="FL66" s="20"/>
      <c r="FM66" s="25"/>
      <c r="FN66" s="25"/>
      <c r="FO66" s="20"/>
      <c r="FP66" s="25"/>
      <c r="FQ66" s="25"/>
      <c r="FR66" s="20"/>
      <c r="FS66" s="25"/>
      <c r="FT66" s="25"/>
      <c r="FU66" s="20"/>
      <c r="FV66" s="25"/>
      <c r="FW66" s="25"/>
      <c r="FX66" s="20"/>
      <c r="FY66" s="25"/>
      <c r="FZ66" s="25"/>
      <c r="GA66" s="20"/>
      <c r="GB66" s="25"/>
      <c r="GC66" s="25"/>
      <c r="GD66" s="20"/>
      <c r="GE66" s="25"/>
      <c r="GF66" s="25"/>
      <c r="GG66" s="20"/>
      <c r="GH66" s="25"/>
      <c r="GI66" s="25"/>
      <c r="GJ66" s="20"/>
      <c r="GK66" s="25"/>
      <c r="GL66" s="25"/>
      <c r="GM66" s="20"/>
      <c r="GN66" s="25"/>
      <c r="GO66" s="25"/>
      <c r="GP66" s="20"/>
      <c r="GQ66" s="25"/>
      <c r="GR66" s="25"/>
      <c r="GS66" s="20"/>
      <c r="GT66" s="25"/>
      <c r="GU66" s="25"/>
      <c r="GV66" s="20"/>
      <c r="GW66" s="25"/>
      <c r="GX66" s="25"/>
      <c r="GY66" s="20"/>
      <c r="GZ66" s="25"/>
      <c r="HA66" s="25"/>
      <c r="HB66" s="20"/>
      <c r="HC66" s="25"/>
      <c r="HD66" s="25"/>
      <c r="HE66" s="20"/>
      <c r="HF66" s="25"/>
      <c r="HG66" s="25"/>
      <c r="HH66" s="20"/>
      <c r="HI66" s="25"/>
      <c r="HJ66" s="25"/>
      <c r="HK66" s="20"/>
      <c r="HL66" s="25"/>
      <c r="HM66" s="25"/>
      <c r="HN66" s="20"/>
      <c r="HO66" s="25"/>
      <c r="HP66" s="25"/>
      <c r="HQ66" s="20">
        <v>5224</v>
      </c>
      <c r="HR66" s="25">
        <v>10712.759999999998</v>
      </c>
      <c r="HS66" s="25">
        <v>223.1825</v>
      </c>
    </row>
    <row r="67" spans="1:227" ht="14.25">
      <c r="A67" s="169" t="s">
        <v>18</v>
      </c>
      <c r="B67" s="278" t="s">
        <v>1813</v>
      </c>
      <c r="C67" s="171"/>
      <c r="D67" s="311">
        <v>90.53</v>
      </c>
      <c r="E67" s="170" cm="1">
        <f t="array" ref="E67">tabUniformes[[#This Row],[Valor Inicial]]*IFERROR(PRODUCT(1+_xlfn._xlws.FILTER(tabIndices[PERCENTUAL],tabIndices[DATA DA PUBLICAÇÃO]&gt;tabUniformes[[#This Row],[DATA PUBLICAÇÃO]])),1)</f>
        <v>90.53</v>
      </c>
      <c r="F67" s="172">
        <v>1</v>
      </c>
      <c r="G67" s="172" t="s">
        <v>47</v>
      </c>
      <c r="H67" s="172">
        <v>22</v>
      </c>
      <c r="I67" s="173">
        <f>tabUniformes[[#This Row],[Valor Reajustado]]*tabUniformes[[#This Row],[Qtde Anual de Peças]]*tabUniformes[[#This Row],[Qtde. funcionários]]</f>
        <v>1991.66</v>
      </c>
      <c r="J67" s="172">
        <f>tabUniformes[[#This Row],[Qtde Anual de Peças]]*tabUniformes[[#This Row],[Qtde. funcionários]]</f>
        <v>22</v>
      </c>
      <c r="K67" s="170">
        <f>IFERROR(tabUniformes[[#This Row],[Total]]/12/tabUniformes[[#This Row],[Qtde. funcionários]],0)</f>
        <v>7.5441666666666665</v>
      </c>
      <c r="M67" t="s">
        <v>1396</v>
      </c>
      <c r="N67">
        <v>9</v>
      </c>
      <c r="O67" s="20"/>
      <c r="P67" s="25"/>
      <c r="Q67" s="25"/>
      <c r="R67" s="20"/>
      <c r="S67" s="25"/>
      <c r="T67" s="25"/>
      <c r="U67" s="20">
        <v>8</v>
      </c>
      <c r="V67" s="25">
        <v>336.85028197193947</v>
      </c>
      <c r="W67" s="25">
        <v>14.035428415497478</v>
      </c>
      <c r="X67" s="20"/>
      <c r="Y67" s="25"/>
      <c r="Z67" s="25"/>
      <c r="AA67" s="20">
        <v>16</v>
      </c>
      <c r="AB67" s="25">
        <v>481.21468853134212</v>
      </c>
      <c r="AC67" s="25">
        <v>20.050612022139255</v>
      </c>
      <c r="AD67" s="20"/>
      <c r="AE67" s="25"/>
      <c r="AF67" s="25"/>
      <c r="AG67" s="20">
        <v>2</v>
      </c>
      <c r="AH67" s="25">
        <v>120.30367213283553</v>
      </c>
      <c r="AI67" s="25">
        <v>5.0126530055348137</v>
      </c>
      <c r="AJ67" s="20"/>
      <c r="AK67" s="25"/>
      <c r="AL67" s="25"/>
      <c r="AM67" s="20"/>
      <c r="AN67" s="25"/>
      <c r="AO67" s="25"/>
      <c r="AP67" s="20"/>
      <c r="AQ67" s="25"/>
      <c r="AR67" s="25"/>
      <c r="AS67" s="20"/>
      <c r="AT67" s="25"/>
      <c r="AU67" s="25"/>
      <c r="AV67" s="20">
        <v>8</v>
      </c>
      <c r="AW67" s="25">
        <v>288.72881311880525</v>
      </c>
      <c r="AX67" s="25">
        <v>12.030367213283553</v>
      </c>
      <c r="AY67" s="20"/>
      <c r="AZ67" s="25"/>
      <c r="BA67" s="25"/>
      <c r="BB67" s="20"/>
      <c r="BC67" s="25"/>
      <c r="BD67" s="25"/>
      <c r="BE67" s="20"/>
      <c r="BF67" s="25"/>
      <c r="BG67" s="25"/>
      <c r="BH67" s="20"/>
      <c r="BI67" s="25"/>
      <c r="BJ67" s="25"/>
      <c r="BK67" s="20"/>
      <c r="BL67" s="25"/>
      <c r="BM67" s="25"/>
      <c r="BN67" s="20"/>
      <c r="BO67" s="25"/>
      <c r="BP67" s="25"/>
      <c r="BQ67" s="20"/>
      <c r="BR67" s="25"/>
      <c r="BS67" s="25"/>
      <c r="BT67" s="20"/>
      <c r="BU67" s="25"/>
      <c r="BV67" s="25"/>
      <c r="BW67" s="20"/>
      <c r="BX67" s="25"/>
      <c r="BY67" s="25"/>
      <c r="BZ67" s="20"/>
      <c r="CA67" s="25"/>
      <c r="CB67" s="25"/>
      <c r="CC67" s="20">
        <v>9</v>
      </c>
      <c r="CD67" s="25">
        <v>2520.36</v>
      </c>
      <c r="CE67" s="25">
        <v>23.336666666666666</v>
      </c>
      <c r="CF67" s="20">
        <v>9</v>
      </c>
      <c r="CG67" s="25">
        <v>69.03</v>
      </c>
      <c r="CH67" s="25">
        <v>0.63916666666666666</v>
      </c>
      <c r="CI67" s="20"/>
      <c r="CJ67" s="25"/>
      <c r="CK67" s="25"/>
      <c r="CL67" s="20"/>
      <c r="CM67" s="25"/>
      <c r="CN67" s="25"/>
      <c r="CO67" s="20">
        <v>9</v>
      </c>
      <c r="CP67" s="25">
        <v>220.95000000000002</v>
      </c>
      <c r="CQ67" s="25">
        <v>2.0458333333333334</v>
      </c>
      <c r="CR67" s="20">
        <v>9</v>
      </c>
      <c r="CS67" s="25">
        <v>814.77</v>
      </c>
      <c r="CT67" s="25">
        <v>7.5441666666666656</v>
      </c>
      <c r="CU67" s="20">
        <v>9</v>
      </c>
      <c r="CV67" s="25">
        <v>449.91</v>
      </c>
      <c r="CW67" s="25">
        <v>4.1658333333333335</v>
      </c>
      <c r="CX67" s="20"/>
      <c r="CY67" s="25"/>
      <c r="CZ67" s="25"/>
      <c r="DA67" s="20"/>
      <c r="DB67" s="25"/>
      <c r="DC67" s="25"/>
      <c r="DD67" s="20">
        <v>9</v>
      </c>
      <c r="DE67" s="25">
        <v>199.79999999999998</v>
      </c>
      <c r="DF67" s="25">
        <v>1.8499999999999999</v>
      </c>
      <c r="DG67" s="20"/>
      <c r="DH67" s="25"/>
      <c r="DI67" s="25"/>
      <c r="DJ67" s="20">
        <v>9</v>
      </c>
      <c r="DK67" s="25">
        <v>3160.35</v>
      </c>
      <c r="DL67" s="25">
        <v>29.262500000000003</v>
      </c>
      <c r="DM67" s="20"/>
      <c r="DN67" s="25"/>
      <c r="DO67" s="25"/>
      <c r="DP67" s="20"/>
      <c r="DQ67" s="25"/>
      <c r="DR67" s="25"/>
      <c r="DS67" s="20">
        <v>18</v>
      </c>
      <c r="DT67" s="25">
        <v>363.06000000000006</v>
      </c>
      <c r="DU67" s="25">
        <v>3.3616666666666672</v>
      </c>
      <c r="DV67" s="20"/>
      <c r="DW67" s="25"/>
      <c r="DX67" s="25"/>
      <c r="DY67" s="20"/>
      <c r="DZ67" s="25"/>
      <c r="EA67" s="25"/>
      <c r="EB67" s="20"/>
      <c r="EC67" s="25"/>
      <c r="ED67" s="25"/>
      <c r="EE67" s="20">
        <v>9</v>
      </c>
      <c r="EF67" s="25">
        <v>147.41999999999999</v>
      </c>
      <c r="EG67" s="25">
        <v>1.3649999999999998</v>
      </c>
      <c r="EH67" s="20">
        <v>36</v>
      </c>
      <c r="EI67" s="25">
        <v>1152</v>
      </c>
      <c r="EJ67" s="25">
        <v>10.666666666666666</v>
      </c>
      <c r="EK67" s="20"/>
      <c r="EL67" s="25"/>
      <c r="EM67" s="25"/>
      <c r="EN67" s="20"/>
      <c r="EO67" s="25"/>
      <c r="EP67" s="25"/>
      <c r="EQ67" s="20"/>
      <c r="ER67" s="25"/>
      <c r="ES67" s="25"/>
      <c r="ET67" s="20"/>
      <c r="EU67" s="25"/>
      <c r="EV67" s="25"/>
      <c r="EW67" s="20"/>
      <c r="EX67" s="25"/>
      <c r="EY67" s="25"/>
      <c r="EZ67" s="20"/>
      <c r="FA67" s="25"/>
      <c r="FB67" s="25"/>
      <c r="FC67" s="20">
        <v>36</v>
      </c>
      <c r="FD67" s="25">
        <v>185.04</v>
      </c>
      <c r="FE67" s="25">
        <v>1.7133333333333334</v>
      </c>
      <c r="FF67" s="20">
        <v>9</v>
      </c>
      <c r="FG67" s="25">
        <v>539.1</v>
      </c>
      <c r="FH67" s="25">
        <v>4.9916666666666671</v>
      </c>
      <c r="FI67" s="20">
        <v>9</v>
      </c>
      <c r="FJ67" s="25">
        <v>298.53000000000003</v>
      </c>
      <c r="FK67" s="25">
        <v>2.7641666666666667</v>
      </c>
      <c r="FL67" s="20">
        <v>9</v>
      </c>
      <c r="FM67" s="25">
        <v>2941.0199999999995</v>
      </c>
      <c r="FN67" s="25">
        <v>27.231666666666662</v>
      </c>
      <c r="FO67" s="20">
        <v>9</v>
      </c>
      <c r="FP67" s="25">
        <v>162.63</v>
      </c>
      <c r="FQ67" s="25">
        <v>1.5058333333333334</v>
      </c>
      <c r="FR67" s="20"/>
      <c r="FS67" s="25"/>
      <c r="FT67" s="25"/>
      <c r="FU67" s="20"/>
      <c r="FV67" s="25"/>
      <c r="FW67" s="25"/>
      <c r="FX67" s="20"/>
      <c r="FY67" s="25"/>
      <c r="FZ67" s="25"/>
      <c r="GA67" s="20"/>
      <c r="GB67" s="25"/>
      <c r="GC67" s="25"/>
      <c r="GD67" s="20"/>
      <c r="GE67" s="25"/>
      <c r="GF67" s="25"/>
      <c r="GG67" s="20"/>
      <c r="GH67" s="25"/>
      <c r="GI67" s="25"/>
      <c r="GJ67" s="20">
        <v>108</v>
      </c>
      <c r="GK67" s="25">
        <v>293.76</v>
      </c>
      <c r="GL67" s="25">
        <v>2.72</v>
      </c>
      <c r="GM67" s="20">
        <v>9</v>
      </c>
      <c r="GN67" s="25">
        <v>386.64</v>
      </c>
      <c r="GO67" s="25">
        <v>3.58</v>
      </c>
      <c r="GP67" s="20">
        <v>36</v>
      </c>
      <c r="GQ67" s="25">
        <v>91.8</v>
      </c>
      <c r="GR67" s="25">
        <v>0.85</v>
      </c>
      <c r="GS67" s="20">
        <v>54</v>
      </c>
      <c r="GT67" s="25">
        <v>1616.7600000000002</v>
      </c>
      <c r="GU67" s="25">
        <v>14.970000000000002</v>
      </c>
      <c r="GV67" s="20">
        <v>9</v>
      </c>
      <c r="GW67" s="25">
        <v>100.17</v>
      </c>
      <c r="GX67" s="25">
        <v>0.92749999999999999</v>
      </c>
      <c r="GY67" s="20"/>
      <c r="GZ67" s="25"/>
      <c r="HA67" s="25"/>
      <c r="HB67" s="20"/>
      <c r="HC67" s="25"/>
      <c r="HD67" s="25"/>
      <c r="HE67" s="20"/>
      <c r="HF67" s="25"/>
      <c r="HG67" s="25"/>
      <c r="HH67" s="20"/>
      <c r="HI67" s="25"/>
      <c r="HJ67" s="25"/>
      <c r="HK67" s="20"/>
      <c r="HL67" s="25"/>
      <c r="HM67" s="25"/>
      <c r="HN67" s="20"/>
      <c r="HO67" s="25"/>
      <c r="HP67" s="25"/>
      <c r="HQ67" s="20">
        <v>448</v>
      </c>
      <c r="HR67" s="25">
        <v>16940.197455754918</v>
      </c>
      <c r="HS67" s="25">
        <v>196.62072732312177</v>
      </c>
    </row>
    <row r="68" spans="1:227" ht="14.25">
      <c r="A68" s="169" t="s">
        <v>17</v>
      </c>
      <c r="B68" s="278" t="s">
        <v>1814</v>
      </c>
      <c r="C68" s="171"/>
      <c r="D68" s="311">
        <v>49.99</v>
      </c>
      <c r="E68" s="170" cm="1">
        <f t="array" ref="E68">tabUniformes[[#This Row],[Valor Inicial]]*IFERROR(PRODUCT(1+_xlfn._xlws.FILTER(tabIndices[PERCENTUAL],tabIndices[DATA DA PUBLICAÇÃO]&gt;tabUniformes[[#This Row],[DATA PUBLICAÇÃO]])),1)</f>
        <v>49.99</v>
      </c>
      <c r="F68" s="172">
        <v>2</v>
      </c>
      <c r="G68" s="172" t="s">
        <v>47</v>
      </c>
      <c r="H68" s="172">
        <v>22</v>
      </c>
      <c r="I68" s="173">
        <f>tabUniformes[[#This Row],[Valor Reajustado]]*tabUniformes[[#This Row],[Qtde Anual de Peças]]*tabUniformes[[#This Row],[Qtde. funcionários]]</f>
        <v>2199.56</v>
      </c>
      <c r="J68" s="172">
        <f>tabUniformes[[#This Row],[Qtde Anual de Peças]]*tabUniformes[[#This Row],[Qtde. funcionários]]</f>
        <v>44</v>
      </c>
      <c r="K68" s="170">
        <f>IFERROR(tabUniformes[[#This Row],[Total]]/12/tabUniformes[[#This Row],[Qtde. funcionários]],0)</f>
        <v>8.3316666666666652</v>
      </c>
      <c r="M68" t="s">
        <v>79</v>
      </c>
      <c r="N68"/>
      <c r="O68" s="20">
        <v>617</v>
      </c>
      <c r="P68" s="25">
        <v>48121.468853134196</v>
      </c>
      <c r="Q68" s="25">
        <v>109.2758355206589</v>
      </c>
      <c r="R68" s="20">
        <v>2489</v>
      </c>
      <c r="S68" s="25">
        <v>106123.31198834334</v>
      </c>
      <c r="T68" s="25">
        <v>256.10228306345709</v>
      </c>
      <c r="U68" s="20">
        <v>232</v>
      </c>
      <c r="V68" s="25">
        <v>9768.6581771862438</v>
      </c>
      <c r="W68" s="25">
        <v>98.247998908482344</v>
      </c>
      <c r="X68" s="20">
        <v>2380</v>
      </c>
      <c r="Y68" s="25">
        <v>134540.90150989828</v>
      </c>
      <c r="Z68" s="25">
        <v>718.29378082842004</v>
      </c>
      <c r="AA68" s="20">
        <v>1000</v>
      </c>
      <c r="AB68" s="25">
        <v>30075.91803320888</v>
      </c>
      <c r="AC68" s="25">
        <v>260.65795628781035</v>
      </c>
      <c r="AD68" s="20">
        <v>3168</v>
      </c>
      <c r="AE68" s="25">
        <v>139214.69175912466</v>
      </c>
      <c r="AF68" s="25">
        <v>705.81222189367975</v>
      </c>
      <c r="AG68" s="20">
        <v>664</v>
      </c>
      <c r="AH68" s="25">
        <v>45257.500066005909</v>
      </c>
      <c r="AI68" s="25">
        <v>237.45125171032299</v>
      </c>
      <c r="AJ68" s="20">
        <v>20</v>
      </c>
      <c r="AK68" s="25">
        <v>962.42937706268424</v>
      </c>
      <c r="AL68" s="25">
        <v>12.030367213283554</v>
      </c>
      <c r="AM68" s="20">
        <v>4</v>
      </c>
      <c r="AN68" s="25">
        <v>312.78954754537239</v>
      </c>
      <c r="AO68" s="25">
        <v>6.516448907195258</v>
      </c>
      <c r="AP68" s="20">
        <v>20</v>
      </c>
      <c r="AQ68" s="25">
        <v>481.21468853134212</v>
      </c>
      <c r="AR68" s="25">
        <v>6.0151836066417772</v>
      </c>
      <c r="AS68" s="20">
        <v>346</v>
      </c>
      <c r="AT68" s="25">
        <v>8741.2648171718301</v>
      </c>
      <c r="AU68" s="25">
        <v>16.842514098596975</v>
      </c>
      <c r="AV68" s="20">
        <v>324</v>
      </c>
      <c r="AW68" s="25">
        <v>11693.516931311613</v>
      </c>
      <c r="AX68" s="25">
        <v>114.28848852619376</v>
      </c>
      <c r="AY68" s="20">
        <v>34</v>
      </c>
      <c r="AZ68" s="25">
        <v>1336.7330491955197</v>
      </c>
      <c r="BA68" s="25">
        <v>11.306850273308443</v>
      </c>
      <c r="BB68" s="20">
        <v>18</v>
      </c>
      <c r="BC68" s="25">
        <v>1299.2796590346236</v>
      </c>
      <c r="BD68" s="25">
        <v>36.091101639850656</v>
      </c>
      <c r="BE68" s="20">
        <v>4411</v>
      </c>
      <c r="BF68" s="25">
        <v>213535.7623898467</v>
      </c>
      <c r="BG68" s="25">
        <v>489.92419891363068</v>
      </c>
      <c r="BH68" s="20">
        <v>1233</v>
      </c>
      <c r="BI68" s="25">
        <v>88832.231502885756</v>
      </c>
      <c r="BJ68" s="25">
        <v>172.43526339039755</v>
      </c>
      <c r="BK68" s="20">
        <v>16</v>
      </c>
      <c r="BL68" s="25">
        <v>2915.68</v>
      </c>
      <c r="BM68" s="25">
        <v>30.371666666666666</v>
      </c>
      <c r="BN68" s="20">
        <v>12240</v>
      </c>
      <c r="BO68" s="25">
        <v>2815.2</v>
      </c>
      <c r="BP68" s="25">
        <v>20.7</v>
      </c>
      <c r="BQ68" s="20">
        <v>816</v>
      </c>
      <c r="BR68" s="25">
        <v>1811.52</v>
      </c>
      <c r="BS68" s="25">
        <v>13.32</v>
      </c>
      <c r="BT68" s="20">
        <v>816</v>
      </c>
      <c r="BU68" s="25">
        <v>1134.24</v>
      </c>
      <c r="BV68" s="25">
        <v>8.34</v>
      </c>
      <c r="BW68" s="20">
        <v>23800</v>
      </c>
      <c r="BX68" s="25">
        <v>6506.92</v>
      </c>
      <c r="BY68" s="25">
        <v>47.844999999999999</v>
      </c>
      <c r="BZ68" s="20">
        <v>4080</v>
      </c>
      <c r="CA68" s="25">
        <v>1224</v>
      </c>
      <c r="CB68" s="25">
        <v>9</v>
      </c>
      <c r="CC68" s="20">
        <v>738</v>
      </c>
      <c r="CD68" s="25">
        <v>206669.52000000005</v>
      </c>
      <c r="CE68" s="25">
        <v>1610.2300000000002</v>
      </c>
      <c r="CF68" s="20">
        <v>637</v>
      </c>
      <c r="CG68" s="25">
        <v>4885.7899999999991</v>
      </c>
      <c r="CH68" s="25">
        <v>35.793333333333329</v>
      </c>
      <c r="CI68" s="20">
        <v>884</v>
      </c>
      <c r="CJ68" s="25">
        <v>22055.799999999996</v>
      </c>
      <c r="CK68" s="25">
        <v>162.17499999999998</v>
      </c>
      <c r="CL68" s="20">
        <v>884</v>
      </c>
      <c r="CM68" s="25">
        <v>804.44</v>
      </c>
      <c r="CN68" s="25">
        <v>5.915</v>
      </c>
      <c r="CO68" s="20">
        <v>75</v>
      </c>
      <c r="CP68" s="25">
        <v>1841.25</v>
      </c>
      <c r="CQ68" s="25">
        <v>18.412500000000001</v>
      </c>
      <c r="CR68" s="20">
        <v>106</v>
      </c>
      <c r="CS68" s="25">
        <v>9596.1800000000021</v>
      </c>
      <c r="CT68" s="25">
        <v>75.441666666666677</v>
      </c>
      <c r="CU68" s="20">
        <v>106</v>
      </c>
      <c r="CV68" s="25">
        <v>5298.94</v>
      </c>
      <c r="CW68" s="25">
        <v>49.99</v>
      </c>
      <c r="CX68" s="20">
        <v>160</v>
      </c>
      <c r="CY68" s="25">
        <v>28217.600000000002</v>
      </c>
      <c r="CZ68" s="25">
        <v>117.57333333333332</v>
      </c>
      <c r="DA68" s="20">
        <v>160</v>
      </c>
      <c r="DB68" s="25">
        <v>27678.400000000001</v>
      </c>
      <c r="DC68" s="25">
        <v>115.32666666666668</v>
      </c>
      <c r="DD68" s="20">
        <v>140</v>
      </c>
      <c r="DE68" s="25">
        <v>3108</v>
      </c>
      <c r="DF68" s="25">
        <v>24.050000000000004</v>
      </c>
      <c r="DG68" s="20">
        <v>75</v>
      </c>
      <c r="DH68" s="25">
        <v>4815.0000000000009</v>
      </c>
      <c r="DI68" s="25">
        <v>32.1</v>
      </c>
      <c r="DJ68" s="20">
        <v>140</v>
      </c>
      <c r="DK68" s="25">
        <v>49161.000000000007</v>
      </c>
      <c r="DL68" s="25">
        <v>380.41249999999991</v>
      </c>
      <c r="DM68" s="20">
        <v>690</v>
      </c>
      <c r="DN68" s="25">
        <v>6692.9999999999991</v>
      </c>
      <c r="DO68" s="25">
        <v>53.350000000000009</v>
      </c>
      <c r="DP68" s="20">
        <v>40</v>
      </c>
      <c r="DQ68" s="25">
        <v>13953.599999999999</v>
      </c>
      <c r="DR68" s="25">
        <v>58.14</v>
      </c>
      <c r="DS68" s="20">
        <v>324</v>
      </c>
      <c r="DT68" s="25">
        <v>6535.0800000000017</v>
      </c>
      <c r="DU68" s="25">
        <v>50.424999999999997</v>
      </c>
      <c r="DV68" s="20">
        <v>264</v>
      </c>
      <c r="DW68" s="25">
        <v>9316.5600000000013</v>
      </c>
      <c r="DX68" s="25">
        <v>35.290000000000006</v>
      </c>
      <c r="DY68" s="20">
        <v>390</v>
      </c>
      <c r="DZ68" s="25">
        <v>2835.2999999999997</v>
      </c>
      <c r="EA68" s="25">
        <v>14.539999999999997</v>
      </c>
      <c r="EB68" s="20">
        <v>896</v>
      </c>
      <c r="EC68" s="25">
        <v>5483.5199999999995</v>
      </c>
      <c r="ED68" s="25">
        <v>35.699999999999996</v>
      </c>
      <c r="EE68" s="20">
        <v>128</v>
      </c>
      <c r="EF68" s="25">
        <v>2096.64</v>
      </c>
      <c r="EG68" s="25">
        <v>15.015000000000001</v>
      </c>
      <c r="EH68" s="20">
        <v>328</v>
      </c>
      <c r="EI68" s="25">
        <v>10496</v>
      </c>
      <c r="EJ68" s="25">
        <v>80</v>
      </c>
      <c r="EK68" s="20">
        <v>3750</v>
      </c>
      <c r="EL68" s="25">
        <v>54075</v>
      </c>
      <c r="EM68" s="25">
        <v>360.5</v>
      </c>
      <c r="EN68" s="20">
        <v>30</v>
      </c>
      <c r="EO68" s="25">
        <v>595.79999999999995</v>
      </c>
      <c r="EP68" s="25">
        <v>3.3099999999999996</v>
      </c>
      <c r="EQ68" s="20">
        <v>75</v>
      </c>
      <c r="ER68" s="25">
        <v>25833.749999999996</v>
      </c>
      <c r="ES68" s="25">
        <v>172.22499999999997</v>
      </c>
      <c r="ET68" s="20">
        <v>2152</v>
      </c>
      <c r="EU68" s="25">
        <v>5380</v>
      </c>
      <c r="EV68" s="25">
        <v>38.333333333333336</v>
      </c>
      <c r="EW68" s="20">
        <v>1708</v>
      </c>
      <c r="EX68" s="25">
        <v>41777.68</v>
      </c>
      <c r="EY68" s="25">
        <v>277.21333333333337</v>
      </c>
      <c r="EZ68" s="20">
        <v>75</v>
      </c>
      <c r="FA68" s="25">
        <v>2719.5</v>
      </c>
      <c r="FB68" s="25">
        <v>18.13</v>
      </c>
      <c r="FC68" s="20">
        <v>1296</v>
      </c>
      <c r="FD68" s="25">
        <v>6661.44</v>
      </c>
      <c r="FE68" s="25">
        <v>40.263333333333328</v>
      </c>
      <c r="FF68" s="20">
        <v>195</v>
      </c>
      <c r="FG68" s="25">
        <v>11680.499999999998</v>
      </c>
      <c r="FH68" s="25">
        <v>79.866666666666674</v>
      </c>
      <c r="FI68" s="20">
        <v>117</v>
      </c>
      <c r="FJ68" s="25">
        <v>3880.8900000000003</v>
      </c>
      <c r="FK68" s="25">
        <v>27.641666666666673</v>
      </c>
      <c r="FL68" s="20">
        <v>176</v>
      </c>
      <c r="FM68" s="25">
        <v>57513.279999999984</v>
      </c>
      <c r="FN68" s="25">
        <v>544.63333333333344</v>
      </c>
      <c r="FO68" s="20">
        <v>51</v>
      </c>
      <c r="FP68" s="25">
        <v>921.56999999999994</v>
      </c>
      <c r="FQ68" s="25">
        <v>7.5291666666666668</v>
      </c>
      <c r="FR68" s="20">
        <v>20</v>
      </c>
      <c r="FS68" s="25">
        <v>1711.3999999999999</v>
      </c>
      <c r="FT68" s="25">
        <v>7.1308333333333325</v>
      </c>
      <c r="FU68" s="20">
        <v>210</v>
      </c>
      <c r="FV68" s="25">
        <v>15158.262688737275</v>
      </c>
      <c r="FW68" s="25">
        <v>12.030367213283553</v>
      </c>
      <c r="FX68" s="20">
        <v>52</v>
      </c>
      <c r="FY68" s="25">
        <v>691.07999999999993</v>
      </c>
      <c r="FZ68" s="25">
        <v>4.43</v>
      </c>
      <c r="GA68" s="20">
        <v>52</v>
      </c>
      <c r="GB68" s="25">
        <v>16.64</v>
      </c>
      <c r="GC68" s="25">
        <v>0.10666666666666667</v>
      </c>
      <c r="GD68" s="20">
        <v>52</v>
      </c>
      <c r="GE68" s="25">
        <v>803.4</v>
      </c>
      <c r="GF68" s="25">
        <v>5.15</v>
      </c>
      <c r="GG68" s="20">
        <v>36</v>
      </c>
      <c r="GH68" s="25">
        <v>1185.8399999999999</v>
      </c>
      <c r="GI68" s="25">
        <v>5.4899999999999993</v>
      </c>
      <c r="GJ68" s="20">
        <v>612</v>
      </c>
      <c r="GK68" s="25">
        <v>1664.64</v>
      </c>
      <c r="GL68" s="25">
        <v>16.32</v>
      </c>
      <c r="GM68" s="20">
        <v>31</v>
      </c>
      <c r="GN68" s="25">
        <v>1331.76</v>
      </c>
      <c r="GO68" s="25">
        <v>14.32</v>
      </c>
      <c r="GP68" s="20">
        <v>164</v>
      </c>
      <c r="GQ68" s="25">
        <v>418.2</v>
      </c>
      <c r="GR68" s="25">
        <v>4.25</v>
      </c>
      <c r="GS68" s="20">
        <v>306</v>
      </c>
      <c r="GT68" s="25">
        <v>9161.64</v>
      </c>
      <c r="GU68" s="25">
        <v>89.820000000000007</v>
      </c>
      <c r="GV68" s="20">
        <v>31</v>
      </c>
      <c r="GW68" s="25">
        <v>345.03000000000003</v>
      </c>
      <c r="GX68" s="25">
        <v>3.71</v>
      </c>
      <c r="GY68" s="20">
        <v>2</v>
      </c>
      <c r="GZ68" s="25">
        <v>47.6</v>
      </c>
      <c r="HA68" s="25">
        <v>3.9666666666666668</v>
      </c>
      <c r="HB68" s="20">
        <v>24</v>
      </c>
      <c r="HC68" s="25">
        <v>131.76</v>
      </c>
      <c r="HD68" s="25">
        <v>10.979999999999999</v>
      </c>
      <c r="HE68" s="20">
        <v>2</v>
      </c>
      <c r="HF68" s="25">
        <v>63.4</v>
      </c>
      <c r="HG68" s="25">
        <v>5.2833333333333332</v>
      </c>
      <c r="HH68" s="20">
        <v>2</v>
      </c>
      <c r="HI68" s="25">
        <v>66.900000000000006</v>
      </c>
      <c r="HJ68" s="25">
        <v>5.5750000000000002</v>
      </c>
      <c r="HK68" s="20">
        <v>366</v>
      </c>
      <c r="HL68" s="25">
        <v>33393.840000000004</v>
      </c>
      <c r="HM68" s="25">
        <v>76.033333333333331</v>
      </c>
      <c r="HN68" s="20">
        <v>102</v>
      </c>
      <c r="HO68" s="25">
        <v>32735.88</v>
      </c>
      <c r="HP68" s="25">
        <v>213.95999999999998</v>
      </c>
      <c r="HQ68" s="20">
        <v>77582</v>
      </c>
      <c r="HR68" s="25">
        <v>1588213.535038224</v>
      </c>
      <c r="HS68" s="25">
        <v>8398.9504453285426</v>
      </c>
    </row>
    <row r="69" spans="1:227" ht="14.25">
      <c r="A69" s="169" t="s">
        <v>1857</v>
      </c>
      <c r="B69" s="278" t="s">
        <v>1815</v>
      </c>
      <c r="C69" s="171"/>
      <c r="D69" s="311">
        <v>176.36</v>
      </c>
      <c r="E69" s="170" cm="1">
        <f t="array" ref="E69">tabUniformes[[#This Row],[Valor Inicial]]*IFERROR(PRODUCT(1+_xlfn._xlws.FILTER(tabIndices[PERCENTUAL],tabIndices[DATA DA PUBLICAÇÃO]&gt;tabUniformes[[#This Row],[DATA PUBLICAÇÃO]])),1)</f>
        <v>176.36</v>
      </c>
      <c r="F69" s="172">
        <v>4</v>
      </c>
      <c r="G69" s="172" t="s">
        <v>47</v>
      </c>
      <c r="H69" s="172">
        <v>22</v>
      </c>
      <c r="I69" s="173">
        <f>tabUniformes[[#This Row],[Valor Reajustado]]*tabUniformes[[#This Row],[Qtde Anual de Peças]]*tabUniformes[[#This Row],[Qtde. funcionários]]</f>
        <v>15519.68</v>
      </c>
      <c r="J69" s="172">
        <f>tabUniformes[[#This Row],[Qtde Anual de Peças]]*tabUniformes[[#This Row],[Qtde. funcionários]]</f>
        <v>88</v>
      </c>
      <c r="K69" s="170">
        <f>IFERROR(tabUniformes[[#This Row],[Total]]/12/tabUniformes[[#This Row],[Qtde. funcionários]],0)</f>
        <v>58.786666666666662</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row>
    <row r="70" spans="1:227" ht="14.25">
      <c r="A70" s="169" t="s">
        <v>17</v>
      </c>
      <c r="B70" s="278" t="s">
        <v>1808</v>
      </c>
      <c r="C70" s="171"/>
      <c r="D70" s="311">
        <v>280.04000000000002</v>
      </c>
      <c r="E70" s="170" cm="1">
        <f t="array" ref="E70">tabUniformes[[#This Row],[Valor Inicial]]*IFERROR(PRODUCT(1+_xlfn._xlws.FILTER(tabIndices[PERCENTUAL],tabIndices[DATA DA PUBLICAÇÃO]&gt;tabUniformes[[#This Row],[DATA PUBLICAÇÃO]])),1)</f>
        <v>280.04000000000002</v>
      </c>
      <c r="F70" s="172">
        <v>2</v>
      </c>
      <c r="G70" s="172" t="s">
        <v>47</v>
      </c>
      <c r="H70" s="172">
        <v>22</v>
      </c>
      <c r="I70" s="173">
        <f>tabUniformes[[#This Row],[Valor Reajustado]]*tabUniformes[[#This Row],[Qtde Anual de Peças]]*tabUniformes[[#This Row],[Qtde. funcionários]]</f>
        <v>12321.76</v>
      </c>
      <c r="J70" s="172">
        <f>tabUniformes[[#This Row],[Qtde Anual de Peças]]*tabUniformes[[#This Row],[Qtde. funcionários]]</f>
        <v>44</v>
      </c>
      <c r="K70" s="170">
        <f>IFERROR(tabUniformes[[#This Row],[Total]]/12/tabUniformes[[#This Row],[Qtde. funcionários]],0)</f>
        <v>46.673333333333332</v>
      </c>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row>
    <row r="71" spans="1:227">
      <c r="A71" s="169" t="s">
        <v>1856</v>
      </c>
      <c r="B71" s="278" t="s">
        <v>1816</v>
      </c>
      <c r="C71" s="171"/>
      <c r="D71" s="311">
        <v>172.99</v>
      </c>
      <c r="E71" s="170" cm="1">
        <f t="array" ref="E71">tabUniformes[[#This Row],[Valor Inicial]]*IFERROR(PRODUCT(1+_xlfn._xlws.FILTER(tabIndices[PERCENTUAL],tabIndices[DATA DA PUBLICAÇÃO]&gt;tabUniformes[[#This Row],[DATA PUBLICAÇÃO]])),1)</f>
        <v>172.99</v>
      </c>
      <c r="F71" s="172">
        <v>4</v>
      </c>
      <c r="G71" s="172" t="s">
        <v>47</v>
      </c>
      <c r="H71" s="172">
        <v>22</v>
      </c>
      <c r="I71" s="173">
        <f>tabUniformes[[#This Row],[Valor Reajustado]]*tabUniformes[[#This Row],[Qtde Anual de Peças]]*tabUniformes[[#This Row],[Qtde. funcionários]]</f>
        <v>15223.12</v>
      </c>
      <c r="J71" s="172">
        <f>tabUniformes[[#This Row],[Qtde Anual de Peças]]*tabUniformes[[#This Row],[Qtde. funcionários]]</f>
        <v>88</v>
      </c>
      <c r="K71" s="170">
        <f>IFERROR(tabUniformes[[#This Row],[Total]]/12/tabUniformes[[#This Row],[Qtde. funcionários]],0)</f>
        <v>57.663333333333341</v>
      </c>
    </row>
    <row r="72" spans="1:227">
      <c r="A72" s="169" t="s">
        <v>1860</v>
      </c>
      <c r="B72" s="278" t="s">
        <v>1817</v>
      </c>
      <c r="C72" s="171"/>
      <c r="D72" s="311">
        <v>22.2</v>
      </c>
      <c r="E72" s="170" cm="1">
        <f t="array" ref="E72">tabUniformes[[#This Row],[Valor Inicial]]*IFERROR(PRODUCT(1+_xlfn._xlws.FILTER(tabIndices[PERCENTUAL],tabIndices[DATA DA PUBLICAÇÃO]&gt;tabUniformes[[#This Row],[DATA PUBLICAÇÃO]])),1)</f>
        <v>22.2</v>
      </c>
      <c r="F72" s="172">
        <v>1</v>
      </c>
      <c r="G72" s="172" t="s">
        <v>47</v>
      </c>
      <c r="H72" s="172">
        <v>22</v>
      </c>
      <c r="I72" s="173">
        <f>tabUniformes[[#This Row],[Valor Reajustado]]*tabUniformes[[#This Row],[Qtde Anual de Peças]]*tabUniformes[[#This Row],[Qtde. funcionários]]</f>
        <v>488.4</v>
      </c>
      <c r="J72" s="172">
        <f>tabUniformes[[#This Row],[Qtde Anual de Peças]]*tabUniformes[[#This Row],[Qtde. funcionários]]</f>
        <v>22</v>
      </c>
      <c r="K72" s="170">
        <f>IFERROR(tabUniformes[[#This Row],[Total]]/12/tabUniformes[[#This Row],[Qtde. funcionários]],0)</f>
        <v>1.8499999999999999</v>
      </c>
    </row>
    <row r="73" spans="1:227">
      <c r="A73" s="169" t="s">
        <v>1861</v>
      </c>
      <c r="B73" s="278" t="s">
        <v>1818</v>
      </c>
      <c r="C73" s="171"/>
      <c r="D73" s="311">
        <v>64.2</v>
      </c>
      <c r="E73" s="170" cm="1">
        <f t="array" ref="E73">tabUniformes[[#This Row],[Valor Inicial]]*IFERROR(PRODUCT(1+_xlfn._xlws.FILTER(tabIndices[PERCENTUAL],tabIndices[DATA DA PUBLICAÇÃO]&gt;tabUniformes[[#This Row],[DATA PUBLICAÇÃO]])),1)</f>
        <v>64.2</v>
      </c>
      <c r="F73" s="172">
        <v>1</v>
      </c>
      <c r="G73" s="172" t="s">
        <v>47</v>
      </c>
      <c r="H73" s="172">
        <v>22</v>
      </c>
      <c r="I73" s="173">
        <f>tabUniformes[[#This Row],[Valor Reajustado]]*tabUniformes[[#This Row],[Qtde Anual de Peças]]*tabUniformes[[#This Row],[Qtde. funcionários]]</f>
        <v>1412.4</v>
      </c>
      <c r="J73" s="172">
        <f>tabUniformes[[#This Row],[Qtde Anual de Peças]]*tabUniformes[[#This Row],[Qtde. funcionários]]</f>
        <v>22</v>
      </c>
      <c r="K73" s="170">
        <f>IFERROR(tabUniformes[[#This Row],[Total]]/12/tabUniformes[[#This Row],[Qtde. funcionários]],0)</f>
        <v>5.3500000000000005</v>
      </c>
    </row>
    <row r="74" spans="1:227">
      <c r="A74" s="169" t="s">
        <v>1859</v>
      </c>
      <c r="B74" s="278" t="s">
        <v>1819</v>
      </c>
      <c r="C74" s="171"/>
      <c r="D74" s="311">
        <v>351.15</v>
      </c>
      <c r="E74" s="170" cm="1">
        <f t="array" ref="E74">tabUniformes[[#This Row],[Valor Inicial]]*IFERROR(PRODUCT(1+_xlfn._xlws.FILTER(tabIndices[PERCENTUAL],tabIndices[DATA DA PUBLICAÇÃO]&gt;tabUniformes[[#This Row],[DATA PUBLICAÇÃO]])),1)</f>
        <v>351.15</v>
      </c>
      <c r="F74" s="172">
        <v>1</v>
      </c>
      <c r="G74" s="172" t="s">
        <v>47</v>
      </c>
      <c r="H74" s="172">
        <v>22</v>
      </c>
      <c r="I74" s="173">
        <f>tabUniformes[[#This Row],[Valor Reajustado]]*tabUniformes[[#This Row],[Qtde Anual de Peças]]*tabUniformes[[#This Row],[Qtde. funcionários]]</f>
        <v>7725.2999999999993</v>
      </c>
      <c r="J74" s="172">
        <f>tabUniformes[[#This Row],[Qtde Anual de Peças]]*tabUniformes[[#This Row],[Qtde. funcionários]]</f>
        <v>22</v>
      </c>
      <c r="K74" s="170">
        <f>IFERROR(tabUniformes[[#This Row],[Total]]/12/tabUniformes[[#This Row],[Qtde. funcionários]],0)</f>
        <v>29.262499999999999</v>
      </c>
    </row>
    <row r="75" spans="1:227">
      <c r="A75" s="169" t="s">
        <v>1855</v>
      </c>
      <c r="B75" s="278" t="s">
        <v>1820</v>
      </c>
      <c r="C75" s="171"/>
      <c r="D75" s="311">
        <v>9.6999999999999993</v>
      </c>
      <c r="E75" s="170" cm="1">
        <f t="array" ref="E75">tabUniformes[[#This Row],[Valor Inicial]]*IFERROR(PRODUCT(1+_xlfn._xlws.FILTER(tabIndices[PERCENTUAL],tabIndices[DATA DA PUBLICAÇÃO]&gt;tabUniformes[[#This Row],[DATA PUBLICAÇÃO]])),1)</f>
        <v>9.6999999999999993</v>
      </c>
      <c r="F75" s="172">
        <v>12</v>
      </c>
      <c r="G75" s="172" t="s">
        <v>47</v>
      </c>
      <c r="H75" s="172">
        <v>22</v>
      </c>
      <c r="I75" s="173">
        <f>tabUniformes[[#This Row],[Valor Reajustado]]*tabUniformes[[#This Row],[Qtde Anual de Peças]]*tabUniformes[[#This Row],[Qtde. funcionários]]</f>
        <v>2560.7999999999997</v>
      </c>
      <c r="J75" s="172">
        <f>tabUniformes[[#This Row],[Qtde Anual de Peças]]*tabUniformes[[#This Row],[Qtde. funcionários]]</f>
        <v>264</v>
      </c>
      <c r="K75" s="170">
        <f>IFERROR(tabUniformes[[#This Row],[Total]]/12/tabUniformes[[#This Row],[Qtde. funcionários]],0)</f>
        <v>9.6999999999999993</v>
      </c>
    </row>
    <row r="76" spans="1:227">
      <c r="A76" s="169" t="s">
        <v>11</v>
      </c>
      <c r="B76" s="278" t="s">
        <v>30</v>
      </c>
      <c r="C76" s="171"/>
      <c r="D76" s="311">
        <v>94.82</v>
      </c>
      <c r="E76" s="170" cm="1">
        <f t="array" ref="E76">tabUniformes[[#This Row],[Valor Inicial]]*IFERROR(PRODUCT(1+_xlfn._xlws.FILTER(tabIndices[PERCENTUAL],tabIndices[DATA DA PUBLICAÇÃO]&gt;tabUniformes[[#This Row],[DATA PUBLICAÇÃO]])),1)</f>
        <v>94.82</v>
      </c>
      <c r="F76" s="172">
        <v>4</v>
      </c>
      <c r="G76" s="172" t="s">
        <v>47</v>
      </c>
      <c r="H76" s="172">
        <v>22</v>
      </c>
      <c r="I76" s="173">
        <v>4330.9321967820788</v>
      </c>
      <c r="J76" s="172">
        <v>80</v>
      </c>
      <c r="K76" s="170">
        <v>18.045550819925328</v>
      </c>
    </row>
    <row r="77" spans="1:227">
      <c r="A77" s="169" t="s">
        <v>1807</v>
      </c>
      <c r="B77" s="278" t="s">
        <v>1821</v>
      </c>
      <c r="C77" s="171"/>
      <c r="D77" s="311">
        <v>348.84</v>
      </c>
      <c r="E77" s="170" cm="1">
        <f t="array" ref="E77">tabUniformes[[#This Row],[Valor Inicial]]*IFERROR(PRODUCT(1+_xlfn._xlws.FILTER(tabIndices[PERCENTUAL],tabIndices[DATA DA PUBLICAÇÃO]&gt;tabUniformes[[#This Row],[DATA PUBLICAÇÃO]])),1)</f>
        <v>348.84</v>
      </c>
      <c r="F77" s="172">
        <v>1</v>
      </c>
      <c r="G77" s="172" t="s">
        <v>47</v>
      </c>
      <c r="H77" s="172">
        <v>22</v>
      </c>
      <c r="I77" s="173">
        <f>tabUniformes[[#This Row],[Valor Reajustado]]*tabUniformes[[#This Row],[Qtde Anual de Peças]]*tabUniformes[[#This Row],[Qtde. funcionários]]</f>
        <v>7674.48</v>
      </c>
      <c r="J77" s="172">
        <f>tabUniformes[[#This Row],[Qtde Anual de Peças]]*tabUniformes[[#This Row],[Qtde. funcionários]]</f>
        <v>22</v>
      </c>
      <c r="K77" s="170">
        <f>IFERROR(tabUniformes[[#This Row],[Total]]/12/tabUniformes[[#This Row],[Qtde. funcionários]],0)</f>
        <v>29.069999999999997</v>
      </c>
    </row>
    <row r="78" spans="1:227">
      <c r="A78" s="169" t="s">
        <v>1807</v>
      </c>
      <c r="B78" s="278" t="s">
        <v>1822</v>
      </c>
      <c r="C78" s="171"/>
      <c r="D78" s="311">
        <v>20.170000000000002</v>
      </c>
      <c r="E78" s="170" cm="1">
        <f t="array" ref="E78">tabUniformes[[#This Row],[Valor Inicial]]*IFERROR(PRODUCT(1+_xlfn._xlws.FILTER(tabIndices[PERCENTUAL],tabIndices[DATA DA PUBLICAÇÃO]&gt;tabUniformes[[#This Row],[DATA PUBLICAÇÃO]])),1)</f>
        <v>20.170000000000002</v>
      </c>
      <c r="F78" s="172">
        <v>4</v>
      </c>
      <c r="G78" s="172" t="s">
        <v>47</v>
      </c>
      <c r="H78" s="172">
        <v>22</v>
      </c>
      <c r="I78" s="173">
        <f>tabUniformes[[#This Row],[Valor Reajustado]]*tabUniformes[[#This Row],[Qtde Anual de Peças]]*tabUniformes[[#This Row],[Qtde. funcionários]]</f>
        <v>1774.96</v>
      </c>
      <c r="J78" s="172">
        <f>tabUniformes[[#This Row],[Qtde Anual de Peças]]*tabUniformes[[#This Row],[Qtde. funcionários]]</f>
        <v>88</v>
      </c>
      <c r="K78" s="170">
        <f>IFERROR(tabUniformes[[#This Row],[Total]]/12/tabUniformes[[#This Row],[Qtde. funcionários]],0)</f>
        <v>6.7233333333333327</v>
      </c>
    </row>
    <row r="79" spans="1:227">
      <c r="A79" s="169" t="s">
        <v>1807</v>
      </c>
      <c r="B79" s="278" t="s">
        <v>1823</v>
      </c>
      <c r="C79" s="171"/>
      <c r="D79" s="311">
        <v>35.29</v>
      </c>
      <c r="E79" s="170" cm="1">
        <f t="array" ref="E79">tabUniformes[[#This Row],[Valor Inicial]]*IFERROR(PRODUCT(1+_xlfn._xlws.FILTER(tabIndices[PERCENTUAL],tabIndices[DATA DA PUBLICAÇÃO]&gt;tabUniformes[[#This Row],[DATA PUBLICAÇÃO]])),1)</f>
        <v>35.29</v>
      </c>
      <c r="F79" s="172">
        <v>12</v>
      </c>
      <c r="G79" s="172" t="s">
        <v>47</v>
      </c>
      <c r="H79" s="172">
        <v>22</v>
      </c>
      <c r="I79" s="173">
        <f>tabUniformes[[#This Row],[Valor Reajustado]]*tabUniformes[[#This Row],[Qtde Anual de Peças]]*tabUniformes[[#This Row],[Qtde. funcionários]]</f>
        <v>9316.5600000000013</v>
      </c>
      <c r="J79" s="172">
        <f>tabUniformes[[#This Row],[Qtde Anual de Peças]]*tabUniformes[[#This Row],[Qtde. funcionários]]</f>
        <v>264</v>
      </c>
      <c r="K79" s="170">
        <f>IFERROR(tabUniformes[[#This Row],[Total]]/12/tabUniformes[[#This Row],[Qtde. funcionários]],0)</f>
        <v>35.290000000000006</v>
      </c>
    </row>
    <row r="80" spans="1:227">
      <c r="A80" s="169" t="s">
        <v>1807</v>
      </c>
      <c r="B80" s="278" t="s">
        <v>1824</v>
      </c>
      <c r="C80" s="171"/>
      <c r="D80" s="311">
        <v>7.27</v>
      </c>
      <c r="E80" s="170" cm="1">
        <f t="array" ref="E80">tabUniformes[[#This Row],[Valor Inicial]]*IFERROR(PRODUCT(1+_xlfn._xlws.FILTER(tabIndices[PERCENTUAL],tabIndices[DATA DA PUBLICAÇÃO]&gt;tabUniformes[[#This Row],[DATA PUBLICAÇÃO]])),1)</f>
        <v>7.27</v>
      </c>
      <c r="F80" s="172">
        <v>2</v>
      </c>
      <c r="G80" s="172" t="s">
        <v>47</v>
      </c>
      <c r="H80" s="172">
        <v>22</v>
      </c>
      <c r="I80" s="173">
        <f>tabUniformes[[#This Row],[Valor Reajustado]]*tabUniformes[[#This Row],[Qtde Anual de Peças]]*tabUniformes[[#This Row],[Qtde. funcionários]]</f>
        <v>319.88</v>
      </c>
      <c r="J80" s="172">
        <f>tabUniformes[[#This Row],[Qtde Anual de Peças]]*tabUniformes[[#This Row],[Qtde. funcionários]]</f>
        <v>44</v>
      </c>
      <c r="K80" s="170">
        <f>IFERROR(tabUniformes[[#This Row],[Total]]/12/tabUniformes[[#This Row],[Qtde. funcionários]],0)</f>
        <v>1.2116666666666667</v>
      </c>
    </row>
    <row r="81" spans="1:11">
      <c r="A81" s="169" t="s">
        <v>1807</v>
      </c>
      <c r="B81" s="278" t="s">
        <v>1825</v>
      </c>
      <c r="C81" s="171"/>
      <c r="D81" s="311">
        <v>6.12</v>
      </c>
      <c r="E81" s="170" cm="1">
        <f t="array" ref="E81">tabUniformes[[#This Row],[Valor Inicial]]*IFERROR(PRODUCT(1+_xlfn._xlws.FILTER(tabIndices[PERCENTUAL],tabIndices[DATA DA PUBLICAÇÃO]&gt;tabUniformes[[#This Row],[DATA PUBLICAÇÃO]])),1)</f>
        <v>6.12</v>
      </c>
      <c r="F81" s="172">
        <v>12</v>
      </c>
      <c r="G81" s="172" t="s">
        <v>47</v>
      </c>
      <c r="H81" s="172">
        <v>22</v>
      </c>
      <c r="I81" s="173">
        <f>tabUniformes[[#This Row],[Valor Reajustado]]*tabUniformes[[#This Row],[Qtde Anual de Peças]]*tabUniformes[[#This Row],[Qtde. funcionários]]</f>
        <v>1615.6799999999998</v>
      </c>
      <c r="J81" s="172">
        <f>tabUniformes[[#This Row],[Qtde Anual de Peças]]*tabUniformes[[#This Row],[Qtde. funcionários]]</f>
        <v>264</v>
      </c>
      <c r="K81" s="170">
        <f>IFERROR(tabUniformes[[#This Row],[Total]]/12/tabUniformes[[#This Row],[Qtde. funcionários]],0)</f>
        <v>6.1199999999999992</v>
      </c>
    </row>
    <row r="82" spans="1:11">
      <c r="A82" s="169" t="s">
        <v>1807</v>
      </c>
      <c r="B82" s="278" t="s">
        <v>1826</v>
      </c>
      <c r="C82" s="171"/>
      <c r="D82" s="311">
        <v>16.38</v>
      </c>
      <c r="E82" s="170" cm="1">
        <f t="array" ref="E82">tabUniformes[[#This Row],[Valor Inicial]]*IFERROR(PRODUCT(1+_xlfn._xlws.FILTER(tabIndices[PERCENTUAL],tabIndices[DATA DA PUBLICAÇÃO]&gt;tabUniformes[[#This Row],[DATA PUBLICAÇÃO]])),1)</f>
        <v>16.38</v>
      </c>
      <c r="F82" s="172">
        <v>2</v>
      </c>
      <c r="G82" s="172" t="s">
        <v>47</v>
      </c>
      <c r="H82" s="172">
        <v>22</v>
      </c>
      <c r="I82" s="173">
        <f>tabUniformes[[#This Row],[Valor Reajustado]]*tabUniformes[[#This Row],[Qtde Anual de Peças]]*tabUniformes[[#This Row],[Qtde. funcionários]]</f>
        <v>720.71999999999991</v>
      </c>
      <c r="J82" s="172">
        <f>tabUniformes[[#This Row],[Qtde Anual de Peças]]*tabUniformes[[#This Row],[Qtde. funcionários]]</f>
        <v>44</v>
      </c>
      <c r="K82" s="170">
        <f>IFERROR(tabUniformes[[#This Row],[Total]]/12/tabUniformes[[#This Row],[Qtde. funcionários]],0)</f>
        <v>2.73</v>
      </c>
    </row>
    <row r="83" spans="1:11">
      <c r="A83" s="169" t="s">
        <v>1807</v>
      </c>
      <c r="B83" s="278" t="s">
        <v>1827</v>
      </c>
      <c r="C83" s="171"/>
      <c r="D83" s="311">
        <v>32</v>
      </c>
      <c r="E83" s="170" cm="1">
        <f t="array" ref="E83">tabUniformes[[#This Row],[Valor Inicial]]*IFERROR(PRODUCT(1+_xlfn._xlws.FILTER(tabIndices[PERCENTUAL],tabIndices[DATA DA PUBLICAÇÃO]&gt;tabUniformes[[#This Row],[DATA PUBLICAÇÃO]])),1)</f>
        <v>32</v>
      </c>
      <c r="F83" s="172">
        <v>6</v>
      </c>
      <c r="G83" s="172" t="s">
        <v>47</v>
      </c>
      <c r="H83" s="172">
        <v>22</v>
      </c>
      <c r="I83" s="173">
        <f>tabUniformes[[#This Row],[Valor Reajustado]]*tabUniformes[[#This Row],[Qtde Anual de Peças]]*tabUniformes[[#This Row],[Qtde. funcionários]]</f>
        <v>4224</v>
      </c>
      <c r="J83" s="172">
        <f>tabUniformes[[#This Row],[Qtde Anual de Peças]]*tabUniformes[[#This Row],[Qtde. funcionários]]</f>
        <v>132</v>
      </c>
      <c r="K83" s="170">
        <f>IFERROR(tabUniformes[[#This Row],[Total]]/12/tabUniformes[[#This Row],[Qtde. funcionários]],0)</f>
        <v>16</v>
      </c>
    </row>
    <row r="84" spans="1:11">
      <c r="A84" s="169" t="s">
        <v>1862</v>
      </c>
      <c r="B84" s="278" t="s">
        <v>1828</v>
      </c>
      <c r="C84" s="171"/>
      <c r="D84" s="311">
        <v>14.42</v>
      </c>
      <c r="E84" s="170" cm="1">
        <f t="array" ref="E84">tabUniformes[[#This Row],[Valor Inicial]]*IFERROR(PRODUCT(1+_xlfn._xlws.FILTER(tabIndices[PERCENTUAL],tabIndices[DATA DA PUBLICAÇÃO]&gt;tabUniformes[[#This Row],[DATA PUBLICAÇÃO]])),1)</f>
        <v>14.42</v>
      </c>
      <c r="F84" s="172">
        <v>50</v>
      </c>
      <c r="G84" s="172" t="s">
        <v>47</v>
      </c>
      <c r="H84" s="172">
        <v>22</v>
      </c>
      <c r="I84" s="173">
        <f>tabUniformes[[#This Row],[Valor Reajustado]]*tabUniformes[[#This Row],[Qtde Anual de Peças]]*tabUniformes[[#This Row],[Qtde. funcionários]]</f>
        <v>15862</v>
      </c>
      <c r="J84" s="172">
        <f>tabUniformes[[#This Row],[Qtde Anual de Peças]]*tabUniformes[[#This Row],[Qtde. funcionários]]</f>
        <v>1100</v>
      </c>
      <c r="K84" s="170">
        <f>IFERROR(tabUniformes[[#This Row],[Total]]/12/tabUniformes[[#This Row],[Qtde. funcionários]],0)</f>
        <v>60.083333333333329</v>
      </c>
    </row>
    <row r="85" spans="1:11">
      <c r="A85" s="169" t="s">
        <v>12</v>
      </c>
      <c r="B85" s="278" t="s">
        <v>31</v>
      </c>
      <c r="C85" s="171"/>
      <c r="D85" s="311">
        <v>40.85</v>
      </c>
      <c r="E85" s="170" cm="1">
        <f t="array" ref="E85">tabUniformes[[#This Row],[Valor Inicial]]*IFERROR(PRODUCT(1+_xlfn._xlws.FILTER(tabIndices[PERCENTUAL],tabIndices[DATA DA PUBLICAÇÃO]&gt;tabUniformes[[#This Row],[DATA PUBLICAÇÃO]])),1)</f>
        <v>40.85</v>
      </c>
      <c r="F85" s="172">
        <v>8</v>
      </c>
      <c r="G85" s="172" t="s">
        <v>47</v>
      </c>
      <c r="H85" s="172">
        <v>22</v>
      </c>
      <c r="I85" s="173">
        <v>4812.1468853134211</v>
      </c>
      <c r="J85" s="172">
        <v>160</v>
      </c>
      <c r="K85" s="170">
        <v>20.050612022139255</v>
      </c>
    </row>
    <row r="86" spans="1:11">
      <c r="A86" s="169" t="s">
        <v>19</v>
      </c>
      <c r="B86" s="278" t="s">
        <v>37</v>
      </c>
      <c r="C86" s="171"/>
      <c r="D86" s="311">
        <v>66.319999999999993</v>
      </c>
      <c r="E86" s="170" cm="1">
        <f t="array" ref="E86">tabUniformes[[#This Row],[Valor Inicial]]*IFERROR(PRODUCT(1+_xlfn._xlws.FILTER(tabIndices[PERCENTUAL],tabIndices[DATA DA PUBLICAÇÃO]&gt;tabUniformes[[#This Row],[DATA PUBLICAÇÃO]])),1)</f>
        <v>66.319999999999993</v>
      </c>
      <c r="F86" s="172">
        <v>2</v>
      </c>
      <c r="G86" s="172" t="s">
        <v>47</v>
      </c>
      <c r="H86" s="172">
        <v>22</v>
      </c>
      <c r="I86" s="173">
        <v>1443.6440655940262</v>
      </c>
      <c r="J86" s="172">
        <v>40</v>
      </c>
      <c r="K86" s="170">
        <v>6.0151836066417754</v>
      </c>
    </row>
    <row r="87" spans="1:11">
      <c r="A87" s="169" t="s">
        <v>1866</v>
      </c>
      <c r="B87" s="278" t="s">
        <v>1829</v>
      </c>
      <c r="C87" s="171"/>
      <c r="D87" s="311">
        <v>19.86</v>
      </c>
      <c r="E87" s="170" cm="1">
        <f t="array" ref="E87">tabUniformes[[#This Row],[Valor Inicial]]*IFERROR(PRODUCT(1+_xlfn._xlws.FILTER(tabIndices[PERCENTUAL],tabIndices[DATA DA PUBLICAÇÃO]&gt;tabUniformes[[#This Row],[DATA PUBLICAÇÃO]])),1)</f>
        <v>19.86</v>
      </c>
      <c r="F87" s="172">
        <v>1</v>
      </c>
      <c r="G87" s="172" t="s">
        <v>47</v>
      </c>
      <c r="H87" s="172">
        <v>22</v>
      </c>
      <c r="I87" s="173">
        <f>tabUniformes[[#This Row],[Valor Reajustado]]*tabUniformes[[#This Row],[Qtde Anual de Peças]]*tabUniformes[[#This Row],[Qtde. funcionários]]</f>
        <v>436.91999999999996</v>
      </c>
      <c r="J87" s="172">
        <f>tabUniformes[[#This Row],[Qtde Anual de Peças]]*tabUniformes[[#This Row],[Qtde. funcionários]]</f>
        <v>22</v>
      </c>
      <c r="K87" s="170">
        <f>IFERROR(tabUniformes[[#This Row],[Total]]/12/tabUniformes[[#This Row],[Qtde. funcionários]],0)</f>
        <v>1.6549999999999998</v>
      </c>
    </row>
    <row r="88" spans="1:11">
      <c r="A88" s="169" t="s">
        <v>1854</v>
      </c>
      <c r="B88" s="278" t="s">
        <v>1830</v>
      </c>
      <c r="C88" s="171"/>
      <c r="D88" s="311">
        <v>344.45</v>
      </c>
      <c r="E88" s="170" cm="1">
        <f t="array" ref="E88">tabUniformes[[#This Row],[Valor Inicial]]*IFERROR(PRODUCT(1+_xlfn._xlws.FILTER(tabIndices[PERCENTUAL],tabIndices[DATA DA PUBLICAÇÃO]&gt;tabUniformes[[#This Row],[DATA PUBLICAÇÃO]])),1)</f>
        <v>344.45</v>
      </c>
      <c r="F88" s="172">
        <v>1</v>
      </c>
      <c r="G88" s="172" t="s">
        <v>47</v>
      </c>
      <c r="H88" s="172">
        <v>22</v>
      </c>
      <c r="I88" s="173">
        <f>tabUniformes[[#This Row],[Valor Reajustado]]*tabUniformes[[#This Row],[Qtde Anual de Peças]]*tabUniformes[[#This Row],[Qtde. funcionários]]</f>
        <v>7577.9</v>
      </c>
      <c r="J88" s="172">
        <f>tabUniformes[[#This Row],[Qtde Anual de Peças]]*tabUniformes[[#This Row],[Qtde. funcionários]]</f>
        <v>22</v>
      </c>
      <c r="K88" s="170">
        <f>IFERROR(tabUniformes[[#This Row],[Total]]/12/tabUniformes[[#This Row],[Qtde. funcionários]],0)</f>
        <v>28.704166666666666</v>
      </c>
    </row>
    <row r="89" spans="1:11">
      <c r="A89" s="169" t="s">
        <v>1854</v>
      </c>
      <c r="B89" s="278" t="s">
        <v>1831</v>
      </c>
      <c r="C89" s="171"/>
      <c r="D89" s="311">
        <v>2.5</v>
      </c>
      <c r="E89" s="170" cm="1">
        <f t="array" ref="E89">tabUniformes[[#This Row],[Valor Inicial]]*IFERROR(PRODUCT(1+_xlfn._xlws.FILTER(tabIndices[PERCENTUAL],tabIndices[DATA DA PUBLICAÇÃO]&gt;tabUniformes[[#This Row],[DATA PUBLICAÇÃO]])),1)</f>
        <v>2.5</v>
      </c>
      <c r="F89" s="172">
        <v>40</v>
      </c>
      <c r="G89" s="172" t="s">
        <v>47</v>
      </c>
      <c r="H89" s="172">
        <v>22</v>
      </c>
      <c r="I89" s="173">
        <f>tabUniformes[[#This Row],[Valor Reajustado]]*tabUniformes[[#This Row],[Qtde Anual de Peças]]*tabUniformes[[#This Row],[Qtde. funcionários]]</f>
        <v>2200</v>
      </c>
      <c r="J89" s="172">
        <f>tabUniformes[[#This Row],[Qtde Anual de Peças]]*tabUniformes[[#This Row],[Qtde. funcionários]]</f>
        <v>880</v>
      </c>
      <c r="K89" s="170">
        <f>IFERROR(tabUniformes[[#This Row],[Total]]/12/tabUniformes[[#This Row],[Qtde. funcionários]],0)</f>
        <v>8.3333333333333339</v>
      </c>
    </row>
    <row r="90" spans="1:11">
      <c r="A90" s="169" t="s">
        <v>1854</v>
      </c>
      <c r="B90" s="278" t="s">
        <v>1868</v>
      </c>
      <c r="C90" s="171"/>
      <c r="D90" s="311">
        <v>24.46</v>
      </c>
      <c r="E90" s="170" cm="1">
        <f t="array" ref="E90">tabUniformes[[#This Row],[Valor Inicial]]*IFERROR(PRODUCT(1+_xlfn._xlws.FILTER(tabIndices[PERCENTUAL],tabIndices[DATA DA PUBLICAÇÃO]&gt;tabUniformes[[#This Row],[DATA PUBLICAÇÃO]])),1)</f>
        <v>24.46</v>
      </c>
      <c r="F90" s="172">
        <v>20</v>
      </c>
      <c r="G90" s="172" t="s">
        <v>47</v>
      </c>
      <c r="H90" s="172">
        <v>22</v>
      </c>
      <c r="I90" s="173">
        <f>tabUniformes[[#This Row],[Valor Reajustado]]*tabUniformes[[#This Row],[Qtde Anual de Peças]]*tabUniformes[[#This Row],[Qtde. funcionários]]</f>
        <v>10762.400000000001</v>
      </c>
      <c r="J90" s="172">
        <f>tabUniformes[[#This Row],[Qtde Anual de Peças]]*tabUniformes[[#This Row],[Qtde. funcionários]]</f>
        <v>440</v>
      </c>
      <c r="K90" s="170">
        <f>IFERROR(tabUniformes[[#This Row],[Total]]/12/tabUniformes[[#This Row],[Qtde. funcionários]],0)</f>
        <v>40.766666666666673</v>
      </c>
    </row>
    <row r="91" spans="1:11">
      <c r="A91" s="169" t="s">
        <v>14</v>
      </c>
      <c r="B91" s="278" t="s">
        <v>25</v>
      </c>
      <c r="C91" s="171"/>
      <c r="D91" s="311">
        <v>95.13</v>
      </c>
      <c r="E91" s="170" cm="1">
        <f t="array" ref="E91">tabUniformes[[#This Row],[Valor Inicial]]*IFERROR(PRODUCT(1+_xlfn._xlws.FILTER(tabIndices[PERCENTUAL],tabIndices[DATA DA PUBLICAÇÃO]&gt;tabUniformes[[#This Row],[DATA PUBLICAÇÃO]])),1)</f>
        <v>95.13</v>
      </c>
      <c r="F91" s="172">
        <v>1</v>
      </c>
      <c r="G91" s="172" t="s">
        <v>47</v>
      </c>
      <c r="H91" s="172">
        <v>22</v>
      </c>
      <c r="I91" s="173">
        <v>1203.0367213283553</v>
      </c>
      <c r="J91" s="172">
        <v>20</v>
      </c>
      <c r="K91" s="170">
        <v>5.0126530055348137</v>
      </c>
    </row>
    <row r="92" spans="1:11">
      <c r="A92" s="169" t="s">
        <v>1853</v>
      </c>
      <c r="B92" s="278" t="s">
        <v>1809</v>
      </c>
      <c r="C92" s="171"/>
      <c r="D92" s="311">
        <v>7.67</v>
      </c>
      <c r="E92" s="170" cm="1">
        <f t="array" ref="E92">tabUniformes[[#This Row],[Valor Inicial]]*IFERROR(PRODUCT(1+_xlfn._xlws.FILTER(tabIndices[PERCENTUAL],tabIndices[DATA DA PUBLICAÇÃO]&gt;tabUniformes[[#This Row],[DATA PUBLICAÇÃO]])),1)</f>
        <v>7.67</v>
      </c>
      <c r="F92" s="172">
        <v>2</v>
      </c>
      <c r="G92" s="172" t="s">
        <v>47</v>
      </c>
      <c r="H92" s="172">
        <v>22</v>
      </c>
      <c r="I92" s="173">
        <f>tabUniformes[[#This Row],[Valor Reajustado]]*tabUniformes[[#This Row],[Qtde Anual de Peças]]*tabUniformes[[#This Row],[Qtde. funcionários]]</f>
        <v>337.48</v>
      </c>
      <c r="J92" s="172">
        <f>tabUniformes[[#This Row],[Qtde Anual de Peças]]*tabUniformes[[#This Row],[Qtde. funcionários]]</f>
        <v>44</v>
      </c>
      <c r="K92" s="170">
        <f>IFERROR(tabUniformes[[#This Row],[Total]]/12/tabUniformes[[#This Row],[Qtde. funcionários]],0)</f>
        <v>1.2783333333333333</v>
      </c>
    </row>
    <row r="93" spans="1:11">
      <c r="A93" s="169" t="s">
        <v>1865</v>
      </c>
      <c r="B93" s="278" t="s">
        <v>1832</v>
      </c>
      <c r="C93" s="171"/>
      <c r="D93" s="311">
        <v>36.26</v>
      </c>
      <c r="E93" s="170" cm="1">
        <f t="array" ref="E93">tabUniformes[[#This Row],[Valor Inicial]]*IFERROR(PRODUCT(1+_xlfn._xlws.FILTER(tabIndices[PERCENTUAL],tabIndices[DATA DA PUBLICAÇÃO]&gt;tabUniformes[[#This Row],[DATA PUBLICAÇÃO]])),1)</f>
        <v>36.26</v>
      </c>
      <c r="F93" s="172">
        <v>1</v>
      </c>
      <c r="G93" s="172" t="s">
        <v>47</v>
      </c>
      <c r="H93" s="172">
        <v>22</v>
      </c>
      <c r="I93" s="173">
        <f>tabUniformes[[#This Row],[Valor Reajustado]]*tabUniformes[[#This Row],[Qtde Anual de Peças]]*tabUniformes[[#This Row],[Qtde. funcionários]]</f>
        <v>797.71999999999991</v>
      </c>
      <c r="J93" s="172">
        <f>tabUniformes[[#This Row],[Qtde Anual de Peças]]*tabUniformes[[#This Row],[Qtde. funcionários]]</f>
        <v>22</v>
      </c>
      <c r="K93" s="170">
        <f>IFERROR(tabUniformes[[#This Row],[Total]]/12/tabUniformes[[#This Row],[Qtde. funcionários]],0)</f>
        <v>3.0216666666666665</v>
      </c>
    </row>
    <row r="94" spans="1:11">
      <c r="A94" s="169" t="s">
        <v>1855</v>
      </c>
      <c r="B94" s="278" t="s">
        <v>1833</v>
      </c>
      <c r="C94" s="171"/>
      <c r="D94" s="311">
        <v>5.14</v>
      </c>
      <c r="E94" s="170" cm="1">
        <f t="array" ref="E94">tabUniformes[[#This Row],[Valor Inicial]]*IFERROR(PRODUCT(1+_xlfn._xlws.FILTER(tabIndices[PERCENTUAL],tabIndices[DATA DA PUBLICAÇÃO]&gt;tabUniformes[[#This Row],[DATA PUBLICAÇÃO]])),1)</f>
        <v>5.14</v>
      </c>
      <c r="F94" s="172">
        <v>20</v>
      </c>
      <c r="G94" s="172" t="s">
        <v>47</v>
      </c>
      <c r="H94" s="172">
        <v>22</v>
      </c>
      <c r="I94" s="173">
        <f>tabUniformes[[#This Row],[Valor Reajustado]]*tabUniformes[[#This Row],[Qtde Anual de Peças]]*tabUniformes[[#This Row],[Qtde. funcionários]]</f>
        <v>2261.6</v>
      </c>
      <c r="J94" s="172">
        <f>tabUniformes[[#This Row],[Qtde Anual de Peças]]*tabUniformes[[#This Row],[Qtde. funcionários]]</f>
        <v>440</v>
      </c>
      <c r="K94" s="170">
        <f>IFERROR(tabUniformes[[#This Row],[Total]]/12/tabUniformes[[#This Row],[Qtde. funcionários]],0)</f>
        <v>8.5666666666666664</v>
      </c>
    </row>
    <row r="95" spans="1:11">
      <c r="A95" s="169" t="s">
        <v>1855</v>
      </c>
      <c r="B95" s="278" t="s">
        <v>1834</v>
      </c>
      <c r="C95" s="171"/>
      <c r="D95" s="311">
        <v>59.9</v>
      </c>
      <c r="E95" s="170" cm="1">
        <f t="array" ref="E95">tabUniformes[[#This Row],[Valor Inicial]]*IFERROR(PRODUCT(1+_xlfn._xlws.FILTER(tabIndices[PERCENTUAL],tabIndices[DATA DA PUBLICAÇÃO]&gt;tabUniformes[[#This Row],[DATA PUBLICAÇÃO]])),1)</f>
        <v>59.9</v>
      </c>
      <c r="F95" s="172">
        <v>4</v>
      </c>
      <c r="G95" s="172" t="s">
        <v>47</v>
      </c>
      <c r="H95" s="172">
        <v>22</v>
      </c>
      <c r="I95" s="173">
        <f>tabUniformes[[#This Row],[Valor Reajustado]]*tabUniformes[[#This Row],[Qtde Anual de Peças]]*tabUniformes[[#This Row],[Qtde. funcionários]]</f>
        <v>5271.2</v>
      </c>
      <c r="J95" s="172">
        <f>tabUniformes[[#This Row],[Qtde Anual de Peças]]*tabUniformes[[#This Row],[Qtde. funcionários]]</f>
        <v>88</v>
      </c>
      <c r="K95" s="170">
        <f>IFERROR(tabUniformes[[#This Row],[Total]]/12/tabUniformes[[#This Row],[Qtde. funcionários]],0)</f>
        <v>19.966666666666665</v>
      </c>
    </row>
    <row r="96" spans="1:11">
      <c r="A96" s="169" t="s">
        <v>1855</v>
      </c>
      <c r="B96" s="278" t="s">
        <v>20</v>
      </c>
      <c r="C96" s="171"/>
      <c r="D96" s="311">
        <v>33.17</v>
      </c>
      <c r="E96" s="170" cm="1">
        <f t="array" ref="E96">tabUniformes[[#This Row],[Valor Inicial]]*IFERROR(PRODUCT(1+_xlfn._xlws.FILTER(tabIndices[PERCENTUAL],tabIndices[DATA DA PUBLICAÇÃO]&gt;tabUniformes[[#This Row],[DATA PUBLICAÇÃO]])),1)</f>
        <v>33.17</v>
      </c>
      <c r="F96" s="172">
        <v>2</v>
      </c>
      <c r="G96" s="172" t="s">
        <v>47</v>
      </c>
      <c r="H96" s="172">
        <v>22</v>
      </c>
      <c r="I96" s="173">
        <f>tabUniformes[[#This Row],[Valor Reajustado]]*tabUniformes[[#This Row],[Qtde Anual de Peças]]*tabUniformes[[#This Row],[Qtde. funcionários]]</f>
        <v>1459.48</v>
      </c>
      <c r="J96" s="172">
        <f>tabUniformes[[#This Row],[Qtde Anual de Peças]]*tabUniformes[[#This Row],[Qtde. funcionários]]</f>
        <v>44</v>
      </c>
      <c r="K96" s="170">
        <f>IFERROR(tabUniformes[[#This Row],[Total]]/12/tabUniformes[[#This Row],[Qtde. funcionários]],0)</f>
        <v>5.5283333333333333</v>
      </c>
    </row>
    <row r="97" spans="1:13">
      <c r="A97" s="169" t="s">
        <v>1854</v>
      </c>
      <c r="B97" s="278" t="s">
        <v>1835</v>
      </c>
      <c r="C97" s="171"/>
      <c r="D97" s="311">
        <v>326.77999999999997</v>
      </c>
      <c r="E97" s="170" cm="1">
        <f t="array" ref="E97">tabUniformes[[#This Row],[Valor Inicial]]*IFERROR(PRODUCT(1+_xlfn._xlws.FILTER(tabIndices[PERCENTUAL],tabIndices[DATA DA PUBLICAÇÃO]&gt;tabUniformes[[#This Row],[DATA PUBLICAÇÃO]])),1)</f>
        <v>326.77999999999997</v>
      </c>
      <c r="F97" s="172">
        <v>1</v>
      </c>
      <c r="G97" s="172" t="s">
        <v>47</v>
      </c>
      <c r="H97" s="172">
        <v>22</v>
      </c>
      <c r="I97" s="173">
        <f>tabUniformes[[#This Row],[Valor Reajustado]]*tabUniformes[[#This Row],[Qtde Anual de Peças]]*tabUniformes[[#This Row],[Qtde. funcionários]]</f>
        <v>7189.16</v>
      </c>
      <c r="J97" s="172">
        <f>tabUniformes[[#This Row],[Qtde Anual de Peças]]*tabUniformes[[#This Row],[Qtde. funcionários]]</f>
        <v>22</v>
      </c>
      <c r="K97" s="170">
        <f>IFERROR(tabUniformes[[#This Row],[Total]]/12/tabUniformes[[#This Row],[Qtde. funcionários]],0)</f>
        <v>27.231666666666669</v>
      </c>
    </row>
    <row r="98" spans="1:13">
      <c r="A98" s="169" t="s">
        <v>18</v>
      </c>
      <c r="B98" s="278" t="s">
        <v>1813</v>
      </c>
      <c r="C98" s="171"/>
      <c r="D98" s="311">
        <v>90.53</v>
      </c>
      <c r="E98" s="170" cm="1">
        <f t="array" ref="E98">tabUniformes[[#This Row],[Valor Inicial]]*IFERROR(PRODUCT(1+_xlfn._xlws.FILTER(tabIndices[PERCENTUAL],tabIndices[DATA DA PUBLICAÇÃO]&gt;tabUniformes[[#This Row],[DATA PUBLICAÇÃO]])),1)</f>
        <v>90.53</v>
      </c>
      <c r="F98" s="172">
        <v>1</v>
      </c>
      <c r="G98" s="172" t="s">
        <v>48</v>
      </c>
      <c r="H98" s="172">
        <v>8</v>
      </c>
      <c r="I98" s="173">
        <f>tabUniformes[[#This Row],[Valor Reajustado]]*tabUniformes[[#This Row],[Qtde Anual de Peças]]*tabUniformes[[#This Row],[Qtde. funcionários]]</f>
        <v>724.24</v>
      </c>
      <c r="J98" s="172">
        <f>tabUniformes[[#This Row],[Qtde Anual de Peças]]*tabUniformes[[#This Row],[Qtde. funcionários]]</f>
        <v>8</v>
      </c>
      <c r="K98" s="170">
        <f>IFERROR(tabUniformes[[#This Row],[Total]]/12/tabUniformes[[#This Row],[Qtde. funcionários]],0)</f>
        <v>7.5441666666666665</v>
      </c>
    </row>
    <row r="99" spans="1:13">
      <c r="A99" s="169" t="s">
        <v>17</v>
      </c>
      <c r="B99" s="278" t="s">
        <v>1814</v>
      </c>
      <c r="C99" s="171"/>
      <c r="D99" s="311">
        <v>49.99</v>
      </c>
      <c r="E99" s="170" cm="1">
        <f t="array" ref="E99">tabUniformes[[#This Row],[Valor Inicial]]*IFERROR(PRODUCT(1+_xlfn._xlws.FILTER(tabIndices[PERCENTUAL],tabIndices[DATA DA PUBLICAÇÃO]&gt;tabUniformes[[#This Row],[DATA PUBLICAÇÃO]])),1)</f>
        <v>49.99</v>
      </c>
      <c r="F99" s="172">
        <v>2</v>
      </c>
      <c r="G99" s="172" t="s">
        <v>48</v>
      </c>
      <c r="H99" s="172">
        <v>8</v>
      </c>
      <c r="I99" s="173">
        <f>tabUniformes[[#This Row],[Valor Reajustado]]*tabUniformes[[#This Row],[Qtde Anual de Peças]]*tabUniformes[[#This Row],[Qtde. funcionários]]</f>
        <v>799.84</v>
      </c>
      <c r="J99" s="172">
        <f>tabUniformes[[#This Row],[Qtde Anual de Peças]]*tabUniformes[[#This Row],[Qtde. funcionários]]</f>
        <v>16</v>
      </c>
      <c r="K99" s="170">
        <f>IFERROR(tabUniformes[[#This Row],[Total]]/12/tabUniformes[[#This Row],[Qtde. funcionários]],0)</f>
        <v>8.331666666666667</v>
      </c>
    </row>
    <row r="100" spans="1:13">
      <c r="A100" s="169" t="s">
        <v>17</v>
      </c>
      <c r="B100" s="278" t="s">
        <v>1808</v>
      </c>
      <c r="C100" s="171"/>
      <c r="D100" s="311">
        <v>280.04000000000002</v>
      </c>
      <c r="E100" s="170" cm="1">
        <f t="array" ref="E100">tabUniformes[[#This Row],[Valor Inicial]]*IFERROR(PRODUCT(1+_xlfn._xlws.FILTER(tabIndices[PERCENTUAL],tabIndices[DATA DA PUBLICAÇÃO]&gt;tabUniformes[[#This Row],[DATA PUBLICAÇÃO]])),1)</f>
        <v>280.04000000000002</v>
      </c>
      <c r="F100" s="172">
        <v>2</v>
      </c>
      <c r="G100" s="172" t="s">
        <v>48</v>
      </c>
      <c r="H100" s="172">
        <v>8</v>
      </c>
      <c r="I100" s="173">
        <f>tabUniformes[[#This Row],[Valor Reajustado]]*tabUniformes[[#This Row],[Qtde Anual de Peças]]*tabUniformes[[#This Row],[Qtde. funcionários]]</f>
        <v>4480.6400000000003</v>
      </c>
      <c r="J100" s="172">
        <f>tabUniformes[[#This Row],[Qtde Anual de Peças]]*tabUniformes[[#This Row],[Qtde. funcionários]]</f>
        <v>16</v>
      </c>
      <c r="K100" s="170">
        <f>IFERROR(tabUniformes[[#This Row],[Total]]/12/tabUniformes[[#This Row],[Qtde. funcionários]],0)</f>
        <v>46.673333333333339</v>
      </c>
    </row>
    <row r="101" spans="1:13">
      <c r="A101" s="169" t="s">
        <v>1860</v>
      </c>
      <c r="B101" s="278" t="s">
        <v>1817</v>
      </c>
      <c r="C101" s="171"/>
      <c r="D101" s="311">
        <v>22.2</v>
      </c>
      <c r="E101" s="170" cm="1">
        <f t="array" ref="E101">tabUniformes[[#This Row],[Valor Inicial]]*IFERROR(PRODUCT(1+_xlfn._xlws.FILTER(tabIndices[PERCENTUAL],tabIndices[DATA DA PUBLICAÇÃO]&gt;tabUniformes[[#This Row],[DATA PUBLICAÇÃO]])),1)</f>
        <v>22.2</v>
      </c>
      <c r="F101" s="172">
        <v>1</v>
      </c>
      <c r="G101" s="172" t="s">
        <v>48</v>
      </c>
      <c r="H101" s="172">
        <v>8</v>
      </c>
      <c r="I101" s="173">
        <f>tabUniformes[[#This Row],[Valor Reajustado]]*tabUniformes[[#This Row],[Qtde Anual de Peças]]*tabUniformes[[#This Row],[Qtde. funcionários]]</f>
        <v>177.6</v>
      </c>
      <c r="J101" s="172">
        <f>tabUniformes[[#This Row],[Qtde Anual de Peças]]*tabUniformes[[#This Row],[Qtde. funcionários]]</f>
        <v>8</v>
      </c>
      <c r="K101" s="170">
        <f>IFERROR(tabUniformes[[#This Row],[Total]]/12/tabUniformes[[#This Row],[Qtde. funcionários]],0)</f>
        <v>1.8499999999999999</v>
      </c>
    </row>
    <row r="102" spans="1:13">
      <c r="A102" s="169" t="s">
        <v>1861</v>
      </c>
      <c r="B102" s="278" t="s">
        <v>1818</v>
      </c>
      <c r="C102" s="171"/>
      <c r="D102" s="311">
        <v>64.2</v>
      </c>
      <c r="E102" s="170" cm="1">
        <f t="array" ref="E102">tabUniformes[[#This Row],[Valor Inicial]]*IFERROR(PRODUCT(1+_xlfn._xlws.FILTER(tabIndices[PERCENTUAL],tabIndices[DATA DA PUBLICAÇÃO]&gt;tabUniformes[[#This Row],[DATA PUBLICAÇÃO]])),1)</f>
        <v>64.2</v>
      </c>
      <c r="F102" s="172">
        <v>1</v>
      </c>
      <c r="G102" s="172" t="s">
        <v>48</v>
      </c>
      <c r="H102" s="172">
        <v>8</v>
      </c>
      <c r="I102" s="173">
        <f>tabUniformes[[#This Row],[Valor Reajustado]]*tabUniformes[[#This Row],[Qtde Anual de Peças]]*tabUniformes[[#This Row],[Qtde. funcionários]]</f>
        <v>513.6</v>
      </c>
      <c r="J102" s="172">
        <f>tabUniformes[[#This Row],[Qtde Anual de Peças]]*tabUniformes[[#This Row],[Qtde. funcionários]]</f>
        <v>8</v>
      </c>
      <c r="K102" s="170">
        <f>IFERROR(tabUniformes[[#This Row],[Total]]/12/tabUniformes[[#This Row],[Qtde. funcionários]],0)</f>
        <v>5.3500000000000005</v>
      </c>
    </row>
    <row r="103" spans="1:13">
      <c r="A103" s="169" t="s">
        <v>1859</v>
      </c>
      <c r="B103" s="278" t="s">
        <v>1819</v>
      </c>
      <c r="C103" s="171"/>
      <c r="D103" s="311">
        <v>351.15</v>
      </c>
      <c r="E103" s="170" cm="1">
        <f t="array" ref="E103">tabUniformes[[#This Row],[Valor Inicial]]*IFERROR(PRODUCT(1+_xlfn._xlws.FILTER(tabIndices[PERCENTUAL],tabIndices[DATA DA PUBLICAÇÃO]&gt;tabUniformes[[#This Row],[DATA PUBLICAÇÃO]])),1)</f>
        <v>351.15</v>
      </c>
      <c r="F103" s="172">
        <v>1</v>
      </c>
      <c r="G103" s="172" t="s">
        <v>48</v>
      </c>
      <c r="H103" s="172">
        <v>8</v>
      </c>
      <c r="I103" s="173">
        <f>tabUniformes[[#This Row],[Valor Reajustado]]*tabUniformes[[#This Row],[Qtde Anual de Peças]]*tabUniformes[[#This Row],[Qtde. funcionários]]</f>
        <v>2809.2</v>
      </c>
      <c r="J103" s="172">
        <f>tabUniformes[[#This Row],[Qtde Anual de Peças]]*tabUniformes[[#This Row],[Qtde. funcionários]]</f>
        <v>8</v>
      </c>
      <c r="K103" s="170">
        <f>IFERROR(tabUniformes[[#This Row],[Total]]/12/tabUniformes[[#This Row],[Qtde. funcionários]],0)</f>
        <v>29.262499999999999</v>
      </c>
    </row>
    <row r="104" spans="1:13">
      <c r="A104" s="169" t="s">
        <v>1855</v>
      </c>
      <c r="B104" s="278" t="s">
        <v>1820</v>
      </c>
      <c r="C104" s="171"/>
      <c r="D104" s="311">
        <v>9.6999999999999993</v>
      </c>
      <c r="E104" s="170" cm="1">
        <f t="array" ref="E104">tabUniformes[[#This Row],[Valor Inicial]]*IFERROR(PRODUCT(1+_xlfn._xlws.FILTER(tabIndices[PERCENTUAL],tabIndices[DATA DA PUBLICAÇÃO]&gt;tabUniformes[[#This Row],[DATA PUBLICAÇÃO]])),1)</f>
        <v>9.6999999999999993</v>
      </c>
      <c r="F104" s="172">
        <v>12</v>
      </c>
      <c r="G104" s="172" t="s">
        <v>48</v>
      </c>
      <c r="H104" s="172">
        <v>8</v>
      </c>
      <c r="I104" s="173">
        <f>tabUniformes[[#This Row],[Valor Reajustado]]*tabUniformes[[#This Row],[Qtde Anual de Peças]]*tabUniformes[[#This Row],[Qtde. funcionários]]</f>
        <v>931.19999999999993</v>
      </c>
      <c r="J104" s="172">
        <f>tabUniformes[[#This Row],[Qtde Anual de Peças]]*tabUniformes[[#This Row],[Qtde. funcionários]]</f>
        <v>96</v>
      </c>
      <c r="K104" s="170">
        <f>IFERROR(tabUniformes[[#This Row],[Total]]/12/tabUniformes[[#This Row],[Qtde. funcionários]],0)</f>
        <v>9.6999999999999993</v>
      </c>
    </row>
    <row r="105" spans="1:13">
      <c r="A105" s="169" t="s">
        <v>11</v>
      </c>
      <c r="B105" s="278" t="s">
        <v>30</v>
      </c>
      <c r="C105" s="171"/>
      <c r="D105" s="311">
        <v>94.82</v>
      </c>
      <c r="E105" s="170" cm="1">
        <f t="array" ref="E105">tabUniformes[[#This Row],[Valor Inicial]]*IFERROR(PRODUCT(1+_xlfn._xlws.FILTER(tabIndices[PERCENTUAL],tabIndices[DATA DA PUBLICAÇÃO]&gt;tabUniformes[[#This Row],[DATA PUBLICAÇÃO]])),1)</f>
        <v>94.82</v>
      </c>
      <c r="F105" s="172">
        <v>4</v>
      </c>
      <c r="G105" s="172" t="s">
        <v>48</v>
      </c>
      <c r="H105" s="172">
        <v>8</v>
      </c>
      <c r="I105" s="173">
        <v>1515.8262688737277</v>
      </c>
      <c r="J105" s="172">
        <v>28</v>
      </c>
      <c r="K105" s="170">
        <v>18.045550819925332</v>
      </c>
    </row>
    <row r="106" spans="1:13">
      <c r="A106" s="169" t="s">
        <v>1807</v>
      </c>
      <c r="B106" s="278" t="s">
        <v>1822</v>
      </c>
      <c r="C106" s="171"/>
      <c r="D106" s="311">
        <v>20.170000000000002</v>
      </c>
      <c r="E106" s="170" cm="1">
        <f t="array" ref="E106">tabUniformes[[#This Row],[Valor Inicial]]*IFERROR(PRODUCT(1+_xlfn._xlws.FILTER(tabIndices[PERCENTUAL],tabIndices[DATA DA PUBLICAÇÃO]&gt;tabUniformes[[#This Row],[DATA PUBLICAÇÃO]])),1)</f>
        <v>20.170000000000002</v>
      </c>
      <c r="F106" s="172">
        <v>4</v>
      </c>
      <c r="G106" s="172" t="s">
        <v>48</v>
      </c>
      <c r="H106" s="172">
        <v>8</v>
      </c>
      <c r="I106" s="173">
        <f>tabUniformes[[#This Row],[Valor Reajustado]]*tabUniformes[[#This Row],[Qtde Anual de Peças]]*tabUniformes[[#This Row],[Qtde. funcionários]]</f>
        <v>645.44000000000005</v>
      </c>
      <c r="J106" s="172">
        <f>tabUniformes[[#This Row],[Qtde Anual de Peças]]*tabUniformes[[#This Row],[Qtde. funcionários]]</f>
        <v>32</v>
      </c>
      <c r="K106" s="170">
        <f>IFERROR(tabUniformes[[#This Row],[Total]]/12/tabUniformes[[#This Row],[Qtde. funcionários]],0)</f>
        <v>6.7233333333333336</v>
      </c>
    </row>
    <row r="107" spans="1:13">
      <c r="A107" s="169" t="s">
        <v>1807</v>
      </c>
      <c r="B107" s="278" t="s">
        <v>1824</v>
      </c>
      <c r="C107" s="171"/>
      <c r="D107" s="311">
        <v>7.27</v>
      </c>
      <c r="E107" s="170" cm="1">
        <f t="array" ref="E107">tabUniformes[[#This Row],[Valor Inicial]]*IFERROR(PRODUCT(1+_xlfn._xlws.FILTER(tabIndices[PERCENTUAL],tabIndices[DATA DA PUBLICAÇÃO]&gt;tabUniformes[[#This Row],[DATA PUBLICAÇÃO]])),1)</f>
        <v>7.27</v>
      </c>
      <c r="F107" s="172">
        <v>2</v>
      </c>
      <c r="G107" s="172" t="s">
        <v>48</v>
      </c>
      <c r="H107" s="172">
        <v>8</v>
      </c>
      <c r="I107" s="173">
        <f>tabUniformes[[#This Row],[Valor Reajustado]]*tabUniformes[[#This Row],[Qtde Anual de Peças]]*tabUniformes[[#This Row],[Qtde. funcionários]]</f>
        <v>116.32</v>
      </c>
      <c r="J107" s="172">
        <f>tabUniformes[[#This Row],[Qtde Anual de Peças]]*tabUniformes[[#This Row],[Qtde. funcionários]]</f>
        <v>16</v>
      </c>
      <c r="K107" s="170">
        <f>IFERROR(tabUniformes[[#This Row],[Total]]/12/tabUniformes[[#This Row],[Qtde. funcionários]],0)</f>
        <v>1.2116666666666667</v>
      </c>
    </row>
    <row r="108" spans="1:13" ht="14.25">
      <c r="A108" s="169" t="s">
        <v>1807</v>
      </c>
      <c r="B108" s="278" t="s">
        <v>1825</v>
      </c>
      <c r="C108" s="171"/>
      <c r="D108" s="311">
        <v>6.12</v>
      </c>
      <c r="E108" s="170" cm="1">
        <f t="array" ref="E108">tabUniformes[[#This Row],[Valor Inicial]]*IFERROR(PRODUCT(1+_xlfn._xlws.FILTER(tabIndices[PERCENTUAL],tabIndices[DATA DA PUBLICAÇÃO]&gt;tabUniformes[[#This Row],[DATA PUBLICAÇÃO]])),1)</f>
        <v>6.12</v>
      </c>
      <c r="F108" s="172">
        <v>12</v>
      </c>
      <c r="G108" s="172" t="s">
        <v>48</v>
      </c>
      <c r="H108" s="172">
        <v>8</v>
      </c>
      <c r="I108" s="173">
        <f>tabUniformes[[#This Row],[Valor Reajustado]]*tabUniformes[[#This Row],[Qtde Anual de Peças]]*tabUniformes[[#This Row],[Qtde. funcionários]]</f>
        <v>587.52</v>
      </c>
      <c r="J108" s="172">
        <f>tabUniformes[[#This Row],[Qtde Anual de Peças]]*tabUniformes[[#This Row],[Qtde. funcionários]]</f>
        <v>96</v>
      </c>
      <c r="K108" s="170">
        <f>IFERROR(tabUniformes[[#This Row],[Total]]/12/tabUniformes[[#This Row],[Qtde. funcionários]],0)</f>
        <v>6.12</v>
      </c>
      <c r="M108"/>
    </row>
    <row r="109" spans="1:13" ht="14.25">
      <c r="A109" s="169" t="s">
        <v>1807</v>
      </c>
      <c r="B109" s="278" t="s">
        <v>1826</v>
      </c>
      <c r="C109" s="171"/>
      <c r="D109" s="311">
        <v>16.38</v>
      </c>
      <c r="E109" s="170" cm="1">
        <f t="array" ref="E109">tabUniformes[[#This Row],[Valor Inicial]]*IFERROR(PRODUCT(1+_xlfn._xlws.FILTER(tabIndices[PERCENTUAL],tabIndices[DATA DA PUBLICAÇÃO]&gt;tabUniformes[[#This Row],[DATA PUBLICAÇÃO]])),1)</f>
        <v>16.38</v>
      </c>
      <c r="F109" s="172">
        <v>1</v>
      </c>
      <c r="G109" s="172" t="s">
        <v>48</v>
      </c>
      <c r="H109" s="172">
        <v>8</v>
      </c>
      <c r="I109" s="173">
        <f>tabUniformes[[#This Row],[Valor Reajustado]]*tabUniformes[[#This Row],[Qtde Anual de Peças]]*tabUniformes[[#This Row],[Qtde. funcionários]]</f>
        <v>131.04</v>
      </c>
      <c r="J109" s="172">
        <f>tabUniformes[[#This Row],[Qtde Anual de Peças]]*tabUniformes[[#This Row],[Qtde. funcionários]]</f>
        <v>8</v>
      </c>
      <c r="K109" s="170">
        <f>IFERROR(tabUniformes[[#This Row],[Total]]/12/tabUniformes[[#This Row],[Qtde. funcionários]],0)</f>
        <v>1.365</v>
      </c>
      <c r="M109"/>
    </row>
    <row r="110" spans="1:13" ht="14.25">
      <c r="A110" s="169" t="s">
        <v>1807</v>
      </c>
      <c r="B110" s="278" t="s">
        <v>1827</v>
      </c>
      <c r="C110" s="171"/>
      <c r="D110" s="311">
        <v>32</v>
      </c>
      <c r="E110" s="170" cm="1">
        <f t="array" ref="E110">tabUniformes[[#This Row],[Valor Inicial]]*IFERROR(PRODUCT(1+_xlfn._xlws.FILTER(tabIndices[PERCENTUAL],tabIndices[DATA DA PUBLICAÇÃO]&gt;tabUniformes[[#This Row],[DATA PUBLICAÇÃO]])),1)</f>
        <v>32</v>
      </c>
      <c r="F110" s="172">
        <v>4</v>
      </c>
      <c r="G110" s="172" t="s">
        <v>48</v>
      </c>
      <c r="H110" s="172">
        <v>8</v>
      </c>
      <c r="I110" s="173">
        <f>tabUniformes[[#This Row],[Valor Reajustado]]*tabUniformes[[#This Row],[Qtde Anual de Peças]]*tabUniformes[[#This Row],[Qtde. funcionários]]</f>
        <v>1024</v>
      </c>
      <c r="J110" s="172">
        <f>tabUniformes[[#This Row],[Qtde Anual de Peças]]*tabUniformes[[#This Row],[Qtde. funcionários]]</f>
        <v>32</v>
      </c>
      <c r="K110" s="170">
        <f>IFERROR(tabUniformes[[#This Row],[Total]]/12/tabUniformes[[#This Row],[Qtde. funcionários]],0)</f>
        <v>10.666666666666666</v>
      </c>
      <c r="M110"/>
    </row>
    <row r="111" spans="1:13" ht="14.25">
      <c r="A111" s="169" t="s">
        <v>1862</v>
      </c>
      <c r="B111" s="278" t="s">
        <v>1828</v>
      </c>
      <c r="C111" s="171"/>
      <c r="D111" s="311">
        <v>14.42</v>
      </c>
      <c r="E111" s="170" cm="1">
        <f t="array" ref="E111">tabUniformes[[#This Row],[Valor Inicial]]*IFERROR(PRODUCT(1+_xlfn._xlws.FILTER(tabIndices[PERCENTUAL],tabIndices[DATA DA PUBLICAÇÃO]&gt;tabUniformes[[#This Row],[DATA PUBLICAÇÃO]])),1)</f>
        <v>14.42</v>
      </c>
      <c r="F111" s="172">
        <v>50</v>
      </c>
      <c r="G111" s="172" t="s">
        <v>48</v>
      </c>
      <c r="H111" s="172">
        <v>8</v>
      </c>
      <c r="I111" s="173">
        <f>tabUniformes[[#This Row],[Valor Reajustado]]*tabUniformes[[#This Row],[Qtde Anual de Peças]]*tabUniformes[[#This Row],[Qtde. funcionários]]</f>
        <v>5768</v>
      </c>
      <c r="J111" s="172">
        <f>tabUniformes[[#This Row],[Qtde Anual de Peças]]*tabUniformes[[#This Row],[Qtde. funcionários]]</f>
        <v>400</v>
      </c>
      <c r="K111" s="170">
        <f>IFERROR(tabUniformes[[#This Row],[Total]]/12/tabUniformes[[#This Row],[Qtde. funcionários]],0)</f>
        <v>60.083333333333336</v>
      </c>
      <c r="M111"/>
    </row>
    <row r="112" spans="1:13">
      <c r="A112" s="169" t="s">
        <v>12</v>
      </c>
      <c r="B112" s="278" t="s">
        <v>31</v>
      </c>
      <c r="C112" s="171"/>
      <c r="D112" s="311">
        <v>40.85</v>
      </c>
      <c r="E112" s="170" cm="1">
        <f t="array" ref="E112">tabUniformes[[#This Row],[Valor Inicial]]*IFERROR(PRODUCT(1+_xlfn._xlws.FILTER(tabIndices[PERCENTUAL],tabIndices[DATA DA PUBLICAÇÃO]&gt;tabUniformes[[#This Row],[DATA PUBLICAÇÃO]])),1)</f>
        <v>40.85</v>
      </c>
      <c r="F112" s="172">
        <v>8</v>
      </c>
      <c r="G112" s="172" t="s">
        <v>48</v>
      </c>
      <c r="H112" s="172">
        <v>8</v>
      </c>
      <c r="I112" s="173">
        <v>1684.2514098596973</v>
      </c>
      <c r="J112" s="172">
        <v>56</v>
      </c>
      <c r="K112" s="170">
        <v>20.050612022139255</v>
      </c>
    </row>
    <row r="113" spans="1:11">
      <c r="A113" s="169" t="s">
        <v>19</v>
      </c>
      <c r="B113" s="278" t="s">
        <v>37</v>
      </c>
      <c r="C113" s="171"/>
      <c r="D113" s="311">
        <v>66.319999999999993</v>
      </c>
      <c r="E113" s="170" cm="1">
        <f t="array" ref="E113">tabUniformes[[#This Row],[Valor Inicial]]*IFERROR(PRODUCT(1+_xlfn._xlws.FILTER(tabIndices[PERCENTUAL],tabIndices[DATA DA PUBLICAÇÃO]&gt;tabUniformes[[#This Row],[DATA PUBLICAÇÃO]])),1)</f>
        <v>66.319999999999993</v>
      </c>
      <c r="F113" s="172">
        <v>4</v>
      </c>
      <c r="G113" s="172" t="s">
        <v>48</v>
      </c>
      <c r="H113" s="172">
        <v>8</v>
      </c>
      <c r="I113" s="173">
        <v>1010.5508459158184</v>
      </c>
      <c r="J113" s="172">
        <v>28</v>
      </c>
      <c r="K113" s="170">
        <v>12.030367213283553</v>
      </c>
    </row>
    <row r="114" spans="1:11">
      <c r="A114" s="169" t="s">
        <v>1854</v>
      </c>
      <c r="B114" s="278" t="s">
        <v>1830</v>
      </c>
      <c r="C114" s="171"/>
      <c r="D114" s="311">
        <v>344.45</v>
      </c>
      <c r="E114" s="170" cm="1">
        <f t="array" ref="E114">tabUniformes[[#This Row],[Valor Inicial]]*IFERROR(PRODUCT(1+_xlfn._xlws.FILTER(tabIndices[PERCENTUAL],tabIndices[DATA DA PUBLICAÇÃO]&gt;tabUniformes[[#This Row],[DATA PUBLICAÇÃO]])),1)</f>
        <v>344.45</v>
      </c>
      <c r="F114" s="172">
        <v>1</v>
      </c>
      <c r="G114" s="172" t="s">
        <v>48</v>
      </c>
      <c r="H114" s="172">
        <v>8</v>
      </c>
      <c r="I114" s="173">
        <f>tabUniformes[[#This Row],[Valor Reajustado]]*tabUniformes[[#This Row],[Qtde Anual de Peças]]*tabUniformes[[#This Row],[Qtde. funcionários]]</f>
        <v>2755.6</v>
      </c>
      <c r="J114" s="172">
        <f>tabUniformes[[#This Row],[Qtde Anual de Peças]]*tabUniformes[[#This Row],[Qtde. funcionários]]</f>
        <v>8</v>
      </c>
      <c r="K114" s="170">
        <f>IFERROR(tabUniformes[[#This Row],[Total]]/12/tabUniformes[[#This Row],[Qtde. funcionários]],0)</f>
        <v>28.704166666666666</v>
      </c>
    </row>
    <row r="115" spans="1:11">
      <c r="A115" s="169" t="s">
        <v>1854</v>
      </c>
      <c r="B115" s="278" t="s">
        <v>1831</v>
      </c>
      <c r="C115" s="171"/>
      <c r="D115" s="311">
        <v>2.5</v>
      </c>
      <c r="E115" s="170" cm="1">
        <f t="array" ref="E115">tabUniformes[[#This Row],[Valor Inicial]]*IFERROR(PRODUCT(1+_xlfn._xlws.FILTER(tabIndices[PERCENTUAL],tabIndices[DATA DA PUBLICAÇÃO]&gt;tabUniformes[[#This Row],[DATA PUBLICAÇÃO]])),1)</f>
        <v>2.5</v>
      </c>
      <c r="F115" s="172">
        <v>24</v>
      </c>
      <c r="G115" s="172" t="s">
        <v>48</v>
      </c>
      <c r="H115" s="172">
        <v>8</v>
      </c>
      <c r="I115" s="173">
        <f>tabUniformes[[#This Row],[Valor Reajustado]]*tabUniformes[[#This Row],[Qtde Anual de Peças]]*tabUniformes[[#This Row],[Qtde. funcionários]]</f>
        <v>480</v>
      </c>
      <c r="J115" s="172">
        <f>tabUniformes[[#This Row],[Qtde Anual de Peças]]*tabUniformes[[#This Row],[Qtde. funcionários]]</f>
        <v>192</v>
      </c>
      <c r="K115" s="170">
        <f>IFERROR(tabUniformes[[#This Row],[Total]]/12/tabUniformes[[#This Row],[Qtde. funcionários]],0)</f>
        <v>5</v>
      </c>
    </row>
    <row r="116" spans="1:11">
      <c r="A116" s="169" t="s">
        <v>1854</v>
      </c>
      <c r="B116" s="278" t="s">
        <v>1868</v>
      </c>
      <c r="C116" s="171"/>
      <c r="D116" s="311">
        <v>24.46</v>
      </c>
      <c r="E116" s="170" cm="1">
        <f t="array" ref="E116">tabUniformes[[#This Row],[Valor Inicial]]*IFERROR(PRODUCT(1+_xlfn._xlws.FILTER(tabIndices[PERCENTUAL],tabIndices[DATA DA PUBLICAÇÃO]&gt;tabUniformes[[#This Row],[DATA PUBLICAÇÃO]])),1)</f>
        <v>24.46</v>
      </c>
      <c r="F116" s="172">
        <v>20</v>
      </c>
      <c r="G116" s="172" t="s">
        <v>48</v>
      </c>
      <c r="H116" s="172">
        <v>8</v>
      </c>
      <c r="I116" s="173">
        <f>tabUniformes[[#This Row],[Valor Reajustado]]*tabUniformes[[#This Row],[Qtde Anual de Peças]]*tabUniformes[[#This Row],[Qtde. funcionários]]</f>
        <v>3913.6000000000004</v>
      </c>
      <c r="J116" s="172">
        <f>tabUniformes[[#This Row],[Qtde Anual de Peças]]*tabUniformes[[#This Row],[Qtde. funcionários]]</f>
        <v>160</v>
      </c>
      <c r="K116" s="170">
        <f>IFERROR(tabUniformes[[#This Row],[Total]]/12/tabUniformes[[#This Row],[Qtde. funcionários]],0)</f>
        <v>40.766666666666673</v>
      </c>
    </row>
    <row r="117" spans="1:11">
      <c r="A117" s="169" t="s">
        <v>14</v>
      </c>
      <c r="B117" s="278" t="s">
        <v>25</v>
      </c>
      <c r="C117" s="171"/>
      <c r="D117" s="311">
        <v>95.13</v>
      </c>
      <c r="E117" s="170" cm="1">
        <f t="array" ref="E117">tabUniformes[[#This Row],[Valor Inicial]]*IFERROR(PRODUCT(1+_xlfn._xlws.FILTER(tabIndices[PERCENTUAL],tabIndices[DATA DA PUBLICAÇÃO]&gt;tabUniformes[[#This Row],[DATA PUBLICAÇÃO]])),1)</f>
        <v>95.13</v>
      </c>
      <c r="F117" s="172">
        <v>1</v>
      </c>
      <c r="G117" s="172" t="s">
        <v>48</v>
      </c>
      <c r="H117" s="172">
        <v>8</v>
      </c>
      <c r="I117" s="173">
        <v>421.06285246492433</v>
      </c>
      <c r="J117" s="172">
        <v>7</v>
      </c>
      <c r="K117" s="170">
        <v>5.0126530055348137</v>
      </c>
    </row>
    <row r="118" spans="1:11">
      <c r="A118" s="169" t="s">
        <v>1853</v>
      </c>
      <c r="B118" s="278" t="s">
        <v>1809</v>
      </c>
      <c r="C118" s="171"/>
      <c r="D118" s="311">
        <v>7.67</v>
      </c>
      <c r="E118" s="170" cm="1">
        <f t="array" ref="E118">tabUniformes[[#This Row],[Valor Inicial]]*IFERROR(PRODUCT(1+_xlfn._xlws.FILTER(tabIndices[PERCENTUAL],tabIndices[DATA DA PUBLICAÇÃO]&gt;tabUniformes[[#This Row],[DATA PUBLICAÇÃO]])),1)</f>
        <v>7.67</v>
      </c>
      <c r="F118" s="172">
        <v>2</v>
      </c>
      <c r="G118" s="172" t="s">
        <v>48</v>
      </c>
      <c r="H118" s="172">
        <v>8</v>
      </c>
      <c r="I118" s="173">
        <f>tabUniformes[[#This Row],[Valor Reajustado]]*tabUniformes[[#This Row],[Qtde Anual de Peças]]*tabUniformes[[#This Row],[Qtde. funcionários]]</f>
        <v>122.72</v>
      </c>
      <c r="J118" s="172">
        <f>tabUniformes[[#This Row],[Qtde Anual de Peças]]*tabUniformes[[#This Row],[Qtde. funcionários]]</f>
        <v>16</v>
      </c>
      <c r="K118" s="170">
        <f>IFERROR(tabUniformes[[#This Row],[Total]]/12/tabUniformes[[#This Row],[Qtde. funcionários]],0)</f>
        <v>1.2783333333333333</v>
      </c>
    </row>
    <row r="119" spans="1:11">
      <c r="A119" s="169" t="s">
        <v>1865</v>
      </c>
      <c r="B119" s="278" t="s">
        <v>1832</v>
      </c>
      <c r="C119" s="171"/>
      <c r="D119" s="311">
        <v>36.26</v>
      </c>
      <c r="E119" s="170" cm="1">
        <f t="array" ref="E119">tabUniformes[[#This Row],[Valor Inicial]]*IFERROR(PRODUCT(1+_xlfn._xlws.FILTER(tabIndices[PERCENTUAL],tabIndices[DATA DA PUBLICAÇÃO]&gt;tabUniformes[[#This Row],[DATA PUBLICAÇÃO]])),1)</f>
        <v>36.26</v>
      </c>
      <c r="F119" s="172">
        <v>1</v>
      </c>
      <c r="G119" s="172" t="s">
        <v>48</v>
      </c>
      <c r="H119" s="172">
        <v>8</v>
      </c>
      <c r="I119" s="173">
        <f>tabUniformes[[#This Row],[Valor Reajustado]]*tabUniformes[[#This Row],[Qtde Anual de Peças]]*tabUniformes[[#This Row],[Qtde. funcionários]]</f>
        <v>290.08</v>
      </c>
      <c r="J119" s="172">
        <f>tabUniformes[[#This Row],[Qtde Anual de Peças]]*tabUniformes[[#This Row],[Qtde. funcionários]]</f>
        <v>8</v>
      </c>
      <c r="K119" s="170">
        <f>IFERROR(tabUniformes[[#This Row],[Total]]/12/tabUniformes[[#This Row],[Qtde. funcionários]],0)</f>
        <v>3.0216666666666665</v>
      </c>
    </row>
    <row r="120" spans="1:11">
      <c r="A120" s="169" t="s">
        <v>1855</v>
      </c>
      <c r="B120" s="278" t="s">
        <v>1833</v>
      </c>
      <c r="C120" s="171"/>
      <c r="D120" s="311">
        <v>5.14</v>
      </c>
      <c r="E120" s="170" cm="1">
        <f t="array" ref="E120">tabUniformes[[#This Row],[Valor Inicial]]*IFERROR(PRODUCT(1+_xlfn._xlws.FILTER(tabIndices[PERCENTUAL],tabIndices[DATA DA PUBLICAÇÃO]&gt;tabUniformes[[#This Row],[DATA PUBLICAÇÃO]])),1)</f>
        <v>5.14</v>
      </c>
      <c r="F120" s="172">
        <v>10</v>
      </c>
      <c r="G120" s="172" t="s">
        <v>48</v>
      </c>
      <c r="H120" s="172">
        <v>8</v>
      </c>
      <c r="I120" s="173">
        <f>tabUniformes[[#This Row],[Valor Reajustado]]*tabUniformes[[#This Row],[Qtde Anual de Peças]]*tabUniformes[[#This Row],[Qtde. funcionários]]</f>
        <v>411.2</v>
      </c>
      <c r="J120" s="172">
        <f>tabUniformes[[#This Row],[Qtde Anual de Peças]]*tabUniformes[[#This Row],[Qtde. funcionários]]</f>
        <v>80</v>
      </c>
      <c r="K120" s="170">
        <f>IFERROR(tabUniformes[[#This Row],[Total]]/12/tabUniformes[[#This Row],[Qtde. funcionários]],0)</f>
        <v>4.2833333333333332</v>
      </c>
    </row>
    <row r="121" spans="1:11">
      <c r="A121" s="169" t="s">
        <v>1854</v>
      </c>
      <c r="B121" s="278" t="s">
        <v>1835</v>
      </c>
      <c r="C121" s="171"/>
      <c r="D121" s="311">
        <v>326.77999999999997</v>
      </c>
      <c r="E121" s="170" cm="1">
        <f t="array" ref="E121">tabUniformes[[#This Row],[Valor Inicial]]*IFERROR(PRODUCT(1+_xlfn._xlws.FILTER(tabIndices[PERCENTUAL],tabIndices[DATA DA PUBLICAÇÃO]&gt;tabUniformes[[#This Row],[DATA PUBLICAÇÃO]])),1)</f>
        <v>326.77999999999997</v>
      </c>
      <c r="F121" s="172">
        <v>12</v>
      </c>
      <c r="G121" s="172" t="s">
        <v>48</v>
      </c>
      <c r="H121" s="172">
        <v>8</v>
      </c>
      <c r="I121" s="173">
        <f>tabUniformes[[#This Row],[Valor Reajustado]]*tabUniformes[[#This Row],[Qtde Anual de Peças]]*tabUniformes[[#This Row],[Qtde. funcionários]]</f>
        <v>31370.879999999997</v>
      </c>
      <c r="J121" s="172">
        <f>tabUniformes[[#This Row],[Qtde Anual de Peças]]*tabUniformes[[#This Row],[Qtde. funcionários]]</f>
        <v>96</v>
      </c>
      <c r="K121" s="170">
        <f>IFERROR(tabUniformes[[#This Row],[Total]]/12/tabUniformes[[#This Row],[Qtde. funcionários]],0)</f>
        <v>326.77999999999997</v>
      </c>
    </row>
    <row r="122" spans="1:11">
      <c r="A122" s="169" t="s">
        <v>11</v>
      </c>
      <c r="B122" s="278" t="s">
        <v>29</v>
      </c>
      <c r="C122" s="171"/>
      <c r="D122" s="311">
        <v>60.93</v>
      </c>
      <c r="E122" s="170" cm="1">
        <f t="array" ref="E122">tabUniformes[[#This Row],[Valor Inicial]]*IFERROR(PRODUCT(1+_xlfn._xlws.FILTER(tabIndices[PERCENTUAL],tabIndices[DATA DA PUBLICAÇÃO]&gt;tabUniformes[[#This Row],[DATA PUBLICAÇÃO]])),1)</f>
        <v>60.93</v>
      </c>
      <c r="F122" s="172">
        <v>4</v>
      </c>
      <c r="G122" s="172" t="s">
        <v>49</v>
      </c>
      <c r="H122" s="172">
        <v>20</v>
      </c>
      <c r="I122" s="173">
        <v>3368.5028197193947</v>
      </c>
      <c r="J122" s="172">
        <v>80</v>
      </c>
      <c r="K122" s="170">
        <v>14.035428415497478</v>
      </c>
    </row>
    <row r="123" spans="1:11">
      <c r="A123" s="169" t="s">
        <v>17</v>
      </c>
      <c r="B123" s="278" t="s">
        <v>1808</v>
      </c>
      <c r="C123" s="171"/>
      <c r="D123" s="311">
        <v>280.04000000000002</v>
      </c>
      <c r="E123" s="170" cm="1">
        <f t="array" ref="E123">tabUniformes[[#This Row],[Valor Inicial]]*IFERROR(PRODUCT(1+_xlfn._xlws.FILTER(tabIndices[PERCENTUAL],tabIndices[DATA DA PUBLICAÇÃO]&gt;tabUniformes[[#This Row],[DATA PUBLICAÇÃO]])),1)</f>
        <v>280.04000000000002</v>
      </c>
      <c r="F123" s="172">
        <v>2</v>
      </c>
      <c r="G123" s="172" t="s">
        <v>49</v>
      </c>
      <c r="H123" s="172">
        <v>20</v>
      </c>
      <c r="I123" s="173">
        <f>tabUniformes[[#This Row],[Valor Reajustado]]*tabUniformes[[#This Row],[Qtde Anual de Peças]]*tabUniformes[[#This Row],[Qtde. funcionários]]</f>
        <v>11201.6</v>
      </c>
      <c r="J123" s="172">
        <f>tabUniformes[[#This Row],[Qtde Anual de Peças]]*tabUniformes[[#This Row],[Qtde. funcionários]]</f>
        <v>40</v>
      </c>
      <c r="K123" s="170">
        <f>IFERROR(tabUniformes[[#This Row],[Total]]/12/tabUniformes[[#This Row],[Qtde. funcionários]],0)</f>
        <v>46.673333333333332</v>
      </c>
    </row>
    <row r="124" spans="1:11">
      <c r="A124" s="169" t="s">
        <v>1858</v>
      </c>
      <c r="B124" s="278" t="s">
        <v>1836</v>
      </c>
      <c r="C124" s="171"/>
      <c r="D124" s="311">
        <v>18.07</v>
      </c>
      <c r="E124" s="170" cm="1">
        <f t="array" ref="E124">tabUniformes[[#This Row],[Valor Inicial]]*IFERROR(PRODUCT(1+_xlfn._xlws.FILTER(tabIndices[PERCENTUAL],tabIndices[DATA DA PUBLICAÇÃO]&gt;tabUniformes[[#This Row],[DATA PUBLICAÇÃO]])),1)</f>
        <v>18.07</v>
      </c>
      <c r="F124" s="172">
        <v>1</v>
      </c>
      <c r="G124" s="172" t="s">
        <v>49</v>
      </c>
      <c r="H124" s="172">
        <v>20</v>
      </c>
      <c r="I124" s="173">
        <f>tabUniformes[[#This Row],[Valor Reajustado]]*tabUniformes[[#This Row],[Qtde Anual de Peças]]*tabUniformes[[#This Row],[Qtde. funcionários]]</f>
        <v>361.4</v>
      </c>
      <c r="J124" s="172">
        <f>tabUniformes[[#This Row],[Qtde Anual de Peças]]*tabUniformes[[#This Row],[Qtde. funcionários]]</f>
        <v>20</v>
      </c>
      <c r="K124" s="170">
        <f>IFERROR(tabUniformes[[#This Row],[Total]]/12/tabUniformes[[#This Row],[Qtde. funcionários]],0)</f>
        <v>1.5058333333333331</v>
      </c>
    </row>
    <row r="125" spans="1:11">
      <c r="A125" s="169" t="s">
        <v>1859</v>
      </c>
      <c r="B125" s="278" t="s">
        <v>1837</v>
      </c>
      <c r="C125" s="171"/>
      <c r="D125" s="311">
        <v>85.57</v>
      </c>
      <c r="E125" s="170" cm="1">
        <f t="array" ref="E125">tabUniformes[[#This Row],[Valor Inicial]]*IFERROR(PRODUCT(1+_xlfn._xlws.FILTER(tabIndices[PERCENTUAL],tabIndices[DATA DA PUBLICAÇÃO]&gt;tabUniformes[[#This Row],[DATA PUBLICAÇÃO]])),1)</f>
        <v>85.57</v>
      </c>
      <c r="F125" s="172">
        <v>1</v>
      </c>
      <c r="G125" s="172" t="s">
        <v>49</v>
      </c>
      <c r="H125" s="172">
        <v>20</v>
      </c>
      <c r="I125" s="173">
        <f>tabUniformes[[#This Row],[Valor Reajustado]]*tabUniformes[[#This Row],[Qtde Anual de Peças]]*tabUniformes[[#This Row],[Qtde. funcionários]]</f>
        <v>1711.3999999999999</v>
      </c>
      <c r="J125" s="172">
        <f>tabUniformes[[#This Row],[Qtde Anual de Peças]]*tabUniformes[[#This Row],[Qtde. funcionários]]</f>
        <v>20</v>
      </c>
      <c r="K125" s="170">
        <f>IFERROR(tabUniformes[[#This Row],[Total]]/12/tabUniformes[[#This Row],[Qtde. funcionários]],0)</f>
        <v>7.1308333333333325</v>
      </c>
    </row>
    <row r="126" spans="1:11">
      <c r="A126" s="169" t="s">
        <v>1807</v>
      </c>
      <c r="B126" s="278" t="s">
        <v>1824</v>
      </c>
      <c r="C126" s="171"/>
      <c r="D126" s="311">
        <v>7.27</v>
      </c>
      <c r="E126" s="170" cm="1">
        <f t="array" ref="E126">tabUniformes[[#This Row],[Valor Inicial]]*IFERROR(PRODUCT(1+_xlfn._xlws.FILTER(tabIndices[PERCENTUAL],tabIndices[DATA DA PUBLICAÇÃO]&gt;tabUniformes[[#This Row],[DATA PUBLICAÇÃO]])),1)</f>
        <v>7.27</v>
      </c>
      <c r="F126" s="172">
        <v>12</v>
      </c>
      <c r="G126" s="172" t="s">
        <v>49</v>
      </c>
      <c r="H126" s="172">
        <v>20</v>
      </c>
      <c r="I126" s="173">
        <f>tabUniformes[[#This Row],[Valor Reajustado]]*tabUniformes[[#This Row],[Qtde Anual de Peças]]*tabUniformes[[#This Row],[Qtde. funcionários]]</f>
        <v>1744.8</v>
      </c>
      <c r="J126" s="172">
        <f>tabUniformes[[#This Row],[Qtde Anual de Peças]]*tabUniformes[[#This Row],[Qtde. funcionários]]</f>
        <v>240</v>
      </c>
      <c r="K126" s="170">
        <f>IFERROR(tabUniformes[[#This Row],[Total]]/12/tabUniformes[[#This Row],[Qtde. funcionários]],0)</f>
        <v>7.2700000000000005</v>
      </c>
    </row>
    <row r="127" spans="1:11">
      <c r="A127" s="169" t="s">
        <v>12</v>
      </c>
      <c r="B127" s="278" t="s">
        <v>31</v>
      </c>
      <c r="C127" s="171"/>
      <c r="D127" s="311">
        <v>40.85</v>
      </c>
      <c r="E127" s="170" cm="1">
        <f t="array" ref="E127">tabUniformes[[#This Row],[Valor Inicial]]*IFERROR(PRODUCT(1+_xlfn._xlws.FILTER(tabIndices[PERCENTUAL],tabIndices[DATA DA PUBLICAÇÃO]&gt;tabUniformes[[#This Row],[DATA PUBLICAÇÃO]])),1)</f>
        <v>40.85</v>
      </c>
      <c r="F127" s="172">
        <v>8</v>
      </c>
      <c r="G127" s="172" t="s">
        <v>49</v>
      </c>
      <c r="H127" s="172">
        <v>20</v>
      </c>
      <c r="I127" s="173">
        <v>4812.1468853134211</v>
      </c>
      <c r="J127" s="172">
        <v>160</v>
      </c>
      <c r="K127" s="170">
        <v>20.050612022139255</v>
      </c>
    </row>
    <row r="128" spans="1:11">
      <c r="A128" s="169" t="s">
        <v>14</v>
      </c>
      <c r="B128" s="278" t="s">
        <v>25</v>
      </c>
      <c r="C128" s="171"/>
      <c r="D128" s="311">
        <v>95.13</v>
      </c>
      <c r="E128" s="170" cm="1">
        <f t="array" ref="E128">tabUniformes[[#This Row],[Valor Inicial]]*IFERROR(PRODUCT(1+_xlfn._xlws.FILTER(tabIndices[PERCENTUAL],tabIndices[DATA DA PUBLICAÇÃO]&gt;tabUniformes[[#This Row],[DATA PUBLICAÇÃO]])),1)</f>
        <v>95.13</v>
      </c>
      <c r="F128" s="172">
        <v>1</v>
      </c>
      <c r="G128" s="172" t="s">
        <v>49</v>
      </c>
      <c r="H128" s="172">
        <v>20</v>
      </c>
      <c r="I128" s="173">
        <v>1203.0367213283553</v>
      </c>
      <c r="J128" s="172">
        <v>20</v>
      </c>
      <c r="K128" s="170">
        <v>5.0126530055348137</v>
      </c>
    </row>
    <row r="129" spans="1:11">
      <c r="A129" s="169" t="s">
        <v>11</v>
      </c>
      <c r="B129" s="278" t="s">
        <v>30</v>
      </c>
      <c r="C129" s="171"/>
      <c r="D129" s="311">
        <v>94.82</v>
      </c>
      <c r="E129" s="170" cm="1">
        <f t="array" ref="E129">tabUniformes[[#This Row],[Valor Inicial]]*IFERROR(PRODUCT(1+_xlfn._xlws.FILTER(tabIndices[PERCENTUAL],tabIndices[DATA DA PUBLICAÇÃO]&gt;tabUniformes[[#This Row],[DATA PUBLICAÇÃO]])),1)</f>
        <v>94.82</v>
      </c>
      <c r="F129" s="172">
        <v>4</v>
      </c>
      <c r="G129" s="172" t="s">
        <v>50</v>
      </c>
      <c r="H129" s="172">
        <v>106</v>
      </c>
      <c r="I129" s="173">
        <v>22737.394033105917</v>
      </c>
      <c r="J129" s="172">
        <v>420</v>
      </c>
      <c r="K129" s="170">
        <v>18.045550819925332</v>
      </c>
    </row>
    <row r="130" spans="1:11">
      <c r="A130" s="169" t="s">
        <v>14</v>
      </c>
      <c r="B130" s="278" t="s">
        <v>25</v>
      </c>
      <c r="C130" s="171"/>
      <c r="D130" s="311">
        <v>95.13</v>
      </c>
      <c r="E130" s="170" cm="1">
        <f t="array" ref="E130">tabUniformes[[#This Row],[Valor Inicial]]*IFERROR(PRODUCT(1+_xlfn._xlws.FILTER(tabIndices[PERCENTUAL],tabIndices[DATA DA PUBLICAÇÃO]&gt;tabUniformes[[#This Row],[DATA PUBLICAÇÃO]])),1)</f>
        <v>95.13</v>
      </c>
      <c r="F130" s="172">
        <v>1</v>
      </c>
      <c r="G130" s="172" t="s">
        <v>50</v>
      </c>
      <c r="H130" s="172">
        <v>106</v>
      </c>
      <c r="I130" s="173">
        <v>6315.9427869738656</v>
      </c>
      <c r="J130" s="172">
        <v>105</v>
      </c>
      <c r="K130" s="170">
        <v>5.0126530055348137</v>
      </c>
    </row>
    <row r="131" spans="1:11">
      <c r="A131" s="169" t="s">
        <v>12</v>
      </c>
      <c r="B131" s="278" t="s">
        <v>32</v>
      </c>
      <c r="C131" s="171"/>
      <c r="D131" s="311">
        <v>69.83</v>
      </c>
      <c r="E131" s="170" cm="1">
        <f t="array" ref="E131">tabUniformes[[#This Row],[Valor Inicial]]*IFERROR(PRODUCT(1+_xlfn._xlws.FILTER(tabIndices[PERCENTUAL],tabIndices[DATA DA PUBLICAÇÃO]&gt;tabUniformes[[#This Row],[DATA PUBLICAÇÃO]])),1)</f>
        <v>69.83</v>
      </c>
      <c r="F131" s="172">
        <v>6</v>
      </c>
      <c r="G131" s="172" t="s">
        <v>50</v>
      </c>
      <c r="H131" s="172">
        <v>106</v>
      </c>
      <c r="I131" s="173">
        <v>26526.959705290232</v>
      </c>
      <c r="J131" s="172">
        <v>630</v>
      </c>
      <c r="K131" s="170">
        <v>21.053142623246217</v>
      </c>
    </row>
    <row r="132" spans="1:11">
      <c r="A132" s="169" t="s">
        <v>17</v>
      </c>
      <c r="B132" s="278" t="s">
        <v>1867</v>
      </c>
      <c r="C132" s="171"/>
      <c r="D132" s="311">
        <v>97.31</v>
      </c>
      <c r="E132" s="170" cm="1">
        <f t="array" ref="E132">tabUniformes[[#This Row],[Valor Inicial]]*IFERROR(PRODUCT(1+_xlfn._xlws.FILTER(tabIndices[PERCENTUAL],tabIndices[DATA DA PUBLICAÇÃO]&gt;tabUniformes[[#This Row],[DATA PUBLICAÇÃO]])),1)</f>
        <v>97.31</v>
      </c>
      <c r="F132" s="172">
        <v>2</v>
      </c>
      <c r="G132" s="172" t="s">
        <v>50</v>
      </c>
      <c r="H132" s="172">
        <v>106</v>
      </c>
      <c r="I132" s="173">
        <v>15158.262688737275</v>
      </c>
      <c r="J132" s="172">
        <v>210</v>
      </c>
      <c r="K132" s="170">
        <v>12.030367213283553</v>
      </c>
    </row>
    <row r="133" spans="1:11">
      <c r="A133" s="169" t="s">
        <v>17</v>
      </c>
      <c r="B133" s="278" t="s">
        <v>1808</v>
      </c>
      <c r="C133" s="171"/>
      <c r="D133" s="311">
        <v>280.04000000000002</v>
      </c>
      <c r="E133" s="170" cm="1">
        <f t="array" ref="E133">tabUniformes[[#This Row],[Valor Inicial]]*IFERROR(PRODUCT(1+_xlfn._xlws.FILTER(tabIndices[PERCENTUAL],tabIndices[DATA DA PUBLICAÇÃO]&gt;tabUniformes[[#This Row],[DATA PUBLICAÇÃO]])),1)</f>
        <v>280.04000000000002</v>
      </c>
      <c r="F133" s="172">
        <v>2</v>
      </c>
      <c r="G133" s="172" t="s">
        <v>1390</v>
      </c>
      <c r="H133" s="172">
        <v>7</v>
      </c>
      <c r="I133" s="173">
        <f>tabUniformes[[#This Row],[Valor Reajustado]]*tabUniformes[[#This Row],[Qtde Anual de Peças]]*tabUniformes[[#This Row],[Qtde. funcionários]]</f>
        <v>3920.5600000000004</v>
      </c>
      <c r="J133" s="172">
        <f>tabUniformes[[#This Row],[Qtde Anual de Peças]]*tabUniformes[[#This Row],[Qtde. funcionários]]</f>
        <v>14</v>
      </c>
      <c r="K133" s="170">
        <f>IFERROR(tabUniformes[[#This Row],[Total]]/12/tabUniformes[[#This Row],[Qtde. funcionários]],0)</f>
        <v>46.673333333333339</v>
      </c>
    </row>
    <row r="134" spans="1:11">
      <c r="A134" s="169" t="s">
        <v>11</v>
      </c>
      <c r="B134" s="278" t="s">
        <v>30</v>
      </c>
      <c r="C134" s="171"/>
      <c r="D134" s="311">
        <v>94.82</v>
      </c>
      <c r="E134" s="170" cm="1">
        <f t="array" ref="E134">tabUniformes[[#This Row],[Valor Inicial]]*IFERROR(PRODUCT(1+_xlfn._xlws.FILTER(tabIndices[PERCENTUAL],tabIndices[DATA DA PUBLICAÇÃO]&gt;tabUniformes[[#This Row],[DATA PUBLICAÇÃO]])),1)</f>
        <v>94.82</v>
      </c>
      <c r="F134" s="172">
        <v>4</v>
      </c>
      <c r="G134" s="172" t="s">
        <v>1390</v>
      </c>
      <c r="H134" s="172">
        <v>7</v>
      </c>
      <c r="I134" s="173">
        <v>1515.8262688737277</v>
      </c>
      <c r="J134" s="172">
        <v>28</v>
      </c>
      <c r="K134" s="170">
        <v>18.045550819925332</v>
      </c>
    </row>
    <row r="135" spans="1:11">
      <c r="A135" s="169" t="s">
        <v>14</v>
      </c>
      <c r="B135" s="278" t="s">
        <v>25</v>
      </c>
      <c r="C135" s="171"/>
      <c r="D135" s="311">
        <v>95.13</v>
      </c>
      <c r="E135" s="170" cm="1">
        <f t="array" ref="E135">tabUniformes[[#This Row],[Valor Inicial]]*IFERROR(PRODUCT(1+_xlfn._xlws.FILTER(tabIndices[PERCENTUAL],tabIndices[DATA DA PUBLICAÇÃO]&gt;tabUniformes[[#This Row],[DATA PUBLICAÇÃO]])),1)</f>
        <v>95.13</v>
      </c>
      <c r="F135" s="172">
        <v>1</v>
      </c>
      <c r="G135" s="172" t="s">
        <v>1390</v>
      </c>
      <c r="H135" s="172">
        <v>7</v>
      </c>
      <c r="I135" s="173">
        <v>421.06285246492433</v>
      </c>
      <c r="J135" s="172">
        <v>7</v>
      </c>
      <c r="K135" s="170">
        <v>5.0126530055348137</v>
      </c>
    </row>
    <row r="136" spans="1:11">
      <c r="A136" s="169" t="s">
        <v>12</v>
      </c>
      <c r="B136" s="278" t="s">
        <v>32</v>
      </c>
      <c r="C136" s="171"/>
      <c r="D136" s="311">
        <v>69.83</v>
      </c>
      <c r="E136" s="170" cm="1">
        <f t="array" ref="E136">tabUniformes[[#This Row],[Valor Inicial]]*IFERROR(PRODUCT(1+_xlfn._xlws.FILTER(tabIndices[PERCENTUAL],tabIndices[DATA DA PUBLICAÇÃO]&gt;tabUniformes[[#This Row],[DATA PUBLICAÇÃO]])),1)</f>
        <v>69.83</v>
      </c>
      <c r="F136" s="172">
        <v>6</v>
      </c>
      <c r="G136" s="172" t="s">
        <v>1390</v>
      </c>
      <c r="H136" s="172">
        <v>7</v>
      </c>
      <c r="I136" s="173">
        <v>1768.4639803526823</v>
      </c>
      <c r="J136" s="172">
        <v>42</v>
      </c>
      <c r="K136" s="170">
        <v>21.05314262324622</v>
      </c>
    </row>
    <row r="137" spans="1:11">
      <c r="A137" s="169" t="s">
        <v>18</v>
      </c>
      <c r="B137" s="278" t="s">
        <v>1838</v>
      </c>
      <c r="C137" s="171"/>
      <c r="D137" s="311">
        <v>13.29</v>
      </c>
      <c r="E137" s="170" cm="1">
        <f t="array" ref="E137">tabUniformes[[#This Row],[Valor Inicial]]*IFERROR(PRODUCT(1+_xlfn._xlws.FILTER(tabIndices[PERCENTUAL],tabIndices[DATA DA PUBLICAÇÃO]&gt;tabUniformes[[#This Row],[DATA PUBLICAÇÃO]])),1)</f>
        <v>13.29</v>
      </c>
      <c r="F137" s="172">
        <v>4</v>
      </c>
      <c r="G137" s="172" t="s">
        <v>51</v>
      </c>
      <c r="H137" s="172">
        <v>13</v>
      </c>
      <c r="I137" s="173">
        <f>tabUniformes[[#This Row],[Valor Reajustado]]*tabUniformes[[#This Row],[Qtde Anual de Peças]]*tabUniformes[[#This Row],[Qtde. funcionários]]</f>
        <v>691.07999999999993</v>
      </c>
      <c r="J137" s="172">
        <f>tabUniformes[[#This Row],[Qtde Anual de Peças]]*tabUniformes[[#This Row],[Qtde. funcionários]]</f>
        <v>52</v>
      </c>
      <c r="K137" s="170">
        <f>IFERROR(tabUniformes[[#This Row],[Total]]/12/tabUniformes[[#This Row],[Qtde. funcionários]],0)</f>
        <v>4.43</v>
      </c>
    </row>
    <row r="138" spans="1:11">
      <c r="A138" s="169" t="s">
        <v>11</v>
      </c>
      <c r="B138" s="278" t="s">
        <v>29</v>
      </c>
      <c r="C138" s="171"/>
      <c r="D138" s="311">
        <v>60.93</v>
      </c>
      <c r="E138" s="170" cm="1">
        <f t="array" ref="E138">tabUniformes[[#This Row],[Valor Inicial]]*IFERROR(PRODUCT(1+_xlfn._xlws.FILTER(tabIndices[PERCENTUAL],tabIndices[DATA DA PUBLICAÇÃO]&gt;tabUniformes[[#This Row],[DATA PUBLICAÇÃO]])),1)</f>
        <v>60.93</v>
      </c>
      <c r="F138" s="172">
        <v>4</v>
      </c>
      <c r="G138" s="172" t="s">
        <v>51</v>
      </c>
      <c r="H138" s="172">
        <v>13</v>
      </c>
      <c r="I138" s="173">
        <v>2189.5268328176066</v>
      </c>
      <c r="J138" s="172">
        <v>52</v>
      </c>
      <c r="K138" s="170">
        <v>14.035428415497478</v>
      </c>
    </row>
    <row r="139" spans="1:11">
      <c r="A139" s="169" t="s">
        <v>17</v>
      </c>
      <c r="B139" s="278" t="s">
        <v>1808</v>
      </c>
      <c r="C139" s="171"/>
      <c r="D139" s="311">
        <v>280.04000000000002</v>
      </c>
      <c r="E139" s="170" cm="1">
        <f t="array" ref="E139">tabUniformes[[#This Row],[Valor Inicial]]*IFERROR(PRODUCT(1+_xlfn._xlws.FILTER(tabIndices[PERCENTUAL],tabIndices[DATA DA PUBLICAÇÃO]&gt;tabUniformes[[#This Row],[DATA PUBLICAÇÃO]])),1)</f>
        <v>280.04000000000002</v>
      </c>
      <c r="F139" s="172">
        <v>2</v>
      </c>
      <c r="G139" s="172" t="s">
        <v>51</v>
      </c>
      <c r="H139" s="172">
        <v>13</v>
      </c>
      <c r="I139" s="173">
        <f>tabUniformes[[#This Row],[Valor Reajustado]]*tabUniformes[[#This Row],[Qtde Anual de Peças]]*tabUniformes[[#This Row],[Qtde. funcionários]]</f>
        <v>7281.0400000000009</v>
      </c>
      <c r="J139" s="172">
        <f>tabUniformes[[#This Row],[Qtde Anual de Peças]]*tabUniformes[[#This Row],[Qtde. funcionários]]</f>
        <v>26</v>
      </c>
      <c r="K139" s="170">
        <f>IFERROR(tabUniformes[[#This Row],[Total]]/12/tabUniformes[[#This Row],[Qtde. funcionários]],0)</f>
        <v>46.673333333333339</v>
      </c>
    </row>
    <row r="140" spans="1:11">
      <c r="A140" s="169" t="s">
        <v>1807</v>
      </c>
      <c r="B140" s="278" t="s">
        <v>1825</v>
      </c>
      <c r="C140" s="171"/>
      <c r="D140" s="311">
        <v>6.12</v>
      </c>
      <c r="E140" s="170" cm="1">
        <f t="array" ref="E140">tabUniformes[[#This Row],[Valor Inicial]]*IFERROR(PRODUCT(1+_xlfn._xlws.FILTER(tabIndices[PERCENTUAL],tabIndices[DATA DA PUBLICAÇÃO]&gt;tabUniformes[[#This Row],[DATA PUBLICAÇÃO]])),1)</f>
        <v>6.12</v>
      </c>
      <c r="F140" s="172">
        <v>24</v>
      </c>
      <c r="G140" s="172" t="s">
        <v>51</v>
      </c>
      <c r="H140" s="172">
        <v>13</v>
      </c>
      <c r="I140" s="173">
        <f>tabUniformes[[#This Row],[Valor Reajustado]]*tabUniformes[[#This Row],[Qtde Anual de Peças]]*tabUniformes[[#This Row],[Qtde. funcionários]]</f>
        <v>1909.44</v>
      </c>
      <c r="J140" s="172">
        <f>tabUniformes[[#This Row],[Qtde Anual de Peças]]*tabUniformes[[#This Row],[Qtde. funcionários]]</f>
        <v>312</v>
      </c>
      <c r="K140" s="170">
        <f>IFERROR(tabUniformes[[#This Row],[Total]]/12/tabUniformes[[#This Row],[Qtde. funcionários]],0)</f>
        <v>12.24</v>
      </c>
    </row>
    <row r="141" spans="1:11">
      <c r="A141" s="169" t="s">
        <v>12</v>
      </c>
      <c r="B141" s="278" t="s">
        <v>31</v>
      </c>
      <c r="C141" s="171"/>
      <c r="D141" s="311">
        <v>40.85</v>
      </c>
      <c r="E141" s="170" cm="1">
        <f t="array" ref="E141">tabUniformes[[#This Row],[Valor Inicial]]*IFERROR(PRODUCT(1+_xlfn._xlws.FILTER(tabIndices[PERCENTUAL],tabIndices[DATA DA PUBLICAÇÃO]&gt;tabUniformes[[#This Row],[DATA PUBLICAÇÃO]])),1)</f>
        <v>40.85</v>
      </c>
      <c r="F141" s="172">
        <v>8</v>
      </c>
      <c r="G141" s="172" t="s">
        <v>51</v>
      </c>
      <c r="H141" s="172">
        <v>13</v>
      </c>
      <c r="I141" s="173">
        <v>3127.895475453724</v>
      </c>
      <c r="J141" s="172">
        <v>104</v>
      </c>
      <c r="K141" s="170">
        <v>20.050612022139259</v>
      </c>
    </row>
    <row r="142" spans="1:11">
      <c r="A142" s="169" t="s">
        <v>1854</v>
      </c>
      <c r="B142" s="278" t="s">
        <v>1839</v>
      </c>
      <c r="C142" s="171"/>
      <c r="D142" s="311">
        <v>0.32</v>
      </c>
      <c r="E142" s="170" cm="1">
        <f t="array" ref="E142">tabUniformes[[#This Row],[Valor Inicial]]*IFERROR(PRODUCT(1+_xlfn._xlws.FILTER(tabIndices[PERCENTUAL],tabIndices[DATA DA PUBLICAÇÃO]&gt;tabUniformes[[#This Row],[DATA PUBLICAÇÃO]])),1)</f>
        <v>0.32</v>
      </c>
      <c r="F142" s="172">
        <v>4</v>
      </c>
      <c r="G142" s="172" t="s">
        <v>51</v>
      </c>
      <c r="H142" s="172">
        <v>13</v>
      </c>
      <c r="I142" s="173">
        <f>tabUniformes[[#This Row],[Valor Reajustado]]*tabUniformes[[#This Row],[Qtde Anual de Peças]]*tabUniformes[[#This Row],[Qtde. funcionários]]</f>
        <v>16.64</v>
      </c>
      <c r="J142" s="172">
        <f>tabUniformes[[#This Row],[Qtde Anual de Peças]]*tabUniformes[[#This Row],[Qtde. funcionários]]</f>
        <v>52</v>
      </c>
      <c r="K142" s="170">
        <f>IFERROR(tabUniformes[[#This Row],[Total]]/12/tabUniformes[[#This Row],[Qtde. funcionários]],0)</f>
        <v>0.10666666666666667</v>
      </c>
    </row>
    <row r="143" spans="1:11">
      <c r="A143" s="169" t="s">
        <v>14</v>
      </c>
      <c r="B143" s="278" t="s">
        <v>25</v>
      </c>
      <c r="C143" s="171"/>
      <c r="D143" s="311">
        <v>95.13</v>
      </c>
      <c r="E143" s="170" cm="1">
        <f t="array" ref="E143">tabUniformes[[#This Row],[Valor Inicial]]*IFERROR(PRODUCT(1+_xlfn._xlws.FILTER(tabIndices[PERCENTUAL],tabIndices[DATA DA PUBLICAÇÃO]&gt;tabUniformes[[#This Row],[DATA PUBLICAÇÃO]])),1)</f>
        <v>95.13</v>
      </c>
      <c r="F143" s="172">
        <v>1</v>
      </c>
      <c r="G143" s="172" t="s">
        <v>51</v>
      </c>
      <c r="H143" s="172">
        <v>13</v>
      </c>
      <c r="I143" s="173">
        <v>781.97386886343099</v>
      </c>
      <c r="J143" s="172">
        <v>13</v>
      </c>
      <c r="K143" s="170">
        <v>5.0126530055348146</v>
      </c>
    </row>
    <row r="144" spans="1:11">
      <c r="A144" s="169" t="s">
        <v>21</v>
      </c>
      <c r="B144" s="278" t="s">
        <v>1840</v>
      </c>
      <c r="C144" s="171"/>
      <c r="D144" s="311">
        <v>15.45</v>
      </c>
      <c r="E144" s="170" cm="1">
        <f t="array" ref="E144">tabUniformes[[#This Row],[Valor Inicial]]*IFERROR(PRODUCT(1+_xlfn._xlws.FILTER(tabIndices[PERCENTUAL],tabIndices[DATA DA PUBLICAÇÃO]&gt;tabUniformes[[#This Row],[DATA PUBLICAÇÃO]])),1)</f>
        <v>15.45</v>
      </c>
      <c r="F144" s="172">
        <v>4</v>
      </c>
      <c r="G144" s="172" t="s">
        <v>51</v>
      </c>
      <c r="H144" s="172">
        <v>13</v>
      </c>
      <c r="I144" s="173">
        <f>tabUniformes[[#This Row],[Valor Reajustado]]*tabUniformes[[#This Row],[Qtde Anual de Peças]]*tabUniformes[[#This Row],[Qtde. funcionários]]</f>
        <v>803.4</v>
      </c>
      <c r="J144" s="172">
        <f>tabUniformes[[#This Row],[Qtde Anual de Peças]]*tabUniformes[[#This Row],[Qtde. funcionários]]</f>
        <v>52</v>
      </c>
      <c r="K144" s="170">
        <f>IFERROR(tabUniformes[[#This Row],[Total]]/12/tabUniformes[[#This Row],[Qtde. funcionários]],0)</f>
        <v>5.15</v>
      </c>
    </row>
    <row r="145" spans="1:11">
      <c r="A145" s="169" t="s">
        <v>11</v>
      </c>
      <c r="B145" s="278" t="s">
        <v>30</v>
      </c>
      <c r="C145" s="171"/>
      <c r="D145" s="311">
        <v>94.82</v>
      </c>
      <c r="E145" s="170" cm="1">
        <f t="array" ref="E145">tabUniformes[[#This Row],[Valor Inicial]]*IFERROR(PRODUCT(1+_xlfn._xlws.FILTER(tabIndices[PERCENTUAL],tabIndices[DATA DA PUBLICAÇÃO]&gt;tabUniformes[[#This Row],[DATA PUBLICAÇÃO]])),1)</f>
        <v>94.82</v>
      </c>
      <c r="F145" s="172">
        <v>4</v>
      </c>
      <c r="G145" s="172" t="s">
        <v>52</v>
      </c>
      <c r="H145" s="172">
        <v>17</v>
      </c>
      <c r="I145" s="173">
        <v>3681.2923672647671</v>
      </c>
      <c r="J145" s="172">
        <v>68</v>
      </c>
      <c r="K145" s="170">
        <v>18.045550819925328</v>
      </c>
    </row>
    <row r="146" spans="1:11">
      <c r="A146" s="169" t="s">
        <v>14</v>
      </c>
      <c r="B146" s="278" t="s">
        <v>25</v>
      </c>
      <c r="C146" s="171"/>
      <c r="D146" s="311">
        <v>95.13</v>
      </c>
      <c r="E146" s="170" cm="1">
        <f t="array" ref="E146">tabUniformes[[#This Row],[Valor Inicial]]*IFERROR(PRODUCT(1+_xlfn._xlws.FILTER(tabIndices[PERCENTUAL],tabIndices[DATA DA PUBLICAÇÃO]&gt;tabUniformes[[#This Row],[DATA PUBLICAÇÃO]])),1)</f>
        <v>95.13</v>
      </c>
      <c r="F146" s="172">
        <v>1</v>
      </c>
      <c r="G146" s="172" t="s">
        <v>52</v>
      </c>
      <c r="H146" s="172">
        <v>17</v>
      </c>
      <c r="I146" s="173">
        <v>1022.581213129102</v>
      </c>
      <c r="J146" s="172">
        <v>17</v>
      </c>
      <c r="K146" s="170">
        <v>5.0126530055348137</v>
      </c>
    </row>
    <row r="147" spans="1:11">
      <c r="A147" s="169" t="s">
        <v>12</v>
      </c>
      <c r="B147" s="278" t="s">
        <v>32</v>
      </c>
      <c r="C147" s="171"/>
      <c r="D147" s="311">
        <v>69.83</v>
      </c>
      <c r="E147" s="170" cm="1">
        <f t="array" ref="E147">tabUniformes[[#This Row],[Valor Inicial]]*IFERROR(PRODUCT(1+_xlfn._xlws.FILTER(tabIndices[PERCENTUAL],tabIndices[DATA DA PUBLICAÇÃO]&gt;tabUniformes[[#This Row],[DATA PUBLICAÇÃO]])),1)</f>
        <v>69.83</v>
      </c>
      <c r="F147" s="172">
        <v>6</v>
      </c>
      <c r="G147" s="172" t="s">
        <v>52</v>
      </c>
      <c r="H147" s="172">
        <v>17</v>
      </c>
      <c r="I147" s="173">
        <v>4294.8410951422284</v>
      </c>
      <c r="J147" s="172">
        <v>102</v>
      </c>
      <c r="K147" s="170">
        <v>21.053142623246217</v>
      </c>
    </row>
    <row r="148" spans="1:11">
      <c r="A148" s="169" t="s">
        <v>18</v>
      </c>
      <c r="B148" s="278" t="s">
        <v>1813</v>
      </c>
      <c r="C148" s="171"/>
      <c r="D148" s="311">
        <v>90.53</v>
      </c>
      <c r="E148" s="170" cm="1">
        <f t="array" ref="E148">tabUniformes[[#This Row],[Valor Inicial]]*IFERROR(PRODUCT(1+_xlfn._xlws.FILTER(tabIndices[PERCENTUAL],tabIndices[DATA DA PUBLICAÇÃO]&gt;tabUniformes[[#This Row],[DATA PUBLICAÇÃO]])),1)</f>
        <v>90.53</v>
      </c>
      <c r="F148" s="172">
        <v>1</v>
      </c>
      <c r="G148" s="172" t="s">
        <v>53</v>
      </c>
      <c r="H148" s="172">
        <v>18</v>
      </c>
      <c r="I148" s="173">
        <f>tabUniformes[[#This Row],[Valor Reajustado]]*tabUniformes[[#This Row],[Qtde Anual de Peças]]*tabUniformes[[#This Row],[Qtde. funcionários]]</f>
        <v>1629.54</v>
      </c>
      <c r="J148" s="172">
        <f>tabUniformes[[#This Row],[Qtde Anual de Peças]]*tabUniformes[[#This Row],[Qtde. funcionários]]</f>
        <v>18</v>
      </c>
      <c r="K148" s="170">
        <f>IFERROR(tabUniformes[[#This Row],[Total]]/12/tabUniformes[[#This Row],[Qtde. funcionários]],0)</f>
        <v>7.5441666666666656</v>
      </c>
    </row>
    <row r="149" spans="1:11">
      <c r="A149" s="169" t="s">
        <v>1857</v>
      </c>
      <c r="B149" s="278" t="s">
        <v>1815</v>
      </c>
      <c r="C149" s="171"/>
      <c r="D149" s="311">
        <v>176.36</v>
      </c>
      <c r="E149" s="170" cm="1">
        <f t="array" ref="E149">tabUniformes[[#This Row],[Valor Inicial]]*IFERROR(PRODUCT(1+_xlfn._xlws.FILTER(tabIndices[PERCENTUAL],tabIndices[DATA DA PUBLICAÇÃO]&gt;tabUniformes[[#This Row],[DATA PUBLICAÇÃO]])),1)</f>
        <v>176.36</v>
      </c>
      <c r="F149" s="172">
        <v>4</v>
      </c>
      <c r="G149" s="172" t="s">
        <v>53</v>
      </c>
      <c r="H149" s="172">
        <v>18</v>
      </c>
      <c r="I149" s="173">
        <f>tabUniformes[[#This Row],[Valor Reajustado]]*tabUniformes[[#This Row],[Qtde Anual de Peças]]*tabUniformes[[#This Row],[Qtde. funcionários]]</f>
        <v>12697.920000000002</v>
      </c>
      <c r="J149" s="172">
        <f>tabUniformes[[#This Row],[Qtde Anual de Peças]]*tabUniformes[[#This Row],[Qtde. funcionários]]</f>
        <v>72</v>
      </c>
      <c r="K149" s="170">
        <f>IFERROR(tabUniformes[[#This Row],[Total]]/12/tabUniformes[[#This Row],[Qtde. funcionários]],0)</f>
        <v>58.786666666666669</v>
      </c>
    </row>
    <row r="150" spans="1:11">
      <c r="A150" s="169" t="s">
        <v>17</v>
      </c>
      <c r="B150" s="278" t="s">
        <v>1808</v>
      </c>
      <c r="C150" s="171"/>
      <c r="D150" s="311">
        <v>280.04000000000002</v>
      </c>
      <c r="E150" s="170" cm="1">
        <f t="array" ref="E150">tabUniformes[[#This Row],[Valor Inicial]]*IFERROR(PRODUCT(1+_xlfn._xlws.FILTER(tabIndices[PERCENTUAL],tabIndices[DATA DA PUBLICAÇÃO]&gt;tabUniformes[[#This Row],[DATA PUBLICAÇÃO]])),1)</f>
        <v>280.04000000000002</v>
      </c>
      <c r="F150" s="172">
        <v>2</v>
      </c>
      <c r="G150" s="172" t="s">
        <v>53</v>
      </c>
      <c r="H150" s="172">
        <v>18</v>
      </c>
      <c r="I150" s="173">
        <f>tabUniformes[[#This Row],[Valor Reajustado]]*tabUniformes[[#This Row],[Qtde Anual de Peças]]*tabUniformes[[#This Row],[Qtde. funcionários]]</f>
        <v>10081.44</v>
      </c>
      <c r="J150" s="172">
        <f>tabUniformes[[#This Row],[Qtde Anual de Peças]]*tabUniformes[[#This Row],[Qtde. funcionários]]</f>
        <v>36</v>
      </c>
      <c r="K150" s="170">
        <f>IFERROR(tabUniformes[[#This Row],[Total]]/12/tabUniformes[[#This Row],[Qtde. funcionários]],0)</f>
        <v>46.673333333333332</v>
      </c>
    </row>
    <row r="151" spans="1:11">
      <c r="A151" s="169" t="s">
        <v>1856</v>
      </c>
      <c r="B151" s="278" t="s">
        <v>1816</v>
      </c>
      <c r="C151" s="171"/>
      <c r="D151" s="311">
        <v>172.99</v>
      </c>
      <c r="E151" s="170" cm="1">
        <f t="array" ref="E151">tabUniformes[[#This Row],[Valor Inicial]]*IFERROR(PRODUCT(1+_xlfn._xlws.FILTER(tabIndices[PERCENTUAL],tabIndices[DATA DA PUBLICAÇÃO]&gt;tabUniformes[[#This Row],[DATA PUBLICAÇÃO]])),1)</f>
        <v>172.99</v>
      </c>
      <c r="F151" s="172">
        <v>4</v>
      </c>
      <c r="G151" s="172" t="s">
        <v>53</v>
      </c>
      <c r="H151" s="172">
        <v>18</v>
      </c>
      <c r="I151" s="173">
        <f>tabUniformes[[#This Row],[Valor Reajustado]]*tabUniformes[[#This Row],[Qtde Anual de Peças]]*tabUniformes[[#This Row],[Qtde. funcionários]]</f>
        <v>12455.28</v>
      </c>
      <c r="J151" s="172">
        <f>tabUniformes[[#This Row],[Qtde Anual de Peças]]*tabUniformes[[#This Row],[Qtde. funcionários]]</f>
        <v>72</v>
      </c>
      <c r="K151" s="170">
        <f>IFERROR(tabUniformes[[#This Row],[Total]]/12/tabUniformes[[#This Row],[Qtde. funcionários]],0)</f>
        <v>57.663333333333334</v>
      </c>
    </row>
    <row r="152" spans="1:11">
      <c r="A152" s="169" t="s">
        <v>1860</v>
      </c>
      <c r="B152" s="278" t="s">
        <v>1817</v>
      </c>
      <c r="C152" s="171"/>
      <c r="D152" s="311">
        <v>22.2</v>
      </c>
      <c r="E152" s="170" cm="1">
        <f t="array" ref="E152">tabUniformes[[#This Row],[Valor Inicial]]*IFERROR(PRODUCT(1+_xlfn._xlws.FILTER(tabIndices[PERCENTUAL],tabIndices[DATA DA PUBLICAÇÃO]&gt;tabUniformes[[#This Row],[DATA PUBLICAÇÃO]])),1)</f>
        <v>22.2</v>
      </c>
      <c r="F152" s="172">
        <v>1</v>
      </c>
      <c r="G152" s="172" t="s">
        <v>53</v>
      </c>
      <c r="H152" s="172">
        <v>18</v>
      </c>
      <c r="I152" s="173">
        <f>tabUniformes[[#This Row],[Valor Reajustado]]*tabUniformes[[#This Row],[Qtde Anual de Peças]]*tabUniformes[[#This Row],[Qtde. funcionários]]</f>
        <v>399.59999999999997</v>
      </c>
      <c r="J152" s="172">
        <f>tabUniformes[[#This Row],[Qtde Anual de Peças]]*tabUniformes[[#This Row],[Qtde. funcionários]]</f>
        <v>18</v>
      </c>
      <c r="K152" s="170">
        <f>IFERROR(tabUniformes[[#This Row],[Total]]/12/tabUniformes[[#This Row],[Qtde. funcionários]],0)</f>
        <v>1.8499999999999999</v>
      </c>
    </row>
    <row r="153" spans="1:11">
      <c r="A153" s="169" t="s">
        <v>1861</v>
      </c>
      <c r="B153" s="278" t="s">
        <v>1818</v>
      </c>
      <c r="C153" s="171"/>
      <c r="D153" s="311">
        <v>64.2</v>
      </c>
      <c r="E153" s="170" cm="1">
        <f t="array" ref="E153">tabUniformes[[#This Row],[Valor Inicial]]*IFERROR(PRODUCT(1+_xlfn._xlws.FILTER(tabIndices[PERCENTUAL],tabIndices[DATA DA PUBLICAÇÃO]&gt;tabUniformes[[#This Row],[DATA PUBLICAÇÃO]])),1)</f>
        <v>64.2</v>
      </c>
      <c r="F153" s="172">
        <v>1</v>
      </c>
      <c r="G153" s="172" t="s">
        <v>53</v>
      </c>
      <c r="H153" s="172">
        <v>18</v>
      </c>
      <c r="I153" s="173">
        <f>tabUniformes[[#This Row],[Valor Reajustado]]*tabUniformes[[#This Row],[Qtde Anual de Peças]]*tabUniformes[[#This Row],[Qtde. funcionários]]</f>
        <v>1155.6000000000001</v>
      </c>
      <c r="J153" s="172">
        <f>tabUniformes[[#This Row],[Qtde Anual de Peças]]*tabUniformes[[#This Row],[Qtde. funcionários]]</f>
        <v>18</v>
      </c>
      <c r="K153" s="170">
        <f>IFERROR(tabUniformes[[#This Row],[Total]]/12/tabUniformes[[#This Row],[Qtde. funcionários]],0)</f>
        <v>5.3500000000000005</v>
      </c>
    </row>
    <row r="154" spans="1:11">
      <c r="A154" s="169" t="s">
        <v>1859</v>
      </c>
      <c r="B154" s="278" t="s">
        <v>1819</v>
      </c>
      <c r="C154" s="171"/>
      <c r="D154" s="311">
        <v>351.15</v>
      </c>
      <c r="E154" s="170" cm="1">
        <f t="array" ref="E154">tabUniformes[[#This Row],[Valor Inicial]]*IFERROR(PRODUCT(1+_xlfn._xlws.FILTER(tabIndices[PERCENTUAL],tabIndices[DATA DA PUBLICAÇÃO]&gt;tabUniformes[[#This Row],[DATA PUBLICAÇÃO]])),1)</f>
        <v>351.15</v>
      </c>
      <c r="F154" s="172">
        <v>1</v>
      </c>
      <c r="G154" s="172" t="s">
        <v>53</v>
      </c>
      <c r="H154" s="172">
        <v>18</v>
      </c>
      <c r="I154" s="173">
        <f>tabUniformes[[#This Row],[Valor Reajustado]]*tabUniformes[[#This Row],[Qtde Anual de Peças]]*tabUniformes[[#This Row],[Qtde. funcionários]]</f>
        <v>6320.7</v>
      </c>
      <c r="J154" s="172">
        <f>tabUniformes[[#This Row],[Qtde Anual de Peças]]*tabUniformes[[#This Row],[Qtde. funcionários]]</f>
        <v>18</v>
      </c>
      <c r="K154" s="170">
        <f>IFERROR(tabUniformes[[#This Row],[Total]]/12/tabUniformes[[#This Row],[Qtde. funcionários]],0)</f>
        <v>29.262500000000003</v>
      </c>
    </row>
    <row r="155" spans="1:11">
      <c r="A155" s="169" t="s">
        <v>11</v>
      </c>
      <c r="B155" s="278" t="s">
        <v>30</v>
      </c>
      <c r="C155" s="171"/>
      <c r="D155" s="311">
        <v>94.82</v>
      </c>
      <c r="E155" s="170" cm="1">
        <f t="array" ref="E155">tabUniformes[[#This Row],[Valor Inicial]]*IFERROR(PRODUCT(1+_xlfn._xlws.FILTER(tabIndices[PERCENTUAL],tabIndices[DATA DA PUBLICAÇÃO]&gt;tabUniformes[[#This Row],[DATA PUBLICAÇÃO]])),1)</f>
        <v>94.82</v>
      </c>
      <c r="F155" s="172">
        <v>4</v>
      </c>
      <c r="G155" s="172" t="s">
        <v>53</v>
      </c>
      <c r="H155" s="172">
        <v>18</v>
      </c>
      <c r="I155" s="173">
        <v>3681.2923672647671</v>
      </c>
      <c r="J155" s="172">
        <v>68</v>
      </c>
      <c r="K155" s="170">
        <v>18.045550819925328</v>
      </c>
    </row>
    <row r="156" spans="1:11">
      <c r="A156" s="169" t="s">
        <v>1807</v>
      </c>
      <c r="B156" s="278" t="s">
        <v>1821</v>
      </c>
      <c r="C156" s="171"/>
      <c r="D156" s="311">
        <v>348.84</v>
      </c>
      <c r="E156" s="170" cm="1">
        <f t="array" ref="E156">tabUniformes[[#This Row],[Valor Inicial]]*IFERROR(PRODUCT(1+_xlfn._xlws.FILTER(tabIndices[PERCENTUAL],tabIndices[DATA DA PUBLICAÇÃO]&gt;tabUniformes[[#This Row],[DATA PUBLICAÇÃO]])),1)</f>
        <v>348.84</v>
      </c>
      <c r="F156" s="172">
        <v>1</v>
      </c>
      <c r="G156" s="172" t="s">
        <v>53</v>
      </c>
      <c r="H156" s="172">
        <v>18</v>
      </c>
      <c r="I156" s="173">
        <f>tabUniformes[[#This Row],[Valor Reajustado]]*tabUniformes[[#This Row],[Qtde Anual de Peças]]*tabUniformes[[#This Row],[Qtde. funcionários]]</f>
        <v>6279.12</v>
      </c>
      <c r="J156" s="172">
        <f>tabUniformes[[#This Row],[Qtde Anual de Peças]]*tabUniformes[[#This Row],[Qtde. funcionários]]</f>
        <v>18</v>
      </c>
      <c r="K156" s="170">
        <f>IFERROR(tabUniformes[[#This Row],[Total]]/12/tabUniformes[[#This Row],[Qtde. funcionários]],0)</f>
        <v>29.07</v>
      </c>
    </row>
    <row r="157" spans="1:11">
      <c r="A157" s="169" t="s">
        <v>1807</v>
      </c>
      <c r="B157" s="278" t="s">
        <v>1822</v>
      </c>
      <c r="C157" s="171"/>
      <c r="D157" s="311">
        <v>20.170000000000002</v>
      </c>
      <c r="E157" s="170" cm="1">
        <f t="array" ref="E157">tabUniformes[[#This Row],[Valor Inicial]]*IFERROR(PRODUCT(1+_xlfn._xlws.FILTER(tabIndices[PERCENTUAL],tabIndices[DATA DA PUBLICAÇÃO]&gt;tabUniformes[[#This Row],[DATA PUBLICAÇÃO]])),1)</f>
        <v>20.170000000000002</v>
      </c>
      <c r="F157" s="172">
        <v>2</v>
      </c>
      <c r="G157" s="172" t="s">
        <v>53</v>
      </c>
      <c r="H157" s="172">
        <v>18</v>
      </c>
      <c r="I157" s="173">
        <f>tabUniformes[[#This Row],[Valor Reajustado]]*tabUniformes[[#This Row],[Qtde Anual de Peças]]*tabUniformes[[#This Row],[Qtde. funcionários]]</f>
        <v>726.12000000000012</v>
      </c>
      <c r="J157" s="172">
        <f>tabUniformes[[#This Row],[Qtde Anual de Peças]]*tabUniformes[[#This Row],[Qtde. funcionários]]</f>
        <v>36</v>
      </c>
      <c r="K157" s="170">
        <f>IFERROR(tabUniformes[[#This Row],[Total]]/12/tabUniformes[[#This Row],[Qtde. funcionários]],0)</f>
        <v>3.3616666666666672</v>
      </c>
    </row>
    <row r="158" spans="1:11">
      <c r="A158" s="169" t="s">
        <v>1807</v>
      </c>
      <c r="B158" s="278" t="s">
        <v>1824</v>
      </c>
      <c r="C158" s="171"/>
      <c r="D158" s="311">
        <v>7.27</v>
      </c>
      <c r="E158" s="170" cm="1">
        <f t="array" ref="E158">tabUniformes[[#This Row],[Valor Inicial]]*IFERROR(PRODUCT(1+_xlfn._xlws.FILTER(tabIndices[PERCENTUAL],tabIndices[DATA DA PUBLICAÇÃO]&gt;tabUniformes[[#This Row],[DATA PUBLICAÇÃO]])),1)</f>
        <v>7.27</v>
      </c>
      <c r="F158" s="172">
        <v>2</v>
      </c>
      <c r="G158" s="172" t="s">
        <v>53</v>
      </c>
      <c r="H158" s="172">
        <v>18</v>
      </c>
      <c r="I158" s="173">
        <f>tabUniformes[[#This Row],[Valor Reajustado]]*tabUniformes[[#This Row],[Qtde Anual de Peças]]*tabUniformes[[#This Row],[Qtde. funcionários]]</f>
        <v>261.71999999999997</v>
      </c>
      <c r="J158" s="172">
        <f>tabUniformes[[#This Row],[Qtde Anual de Peças]]*tabUniformes[[#This Row],[Qtde. funcionários]]</f>
        <v>36</v>
      </c>
      <c r="K158" s="170">
        <f>IFERROR(tabUniformes[[#This Row],[Total]]/12/tabUniformes[[#This Row],[Qtde. funcionários]],0)</f>
        <v>1.2116666666666667</v>
      </c>
    </row>
    <row r="159" spans="1:11">
      <c r="A159" s="169" t="s">
        <v>1807</v>
      </c>
      <c r="B159" s="278" t="s">
        <v>1826</v>
      </c>
      <c r="C159" s="171"/>
      <c r="D159" s="311">
        <v>16.38</v>
      </c>
      <c r="E159" s="170" cm="1">
        <f t="array" ref="E159">tabUniformes[[#This Row],[Valor Inicial]]*IFERROR(PRODUCT(1+_xlfn._xlws.FILTER(tabIndices[PERCENTUAL],tabIndices[DATA DA PUBLICAÇÃO]&gt;tabUniformes[[#This Row],[DATA PUBLICAÇÃO]])),1)</f>
        <v>16.38</v>
      </c>
      <c r="F159" s="172">
        <v>1</v>
      </c>
      <c r="G159" s="172" t="s">
        <v>53</v>
      </c>
      <c r="H159" s="172">
        <v>18</v>
      </c>
      <c r="I159" s="173">
        <f>tabUniformes[[#This Row],[Valor Reajustado]]*tabUniformes[[#This Row],[Qtde Anual de Peças]]*tabUniformes[[#This Row],[Qtde. funcionários]]</f>
        <v>294.83999999999997</v>
      </c>
      <c r="J159" s="172">
        <f>tabUniformes[[#This Row],[Qtde Anual de Peças]]*tabUniformes[[#This Row],[Qtde. funcionários]]</f>
        <v>18</v>
      </c>
      <c r="K159" s="170">
        <f>IFERROR(tabUniformes[[#This Row],[Total]]/12/tabUniformes[[#This Row],[Qtde. funcionários]],0)</f>
        <v>1.3649999999999998</v>
      </c>
    </row>
    <row r="160" spans="1:11">
      <c r="A160" s="169" t="s">
        <v>1862</v>
      </c>
      <c r="B160" s="278" t="s">
        <v>1828</v>
      </c>
      <c r="C160" s="171"/>
      <c r="D160" s="311">
        <v>14.42</v>
      </c>
      <c r="E160" s="170" cm="1">
        <f t="array" ref="E160">tabUniformes[[#This Row],[Valor Inicial]]*IFERROR(PRODUCT(1+_xlfn._xlws.FILTER(tabIndices[PERCENTUAL],tabIndices[DATA DA PUBLICAÇÃO]&gt;tabUniformes[[#This Row],[DATA PUBLICAÇÃO]])),1)</f>
        <v>14.42</v>
      </c>
      <c r="F160" s="172">
        <v>50</v>
      </c>
      <c r="G160" s="172" t="s">
        <v>53</v>
      </c>
      <c r="H160" s="172">
        <v>18</v>
      </c>
      <c r="I160" s="173">
        <f>tabUniformes[[#This Row],[Valor Reajustado]]*tabUniformes[[#This Row],[Qtde Anual de Peças]]*tabUniformes[[#This Row],[Qtde. funcionários]]</f>
        <v>12978</v>
      </c>
      <c r="J160" s="172">
        <f>tabUniformes[[#This Row],[Qtde Anual de Peças]]*tabUniformes[[#This Row],[Qtde. funcionários]]</f>
        <v>900</v>
      </c>
      <c r="K160" s="170">
        <f>IFERROR(tabUniformes[[#This Row],[Total]]/12/tabUniformes[[#This Row],[Qtde. funcionários]],0)</f>
        <v>60.083333333333336</v>
      </c>
    </row>
    <row r="161" spans="1:11">
      <c r="A161" s="169" t="s">
        <v>12</v>
      </c>
      <c r="B161" s="278" t="s">
        <v>31</v>
      </c>
      <c r="C161" s="171"/>
      <c r="D161" s="311">
        <v>40.85</v>
      </c>
      <c r="E161" s="170" cm="1">
        <f t="array" ref="E161">tabUniformes[[#This Row],[Valor Inicial]]*IFERROR(PRODUCT(1+_xlfn._xlws.FILTER(tabIndices[PERCENTUAL],tabIndices[DATA DA PUBLICAÇÃO]&gt;tabUniformes[[#This Row],[DATA PUBLICAÇÃO]])),1)</f>
        <v>40.85</v>
      </c>
      <c r="F161" s="172">
        <v>8</v>
      </c>
      <c r="G161" s="172" t="s">
        <v>53</v>
      </c>
      <c r="H161" s="172">
        <v>18</v>
      </c>
      <c r="I161" s="173">
        <v>4090.3248525164081</v>
      </c>
      <c r="J161" s="172">
        <v>136</v>
      </c>
      <c r="K161" s="170">
        <v>20.050612022139255</v>
      </c>
    </row>
    <row r="162" spans="1:11">
      <c r="A162" s="169" t="s">
        <v>19</v>
      </c>
      <c r="B162" s="278" t="s">
        <v>37</v>
      </c>
      <c r="C162" s="171"/>
      <c r="D162" s="311">
        <v>66.319999999999993</v>
      </c>
      <c r="E162" s="170" cm="1">
        <f t="array" ref="E162">tabUniformes[[#This Row],[Valor Inicial]]*IFERROR(PRODUCT(1+_xlfn._xlws.FILTER(tabIndices[PERCENTUAL],tabIndices[DATA DA PUBLICAÇÃO]&gt;tabUniformes[[#This Row],[DATA PUBLICAÇÃO]])),1)</f>
        <v>66.319999999999993</v>
      </c>
      <c r="F162" s="172">
        <v>4</v>
      </c>
      <c r="G162" s="172" t="s">
        <v>53</v>
      </c>
      <c r="H162" s="172">
        <v>18</v>
      </c>
      <c r="I162" s="173">
        <v>2454.1949115098446</v>
      </c>
      <c r="J162" s="172">
        <v>68</v>
      </c>
      <c r="K162" s="170">
        <v>12.030367213283553</v>
      </c>
    </row>
    <row r="163" spans="1:11">
      <c r="A163" s="169" t="s">
        <v>1854</v>
      </c>
      <c r="B163" s="278" t="s">
        <v>1830</v>
      </c>
      <c r="C163" s="171"/>
      <c r="D163" s="311">
        <v>344.45</v>
      </c>
      <c r="E163" s="170" cm="1">
        <f t="array" ref="E163">tabUniformes[[#This Row],[Valor Inicial]]*IFERROR(PRODUCT(1+_xlfn._xlws.FILTER(tabIndices[PERCENTUAL],tabIndices[DATA DA PUBLICAÇÃO]&gt;tabUniformes[[#This Row],[DATA PUBLICAÇÃO]])),1)</f>
        <v>344.45</v>
      </c>
      <c r="F163" s="172">
        <v>1</v>
      </c>
      <c r="G163" s="172" t="s">
        <v>53</v>
      </c>
      <c r="H163" s="172">
        <v>18</v>
      </c>
      <c r="I163" s="173">
        <f>tabUniformes[[#This Row],[Valor Reajustado]]*tabUniformes[[#This Row],[Qtde Anual de Peças]]*tabUniformes[[#This Row],[Qtde. funcionários]]</f>
        <v>6200.0999999999995</v>
      </c>
      <c r="J163" s="172">
        <f>tabUniformes[[#This Row],[Qtde Anual de Peças]]*tabUniformes[[#This Row],[Qtde. funcionários]]</f>
        <v>18</v>
      </c>
      <c r="K163" s="170">
        <f>IFERROR(tabUniformes[[#This Row],[Total]]/12/tabUniformes[[#This Row],[Qtde. funcionários]],0)</f>
        <v>28.704166666666666</v>
      </c>
    </row>
    <row r="164" spans="1:11">
      <c r="A164" s="169" t="s">
        <v>1854</v>
      </c>
      <c r="B164" s="278" t="s">
        <v>1868</v>
      </c>
      <c r="C164" s="171"/>
      <c r="D164" s="311">
        <v>24.46</v>
      </c>
      <c r="E164" s="170" cm="1">
        <f t="array" ref="E164">tabUniformes[[#This Row],[Valor Inicial]]*IFERROR(PRODUCT(1+_xlfn._xlws.FILTER(tabIndices[PERCENTUAL],tabIndices[DATA DA PUBLICAÇÃO]&gt;tabUniformes[[#This Row],[DATA PUBLICAÇÃO]])),1)</f>
        <v>24.46</v>
      </c>
      <c r="F164" s="172">
        <v>20</v>
      </c>
      <c r="G164" s="172" t="s">
        <v>53</v>
      </c>
      <c r="H164" s="172">
        <v>18</v>
      </c>
      <c r="I164" s="173">
        <f>tabUniformes[[#This Row],[Valor Reajustado]]*tabUniformes[[#This Row],[Qtde Anual de Peças]]*tabUniformes[[#This Row],[Qtde. funcionários]]</f>
        <v>8805.6</v>
      </c>
      <c r="J164" s="172">
        <f>tabUniformes[[#This Row],[Qtde Anual de Peças]]*tabUniformes[[#This Row],[Qtde. funcionários]]</f>
        <v>360</v>
      </c>
      <c r="K164" s="170">
        <f>IFERROR(tabUniformes[[#This Row],[Total]]/12/tabUniformes[[#This Row],[Qtde. funcionários]],0)</f>
        <v>40.766666666666673</v>
      </c>
    </row>
    <row r="165" spans="1:11">
      <c r="A165" s="169" t="s">
        <v>14</v>
      </c>
      <c r="B165" s="278" t="s">
        <v>25</v>
      </c>
      <c r="C165" s="171"/>
      <c r="D165" s="311">
        <v>95.13</v>
      </c>
      <c r="E165" s="170" cm="1">
        <f t="array" ref="E165">tabUniformes[[#This Row],[Valor Inicial]]*IFERROR(PRODUCT(1+_xlfn._xlws.FILTER(tabIndices[PERCENTUAL],tabIndices[DATA DA PUBLICAÇÃO]&gt;tabUniformes[[#This Row],[DATA PUBLICAÇÃO]])),1)</f>
        <v>95.13</v>
      </c>
      <c r="F165" s="172">
        <v>1</v>
      </c>
      <c r="G165" s="172" t="s">
        <v>53</v>
      </c>
      <c r="H165" s="172">
        <v>18</v>
      </c>
      <c r="I165" s="173">
        <v>1022.581213129102</v>
      </c>
      <c r="J165" s="172">
        <v>17</v>
      </c>
      <c r="K165" s="170">
        <v>5.0126530055348137</v>
      </c>
    </row>
    <row r="166" spans="1:11">
      <c r="A166" s="169" t="s">
        <v>1853</v>
      </c>
      <c r="B166" s="278" t="s">
        <v>1809</v>
      </c>
      <c r="C166" s="171"/>
      <c r="D166" s="311">
        <v>7.67</v>
      </c>
      <c r="E166" s="170" cm="1">
        <f t="array" ref="E166">tabUniformes[[#This Row],[Valor Inicial]]*IFERROR(PRODUCT(1+_xlfn._xlws.FILTER(tabIndices[PERCENTUAL],tabIndices[DATA DA PUBLICAÇÃO]&gt;tabUniformes[[#This Row],[DATA PUBLICAÇÃO]])),1)</f>
        <v>7.67</v>
      </c>
      <c r="F166" s="172">
        <v>2</v>
      </c>
      <c r="G166" s="172" t="s">
        <v>53</v>
      </c>
      <c r="H166" s="172">
        <v>18</v>
      </c>
      <c r="I166" s="173">
        <f>tabUniformes[[#This Row],[Valor Reajustado]]*tabUniformes[[#This Row],[Qtde Anual de Peças]]*tabUniformes[[#This Row],[Qtde. funcionários]]</f>
        <v>276.12</v>
      </c>
      <c r="J166" s="172">
        <f>tabUniformes[[#This Row],[Qtde Anual de Peças]]*tabUniformes[[#This Row],[Qtde. funcionários]]</f>
        <v>36</v>
      </c>
      <c r="K166" s="170">
        <f>IFERROR(tabUniformes[[#This Row],[Total]]/12/tabUniformes[[#This Row],[Qtde. funcionários]],0)</f>
        <v>1.2783333333333333</v>
      </c>
    </row>
    <row r="167" spans="1:11">
      <c r="A167" s="169" t="s">
        <v>1853</v>
      </c>
      <c r="B167" s="278" t="s">
        <v>1841</v>
      </c>
      <c r="C167" s="171"/>
      <c r="D167" s="311">
        <v>32.94</v>
      </c>
      <c r="E167" s="170" cm="1">
        <f t="array" ref="E167">tabUniformes[[#This Row],[Valor Inicial]]*IFERROR(PRODUCT(1+_xlfn._xlws.FILTER(tabIndices[PERCENTUAL],tabIndices[DATA DA PUBLICAÇÃO]&gt;tabUniformes[[#This Row],[DATA PUBLICAÇÃO]])),1)</f>
        <v>32.94</v>
      </c>
      <c r="F167" s="172">
        <v>2</v>
      </c>
      <c r="G167" s="172" t="s">
        <v>53</v>
      </c>
      <c r="H167" s="172">
        <v>18</v>
      </c>
      <c r="I167" s="173">
        <f>tabUniformes[[#This Row],[Valor Reajustado]]*tabUniformes[[#This Row],[Qtde Anual de Peças]]*tabUniformes[[#This Row],[Qtde. funcionários]]</f>
        <v>1185.8399999999999</v>
      </c>
      <c r="J167" s="172">
        <f>tabUniformes[[#This Row],[Qtde Anual de Peças]]*tabUniformes[[#This Row],[Qtde. funcionários]]</f>
        <v>36</v>
      </c>
      <c r="K167" s="170">
        <f>IFERROR(tabUniformes[[#This Row],[Total]]/12/tabUniformes[[#This Row],[Qtde. funcionários]],0)</f>
        <v>5.4899999999999993</v>
      </c>
    </row>
    <row r="168" spans="1:11">
      <c r="A168" s="169" t="s">
        <v>1865</v>
      </c>
      <c r="B168" s="278" t="s">
        <v>1832</v>
      </c>
      <c r="C168" s="171"/>
      <c r="D168" s="311">
        <v>36.26</v>
      </c>
      <c r="E168" s="170" cm="1">
        <f t="array" ref="E168">tabUniformes[[#This Row],[Valor Inicial]]*IFERROR(PRODUCT(1+_xlfn._xlws.FILTER(tabIndices[PERCENTUAL],tabIndices[DATA DA PUBLICAÇÃO]&gt;tabUniformes[[#This Row],[DATA PUBLICAÇÃO]])),1)</f>
        <v>36.26</v>
      </c>
      <c r="F168" s="172">
        <v>1</v>
      </c>
      <c r="G168" s="172" t="s">
        <v>53</v>
      </c>
      <c r="H168" s="172">
        <v>18</v>
      </c>
      <c r="I168" s="173">
        <f>tabUniformes[[#This Row],[Valor Reajustado]]*tabUniformes[[#This Row],[Qtde Anual de Peças]]*tabUniformes[[#This Row],[Qtde. funcionários]]</f>
        <v>652.67999999999995</v>
      </c>
      <c r="J168" s="172">
        <f>tabUniformes[[#This Row],[Qtde Anual de Peças]]*tabUniformes[[#This Row],[Qtde. funcionários]]</f>
        <v>18</v>
      </c>
      <c r="K168" s="170">
        <f>IFERROR(tabUniformes[[#This Row],[Total]]/12/tabUniformes[[#This Row],[Qtde. funcionários]],0)</f>
        <v>3.0216666666666665</v>
      </c>
    </row>
    <row r="169" spans="1:11">
      <c r="A169" s="169" t="s">
        <v>1855</v>
      </c>
      <c r="B169" s="278" t="s">
        <v>1833</v>
      </c>
      <c r="C169" s="171"/>
      <c r="D169" s="311">
        <v>5.14</v>
      </c>
      <c r="E169" s="170" cm="1">
        <f t="array" ref="E169">tabUniformes[[#This Row],[Valor Inicial]]*IFERROR(PRODUCT(1+_xlfn._xlws.FILTER(tabIndices[PERCENTUAL],tabIndices[DATA DA PUBLICAÇÃO]&gt;tabUniformes[[#This Row],[DATA PUBLICAÇÃO]])),1)</f>
        <v>5.14</v>
      </c>
      <c r="F169" s="172">
        <v>10</v>
      </c>
      <c r="G169" s="172" t="s">
        <v>53</v>
      </c>
      <c r="H169" s="172">
        <v>18</v>
      </c>
      <c r="I169" s="173">
        <f>tabUniformes[[#This Row],[Valor Reajustado]]*tabUniformes[[#This Row],[Qtde Anual de Peças]]*tabUniformes[[#This Row],[Qtde. funcionários]]</f>
        <v>925.19999999999993</v>
      </c>
      <c r="J169" s="172">
        <f>tabUniformes[[#This Row],[Qtde Anual de Peças]]*tabUniformes[[#This Row],[Qtde. funcionários]]</f>
        <v>180</v>
      </c>
      <c r="K169" s="170">
        <f>IFERROR(tabUniformes[[#This Row],[Total]]/12/tabUniformes[[#This Row],[Qtde. funcionários]],0)</f>
        <v>4.2833333333333332</v>
      </c>
    </row>
    <row r="170" spans="1:11">
      <c r="A170" s="169" t="s">
        <v>12</v>
      </c>
      <c r="B170" s="278" t="s">
        <v>1791</v>
      </c>
      <c r="C170" s="171"/>
      <c r="D170" s="311">
        <v>99</v>
      </c>
      <c r="E170" s="170" cm="1">
        <f t="array" ref="E170">tabUniformes[[#This Row],[Valor Inicial]]*IFERROR(PRODUCT(1+_xlfn._xlws.FILTER(tabIndices[PERCENTUAL],tabIndices[DATA DA PUBLICAÇÃO]&gt;tabUniformes[[#This Row],[DATA PUBLICAÇÃO]])),1)</f>
        <v>99</v>
      </c>
      <c r="F170" s="172">
        <v>6</v>
      </c>
      <c r="G170" s="172" t="s">
        <v>1391</v>
      </c>
      <c r="H170" s="172">
        <v>2</v>
      </c>
      <c r="I170" s="173">
        <v>577.4576262376105</v>
      </c>
      <c r="J170" s="172">
        <v>12</v>
      </c>
      <c r="K170" s="170">
        <v>24.060734426567105</v>
      </c>
    </row>
    <row r="171" spans="1:11">
      <c r="A171" s="169" t="s">
        <v>10</v>
      </c>
      <c r="B171" s="278" t="s">
        <v>27</v>
      </c>
      <c r="C171" s="171"/>
      <c r="D171" s="311">
        <v>221.5</v>
      </c>
      <c r="E171" s="170" cm="1">
        <f t="array" ref="E171">tabUniformes[[#This Row],[Valor Inicial]]*IFERROR(PRODUCT(1+_xlfn._xlws.FILTER(tabIndices[PERCENTUAL],tabIndices[DATA DA PUBLICAÇÃO]&gt;tabUniformes[[#This Row],[DATA PUBLICAÇÃO]])),1)</f>
        <v>221.5</v>
      </c>
      <c r="F171" s="172">
        <v>1</v>
      </c>
      <c r="G171" s="172" t="s">
        <v>1391</v>
      </c>
      <c r="H171" s="172">
        <v>2</v>
      </c>
      <c r="I171" s="173">
        <v>156.39477377268619</v>
      </c>
      <c r="J171" s="172">
        <v>2</v>
      </c>
      <c r="K171" s="170">
        <v>6.516448907195258</v>
      </c>
    </row>
    <row r="172" spans="1:11">
      <c r="A172" s="169" t="s">
        <v>11</v>
      </c>
      <c r="B172" s="278" t="s">
        <v>28</v>
      </c>
      <c r="C172" s="171"/>
      <c r="D172" s="311">
        <v>105</v>
      </c>
      <c r="E172" s="170" cm="1">
        <f t="array" ref="E172">tabUniformes[[#This Row],[Valor Inicial]]*IFERROR(PRODUCT(1+_xlfn._xlws.FILTER(tabIndices[PERCENTUAL],tabIndices[DATA DA PUBLICAÇÃO]&gt;tabUniformes[[#This Row],[DATA PUBLICAÇÃO]])),1)</f>
        <v>105</v>
      </c>
      <c r="F172" s="172">
        <v>4</v>
      </c>
      <c r="G172" s="172" t="s">
        <v>1391</v>
      </c>
      <c r="H172" s="172">
        <v>2</v>
      </c>
      <c r="I172" s="173">
        <v>336.85028197193947</v>
      </c>
      <c r="J172" s="172">
        <v>8</v>
      </c>
      <c r="K172" s="170">
        <v>14.035428415497478</v>
      </c>
    </row>
    <row r="173" spans="1:11">
      <c r="A173" s="169" t="s">
        <v>17</v>
      </c>
      <c r="B173" s="278" t="s">
        <v>1790</v>
      </c>
      <c r="C173" s="171"/>
      <c r="D173" s="311">
        <v>189.5</v>
      </c>
      <c r="E173" s="170" cm="1">
        <f t="array" ref="E173">tabUniformes[[#This Row],[Valor Inicial]]*IFERROR(PRODUCT(1+_xlfn._xlws.FILTER(tabIndices[PERCENTUAL],tabIndices[DATA DA PUBLICAÇÃO]&gt;tabUniformes[[#This Row],[DATA PUBLICAÇÃO]])),1)</f>
        <v>189.5</v>
      </c>
      <c r="F173" s="172">
        <v>1</v>
      </c>
      <c r="G173" s="172" t="s">
        <v>1391</v>
      </c>
      <c r="H173" s="172">
        <v>2</v>
      </c>
      <c r="I173" s="173">
        <v>288.72881311880525</v>
      </c>
      <c r="J173" s="172">
        <v>4</v>
      </c>
      <c r="K173" s="170">
        <v>12.030367213283553</v>
      </c>
    </row>
    <row r="174" spans="1:11">
      <c r="A174" s="169" t="s">
        <v>12</v>
      </c>
      <c r="B174" s="278" t="s">
        <v>1791</v>
      </c>
      <c r="C174" s="171"/>
      <c r="D174" s="311">
        <v>99</v>
      </c>
      <c r="E174" s="170" cm="1">
        <f t="array" ref="E174">tabUniformes[[#This Row],[Valor Inicial]]*IFERROR(PRODUCT(1+_xlfn._xlws.FILTER(tabIndices[PERCENTUAL],tabIndices[DATA DA PUBLICAÇÃO]&gt;tabUniformes[[#This Row],[DATA PUBLICAÇÃO]])),1)</f>
        <v>99</v>
      </c>
      <c r="F174" s="172">
        <v>6</v>
      </c>
      <c r="G174" s="172" t="s">
        <v>1525</v>
      </c>
      <c r="H174" s="172">
        <v>2</v>
      </c>
      <c r="I174" s="173">
        <v>577.4576262376105</v>
      </c>
      <c r="J174" s="172">
        <v>12</v>
      </c>
      <c r="K174" s="170">
        <v>24.060734426567105</v>
      </c>
    </row>
    <row r="175" spans="1:11">
      <c r="A175" s="169" t="s">
        <v>10</v>
      </c>
      <c r="B175" s="278" t="s">
        <v>27</v>
      </c>
      <c r="C175" s="171"/>
      <c r="D175" s="311">
        <v>221.5</v>
      </c>
      <c r="E175" s="170" cm="1">
        <f t="array" ref="E175">tabUniformes[[#This Row],[Valor Inicial]]*IFERROR(PRODUCT(1+_xlfn._xlws.FILTER(tabIndices[PERCENTUAL],tabIndices[DATA DA PUBLICAÇÃO]&gt;tabUniformes[[#This Row],[DATA PUBLICAÇÃO]])),1)</f>
        <v>221.5</v>
      </c>
      <c r="F175" s="172">
        <v>1</v>
      </c>
      <c r="G175" s="172" t="s">
        <v>1525</v>
      </c>
      <c r="H175" s="172">
        <v>2</v>
      </c>
      <c r="I175" s="173">
        <v>156.39477377268619</v>
      </c>
      <c r="J175" s="172">
        <v>2</v>
      </c>
      <c r="K175" s="170">
        <v>6.516448907195258</v>
      </c>
    </row>
    <row r="176" spans="1:11">
      <c r="A176" s="169" t="s">
        <v>11</v>
      </c>
      <c r="B176" s="278" t="s">
        <v>28</v>
      </c>
      <c r="C176" s="171"/>
      <c r="D176" s="311">
        <v>105</v>
      </c>
      <c r="E176" s="170" cm="1">
        <f t="array" ref="E176">tabUniformes[[#This Row],[Valor Inicial]]*IFERROR(PRODUCT(1+_xlfn._xlws.FILTER(tabIndices[PERCENTUAL],tabIndices[DATA DA PUBLICAÇÃO]&gt;tabUniformes[[#This Row],[DATA PUBLICAÇÃO]])),1)</f>
        <v>105</v>
      </c>
      <c r="F176" s="172">
        <v>4</v>
      </c>
      <c r="G176" s="172" t="s">
        <v>1525</v>
      </c>
      <c r="H176" s="172">
        <v>2</v>
      </c>
      <c r="I176" s="173">
        <v>336.85028197193947</v>
      </c>
      <c r="J176" s="172">
        <v>8</v>
      </c>
      <c r="K176" s="170">
        <v>14.035428415497478</v>
      </c>
    </row>
    <row r="177" spans="1:11">
      <c r="A177" s="169" t="s">
        <v>17</v>
      </c>
      <c r="B177" s="278" t="s">
        <v>1790</v>
      </c>
      <c r="C177" s="171"/>
      <c r="D177" s="311">
        <v>189.5</v>
      </c>
      <c r="E177" s="170" cm="1">
        <f t="array" ref="E177">tabUniformes[[#This Row],[Valor Inicial]]*IFERROR(PRODUCT(1+_xlfn._xlws.FILTER(tabIndices[PERCENTUAL],tabIndices[DATA DA PUBLICAÇÃO]&gt;tabUniformes[[#This Row],[DATA PUBLICAÇÃO]])),1)</f>
        <v>189.5</v>
      </c>
      <c r="F177" s="172">
        <v>1</v>
      </c>
      <c r="G177" s="172" t="s">
        <v>1525</v>
      </c>
      <c r="H177" s="172">
        <v>2</v>
      </c>
      <c r="I177" s="173">
        <v>288.72881311880525</v>
      </c>
      <c r="J177" s="172">
        <v>4</v>
      </c>
      <c r="K177" s="170">
        <v>12.030367213283553</v>
      </c>
    </row>
    <row r="178" spans="1:11">
      <c r="A178" s="169" t="s">
        <v>12</v>
      </c>
      <c r="B178" s="278" t="s">
        <v>1791</v>
      </c>
      <c r="C178" s="171"/>
      <c r="D178" s="311">
        <v>99</v>
      </c>
      <c r="E178" s="170" cm="1">
        <f t="array" ref="E178">tabUniformes[[#This Row],[Valor Inicial]]*IFERROR(PRODUCT(1+_xlfn._xlws.FILTER(tabIndices[PERCENTUAL],tabIndices[DATA DA PUBLICAÇÃO]&gt;tabUniformes[[#This Row],[DATA PUBLICAÇÃO]])),1)</f>
        <v>99</v>
      </c>
      <c r="F178" s="172">
        <v>6</v>
      </c>
      <c r="G178" s="172" t="s">
        <v>54</v>
      </c>
      <c r="H178" s="172">
        <v>5</v>
      </c>
      <c r="I178" s="173">
        <v>1443.6440655940262</v>
      </c>
      <c r="J178" s="172">
        <v>30</v>
      </c>
      <c r="K178" s="170">
        <v>24.060734426567102</v>
      </c>
    </row>
    <row r="179" spans="1:11">
      <c r="A179" s="169" t="s">
        <v>10</v>
      </c>
      <c r="B179" s="278" t="s">
        <v>27</v>
      </c>
      <c r="C179" s="171"/>
      <c r="D179" s="311">
        <v>221.5</v>
      </c>
      <c r="E179" s="170" cm="1">
        <f t="array" ref="E179">tabUniformes[[#This Row],[Valor Inicial]]*IFERROR(PRODUCT(1+_xlfn._xlws.FILTER(tabIndices[PERCENTUAL],tabIndices[DATA DA PUBLICAÇÃO]&gt;tabUniformes[[#This Row],[DATA PUBLICAÇÃO]])),1)</f>
        <v>221.5</v>
      </c>
      <c r="F179" s="172">
        <v>1</v>
      </c>
      <c r="G179" s="172" t="s">
        <v>54</v>
      </c>
      <c r="H179" s="172">
        <v>5</v>
      </c>
      <c r="I179" s="173">
        <v>390.9869344317155</v>
      </c>
      <c r="J179" s="172">
        <v>5</v>
      </c>
      <c r="K179" s="170">
        <v>6.5164489071952589</v>
      </c>
    </row>
    <row r="180" spans="1:11">
      <c r="A180" s="169" t="s">
        <v>11</v>
      </c>
      <c r="B180" s="278" t="s">
        <v>28</v>
      </c>
      <c r="C180" s="171"/>
      <c r="D180" s="311">
        <v>105</v>
      </c>
      <c r="E180" s="170" cm="1">
        <f t="array" ref="E180">tabUniformes[[#This Row],[Valor Inicial]]*IFERROR(PRODUCT(1+_xlfn._xlws.FILTER(tabIndices[PERCENTUAL],tabIndices[DATA DA PUBLICAÇÃO]&gt;tabUniformes[[#This Row],[DATA PUBLICAÇÃO]])),1)</f>
        <v>105</v>
      </c>
      <c r="F180" s="172">
        <v>4</v>
      </c>
      <c r="G180" s="172" t="s">
        <v>54</v>
      </c>
      <c r="H180" s="172">
        <v>5</v>
      </c>
      <c r="I180" s="173">
        <v>842.12570492984867</v>
      </c>
      <c r="J180" s="172">
        <v>20</v>
      </c>
      <c r="K180" s="170">
        <v>14.035428415497478</v>
      </c>
    </row>
    <row r="181" spans="1:11">
      <c r="A181" s="169" t="s">
        <v>17</v>
      </c>
      <c r="B181" s="278" t="s">
        <v>1790</v>
      </c>
      <c r="C181" s="171"/>
      <c r="D181" s="311">
        <v>189.5</v>
      </c>
      <c r="E181" s="170" cm="1">
        <f t="array" ref="E181">tabUniformes[[#This Row],[Valor Inicial]]*IFERROR(PRODUCT(1+_xlfn._xlws.FILTER(tabIndices[PERCENTUAL],tabIndices[DATA DA PUBLICAÇÃO]&gt;tabUniformes[[#This Row],[DATA PUBLICAÇÃO]])),1)</f>
        <v>189.5</v>
      </c>
      <c r="F181" s="172">
        <v>1</v>
      </c>
      <c r="G181" s="172" t="s">
        <v>54</v>
      </c>
      <c r="H181" s="172">
        <v>5</v>
      </c>
      <c r="I181" s="173">
        <v>721.82203279701309</v>
      </c>
      <c r="J181" s="172">
        <v>10</v>
      </c>
      <c r="K181" s="170">
        <v>12.030367213283551</v>
      </c>
    </row>
    <row r="182" spans="1:11">
      <c r="A182" s="169" t="s">
        <v>15</v>
      </c>
      <c r="B182" s="278" t="s">
        <v>34</v>
      </c>
      <c r="C182" s="171"/>
      <c r="D182" s="311">
        <v>158.9</v>
      </c>
      <c r="E182" s="170" cm="1">
        <f t="array" ref="E182">tabUniformes[[#This Row],[Valor Inicial]]*IFERROR(PRODUCT(1+_xlfn._xlws.FILTER(tabIndices[PERCENTUAL],tabIndices[DATA DA PUBLICAÇÃO]&gt;tabUniformes[[#This Row],[DATA PUBLICAÇÃO]])),1)</f>
        <v>158.9</v>
      </c>
      <c r="F182" s="172">
        <v>1</v>
      </c>
      <c r="G182" s="172" t="s">
        <v>55</v>
      </c>
      <c r="H182" s="172">
        <v>4</v>
      </c>
      <c r="I182" s="173">
        <v>312.78954754537239</v>
      </c>
      <c r="J182" s="172">
        <v>4</v>
      </c>
      <c r="K182" s="170">
        <v>6.516448907195258</v>
      </c>
    </row>
    <row r="183" spans="1:11">
      <c r="A183" s="169" t="s">
        <v>13</v>
      </c>
      <c r="B183" s="278" t="s">
        <v>1791</v>
      </c>
      <c r="C183" s="171"/>
      <c r="D183" s="311">
        <v>99</v>
      </c>
      <c r="E183" s="170" cm="1">
        <f t="array" ref="E183">tabUniformes[[#This Row],[Valor Inicial]]*IFERROR(PRODUCT(1+_xlfn._xlws.FILTER(tabIndices[PERCENTUAL],tabIndices[DATA DA PUBLICAÇÃO]&gt;tabUniformes[[#This Row],[DATA PUBLICAÇÃO]])),1)</f>
        <v>99</v>
      </c>
      <c r="F183" s="172">
        <v>2</v>
      </c>
      <c r="G183" s="172" t="s">
        <v>55</v>
      </c>
      <c r="H183" s="172">
        <v>4</v>
      </c>
      <c r="I183" s="173">
        <f>tabUniformes[[#This Row],[Valor Reajustado]]*tabUniformes[[#This Row],[Qtde Anual de Peças]]*tabUniformes[[#This Row],[Qtde. funcionários]]</f>
        <v>792</v>
      </c>
      <c r="J183" s="172">
        <f>tabUniformes[[#This Row],[Qtde Anual de Peças]]*tabUniformes[[#This Row],[Qtde. funcionários]]</f>
        <v>8</v>
      </c>
      <c r="K183" s="170">
        <f>IFERROR(tabUniformes[[#This Row],[Total]]/12/tabUniformes[[#This Row],[Qtde. funcionários]],0)</f>
        <v>16.5</v>
      </c>
    </row>
    <row r="184" spans="1:11">
      <c r="A184" s="169" t="s">
        <v>11</v>
      </c>
      <c r="B184" s="278" t="s">
        <v>30</v>
      </c>
      <c r="C184" s="171"/>
      <c r="D184" s="311">
        <v>94.82</v>
      </c>
      <c r="E184" s="170" cm="1">
        <f t="array" ref="E184">tabUniformes[[#This Row],[Valor Inicial]]*IFERROR(PRODUCT(1+_xlfn._xlws.FILTER(tabIndices[PERCENTUAL],tabIndices[DATA DA PUBLICAÇÃO]&gt;tabUniformes[[#This Row],[DATA PUBLICAÇÃO]])),1)</f>
        <v>94.82</v>
      </c>
      <c r="F184" s="172">
        <v>4</v>
      </c>
      <c r="G184" s="172" t="s">
        <v>55</v>
      </c>
      <c r="H184" s="172">
        <v>4</v>
      </c>
      <c r="I184" s="173">
        <v>866.1864393564158</v>
      </c>
      <c r="J184" s="172">
        <v>16</v>
      </c>
      <c r="K184" s="170">
        <v>18.045550819925328</v>
      </c>
    </row>
    <row r="185" spans="1:11">
      <c r="A185" s="169" t="s">
        <v>11</v>
      </c>
      <c r="B185" s="278" t="s">
        <v>28</v>
      </c>
      <c r="C185" s="171"/>
      <c r="D185" s="311">
        <v>105</v>
      </c>
      <c r="E185" s="170" cm="1">
        <f t="array" ref="E185">tabUniformes[[#This Row],[Valor Inicial]]*IFERROR(PRODUCT(1+_xlfn._xlws.FILTER(tabIndices[PERCENTUAL],tabIndices[DATA DA PUBLICAÇÃO]&gt;tabUniformes[[#This Row],[DATA PUBLICAÇÃO]])),1)</f>
        <v>105</v>
      </c>
      <c r="F185" s="172">
        <v>1</v>
      </c>
      <c r="G185" s="172" t="s">
        <v>55</v>
      </c>
      <c r="H185" s="172">
        <v>4</v>
      </c>
      <c r="I185" s="173">
        <f>tabUniformes[[#This Row],[Valor Reajustado]]*tabUniformes[[#This Row],[Qtde Anual de Peças]]*tabUniformes[[#This Row],[Qtde. funcionários]]</f>
        <v>420</v>
      </c>
      <c r="J185" s="172">
        <f>tabUniformes[[#This Row],[Qtde Anual de Peças]]*tabUniformes[[#This Row],[Qtde. funcionários]]</f>
        <v>4</v>
      </c>
      <c r="K185" s="170">
        <f>IFERROR(tabUniformes[[#This Row],[Total]]/12/tabUniformes[[#This Row],[Qtde. funcionários]],0)</f>
        <v>8.75</v>
      </c>
    </row>
    <row r="186" spans="1:11">
      <c r="A186" s="169" t="s">
        <v>12</v>
      </c>
      <c r="B186" s="278" t="s">
        <v>32</v>
      </c>
      <c r="C186" s="171"/>
      <c r="D186" s="311">
        <v>69.83</v>
      </c>
      <c r="E186" s="170" cm="1">
        <f t="array" ref="E186">tabUniformes[[#This Row],[Valor Inicial]]*IFERROR(PRODUCT(1+_xlfn._xlws.FILTER(tabIndices[PERCENTUAL],tabIndices[DATA DA PUBLICAÇÃO]&gt;tabUniformes[[#This Row],[DATA PUBLICAÇÃO]])),1)</f>
        <v>69.83</v>
      </c>
      <c r="F186" s="172">
        <v>6</v>
      </c>
      <c r="G186" s="172" t="s">
        <v>55</v>
      </c>
      <c r="H186" s="172">
        <v>4</v>
      </c>
      <c r="I186" s="173">
        <v>1010.5508459158184</v>
      </c>
      <c r="J186" s="172">
        <v>24</v>
      </c>
      <c r="K186" s="170">
        <v>21.053142623246217</v>
      </c>
    </row>
    <row r="187" spans="1:11">
      <c r="A187" s="169" t="s">
        <v>17</v>
      </c>
      <c r="B187" s="278" t="s">
        <v>1808</v>
      </c>
      <c r="C187" s="171"/>
      <c r="D187" s="311">
        <v>280.04000000000002</v>
      </c>
      <c r="E187" s="170" cm="1">
        <f t="array" ref="E187">tabUniformes[[#This Row],[Valor Inicial]]*IFERROR(PRODUCT(1+_xlfn._xlws.FILTER(tabIndices[PERCENTUAL],tabIndices[DATA DA PUBLICAÇÃO]&gt;tabUniformes[[#This Row],[DATA PUBLICAÇÃO]])),1)</f>
        <v>280.04000000000002</v>
      </c>
      <c r="F187" s="172">
        <v>2</v>
      </c>
      <c r="G187" s="172" t="s">
        <v>55</v>
      </c>
      <c r="H187" s="172">
        <v>4</v>
      </c>
      <c r="I187" s="173">
        <f>tabUniformes[[#This Row],[Valor Reajustado]]*tabUniformes[[#This Row],[Qtde Anual de Peças]]*tabUniformes[[#This Row],[Qtde. funcionários]]</f>
        <v>2240.3200000000002</v>
      </c>
      <c r="J187" s="172">
        <f>tabUniformes[[#This Row],[Qtde Anual de Peças]]*tabUniformes[[#This Row],[Qtde. funcionários]]</f>
        <v>8</v>
      </c>
      <c r="K187" s="170">
        <f>IFERROR(tabUniformes[[#This Row],[Total]]/12/tabUniformes[[#This Row],[Qtde. funcionários]],0)</f>
        <v>46.673333333333339</v>
      </c>
    </row>
    <row r="188" spans="1:11">
      <c r="A188" s="169" t="s">
        <v>17</v>
      </c>
      <c r="B188" s="278" t="s">
        <v>1789</v>
      </c>
      <c r="C188" s="171"/>
      <c r="D188" s="311">
        <v>221.63</v>
      </c>
      <c r="E188" s="170" cm="1">
        <f t="array" ref="E188">tabUniformes[[#This Row],[Valor Inicial]]*IFERROR(PRODUCT(1+_xlfn._xlws.FILTER(tabIndices[PERCENTUAL],tabIndices[DATA DA PUBLICAÇÃO]&gt;tabUniformes[[#This Row],[DATA PUBLICAÇÃO]])),1)</f>
        <v>221.63</v>
      </c>
      <c r="F188" s="172">
        <v>1</v>
      </c>
      <c r="G188" s="172" t="s">
        <v>55</v>
      </c>
      <c r="H188" s="172">
        <v>4</v>
      </c>
      <c r="I188" s="173">
        <v>288.72881311880525</v>
      </c>
      <c r="J188" s="172">
        <v>4</v>
      </c>
      <c r="K188" s="170">
        <v>6.0151836066417763</v>
      </c>
    </row>
    <row r="189" spans="1:11">
      <c r="A189" s="169" t="s">
        <v>16</v>
      </c>
      <c r="B189" s="278" t="s">
        <v>35</v>
      </c>
      <c r="C189" s="171"/>
      <c r="D189" s="311">
        <v>22.4</v>
      </c>
      <c r="E189" s="170" cm="1">
        <f t="array" ref="E189">tabUniformes[[#This Row],[Valor Inicial]]*IFERROR(PRODUCT(1+_xlfn._xlws.FILTER(tabIndices[PERCENTUAL],tabIndices[DATA DA PUBLICAÇÃO]&gt;tabUniformes[[#This Row],[DATA PUBLICAÇÃO]])),1)</f>
        <v>22.4</v>
      </c>
      <c r="F189" s="172">
        <v>1</v>
      </c>
      <c r="G189" s="172" t="s">
        <v>1392</v>
      </c>
      <c r="H189" s="172">
        <v>2</v>
      </c>
      <c r="I189" s="173">
        <v>48.121468853134211</v>
      </c>
      <c r="J189" s="172">
        <v>2</v>
      </c>
      <c r="K189" s="170">
        <v>2.0050612022139256</v>
      </c>
    </row>
    <row r="190" spans="1:11">
      <c r="A190" s="169" t="s">
        <v>13</v>
      </c>
      <c r="B190" s="278" t="s">
        <v>1791</v>
      </c>
      <c r="C190" s="171"/>
      <c r="D190" s="311">
        <v>99</v>
      </c>
      <c r="E190" s="170" cm="1">
        <f t="array" ref="E190">tabUniformes[[#This Row],[Valor Inicial]]*IFERROR(PRODUCT(1+_xlfn._xlws.FILTER(tabIndices[PERCENTUAL],tabIndices[DATA DA PUBLICAÇÃO]&gt;tabUniformes[[#This Row],[DATA PUBLICAÇÃO]])),1)</f>
        <v>99</v>
      </c>
      <c r="F190" s="172">
        <v>6</v>
      </c>
      <c r="G190" s="172" t="s">
        <v>1392</v>
      </c>
      <c r="H190" s="172">
        <v>2</v>
      </c>
      <c r="I190" s="173">
        <v>577.4576262376105</v>
      </c>
      <c r="J190" s="172">
        <v>12</v>
      </c>
      <c r="K190" s="170">
        <v>24.060734426567105</v>
      </c>
    </row>
    <row r="191" spans="1:11">
      <c r="A191" s="169" t="s">
        <v>10</v>
      </c>
      <c r="B191" s="278" t="s">
        <v>27</v>
      </c>
      <c r="C191" s="171"/>
      <c r="D191" s="311">
        <v>221.5</v>
      </c>
      <c r="E191" s="170" cm="1">
        <f t="array" ref="E191">tabUniformes[[#This Row],[Valor Inicial]]*IFERROR(PRODUCT(1+_xlfn._xlws.FILTER(tabIndices[PERCENTUAL],tabIndices[DATA DA PUBLICAÇÃO]&gt;tabUniformes[[#This Row],[DATA PUBLICAÇÃO]])),1)</f>
        <v>221.5</v>
      </c>
      <c r="F191" s="172">
        <v>1</v>
      </c>
      <c r="G191" s="172" t="s">
        <v>1392</v>
      </c>
      <c r="H191" s="172">
        <v>2</v>
      </c>
      <c r="I191" s="173">
        <v>156.39477377268619</v>
      </c>
      <c r="J191" s="172">
        <v>2</v>
      </c>
      <c r="K191" s="170">
        <v>6.516448907195258</v>
      </c>
    </row>
    <row r="192" spans="1:11">
      <c r="A192" s="169" t="s">
        <v>11</v>
      </c>
      <c r="B192" s="278" t="s">
        <v>28</v>
      </c>
      <c r="C192" s="171"/>
      <c r="D192" s="311">
        <v>105</v>
      </c>
      <c r="E192" s="170" cm="1">
        <f t="array" ref="E192">tabUniformes[[#This Row],[Valor Inicial]]*IFERROR(PRODUCT(1+_xlfn._xlws.FILTER(tabIndices[PERCENTUAL],tabIndices[DATA DA PUBLICAÇÃO]&gt;tabUniformes[[#This Row],[DATA PUBLICAÇÃO]])),1)</f>
        <v>105</v>
      </c>
      <c r="F192" s="172">
        <v>4</v>
      </c>
      <c r="G192" s="172" t="s">
        <v>1392</v>
      </c>
      <c r="H192" s="172">
        <v>2</v>
      </c>
      <c r="I192" s="173">
        <v>336.85028197193947</v>
      </c>
      <c r="J192" s="172">
        <v>8</v>
      </c>
      <c r="K192" s="170">
        <v>14.035428415497478</v>
      </c>
    </row>
    <row r="193" spans="1:11">
      <c r="A193" s="169" t="s">
        <v>15</v>
      </c>
      <c r="B193" s="278" t="s">
        <v>33</v>
      </c>
      <c r="C193" s="171"/>
      <c r="D193" s="311">
        <v>94.5</v>
      </c>
      <c r="E193" s="170" cm="1">
        <f t="array" ref="E193">tabUniformes[[#This Row],[Valor Inicial]]*IFERROR(PRODUCT(1+_xlfn._xlws.FILTER(tabIndices[PERCENTUAL],tabIndices[DATA DA PUBLICAÇÃO]&gt;tabUniformes[[#This Row],[DATA PUBLICAÇÃO]])),1)</f>
        <v>94.5</v>
      </c>
      <c r="F193" s="172">
        <v>1</v>
      </c>
      <c r="G193" s="172" t="s">
        <v>1392</v>
      </c>
      <c r="H193" s="172">
        <v>2</v>
      </c>
      <c r="I193" s="173">
        <v>96.242937706268421</v>
      </c>
      <c r="J193" s="172">
        <v>2</v>
      </c>
      <c r="K193" s="170">
        <v>4.0101224044278512</v>
      </c>
    </row>
    <row r="194" spans="1:11">
      <c r="A194" s="169" t="s">
        <v>17</v>
      </c>
      <c r="B194" s="278" t="s">
        <v>1789</v>
      </c>
      <c r="C194" s="171"/>
      <c r="D194" s="311">
        <v>221.63</v>
      </c>
      <c r="E194" s="170" cm="1">
        <f t="array" ref="E194">tabUniformes[[#This Row],[Valor Inicial]]*IFERROR(PRODUCT(1+_xlfn._xlws.FILTER(tabIndices[PERCENTUAL],tabIndices[DATA DA PUBLICAÇÃO]&gt;tabUniformes[[#This Row],[DATA PUBLICAÇÃO]])),1)</f>
        <v>221.63</v>
      </c>
      <c r="F194" s="172">
        <v>1</v>
      </c>
      <c r="G194" s="172" t="s">
        <v>1392</v>
      </c>
      <c r="H194" s="172">
        <v>2</v>
      </c>
      <c r="I194" s="173">
        <v>288.72881311880525</v>
      </c>
      <c r="J194" s="172">
        <v>4</v>
      </c>
      <c r="K194" s="170">
        <v>12.030367213283553</v>
      </c>
    </row>
    <row r="195" spans="1:11">
      <c r="A195" s="169" t="s">
        <v>16</v>
      </c>
      <c r="B195" s="278" t="s">
        <v>35</v>
      </c>
      <c r="C195" s="171"/>
      <c r="D195" s="311">
        <v>22.4</v>
      </c>
      <c r="E195" s="170" cm="1">
        <f t="array" ref="E195">tabUniformes[[#This Row],[Valor Inicial]]*IFERROR(PRODUCT(1+_xlfn._xlws.FILTER(tabIndices[PERCENTUAL],tabIndices[DATA DA PUBLICAÇÃO]&gt;tabUniformes[[#This Row],[DATA PUBLICAÇÃO]])),1)</f>
        <v>22.4</v>
      </c>
      <c r="F195" s="172">
        <v>1</v>
      </c>
      <c r="G195" s="172" t="s">
        <v>1526</v>
      </c>
      <c r="H195" s="172">
        <v>2</v>
      </c>
      <c r="I195" s="173">
        <v>48.121468853134211</v>
      </c>
      <c r="J195" s="172">
        <v>2</v>
      </c>
      <c r="K195" s="170">
        <v>2.0050612022139256</v>
      </c>
    </row>
    <row r="196" spans="1:11">
      <c r="A196" s="169" t="s">
        <v>13</v>
      </c>
      <c r="B196" s="278" t="s">
        <v>1791</v>
      </c>
      <c r="C196" s="171"/>
      <c r="D196" s="311">
        <v>99</v>
      </c>
      <c r="E196" s="170" cm="1">
        <f t="array" ref="E196">tabUniformes[[#This Row],[Valor Inicial]]*IFERROR(PRODUCT(1+_xlfn._xlws.FILTER(tabIndices[PERCENTUAL],tabIndices[DATA DA PUBLICAÇÃO]&gt;tabUniformes[[#This Row],[DATA PUBLICAÇÃO]])),1)</f>
        <v>99</v>
      </c>
      <c r="F196" s="172">
        <v>6</v>
      </c>
      <c r="G196" s="172" t="s">
        <v>1526</v>
      </c>
      <c r="H196" s="172">
        <v>2</v>
      </c>
      <c r="I196" s="173">
        <v>577.4576262376105</v>
      </c>
      <c r="J196" s="172">
        <v>12</v>
      </c>
      <c r="K196" s="170">
        <v>24.060734426567105</v>
      </c>
    </row>
    <row r="197" spans="1:11">
      <c r="A197" s="169" t="s">
        <v>10</v>
      </c>
      <c r="B197" s="278" t="s">
        <v>27</v>
      </c>
      <c r="C197" s="171"/>
      <c r="D197" s="311">
        <v>221.5</v>
      </c>
      <c r="E197" s="170" cm="1">
        <f t="array" ref="E197">tabUniformes[[#This Row],[Valor Inicial]]*IFERROR(PRODUCT(1+_xlfn._xlws.FILTER(tabIndices[PERCENTUAL],tabIndices[DATA DA PUBLICAÇÃO]&gt;tabUniformes[[#This Row],[DATA PUBLICAÇÃO]])),1)</f>
        <v>221.5</v>
      </c>
      <c r="F197" s="172">
        <v>1</v>
      </c>
      <c r="G197" s="172" t="s">
        <v>1526</v>
      </c>
      <c r="H197" s="172">
        <v>2</v>
      </c>
      <c r="I197" s="173">
        <v>156.39477377268619</v>
      </c>
      <c r="J197" s="172">
        <v>2</v>
      </c>
      <c r="K197" s="170">
        <v>6.516448907195258</v>
      </c>
    </row>
    <row r="198" spans="1:11">
      <c r="A198" s="169" t="s">
        <v>11</v>
      </c>
      <c r="B198" s="278" t="s">
        <v>28</v>
      </c>
      <c r="C198" s="171"/>
      <c r="D198" s="311">
        <v>105</v>
      </c>
      <c r="E198" s="170" cm="1">
        <f t="array" ref="E198">tabUniformes[[#This Row],[Valor Inicial]]*IFERROR(PRODUCT(1+_xlfn._xlws.FILTER(tabIndices[PERCENTUAL],tabIndices[DATA DA PUBLICAÇÃO]&gt;tabUniformes[[#This Row],[DATA PUBLICAÇÃO]])),1)</f>
        <v>105</v>
      </c>
      <c r="F198" s="172">
        <v>4</v>
      </c>
      <c r="G198" s="172" t="s">
        <v>1526</v>
      </c>
      <c r="H198" s="172">
        <v>2</v>
      </c>
      <c r="I198" s="173">
        <v>336.85028197193947</v>
      </c>
      <c r="J198" s="172">
        <v>8</v>
      </c>
      <c r="K198" s="170">
        <v>14.035428415497478</v>
      </c>
    </row>
    <row r="199" spans="1:11">
      <c r="A199" s="169" t="s">
        <v>15</v>
      </c>
      <c r="B199" s="278" t="s">
        <v>33</v>
      </c>
      <c r="C199" s="171"/>
      <c r="D199" s="311">
        <v>94.5</v>
      </c>
      <c r="E199" s="170" cm="1">
        <f t="array" ref="E199">tabUniformes[[#This Row],[Valor Inicial]]*IFERROR(PRODUCT(1+_xlfn._xlws.FILTER(tabIndices[PERCENTUAL],tabIndices[DATA DA PUBLICAÇÃO]&gt;tabUniformes[[#This Row],[DATA PUBLICAÇÃO]])),1)</f>
        <v>94.5</v>
      </c>
      <c r="F199" s="172">
        <v>1</v>
      </c>
      <c r="G199" s="172" t="s">
        <v>1526</v>
      </c>
      <c r="H199" s="172">
        <v>2</v>
      </c>
      <c r="I199" s="173">
        <v>96.242937706268421</v>
      </c>
      <c r="J199" s="172">
        <v>2</v>
      </c>
      <c r="K199" s="170">
        <v>4.0101224044278512</v>
      </c>
    </row>
    <row r="200" spans="1:11">
      <c r="A200" s="169" t="s">
        <v>17</v>
      </c>
      <c r="B200" s="278" t="s">
        <v>1789</v>
      </c>
      <c r="C200" s="171"/>
      <c r="D200" s="311">
        <v>221.63</v>
      </c>
      <c r="E200" s="170" cm="1">
        <f t="array" ref="E200">tabUniformes[[#This Row],[Valor Inicial]]*IFERROR(PRODUCT(1+_xlfn._xlws.FILTER(tabIndices[PERCENTUAL],tabIndices[DATA DA PUBLICAÇÃO]&gt;tabUniformes[[#This Row],[DATA PUBLICAÇÃO]])),1)</f>
        <v>221.63</v>
      </c>
      <c r="F200" s="172">
        <v>1</v>
      </c>
      <c r="G200" s="172" t="s">
        <v>1526</v>
      </c>
      <c r="H200" s="172">
        <v>2</v>
      </c>
      <c r="I200" s="173">
        <v>288.72881311880525</v>
      </c>
      <c r="J200" s="172">
        <v>4</v>
      </c>
      <c r="K200" s="170">
        <v>12.030367213283553</v>
      </c>
    </row>
    <row r="201" spans="1:11">
      <c r="A201" s="169" t="s">
        <v>16</v>
      </c>
      <c r="B201" s="278" t="s">
        <v>35</v>
      </c>
      <c r="C201" s="171"/>
      <c r="D201" s="311">
        <v>22.4</v>
      </c>
      <c r="E201" s="170" cm="1">
        <f t="array" ref="E201">tabUniformes[[#This Row],[Valor Inicial]]*IFERROR(PRODUCT(1+_xlfn._xlws.FILTER(tabIndices[PERCENTUAL],tabIndices[DATA DA PUBLICAÇÃO]&gt;tabUniformes[[#This Row],[DATA PUBLICAÇÃO]])),1)</f>
        <v>22.4</v>
      </c>
      <c r="F201" s="172">
        <v>1</v>
      </c>
      <c r="G201" s="172" t="s">
        <v>56</v>
      </c>
      <c r="H201" s="172">
        <v>16</v>
      </c>
      <c r="I201" s="173">
        <v>384.97175082507368</v>
      </c>
      <c r="J201" s="172">
        <v>16</v>
      </c>
      <c r="K201" s="170">
        <v>2.0050612022139256</v>
      </c>
    </row>
    <row r="202" spans="1:11">
      <c r="A202" s="169" t="s">
        <v>13</v>
      </c>
      <c r="B202" s="278" t="s">
        <v>1791</v>
      </c>
      <c r="C202" s="171"/>
      <c r="D202" s="311">
        <v>99</v>
      </c>
      <c r="E202" s="170" cm="1">
        <f t="array" ref="E202">tabUniformes[[#This Row],[Valor Inicial]]*IFERROR(PRODUCT(1+_xlfn._xlws.FILTER(tabIndices[PERCENTUAL],tabIndices[DATA DA PUBLICAÇÃO]&gt;tabUniformes[[#This Row],[DATA PUBLICAÇÃO]])),1)</f>
        <v>99</v>
      </c>
      <c r="F202" s="172">
        <v>6</v>
      </c>
      <c r="G202" s="172" t="s">
        <v>56</v>
      </c>
      <c r="H202" s="172">
        <v>16</v>
      </c>
      <c r="I202" s="173">
        <v>4619.661009900884</v>
      </c>
      <c r="J202" s="172">
        <v>96</v>
      </c>
      <c r="K202" s="170">
        <v>24.060734426567105</v>
      </c>
    </row>
    <row r="203" spans="1:11">
      <c r="A203" s="169" t="s">
        <v>10</v>
      </c>
      <c r="B203" s="278" t="s">
        <v>27</v>
      </c>
      <c r="C203" s="171"/>
      <c r="D203" s="311">
        <v>221.5</v>
      </c>
      <c r="E203" s="170" cm="1">
        <f t="array" ref="E203">tabUniformes[[#This Row],[Valor Inicial]]*IFERROR(PRODUCT(1+_xlfn._xlws.FILTER(tabIndices[PERCENTUAL],tabIndices[DATA DA PUBLICAÇÃO]&gt;tabUniformes[[#This Row],[DATA PUBLICAÇÃO]])),1)</f>
        <v>221.5</v>
      </c>
      <c r="F203" s="172">
        <v>1</v>
      </c>
      <c r="G203" s="172" t="s">
        <v>56</v>
      </c>
      <c r="H203" s="172">
        <v>16</v>
      </c>
      <c r="I203" s="173">
        <v>1251.1581901814895</v>
      </c>
      <c r="J203" s="172">
        <v>16</v>
      </c>
      <c r="K203" s="170">
        <v>6.516448907195258</v>
      </c>
    </row>
    <row r="204" spans="1:11">
      <c r="A204" s="169" t="s">
        <v>11</v>
      </c>
      <c r="B204" s="278" t="s">
        <v>28</v>
      </c>
      <c r="C204" s="171"/>
      <c r="D204" s="311">
        <v>105</v>
      </c>
      <c r="E204" s="170" cm="1">
        <f t="array" ref="E204">tabUniformes[[#This Row],[Valor Inicial]]*IFERROR(PRODUCT(1+_xlfn._xlws.FILTER(tabIndices[PERCENTUAL],tabIndices[DATA DA PUBLICAÇÃO]&gt;tabUniformes[[#This Row],[DATA PUBLICAÇÃO]])),1)</f>
        <v>105</v>
      </c>
      <c r="F204" s="172">
        <v>4</v>
      </c>
      <c r="G204" s="172" t="s">
        <v>56</v>
      </c>
      <c r="H204" s="172">
        <v>16</v>
      </c>
      <c r="I204" s="173">
        <v>2694.8022557755157</v>
      </c>
      <c r="J204" s="172">
        <v>64</v>
      </c>
      <c r="K204" s="170">
        <v>14.035428415497478</v>
      </c>
    </row>
    <row r="205" spans="1:11">
      <c r="A205" s="169" t="s">
        <v>15</v>
      </c>
      <c r="B205" s="278" t="s">
        <v>33</v>
      </c>
      <c r="C205" s="171"/>
      <c r="D205" s="311">
        <v>94.5</v>
      </c>
      <c r="E205" s="170" cm="1">
        <f t="array" ref="E205">tabUniformes[[#This Row],[Valor Inicial]]*IFERROR(PRODUCT(1+_xlfn._xlws.FILTER(tabIndices[PERCENTUAL],tabIndices[DATA DA PUBLICAÇÃO]&gt;tabUniformes[[#This Row],[DATA PUBLICAÇÃO]])),1)</f>
        <v>94.5</v>
      </c>
      <c r="F205" s="172">
        <v>1</v>
      </c>
      <c r="G205" s="172" t="s">
        <v>56</v>
      </c>
      <c r="H205" s="172">
        <v>16</v>
      </c>
      <c r="I205" s="173">
        <v>769.94350165014737</v>
      </c>
      <c r="J205" s="172">
        <v>16</v>
      </c>
      <c r="K205" s="170">
        <v>4.0101224044278512</v>
      </c>
    </row>
    <row r="206" spans="1:11">
      <c r="A206" s="169" t="s">
        <v>17</v>
      </c>
      <c r="B206" s="278" t="s">
        <v>1789</v>
      </c>
      <c r="C206" s="171"/>
      <c r="D206" s="311">
        <v>221.63</v>
      </c>
      <c r="E206" s="170" cm="1">
        <f t="array" ref="E206">tabUniformes[[#This Row],[Valor Inicial]]*IFERROR(PRODUCT(1+_xlfn._xlws.FILTER(tabIndices[PERCENTUAL],tabIndices[DATA DA PUBLICAÇÃO]&gt;tabUniformes[[#This Row],[DATA PUBLICAÇÃO]])),1)</f>
        <v>221.63</v>
      </c>
      <c r="F206" s="172">
        <v>1</v>
      </c>
      <c r="G206" s="172" t="s">
        <v>56</v>
      </c>
      <c r="H206" s="172">
        <v>16</v>
      </c>
      <c r="I206" s="173">
        <v>2309.830504950442</v>
      </c>
      <c r="J206" s="172">
        <v>32</v>
      </c>
      <c r="K206" s="170">
        <v>12.030367213283553</v>
      </c>
    </row>
    <row r="207" spans="1:11">
      <c r="A207" s="169" t="s">
        <v>17</v>
      </c>
      <c r="B207" s="278" t="s">
        <v>1808</v>
      </c>
      <c r="C207" s="171"/>
      <c r="D207" s="311">
        <v>280.04000000000002</v>
      </c>
      <c r="E207" s="170" cm="1">
        <f t="array" ref="E207">tabUniformes[[#This Row],[Valor Inicial]]*IFERROR(PRODUCT(1+_xlfn._xlws.FILTER(tabIndices[PERCENTUAL],tabIndices[DATA DA PUBLICAÇÃO]&gt;tabUniformes[[#This Row],[DATA PUBLICAÇÃO]])),1)</f>
        <v>280.04000000000002</v>
      </c>
      <c r="F207" s="172">
        <v>2</v>
      </c>
      <c r="G207" s="172" t="s">
        <v>1393</v>
      </c>
      <c r="H207" s="172">
        <v>2</v>
      </c>
      <c r="I207" s="173">
        <f>tabUniformes[[#This Row],[Valor Reajustado]]*tabUniformes[[#This Row],[Qtde Anual de Peças]]*tabUniformes[[#This Row],[Qtde. funcionários]]</f>
        <v>1120.1600000000001</v>
      </c>
      <c r="J207" s="172">
        <f>tabUniformes[[#This Row],[Qtde Anual de Peças]]*tabUniformes[[#This Row],[Qtde. funcionários]]</f>
        <v>4</v>
      </c>
      <c r="K207" s="170">
        <f>IFERROR(tabUniformes[[#This Row],[Total]]/12/tabUniformes[[#This Row],[Qtde. funcionários]],0)</f>
        <v>46.673333333333339</v>
      </c>
    </row>
    <row r="208" spans="1:11">
      <c r="A208" s="169" t="s">
        <v>11</v>
      </c>
      <c r="B208" s="278" t="s">
        <v>30</v>
      </c>
      <c r="C208" s="171"/>
      <c r="D208" s="311">
        <v>94.82</v>
      </c>
      <c r="E208" s="170" cm="1">
        <f t="array" ref="E208">tabUniformes[[#This Row],[Valor Inicial]]*IFERROR(PRODUCT(1+_xlfn._xlws.FILTER(tabIndices[PERCENTUAL],tabIndices[DATA DA PUBLICAÇÃO]&gt;tabUniformes[[#This Row],[DATA PUBLICAÇÃO]])),1)</f>
        <v>94.82</v>
      </c>
      <c r="F208" s="172">
        <v>4</v>
      </c>
      <c r="G208" s="172" t="s">
        <v>1393</v>
      </c>
      <c r="H208" s="172">
        <v>2</v>
      </c>
      <c r="I208" s="173">
        <v>433.0932196782079</v>
      </c>
      <c r="J208" s="172">
        <v>8</v>
      </c>
      <c r="K208" s="170">
        <v>18.045550819925328</v>
      </c>
    </row>
    <row r="209" spans="1:11">
      <c r="A209" s="169" t="s">
        <v>14</v>
      </c>
      <c r="B209" s="278" t="s">
        <v>25</v>
      </c>
      <c r="C209" s="171"/>
      <c r="D209" s="311">
        <v>95.13</v>
      </c>
      <c r="E209" s="170" cm="1">
        <f t="array" ref="E209">tabUniformes[[#This Row],[Valor Inicial]]*IFERROR(PRODUCT(1+_xlfn._xlws.FILTER(tabIndices[PERCENTUAL],tabIndices[DATA DA PUBLICAÇÃO]&gt;tabUniformes[[#This Row],[DATA PUBLICAÇÃO]])),1)</f>
        <v>95.13</v>
      </c>
      <c r="F209" s="172">
        <v>1</v>
      </c>
      <c r="G209" s="172" t="s">
        <v>1393</v>
      </c>
      <c r="H209" s="172">
        <v>2</v>
      </c>
      <c r="I209" s="173">
        <v>120.30367213283553</v>
      </c>
      <c r="J209" s="172">
        <v>2</v>
      </c>
      <c r="K209" s="170">
        <v>5.0126530055348137</v>
      </c>
    </row>
    <row r="210" spans="1:11">
      <c r="A210" s="169" t="s">
        <v>12</v>
      </c>
      <c r="B210" s="278" t="s">
        <v>32</v>
      </c>
      <c r="C210" s="171"/>
      <c r="D210" s="311">
        <v>69.83</v>
      </c>
      <c r="E210" s="170" cm="1">
        <f t="array" ref="E210">tabUniformes[[#This Row],[Valor Inicial]]*IFERROR(PRODUCT(1+_xlfn._xlws.FILTER(tabIndices[PERCENTUAL],tabIndices[DATA DA PUBLICAÇÃO]&gt;tabUniformes[[#This Row],[DATA PUBLICAÇÃO]])),1)</f>
        <v>69.83</v>
      </c>
      <c r="F210" s="172">
        <v>6</v>
      </c>
      <c r="G210" s="172" t="s">
        <v>1393</v>
      </c>
      <c r="H210" s="172">
        <v>2</v>
      </c>
      <c r="I210" s="173">
        <v>505.2754229579092</v>
      </c>
      <c r="J210" s="172">
        <v>12</v>
      </c>
      <c r="K210" s="170">
        <v>21.053142623246217</v>
      </c>
    </row>
    <row r="211" spans="1:11">
      <c r="A211" s="169" t="s">
        <v>18</v>
      </c>
      <c r="B211" s="278" t="s">
        <v>1812</v>
      </c>
      <c r="C211" s="171"/>
      <c r="D211" s="311">
        <v>24.55</v>
      </c>
      <c r="E211" s="170" cm="1">
        <f t="array" ref="E211">tabUniformes[[#This Row],[Valor Inicial]]*IFERROR(PRODUCT(1+_xlfn._xlws.FILTER(tabIndices[PERCENTUAL],tabIndices[DATA DA PUBLICAÇÃO]&gt;tabUniformes[[#This Row],[DATA PUBLICAÇÃO]])),1)</f>
        <v>24.55</v>
      </c>
      <c r="F211" s="172">
        <v>1</v>
      </c>
      <c r="G211" s="172" t="s">
        <v>1394</v>
      </c>
      <c r="H211" s="172">
        <v>2</v>
      </c>
      <c r="I211" s="173">
        <f>tabUniformes[[#This Row],[Valor Reajustado]]*tabUniformes[[#This Row],[Qtde Anual de Peças]]*tabUniformes[[#This Row],[Qtde. funcionários]]</f>
        <v>49.1</v>
      </c>
      <c r="J211" s="172">
        <f>tabUniformes[[#This Row],[Qtde Anual de Peças]]*tabUniformes[[#This Row],[Qtde. funcionários]]</f>
        <v>2</v>
      </c>
      <c r="K211" s="170">
        <f>IFERROR(tabUniformes[[#This Row],[Total]]/12/tabUniformes[[#This Row],[Qtde. funcionários]],0)</f>
        <v>2.0458333333333334</v>
      </c>
    </row>
    <row r="212" spans="1:11">
      <c r="A212" s="169" t="s">
        <v>18</v>
      </c>
      <c r="B212" s="278" t="s">
        <v>1813</v>
      </c>
      <c r="C212" s="171"/>
      <c r="D212" s="311">
        <v>90.53</v>
      </c>
      <c r="E212" s="170" cm="1">
        <f t="array" ref="E212">tabUniformes[[#This Row],[Valor Inicial]]*IFERROR(PRODUCT(1+_xlfn._xlws.FILTER(tabIndices[PERCENTUAL],tabIndices[DATA DA PUBLICAÇÃO]&gt;tabUniformes[[#This Row],[DATA PUBLICAÇÃO]])),1)</f>
        <v>90.53</v>
      </c>
      <c r="F212" s="172">
        <v>1</v>
      </c>
      <c r="G212" s="172" t="s">
        <v>1394</v>
      </c>
      <c r="H212" s="172">
        <v>2</v>
      </c>
      <c r="I212" s="173">
        <f>tabUniformes[[#This Row],[Valor Reajustado]]*tabUniformes[[#This Row],[Qtde Anual de Peças]]*tabUniformes[[#This Row],[Qtde. funcionários]]</f>
        <v>181.06</v>
      </c>
      <c r="J212" s="172">
        <f>tabUniformes[[#This Row],[Qtde Anual de Peças]]*tabUniformes[[#This Row],[Qtde. funcionários]]</f>
        <v>2</v>
      </c>
      <c r="K212" s="170">
        <f>IFERROR(tabUniformes[[#This Row],[Total]]/12/tabUniformes[[#This Row],[Qtde. funcionários]],0)</f>
        <v>7.5441666666666665</v>
      </c>
    </row>
    <row r="213" spans="1:11">
      <c r="A213" s="169" t="s">
        <v>17</v>
      </c>
      <c r="B213" s="278" t="s">
        <v>1814</v>
      </c>
      <c r="C213" s="171"/>
      <c r="D213" s="311">
        <v>49.99</v>
      </c>
      <c r="E213" s="170" cm="1">
        <f t="array" ref="E213">tabUniformes[[#This Row],[Valor Inicial]]*IFERROR(PRODUCT(1+_xlfn._xlws.FILTER(tabIndices[PERCENTUAL],tabIndices[DATA DA PUBLICAÇÃO]&gt;tabUniformes[[#This Row],[DATA PUBLICAÇÃO]])),1)</f>
        <v>49.99</v>
      </c>
      <c r="F213" s="172">
        <v>1</v>
      </c>
      <c r="G213" s="172" t="s">
        <v>1394</v>
      </c>
      <c r="H213" s="172">
        <v>2</v>
      </c>
      <c r="I213" s="173">
        <f>tabUniformes[[#This Row],[Valor Reajustado]]*tabUniformes[[#This Row],[Qtde Anual de Peças]]*tabUniformes[[#This Row],[Qtde. funcionários]]</f>
        <v>99.98</v>
      </c>
      <c r="J213" s="172">
        <f>tabUniformes[[#This Row],[Qtde Anual de Peças]]*tabUniformes[[#This Row],[Qtde. funcionários]]</f>
        <v>2</v>
      </c>
      <c r="K213" s="170">
        <f>IFERROR(tabUniformes[[#This Row],[Total]]/12/tabUniformes[[#This Row],[Qtde. funcionários]],0)</f>
        <v>4.1658333333333335</v>
      </c>
    </row>
    <row r="214" spans="1:11">
      <c r="A214" s="169" t="s">
        <v>11</v>
      </c>
      <c r="B214" s="278" t="s">
        <v>29</v>
      </c>
      <c r="C214" s="171"/>
      <c r="D214" s="311">
        <v>60.93</v>
      </c>
      <c r="E214" s="170" cm="1">
        <f t="array" ref="E214">tabUniformes[[#This Row],[Valor Inicial]]*IFERROR(PRODUCT(1+_xlfn._xlws.FILTER(tabIndices[PERCENTUAL],tabIndices[DATA DA PUBLICAÇÃO]&gt;tabUniformes[[#This Row],[DATA PUBLICAÇÃO]])),1)</f>
        <v>60.93</v>
      </c>
      <c r="F214" s="172">
        <v>2</v>
      </c>
      <c r="G214" s="172" t="s">
        <v>1394</v>
      </c>
      <c r="H214" s="172">
        <v>2</v>
      </c>
      <c r="I214" s="173">
        <v>336.85028197193947</v>
      </c>
      <c r="J214" s="172">
        <v>8</v>
      </c>
      <c r="K214" s="170">
        <v>14.035428415497478</v>
      </c>
    </row>
    <row r="215" spans="1:11">
      <c r="A215" s="169" t="s">
        <v>17</v>
      </c>
      <c r="B215" s="278" t="s">
        <v>1808</v>
      </c>
      <c r="C215" s="171"/>
      <c r="D215" s="311">
        <v>280.04000000000002</v>
      </c>
      <c r="E215" s="170" cm="1">
        <f t="array" ref="E215">tabUniformes[[#This Row],[Valor Inicial]]*IFERROR(PRODUCT(1+_xlfn._xlws.FILTER(tabIndices[PERCENTUAL],tabIndices[DATA DA PUBLICAÇÃO]&gt;tabUniformes[[#This Row],[DATA PUBLICAÇÃO]])),1)</f>
        <v>280.04000000000002</v>
      </c>
      <c r="F215" s="172">
        <v>1</v>
      </c>
      <c r="G215" s="172" t="s">
        <v>1394</v>
      </c>
      <c r="H215" s="172">
        <v>2</v>
      </c>
      <c r="I215" s="173">
        <f>tabUniformes[[#This Row],[Valor Reajustado]]*tabUniformes[[#This Row],[Qtde Anual de Peças]]*tabUniformes[[#This Row],[Qtde. funcionários]]</f>
        <v>560.08000000000004</v>
      </c>
      <c r="J215" s="172">
        <f>tabUniformes[[#This Row],[Qtde Anual de Peças]]*tabUniformes[[#This Row],[Qtde. funcionários]]</f>
        <v>2</v>
      </c>
      <c r="K215" s="170">
        <f>IFERROR(tabUniformes[[#This Row],[Total]]/12/tabUniformes[[#This Row],[Qtde. funcionários]],0)</f>
        <v>23.33666666666667</v>
      </c>
    </row>
    <row r="216" spans="1:11">
      <c r="A216" s="169" t="s">
        <v>1858</v>
      </c>
      <c r="B216" s="278" t="s">
        <v>1836</v>
      </c>
      <c r="C216" s="171"/>
      <c r="D216" s="311">
        <v>18.07</v>
      </c>
      <c r="E216" s="170" cm="1">
        <f t="array" ref="E216">tabUniformes[[#This Row],[Valor Inicial]]*IFERROR(PRODUCT(1+_xlfn._xlws.FILTER(tabIndices[PERCENTUAL],tabIndices[DATA DA PUBLICAÇÃO]&gt;tabUniformes[[#This Row],[DATA PUBLICAÇÃO]])),1)</f>
        <v>18.07</v>
      </c>
      <c r="F216" s="172">
        <v>1</v>
      </c>
      <c r="G216" s="172" t="s">
        <v>1394</v>
      </c>
      <c r="H216" s="172">
        <v>2</v>
      </c>
      <c r="I216" s="173">
        <f>tabUniformes[[#This Row],[Valor Reajustado]]*tabUniformes[[#This Row],[Qtde Anual de Peças]]*tabUniformes[[#This Row],[Qtde. funcionários]]</f>
        <v>36.14</v>
      </c>
      <c r="J216" s="172">
        <f>tabUniformes[[#This Row],[Qtde Anual de Peças]]*tabUniformes[[#This Row],[Qtde. funcionários]]</f>
        <v>2</v>
      </c>
      <c r="K216" s="170">
        <f>IFERROR(tabUniformes[[#This Row],[Total]]/12/tabUniformes[[#This Row],[Qtde. funcionários]],0)</f>
        <v>1.5058333333333334</v>
      </c>
    </row>
    <row r="217" spans="1:11">
      <c r="A217" s="169" t="s">
        <v>1860</v>
      </c>
      <c r="B217" s="278" t="s">
        <v>1817</v>
      </c>
      <c r="C217" s="171"/>
      <c r="D217" s="311">
        <v>22.2</v>
      </c>
      <c r="E217" s="170" cm="1">
        <f t="array" ref="E217">tabUniformes[[#This Row],[Valor Inicial]]*IFERROR(PRODUCT(1+_xlfn._xlws.FILTER(tabIndices[PERCENTUAL],tabIndices[DATA DA PUBLICAÇÃO]&gt;tabUniformes[[#This Row],[DATA PUBLICAÇÃO]])),1)</f>
        <v>22.2</v>
      </c>
      <c r="F217" s="172">
        <v>1</v>
      </c>
      <c r="G217" s="172" t="s">
        <v>1394</v>
      </c>
      <c r="H217" s="172">
        <v>2</v>
      </c>
      <c r="I217" s="173">
        <f>tabUniformes[[#This Row],[Valor Reajustado]]*tabUniformes[[#This Row],[Qtde Anual de Peças]]*tabUniformes[[#This Row],[Qtde. funcionários]]</f>
        <v>44.4</v>
      </c>
      <c r="J217" s="172">
        <f>tabUniformes[[#This Row],[Qtde Anual de Peças]]*tabUniformes[[#This Row],[Qtde. funcionários]]</f>
        <v>2</v>
      </c>
      <c r="K217" s="170">
        <f>IFERROR(tabUniformes[[#This Row],[Total]]/12/tabUniformes[[#This Row],[Qtde. funcionários]],0)</f>
        <v>1.8499999999999999</v>
      </c>
    </row>
    <row r="218" spans="1:11">
      <c r="A218" s="169" t="s">
        <v>1859</v>
      </c>
      <c r="B218" s="278" t="s">
        <v>1819</v>
      </c>
      <c r="C218" s="171"/>
      <c r="D218" s="311">
        <v>351.15</v>
      </c>
      <c r="E218" s="170" cm="1">
        <f t="array" ref="E218">tabUniformes[[#This Row],[Valor Inicial]]*IFERROR(PRODUCT(1+_xlfn._xlws.FILTER(tabIndices[PERCENTUAL],tabIndices[DATA DA PUBLICAÇÃO]&gt;tabUniformes[[#This Row],[DATA PUBLICAÇÃO]])),1)</f>
        <v>351.15</v>
      </c>
      <c r="F218" s="172">
        <v>1</v>
      </c>
      <c r="G218" s="172" t="s">
        <v>1394</v>
      </c>
      <c r="H218" s="172">
        <v>2</v>
      </c>
      <c r="I218" s="173">
        <f>tabUniformes[[#This Row],[Valor Reajustado]]*tabUniformes[[#This Row],[Qtde Anual de Peças]]*tabUniformes[[#This Row],[Qtde. funcionários]]</f>
        <v>702.3</v>
      </c>
      <c r="J218" s="172">
        <f>tabUniformes[[#This Row],[Qtde Anual de Peças]]*tabUniformes[[#This Row],[Qtde. funcionários]]</f>
        <v>2</v>
      </c>
      <c r="K218" s="170">
        <f>IFERROR(tabUniformes[[#This Row],[Total]]/12/tabUniformes[[#This Row],[Qtde. funcionários]],0)</f>
        <v>29.262499999999999</v>
      </c>
    </row>
    <row r="219" spans="1:11">
      <c r="A219" s="169" t="s">
        <v>1807</v>
      </c>
      <c r="B219" s="278" t="s">
        <v>1842</v>
      </c>
      <c r="C219" s="171"/>
      <c r="D219" s="311">
        <v>2.72</v>
      </c>
      <c r="E219" s="170" cm="1">
        <f t="array" ref="E219">tabUniformes[[#This Row],[Valor Inicial]]*IFERROR(PRODUCT(1+_xlfn._xlws.FILTER(tabIndices[PERCENTUAL],tabIndices[DATA DA PUBLICAÇÃO]&gt;tabUniformes[[#This Row],[DATA PUBLICAÇÃO]])),1)</f>
        <v>2.72</v>
      </c>
      <c r="F219" s="172">
        <v>12</v>
      </c>
      <c r="G219" s="172" t="s">
        <v>1394</v>
      </c>
      <c r="H219" s="172">
        <v>2</v>
      </c>
      <c r="I219" s="173">
        <f>tabUniformes[[#This Row],[Valor Reajustado]]*tabUniformes[[#This Row],[Qtde Anual de Peças]]*tabUniformes[[#This Row],[Qtde. funcionários]]</f>
        <v>65.28</v>
      </c>
      <c r="J219" s="172">
        <f>tabUniformes[[#This Row],[Qtde Anual de Peças]]*tabUniformes[[#This Row],[Qtde. funcionários]]</f>
        <v>24</v>
      </c>
      <c r="K219" s="170">
        <f>IFERROR(tabUniformes[[#This Row],[Total]]/12/tabUniformes[[#This Row],[Qtde. funcionários]],0)</f>
        <v>2.72</v>
      </c>
    </row>
    <row r="220" spans="1:11">
      <c r="A220" s="169" t="s">
        <v>1807</v>
      </c>
      <c r="B220" s="278" t="s">
        <v>1822</v>
      </c>
      <c r="C220" s="171"/>
      <c r="D220" s="311">
        <v>20.170000000000002</v>
      </c>
      <c r="E220" s="170" cm="1">
        <f t="array" ref="E220">tabUniformes[[#This Row],[Valor Inicial]]*IFERROR(PRODUCT(1+_xlfn._xlws.FILTER(tabIndices[PERCENTUAL],tabIndices[DATA DA PUBLICAÇÃO]&gt;tabUniformes[[#This Row],[DATA PUBLICAÇÃO]])),1)</f>
        <v>20.170000000000002</v>
      </c>
      <c r="F220" s="172">
        <v>2</v>
      </c>
      <c r="G220" s="172" t="s">
        <v>1394</v>
      </c>
      <c r="H220" s="172">
        <v>2</v>
      </c>
      <c r="I220" s="173">
        <f>tabUniformes[[#This Row],[Valor Reajustado]]*tabUniformes[[#This Row],[Qtde Anual de Peças]]*tabUniformes[[#This Row],[Qtde. funcionários]]</f>
        <v>80.680000000000007</v>
      </c>
      <c r="J220" s="172">
        <f>tabUniformes[[#This Row],[Qtde Anual de Peças]]*tabUniformes[[#This Row],[Qtde. funcionários]]</f>
        <v>4</v>
      </c>
      <c r="K220" s="170">
        <f>IFERROR(tabUniformes[[#This Row],[Total]]/12/tabUniformes[[#This Row],[Qtde. funcionários]],0)</f>
        <v>3.3616666666666668</v>
      </c>
    </row>
    <row r="221" spans="1:11">
      <c r="A221" s="169" t="s">
        <v>1807</v>
      </c>
      <c r="B221" s="278" t="s">
        <v>1826</v>
      </c>
      <c r="C221" s="171"/>
      <c r="D221" s="311">
        <v>16.38</v>
      </c>
      <c r="E221" s="170" cm="1">
        <f t="array" ref="E221">tabUniformes[[#This Row],[Valor Inicial]]*IFERROR(PRODUCT(1+_xlfn._xlws.FILTER(tabIndices[PERCENTUAL],tabIndices[DATA DA PUBLICAÇÃO]&gt;tabUniformes[[#This Row],[DATA PUBLICAÇÃO]])),1)</f>
        <v>16.38</v>
      </c>
      <c r="F221" s="172">
        <v>1</v>
      </c>
      <c r="G221" s="172" t="s">
        <v>1394</v>
      </c>
      <c r="H221" s="172">
        <v>2</v>
      </c>
      <c r="I221" s="173">
        <f>tabUniformes[[#This Row],[Valor Reajustado]]*tabUniformes[[#This Row],[Qtde Anual de Peças]]*tabUniformes[[#This Row],[Qtde. funcionários]]</f>
        <v>32.76</v>
      </c>
      <c r="J221" s="172">
        <f>tabUniformes[[#This Row],[Qtde Anual de Peças]]*tabUniformes[[#This Row],[Qtde. funcionários]]</f>
        <v>2</v>
      </c>
      <c r="K221" s="170">
        <f>IFERROR(tabUniformes[[#This Row],[Total]]/12/tabUniformes[[#This Row],[Qtde. funcionários]],0)</f>
        <v>1.365</v>
      </c>
    </row>
    <row r="222" spans="1:11">
      <c r="A222" s="169" t="s">
        <v>1807</v>
      </c>
      <c r="B222" s="278" t="s">
        <v>1827</v>
      </c>
      <c r="C222" s="171"/>
      <c r="D222" s="311">
        <v>32</v>
      </c>
      <c r="E222" s="170" cm="1">
        <f t="array" ref="E222">tabUniformes[[#This Row],[Valor Inicial]]*IFERROR(PRODUCT(1+_xlfn._xlws.FILTER(tabIndices[PERCENTUAL],tabIndices[DATA DA PUBLICAÇÃO]&gt;tabUniformes[[#This Row],[DATA PUBLICAÇÃO]])),1)</f>
        <v>32</v>
      </c>
      <c r="F222" s="172">
        <v>4</v>
      </c>
      <c r="G222" s="172" t="s">
        <v>1394</v>
      </c>
      <c r="H222" s="172">
        <v>2</v>
      </c>
      <c r="I222" s="173">
        <f>tabUniformes[[#This Row],[Valor Reajustado]]*tabUniformes[[#This Row],[Qtde Anual de Peças]]*tabUniformes[[#This Row],[Qtde. funcionários]]</f>
        <v>256</v>
      </c>
      <c r="J222" s="172">
        <f>tabUniformes[[#This Row],[Qtde Anual de Peças]]*tabUniformes[[#This Row],[Qtde. funcionários]]</f>
        <v>8</v>
      </c>
      <c r="K222" s="170">
        <f>IFERROR(tabUniformes[[#This Row],[Total]]/12/tabUniformes[[#This Row],[Qtde. funcionários]],0)</f>
        <v>10.666666666666666</v>
      </c>
    </row>
    <row r="223" spans="1:11">
      <c r="A223" s="169" t="s">
        <v>13</v>
      </c>
      <c r="B223" s="278" t="s">
        <v>31</v>
      </c>
      <c r="C223" s="171"/>
      <c r="D223" s="311">
        <v>40.85</v>
      </c>
      <c r="E223" s="170" cm="1">
        <f t="array" ref="E223">tabUniformes[[#This Row],[Valor Inicial]]*IFERROR(PRODUCT(1+_xlfn._xlws.FILTER(tabIndices[PERCENTUAL],tabIndices[DATA DA PUBLICAÇÃO]&gt;tabUniformes[[#This Row],[DATA PUBLICAÇÃO]])),1)</f>
        <v>40.85</v>
      </c>
      <c r="F223" s="172">
        <v>4</v>
      </c>
      <c r="G223" s="172" t="s">
        <v>1394</v>
      </c>
      <c r="H223" s="172">
        <v>2</v>
      </c>
      <c r="I223" s="173">
        <v>481.21468853134212</v>
      </c>
      <c r="J223" s="172">
        <v>16</v>
      </c>
      <c r="K223" s="170">
        <v>20.050612022139255</v>
      </c>
    </row>
    <row r="224" spans="1:11">
      <c r="A224" s="169" t="s">
        <v>19</v>
      </c>
      <c r="B224" s="278" t="s">
        <v>37</v>
      </c>
      <c r="C224" s="171"/>
      <c r="D224" s="311">
        <v>66.319999999999993</v>
      </c>
      <c r="E224" s="170" cm="1">
        <f t="array" ref="E224">tabUniformes[[#This Row],[Valor Inicial]]*IFERROR(PRODUCT(1+_xlfn._xlws.FILTER(tabIndices[PERCENTUAL],tabIndices[DATA DA PUBLICAÇÃO]&gt;tabUniformes[[#This Row],[DATA PUBLICAÇÃO]])),1)</f>
        <v>66.319999999999993</v>
      </c>
      <c r="F224" s="172">
        <v>2</v>
      </c>
      <c r="G224" s="172" t="s">
        <v>1394</v>
      </c>
      <c r="H224" s="172">
        <v>2</v>
      </c>
      <c r="I224" s="173">
        <v>288.72881311880525</v>
      </c>
      <c r="J224" s="172">
        <v>8</v>
      </c>
      <c r="K224" s="170">
        <v>12.030367213283553</v>
      </c>
    </row>
    <row r="225" spans="1:11">
      <c r="A225" s="169" t="s">
        <v>14</v>
      </c>
      <c r="B225" s="278" t="s">
        <v>25</v>
      </c>
      <c r="C225" s="171"/>
      <c r="D225" s="311">
        <v>95.13</v>
      </c>
      <c r="E225" s="170" cm="1">
        <f t="array" ref="E225">tabUniformes[[#This Row],[Valor Inicial]]*IFERROR(PRODUCT(1+_xlfn._xlws.FILTER(tabIndices[PERCENTUAL],tabIndices[DATA DA PUBLICAÇÃO]&gt;tabUniformes[[#This Row],[DATA PUBLICAÇÃO]])),1)</f>
        <v>95.13</v>
      </c>
      <c r="F225" s="172">
        <v>1</v>
      </c>
      <c r="G225" s="172" t="s">
        <v>1394</v>
      </c>
      <c r="H225" s="172">
        <v>2</v>
      </c>
      <c r="I225" s="173">
        <v>120.30367213283553</v>
      </c>
      <c r="J225" s="172">
        <v>2</v>
      </c>
      <c r="K225" s="170">
        <v>5.0126530055348137</v>
      </c>
    </row>
    <row r="226" spans="1:11">
      <c r="A226" s="169" t="s">
        <v>1853</v>
      </c>
      <c r="B226" s="278" t="s">
        <v>1809</v>
      </c>
      <c r="C226" s="171"/>
      <c r="D226" s="311">
        <v>7.67</v>
      </c>
      <c r="E226" s="170" cm="1">
        <f t="array" ref="E226">tabUniformes[[#This Row],[Valor Inicial]]*IFERROR(PRODUCT(1+_xlfn._xlws.FILTER(tabIndices[PERCENTUAL],tabIndices[DATA DA PUBLICAÇÃO]&gt;tabUniformes[[#This Row],[DATA PUBLICAÇÃO]])),1)</f>
        <v>7.67</v>
      </c>
      <c r="F226" s="172">
        <v>1</v>
      </c>
      <c r="G226" s="172" t="s">
        <v>1394</v>
      </c>
      <c r="H226" s="172">
        <v>2</v>
      </c>
      <c r="I226" s="173">
        <f>tabUniformes[[#This Row],[Valor Reajustado]]*tabUniformes[[#This Row],[Qtde Anual de Peças]]*tabUniformes[[#This Row],[Qtde. funcionários]]</f>
        <v>15.34</v>
      </c>
      <c r="J226" s="172">
        <f>tabUniformes[[#This Row],[Qtde Anual de Peças]]*tabUniformes[[#This Row],[Qtde. funcionários]]</f>
        <v>2</v>
      </c>
      <c r="K226" s="170">
        <f>IFERROR(tabUniformes[[#This Row],[Total]]/12/tabUniformes[[#This Row],[Qtde. funcionários]],0)</f>
        <v>0.63916666666666666</v>
      </c>
    </row>
    <row r="227" spans="1:11">
      <c r="A227" s="169" t="s">
        <v>1865</v>
      </c>
      <c r="B227" s="278" t="s">
        <v>1843</v>
      </c>
      <c r="C227" s="171"/>
      <c r="D227" s="311">
        <v>42.96</v>
      </c>
      <c r="E227" s="170" cm="1">
        <f t="array" ref="E227">tabUniformes[[#This Row],[Valor Inicial]]*IFERROR(PRODUCT(1+_xlfn._xlws.FILTER(tabIndices[PERCENTUAL],tabIndices[DATA DA PUBLICAÇÃO]&gt;tabUniformes[[#This Row],[DATA PUBLICAÇÃO]])),1)</f>
        <v>42.96</v>
      </c>
      <c r="F227" s="172">
        <v>1</v>
      </c>
      <c r="G227" s="172" t="s">
        <v>1394</v>
      </c>
      <c r="H227" s="172">
        <v>2</v>
      </c>
      <c r="I227" s="173">
        <f>tabUniformes[[#This Row],[Valor Reajustado]]*tabUniformes[[#This Row],[Qtde Anual de Peças]]*tabUniformes[[#This Row],[Qtde. funcionários]]</f>
        <v>85.92</v>
      </c>
      <c r="J227" s="172">
        <f>tabUniformes[[#This Row],[Qtde Anual de Peças]]*tabUniformes[[#This Row],[Qtde. funcionários]]</f>
        <v>2</v>
      </c>
      <c r="K227" s="170">
        <f>IFERROR(tabUniformes[[#This Row],[Total]]/12/tabUniformes[[#This Row],[Qtde. funcionários]],0)</f>
        <v>3.58</v>
      </c>
    </row>
    <row r="228" spans="1:11">
      <c r="A228" s="169" t="s">
        <v>1855</v>
      </c>
      <c r="B228" s="278" t="s">
        <v>1833</v>
      </c>
      <c r="C228" s="171"/>
      <c r="D228" s="311">
        <v>5.14</v>
      </c>
      <c r="E228" s="170" cm="1">
        <f t="array" ref="E228">tabUniformes[[#This Row],[Valor Inicial]]*IFERROR(PRODUCT(1+_xlfn._xlws.FILTER(tabIndices[PERCENTUAL],tabIndices[DATA DA PUBLICAÇÃO]&gt;tabUniformes[[#This Row],[DATA PUBLICAÇÃO]])),1)</f>
        <v>5.14</v>
      </c>
      <c r="F228" s="172">
        <v>4</v>
      </c>
      <c r="G228" s="172" t="s">
        <v>1394</v>
      </c>
      <c r="H228" s="172">
        <v>2</v>
      </c>
      <c r="I228" s="173">
        <f>tabUniformes[[#This Row],[Valor Reajustado]]*tabUniformes[[#This Row],[Qtde Anual de Peças]]*tabUniformes[[#This Row],[Qtde. funcionários]]</f>
        <v>41.12</v>
      </c>
      <c r="J228" s="172">
        <f>tabUniformes[[#This Row],[Qtde Anual de Peças]]*tabUniformes[[#This Row],[Qtde. funcionários]]</f>
        <v>8</v>
      </c>
      <c r="K228" s="170">
        <f>IFERROR(tabUniformes[[#This Row],[Total]]/12/tabUniformes[[#This Row],[Qtde. funcionários]],0)</f>
        <v>1.7133333333333332</v>
      </c>
    </row>
    <row r="229" spans="1:11">
      <c r="A229" s="169" t="s">
        <v>1855</v>
      </c>
      <c r="B229" s="278" t="s">
        <v>1834</v>
      </c>
      <c r="C229" s="171"/>
      <c r="D229" s="311">
        <v>59.9</v>
      </c>
      <c r="E229" s="170" cm="1">
        <f t="array" ref="E229">tabUniformes[[#This Row],[Valor Inicial]]*IFERROR(PRODUCT(1+_xlfn._xlws.FILTER(tabIndices[PERCENTUAL],tabIndices[DATA DA PUBLICAÇÃO]&gt;tabUniformes[[#This Row],[DATA PUBLICAÇÃO]])),1)</f>
        <v>59.9</v>
      </c>
      <c r="F229" s="172">
        <v>1</v>
      </c>
      <c r="G229" s="172" t="s">
        <v>1394</v>
      </c>
      <c r="H229" s="172">
        <v>2</v>
      </c>
      <c r="I229" s="173">
        <f>tabUniformes[[#This Row],[Valor Reajustado]]*tabUniformes[[#This Row],[Qtde Anual de Peças]]*tabUniformes[[#This Row],[Qtde. funcionários]]</f>
        <v>119.8</v>
      </c>
      <c r="J229" s="172">
        <f>tabUniformes[[#This Row],[Qtde Anual de Peças]]*tabUniformes[[#This Row],[Qtde. funcionários]]</f>
        <v>2</v>
      </c>
      <c r="K229" s="170">
        <f>IFERROR(tabUniformes[[#This Row],[Total]]/12/tabUniformes[[#This Row],[Qtde. funcionários]],0)</f>
        <v>4.9916666666666663</v>
      </c>
    </row>
    <row r="230" spans="1:11">
      <c r="A230" s="169" t="s">
        <v>1855</v>
      </c>
      <c r="B230" s="278" t="s">
        <v>20</v>
      </c>
      <c r="C230" s="171"/>
      <c r="D230" s="311">
        <v>33.17</v>
      </c>
      <c r="E230" s="170" cm="1">
        <f t="array" ref="E230">tabUniformes[[#This Row],[Valor Inicial]]*IFERROR(PRODUCT(1+_xlfn._xlws.FILTER(tabIndices[PERCENTUAL],tabIndices[DATA DA PUBLICAÇÃO]&gt;tabUniformes[[#This Row],[DATA PUBLICAÇÃO]])),1)</f>
        <v>33.17</v>
      </c>
      <c r="F230" s="172">
        <v>1</v>
      </c>
      <c r="G230" s="172" t="s">
        <v>1394</v>
      </c>
      <c r="H230" s="172">
        <v>2</v>
      </c>
      <c r="I230" s="173">
        <f>tabUniformes[[#This Row],[Valor Reajustado]]*tabUniformes[[#This Row],[Qtde Anual de Peças]]*tabUniformes[[#This Row],[Qtde. funcionários]]</f>
        <v>66.34</v>
      </c>
      <c r="J230" s="172">
        <f>tabUniformes[[#This Row],[Qtde Anual de Peças]]*tabUniformes[[#This Row],[Qtde. funcionários]]</f>
        <v>2</v>
      </c>
      <c r="K230" s="170">
        <f>IFERROR(tabUniformes[[#This Row],[Total]]/12/tabUniformes[[#This Row],[Qtde. funcionários]],0)</f>
        <v>2.7641666666666667</v>
      </c>
    </row>
    <row r="231" spans="1:11">
      <c r="A231" s="169" t="s">
        <v>1855</v>
      </c>
      <c r="B231" s="278" t="s">
        <v>1844</v>
      </c>
      <c r="C231" s="171"/>
      <c r="D231" s="311">
        <v>2.5499999999999998</v>
      </c>
      <c r="E231" s="170" cm="1">
        <f t="array" ref="E231">tabUniformes[[#This Row],[Valor Inicial]]*IFERROR(PRODUCT(1+_xlfn._xlws.FILTER(tabIndices[PERCENTUAL],tabIndices[DATA DA PUBLICAÇÃO]&gt;tabUniformes[[#This Row],[DATA PUBLICAÇÃO]])),1)</f>
        <v>2.5499999999999998</v>
      </c>
      <c r="F231" s="172">
        <v>4</v>
      </c>
      <c r="G231" s="172" t="s">
        <v>1394</v>
      </c>
      <c r="H231" s="172">
        <v>2</v>
      </c>
      <c r="I231" s="173">
        <f>tabUniformes[[#This Row],[Valor Reajustado]]*tabUniformes[[#This Row],[Qtde Anual de Peças]]*tabUniformes[[#This Row],[Qtde. funcionários]]</f>
        <v>20.399999999999999</v>
      </c>
      <c r="J231" s="172">
        <f>tabUniformes[[#This Row],[Qtde Anual de Peças]]*tabUniformes[[#This Row],[Qtde. funcionários]]</f>
        <v>8</v>
      </c>
      <c r="K231" s="170">
        <f>IFERROR(tabUniformes[[#This Row],[Total]]/12/tabUniformes[[#This Row],[Qtde. funcionários]],0)</f>
        <v>0.85</v>
      </c>
    </row>
    <row r="232" spans="1:11">
      <c r="A232" s="169" t="s">
        <v>1855</v>
      </c>
      <c r="B232" s="278" t="s">
        <v>1845</v>
      </c>
      <c r="C232" s="171"/>
      <c r="D232" s="311">
        <v>29.94</v>
      </c>
      <c r="E232" s="170" cm="1">
        <f t="array" ref="E232">tabUniformes[[#This Row],[Valor Inicial]]*IFERROR(PRODUCT(1+_xlfn._xlws.FILTER(tabIndices[PERCENTUAL],tabIndices[DATA DA PUBLICAÇÃO]&gt;tabUniformes[[#This Row],[DATA PUBLICAÇÃO]])),1)</f>
        <v>29.94</v>
      </c>
      <c r="F232" s="172">
        <v>6</v>
      </c>
      <c r="G232" s="172" t="s">
        <v>1394</v>
      </c>
      <c r="H232" s="172">
        <v>2</v>
      </c>
      <c r="I232" s="173">
        <f>tabUniformes[[#This Row],[Valor Reajustado]]*tabUniformes[[#This Row],[Qtde Anual de Peças]]*tabUniformes[[#This Row],[Qtde. funcionários]]</f>
        <v>359.28000000000003</v>
      </c>
      <c r="J232" s="172">
        <f>tabUniformes[[#This Row],[Qtde Anual de Peças]]*tabUniformes[[#This Row],[Qtde. funcionários]]</f>
        <v>12</v>
      </c>
      <c r="K232" s="170">
        <f>IFERROR(tabUniformes[[#This Row],[Total]]/12/tabUniformes[[#This Row],[Qtde. funcionários]],0)</f>
        <v>14.97</v>
      </c>
    </row>
    <row r="233" spans="1:11">
      <c r="A233" s="169" t="s">
        <v>1854</v>
      </c>
      <c r="B233" s="278" t="s">
        <v>1835</v>
      </c>
      <c r="C233" s="171"/>
      <c r="D233" s="311">
        <v>326.77999999999997</v>
      </c>
      <c r="E233" s="170" cm="1">
        <f t="array" ref="E233">tabUniformes[[#This Row],[Valor Inicial]]*IFERROR(PRODUCT(1+_xlfn._xlws.FILTER(tabIndices[PERCENTUAL],tabIndices[DATA DA PUBLICAÇÃO]&gt;tabUniformes[[#This Row],[DATA PUBLICAÇÃO]])),1)</f>
        <v>326.77999999999997</v>
      </c>
      <c r="F233" s="172">
        <v>1</v>
      </c>
      <c r="G233" s="172" t="s">
        <v>1394</v>
      </c>
      <c r="H233" s="172">
        <v>2</v>
      </c>
      <c r="I233" s="173">
        <f>tabUniformes[[#This Row],[Valor Reajustado]]*tabUniformes[[#This Row],[Qtde Anual de Peças]]*tabUniformes[[#This Row],[Qtde. funcionários]]</f>
        <v>653.55999999999995</v>
      </c>
      <c r="J233" s="172">
        <f>tabUniformes[[#This Row],[Qtde Anual de Peças]]*tabUniformes[[#This Row],[Qtde. funcionários]]</f>
        <v>2</v>
      </c>
      <c r="K233" s="170">
        <f>IFERROR(tabUniformes[[#This Row],[Total]]/12/tabUniformes[[#This Row],[Qtde. funcionários]],0)</f>
        <v>27.231666666666666</v>
      </c>
    </row>
    <row r="234" spans="1:11">
      <c r="A234" s="169" t="s">
        <v>21</v>
      </c>
      <c r="B234" s="278" t="s">
        <v>1846</v>
      </c>
      <c r="C234" s="171"/>
      <c r="D234" s="311">
        <v>11.13</v>
      </c>
      <c r="E234" s="170" cm="1">
        <f t="array" ref="E234">tabUniformes[[#This Row],[Valor Inicial]]*IFERROR(PRODUCT(1+_xlfn._xlws.FILTER(tabIndices[PERCENTUAL],tabIndices[DATA DA PUBLICAÇÃO]&gt;tabUniformes[[#This Row],[DATA PUBLICAÇÃO]])),1)</f>
        <v>11.13</v>
      </c>
      <c r="F234" s="172">
        <v>1</v>
      </c>
      <c r="G234" s="172" t="s">
        <v>1394</v>
      </c>
      <c r="H234" s="172">
        <v>2</v>
      </c>
      <c r="I234" s="173">
        <f>tabUniformes[[#This Row],[Valor Reajustado]]*tabUniformes[[#This Row],[Qtde Anual de Peças]]*tabUniformes[[#This Row],[Qtde. funcionários]]</f>
        <v>22.26</v>
      </c>
      <c r="J234" s="172">
        <f>tabUniformes[[#This Row],[Qtde Anual de Peças]]*tabUniformes[[#This Row],[Qtde. funcionários]]</f>
        <v>2</v>
      </c>
      <c r="K234" s="170">
        <f>IFERROR(tabUniformes[[#This Row],[Total]]/12/tabUniformes[[#This Row],[Qtde. funcionários]],0)</f>
        <v>0.9275000000000001</v>
      </c>
    </row>
    <row r="235" spans="1:11">
      <c r="A235" s="169" t="s">
        <v>18</v>
      </c>
      <c r="B235" s="278" t="s">
        <v>1812</v>
      </c>
      <c r="C235" s="171"/>
      <c r="D235" s="311">
        <v>24.55</v>
      </c>
      <c r="E235" s="170" cm="1">
        <f t="array" ref="E235">tabUniformes[[#This Row],[Valor Inicial]]*IFERROR(PRODUCT(1+_xlfn._xlws.FILTER(tabIndices[PERCENTUAL],tabIndices[DATA DA PUBLICAÇÃO]&gt;tabUniformes[[#This Row],[DATA PUBLICAÇÃO]])),1)</f>
        <v>24.55</v>
      </c>
      <c r="F235" s="172">
        <v>2</v>
      </c>
      <c r="G235" s="172" t="s">
        <v>1395</v>
      </c>
      <c r="H235" s="172">
        <v>7</v>
      </c>
      <c r="I235" s="173">
        <f>tabUniformes[[#This Row],[Valor Reajustado]]*tabUniformes[[#This Row],[Qtde Anual de Peças]]*tabUniformes[[#This Row],[Qtde. funcionários]]</f>
        <v>343.7</v>
      </c>
      <c r="J235" s="172">
        <f>tabUniformes[[#This Row],[Qtde Anual de Peças]]*tabUniformes[[#This Row],[Qtde. funcionários]]</f>
        <v>14</v>
      </c>
      <c r="K235" s="170">
        <f>IFERROR(tabUniformes[[#This Row],[Total]]/12/tabUniformes[[#This Row],[Qtde. funcionários]],0)</f>
        <v>4.0916666666666668</v>
      </c>
    </row>
    <row r="236" spans="1:11">
      <c r="A236" s="169" t="s">
        <v>18</v>
      </c>
      <c r="B236" s="278" t="s">
        <v>1813</v>
      </c>
      <c r="C236" s="171"/>
      <c r="D236" s="311">
        <v>90.53</v>
      </c>
      <c r="E236" s="170" cm="1">
        <f t="array" ref="E236">tabUniformes[[#This Row],[Valor Inicial]]*IFERROR(PRODUCT(1+_xlfn._xlws.FILTER(tabIndices[PERCENTUAL],tabIndices[DATA DA PUBLICAÇÃO]&gt;tabUniformes[[#This Row],[DATA PUBLICAÇÃO]])),1)</f>
        <v>90.53</v>
      </c>
      <c r="F236" s="172">
        <v>1</v>
      </c>
      <c r="G236" s="172" t="s">
        <v>1395</v>
      </c>
      <c r="H236" s="172">
        <v>7</v>
      </c>
      <c r="I236" s="173">
        <f>tabUniformes[[#This Row],[Valor Reajustado]]*tabUniformes[[#This Row],[Qtde Anual de Peças]]*tabUniformes[[#This Row],[Qtde. funcionários]]</f>
        <v>633.71</v>
      </c>
      <c r="J236" s="172">
        <f>tabUniformes[[#This Row],[Qtde Anual de Peças]]*tabUniformes[[#This Row],[Qtde. funcionários]]</f>
        <v>7</v>
      </c>
      <c r="K236" s="170">
        <f>IFERROR(tabUniformes[[#This Row],[Total]]/12/tabUniformes[[#This Row],[Qtde. funcionários]],0)</f>
        <v>7.5441666666666674</v>
      </c>
    </row>
    <row r="237" spans="1:11">
      <c r="A237" s="169" t="s">
        <v>17</v>
      </c>
      <c r="B237" s="278" t="s">
        <v>1814</v>
      </c>
      <c r="C237" s="171"/>
      <c r="D237" s="311">
        <v>49.99</v>
      </c>
      <c r="E237" s="170" cm="1">
        <f t="array" ref="E237">tabUniformes[[#This Row],[Valor Inicial]]*IFERROR(PRODUCT(1+_xlfn._xlws.FILTER(tabIndices[PERCENTUAL],tabIndices[DATA DA PUBLICAÇÃO]&gt;tabUniformes[[#This Row],[DATA PUBLICAÇÃO]])),1)</f>
        <v>49.99</v>
      </c>
      <c r="F237" s="172">
        <v>2</v>
      </c>
      <c r="G237" s="172" t="s">
        <v>1395</v>
      </c>
      <c r="H237" s="172">
        <v>7</v>
      </c>
      <c r="I237" s="173">
        <f>tabUniformes[[#This Row],[Valor Reajustado]]*tabUniformes[[#This Row],[Qtde Anual de Peças]]*tabUniformes[[#This Row],[Qtde. funcionários]]</f>
        <v>699.86</v>
      </c>
      <c r="J237" s="172">
        <f>tabUniformes[[#This Row],[Qtde Anual de Peças]]*tabUniformes[[#This Row],[Qtde. funcionários]]</f>
        <v>14</v>
      </c>
      <c r="K237" s="170">
        <f>IFERROR(tabUniformes[[#This Row],[Total]]/12/tabUniformes[[#This Row],[Qtde. funcionários]],0)</f>
        <v>8.331666666666667</v>
      </c>
    </row>
    <row r="238" spans="1:11">
      <c r="A238" s="169" t="s">
        <v>11</v>
      </c>
      <c r="B238" s="278" t="s">
        <v>29</v>
      </c>
      <c r="C238" s="171"/>
      <c r="D238" s="311">
        <v>60.93</v>
      </c>
      <c r="E238" s="170" cm="1">
        <f t="array" ref="E238">tabUniformes[[#This Row],[Valor Inicial]]*IFERROR(PRODUCT(1+_xlfn._xlws.FILTER(tabIndices[PERCENTUAL],tabIndices[DATA DA PUBLICAÇÃO]&gt;tabUniformes[[#This Row],[DATA PUBLICAÇÃO]])),1)</f>
        <v>60.93</v>
      </c>
      <c r="F238" s="172">
        <v>4</v>
      </c>
      <c r="G238" s="172" t="s">
        <v>1395</v>
      </c>
      <c r="H238" s="172">
        <v>7</v>
      </c>
      <c r="I238" s="173">
        <v>1178.975986901788</v>
      </c>
      <c r="J238" s="172">
        <v>28</v>
      </c>
      <c r="K238" s="170">
        <v>14.035428415497476</v>
      </c>
    </row>
    <row r="239" spans="1:11">
      <c r="A239" s="169" t="s">
        <v>17</v>
      </c>
      <c r="B239" s="278" t="s">
        <v>1808</v>
      </c>
      <c r="C239" s="171"/>
      <c r="D239" s="311">
        <v>280.04000000000002</v>
      </c>
      <c r="E239" s="170" cm="1">
        <f t="array" ref="E239">tabUniformes[[#This Row],[Valor Inicial]]*IFERROR(PRODUCT(1+_xlfn._xlws.FILTER(tabIndices[PERCENTUAL],tabIndices[DATA DA PUBLICAÇÃO]&gt;tabUniformes[[#This Row],[DATA PUBLICAÇÃO]])),1)</f>
        <v>280.04000000000002</v>
      </c>
      <c r="F239" s="172">
        <v>2</v>
      </c>
      <c r="G239" s="172" t="s">
        <v>1395</v>
      </c>
      <c r="H239" s="172">
        <v>7</v>
      </c>
      <c r="I239" s="173">
        <f>tabUniformes[[#This Row],[Valor Reajustado]]*tabUniformes[[#This Row],[Qtde Anual de Peças]]*tabUniformes[[#This Row],[Qtde. funcionários]]</f>
        <v>3920.5600000000004</v>
      </c>
      <c r="J239" s="172">
        <f>tabUniformes[[#This Row],[Qtde Anual de Peças]]*tabUniformes[[#This Row],[Qtde. funcionários]]</f>
        <v>14</v>
      </c>
      <c r="K239" s="170">
        <f>IFERROR(tabUniformes[[#This Row],[Total]]/12/tabUniformes[[#This Row],[Qtde. funcionários]],0)</f>
        <v>46.673333333333339</v>
      </c>
    </row>
    <row r="240" spans="1:11">
      <c r="A240" s="169" t="s">
        <v>1858</v>
      </c>
      <c r="B240" s="278" t="s">
        <v>1836</v>
      </c>
      <c r="C240" s="171"/>
      <c r="D240" s="311">
        <v>18.07</v>
      </c>
      <c r="E240" s="170" cm="1">
        <f t="array" ref="E240">tabUniformes[[#This Row],[Valor Inicial]]*IFERROR(PRODUCT(1+_xlfn._xlws.FILTER(tabIndices[PERCENTUAL],tabIndices[DATA DA PUBLICAÇÃO]&gt;tabUniformes[[#This Row],[DATA PUBLICAÇÃO]])),1)</f>
        <v>18.07</v>
      </c>
      <c r="F240" s="172">
        <v>1</v>
      </c>
      <c r="G240" s="172" t="s">
        <v>1395</v>
      </c>
      <c r="H240" s="172">
        <v>7</v>
      </c>
      <c r="I240" s="173">
        <f>tabUniformes[[#This Row],[Valor Reajustado]]*tabUniformes[[#This Row],[Qtde Anual de Peças]]*tabUniformes[[#This Row],[Qtde. funcionários]]</f>
        <v>126.49000000000001</v>
      </c>
      <c r="J240" s="172">
        <f>tabUniformes[[#This Row],[Qtde Anual de Peças]]*tabUniformes[[#This Row],[Qtde. funcionários]]</f>
        <v>7</v>
      </c>
      <c r="K240" s="170">
        <f>IFERROR(tabUniformes[[#This Row],[Total]]/12/tabUniformes[[#This Row],[Qtde. funcionários]],0)</f>
        <v>1.5058333333333334</v>
      </c>
    </row>
    <row r="241" spans="1:11">
      <c r="A241" s="169" t="s">
        <v>1860</v>
      </c>
      <c r="B241" s="278" t="s">
        <v>1817</v>
      </c>
      <c r="C241" s="171"/>
      <c r="D241" s="311">
        <v>22.2</v>
      </c>
      <c r="E241" s="170" cm="1">
        <f t="array" ref="E241">tabUniformes[[#This Row],[Valor Inicial]]*IFERROR(PRODUCT(1+_xlfn._xlws.FILTER(tabIndices[PERCENTUAL],tabIndices[DATA DA PUBLICAÇÃO]&gt;tabUniformes[[#This Row],[DATA PUBLICAÇÃO]])),1)</f>
        <v>22.2</v>
      </c>
      <c r="F241" s="172">
        <v>1</v>
      </c>
      <c r="G241" s="172" t="s">
        <v>1395</v>
      </c>
      <c r="H241" s="172">
        <v>7</v>
      </c>
      <c r="I241" s="173">
        <f>tabUniformes[[#This Row],[Valor Reajustado]]*tabUniformes[[#This Row],[Qtde Anual de Peças]]*tabUniformes[[#This Row],[Qtde. funcionários]]</f>
        <v>155.4</v>
      </c>
      <c r="J241" s="172">
        <f>tabUniformes[[#This Row],[Qtde Anual de Peças]]*tabUniformes[[#This Row],[Qtde. funcionários]]</f>
        <v>7</v>
      </c>
      <c r="K241" s="170">
        <f>IFERROR(tabUniformes[[#This Row],[Total]]/12/tabUniformes[[#This Row],[Qtde. funcionários]],0)</f>
        <v>1.85</v>
      </c>
    </row>
    <row r="242" spans="1:11">
      <c r="A242" s="169" t="s">
        <v>1859</v>
      </c>
      <c r="B242" s="278" t="s">
        <v>1819</v>
      </c>
      <c r="C242" s="171"/>
      <c r="D242" s="311">
        <v>351.15</v>
      </c>
      <c r="E242" s="170" cm="1">
        <f t="array" ref="E242">tabUniformes[[#This Row],[Valor Inicial]]*IFERROR(PRODUCT(1+_xlfn._xlws.FILTER(tabIndices[PERCENTUAL],tabIndices[DATA DA PUBLICAÇÃO]&gt;tabUniformes[[#This Row],[DATA PUBLICAÇÃO]])),1)</f>
        <v>351.15</v>
      </c>
      <c r="F242" s="172">
        <v>1</v>
      </c>
      <c r="G242" s="172" t="s">
        <v>1395</v>
      </c>
      <c r="H242" s="172">
        <v>7</v>
      </c>
      <c r="I242" s="173">
        <f>tabUniformes[[#This Row],[Valor Reajustado]]*tabUniformes[[#This Row],[Qtde Anual de Peças]]*tabUniformes[[#This Row],[Qtde. funcionários]]</f>
        <v>2458.0499999999997</v>
      </c>
      <c r="J242" s="172">
        <f>tabUniformes[[#This Row],[Qtde Anual de Peças]]*tabUniformes[[#This Row],[Qtde. funcionários]]</f>
        <v>7</v>
      </c>
      <c r="K242" s="170">
        <f>IFERROR(tabUniformes[[#This Row],[Total]]/12/tabUniformes[[#This Row],[Qtde. funcionários]],0)</f>
        <v>29.262499999999996</v>
      </c>
    </row>
    <row r="243" spans="1:11">
      <c r="A243" s="169" t="s">
        <v>1807</v>
      </c>
      <c r="B243" s="278" t="s">
        <v>1842</v>
      </c>
      <c r="C243" s="171"/>
      <c r="D243" s="311">
        <v>2.72</v>
      </c>
      <c r="E243" s="170" cm="1">
        <f t="array" ref="E243">tabUniformes[[#This Row],[Valor Inicial]]*IFERROR(PRODUCT(1+_xlfn._xlws.FILTER(tabIndices[PERCENTUAL],tabIndices[DATA DA PUBLICAÇÃO]&gt;tabUniformes[[#This Row],[DATA PUBLICAÇÃO]])),1)</f>
        <v>2.72</v>
      </c>
      <c r="F243" s="172">
        <v>24</v>
      </c>
      <c r="G243" s="172" t="s">
        <v>1395</v>
      </c>
      <c r="H243" s="172">
        <v>7</v>
      </c>
      <c r="I243" s="173">
        <f>tabUniformes[[#This Row],[Valor Reajustado]]*tabUniformes[[#This Row],[Qtde Anual de Peças]]*tabUniformes[[#This Row],[Qtde. funcionários]]</f>
        <v>456.96000000000004</v>
      </c>
      <c r="J243" s="172">
        <f>tabUniformes[[#This Row],[Qtde Anual de Peças]]*tabUniformes[[#This Row],[Qtde. funcionários]]</f>
        <v>168</v>
      </c>
      <c r="K243" s="170">
        <f>IFERROR(tabUniformes[[#This Row],[Total]]/12/tabUniformes[[#This Row],[Qtde. funcionários]],0)</f>
        <v>5.44</v>
      </c>
    </row>
    <row r="244" spans="1:11">
      <c r="A244" s="169" t="s">
        <v>1807</v>
      </c>
      <c r="B244" s="278" t="s">
        <v>1822</v>
      </c>
      <c r="C244" s="171"/>
      <c r="D244" s="311">
        <v>20.170000000000002</v>
      </c>
      <c r="E244" s="170" cm="1">
        <f t="array" ref="E244">tabUniformes[[#This Row],[Valor Inicial]]*IFERROR(PRODUCT(1+_xlfn._xlws.FILTER(tabIndices[PERCENTUAL],tabIndices[DATA DA PUBLICAÇÃO]&gt;tabUniformes[[#This Row],[DATA PUBLICAÇÃO]])),1)</f>
        <v>20.170000000000002</v>
      </c>
      <c r="F244" s="172">
        <v>4</v>
      </c>
      <c r="G244" s="172" t="s">
        <v>1395</v>
      </c>
      <c r="H244" s="172">
        <v>7</v>
      </c>
      <c r="I244" s="173">
        <f>tabUniformes[[#This Row],[Valor Reajustado]]*tabUniformes[[#This Row],[Qtde Anual de Peças]]*tabUniformes[[#This Row],[Qtde. funcionários]]</f>
        <v>564.76</v>
      </c>
      <c r="J244" s="172">
        <f>tabUniformes[[#This Row],[Qtde Anual de Peças]]*tabUniformes[[#This Row],[Qtde. funcionários]]</f>
        <v>28</v>
      </c>
      <c r="K244" s="170">
        <f>IFERROR(tabUniformes[[#This Row],[Total]]/12/tabUniformes[[#This Row],[Qtde. funcionários]],0)</f>
        <v>6.7233333333333336</v>
      </c>
    </row>
    <row r="245" spans="1:11">
      <c r="A245" s="169" t="s">
        <v>1807</v>
      </c>
      <c r="B245" s="278" t="s">
        <v>1826</v>
      </c>
      <c r="C245" s="171"/>
      <c r="D245" s="311">
        <v>16.38</v>
      </c>
      <c r="E245" s="170" cm="1">
        <f t="array" ref="E245">tabUniformes[[#This Row],[Valor Inicial]]*IFERROR(PRODUCT(1+_xlfn._xlws.FILTER(tabIndices[PERCENTUAL],tabIndices[DATA DA PUBLICAÇÃO]&gt;tabUniformes[[#This Row],[DATA PUBLICAÇÃO]])),1)</f>
        <v>16.38</v>
      </c>
      <c r="F245" s="172">
        <v>1</v>
      </c>
      <c r="G245" s="172" t="s">
        <v>1395</v>
      </c>
      <c r="H245" s="172">
        <v>7</v>
      </c>
      <c r="I245" s="173">
        <f>tabUniformes[[#This Row],[Valor Reajustado]]*tabUniformes[[#This Row],[Qtde Anual de Peças]]*tabUniformes[[#This Row],[Qtde. funcionários]]</f>
        <v>114.66</v>
      </c>
      <c r="J245" s="172">
        <f>tabUniformes[[#This Row],[Qtde Anual de Peças]]*tabUniformes[[#This Row],[Qtde. funcionários]]</f>
        <v>7</v>
      </c>
      <c r="K245" s="170">
        <f>IFERROR(tabUniformes[[#This Row],[Total]]/12/tabUniformes[[#This Row],[Qtde. funcionários]],0)</f>
        <v>1.365</v>
      </c>
    </row>
    <row r="246" spans="1:11">
      <c r="A246" s="169" t="s">
        <v>1807</v>
      </c>
      <c r="B246" s="278" t="s">
        <v>1827</v>
      </c>
      <c r="C246" s="171"/>
      <c r="D246" s="311">
        <v>32</v>
      </c>
      <c r="E246" s="170" cm="1">
        <f t="array" ref="E246">tabUniformes[[#This Row],[Valor Inicial]]*IFERROR(PRODUCT(1+_xlfn._xlws.FILTER(tabIndices[PERCENTUAL],tabIndices[DATA DA PUBLICAÇÃO]&gt;tabUniformes[[#This Row],[DATA PUBLICAÇÃO]])),1)</f>
        <v>32</v>
      </c>
      <c r="F246" s="172">
        <v>6</v>
      </c>
      <c r="G246" s="172" t="s">
        <v>1395</v>
      </c>
      <c r="H246" s="172">
        <v>7</v>
      </c>
      <c r="I246" s="173">
        <f>tabUniformes[[#This Row],[Valor Reajustado]]*tabUniformes[[#This Row],[Qtde Anual de Peças]]*tabUniformes[[#This Row],[Qtde. funcionários]]</f>
        <v>1344</v>
      </c>
      <c r="J246" s="172">
        <f>tabUniformes[[#This Row],[Qtde Anual de Peças]]*tabUniformes[[#This Row],[Qtde. funcionários]]</f>
        <v>42</v>
      </c>
      <c r="K246" s="170">
        <f>IFERROR(tabUniformes[[#This Row],[Total]]/12/tabUniformes[[#This Row],[Qtde. funcionários]],0)</f>
        <v>16</v>
      </c>
    </row>
    <row r="247" spans="1:11">
      <c r="A247" s="169" t="s">
        <v>13</v>
      </c>
      <c r="B247" s="278" t="s">
        <v>31</v>
      </c>
      <c r="C247" s="171"/>
      <c r="D247" s="311">
        <v>40.85</v>
      </c>
      <c r="E247" s="170" cm="1">
        <f t="array" ref="E247">tabUniformes[[#This Row],[Valor Inicial]]*IFERROR(PRODUCT(1+_xlfn._xlws.FILTER(tabIndices[PERCENTUAL],tabIndices[DATA DA PUBLICAÇÃO]&gt;tabUniformes[[#This Row],[DATA PUBLICAÇÃO]])),1)</f>
        <v>40.85</v>
      </c>
      <c r="F247" s="172">
        <v>8</v>
      </c>
      <c r="G247" s="172" t="s">
        <v>1395</v>
      </c>
      <c r="H247" s="172">
        <v>7</v>
      </c>
      <c r="I247" s="173">
        <v>1684.2514098596973</v>
      </c>
      <c r="J247" s="172">
        <v>56</v>
      </c>
      <c r="K247" s="170">
        <v>20.050612022139255</v>
      </c>
    </row>
    <row r="248" spans="1:11">
      <c r="A248" s="169" t="s">
        <v>19</v>
      </c>
      <c r="B248" s="278" t="s">
        <v>37</v>
      </c>
      <c r="C248" s="171"/>
      <c r="D248" s="311">
        <v>66.319999999999993</v>
      </c>
      <c r="E248" s="170" cm="1">
        <f t="array" ref="E248">tabUniformes[[#This Row],[Valor Inicial]]*IFERROR(PRODUCT(1+_xlfn._xlws.FILTER(tabIndices[PERCENTUAL],tabIndices[DATA DA PUBLICAÇÃO]&gt;tabUniformes[[#This Row],[DATA PUBLICAÇÃO]])),1)</f>
        <v>66.319999999999993</v>
      </c>
      <c r="F248" s="172">
        <v>4</v>
      </c>
      <c r="G248" s="172" t="s">
        <v>1395</v>
      </c>
      <c r="H248" s="172">
        <v>7</v>
      </c>
      <c r="I248" s="173">
        <v>1010.5508459158184</v>
      </c>
      <c r="J248" s="172">
        <v>28</v>
      </c>
      <c r="K248" s="170">
        <v>12.030367213283553</v>
      </c>
    </row>
    <row r="249" spans="1:11">
      <c r="A249" s="169" t="s">
        <v>14</v>
      </c>
      <c r="B249" s="278" t="s">
        <v>25</v>
      </c>
      <c r="C249" s="171"/>
      <c r="D249" s="311">
        <v>95.13</v>
      </c>
      <c r="E249" s="170" cm="1">
        <f t="array" ref="E249">tabUniformes[[#This Row],[Valor Inicial]]*IFERROR(PRODUCT(1+_xlfn._xlws.FILTER(tabIndices[PERCENTUAL],tabIndices[DATA DA PUBLICAÇÃO]&gt;tabUniformes[[#This Row],[DATA PUBLICAÇÃO]])),1)</f>
        <v>95.13</v>
      </c>
      <c r="F249" s="172">
        <v>1</v>
      </c>
      <c r="G249" s="172" t="s">
        <v>1395</v>
      </c>
      <c r="H249" s="172">
        <v>7</v>
      </c>
      <c r="I249" s="173">
        <v>421.06285246492433</v>
      </c>
      <c r="J249" s="172">
        <v>7</v>
      </c>
      <c r="K249" s="170">
        <v>5.0126530055348137</v>
      </c>
    </row>
    <row r="250" spans="1:11">
      <c r="A250" s="169" t="s">
        <v>1853</v>
      </c>
      <c r="B250" s="278" t="s">
        <v>1809</v>
      </c>
      <c r="C250" s="171"/>
      <c r="D250" s="311">
        <v>7.67</v>
      </c>
      <c r="E250" s="170" cm="1">
        <f t="array" ref="E250">tabUniformes[[#This Row],[Valor Inicial]]*IFERROR(PRODUCT(1+_xlfn._xlws.FILTER(tabIndices[PERCENTUAL],tabIndices[DATA DA PUBLICAÇÃO]&gt;tabUniformes[[#This Row],[DATA PUBLICAÇÃO]])),1)</f>
        <v>7.67</v>
      </c>
      <c r="F250" s="172">
        <v>1</v>
      </c>
      <c r="G250" s="172" t="s">
        <v>1395</v>
      </c>
      <c r="H250" s="172">
        <v>7</v>
      </c>
      <c r="I250" s="173">
        <f>tabUniformes[[#This Row],[Valor Reajustado]]*tabUniformes[[#This Row],[Qtde Anual de Peças]]*tabUniformes[[#This Row],[Qtde. funcionários]]</f>
        <v>53.69</v>
      </c>
      <c r="J250" s="172">
        <f>tabUniformes[[#This Row],[Qtde Anual de Peças]]*tabUniformes[[#This Row],[Qtde. funcionários]]</f>
        <v>7</v>
      </c>
      <c r="K250" s="170">
        <f>IFERROR(tabUniformes[[#This Row],[Total]]/12/tabUniformes[[#This Row],[Qtde. funcionários]],0)</f>
        <v>0.63916666666666655</v>
      </c>
    </row>
    <row r="251" spans="1:11">
      <c r="A251" s="169" t="s">
        <v>1865</v>
      </c>
      <c r="B251" s="278" t="s">
        <v>1843</v>
      </c>
      <c r="C251" s="171"/>
      <c r="D251" s="311">
        <v>42.96</v>
      </c>
      <c r="E251" s="170" cm="1">
        <f t="array" ref="E251">tabUniformes[[#This Row],[Valor Inicial]]*IFERROR(PRODUCT(1+_xlfn._xlws.FILTER(tabIndices[PERCENTUAL],tabIndices[DATA DA PUBLICAÇÃO]&gt;tabUniformes[[#This Row],[DATA PUBLICAÇÃO]])),1)</f>
        <v>42.96</v>
      </c>
      <c r="F251" s="172">
        <v>1</v>
      </c>
      <c r="G251" s="172" t="s">
        <v>1395</v>
      </c>
      <c r="H251" s="172">
        <v>7</v>
      </c>
      <c r="I251" s="173">
        <f>tabUniformes[[#This Row],[Valor Reajustado]]*tabUniformes[[#This Row],[Qtde Anual de Peças]]*tabUniformes[[#This Row],[Qtde. funcionários]]</f>
        <v>300.72000000000003</v>
      </c>
      <c r="J251" s="172">
        <f>tabUniformes[[#This Row],[Qtde Anual de Peças]]*tabUniformes[[#This Row],[Qtde. funcionários]]</f>
        <v>7</v>
      </c>
      <c r="K251" s="170">
        <f>IFERROR(tabUniformes[[#This Row],[Total]]/12/tabUniformes[[#This Row],[Qtde. funcionários]],0)</f>
        <v>3.5800000000000005</v>
      </c>
    </row>
    <row r="252" spans="1:11">
      <c r="A252" s="169" t="s">
        <v>1855</v>
      </c>
      <c r="B252" s="278" t="s">
        <v>1833</v>
      </c>
      <c r="C252" s="171"/>
      <c r="D252" s="311">
        <v>5.14</v>
      </c>
      <c r="E252" s="170" cm="1">
        <f t="array" ref="E252">tabUniformes[[#This Row],[Valor Inicial]]*IFERROR(PRODUCT(1+_xlfn._xlws.FILTER(tabIndices[PERCENTUAL],tabIndices[DATA DA PUBLICAÇÃO]&gt;tabUniformes[[#This Row],[DATA PUBLICAÇÃO]])),1)</f>
        <v>5.14</v>
      </c>
      <c r="F252" s="172">
        <v>6</v>
      </c>
      <c r="G252" s="172" t="s">
        <v>1395</v>
      </c>
      <c r="H252" s="172">
        <v>7</v>
      </c>
      <c r="I252" s="173">
        <f>tabUniformes[[#This Row],[Valor Reajustado]]*tabUniformes[[#This Row],[Qtde Anual de Peças]]*tabUniformes[[#This Row],[Qtde. funcionários]]</f>
        <v>215.87999999999997</v>
      </c>
      <c r="J252" s="172">
        <f>tabUniformes[[#This Row],[Qtde Anual de Peças]]*tabUniformes[[#This Row],[Qtde. funcionários]]</f>
        <v>42</v>
      </c>
      <c r="K252" s="170">
        <f>IFERROR(tabUniformes[[#This Row],[Total]]/12/tabUniformes[[#This Row],[Qtde. funcionários]],0)</f>
        <v>2.57</v>
      </c>
    </row>
    <row r="253" spans="1:11">
      <c r="A253" s="169" t="s">
        <v>1855</v>
      </c>
      <c r="B253" s="278" t="s">
        <v>1834</v>
      </c>
      <c r="C253" s="171"/>
      <c r="D253" s="311">
        <v>59.9</v>
      </c>
      <c r="E253" s="170" cm="1">
        <f t="array" ref="E253">tabUniformes[[#This Row],[Valor Inicial]]*IFERROR(PRODUCT(1+_xlfn._xlws.FILTER(tabIndices[PERCENTUAL],tabIndices[DATA DA PUBLICAÇÃO]&gt;tabUniformes[[#This Row],[DATA PUBLICAÇÃO]])),1)</f>
        <v>59.9</v>
      </c>
      <c r="F253" s="172">
        <v>1</v>
      </c>
      <c r="G253" s="172" t="s">
        <v>1395</v>
      </c>
      <c r="H253" s="172">
        <v>7</v>
      </c>
      <c r="I253" s="173">
        <f>tabUniformes[[#This Row],[Valor Reajustado]]*tabUniformes[[#This Row],[Qtde Anual de Peças]]*tabUniformes[[#This Row],[Qtde. funcionários]]</f>
        <v>419.3</v>
      </c>
      <c r="J253" s="172">
        <f>tabUniformes[[#This Row],[Qtde Anual de Peças]]*tabUniformes[[#This Row],[Qtde. funcionários]]</f>
        <v>7</v>
      </c>
      <c r="K253" s="170">
        <f>IFERROR(tabUniformes[[#This Row],[Total]]/12/tabUniformes[[#This Row],[Qtde. funcionários]],0)</f>
        <v>4.9916666666666671</v>
      </c>
    </row>
    <row r="254" spans="1:11">
      <c r="A254" s="169" t="s">
        <v>1855</v>
      </c>
      <c r="B254" s="278" t="s">
        <v>20</v>
      </c>
      <c r="C254" s="171"/>
      <c r="D254" s="311">
        <v>33.17</v>
      </c>
      <c r="E254" s="170" cm="1">
        <f t="array" ref="E254">tabUniformes[[#This Row],[Valor Inicial]]*IFERROR(PRODUCT(1+_xlfn._xlws.FILTER(tabIndices[PERCENTUAL],tabIndices[DATA DA PUBLICAÇÃO]&gt;tabUniformes[[#This Row],[DATA PUBLICAÇÃO]])),1)</f>
        <v>33.17</v>
      </c>
      <c r="F254" s="172">
        <v>1</v>
      </c>
      <c r="G254" s="172" t="s">
        <v>1395</v>
      </c>
      <c r="H254" s="172">
        <v>7</v>
      </c>
      <c r="I254" s="173">
        <f>tabUniformes[[#This Row],[Valor Reajustado]]*tabUniformes[[#This Row],[Qtde Anual de Peças]]*tabUniformes[[#This Row],[Qtde. funcionários]]</f>
        <v>232.19</v>
      </c>
      <c r="J254" s="172">
        <f>tabUniformes[[#This Row],[Qtde Anual de Peças]]*tabUniformes[[#This Row],[Qtde. funcionários]]</f>
        <v>7</v>
      </c>
      <c r="K254" s="170">
        <f>IFERROR(tabUniformes[[#This Row],[Total]]/12/tabUniformes[[#This Row],[Qtde. funcionários]],0)</f>
        <v>2.7641666666666667</v>
      </c>
    </row>
    <row r="255" spans="1:11">
      <c r="A255" s="169" t="s">
        <v>1855</v>
      </c>
      <c r="B255" s="278" t="s">
        <v>1844</v>
      </c>
      <c r="C255" s="171"/>
      <c r="D255" s="311">
        <v>2.5499999999999998</v>
      </c>
      <c r="E255" s="170" cm="1">
        <f t="array" ref="E255">tabUniformes[[#This Row],[Valor Inicial]]*IFERROR(PRODUCT(1+_xlfn._xlws.FILTER(tabIndices[PERCENTUAL],tabIndices[DATA DA PUBLICAÇÃO]&gt;tabUniformes[[#This Row],[DATA PUBLICAÇÃO]])),1)</f>
        <v>2.5499999999999998</v>
      </c>
      <c r="F255" s="172">
        <v>6</v>
      </c>
      <c r="G255" s="172" t="s">
        <v>1395</v>
      </c>
      <c r="H255" s="172">
        <v>7</v>
      </c>
      <c r="I255" s="173">
        <f>tabUniformes[[#This Row],[Valor Reajustado]]*tabUniformes[[#This Row],[Qtde Anual de Peças]]*tabUniformes[[#This Row],[Qtde. funcionários]]</f>
        <v>107.1</v>
      </c>
      <c r="J255" s="172">
        <f>tabUniformes[[#This Row],[Qtde Anual de Peças]]*tabUniformes[[#This Row],[Qtde. funcionários]]</f>
        <v>42</v>
      </c>
      <c r="K255" s="170">
        <f>IFERROR(tabUniformes[[#This Row],[Total]]/12/tabUniformes[[#This Row],[Qtde. funcionários]],0)</f>
        <v>1.2749999999999999</v>
      </c>
    </row>
    <row r="256" spans="1:11">
      <c r="A256" s="169" t="s">
        <v>1855</v>
      </c>
      <c r="B256" s="278" t="s">
        <v>1845</v>
      </c>
      <c r="C256" s="171"/>
      <c r="D256" s="311">
        <v>29.94</v>
      </c>
      <c r="E256" s="170" cm="1">
        <f t="array" ref="E256">tabUniformes[[#This Row],[Valor Inicial]]*IFERROR(PRODUCT(1+_xlfn._xlws.FILTER(tabIndices[PERCENTUAL],tabIndices[DATA DA PUBLICAÇÃO]&gt;tabUniformes[[#This Row],[DATA PUBLICAÇÃO]])),1)</f>
        <v>29.94</v>
      </c>
      <c r="F256" s="172">
        <v>12</v>
      </c>
      <c r="G256" s="172" t="s">
        <v>1395</v>
      </c>
      <c r="H256" s="172">
        <v>7</v>
      </c>
      <c r="I256" s="173">
        <f>tabUniformes[[#This Row],[Valor Reajustado]]*tabUniformes[[#This Row],[Qtde Anual de Peças]]*tabUniformes[[#This Row],[Qtde. funcionários]]</f>
        <v>2514.96</v>
      </c>
      <c r="J256" s="172">
        <f>tabUniformes[[#This Row],[Qtde Anual de Peças]]*tabUniformes[[#This Row],[Qtde. funcionários]]</f>
        <v>84</v>
      </c>
      <c r="K256" s="170">
        <f>IFERROR(tabUniformes[[#This Row],[Total]]/12/tabUniformes[[#This Row],[Qtde. funcionários]],0)</f>
        <v>29.94</v>
      </c>
    </row>
    <row r="257" spans="1:11">
      <c r="A257" s="169" t="s">
        <v>1854</v>
      </c>
      <c r="B257" s="278" t="s">
        <v>1835</v>
      </c>
      <c r="C257" s="171"/>
      <c r="D257" s="311">
        <v>326.77999999999997</v>
      </c>
      <c r="E257" s="170" cm="1">
        <f t="array" ref="E257">tabUniformes[[#This Row],[Valor Inicial]]*IFERROR(PRODUCT(1+_xlfn._xlws.FILTER(tabIndices[PERCENTUAL],tabIndices[DATA DA PUBLICAÇÃO]&gt;tabUniformes[[#This Row],[DATA PUBLICAÇÃO]])),1)</f>
        <v>326.77999999999997</v>
      </c>
      <c r="F257" s="172">
        <v>1</v>
      </c>
      <c r="G257" s="172" t="s">
        <v>1395</v>
      </c>
      <c r="H257" s="172">
        <v>7</v>
      </c>
      <c r="I257" s="173">
        <f>tabUniformes[[#This Row],[Valor Reajustado]]*tabUniformes[[#This Row],[Qtde Anual de Peças]]*tabUniformes[[#This Row],[Qtde. funcionários]]</f>
        <v>2287.46</v>
      </c>
      <c r="J257" s="172">
        <f>tabUniformes[[#This Row],[Qtde Anual de Peças]]*tabUniformes[[#This Row],[Qtde. funcionários]]</f>
        <v>7</v>
      </c>
      <c r="K257" s="170">
        <f>IFERROR(tabUniformes[[#This Row],[Total]]/12/tabUniformes[[#This Row],[Qtde. funcionários]],0)</f>
        <v>27.231666666666666</v>
      </c>
    </row>
    <row r="258" spans="1:11">
      <c r="A258" s="169" t="s">
        <v>21</v>
      </c>
      <c r="B258" s="278" t="s">
        <v>1846</v>
      </c>
      <c r="C258" s="171"/>
      <c r="D258" s="311">
        <v>11.13</v>
      </c>
      <c r="E258" s="170" cm="1">
        <f t="array" ref="E258">tabUniformes[[#This Row],[Valor Inicial]]*IFERROR(PRODUCT(1+_xlfn._xlws.FILTER(tabIndices[PERCENTUAL],tabIndices[DATA DA PUBLICAÇÃO]&gt;tabUniformes[[#This Row],[DATA PUBLICAÇÃO]])),1)</f>
        <v>11.13</v>
      </c>
      <c r="F258" s="172">
        <v>1</v>
      </c>
      <c r="G258" s="172" t="s">
        <v>1395</v>
      </c>
      <c r="H258" s="172">
        <v>7</v>
      </c>
      <c r="I258" s="173">
        <f>tabUniformes[[#This Row],[Valor Reajustado]]*tabUniformes[[#This Row],[Qtde Anual de Peças]]*tabUniformes[[#This Row],[Qtde. funcionários]]</f>
        <v>77.910000000000011</v>
      </c>
      <c r="J258" s="172">
        <f>tabUniformes[[#This Row],[Qtde Anual de Peças]]*tabUniformes[[#This Row],[Qtde. funcionários]]</f>
        <v>7</v>
      </c>
      <c r="K258" s="170">
        <f>IFERROR(tabUniformes[[#This Row],[Total]]/12/tabUniformes[[#This Row],[Qtde. funcionários]],0)</f>
        <v>0.9275000000000001</v>
      </c>
    </row>
    <row r="259" spans="1:11">
      <c r="A259" s="169" t="s">
        <v>18</v>
      </c>
      <c r="B259" s="278" t="s">
        <v>1812</v>
      </c>
      <c r="C259" s="171"/>
      <c r="D259" s="311">
        <v>24.55</v>
      </c>
      <c r="E259" s="170" cm="1">
        <f t="array" ref="E259">tabUniformes[[#This Row],[Valor Inicial]]*IFERROR(PRODUCT(1+_xlfn._xlws.FILTER(tabIndices[PERCENTUAL],tabIndices[DATA DA PUBLICAÇÃO]&gt;tabUniformes[[#This Row],[DATA PUBLICAÇÃO]])),1)</f>
        <v>24.55</v>
      </c>
      <c r="F259" s="172">
        <v>2</v>
      </c>
      <c r="G259" s="172" t="s">
        <v>57</v>
      </c>
      <c r="H259" s="172">
        <v>13</v>
      </c>
      <c r="I259" s="173">
        <f>tabUniformes[[#This Row],[Valor Reajustado]]*tabUniformes[[#This Row],[Qtde Anual de Peças]]*tabUniformes[[#This Row],[Qtde. funcionários]]</f>
        <v>638.30000000000007</v>
      </c>
      <c r="J259" s="172">
        <f>tabUniformes[[#This Row],[Qtde Anual de Peças]]*tabUniformes[[#This Row],[Qtde. funcionários]]</f>
        <v>26</v>
      </c>
      <c r="K259" s="170">
        <f>IFERROR(tabUniformes[[#This Row],[Total]]/12/tabUniformes[[#This Row],[Qtde. funcionários]],0)</f>
        <v>4.0916666666666668</v>
      </c>
    </row>
    <row r="260" spans="1:11">
      <c r="A260" s="169" t="s">
        <v>18</v>
      </c>
      <c r="B260" s="278" t="s">
        <v>1813</v>
      </c>
      <c r="C260" s="171"/>
      <c r="D260" s="311">
        <v>90.53</v>
      </c>
      <c r="E260" s="170" cm="1">
        <f t="array" ref="E260">tabUniformes[[#This Row],[Valor Inicial]]*IFERROR(PRODUCT(1+_xlfn._xlws.FILTER(tabIndices[PERCENTUAL],tabIndices[DATA DA PUBLICAÇÃO]&gt;tabUniformes[[#This Row],[DATA PUBLICAÇÃO]])),1)</f>
        <v>90.53</v>
      </c>
      <c r="F260" s="172">
        <v>1</v>
      </c>
      <c r="G260" s="172" t="s">
        <v>57</v>
      </c>
      <c r="H260" s="172">
        <v>13</v>
      </c>
      <c r="I260" s="173">
        <f>tabUniformes[[#This Row],[Valor Reajustado]]*tabUniformes[[#This Row],[Qtde Anual de Peças]]*tabUniformes[[#This Row],[Qtde. funcionários]]</f>
        <v>1176.8900000000001</v>
      </c>
      <c r="J260" s="172">
        <f>tabUniformes[[#This Row],[Qtde Anual de Peças]]*tabUniformes[[#This Row],[Qtde. funcionários]]</f>
        <v>13</v>
      </c>
      <c r="K260" s="170">
        <f>IFERROR(tabUniformes[[#This Row],[Total]]/12/tabUniformes[[#This Row],[Qtde. funcionários]],0)</f>
        <v>7.5441666666666674</v>
      </c>
    </row>
    <row r="261" spans="1:11">
      <c r="A261" s="169" t="s">
        <v>17</v>
      </c>
      <c r="B261" s="278" t="s">
        <v>1814</v>
      </c>
      <c r="C261" s="171"/>
      <c r="D261" s="311">
        <v>49.99</v>
      </c>
      <c r="E261" s="170" cm="1">
        <f t="array" ref="E261">tabUniformes[[#This Row],[Valor Inicial]]*IFERROR(PRODUCT(1+_xlfn._xlws.FILTER(tabIndices[PERCENTUAL],tabIndices[DATA DA PUBLICAÇÃO]&gt;tabUniformes[[#This Row],[DATA PUBLICAÇÃO]])),1)</f>
        <v>49.99</v>
      </c>
      <c r="F261" s="172">
        <v>1</v>
      </c>
      <c r="G261" s="172" t="s">
        <v>57</v>
      </c>
      <c r="H261" s="172">
        <v>13</v>
      </c>
      <c r="I261" s="173">
        <f>tabUniformes[[#This Row],[Valor Reajustado]]*tabUniformes[[#This Row],[Qtde Anual de Peças]]*tabUniformes[[#This Row],[Qtde. funcionários]]</f>
        <v>649.87</v>
      </c>
      <c r="J261" s="172">
        <f>tabUniformes[[#This Row],[Qtde Anual de Peças]]*tabUniformes[[#This Row],[Qtde. funcionários]]</f>
        <v>13</v>
      </c>
      <c r="K261" s="170">
        <f>IFERROR(tabUniformes[[#This Row],[Total]]/12/tabUniformes[[#This Row],[Qtde. funcionários]],0)</f>
        <v>4.1658333333333335</v>
      </c>
    </row>
    <row r="262" spans="1:11">
      <c r="A262" s="169" t="s">
        <v>11</v>
      </c>
      <c r="B262" s="278" t="s">
        <v>29</v>
      </c>
      <c r="C262" s="171"/>
      <c r="D262" s="311">
        <v>60.93</v>
      </c>
      <c r="E262" s="170" cm="1">
        <f t="array" ref="E262">tabUniformes[[#This Row],[Valor Inicial]]*IFERROR(PRODUCT(1+_xlfn._xlws.FILTER(tabIndices[PERCENTUAL],tabIndices[DATA DA PUBLICAÇÃO]&gt;tabUniformes[[#This Row],[DATA PUBLICAÇÃO]])),1)</f>
        <v>60.93</v>
      </c>
      <c r="F262" s="172">
        <v>4</v>
      </c>
      <c r="G262" s="172" t="s">
        <v>57</v>
      </c>
      <c r="H262" s="172">
        <v>13</v>
      </c>
      <c r="I262" s="173">
        <v>2189.5268328176066</v>
      </c>
      <c r="J262" s="172">
        <v>52</v>
      </c>
      <c r="K262" s="170">
        <v>14.035428415497478</v>
      </c>
    </row>
    <row r="263" spans="1:11">
      <c r="A263" s="169" t="s">
        <v>17</v>
      </c>
      <c r="B263" s="278" t="s">
        <v>1808</v>
      </c>
      <c r="C263" s="171"/>
      <c r="D263" s="311">
        <v>280.04000000000002</v>
      </c>
      <c r="E263" s="170" cm="1">
        <f t="array" ref="E263">tabUniformes[[#This Row],[Valor Inicial]]*IFERROR(PRODUCT(1+_xlfn._xlws.FILTER(tabIndices[PERCENTUAL],tabIndices[DATA DA PUBLICAÇÃO]&gt;tabUniformes[[#This Row],[DATA PUBLICAÇÃO]])),1)</f>
        <v>280.04000000000002</v>
      </c>
      <c r="F263" s="172">
        <v>1</v>
      </c>
      <c r="G263" s="172" t="s">
        <v>57</v>
      </c>
      <c r="H263" s="172">
        <v>13</v>
      </c>
      <c r="I263" s="173">
        <f>tabUniformes[[#This Row],[Valor Reajustado]]*tabUniformes[[#This Row],[Qtde Anual de Peças]]*tabUniformes[[#This Row],[Qtde. funcionários]]</f>
        <v>3640.5200000000004</v>
      </c>
      <c r="J263" s="172">
        <f>tabUniformes[[#This Row],[Qtde Anual de Peças]]*tabUniformes[[#This Row],[Qtde. funcionários]]</f>
        <v>13</v>
      </c>
      <c r="K263" s="170">
        <f>IFERROR(tabUniformes[[#This Row],[Total]]/12/tabUniformes[[#This Row],[Qtde. funcionários]],0)</f>
        <v>23.33666666666667</v>
      </c>
    </row>
    <row r="264" spans="1:11">
      <c r="A264" s="169" t="s">
        <v>1858</v>
      </c>
      <c r="B264" s="278" t="s">
        <v>1836</v>
      </c>
      <c r="C264" s="171"/>
      <c r="D264" s="311">
        <v>18.07</v>
      </c>
      <c r="E264" s="170" cm="1">
        <f t="array" ref="E264">tabUniformes[[#This Row],[Valor Inicial]]*IFERROR(PRODUCT(1+_xlfn._xlws.FILTER(tabIndices[PERCENTUAL],tabIndices[DATA DA PUBLICAÇÃO]&gt;tabUniformes[[#This Row],[DATA PUBLICAÇÃO]])),1)</f>
        <v>18.07</v>
      </c>
      <c r="F264" s="172">
        <v>1</v>
      </c>
      <c r="G264" s="172" t="s">
        <v>57</v>
      </c>
      <c r="H264" s="172">
        <v>13</v>
      </c>
      <c r="I264" s="173">
        <f>tabUniformes[[#This Row],[Valor Reajustado]]*tabUniformes[[#This Row],[Qtde Anual de Peças]]*tabUniformes[[#This Row],[Qtde. funcionários]]</f>
        <v>234.91</v>
      </c>
      <c r="J264" s="172">
        <f>tabUniformes[[#This Row],[Qtde Anual de Peças]]*tabUniformes[[#This Row],[Qtde. funcionários]]</f>
        <v>13</v>
      </c>
      <c r="K264" s="170">
        <f>IFERROR(tabUniformes[[#This Row],[Total]]/12/tabUniformes[[#This Row],[Qtde. funcionários]],0)</f>
        <v>1.5058333333333331</v>
      </c>
    </row>
    <row r="265" spans="1:11">
      <c r="A265" s="169" t="s">
        <v>1860</v>
      </c>
      <c r="B265" s="278" t="s">
        <v>1817</v>
      </c>
      <c r="C265" s="171"/>
      <c r="D265" s="311">
        <v>22.2</v>
      </c>
      <c r="E265" s="170" cm="1">
        <f t="array" ref="E265">tabUniformes[[#This Row],[Valor Inicial]]*IFERROR(PRODUCT(1+_xlfn._xlws.FILTER(tabIndices[PERCENTUAL],tabIndices[DATA DA PUBLICAÇÃO]&gt;tabUniformes[[#This Row],[DATA PUBLICAÇÃO]])),1)</f>
        <v>22.2</v>
      </c>
      <c r="F265" s="172">
        <v>1</v>
      </c>
      <c r="G265" s="172" t="s">
        <v>57</v>
      </c>
      <c r="H265" s="172">
        <v>13</v>
      </c>
      <c r="I265" s="173">
        <f>tabUniformes[[#This Row],[Valor Reajustado]]*tabUniformes[[#This Row],[Qtde Anual de Peças]]*tabUniformes[[#This Row],[Qtde. funcionários]]</f>
        <v>288.59999999999997</v>
      </c>
      <c r="J265" s="172">
        <f>tabUniformes[[#This Row],[Qtde Anual de Peças]]*tabUniformes[[#This Row],[Qtde. funcionários]]</f>
        <v>13</v>
      </c>
      <c r="K265" s="170">
        <f>IFERROR(tabUniformes[[#This Row],[Total]]/12/tabUniformes[[#This Row],[Qtde. funcionários]],0)</f>
        <v>1.8499999999999999</v>
      </c>
    </row>
    <row r="266" spans="1:11">
      <c r="A266" s="169" t="s">
        <v>1859</v>
      </c>
      <c r="B266" s="278" t="s">
        <v>1819</v>
      </c>
      <c r="C266" s="171"/>
      <c r="D266" s="311">
        <v>351.15</v>
      </c>
      <c r="E266" s="170" cm="1">
        <f t="array" ref="E266">tabUniformes[[#This Row],[Valor Inicial]]*IFERROR(PRODUCT(1+_xlfn._xlws.FILTER(tabIndices[PERCENTUAL],tabIndices[DATA DA PUBLICAÇÃO]&gt;tabUniformes[[#This Row],[DATA PUBLICAÇÃO]])),1)</f>
        <v>351.15</v>
      </c>
      <c r="F266" s="172">
        <v>1</v>
      </c>
      <c r="G266" s="172" t="s">
        <v>57</v>
      </c>
      <c r="H266" s="172">
        <v>13</v>
      </c>
      <c r="I266" s="173">
        <f>tabUniformes[[#This Row],[Valor Reajustado]]*tabUniformes[[#This Row],[Qtde Anual de Peças]]*tabUniformes[[#This Row],[Qtde. funcionários]]</f>
        <v>4564.95</v>
      </c>
      <c r="J266" s="172">
        <f>tabUniformes[[#This Row],[Qtde Anual de Peças]]*tabUniformes[[#This Row],[Qtde. funcionários]]</f>
        <v>13</v>
      </c>
      <c r="K266" s="170">
        <f>IFERROR(tabUniformes[[#This Row],[Total]]/12/tabUniformes[[#This Row],[Qtde. funcionários]],0)</f>
        <v>29.262499999999996</v>
      </c>
    </row>
    <row r="267" spans="1:11">
      <c r="A267" s="169" t="s">
        <v>1807</v>
      </c>
      <c r="B267" s="278" t="s">
        <v>1842</v>
      </c>
      <c r="C267" s="171"/>
      <c r="D267" s="311">
        <v>2.72</v>
      </c>
      <c r="E267" s="170" cm="1">
        <f t="array" ref="E267">tabUniformes[[#This Row],[Valor Inicial]]*IFERROR(PRODUCT(1+_xlfn._xlws.FILTER(tabIndices[PERCENTUAL],tabIndices[DATA DA PUBLICAÇÃO]&gt;tabUniformes[[#This Row],[DATA PUBLICAÇÃO]])),1)</f>
        <v>2.72</v>
      </c>
      <c r="F267" s="172">
        <v>24</v>
      </c>
      <c r="G267" s="172" t="s">
        <v>57</v>
      </c>
      <c r="H267" s="172">
        <v>13</v>
      </c>
      <c r="I267" s="173">
        <f>tabUniformes[[#This Row],[Valor Reajustado]]*tabUniformes[[#This Row],[Qtde Anual de Peças]]*tabUniformes[[#This Row],[Qtde. funcionários]]</f>
        <v>848.64</v>
      </c>
      <c r="J267" s="172">
        <f>tabUniformes[[#This Row],[Qtde Anual de Peças]]*tabUniformes[[#This Row],[Qtde. funcionários]]</f>
        <v>312</v>
      </c>
      <c r="K267" s="170">
        <f>IFERROR(tabUniformes[[#This Row],[Total]]/12/tabUniformes[[#This Row],[Qtde. funcionários]],0)</f>
        <v>5.4399999999999995</v>
      </c>
    </row>
    <row r="268" spans="1:11">
      <c r="A268" s="169" t="s">
        <v>1807</v>
      </c>
      <c r="B268" s="278" t="s">
        <v>1822</v>
      </c>
      <c r="C268" s="171"/>
      <c r="D268" s="311">
        <v>20.170000000000002</v>
      </c>
      <c r="E268" s="170" cm="1">
        <f t="array" ref="E268">tabUniformes[[#This Row],[Valor Inicial]]*IFERROR(PRODUCT(1+_xlfn._xlws.FILTER(tabIndices[PERCENTUAL],tabIndices[DATA DA PUBLICAÇÃO]&gt;tabUniformes[[#This Row],[DATA PUBLICAÇÃO]])),1)</f>
        <v>20.170000000000002</v>
      </c>
      <c r="F268" s="172">
        <v>4</v>
      </c>
      <c r="G268" s="172" t="s">
        <v>57</v>
      </c>
      <c r="H268" s="172">
        <v>13</v>
      </c>
      <c r="I268" s="173">
        <f>tabUniformes[[#This Row],[Valor Reajustado]]*tabUniformes[[#This Row],[Qtde Anual de Peças]]*tabUniformes[[#This Row],[Qtde. funcionários]]</f>
        <v>1048.8400000000001</v>
      </c>
      <c r="J268" s="172">
        <f>tabUniformes[[#This Row],[Qtde Anual de Peças]]*tabUniformes[[#This Row],[Qtde. funcionários]]</f>
        <v>52</v>
      </c>
      <c r="K268" s="170">
        <f>IFERROR(tabUniformes[[#This Row],[Total]]/12/tabUniformes[[#This Row],[Qtde. funcionários]],0)</f>
        <v>6.7233333333333345</v>
      </c>
    </row>
    <row r="269" spans="1:11">
      <c r="A269" s="169" t="s">
        <v>1807</v>
      </c>
      <c r="B269" s="278" t="s">
        <v>1826</v>
      </c>
      <c r="C269" s="171"/>
      <c r="D269" s="311">
        <v>16.38</v>
      </c>
      <c r="E269" s="170" cm="1">
        <f t="array" ref="E269">tabUniformes[[#This Row],[Valor Inicial]]*IFERROR(PRODUCT(1+_xlfn._xlws.FILTER(tabIndices[PERCENTUAL],tabIndices[DATA DA PUBLICAÇÃO]&gt;tabUniformes[[#This Row],[DATA PUBLICAÇÃO]])),1)</f>
        <v>16.38</v>
      </c>
      <c r="F269" s="172">
        <v>1</v>
      </c>
      <c r="G269" s="172" t="s">
        <v>57</v>
      </c>
      <c r="H269" s="172">
        <v>13</v>
      </c>
      <c r="I269" s="173">
        <f>tabUniformes[[#This Row],[Valor Reajustado]]*tabUniformes[[#This Row],[Qtde Anual de Peças]]*tabUniformes[[#This Row],[Qtde. funcionários]]</f>
        <v>212.94</v>
      </c>
      <c r="J269" s="172">
        <f>tabUniformes[[#This Row],[Qtde Anual de Peças]]*tabUniformes[[#This Row],[Qtde. funcionários]]</f>
        <v>13</v>
      </c>
      <c r="K269" s="170">
        <f>IFERROR(tabUniformes[[#This Row],[Total]]/12/tabUniformes[[#This Row],[Qtde. funcionários]],0)</f>
        <v>1.365</v>
      </c>
    </row>
    <row r="270" spans="1:11">
      <c r="A270" s="169" t="s">
        <v>1807</v>
      </c>
      <c r="B270" s="278" t="s">
        <v>1827</v>
      </c>
      <c r="C270" s="171"/>
      <c r="D270" s="311">
        <v>32</v>
      </c>
      <c r="E270" s="170" cm="1">
        <f t="array" ref="E270">tabUniformes[[#This Row],[Valor Inicial]]*IFERROR(PRODUCT(1+_xlfn._xlws.FILTER(tabIndices[PERCENTUAL],tabIndices[DATA DA PUBLICAÇÃO]&gt;tabUniformes[[#This Row],[DATA PUBLICAÇÃO]])),1)</f>
        <v>32</v>
      </c>
      <c r="F270" s="172">
        <v>6</v>
      </c>
      <c r="G270" s="172" t="s">
        <v>57</v>
      </c>
      <c r="H270" s="172">
        <v>13</v>
      </c>
      <c r="I270" s="173">
        <f>tabUniformes[[#This Row],[Valor Reajustado]]*tabUniformes[[#This Row],[Qtde Anual de Peças]]*tabUniformes[[#This Row],[Qtde. funcionários]]</f>
        <v>2496</v>
      </c>
      <c r="J270" s="172">
        <f>tabUniformes[[#This Row],[Qtde Anual de Peças]]*tabUniformes[[#This Row],[Qtde. funcionários]]</f>
        <v>78</v>
      </c>
      <c r="K270" s="170">
        <f>IFERROR(tabUniformes[[#This Row],[Total]]/12/tabUniformes[[#This Row],[Qtde. funcionários]],0)</f>
        <v>16</v>
      </c>
    </row>
    <row r="271" spans="1:11">
      <c r="A271" s="169" t="s">
        <v>13</v>
      </c>
      <c r="B271" s="278" t="s">
        <v>31</v>
      </c>
      <c r="C271" s="171"/>
      <c r="D271" s="311">
        <v>40.85</v>
      </c>
      <c r="E271" s="170" cm="1">
        <f t="array" ref="E271">tabUniformes[[#This Row],[Valor Inicial]]*IFERROR(PRODUCT(1+_xlfn._xlws.FILTER(tabIndices[PERCENTUAL],tabIndices[DATA DA PUBLICAÇÃO]&gt;tabUniformes[[#This Row],[DATA PUBLICAÇÃO]])),1)</f>
        <v>40.85</v>
      </c>
      <c r="F271" s="172">
        <v>8</v>
      </c>
      <c r="G271" s="172" t="s">
        <v>57</v>
      </c>
      <c r="H271" s="172">
        <v>13</v>
      </c>
      <c r="I271" s="173">
        <v>3127.895475453724</v>
      </c>
      <c r="J271" s="172">
        <v>104</v>
      </c>
      <c r="K271" s="170">
        <v>20.050612022139259</v>
      </c>
    </row>
    <row r="272" spans="1:11">
      <c r="A272" s="169" t="s">
        <v>19</v>
      </c>
      <c r="B272" s="278" t="s">
        <v>37</v>
      </c>
      <c r="C272" s="171"/>
      <c r="D272" s="311">
        <v>66.319999999999993</v>
      </c>
      <c r="E272" s="170" cm="1">
        <f t="array" ref="E272">tabUniformes[[#This Row],[Valor Inicial]]*IFERROR(PRODUCT(1+_xlfn._xlws.FILTER(tabIndices[PERCENTUAL],tabIndices[DATA DA PUBLICAÇÃO]&gt;tabUniformes[[#This Row],[DATA PUBLICAÇÃO]])),1)</f>
        <v>66.319999999999993</v>
      </c>
      <c r="F272" s="172">
        <v>4</v>
      </c>
      <c r="G272" s="172" t="s">
        <v>57</v>
      </c>
      <c r="H272" s="172">
        <v>13</v>
      </c>
      <c r="I272" s="173">
        <v>1876.7372852722342</v>
      </c>
      <c r="J272" s="172">
        <v>52</v>
      </c>
      <c r="K272" s="170">
        <v>12.030367213283553</v>
      </c>
    </row>
    <row r="273" spans="1:11">
      <c r="A273" s="169" t="s">
        <v>14</v>
      </c>
      <c r="B273" s="278" t="s">
        <v>25</v>
      </c>
      <c r="C273" s="171"/>
      <c r="D273" s="311">
        <v>95.13</v>
      </c>
      <c r="E273" s="170" cm="1">
        <f t="array" ref="E273">tabUniformes[[#This Row],[Valor Inicial]]*IFERROR(PRODUCT(1+_xlfn._xlws.FILTER(tabIndices[PERCENTUAL],tabIndices[DATA DA PUBLICAÇÃO]&gt;tabUniformes[[#This Row],[DATA PUBLICAÇÃO]])),1)</f>
        <v>95.13</v>
      </c>
      <c r="F273" s="172">
        <v>1</v>
      </c>
      <c r="G273" s="172" t="s">
        <v>57</v>
      </c>
      <c r="H273" s="172">
        <v>13</v>
      </c>
      <c r="I273" s="173">
        <v>781.97386886343099</v>
      </c>
      <c r="J273" s="172">
        <v>13</v>
      </c>
      <c r="K273" s="170">
        <v>5.0126530055348146</v>
      </c>
    </row>
    <row r="274" spans="1:11">
      <c r="A274" s="169" t="s">
        <v>1853</v>
      </c>
      <c r="B274" s="278" t="s">
        <v>1809</v>
      </c>
      <c r="C274" s="171"/>
      <c r="D274" s="311">
        <v>7.67</v>
      </c>
      <c r="E274" s="170" cm="1">
        <f t="array" ref="E274">tabUniformes[[#This Row],[Valor Inicial]]*IFERROR(PRODUCT(1+_xlfn._xlws.FILTER(tabIndices[PERCENTUAL],tabIndices[DATA DA PUBLICAÇÃO]&gt;tabUniformes[[#This Row],[DATA PUBLICAÇÃO]])),1)</f>
        <v>7.67</v>
      </c>
      <c r="F274" s="172">
        <v>1</v>
      </c>
      <c r="G274" s="172" t="s">
        <v>57</v>
      </c>
      <c r="H274" s="172">
        <v>13</v>
      </c>
      <c r="I274" s="173">
        <f>tabUniformes[[#This Row],[Valor Reajustado]]*tabUniformes[[#This Row],[Qtde Anual de Peças]]*tabUniformes[[#This Row],[Qtde. funcionários]]</f>
        <v>99.71</v>
      </c>
      <c r="J274" s="172">
        <f>tabUniformes[[#This Row],[Qtde Anual de Peças]]*tabUniformes[[#This Row],[Qtde. funcionários]]</f>
        <v>13</v>
      </c>
      <c r="K274" s="170">
        <f>IFERROR(tabUniformes[[#This Row],[Total]]/12/tabUniformes[[#This Row],[Qtde. funcionários]],0)</f>
        <v>0.63916666666666666</v>
      </c>
    </row>
    <row r="275" spans="1:11">
      <c r="A275" s="169" t="s">
        <v>1865</v>
      </c>
      <c r="B275" s="278" t="s">
        <v>1843</v>
      </c>
      <c r="C275" s="171"/>
      <c r="D275" s="311">
        <v>42.96</v>
      </c>
      <c r="E275" s="170" cm="1">
        <f t="array" ref="E275">tabUniformes[[#This Row],[Valor Inicial]]*IFERROR(PRODUCT(1+_xlfn._xlws.FILTER(tabIndices[PERCENTUAL],tabIndices[DATA DA PUBLICAÇÃO]&gt;tabUniformes[[#This Row],[DATA PUBLICAÇÃO]])),1)</f>
        <v>42.96</v>
      </c>
      <c r="F275" s="172">
        <v>1</v>
      </c>
      <c r="G275" s="172" t="s">
        <v>57</v>
      </c>
      <c r="H275" s="172">
        <v>13</v>
      </c>
      <c r="I275" s="173">
        <f>tabUniformes[[#This Row],[Valor Reajustado]]*tabUniformes[[#This Row],[Qtde Anual de Peças]]*tabUniformes[[#This Row],[Qtde. funcionários]]</f>
        <v>558.48</v>
      </c>
      <c r="J275" s="172">
        <f>tabUniformes[[#This Row],[Qtde Anual de Peças]]*tabUniformes[[#This Row],[Qtde. funcionários]]</f>
        <v>13</v>
      </c>
      <c r="K275" s="170">
        <f>IFERROR(tabUniformes[[#This Row],[Total]]/12/tabUniformes[[#This Row],[Qtde. funcionários]],0)</f>
        <v>3.58</v>
      </c>
    </row>
    <row r="276" spans="1:11">
      <c r="A276" s="169" t="s">
        <v>1855</v>
      </c>
      <c r="B276" s="278" t="s">
        <v>1833</v>
      </c>
      <c r="C276" s="171"/>
      <c r="D276" s="311">
        <v>5.14</v>
      </c>
      <c r="E276" s="170" cm="1">
        <f t="array" ref="E276">tabUniformes[[#This Row],[Valor Inicial]]*IFERROR(PRODUCT(1+_xlfn._xlws.FILTER(tabIndices[PERCENTUAL],tabIndices[DATA DA PUBLICAÇÃO]&gt;tabUniformes[[#This Row],[DATA PUBLICAÇÃO]])),1)</f>
        <v>5.14</v>
      </c>
      <c r="F276" s="172">
        <v>6</v>
      </c>
      <c r="G276" s="172" t="s">
        <v>57</v>
      </c>
      <c r="H276" s="172">
        <v>13</v>
      </c>
      <c r="I276" s="173">
        <f>tabUniformes[[#This Row],[Valor Reajustado]]*tabUniformes[[#This Row],[Qtde Anual de Peças]]*tabUniformes[[#This Row],[Qtde. funcionários]]</f>
        <v>400.91999999999996</v>
      </c>
      <c r="J276" s="172">
        <f>tabUniformes[[#This Row],[Qtde Anual de Peças]]*tabUniformes[[#This Row],[Qtde. funcionários]]</f>
        <v>78</v>
      </c>
      <c r="K276" s="170">
        <f>IFERROR(tabUniformes[[#This Row],[Total]]/12/tabUniformes[[#This Row],[Qtde. funcionários]],0)</f>
        <v>2.57</v>
      </c>
    </row>
    <row r="277" spans="1:11">
      <c r="A277" s="169" t="s">
        <v>1855</v>
      </c>
      <c r="B277" s="278" t="s">
        <v>1834</v>
      </c>
      <c r="C277" s="171"/>
      <c r="D277" s="311">
        <v>59.9</v>
      </c>
      <c r="E277" s="170" cm="1">
        <f t="array" ref="E277">tabUniformes[[#This Row],[Valor Inicial]]*IFERROR(PRODUCT(1+_xlfn._xlws.FILTER(tabIndices[PERCENTUAL],tabIndices[DATA DA PUBLICAÇÃO]&gt;tabUniformes[[#This Row],[DATA PUBLICAÇÃO]])),1)</f>
        <v>59.9</v>
      </c>
      <c r="F277" s="172">
        <v>1</v>
      </c>
      <c r="G277" s="172" t="s">
        <v>57</v>
      </c>
      <c r="H277" s="172">
        <v>13</v>
      </c>
      <c r="I277" s="173">
        <f>tabUniformes[[#This Row],[Valor Reajustado]]*tabUniformes[[#This Row],[Qtde Anual de Peças]]*tabUniformes[[#This Row],[Qtde. funcionários]]</f>
        <v>778.69999999999993</v>
      </c>
      <c r="J277" s="172">
        <f>tabUniformes[[#This Row],[Qtde Anual de Peças]]*tabUniformes[[#This Row],[Qtde. funcionários]]</f>
        <v>13</v>
      </c>
      <c r="K277" s="170">
        <f>IFERROR(tabUniformes[[#This Row],[Total]]/12/tabUniformes[[#This Row],[Qtde. funcionários]],0)</f>
        <v>4.9916666666666663</v>
      </c>
    </row>
    <row r="278" spans="1:11">
      <c r="A278" s="169" t="s">
        <v>1855</v>
      </c>
      <c r="B278" s="278" t="s">
        <v>20</v>
      </c>
      <c r="C278" s="171"/>
      <c r="D278" s="311">
        <v>33.17</v>
      </c>
      <c r="E278" s="170" cm="1">
        <f t="array" ref="E278">tabUniformes[[#This Row],[Valor Inicial]]*IFERROR(PRODUCT(1+_xlfn._xlws.FILTER(tabIndices[PERCENTUAL],tabIndices[DATA DA PUBLICAÇÃO]&gt;tabUniformes[[#This Row],[DATA PUBLICAÇÃO]])),1)</f>
        <v>33.17</v>
      </c>
      <c r="F278" s="172">
        <v>1</v>
      </c>
      <c r="G278" s="172" t="s">
        <v>57</v>
      </c>
      <c r="H278" s="172">
        <v>13</v>
      </c>
      <c r="I278" s="173">
        <f>tabUniformes[[#This Row],[Valor Reajustado]]*tabUniformes[[#This Row],[Qtde Anual de Peças]]*tabUniformes[[#This Row],[Qtde. funcionários]]</f>
        <v>431.21000000000004</v>
      </c>
      <c r="J278" s="172">
        <f>tabUniformes[[#This Row],[Qtde Anual de Peças]]*tabUniformes[[#This Row],[Qtde. funcionários]]</f>
        <v>13</v>
      </c>
      <c r="K278" s="170">
        <f>IFERROR(tabUniformes[[#This Row],[Total]]/12/tabUniformes[[#This Row],[Qtde. funcionários]],0)</f>
        <v>2.7641666666666671</v>
      </c>
    </row>
    <row r="279" spans="1:11">
      <c r="A279" s="169" t="s">
        <v>1855</v>
      </c>
      <c r="B279" s="278" t="s">
        <v>1844</v>
      </c>
      <c r="C279" s="171"/>
      <c r="D279" s="311">
        <v>2.5499999999999998</v>
      </c>
      <c r="E279" s="170" cm="1">
        <f t="array" ref="E279">tabUniformes[[#This Row],[Valor Inicial]]*IFERROR(PRODUCT(1+_xlfn._xlws.FILTER(tabIndices[PERCENTUAL],tabIndices[DATA DA PUBLICAÇÃO]&gt;tabUniformes[[#This Row],[DATA PUBLICAÇÃO]])),1)</f>
        <v>2.5499999999999998</v>
      </c>
      <c r="F279" s="172">
        <v>6</v>
      </c>
      <c r="G279" s="172" t="s">
        <v>57</v>
      </c>
      <c r="H279" s="172">
        <v>13</v>
      </c>
      <c r="I279" s="173">
        <f>tabUniformes[[#This Row],[Valor Reajustado]]*tabUniformes[[#This Row],[Qtde Anual de Peças]]*tabUniformes[[#This Row],[Qtde. funcionários]]</f>
        <v>198.89999999999998</v>
      </c>
      <c r="J279" s="172">
        <f>tabUniformes[[#This Row],[Qtde Anual de Peças]]*tabUniformes[[#This Row],[Qtde. funcionários]]</f>
        <v>78</v>
      </c>
      <c r="K279" s="170">
        <f>IFERROR(tabUniformes[[#This Row],[Total]]/12/tabUniformes[[#This Row],[Qtde. funcionários]],0)</f>
        <v>1.2749999999999999</v>
      </c>
    </row>
    <row r="280" spans="1:11">
      <c r="A280" s="169" t="s">
        <v>1855</v>
      </c>
      <c r="B280" s="278" t="s">
        <v>1845</v>
      </c>
      <c r="C280" s="171"/>
      <c r="D280" s="311">
        <v>29.94</v>
      </c>
      <c r="E280" s="170" cm="1">
        <f t="array" ref="E280">tabUniformes[[#This Row],[Valor Inicial]]*IFERROR(PRODUCT(1+_xlfn._xlws.FILTER(tabIndices[PERCENTUAL],tabIndices[DATA DA PUBLICAÇÃO]&gt;tabUniformes[[#This Row],[DATA PUBLICAÇÃO]])),1)</f>
        <v>29.94</v>
      </c>
      <c r="F280" s="172">
        <v>12</v>
      </c>
      <c r="G280" s="172" t="s">
        <v>57</v>
      </c>
      <c r="H280" s="172">
        <v>13</v>
      </c>
      <c r="I280" s="173">
        <f>tabUniformes[[#This Row],[Valor Reajustado]]*tabUniformes[[#This Row],[Qtde Anual de Peças]]*tabUniformes[[#This Row],[Qtde. funcionários]]</f>
        <v>4670.6400000000003</v>
      </c>
      <c r="J280" s="172">
        <f>tabUniformes[[#This Row],[Qtde Anual de Peças]]*tabUniformes[[#This Row],[Qtde. funcionários]]</f>
        <v>156</v>
      </c>
      <c r="K280" s="170">
        <f>IFERROR(tabUniformes[[#This Row],[Total]]/12/tabUniformes[[#This Row],[Qtde. funcionários]],0)</f>
        <v>29.94</v>
      </c>
    </row>
    <row r="281" spans="1:11">
      <c r="A281" s="169" t="s">
        <v>1854</v>
      </c>
      <c r="B281" s="278" t="s">
        <v>1835</v>
      </c>
      <c r="C281" s="171"/>
      <c r="D281" s="311">
        <v>326.77999999999997</v>
      </c>
      <c r="E281" s="170" cm="1">
        <f t="array" ref="E281">tabUniformes[[#This Row],[Valor Inicial]]*IFERROR(PRODUCT(1+_xlfn._xlws.FILTER(tabIndices[PERCENTUAL],tabIndices[DATA DA PUBLICAÇÃO]&gt;tabUniformes[[#This Row],[DATA PUBLICAÇÃO]])),1)</f>
        <v>326.77999999999997</v>
      </c>
      <c r="F281" s="172">
        <v>1</v>
      </c>
      <c r="G281" s="172" t="s">
        <v>57</v>
      </c>
      <c r="H281" s="172">
        <v>13</v>
      </c>
      <c r="I281" s="173">
        <f>tabUniformes[[#This Row],[Valor Reajustado]]*tabUniformes[[#This Row],[Qtde Anual de Peças]]*tabUniformes[[#This Row],[Qtde. funcionários]]</f>
        <v>4248.1399999999994</v>
      </c>
      <c r="J281" s="172">
        <f>tabUniformes[[#This Row],[Qtde Anual de Peças]]*tabUniformes[[#This Row],[Qtde. funcionários]]</f>
        <v>13</v>
      </c>
      <c r="K281" s="170">
        <f>IFERROR(tabUniformes[[#This Row],[Total]]/12/tabUniformes[[#This Row],[Qtde. funcionários]],0)</f>
        <v>27.231666666666662</v>
      </c>
    </row>
    <row r="282" spans="1:11">
      <c r="A282" s="169" t="s">
        <v>21</v>
      </c>
      <c r="B282" s="278" t="s">
        <v>1846</v>
      </c>
      <c r="C282" s="171"/>
      <c r="D282" s="311">
        <v>11.13</v>
      </c>
      <c r="E282" s="170" cm="1">
        <f t="array" ref="E282">tabUniformes[[#This Row],[Valor Inicial]]*IFERROR(PRODUCT(1+_xlfn._xlws.FILTER(tabIndices[PERCENTUAL],tabIndices[DATA DA PUBLICAÇÃO]&gt;tabUniformes[[#This Row],[DATA PUBLICAÇÃO]])),1)</f>
        <v>11.13</v>
      </c>
      <c r="F282" s="172">
        <v>1</v>
      </c>
      <c r="G282" s="172" t="s">
        <v>57</v>
      </c>
      <c r="H282" s="172">
        <v>13</v>
      </c>
      <c r="I282" s="173">
        <f>tabUniformes[[#This Row],[Valor Reajustado]]*tabUniformes[[#This Row],[Qtde Anual de Peças]]*tabUniformes[[#This Row],[Qtde. funcionários]]</f>
        <v>144.69</v>
      </c>
      <c r="J282" s="172">
        <f>tabUniformes[[#This Row],[Qtde Anual de Peças]]*tabUniformes[[#This Row],[Qtde. funcionários]]</f>
        <v>13</v>
      </c>
      <c r="K282" s="170">
        <f>IFERROR(tabUniformes[[#This Row],[Total]]/12/tabUniformes[[#This Row],[Qtde. funcionários]],0)</f>
        <v>0.92749999999999999</v>
      </c>
    </row>
    <row r="283" spans="1:11">
      <c r="A283" s="169" t="s">
        <v>18</v>
      </c>
      <c r="B283" s="278" t="s">
        <v>1812</v>
      </c>
      <c r="C283" s="171"/>
      <c r="D283" s="311">
        <v>24.55</v>
      </c>
      <c r="E283" s="170" cm="1">
        <f t="array" ref="E283">tabUniformes[[#This Row],[Valor Inicial]]*IFERROR(PRODUCT(1+_xlfn._xlws.FILTER(tabIndices[PERCENTUAL],tabIndices[DATA DA PUBLICAÇÃO]&gt;tabUniformes[[#This Row],[DATA PUBLICAÇÃO]])),1)</f>
        <v>24.55</v>
      </c>
      <c r="F283" s="172">
        <v>1</v>
      </c>
      <c r="G283" s="172" t="s">
        <v>1396</v>
      </c>
      <c r="H283" s="172">
        <v>9</v>
      </c>
      <c r="I283" s="173">
        <f>tabUniformes[[#This Row],[Valor Reajustado]]*tabUniformes[[#This Row],[Qtde Anual de Peças]]*tabUniformes[[#This Row],[Qtde. funcionários]]</f>
        <v>220.95000000000002</v>
      </c>
      <c r="J283" s="172">
        <f>tabUniformes[[#This Row],[Qtde Anual de Peças]]*tabUniformes[[#This Row],[Qtde. funcionários]]</f>
        <v>9</v>
      </c>
      <c r="K283" s="170">
        <f>IFERROR(tabUniformes[[#This Row],[Total]]/12/tabUniformes[[#This Row],[Qtde. funcionários]],0)</f>
        <v>2.0458333333333334</v>
      </c>
    </row>
    <row r="284" spans="1:11">
      <c r="A284" s="169" t="s">
        <v>18</v>
      </c>
      <c r="B284" s="278" t="s">
        <v>1813</v>
      </c>
      <c r="C284" s="171"/>
      <c r="D284" s="311">
        <v>90.53</v>
      </c>
      <c r="E284" s="170" cm="1">
        <f t="array" ref="E284">tabUniformes[[#This Row],[Valor Inicial]]*IFERROR(PRODUCT(1+_xlfn._xlws.FILTER(tabIndices[PERCENTUAL],tabIndices[DATA DA PUBLICAÇÃO]&gt;tabUniformes[[#This Row],[DATA PUBLICAÇÃO]])),1)</f>
        <v>90.53</v>
      </c>
      <c r="F284" s="172">
        <v>1</v>
      </c>
      <c r="G284" s="172" t="s">
        <v>1396</v>
      </c>
      <c r="H284" s="172">
        <v>9</v>
      </c>
      <c r="I284" s="173">
        <f>tabUniformes[[#This Row],[Valor Reajustado]]*tabUniformes[[#This Row],[Qtde Anual de Peças]]*tabUniformes[[#This Row],[Qtde. funcionários]]</f>
        <v>814.77</v>
      </c>
      <c r="J284" s="172">
        <f>tabUniformes[[#This Row],[Qtde Anual de Peças]]*tabUniformes[[#This Row],[Qtde. funcionários]]</f>
        <v>9</v>
      </c>
      <c r="K284" s="170">
        <f>IFERROR(tabUniformes[[#This Row],[Total]]/12/tabUniformes[[#This Row],[Qtde. funcionários]],0)</f>
        <v>7.5441666666666656</v>
      </c>
    </row>
    <row r="285" spans="1:11">
      <c r="A285" s="169" t="s">
        <v>17</v>
      </c>
      <c r="B285" s="278" t="s">
        <v>1814</v>
      </c>
      <c r="C285" s="171"/>
      <c r="D285" s="311">
        <v>49.99</v>
      </c>
      <c r="E285" s="170" cm="1">
        <f t="array" ref="E285">tabUniformes[[#This Row],[Valor Inicial]]*IFERROR(PRODUCT(1+_xlfn._xlws.FILTER(tabIndices[PERCENTUAL],tabIndices[DATA DA PUBLICAÇÃO]&gt;tabUniformes[[#This Row],[DATA PUBLICAÇÃO]])),1)</f>
        <v>49.99</v>
      </c>
      <c r="F285" s="172">
        <v>1</v>
      </c>
      <c r="G285" s="172" t="s">
        <v>1396</v>
      </c>
      <c r="H285" s="172">
        <v>9</v>
      </c>
      <c r="I285" s="173">
        <f>tabUniformes[[#This Row],[Valor Reajustado]]*tabUniformes[[#This Row],[Qtde Anual de Peças]]*tabUniformes[[#This Row],[Qtde. funcionários]]</f>
        <v>449.91</v>
      </c>
      <c r="J285" s="172">
        <f>tabUniformes[[#This Row],[Qtde Anual de Peças]]*tabUniformes[[#This Row],[Qtde. funcionários]]</f>
        <v>9</v>
      </c>
      <c r="K285" s="170">
        <f>IFERROR(tabUniformes[[#This Row],[Total]]/12/tabUniformes[[#This Row],[Qtde. funcionários]],0)</f>
        <v>4.1658333333333335</v>
      </c>
    </row>
    <row r="286" spans="1:11">
      <c r="A286" s="169" t="s">
        <v>11</v>
      </c>
      <c r="B286" s="278" t="s">
        <v>29</v>
      </c>
      <c r="C286" s="171"/>
      <c r="D286" s="311">
        <v>60.93</v>
      </c>
      <c r="E286" s="170" cm="1">
        <f t="array" ref="E286">tabUniformes[[#This Row],[Valor Inicial]]*IFERROR(PRODUCT(1+_xlfn._xlws.FILTER(tabIndices[PERCENTUAL],tabIndices[DATA DA PUBLICAÇÃO]&gt;tabUniformes[[#This Row],[DATA PUBLICAÇÃO]])),1)</f>
        <v>60.93</v>
      </c>
      <c r="F286" s="172">
        <v>2</v>
      </c>
      <c r="G286" s="172" t="s">
        <v>1396</v>
      </c>
      <c r="H286" s="172">
        <v>9</v>
      </c>
      <c r="I286" s="173">
        <v>336.85028197193947</v>
      </c>
      <c r="J286" s="172">
        <v>8</v>
      </c>
      <c r="K286" s="170">
        <v>14.035428415497478</v>
      </c>
    </row>
    <row r="287" spans="1:11">
      <c r="A287" s="169" t="s">
        <v>17</v>
      </c>
      <c r="B287" s="278" t="s">
        <v>1808</v>
      </c>
      <c r="C287" s="171"/>
      <c r="D287" s="311">
        <v>280.04000000000002</v>
      </c>
      <c r="E287" s="170" cm="1">
        <f t="array" ref="E287">tabUniformes[[#This Row],[Valor Inicial]]*IFERROR(PRODUCT(1+_xlfn._xlws.FILTER(tabIndices[PERCENTUAL],tabIndices[DATA DA PUBLICAÇÃO]&gt;tabUniformes[[#This Row],[DATA PUBLICAÇÃO]])),1)</f>
        <v>280.04000000000002</v>
      </c>
      <c r="F287" s="172">
        <v>1</v>
      </c>
      <c r="G287" s="172" t="s">
        <v>1396</v>
      </c>
      <c r="H287" s="172">
        <v>9</v>
      </c>
      <c r="I287" s="173">
        <f>tabUniformes[[#This Row],[Valor Reajustado]]*tabUniformes[[#This Row],[Qtde Anual de Peças]]*tabUniformes[[#This Row],[Qtde. funcionários]]</f>
        <v>2520.36</v>
      </c>
      <c r="J287" s="172">
        <f>tabUniformes[[#This Row],[Qtde Anual de Peças]]*tabUniformes[[#This Row],[Qtde. funcionários]]</f>
        <v>9</v>
      </c>
      <c r="K287" s="170">
        <f>IFERROR(tabUniformes[[#This Row],[Total]]/12/tabUniformes[[#This Row],[Qtde. funcionários]],0)</f>
        <v>23.336666666666666</v>
      </c>
    </row>
    <row r="288" spans="1:11">
      <c r="A288" s="169" t="s">
        <v>1858</v>
      </c>
      <c r="B288" s="278" t="s">
        <v>1836</v>
      </c>
      <c r="C288" s="171"/>
      <c r="D288" s="311">
        <v>18.07</v>
      </c>
      <c r="E288" s="170" cm="1">
        <f t="array" ref="E288">tabUniformes[[#This Row],[Valor Inicial]]*IFERROR(PRODUCT(1+_xlfn._xlws.FILTER(tabIndices[PERCENTUAL],tabIndices[DATA DA PUBLICAÇÃO]&gt;tabUniformes[[#This Row],[DATA PUBLICAÇÃO]])),1)</f>
        <v>18.07</v>
      </c>
      <c r="F288" s="172">
        <v>1</v>
      </c>
      <c r="G288" s="172" t="s">
        <v>1396</v>
      </c>
      <c r="H288" s="172">
        <v>9</v>
      </c>
      <c r="I288" s="173">
        <f>tabUniformes[[#This Row],[Valor Reajustado]]*tabUniformes[[#This Row],[Qtde Anual de Peças]]*tabUniformes[[#This Row],[Qtde. funcionários]]</f>
        <v>162.63</v>
      </c>
      <c r="J288" s="172">
        <f>tabUniformes[[#This Row],[Qtde Anual de Peças]]*tabUniformes[[#This Row],[Qtde. funcionários]]</f>
        <v>9</v>
      </c>
      <c r="K288" s="170">
        <f>IFERROR(tabUniformes[[#This Row],[Total]]/12/tabUniformes[[#This Row],[Qtde. funcionários]],0)</f>
        <v>1.5058333333333334</v>
      </c>
    </row>
    <row r="289" spans="1:11">
      <c r="A289" s="169" t="s">
        <v>1860</v>
      </c>
      <c r="B289" s="278" t="s">
        <v>1817</v>
      </c>
      <c r="C289" s="171"/>
      <c r="D289" s="311">
        <v>22.2</v>
      </c>
      <c r="E289" s="170" cm="1">
        <f t="array" ref="E289">tabUniformes[[#This Row],[Valor Inicial]]*IFERROR(PRODUCT(1+_xlfn._xlws.FILTER(tabIndices[PERCENTUAL],tabIndices[DATA DA PUBLICAÇÃO]&gt;tabUniformes[[#This Row],[DATA PUBLICAÇÃO]])),1)</f>
        <v>22.2</v>
      </c>
      <c r="F289" s="172">
        <v>1</v>
      </c>
      <c r="G289" s="172" t="s">
        <v>1396</v>
      </c>
      <c r="H289" s="172">
        <v>9</v>
      </c>
      <c r="I289" s="173">
        <f>tabUniformes[[#This Row],[Valor Reajustado]]*tabUniformes[[#This Row],[Qtde Anual de Peças]]*tabUniformes[[#This Row],[Qtde. funcionários]]</f>
        <v>199.79999999999998</v>
      </c>
      <c r="J289" s="172">
        <f>tabUniformes[[#This Row],[Qtde Anual de Peças]]*tabUniformes[[#This Row],[Qtde. funcionários]]</f>
        <v>9</v>
      </c>
      <c r="K289" s="170">
        <f>IFERROR(tabUniformes[[#This Row],[Total]]/12/tabUniformes[[#This Row],[Qtde. funcionários]],0)</f>
        <v>1.8499999999999999</v>
      </c>
    </row>
    <row r="290" spans="1:11">
      <c r="A290" s="169" t="s">
        <v>1859</v>
      </c>
      <c r="B290" s="278" t="s">
        <v>1819</v>
      </c>
      <c r="C290" s="171"/>
      <c r="D290" s="311">
        <v>351.15</v>
      </c>
      <c r="E290" s="170" cm="1">
        <f t="array" ref="E290">tabUniformes[[#This Row],[Valor Inicial]]*IFERROR(PRODUCT(1+_xlfn._xlws.FILTER(tabIndices[PERCENTUAL],tabIndices[DATA DA PUBLICAÇÃO]&gt;tabUniformes[[#This Row],[DATA PUBLICAÇÃO]])),1)</f>
        <v>351.15</v>
      </c>
      <c r="F290" s="172">
        <v>1</v>
      </c>
      <c r="G290" s="172" t="s">
        <v>1396</v>
      </c>
      <c r="H290" s="172">
        <v>9</v>
      </c>
      <c r="I290" s="173">
        <f>tabUniformes[[#This Row],[Valor Reajustado]]*tabUniformes[[#This Row],[Qtde Anual de Peças]]*tabUniformes[[#This Row],[Qtde. funcionários]]</f>
        <v>3160.35</v>
      </c>
      <c r="J290" s="172">
        <f>tabUniformes[[#This Row],[Qtde Anual de Peças]]*tabUniformes[[#This Row],[Qtde. funcionários]]</f>
        <v>9</v>
      </c>
      <c r="K290" s="170">
        <f>IFERROR(tabUniformes[[#This Row],[Total]]/12/tabUniformes[[#This Row],[Qtde. funcionários]],0)</f>
        <v>29.262500000000003</v>
      </c>
    </row>
    <row r="291" spans="1:11">
      <c r="A291" s="169" t="s">
        <v>1807</v>
      </c>
      <c r="B291" s="278" t="s">
        <v>1842</v>
      </c>
      <c r="C291" s="171"/>
      <c r="D291" s="311">
        <v>2.72</v>
      </c>
      <c r="E291" s="170" cm="1">
        <f t="array" ref="E291">tabUniformes[[#This Row],[Valor Inicial]]*IFERROR(PRODUCT(1+_xlfn._xlws.FILTER(tabIndices[PERCENTUAL],tabIndices[DATA DA PUBLICAÇÃO]&gt;tabUniformes[[#This Row],[DATA PUBLICAÇÃO]])),1)</f>
        <v>2.72</v>
      </c>
      <c r="F291" s="172">
        <v>12</v>
      </c>
      <c r="G291" s="172" t="s">
        <v>1396</v>
      </c>
      <c r="H291" s="172">
        <v>9</v>
      </c>
      <c r="I291" s="173">
        <f>tabUniformes[[#This Row],[Valor Reajustado]]*tabUniformes[[#This Row],[Qtde Anual de Peças]]*tabUniformes[[#This Row],[Qtde. funcionários]]</f>
        <v>293.76</v>
      </c>
      <c r="J291" s="172">
        <f>tabUniformes[[#This Row],[Qtde Anual de Peças]]*tabUniformes[[#This Row],[Qtde. funcionários]]</f>
        <v>108</v>
      </c>
      <c r="K291" s="170">
        <f>IFERROR(tabUniformes[[#This Row],[Total]]/12/tabUniformes[[#This Row],[Qtde. funcionários]],0)</f>
        <v>2.72</v>
      </c>
    </row>
    <row r="292" spans="1:11">
      <c r="A292" s="169" t="s">
        <v>1807</v>
      </c>
      <c r="B292" s="278" t="s">
        <v>1822</v>
      </c>
      <c r="C292" s="171"/>
      <c r="D292" s="311">
        <v>20.170000000000002</v>
      </c>
      <c r="E292" s="170" cm="1">
        <f t="array" ref="E292">tabUniformes[[#This Row],[Valor Inicial]]*IFERROR(PRODUCT(1+_xlfn._xlws.FILTER(tabIndices[PERCENTUAL],tabIndices[DATA DA PUBLICAÇÃO]&gt;tabUniformes[[#This Row],[DATA PUBLICAÇÃO]])),1)</f>
        <v>20.170000000000002</v>
      </c>
      <c r="F292" s="172">
        <v>2</v>
      </c>
      <c r="G292" s="172" t="s">
        <v>1396</v>
      </c>
      <c r="H292" s="172">
        <v>9</v>
      </c>
      <c r="I292" s="173">
        <f>tabUniformes[[#This Row],[Valor Reajustado]]*tabUniformes[[#This Row],[Qtde Anual de Peças]]*tabUniformes[[#This Row],[Qtde. funcionários]]</f>
        <v>363.06000000000006</v>
      </c>
      <c r="J292" s="172">
        <f>tabUniformes[[#This Row],[Qtde Anual de Peças]]*tabUniformes[[#This Row],[Qtde. funcionários]]</f>
        <v>18</v>
      </c>
      <c r="K292" s="170">
        <f>IFERROR(tabUniformes[[#This Row],[Total]]/12/tabUniformes[[#This Row],[Qtde. funcionários]],0)</f>
        <v>3.3616666666666672</v>
      </c>
    </row>
    <row r="293" spans="1:11">
      <c r="A293" s="169" t="s">
        <v>1807</v>
      </c>
      <c r="B293" s="278" t="s">
        <v>1826</v>
      </c>
      <c r="C293" s="171"/>
      <c r="D293" s="311">
        <v>16.38</v>
      </c>
      <c r="E293" s="170" cm="1">
        <f t="array" ref="E293">tabUniformes[[#This Row],[Valor Inicial]]*IFERROR(PRODUCT(1+_xlfn._xlws.FILTER(tabIndices[PERCENTUAL],tabIndices[DATA DA PUBLICAÇÃO]&gt;tabUniformes[[#This Row],[DATA PUBLICAÇÃO]])),1)</f>
        <v>16.38</v>
      </c>
      <c r="F293" s="172">
        <v>1</v>
      </c>
      <c r="G293" s="172" t="s">
        <v>1396</v>
      </c>
      <c r="H293" s="172">
        <v>9</v>
      </c>
      <c r="I293" s="173">
        <f>tabUniformes[[#This Row],[Valor Reajustado]]*tabUniformes[[#This Row],[Qtde Anual de Peças]]*tabUniformes[[#This Row],[Qtde. funcionários]]</f>
        <v>147.41999999999999</v>
      </c>
      <c r="J293" s="172">
        <f>tabUniformes[[#This Row],[Qtde Anual de Peças]]*tabUniformes[[#This Row],[Qtde. funcionários]]</f>
        <v>9</v>
      </c>
      <c r="K293" s="170">
        <f>IFERROR(tabUniformes[[#This Row],[Total]]/12/tabUniformes[[#This Row],[Qtde. funcionários]],0)</f>
        <v>1.3649999999999998</v>
      </c>
    </row>
    <row r="294" spans="1:11">
      <c r="A294" s="169" t="s">
        <v>1807</v>
      </c>
      <c r="B294" s="278" t="s">
        <v>1827</v>
      </c>
      <c r="C294" s="171"/>
      <c r="D294" s="311">
        <v>32</v>
      </c>
      <c r="E294" s="170" cm="1">
        <f t="array" ref="E294">tabUniformes[[#This Row],[Valor Inicial]]*IFERROR(PRODUCT(1+_xlfn._xlws.FILTER(tabIndices[PERCENTUAL],tabIndices[DATA DA PUBLICAÇÃO]&gt;tabUniformes[[#This Row],[DATA PUBLICAÇÃO]])),1)</f>
        <v>32</v>
      </c>
      <c r="F294" s="172">
        <v>4</v>
      </c>
      <c r="G294" s="172" t="s">
        <v>1396</v>
      </c>
      <c r="H294" s="172">
        <v>9</v>
      </c>
      <c r="I294" s="173">
        <f>tabUniformes[[#This Row],[Valor Reajustado]]*tabUniformes[[#This Row],[Qtde Anual de Peças]]*tabUniformes[[#This Row],[Qtde. funcionários]]</f>
        <v>1152</v>
      </c>
      <c r="J294" s="172">
        <f>tabUniformes[[#This Row],[Qtde Anual de Peças]]*tabUniformes[[#This Row],[Qtde. funcionários]]</f>
        <v>36</v>
      </c>
      <c r="K294" s="170">
        <f>IFERROR(tabUniformes[[#This Row],[Total]]/12/tabUniformes[[#This Row],[Qtde. funcionários]],0)</f>
        <v>10.666666666666666</v>
      </c>
    </row>
    <row r="295" spans="1:11">
      <c r="A295" s="169" t="s">
        <v>13</v>
      </c>
      <c r="B295" s="278" t="s">
        <v>31</v>
      </c>
      <c r="C295" s="171"/>
      <c r="D295" s="311">
        <v>40.85</v>
      </c>
      <c r="E295" s="170" cm="1">
        <f t="array" ref="E295">tabUniformes[[#This Row],[Valor Inicial]]*IFERROR(PRODUCT(1+_xlfn._xlws.FILTER(tabIndices[PERCENTUAL],tabIndices[DATA DA PUBLICAÇÃO]&gt;tabUniformes[[#This Row],[DATA PUBLICAÇÃO]])),1)</f>
        <v>40.85</v>
      </c>
      <c r="F295" s="172">
        <v>4</v>
      </c>
      <c r="G295" s="172" t="s">
        <v>1396</v>
      </c>
      <c r="H295" s="172">
        <v>9</v>
      </c>
      <c r="I295" s="173">
        <v>481.21468853134212</v>
      </c>
      <c r="J295" s="172">
        <v>16</v>
      </c>
      <c r="K295" s="170">
        <v>20.050612022139255</v>
      </c>
    </row>
    <row r="296" spans="1:11">
      <c r="A296" s="169" t="s">
        <v>19</v>
      </c>
      <c r="B296" s="278" t="s">
        <v>37</v>
      </c>
      <c r="C296" s="171"/>
      <c r="D296" s="311">
        <v>66.319999999999993</v>
      </c>
      <c r="E296" s="170" cm="1">
        <f t="array" ref="E296">tabUniformes[[#This Row],[Valor Inicial]]*IFERROR(PRODUCT(1+_xlfn._xlws.FILTER(tabIndices[PERCENTUAL],tabIndices[DATA DA PUBLICAÇÃO]&gt;tabUniformes[[#This Row],[DATA PUBLICAÇÃO]])),1)</f>
        <v>66.319999999999993</v>
      </c>
      <c r="F296" s="172">
        <v>2</v>
      </c>
      <c r="G296" s="172" t="s">
        <v>1396</v>
      </c>
      <c r="H296" s="172">
        <v>9</v>
      </c>
      <c r="I296" s="173">
        <v>288.72881311880525</v>
      </c>
      <c r="J296" s="172">
        <v>8</v>
      </c>
      <c r="K296" s="170">
        <v>12.030367213283553</v>
      </c>
    </row>
    <row r="297" spans="1:11">
      <c r="A297" s="169" t="s">
        <v>14</v>
      </c>
      <c r="B297" s="278" t="s">
        <v>25</v>
      </c>
      <c r="C297" s="171"/>
      <c r="D297" s="311">
        <v>95.13</v>
      </c>
      <c r="E297" s="170" cm="1">
        <f t="array" ref="E297">tabUniformes[[#This Row],[Valor Inicial]]*IFERROR(PRODUCT(1+_xlfn._xlws.FILTER(tabIndices[PERCENTUAL],tabIndices[DATA DA PUBLICAÇÃO]&gt;tabUniformes[[#This Row],[DATA PUBLICAÇÃO]])),1)</f>
        <v>95.13</v>
      </c>
      <c r="F297" s="172">
        <v>1</v>
      </c>
      <c r="G297" s="172" t="s">
        <v>1396</v>
      </c>
      <c r="H297" s="172">
        <v>9</v>
      </c>
      <c r="I297" s="173">
        <v>120.30367213283553</v>
      </c>
      <c r="J297" s="172">
        <v>2</v>
      </c>
      <c r="K297" s="170">
        <v>5.0126530055348137</v>
      </c>
    </row>
    <row r="298" spans="1:11">
      <c r="A298" s="169" t="s">
        <v>1853</v>
      </c>
      <c r="B298" s="278" t="s">
        <v>1809</v>
      </c>
      <c r="C298" s="171"/>
      <c r="D298" s="311">
        <v>7.67</v>
      </c>
      <c r="E298" s="170" cm="1">
        <f t="array" ref="E298">tabUniformes[[#This Row],[Valor Inicial]]*IFERROR(PRODUCT(1+_xlfn._xlws.FILTER(tabIndices[PERCENTUAL],tabIndices[DATA DA PUBLICAÇÃO]&gt;tabUniformes[[#This Row],[DATA PUBLICAÇÃO]])),1)</f>
        <v>7.67</v>
      </c>
      <c r="F298" s="172">
        <v>1</v>
      </c>
      <c r="G298" s="172" t="s">
        <v>1396</v>
      </c>
      <c r="H298" s="172">
        <v>9</v>
      </c>
      <c r="I298" s="173">
        <f>tabUniformes[[#This Row],[Valor Reajustado]]*tabUniformes[[#This Row],[Qtde Anual de Peças]]*tabUniformes[[#This Row],[Qtde. funcionários]]</f>
        <v>69.03</v>
      </c>
      <c r="J298" s="172">
        <f>tabUniformes[[#This Row],[Qtde Anual de Peças]]*tabUniformes[[#This Row],[Qtde. funcionários]]</f>
        <v>9</v>
      </c>
      <c r="K298" s="170">
        <f>IFERROR(tabUniformes[[#This Row],[Total]]/12/tabUniformes[[#This Row],[Qtde. funcionários]],0)</f>
        <v>0.63916666666666666</v>
      </c>
    </row>
    <row r="299" spans="1:11">
      <c r="A299" s="169" t="s">
        <v>1865</v>
      </c>
      <c r="B299" s="278" t="s">
        <v>1843</v>
      </c>
      <c r="C299" s="171"/>
      <c r="D299" s="311">
        <v>42.96</v>
      </c>
      <c r="E299" s="170" cm="1">
        <f t="array" ref="E299">tabUniformes[[#This Row],[Valor Inicial]]*IFERROR(PRODUCT(1+_xlfn._xlws.FILTER(tabIndices[PERCENTUAL],tabIndices[DATA DA PUBLICAÇÃO]&gt;tabUniformes[[#This Row],[DATA PUBLICAÇÃO]])),1)</f>
        <v>42.96</v>
      </c>
      <c r="F299" s="172">
        <v>1</v>
      </c>
      <c r="G299" s="172" t="s">
        <v>1396</v>
      </c>
      <c r="H299" s="172">
        <v>9</v>
      </c>
      <c r="I299" s="173">
        <f>tabUniformes[[#This Row],[Valor Reajustado]]*tabUniformes[[#This Row],[Qtde Anual de Peças]]*tabUniformes[[#This Row],[Qtde. funcionários]]</f>
        <v>386.64</v>
      </c>
      <c r="J299" s="172">
        <f>tabUniformes[[#This Row],[Qtde Anual de Peças]]*tabUniformes[[#This Row],[Qtde. funcionários]]</f>
        <v>9</v>
      </c>
      <c r="K299" s="170">
        <f>IFERROR(tabUniformes[[#This Row],[Total]]/12/tabUniformes[[#This Row],[Qtde. funcionários]],0)</f>
        <v>3.58</v>
      </c>
    </row>
    <row r="300" spans="1:11">
      <c r="A300" s="169" t="s">
        <v>1855</v>
      </c>
      <c r="B300" s="278" t="s">
        <v>1833</v>
      </c>
      <c r="C300" s="171"/>
      <c r="D300" s="311">
        <v>5.14</v>
      </c>
      <c r="E300" s="170" cm="1">
        <f t="array" ref="E300">tabUniformes[[#This Row],[Valor Inicial]]*IFERROR(PRODUCT(1+_xlfn._xlws.FILTER(tabIndices[PERCENTUAL],tabIndices[DATA DA PUBLICAÇÃO]&gt;tabUniformes[[#This Row],[DATA PUBLICAÇÃO]])),1)</f>
        <v>5.14</v>
      </c>
      <c r="F300" s="172">
        <v>4</v>
      </c>
      <c r="G300" s="172" t="s">
        <v>1396</v>
      </c>
      <c r="H300" s="172">
        <v>9</v>
      </c>
      <c r="I300" s="173">
        <f>tabUniformes[[#This Row],[Valor Reajustado]]*tabUniformes[[#This Row],[Qtde Anual de Peças]]*tabUniformes[[#This Row],[Qtde. funcionários]]</f>
        <v>185.04</v>
      </c>
      <c r="J300" s="172">
        <f>tabUniformes[[#This Row],[Qtde Anual de Peças]]*tabUniformes[[#This Row],[Qtde. funcionários]]</f>
        <v>36</v>
      </c>
      <c r="K300" s="170">
        <f>IFERROR(tabUniformes[[#This Row],[Total]]/12/tabUniformes[[#This Row],[Qtde. funcionários]],0)</f>
        <v>1.7133333333333334</v>
      </c>
    </row>
    <row r="301" spans="1:11">
      <c r="A301" s="169" t="s">
        <v>1855</v>
      </c>
      <c r="B301" s="278" t="s">
        <v>1834</v>
      </c>
      <c r="C301" s="171"/>
      <c r="D301" s="311">
        <v>59.9</v>
      </c>
      <c r="E301" s="170" cm="1">
        <f t="array" ref="E301">tabUniformes[[#This Row],[Valor Inicial]]*IFERROR(PRODUCT(1+_xlfn._xlws.FILTER(tabIndices[PERCENTUAL],tabIndices[DATA DA PUBLICAÇÃO]&gt;tabUniformes[[#This Row],[DATA PUBLICAÇÃO]])),1)</f>
        <v>59.9</v>
      </c>
      <c r="F301" s="172">
        <v>1</v>
      </c>
      <c r="G301" s="172" t="s">
        <v>1396</v>
      </c>
      <c r="H301" s="172">
        <v>9</v>
      </c>
      <c r="I301" s="173">
        <f>tabUniformes[[#This Row],[Valor Reajustado]]*tabUniformes[[#This Row],[Qtde Anual de Peças]]*tabUniformes[[#This Row],[Qtde. funcionários]]</f>
        <v>539.1</v>
      </c>
      <c r="J301" s="172">
        <f>tabUniformes[[#This Row],[Qtde Anual de Peças]]*tabUniformes[[#This Row],[Qtde. funcionários]]</f>
        <v>9</v>
      </c>
      <c r="K301" s="170">
        <f>IFERROR(tabUniformes[[#This Row],[Total]]/12/tabUniformes[[#This Row],[Qtde. funcionários]],0)</f>
        <v>4.9916666666666671</v>
      </c>
    </row>
    <row r="302" spans="1:11">
      <c r="A302" s="169" t="s">
        <v>1855</v>
      </c>
      <c r="B302" s="278" t="s">
        <v>20</v>
      </c>
      <c r="C302" s="171"/>
      <c r="D302" s="311">
        <v>33.17</v>
      </c>
      <c r="E302" s="170" cm="1">
        <f t="array" ref="E302">tabUniformes[[#This Row],[Valor Inicial]]*IFERROR(PRODUCT(1+_xlfn._xlws.FILTER(tabIndices[PERCENTUAL],tabIndices[DATA DA PUBLICAÇÃO]&gt;tabUniformes[[#This Row],[DATA PUBLICAÇÃO]])),1)</f>
        <v>33.17</v>
      </c>
      <c r="F302" s="172">
        <v>1</v>
      </c>
      <c r="G302" s="172" t="s">
        <v>1396</v>
      </c>
      <c r="H302" s="172">
        <v>9</v>
      </c>
      <c r="I302" s="173">
        <f>tabUniformes[[#This Row],[Valor Reajustado]]*tabUniformes[[#This Row],[Qtde Anual de Peças]]*tabUniformes[[#This Row],[Qtde. funcionários]]</f>
        <v>298.53000000000003</v>
      </c>
      <c r="J302" s="172">
        <f>tabUniformes[[#This Row],[Qtde Anual de Peças]]*tabUniformes[[#This Row],[Qtde. funcionários]]</f>
        <v>9</v>
      </c>
      <c r="K302" s="170">
        <f>IFERROR(tabUniformes[[#This Row],[Total]]/12/tabUniformes[[#This Row],[Qtde. funcionários]],0)</f>
        <v>2.7641666666666667</v>
      </c>
    </row>
    <row r="303" spans="1:11">
      <c r="A303" s="169" t="s">
        <v>1855</v>
      </c>
      <c r="B303" s="278" t="s">
        <v>1844</v>
      </c>
      <c r="C303" s="171"/>
      <c r="D303" s="311">
        <v>2.5499999999999998</v>
      </c>
      <c r="E303" s="170" cm="1">
        <f t="array" ref="E303">tabUniformes[[#This Row],[Valor Inicial]]*IFERROR(PRODUCT(1+_xlfn._xlws.FILTER(tabIndices[PERCENTUAL],tabIndices[DATA DA PUBLICAÇÃO]&gt;tabUniformes[[#This Row],[DATA PUBLICAÇÃO]])),1)</f>
        <v>2.5499999999999998</v>
      </c>
      <c r="F303" s="172">
        <v>4</v>
      </c>
      <c r="G303" s="172" t="s">
        <v>1396</v>
      </c>
      <c r="H303" s="172">
        <v>9</v>
      </c>
      <c r="I303" s="173">
        <f>tabUniformes[[#This Row],[Valor Reajustado]]*tabUniformes[[#This Row],[Qtde Anual de Peças]]*tabUniformes[[#This Row],[Qtde. funcionários]]</f>
        <v>91.8</v>
      </c>
      <c r="J303" s="172">
        <f>tabUniformes[[#This Row],[Qtde Anual de Peças]]*tabUniformes[[#This Row],[Qtde. funcionários]]</f>
        <v>36</v>
      </c>
      <c r="K303" s="170">
        <f>IFERROR(tabUniformes[[#This Row],[Total]]/12/tabUniformes[[#This Row],[Qtde. funcionários]],0)</f>
        <v>0.85</v>
      </c>
    </row>
    <row r="304" spans="1:11">
      <c r="A304" s="169" t="s">
        <v>1855</v>
      </c>
      <c r="B304" s="278" t="s">
        <v>1845</v>
      </c>
      <c r="C304" s="171"/>
      <c r="D304" s="311">
        <v>29.94</v>
      </c>
      <c r="E304" s="170" cm="1">
        <f t="array" ref="E304">tabUniformes[[#This Row],[Valor Inicial]]*IFERROR(PRODUCT(1+_xlfn._xlws.FILTER(tabIndices[PERCENTUAL],tabIndices[DATA DA PUBLICAÇÃO]&gt;tabUniformes[[#This Row],[DATA PUBLICAÇÃO]])),1)</f>
        <v>29.94</v>
      </c>
      <c r="F304" s="172">
        <v>6</v>
      </c>
      <c r="G304" s="172" t="s">
        <v>1396</v>
      </c>
      <c r="H304" s="172">
        <v>9</v>
      </c>
      <c r="I304" s="173">
        <f>tabUniformes[[#This Row],[Valor Reajustado]]*tabUniformes[[#This Row],[Qtde Anual de Peças]]*tabUniformes[[#This Row],[Qtde. funcionários]]</f>
        <v>1616.7600000000002</v>
      </c>
      <c r="J304" s="172">
        <f>tabUniformes[[#This Row],[Qtde Anual de Peças]]*tabUniformes[[#This Row],[Qtde. funcionários]]</f>
        <v>54</v>
      </c>
      <c r="K304" s="170">
        <f>IFERROR(tabUniformes[[#This Row],[Total]]/12/tabUniformes[[#This Row],[Qtde. funcionários]],0)</f>
        <v>14.970000000000002</v>
      </c>
    </row>
    <row r="305" spans="1:11">
      <c r="A305" s="169" t="s">
        <v>1854</v>
      </c>
      <c r="B305" s="278" t="s">
        <v>1835</v>
      </c>
      <c r="C305" s="171"/>
      <c r="D305" s="311">
        <v>326.77999999999997</v>
      </c>
      <c r="E305" s="170" cm="1">
        <f t="array" ref="E305">tabUniformes[[#This Row],[Valor Inicial]]*IFERROR(PRODUCT(1+_xlfn._xlws.FILTER(tabIndices[PERCENTUAL],tabIndices[DATA DA PUBLICAÇÃO]&gt;tabUniformes[[#This Row],[DATA PUBLICAÇÃO]])),1)</f>
        <v>326.77999999999997</v>
      </c>
      <c r="F305" s="172">
        <v>1</v>
      </c>
      <c r="G305" s="172" t="s">
        <v>1396</v>
      </c>
      <c r="H305" s="172">
        <v>9</v>
      </c>
      <c r="I305" s="173">
        <f>tabUniformes[[#This Row],[Valor Reajustado]]*tabUniformes[[#This Row],[Qtde Anual de Peças]]*tabUniformes[[#This Row],[Qtde. funcionários]]</f>
        <v>2941.0199999999995</v>
      </c>
      <c r="J305" s="172">
        <f>tabUniformes[[#This Row],[Qtde Anual de Peças]]*tabUniformes[[#This Row],[Qtde. funcionários]]</f>
        <v>9</v>
      </c>
      <c r="K305" s="170">
        <f>IFERROR(tabUniformes[[#This Row],[Total]]/12/tabUniformes[[#This Row],[Qtde. funcionários]],0)</f>
        <v>27.231666666666662</v>
      </c>
    </row>
    <row r="306" spans="1:11">
      <c r="A306" s="169" t="s">
        <v>21</v>
      </c>
      <c r="B306" s="278" t="s">
        <v>1846</v>
      </c>
      <c r="C306" s="171"/>
      <c r="D306" s="311">
        <v>11.13</v>
      </c>
      <c r="E306" s="170" cm="1">
        <f t="array" ref="E306">tabUniformes[[#This Row],[Valor Inicial]]*IFERROR(PRODUCT(1+_xlfn._xlws.FILTER(tabIndices[PERCENTUAL],tabIndices[DATA DA PUBLICAÇÃO]&gt;tabUniformes[[#This Row],[DATA PUBLICAÇÃO]])),1)</f>
        <v>11.13</v>
      </c>
      <c r="F306" s="172">
        <v>1</v>
      </c>
      <c r="G306" s="172" t="s">
        <v>1396</v>
      </c>
      <c r="H306" s="172">
        <v>9</v>
      </c>
      <c r="I306" s="173">
        <f>tabUniformes[[#This Row],[Valor Reajustado]]*tabUniformes[[#This Row],[Qtde Anual de Peças]]*tabUniformes[[#This Row],[Qtde. funcionários]]</f>
        <v>100.17</v>
      </c>
      <c r="J306" s="172">
        <f>tabUniformes[[#This Row],[Qtde Anual de Peças]]*tabUniformes[[#This Row],[Qtde. funcionários]]</f>
        <v>9</v>
      </c>
      <c r="K306" s="170">
        <f>IFERROR(tabUniformes[[#This Row],[Total]]/12/tabUniformes[[#This Row],[Qtde. funcionários]],0)</f>
        <v>0.92749999999999999</v>
      </c>
    </row>
    <row r="307" spans="1:11">
      <c r="A307" s="169" t="s">
        <v>18</v>
      </c>
      <c r="B307" s="278" t="s">
        <v>1812</v>
      </c>
      <c r="C307" s="171"/>
      <c r="D307" s="311">
        <v>24.55</v>
      </c>
      <c r="E307" s="170" cm="1">
        <f t="array" ref="E307">tabUniformes[[#This Row],[Valor Inicial]]*IFERROR(PRODUCT(1+_xlfn._xlws.FILTER(tabIndices[PERCENTUAL],tabIndices[DATA DA PUBLICAÇÃO]&gt;tabUniformes[[#This Row],[DATA PUBLICAÇÃO]])),1)</f>
        <v>24.55</v>
      </c>
      <c r="F307" s="172">
        <v>2</v>
      </c>
      <c r="G307" s="172" t="s">
        <v>58</v>
      </c>
      <c r="H307" s="172">
        <v>1</v>
      </c>
      <c r="I307" s="173">
        <f>tabUniformes[[#This Row],[Valor Reajustado]]*tabUniformes[[#This Row],[Qtde Anual de Peças]]*tabUniformes[[#This Row],[Qtde. funcionários]]</f>
        <v>49.1</v>
      </c>
      <c r="J307" s="172">
        <f>tabUniformes[[#This Row],[Qtde Anual de Peças]]*tabUniformes[[#This Row],[Qtde. funcionários]]</f>
        <v>2</v>
      </c>
      <c r="K307" s="170">
        <f>IFERROR(tabUniformes[[#This Row],[Total]]/12/tabUniformes[[#This Row],[Qtde. funcionários]],0)</f>
        <v>4.0916666666666668</v>
      </c>
    </row>
    <row r="308" spans="1:11">
      <c r="A308" s="169" t="s">
        <v>17</v>
      </c>
      <c r="B308" s="278" t="s">
        <v>1814</v>
      </c>
      <c r="C308" s="171"/>
      <c r="D308" s="311">
        <v>49.99</v>
      </c>
      <c r="E308" s="170" cm="1">
        <f t="array" ref="E308">tabUniformes[[#This Row],[Valor Inicial]]*IFERROR(PRODUCT(1+_xlfn._xlws.FILTER(tabIndices[PERCENTUAL],tabIndices[DATA DA PUBLICAÇÃO]&gt;tabUniformes[[#This Row],[DATA PUBLICAÇÃO]])),1)</f>
        <v>49.99</v>
      </c>
      <c r="F308" s="172">
        <v>2</v>
      </c>
      <c r="G308" s="172" t="s">
        <v>58</v>
      </c>
      <c r="H308" s="172">
        <v>1</v>
      </c>
      <c r="I308" s="173">
        <f>tabUniformes[[#This Row],[Valor Reajustado]]*tabUniformes[[#This Row],[Qtde Anual de Peças]]*tabUniformes[[#This Row],[Qtde. funcionários]]</f>
        <v>99.98</v>
      </c>
      <c r="J308" s="172">
        <f>tabUniformes[[#This Row],[Qtde Anual de Peças]]*tabUniformes[[#This Row],[Qtde. funcionários]]</f>
        <v>2</v>
      </c>
      <c r="K308" s="170">
        <f>IFERROR(tabUniformes[[#This Row],[Total]]/12/tabUniformes[[#This Row],[Qtde. funcionários]],0)</f>
        <v>8.331666666666667</v>
      </c>
    </row>
    <row r="309" spans="1:11">
      <c r="A309" s="169" t="s">
        <v>11</v>
      </c>
      <c r="B309" s="278" t="s">
        <v>29</v>
      </c>
      <c r="C309" s="171"/>
      <c r="D309" s="311">
        <v>60.93</v>
      </c>
      <c r="E309" s="170" cm="1">
        <f t="array" ref="E309">tabUniformes[[#This Row],[Valor Inicial]]*IFERROR(PRODUCT(1+_xlfn._xlws.FILTER(tabIndices[PERCENTUAL],tabIndices[DATA DA PUBLICAÇÃO]&gt;tabUniformes[[#This Row],[DATA PUBLICAÇÃO]])),1)</f>
        <v>60.93</v>
      </c>
      <c r="F309" s="172">
        <v>4</v>
      </c>
      <c r="G309" s="172" t="s">
        <v>58</v>
      </c>
      <c r="H309" s="172">
        <v>1</v>
      </c>
      <c r="I309" s="173">
        <v>168.42514098596973</v>
      </c>
      <c r="J309" s="172">
        <v>4</v>
      </c>
      <c r="K309" s="170">
        <v>14.035428415497478</v>
      </c>
    </row>
    <row r="310" spans="1:11">
      <c r="A310" s="169" t="s">
        <v>1857</v>
      </c>
      <c r="B310" s="278" t="s">
        <v>1847</v>
      </c>
      <c r="C310" s="171"/>
      <c r="D310" s="311">
        <v>23.8</v>
      </c>
      <c r="E310" s="170" cm="1">
        <f t="array" ref="E310">tabUniformes[[#This Row],[Valor Inicial]]*IFERROR(PRODUCT(1+_xlfn._xlws.FILTER(tabIndices[PERCENTUAL],tabIndices[DATA DA PUBLICAÇÃO]&gt;tabUniformes[[#This Row],[DATA PUBLICAÇÃO]])),1)</f>
        <v>23.8</v>
      </c>
      <c r="F310" s="172">
        <v>2</v>
      </c>
      <c r="G310" s="172" t="s">
        <v>58</v>
      </c>
      <c r="H310" s="172">
        <v>1</v>
      </c>
      <c r="I310" s="173">
        <f>tabUniformes[[#This Row],[Valor Reajustado]]*tabUniformes[[#This Row],[Qtde Anual de Peças]]*tabUniformes[[#This Row],[Qtde. funcionários]]</f>
        <v>47.6</v>
      </c>
      <c r="J310" s="172">
        <f>tabUniformes[[#This Row],[Qtde Anual de Peças]]*tabUniformes[[#This Row],[Qtde. funcionários]]</f>
        <v>2</v>
      </c>
      <c r="K310" s="170">
        <f>IFERROR(tabUniformes[[#This Row],[Total]]/12/tabUniformes[[#This Row],[Qtde. funcionários]],0)</f>
        <v>3.9666666666666668</v>
      </c>
    </row>
    <row r="311" spans="1:11">
      <c r="A311" s="169" t="s">
        <v>17</v>
      </c>
      <c r="B311" s="278" t="s">
        <v>1808</v>
      </c>
      <c r="C311" s="171"/>
      <c r="D311" s="311">
        <v>280.04000000000002</v>
      </c>
      <c r="E311" s="170" cm="1">
        <f t="array" ref="E311">tabUniformes[[#This Row],[Valor Inicial]]*IFERROR(PRODUCT(1+_xlfn._xlws.FILTER(tabIndices[PERCENTUAL],tabIndices[DATA DA PUBLICAÇÃO]&gt;tabUniformes[[#This Row],[DATA PUBLICAÇÃO]])),1)</f>
        <v>280.04000000000002</v>
      </c>
      <c r="F311" s="172">
        <v>2</v>
      </c>
      <c r="G311" s="172" t="s">
        <v>58</v>
      </c>
      <c r="H311" s="172">
        <v>1</v>
      </c>
      <c r="I311" s="173">
        <f>tabUniformes[[#This Row],[Valor Reajustado]]*tabUniformes[[#This Row],[Qtde Anual de Peças]]*tabUniformes[[#This Row],[Qtde. funcionários]]</f>
        <v>560.08000000000004</v>
      </c>
      <c r="J311" s="172">
        <f>tabUniformes[[#This Row],[Qtde Anual de Peças]]*tabUniformes[[#This Row],[Qtde. funcionários]]</f>
        <v>2</v>
      </c>
      <c r="K311" s="170">
        <f>IFERROR(tabUniformes[[#This Row],[Total]]/12/tabUniformes[[#This Row],[Qtde. funcionários]],0)</f>
        <v>46.673333333333339</v>
      </c>
    </row>
    <row r="312" spans="1:11">
      <c r="A312" s="169" t="s">
        <v>1855</v>
      </c>
      <c r="B312" s="278" t="s">
        <v>1820</v>
      </c>
      <c r="C312" s="171"/>
      <c r="D312" s="311">
        <v>9.6999999999999993</v>
      </c>
      <c r="E312" s="170" cm="1">
        <f t="array" ref="E312">tabUniformes[[#This Row],[Valor Inicial]]*IFERROR(PRODUCT(1+_xlfn._xlws.FILTER(tabIndices[PERCENTUAL],tabIndices[DATA DA PUBLICAÇÃO]&gt;tabUniformes[[#This Row],[DATA PUBLICAÇÃO]])),1)</f>
        <v>9.6999999999999993</v>
      </c>
      <c r="F312" s="172">
        <v>6</v>
      </c>
      <c r="G312" s="172" t="s">
        <v>58</v>
      </c>
      <c r="H312" s="172">
        <v>1</v>
      </c>
      <c r="I312" s="173">
        <f>tabUniformes[[#This Row],[Valor Reajustado]]*tabUniformes[[#This Row],[Qtde Anual de Peças]]*tabUniformes[[#This Row],[Qtde. funcionários]]</f>
        <v>58.199999999999996</v>
      </c>
      <c r="J312" s="172">
        <f>tabUniformes[[#This Row],[Qtde Anual de Peças]]*tabUniformes[[#This Row],[Qtde. funcionários]]</f>
        <v>6</v>
      </c>
      <c r="K312" s="170">
        <f>IFERROR(tabUniformes[[#This Row],[Total]]/12/tabUniformes[[#This Row],[Qtde. funcionários]],0)</f>
        <v>4.8499999999999996</v>
      </c>
    </row>
    <row r="313" spans="1:11">
      <c r="A313" s="169" t="s">
        <v>1807</v>
      </c>
      <c r="B313" s="278" t="s">
        <v>1848</v>
      </c>
      <c r="C313" s="171"/>
      <c r="D313" s="311">
        <v>5.49</v>
      </c>
      <c r="E313" s="170" cm="1">
        <f t="array" ref="E313">tabUniformes[[#This Row],[Valor Inicial]]*IFERROR(PRODUCT(1+_xlfn._xlws.FILTER(tabIndices[PERCENTUAL],tabIndices[DATA DA PUBLICAÇÃO]&gt;tabUniformes[[#This Row],[DATA PUBLICAÇÃO]])),1)</f>
        <v>5.49</v>
      </c>
      <c r="F313" s="172">
        <v>24</v>
      </c>
      <c r="G313" s="172" t="s">
        <v>58</v>
      </c>
      <c r="H313" s="172">
        <v>1</v>
      </c>
      <c r="I313" s="173">
        <f>tabUniformes[[#This Row],[Valor Reajustado]]*tabUniformes[[#This Row],[Qtde Anual de Peças]]*tabUniformes[[#This Row],[Qtde. funcionários]]</f>
        <v>131.76</v>
      </c>
      <c r="J313" s="172">
        <f>tabUniformes[[#This Row],[Qtde Anual de Peças]]*tabUniformes[[#This Row],[Qtde. funcionários]]</f>
        <v>24</v>
      </c>
      <c r="K313" s="170">
        <f>IFERROR(tabUniformes[[#This Row],[Total]]/12/tabUniformes[[#This Row],[Qtde. funcionários]],0)</f>
        <v>10.979999999999999</v>
      </c>
    </row>
    <row r="314" spans="1:11">
      <c r="A314" s="169" t="s">
        <v>1807</v>
      </c>
      <c r="B314" s="278" t="s">
        <v>1849</v>
      </c>
      <c r="C314" s="171"/>
      <c r="D314" s="311">
        <v>31.7</v>
      </c>
      <c r="E314" s="170" cm="1">
        <f t="array" ref="E314">tabUniformes[[#This Row],[Valor Inicial]]*IFERROR(PRODUCT(1+_xlfn._xlws.FILTER(tabIndices[PERCENTUAL],tabIndices[DATA DA PUBLICAÇÃO]&gt;tabUniformes[[#This Row],[DATA PUBLICAÇÃO]])),1)</f>
        <v>31.7</v>
      </c>
      <c r="F314" s="172">
        <v>2</v>
      </c>
      <c r="G314" s="172" t="s">
        <v>58</v>
      </c>
      <c r="H314" s="172">
        <v>1</v>
      </c>
      <c r="I314" s="173">
        <f>tabUniformes[[#This Row],[Valor Reajustado]]*tabUniformes[[#This Row],[Qtde Anual de Peças]]*tabUniformes[[#This Row],[Qtde. funcionários]]</f>
        <v>63.4</v>
      </c>
      <c r="J314" s="172">
        <f>tabUniformes[[#This Row],[Qtde Anual de Peças]]*tabUniformes[[#This Row],[Qtde. funcionários]]</f>
        <v>2</v>
      </c>
      <c r="K314" s="170">
        <f>IFERROR(tabUniformes[[#This Row],[Total]]/12/tabUniformes[[#This Row],[Qtde. funcionários]],0)</f>
        <v>5.2833333333333332</v>
      </c>
    </row>
    <row r="315" spans="1:11">
      <c r="A315" s="169" t="s">
        <v>12</v>
      </c>
      <c r="B315" s="278" t="s">
        <v>31</v>
      </c>
      <c r="C315" s="171"/>
      <c r="D315" s="311">
        <v>40.85</v>
      </c>
      <c r="E315" s="170" cm="1">
        <f t="array" ref="E315">tabUniformes[[#This Row],[Valor Inicial]]*IFERROR(PRODUCT(1+_xlfn._xlws.FILTER(tabIndices[PERCENTUAL],tabIndices[DATA DA PUBLICAÇÃO]&gt;tabUniformes[[#This Row],[DATA PUBLICAÇÃO]])),1)</f>
        <v>40.85</v>
      </c>
      <c r="F315" s="172">
        <v>8</v>
      </c>
      <c r="G315" s="172" t="s">
        <v>58</v>
      </c>
      <c r="H315" s="172">
        <v>1</v>
      </c>
      <c r="I315" s="173">
        <v>240.60734426567106</v>
      </c>
      <c r="J315" s="172">
        <v>8</v>
      </c>
      <c r="K315" s="170">
        <v>20.050612022139255</v>
      </c>
    </row>
    <row r="316" spans="1:11">
      <c r="A316" s="169" t="s">
        <v>14</v>
      </c>
      <c r="B316" s="278" t="s">
        <v>25</v>
      </c>
      <c r="C316" s="171"/>
      <c r="D316" s="311">
        <v>95.13</v>
      </c>
      <c r="E316" s="170" cm="1">
        <f t="array" ref="E316">tabUniformes[[#This Row],[Valor Inicial]]*IFERROR(PRODUCT(1+_xlfn._xlws.FILTER(tabIndices[PERCENTUAL],tabIndices[DATA DA PUBLICAÇÃO]&gt;tabUniformes[[#This Row],[DATA PUBLICAÇÃO]])),1)</f>
        <v>95.13</v>
      </c>
      <c r="F316" s="172">
        <v>1</v>
      </c>
      <c r="G316" s="172" t="s">
        <v>58</v>
      </c>
      <c r="H316" s="172">
        <v>1</v>
      </c>
      <c r="I316" s="173">
        <v>60.151836066417765</v>
      </c>
      <c r="J316" s="172">
        <v>1</v>
      </c>
      <c r="K316" s="170">
        <v>5.0126530055348137</v>
      </c>
    </row>
    <row r="317" spans="1:11">
      <c r="A317" s="169" t="s">
        <v>1853</v>
      </c>
      <c r="B317" s="278" t="s">
        <v>1809</v>
      </c>
      <c r="C317" s="171"/>
      <c r="D317" s="311">
        <v>7.67</v>
      </c>
      <c r="E317" s="170" cm="1">
        <f t="array" ref="E317">tabUniformes[[#This Row],[Valor Inicial]]*IFERROR(PRODUCT(1+_xlfn._xlws.FILTER(tabIndices[PERCENTUAL],tabIndices[DATA DA PUBLICAÇÃO]&gt;tabUniformes[[#This Row],[DATA PUBLICAÇÃO]])),1)</f>
        <v>7.67</v>
      </c>
      <c r="F317" s="172">
        <v>2</v>
      </c>
      <c r="G317" s="172" t="s">
        <v>58</v>
      </c>
      <c r="H317" s="172">
        <v>1</v>
      </c>
      <c r="I317" s="173">
        <f>tabUniformes[[#This Row],[Valor Reajustado]]*tabUniformes[[#This Row],[Qtde Anual de Peças]]*tabUniformes[[#This Row],[Qtde. funcionários]]</f>
        <v>15.34</v>
      </c>
      <c r="J317" s="172">
        <f>tabUniformes[[#This Row],[Qtde Anual de Peças]]*tabUniformes[[#This Row],[Qtde. funcionários]]</f>
        <v>2</v>
      </c>
      <c r="K317" s="170">
        <f>IFERROR(tabUniformes[[#This Row],[Total]]/12/tabUniformes[[#This Row],[Qtde. funcionários]],0)</f>
        <v>1.2783333333333333</v>
      </c>
    </row>
    <row r="318" spans="1:11">
      <c r="A318" s="169" t="s">
        <v>1863</v>
      </c>
      <c r="B318" s="278" t="s">
        <v>1850</v>
      </c>
      <c r="C318" s="171"/>
      <c r="D318" s="311">
        <v>33.450000000000003</v>
      </c>
      <c r="E318" s="170" cm="1">
        <f t="array" ref="E318">tabUniformes[[#This Row],[Valor Inicial]]*IFERROR(PRODUCT(1+_xlfn._xlws.FILTER(tabIndices[PERCENTUAL],tabIndices[DATA DA PUBLICAÇÃO]&gt;tabUniformes[[#This Row],[DATA PUBLICAÇÃO]])),1)</f>
        <v>33.450000000000003</v>
      </c>
      <c r="F318" s="172">
        <v>2</v>
      </c>
      <c r="G318" s="172" t="s">
        <v>58</v>
      </c>
      <c r="H318" s="172">
        <v>1</v>
      </c>
      <c r="I318" s="173">
        <f>tabUniformes[[#This Row],[Valor Reajustado]]*tabUniformes[[#This Row],[Qtde Anual de Peças]]*tabUniformes[[#This Row],[Qtde. funcionários]]</f>
        <v>66.900000000000006</v>
      </c>
      <c r="J318" s="172">
        <f>tabUniformes[[#This Row],[Qtde Anual de Peças]]*tabUniformes[[#This Row],[Qtde. funcionários]]</f>
        <v>2</v>
      </c>
      <c r="K318" s="170">
        <f>IFERROR(tabUniformes[[#This Row],[Total]]/12/tabUniformes[[#This Row],[Qtde. funcionários]],0)</f>
        <v>5.5750000000000002</v>
      </c>
    </row>
    <row r="319" spans="1:11">
      <c r="A319" s="169" t="s">
        <v>17</v>
      </c>
      <c r="B319" s="278" t="s">
        <v>1851</v>
      </c>
      <c r="C319" s="171"/>
      <c r="D319" s="311">
        <v>91.24</v>
      </c>
      <c r="E319" s="170" cm="1">
        <f t="array" ref="E319">tabUniformes[[#This Row],[Valor Inicial]]*IFERROR(PRODUCT(1+_xlfn._xlws.FILTER(tabIndices[PERCENTUAL],tabIndices[DATA DA PUBLICAÇÃO]&gt;tabUniformes[[#This Row],[DATA PUBLICAÇÃO]])),1)</f>
        <v>91.24</v>
      </c>
      <c r="F319" s="172">
        <v>2</v>
      </c>
      <c r="G319" s="172" t="s">
        <v>59</v>
      </c>
      <c r="H319" s="172">
        <v>8</v>
      </c>
      <c r="I319" s="173">
        <f>tabUniformes[[#This Row],[Valor Reajustado]]*tabUniformes[[#This Row],[Qtde Anual de Peças]]*tabUniformes[[#This Row],[Qtde. funcionários]]</f>
        <v>1459.84</v>
      </c>
      <c r="J319" s="172">
        <f>tabUniformes[[#This Row],[Qtde Anual de Peças]]*tabUniformes[[#This Row],[Qtde. funcionários]]</f>
        <v>16</v>
      </c>
      <c r="K319" s="170">
        <f>IFERROR(tabUniformes[[#This Row],[Total]]/12/tabUniformes[[#This Row],[Qtde. funcionários]],0)</f>
        <v>15.206666666666665</v>
      </c>
    </row>
    <row r="320" spans="1:11">
      <c r="A320" s="169" t="s">
        <v>13</v>
      </c>
      <c r="B320" s="278" t="s">
        <v>1791</v>
      </c>
      <c r="C320" s="171"/>
      <c r="D320" s="311">
        <v>99</v>
      </c>
      <c r="E320" s="170" cm="1">
        <f t="array" ref="E320">tabUniformes[[#This Row],[Valor Inicial]]*IFERROR(PRODUCT(1+_xlfn._xlws.FILTER(tabIndices[PERCENTUAL],tabIndices[DATA DA PUBLICAÇÃO]&gt;tabUniformes[[#This Row],[DATA PUBLICAÇÃO]])),1)</f>
        <v>99</v>
      </c>
      <c r="F320" s="172">
        <v>10</v>
      </c>
      <c r="G320" s="172" t="s">
        <v>59</v>
      </c>
      <c r="H320" s="172">
        <v>8</v>
      </c>
      <c r="I320" s="173">
        <v>2021.1016918316368</v>
      </c>
      <c r="J320" s="172">
        <v>42</v>
      </c>
      <c r="K320" s="170">
        <v>24.060734426567105</v>
      </c>
    </row>
    <row r="321" spans="1:11">
      <c r="A321" s="169" t="s">
        <v>10</v>
      </c>
      <c r="B321" s="278" t="s">
        <v>27</v>
      </c>
      <c r="C321" s="171"/>
      <c r="D321" s="311">
        <v>221.5</v>
      </c>
      <c r="E321" s="170" cm="1">
        <f t="array" ref="E321">tabUniformes[[#This Row],[Valor Inicial]]*IFERROR(PRODUCT(1+_xlfn._xlws.FILTER(tabIndices[PERCENTUAL],tabIndices[DATA DA PUBLICAÇÃO]&gt;tabUniformes[[#This Row],[DATA PUBLICAÇÃO]])),1)</f>
        <v>221.5</v>
      </c>
      <c r="F321" s="172">
        <v>1</v>
      </c>
      <c r="G321" s="172" t="s">
        <v>59</v>
      </c>
      <c r="H321" s="172">
        <v>8</v>
      </c>
      <c r="I321" s="173">
        <v>421.06285246492433</v>
      </c>
      <c r="J321" s="172">
        <v>7</v>
      </c>
      <c r="K321" s="170">
        <v>5.0126530055348137</v>
      </c>
    </row>
    <row r="322" spans="1:11">
      <c r="A322" s="169" t="s">
        <v>11</v>
      </c>
      <c r="B322" s="278" t="s">
        <v>28</v>
      </c>
      <c r="C322" s="171"/>
      <c r="D322" s="311">
        <v>105</v>
      </c>
      <c r="E322" s="170" cm="1">
        <f t="array" ref="E322">tabUniformes[[#This Row],[Valor Inicial]]*IFERROR(PRODUCT(1+_xlfn._xlws.FILTER(tabIndices[PERCENTUAL],tabIndices[DATA DA PUBLICAÇÃO]&gt;tabUniformes[[#This Row],[DATA PUBLICAÇÃO]])),1)</f>
        <v>105</v>
      </c>
      <c r="F322" s="172">
        <v>4</v>
      </c>
      <c r="G322" s="172" t="s">
        <v>59</v>
      </c>
      <c r="H322" s="172">
        <v>8</v>
      </c>
      <c r="I322" s="173">
        <v>1178.975986901788</v>
      </c>
      <c r="J322" s="172">
        <v>28</v>
      </c>
      <c r="K322" s="170">
        <v>14.035428415497476</v>
      </c>
    </row>
    <row r="323" spans="1:11">
      <c r="A323" s="169" t="s">
        <v>1786</v>
      </c>
      <c r="B323" s="278" t="s">
        <v>1787</v>
      </c>
      <c r="C323" s="171"/>
      <c r="D323" s="311">
        <v>182.23</v>
      </c>
      <c r="E323" s="170" cm="1">
        <f t="array" ref="E323">tabUniformes[[#This Row],[Valor Inicial]]*IFERROR(PRODUCT(1+_xlfn._xlws.FILTER(tabIndices[PERCENTUAL],tabIndices[DATA DA PUBLICAÇÃO]&gt;tabUniformes[[#This Row],[DATA PUBLICAÇÃO]])),1)</f>
        <v>182.23</v>
      </c>
      <c r="F323" s="172">
        <v>2</v>
      </c>
      <c r="G323" s="172" t="s">
        <v>59</v>
      </c>
      <c r="H323" s="172">
        <v>8</v>
      </c>
      <c r="I323" s="173">
        <f>tabUniformes[[#This Row],[Valor Reajustado]]*tabUniformes[[#This Row],[Qtde Anual de Peças]]*tabUniformes[[#This Row],[Qtde. funcionários]]</f>
        <v>2915.68</v>
      </c>
      <c r="J323" s="172">
        <f>tabUniformes[[#This Row],[Qtde Anual de Peças]]*tabUniformes[[#This Row],[Qtde. funcionários]]</f>
        <v>16</v>
      </c>
      <c r="K323" s="170">
        <f>IFERROR(tabUniformes[[#This Row],[Total]]/12/tabUniformes[[#This Row],[Qtde. funcionários]],0)</f>
        <v>30.371666666666666</v>
      </c>
    </row>
    <row r="324" spans="1:11">
      <c r="A324" s="169" t="s">
        <v>17</v>
      </c>
      <c r="B324" s="278" t="s">
        <v>1789</v>
      </c>
      <c r="C324" s="171"/>
      <c r="D324" s="311">
        <v>221.63</v>
      </c>
      <c r="E324" s="170" cm="1">
        <f t="array" ref="E324">tabUniformes[[#This Row],[Valor Inicial]]*IFERROR(PRODUCT(1+_xlfn._xlws.FILTER(tabIndices[PERCENTUAL],tabIndices[DATA DA PUBLICAÇÃO]&gt;tabUniformes[[#This Row],[DATA PUBLICAÇÃO]])),1)</f>
        <v>221.63</v>
      </c>
      <c r="F324" s="172">
        <v>2</v>
      </c>
      <c r="G324" s="172" t="s">
        <v>59</v>
      </c>
      <c r="H324" s="172">
        <v>8</v>
      </c>
      <c r="I324" s="173">
        <v>842.12570492984867</v>
      </c>
      <c r="J324" s="172">
        <v>14</v>
      </c>
      <c r="K324" s="170">
        <v>10.025306011069627</v>
      </c>
    </row>
    <row r="325" spans="1:11">
      <c r="A325" s="169" t="s">
        <v>18</v>
      </c>
      <c r="B325" s="278" t="s">
        <v>1813</v>
      </c>
      <c r="C325" s="171"/>
      <c r="D325" s="311">
        <v>90.53</v>
      </c>
      <c r="E325" s="170" cm="1">
        <f t="array" ref="E325">tabUniformes[[#This Row],[Valor Inicial]]*IFERROR(PRODUCT(1+_xlfn._xlws.FILTER(tabIndices[PERCENTUAL],tabIndices[DATA DA PUBLICAÇÃO]&gt;tabUniformes[[#This Row],[DATA PUBLICAÇÃO]])),1)</f>
        <v>90.53</v>
      </c>
      <c r="F325" s="172">
        <v>1</v>
      </c>
      <c r="G325" s="172" t="s">
        <v>60</v>
      </c>
      <c r="H325" s="172">
        <v>13</v>
      </c>
      <c r="I325" s="173">
        <f>tabUniformes[[#This Row],[Valor Reajustado]]*tabUniformes[[#This Row],[Qtde Anual de Peças]]*tabUniformes[[#This Row],[Qtde. funcionários]]</f>
        <v>1176.8900000000001</v>
      </c>
      <c r="J325" s="172">
        <f>tabUniformes[[#This Row],[Qtde Anual de Peças]]*tabUniformes[[#This Row],[Qtde. funcionários]]</f>
        <v>13</v>
      </c>
      <c r="K325" s="170">
        <f>IFERROR(tabUniformes[[#This Row],[Total]]/12/tabUniformes[[#This Row],[Qtde. funcionários]],0)</f>
        <v>7.5441666666666674</v>
      </c>
    </row>
    <row r="326" spans="1:11">
      <c r="A326" s="169" t="s">
        <v>17</v>
      </c>
      <c r="B326" s="278" t="s">
        <v>1808</v>
      </c>
      <c r="C326" s="171"/>
      <c r="D326" s="311">
        <v>280.04000000000002</v>
      </c>
      <c r="E326" s="170" cm="1">
        <f t="array" ref="E326">tabUniformes[[#This Row],[Valor Inicial]]*IFERROR(PRODUCT(1+_xlfn._xlws.FILTER(tabIndices[PERCENTUAL],tabIndices[DATA DA PUBLICAÇÃO]&gt;tabUniformes[[#This Row],[DATA PUBLICAÇÃO]])),1)</f>
        <v>280.04000000000002</v>
      </c>
      <c r="F326" s="172">
        <v>2</v>
      </c>
      <c r="G326" s="172" t="s">
        <v>60</v>
      </c>
      <c r="H326" s="172">
        <v>13</v>
      </c>
      <c r="I326" s="173">
        <f>tabUniformes[[#This Row],[Valor Reajustado]]*tabUniformes[[#This Row],[Qtde Anual de Peças]]*tabUniformes[[#This Row],[Qtde. funcionários]]</f>
        <v>7281.0400000000009</v>
      </c>
      <c r="J326" s="172">
        <f>tabUniformes[[#This Row],[Qtde Anual de Peças]]*tabUniformes[[#This Row],[Qtde. funcionários]]</f>
        <v>26</v>
      </c>
      <c r="K326" s="170">
        <f>IFERROR(tabUniformes[[#This Row],[Total]]/12/tabUniformes[[#This Row],[Qtde. funcionários]],0)</f>
        <v>46.673333333333339</v>
      </c>
    </row>
    <row r="327" spans="1:11">
      <c r="A327" s="169" t="s">
        <v>1860</v>
      </c>
      <c r="B327" s="278" t="s">
        <v>1817</v>
      </c>
      <c r="C327" s="171"/>
      <c r="D327" s="311">
        <v>22.2</v>
      </c>
      <c r="E327" s="170" cm="1">
        <f t="array" ref="E327">tabUniformes[[#This Row],[Valor Inicial]]*IFERROR(PRODUCT(1+_xlfn._xlws.FILTER(tabIndices[PERCENTUAL],tabIndices[DATA DA PUBLICAÇÃO]&gt;tabUniformes[[#This Row],[DATA PUBLICAÇÃO]])),1)</f>
        <v>22.2</v>
      </c>
      <c r="F327" s="172">
        <v>1</v>
      </c>
      <c r="G327" s="172" t="s">
        <v>60</v>
      </c>
      <c r="H327" s="172">
        <v>13</v>
      </c>
      <c r="I327" s="173">
        <f>tabUniformes[[#This Row],[Valor Reajustado]]*tabUniformes[[#This Row],[Qtde Anual de Peças]]*tabUniformes[[#This Row],[Qtde. funcionários]]</f>
        <v>288.59999999999997</v>
      </c>
      <c r="J327" s="172">
        <f>tabUniformes[[#This Row],[Qtde Anual de Peças]]*tabUniformes[[#This Row],[Qtde. funcionários]]</f>
        <v>13</v>
      </c>
      <c r="K327" s="170">
        <f>IFERROR(tabUniformes[[#This Row],[Total]]/12/tabUniformes[[#This Row],[Qtde. funcionários]],0)</f>
        <v>1.8499999999999999</v>
      </c>
    </row>
    <row r="328" spans="1:11">
      <c r="A328" s="169" t="s">
        <v>1861</v>
      </c>
      <c r="B328" s="278" t="s">
        <v>1818</v>
      </c>
      <c r="C328" s="171"/>
      <c r="D328" s="311">
        <v>64.2</v>
      </c>
      <c r="E328" s="170" cm="1">
        <f t="array" ref="E328">tabUniformes[[#This Row],[Valor Inicial]]*IFERROR(PRODUCT(1+_xlfn._xlws.FILTER(tabIndices[PERCENTUAL],tabIndices[DATA DA PUBLICAÇÃO]&gt;tabUniformes[[#This Row],[DATA PUBLICAÇÃO]])),1)</f>
        <v>64.2</v>
      </c>
      <c r="F328" s="172">
        <v>1</v>
      </c>
      <c r="G328" s="172" t="s">
        <v>60</v>
      </c>
      <c r="H328" s="172">
        <v>13</v>
      </c>
      <c r="I328" s="173">
        <f>tabUniformes[[#This Row],[Valor Reajustado]]*tabUniformes[[#This Row],[Qtde Anual de Peças]]*tabUniformes[[#This Row],[Qtde. funcionários]]</f>
        <v>834.6</v>
      </c>
      <c r="J328" s="172">
        <f>tabUniformes[[#This Row],[Qtde Anual de Peças]]*tabUniformes[[#This Row],[Qtde. funcionários]]</f>
        <v>13</v>
      </c>
      <c r="K328" s="170">
        <f>IFERROR(tabUniformes[[#This Row],[Total]]/12/tabUniformes[[#This Row],[Qtde. funcionários]],0)</f>
        <v>5.35</v>
      </c>
    </row>
    <row r="329" spans="1:11">
      <c r="A329" s="169" t="s">
        <v>1859</v>
      </c>
      <c r="B329" s="278" t="s">
        <v>1819</v>
      </c>
      <c r="C329" s="171"/>
      <c r="D329" s="311">
        <v>351.15</v>
      </c>
      <c r="E329" s="170" cm="1">
        <f t="array" ref="E329">tabUniformes[[#This Row],[Valor Inicial]]*IFERROR(PRODUCT(1+_xlfn._xlws.FILTER(tabIndices[PERCENTUAL],tabIndices[DATA DA PUBLICAÇÃO]&gt;tabUniformes[[#This Row],[DATA PUBLICAÇÃO]])),1)</f>
        <v>351.15</v>
      </c>
      <c r="F329" s="172">
        <v>1</v>
      </c>
      <c r="G329" s="172" t="s">
        <v>60</v>
      </c>
      <c r="H329" s="172">
        <v>13</v>
      </c>
      <c r="I329" s="173">
        <f>tabUniformes[[#This Row],[Valor Reajustado]]*tabUniformes[[#This Row],[Qtde Anual de Peças]]*tabUniformes[[#This Row],[Qtde. funcionários]]</f>
        <v>4564.95</v>
      </c>
      <c r="J329" s="172">
        <f>tabUniformes[[#This Row],[Qtde Anual de Peças]]*tabUniformes[[#This Row],[Qtde. funcionários]]</f>
        <v>13</v>
      </c>
      <c r="K329" s="170">
        <f>IFERROR(tabUniformes[[#This Row],[Total]]/12/tabUniformes[[#This Row],[Qtde. funcionários]],0)</f>
        <v>29.262499999999996</v>
      </c>
    </row>
    <row r="330" spans="1:11">
      <c r="A330" s="169" t="s">
        <v>1855</v>
      </c>
      <c r="B330" s="278" t="s">
        <v>1820</v>
      </c>
      <c r="C330" s="171"/>
      <c r="D330" s="311">
        <v>9.6999999999999993</v>
      </c>
      <c r="E330" s="170" cm="1">
        <f t="array" ref="E330">tabUniformes[[#This Row],[Valor Inicial]]*IFERROR(PRODUCT(1+_xlfn._xlws.FILTER(tabIndices[PERCENTUAL],tabIndices[DATA DA PUBLICAÇÃO]&gt;tabUniformes[[#This Row],[DATA PUBLICAÇÃO]])),1)</f>
        <v>9.6999999999999993</v>
      </c>
      <c r="F330" s="172">
        <v>12</v>
      </c>
      <c r="G330" s="172" t="s">
        <v>60</v>
      </c>
      <c r="H330" s="172">
        <v>13</v>
      </c>
      <c r="I330" s="173">
        <f>tabUniformes[[#This Row],[Valor Reajustado]]*tabUniformes[[#This Row],[Qtde Anual de Peças]]*tabUniformes[[#This Row],[Qtde. funcionários]]</f>
        <v>1513.1999999999998</v>
      </c>
      <c r="J330" s="172">
        <f>tabUniformes[[#This Row],[Qtde Anual de Peças]]*tabUniformes[[#This Row],[Qtde. funcionários]]</f>
        <v>156</v>
      </c>
      <c r="K330" s="170">
        <f>IFERROR(tabUniformes[[#This Row],[Total]]/12/tabUniformes[[#This Row],[Qtde. funcionários]],0)</f>
        <v>9.6999999999999993</v>
      </c>
    </row>
    <row r="331" spans="1:11">
      <c r="A331" s="169" t="s">
        <v>11</v>
      </c>
      <c r="B331" s="278" t="s">
        <v>30</v>
      </c>
      <c r="C331" s="171"/>
      <c r="D331" s="311">
        <v>94.82</v>
      </c>
      <c r="E331" s="170" cm="1">
        <f t="array" ref="E331">tabUniformes[[#This Row],[Valor Inicial]]*IFERROR(PRODUCT(1+_xlfn._xlws.FILTER(tabIndices[PERCENTUAL],tabIndices[DATA DA PUBLICAÇÃO]&gt;tabUniformes[[#This Row],[DATA PUBLICAÇÃO]])),1)</f>
        <v>94.82</v>
      </c>
      <c r="F331" s="172">
        <v>4</v>
      </c>
      <c r="G331" s="172" t="s">
        <v>60</v>
      </c>
      <c r="H331" s="172">
        <v>13</v>
      </c>
      <c r="I331" s="173">
        <v>2815.1059279083515</v>
      </c>
      <c r="J331" s="172">
        <v>52</v>
      </c>
      <c r="K331" s="170">
        <v>18.045550819925332</v>
      </c>
    </row>
    <row r="332" spans="1:11">
      <c r="A332" s="169" t="s">
        <v>1807</v>
      </c>
      <c r="B332" s="278" t="s">
        <v>1822</v>
      </c>
      <c r="C332" s="171"/>
      <c r="D332" s="311">
        <v>20.170000000000002</v>
      </c>
      <c r="E332" s="170" cm="1">
        <f t="array" ref="E332">tabUniformes[[#This Row],[Valor Inicial]]*IFERROR(PRODUCT(1+_xlfn._xlws.FILTER(tabIndices[PERCENTUAL],tabIndices[DATA DA PUBLICAÇÃO]&gt;tabUniformes[[#This Row],[DATA PUBLICAÇÃO]])),1)</f>
        <v>20.170000000000002</v>
      </c>
      <c r="F332" s="172">
        <v>2</v>
      </c>
      <c r="G332" s="172" t="s">
        <v>60</v>
      </c>
      <c r="H332" s="172">
        <v>13</v>
      </c>
      <c r="I332" s="173">
        <f>tabUniformes[[#This Row],[Valor Reajustado]]*tabUniformes[[#This Row],[Qtde Anual de Peças]]*tabUniformes[[#This Row],[Qtde. funcionários]]</f>
        <v>524.42000000000007</v>
      </c>
      <c r="J332" s="172">
        <f>tabUniformes[[#This Row],[Qtde Anual de Peças]]*tabUniformes[[#This Row],[Qtde. funcionários]]</f>
        <v>26</v>
      </c>
      <c r="K332" s="170">
        <f>IFERROR(tabUniformes[[#This Row],[Total]]/12/tabUniformes[[#This Row],[Qtde. funcionários]],0)</f>
        <v>3.3616666666666672</v>
      </c>
    </row>
    <row r="333" spans="1:11">
      <c r="A333" s="169" t="s">
        <v>1807</v>
      </c>
      <c r="B333" s="278" t="s">
        <v>1824</v>
      </c>
      <c r="C333" s="171"/>
      <c r="D333" s="311">
        <v>7.27</v>
      </c>
      <c r="E333" s="170" cm="1">
        <f t="array" ref="E333">tabUniformes[[#This Row],[Valor Inicial]]*IFERROR(PRODUCT(1+_xlfn._xlws.FILTER(tabIndices[PERCENTUAL],tabIndices[DATA DA PUBLICAÇÃO]&gt;tabUniformes[[#This Row],[DATA PUBLICAÇÃO]])),1)</f>
        <v>7.27</v>
      </c>
      <c r="F333" s="172">
        <v>2</v>
      </c>
      <c r="G333" s="172" t="s">
        <v>60</v>
      </c>
      <c r="H333" s="172">
        <v>13</v>
      </c>
      <c r="I333" s="173">
        <f>tabUniformes[[#This Row],[Valor Reajustado]]*tabUniformes[[#This Row],[Qtde Anual de Peças]]*tabUniformes[[#This Row],[Qtde. funcionários]]</f>
        <v>189.01999999999998</v>
      </c>
      <c r="J333" s="172">
        <f>tabUniformes[[#This Row],[Qtde Anual de Peças]]*tabUniformes[[#This Row],[Qtde. funcionários]]</f>
        <v>26</v>
      </c>
      <c r="K333" s="170">
        <f>IFERROR(tabUniformes[[#This Row],[Total]]/12/tabUniformes[[#This Row],[Qtde. funcionários]],0)</f>
        <v>1.2116666666666664</v>
      </c>
    </row>
    <row r="334" spans="1:11">
      <c r="A334" s="169" t="s">
        <v>1807</v>
      </c>
      <c r="B334" s="278" t="s">
        <v>1825</v>
      </c>
      <c r="C334" s="171"/>
      <c r="D334" s="311">
        <v>6.12</v>
      </c>
      <c r="E334" s="170" cm="1">
        <f t="array" ref="E334">tabUniformes[[#This Row],[Valor Inicial]]*IFERROR(PRODUCT(1+_xlfn._xlws.FILTER(tabIndices[PERCENTUAL],tabIndices[DATA DA PUBLICAÇÃO]&gt;tabUniformes[[#This Row],[DATA PUBLICAÇÃO]])),1)</f>
        <v>6.12</v>
      </c>
      <c r="F334" s="172">
        <v>12</v>
      </c>
      <c r="G334" s="172" t="s">
        <v>60</v>
      </c>
      <c r="H334" s="172">
        <v>13</v>
      </c>
      <c r="I334" s="173">
        <f>tabUniformes[[#This Row],[Valor Reajustado]]*tabUniformes[[#This Row],[Qtde Anual de Peças]]*tabUniformes[[#This Row],[Qtde. funcionários]]</f>
        <v>954.72</v>
      </c>
      <c r="J334" s="172">
        <f>tabUniformes[[#This Row],[Qtde Anual de Peças]]*tabUniformes[[#This Row],[Qtde. funcionários]]</f>
        <v>156</v>
      </c>
      <c r="K334" s="170">
        <f>IFERROR(tabUniformes[[#This Row],[Total]]/12/tabUniformes[[#This Row],[Qtde. funcionários]],0)</f>
        <v>6.12</v>
      </c>
    </row>
    <row r="335" spans="1:11">
      <c r="A335" s="169" t="s">
        <v>1807</v>
      </c>
      <c r="B335" s="278" t="s">
        <v>1826</v>
      </c>
      <c r="C335" s="171"/>
      <c r="D335" s="311">
        <v>16.38</v>
      </c>
      <c r="E335" s="170" cm="1">
        <f t="array" ref="E335">tabUniformes[[#This Row],[Valor Inicial]]*IFERROR(PRODUCT(1+_xlfn._xlws.FILTER(tabIndices[PERCENTUAL],tabIndices[DATA DA PUBLICAÇÃO]&gt;tabUniformes[[#This Row],[DATA PUBLICAÇÃO]])),1)</f>
        <v>16.38</v>
      </c>
      <c r="F335" s="172">
        <v>1</v>
      </c>
      <c r="G335" s="172" t="s">
        <v>60</v>
      </c>
      <c r="H335" s="172">
        <v>13</v>
      </c>
      <c r="I335" s="173">
        <f>tabUniformes[[#This Row],[Valor Reajustado]]*tabUniformes[[#This Row],[Qtde Anual de Peças]]*tabUniformes[[#This Row],[Qtde. funcionários]]</f>
        <v>212.94</v>
      </c>
      <c r="J335" s="172">
        <f>tabUniformes[[#This Row],[Qtde Anual de Peças]]*tabUniformes[[#This Row],[Qtde. funcionários]]</f>
        <v>13</v>
      </c>
      <c r="K335" s="170">
        <f>IFERROR(tabUniformes[[#This Row],[Total]]/12/tabUniformes[[#This Row],[Qtde. funcionários]],0)</f>
        <v>1.365</v>
      </c>
    </row>
    <row r="336" spans="1:11">
      <c r="A336" s="169" t="s">
        <v>1862</v>
      </c>
      <c r="B336" s="278" t="s">
        <v>1828</v>
      </c>
      <c r="C336" s="171"/>
      <c r="D336" s="311">
        <v>14.42</v>
      </c>
      <c r="E336" s="170" cm="1">
        <f t="array" ref="E336">tabUniformes[[#This Row],[Valor Inicial]]*IFERROR(PRODUCT(1+_xlfn._xlws.FILTER(tabIndices[PERCENTUAL],tabIndices[DATA DA PUBLICAÇÃO]&gt;tabUniformes[[#This Row],[DATA PUBLICAÇÃO]])),1)</f>
        <v>14.42</v>
      </c>
      <c r="F336" s="172">
        <v>50</v>
      </c>
      <c r="G336" s="172" t="s">
        <v>60</v>
      </c>
      <c r="H336" s="172">
        <v>13</v>
      </c>
      <c r="I336" s="173">
        <f>tabUniformes[[#This Row],[Valor Reajustado]]*tabUniformes[[#This Row],[Qtde Anual de Peças]]*tabUniformes[[#This Row],[Qtde. funcionários]]</f>
        <v>9373</v>
      </c>
      <c r="J336" s="172">
        <f>tabUniformes[[#This Row],[Qtde Anual de Peças]]*tabUniformes[[#This Row],[Qtde. funcionários]]</f>
        <v>650</v>
      </c>
      <c r="K336" s="170">
        <f>IFERROR(tabUniformes[[#This Row],[Total]]/12/tabUniformes[[#This Row],[Qtde. funcionários]],0)</f>
        <v>60.083333333333336</v>
      </c>
    </row>
    <row r="337" spans="1:11">
      <c r="A337" s="169" t="s">
        <v>12</v>
      </c>
      <c r="B337" s="278" t="s">
        <v>31</v>
      </c>
      <c r="C337" s="171"/>
      <c r="D337" s="311">
        <v>40.85</v>
      </c>
      <c r="E337" s="170" cm="1">
        <f t="array" ref="E337">tabUniformes[[#This Row],[Valor Inicial]]*IFERROR(PRODUCT(1+_xlfn._xlws.FILTER(tabIndices[PERCENTUAL],tabIndices[DATA DA PUBLICAÇÃO]&gt;tabUniformes[[#This Row],[DATA PUBLICAÇÃO]])),1)</f>
        <v>40.85</v>
      </c>
      <c r="F337" s="172">
        <v>8</v>
      </c>
      <c r="G337" s="172" t="s">
        <v>60</v>
      </c>
      <c r="H337" s="172">
        <v>13</v>
      </c>
      <c r="I337" s="173">
        <v>3127.895475453724</v>
      </c>
      <c r="J337" s="172">
        <v>104</v>
      </c>
      <c r="K337" s="170">
        <v>20.050612022139259</v>
      </c>
    </row>
    <row r="338" spans="1:11">
      <c r="A338" s="169" t="s">
        <v>19</v>
      </c>
      <c r="B338" s="278" t="s">
        <v>37</v>
      </c>
      <c r="C338" s="171"/>
      <c r="D338" s="311">
        <v>66.319999999999993</v>
      </c>
      <c r="E338" s="170" cm="1">
        <f t="array" ref="E338">tabUniformes[[#This Row],[Valor Inicial]]*IFERROR(PRODUCT(1+_xlfn._xlws.FILTER(tabIndices[PERCENTUAL],tabIndices[DATA DA PUBLICAÇÃO]&gt;tabUniformes[[#This Row],[DATA PUBLICAÇÃO]])),1)</f>
        <v>66.319999999999993</v>
      </c>
      <c r="F338" s="172">
        <v>4</v>
      </c>
      <c r="G338" s="172" t="s">
        <v>60</v>
      </c>
      <c r="H338" s="172">
        <v>13</v>
      </c>
      <c r="I338" s="173">
        <v>1876.7372852722342</v>
      </c>
      <c r="J338" s="172">
        <v>52</v>
      </c>
      <c r="K338" s="170">
        <v>12.030367213283553</v>
      </c>
    </row>
    <row r="339" spans="1:11">
      <c r="A339" s="169" t="s">
        <v>1854</v>
      </c>
      <c r="B339" s="278" t="s">
        <v>1830</v>
      </c>
      <c r="C339" s="171"/>
      <c r="D339" s="311">
        <v>344.45</v>
      </c>
      <c r="E339" s="170" cm="1">
        <f t="array" ref="E339">tabUniformes[[#This Row],[Valor Inicial]]*IFERROR(PRODUCT(1+_xlfn._xlws.FILTER(tabIndices[PERCENTUAL],tabIndices[DATA DA PUBLICAÇÃO]&gt;tabUniformes[[#This Row],[DATA PUBLICAÇÃO]])),1)</f>
        <v>344.45</v>
      </c>
      <c r="F339" s="172">
        <v>1</v>
      </c>
      <c r="G339" s="172" t="s">
        <v>60</v>
      </c>
      <c r="H339" s="172">
        <v>13</v>
      </c>
      <c r="I339" s="173">
        <f>tabUniformes[[#This Row],[Valor Reajustado]]*tabUniformes[[#This Row],[Qtde Anual de Peças]]*tabUniformes[[#This Row],[Qtde. funcionários]]</f>
        <v>4477.8499999999995</v>
      </c>
      <c r="J339" s="172">
        <f>tabUniformes[[#This Row],[Qtde Anual de Peças]]*tabUniformes[[#This Row],[Qtde. funcionários]]</f>
        <v>13</v>
      </c>
      <c r="K339" s="170">
        <f>IFERROR(tabUniformes[[#This Row],[Total]]/12/tabUniformes[[#This Row],[Qtde. funcionários]],0)</f>
        <v>28.704166666666666</v>
      </c>
    </row>
    <row r="340" spans="1:11">
      <c r="A340" s="169" t="s">
        <v>1854</v>
      </c>
      <c r="B340" s="278" t="s">
        <v>1831</v>
      </c>
      <c r="C340" s="171"/>
      <c r="D340" s="311">
        <v>2.5</v>
      </c>
      <c r="E340" s="170" cm="1">
        <f t="array" ref="E340">tabUniformes[[#This Row],[Valor Inicial]]*IFERROR(PRODUCT(1+_xlfn._xlws.FILTER(tabIndices[PERCENTUAL],tabIndices[DATA DA PUBLICAÇÃO]&gt;tabUniformes[[#This Row],[DATA PUBLICAÇÃO]])),1)</f>
        <v>2.5</v>
      </c>
      <c r="F340" s="172">
        <v>40</v>
      </c>
      <c r="G340" s="172" t="s">
        <v>60</v>
      </c>
      <c r="H340" s="172">
        <v>13</v>
      </c>
      <c r="I340" s="173">
        <f>tabUniformes[[#This Row],[Valor Reajustado]]*tabUniformes[[#This Row],[Qtde Anual de Peças]]*tabUniformes[[#This Row],[Qtde. funcionários]]</f>
        <v>1300</v>
      </c>
      <c r="J340" s="172">
        <f>tabUniformes[[#This Row],[Qtde Anual de Peças]]*tabUniformes[[#This Row],[Qtde. funcionários]]</f>
        <v>520</v>
      </c>
      <c r="K340" s="170">
        <f>IFERROR(tabUniformes[[#This Row],[Total]]/12/tabUniformes[[#This Row],[Qtde. funcionários]],0)</f>
        <v>8.3333333333333321</v>
      </c>
    </row>
    <row r="341" spans="1:11">
      <c r="A341" s="169" t="s">
        <v>1854</v>
      </c>
      <c r="B341" s="278" t="s">
        <v>1868</v>
      </c>
      <c r="C341" s="171"/>
      <c r="D341" s="311">
        <v>24.46</v>
      </c>
      <c r="E341" s="170" cm="1">
        <f t="array" ref="E341">tabUniformes[[#This Row],[Valor Inicial]]*IFERROR(PRODUCT(1+_xlfn._xlws.FILTER(tabIndices[PERCENTUAL],tabIndices[DATA DA PUBLICAÇÃO]&gt;tabUniformes[[#This Row],[DATA PUBLICAÇÃO]])),1)</f>
        <v>24.46</v>
      </c>
      <c r="F341" s="172">
        <v>36</v>
      </c>
      <c r="G341" s="172" t="s">
        <v>60</v>
      </c>
      <c r="H341" s="172">
        <v>13</v>
      </c>
      <c r="I341" s="173">
        <f>tabUniformes[[#This Row],[Valor Reajustado]]*tabUniformes[[#This Row],[Qtde Anual de Peças]]*tabUniformes[[#This Row],[Qtde. funcionários]]</f>
        <v>11447.28</v>
      </c>
      <c r="J341" s="172">
        <f>tabUniformes[[#This Row],[Qtde Anual de Peças]]*tabUniformes[[#This Row],[Qtde. funcionários]]</f>
        <v>468</v>
      </c>
      <c r="K341" s="170">
        <f>IFERROR(tabUniformes[[#This Row],[Total]]/12/tabUniformes[[#This Row],[Qtde. funcionários]],0)</f>
        <v>73.38000000000001</v>
      </c>
    </row>
    <row r="342" spans="1:11">
      <c r="A342" s="169" t="s">
        <v>14</v>
      </c>
      <c r="B342" s="278" t="s">
        <v>25</v>
      </c>
      <c r="C342" s="171"/>
      <c r="D342" s="311">
        <v>95.13</v>
      </c>
      <c r="E342" s="170" cm="1">
        <f t="array" ref="E342">tabUniformes[[#This Row],[Valor Inicial]]*IFERROR(PRODUCT(1+_xlfn._xlws.FILTER(tabIndices[PERCENTUAL],tabIndices[DATA DA PUBLICAÇÃO]&gt;tabUniformes[[#This Row],[DATA PUBLICAÇÃO]])),1)</f>
        <v>95.13</v>
      </c>
      <c r="F342" s="172">
        <v>1</v>
      </c>
      <c r="G342" s="172" t="s">
        <v>60</v>
      </c>
      <c r="H342" s="172">
        <v>13</v>
      </c>
      <c r="I342" s="173">
        <v>781.97386886343099</v>
      </c>
      <c r="J342" s="172">
        <v>13</v>
      </c>
      <c r="K342" s="170">
        <v>5.0126530055348146</v>
      </c>
    </row>
    <row r="343" spans="1:11">
      <c r="A343" s="169" t="s">
        <v>1853</v>
      </c>
      <c r="B343" s="278" t="s">
        <v>1809</v>
      </c>
      <c r="C343" s="171"/>
      <c r="D343" s="311">
        <v>7.67</v>
      </c>
      <c r="E343" s="170" cm="1">
        <f t="array" ref="E343">tabUniformes[[#This Row],[Valor Inicial]]*IFERROR(PRODUCT(1+_xlfn._xlws.FILTER(tabIndices[PERCENTUAL],tabIndices[DATA DA PUBLICAÇÃO]&gt;tabUniformes[[#This Row],[DATA PUBLICAÇÃO]])),1)</f>
        <v>7.67</v>
      </c>
      <c r="F343" s="172">
        <v>2</v>
      </c>
      <c r="G343" s="172" t="s">
        <v>60</v>
      </c>
      <c r="H343" s="172">
        <v>13</v>
      </c>
      <c r="I343" s="173">
        <f>tabUniformes[[#This Row],[Valor Reajustado]]*tabUniformes[[#This Row],[Qtde Anual de Peças]]*tabUniformes[[#This Row],[Qtde. funcionários]]</f>
        <v>199.42</v>
      </c>
      <c r="J343" s="172">
        <f>tabUniformes[[#This Row],[Qtde Anual de Peças]]*tabUniformes[[#This Row],[Qtde. funcionários]]</f>
        <v>26</v>
      </c>
      <c r="K343" s="170">
        <f>IFERROR(tabUniformes[[#This Row],[Total]]/12/tabUniformes[[#This Row],[Qtde. funcionários]],0)</f>
        <v>1.2783333333333333</v>
      </c>
    </row>
    <row r="344" spans="1:11">
      <c r="A344" s="169" t="s">
        <v>1865</v>
      </c>
      <c r="B344" s="278" t="s">
        <v>1832</v>
      </c>
      <c r="C344" s="171"/>
      <c r="D344" s="311">
        <v>36.26</v>
      </c>
      <c r="E344" s="170" cm="1">
        <f t="array" ref="E344">tabUniformes[[#This Row],[Valor Inicial]]*IFERROR(PRODUCT(1+_xlfn._xlws.FILTER(tabIndices[PERCENTUAL],tabIndices[DATA DA PUBLICAÇÃO]&gt;tabUniformes[[#This Row],[DATA PUBLICAÇÃO]])),1)</f>
        <v>36.26</v>
      </c>
      <c r="F344" s="172">
        <v>1</v>
      </c>
      <c r="G344" s="172" t="s">
        <v>60</v>
      </c>
      <c r="H344" s="172">
        <v>13</v>
      </c>
      <c r="I344" s="173">
        <f>tabUniformes[[#This Row],[Valor Reajustado]]*tabUniformes[[#This Row],[Qtde Anual de Peças]]*tabUniformes[[#This Row],[Qtde. funcionários]]</f>
        <v>471.38</v>
      </c>
      <c r="J344" s="172">
        <f>tabUniformes[[#This Row],[Qtde Anual de Peças]]*tabUniformes[[#This Row],[Qtde. funcionários]]</f>
        <v>13</v>
      </c>
      <c r="K344" s="170">
        <f>IFERROR(tabUniformes[[#This Row],[Total]]/12/tabUniformes[[#This Row],[Qtde. funcionários]],0)</f>
        <v>3.0216666666666665</v>
      </c>
    </row>
    <row r="345" spans="1:11">
      <c r="A345" s="169" t="s">
        <v>1855</v>
      </c>
      <c r="B345" s="278" t="s">
        <v>1833</v>
      </c>
      <c r="C345" s="171"/>
      <c r="D345" s="311">
        <v>5.14</v>
      </c>
      <c r="E345" s="170" cm="1">
        <f t="array" ref="E345">tabUniformes[[#This Row],[Valor Inicial]]*IFERROR(PRODUCT(1+_xlfn._xlws.FILTER(tabIndices[PERCENTUAL],tabIndices[DATA DA PUBLICAÇÃO]&gt;tabUniformes[[#This Row],[DATA PUBLICAÇÃO]])),1)</f>
        <v>5.14</v>
      </c>
      <c r="F345" s="172">
        <v>20</v>
      </c>
      <c r="G345" s="172" t="s">
        <v>60</v>
      </c>
      <c r="H345" s="172">
        <v>13</v>
      </c>
      <c r="I345" s="173">
        <f>tabUniformes[[#This Row],[Valor Reajustado]]*tabUniformes[[#This Row],[Qtde Anual de Peças]]*tabUniformes[[#This Row],[Qtde. funcionários]]</f>
        <v>1336.3999999999999</v>
      </c>
      <c r="J345" s="172">
        <f>tabUniformes[[#This Row],[Qtde Anual de Peças]]*tabUniformes[[#This Row],[Qtde. funcionários]]</f>
        <v>260</v>
      </c>
      <c r="K345" s="170">
        <f>IFERROR(tabUniformes[[#This Row],[Total]]/12/tabUniformes[[#This Row],[Qtde. funcionários]],0)</f>
        <v>8.5666666666666664</v>
      </c>
    </row>
    <row r="346" spans="1:11">
      <c r="A346" s="169" t="s">
        <v>1855</v>
      </c>
      <c r="B346" s="278" t="s">
        <v>1834</v>
      </c>
      <c r="C346" s="171"/>
      <c r="D346" s="311">
        <v>59.9</v>
      </c>
      <c r="E346" s="170" cm="1">
        <f t="array" ref="E346">tabUniformes[[#This Row],[Valor Inicial]]*IFERROR(PRODUCT(1+_xlfn._xlws.FILTER(tabIndices[PERCENTUAL],tabIndices[DATA DA PUBLICAÇÃO]&gt;tabUniformes[[#This Row],[DATA PUBLICAÇÃO]])),1)</f>
        <v>59.9</v>
      </c>
      <c r="F346" s="172">
        <v>4</v>
      </c>
      <c r="G346" s="172" t="s">
        <v>60</v>
      </c>
      <c r="H346" s="172">
        <v>13</v>
      </c>
      <c r="I346" s="173">
        <f>tabUniformes[[#This Row],[Valor Reajustado]]*tabUniformes[[#This Row],[Qtde Anual de Peças]]*tabUniformes[[#This Row],[Qtde. funcionários]]</f>
        <v>3114.7999999999997</v>
      </c>
      <c r="J346" s="172">
        <f>tabUniformes[[#This Row],[Qtde Anual de Peças]]*tabUniformes[[#This Row],[Qtde. funcionários]]</f>
        <v>52</v>
      </c>
      <c r="K346" s="170">
        <f>IFERROR(tabUniformes[[#This Row],[Total]]/12/tabUniformes[[#This Row],[Qtde. funcionários]],0)</f>
        <v>19.966666666666665</v>
      </c>
    </row>
    <row r="347" spans="1:11">
      <c r="A347" s="169" t="s">
        <v>1855</v>
      </c>
      <c r="B347" s="278" t="s">
        <v>20</v>
      </c>
      <c r="C347" s="171"/>
      <c r="D347" s="311">
        <v>33.17</v>
      </c>
      <c r="E347" s="170" cm="1">
        <f t="array" ref="E347">tabUniformes[[#This Row],[Valor Inicial]]*IFERROR(PRODUCT(1+_xlfn._xlws.FILTER(tabIndices[PERCENTUAL],tabIndices[DATA DA PUBLICAÇÃO]&gt;tabUniformes[[#This Row],[DATA PUBLICAÇÃO]])),1)</f>
        <v>33.17</v>
      </c>
      <c r="F347" s="172">
        <v>2</v>
      </c>
      <c r="G347" s="172" t="s">
        <v>60</v>
      </c>
      <c r="H347" s="172">
        <v>13</v>
      </c>
      <c r="I347" s="173">
        <f>tabUniformes[[#This Row],[Valor Reajustado]]*tabUniformes[[#This Row],[Qtde Anual de Peças]]*tabUniformes[[#This Row],[Qtde. funcionários]]</f>
        <v>862.42000000000007</v>
      </c>
      <c r="J347" s="172">
        <f>tabUniformes[[#This Row],[Qtde Anual de Peças]]*tabUniformes[[#This Row],[Qtde. funcionários]]</f>
        <v>26</v>
      </c>
      <c r="K347" s="170">
        <f>IFERROR(tabUniformes[[#This Row],[Total]]/12/tabUniformes[[#This Row],[Qtde. funcionários]],0)</f>
        <v>5.5283333333333342</v>
      </c>
    </row>
    <row r="348" spans="1:11">
      <c r="A348" s="169" t="s">
        <v>1854</v>
      </c>
      <c r="B348" s="278" t="s">
        <v>1835</v>
      </c>
      <c r="C348" s="171"/>
      <c r="D348" s="311">
        <v>326.77999999999997</v>
      </c>
      <c r="E348" s="170" cm="1">
        <f t="array" ref="E348">tabUniformes[[#This Row],[Valor Inicial]]*IFERROR(PRODUCT(1+_xlfn._xlws.FILTER(tabIndices[PERCENTUAL],tabIndices[DATA DA PUBLICAÇÃO]&gt;tabUniformes[[#This Row],[DATA PUBLICAÇÃO]])),1)</f>
        <v>326.77999999999997</v>
      </c>
      <c r="F348" s="172">
        <v>1</v>
      </c>
      <c r="G348" s="172" t="s">
        <v>60</v>
      </c>
      <c r="H348" s="172">
        <v>13</v>
      </c>
      <c r="I348" s="173">
        <f>tabUniformes[[#This Row],[Valor Reajustado]]*tabUniformes[[#This Row],[Qtde Anual de Peças]]*tabUniformes[[#This Row],[Qtde. funcionários]]</f>
        <v>4248.1399999999994</v>
      </c>
      <c r="J348" s="172">
        <f>tabUniformes[[#This Row],[Qtde Anual de Peças]]*tabUniformes[[#This Row],[Qtde. funcionários]]</f>
        <v>13</v>
      </c>
      <c r="K348" s="170">
        <f>IFERROR(tabUniformes[[#This Row],[Total]]/12/tabUniformes[[#This Row],[Qtde. funcionários]],0)</f>
        <v>27.231666666666662</v>
      </c>
    </row>
    <row r="349" spans="1:11">
      <c r="A349" s="169" t="s">
        <v>17</v>
      </c>
      <c r="B349" s="278" t="s">
        <v>1851</v>
      </c>
      <c r="C349" s="171"/>
      <c r="D349" s="311">
        <v>91.24</v>
      </c>
      <c r="E349" s="170" cm="1">
        <f t="array" ref="E349">tabUniformes[[#This Row],[Valor Inicial]]*IFERROR(PRODUCT(1+_xlfn._xlws.FILTER(tabIndices[PERCENTUAL],tabIndices[DATA DA PUBLICAÇÃO]&gt;tabUniformes[[#This Row],[DATA PUBLICAÇÃO]])),1)</f>
        <v>91.24</v>
      </c>
      <c r="F349" s="172">
        <v>2</v>
      </c>
      <c r="G349" s="172" t="s">
        <v>1360</v>
      </c>
      <c r="H349" s="172">
        <v>2</v>
      </c>
      <c r="I349" s="173">
        <f>tabUniformes[[#This Row],[Valor Reajustado]]*tabUniformes[[#This Row],[Qtde Anual de Peças]]*tabUniformes[[#This Row],[Qtde. funcionários]]</f>
        <v>364.96</v>
      </c>
      <c r="J349" s="172">
        <f>tabUniformes[[#This Row],[Qtde Anual de Peças]]*tabUniformes[[#This Row],[Qtde. funcionários]]</f>
        <v>4</v>
      </c>
      <c r="K349" s="170">
        <f>IFERROR(tabUniformes[[#This Row],[Total]]/12/tabUniformes[[#This Row],[Qtde. funcionários]],0)</f>
        <v>15.206666666666665</v>
      </c>
    </row>
    <row r="350" spans="1:11">
      <c r="A350" s="169" t="s">
        <v>13</v>
      </c>
      <c r="B350" s="278" t="s">
        <v>1791</v>
      </c>
      <c r="C350" s="171"/>
      <c r="D350" s="311">
        <v>99</v>
      </c>
      <c r="E350" s="170" cm="1">
        <f t="array" ref="E350">tabUniformes[[#This Row],[Valor Inicial]]*IFERROR(PRODUCT(1+_xlfn._xlws.FILTER(tabIndices[PERCENTUAL],tabIndices[DATA DA PUBLICAÇÃO]&gt;tabUniformes[[#This Row],[DATA PUBLICAÇÃO]])),1)</f>
        <v>99</v>
      </c>
      <c r="F350" s="172">
        <v>10</v>
      </c>
      <c r="G350" s="172" t="s">
        <v>1360</v>
      </c>
      <c r="H350" s="172">
        <v>2</v>
      </c>
      <c r="I350" s="173">
        <v>962.42937706268424</v>
      </c>
      <c r="J350" s="172">
        <v>20</v>
      </c>
      <c r="K350" s="170">
        <v>40.10122404427851</v>
      </c>
    </row>
    <row r="351" spans="1:11">
      <c r="A351" s="169" t="s">
        <v>10</v>
      </c>
      <c r="B351" s="278" t="s">
        <v>27</v>
      </c>
      <c r="C351" s="171"/>
      <c r="D351" s="311">
        <v>221.5</v>
      </c>
      <c r="E351" s="170" cm="1">
        <f t="array" ref="E351">tabUniformes[[#This Row],[Valor Inicial]]*IFERROR(PRODUCT(1+_xlfn._xlws.FILTER(tabIndices[PERCENTUAL],tabIndices[DATA DA PUBLICAÇÃO]&gt;tabUniformes[[#This Row],[DATA PUBLICAÇÃO]])),1)</f>
        <v>221.5</v>
      </c>
      <c r="F351" s="172">
        <v>1</v>
      </c>
      <c r="G351" s="172" t="s">
        <v>1360</v>
      </c>
      <c r="H351" s="172">
        <v>2</v>
      </c>
      <c r="I351" s="173">
        <v>156.39477377268619</v>
      </c>
      <c r="J351" s="172">
        <v>2</v>
      </c>
      <c r="K351" s="170">
        <v>6.516448907195258</v>
      </c>
    </row>
    <row r="352" spans="1:11">
      <c r="A352" s="169" t="s">
        <v>11</v>
      </c>
      <c r="B352" s="278" t="s">
        <v>28</v>
      </c>
      <c r="C352" s="171"/>
      <c r="D352" s="311">
        <v>105</v>
      </c>
      <c r="E352" s="170" cm="1">
        <f t="array" ref="E352">tabUniformes[[#This Row],[Valor Inicial]]*IFERROR(PRODUCT(1+_xlfn._xlws.FILTER(tabIndices[PERCENTUAL],tabIndices[DATA DA PUBLICAÇÃO]&gt;tabUniformes[[#This Row],[DATA PUBLICAÇÃO]])),1)</f>
        <v>105</v>
      </c>
      <c r="F352" s="172">
        <v>4</v>
      </c>
      <c r="G352" s="172" t="s">
        <v>1360</v>
      </c>
      <c r="H352" s="172">
        <v>2</v>
      </c>
      <c r="I352" s="173">
        <v>336.85028197193947</v>
      </c>
      <c r="J352" s="172">
        <v>8</v>
      </c>
      <c r="K352" s="170">
        <v>14.035428415497478</v>
      </c>
    </row>
    <row r="353" spans="1:11">
      <c r="A353" s="169" t="s">
        <v>17</v>
      </c>
      <c r="B353" s="278" t="s">
        <v>1789</v>
      </c>
      <c r="C353" s="171"/>
      <c r="D353" s="311">
        <v>221.63</v>
      </c>
      <c r="E353" s="170" cm="1">
        <f t="array" ref="E353">tabUniformes[[#This Row],[Valor Inicial]]*IFERROR(PRODUCT(1+_xlfn._xlws.FILTER(tabIndices[PERCENTUAL],tabIndices[DATA DA PUBLICAÇÃO]&gt;tabUniformes[[#This Row],[DATA PUBLICAÇÃO]])),1)</f>
        <v>221.63</v>
      </c>
      <c r="F353" s="172">
        <v>2</v>
      </c>
      <c r="G353" s="172" t="s">
        <v>1360</v>
      </c>
      <c r="H353" s="172">
        <v>2</v>
      </c>
      <c r="I353" s="173">
        <v>288.72881311880525</v>
      </c>
      <c r="J353" s="172">
        <v>4</v>
      </c>
      <c r="K353" s="170">
        <v>12.030367213283553</v>
      </c>
    </row>
    <row r="354" spans="1:11">
      <c r="A354" s="169" t="s">
        <v>16</v>
      </c>
      <c r="B354" s="278" t="s">
        <v>36</v>
      </c>
      <c r="C354" s="171"/>
      <c r="D354" s="311">
        <v>40.36</v>
      </c>
      <c r="E354" s="170" cm="1">
        <f t="array" ref="E354">tabUniformes[[#This Row],[Valor Inicial]]*IFERROR(PRODUCT(1+_xlfn._xlws.FILTER(tabIndices[PERCENTUAL],tabIndices[DATA DA PUBLICAÇÃO]&gt;tabUniformes[[#This Row],[DATA PUBLICAÇÃO]])),1)</f>
        <v>40.36</v>
      </c>
      <c r="F354" s="172">
        <v>2</v>
      </c>
      <c r="G354" s="172" t="s">
        <v>1360</v>
      </c>
      <c r="H354" s="172">
        <v>2</v>
      </c>
      <c r="I354" s="173">
        <v>101.05508459158185</v>
      </c>
      <c r="J354" s="172">
        <v>4</v>
      </c>
      <c r="K354" s="170">
        <v>4.2106285246492439</v>
      </c>
    </row>
    <row r="355" spans="1:11">
      <c r="A355" s="169" t="s">
        <v>17</v>
      </c>
      <c r="B355" s="278" t="s">
        <v>1851</v>
      </c>
      <c r="C355" s="171"/>
      <c r="D355" s="311">
        <v>91.24</v>
      </c>
      <c r="E355" s="170" cm="1">
        <f t="array" ref="E355">tabUniformes[[#This Row],[Valor Inicial]]*IFERROR(PRODUCT(1+_xlfn._xlws.FILTER(tabIndices[PERCENTUAL],tabIndices[DATA DA PUBLICAÇÃO]&gt;tabUniformes[[#This Row],[DATA PUBLICAÇÃO]])),1)</f>
        <v>91.24</v>
      </c>
      <c r="F355" s="172">
        <v>2</v>
      </c>
      <c r="G355" s="172" t="s">
        <v>1361</v>
      </c>
      <c r="H355" s="172">
        <v>1</v>
      </c>
      <c r="I355" s="173">
        <f>tabUniformes[[#This Row],[Valor Reajustado]]*tabUniformes[[#This Row],[Qtde Anual de Peças]]*tabUniformes[[#This Row],[Qtde. funcionários]]</f>
        <v>182.48</v>
      </c>
      <c r="J355" s="172">
        <f>tabUniformes[[#This Row],[Qtde Anual de Peças]]*tabUniformes[[#This Row],[Qtde. funcionários]]</f>
        <v>2</v>
      </c>
      <c r="K355" s="170">
        <f>IFERROR(tabUniformes[[#This Row],[Total]]/12/tabUniformes[[#This Row],[Qtde. funcionários]],0)</f>
        <v>15.206666666666665</v>
      </c>
    </row>
    <row r="356" spans="1:11">
      <c r="A356" s="169" t="s">
        <v>13</v>
      </c>
      <c r="B356" s="278" t="s">
        <v>1791</v>
      </c>
      <c r="C356" s="171"/>
      <c r="D356" s="311">
        <v>99</v>
      </c>
      <c r="E356" s="170" cm="1">
        <f t="array" ref="E356">tabUniformes[[#This Row],[Valor Inicial]]*IFERROR(PRODUCT(1+_xlfn._xlws.FILTER(tabIndices[PERCENTUAL],tabIndices[DATA DA PUBLICAÇÃO]&gt;tabUniformes[[#This Row],[DATA PUBLICAÇÃO]])),1)</f>
        <v>99</v>
      </c>
      <c r="F356" s="172">
        <v>10</v>
      </c>
      <c r="G356" s="172" t="s">
        <v>1361</v>
      </c>
      <c r="H356" s="172">
        <v>1</v>
      </c>
      <c r="I356" s="173">
        <v>481.21468853134212</v>
      </c>
      <c r="J356" s="172">
        <v>10</v>
      </c>
      <c r="K356" s="170">
        <v>40.10122404427851</v>
      </c>
    </row>
    <row r="357" spans="1:11">
      <c r="A357" s="169" t="s">
        <v>10</v>
      </c>
      <c r="B357" s="278" t="s">
        <v>27</v>
      </c>
      <c r="C357" s="171"/>
      <c r="D357" s="311">
        <v>221.5</v>
      </c>
      <c r="E357" s="170" cm="1">
        <f t="array" ref="E357">tabUniformes[[#This Row],[Valor Inicial]]*IFERROR(PRODUCT(1+_xlfn._xlws.FILTER(tabIndices[PERCENTUAL],tabIndices[DATA DA PUBLICAÇÃO]&gt;tabUniformes[[#This Row],[DATA PUBLICAÇÃO]])),1)</f>
        <v>221.5</v>
      </c>
      <c r="F357" s="172">
        <v>1</v>
      </c>
      <c r="G357" s="172" t="s">
        <v>1361</v>
      </c>
      <c r="H357" s="172">
        <v>1</v>
      </c>
      <c r="I357" s="173">
        <v>78.197386886343097</v>
      </c>
      <c r="J357" s="172">
        <v>1</v>
      </c>
      <c r="K357" s="170">
        <v>6.516448907195258</v>
      </c>
    </row>
    <row r="358" spans="1:11">
      <c r="A358" s="169" t="s">
        <v>11</v>
      </c>
      <c r="B358" s="278" t="s">
        <v>28</v>
      </c>
      <c r="C358" s="171"/>
      <c r="D358" s="311">
        <v>105</v>
      </c>
      <c r="E358" s="170" cm="1">
        <f t="array" ref="E358">tabUniformes[[#This Row],[Valor Inicial]]*IFERROR(PRODUCT(1+_xlfn._xlws.FILTER(tabIndices[PERCENTUAL],tabIndices[DATA DA PUBLICAÇÃO]&gt;tabUniformes[[#This Row],[DATA PUBLICAÇÃO]])),1)</f>
        <v>105</v>
      </c>
      <c r="F358" s="172">
        <v>4</v>
      </c>
      <c r="G358" s="172" t="s">
        <v>1361</v>
      </c>
      <c r="H358" s="172">
        <v>1</v>
      </c>
      <c r="I358" s="173">
        <v>168.42514098596973</v>
      </c>
      <c r="J358" s="172">
        <v>4</v>
      </c>
      <c r="K358" s="170">
        <v>14.035428415497478</v>
      </c>
    </row>
    <row r="359" spans="1:11">
      <c r="A359" s="169" t="s">
        <v>17</v>
      </c>
      <c r="B359" s="278" t="s">
        <v>1789</v>
      </c>
      <c r="C359" s="171"/>
      <c r="D359" s="311">
        <v>221.63</v>
      </c>
      <c r="E359" s="170" cm="1">
        <f t="array" ref="E359">tabUniformes[[#This Row],[Valor Inicial]]*IFERROR(PRODUCT(1+_xlfn._xlws.FILTER(tabIndices[PERCENTUAL],tabIndices[DATA DA PUBLICAÇÃO]&gt;tabUniformes[[#This Row],[DATA PUBLICAÇÃO]])),1)</f>
        <v>221.63</v>
      </c>
      <c r="F359" s="172">
        <v>2</v>
      </c>
      <c r="G359" s="172" t="s">
        <v>1361</v>
      </c>
      <c r="H359" s="172">
        <v>1</v>
      </c>
      <c r="I359" s="173">
        <v>144.36440655940262</v>
      </c>
      <c r="J359" s="172">
        <v>2</v>
      </c>
      <c r="K359" s="170">
        <v>12.030367213283553</v>
      </c>
    </row>
    <row r="360" spans="1:11">
      <c r="A360" s="169" t="s">
        <v>16</v>
      </c>
      <c r="B360" s="278" t="s">
        <v>36</v>
      </c>
      <c r="C360" s="171"/>
      <c r="D360" s="311">
        <v>40.36</v>
      </c>
      <c r="E360" s="170" cm="1">
        <f t="array" ref="E360">tabUniformes[[#This Row],[Valor Inicial]]*IFERROR(PRODUCT(1+_xlfn._xlws.FILTER(tabIndices[PERCENTUAL],tabIndices[DATA DA PUBLICAÇÃO]&gt;tabUniformes[[#This Row],[DATA PUBLICAÇÃO]])),1)</f>
        <v>40.36</v>
      </c>
      <c r="F360" s="172">
        <v>2</v>
      </c>
      <c r="G360" s="172" t="s">
        <v>1361</v>
      </c>
      <c r="H360" s="172">
        <v>1</v>
      </c>
      <c r="I360" s="173">
        <v>50.527542295790923</v>
      </c>
      <c r="J360" s="172">
        <v>2</v>
      </c>
      <c r="K360" s="170">
        <v>4.2106285246492439</v>
      </c>
    </row>
    <row r="361" spans="1:11">
      <c r="A361" s="169" t="s">
        <v>17</v>
      </c>
      <c r="B361" s="278" t="s">
        <v>1851</v>
      </c>
      <c r="C361" s="171"/>
      <c r="D361" s="311">
        <v>91.24</v>
      </c>
      <c r="E361" s="170" cm="1">
        <f t="array" ref="E361">tabUniformes[[#This Row],[Valor Inicial]]*IFERROR(PRODUCT(1+_xlfn._xlws.FILTER(tabIndices[PERCENTUAL],tabIndices[DATA DA PUBLICAÇÃO]&gt;tabUniformes[[#This Row],[DATA PUBLICAÇÃO]])),1)</f>
        <v>91.24</v>
      </c>
      <c r="F361" s="172">
        <v>2</v>
      </c>
      <c r="G361" s="172" t="s">
        <v>1362</v>
      </c>
      <c r="H361" s="172">
        <v>159</v>
      </c>
      <c r="I361" s="173">
        <f>tabUniformes[[#This Row],[Valor Reajustado]]*tabUniformes[[#This Row],[Qtde Anual de Peças]]*tabUniformes[[#This Row],[Qtde. funcionários]]</f>
        <v>29014.32</v>
      </c>
      <c r="J361" s="172">
        <f>tabUniformes[[#This Row],[Qtde Anual de Peças]]*tabUniformes[[#This Row],[Qtde. funcionários]]</f>
        <v>318</v>
      </c>
      <c r="K361" s="170">
        <f>IFERROR(tabUniformes[[#This Row],[Total]]/12/tabUniformes[[#This Row],[Qtde. funcionários]],0)</f>
        <v>15.206666666666667</v>
      </c>
    </row>
    <row r="362" spans="1:11">
      <c r="A362" s="169" t="s">
        <v>13</v>
      </c>
      <c r="B362" s="278" t="s">
        <v>1791</v>
      </c>
      <c r="C362" s="171"/>
      <c r="D362" s="311">
        <v>99</v>
      </c>
      <c r="E362" s="170" cm="1">
        <f t="array" ref="E362">tabUniformes[[#This Row],[Valor Inicial]]*IFERROR(PRODUCT(1+_xlfn._xlws.FILTER(tabIndices[PERCENTUAL],tabIndices[DATA DA PUBLICAÇÃO]&gt;tabUniformes[[#This Row],[DATA PUBLICAÇÃO]])),1)</f>
        <v>99</v>
      </c>
      <c r="F362" s="172">
        <v>10</v>
      </c>
      <c r="G362" s="172" t="s">
        <v>1362</v>
      </c>
      <c r="H362" s="172">
        <v>159</v>
      </c>
      <c r="I362" s="173">
        <v>75550.706099420713</v>
      </c>
      <c r="J362" s="172">
        <v>1570</v>
      </c>
      <c r="K362" s="170">
        <v>40.10122404427851</v>
      </c>
    </row>
    <row r="363" spans="1:11">
      <c r="A363" s="169" t="s">
        <v>10</v>
      </c>
      <c r="B363" s="278" t="s">
        <v>27</v>
      </c>
      <c r="C363" s="171"/>
      <c r="D363" s="311">
        <v>221.5</v>
      </c>
      <c r="E363" s="170" cm="1">
        <f t="array" ref="E363">tabUniformes[[#This Row],[Valor Inicial]]*IFERROR(PRODUCT(1+_xlfn._xlws.FILTER(tabIndices[PERCENTUAL],tabIndices[DATA DA PUBLICAÇÃO]&gt;tabUniformes[[#This Row],[DATA PUBLICAÇÃO]])),1)</f>
        <v>221.5</v>
      </c>
      <c r="F363" s="172">
        <v>1</v>
      </c>
      <c r="G363" s="172" t="s">
        <v>1362</v>
      </c>
      <c r="H363" s="172">
        <v>159</v>
      </c>
      <c r="I363" s="173">
        <v>12276.989741155867</v>
      </c>
      <c r="J363" s="172">
        <v>157</v>
      </c>
      <c r="K363" s="170">
        <v>6.516448907195258</v>
      </c>
    </row>
    <row r="364" spans="1:11">
      <c r="A364" s="169" t="s">
        <v>11</v>
      </c>
      <c r="B364" s="278" t="s">
        <v>28</v>
      </c>
      <c r="C364" s="171"/>
      <c r="D364" s="311">
        <v>105</v>
      </c>
      <c r="E364" s="170" cm="1">
        <f t="array" ref="E364">tabUniformes[[#This Row],[Valor Inicial]]*IFERROR(PRODUCT(1+_xlfn._xlws.FILTER(tabIndices[PERCENTUAL],tabIndices[DATA DA PUBLICAÇÃO]&gt;tabUniformes[[#This Row],[DATA PUBLICAÇÃO]])),1)</f>
        <v>105</v>
      </c>
      <c r="F364" s="172">
        <v>4</v>
      </c>
      <c r="G364" s="172" t="s">
        <v>1362</v>
      </c>
      <c r="H364" s="172">
        <v>159</v>
      </c>
      <c r="I364" s="173">
        <v>26442.74713479725</v>
      </c>
      <c r="J364" s="172">
        <v>628</v>
      </c>
      <c r="K364" s="170">
        <v>14.035428415497478</v>
      </c>
    </row>
    <row r="365" spans="1:11">
      <c r="A365" s="169" t="s">
        <v>17</v>
      </c>
      <c r="B365" s="278" t="s">
        <v>1789</v>
      </c>
      <c r="C365" s="171"/>
      <c r="D365" s="311">
        <v>221.63</v>
      </c>
      <c r="E365" s="170" cm="1">
        <f t="array" ref="E365">tabUniformes[[#This Row],[Valor Inicial]]*IFERROR(PRODUCT(1+_xlfn._xlws.FILTER(tabIndices[PERCENTUAL],tabIndices[DATA DA PUBLICAÇÃO]&gt;tabUniformes[[#This Row],[DATA PUBLICAÇÃO]])),1)</f>
        <v>221.63</v>
      </c>
      <c r="F365" s="172">
        <v>2</v>
      </c>
      <c r="G365" s="172" t="s">
        <v>1362</v>
      </c>
      <c r="H365" s="172">
        <v>159</v>
      </c>
      <c r="I365" s="173">
        <v>22665.21182982621</v>
      </c>
      <c r="J365" s="172">
        <v>314</v>
      </c>
      <c r="K365" s="170">
        <v>12.030367213283551</v>
      </c>
    </row>
    <row r="366" spans="1:11">
      <c r="A366" s="169" t="s">
        <v>16</v>
      </c>
      <c r="B366" s="278" t="s">
        <v>36</v>
      </c>
      <c r="C366" s="171"/>
      <c r="D366" s="311">
        <v>40.36</v>
      </c>
      <c r="E366" s="170" cm="1">
        <f t="array" ref="E366">tabUniformes[[#This Row],[Valor Inicial]]*IFERROR(PRODUCT(1+_xlfn._xlws.FILTER(tabIndices[PERCENTUAL],tabIndices[DATA DA PUBLICAÇÃO]&gt;tabUniformes[[#This Row],[DATA PUBLICAÇÃO]])),1)</f>
        <v>40.36</v>
      </c>
      <c r="F366" s="172">
        <v>2</v>
      </c>
      <c r="G366" s="172" t="s">
        <v>1362</v>
      </c>
      <c r="H366" s="172">
        <v>159</v>
      </c>
      <c r="I366" s="173">
        <v>7932.8241404391747</v>
      </c>
      <c r="J366" s="172">
        <v>314</v>
      </c>
      <c r="K366" s="170">
        <v>4.2106285246492439</v>
      </c>
    </row>
    <row r="367" spans="1:11">
      <c r="A367" s="169" t="s">
        <v>17</v>
      </c>
      <c r="B367" s="278" t="s">
        <v>1851</v>
      </c>
      <c r="C367" s="171"/>
      <c r="D367" s="311">
        <v>91.24</v>
      </c>
      <c r="E367" s="170" cm="1">
        <f t="array" ref="E367">tabUniformes[[#This Row],[Valor Inicial]]*IFERROR(PRODUCT(1+_xlfn._xlws.FILTER(tabIndices[PERCENTUAL],tabIndices[DATA DA PUBLICAÇÃO]&gt;tabUniformes[[#This Row],[DATA PUBLICAÇÃO]])),1)</f>
        <v>91.24</v>
      </c>
      <c r="F367" s="172">
        <v>2</v>
      </c>
      <c r="G367" s="172" t="s">
        <v>61</v>
      </c>
      <c r="H367" s="172">
        <v>13</v>
      </c>
      <c r="I367" s="173">
        <f>tabUniformes[[#This Row],[Valor Reajustado]]*tabUniformes[[#This Row],[Qtde Anual de Peças]]*tabUniformes[[#This Row],[Qtde. funcionários]]</f>
        <v>2372.2399999999998</v>
      </c>
      <c r="J367" s="172">
        <f>tabUniformes[[#This Row],[Qtde Anual de Peças]]*tabUniformes[[#This Row],[Qtde. funcionários]]</f>
        <v>26</v>
      </c>
      <c r="K367" s="170">
        <f>IFERROR(tabUniformes[[#This Row],[Total]]/12/tabUniformes[[#This Row],[Qtde. funcionários]],0)</f>
        <v>15.206666666666665</v>
      </c>
    </row>
    <row r="368" spans="1:11">
      <c r="A368" s="169" t="s">
        <v>13</v>
      </c>
      <c r="B368" s="278" t="s">
        <v>1791</v>
      </c>
      <c r="C368" s="171"/>
      <c r="D368" s="311">
        <v>99</v>
      </c>
      <c r="E368" s="170" cm="1">
        <f t="array" ref="E368">tabUniformes[[#This Row],[Valor Inicial]]*IFERROR(PRODUCT(1+_xlfn._xlws.FILTER(tabIndices[PERCENTUAL],tabIndices[DATA DA PUBLICAÇÃO]&gt;tabUniformes[[#This Row],[DATA PUBLICAÇÃO]])),1)</f>
        <v>99</v>
      </c>
      <c r="F368" s="172">
        <v>10</v>
      </c>
      <c r="G368" s="172" t="s">
        <v>61</v>
      </c>
      <c r="H368" s="172">
        <v>13</v>
      </c>
      <c r="I368" s="173">
        <v>6255.790950907448</v>
      </c>
      <c r="J368" s="172">
        <v>130</v>
      </c>
      <c r="K368" s="170">
        <v>40.101224044278517</v>
      </c>
    </row>
    <row r="369" spans="1:11">
      <c r="A369" s="169" t="s">
        <v>10</v>
      </c>
      <c r="B369" s="278" t="s">
        <v>27</v>
      </c>
      <c r="C369" s="171"/>
      <c r="D369" s="311">
        <v>221.5</v>
      </c>
      <c r="E369" s="170" cm="1">
        <f t="array" ref="E369">tabUniformes[[#This Row],[Valor Inicial]]*IFERROR(PRODUCT(1+_xlfn._xlws.FILTER(tabIndices[PERCENTUAL],tabIndices[DATA DA PUBLICAÇÃO]&gt;tabUniformes[[#This Row],[DATA PUBLICAÇÃO]])),1)</f>
        <v>221.5</v>
      </c>
      <c r="F369" s="172">
        <v>1</v>
      </c>
      <c r="G369" s="172" t="s">
        <v>61</v>
      </c>
      <c r="H369" s="172">
        <v>13</v>
      </c>
      <c r="I369" s="173">
        <v>1016.5660295224602</v>
      </c>
      <c r="J369" s="172">
        <v>13</v>
      </c>
      <c r="K369" s="170">
        <v>6.516448907195258</v>
      </c>
    </row>
    <row r="370" spans="1:11">
      <c r="A370" s="169" t="s">
        <v>11</v>
      </c>
      <c r="B370" s="278" t="s">
        <v>28</v>
      </c>
      <c r="C370" s="171"/>
      <c r="D370" s="311">
        <v>105</v>
      </c>
      <c r="E370" s="170" cm="1">
        <f t="array" ref="E370">tabUniformes[[#This Row],[Valor Inicial]]*IFERROR(PRODUCT(1+_xlfn._xlws.FILTER(tabIndices[PERCENTUAL],tabIndices[DATA DA PUBLICAÇÃO]&gt;tabUniformes[[#This Row],[DATA PUBLICAÇÃO]])),1)</f>
        <v>105</v>
      </c>
      <c r="F370" s="172">
        <v>4</v>
      </c>
      <c r="G370" s="172" t="s">
        <v>61</v>
      </c>
      <c r="H370" s="172">
        <v>13</v>
      </c>
      <c r="I370" s="173">
        <v>2189.5268328176066</v>
      </c>
      <c r="J370" s="172">
        <v>52</v>
      </c>
      <c r="K370" s="170">
        <v>14.035428415497478</v>
      </c>
    </row>
    <row r="371" spans="1:11">
      <c r="A371" s="169" t="s">
        <v>17</v>
      </c>
      <c r="B371" s="278" t="s">
        <v>1789</v>
      </c>
      <c r="C371" s="171"/>
      <c r="D371" s="311">
        <v>221.63</v>
      </c>
      <c r="E371" s="170" cm="1">
        <f t="array" ref="E371">tabUniformes[[#This Row],[Valor Inicial]]*IFERROR(PRODUCT(1+_xlfn._xlws.FILTER(tabIndices[PERCENTUAL],tabIndices[DATA DA PUBLICAÇÃO]&gt;tabUniformes[[#This Row],[DATA PUBLICAÇÃO]])),1)</f>
        <v>221.63</v>
      </c>
      <c r="F371" s="172">
        <v>2</v>
      </c>
      <c r="G371" s="172" t="s">
        <v>61</v>
      </c>
      <c r="H371" s="172">
        <v>13</v>
      </c>
      <c r="I371" s="173">
        <v>1876.7372852722342</v>
      </c>
      <c r="J371" s="172">
        <v>26</v>
      </c>
      <c r="K371" s="170">
        <v>12.030367213283553</v>
      </c>
    </row>
    <row r="372" spans="1:11">
      <c r="A372" s="169" t="s">
        <v>16</v>
      </c>
      <c r="B372" s="278" t="s">
        <v>36</v>
      </c>
      <c r="C372" s="171"/>
      <c r="D372" s="311">
        <v>40.36</v>
      </c>
      <c r="E372" s="170" cm="1">
        <f t="array" ref="E372">tabUniformes[[#This Row],[Valor Inicial]]*IFERROR(PRODUCT(1+_xlfn._xlws.FILTER(tabIndices[PERCENTUAL],tabIndices[DATA DA PUBLICAÇÃO]&gt;tabUniformes[[#This Row],[DATA PUBLICAÇÃO]])),1)</f>
        <v>40.36</v>
      </c>
      <c r="F372" s="172">
        <v>2</v>
      </c>
      <c r="G372" s="172" t="s">
        <v>61</v>
      </c>
      <c r="H372" s="172">
        <v>13</v>
      </c>
      <c r="I372" s="173">
        <v>656.85804984528204</v>
      </c>
      <c r="J372" s="172">
        <v>26</v>
      </c>
      <c r="K372" s="170">
        <v>4.2106285246492439</v>
      </c>
    </row>
    <row r="373" spans="1:11">
      <c r="A373" s="169" t="s">
        <v>17</v>
      </c>
      <c r="B373" s="278" t="s">
        <v>1808</v>
      </c>
      <c r="C373" s="171"/>
      <c r="D373" s="311">
        <v>280.04000000000002</v>
      </c>
      <c r="E373" s="170" cm="1">
        <f t="array" ref="E373">tabUniformes[[#This Row],[Valor Inicial]]*IFERROR(PRODUCT(1+_xlfn._xlws.FILTER(tabIndices[PERCENTUAL],tabIndices[DATA DA PUBLICAÇÃO]&gt;tabUniformes[[#This Row],[DATA PUBLICAÇÃO]])),1)</f>
        <v>280.04000000000002</v>
      </c>
      <c r="F373" s="172">
        <v>2</v>
      </c>
      <c r="G373" s="172" t="s">
        <v>62</v>
      </c>
      <c r="H373" s="172">
        <v>3</v>
      </c>
      <c r="I373" s="173">
        <f>tabUniformes[[#This Row],[Valor Reajustado]]*tabUniformes[[#This Row],[Qtde Anual de Peças]]*tabUniformes[[#This Row],[Qtde. funcionários]]</f>
        <v>1680.2400000000002</v>
      </c>
      <c r="J373" s="172">
        <f>tabUniformes[[#This Row],[Qtde Anual de Peças]]*tabUniformes[[#This Row],[Qtde. funcionários]]</f>
        <v>6</v>
      </c>
      <c r="K373" s="170">
        <f>IFERROR(tabUniformes[[#This Row],[Total]]/12/tabUniformes[[#This Row],[Qtde. funcionários]],0)</f>
        <v>46.673333333333339</v>
      </c>
    </row>
    <row r="374" spans="1:11">
      <c r="A374" s="169" t="s">
        <v>11</v>
      </c>
      <c r="B374" s="278" t="s">
        <v>30</v>
      </c>
      <c r="C374" s="171"/>
      <c r="D374" s="311">
        <v>94.82</v>
      </c>
      <c r="E374" s="170" cm="1">
        <f t="array" ref="E374">tabUniformes[[#This Row],[Valor Inicial]]*IFERROR(PRODUCT(1+_xlfn._xlws.FILTER(tabIndices[PERCENTUAL],tabIndices[DATA DA PUBLICAÇÃO]&gt;tabUniformes[[#This Row],[DATA PUBLICAÇÃO]])),1)</f>
        <v>94.82</v>
      </c>
      <c r="F374" s="172">
        <v>4</v>
      </c>
      <c r="G374" s="172" t="s">
        <v>62</v>
      </c>
      <c r="H374" s="172">
        <v>3</v>
      </c>
      <c r="I374" s="173">
        <v>649.63982951731191</v>
      </c>
      <c r="J374" s="172">
        <v>12</v>
      </c>
      <c r="K374" s="170">
        <v>18.045550819925332</v>
      </c>
    </row>
    <row r="375" spans="1:11">
      <c r="A375" s="169" t="s">
        <v>14</v>
      </c>
      <c r="B375" s="278" t="s">
        <v>25</v>
      </c>
      <c r="C375" s="171"/>
      <c r="D375" s="311">
        <v>95.13</v>
      </c>
      <c r="E375" s="170" cm="1">
        <f t="array" ref="E375">tabUniformes[[#This Row],[Valor Inicial]]*IFERROR(PRODUCT(1+_xlfn._xlws.FILTER(tabIndices[PERCENTUAL],tabIndices[DATA DA PUBLICAÇÃO]&gt;tabUniformes[[#This Row],[DATA PUBLICAÇÃO]])),1)</f>
        <v>95.13</v>
      </c>
      <c r="F375" s="172">
        <v>1</v>
      </c>
      <c r="G375" s="172" t="s">
        <v>62</v>
      </c>
      <c r="H375" s="172">
        <v>3</v>
      </c>
      <c r="I375" s="173">
        <v>180.4555081992533</v>
      </c>
      <c r="J375" s="172">
        <v>3</v>
      </c>
      <c r="K375" s="170">
        <v>5.0126530055348137</v>
      </c>
    </row>
    <row r="376" spans="1:11">
      <c r="A376" s="169" t="s">
        <v>12</v>
      </c>
      <c r="B376" s="278" t="s">
        <v>32</v>
      </c>
      <c r="C376" s="171"/>
      <c r="D376" s="311">
        <v>69.83</v>
      </c>
      <c r="E376" s="170" cm="1">
        <f t="array" ref="E376">tabUniformes[[#This Row],[Valor Inicial]]*IFERROR(PRODUCT(1+_xlfn._xlws.FILTER(tabIndices[PERCENTUAL],tabIndices[DATA DA PUBLICAÇÃO]&gt;tabUniformes[[#This Row],[DATA PUBLICAÇÃO]])),1)</f>
        <v>69.83</v>
      </c>
      <c r="F376" s="172">
        <v>6</v>
      </c>
      <c r="G376" s="172" t="s">
        <v>62</v>
      </c>
      <c r="H376" s="172">
        <v>3</v>
      </c>
      <c r="I376" s="173">
        <v>757.91313443686386</v>
      </c>
      <c r="J376" s="172">
        <v>18</v>
      </c>
      <c r="K376" s="170">
        <v>21.05314262324622</v>
      </c>
    </row>
    <row r="377" spans="1:11">
      <c r="A377" s="169" t="s">
        <v>17</v>
      </c>
      <c r="B377" s="278" t="s">
        <v>1852</v>
      </c>
      <c r="C377" s="171"/>
      <c r="D377" s="311">
        <v>320.94</v>
      </c>
      <c r="E377" s="170" cm="1">
        <f t="array" ref="E377">tabUniformes[[#This Row],[Valor Inicial]]*IFERROR(PRODUCT(1+_xlfn._xlws.FILTER(tabIndices[PERCENTUAL],tabIndices[DATA DA PUBLICAÇÃO]&gt;tabUniformes[[#This Row],[DATA PUBLICAÇÃO]])),1)</f>
        <v>320.94</v>
      </c>
      <c r="F377" s="172">
        <v>2</v>
      </c>
      <c r="G377" s="172" t="s">
        <v>1397</v>
      </c>
      <c r="H377" s="172">
        <v>17</v>
      </c>
      <c r="I377" s="173">
        <f>tabUniformes[[#This Row],[Valor Reajustado]]*tabUniformes[[#This Row],[Qtde Anual de Peças]]*tabUniformes[[#This Row],[Qtde. funcionários]]</f>
        <v>10911.96</v>
      </c>
      <c r="J377" s="172">
        <f>tabUniformes[[#This Row],[Qtde Anual de Peças]]*tabUniformes[[#This Row],[Qtde. funcionários]]</f>
        <v>34</v>
      </c>
      <c r="K377" s="170">
        <f>IFERROR(tabUniformes[[#This Row],[Total]]/12/tabUniformes[[#This Row],[Qtde. funcionários]],0)</f>
        <v>53.489999999999995</v>
      </c>
    </row>
    <row r="378" spans="1:11">
      <c r="A378" s="169" t="s">
        <v>13</v>
      </c>
      <c r="B378" s="278" t="s">
        <v>1791</v>
      </c>
      <c r="C378" s="171"/>
      <c r="D378" s="311">
        <v>99</v>
      </c>
      <c r="E378" s="170" cm="1">
        <f t="array" ref="E378">tabUniformes[[#This Row],[Valor Inicial]]*IFERROR(PRODUCT(1+_xlfn._xlws.FILTER(tabIndices[PERCENTUAL],tabIndices[DATA DA PUBLICAÇÃO]&gt;tabUniformes[[#This Row],[DATA PUBLICAÇÃO]])),1)</f>
        <v>99</v>
      </c>
      <c r="F378" s="172">
        <v>1</v>
      </c>
      <c r="G378" s="172" t="s">
        <v>1397</v>
      </c>
      <c r="H378" s="172">
        <v>17</v>
      </c>
      <c r="I378" s="173">
        <f>tabUniformes[[#This Row],[Valor Reajustado]]*tabUniformes[[#This Row],[Qtde Anual de Peças]]*tabUniformes[[#This Row],[Qtde. funcionários]]</f>
        <v>1683</v>
      </c>
      <c r="J378" s="172">
        <f>tabUniformes[[#This Row],[Qtde Anual de Peças]]*tabUniformes[[#This Row],[Qtde. funcionários]]</f>
        <v>17</v>
      </c>
      <c r="K378" s="170">
        <f>IFERROR(tabUniformes[[#This Row],[Total]]/12/tabUniformes[[#This Row],[Qtde. funcionários]],0)</f>
        <v>8.25</v>
      </c>
    </row>
    <row r="379" spans="1:11">
      <c r="A379" s="169" t="s">
        <v>11</v>
      </c>
      <c r="B379" s="278" t="s">
        <v>30</v>
      </c>
      <c r="C379" s="171"/>
      <c r="D379" s="311">
        <v>94.82</v>
      </c>
      <c r="E379" s="170" cm="1">
        <f t="array" ref="E379">tabUniformes[[#This Row],[Valor Inicial]]*IFERROR(PRODUCT(1+_xlfn._xlws.FILTER(tabIndices[PERCENTUAL],tabIndices[DATA DA PUBLICAÇÃO]&gt;tabUniformes[[#This Row],[DATA PUBLICAÇÃO]])),1)</f>
        <v>94.82</v>
      </c>
      <c r="F379" s="172">
        <v>4</v>
      </c>
      <c r="G379" s="172" t="s">
        <v>1397</v>
      </c>
      <c r="H379" s="172">
        <v>17</v>
      </c>
      <c r="I379" s="173">
        <v>3681.2923672647671</v>
      </c>
      <c r="J379" s="172">
        <v>68</v>
      </c>
      <c r="K379" s="170">
        <v>18.045550819925328</v>
      </c>
    </row>
    <row r="380" spans="1:11">
      <c r="A380" s="169" t="s">
        <v>14</v>
      </c>
      <c r="B380" s="278" t="s">
        <v>25</v>
      </c>
      <c r="C380" s="171"/>
      <c r="D380" s="311">
        <v>95.13</v>
      </c>
      <c r="E380" s="170" cm="1">
        <f t="array" ref="E380">tabUniformes[[#This Row],[Valor Inicial]]*IFERROR(PRODUCT(1+_xlfn._xlws.FILTER(tabIndices[PERCENTUAL],tabIndices[DATA DA PUBLICAÇÃO]&gt;tabUniformes[[#This Row],[DATA PUBLICAÇÃO]])),1)</f>
        <v>95.13</v>
      </c>
      <c r="F380" s="172">
        <v>1</v>
      </c>
      <c r="G380" s="172" t="s">
        <v>1397</v>
      </c>
      <c r="H380" s="172">
        <v>17</v>
      </c>
      <c r="I380" s="173">
        <v>1022.581213129102</v>
      </c>
      <c r="J380" s="172">
        <v>17</v>
      </c>
      <c r="K380" s="170">
        <v>5.0126530055348137</v>
      </c>
    </row>
    <row r="381" spans="1:11">
      <c r="A381" s="169" t="s">
        <v>11</v>
      </c>
      <c r="B381" s="278" t="s">
        <v>28</v>
      </c>
      <c r="C381" s="171"/>
      <c r="D381" s="311">
        <v>105</v>
      </c>
      <c r="E381" s="170" cm="1">
        <f t="array" ref="E381">tabUniformes[[#This Row],[Valor Inicial]]*IFERROR(PRODUCT(1+_xlfn._xlws.FILTER(tabIndices[PERCENTUAL],tabIndices[DATA DA PUBLICAÇÃO]&gt;tabUniformes[[#This Row],[DATA PUBLICAÇÃO]])),1)</f>
        <v>105</v>
      </c>
      <c r="F381" s="172">
        <v>1</v>
      </c>
      <c r="G381" s="172" t="s">
        <v>1397</v>
      </c>
      <c r="H381" s="172">
        <v>17</v>
      </c>
      <c r="I381" s="173">
        <f>tabUniformes[[#This Row],[Valor Reajustado]]*tabUniformes[[#This Row],[Qtde Anual de Peças]]*tabUniformes[[#This Row],[Qtde. funcionários]]</f>
        <v>1785</v>
      </c>
      <c r="J381" s="172">
        <f>tabUniformes[[#This Row],[Qtde Anual de Peças]]*tabUniformes[[#This Row],[Qtde. funcionários]]</f>
        <v>17</v>
      </c>
      <c r="K381" s="170">
        <f>IFERROR(tabUniformes[[#This Row],[Total]]/12/tabUniformes[[#This Row],[Qtde. funcionários]],0)</f>
        <v>8.75</v>
      </c>
    </row>
    <row r="382" spans="1:11">
      <c r="A382" s="169" t="s">
        <v>12</v>
      </c>
      <c r="B382" s="278" t="s">
        <v>32</v>
      </c>
      <c r="C382" s="171"/>
      <c r="D382" s="311">
        <v>69.83</v>
      </c>
      <c r="E382" s="170" cm="1">
        <f t="array" ref="E382">tabUniformes[[#This Row],[Valor Inicial]]*IFERROR(PRODUCT(1+_xlfn._xlws.FILTER(tabIndices[PERCENTUAL],tabIndices[DATA DA PUBLICAÇÃO]&gt;tabUniformes[[#This Row],[DATA PUBLICAÇÃO]])),1)</f>
        <v>69.83</v>
      </c>
      <c r="F382" s="172">
        <v>6</v>
      </c>
      <c r="G382" s="172" t="s">
        <v>1397</v>
      </c>
      <c r="H382" s="172">
        <v>17</v>
      </c>
      <c r="I382" s="173">
        <v>4294.8410951422284</v>
      </c>
      <c r="J382" s="172">
        <v>102</v>
      </c>
      <c r="K382" s="170">
        <v>21.053142623246217</v>
      </c>
    </row>
    <row r="383" spans="1:11">
      <c r="A383" s="169" t="s">
        <v>17</v>
      </c>
      <c r="B383" s="278" t="s">
        <v>1789</v>
      </c>
      <c r="C383" s="171"/>
      <c r="D383" s="311">
        <v>221.63</v>
      </c>
      <c r="E383" s="170" cm="1">
        <f t="array" ref="E383">tabUniformes[[#This Row],[Valor Inicial]]*IFERROR(PRODUCT(1+_xlfn._xlws.FILTER(tabIndices[PERCENTUAL],tabIndices[DATA DA PUBLICAÇÃO]&gt;tabUniformes[[#This Row],[DATA PUBLICAÇÃO]])),1)</f>
        <v>221.63</v>
      </c>
      <c r="F383" s="172">
        <v>1</v>
      </c>
      <c r="G383" s="172" t="s">
        <v>1397</v>
      </c>
      <c r="H383" s="172">
        <v>17</v>
      </c>
      <c r="I383" s="173">
        <v>1227.0974557549223</v>
      </c>
      <c r="J383" s="172">
        <v>17</v>
      </c>
      <c r="K383" s="170">
        <v>6.0151836066417763</v>
      </c>
    </row>
    <row r="384" spans="1:11">
      <c r="A384" s="169" t="s">
        <v>18</v>
      </c>
      <c r="B384" s="278" t="s">
        <v>1813</v>
      </c>
      <c r="C384" s="171"/>
      <c r="D384" s="311">
        <v>90.53</v>
      </c>
      <c r="E384" s="170" cm="1">
        <f t="array" ref="E384">tabUniformes[[#This Row],[Valor Inicial]]*IFERROR(PRODUCT(1+_xlfn._xlws.FILTER(tabIndices[PERCENTUAL],tabIndices[DATA DA PUBLICAÇÃO]&gt;tabUniformes[[#This Row],[DATA PUBLICAÇÃO]])),1)</f>
        <v>90.53</v>
      </c>
      <c r="F384" s="172">
        <v>1</v>
      </c>
      <c r="G384" s="172" t="s">
        <v>63</v>
      </c>
      <c r="H384" s="172">
        <v>6</v>
      </c>
      <c r="I384" s="173">
        <f>tabUniformes[[#This Row],[Valor Reajustado]]*tabUniformes[[#This Row],[Qtde Anual de Peças]]*tabUniformes[[#This Row],[Qtde. funcionários]]</f>
        <v>543.18000000000006</v>
      </c>
      <c r="J384" s="172">
        <f>tabUniformes[[#This Row],[Qtde Anual de Peças]]*tabUniformes[[#This Row],[Qtde. funcionários]]</f>
        <v>6</v>
      </c>
      <c r="K384" s="170">
        <f>IFERROR(tabUniformes[[#This Row],[Total]]/12/tabUniformes[[#This Row],[Qtde. funcionários]],0)</f>
        <v>7.5441666666666682</v>
      </c>
    </row>
    <row r="385" spans="1:11">
      <c r="A385" s="169" t="s">
        <v>17</v>
      </c>
      <c r="B385" s="278" t="s">
        <v>1814</v>
      </c>
      <c r="C385" s="171"/>
      <c r="D385" s="311">
        <v>49.99</v>
      </c>
      <c r="E385" s="170" cm="1">
        <f t="array" ref="E385">tabUniformes[[#This Row],[Valor Inicial]]*IFERROR(PRODUCT(1+_xlfn._xlws.FILTER(tabIndices[PERCENTUAL],tabIndices[DATA DA PUBLICAÇÃO]&gt;tabUniformes[[#This Row],[DATA PUBLICAÇÃO]])),1)</f>
        <v>49.99</v>
      </c>
      <c r="F385" s="172">
        <v>1</v>
      </c>
      <c r="G385" s="172" t="s">
        <v>63</v>
      </c>
      <c r="H385" s="172">
        <v>6</v>
      </c>
      <c r="I385" s="173">
        <f>tabUniformes[[#This Row],[Valor Reajustado]]*tabUniformes[[#This Row],[Qtde Anual de Peças]]*tabUniformes[[#This Row],[Qtde. funcionários]]</f>
        <v>299.94</v>
      </c>
      <c r="J385" s="172">
        <f>tabUniformes[[#This Row],[Qtde Anual de Peças]]*tabUniformes[[#This Row],[Qtde. funcionários]]</f>
        <v>6</v>
      </c>
      <c r="K385" s="170">
        <f>IFERROR(tabUniformes[[#This Row],[Total]]/12/tabUniformes[[#This Row],[Qtde. funcionários]],0)</f>
        <v>4.1658333333333335</v>
      </c>
    </row>
    <row r="386" spans="1:11">
      <c r="A386" s="169" t="s">
        <v>17</v>
      </c>
      <c r="B386" s="278" t="s">
        <v>1808</v>
      </c>
      <c r="C386" s="171"/>
      <c r="D386" s="311">
        <v>280.04000000000002</v>
      </c>
      <c r="E386" s="170" cm="1">
        <f t="array" ref="E386">tabUniformes[[#This Row],[Valor Inicial]]*IFERROR(PRODUCT(1+_xlfn._xlws.FILTER(tabIndices[PERCENTUAL],tabIndices[DATA DA PUBLICAÇÃO]&gt;tabUniformes[[#This Row],[DATA PUBLICAÇÃO]])),1)</f>
        <v>280.04000000000002</v>
      </c>
      <c r="F386" s="172">
        <v>2</v>
      </c>
      <c r="G386" s="172" t="s">
        <v>63</v>
      </c>
      <c r="H386" s="172">
        <v>6</v>
      </c>
      <c r="I386" s="173">
        <f>tabUniformes[[#This Row],[Valor Reajustado]]*tabUniformes[[#This Row],[Qtde Anual de Peças]]*tabUniformes[[#This Row],[Qtde. funcionários]]</f>
        <v>3360.4800000000005</v>
      </c>
      <c r="J386" s="172">
        <f>tabUniformes[[#This Row],[Qtde Anual de Peças]]*tabUniformes[[#This Row],[Qtde. funcionários]]</f>
        <v>12</v>
      </c>
      <c r="K386" s="170">
        <f>IFERROR(tabUniformes[[#This Row],[Total]]/12/tabUniformes[[#This Row],[Qtde. funcionários]],0)</f>
        <v>46.673333333333339</v>
      </c>
    </row>
    <row r="387" spans="1:11">
      <c r="A387" s="169" t="s">
        <v>1860</v>
      </c>
      <c r="B387" s="278" t="s">
        <v>1817</v>
      </c>
      <c r="C387" s="171"/>
      <c r="D387" s="311">
        <v>22.2</v>
      </c>
      <c r="E387" s="170" cm="1">
        <f t="array" ref="E387">tabUniformes[[#This Row],[Valor Inicial]]*IFERROR(PRODUCT(1+_xlfn._xlws.FILTER(tabIndices[PERCENTUAL],tabIndices[DATA DA PUBLICAÇÃO]&gt;tabUniformes[[#This Row],[DATA PUBLICAÇÃO]])),1)</f>
        <v>22.2</v>
      </c>
      <c r="F387" s="172">
        <v>1</v>
      </c>
      <c r="G387" s="172" t="s">
        <v>63</v>
      </c>
      <c r="H387" s="172">
        <v>6</v>
      </c>
      <c r="I387" s="173">
        <f>tabUniformes[[#This Row],[Valor Reajustado]]*tabUniformes[[#This Row],[Qtde Anual de Peças]]*tabUniformes[[#This Row],[Qtde. funcionários]]</f>
        <v>133.19999999999999</v>
      </c>
      <c r="J387" s="172">
        <f>tabUniformes[[#This Row],[Qtde Anual de Peças]]*tabUniformes[[#This Row],[Qtde. funcionários]]</f>
        <v>6</v>
      </c>
      <c r="K387" s="170">
        <f>IFERROR(tabUniformes[[#This Row],[Total]]/12/tabUniformes[[#This Row],[Qtde. funcionários]],0)</f>
        <v>1.8499999999999999</v>
      </c>
    </row>
    <row r="388" spans="1:11">
      <c r="A388" s="169" t="s">
        <v>1861</v>
      </c>
      <c r="B388" s="278" t="s">
        <v>1818</v>
      </c>
      <c r="C388" s="171"/>
      <c r="D388" s="311">
        <v>64.2</v>
      </c>
      <c r="E388" s="170" cm="1">
        <f t="array" ref="E388">tabUniformes[[#This Row],[Valor Inicial]]*IFERROR(PRODUCT(1+_xlfn._xlws.FILTER(tabIndices[PERCENTUAL],tabIndices[DATA DA PUBLICAÇÃO]&gt;tabUniformes[[#This Row],[DATA PUBLICAÇÃO]])),1)</f>
        <v>64.2</v>
      </c>
      <c r="F388" s="172">
        <v>1</v>
      </c>
      <c r="G388" s="172" t="s">
        <v>63</v>
      </c>
      <c r="H388" s="172">
        <v>6</v>
      </c>
      <c r="I388" s="173">
        <f>tabUniformes[[#This Row],[Valor Reajustado]]*tabUniformes[[#This Row],[Qtde Anual de Peças]]*tabUniformes[[#This Row],[Qtde. funcionários]]</f>
        <v>385.20000000000005</v>
      </c>
      <c r="J388" s="172">
        <f>tabUniformes[[#This Row],[Qtde Anual de Peças]]*tabUniformes[[#This Row],[Qtde. funcionários]]</f>
        <v>6</v>
      </c>
      <c r="K388" s="170">
        <f>IFERROR(tabUniformes[[#This Row],[Total]]/12/tabUniformes[[#This Row],[Qtde. funcionários]],0)</f>
        <v>5.3500000000000005</v>
      </c>
    </row>
    <row r="389" spans="1:11">
      <c r="A389" s="169" t="s">
        <v>1859</v>
      </c>
      <c r="B389" s="278" t="s">
        <v>1819</v>
      </c>
      <c r="C389" s="171"/>
      <c r="D389" s="311">
        <v>351.15</v>
      </c>
      <c r="E389" s="170" cm="1">
        <f t="array" ref="E389">tabUniformes[[#This Row],[Valor Inicial]]*IFERROR(PRODUCT(1+_xlfn._xlws.FILTER(tabIndices[PERCENTUAL],tabIndices[DATA DA PUBLICAÇÃO]&gt;tabUniformes[[#This Row],[DATA PUBLICAÇÃO]])),1)</f>
        <v>351.15</v>
      </c>
      <c r="F389" s="172">
        <v>1</v>
      </c>
      <c r="G389" s="172" t="s">
        <v>63</v>
      </c>
      <c r="H389" s="172">
        <v>6</v>
      </c>
      <c r="I389" s="173">
        <f>tabUniformes[[#This Row],[Valor Reajustado]]*tabUniformes[[#This Row],[Qtde Anual de Peças]]*tabUniformes[[#This Row],[Qtde. funcionários]]</f>
        <v>2106.8999999999996</v>
      </c>
      <c r="J389" s="172">
        <f>tabUniformes[[#This Row],[Qtde Anual de Peças]]*tabUniformes[[#This Row],[Qtde. funcionários]]</f>
        <v>6</v>
      </c>
      <c r="K389" s="170">
        <f>IFERROR(tabUniformes[[#This Row],[Total]]/12/tabUniformes[[#This Row],[Qtde. funcionários]],0)</f>
        <v>29.262499999999992</v>
      </c>
    </row>
    <row r="390" spans="1:11">
      <c r="A390" s="169" t="s">
        <v>1855</v>
      </c>
      <c r="B390" s="278" t="s">
        <v>1820</v>
      </c>
      <c r="C390" s="171"/>
      <c r="D390" s="311">
        <v>9.6999999999999993</v>
      </c>
      <c r="E390" s="170" cm="1">
        <f t="array" ref="E390">tabUniformes[[#This Row],[Valor Inicial]]*IFERROR(PRODUCT(1+_xlfn._xlws.FILTER(tabIndices[PERCENTUAL],tabIndices[DATA DA PUBLICAÇÃO]&gt;tabUniformes[[#This Row],[DATA PUBLICAÇÃO]])),1)</f>
        <v>9.6999999999999993</v>
      </c>
      <c r="F390" s="172">
        <v>12</v>
      </c>
      <c r="G390" s="172" t="s">
        <v>63</v>
      </c>
      <c r="H390" s="172">
        <v>6</v>
      </c>
      <c r="I390" s="173">
        <f>tabUniformes[[#This Row],[Valor Reajustado]]*tabUniformes[[#This Row],[Qtde Anual de Peças]]*tabUniformes[[#This Row],[Qtde. funcionários]]</f>
        <v>698.4</v>
      </c>
      <c r="J390" s="172">
        <f>tabUniformes[[#This Row],[Qtde Anual de Peças]]*tabUniformes[[#This Row],[Qtde. funcionários]]</f>
        <v>72</v>
      </c>
      <c r="K390" s="170">
        <f>IFERROR(tabUniformes[[#This Row],[Total]]/12/tabUniformes[[#This Row],[Qtde. funcionários]],0)</f>
        <v>9.6999999999999993</v>
      </c>
    </row>
    <row r="391" spans="1:11">
      <c r="A391" s="169" t="s">
        <v>11</v>
      </c>
      <c r="B391" s="278" t="s">
        <v>30</v>
      </c>
      <c r="C391" s="171"/>
      <c r="D391" s="311">
        <v>94.82</v>
      </c>
      <c r="E391" s="170" cm="1">
        <f t="array" ref="E391">tabUniformes[[#This Row],[Valor Inicial]]*IFERROR(PRODUCT(1+_xlfn._xlws.FILTER(tabIndices[PERCENTUAL],tabIndices[DATA DA PUBLICAÇÃO]&gt;tabUniformes[[#This Row],[DATA PUBLICAÇÃO]])),1)</f>
        <v>94.82</v>
      </c>
      <c r="F391" s="172">
        <v>4</v>
      </c>
      <c r="G391" s="172" t="s">
        <v>63</v>
      </c>
      <c r="H391" s="172">
        <v>6</v>
      </c>
      <c r="I391" s="173">
        <v>866.1864393564158</v>
      </c>
      <c r="J391" s="172">
        <v>16</v>
      </c>
      <c r="K391" s="170">
        <v>18.045550819925328</v>
      </c>
    </row>
    <row r="392" spans="1:11">
      <c r="A392" s="169" t="s">
        <v>1807</v>
      </c>
      <c r="B392" s="278" t="s">
        <v>1822</v>
      </c>
      <c r="C392" s="171"/>
      <c r="D392" s="311">
        <v>20.170000000000002</v>
      </c>
      <c r="E392" s="170" cm="1">
        <f t="array" ref="E392">tabUniformes[[#This Row],[Valor Inicial]]*IFERROR(PRODUCT(1+_xlfn._xlws.FILTER(tabIndices[PERCENTUAL],tabIndices[DATA DA PUBLICAÇÃO]&gt;tabUniformes[[#This Row],[DATA PUBLICAÇÃO]])),1)</f>
        <v>20.170000000000002</v>
      </c>
      <c r="F392" s="172">
        <v>4</v>
      </c>
      <c r="G392" s="172" t="s">
        <v>63</v>
      </c>
      <c r="H392" s="172">
        <v>6</v>
      </c>
      <c r="I392" s="173">
        <f>tabUniformes[[#This Row],[Valor Reajustado]]*tabUniformes[[#This Row],[Qtde Anual de Peças]]*tabUniformes[[#This Row],[Qtde. funcionários]]</f>
        <v>484.08000000000004</v>
      </c>
      <c r="J392" s="172">
        <f>tabUniformes[[#This Row],[Qtde Anual de Peças]]*tabUniformes[[#This Row],[Qtde. funcionários]]</f>
        <v>24</v>
      </c>
      <c r="K392" s="170">
        <f>IFERROR(tabUniformes[[#This Row],[Total]]/12/tabUniformes[[#This Row],[Qtde. funcionários]],0)</f>
        <v>6.7233333333333336</v>
      </c>
    </row>
    <row r="393" spans="1:11">
      <c r="A393" s="169" t="s">
        <v>1807</v>
      </c>
      <c r="B393" s="278" t="s">
        <v>1824</v>
      </c>
      <c r="C393" s="171"/>
      <c r="D393" s="311">
        <v>7.27</v>
      </c>
      <c r="E393" s="170" cm="1">
        <f t="array" ref="E393">tabUniformes[[#This Row],[Valor Inicial]]*IFERROR(PRODUCT(1+_xlfn._xlws.FILTER(tabIndices[PERCENTUAL],tabIndices[DATA DA PUBLICAÇÃO]&gt;tabUniformes[[#This Row],[DATA PUBLICAÇÃO]])),1)</f>
        <v>7.27</v>
      </c>
      <c r="F393" s="172">
        <v>2</v>
      </c>
      <c r="G393" s="172" t="s">
        <v>63</v>
      </c>
      <c r="H393" s="172">
        <v>6</v>
      </c>
      <c r="I393" s="173">
        <f>tabUniformes[[#This Row],[Valor Reajustado]]*tabUniformes[[#This Row],[Qtde Anual de Peças]]*tabUniformes[[#This Row],[Qtde. funcionários]]</f>
        <v>87.24</v>
      </c>
      <c r="J393" s="172">
        <f>tabUniformes[[#This Row],[Qtde Anual de Peças]]*tabUniformes[[#This Row],[Qtde. funcionários]]</f>
        <v>12</v>
      </c>
      <c r="K393" s="170">
        <f>IFERROR(tabUniformes[[#This Row],[Total]]/12/tabUniformes[[#This Row],[Qtde. funcionários]],0)</f>
        <v>1.2116666666666667</v>
      </c>
    </row>
    <row r="394" spans="1:11">
      <c r="A394" s="169" t="s">
        <v>1807</v>
      </c>
      <c r="B394" s="278" t="s">
        <v>1825</v>
      </c>
      <c r="C394" s="171"/>
      <c r="D394" s="311">
        <v>6.12</v>
      </c>
      <c r="E394" s="170" cm="1">
        <f t="array" ref="E394">tabUniformes[[#This Row],[Valor Inicial]]*IFERROR(PRODUCT(1+_xlfn._xlws.FILTER(tabIndices[PERCENTUAL],tabIndices[DATA DA PUBLICAÇÃO]&gt;tabUniformes[[#This Row],[DATA PUBLICAÇÃO]])),1)</f>
        <v>6.12</v>
      </c>
      <c r="F394" s="172">
        <v>6</v>
      </c>
      <c r="G394" s="172" t="s">
        <v>63</v>
      </c>
      <c r="H394" s="172">
        <v>6</v>
      </c>
      <c r="I394" s="173">
        <f>tabUniformes[[#This Row],[Valor Reajustado]]*tabUniformes[[#This Row],[Qtde Anual de Peças]]*tabUniformes[[#This Row],[Qtde. funcionários]]</f>
        <v>220.32</v>
      </c>
      <c r="J394" s="172">
        <f>tabUniformes[[#This Row],[Qtde Anual de Peças]]*tabUniformes[[#This Row],[Qtde. funcionários]]</f>
        <v>36</v>
      </c>
      <c r="K394" s="170">
        <f>IFERROR(tabUniformes[[#This Row],[Total]]/12/tabUniformes[[#This Row],[Qtde. funcionários]],0)</f>
        <v>3.06</v>
      </c>
    </row>
    <row r="395" spans="1:11">
      <c r="A395" s="169" t="s">
        <v>1807</v>
      </c>
      <c r="B395" s="278" t="s">
        <v>1826</v>
      </c>
      <c r="C395" s="171"/>
      <c r="D395" s="311">
        <v>16.38</v>
      </c>
      <c r="E395" s="170" cm="1">
        <f t="array" ref="E395">tabUniformes[[#This Row],[Valor Inicial]]*IFERROR(PRODUCT(1+_xlfn._xlws.FILTER(tabIndices[PERCENTUAL],tabIndices[DATA DA PUBLICAÇÃO]&gt;tabUniformes[[#This Row],[DATA PUBLICAÇÃO]])),1)</f>
        <v>16.38</v>
      </c>
      <c r="F395" s="172">
        <v>1</v>
      </c>
      <c r="G395" s="172" t="s">
        <v>63</v>
      </c>
      <c r="H395" s="172">
        <v>6</v>
      </c>
      <c r="I395" s="173">
        <f>tabUniformes[[#This Row],[Valor Reajustado]]*tabUniformes[[#This Row],[Qtde Anual de Peças]]*tabUniformes[[#This Row],[Qtde. funcionários]]</f>
        <v>98.28</v>
      </c>
      <c r="J395" s="172">
        <f>tabUniformes[[#This Row],[Qtde Anual de Peças]]*tabUniformes[[#This Row],[Qtde. funcionários]]</f>
        <v>6</v>
      </c>
      <c r="K395" s="170">
        <f>IFERROR(tabUniformes[[#This Row],[Total]]/12/tabUniformes[[#This Row],[Qtde. funcionários]],0)</f>
        <v>1.365</v>
      </c>
    </row>
    <row r="396" spans="1:11">
      <c r="A396" s="169" t="s">
        <v>1862</v>
      </c>
      <c r="B396" s="278" t="s">
        <v>1828</v>
      </c>
      <c r="C396" s="171"/>
      <c r="D396" s="311">
        <v>14.42</v>
      </c>
      <c r="E396" s="170" cm="1">
        <f t="array" ref="E396">tabUniformes[[#This Row],[Valor Inicial]]*IFERROR(PRODUCT(1+_xlfn._xlws.FILTER(tabIndices[PERCENTUAL],tabIndices[DATA DA PUBLICAÇÃO]&gt;tabUniformes[[#This Row],[DATA PUBLICAÇÃO]])),1)</f>
        <v>14.42</v>
      </c>
      <c r="F396" s="172">
        <v>50</v>
      </c>
      <c r="G396" s="172" t="s">
        <v>63</v>
      </c>
      <c r="H396" s="172">
        <v>6</v>
      </c>
      <c r="I396" s="173">
        <f>tabUniformes[[#This Row],[Valor Reajustado]]*tabUniformes[[#This Row],[Qtde Anual de Peças]]*tabUniformes[[#This Row],[Qtde. funcionários]]</f>
        <v>4326</v>
      </c>
      <c r="J396" s="172">
        <f>tabUniformes[[#This Row],[Qtde Anual de Peças]]*tabUniformes[[#This Row],[Qtde. funcionários]]</f>
        <v>300</v>
      </c>
      <c r="K396" s="170">
        <f>IFERROR(tabUniformes[[#This Row],[Total]]/12/tabUniformes[[#This Row],[Qtde. funcionários]],0)</f>
        <v>60.083333333333336</v>
      </c>
    </row>
    <row r="397" spans="1:11">
      <c r="A397" s="169" t="s">
        <v>12</v>
      </c>
      <c r="B397" s="278" t="s">
        <v>31</v>
      </c>
      <c r="C397" s="171"/>
      <c r="D397" s="311">
        <v>40.85</v>
      </c>
      <c r="E397" s="170" cm="1">
        <f t="array" ref="E397">tabUniformes[[#This Row],[Valor Inicial]]*IFERROR(PRODUCT(1+_xlfn._xlws.FILTER(tabIndices[PERCENTUAL],tabIndices[DATA DA PUBLICAÇÃO]&gt;tabUniformes[[#This Row],[DATA PUBLICAÇÃO]])),1)</f>
        <v>40.85</v>
      </c>
      <c r="F397" s="172">
        <v>8</v>
      </c>
      <c r="G397" s="172" t="s">
        <v>63</v>
      </c>
      <c r="H397" s="172">
        <v>6</v>
      </c>
      <c r="I397" s="173">
        <v>962.42937706268424</v>
      </c>
      <c r="J397" s="172">
        <v>32</v>
      </c>
      <c r="K397" s="170">
        <v>20.050612022139255</v>
      </c>
    </row>
    <row r="398" spans="1:11">
      <c r="A398" s="169" t="s">
        <v>19</v>
      </c>
      <c r="B398" s="278" t="s">
        <v>37</v>
      </c>
      <c r="C398" s="171"/>
      <c r="D398" s="311">
        <v>66.319999999999993</v>
      </c>
      <c r="E398" s="170" cm="1">
        <f t="array" ref="E398">tabUniformes[[#This Row],[Valor Inicial]]*IFERROR(PRODUCT(1+_xlfn._xlws.FILTER(tabIndices[PERCENTUAL],tabIndices[DATA DA PUBLICAÇÃO]&gt;tabUniformes[[#This Row],[DATA PUBLICAÇÃO]])),1)</f>
        <v>66.319999999999993</v>
      </c>
      <c r="F398" s="172">
        <v>4</v>
      </c>
      <c r="G398" s="172" t="s">
        <v>63</v>
      </c>
      <c r="H398" s="172">
        <v>6</v>
      </c>
      <c r="I398" s="173">
        <v>577.4576262376105</v>
      </c>
      <c r="J398" s="172">
        <v>16</v>
      </c>
      <c r="K398" s="170">
        <v>12.030367213283553</v>
      </c>
    </row>
    <row r="399" spans="1:11">
      <c r="A399" s="169" t="s">
        <v>1854</v>
      </c>
      <c r="B399" s="278" t="s">
        <v>1830</v>
      </c>
      <c r="C399" s="171"/>
      <c r="D399" s="311">
        <v>344.45</v>
      </c>
      <c r="E399" s="170" cm="1">
        <f t="array" ref="E399">tabUniformes[[#This Row],[Valor Inicial]]*IFERROR(PRODUCT(1+_xlfn._xlws.FILTER(tabIndices[PERCENTUAL],tabIndices[DATA DA PUBLICAÇÃO]&gt;tabUniformes[[#This Row],[DATA PUBLICAÇÃO]])),1)</f>
        <v>344.45</v>
      </c>
      <c r="F399" s="172">
        <v>1</v>
      </c>
      <c r="G399" s="172" t="s">
        <v>63</v>
      </c>
      <c r="H399" s="172">
        <v>6</v>
      </c>
      <c r="I399" s="173">
        <f>tabUniformes[[#This Row],[Valor Reajustado]]*tabUniformes[[#This Row],[Qtde Anual de Peças]]*tabUniformes[[#This Row],[Qtde. funcionários]]</f>
        <v>2066.6999999999998</v>
      </c>
      <c r="J399" s="172">
        <f>tabUniformes[[#This Row],[Qtde Anual de Peças]]*tabUniformes[[#This Row],[Qtde. funcionários]]</f>
        <v>6</v>
      </c>
      <c r="K399" s="170">
        <f>IFERROR(tabUniformes[[#This Row],[Total]]/12/tabUniformes[[#This Row],[Qtde. funcionários]],0)</f>
        <v>28.704166666666666</v>
      </c>
    </row>
    <row r="400" spans="1:11">
      <c r="A400" s="169" t="s">
        <v>1854</v>
      </c>
      <c r="B400" s="278" t="s">
        <v>1831</v>
      </c>
      <c r="C400" s="171"/>
      <c r="D400" s="311">
        <v>2.5</v>
      </c>
      <c r="E400" s="170" cm="1">
        <f t="array" ref="E400">tabUniformes[[#This Row],[Valor Inicial]]*IFERROR(PRODUCT(1+_xlfn._xlws.FILTER(tabIndices[PERCENTUAL],tabIndices[DATA DA PUBLICAÇÃO]&gt;tabUniformes[[#This Row],[DATA PUBLICAÇÃO]])),1)</f>
        <v>2.5</v>
      </c>
      <c r="F400" s="172">
        <v>40</v>
      </c>
      <c r="G400" s="172" t="s">
        <v>63</v>
      </c>
      <c r="H400" s="172">
        <v>6</v>
      </c>
      <c r="I400" s="173">
        <f>tabUniformes[[#This Row],[Valor Reajustado]]*tabUniformes[[#This Row],[Qtde Anual de Peças]]*tabUniformes[[#This Row],[Qtde. funcionários]]</f>
        <v>600</v>
      </c>
      <c r="J400" s="172">
        <f>tabUniformes[[#This Row],[Qtde Anual de Peças]]*tabUniformes[[#This Row],[Qtde. funcionários]]</f>
        <v>240</v>
      </c>
      <c r="K400" s="170">
        <f>IFERROR(tabUniformes[[#This Row],[Total]]/12/tabUniformes[[#This Row],[Qtde. funcionários]],0)</f>
        <v>8.3333333333333339</v>
      </c>
    </row>
    <row r="401" spans="1:11">
      <c r="A401" s="169" t="s">
        <v>1854</v>
      </c>
      <c r="B401" s="278" t="s">
        <v>1868</v>
      </c>
      <c r="C401" s="171"/>
      <c r="D401" s="311">
        <v>24.46</v>
      </c>
      <c r="E401" s="170" cm="1">
        <f t="array" ref="E401">tabUniformes[[#This Row],[Valor Inicial]]*IFERROR(PRODUCT(1+_xlfn._xlws.FILTER(tabIndices[PERCENTUAL],tabIndices[DATA DA PUBLICAÇÃO]&gt;tabUniformes[[#This Row],[DATA PUBLICAÇÃO]])),1)</f>
        <v>24.46</v>
      </c>
      <c r="F401" s="172">
        <v>20</v>
      </c>
      <c r="G401" s="172" t="s">
        <v>63</v>
      </c>
      <c r="H401" s="172">
        <v>6</v>
      </c>
      <c r="I401" s="173">
        <f>tabUniformes[[#This Row],[Valor Reajustado]]*tabUniformes[[#This Row],[Qtde Anual de Peças]]*tabUniformes[[#This Row],[Qtde. funcionários]]</f>
        <v>2935.2000000000003</v>
      </c>
      <c r="J401" s="172">
        <f>tabUniformes[[#This Row],[Qtde Anual de Peças]]*tabUniformes[[#This Row],[Qtde. funcionários]]</f>
        <v>120</v>
      </c>
      <c r="K401" s="170">
        <f>IFERROR(tabUniformes[[#This Row],[Total]]/12/tabUniformes[[#This Row],[Qtde. funcionários]],0)</f>
        <v>40.766666666666673</v>
      </c>
    </row>
    <row r="402" spans="1:11">
      <c r="A402" s="169" t="s">
        <v>14</v>
      </c>
      <c r="B402" s="278" t="s">
        <v>25</v>
      </c>
      <c r="C402" s="171"/>
      <c r="D402" s="311">
        <v>95.13</v>
      </c>
      <c r="E402" s="170" cm="1">
        <f t="array" ref="E402">tabUniformes[[#This Row],[Valor Inicial]]*IFERROR(PRODUCT(1+_xlfn._xlws.FILTER(tabIndices[PERCENTUAL],tabIndices[DATA DA PUBLICAÇÃO]&gt;tabUniformes[[#This Row],[DATA PUBLICAÇÃO]])),1)</f>
        <v>95.13</v>
      </c>
      <c r="F402" s="172">
        <v>1</v>
      </c>
      <c r="G402" s="172" t="s">
        <v>63</v>
      </c>
      <c r="H402" s="172">
        <v>6</v>
      </c>
      <c r="I402" s="173">
        <v>240.60734426567106</v>
      </c>
      <c r="J402" s="172">
        <v>4</v>
      </c>
      <c r="K402" s="170">
        <v>5.0126530055348137</v>
      </c>
    </row>
    <row r="403" spans="1:11">
      <c r="A403" s="169" t="s">
        <v>1853</v>
      </c>
      <c r="B403" s="278" t="s">
        <v>1809</v>
      </c>
      <c r="C403" s="171"/>
      <c r="D403" s="311">
        <v>7.67</v>
      </c>
      <c r="E403" s="170" cm="1">
        <f t="array" ref="E403">tabUniformes[[#This Row],[Valor Inicial]]*IFERROR(PRODUCT(1+_xlfn._xlws.FILTER(tabIndices[PERCENTUAL],tabIndices[DATA DA PUBLICAÇÃO]&gt;tabUniformes[[#This Row],[DATA PUBLICAÇÃO]])),1)</f>
        <v>7.67</v>
      </c>
      <c r="F403" s="172">
        <v>2</v>
      </c>
      <c r="G403" s="172" t="s">
        <v>63</v>
      </c>
      <c r="H403" s="172">
        <v>6</v>
      </c>
      <c r="I403" s="173">
        <f>tabUniformes[[#This Row],[Valor Reajustado]]*tabUniformes[[#This Row],[Qtde Anual de Peças]]*tabUniformes[[#This Row],[Qtde. funcionários]]</f>
        <v>92.039999999999992</v>
      </c>
      <c r="J403" s="172">
        <f>tabUniformes[[#This Row],[Qtde Anual de Peças]]*tabUniformes[[#This Row],[Qtde. funcionários]]</f>
        <v>12</v>
      </c>
      <c r="K403" s="170">
        <f>IFERROR(tabUniformes[[#This Row],[Total]]/12/tabUniformes[[#This Row],[Qtde. funcionários]],0)</f>
        <v>1.2783333333333331</v>
      </c>
    </row>
    <row r="404" spans="1:11">
      <c r="A404" s="169" t="s">
        <v>1865</v>
      </c>
      <c r="B404" s="278" t="s">
        <v>1832</v>
      </c>
      <c r="C404" s="171"/>
      <c r="D404" s="311">
        <v>36.26</v>
      </c>
      <c r="E404" s="170" cm="1">
        <f t="array" ref="E404">tabUniformes[[#This Row],[Valor Inicial]]*IFERROR(PRODUCT(1+_xlfn._xlws.FILTER(tabIndices[PERCENTUAL],tabIndices[DATA DA PUBLICAÇÃO]&gt;tabUniformes[[#This Row],[DATA PUBLICAÇÃO]])),1)</f>
        <v>36.26</v>
      </c>
      <c r="F404" s="172">
        <v>1</v>
      </c>
      <c r="G404" s="172" t="s">
        <v>63</v>
      </c>
      <c r="H404" s="172">
        <v>6</v>
      </c>
      <c r="I404" s="173">
        <f>tabUniformes[[#This Row],[Valor Reajustado]]*tabUniformes[[#This Row],[Qtde Anual de Peças]]*tabUniformes[[#This Row],[Qtde. funcionários]]</f>
        <v>217.56</v>
      </c>
      <c r="J404" s="172">
        <f>tabUniformes[[#This Row],[Qtde Anual de Peças]]*tabUniformes[[#This Row],[Qtde. funcionários]]</f>
        <v>6</v>
      </c>
      <c r="K404" s="170">
        <f>IFERROR(tabUniformes[[#This Row],[Total]]/12/tabUniformes[[#This Row],[Qtde. funcionários]],0)</f>
        <v>3.0216666666666665</v>
      </c>
    </row>
    <row r="405" spans="1:11">
      <c r="A405" s="169" t="s">
        <v>1855</v>
      </c>
      <c r="B405" s="278" t="s">
        <v>1834</v>
      </c>
      <c r="C405" s="171"/>
      <c r="D405" s="311">
        <v>59.9</v>
      </c>
      <c r="E405" s="170" cm="1">
        <f t="array" ref="E405">tabUniformes[[#This Row],[Valor Inicial]]*IFERROR(PRODUCT(1+_xlfn._xlws.FILTER(tabIndices[PERCENTUAL],tabIndices[DATA DA PUBLICAÇÃO]&gt;tabUniformes[[#This Row],[DATA PUBLICAÇÃO]])),1)</f>
        <v>59.9</v>
      </c>
      <c r="F405" s="172">
        <v>4</v>
      </c>
      <c r="G405" s="172" t="s">
        <v>63</v>
      </c>
      <c r="H405" s="172">
        <v>6</v>
      </c>
      <c r="I405" s="173">
        <f>tabUniformes[[#This Row],[Valor Reajustado]]*tabUniformes[[#This Row],[Qtde Anual de Peças]]*tabUniformes[[#This Row],[Qtde. funcionários]]</f>
        <v>1437.6</v>
      </c>
      <c r="J405" s="172">
        <f>tabUniformes[[#This Row],[Qtde Anual de Peças]]*tabUniformes[[#This Row],[Qtde. funcionários]]</f>
        <v>24</v>
      </c>
      <c r="K405" s="170">
        <f>IFERROR(tabUniformes[[#This Row],[Total]]/12/tabUniformes[[#This Row],[Qtde. funcionários]],0)</f>
        <v>19.966666666666665</v>
      </c>
    </row>
    <row r="406" spans="1:11">
      <c r="A406" s="169" t="s">
        <v>1854</v>
      </c>
      <c r="B406" s="278" t="s">
        <v>1835</v>
      </c>
      <c r="C406" s="171"/>
      <c r="D406" s="311">
        <v>326.77999999999997</v>
      </c>
      <c r="E406" s="170" cm="1">
        <f t="array" ref="E406">tabUniformes[[#This Row],[Valor Inicial]]*IFERROR(PRODUCT(1+_xlfn._xlws.FILTER(tabIndices[PERCENTUAL],tabIndices[DATA DA PUBLICAÇÃO]&gt;tabUniformes[[#This Row],[DATA PUBLICAÇÃO]])),1)</f>
        <v>326.77999999999997</v>
      </c>
      <c r="F406" s="172">
        <v>1</v>
      </c>
      <c r="G406" s="172" t="s">
        <v>63</v>
      </c>
      <c r="H406" s="172">
        <v>6</v>
      </c>
      <c r="I406" s="173">
        <f>tabUniformes[[#This Row],[Valor Reajustado]]*tabUniformes[[#This Row],[Qtde Anual de Peças]]*tabUniformes[[#This Row],[Qtde. funcionários]]</f>
        <v>1960.6799999999998</v>
      </c>
      <c r="J406" s="172">
        <f>tabUniformes[[#This Row],[Qtde Anual de Peças]]*tabUniformes[[#This Row],[Qtde. funcionários]]</f>
        <v>6</v>
      </c>
      <c r="K406" s="170">
        <f>IFERROR(tabUniformes[[#This Row],[Total]]/12/tabUniformes[[#This Row],[Qtde. funcionários]],0)</f>
        <v>27.231666666666666</v>
      </c>
    </row>
    <row r="407" spans="1:11">
      <c r="A407" s="169" t="s">
        <v>18</v>
      </c>
      <c r="B407" s="278" t="s">
        <v>1813</v>
      </c>
      <c r="C407" s="171"/>
      <c r="D407" s="311">
        <v>90.53</v>
      </c>
      <c r="E407" s="170" cm="1">
        <f t="array" ref="E407">tabUniformes[[#This Row],[Valor Inicial]]*IFERROR(PRODUCT(1+_xlfn._xlws.FILTER(tabIndices[PERCENTUAL],tabIndices[DATA DA PUBLICAÇÃO]&gt;tabUniformes[[#This Row],[DATA PUBLICAÇÃO]])),1)</f>
        <v>90.53</v>
      </c>
      <c r="F407" s="172">
        <v>1</v>
      </c>
      <c r="G407" s="172" t="s">
        <v>64</v>
      </c>
      <c r="H407" s="172">
        <v>8</v>
      </c>
      <c r="I407" s="173">
        <f>tabUniformes[[#This Row],[Valor Reajustado]]*tabUniformes[[#This Row],[Qtde Anual de Peças]]*tabUniformes[[#This Row],[Qtde. funcionários]]</f>
        <v>724.24</v>
      </c>
      <c r="J407" s="172">
        <f>tabUniformes[[#This Row],[Qtde Anual de Peças]]*tabUniformes[[#This Row],[Qtde. funcionários]]</f>
        <v>8</v>
      </c>
      <c r="K407" s="170">
        <f>IFERROR(tabUniformes[[#This Row],[Total]]/12/tabUniformes[[#This Row],[Qtde. funcionários]],0)</f>
        <v>7.5441666666666665</v>
      </c>
    </row>
    <row r="408" spans="1:11">
      <c r="A408" s="169" t="s">
        <v>17</v>
      </c>
      <c r="B408" s="278" t="s">
        <v>1808</v>
      </c>
      <c r="C408" s="171"/>
      <c r="D408" s="311">
        <v>280.04000000000002</v>
      </c>
      <c r="E408" s="170" cm="1">
        <f t="array" ref="E408">tabUniformes[[#This Row],[Valor Inicial]]*IFERROR(PRODUCT(1+_xlfn._xlws.FILTER(tabIndices[PERCENTUAL],tabIndices[DATA DA PUBLICAÇÃO]&gt;tabUniformes[[#This Row],[DATA PUBLICAÇÃO]])),1)</f>
        <v>280.04000000000002</v>
      </c>
      <c r="F408" s="172">
        <v>2</v>
      </c>
      <c r="G408" s="172" t="s">
        <v>64</v>
      </c>
      <c r="H408" s="172">
        <v>8</v>
      </c>
      <c r="I408" s="173">
        <f>tabUniformes[[#This Row],[Valor Reajustado]]*tabUniformes[[#This Row],[Qtde Anual de Peças]]*tabUniformes[[#This Row],[Qtde. funcionários]]</f>
        <v>4480.6400000000003</v>
      </c>
      <c r="J408" s="172">
        <f>tabUniformes[[#This Row],[Qtde Anual de Peças]]*tabUniformes[[#This Row],[Qtde. funcionários]]</f>
        <v>16</v>
      </c>
      <c r="K408" s="170">
        <f>IFERROR(tabUniformes[[#This Row],[Total]]/12/tabUniformes[[#This Row],[Qtde. funcionários]],0)</f>
        <v>46.673333333333339</v>
      </c>
    </row>
    <row r="409" spans="1:11">
      <c r="A409" s="169" t="s">
        <v>1860</v>
      </c>
      <c r="B409" s="278" t="s">
        <v>1817</v>
      </c>
      <c r="C409" s="171"/>
      <c r="D409" s="311">
        <v>22.2</v>
      </c>
      <c r="E409" s="170" cm="1">
        <f t="array" ref="E409">tabUniformes[[#This Row],[Valor Inicial]]*IFERROR(PRODUCT(1+_xlfn._xlws.FILTER(tabIndices[PERCENTUAL],tabIndices[DATA DA PUBLICAÇÃO]&gt;tabUniformes[[#This Row],[DATA PUBLICAÇÃO]])),1)</f>
        <v>22.2</v>
      </c>
      <c r="F409" s="172">
        <v>1</v>
      </c>
      <c r="G409" s="172" t="s">
        <v>64</v>
      </c>
      <c r="H409" s="172">
        <v>8</v>
      </c>
      <c r="I409" s="173">
        <f>tabUniformes[[#This Row],[Valor Reajustado]]*tabUniformes[[#This Row],[Qtde Anual de Peças]]*tabUniformes[[#This Row],[Qtde. funcionários]]</f>
        <v>177.6</v>
      </c>
      <c r="J409" s="172">
        <f>tabUniformes[[#This Row],[Qtde Anual de Peças]]*tabUniformes[[#This Row],[Qtde. funcionários]]</f>
        <v>8</v>
      </c>
      <c r="K409" s="170">
        <f>IFERROR(tabUniformes[[#This Row],[Total]]/12/tabUniformes[[#This Row],[Qtde. funcionários]],0)</f>
        <v>1.8499999999999999</v>
      </c>
    </row>
    <row r="410" spans="1:11">
      <c r="A410" s="169" t="s">
        <v>1861</v>
      </c>
      <c r="B410" s="278" t="s">
        <v>1818</v>
      </c>
      <c r="C410" s="171"/>
      <c r="D410" s="311">
        <v>64.2</v>
      </c>
      <c r="E410" s="170" cm="1">
        <f t="array" ref="E410">tabUniformes[[#This Row],[Valor Inicial]]*IFERROR(PRODUCT(1+_xlfn._xlws.FILTER(tabIndices[PERCENTUAL],tabIndices[DATA DA PUBLICAÇÃO]&gt;tabUniformes[[#This Row],[DATA PUBLICAÇÃO]])),1)</f>
        <v>64.2</v>
      </c>
      <c r="F410" s="172">
        <v>1</v>
      </c>
      <c r="G410" s="172" t="s">
        <v>64</v>
      </c>
      <c r="H410" s="172">
        <v>8</v>
      </c>
      <c r="I410" s="173">
        <f>tabUniformes[[#This Row],[Valor Reajustado]]*tabUniformes[[#This Row],[Qtde Anual de Peças]]*tabUniformes[[#This Row],[Qtde. funcionários]]</f>
        <v>513.6</v>
      </c>
      <c r="J410" s="172">
        <f>tabUniformes[[#This Row],[Qtde Anual de Peças]]*tabUniformes[[#This Row],[Qtde. funcionários]]</f>
        <v>8</v>
      </c>
      <c r="K410" s="170">
        <f>IFERROR(tabUniformes[[#This Row],[Total]]/12/tabUniformes[[#This Row],[Qtde. funcionários]],0)</f>
        <v>5.3500000000000005</v>
      </c>
    </row>
    <row r="411" spans="1:11">
      <c r="A411" s="169" t="s">
        <v>1859</v>
      </c>
      <c r="B411" s="278" t="s">
        <v>1819</v>
      </c>
      <c r="C411" s="171"/>
      <c r="D411" s="311">
        <v>351.15</v>
      </c>
      <c r="E411" s="170" cm="1">
        <f t="array" ref="E411">tabUniformes[[#This Row],[Valor Inicial]]*IFERROR(PRODUCT(1+_xlfn._xlws.FILTER(tabIndices[PERCENTUAL],tabIndices[DATA DA PUBLICAÇÃO]&gt;tabUniformes[[#This Row],[DATA PUBLICAÇÃO]])),1)</f>
        <v>351.15</v>
      </c>
      <c r="F411" s="172">
        <v>1</v>
      </c>
      <c r="G411" s="172" t="s">
        <v>64</v>
      </c>
      <c r="H411" s="172">
        <v>8</v>
      </c>
      <c r="I411" s="173">
        <f>tabUniformes[[#This Row],[Valor Reajustado]]*tabUniformes[[#This Row],[Qtde Anual de Peças]]*tabUniformes[[#This Row],[Qtde. funcionários]]</f>
        <v>2809.2</v>
      </c>
      <c r="J411" s="172">
        <f>tabUniformes[[#This Row],[Qtde Anual de Peças]]*tabUniformes[[#This Row],[Qtde. funcionários]]</f>
        <v>8</v>
      </c>
      <c r="K411" s="170">
        <f>IFERROR(tabUniformes[[#This Row],[Total]]/12/tabUniformes[[#This Row],[Qtde. funcionários]],0)</f>
        <v>29.262499999999999</v>
      </c>
    </row>
    <row r="412" spans="1:11">
      <c r="A412" s="169" t="s">
        <v>1855</v>
      </c>
      <c r="B412" s="278" t="s">
        <v>1820</v>
      </c>
      <c r="C412" s="171"/>
      <c r="D412" s="311">
        <v>9.6999999999999993</v>
      </c>
      <c r="E412" s="170" cm="1">
        <f t="array" ref="E412">tabUniformes[[#This Row],[Valor Inicial]]*IFERROR(PRODUCT(1+_xlfn._xlws.FILTER(tabIndices[PERCENTUAL],tabIndices[DATA DA PUBLICAÇÃO]&gt;tabUniformes[[#This Row],[DATA PUBLICAÇÃO]])),1)</f>
        <v>9.6999999999999993</v>
      </c>
      <c r="F412" s="172">
        <v>12</v>
      </c>
      <c r="G412" s="172" t="s">
        <v>64</v>
      </c>
      <c r="H412" s="172">
        <v>8</v>
      </c>
      <c r="I412" s="173">
        <f>tabUniformes[[#This Row],[Valor Reajustado]]*tabUniformes[[#This Row],[Qtde Anual de Peças]]*tabUniformes[[#This Row],[Qtde. funcionários]]</f>
        <v>931.19999999999993</v>
      </c>
      <c r="J412" s="172">
        <f>tabUniformes[[#This Row],[Qtde Anual de Peças]]*tabUniformes[[#This Row],[Qtde. funcionários]]</f>
        <v>96</v>
      </c>
      <c r="K412" s="170">
        <f>IFERROR(tabUniformes[[#This Row],[Total]]/12/tabUniformes[[#This Row],[Qtde. funcionários]],0)</f>
        <v>9.6999999999999993</v>
      </c>
    </row>
    <row r="413" spans="1:11">
      <c r="A413" s="169" t="s">
        <v>11</v>
      </c>
      <c r="B413" s="278" t="s">
        <v>30</v>
      </c>
      <c r="C413" s="171"/>
      <c r="D413" s="311">
        <v>94.82</v>
      </c>
      <c r="E413" s="170" cm="1">
        <f t="array" ref="E413">tabUniformes[[#This Row],[Valor Inicial]]*IFERROR(PRODUCT(1+_xlfn._xlws.FILTER(tabIndices[PERCENTUAL],tabIndices[DATA DA PUBLICAÇÃO]&gt;tabUniformes[[#This Row],[DATA PUBLICAÇÃO]])),1)</f>
        <v>94.82</v>
      </c>
      <c r="F413" s="172">
        <v>4</v>
      </c>
      <c r="G413" s="172" t="s">
        <v>64</v>
      </c>
      <c r="H413" s="172">
        <v>8</v>
      </c>
      <c r="I413" s="173">
        <v>1299.2796590346238</v>
      </c>
      <c r="J413" s="172">
        <v>24</v>
      </c>
      <c r="K413" s="170">
        <v>18.045550819925332</v>
      </c>
    </row>
    <row r="414" spans="1:11">
      <c r="A414" s="169" t="s">
        <v>1807</v>
      </c>
      <c r="B414" s="278" t="s">
        <v>1822</v>
      </c>
      <c r="C414" s="171"/>
      <c r="D414" s="311">
        <v>20.170000000000002</v>
      </c>
      <c r="E414" s="170" cm="1">
        <f t="array" ref="E414">tabUniformes[[#This Row],[Valor Inicial]]*IFERROR(PRODUCT(1+_xlfn._xlws.FILTER(tabIndices[PERCENTUAL],tabIndices[DATA DA PUBLICAÇÃO]&gt;tabUniformes[[#This Row],[DATA PUBLICAÇÃO]])),1)</f>
        <v>20.170000000000002</v>
      </c>
      <c r="F414" s="172">
        <v>2</v>
      </c>
      <c r="G414" s="172" t="s">
        <v>64</v>
      </c>
      <c r="H414" s="172">
        <v>8</v>
      </c>
      <c r="I414" s="173">
        <f>tabUniformes[[#This Row],[Valor Reajustado]]*tabUniformes[[#This Row],[Qtde Anual de Peças]]*tabUniformes[[#This Row],[Qtde. funcionários]]</f>
        <v>322.72000000000003</v>
      </c>
      <c r="J414" s="172">
        <f>tabUniformes[[#This Row],[Qtde Anual de Peças]]*tabUniformes[[#This Row],[Qtde. funcionários]]</f>
        <v>16</v>
      </c>
      <c r="K414" s="170">
        <f>IFERROR(tabUniformes[[#This Row],[Total]]/12/tabUniformes[[#This Row],[Qtde. funcionários]],0)</f>
        <v>3.3616666666666668</v>
      </c>
    </row>
    <row r="415" spans="1:11">
      <c r="A415" s="169" t="s">
        <v>1807</v>
      </c>
      <c r="B415" s="278" t="s">
        <v>1824</v>
      </c>
      <c r="C415" s="171"/>
      <c r="D415" s="311">
        <v>7.27</v>
      </c>
      <c r="E415" s="170" cm="1">
        <f t="array" ref="E415">tabUniformes[[#This Row],[Valor Inicial]]*IFERROR(PRODUCT(1+_xlfn._xlws.FILTER(tabIndices[PERCENTUAL],tabIndices[DATA DA PUBLICAÇÃO]&gt;tabUniformes[[#This Row],[DATA PUBLICAÇÃO]])),1)</f>
        <v>7.27</v>
      </c>
      <c r="F415" s="172">
        <v>2</v>
      </c>
      <c r="G415" s="172" t="s">
        <v>64</v>
      </c>
      <c r="H415" s="172">
        <v>8</v>
      </c>
      <c r="I415" s="173">
        <f>tabUniformes[[#This Row],[Valor Reajustado]]*tabUniformes[[#This Row],[Qtde Anual de Peças]]*tabUniformes[[#This Row],[Qtde. funcionários]]</f>
        <v>116.32</v>
      </c>
      <c r="J415" s="172">
        <f>tabUniformes[[#This Row],[Qtde Anual de Peças]]*tabUniformes[[#This Row],[Qtde. funcionários]]</f>
        <v>16</v>
      </c>
      <c r="K415" s="170">
        <f>IFERROR(tabUniformes[[#This Row],[Total]]/12/tabUniformes[[#This Row],[Qtde. funcionários]],0)</f>
        <v>1.2116666666666667</v>
      </c>
    </row>
    <row r="416" spans="1:11">
      <c r="A416" s="169" t="s">
        <v>1807</v>
      </c>
      <c r="B416" s="278" t="s">
        <v>1825</v>
      </c>
      <c r="C416" s="171"/>
      <c r="D416" s="311">
        <v>6.12</v>
      </c>
      <c r="E416" s="170" cm="1">
        <f t="array" ref="E416">tabUniformes[[#This Row],[Valor Inicial]]*IFERROR(PRODUCT(1+_xlfn._xlws.FILTER(tabIndices[PERCENTUAL],tabIndices[DATA DA PUBLICAÇÃO]&gt;tabUniformes[[#This Row],[DATA PUBLICAÇÃO]])),1)</f>
        <v>6.12</v>
      </c>
      <c r="F416" s="172">
        <v>4</v>
      </c>
      <c r="G416" s="172" t="s">
        <v>64</v>
      </c>
      <c r="H416" s="172">
        <v>8</v>
      </c>
      <c r="I416" s="173">
        <f>tabUniformes[[#This Row],[Valor Reajustado]]*tabUniformes[[#This Row],[Qtde Anual de Peças]]*tabUniformes[[#This Row],[Qtde. funcionários]]</f>
        <v>195.84</v>
      </c>
      <c r="J416" s="172">
        <f>tabUniformes[[#This Row],[Qtde Anual de Peças]]*tabUniformes[[#This Row],[Qtde. funcionários]]</f>
        <v>32</v>
      </c>
      <c r="K416" s="170">
        <f>IFERROR(tabUniformes[[#This Row],[Total]]/12/tabUniformes[[#This Row],[Qtde. funcionários]],0)</f>
        <v>2.04</v>
      </c>
    </row>
    <row r="417" spans="1:11">
      <c r="A417" s="169" t="s">
        <v>1807</v>
      </c>
      <c r="B417" s="278" t="s">
        <v>1826</v>
      </c>
      <c r="C417" s="171"/>
      <c r="D417" s="311">
        <v>16.38</v>
      </c>
      <c r="E417" s="170" cm="1">
        <f t="array" ref="E417">tabUniformes[[#This Row],[Valor Inicial]]*IFERROR(PRODUCT(1+_xlfn._xlws.FILTER(tabIndices[PERCENTUAL],tabIndices[DATA DA PUBLICAÇÃO]&gt;tabUniformes[[#This Row],[DATA PUBLICAÇÃO]])),1)</f>
        <v>16.38</v>
      </c>
      <c r="F417" s="172">
        <v>1</v>
      </c>
      <c r="G417" s="172" t="s">
        <v>64</v>
      </c>
      <c r="H417" s="172">
        <v>8</v>
      </c>
      <c r="I417" s="173">
        <f>tabUniformes[[#This Row],[Valor Reajustado]]*tabUniformes[[#This Row],[Qtde Anual de Peças]]*tabUniformes[[#This Row],[Qtde. funcionários]]</f>
        <v>131.04</v>
      </c>
      <c r="J417" s="172">
        <f>tabUniformes[[#This Row],[Qtde Anual de Peças]]*tabUniformes[[#This Row],[Qtde. funcionários]]</f>
        <v>8</v>
      </c>
      <c r="K417" s="170">
        <f>IFERROR(tabUniformes[[#This Row],[Total]]/12/tabUniformes[[#This Row],[Qtde. funcionários]],0)</f>
        <v>1.365</v>
      </c>
    </row>
    <row r="418" spans="1:11">
      <c r="A418" s="169" t="s">
        <v>1862</v>
      </c>
      <c r="B418" s="278" t="s">
        <v>1828</v>
      </c>
      <c r="C418" s="171"/>
      <c r="D418" s="311">
        <v>14.42</v>
      </c>
      <c r="E418" s="170" cm="1">
        <f t="array" ref="E418">tabUniformes[[#This Row],[Valor Inicial]]*IFERROR(PRODUCT(1+_xlfn._xlws.FILTER(tabIndices[PERCENTUAL],tabIndices[DATA DA PUBLICAÇÃO]&gt;tabUniformes[[#This Row],[DATA PUBLICAÇÃO]])),1)</f>
        <v>14.42</v>
      </c>
      <c r="F418" s="172">
        <v>50</v>
      </c>
      <c r="G418" s="172" t="s">
        <v>64</v>
      </c>
      <c r="H418" s="172">
        <v>8</v>
      </c>
      <c r="I418" s="173">
        <f>tabUniformes[[#This Row],[Valor Reajustado]]*tabUniformes[[#This Row],[Qtde Anual de Peças]]*tabUniformes[[#This Row],[Qtde. funcionários]]</f>
        <v>5768</v>
      </c>
      <c r="J418" s="172">
        <f>tabUniformes[[#This Row],[Qtde Anual de Peças]]*tabUniformes[[#This Row],[Qtde. funcionários]]</f>
        <v>400</v>
      </c>
      <c r="K418" s="170">
        <f>IFERROR(tabUniformes[[#This Row],[Total]]/12/tabUniformes[[#This Row],[Qtde. funcionários]],0)</f>
        <v>60.083333333333336</v>
      </c>
    </row>
    <row r="419" spans="1:11">
      <c r="A419" s="169" t="s">
        <v>12</v>
      </c>
      <c r="B419" s="278" t="s">
        <v>31</v>
      </c>
      <c r="C419" s="171"/>
      <c r="D419" s="311">
        <v>40.85</v>
      </c>
      <c r="E419" s="170" cm="1">
        <f t="array" ref="E419">tabUniformes[[#This Row],[Valor Inicial]]*IFERROR(PRODUCT(1+_xlfn._xlws.FILTER(tabIndices[PERCENTUAL],tabIndices[DATA DA PUBLICAÇÃO]&gt;tabUniformes[[#This Row],[DATA PUBLICAÇÃO]])),1)</f>
        <v>40.85</v>
      </c>
      <c r="F419" s="172">
        <v>8</v>
      </c>
      <c r="G419" s="172" t="s">
        <v>64</v>
      </c>
      <c r="H419" s="172">
        <v>8</v>
      </c>
      <c r="I419" s="173">
        <v>1443.6440655940264</v>
      </c>
      <c r="J419" s="172">
        <v>48</v>
      </c>
      <c r="K419" s="170">
        <v>20.050612022139255</v>
      </c>
    </row>
    <row r="420" spans="1:11">
      <c r="A420" s="169" t="s">
        <v>19</v>
      </c>
      <c r="B420" s="278" t="s">
        <v>37</v>
      </c>
      <c r="C420" s="171"/>
      <c r="D420" s="311">
        <v>66.319999999999993</v>
      </c>
      <c r="E420" s="170" cm="1">
        <f t="array" ref="E420">tabUniformes[[#This Row],[Valor Inicial]]*IFERROR(PRODUCT(1+_xlfn._xlws.FILTER(tabIndices[PERCENTUAL],tabIndices[DATA DA PUBLICAÇÃO]&gt;tabUniformes[[#This Row],[DATA PUBLICAÇÃO]])),1)</f>
        <v>66.319999999999993</v>
      </c>
      <c r="F420" s="172">
        <v>4</v>
      </c>
      <c r="G420" s="172" t="s">
        <v>64</v>
      </c>
      <c r="H420" s="172">
        <v>8</v>
      </c>
      <c r="I420" s="173">
        <v>866.1864393564158</v>
      </c>
      <c r="J420" s="172">
        <v>24</v>
      </c>
      <c r="K420" s="170">
        <v>12.030367213283553</v>
      </c>
    </row>
    <row r="421" spans="1:11">
      <c r="A421" s="169" t="s">
        <v>1866</v>
      </c>
      <c r="B421" s="278" t="s">
        <v>1829</v>
      </c>
      <c r="C421" s="171"/>
      <c r="D421" s="311">
        <v>19.86</v>
      </c>
      <c r="E421" s="170" cm="1">
        <f t="array" ref="E421">tabUniformes[[#This Row],[Valor Inicial]]*IFERROR(PRODUCT(1+_xlfn._xlws.FILTER(tabIndices[PERCENTUAL],tabIndices[DATA DA PUBLICAÇÃO]&gt;tabUniformes[[#This Row],[DATA PUBLICAÇÃO]])),1)</f>
        <v>19.86</v>
      </c>
      <c r="F421" s="172">
        <v>1</v>
      </c>
      <c r="G421" s="172" t="s">
        <v>64</v>
      </c>
      <c r="H421" s="172">
        <v>8</v>
      </c>
      <c r="I421" s="173">
        <f>tabUniformes[[#This Row],[Valor Reajustado]]*tabUniformes[[#This Row],[Qtde Anual de Peças]]*tabUniformes[[#This Row],[Qtde. funcionários]]</f>
        <v>158.88</v>
      </c>
      <c r="J421" s="172">
        <f>tabUniformes[[#This Row],[Qtde Anual de Peças]]*tabUniformes[[#This Row],[Qtde. funcionários]]</f>
        <v>8</v>
      </c>
      <c r="K421" s="170">
        <f>IFERROR(tabUniformes[[#This Row],[Total]]/12/tabUniformes[[#This Row],[Qtde. funcionários]],0)</f>
        <v>1.655</v>
      </c>
    </row>
    <row r="422" spans="1:11">
      <c r="A422" s="169" t="s">
        <v>1854</v>
      </c>
      <c r="B422" s="278" t="s">
        <v>1830</v>
      </c>
      <c r="C422" s="171"/>
      <c r="D422" s="311">
        <v>344.45</v>
      </c>
      <c r="E422" s="170" cm="1">
        <f t="array" ref="E422">tabUniformes[[#This Row],[Valor Inicial]]*IFERROR(PRODUCT(1+_xlfn._xlws.FILTER(tabIndices[PERCENTUAL],tabIndices[DATA DA PUBLICAÇÃO]&gt;tabUniformes[[#This Row],[DATA PUBLICAÇÃO]])),1)</f>
        <v>344.45</v>
      </c>
      <c r="F422" s="172">
        <v>1</v>
      </c>
      <c r="G422" s="172" t="s">
        <v>64</v>
      </c>
      <c r="H422" s="172">
        <v>8</v>
      </c>
      <c r="I422" s="173">
        <f>tabUniformes[[#This Row],[Valor Reajustado]]*tabUniformes[[#This Row],[Qtde Anual de Peças]]*tabUniformes[[#This Row],[Qtde. funcionários]]</f>
        <v>2755.6</v>
      </c>
      <c r="J422" s="172">
        <f>tabUniformes[[#This Row],[Qtde Anual de Peças]]*tabUniformes[[#This Row],[Qtde. funcionários]]</f>
        <v>8</v>
      </c>
      <c r="K422" s="170">
        <f>IFERROR(tabUniformes[[#This Row],[Total]]/12/tabUniformes[[#This Row],[Qtde. funcionários]],0)</f>
        <v>28.704166666666666</v>
      </c>
    </row>
    <row r="423" spans="1:11">
      <c r="A423" s="169" t="s">
        <v>1854</v>
      </c>
      <c r="B423" s="278" t="s">
        <v>1831</v>
      </c>
      <c r="C423" s="171"/>
      <c r="D423" s="311">
        <v>2.5</v>
      </c>
      <c r="E423" s="170" cm="1">
        <f t="array" ref="E423">tabUniformes[[#This Row],[Valor Inicial]]*IFERROR(PRODUCT(1+_xlfn._xlws.FILTER(tabIndices[PERCENTUAL],tabIndices[DATA DA PUBLICAÇÃO]&gt;tabUniformes[[#This Row],[DATA PUBLICAÇÃO]])),1)</f>
        <v>2.5</v>
      </c>
      <c r="F423" s="172">
        <v>40</v>
      </c>
      <c r="G423" s="172" t="s">
        <v>64</v>
      </c>
      <c r="H423" s="172">
        <v>8</v>
      </c>
      <c r="I423" s="173">
        <f>tabUniformes[[#This Row],[Valor Reajustado]]*tabUniformes[[#This Row],[Qtde Anual de Peças]]*tabUniformes[[#This Row],[Qtde. funcionários]]</f>
        <v>800</v>
      </c>
      <c r="J423" s="172">
        <f>tabUniformes[[#This Row],[Qtde Anual de Peças]]*tabUniformes[[#This Row],[Qtde. funcionários]]</f>
        <v>320</v>
      </c>
      <c r="K423" s="170">
        <f>IFERROR(tabUniformes[[#This Row],[Total]]/12/tabUniformes[[#This Row],[Qtde. funcionários]],0)</f>
        <v>8.3333333333333339</v>
      </c>
    </row>
    <row r="424" spans="1:11">
      <c r="A424" s="169" t="s">
        <v>1854</v>
      </c>
      <c r="B424" s="278" t="s">
        <v>1868</v>
      </c>
      <c r="C424" s="171"/>
      <c r="D424" s="311">
        <v>24.46</v>
      </c>
      <c r="E424" s="170" cm="1">
        <f t="array" ref="E424">tabUniformes[[#This Row],[Valor Inicial]]*IFERROR(PRODUCT(1+_xlfn._xlws.FILTER(tabIndices[PERCENTUAL],tabIndices[DATA DA PUBLICAÇÃO]&gt;tabUniformes[[#This Row],[DATA PUBLICAÇÃO]])),1)</f>
        <v>24.46</v>
      </c>
      <c r="F424" s="172">
        <v>20</v>
      </c>
      <c r="G424" s="172" t="s">
        <v>64</v>
      </c>
      <c r="H424" s="172">
        <v>8</v>
      </c>
      <c r="I424" s="173">
        <f>tabUniformes[[#This Row],[Valor Reajustado]]*tabUniformes[[#This Row],[Qtde Anual de Peças]]*tabUniformes[[#This Row],[Qtde. funcionários]]</f>
        <v>3913.6000000000004</v>
      </c>
      <c r="J424" s="172">
        <f>tabUniformes[[#This Row],[Qtde Anual de Peças]]*tabUniformes[[#This Row],[Qtde. funcionários]]</f>
        <v>160</v>
      </c>
      <c r="K424" s="170">
        <f>IFERROR(tabUniformes[[#This Row],[Total]]/12/tabUniformes[[#This Row],[Qtde. funcionários]],0)</f>
        <v>40.766666666666673</v>
      </c>
    </row>
    <row r="425" spans="1:11">
      <c r="A425" s="169" t="s">
        <v>14</v>
      </c>
      <c r="B425" s="278" t="s">
        <v>25</v>
      </c>
      <c r="C425" s="171"/>
      <c r="D425" s="311">
        <v>95.13</v>
      </c>
      <c r="E425" s="170" cm="1">
        <f t="array" ref="E425">tabUniformes[[#This Row],[Valor Inicial]]*IFERROR(PRODUCT(1+_xlfn._xlws.FILTER(tabIndices[PERCENTUAL],tabIndices[DATA DA PUBLICAÇÃO]&gt;tabUniformes[[#This Row],[DATA PUBLICAÇÃO]])),1)</f>
        <v>95.13</v>
      </c>
      <c r="F425" s="172">
        <v>1</v>
      </c>
      <c r="G425" s="172" t="s">
        <v>64</v>
      </c>
      <c r="H425" s="172">
        <v>8</v>
      </c>
      <c r="I425" s="173">
        <v>360.9110163985066</v>
      </c>
      <c r="J425" s="172">
        <v>6</v>
      </c>
      <c r="K425" s="170">
        <v>5.0126530055348137</v>
      </c>
    </row>
    <row r="426" spans="1:11">
      <c r="A426" s="169" t="s">
        <v>1853</v>
      </c>
      <c r="B426" s="278" t="s">
        <v>1809</v>
      </c>
      <c r="C426" s="171"/>
      <c r="D426" s="311">
        <v>7.67</v>
      </c>
      <c r="E426" s="170" cm="1">
        <f t="array" ref="E426">tabUniformes[[#This Row],[Valor Inicial]]*IFERROR(PRODUCT(1+_xlfn._xlws.FILTER(tabIndices[PERCENTUAL],tabIndices[DATA DA PUBLICAÇÃO]&gt;tabUniformes[[#This Row],[DATA PUBLICAÇÃO]])),1)</f>
        <v>7.67</v>
      </c>
      <c r="F426" s="172">
        <v>2</v>
      </c>
      <c r="G426" s="172" t="s">
        <v>64</v>
      </c>
      <c r="H426" s="172">
        <v>8</v>
      </c>
      <c r="I426" s="173">
        <f>tabUniformes[[#This Row],[Valor Reajustado]]*tabUniformes[[#This Row],[Qtde Anual de Peças]]*tabUniformes[[#This Row],[Qtde. funcionários]]</f>
        <v>122.72</v>
      </c>
      <c r="J426" s="172">
        <f>tabUniformes[[#This Row],[Qtde Anual de Peças]]*tabUniformes[[#This Row],[Qtde. funcionários]]</f>
        <v>16</v>
      </c>
      <c r="K426" s="170">
        <f>IFERROR(tabUniformes[[#This Row],[Total]]/12/tabUniformes[[#This Row],[Qtde. funcionários]],0)</f>
        <v>1.2783333333333333</v>
      </c>
    </row>
    <row r="427" spans="1:11">
      <c r="A427" s="169" t="s">
        <v>1865</v>
      </c>
      <c r="B427" s="278" t="s">
        <v>1832</v>
      </c>
      <c r="C427" s="171"/>
      <c r="D427" s="311">
        <v>36.26</v>
      </c>
      <c r="E427" s="170" cm="1">
        <f t="array" ref="E427">tabUniformes[[#This Row],[Valor Inicial]]*IFERROR(PRODUCT(1+_xlfn._xlws.FILTER(tabIndices[PERCENTUAL],tabIndices[DATA DA PUBLICAÇÃO]&gt;tabUniformes[[#This Row],[DATA PUBLICAÇÃO]])),1)</f>
        <v>36.26</v>
      </c>
      <c r="F427" s="172">
        <v>1</v>
      </c>
      <c r="G427" s="172" t="s">
        <v>64</v>
      </c>
      <c r="H427" s="172">
        <v>8</v>
      </c>
      <c r="I427" s="173">
        <f>tabUniformes[[#This Row],[Valor Reajustado]]*tabUniformes[[#This Row],[Qtde Anual de Peças]]*tabUniformes[[#This Row],[Qtde. funcionários]]</f>
        <v>290.08</v>
      </c>
      <c r="J427" s="172">
        <f>tabUniformes[[#This Row],[Qtde Anual de Peças]]*tabUniformes[[#This Row],[Qtde. funcionários]]</f>
        <v>8</v>
      </c>
      <c r="K427" s="170">
        <f>IFERROR(tabUniformes[[#This Row],[Total]]/12/tabUniformes[[#This Row],[Qtde. funcionários]],0)</f>
        <v>3.0216666666666665</v>
      </c>
    </row>
    <row r="428" spans="1:11">
      <c r="A428" s="169" t="s">
        <v>1855</v>
      </c>
      <c r="B428" s="278" t="s">
        <v>1833</v>
      </c>
      <c r="C428" s="171"/>
      <c r="D428" s="311">
        <v>5.14</v>
      </c>
      <c r="E428" s="170" cm="1">
        <f t="array" ref="E428">tabUniformes[[#This Row],[Valor Inicial]]*IFERROR(PRODUCT(1+_xlfn._xlws.FILTER(tabIndices[PERCENTUAL],tabIndices[DATA DA PUBLICAÇÃO]&gt;tabUniformes[[#This Row],[DATA PUBLICAÇÃO]])),1)</f>
        <v>5.14</v>
      </c>
      <c r="F428" s="172">
        <v>10</v>
      </c>
      <c r="G428" s="172" t="s">
        <v>64</v>
      </c>
      <c r="H428" s="172">
        <v>8</v>
      </c>
      <c r="I428" s="173">
        <f>tabUniformes[[#This Row],[Valor Reajustado]]*tabUniformes[[#This Row],[Qtde Anual de Peças]]*tabUniformes[[#This Row],[Qtde. funcionários]]</f>
        <v>411.2</v>
      </c>
      <c r="J428" s="172">
        <f>tabUniformes[[#This Row],[Qtde Anual de Peças]]*tabUniformes[[#This Row],[Qtde. funcionários]]</f>
        <v>80</v>
      </c>
      <c r="K428" s="170">
        <f>IFERROR(tabUniformes[[#This Row],[Total]]/12/tabUniformes[[#This Row],[Qtde. funcionários]],0)</f>
        <v>4.2833333333333332</v>
      </c>
    </row>
    <row r="429" spans="1:11">
      <c r="A429" s="169" t="s">
        <v>1855</v>
      </c>
      <c r="B429" s="278" t="s">
        <v>20</v>
      </c>
      <c r="C429" s="171"/>
      <c r="D429" s="311">
        <v>33.17</v>
      </c>
      <c r="E429" s="170" cm="1">
        <f t="array" ref="E429">tabUniformes[[#This Row],[Valor Inicial]]*IFERROR(PRODUCT(1+_xlfn._xlws.FILTER(tabIndices[PERCENTUAL],tabIndices[DATA DA PUBLICAÇÃO]&gt;tabUniformes[[#This Row],[DATA PUBLICAÇÃO]])),1)</f>
        <v>33.17</v>
      </c>
      <c r="F429" s="172">
        <v>2</v>
      </c>
      <c r="G429" s="172" t="s">
        <v>64</v>
      </c>
      <c r="H429" s="172">
        <v>8</v>
      </c>
      <c r="I429" s="173">
        <f>tabUniformes[[#This Row],[Valor Reajustado]]*tabUniformes[[#This Row],[Qtde Anual de Peças]]*tabUniformes[[#This Row],[Qtde. funcionários]]</f>
        <v>530.72</v>
      </c>
      <c r="J429" s="172">
        <f>tabUniformes[[#This Row],[Qtde Anual de Peças]]*tabUniformes[[#This Row],[Qtde. funcionários]]</f>
        <v>16</v>
      </c>
      <c r="K429" s="170">
        <f>IFERROR(tabUniformes[[#This Row],[Total]]/12/tabUniformes[[#This Row],[Qtde. funcionários]],0)</f>
        <v>5.5283333333333333</v>
      </c>
    </row>
    <row r="430" spans="1:11">
      <c r="A430" s="169" t="s">
        <v>1854</v>
      </c>
      <c r="B430" s="278" t="s">
        <v>1835</v>
      </c>
      <c r="C430" s="171"/>
      <c r="D430" s="311">
        <v>326.77999999999997</v>
      </c>
      <c r="E430" s="170" cm="1">
        <f t="array" ref="E430">tabUniformes[[#This Row],[Valor Inicial]]*IFERROR(PRODUCT(1+_xlfn._xlws.FILTER(tabIndices[PERCENTUAL],tabIndices[DATA DA PUBLICAÇÃO]&gt;tabUniformes[[#This Row],[DATA PUBLICAÇÃO]])),1)</f>
        <v>326.77999999999997</v>
      </c>
      <c r="F430" s="172">
        <v>1</v>
      </c>
      <c r="G430" s="172" t="s">
        <v>64</v>
      </c>
      <c r="H430" s="172">
        <v>8</v>
      </c>
      <c r="I430" s="173">
        <f>tabUniformes[[#This Row],[Valor Reajustado]]*tabUniformes[[#This Row],[Qtde Anual de Peças]]*tabUniformes[[#This Row],[Qtde. funcionários]]</f>
        <v>2614.2399999999998</v>
      </c>
      <c r="J430" s="172">
        <f>tabUniformes[[#This Row],[Qtde Anual de Peças]]*tabUniformes[[#This Row],[Qtde. funcionários]]</f>
        <v>8</v>
      </c>
      <c r="K430" s="170">
        <f>IFERROR(tabUniformes[[#This Row],[Total]]/12/tabUniformes[[#This Row],[Qtde. funcionários]],0)</f>
        <v>27.231666666666666</v>
      </c>
    </row>
    <row r="431" spans="1:11">
      <c r="A431" s="169" t="s">
        <v>12</v>
      </c>
      <c r="B431" s="278" t="s">
        <v>1791</v>
      </c>
      <c r="C431" s="171"/>
      <c r="D431" s="311">
        <v>99</v>
      </c>
      <c r="E431" s="170" cm="1">
        <f t="array" ref="E431">tabUniformes[[#This Row],[Valor Inicial]]*IFERROR(PRODUCT(1+_xlfn._xlws.FILTER(tabIndices[PERCENTUAL],tabIndices[DATA DA PUBLICAÇÃO]&gt;tabUniformes[[#This Row],[DATA PUBLICAÇÃO]])),1)</f>
        <v>99</v>
      </c>
      <c r="F431" s="172">
        <v>6</v>
      </c>
      <c r="G431" s="172" t="s">
        <v>65</v>
      </c>
      <c r="H431" s="172">
        <v>40</v>
      </c>
      <c r="I431" s="173">
        <v>11549.15252475221</v>
      </c>
      <c r="J431" s="172">
        <v>240</v>
      </c>
      <c r="K431" s="170">
        <v>24.060734426567102</v>
      </c>
    </row>
    <row r="432" spans="1:11">
      <c r="A432" s="169" t="s">
        <v>10</v>
      </c>
      <c r="B432" s="278" t="s">
        <v>27</v>
      </c>
      <c r="C432" s="171"/>
      <c r="D432" s="311">
        <v>221.5</v>
      </c>
      <c r="E432" s="170" cm="1">
        <f t="array" ref="E432">tabUniformes[[#This Row],[Valor Inicial]]*IFERROR(PRODUCT(1+_xlfn._xlws.FILTER(tabIndices[PERCENTUAL],tabIndices[DATA DA PUBLICAÇÃO]&gt;tabUniformes[[#This Row],[DATA PUBLICAÇÃO]])),1)</f>
        <v>221.5</v>
      </c>
      <c r="F432" s="172">
        <v>1</v>
      </c>
      <c r="G432" s="172" t="s">
        <v>65</v>
      </c>
      <c r="H432" s="172">
        <v>40</v>
      </c>
      <c r="I432" s="173">
        <v>3127.895475453724</v>
      </c>
      <c r="J432" s="172">
        <v>40</v>
      </c>
      <c r="K432" s="170">
        <v>6.5164489071952589</v>
      </c>
    </row>
    <row r="433" spans="1:11">
      <c r="A433" s="169" t="s">
        <v>11</v>
      </c>
      <c r="B433" s="278" t="s">
        <v>28</v>
      </c>
      <c r="C433" s="171"/>
      <c r="D433" s="311">
        <v>105</v>
      </c>
      <c r="E433" s="170" cm="1">
        <f t="array" ref="E433">tabUniformes[[#This Row],[Valor Inicial]]*IFERROR(PRODUCT(1+_xlfn._xlws.FILTER(tabIndices[PERCENTUAL],tabIndices[DATA DA PUBLICAÇÃO]&gt;tabUniformes[[#This Row],[DATA PUBLICAÇÃO]])),1)</f>
        <v>105</v>
      </c>
      <c r="F433" s="172">
        <v>4</v>
      </c>
      <c r="G433" s="172" t="s">
        <v>65</v>
      </c>
      <c r="H433" s="172">
        <v>40</v>
      </c>
      <c r="I433" s="173">
        <v>6737.0056394387893</v>
      </c>
      <c r="J433" s="172">
        <v>160</v>
      </c>
      <c r="K433" s="170">
        <v>14.035428415497478</v>
      </c>
    </row>
    <row r="434" spans="1:11">
      <c r="A434" s="169" t="s">
        <v>17</v>
      </c>
      <c r="B434" s="278" t="s">
        <v>1789</v>
      </c>
      <c r="C434" s="171"/>
      <c r="D434" s="311">
        <v>221.63</v>
      </c>
      <c r="E434" s="170" cm="1">
        <f t="array" ref="E434">tabUniformes[[#This Row],[Valor Inicial]]*IFERROR(PRODUCT(1+_xlfn._xlws.FILTER(tabIndices[PERCENTUAL],tabIndices[DATA DA PUBLICAÇÃO]&gt;tabUniformes[[#This Row],[DATA PUBLICAÇÃO]])),1)</f>
        <v>221.63</v>
      </c>
      <c r="F434" s="172">
        <v>2</v>
      </c>
      <c r="G434" s="172" t="s">
        <v>65</v>
      </c>
      <c r="H434" s="172">
        <v>40</v>
      </c>
      <c r="I434" s="173">
        <v>5774.5762623761048</v>
      </c>
      <c r="J434" s="172">
        <v>80</v>
      </c>
      <c r="K434" s="170">
        <v>12.030367213283551</v>
      </c>
    </row>
    <row r="435" spans="1:11">
      <c r="A435" s="169" t="s">
        <v>12</v>
      </c>
      <c r="B435" s="278" t="s">
        <v>1791</v>
      </c>
      <c r="C435" s="171"/>
      <c r="D435" s="311">
        <v>99</v>
      </c>
      <c r="E435" s="170" cm="1">
        <f t="array" ref="E435">tabUniformes[[#This Row],[Valor Inicial]]*IFERROR(PRODUCT(1+_xlfn._xlws.FILTER(tabIndices[PERCENTUAL],tabIndices[DATA DA PUBLICAÇÃO]&gt;tabUniformes[[#This Row],[DATA PUBLICAÇÃO]])),1)</f>
        <v>99</v>
      </c>
      <c r="F435" s="172">
        <v>6</v>
      </c>
      <c r="G435" s="172" t="s">
        <v>66</v>
      </c>
      <c r="H435" s="172">
        <v>44</v>
      </c>
      <c r="I435" s="173">
        <v>12704.06777722743</v>
      </c>
      <c r="J435" s="172">
        <v>264</v>
      </c>
      <c r="K435" s="170">
        <v>24.060734426567102</v>
      </c>
    </row>
    <row r="436" spans="1:11">
      <c r="A436" s="169" t="s">
        <v>10</v>
      </c>
      <c r="B436" s="278" t="s">
        <v>27</v>
      </c>
      <c r="C436" s="171"/>
      <c r="D436" s="311">
        <v>221.5</v>
      </c>
      <c r="E436" s="170" cm="1">
        <f t="array" ref="E436">tabUniformes[[#This Row],[Valor Inicial]]*IFERROR(PRODUCT(1+_xlfn._xlws.FILTER(tabIndices[PERCENTUAL],tabIndices[DATA DA PUBLICAÇÃO]&gt;tabUniformes[[#This Row],[DATA PUBLICAÇÃO]])),1)</f>
        <v>221.5</v>
      </c>
      <c r="F436" s="172">
        <v>1</v>
      </c>
      <c r="G436" s="172" t="s">
        <v>66</v>
      </c>
      <c r="H436" s="172">
        <v>44</v>
      </c>
      <c r="I436" s="173">
        <v>3440.6850229990964</v>
      </c>
      <c r="J436" s="172">
        <v>44</v>
      </c>
      <c r="K436" s="170">
        <v>6.516448907195258</v>
      </c>
    </row>
    <row r="437" spans="1:11">
      <c r="A437" s="169" t="s">
        <v>11</v>
      </c>
      <c r="B437" s="278" t="s">
        <v>28</v>
      </c>
      <c r="C437" s="171"/>
      <c r="D437" s="311">
        <v>105</v>
      </c>
      <c r="E437" s="170" cm="1">
        <f t="array" ref="E437">tabUniformes[[#This Row],[Valor Inicial]]*IFERROR(PRODUCT(1+_xlfn._xlws.FILTER(tabIndices[PERCENTUAL],tabIndices[DATA DA PUBLICAÇÃO]&gt;tabUniformes[[#This Row],[DATA PUBLICAÇÃO]])),1)</f>
        <v>105</v>
      </c>
      <c r="F437" s="172">
        <v>4</v>
      </c>
      <c r="G437" s="172" t="s">
        <v>66</v>
      </c>
      <c r="H437" s="172">
        <v>44</v>
      </c>
      <c r="I437" s="173">
        <v>7410.7062033826678</v>
      </c>
      <c r="J437" s="172">
        <v>176</v>
      </c>
      <c r="K437" s="170">
        <v>14.035428415497478</v>
      </c>
    </row>
    <row r="438" spans="1:11">
      <c r="A438" s="169" t="s">
        <v>17</v>
      </c>
      <c r="B438" s="278" t="s">
        <v>1789</v>
      </c>
      <c r="C438" s="171"/>
      <c r="D438" s="311">
        <v>221.63</v>
      </c>
      <c r="E438" s="170" cm="1">
        <f t="array" ref="E438">tabUniformes[[#This Row],[Valor Inicial]]*IFERROR(PRODUCT(1+_xlfn._xlws.FILTER(tabIndices[PERCENTUAL],tabIndices[DATA DA PUBLICAÇÃO]&gt;tabUniformes[[#This Row],[DATA PUBLICAÇÃO]])),1)</f>
        <v>221.63</v>
      </c>
      <c r="F438" s="172">
        <v>2</v>
      </c>
      <c r="G438" s="172" t="s">
        <v>66</v>
      </c>
      <c r="H438" s="172">
        <v>44</v>
      </c>
      <c r="I438" s="173">
        <v>6352.0338886137151</v>
      </c>
      <c r="J438" s="172">
        <v>88</v>
      </c>
      <c r="K438" s="170">
        <v>12.030367213283551</v>
      </c>
    </row>
    <row r="439" spans="1:11">
      <c r="A439" s="169" t="s">
        <v>12</v>
      </c>
      <c r="B439" s="278" t="s">
        <v>1791</v>
      </c>
      <c r="C439" s="171"/>
      <c r="D439" s="311">
        <v>99</v>
      </c>
      <c r="E439" s="170" cm="1">
        <f t="array" ref="E439">tabUniformes[[#This Row],[Valor Inicial]]*IFERROR(PRODUCT(1+_xlfn._xlws.FILTER(tabIndices[PERCENTUAL],tabIndices[DATA DA PUBLICAÇÃO]&gt;tabUniformes[[#This Row],[DATA PUBLICAÇÃO]])),1)</f>
        <v>99</v>
      </c>
      <c r="F439" s="172">
        <v>6</v>
      </c>
      <c r="G439" s="172" t="s">
        <v>67</v>
      </c>
      <c r="H439" s="172">
        <v>71</v>
      </c>
      <c r="I439" s="173">
        <v>20499.745731435174</v>
      </c>
      <c r="J439" s="172">
        <v>426</v>
      </c>
      <c r="K439" s="170">
        <v>24.060734426567105</v>
      </c>
    </row>
    <row r="440" spans="1:11">
      <c r="A440" s="169" t="s">
        <v>10</v>
      </c>
      <c r="B440" s="278" t="s">
        <v>27</v>
      </c>
      <c r="C440" s="171"/>
      <c r="D440" s="311">
        <v>221.5</v>
      </c>
      <c r="E440" s="170" cm="1">
        <f t="array" ref="E440">tabUniformes[[#This Row],[Valor Inicial]]*IFERROR(PRODUCT(1+_xlfn._xlws.FILTER(tabIndices[PERCENTUAL],tabIndices[DATA DA PUBLICAÇÃO]&gt;tabUniformes[[#This Row],[DATA PUBLICAÇÃO]])),1)</f>
        <v>221.5</v>
      </c>
      <c r="F440" s="172">
        <v>1</v>
      </c>
      <c r="G440" s="172" t="s">
        <v>67</v>
      </c>
      <c r="H440" s="172">
        <v>71</v>
      </c>
      <c r="I440" s="173">
        <v>5552.0144689303597</v>
      </c>
      <c r="J440" s="172">
        <v>71</v>
      </c>
      <c r="K440" s="170">
        <v>6.516448907195258</v>
      </c>
    </row>
    <row r="441" spans="1:11">
      <c r="A441" s="169" t="s">
        <v>11</v>
      </c>
      <c r="B441" s="278" t="s">
        <v>28</v>
      </c>
      <c r="C441" s="171"/>
      <c r="D441" s="311">
        <v>105</v>
      </c>
      <c r="E441" s="170" cm="1">
        <f t="array" ref="E441">tabUniformes[[#This Row],[Valor Inicial]]*IFERROR(PRODUCT(1+_xlfn._xlws.FILTER(tabIndices[PERCENTUAL],tabIndices[DATA DA PUBLICAÇÃO]&gt;tabUniformes[[#This Row],[DATA PUBLICAÇÃO]])),1)</f>
        <v>105</v>
      </c>
      <c r="F441" s="172">
        <v>4</v>
      </c>
      <c r="G441" s="172" t="s">
        <v>67</v>
      </c>
      <c r="H441" s="172">
        <v>71</v>
      </c>
      <c r="I441" s="173">
        <v>11958.185010003852</v>
      </c>
      <c r="J441" s="172">
        <v>284</v>
      </c>
      <c r="K441" s="170">
        <v>14.035428415497478</v>
      </c>
    </row>
    <row r="442" spans="1:11">
      <c r="A442" s="169" t="s">
        <v>17</v>
      </c>
      <c r="B442" s="278" t="s">
        <v>1789</v>
      </c>
      <c r="C442" s="171"/>
      <c r="D442" s="311">
        <v>221.63</v>
      </c>
      <c r="E442" s="170" cm="1">
        <f t="array" ref="E442">tabUniformes[[#This Row],[Valor Inicial]]*IFERROR(PRODUCT(1+_xlfn._xlws.FILTER(tabIndices[PERCENTUAL],tabIndices[DATA DA PUBLICAÇÃO]&gt;tabUniformes[[#This Row],[DATA PUBLICAÇÃO]])),1)</f>
        <v>221.63</v>
      </c>
      <c r="F442" s="172">
        <v>2</v>
      </c>
      <c r="G442" s="172" t="s">
        <v>67</v>
      </c>
      <c r="H442" s="172">
        <v>71</v>
      </c>
      <c r="I442" s="173">
        <v>10249.872865717587</v>
      </c>
      <c r="J442" s="172">
        <v>142</v>
      </c>
      <c r="K442" s="170">
        <v>12.030367213283553</v>
      </c>
    </row>
    <row r="443" spans="1:11">
      <c r="A443" s="169" t="s">
        <v>12</v>
      </c>
      <c r="B443" s="278" t="s">
        <v>1791</v>
      </c>
      <c r="C443" s="171"/>
      <c r="D443" s="311">
        <v>99</v>
      </c>
      <c r="E443" s="170" cm="1">
        <f t="array" ref="E443">tabUniformes[[#This Row],[Valor Inicial]]*IFERROR(PRODUCT(1+_xlfn._xlws.FILTER(tabIndices[PERCENTUAL],tabIndices[DATA DA PUBLICAÇÃO]&gt;tabUniformes[[#This Row],[DATA PUBLICAÇÃO]])),1)</f>
        <v>99</v>
      </c>
      <c r="F443" s="172">
        <v>6</v>
      </c>
      <c r="G443" s="172" t="s">
        <v>68</v>
      </c>
      <c r="H443" s="172">
        <v>26</v>
      </c>
      <c r="I443" s="173">
        <v>7506.9491410889368</v>
      </c>
      <c r="J443" s="172">
        <v>156</v>
      </c>
      <c r="K443" s="170">
        <v>24.060734426567105</v>
      </c>
    </row>
    <row r="444" spans="1:11">
      <c r="A444" s="169" t="s">
        <v>10</v>
      </c>
      <c r="B444" s="278" t="s">
        <v>27</v>
      </c>
      <c r="C444" s="171"/>
      <c r="D444" s="311">
        <v>221.5</v>
      </c>
      <c r="E444" s="170" cm="1">
        <f t="array" ref="E444">tabUniformes[[#This Row],[Valor Inicial]]*IFERROR(PRODUCT(1+_xlfn._xlws.FILTER(tabIndices[PERCENTUAL],tabIndices[DATA DA PUBLICAÇÃO]&gt;tabUniformes[[#This Row],[DATA PUBLICAÇÃO]])),1)</f>
        <v>221.5</v>
      </c>
      <c r="F444" s="172">
        <v>1</v>
      </c>
      <c r="G444" s="172" t="s">
        <v>68</v>
      </c>
      <c r="H444" s="172">
        <v>26</v>
      </c>
      <c r="I444" s="173">
        <v>2033.1320590449204</v>
      </c>
      <c r="J444" s="172">
        <v>26</v>
      </c>
      <c r="K444" s="170">
        <v>6.516448907195258</v>
      </c>
    </row>
    <row r="445" spans="1:11">
      <c r="A445" s="169" t="s">
        <v>11</v>
      </c>
      <c r="B445" s="278" t="s">
        <v>28</v>
      </c>
      <c r="C445" s="171"/>
      <c r="D445" s="311">
        <v>105</v>
      </c>
      <c r="E445" s="170" cm="1">
        <f t="array" ref="E445">tabUniformes[[#This Row],[Valor Inicial]]*IFERROR(PRODUCT(1+_xlfn._xlws.FILTER(tabIndices[PERCENTUAL],tabIndices[DATA DA PUBLICAÇÃO]&gt;tabUniformes[[#This Row],[DATA PUBLICAÇÃO]])),1)</f>
        <v>105</v>
      </c>
      <c r="F445" s="172">
        <v>4</v>
      </c>
      <c r="G445" s="172" t="s">
        <v>68</v>
      </c>
      <c r="H445" s="172">
        <v>26</v>
      </c>
      <c r="I445" s="173">
        <v>4379.0536656352133</v>
      </c>
      <c r="J445" s="172">
        <v>104</v>
      </c>
      <c r="K445" s="170">
        <v>14.035428415497478</v>
      </c>
    </row>
    <row r="446" spans="1:11">
      <c r="A446" s="169" t="s">
        <v>17</v>
      </c>
      <c r="B446" s="278" t="s">
        <v>1789</v>
      </c>
      <c r="C446" s="171"/>
      <c r="D446" s="311">
        <v>221.63</v>
      </c>
      <c r="E446" s="170" cm="1">
        <f t="array" ref="E446">tabUniformes[[#This Row],[Valor Inicial]]*IFERROR(PRODUCT(1+_xlfn._xlws.FILTER(tabIndices[PERCENTUAL],tabIndices[DATA DA PUBLICAÇÃO]&gt;tabUniformes[[#This Row],[DATA PUBLICAÇÃO]])),1)</f>
        <v>221.63</v>
      </c>
      <c r="F446" s="172">
        <v>2</v>
      </c>
      <c r="G446" s="172" t="s">
        <v>68</v>
      </c>
      <c r="H446" s="172">
        <v>26</v>
      </c>
      <c r="I446" s="173">
        <v>3753.4745705444684</v>
      </c>
      <c r="J446" s="172">
        <v>52</v>
      </c>
      <c r="K446" s="170">
        <v>12.030367213283553</v>
      </c>
    </row>
    <row r="447" spans="1:11">
      <c r="A447" s="169" t="s">
        <v>12</v>
      </c>
      <c r="B447" s="278" t="s">
        <v>1791</v>
      </c>
      <c r="C447" s="171"/>
      <c r="D447" s="311">
        <v>99</v>
      </c>
      <c r="E447" s="170" cm="1">
        <f t="array" ref="E447">tabUniformes[[#This Row],[Valor Inicial]]*IFERROR(PRODUCT(1+_xlfn._xlws.FILTER(tabIndices[PERCENTUAL],tabIndices[DATA DA PUBLICAÇÃO]&gt;tabUniformes[[#This Row],[DATA PUBLICAÇÃO]])),1)</f>
        <v>99</v>
      </c>
      <c r="F447" s="172">
        <v>6</v>
      </c>
      <c r="G447" s="172" t="s">
        <v>69</v>
      </c>
      <c r="H447" s="172">
        <v>223</v>
      </c>
      <c r="I447" s="173">
        <v>64386.525325493567</v>
      </c>
      <c r="J447" s="172">
        <v>1338</v>
      </c>
      <c r="K447" s="170">
        <v>24.060734426567105</v>
      </c>
    </row>
    <row r="448" spans="1:11">
      <c r="A448" s="169" t="s">
        <v>10</v>
      </c>
      <c r="B448" s="278" t="s">
        <v>27</v>
      </c>
      <c r="C448" s="171"/>
      <c r="D448" s="311">
        <v>221.5</v>
      </c>
      <c r="E448" s="170" cm="1">
        <f t="array" ref="E448">tabUniformes[[#This Row],[Valor Inicial]]*IFERROR(PRODUCT(1+_xlfn._xlws.FILTER(tabIndices[PERCENTUAL],tabIndices[DATA DA PUBLICAÇÃO]&gt;tabUniformes[[#This Row],[DATA PUBLICAÇÃO]])),1)</f>
        <v>221.5</v>
      </c>
      <c r="F448" s="172">
        <v>1</v>
      </c>
      <c r="G448" s="172" t="s">
        <v>69</v>
      </c>
      <c r="H448" s="172">
        <v>223</v>
      </c>
      <c r="I448" s="173">
        <v>17438.017275654511</v>
      </c>
      <c r="J448" s="172">
        <v>223</v>
      </c>
      <c r="K448" s="170">
        <v>6.516448907195258</v>
      </c>
    </row>
    <row r="449" spans="1:11">
      <c r="A449" s="169" t="s">
        <v>11</v>
      </c>
      <c r="B449" s="278" t="s">
        <v>28</v>
      </c>
      <c r="C449" s="171"/>
      <c r="D449" s="311">
        <v>105</v>
      </c>
      <c r="E449" s="170" cm="1">
        <f t="array" ref="E449">tabUniformes[[#This Row],[Valor Inicial]]*IFERROR(PRODUCT(1+_xlfn._xlws.FILTER(tabIndices[PERCENTUAL],tabIndices[DATA DA PUBLICAÇÃO]&gt;tabUniformes[[#This Row],[DATA PUBLICAÇÃO]])),1)</f>
        <v>105</v>
      </c>
      <c r="F449" s="172">
        <v>4</v>
      </c>
      <c r="G449" s="172" t="s">
        <v>69</v>
      </c>
      <c r="H449" s="172">
        <v>223</v>
      </c>
      <c r="I449" s="173">
        <v>37558.806439871252</v>
      </c>
      <c r="J449" s="172">
        <v>892</v>
      </c>
      <c r="K449" s="170">
        <v>14.035428415497478</v>
      </c>
    </row>
    <row r="450" spans="1:11">
      <c r="A450" s="169" t="s">
        <v>17</v>
      </c>
      <c r="B450" s="278" t="s">
        <v>1789</v>
      </c>
      <c r="C450" s="171"/>
      <c r="D450" s="311">
        <v>221.63</v>
      </c>
      <c r="E450" s="170" cm="1">
        <f t="array" ref="E450">tabUniformes[[#This Row],[Valor Inicial]]*IFERROR(PRODUCT(1+_xlfn._xlws.FILTER(tabIndices[PERCENTUAL],tabIndices[DATA DA PUBLICAÇÃO]&gt;tabUniformes[[#This Row],[DATA PUBLICAÇÃO]])),1)</f>
        <v>221.63</v>
      </c>
      <c r="F450" s="172">
        <v>2</v>
      </c>
      <c r="G450" s="172" t="s">
        <v>69</v>
      </c>
      <c r="H450" s="172">
        <v>223</v>
      </c>
      <c r="I450" s="173">
        <v>32193.262662746783</v>
      </c>
      <c r="J450" s="172">
        <v>446</v>
      </c>
      <c r="K450" s="170">
        <v>12.030367213283553</v>
      </c>
    </row>
    <row r="451" spans="1:11">
      <c r="A451" s="169" t="s">
        <v>17</v>
      </c>
      <c r="B451" s="278" t="s">
        <v>1808</v>
      </c>
      <c r="C451" s="171"/>
      <c r="D451" s="311">
        <v>280.04000000000002</v>
      </c>
      <c r="E451" s="170" cm="1">
        <f t="array" ref="E451">tabUniformes[[#This Row],[Valor Inicial]]*IFERROR(PRODUCT(1+_xlfn._xlws.FILTER(tabIndices[PERCENTUAL],tabIndices[DATA DA PUBLICAÇÃO]&gt;tabUniformes[[#This Row],[DATA PUBLICAÇÃO]])),1)</f>
        <v>280.04000000000002</v>
      </c>
      <c r="F451" s="172">
        <v>2</v>
      </c>
      <c r="G451" s="172" t="s">
        <v>70</v>
      </c>
      <c r="H451" s="172">
        <v>4</v>
      </c>
      <c r="I451" s="173">
        <f>tabUniformes[[#This Row],[Valor Reajustado]]*tabUniformes[[#This Row],[Qtde Anual de Peças]]*tabUniformes[[#This Row],[Qtde. funcionários]]</f>
        <v>2240.3200000000002</v>
      </c>
      <c r="J451" s="172">
        <f>tabUniformes[[#This Row],[Qtde Anual de Peças]]*tabUniformes[[#This Row],[Qtde. funcionários]]</f>
        <v>8</v>
      </c>
      <c r="K451" s="170">
        <f>IFERROR(tabUniformes[[#This Row],[Total]]/12/tabUniformes[[#This Row],[Qtde. funcionários]],0)</f>
        <v>46.673333333333339</v>
      </c>
    </row>
    <row r="452" spans="1:11">
      <c r="A452" s="169" t="s">
        <v>11</v>
      </c>
      <c r="B452" s="278" t="s">
        <v>30</v>
      </c>
      <c r="C452" s="171"/>
      <c r="D452" s="311">
        <v>94.82</v>
      </c>
      <c r="E452" s="170" cm="1">
        <f t="array" ref="E452">tabUniformes[[#This Row],[Valor Inicial]]*IFERROR(PRODUCT(1+_xlfn._xlws.FILTER(tabIndices[PERCENTUAL],tabIndices[DATA DA PUBLICAÇÃO]&gt;tabUniformes[[#This Row],[DATA PUBLICAÇÃO]])),1)</f>
        <v>94.82</v>
      </c>
      <c r="F452" s="172">
        <v>4</v>
      </c>
      <c r="G452" s="172" t="s">
        <v>70</v>
      </c>
      <c r="H452" s="172">
        <v>4</v>
      </c>
      <c r="I452" s="173">
        <v>866.1864393564158</v>
      </c>
      <c r="J452" s="172">
        <v>16</v>
      </c>
      <c r="K452" s="170">
        <v>18.045550819925328</v>
      </c>
    </row>
    <row r="453" spans="1:11">
      <c r="A453" s="169" t="s">
        <v>14</v>
      </c>
      <c r="B453" s="278" t="s">
        <v>25</v>
      </c>
      <c r="C453" s="171"/>
      <c r="D453" s="311">
        <v>95.13</v>
      </c>
      <c r="E453" s="170" cm="1">
        <f t="array" ref="E453">tabUniformes[[#This Row],[Valor Inicial]]*IFERROR(PRODUCT(1+_xlfn._xlws.FILTER(tabIndices[PERCENTUAL],tabIndices[DATA DA PUBLICAÇÃO]&gt;tabUniformes[[#This Row],[DATA PUBLICAÇÃO]])),1)</f>
        <v>95.13</v>
      </c>
      <c r="F453" s="172">
        <v>1</v>
      </c>
      <c r="G453" s="172" t="s">
        <v>70</v>
      </c>
      <c r="H453" s="172">
        <v>4</v>
      </c>
      <c r="I453" s="173">
        <v>240.60734426567106</v>
      </c>
      <c r="J453" s="172">
        <v>4</v>
      </c>
      <c r="K453" s="170">
        <v>5.0126530055348137</v>
      </c>
    </row>
    <row r="454" spans="1:11">
      <c r="A454" s="169" t="s">
        <v>12</v>
      </c>
      <c r="B454" s="278" t="s">
        <v>32</v>
      </c>
      <c r="C454" s="171"/>
      <c r="D454" s="311">
        <v>69.83</v>
      </c>
      <c r="E454" s="170" cm="1">
        <f t="array" ref="E454">tabUniformes[[#This Row],[Valor Inicial]]*IFERROR(PRODUCT(1+_xlfn._xlws.FILTER(tabIndices[PERCENTUAL],tabIndices[DATA DA PUBLICAÇÃO]&gt;tabUniformes[[#This Row],[DATA PUBLICAÇÃO]])),1)</f>
        <v>69.83</v>
      </c>
      <c r="F454" s="172">
        <v>6</v>
      </c>
      <c r="G454" s="172" t="s">
        <v>70</v>
      </c>
      <c r="H454" s="172">
        <v>4</v>
      </c>
      <c r="I454" s="173">
        <v>1010.5508459158184</v>
      </c>
      <c r="J454" s="172">
        <v>24</v>
      </c>
      <c r="K454" s="170">
        <v>21.053142623246217</v>
      </c>
    </row>
    <row r="455" spans="1:11">
      <c r="A455" s="169" t="s">
        <v>17</v>
      </c>
      <c r="B455" s="278" t="s">
        <v>1808</v>
      </c>
      <c r="C455" s="171"/>
      <c r="D455" s="311">
        <v>280.04000000000002</v>
      </c>
      <c r="E455" s="170" cm="1">
        <f t="array" ref="E455">tabUniformes[[#This Row],[Valor Inicial]]*IFERROR(PRODUCT(1+_xlfn._xlws.FILTER(tabIndices[PERCENTUAL],tabIndices[DATA DA PUBLICAÇÃO]&gt;tabUniformes[[#This Row],[DATA PUBLICAÇÃO]])),1)</f>
        <v>280.04000000000002</v>
      </c>
      <c r="F455" s="172">
        <v>2</v>
      </c>
      <c r="G455" s="172" t="s">
        <v>71</v>
      </c>
      <c r="H455" s="172">
        <v>4</v>
      </c>
      <c r="I455" s="173">
        <f>tabUniformes[[#This Row],[Valor Reajustado]]*tabUniformes[[#This Row],[Qtde Anual de Peças]]*tabUniformes[[#This Row],[Qtde. funcionários]]</f>
        <v>2240.3200000000002</v>
      </c>
      <c r="J455" s="172">
        <f>tabUniformes[[#This Row],[Qtde Anual de Peças]]*tabUniformes[[#This Row],[Qtde. funcionários]]</f>
        <v>8</v>
      </c>
      <c r="K455" s="170">
        <f>IFERROR(tabUniformes[[#This Row],[Total]]/12/tabUniformes[[#This Row],[Qtde. funcionários]],0)</f>
        <v>46.673333333333339</v>
      </c>
    </row>
    <row r="456" spans="1:11">
      <c r="A456" s="169" t="s">
        <v>11</v>
      </c>
      <c r="B456" s="278" t="s">
        <v>30</v>
      </c>
      <c r="C456" s="171"/>
      <c r="D456" s="311">
        <v>94.82</v>
      </c>
      <c r="E456" s="170" cm="1">
        <f t="array" ref="E456">tabUniformes[[#This Row],[Valor Inicial]]*IFERROR(PRODUCT(1+_xlfn._xlws.FILTER(tabIndices[PERCENTUAL],tabIndices[DATA DA PUBLICAÇÃO]&gt;tabUniformes[[#This Row],[DATA PUBLICAÇÃO]])),1)</f>
        <v>94.82</v>
      </c>
      <c r="F456" s="172">
        <v>4</v>
      </c>
      <c r="G456" s="172" t="s">
        <v>71</v>
      </c>
      <c r="H456" s="172">
        <v>4</v>
      </c>
      <c r="I456" s="173">
        <v>866.1864393564158</v>
      </c>
      <c r="J456" s="172">
        <v>16</v>
      </c>
      <c r="K456" s="170">
        <v>18.045550819925328</v>
      </c>
    </row>
    <row r="457" spans="1:11">
      <c r="A457" s="169" t="s">
        <v>14</v>
      </c>
      <c r="B457" s="278" t="s">
        <v>25</v>
      </c>
      <c r="C457" s="171"/>
      <c r="D457" s="311">
        <v>95.13</v>
      </c>
      <c r="E457" s="170" cm="1">
        <f t="array" ref="E457">tabUniformes[[#This Row],[Valor Inicial]]*IFERROR(PRODUCT(1+_xlfn._xlws.FILTER(tabIndices[PERCENTUAL],tabIndices[DATA DA PUBLICAÇÃO]&gt;tabUniformes[[#This Row],[DATA PUBLICAÇÃO]])),1)</f>
        <v>95.13</v>
      </c>
      <c r="F457" s="172">
        <v>1</v>
      </c>
      <c r="G457" s="172" t="s">
        <v>71</v>
      </c>
      <c r="H457" s="172">
        <v>4</v>
      </c>
      <c r="I457" s="173">
        <v>240.60734426567106</v>
      </c>
      <c r="J457" s="172">
        <v>4</v>
      </c>
      <c r="K457" s="170">
        <v>5.0126530055348137</v>
      </c>
    </row>
    <row r="458" spans="1:11">
      <c r="A458" s="169" t="s">
        <v>12</v>
      </c>
      <c r="B458" s="278" t="s">
        <v>32</v>
      </c>
      <c r="C458" s="171"/>
      <c r="D458" s="311">
        <v>69.83</v>
      </c>
      <c r="E458" s="170" cm="1">
        <f t="array" ref="E458">tabUniformes[[#This Row],[Valor Inicial]]*IFERROR(PRODUCT(1+_xlfn._xlws.FILTER(tabIndices[PERCENTUAL],tabIndices[DATA DA PUBLICAÇÃO]&gt;tabUniformes[[#This Row],[DATA PUBLICAÇÃO]])),1)</f>
        <v>69.83</v>
      </c>
      <c r="F458" s="172">
        <v>6</v>
      </c>
      <c r="G458" s="172" t="s">
        <v>71</v>
      </c>
      <c r="H458" s="172">
        <v>4</v>
      </c>
      <c r="I458" s="173">
        <v>1010.5508459158184</v>
      </c>
      <c r="J458" s="172">
        <v>24</v>
      </c>
      <c r="K458" s="170">
        <v>21.053142623246217</v>
      </c>
    </row>
    <row r="459" spans="1:11">
      <c r="A459" s="169" t="s">
        <v>17</v>
      </c>
      <c r="B459" s="278" t="s">
        <v>1808</v>
      </c>
      <c r="C459" s="171"/>
      <c r="D459" s="311">
        <v>280.04000000000002</v>
      </c>
      <c r="E459" s="170" cm="1">
        <f t="array" ref="E459">tabUniformes[[#This Row],[Valor Inicial]]*IFERROR(PRODUCT(1+_xlfn._xlws.FILTER(tabIndices[PERCENTUAL],tabIndices[DATA DA PUBLICAÇÃO]&gt;tabUniformes[[#This Row],[DATA PUBLICAÇÃO]])),1)</f>
        <v>280.04000000000002</v>
      </c>
      <c r="F459" s="172">
        <v>2</v>
      </c>
      <c r="G459" s="172" t="s">
        <v>72</v>
      </c>
      <c r="H459" s="172">
        <v>1</v>
      </c>
      <c r="I459" s="173">
        <f>tabUniformes[[#This Row],[Valor Reajustado]]*tabUniformes[[#This Row],[Qtde Anual de Peças]]*tabUniformes[[#This Row],[Qtde. funcionários]]</f>
        <v>560.08000000000004</v>
      </c>
      <c r="J459" s="172">
        <f>tabUniformes[[#This Row],[Qtde Anual de Peças]]*tabUniformes[[#This Row],[Qtde. funcionários]]</f>
        <v>2</v>
      </c>
      <c r="K459" s="170">
        <f>IFERROR(tabUniformes[[#This Row],[Total]]/12/tabUniformes[[#This Row],[Qtde. funcionários]],0)</f>
        <v>46.673333333333339</v>
      </c>
    </row>
    <row r="460" spans="1:11">
      <c r="A460" s="169" t="s">
        <v>11</v>
      </c>
      <c r="B460" s="278" t="s">
        <v>30</v>
      </c>
      <c r="C460" s="171"/>
      <c r="D460" s="311">
        <v>94.82</v>
      </c>
      <c r="E460" s="170" cm="1">
        <f t="array" ref="E460">tabUniformes[[#This Row],[Valor Inicial]]*IFERROR(PRODUCT(1+_xlfn._xlws.FILTER(tabIndices[PERCENTUAL],tabIndices[DATA DA PUBLICAÇÃO]&gt;tabUniformes[[#This Row],[DATA PUBLICAÇÃO]])),1)</f>
        <v>94.82</v>
      </c>
      <c r="F460" s="172">
        <v>4</v>
      </c>
      <c r="G460" s="172" t="s">
        <v>72</v>
      </c>
      <c r="H460" s="172">
        <v>1</v>
      </c>
      <c r="I460" s="173">
        <v>433.0932196782079</v>
      </c>
      <c r="J460" s="172">
        <v>8</v>
      </c>
      <c r="K460" s="170">
        <v>18.045550819925328</v>
      </c>
    </row>
    <row r="461" spans="1:11">
      <c r="A461" s="169" t="s">
        <v>14</v>
      </c>
      <c r="B461" s="278" t="s">
        <v>25</v>
      </c>
      <c r="C461" s="171"/>
      <c r="D461" s="311">
        <v>95.13</v>
      </c>
      <c r="E461" s="170" cm="1">
        <f t="array" ref="E461">tabUniformes[[#This Row],[Valor Inicial]]*IFERROR(PRODUCT(1+_xlfn._xlws.FILTER(tabIndices[PERCENTUAL],tabIndices[DATA DA PUBLICAÇÃO]&gt;tabUniformes[[#This Row],[DATA PUBLICAÇÃO]])),1)</f>
        <v>95.13</v>
      </c>
      <c r="F461" s="172">
        <v>1</v>
      </c>
      <c r="G461" s="172" t="s">
        <v>72</v>
      </c>
      <c r="H461" s="172">
        <v>1</v>
      </c>
      <c r="I461" s="173">
        <v>120.30367213283553</v>
      </c>
      <c r="J461" s="172">
        <v>2</v>
      </c>
      <c r="K461" s="170">
        <v>5.0126530055348137</v>
      </c>
    </row>
    <row r="462" spans="1:11">
      <c r="A462" s="169" t="s">
        <v>12</v>
      </c>
      <c r="B462" s="278" t="s">
        <v>32</v>
      </c>
      <c r="C462" s="171"/>
      <c r="D462" s="311">
        <v>69.83</v>
      </c>
      <c r="E462" s="170" cm="1">
        <f t="array" ref="E462">tabUniformes[[#This Row],[Valor Inicial]]*IFERROR(PRODUCT(1+_xlfn._xlws.FILTER(tabIndices[PERCENTUAL],tabIndices[DATA DA PUBLICAÇÃO]&gt;tabUniformes[[#This Row],[DATA PUBLICAÇÃO]])),1)</f>
        <v>69.83</v>
      </c>
      <c r="F462" s="172">
        <v>6</v>
      </c>
      <c r="G462" s="172" t="s">
        <v>72</v>
      </c>
      <c r="H462" s="172">
        <v>1</v>
      </c>
      <c r="I462" s="173">
        <v>505.2754229579092</v>
      </c>
      <c r="J462" s="172">
        <v>12</v>
      </c>
      <c r="K462" s="170">
        <v>21.053142623246217</v>
      </c>
    </row>
    <row r="463" spans="1:11">
      <c r="A463" s="169" t="s">
        <v>17</v>
      </c>
      <c r="B463" s="278" t="s">
        <v>1808</v>
      </c>
      <c r="C463" s="171"/>
      <c r="D463" s="311">
        <v>280.04000000000002</v>
      </c>
      <c r="E463" s="170" cm="1">
        <f t="array" ref="E463">tabUniformes[[#This Row],[Valor Inicial]]*IFERROR(PRODUCT(1+_xlfn._xlws.FILTER(tabIndices[PERCENTUAL],tabIndices[DATA DA PUBLICAÇÃO]&gt;tabUniformes[[#This Row],[DATA PUBLICAÇÃO]])),1)</f>
        <v>280.04000000000002</v>
      </c>
      <c r="F463" s="172">
        <v>2</v>
      </c>
      <c r="G463" s="172" t="s">
        <v>73</v>
      </c>
      <c r="H463" s="172">
        <v>2</v>
      </c>
      <c r="I463" s="173">
        <f>tabUniformes[[#This Row],[Valor Reajustado]]*tabUniformes[[#This Row],[Qtde Anual de Peças]]*tabUniformes[[#This Row],[Qtde. funcionários]]</f>
        <v>1120.1600000000001</v>
      </c>
      <c r="J463" s="172">
        <f>tabUniformes[[#This Row],[Qtde Anual de Peças]]*tabUniformes[[#This Row],[Qtde. funcionários]]</f>
        <v>4</v>
      </c>
      <c r="K463" s="170">
        <f>IFERROR(tabUniformes[[#This Row],[Total]]/12/tabUniformes[[#This Row],[Qtde. funcionários]],0)</f>
        <v>46.673333333333339</v>
      </c>
    </row>
    <row r="464" spans="1:11">
      <c r="A464" s="169" t="s">
        <v>11</v>
      </c>
      <c r="B464" s="278" t="s">
        <v>30</v>
      </c>
      <c r="C464" s="171"/>
      <c r="D464" s="311">
        <v>94.82</v>
      </c>
      <c r="E464" s="170" cm="1">
        <f t="array" ref="E464">tabUniformes[[#This Row],[Valor Inicial]]*IFERROR(PRODUCT(1+_xlfn._xlws.FILTER(tabIndices[PERCENTUAL],tabIndices[DATA DA PUBLICAÇÃO]&gt;tabUniformes[[#This Row],[DATA PUBLICAÇÃO]])),1)</f>
        <v>94.82</v>
      </c>
      <c r="F464" s="172">
        <v>4</v>
      </c>
      <c r="G464" s="172" t="s">
        <v>73</v>
      </c>
      <c r="H464" s="172">
        <v>2</v>
      </c>
      <c r="I464" s="173">
        <v>433.0932196782079</v>
      </c>
      <c r="J464" s="172">
        <v>8</v>
      </c>
      <c r="K464" s="170">
        <v>18.045550819925328</v>
      </c>
    </row>
    <row r="465" spans="1:11">
      <c r="A465" s="169" t="s">
        <v>14</v>
      </c>
      <c r="B465" s="278" t="s">
        <v>25</v>
      </c>
      <c r="C465" s="171"/>
      <c r="D465" s="311">
        <v>95.13</v>
      </c>
      <c r="E465" s="170" cm="1">
        <f t="array" ref="E465">tabUniformes[[#This Row],[Valor Inicial]]*IFERROR(PRODUCT(1+_xlfn._xlws.FILTER(tabIndices[PERCENTUAL],tabIndices[DATA DA PUBLICAÇÃO]&gt;tabUniformes[[#This Row],[DATA PUBLICAÇÃO]])),1)</f>
        <v>95.13</v>
      </c>
      <c r="F465" s="172">
        <v>1</v>
      </c>
      <c r="G465" s="172" t="s">
        <v>73</v>
      </c>
      <c r="H465" s="172">
        <v>2</v>
      </c>
      <c r="I465" s="173">
        <v>120.30367213283553</v>
      </c>
      <c r="J465" s="172">
        <v>2</v>
      </c>
      <c r="K465" s="170">
        <v>5.0126530055348137</v>
      </c>
    </row>
    <row r="466" spans="1:11">
      <c r="A466" s="169" t="s">
        <v>12</v>
      </c>
      <c r="B466" s="278" t="s">
        <v>32</v>
      </c>
      <c r="C466" s="171"/>
      <c r="D466" s="311">
        <v>69.83</v>
      </c>
      <c r="E466" s="170" cm="1">
        <f t="array" ref="E466">tabUniformes[[#This Row],[Valor Inicial]]*IFERROR(PRODUCT(1+_xlfn._xlws.FILTER(tabIndices[PERCENTUAL],tabIndices[DATA DA PUBLICAÇÃO]&gt;tabUniformes[[#This Row],[DATA PUBLICAÇÃO]])),1)</f>
        <v>69.83</v>
      </c>
      <c r="F466" s="172">
        <v>6</v>
      </c>
      <c r="G466" s="172" t="s">
        <v>73</v>
      </c>
      <c r="H466" s="172">
        <v>2</v>
      </c>
      <c r="I466" s="173">
        <v>505.2754229579092</v>
      </c>
      <c r="J466" s="172">
        <v>12</v>
      </c>
      <c r="K466" s="170">
        <v>21.053142623246217</v>
      </c>
    </row>
    <row r="467" spans="1:11">
      <c r="A467" s="169" t="s">
        <v>17</v>
      </c>
      <c r="B467" s="278" t="s">
        <v>1808</v>
      </c>
      <c r="C467" s="171"/>
      <c r="D467" s="311">
        <v>280.04000000000002</v>
      </c>
      <c r="E467" s="170" cm="1">
        <f t="array" ref="E467">tabUniformes[[#This Row],[Valor Inicial]]*IFERROR(PRODUCT(1+_xlfn._xlws.FILTER(tabIndices[PERCENTUAL],tabIndices[DATA DA PUBLICAÇÃO]&gt;tabUniformes[[#This Row],[DATA PUBLICAÇÃO]])),1)</f>
        <v>280.04000000000002</v>
      </c>
      <c r="F467" s="172">
        <v>2</v>
      </c>
      <c r="G467" s="172" t="s">
        <v>74</v>
      </c>
      <c r="H467" s="172">
        <v>8</v>
      </c>
      <c r="I467" s="173">
        <f>tabUniformes[[#This Row],[Valor Reajustado]]*tabUniformes[[#This Row],[Qtde Anual de Peças]]*tabUniformes[[#This Row],[Qtde. funcionários]]</f>
        <v>4480.6400000000003</v>
      </c>
      <c r="J467" s="172">
        <f>tabUniformes[[#This Row],[Qtde Anual de Peças]]*tabUniformes[[#This Row],[Qtde. funcionários]]</f>
        <v>16</v>
      </c>
      <c r="K467" s="170">
        <f>IFERROR(tabUniformes[[#This Row],[Total]]/12/tabUniformes[[#This Row],[Qtde. funcionários]],0)</f>
        <v>46.673333333333339</v>
      </c>
    </row>
    <row r="468" spans="1:11">
      <c r="A468" s="169" t="s">
        <v>11</v>
      </c>
      <c r="B468" s="278" t="s">
        <v>30</v>
      </c>
      <c r="C468" s="171"/>
      <c r="D468" s="311">
        <v>94.82</v>
      </c>
      <c r="E468" s="170" cm="1">
        <f t="array" ref="E468">tabUniformes[[#This Row],[Valor Inicial]]*IFERROR(PRODUCT(1+_xlfn._xlws.FILTER(tabIndices[PERCENTUAL],tabIndices[DATA DA PUBLICAÇÃO]&gt;tabUniformes[[#This Row],[DATA PUBLICAÇÃO]])),1)</f>
        <v>94.82</v>
      </c>
      <c r="F468" s="172">
        <v>4</v>
      </c>
      <c r="G468" s="172" t="s">
        <v>74</v>
      </c>
      <c r="H468" s="172">
        <v>8</v>
      </c>
      <c r="I468" s="173">
        <v>1732.3728787128316</v>
      </c>
      <c r="J468" s="172">
        <v>32</v>
      </c>
      <c r="K468" s="170">
        <v>18.045550819925328</v>
      </c>
    </row>
    <row r="469" spans="1:11">
      <c r="A469" s="169" t="s">
        <v>14</v>
      </c>
      <c r="B469" s="278" t="s">
        <v>25</v>
      </c>
      <c r="C469" s="171"/>
      <c r="D469" s="311">
        <v>95.13</v>
      </c>
      <c r="E469" s="170" cm="1">
        <f t="array" ref="E469">tabUniformes[[#This Row],[Valor Inicial]]*IFERROR(PRODUCT(1+_xlfn._xlws.FILTER(tabIndices[PERCENTUAL],tabIndices[DATA DA PUBLICAÇÃO]&gt;tabUniformes[[#This Row],[DATA PUBLICAÇÃO]])),1)</f>
        <v>95.13</v>
      </c>
      <c r="F469" s="172">
        <v>1</v>
      </c>
      <c r="G469" s="172" t="s">
        <v>74</v>
      </c>
      <c r="H469" s="172">
        <v>8</v>
      </c>
      <c r="I469" s="173">
        <v>481.21468853134212</v>
      </c>
      <c r="J469" s="172">
        <v>8</v>
      </c>
      <c r="K469" s="170">
        <v>5.0126530055348137</v>
      </c>
    </row>
    <row r="470" spans="1:11">
      <c r="A470" s="169" t="s">
        <v>12</v>
      </c>
      <c r="B470" s="278" t="s">
        <v>32</v>
      </c>
      <c r="C470" s="171"/>
      <c r="D470" s="311">
        <v>69.83</v>
      </c>
      <c r="E470" s="170" cm="1">
        <f t="array" ref="E470">tabUniformes[[#This Row],[Valor Inicial]]*IFERROR(PRODUCT(1+_xlfn._xlws.FILTER(tabIndices[PERCENTUAL],tabIndices[DATA DA PUBLICAÇÃO]&gt;tabUniformes[[#This Row],[DATA PUBLICAÇÃO]])),1)</f>
        <v>69.83</v>
      </c>
      <c r="F470" s="172">
        <v>6</v>
      </c>
      <c r="G470" s="172" t="s">
        <v>74</v>
      </c>
      <c r="H470" s="172">
        <v>8</v>
      </c>
      <c r="I470" s="173">
        <v>2021.1016918316368</v>
      </c>
      <c r="J470" s="172">
        <v>48</v>
      </c>
      <c r="K470" s="170">
        <v>21.053142623246217</v>
      </c>
    </row>
    <row r="471" spans="1:11">
      <c r="A471" s="169" t="s">
        <v>17</v>
      </c>
      <c r="B471" s="278" t="s">
        <v>1808</v>
      </c>
      <c r="C471" s="171"/>
      <c r="D471" s="311">
        <v>280.04000000000002</v>
      </c>
      <c r="E471" s="170" cm="1">
        <f t="array" ref="E471">tabUniformes[[#This Row],[Valor Inicial]]*IFERROR(PRODUCT(1+_xlfn._xlws.FILTER(tabIndices[PERCENTUAL],tabIndices[DATA DA PUBLICAÇÃO]&gt;tabUniformes[[#This Row],[DATA PUBLICAÇÃO]])),1)</f>
        <v>280.04000000000002</v>
      </c>
      <c r="F471" s="172">
        <v>2</v>
      </c>
      <c r="G471" s="172" t="s">
        <v>75</v>
      </c>
      <c r="H471" s="172">
        <v>23</v>
      </c>
      <c r="I471" s="173">
        <f>tabUniformes[[#This Row],[Valor Reajustado]]*tabUniformes[[#This Row],[Qtde Anual de Peças]]*tabUniformes[[#This Row],[Qtde. funcionários]]</f>
        <v>12881.84</v>
      </c>
      <c r="J471" s="172">
        <f>tabUniformes[[#This Row],[Qtde Anual de Peças]]*tabUniformes[[#This Row],[Qtde. funcionários]]</f>
        <v>46</v>
      </c>
      <c r="K471" s="170">
        <f>IFERROR(tabUniformes[[#This Row],[Total]]/12/tabUniformes[[#This Row],[Qtde. funcionários]],0)</f>
        <v>46.673333333333332</v>
      </c>
    </row>
    <row r="472" spans="1:11">
      <c r="A472" s="169" t="s">
        <v>17</v>
      </c>
      <c r="B472" s="278" t="s">
        <v>1852</v>
      </c>
      <c r="C472" s="171"/>
      <c r="D472" s="311">
        <v>320.94</v>
      </c>
      <c r="E472" s="170" cm="1">
        <f t="array" ref="E472">tabUniformes[[#This Row],[Valor Inicial]]*IFERROR(PRODUCT(1+_xlfn._xlws.FILTER(tabIndices[PERCENTUAL],tabIndices[DATA DA PUBLICAÇÃO]&gt;tabUniformes[[#This Row],[DATA PUBLICAÇÃO]])),1)</f>
        <v>320.94</v>
      </c>
      <c r="F472" s="172">
        <v>2</v>
      </c>
      <c r="G472" s="172" t="s">
        <v>75</v>
      </c>
      <c r="H472" s="172">
        <v>23</v>
      </c>
      <c r="I472" s="173">
        <f>tabUniformes[[#This Row],[Valor Reajustado]]*tabUniformes[[#This Row],[Qtde Anual de Peças]]*tabUniformes[[#This Row],[Qtde. funcionários]]</f>
        <v>14763.24</v>
      </c>
      <c r="J472" s="172">
        <f>tabUniformes[[#This Row],[Qtde Anual de Peças]]*tabUniformes[[#This Row],[Qtde. funcionários]]</f>
        <v>46</v>
      </c>
      <c r="K472" s="170">
        <f>IFERROR(tabUniformes[[#This Row],[Total]]/12/tabUniformes[[#This Row],[Qtde. funcionários]],0)</f>
        <v>53.49</v>
      </c>
    </row>
    <row r="473" spans="1:11">
      <c r="A473" s="169" t="s">
        <v>1860</v>
      </c>
      <c r="B473" s="278" t="s">
        <v>1817</v>
      </c>
      <c r="C473" s="171"/>
      <c r="D473" s="311">
        <v>22.2</v>
      </c>
      <c r="E473" s="170" cm="1">
        <f t="array" ref="E473">tabUniformes[[#This Row],[Valor Inicial]]*IFERROR(PRODUCT(1+_xlfn._xlws.FILTER(tabIndices[PERCENTUAL],tabIndices[DATA DA PUBLICAÇÃO]&gt;tabUniformes[[#This Row],[DATA PUBLICAÇÃO]])),1)</f>
        <v>22.2</v>
      </c>
      <c r="F473" s="172">
        <v>1</v>
      </c>
      <c r="G473" s="172" t="s">
        <v>75</v>
      </c>
      <c r="H473" s="172">
        <v>23</v>
      </c>
      <c r="I473" s="173">
        <f>tabUniformes[[#This Row],[Valor Reajustado]]*tabUniformes[[#This Row],[Qtde Anual de Peças]]*tabUniformes[[#This Row],[Qtde. funcionários]]</f>
        <v>510.59999999999997</v>
      </c>
      <c r="J473" s="172">
        <f>tabUniformes[[#This Row],[Qtde Anual de Peças]]*tabUniformes[[#This Row],[Qtde. funcionários]]</f>
        <v>23</v>
      </c>
      <c r="K473" s="170">
        <f>IFERROR(tabUniformes[[#This Row],[Total]]/12/tabUniformes[[#This Row],[Qtde. funcionários]],0)</f>
        <v>1.8499999999999999</v>
      </c>
    </row>
    <row r="474" spans="1:11">
      <c r="A474" s="169" t="s">
        <v>1859</v>
      </c>
      <c r="B474" s="278" t="s">
        <v>1819</v>
      </c>
      <c r="C474" s="171"/>
      <c r="D474" s="311">
        <v>351.15</v>
      </c>
      <c r="E474" s="170" cm="1">
        <f t="array" ref="E474">tabUniformes[[#This Row],[Valor Inicial]]*IFERROR(PRODUCT(1+_xlfn._xlws.FILTER(tabIndices[PERCENTUAL],tabIndices[DATA DA PUBLICAÇÃO]&gt;tabUniformes[[#This Row],[DATA PUBLICAÇÃO]])),1)</f>
        <v>351.15</v>
      </c>
      <c r="F474" s="172">
        <v>1</v>
      </c>
      <c r="G474" s="172" t="s">
        <v>75</v>
      </c>
      <c r="H474" s="172">
        <v>23</v>
      </c>
      <c r="I474" s="173">
        <f>tabUniformes[[#This Row],[Valor Reajustado]]*tabUniformes[[#This Row],[Qtde Anual de Peças]]*tabUniformes[[#This Row],[Qtde. funcionários]]</f>
        <v>8076.45</v>
      </c>
      <c r="J474" s="172">
        <f>tabUniformes[[#This Row],[Qtde Anual de Peças]]*tabUniformes[[#This Row],[Qtde. funcionários]]</f>
        <v>23</v>
      </c>
      <c r="K474" s="170">
        <f>IFERROR(tabUniformes[[#This Row],[Total]]/12/tabUniformes[[#This Row],[Qtde. funcionários]],0)</f>
        <v>29.262499999999999</v>
      </c>
    </row>
    <row r="475" spans="1:11">
      <c r="A475" s="169" t="s">
        <v>11</v>
      </c>
      <c r="B475" s="278" t="s">
        <v>30</v>
      </c>
      <c r="C475" s="171"/>
      <c r="D475" s="311">
        <v>94.82</v>
      </c>
      <c r="E475" s="170" cm="1">
        <f t="array" ref="E475">tabUniformes[[#This Row],[Valor Inicial]]*IFERROR(PRODUCT(1+_xlfn._xlws.FILTER(tabIndices[PERCENTUAL],tabIndices[DATA DA PUBLICAÇÃO]&gt;tabUniformes[[#This Row],[DATA PUBLICAÇÃO]])),1)</f>
        <v>94.82</v>
      </c>
      <c r="F475" s="172">
        <v>4</v>
      </c>
      <c r="G475" s="172" t="s">
        <v>75</v>
      </c>
      <c r="H475" s="172">
        <v>23</v>
      </c>
      <c r="I475" s="173">
        <v>4980.5720262993909</v>
      </c>
      <c r="J475" s="172">
        <v>92</v>
      </c>
      <c r="K475" s="170">
        <v>18.045550819925328</v>
      </c>
    </row>
    <row r="476" spans="1:11">
      <c r="A476" s="169" t="s">
        <v>14</v>
      </c>
      <c r="B476" s="278" t="s">
        <v>25</v>
      </c>
      <c r="C476" s="171"/>
      <c r="D476" s="311">
        <v>95.13</v>
      </c>
      <c r="E476" s="170" cm="1">
        <f t="array" ref="E476">tabUniformes[[#This Row],[Valor Inicial]]*IFERROR(PRODUCT(1+_xlfn._xlws.FILTER(tabIndices[PERCENTUAL],tabIndices[DATA DA PUBLICAÇÃO]&gt;tabUniformes[[#This Row],[DATA PUBLICAÇÃO]])),1)</f>
        <v>95.13</v>
      </c>
      <c r="F476" s="172">
        <v>1</v>
      </c>
      <c r="G476" s="172" t="s">
        <v>75</v>
      </c>
      <c r="H476" s="172">
        <v>23</v>
      </c>
      <c r="I476" s="173">
        <v>1383.4922295276085</v>
      </c>
      <c r="J476" s="172">
        <v>23</v>
      </c>
      <c r="K476" s="170">
        <v>5.0126530055348137</v>
      </c>
    </row>
    <row r="477" spans="1:11">
      <c r="A477" s="169" t="s">
        <v>1853</v>
      </c>
      <c r="B477" s="278" t="s">
        <v>1809</v>
      </c>
      <c r="C477" s="171"/>
      <c r="D477" s="311">
        <v>7.67</v>
      </c>
      <c r="E477" s="170" cm="1">
        <f t="array" ref="E477">tabUniformes[[#This Row],[Valor Inicial]]*IFERROR(PRODUCT(1+_xlfn._xlws.FILTER(tabIndices[PERCENTUAL],tabIndices[DATA DA PUBLICAÇÃO]&gt;tabUniformes[[#This Row],[DATA PUBLICAÇÃO]])),1)</f>
        <v>7.67</v>
      </c>
      <c r="F477" s="172">
        <v>2</v>
      </c>
      <c r="G477" s="172" t="s">
        <v>75</v>
      </c>
      <c r="H477" s="172">
        <v>23</v>
      </c>
      <c r="I477" s="173">
        <f>tabUniformes[[#This Row],[Valor Reajustado]]*tabUniformes[[#This Row],[Qtde Anual de Peças]]*tabUniformes[[#This Row],[Qtde. funcionários]]</f>
        <v>352.82</v>
      </c>
      <c r="J477" s="172">
        <f>tabUniformes[[#This Row],[Qtde Anual de Peças]]*tabUniformes[[#This Row],[Qtde. funcionários]]</f>
        <v>46</v>
      </c>
      <c r="K477" s="170">
        <f>IFERROR(tabUniformes[[#This Row],[Total]]/12/tabUniformes[[#This Row],[Qtde. funcionários]],0)</f>
        <v>1.2783333333333333</v>
      </c>
    </row>
    <row r="478" spans="1:11">
      <c r="A478" s="169" t="s">
        <v>12</v>
      </c>
      <c r="B478" s="278" t="s">
        <v>32</v>
      </c>
      <c r="C478" s="171"/>
      <c r="D478" s="311">
        <v>69.83</v>
      </c>
      <c r="E478" s="170" cm="1">
        <f t="array" ref="E478">tabUniformes[[#This Row],[Valor Inicial]]*IFERROR(PRODUCT(1+_xlfn._xlws.FILTER(tabIndices[PERCENTUAL],tabIndices[DATA DA PUBLICAÇÃO]&gt;tabUniformes[[#This Row],[DATA PUBLICAÇÃO]])),1)</f>
        <v>69.83</v>
      </c>
      <c r="F478" s="172">
        <v>6</v>
      </c>
      <c r="G478" s="172" t="s">
        <v>75</v>
      </c>
      <c r="H478" s="172">
        <v>23</v>
      </c>
      <c r="I478" s="173">
        <v>5810.6673640159561</v>
      </c>
      <c r="J478" s="172">
        <v>138</v>
      </c>
      <c r="K478" s="170">
        <v>21.05314262324622</v>
      </c>
    </row>
    <row r="479" spans="1:11">
      <c r="A479" s="169" t="s">
        <v>1855</v>
      </c>
      <c r="B479" s="278" t="s">
        <v>1833</v>
      </c>
      <c r="C479" s="171"/>
      <c r="D479" s="311">
        <v>5.14</v>
      </c>
      <c r="E479" s="170" cm="1">
        <f t="array" ref="E479">tabUniformes[[#This Row],[Valor Inicial]]*IFERROR(PRODUCT(1+_xlfn._xlws.FILTER(tabIndices[PERCENTUAL],tabIndices[DATA DA PUBLICAÇÃO]&gt;tabUniformes[[#This Row],[DATA PUBLICAÇÃO]])),1)</f>
        <v>5.14</v>
      </c>
      <c r="F479" s="172">
        <v>4</v>
      </c>
      <c r="G479" s="172" t="s">
        <v>75</v>
      </c>
      <c r="H479" s="172">
        <v>23</v>
      </c>
      <c r="I479" s="173">
        <f>tabUniformes[[#This Row],[Valor Reajustado]]*tabUniformes[[#This Row],[Qtde Anual de Peças]]*tabUniformes[[#This Row],[Qtde. funcionários]]</f>
        <v>472.88</v>
      </c>
      <c r="J479" s="172">
        <f>tabUniformes[[#This Row],[Qtde Anual de Peças]]*tabUniformes[[#This Row],[Qtde. funcionários]]</f>
        <v>92</v>
      </c>
      <c r="K479" s="170">
        <f>IFERROR(tabUniformes[[#This Row],[Total]]/12/tabUniformes[[#This Row],[Qtde. funcionários]],0)</f>
        <v>1.7133333333333334</v>
      </c>
    </row>
    <row r="480" spans="1:11">
      <c r="A480" s="169" t="s">
        <v>17</v>
      </c>
      <c r="B480" s="278" t="s">
        <v>1808</v>
      </c>
      <c r="C480" s="171"/>
      <c r="D480" s="311">
        <v>280.04000000000002</v>
      </c>
      <c r="E480" s="170" cm="1">
        <f t="array" ref="E480">tabUniformes[[#This Row],[Valor Inicial]]*IFERROR(PRODUCT(1+_xlfn._xlws.FILTER(tabIndices[PERCENTUAL],tabIndices[DATA DA PUBLICAÇÃO]&gt;tabUniformes[[#This Row],[DATA PUBLICAÇÃO]])),1)</f>
        <v>280.04000000000002</v>
      </c>
      <c r="F480" s="172">
        <v>2</v>
      </c>
      <c r="G480" s="172" t="s">
        <v>76</v>
      </c>
      <c r="H480" s="172">
        <v>6</v>
      </c>
      <c r="I480" s="173">
        <f>tabUniformes[[#This Row],[Valor Reajustado]]*tabUniformes[[#This Row],[Qtde Anual de Peças]]*tabUniformes[[#This Row],[Qtde. funcionários]]</f>
        <v>3360.4800000000005</v>
      </c>
      <c r="J480" s="172">
        <f>tabUniformes[[#This Row],[Qtde Anual de Peças]]*tabUniformes[[#This Row],[Qtde. funcionários]]</f>
        <v>12</v>
      </c>
      <c r="K480" s="170">
        <f>IFERROR(tabUniformes[[#This Row],[Total]]/12/tabUniformes[[#This Row],[Qtde. funcionários]],0)</f>
        <v>46.673333333333339</v>
      </c>
    </row>
    <row r="481" spans="1:11">
      <c r="A481" s="169" t="s">
        <v>17</v>
      </c>
      <c r="B481" s="278" t="s">
        <v>1852</v>
      </c>
      <c r="C481" s="171"/>
      <c r="D481" s="311">
        <v>320.94</v>
      </c>
      <c r="E481" s="170" cm="1">
        <f t="array" ref="E481">tabUniformes[[#This Row],[Valor Inicial]]*IFERROR(PRODUCT(1+_xlfn._xlws.FILTER(tabIndices[PERCENTUAL],tabIndices[DATA DA PUBLICAÇÃO]&gt;tabUniformes[[#This Row],[DATA PUBLICAÇÃO]])),1)</f>
        <v>320.94</v>
      </c>
      <c r="F481" s="172">
        <v>2</v>
      </c>
      <c r="G481" s="172" t="s">
        <v>76</v>
      </c>
      <c r="H481" s="172">
        <v>6</v>
      </c>
      <c r="I481" s="173">
        <f>tabUniformes[[#This Row],[Valor Reajustado]]*tabUniformes[[#This Row],[Qtde Anual de Peças]]*tabUniformes[[#This Row],[Qtde. funcionários]]</f>
        <v>3851.2799999999997</v>
      </c>
      <c r="J481" s="172">
        <f>tabUniformes[[#This Row],[Qtde Anual de Peças]]*tabUniformes[[#This Row],[Qtde. funcionários]]</f>
        <v>12</v>
      </c>
      <c r="K481" s="170">
        <f>IFERROR(tabUniformes[[#This Row],[Total]]/12/tabUniformes[[#This Row],[Qtde. funcionários]],0)</f>
        <v>53.49</v>
      </c>
    </row>
    <row r="482" spans="1:11">
      <c r="A482" s="169" t="s">
        <v>1860</v>
      </c>
      <c r="B482" s="278" t="s">
        <v>1817</v>
      </c>
      <c r="C482" s="171"/>
      <c r="D482" s="311">
        <v>22.2</v>
      </c>
      <c r="E482" s="170" cm="1">
        <f t="array" ref="E482">tabUniformes[[#This Row],[Valor Inicial]]*IFERROR(PRODUCT(1+_xlfn._xlws.FILTER(tabIndices[PERCENTUAL],tabIndices[DATA DA PUBLICAÇÃO]&gt;tabUniformes[[#This Row],[DATA PUBLICAÇÃO]])),1)</f>
        <v>22.2</v>
      </c>
      <c r="F482" s="172">
        <v>1</v>
      </c>
      <c r="G482" s="172" t="s">
        <v>76</v>
      </c>
      <c r="H482" s="172">
        <v>6</v>
      </c>
      <c r="I482" s="173">
        <f>tabUniformes[[#This Row],[Valor Reajustado]]*tabUniformes[[#This Row],[Qtde Anual de Peças]]*tabUniformes[[#This Row],[Qtde. funcionários]]</f>
        <v>133.19999999999999</v>
      </c>
      <c r="J482" s="172">
        <f>tabUniformes[[#This Row],[Qtde Anual de Peças]]*tabUniformes[[#This Row],[Qtde. funcionários]]</f>
        <v>6</v>
      </c>
      <c r="K482" s="170">
        <f>IFERROR(tabUniformes[[#This Row],[Total]]/12/tabUniformes[[#This Row],[Qtde. funcionários]],0)</f>
        <v>1.8499999999999999</v>
      </c>
    </row>
    <row r="483" spans="1:11">
      <c r="A483" s="169" t="s">
        <v>1859</v>
      </c>
      <c r="B483" s="278" t="s">
        <v>1819</v>
      </c>
      <c r="C483" s="171"/>
      <c r="D483" s="311">
        <v>351.15</v>
      </c>
      <c r="E483" s="170" cm="1">
        <f t="array" ref="E483">tabUniformes[[#This Row],[Valor Inicial]]*IFERROR(PRODUCT(1+_xlfn._xlws.FILTER(tabIndices[PERCENTUAL],tabIndices[DATA DA PUBLICAÇÃO]&gt;tabUniformes[[#This Row],[DATA PUBLICAÇÃO]])),1)</f>
        <v>351.15</v>
      </c>
      <c r="F483" s="172">
        <v>1</v>
      </c>
      <c r="G483" s="172" t="s">
        <v>76</v>
      </c>
      <c r="H483" s="172">
        <v>6</v>
      </c>
      <c r="I483" s="173">
        <f>tabUniformes[[#This Row],[Valor Reajustado]]*tabUniformes[[#This Row],[Qtde Anual de Peças]]*tabUniformes[[#This Row],[Qtde. funcionários]]</f>
        <v>2106.8999999999996</v>
      </c>
      <c r="J483" s="172">
        <f>tabUniformes[[#This Row],[Qtde Anual de Peças]]*tabUniformes[[#This Row],[Qtde. funcionários]]</f>
        <v>6</v>
      </c>
      <c r="K483" s="170">
        <f>IFERROR(tabUniformes[[#This Row],[Total]]/12/tabUniformes[[#This Row],[Qtde. funcionários]],0)</f>
        <v>29.262499999999992</v>
      </c>
    </row>
    <row r="484" spans="1:11">
      <c r="A484" s="169" t="s">
        <v>11</v>
      </c>
      <c r="B484" s="278" t="s">
        <v>30</v>
      </c>
      <c r="C484" s="171"/>
      <c r="D484" s="311">
        <v>94.82</v>
      </c>
      <c r="E484" s="170" cm="1">
        <f t="array" ref="E484">tabUniformes[[#This Row],[Valor Inicial]]*IFERROR(PRODUCT(1+_xlfn._xlws.FILTER(tabIndices[PERCENTUAL],tabIndices[DATA DA PUBLICAÇÃO]&gt;tabUniformes[[#This Row],[DATA PUBLICAÇÃO]])),1)</f>
        <v>94.82</v>
      </c>
      <c r="F484" s="172">
        <v>4</v>
      </c>
      <c r="G484" s="172" t="s">
        <v>76</v>
      </c>
      <c r="H484" s="172">
        <v>6</v>
      </c>
      <c r="I484" s="173">
        <v>1082.7330491955197</v>
      </c>
      <c r="J484" s="172">
        <v>20</v>
      </c>
      <c r="K484" s="170">
        <v>18.045550819925328</v>
      </c>
    </row>
    <row r="485" spans="1:11">
      <c r="A485" s="169" t="s">
        <v>14</v>
      </c>
      <c r="B485" s="278" t="s">
        <v>25</v>
      </c>
      <c r="C485" s="171"/>
      <c r="D485" s="311">
        <v>95.13</v>
      </c>
      <c r="E485" s="170" cm="1">
        <f t="array" ref="E485">tabUniformes[[#This Row],[Valor Inicial]]*IFERROR(PRODUCT(1+_xlfn._xlws.FILTER(tabIndices[PERCENTUAL],tabIndices[DATA DA PUBLICAÇÃO]&gt;tabUniformes[[#This Row],[DATA PUBLICAÇÃO]])),1)</f>
        <v>95.13</v>
      </c>
      <c r="F485" s="172">
        <v>1</v>
      </c>
      <c r="G485" s="172" t="s">
        <v>76</v>
      </c>
      <c r="H485" s="172">
        <v>6</v>
      </c>
      <c r="I485" s="173">
        <v>300.75918033208882</v>
      </c>
      <c r="J485" s="172">
        <v>5</v>
      </c>
      <c r="K485" s="170">
        <v>5.0126530055348137</v>
      </c>
    </row>
    <row r="486" spans="1:11">
      <c r="A486" s="169" t="s">
        <v>12</v>
      </c>
      <c r="B486" s="278" t="s">
        <v>32</v>
      </c>
      <c r="C486" s="171"/>
      <c r="D486" s="311">
        <v>69.83</v>
      </c>
      <c r="E486" s="170" cm="1">
        <f t="array" ref="E486">tabUniformes[[#This Row],[Valor Inicial]]*IFERROR(PRODUCT(1+_xlfn._xlws.FILTER(tabIndices[PERCENTUAL],tabIndices[DATA DA PUBLICAÇÃO]&gt;tabUniformes[[#This Row],[DATA PUBLICAÇÃO]])),1)</f>
        <v>69.83</v>
      </c>
      <c r="F486" s="172">
        <v>6</v>
      </c>
      <c r="G486" s="172" t="s">
        <v>76</v>
      </c>
      <c r="H486" s="172">
        <v>6</v>
      </c>
      <c r="I486" s="173">
        <v>1263.1885573947729</v>
      </c>
      <c r="J486" s="172">
        <v>30</v>
      </c>
      <c r="K486" s="170">
        <v>21.053142623246217</v>
      </c>
    </row>
    <row r="487" spans="1:11">
      <c r="A487" s="169" t="s">
        <v>17</v>
      </c>
      <c r="B487" s="278" t="s">
        <v>1808</v>
      </c>
      <c r="C487" s="171"/>
      <c r="D487" s="311">
        <v>280.04000000000002</v>
      </c>
      <c r="E487" s="170" cm="1">
        <f t="array" ref="E487">tabUniformes[[#This Row],[Valor Inicial]]*IFERROR(PRODUCT(1+_xlfn._xlws.FILTER(tabIndices[PERCENTUAL],tabIndices[DATA DA PUBLICAÇÃO]&gt;tabUniformes[[#This Row],[DATA PUBLICAÇÃO]])),1)</f>
        <v>280.04000000000002</v>
      </c>
      <c r="F487" s="172">
        <v>2</v>
      </c>
      <c r="G487" s="172" t="s">
        <v>1398</v>
      </c>
      <c r="H487" s="172">
        <v>2</v>
      </c>
      <c r="I487" s="173">
        <f>tabUniformes[[#This Row],[Valor Reajustado]]*tabUniformes[[#This Row],[Qtde Anual de Peças]]*tabUniformes[[#This Row],[Qtde. funcionários]]</f>
        <v>1120.1600000000001</v>
      </c>
      <c r="J487" s="172">
        <f>tabUniformes[[#This Row],[Qtde Anual de Peças]]*tabUniformes[[#This Row],[Qtde. funcionários]]</f>
        <v>4</v>
      </c>
      <c r="K487" s="170">
        <f>IFERROR(tabUniformes[[#This Row],[Total]]/12/tabUniformes[[#This Row],[Qtde. funcionários]],0)</f>
        <v>46.673333333333339</v>
      </c>
    </row>
    <row r="488" spans="1:11">
      <c r="A488" s="169" t="s">
        <v>11</v>
      </c>
      <c r="B488" s="278" t="s">
        <v>30</v>
      </c>
      <c r="C488" s="171"/>
      <c r="D488" s="311">
        <v>94.82</v>
      </c>
      <c r="E488" s="170" cm="1">
        <f t="array" ref="E488">tabUniformes[[#This Row],[Valor Inicial]]*IFERROR(PRODUCT(1+_xlfn._xlws.FILTER(tabIndices[PERCENTUAL],tabIndices[DATA DA PUBLICAÇÃO]&gt;tabUniformes[[#This Row],[DATA PUBLICAÇÃO]])),1)</f>
        <v>94.82</v>
      </c>
      <c r="F488" s="172">
        <v>4</v>
      </c>
      <c r="G488" s="172" t="s">
        <v>1398</v>
      </c>
      <c r="H488" s="172">
        <v>2</v>
      </c>
      <c r="I488" s="173">
        <v>433.0932196782079</v>
      </c>
      <c r="J488" s="172">
        <v>8</v>
      </c>
      <c r="K488" s="170">
        <v>18.045550819925328</v>
      </c>
    </row>
    <row r="489" spans="1:11">
      <c r="A489" s="169" t="s">
        <v>14</v>
      </c>
      <c r="B489" s="278" t="s">
        <v>25</v>
      </c>
      <c r="C489" s="171"/>
      <c r="D489" s="311">
        <v>95.13</v>
      </c>
      <c r="E489" s="170" cm="1">
        <f t="array" ref="E489">tabUniformes[[#This Row],[Valor Inicial]]*IFERROR(PRODUCT(1+_xlfn._xlws.FILTER(tabIndices[PERCENTUAL],tabIndices[DATA DA PUBLICAÇÃO]&gt;tabUniformes[[#This Row],[DATA PUBLICAÇÃO]])),1)</f>
        <v>95.13</v>
      </c>
      <c r="F489" s="172">
        <v>1</v>
      </c>
      <c r="G489" s="172" t="s">
        <v>1398</v>
      </c>
      <c r="H489" s="172">
        <v>2</v>
      </c>
      <c r="I489" s="173">
        <v>120.30367213283553</v>
      </c>
      <c r="J489" s="172">
        <v>2</v>
      </c>
      <c r="K489" s="170">
        <v>5.0126530055348137</v>
      </c>
    </row>
    <row r="490" spans="1:11">
      <c r="A490" s="169" t="s">
        <v>12</v>
      </c>
      <c r="B490" s="278" t="s">
        <v>32</v>
      </c>
      <c r="C490" s="171"/>
      <c r="D490" s="311">
        <v>69.83</v>
      </c>
      <c r="E490" s="170" cm="1">
        <f t="array" ref="E490">tabUniformes[[#This Row],[Valor Inicial]]*IFERROR(PRODUCT(1+_xlfn._xlws.FILTER(tabIndices[PERCENTUAL],tabIndices[DATA DA PUBLICAÇÃO]&gt;tabUniformes[[#This Row],[DATA PUBLICAÇÃO]])),1)</f>
        <v>69.83</v>
      </c>
      <c r="F490" s="172">
        <v>6</v>
      </c>
      <c r="G490" s="172" t="s">
        <v>1398</v>
      </c>
      <c r="H490" s="172">
        <v>2</v>
      </c>
      <c r="I490" s="173">
        <v>505.2754229579092</v>
      </c>
      <c r="J490" s="172">
        <v>12</v>
      </c>
      <c r="K490" s="170">
        <v>21.053142623246217</v>
      </c>
    </row>
    <row r="491" spans="1:11">
      <c r="A491" s="169" t="s">
        <v>17</v>
      </c>
      <c r="B491" s="278" t="s">
        <v>1808</v>
      </c>
      <c r="C491" s="171"/>
      <c r="D491" s="311">
        <v>280.04000000000002</v>
      </c>
      <c r="E491" s="170" cm="1">
        <f t="array" ref="E491">tabUniformes[[#This Row],[Valor Inicial]]*IFERROR(PRODUCT(1+_xlfn._xlws.FILTER(tabIndices[PERCENTUAL],tabIndices[DATA DA PUBLICAÇÃO]&gt;tabUniformes[[#This Row],[DATA PUBLICAÇÃO]])),1)</f>
        <v>280.04000000000002</v>
      </c>
      <c r="F491" s="172">
        <v>2</v>
      </c>
      <c r="G491" s="172" t="s">
        <v>1527</v>
      </c>
      <c r="H491" s="172">
        <v>2</v>
      </c>
      <c r="I491" s="173">
        <f>tabUniformes[[#This Row],[Valor Reajustado]]*tabUniformes[[#This Row],[Qtde Anual de Peças]]*tabUniformes[[#This Row],[Qtde. funcionários]]</f>
        <v>1120.1600000000001</v>
      </c>
      <c r="J491" s="172">
        <f>tabUniformes[[#This Row],[Qtde Anual de Peças]]*tabUniformes[[#This Row],[Qtde. funcionários]]</f>
        <v>4</v>
      </c>
      <c r="K491" s="170">
        <f>IFERROR(tabUniformes[[#This Row],[Total]]/12/tabUniformes[[#This Row],[Qtde. funcionários]],0)</f>
        <v>46.673333333333339</v>
      </c>
    </row>
    <row r="492" spans="1:11">
      <c r="A492" s="169" t="s">
        <v>11</v>
      </c>
      <c r="B492" s="278" t="s">
        <v>30</v>
      </c>
      <c r="C492" s="171"/>
      <c r="D492" s="311">
        <v>94.82</v>
      </c>
      <c r="E492" s="170" cm="1">
        <f t="array" ref="E492">tabUniformes[[#This Row],[Valor Inicial]]*IFERROR(PRODUCT(1+_xlfn._xlws.FILTER(tabIndices[PERCENTUAL],tabIndices[DATA DA PUBLICAÇÃO]&gt;tabUniformes[[#This Row],[DATA PUBLICAÇÃO]])),1)</f>
        <v>94.82</v>
      </c>
      <c r="F492" s="172">
        <v>4</v>
      </c>
      <c r="G492" s="172" t="s">
        <v>1527</v>
      </c>
      <c r="H492" s="172">
        <v>2</v>
      </c>
      <c r="I492" s="173">
        <v>433.0932196782079</v>
      </c>
      <c r="J492" s="172">
        <v>8</v>
      </c>
      <c r="K492" s="170">
        <v>18.045550819925328</v>
      </c>
    </row>
    <row r="493" spans="1:11">
      <c r="A493" s="169" t="s">
        <v>14</v>
      </c>
      <c r="B493" s="278" t="s">
        <v>25</v>
      </c>
      <c r="C493" s="171"/>
      <c r="D493" s="311">
        <v>95.13</v>
      </c>
      <c r="E493" s="170" cm="1">
        <f t="array" ref="E493">tabUniformes[[#This Row],[Valor Inicial]]*IFERROR(PRODUCT(1+_xlfn._xlws.FILTER(tabIndices[PERCENTUAL],tabIndices[DATA DA PUBLICAÇÃO]&gt;tabUniformes[[#This Row],[DATA PUBLICAÇÃO]])),1)</f>
        <v>95.13</v>
      </c>
      <c r="F493" s="172">
        <v>1</v>
      </c>
      <c r="G493" s="172" t="s">
        <v>1527</v>
      </c>
      <c r="H493" s="172">
        <v>2</v>
      </c>
      <c r="I493" s="173">
        <v>120.30367213283553</v>
      </c>
      <c r="J493" s="172">
        <v>2</v>
      </c>
      <c r="K493" s="170">
        <v>5.0126530055348137</v>
      </c>
    </row>
    <row r="494" spans="1:11">
      <c r="A494" s="169" t="s">
        <v>12</v>
      </c>
      <c r="B494" s="278" t="s">
        <v>32</v>
      </c>
      <c r="C494" s="171"/>
      <c r="D494" s="311">
        <v>69.83</v>
      </c>
      <c r="E494" s="170" cm="1">
        <f t="array" ref="E494">tabUniformes[[#This Row],[Valor Inicial]]*IFERROR(PRODUCT(1+_xlfn._xlws.FILTER(tabIndices[PERCENTUAL],tabIndices[DATA DA PUBLICAÇÃO]&gt;tabUniformes[[#This Row],[DATA PUBLICAÇÃO]])),1)</f>
        <v>69.83</v>
      </c>
      <c r="F494" s="172">
        <v>6</v>
      </c>
      <c r="G494" s="172" t="s">
        <v>1527</v>
      </c>
      <c r="H494" s="172">
        <v>2</v>
      </c>
      <c r="I494" s="173">
        <v>505.2754229579092</v>
      </c>
      <c r="J494" s="172">
        <v>12</v>
      </c>
      <c r="K494" s="170">
        <v>21.053142623246217</v>
      </c>
    </row>
    <row r="495" spans="1:11">
      <c r="A495" s="169" t="s">
        <v>17</v>
      </c>
      <c r="B495" s="278" t="s">
        <v>1808</v>
      </c>
      <c r="C495" s="171"/>
      <c r="D495" s="311">
        <v>280.04000000000002</v>
      </c>
      <c r="E495" s="170" cm="1">
        <f t="array" ref="E495">tabUniformes[[#This Row],[Valor Inicial]]*IFERROR(PRODUCT(1+_xlfn._xlws.FILTER(tabIndices[PERCENTUAL],tabIndices[DATA DA PUBLICAÇÃO]&gt;tabUniformes[[#This Row],[DATA PUBLICAÇÃO]])),1)</f>
        <v>280.04000000000002</v>
      </c>
      <c r="F495" s="172">
        <v>2</v>
      </c>
      <c r="G495" s="172" t="s">
        <v>1399</v>
      </c>
      <c r="H495" s="172">
        <v>34</v>
      </c>
      <c r="I495" s="173">
        <f>tabUniformes[[#This Row],[Valor Reajustado]]*tabUniformes[[#This Row],[Qtde Anual de Peças]]*tabUniformes[[#This Row],[Qtde. funcionários]]</f>
        <v>19042.72</v>
      </c>
      <c r="J495" s="172">
        <f>tabUniformes[[#This Row],[Qtde Anual de Peças]]*tabUniformes[[#This Row],[Qtde. funcionários]]</f>
        <v>68</v>
      </c>
      <c r="K495" s="170">
        <f>IFERROR(tabUniformes[[#This Row],[Total]]/12/tabUniformes[[#This Row],[Qtde. funcionários]],0)</f>
        <v>46.673333333333339</v>
      </c>
    </row>
    <row r="496" spans="1:11">
      <c r="A496" s="169" t="s">
        <v>11</v>
      </c>
      <c r="B496" s="278" t="s">
        <v>30</v>
      </c>
      <c r="C496" s="171"/>
      <c r="D496" s="311">
        <v>94.82</v>
      </c>
      <c r="E496" s="170" cm="1">
        <f t="array" ref="E496">tabUniformes[[#This Row],[Valor Inicial]]*IFERROR(PRODUCT(1+_xlfn._xlws.FILTER(tabIndices[PERCENTUAL],tabIndices[DATA DA PUBLICAÇÃO]&gt;tabUniformes[[#This Row],[DATA PUBLICAÇÃO]])),1)</f>
        <v>94.82</v>
      </c>
      <c r="F496" s="172">
        <v>4</v>
      </c>
      <c r="G496" s="172" t="s">
        <v>1399</v>
      </c>
      <c r="H496" s="172">
        <v>34</v>
      </c>
      <c r="I496" s="173">
        <v>7362.5847345295342</v>
      </c>
      <c r="J496" s="172">
        <v>136</v>
      </c>
      <c r="K496" s="170">
        <v>18.045550819925328</v>
      </c>
    </row>
    <row r="497" spans="1:11">
      <c r="A497" s="169" t="s">
        <v>14</v>
      </c>
      <c r="B497" s="278" t="s">
        <v>25</v>
      </c>
      <c r="C497" s="171"/>
      <c r="D497" s="311">
        <v>95.13</v>
      </c>
      <c r="E497" s="170" cm="1">
        <f t="array" ref="E497">tabUniformes[[#This Row],[Valor Inicial]]*IFERROR(PRODUCT(1+_xlfn._xlws.FILTER(tabIndices[PERCENTUAL],tabIndices[DATA DA PUBLICAÇÃO]&gt;tabUniformes[[#This Row],[DATA PUBLICAÇÃO]])),1)</f>
        <v>95.13</v>
      </c>
      <c r="F497" s="172">
        <v>1</v>
      </c>
      <c r="G497" s="172" t="s">
        <v>1399</v>
      </c>
      <c r="H497" s="172">
        <v>34</v>
      </c>
      <c r="I497" s="173">
        <v>2045.1624262582041</v>
      </c>
      <c r="J497" s="172">
        <v>34</v>
      </c>
      <c r="K497" s="170">
        <v>5.0126530055348137</v>
      </c>
    </row>
    <row r="498" spans="1:11">
      <c r="A498" s="169" t="s">
        <v>12</v>
      </c>
      <c r="B498" s="278" t="s">
        <v>32</v>
      </c>
      <c r="C498" s="171"/>
      <c r="D498" s="311">
        <v>69.83</v>
      </c>
      <c r="E498" s="170" cm="1">
        <f t="array" ref="E498">tabUniformes[[#This Row],[Valor Inicial]]*IFERROR(PRODUCT(1+_xlfn._xlws.FILTER(tabIndices[PERCENTUAL],tabIndices[DATA DA PUBLICAÇÃO]&gt;tabUniformes[[#This Row],[DATA PUBLICAÇÃO]])),1)</f>
        <v>69.83</v>
      </c>
      <c r="F498" s="172">
        <v>6</v>
      </c>
      <c r="G498" s="172" t="s">
        <v>1399</v>
      </c>
      <c r="H498" s="172">
        <v>34</v>
      </c>
      <c r="I498" s="173">
        <v>8589.6821902844567</v>
      </c>
      <c r="J498" s="172">
        <v>204</v>
      </c>
      <c r="K498" s="170">
        <v>21.053142623246217</v>
      </c>
    </row>
    <row r="499" spans="1:11">
      <c r="A499" s="169" t="s">
        <v>17</v>
      </c>
      <c r="B499" s="278" t="s">
        <v>1808</v>
      </c>
      <c r="C499" s="171"/>
      <c r="D499" s="311">
        <v>280.04000000000002</v>
      </c>
      <c r="E499" s="170" cm="1">
        <f t="array" ref="E499">tabUniformes[[#This Row],[Valor Inicial]]*IFERROR(PRODUCT(1+_xlfn._xlws.FILTER(tabIndices[PERCENTUAL],tabIndices[DATA DA PUBLICAÇÃO]&gt;tabUniformes[[#This Row],[DATA PUBLICAÇÃO]])),1)</f>
        <v>280.04000000000002</v>
      </c>
      <c r="F499" s="172">
        <v>2</v>
      </c>
      <c r="G499" s="172" t="s">
        <v>77</v>
      </c>
      <c r="H499" s="172">
        <v>5</v>
      </c>
      <c r="I499" s="173">
        <f>tabUniformes[[#This Row],[Valor Reajustado]]*tabUniformes[[#This Row],[Qtde Anual de Peças]]*tabUniformes[[#This Row],[Qtde. funcionários]]</f>
        <v>2800.4</v>
      </c>
      <c r="J499" s="172">
        <f>tabUniformes[[#This Row],[Qtde Anual de Peças]]*tabUniformes[[#This Row],[Qtde. funcionários]]</f>
        <v>10</v>
      </c>
      <c r="K499" s="170">
        <f>IFERROR(tabUniformes[[#This Row],[Total]]/12/tabUniformes[[#This Row],[Qtde. funcionários]],0)</f>
        <v>46.673333333333332</v>
      </c>
    </row>
    <row r="500" spans="1:11">
      <c r="A500" s="169" t="s">
        <v>17</v>
      </c>
      <c r="B500" s="278" t="s">
        <v>1852</v>
      </c>
      <c r="C500" s="171"/>
      <c r="D500" s="311">
        <v>320.94</v>
      </c>
      <c r="E500" s="170" cm="1">
        <f t="array" ref="E500">tabUniformes[[#This Row],[Valor Inicial]]*IFERROR(PRODUCT(1+_xlfn._xlws.FILTER(tabIndices[PERCENTUAL],tabIndices[DATA DA PUBLICAÇÃO]&gt;tabUniformes[[#This Row],[DATA PUBLICAÇÃO]])),1)</f>
        <v>320.94</v>
      </c>
      <c r="F500" s="172">
        <v>2</v>
      </c>
      <c r="G500" s="172" t="s">
        <v>77</v>
      </c>
      <c r="H500" s="172">
        <v>5</v>
      </c>
      <c r="I500" s="173">
        <f>tabUniformes[[#This Row],[Valor Reajustado]]*tabUniformes[[#This Row],[Qtde Anual de Peças]]*tabUniformes[[#This Row],[Qtde. funcionários]]</f>
        <v>3209.4</v>
      </c>
      <c r="J500" s="172">
        <f>tabUniformes[[#This Row],[Qtde Anual de Peças]]*tabUniformes[[#This Row],[Qtde. funcionários]]</f>
        <v>10</v>
      </c>
      <c r="K500" s="170">
        <f>IFERROR(tabUniformes[[#This Row],[Total]]/12/tabUniformes[[#This Row],[Qtde. funcionários]],0)</f>
        <v>53.489999999999995</v>
      </c>
    </row>
    <row r="501" spans="1:11">
      <c r="A501" s="169" t="s">
        <v>1860</v>
      </c>
      <c r="B501" s="278" t="s">
        <v>1817</v>
      </c>
      <c r="C501" s="171"/>
      <c r="D501" s="311">
        <v>22.2</v>
      </c>
      <c r="E501" s="170" cm="1">
        <f t="array" ref="E501">tabUniformes[[#This Row],[Valor Inicial]]*IFERROR(PRODUCT(1+_xlfn._xlws.FILTER(tabIndices[PERCENTUAL],tabIndices[DATA DA PUBLICAÇÃO]&gt;tabUniformes[[#This Row],[DATA PUBLICAÇÃO]])),1)</f>
        <v>22.2</v>
      </c>
      <c r="F501" s="172">
        <v>1</v>
      </c>
      <c r="G501" s="172" t="s">
        <v>77</v>
      </c>
      <c r="H501" s="172">
        <v>5</v>
      </c>
      <c r="I501" s="173">
        <f>tabUniformes[[#This Row],[Valor Reajustado]]*tabUniformes[[#This Row],[Qtde Anual de Peças]]*tabUniformes[[#This Row],[Qtde. funcionários]]</f>
        <v>111</v>
      </c>
      <c r="J501" s="172">
        <f>tabUniformes[[#This Row],[Qtde Anual de Peças]]*tabUniformes[[#This Row],[Qtde. funcionários]]</f>
        <v>5</v>
      </c>
      <c r="K501" s="170">
        <f>IFERROR(tabUniformes[[#This Row],[Total]]/12/tabUniformes[[#This Row],[Qtde. funcionários]],0)</f>
        <v>1.85</v>
      </c>
    </row>
    <row r="502" spans="1:11">
      <c r="A502" s="169" t="s">
        <v>1859</v>
      </c>
      <c r="B502" s="278" t="s">
        <v>1819</v>
      </c>
      <c r="C502" s="171"/>
      <c r="D502" s="311">
        <v>351.15</v>
      </c>
      <c r="E502" s="170" cm="1">
        <f t="array" ref="E502">tabUniformes[[#This Row],[Valor Inicial]]*IFERROR(PRODUCT(1+_xlfn._xlws.FILTER(tabIndices[PERCENTUAL],tabIndices[DATA DA PUBLICAÇÃO]&gt;tabUniformes[[#This Row],[DATA PUBLICAÇÃO]])),1)</f>
        <v>351.15</v>
      </c>
      <c r="F502" s="172">
        <v>1</v>
      </c>
      <c r="G502" s="172" t="s">
        <v>77</v>
      </c>
      <c r="H502" s="172">
        <v>5</v>
      </c>
      <c r="I502" s="173">
        <f>tabUniformes[[#This Row],[Valor Reajustado]]*tabUniformes[[#This Row],[Qtde Anual de Peças]]*tabUniformes[[#This Row],[Qtde. funcionários]]</f>
        <v>1755.75</v>
      </c>
      <c r="J502" s="172">
        <f>tabUniformes[[#This Row],[Qtde Anual de Peças]]*tabUniformes[[#This Row],[Qtde. funcionários]]</f>
        <v>5</v>
      </c>
      <c r="K502" s="170">
        <f>IFERROR(tabUniformes[[#This Row],[Total]]/12/tabUniformes[[#This Row],[Qtde. funcionários]],0)</f>
        <v>29.262499999999999</v>
      </c>
    </row>
    <row r="503" spans="1:11">
      <c r="A503" s="169" t="s">
        <v>11</v>
      </c>
      <c r="B503" s="278" t="s">
        <v>30</v>
      </c>
      <c r="C503" s="171"/>
      <c r="D503" s="311">
        <v>94.82</v>
      </c>
      <c r="E503" s="170" cm="1">
        <f t="array" ref="E503">tabUniformes[[#This Row],[Valor Inicial]]*IFERROR(PRODUCT(1+_xlfn._xlws.FILTER(tabIndices[PERCENTUAL],tabIndices[DATA DA PUBLICAÇÃO]&gt;tabUniformes[[#This Row],[DATA PUBLICAÇÃO]])),1)</f>
        <v>94.82</v>
      </c>
      <c r="F503" s="172">
        <v>4</v>
      </c>
      <c r="G503" s="172" t="s">
        <v>77</v>
      </c>
      <c r="H503" s="172">
        <v>5</v>
      </c>
      <c r="I503" s="173">
        <v>1082.7330491955197</v>
      </c>
      <c r="J503" s="172">
        <v>20</v>
      </c>
      <c r="K503" s="170">
        <v>18.045550819925328</v>
      </c>
    </row>
    <row r="504" spans="1:11">
      <c r="A504" s="169" t="s">
        <v>14</v>
      </c>
      <c r="B504" s="278" t="s">
        <v>25</v>
      </c>
      <c r="C504" s="171"/>
      <c r="D504" s="311">
        <v>95.13</v>
      </c>
      <c r="E504" s="170" cm="1">
        <f t="array" ref="E504">tabUniformes[[#This Row],[Valor Inicial]]*IFERROR(PRODUCT(1+_xlfn._xlws.FILTER(tabIndices[PERCENTUAL],tabIndices[DATA DA PUBLICAÇÃO]&gt;tabUniformes[[#This Row],[DATA PUBLICAÇÃO]])),1)</f>
        <v>95.13</v>
      </c>
      <c r="F504" s="172">
        <v>1</v>
      </c>
      <c r="G504" s="172" t="s">
        <v>77</v>
      </c>
      <c r="H504" s="172">
        <v>5</v>
      </c>
      <c r="I504" s="173">
        <v>300.75918033208882</v>
      </c>
      <c r="J504" s="172">
        <v>5</v>
      </c>
      <c r="K504" s="170">
        <v>5.0126530055348137</v>
      </c>
    </row>
    <row r="505" spans="1:11">
      <c r="A505" s="169" t="s">
        <v>12</v>
      </c>
      <c r="B505" s="278" t="s">
        <v>32</v>
      </c>
      <c r="C505" s="171"/>
      <c r="D505" s="311">
        <v>69.83</v>
      </c>
      <c r="E505" s="170" cm="1">
        <f t="array" ref="E505">tabUniformes[[#This Row],[Valor Inicial]]*IFERROR(PRODUCT(1+_xlfn._xlws.FILTER(tabIndices[PERCENTUAL],tabIndices[DATA DA PUBLICAÇÃO]&gt;tabUniformes[[#This Row],[DATA PUBLICAÇÃO]])),1)</f>
        <v>69.83</v>
      </c>
      <c r="F505" s="172">
        <v>6</v>
      </c>
      <c r="G505" s="172" t="s">
        <v>77</v>
      </c>
      <c r="H505" s="172">
        <v>5</v>
      </c>
      <c r="I505" s="173">
        <v>1263.1885573947729</v>
      </c>
      <c r="J505" s="172">
        <v>30</v>
      </c>
      <c r="K505" s="170">
        <v>21.053142623246217</v>
      </c>
    </row>
    <row r="506" spans="1:11">
      <c r="A506" s="169" t="s">
        <v>17</v>
      </c>
      <c r="B506" s="278" t="s">
        <v>1808</v>
      </c>
      <c r="C506" s="171"/>
      <c r="D506" s="311">
        <v>280.04000000000002</v>
      </c>
      <c r="E506" s="170" cm="1">
        <f t="array" ref="E506">tabUniformes[[#This Row],[Valor Inicial]]*IFERROR(PRODUCT(1+_xlfn._xlws.FILTER(tabIndices[PERCENTUAL],tabIndices[DATA DA PUBLICAÇÃO]&gt;tabUniformes[[#This Row],[DATA PUBLICAÇÃO]])),1)</f>
        <v>280.04000000000002</v>
      </c>
      <c r="F506" s="172">
        <v>2</v>
      </c>
      <c r="G506" s="172" t="s">
        <v>1400</v>
      </c>
      <c r="H506" s="172">
        <v>30</v>
      </c>
      <c r="I506" s="173">
        <f>tabUniformes[[#This Row],[Valor Reajustado]]*tabUniformes[[#This Row],[Qtde Anual de Peças]]*tabUniformes[[#This Row],[Qtde. funcionários]]</f>
        <v>16802.400000000001</v>
      </c>
      <c r="J506" s="172">
        <f>tabUniformes[[#This Row],[Qtde Anual de Peças]]*tabUniformes[[#This Row],[Qtde. funcionários]]</f>
        <v>60</v>
      </c>
      <c r="K506" s="170">
        <f>IFERROR(tabUniformes[[#This Row],[Total]]/12/tabUniformes[[#This Row],[Qtde. funcionários]],0)</f>
        <v>46.673333333333332</v>
      </c>
    </row>
    <row r="507" spans="1:11">
      <c r="A507" s="169" t="s">
        <v>11</v>
      </c>
      <c r="B507" s="278" t="s">
        <v>30</v>
      </c>
      <c r="C507" s="171"/>
      <c r="D507" s="311">
        <v>94.82</v>
      </c>
      <c r="E507" s="170" cm="1">
        <f t="array" ref="E507">tabUniformes[[#This Row],[Valor Inicial]]*IFERROR(PRODUCT(1+_xlfn._xlws.FILTER(tabIndices[PERCENTUAL],tabIndices[DATA DA PUBLICAÇÃO]&gt;tabUniformes[[#This Row],[DATA PUBLICAÇÃO]])),1)</f>
        <v>94.82</v>
      </c>
      <c r="F507" s="172">
        <v>4</v>
      </c>
      <c r="G507" s="172" t="s">
        <v>1400</v>
      </c>
      <c r="H507" s="172">
        <v>30</v>
      </c>
      <c r="I507" s="173">
        <v>6496.3982951731186</v>
      </c>
      <c r="J507" s="172">
        <v>120</v>
      </c>
      <c r="K507" s="170">
        <v>18.045550819925328</v>
      </c>
    </row>
    <row r="508" spans="1:11">
      <c r="A508" s="169" t="s">
        <v>14</v>
      </c>
      <c r="B508" s="278" t="s">
        <v>25</v>
      </c>
      <c r="C508" s="171"/>
      <c r="D508" s="311">
        <v>95.13</v>
      </c>
      <c r="E508" s="170" cm="1">
        <f t="array" ref="E508">tabUniformes[[#This Row],[Valor Inicial]]*IFERROR(PRODUCT(1+_xlfn._xlws.FILTER(tabIndices[PERCENTUAL],tabIndices[DATA DA PUBLICAÇÃO]&gt;tabUniformes[[#This Row],[DATA PUBLICAÇÃO]])),1)</f>
        <v>95.13</v>
      </c>
      <c r="F508" s="172">
        <v>1</v>
      </c>
      <c r="G508" s="172" t="s">
        <v>1400</v>
      </c>
      <c r="H508" s="172">
        <v>30</v>
      </c>
      <c r="I508" s="173">
        <v>1804.5550819925329</v>
      </c>
      <c r="J508" s="172">
        <v>30</v>
      </c>
      <c r="K508" s="170">
        <v>5.0126530055348137</v>
      </c>
    </row>
    <row r="509" spans="1:11">
      <c r="A509" s="169" t="s">
        <v>12</v>
      </c>
      <c r="B509" s="278" t="s">
        <v>32</v>
      </c>
      <c r="C509" s="171"/>
      <c r="D509" s="311">
        <v>69.83</v>
      </c>
      <c r="E509" s="170" cm="1">
        <f t="array" ref="E509">tabUniformes[[#This Row],[Valor Inicial]]*IFERROR(PRODUCT(1+_xlfn._xlws.FILTER(tabIndices[PERCENTUAL],tabIndices[DATA DA PUBLICAÇÃO]&gt;tabUniformes[[#This Row],[DATA PUBLICAÇÃO]])),1)</f>
        <v>69.83</v>
      </c>
      <c r="F509" s="172">
        <v>6</v>
      </c>
      <c r="G509" s="172" t="s">
        <v>1400</v>
      </c>
      <c r="H509" s="172">
        <v>30</v>
      </c>
      <c r="I509" s="173">
        <v>7579.1313443686377</v>
      </c>
      <c r="J509" s="172">
        <v>180</v>
      </c>
      <c r="K509" s="170">
        <v>21.053142623246217</v>
      </c>
    </row>
    <row r="510" spans="1:11">
      <c r="A510" s="169" t="s">
        <v>17</v>
      </c>
      <c r="B510" s="278" t="s">
        <v>1808</v>
      </c>
      <c r="C510" s="171"/>
      <c r="D510" s="311">
        <v>280.04000000000002</v>
      </c>
      <c r="E510" s="170" cm="1">
        <f t="array" ref="E510">tabUniformes[[#This Row],[Valor Inicial]]*IFERROR(PRODUCT(1+_xlfn._xlws.FILTER(tabIndices[PERCENTUAL],tabIndices[DATA DA PUBLICAÇÃO]&gt;tabUniformes[[#This Row],[DATA PUBLICAÇÃO]])),1)</f>
        <v>280.04000000000002</v>
      </c>
      <c r="F510" s="172">
        <v>2</v>
      </c>
      <c r="G510" s="172" t="s">
        <v>1401</v>
      </c>
      <c r="H510" s="172">
        <v>30</v>
      </c>
      <c r="I510" s="173">
        <f>tabUniformes[[#This Row],[Valor Reajustado]]*tabUniformes[[#This Row],[Qtde Anual de Peças]]*tabUniformes[[#This Row],[Qtde. funcionários]]</f>
        <v>16802.400000000001</v>
      </c>
      <c r="J510" s="172">
        <f>tabUniformes[[#This Row],[Qtde Anual de Peças]]*tabUniformes[[#This Row],[Qtde. funcionários]]</f>
        <v>60</v>
      </c>
      <c r="K510" s="170">
        <f>IFERROR(tabUniformes[[#This Row],[Total]]/12/tabUniformes[[#This Row],[Qtde. funcionários]],0)</f>
        <v>46.673333333333332</v>
      </c>
    </row>
    <row r="511" spans="1:11">
      <c r="A511" s="169" t="s">
        <v>11</v>
      </c>
      <c r="B511" s="278" t="s">
        <v>30</v>
      </c>
      <c r="C511" s="171"/>
      <c r="D511" s="311">
        <v>94.82</v>
      </c>
      <c r="E511" s="170" cm="1">
        <f t="array" ref="E511">tabUniformes[[#This Row],[Valor Inicial]]*IFERROR(PRODUCT(1+_xlfn._xlws.FILTER(tabIndices[PERCENTUAL],tabIndices[DATA DA PUBLICAÇÃO]&gt;tabUniformes[[#This Row],[DATA PUBLICAÇÃO]])),1)</f>
        <v>94.82</v>
      </c>
      <c r="F511" s="172">
        <v>4</v>
      </c>
      <c r="G511" s="172" t="s">
        <v>1401</v>
      </c>
      <c r="H511" s="172">
        <v>30</v>
      </c>
      <c r="I511" s="173">
        <v>6496.3982951731186</v>
      </c>
      <c r="J511" s="172">
        <v>120</v>
      </c>
      <c r="K511" s="170">
        <v>18.045550819925328</v>
      </c>
    </row>
    <row r="512" spans="1:11">
      <c r="A512" s="169" t="s">
        <v>14</v>
      </c>
      <c r="B512" s="278" t="s">
        <v>25</v>
      </c>
      <c r="C512" s="171"/>
      <c r="D512" s="311">
        <v>95.13</v>
      </c>
      <c r="E512" s="170" cm="1">
        <f t="array" ref="E512">tabUniformes[[#This Row],[Valor Inicial]]*IFERROR(PRODUCT(1+_xlfn._xlws.FILTER(tabIndices[PERCENTUAL],tabIndices[DATA DA PUBLICAÇÃO]&gt;tabUniformes[[#This Row],[DATA PUBLICAÇÃO]])),1)</f>
        <v>95.13</v>
      </c>
      <c r="F512" s="172">
        <v>1</v>
      </c>
      <c r="G512" s="172" t="s">
        <v>1401</v>
      </c>
      <c r="H512" s="172">
        <v>30</v>
      </c>
      <c r="I512" s="173">
        <v>1804.5550819925329</v>
      </c>
      <c r="J512" s="172">
        <v>30</v>
      </c>
      <c r="K512" s="170">
        <v>5.0126530055348137</v>
      </c>
    </row>
    <row r="513" spans="1:11">
      <c r="A513" s="169" t="s">
        <v>12</v>
      </c>
      <c r="B513" s="278" t="s">
        <v>32</v>
      </c>
      <c r="C513" s="171"/>
      <c r="D513" s="311">
        <v>69.83</v>
      </c>
      <c r="E513" s="170" cm="1">
        <f t="array" ref="E513">tabUniformes[[#This Row],[Valor Inicial]]*IFERROR(PRODUCT(1+_xlfn._xlws.FILTER(tabIndices[PERCENTUAL],tabIndices[DATA DA PUBLICAÇÃO]&gt;tabUniformes[[#This Row],[DATA PUBLICAÇÃO]])),1)</f>
        <v>69.83</v>
      </c>
      <c r="F513" s="172">
        <v>6</v>
      </c>
      <c r="G513" s="172" t="s">
        <v>1401</v>
      </c>
      <c r="H513" s="172">
        <v>30</v>
      </c>
      <c r="I513" s="173">
        <v>7579.1313443686377</v>
      </c>
      <c r="J513" s="172">
        <v>180</v>
      </c>
      <c r="K513" s="170">
        <v>21.053142623246217</v>
      </c>
    </row>
    <row r="514" spans="1:11">
      <c r="A514" s="169" t="s">
        <v>17</v>
      </c>
      <c r="B514" s="278" t="s">
        <v>1808</v>
      </c>
      <c r="C514" s="171"/>
      <c r="D514" s="311">
        <v>280.04000000000002</v>
      </c>
      <c r="E514" s="170" cm="1">
        <f t="array" ref="E514">tabUniformes[[#This Row],[Valor Inicial]]*IFERROR(PRODUCT(1+_xlfn._xlws.FILTER(tabIndices[PERCENTUAL],tabIndices[DATA DA PUBLICAÇÃO]&gt;tabUniformes[[#This Row],[DATA PUBLICAÇÃO]])),1)</f>
        <v>280.04000000000002</v>
      </c>
      <c r="F514" s="172">
        <v>2</v>
      </c>
      <c r="G514" s="172" t="s">
        <v>1402</v>
      </c>
      <c r="H514" s="172">
        <v>24</v>
      </c>
      <c r="I514" s="173">
        <f>tabUniformes[[#This Row],[Valor Reajustado]]*tabUniformes[[#This Row],[Qtde Anual de Peças]]*tabUniformes[[#This Row],[Qtde. funcionários]]</f>
        <v>13441.920000000002</v>
      </c>
      <c r="J514" s="172">
        <f>tabUniformes[[#This Row],[Qtde Anual de Peças]]*tabUniformes[[#This Row],[Qtde. funcionários]]</f>
        <v>48</v>
      </c>
      <c r="K514" s="170">
        <f>IFERROR(tabUniformes[[#This Row],[Total]]/12/tabUniformes[[#This Row],[Qtde. funcionários]],0)</f>
        <v>46.673333333333339</v>
      </c>
    </row>
    <row r="515" spans="1:11">
      <c r="A515" s="169" t="s">
        <v>11</v>
      </c>
      <c r="B515" s="278" t="s">
        <v>30</v>
      </c>
      <c r="C515" s="171"/>
      <c r="D515" s="311">
        <v>94.82</v>
      </c>
      <c r="E515" s="170" cm="1">
        <f t="array" ref="E515">tabUniformes[[#This Row],[Valor Inicial]]*IFERROR(PRODUCT(1+_xlfn._xlws.FILTER(tabIndices[PERCENTUAL],tabIndices[DATA DA PUBLICAÇÃO]&gt;tabUniformes[[#This Row],[DATA PUBLICAÇÃO]])),1)</f>
        <v>94.82</v>
      </c>
      <c r="F515" s="172">
        <v>4</v>
      </c>
      <c r="G515" s="172" t="s">
        <v>1402</v>
      </c>
      <c r="H515" s="172">
        <v>24</v>
      </c>
      <c r="I515" s="173">
        <v>5197.1186361384953</v>
      </c>
      <c r="J515" s="172">
        <v>96</v>
      </c>
      <c r="K515" s="170">
        <v>18.045550819925332</v>
      </c>
    </row>
    <row r="516" spans="1:11">
      <c r="A516" s="169" t="s">
        <v>14</v>
      </c>
      <c r="B516" s="278" t="s">
        <v>25</v>
      </c>
      <c r="C516" s="171"/>
      <c r="D516" s="311">
        <v>95.13</v>
      </c>
      <c r="E516" s="170" cm="1">
        <f t="array" ref="E516">tabUniformes[[#This Row],[Valor Inicial]]*IFERROR(PRODUCT(1+_xlfn._xlws.FILTER(tabIndices[PERCENTUAL],tabIndices[DATA DA PUBLICAÇÃO]&gt;tabUniformes[[#This Row],[DATA PUBLICAÇÃO]])),1)</f>
        <v>95.13</v>
      </c>
      <c r="F516" s="172">
        <v>1</v>
      </c>
      <c r="G516" s="172" t="s">
        <v>1402</v>
      </c>
      <c r="H516" s="172">
        <v>24</v>
      </c>
      <c r="I516" s="173">
        <v>1443.6440655940264</v>
      </c>
      <c r="J516" s="172">
        <v>24</v>
      </c>
      <c r="K516" s="170">
        <v>5.0126530055348137</v>
      </c>
    </row>
    <row r="517" spans="1:11">
      <c r="A517" s="169" t="s">
        <v>12</v>
      </c>
      <c r="B517" s="278" t="s">
        <v>32</v>
      </c>
      <c r="C517" s="171"/>
      <c r="D517" s="311">
        <v>69.83</v>
      </c>
      <c r="E517" s="170" cm="1">
        <f t="array" ref="E517">tabUniformes[[#This Row],[Valor Inicial]]*IFERROR(PRODUCT(1+_xlfn._xlws.FILTER(tabIndices[PERCENTUAL],tabIndices[DATA DA PUBLICAÇÃO]&gt;tabUniformes[[#This Row],[DATA PUBLICAÇÃO]])),1)</f>
        <v>69.83</v>
      </c>
      <c r="F517" s="172">
        <v>6</v>
      </c>
      <c r="G517" s="172" t="s">
        <v>1402</v>
      </c>
      <c r="H517" s="172">
        <v>24</v>
      </c>
      <c r="I517" s="173">
        <v>6063.3050754949109</v>
      </c>
      <c r="J517" s="172">
        <v>144</v>
      </c>
      <c r="K517" s="170">
        <v>21.05314262324622</v>
      </c>
    </row>
    <row r="518" spans="1:11">
      <c r="A518" s="169" t="s">
        <v>12</v>
      </c>
      <c r="B518" s="278" t="s">
        <v>1791</v>
      </c>
      <c r="C518" s="171"/>
      <c r="D518" s="311">
        <v>99</v>
      </c>
      <c r="E518" s="170" cm="1">
        <f t="array" ref="E518">tabUniformes[[#This Row],[Valor Inicial]]*IFERROR(PRODUCT(1+_xlfn._xlws.FILTER(tabIndices[PERCENTUAL],tabIndices[DATA DA PUBLICAÇÃO]&gt;tabUniformes[[#This Row],[DATA PUBLICAÇÃO]])),1)</f>
        <v>99</v>
      </c>
      <c r="F518" s="172">
        <v>4</v>
      </c>
      <c r="G518" s="172" t="s">
        <v>78</v>
      </c>
      <c r="H518" s="172">
        <v>4</v>
      </c>
      <c r="I518" s="173">
        <v>769.94350165014737</v>
      </c>
      <c r="J518" s="172">
        <v>16</v>
      </c>
      <c r="K518" s="170">
        <v>16.040489617711405</v>
      </c>
    </row>
    <row r="519" spans="1:11">
      <c r="A519" s="169" t="s">
        <v>10</v>
      </c>
      <c r="B519" s="278" t="s">
        <v>27</v>
      </c>
      <c r="C519" s="171"/>
      <c r="D519" s="311">
        <v>221.5</v>
      </c>
      <c r="E519" s="170" cm="1">
        <f t="array" ref="E519">tabUniformes[[#This Row],[Valor Inicial]]*IFERROR(PRODUCT(1+_xlfn._xlws.FILTER(tabIndices[PERCENTUAL],tabIndices[DATA DA PUBLICAÇÃO]&gt;tabUniformes[[#This Row],[DATA PUBLICAÇÃO]])),1)</f>
        <v>221.5</v>
      </c>
      <c r="F519" s="172">
        <v>1</v>
      </c>
      <c r="G519" s="172" t="s">
        <v>78</v>
      </c>
      <c r="H519" s="172">
        <v>4</v>
      </c>
      <c r="I519" s="173">
        <v>312.78954754537239</v>
      </c>
      <c r="J519" s="172">
        <v>4</v>
      </c>
      <c r="K519" s="170">
        <v>6.516448907195258</v>
      </c>
    </row>
    <row r="520" spans="1:11">
      <c r="A520" s="169" t="s">
        <v>11</v>
      </c>
      <c r="B520" s="278" t="s">
        <v>28</v>
      </c>
      <c r="C520" s="171"/>
      <c r="D520" s="311">
        <v>105</v>
      </c>
      <c r="E520" s="170" cm="1">
        <f t="array" ref="E520">tabUniformes[[#This Row],[Valor Inicial]]*IFERROR(PRODUCT(1+_xlfn._xlws.FILTER(tabIndices[PERCENTUAL],tabIndices[DATA DA PUBLICAÇÃO]&gt;tabUniformes[[#This Row],[DATA PUBLICAÇÃO]])),1)</f>
        <v>105</v>
      </c>
      <c r="F520" s="172">
        <v>4</v>
      </c>
      <c r="G520" s="172" t="s">
        <v>78</v>
      </c>
      <c r="H520" s="172">
        <v>4</v>
      </c>
      <c r="I520" s="173">
        <v>673.70056394387893</v>
      </c>
      <c r="J520" s="172">
        <v>16</v>
      </c>
      <c r="K520" s="170">
        <v>14.035428415497478</v>
      </c>
    </row>
    <row r="521" spans="1:11">
      <c r="A521" s="169" t="s">
        <v>17</v>
      </c>
      <c r="B521" s="278" t="s">
        <v>1789</v>
      </c>
      <c r="C521" s="171"/>
      <c r="D521" s="311">
        <v>221.63</v>
      </c>
      <c r="E521" s="170" cm="1">
        <f t="array" ref="E521">tabUniformes[[#This Row],[Valor Inicial]]*IFERROR(PRODUCT(1+_xlfn._xlws.FILTER(tabIndices[PERCENTUAL],tabIndices[DATA DA PUBLICAÇÃO]&gt;tabUniformes[[#This Row],[DATA PUBLICAÇÃO]])),1)</f>
        <v>221.63</v>
      </c>
      <c r="F521" s="172">
        <v>1</v>
      </c>
      <c r="G521" s="172" t="s">
        <v>78</v>
      </c>
      <c r="H521" s="172">
        <v>4</v>
      </c>
      <c r="I521" s="173">
        <v>288.72881311880525</v>
      </c>
      <c r="J521" s="172">
        <v>4</v>
      </c>
      <c r="K521" s="170">
        <v>6.0151836066417763</v>
      </c>
    </row>
  </sheetData>
  <phoneticPr fontId="9" type="noConversion"/>
  <pageMargins left="0.511811024" right="0.511811024" top="0.78740157499999996" bottom="0.78740157499999996" header="0.31496062000000002" footer="0.31496062000000002"/>
  <pageSetup paperSize="9" orientation="landscape" r:id="rId2"/>
  <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'BASE GERAL'!$G:$G</xm:f>
          </x14:formula1>
          <xm:sqref>G7:G521</xm:sqref>
        </x14:dataValidation>
      </x14:dataValidations>
    </ext>
    <ext xmlns:x14="http://schemas.microsoft.com/office/spreadsheetml/2009/9/main" uri="{A8765BA9-456A-4dab-B4F3-ACF838C121DE}">
      <x14:slicerList>
        <x14:slicer r:id="rId5"/>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S44"/>
  <sheetViews>
    <sheetView workbookViewId="0">
      <pane ySplit="3" topLeftCell="A4" activePane="bottomLeft" state="frozen"/>
      <selection pane="bottomLeft" activeCell="C8" sqref="C8"/>
    </sheetView>
  </sheetViews>
  <sheetFormatPr defaultRowHeight="14.25"/>
  <cols>
    <col min="1" max="4" width="9.75" customWidth="1"/>
    <col min="5" max="5" width="54.625" customWidth="1"/>
    <col min="6" max="6" width="13.625" customWidth="1"/>
    <col min="7" max="7" width="13.75" customWidth="1"/>
    <col min="8" max="8" width="10.75" customWidth="1"/>
    <col min="9" max="16" width="13.75" customWidth="1"/>
  </cols>
  <sheetData>
    <row r="1" spans="1:19" ht="30.75" customHeight="1">
      <c r="A1" s="319" t="s">
        <v>1914</v>
      </c>
      <c r="B1" s="320"/>
      <c r="C1" s="320"/>
      <c r="D1" s="320"/>
      <c r="E1" s="320"/>
      <c r="F1" s="321"/>
    </row>
    <row r="3" spans="1:19" ht="51">
      <c r="A3" s="183" t="s">
        <v>80</v>
      </c>
      <c r="B3" s="183" t="s">
        <v>1785</v>
      </c>
      <c r="C3" s="183" t="s">
        <v>95</v>
      </c>
      <c r="D3" s="183" t="s">
        <v>81</v>
      </c>
      <c r="E3" s="183" t="s">
        <v>82</v>
      </c>
      <c r="F3" s="183" t="s">
        <v>83</v>
      </c>
      <c r="G3" s="195" t="s">
        <v>84</v>
      </c>
      <c r="H3" s="183" t="s">
        <v>85</v>
      </c>
      <c r="I3" s="183" t="s">
        <v>2</v>
      </c>
      <c r="J3" s="183" t="s">
        <v>86</v>
      </c>
      <c r="K3" s="183" t="s">
        <v>87</v>
      </c>
      <c r="L3" s="183" t="s">
        <v>88</v>
      </c>
      <c r="M3" s="183" t="s">
        <v>89</v>
      </c>
      <c r="N3" s="183" t="s">
        <v>90</v>
      </c>
      <c r="O3" s="183" t="s">
        <v>91</v>
      </c>
      <c r="P3" s="183" t="s">
        <v>92</v>
      </c>
    </row>
    <row r="4" spans="1:19" ht="25.5">
      <c r="A4" s="184">
        <f>ROW()-3</f>
        <v>1</v>
      </c>
      <c r="B4" s="186">
        <v>50</v>
      </c>
      <c r="C4" s="186" t="s">
        <v>95</v>
      </c>
      <c r="D4" s="184">
        <f>SUMIFS(tabPostos[Vagas contratadas],tabPostos[Função],"Jardineiro"&amp;"*")</f>
        <v>31</v>
      </c>
      <c r="E4" s="192" t="s">
        <v>1880</v>
      </c>
      <c r="F4" s="191" t="s">
        <v>93</v>
      </c>
      <c r="G4" s="191" t="s">
        <v>1758</v>
      </c>
      <c r="H4" s="191"/>
      <c r="I4" s="191"/>
      <c r="J4" s="312">
        <v>49.25</v>
      </c>
      <c r="K4" s="182">
        <f>tabJardinagem[[#This Row],[PREÇO UNIDADE -  (R$)]]*tabJardinagem[[#This Row],[QUANT ANUAL DO ITEM]]</f>
        <v>2462.5</v>
      </c>
      <c r="L4" s="182" cm="1">
        <f t="array" ref="L4">tabJardinagem[[#This Row],[PREÇO INICIAL -  (R$)]]*IFERROR(PRODUCT(1+_xlfn._xlws.FILTER(tabIndices[PERCENTUAL],tabIndices[DATA DA PUBLICAÇÃO]&gt;tabJardinagem[[#This Row],[DATA PUBLICAÇÃO]])),1)</f>
        <v>49.25</v>
      </c>
      <c r="M4" s="182">
        <f>IF(tabJardinagem[[#This Row],[TIPO]]="Equipamento",tabJardinagem[[#This Row],[PREÇO UNIDADE -  (R$)]]/60,0)</f>
        <v>0.8208333333333333</v>
      </c>
      <c r="N4" s="182">
        <f>tabJardinagem[[#This Row],[VALOR  - DEPRECIAÇÃO MENSAL - UNIDADE (R$)]]*tabJardinagem[[#This Row],[QUANT ANUAL DO ITEM]]</f>
        <v>41.041666666666664</v>
      </c>
      <c r="O4" s="182">
        <f>tabJardinagem[[#This Row],[VALOR DEPRECIAÇÃO MENSAL - TOTAL (R$)]]*12</f>
        <v>492.5</v>
      </c>
      <c r="P4" s="182">
        <f>IFERROR(IF(tabJardinagem[[#This Row],[TIPO]]="Equipamento",tabJardinagem[[#This Row],[VALOR  - DEPRECIAÇÃO ANUAL - TOTAL (R$) ]]/12/tabJardinagem[[#This Row],[QUANT. POSTOS]],tabJardinagem[[#This Row],[PREÇO TOTAL -  (R$)]]/12/tabJardinagem[[#This Row],[QUANT. POSTOS]]),0)</f>
        <v>1.3239247311827955</v>
      </c>
      <c r="S4" s="280"/>
    </row>
    <row r="5" spans="1:19" ht="51">
      <c r="A5" s="184">
        <f>ROW()-3</f>
        <v>2</v>
      </c>
      <c r="B5" s="186">
        <v>115</v>
      </c>
      <c r="C5" s="186" t="s">
        <v>95</v>
      </c>
      <c r="D5" s="184">
        <f>SUMIFS(tabPostos[Vagas contratadas],tabPostos[Função],"Jardineiro"&amp;"*")</f>
        <v>31</v>
      </c>
      <c r="E5" s="192" t="s">
        <v>1883</v>
      </c>
      <c r="F5" s="191" t="s">
        <v>93</v>
      </c>
      <c r="G5" s="191" t="s">
        <v>1758</v>
      </c>
      <c r="H5" s="191"/>
      <c r="I5" s="191"/>
      <c r="J5" s="312">
        <v>23.56</v>
      </c>
      <c r="K5" s="182">
        <f>tabJardinagem[[#This Row],[PREÇO UNIDADE -  (R$)]]*tabJardinagem[[#This Row],[QUANT ANUAL DO ITEM]]</f>
        <v>2709.3999999999996</v>
      </c>
      <c r="L5" s="182" cm="1">
        <f t="array" ref="L5">tabJardinagem[[#This Row],[PREÇO INICIAL -  (R$)]]*IFERROR(PRODUCT(1+_xlfn._xlws.FILTER(tabIndices[PERCENTUAL],tabIndices[DATA DA PUBLICAÇÃO]&gt;tabJardinagem[[#This Row],[DATA PUBLICAÇÃO]])),1)</f>
        <v>23.56</v>
      </c>
      <c r="M5" s="182">
        <f>IF(tabJardinagem[[#This Row],[TIPO]]="Equipamento",tabJardinagem[[#This Row],[PREÇO UNIDADE -  (R$)]]/60,0)</f>
        <v>0.39266666666666666</v>
      </c>
      <c r="N5" s="182">
        <f>tabJardinagem[[#This Row],[VALOR  - DEPRECIAÇÃO MENSAL - UNIDADE (R$)]]*tabJardinagem[[#This Row],[QUANT ANUAL DO ITEM]]</f>
        <v>45.156666666666666</v>
      </c>
      <c r="O5" s="182">
        <f>tabJardinagem[[#This Row],[VALOR DEPRECIAÇÃO MENSAL - TOTAL (R$)]]*12</f>
        <v>541.88</v>
      </c>
      <c r="P5" s="182">
        <f>IFERROR(IF(tabJardinagem[[#This Row],[TIPO]]="Equipamento",tabJardinagem[[#This Row],[VALOR  - DEPRECIAÇÃO ANUAL - TOTAL (R$) ]]/12/tabJardinagem[[#This Row],[QUANT. POSTOS]],tabJardinagem[[#This Row],[PREÇO TOTAL -  (R$)]]/12/tabJardinagem[[#This Row],[QUANT. POSTOS]]),0)</f>
        <v>1.4566666666666666</v>
      </c>
      <c r="S5" s="280"/>
    </row>
    <row r="6" spans="1:19" ht="25.5">
      <c r="A6" s="184">
        <f>ROW()-3</f>
        <v>3</v>
      </c>
      <c r="B6" s="186">
        <v>50</v>
      </c>
      <c r="C6" s="186" t="s">
        <v>95</v>
      </c>
      <c r="D6" s="184">
        <f>SUMIFS(tabPostos[Vagas contratadas],tabPostos[Função],"Jardineiro"&amp;"*")</f>
        <v>31</v>
      </c>
      <c r="E6" s="193" t="s">
        <v>1872</v>
      </c>
      <c r="F6" s="191" t="s">
        <v>93</v>
      </c>
      <c r="G6" s="191" t="s">
        <v>1758</v>
      </c>
      <c r="H6" s="190"/>
      <c r="I6" s="190"/>
      <c r="J6" s="312">
        <v>259.33999999999997</v>
      </c>
      <c r="K6" s="182">
        <f>tabJardinagem[[#This Row],[PREÇO UNIDADE -  (R$)]]*tabJardinagem[[#This Row],[QUANT ANUAL DO ITEM]]</f>
        <v>12966.999999999998</v>
      </c>
      <c r="L6" s="182" cm="1">
        <f t="array" ref="L6">tabJardinagem[[#This Row],[PREÇO INICIAL -  (R$)]]*IFERROR(PRODUCT(1+_xlfn._xlws.FILTER(tabIndices[PERCENTUAL],tabIndices[DATA DA PUBLICAÇÃO]&gt;tabJardinagem[[#This Row],[DATA PUBLICAÇÃO]])),1)</f>
        <v>259.33999999999997</v>
      </c>
      <c r="M6" s="182">
        <f>IF(tabJardinagem[[#This Row],[TIPO]]="Equipamento",tabJardinagem[[#This Row],[PREÇO UNIDADE -  (R$)]]/60,0)</f>
        <v>4.3223333333333329</v>
      </c>
      <c r="N6" s="182">
        <f>tabJardinagem[[#This Row],[VALOR  - DEPRECIAÇÃO MENSAL - UNIDADE (R$)]]*tabJardinagem[[#This Row],[QUANT ANUAL DO ITEM]]</f>
        <v>216.11666666666665</v>
      </c>
      <c r="O6" s="182">
        <f>tabJardinagem[[#This Row],[VALOR DEPRECIAÇÃO MENSAL - TOTAL (R$)]]*12</f>
        <v>2593.3999999999996</v>
      </c>
      <c r="P6" s="182">
        <f>IFERROR(IF(tabJardinagem[[#This Row],[TIPO]]="Equipamento",tabJardinagem[[#This Row],[VALOR  - DEPRECIAÇÃO ANUAL - TOTAL (R$) ]]/12/tabJardinagem[[#This Row],[QUANT. POSTOS]],tabJardinagem[[#This Row],[PREÇO TOTAL -  (R$)]]/12/tabJardinagem[[#This Row],[QUANT. POSTOS]]),0)</f>
        <v>6.9715053763440853</v>
      </c>
      <c r="S6" s="280"/>
    </row>
    <row r="7" spans="1:19" ht="25.5">
      <c r="A7" s="184"/>
      <c r="B7" s="186">
        <v>50</v>
      </c>
      <c r="C7" s="186" t="s">
        <v>95</v>
      </c>
      <c r="D7" s="184">
        <f>SUMIFS(tabPostos[Vagas contratadas],tabPostos[Função],"Jardineiro"&amp;"*")</f>
        <v>31</v>
      </c>
      <c r="E7" s="192" t="s">
        <v>1881</v>
      </c>
      <c r="F7" s="191" t="s">
        <v>93</v>
      </c>
      <c r="G7" s="191" t="s">
        <v>1758</v>
      </c>
      <c r="H7" s="191"/>
      <c r="I7" s="191"/>
      <c r="J7" s="312">
        <v>76.34</v>
      </c>
      <c r="K7" s="182">
        <f>tabJardinagem[[#This Row],[PREÇO UNIDADE -  (R$)]]*tabJardinagem[[#This Row],[QUANT ANUAL DO ITEM]]</f>
        <v>3817</v>
      </c>
      <c r="L7" s="182" cm="1">
        <f t="array" ref="L7">tabJardinagem[[#This Row],[PREÇO INICIAL -  (R$)]]*IFERROR(PRODUCT(1+_xlfn._xlws.FILTER(tabIndices[PERCENTUAL],tabIndices[DATA DA PUBLICAÇÃO]&gt;tabJardinagem[[#This Row],[DATA PUBLICAÇÃO]])),1)</f>
        <v>76.34</v>
      </c>
      <c r="M7" s="182">
        <f>IF(tabJardinagem[[#This Row],[TIPO]]="Equipamento",tabJardinagem[[#This Row],[PREÇO UNIDADE -  (R$)]]/60,0)</f>
        <v>1.2723333333333333</v>
      </c>
      <c r="N7" s="182">
        <f>tabJardinagem[[#This Row],[VALOR  - DEPRECIAÇÃO MENSAL - UNIDADE (R$)]]*tabJardinagem[[#This Row],[QUANT ANUAL DO ITEM]]</f>
        <v>63.616666666666667</v>
      </c>
      <c r="O7" s="182">
        <f>tabJardinagem[[#This Row],[VALOR DEPRECIAÇÃO MENSAL - TOTAL (R$)]]*12</f>
        <v>763.4</v>
      </c>
      <c r="P7" s="182">
        <f>IFERROR(IF(tabJardinagem[[#This Row],[TIPO]]="Equipamento",tabJardinagem[[#This Row],[VALOR  - DEPRECIAÇÃO ANUAL - TOTAL (R$) ]]/12/tabJardinagem[[#This Row],[QUANT. POSTOS]],tabJardinagem[[#This Row],[PREÇO TOTAL -  (R$)]]/12/tabJardinagem[[#This Row],[QUANT. POSTOS]]),0)</f>
        <v>2.0521505376344087</v>
      </c>
      <c r="S7" s="280"/>
    </row>
    <row r="8" spans="1:19" ht="38.25">
      <c r="A8" s="184">
        <f t="shared" ref="A8:A42" si="0">ROW()-3</f>
        <v>5</v>
      </c>
      <c r="B8" s="186">
        <v>50</v>
      </c>
      <c r="C8" s="186" t="s">
        <v>95</v>
      </c>
      <c r="D8" s="184">
        <f>SUMIFS(tabPostos[Vagas contratadas],tabPostos[Função],"Jardineiro"&amp;"*")</f>
        <v>31</v>
      </c>
      <c r="E8" s="192" t="s">
        <v>1884</v>
      </c>
      <c r="F8" s="191" t="s">
        <v>93</v>
      </c>
      <c r="G8" s="191" t="s">
        <v>1758</v>
      </c>
      <c r="H8" s="191"/>
      <c r="I8" s="191"/>
      <c r="J8" s="312">
        <v>25.37</v>
      </c>
      <c r="K8" s="182">
        <f>tabJardinagem[[#This Row],[PREÇO UNIDADE -  (R$)]]*tabJardinagem[[#This Row],[QUANT ANUAL DO ITEM]]</f>
        <v>1268.5</v>
      </c>
      <c r="L8" s="182" cm="1">
        <f t="array" ref="L8">tabJardinagem[[#This Row],[PREÇO INICIAL -  (R$)]]*IFERROR(PRODUCT(1+_xlfn._xlws.FILTER(tabIndices[PERCENTUAL],tabIndices[DATA DA PUBLICAÇÃO]&gt;tabJardinagem[[#This Row],[DATA PUBLICAÇÃO]])),1)</f>
        <v>25.37</v>
      </c>
      <c r="M8" s="182">
        <f>IF(tabJardinagem[[#This Row],[TIPO]]="Equipamento",tabJardinagem[[#This Row],[PREÇO UNIDADE -  (R$)]]/60,0)</f>
        <v>0.42283333333333334</v>
      </c>
      <c r="N8" s="182">
        <f>tabJardinagem[[#This Row],[VALOR  - DEPRECIAÇÃO MENSAL - UNIDADE (R$)]]*tabJardinagem[[#This Row],[QUANT ANUAL DO ITEM]]</f>
        <v>21.141666666666666</v>
      </c>
      <c r="O8" s="182">
        <f>tabJardinagem[[#This Row],[VALOR DEPRECIAÇÃO MENSAL - TOTAL (R$)]]*12</f>
        <v>253.7</v>
      </c>
      <c r="P8" s="182">
        <f>IFERROR(IF(tabJardinagem[[#This Row],[TIPO]]="Equipamento",tabJardinagem[[#This Row],[VALOR  - DEPRECIAÇÃO ANUAL - TOTAL (R$) ]]/12/tabJardinagem[[#This Row],[QUANT. POSTOS]],tabJardinagem[[#This Row],[PREÇO TOTAL -  (R$)]]/12/tabJardinagem[[#This Row],[QUANT. POSTOS]]),0)</f>
        <v>0.68198924731182797</v>
      </c>
      <c r="S8" s="280"/>
    </row>
    <row r="9" spans="1:19" ht="25.5">
      <c r="A9" s="184">
        <f t="shared" si="0"/>
        <v>6</v>
      </c>
      <c r="B9" s="186">
        <v>50</v>
      </c>
      <c r="C9" s="186" t="s">
        <v>95</v>
      </c>
      <c r="D9" s="184">
        <f>SUMIFS(tabPostos[Vagas contratadas],tabPostos[Função],"Jardineiro"&amp;"*")</f>
        <v>31</v>
      </c>
      <c r="E9" s="192" t="s">
        <v>1878</v>
      </c>
      <c r="F9" s="191" t="s">
        <v>93</v>
      </c>
      <c r="G9" s="191" t="s">
        <v>1758</v>
      </c>
      <c r="H9" s="191"/>
      <c r="I9" s="191"/>
      <c r="J9" s="312">
        <v>55.76</v>
      </c>
      <c r="K9" s="182">
        <f>tabJardinagem[[#This Row],[PREÇO UNIDADE -  (R$)]]*tabJardinagem[[#This Row],[QUANT ANUAL DO ITEM]]</f>
        <v>2788</v>
      </c>
      <c r="L9" s="182" cm="1">
        <f t="array" ref="L9">tabJardinagem[[#This Row],[PREÇO INICIAL -  (R$)]]*IFERROR(PRODUCT(1+_xlfn._xlws.FILTER(tabIndices[PERCENTUAL],tabIndices[DATA DA PUBLICAÇÃO]&gt;tabJardinagem[[#This Row],[DATA PUBLICAÇÃO]])),1)</f>
        <v>55.76</v>
      </c>
      <c r="M9" s="182">
        <f>IF(tabJardinagem[[#This Row],[TIPO]]="Equipamento",tabJardinagem[[#This Row],[PREÇO UNIDADE -  (R$)]]/60,0)</f>
        <v>0.92933333333333334</v>
      </c>
      <c r="N9" s="182">
        <f>tabJardinagem[[#This Row],[VALOR  - DEPRECIAÇÃO MENSAL - UNIDADE (R$)]]*tabJardinagem[[#This Row],[QUANT ANUAL DO ITEM]]</f>
        <v>46.466666666666669</v>
      </c>
      <c r="O9" s="182">
        <f>tabJardinagem[[#This Row],[VALOR DEPRECIAÇÃO MENSAL - TOTAL (R$)]]*12</f>
        <v>557.6</v>
      </c>
      <c r="P9" s="182">
        <f>IFERROR(IF(tabJardinagem[[#This Row],[TIPO]]="Equipamento",tabJardinagem[[#This Row],[VALOR  - DEPRECIAÇÃO ANUAL - TOTAL (R$) ]]/12/tabJardinagem[[#This Row],[QUANT. POSTOS]],tabJardinagem[[#This Row],[PREÇO TOTAL -  (R$)]]/12/tabJardinagem[[#This Row],[QUANT. POSTOS]]),0)</f>
        <v>1.4989247311827958</v>
      </c>
      <c r="S9" s="280"/>
    </row>
    <row r="10" spans="1:19" ht="25.5">
      <c r="A10" s="184">
        <f t="shared" si="0"/>
        <v>7</v>
      </c>
      <c r="B10" s="186">
        <v>50</v>
      </c>
      <c r="C10" s="186" t="s">
        <v>95</v>
      </c>
      <c r="D10" s="184">
        <f>SUMIFS(tabPostos[Vagas contratadas],tabPostos[Função],"Jardineiro"&amp;"*")</f>
        <v>31</v>
      </c>
      <c r="E10" s="193" t="s">
        <v>1879</v>
      </c>
      <c r="F10" s="191" t="s">
        <v>93</v>
      </c>
      <c r="G10" s="191" t="s">
        <v>1758</v>
      </c>
      <c r="H10" s="190"/>
      <c r="I10" s="190"/>
      <c r="J10" s="312">
        <v>253.8</v>
      </c>
      <c r="K10" s="182">
        <f>tabJardinagem[[#This Row],[PREÇO UNIDADE -  (R$)]]*tabJardinagem[[#This Row],[QUANT ANUAL DO ITEM]]</f>
        <v>12690</v>
      </c>
      <c r="L10" s="182" cm="1">
        <f t="array" ref="L10">tabJardinagem[[#This Row],[PREÇO INICIAL -  (R$)]]*IFERROR(PRODUCT(1+_xlfn._xlws.FILTER(tabIndices[PERCENTUAL],tabIndices[DATA DA PUBLICAÇÃO]&gt;tabJardinagem[[#This Row],[DATA PUBLICAÇÃO]])),1)</f>
        <v>253.8</v>
      </c>
      <c r="M10" s="182">
        <f>IF(tabJardinagem[[#This Row],[TIPO]]="Equipamento",tabJardinagem[[#This Row],[PREÇO UNIDADE -  (R$)]]/60,0)</f>
        <v>4.2300000000000004</v>
      </c>
      <c r="N10" s="182">
        <f>tabJardinagem[[#This Row],[VALOR  - DEPRECIAÇÃO MENSAL - UNIDADE (R$)]]*tabJardinagem[[#This Row],[QUANT ANUAL DO ITEM]]</f>
        <v>211.50000000000003</v>
      </c>
      <c r="O10" s="182">
        <f>tabJardinagem[[#This Row],[VALOR DEPRECIAÇÃO MENSAL - TOTAL (R$)]]*12</f>
        <v>2538.0000000000005</v>
      </c>
      <c r="P10" s="182">
        <f>IFERROR(IF(tabJardinagem[[#This Row],[TIPO]]="Equipamento",tabJardinagem[[#This Row],[VALOR  - DEPRECIAÇÃO ANUAL - TOTAL (R$) ]]/12/tabJardinagem[[#This Row],[QUANT. POSTOS]],tabJardinagem[[#This Row],[PREÇO TOTAL -  (R$)]]/12/tabJardinagem[[#This Row],[QUANT. POSTOS]]),0)</f>
        <v>6.8225806451612909</v>
      </c>
      <c r="S10" s="280"/>
    </row>
    <row r="11" spans="1:19" ht="38.25">
      <c r="A11" s="184">
        <f t="shared" si="0"/>
        <v>8</v>
      </c>
      <c r="B11" s="186">
        <v>50</v>
      </c>
      <c r="C11" s="186" t="s">
        <v>95</v>
      </c>
      <c r="D11" s="184">
        <f>SUMIFS(tabPostos[Vagas contratadas],tabPostos[Função],"Jardineiro"&amp;"*")</f>
        <v>31</v>
      </c>
      <c r="E11" s="192" t="s">
        <v>1877</v>
      </c>
      <c r="F11" s="191" t="s">
        <v>93</v>
      </c>
      <c r="G11" s="191" t="s">
        <v>1758</v>
      </c>
      <c r="H11" s="191"/>
      <c r="I11" s="191"/>
      <c r="J11" s="312">
        <v>47.55</v>
      </c>
      <c r="K11" s="182">
        <f>tabJardinagem[[#This Row],[PREÇO UNIDADE -  (R$)]]*tabJardinagem[[#This Row],[QUANT ANUAL DO ITEM]]</f>
        <v>2377.5</v>
      </c>
      <c r="L11" s="182" cm="1">
        <f t="array" ref="L11">tabJardinagem[[#This Row],[PREÇO INICIAL -  (R$)]]*IFERROR(PRODUCT(1+_xlfn._xlws.FILTER(tabIndices[PERCENTUAL],tabIndices[DATA DA PUBLICAÇÃO]&gt;tabJardinagem[[#This Row],[DATA PUBLICAÇÃO]])),1)</f>
        <v>47.55</v>
      </c>
      <c r="M11" s="182">
        <f>IF(tabJardinagem[[#This Row],[TIPO]]="Equipamento",tabJardinagem[[#This Row],[PREÇO UNIDADE -  (R$)]]/60,0)</f>
        <v>0.79249999999999998</v>
      </c>
      <c r="N11" s="182">
        <f>tabJardinagem[[#This Row],[VALOR  - DEPRECIAÇÃO MENSAL - UNIDADE (R$)]]*tabJardinagem[[#This Row],[QUANT ANUAL DO ITEM]]</f>
        <v>39.625</v>
      </c>
      <c r="O11" s="182">
        <f>tabJardinagem[[#This Row],[VALOR DEPRECIAÇÃO MENSAL - TOTAL (R$)]]*12</f>
        <v>475.5</v>
      </c>
      <c r="P11" s="182">
        <f>IFERROR(IF(tabJardinagem[[#This Row],[TIPO]]="Equipamento",tabJardinagem[[#This Row],[VALOR  - DEPRECIAÇÃO ANUAL - TOTAL (R$) ]]/12/tabJardinagem[[#This Row],[QUANT. POSTOS]],tabJardinagem[[#This Row],[PREÇO TOTAL -  (R$)]]/12/tabJardinagem[[#This Row],[QUANT. POSTOS]]),0)</f>
        <v>1.278225806451613</v>
      </c>
      <c r="S11" s="280"/>
    </row>
    <row r="12" spans="1:19" ht="25.5">
      <c r="A12" s="184">
        <f t="shared" si="0"/>
        <v>9</v>
      </c>
      <c r="B12" s="186">
        <v>50</v>
      </c>
      <c r="C12" s="186" t="s">
        <v>95</v>
      </c>
      <c r="D12" s="184">
        <f>SUMIFS(tabPostos[Vagas contratadas],tabPostos[Função],"Jardineiro"&amp;"*")</f>
        <v>31</v>
      </c>
      <c r="E12" s="192" t="s">
        <v>1882</v>
      </c>
      <c r="F12" s="191" t="s">
        <v>93</v>
      </c>
      <c r="G12" s="191" t="s">
        <v>1758</v>
      </c>
      <c r="H12" s="191"/>
      <c r="I12" s="191"/>
      <c r="J12" s="312">
        <v>1845.83</v>
      </c>
      <c r="K12" s="182">
        <f>tabJardinagem[[#This Row],[PREÇO UNIDADE -  (R$)]]*tabJardinagem[[#This Row],[QUANT ANUAL DO ITEM]]</f>
        <v>92291.5</v>
      </c>
      <c r="L12" s="182" cm="1">
        <f t="array" ref="L12">tabJardinagem[[#This Row],[PREÇO INICIAL -  (R$)]]*IFERROR(PRODUCT(1+_xlfn._xlws.FILTER(tabIndices[PERCENTUAL],tabIndices[DATA DA PUBLICAÇÃO]&gt;tabJardinagem[[#This Row],[DATA PUBLICAÇÃO]])),1)</f>
        <v>1845.83</v>
      </c>
      <c r="M12" s="182">
        <f>IF(tabJardinagem[[#This Row],[TIPO]]="Equipamento",tabJardinagem[[#This Row],[PREÇO UNIDADE -  (R$)]]/60,0)</f>
        <v>30.763833333333331</v>
      </c>
      <c r="N12" s="182">
        <f>tabJardinagem[[#This Row],[VALOR  - DEPRECIAÇÃO MENSAL - UNIDADE (R$)]]*tabJardinagem[[#This Row],[QUANT ANUAL DO ITEM]]</f>
        <v>1538.1916666666666</v>
      </c>
      <c r="O12" s="182">
        <f>tabJardinagem[[#This Row],[VALOR DEPRECIAÇÃO MENSAL - TOTAL (R$)]]*12</f>
        <v>18458.3</v>
      </c>
      <c r="P12" s="182">
        <f>IFERROR(IF(tabJardinagem[[#This Row],[TIPO]]="Equipamento",tabJardinagem[[#This Row],[VALOR  - DEPRECIAÇÃO ANUAL - TOTAL (R$) ]]/12/tabJardinagem[[#This Row],[QUANT. POSTOS]],tabJardinagem[[#This Row],[PREÇO TOTAL -  (R$)]]/12/tabJardinagem[[#This Row],[QUANT. POSTOS]]),0)</f>
        <v>49.619086021505375</v>
      </c>
      <c r="S12" s="280"/>
    </row>
    <row r="13" spans="1:19" ht="25.5">
      <c r="A13" s="184">
        <f t="shared" si="0"/>
        <v>10</v>
      </c>
      <c r="B13" s="186">
        <v>102</v>
      </c>
      <c r="C13" s="186" t="s">
        <v>95</v>
      </c>
      <c r="D13" s="184">
        <f>SUMIFS(tabPostos[Vagas contratadas],tabPostos[Função],"Jardineiro"&amp;"*")</f>
        <v>31</v>
      </c>
      <c r="E13" s="192" t="s">
        <v>1876</v>
      </c>
      <c r="F13" s="191" t="s">
        <v>93</v>
      </c>
      <c r="G13" s="191" t="s">
        <v>1758</v>
      </c>
      <c r="H13" s="191"/>
      <c r="I13" s="191"/>
      <c r="J13" s="312">
        <v>32.21</v>
      </c>
      <c r="K13" s="182">
        <f>tabJardinagem[[#This Row],[PREÇO UNIDADE -  (R$)]]*tabJardinagem[[#This Row],[QUANT ANUAL DO ITEM]]</f>
        <v>3285.42</v>
      </c>
      <c r="L13" s="182" cm="1">
        <f t="array" ref="L13">tabJardinagem[[#This Row],[PREÇO INICIAL -  (R$)]]*IFERROR(PRODUCT(1+_xlfn._xlws.FILTER(tabIndices[PERCENTUAL],tabIndices[DATA DA PUBLICAÇÃO]&gt;tabJardinagem[[#This Row],[DATA PUBLICAÇÃO]])),1)</f>
        <v>32.21</v>
      </c>
      <c r="M13" s="182">
        <f>IF(tabJardinagem[[#This Row],[TIPO]]="Equipamento",tabJardinagem[[#This Row],[PREÇO UNIDADE -  (R$)]]/60,0)</f>
        <v>0.53683333333333338</v>
      </c>
      <c r="N13" s="182">
        <f>tabJardinagem[[#This Row],[VALOR  - DEPRECIAÇÃO MENSAL - UNIDADE (R$)]]*tabJardinagem[[#This Row],[QUANT ANUAL DO ITEM]]</f>
        <v>54.757000000000005</v>
      </c>
      <c r="O13" s="182">
        <f>tabJardinagem[[#This Row],[VALOR DEPRECIAÇÃO MENSAL - TOTAL (R$)]]*12</f>
        <v>657.08400000000006</v>
      </c>
      <c r="P13" s="182">
        <f>IFERROR(IF(tabJardinagem[[#This Row],[TIPO]]="Equipamento",tabJardinagem[[#This Row],[VALOR  - DEPRECIAÇÃO ANUAL - TOTAL (R$) ]]/12/tabJardinagem[[#This Row],[QUANT. POSTOS]],tabJardinagem[[#This Row],[PREÇO TOTAL -  (R$)]]/12/tabJardinagem[[#This Row],[QUANT. POSTOS]]),0)</f>
        <v>1.7663548387096777</v>
      </c>
      <c r="S13" s="280"/>
    </row>
    <row r="14" spans="1:19" ht="63.75">
      <c r="A14" s="184">
        <f t="shared" si="0"/>
        <v>11</v>
      </c>
      <c r="B14" s="184">
        <v>50</v>
      </c>
      <c r="C14" s="186" t="s">
        <v>95</v>
      </c>
      <c r="D14" s="184">
        <f>SUMIFS(tabPostos[Vagas contratadas],tabPostos[Função],"Jardineiro"&amp;"*")</f>
        <v>31</v>
      </c>
      <c r="E14" s="192" t="s">
        <v>1871</v>
      </c>
      <c r="F14" s="191" t="s">
        <v>93</v>
      </c>
      <c r="G14" s="191" t="s">
        <v>1758</v>
      </c>
      <c r="H14" s="191"/>
      <c r="I14" s="191"/>
      <c r="J14" s="312">
        <v>1197.99</v>
      </c>
      <c r="K14" s="182">
        <f>tabJardinagem[[#This Row],[PREÇO UNIDADE -  (R$)]]*tabJardinagem[[#This Row],[QUANT ANUAL DO ITEM]]</f>
        <v>59899.5</v>
      </c>
      <c r="L14" s="182" cm="1">
        <f t="array" ref="L14">tabJardinagem[[#This Row],[PREÇO INICIAL -  (R$)]]*IFERROR(PRODUCT(1+_xlfn._xlws.FILTER(tabIndices[PERCENTUAL],tabIndices[DATA DA PUBLICAÇÃO]&gt;tabJardinagem[[#This Row],[DATA PUBLICAÇÃO]])),1)</f>
        <v>1197.99</v>
      </c>
      <c r="M14" s="182">
        <f>IF(tabJardinagem[[#This Row],[TIPO]]="Equipamento",tabJardinagem[[#This Row],[PREÇO UNIDADE -  (R$)]]/60,0)</f>
        <v>19.9665</v>
      </c>
      <c r="N14" s="182">
        <f>tabJardinagem[[#This Row],[VALOR  - DEPRECIAÇÃO MENSAL - UNIDADE (R$)]]*tabJardinagem[[#This Row],[QUANT ANUAL DO ITEM]]</f>
        <v>998.32500000000005</v>
      </c>
      <c r="O14" s="182">
        <f>tabJardinagem[[#This Row],[VALOR DEPRECIAÇÃO MENSAL - TOTAL (R$)]]*12</f>
        <v>11979.900000000001</v>
      </c>
      <c r="P14" s="182">
        <f>IFERROR(IF(tabJardinagem[[#This Row],[TIPO]]="Equipamento",tabJardinagem[[#This Row],[VALOR  - DEPRECIAÇÃO ANUAL - TOTAL (R$) ]]/12/tabJardinagem[[#This Row],[QUANT. POSTOS]],tabJardinagem[[#This Row],[PREÇO TOTAL -  (R$)]]/12/tabJardinagem[[#This Row],[QUANT. POSTOS]]),0)</f>
        <v>32.204032258064522</v>
      </c>
      <c r="S14" s="280"/>
    </row>
    <row r="15" spans="1:19" ht="38.25">
      <c r="A15" s="184">
        <f t="shared" si="0"/>
        <v>12</v>
      </c>
      <c r="B15" s="186">
        <v>92</v>
      </c>
      <c r="C15" s="186" t="s">
        <v>95</v>
      </c>
      <c r="D15" s="184">
        <f>SUMIFS(tabPostos[Vagas contratadas],tabPostos[Função],"Jardineiro"&amp;"*")</f>
        <v>31</v>
      </c>
      <c r="E15" s="193" t="s">
        <v>1875</v>
      </c>
      <c r="F15" s="191" t="s">
        <v>93</v>
      </c>
      <c r="G15" s="191" t="s">
        <v>1758</v>
      </c>
      <c r="H15" s="190"/>
      <c r="I15" s="190"/>
      <c r="J15" s="312">
        <v>64.27</v>
      </c>
      <c r="K15" s="182">
        <f>tabJardinagem[[#This Row],[PREÇO UNIDADE -  (R$)]]*tabJardinagem[[#This Row],[QUANT ANUAL DO ITEM]]</f>
        <v>5912.8399999999992</v>
      </c>
      <c r="L15" s="182" cm="1">
        <f t="array" ref="L15">tabJardinagem[[#This Row],[PREÇO INICIAL -  (R$)]]*IFERROR(PRODUCT(1+_xlfn._xlws.FILTER(tabIndices[PERCENTUAL],tabIndices[DATA DA PUBLICAÇÃO]&gt;tabJardinagem[[#This Row],[DATA PUBLICAÇÃO]])),1)</f>
        <v>64.27</v>
      </c>
      <c r="M15" s="182">
        <f>IF(tabJardinagem[[#This Row],[TIPO]]="Equipamento",tabJardinagem[[#This Row],[PREÇO UNIDADE -  (R$)]]/60,0)</f>
        <v>1.0711666666666666</v>
      </c>
      <c r="N15" s="182">
        <f>tabJardinagem[[#This Row],[VALOR  - DEPRECIAÇÃO MENSAL - UNIDADE (R$)]]*tabJardinagem[[#This Row],[QUANT ANUAL DO ITEM]]</f>
        <v>98.547333333333327</v>
      </c>
      <c r="O15" s="182">
        <f>tabJardinagem[[#This Row],[VALOR DEPRECIAÇÃO MENSAL - TOTAL (R$)]]*12</f>
        <v>1182.568</v>
      </c>
      <c r="P15" s="182">
        <f>IFERROR(IF(tabJardinagem[[#This Row],[TIPO]]="Equipamento",tabJardinagem[[#This Row],[VALOR  - DEPRECIAÇÃO ANUAL - TOTAL (R$) ]]/12/tabJardinagem[[#This Row],[QUANT. POSTOS]],tabJardinagem[[#This Row],[PREÇO TOTAL -  (R$)]]/12/tabJardinagem[[#This Row],[QUANT. POSTOS]]),0)</f>
        <v>3.1789462365591397</v>
      </c>
      <c r="S15" s="280"/>
    </row>
    <row r="16" spans="1:19" ht="25.5">
      <c r="A16" s="184">
        <f t="shared" si="0"/>
        <v>13</v>
      </c>
      <c r="B16" s="186">
        <v>92</v>
      </c>
      <c r="C16" s="186" t="s">
        <v>95</v>
      </c>
      <c r="D16" s="184">
        <f>SUMIFS(tabPostos[Vagas contratadas],tabPostos[Função],"Jardineiro"&amp;"*")</f>
        <v>31</v>
      </c>
      <c r="E16" s="192" t="s">
        <v>1874</v>
      </c>
      <c r="F16" s="191" t="s">
        <v>93</v>
      </c>
      <c r="G16" s="191" t="s">
        <v>1758</v>
      </c>
      <c r="H16" s="191"/>
      <c r="I16" s="191"/>
      <c r="J16" s="312">
        <v>38.729999999999997</v>
      </c>
      <c r="K16" s="182">
        <f>tabJardinagem[[#This Row],[PREÇO UNIDADE -  (R$)]]*tabJardinagem[[#This Row],[QUANT ANUAL DO ITEM]]</f>
        <v>3563.16</v>
      </c>
      <c r="L16" s="182" cm="1">
        <f t="array" ref="L16">tabJardinagem[[#This Row],[PREÇO INICIAL -  (R$)]]*IFERROR(PRODUCT(1+_xlfn._xlws.FILTER(tabIndices[PERCENTUAL],tabIndices[DATA DA PUBLICAÇÃO]&gt;tabJardinagem[[#This Row],[DATA PUBLICAÇÃO]])),1)</f>
        <v>38.729999999999997</v>
      </c>
      <c r="M16" s="182">
        <f>IF(tabJardinagem[[#This Row],[TIPO]]="Equipamento",tabJardinagem[[#This Row],[PREÇO UNIDADE -  (R$)]]/60,0)</f>
        <v>0.64549999999999996</v>
      </c>
      <c r="N16" s="182">
        <f>tabJardinagem[[#This Row],[VALOR  - DEPRECIAÇÃO MENSAL - UNIDADE (R$)]]*tabJardinagem[[#This Row],[QUANT ANUAL DO ITEM]]</f>
        <v>59.385999999999996</v>
      </c>
      <c r="O16" s="182">
        <f>tabJardinagem[[#This Row],[VALOR DEPRECIAÇÃO MENSAL - TOTAL (R$)]]*12</f>
        <v>712.63199999999995</v>
      </c>
      <c r="P16" s="182">
        <f>IFERROR(IF(tabJardinagem[[#This Row],[TIPO]]="Equipamento",tabJardinagem[[#This Row],[VALOR  - DEPRECIAÇÃO ANUAL - TOTAL (R$) ]]/12/tabJardinagem[[#This Row],[QUANT. POSTOS]],tabJardinagem[[#This Row],[PREÇO TOTAL -  (R$)]]/12/tabJardinagem[[#This Row],[QUANT. POSTOS]]),0)</f>
        <v>1.9156774193548385</v>
      </c>
      <c r="S16" s="280"/>
    </row>
    <row r="17" spans="1:19" ht="25.5">
      <c r="A17" s="184">
        <f t="shared" si="0"/>
        <v>14</v>
      </c>
      <c r="B17" s="186">
        <v>92</v>
      </c>
      <c r="C17" s="186" t="s">
        <v>95</v>
      </c>
      <c r="D17" s="184">
        <f>SUMIFS(tabPostos[Vagas contratadas],tabPostos[Função],"Jardineiro"&amp;"*")</f>
        <v>31</v>
      </c>
      <c r="E17" s="192" t="s">
        <v>1873</v>
      </c>
      <c r="F17" s="191" t="s">
        <v>93</v>
      </c>
      <c r="G17" s="191" t="s">
        <v>1758</v>
      </c>
      <c r="H17" s="191"/>
      <c r="I17" s="191"/>
      <c r="J17" s="312">
        <v>47.37</v>
      </c>
      <c r="K17" s="182">
        <f>tabJardinagem[[#This Row],[PREÇO UNIDADE -  (R$)]]*tabJardinagem[[#This Row],[QUANT ANUAL DO ITEM]]</f>
        <v>4358.04</v>
      </c>
      <c r="L17" s="182" cm="1">
        <f t="array" ref="L17">tabJardinagem[[#This Row],[PREÇO INICIAL -  (R$)]]*IFERROR(PRODUCT(1+_xlfn._xlws.FILTER(tabIndices[PERCENTUAL],tabIndices[DATA DA PUBLICAÇÃO]&gt;tabJardinagem[[#This Row],[DATA PUBLICAÇÃO]])),1)</f>
        <v>47.37</v>
      </c>
      <c r="M17" s="182">
        <f>IF(tabJardinagem[[#This Row],[TIPO]]="Equipamento",tabJardinagem[[#This Row],[PREÇO UNIDADE -  (R$)]]/60,0)</f>
        <v>0.78949999999999998</v>
      </c>
      <c r="N17" s="182">
        <f>tabJardinagem[[#This Row],[VALOR  - DEPRECIAÇÃO MENSAL - UNIDADE (R$)]]*tabJardinagem[[#This Row],[QUANT ANUAL DO ITEM]]</f>
        <v>72.634</v>
      </c>
      <c r="O17" s="182">
        <f>tabJardinagem[[#This Row],[VALOR DEPRECIAÇÃO MENSAL - TOTAL (R$)]]*12</f>
        <v>871.60799999999995</v>
      </c>
      <c r="P17" s="182">
        <f>IFERROR(IF(tabJardinagem[[#This Row],[TIPO]]="Equipamento",tabJardinagem[[#This Row],[VALOR  - DEPRECIAÇÃO ANUAL - TOTAL (R$) ]]/12/tabJardinagem[[#This Row],[QUANT. POSTOS]],tabJardinagem[[#This Row],[PREÇO TOTAL -  (R$)]]/12/tabJardinagem[[#This Row],[QUANT. POSTOS]]),0)</f>
        <v>2.343032258064516</v>
      </c>
      <c r="S17" s="280"/>
    </row>
    <row r="18" spans="1:19">
      <c r="A18" s="184">
        <f t="shared" si="0"/>
        <v>15</v>
      </c>
      <c r="B18" s="186">
        <v>2</v>
      </c>
      <c r="C18" s="186" t="s">
        <v>95</v>
      </c>
      <c r="D18" s="184">
        <f>SUMIFS(tabPostos[Vagas contratadas],tabPostos[Função],"Jardineiro"&amp;"*")</f>
        <v>31</v>
      </c>
      <c r="E18" s="192" t="s">
        <v>1766</v>
      </c>
      <c r="F18" s="191" t="s">
        <v>94</v>
      </c>
      <c r="G18" s="191" t="s">
        <v>97</v>
      </c>
      <c r="H18" s="191"/>
      <c r="I18" s="191"/>
      <c r="J18" s="312">
        <v>8.83</v>
      </c>
      <c r="K18" s="182">
        <f>tabJardinagem[[#This Row],[PREÇO UNIDADE -  (R$)]]*tabJardinagem[[#This Row],[QUANT ANUAL DO ITEM]]</f>
        <v>17.66</v>
      </c>
      <c r="L18" s="182" cm="1">
        <f t="array" ref="L18">tabJardinagem[[#This Row],[PREÇO INICIAL -  (R$)]]*IFERROR(PRODUCT(1+_xlfn._xlws.FILTER(tabIndices[PERCENTUAL],tabIndices[DATA DA PUBLICAÇÃO]&gt;tabJardinagem[[#This Row],[DATA PUBLICAÇÃO]])),1)</f>
        <v>8.83</v>
      </c>
      <c r="M18" s="182">
        <f>IF(tabJardinagem[[#This Row],[TIPO]]="Equipamento",tabJardinagem[[#This Row],[PREÇO UNIDADE -  (R$)]]/60,0)</f>
        <v>0</v>
      </c>
      <c r="N18" s="182">
        <f>tabJardinagem[[#This Row],[VALOR  - DEPRECIAÇÃO MENSAL - UNIDADE (R$)]]*tabJardinagem[[#This Row],[QUANT ANUAL DO ITEM]]</f>
        <v>0</v>
      </c>
      <c r="O18" s="182">
        <f>tabJardinagem[[#This Row],[VALOR DEPRECIAÇÃO MENSAL - TOTAL (R$)]]*12</f>
        <v>0</v>
      </c>
      <c r="P18" s="182">
        <f>IFERROR(IF(tabJardinagem[[#This Row],[TIPO]]="Equipamento",tabJardinagem[[#This Row],[VALOR  - DEPRECIAÇÃO ANUAL - TOTAL (R$) ]]/12/tabJardinagem[[#This Row],[QUANT. POSTOS]],tabJardinagem[[#This Row],[PREÇO TOTAL -  (R$)]]/12/tabJardinagem[[#This Row],[QUANT. POSTOS]]),0)</f>
        <v>4.747311827956989E-2</v>
      </c>
    </row>
    <row r="19" spans="1:19">
      <c r="A19" s="184">
        <f t="shared" si="0"/>
        <v>16</v>
      </c>
      <c r="B19" s="186">
        <v>680</v>
      </c>
      <c r="C19" s="186" t="s">
        <v>95</v>
      </c>
      <c r="D19" s="184">
        <f>SUMIFS(tabPostos[Vagas contratadas],tabPostos[Função],"Jardineiro"&amp;"*")</f>
        <v>31</v>
      </c>
      <c r="E19" s="192" t="s">
        <v>1763</v>
      </c>
      <c r="F19" s="191" t="s">
        <v>94</v>
      </c>
      <c r="G19" s="191" t="s">
        <v>97</v>
      </c>
      <c r="H19" s="191"/>
      <c r="I19" s="191"/>
      <c r="J19" s="312">
        <v>18.54</v>
      </c>
      <c r="K19" s="182">
        <f>tabJardinagem[[#This Row],[PREÇO UNIDADE -  (R$)]]*tabJardinagem[[#This Row],[QUANT ANUAL DO ITEM]]</f>
        <v>12607.199999999999</v>
      </c>
      <c r="L19" s="182" cm="1">
        <f t="array" ref="L19">tabJardinagem[[#This Row],[PREÇO INICIAL -  (R$)]]*IFERROR(PRODUCT(1+_xlfn._xlws.FILTER(tabIndices[PERCENTUAL],tabIndices[DATA DA PUBLICAÇÃO]&gt;tabJardinagem[[#This Row],[DATA PUBLICAÇÃO]])),1)</f>
        <v>18.54</v>
      </c>
      <c r="M19" s="182">
        <f>IF(tabJardinagem[[#This Row],[TIPO]]="Equipamento",tabJardinagem[[#This Row],[PREÇO UNIDADE -  (R$)]]/60,0)</f>
        <v>0</v>
      </c>
      <c r="N19" s="182">
        <f>tabJardinagem[[#This Row],[VALOR  - DEPRECIAÇÃO MENSAL - UNIDADE (R$)]]*tabJardinagem[[#This Row],[QUANT ANUAL DO ITEM]]</f>
        <v>0</v>
      </c>
      <c r="O19" s="182">
        <f>tabJardinagem[[#This Row],[VALOR DEPRECIAÇÃO MENSAL - TOTAL (R$)]]*12</f>
        <v>0</v>
      </c>
      <c r="P19" s="182">
        <f>IFERROR(IF(tabJardinagem[[#This Row],[TIPO]]="Equipamento",tabJardinagem[[#This Row],[VALOR  - DEPRECIAÇÃO ANUAL - TOTAL (R$) ]]/12/tabJardinagem[[#This Row],[QUANT. POSTOS]],tabJardinagem[[#This Row],[PREÇO TOTAL -  (R$)]]/12/tabJardinagem[[#This Row],[QUANT. POSTOS]]),0)</f>
        <v>33.890322580645162</v>
      </c>
    </row>
    <row r="20" spans="1:19" ht="38.25">
      <c r="A20" s="184">
        <f t="shared" si="0"/>
        <v>17</v>
      </c>
      <c r="B20" s="186">
        <v>104</v>
      </c>
      <c r="C20" s="186" t="s">
        <v>95</v>
      </c>
      <c r="D20" s="184">
        <f>SUMIFS(tabPostos[Vagas contratadas],tabPostos[Função],"Jardineiro"&amp;"*")</f>
        <v>31</v>
      </c>
      <c r="E20" s="192" t="s">
        <v>1764</v>
      </c>
      <c r="F20" s="191" t="s">
        <v>94</v>
      </c>
      <c r="G20" s="191" t="s">
        <v>97</v>
      </c>
      <c r="H20" s="191"/>
      <c r="I20" s="191"/>
      <c r="J20" s="312">
        <v>185.41</v>
      </c>
      <c r="K20" s="182">
        <f>tabJardinagem[[#This Row],[PREÇO UNIDADE -  (R$)]]*tabJardinagem[[#This Row],[QUANT ANUAL DO ITEM]]</f>
        <v>19282.64</v>
      </c>
      <c r="L20" s="182" cm="1">
        <f t="array" ref="L20">tabJardinagem[[#This Row],[PREÇO INICIAL -  (R$)]]*IFERROR(PRODUCT(1+_xlfn._xlws.FILTER(tabIndices[PERCENTUAL],tabIndices[DATA DA PUBLICAÇÃO]&gt;tabJardinagem[[#This Row],[DATA PUBLICAÇÃO]])),1)</f>
        <v>185.41</v>
      </c>
      <c r="M20" s="182">
        <f>IF(tabJardinagem[[#This Row],[TIPO]]="Equipamento",tabJardinagem[[#This Row],[PREÇO UNIDADE -  (R$)]]/60,0)</f>
        <v>0</v>
      </c>
      <c r="N20" s="182">
        <f>tabJardinagem[[#This Row],[VALOR  - DEPRECIAÇÃO MENSAL - UNIDADE (R$)]]*tabJardinagem[[#This Row],[QUANT ANUAL DO ITEM]]</f>
        <v>0</v>
      </c>
      <c r="O20" s="182">
        <f>tabJardinagem[[#This Row],[VALOR DEPRECIAÇÃO MENSAL - TOTAL (R$)]]*12</f>
        <v>0</v>
      </c>
      <c r="P20" s="182">
        <f>IFERROR(IF(tabJardinagem[[#This Row],[TIPO]]="Equipamento",tabJardinagem[[#This Row],[VALOR  - DEPRECIAÇÃO ANUAL - TOTAL (R$) ]]/12/tabJardinagem[[#This Row],[QUANT. POSTOS]],tabJardinagem[[#This Row],[PREÇO TOTAL -  (R$)]]/12/tabJardinagem[[#This Row],[QUANT. POSTOS]]),0)</f>
        <v>51.835053763440854</v>
      </c>
    </row>
    <row r="21" spans="1:19" ht="38.25">
      <c r="A21" s="184">
        <f t="shared" si="0"/>
        <v>18</v>
      </c>
      <c r="B21" s="186">
        <v>20</v>
      </c>
      <c r="C21" s="186" t="s">
        <v>95</v>
      </c>
      <c r="D21" s="184">
        <f>SUMIFS(tabPostos[Vagas contratadas],tabPostos[Função],"Jardineiro"&amp;"*")</f>
        <v>31</v>
      </c>
      <c r="E21" s="192" t="s">
        <v>1760</v>
      </c>
      <c r="F21" s="191" t="s">
        <v>94</v>
      </c>
      <c r="G21" s="191" t="s">
        <v>97</v>
      </c>
      <c r="H21" s="191"/>
      <c r="I21" s="191"/>
      <c r="J21" s="312">
        <v>48.2</v>
      </c>
      <c r="K21" s="182">
        <f>tabJardinagem[[#This Row],[PREÇO UNIDADE -  (R$)]]*tabJardinagem[[#This Row],[QUANT ANUAL DO ITEM]]</f>
        <v>964</v>
      </c>
      <c r="L21" s="182" cm="1">
        <f t="array" ref="L21">tabJardinagem[[#This Row],[PREÇO INICIAL -  (R$)]]*IFERROR(PRODUCT(1+_xlfn._xlws.FILTER(tabIndices[PERCENTUAL],tabIndices[DATA DA PUBLICAÇÃO]&gt;tabJardinagem[[#This Row],[DATA PUBLICAÇÃO]])),1)</f>
        <v>48.2</v>
      </c>
      <c r="M21" s="182">
        <f>IF(tabJardinagem[[#This Row],[TIPO]]="Equipamento",tabJardinagem[[#This Row],[PREÇO UNIDADE -  (R$)]]/60,0)</f>
        <v>0</v>
      </c>
      <c r="N21" s="182">
        <f>tabJardinagem[[#This Row],[VALOR  - DEPRECIAÇÃO MENSAL - UNIDADE (R$)]]*tabJardinagem[[#This Row],[QUANT ANUAL DO ITEM]]</f>
        <v>0</v>
      </c>
      <c r="O21" s="182">
        <f>tabJardinagem[[#This Row],[VALOR DEPRECIAÇÃO MENSAL - TOTAL (R$)]]*12</f>
        <v>0</v>
      </c>
      <c r="P21" s="182">
        <f>IFERROR(IF(tabJardinagem[[#This Row],[TIPO]]="Equipamento",tabJardinagem[[#This Row],[VALOR  - DEPRECIAÇÃO ANUAL - TOTAL (R$) ]]/12/tabJardinagem[[#This Row],[QUANT. POSTOS]],tabJardinagem[[#This Row],[PREÇO TOTAL -  (R$)]]/12/tabJardinagem[[#This Row],[QUANT. POSTOS]]),0)</f>
        <v>2.5913978494623655</v>
      </c>
    </row>
    <row r="22" spans="1:19">
      <c r="A22" s="184">
        <f t="shared" si="0"/>
        <v>19</v>
      </c>
      <c r="B22" s="186">
        <v>10200</v>
      </c>
      <c r="C22" s="186" t="s">
        <v>95</v>
      </c>
      <c r="D22" s="184">
        <f>SUMIFS(tabPostos[Vagas contratadas],tabPostos[Função],"Jardineiro"&amp;"*")</f>
        <v>31</v>
      </c>
      <c r="E22" s="192" t="s">
        <v>1765</v>
      </c>
      <c r="F22" s="191" t="s">
        <v>94</v>
      </c>
      <c r="G22" s="191" t="s">
        <v>97</v>
      </c>
      <c r="H22" s="191"/>
      <c r="I22" s="191"/>
      <c r="J22" s="312">
        <v>10.5</v>
      </c>
      <c r="K22" s="182">
        <f>tabJardinagem[[#This Row],[PREÇO UNIDADE -  (R$)]]*tabJardinagem[[#This Row],[QUANT ANUAL DO ITEM]]</f>
        <v>107100</v>
      </c>
      <c r="L22" s="182" cm="1">
        <f t="array" ref="L22">tabJardinagem[[#This Row],[PREÇO INICIAL -  (R$)]]*IFERROR(PRODUCT(1+_xlfn._xlws.FILTER(tabIndices[PERCENTUAL],tabIndices[DATA DA PUBLICAÇÃO]&gt;tabJardinagem[[#This Row],[DATA PUBLICAÇÃO]])),1)</f>
        <v>10.5</v>
      </c>
      <c r="M22" s="182">
        <f>IF(tabJardinagem[[#This Row],[TIPO]]="Equipamento",tabJardinagem[[#This Row],[PREÇO UNIDADE -  (R$)]]/60,0)</f>
        <v>0</v>
      </c>
      <c r="N22" s="182">
        <f>tabJardinagem[[#This Row],[VALOR  - DEPRECIAÇÃO MENSAL - UNIDADE (R$)]]*tabJardinagem[[#This Row],[QUANT ANUAL DO ITEM]]</f>
        <v>0</v>
      </c>
      <c r="O22" s="182">
        <f>tabJardinagem[[#This Row],[VALOR DEPRECIAÇÃO MENSAL - TOTAL (R$)]]*12</f>
        <v>0</v>
      </c>
      <c r="P22" s="182">
        <f>IFERROR(IF(tabJardinagem[[#This Row],[TIPO]]="Equipamento",tabJardinagem[[#This Row],[VALOR  - DEPRECIAÇÃO ANUAL - TOTAL (R$) ]]/12/tabJardinagem[[#This Row],[QUANT. POSTOS]],tabJardinagem[[#This Row],[PREÇO TOTAL -  (R$)]]/12/tabJardinagem[[#This Row],[QUANT. POSTOS]]),0)</f>
        <v>287.90322580645159</v>
      </c>
    </row>
    <row r="23" spans="1:19">
      <c r="A23" s="184">
        <f t="shared" si="0"/>
        <v>20</v>
      </c>
      <c r="B23" s="186">
        <v>10</v>
      </c>
      <c r="C23" s="186" t="s">
        <v>95</v>
      </c>
      <c r="D23" s="184">
        <f>SUMIFS(tabPostos[Vagas contratadas],tabPostos[Função],"Jardineiro"&amp;"*")</f>
        <v>31</v>
      </c>
      <c r="E23" s="192" t="s">
        <v>1768</v>
      </c>
      <c r="F23" s="191" t="s">
        <v>94</v>
      </c>
      <c r="G23" s="191" t="s">
        <v>97</v>
      </c>
      <c r="H23" s="191"/>
      <c r="I23" s="191"/>
      <c r="J23" s="312">
        <v>42.93</v>
      </c>
      <c r="K23" s="182">
        <f>tabJardinagem[[#This Row],[PREÇO UNIDADE -  (R$)]]*tabJardinagem[[#This Row],[QUANT ANUAL DO ITEM]]</f>
        <v>429.3</v>
      </c>
      <c r="L23" s="182" cm="1">
        <f t="array" ref="L23">tabJardinagem[[#This Row],[PREÇO INICIAL -  (R$)]]*IFERROR(PRODUCT(1+_xlfn._xlws.FILTER(tabIndices[PERCENTUAL],tabIndices[DATA DA PUBLICAÇÃO]&gt;tabJardinagem[[#This Row],[DATA PUBLICAÇÃO]])),1)</f>
        <v>42.93</v>
      </c>
      <c r="M23" s="182">
        <f>IF(tabJardinagem[[#This Row],[TIPO]]="Equipamento",tabJardinagem[[#This Row],[PREÇO UNIDADE -  (R$)]]/60,0)</f>
        <v>0</v>
      </c>
      <c r="N23" s="182">
        <f>tabJardinagem[[#This Row],[VALOR  - DEPRECIAÇÃO MENSAL - UNIDADE (R$)]]*tabJardinagem[[#This Row],[QUANT ANUAL DO ITEM]]</f>
        <v>0</v>
      </c>
      <c r="O23" s="182">
        <f>tabJardinagem[[#This Row],[VALOR DEPRECIAÇÃO MENSAL - TOTAL (R$)]]*12</f>
        <v>0</v>
      </c>
      <c r="P23" s="182">
        <f>IFERROR(IF(tabJardinagem[[#This Row],[TIPO]]="Equipamento",tabJardinagem[[#This Row],[VALOR  - DEPRECIAÇÃO ANUAL - TOTAL (R$) ]]/12/tabJardinagem[[#This Row],[QUANT. POSTOS]],tabJardinagem[[#This Row],[PREÇO TOTAL -  (R$)]]/12/tabJardinagem[[#This Row],[QUANT. POSTOS]]),0)</f>
        <v>1.1540322580645161</v>
      </c>
    </row>
    <row r="24" spans="1:19">
      <c r="A24" s="184">
        <f t="shared" si="0"/>
        <v>21</v>
      </c>
      <c r="B24" s="186">
        <v>10</v>
      </c>
      <c r="C24" s="186" t="s">
        <v>95</v>
      </c>
      <c r="D24" s="184">
        <f>SUMIFS(tabPostos[Vagas contratadas],tabPostos[Função],"Jardineiro"&amp;"*")</f>
        <v>31</v>
      </c>
      <c r="E24" s="192" t="s">
        <v>1769</v>
      </c>
      <c r="F24" s="191" t="s">
        <v>94</v>
      </c>
      <c r="G24" s="191" t="s">
        <v>97</v>
      </c>
      <c r="H24" s="191"/>
      <c r="I24" s="191"/>
      <c r="J24" s="312">
        <v>31.9</v>
      </c>
      <c r="K24" s="182">
        <f>tabJardinagem[[#This Row],[PREÇO UNIDADE -  (R$)]]*tabJardinagem[[#This Row],[QUANT ANUAL DO ITEM]]</f>
        <v>319</v>
      </c>
      <c r="L24" s="182" cm="1">
        <f t="array" ref="L24">tabJardinagem[[#This Row],[PREÇO INICIAL -  (R$)]]*IFERROR(PRODUCT(1+_xlfn._xlws.FILTER(tabIndices[PERCENTUAL],tabIndices[DATA DA PUBLICAÇÃO]&gt;tabJardinagem[[#This Row],[DATA PUBLICAÇÃO]])),1)</f>
        <v>31.9</v>
      </c>
      <c r="M24" s="182">
        <f>IF(tabJardinagem[[#This Row],[TIPO]]="Equipamento",tabJardinagem[[#This Row],[PREÇO UNIDADE -  (R$)]]/60,0)</f>
        <v>0</v>
      </c>
      <c r="N24" s="182">
        <f>tabJardinagem[[#This Row],[VALOR  - DEPRECIAÇÃO MENSAL - UNIDADE (R$)]]*tabJardinagem[[#This Row],[QUANT ANUAL DO ITEM]]</f>
        <v>0</v>
      </c>
      <c r="O24" s="182">
        <f>tabJardinagem[[#This Row],[VALOR DEPRECIAÇÃO MENSAL - TOTAL (R$)]]*12</f>
        <v>0</v>
      </c>
      <c r="P24" s="182">
        <f>IFERROR(IF(tabJardinagem[[#This Row],[TIPO]]="Equipamento",tabJardinagem[[#This Row],[VALOR  - DEPRECIAÇÃO ANUAL - TOTAL (R$) ]]/12/tabJardinagem[[#This Row],[QUANT. POSTOS]],tabJardinagem[[#This Row],[PREÇO TOTAL -  (R$)]]/12/tabJardinagem[[#This Row],[QUANT. POSTOS]]),0)</f>
        <v>0.85752688172043012</v>
      </c>
    </row>
    <row r="25" spans="1:19">
      <c r="A25" s="184">
        <f t="shared" si="0"/>
        <v>22</v>
      </c>
      <c r="B25" s="186">
        <v>10</v>
      </c>
      <c r="C25" s="186" t="s">
        <v>95</v>
      </c>
      <c r="D25" s="184">
        <f>SUMIFS(tabPostos[Vagas contratadas],tabPostos[Função],"Jardineiro"&amp;"*")</f>
        <v>31</v>
      </c>
      <c r="E25" s="192" t="s">
        <v>1770</v>
      </c>
      <c r="F25" s="191" t="s">
        <v>94</v>
      </c>
      <c r="G25" s="191" t="s">
        <v>97</v>
      </c>
      <c r="H25" s="191"/>
      <c r="I25" s="191"/>
      <c r="J25" s="312">
        <v>22.9</v>
      </c>
      <c r="K25" s="182">
        <f>tabJardinagem[[#This Row],[PREÇO UNIDADE -  (R$)]]*tabJardinagem[[#This Row],[QUANT ANUAL DO ITEM]]</f>
        <v>229</v>
      </c>
      <c r="L25" s="182" cm="1">
        <f t="array" ref="L25">tabJardinagem[[#This Row],[PREÇO INICIAL -  (R$)]]*IFERROR(PRODUCT(1+_xlfn._xlws.FILTER(tabIndices[PERCENTUAL],tabIndices[DATA DA PUBLICAÇÃO]&gt;tabJardinagem[[#This Row],[DATA PUBLICAÇÃO]])),1)</f>
        <v>22.9</v>
      </c>
      <c r="M25" s="182">
        <f>IF(tabJardinagem[[#This Row],[TIPO]]="Equipamento",tabJardinagem[[#This Row],[PREÇO UNIDADE -  (R$)]]/60,0)</f>
        <v>0</v>
      </c>
      <c r="N25" s="182">
        <f>tabJardinagem[[#This Row],[VALOR  - DEPRECIAÇÃO MENSAL - UNIDADE (R$)]]*tabJardinagem[[#This Row],[QUANT ANUAL DO ITEM]]</f>
        <v>0</v>
      </c>
      <c r="O25" s="182">
        <f>tabJardinagem[[#This Row],[VALOR DEPRECIAÇÃO MENSAL - TOTAL (R$)]]*12</f>
        <v>0</v>
      </c>
      <c r="P25" s="182">
        <f>IFERROR(IF(tabJardinagem[[#This Row],[TIPO]]="Equipamento",tabJardinagem[[#This Row],[VALOR  - DEPRECIAÇÃO ANUAL - TOTAL (R$) ]]/12/tabJardinagem[[#This Row],[QUANT. POSTOS]],tabJardinagem[[#This Row],[PREÇO TOTAL -  (R$)]]/12/tabJardinagem[[#This Row],[QUANT. POSTOS]]),0)</f>
        <v>0.61559139784946237</v>
      </c>
    </row>
    <row r="26" spans="1:19">
      <c r="A26" s="184">
        <f t="shared" si="0"/>
        <v>23</v>
      </c>
      <c r="B26" s="186">
        <v>10</v>
      </c>
      <c r="C26" s="186" t="s">
        <v>95</v>
      </c>
      <c r="D26" s="184">
        <f>SUMIFS(tabPostos[Vagas contratadas],tabPostos[Função],"Jardineiro"&amp;"*")</f>
        <v>31</v>
      </c>
      <c r="E26" s="192" t="s">
        <v>1773</v>
      </c>
      <c r="F26" s="191" t="s">
        <v>94</v>
      </c>
      <c r="G26" s="191" t="s">
        <v>97</v>
      </c>
      <c r="H26" s="191"/>
      <c r="I26" s="191"/>
      <c r="J26" s="312">
        <v>39.89</v>
      </c>
      <c r="K26" s="182">
        <f>tabJardinagem[[#This Row],[PREÇO UNIDADE -  (R$)]]*tabJardinagem[[#This Row],[QUANT ANUAL DO ITEM]]</f>
        <v>398.9</v>
      </c>
      <c r="L26" s="182" cm="1">
        <f t="array" ref="L26">tabJardinagem[[#This Row],[PREÇO INICIAL -  (R$)]]*IFERROR(PRODUCT(1+_xlfn._xlws.FILTER(tabIndices[PERCENTUAL],tabIndices[DATA DA PUBLICAÇÃO]&gt;tabJardinagem[[#This Row],[DATA PUBLICAÇÃO]])),1)</f>
        <v>39.89</v>
      </c>
      <c r="M26" s="182">
        <f>IF(tabJardinagem[[#This Row],[TIPO]]="Equipamento",tabJardinagem[[#This Row],[PREÇO UNIDADE -  (R$)]]/60,0)</f>
        <v>0</v>
      </c>
      <c r="N26" s="182">
        <f>tabJardinagem[[#This Row],[VALOR  - DEPRECIAÇÃO MENSAL - UNIDADE (R$)]]*tabJardinagem[[#This Row],[QUANT ANUAL DO ITEM]]</f>
        <v>0</v>
      </c>
      <c r="O26" s="182">
        <f>tabJardinagem[[#This Row],[VALOR DEPRECIAÇÃO MENSAL - TOTAL (R$)]]*12</f>
        <v>0</v>
      </c>
      <c r="P26" s="182">
        <f>IFERROR(IF(tabJardinagem[[#This Row],[TIPO]]="Equipamento",tabJardinagem[[#This Row],[VALOR  - DEPRECIAÇÃO ANUAL - TOTAL (R$) ]]/12/tabJardinagem[[#This Row],[QUANT. POSTOS]],tabJardinagem[[#This Row],[PREÇO TOTAL -  (R$)]]/12/tabJardinagem[[#This Row],[QUANT. POSTOS]]),0)</f>
        <v>1.0723118279569892</v>
      </c>
    </row>
    <row r="27" spans="1:19">
      <c r="A27" s="184">
        <f t="shared" si="0"/>
        <v>24</v>
      </c>
      <c r="B27" s="186">
        <v>10</v>
      </c>
      <c r="C27" s="186" t="s">
        <v>95</v>
      </c>
      <c r="D27" s="184">
        <f>SUMIFS(tabPostos[Vagas contratadas],tabPostos[Função],"Jardineiro"&amp;"*")</f>
        <v>31</v>
      </c>
      <c r="E27" s="192" t="s">
        <v>1780</v>
      </c>
      <c r="F27" s="191" t="s">
        <v>94</v>
      </c>
      <c r="G27" s="191" t="s">
        <v>97</v>
      </c>
      <c r="H27" s="191"/>
      <c r="I27" s="191"/>
      <c r="J27" s="312">
        <v>42.75</v>
      </c>
      <c r="K27" s="182">
        <f>tabJardinagem[[#This Row],[PREÇO UNIDADE -  (R$)]]*tabJardinagem[[#This Row],[QUANT ANUAL DO ITEM]]</f>
        <v>427.5</v>
      </c>
      <c r="L27" s="182" cm="1">
        <f t="array" ref="L27">tabJardinagem[[#This Row],[PREÇO INICIAL -  (R$)]]*IFERROR(PRODUCT(1+_xlfn._xlws.FILTER(tabIndices[PERCENTUAL],tabIndices[DATA DA PUBLICAÇÃO]&gt;tabJardinagem[[#This Row],[DATA PUBLICAÇÃO]])),1)</f>
        <v>42.75</v>
      </c>
      <c r="M27" s="182">
        <f>IF(tabJardinagem[[#This Row],[TIPO]]="Equipamento",tabJardinagem[[#This Row],[PREÇO UNIDADE -  (R$)]]/60,0)</f>
        <v>0</v>
      </c>
      <c r="N27" s="182">
        <f>tabJardinagem[[#This Row],[VALOR  - DEPRECIAÇÃO MENSAL - UNIDADE (R$)]]*tabJardinagem[[#This Row],[QUANT ANUAL DO ITEM]]</f>
        <v>0</v>
      </c>
      <c r="O27" s="182">
        <f>tabJardinagem[[#This Row],[VALOR DEPRECIAÇÃO MENSAL - TOTAL (R$)]]*12</f>
        <v>0</v>
      </c>
      <c r="P27" s="182">
        <f>IFERROR(IF(tabJardinagem[[#This Row],[TIPO]]="Equipamento",tabJardinagem[[#This Row],[VALOR  - DEPRECIAÇÃO ANUAL - TOTAL (R$) ]]/12/tabJardinagem[[#This Row],[QUANT. POSTOS]],tabJardinagem[[#This Row],[PREÇO TOTAL -  (R$)]]/12/tabJardinagem[[#This Row],[QUANT. POSTOS]]),0)</f>
        <v>1.1491935483870968</v>
      </c>
    </row>
    <row r="28" spans="1:19">
      <c r="A28" s="184">
        <f t="shared" si="0"/>
        <v>25</v>
      </c>
      <c r="B28" s="186">
        <v>10</v>
      </c>
      <c r="C28" s="186" t="s">
        <v>95</v>
      </c>
      <c r="D28" s="184">
        <f>SUMIFS(tabPostos[Vagas contratadas],tabPostos[Função],"Jardineiro"&amp;"*")</f>
        <v>31</v>
      </c>
      <c r="E28" s="192" t="s">
        <v>1781</v>
      </c>
      <c r="F28" s="191" t="s">
        <v>94</v>
      </c>
      <c r="G28" s="191" t="s">
        <v>97</v>
      </c>
      <c r="H28" s="191"/>
      <c r="I28" s="191"/>
      <c r="J28" s="312">
        <v>38</v>
      </c>
      <c r="K28" s="182">
        <f>tabJardinagem[[#This Row],[PREÇO UNIDADE -  (R$)]]*tabJardinagem[[#This Row],[QUANT ANUAL DO ITEM]]</f>
        <v>380</v>
      </c>
      <c r="L28" s="182" cm="1">
        <f t="array" ref="L28">tabJardinagem[[#This Row],[PREÇO INICIAL -  (R$)]]*IFERROR(PRODUCT(1+_xlfn._xlws.FILTER(tabIndices[PERCENTUAL],tabIndices[DATA DA PUBLICAÇÃO]&gt;tabJardinagem[[#This Row],[DATA PUBLICAÇÃO]])),1)</f>
        <v>38</v>
      </c>
      <c r="M28" s="182">
        <f>IF(tabJardinagem[[#This Row],[TIPO]]="Equipamento",tabJardinagem[[#This Row],[PREÇO UNIDADE -  (R$)]]/60,0)</f>
        <v>0</v>
      </c>
      <c r="N28" s="182">
        <f>tabJardinagem[[#This Row],[VALOR  - DEPRECIAÇÃO MENSAL - UNIDADE (R$)]]*tabJardinagem[[#This Row],[QUANT ANUAL DO ITEM]]</f>
        <v>0</v>
      </c>
      <c r="O28" s="182">
        <f>tabJardinagem[[#This Row],[VALOR DEPRECIAÇÃO MENSAL - TOTAL (R$)]]*12</f>
        <v>0</v>
      </c>
      <c r="P28" s="182">
        <f>IFERROR(IF(tabJardinagem[[#This Row],[TIPO]]="Equipamento",tabJardinagem[[#This Row],[VALOR  - DEPRECIAÇÃO ANUAL - TOTAL (R$) ]]/12/tabJardinagem[[#This Row],[QUANT. POSTOS]],tabJardinagem[[#This Row],[PREÇO TOTAL -  (R$)]]/12/tabJardinagem[[#This Row],[QUANT. POSTOS]]),0)</f>
        <v>1.021505376344086</v>
      </c>
    </row>
    <row r="29" spans="1:19">
      <c r="A29" s="184">
        <f t="shared" si="0"/>
        <v>26</v>
      </c>
      <c r="B29" s="186">
        <v>10</v>
      </c>
      <c r="C29" s="186" t="s">
        <v>95</v>
      </c>
      <c r="D29" s="184">
        <f>SUMIFS(tabPostos[Vagas contratadas],tabPostos[Função],"Jardineiro"&amp;"*")</f>
        <v>31</v>
      </c>
      <c r="E29" s="192" t="s">
        <v>1779</v>
      </c>
      <c r="F29" s="191" t="s">
        <v>94</v>
      </c>
      <c r="G29" s="191" t="s">
        <v>97</v>
      </c>
      <c r="H29" s="191"/>
      <c r="I29" s="191"/>
      <c r="J29" s="312">
        <v>59.65</v>
      </c>
      <c r="K29" s="182">
        <f>tabJardinagem[[#This Row],[PREÇO UNIDADE -  (R$)]]*tabJardinagem[[#This Row],[QUANT ANUAL DO ITEM]]</f>
        <v>596.5</v>
      </c>
      <c r="L29" s="182" cm="1">
        <f t="array" ref="L29">tabJardinagem[[#This Row],[PREÇO INICIAL -  (R$)]]*IFERROR(PRODUCT(1+_xlfn._xlws.FILTER(tabIndices[PERCENTUAL],tabIndices[DATA DA PUBLICAÇÃO]&gt;tabJardinagem[[#This Row],[DATA PUBLICAÇÃO]])),1)</f>
        <v>59.65</v>
      </c>
      <c r="M29" s="182">
        <f>IF(tabJardinagem[[#This Row],[TIPO]]="Equipamento",tabJardinagem[[#This Row],[PREÇO UNIDADE -  (R$)]]/60,0)</f>
        <v>0</v>
      </c>
      <c r="N29" s="182">
        <f>tabJardinagem[[#This Row],[VALOR  - DEPRECIAÇÃO MENSAL - UNIDADE (R$)]]*tabJardinagem[[#This Row],[QUANT ANUAL DO ITEM]]</f>
        <v>0</v>
      </c>
      <c r="O29" s="182">
        <f>tabJardinagem[[#This Row],[VALOR DEPRECIAÇÃO MENSAL - TOTAL (R$)]]*12</f>
        <v>0</v>
      </c>
      <c r="P29" s="182">
        <f>IFERROR(IF(tabJardinagem[[#This Row],[TIPO]]="Equipamento",tabJardinagem[[#This Row],[VALOR  - DEPRECIAÇÃO ANUAL - TOTAL (R$) ]]/12/tabJardinagem[[#This Row],[QUANT. POSTOS]],tabJardinagem[[#This Row],[PREÇO TOTAL -  (R$)]]/12/tabJardinagem[[#This Row],[QUANT. POSTOS]]),0)</f>
        <v>1.603494623655914</v>
      </c>
    </row>
    <row r="30" spans="1:19">
      <c r="A30" s="184">
        <f t="shared" si="0"/>
        <v>27</v>
      </c>
      <c r="B30" s="186">
        <v>10</v>
      </c>
      <c r="C30" s="186" t="s">
        <v>95</v>
      </c>
      <c r="D30" s="184">
        <f>SUMIFS(tabPostos[Vagas contratadas],tabPostos[Função],"Jardineiro"&amp;"*")</f>
        <v>31</v>
      </c>
      <c r="E30" s="192" t="s">
        <v>1778</v>
      </c>
      <c r="F30" s="191" t="s">
        <v>94</v>
      </c>
      <c r="G30" s="191" t="s">
        <v>97</v>
      </c>
      <c r="H30" s="191"/>
      <c r="I30" s="191"/>
      <c r="J30" s="312">
        <v>38.15</v>
      </c>
      <c r="K30" s="182">
        <f>tabJardinagem[[#This Row],[PREÇO UNIDADE -  (R$)]]*tabJardinagem[[#This Row],[QUANT ANUAL DO ITEM]]</f>
        <v>381.5</v>
      </c>
      <c r="L30" s="182" cm="1">
        <f t="array" ref="L30">tabJardinagem[[#This Row],[PREÇO INICIAL -  (R$)]]*IFERROR(PRODUCT(1+_xlfn._xlws.FILTER(tabIndices[PERCENTUAL],tabIndices[DATA DA PUBLICAÇÃO]&gt;tabJardinagem[[#This Row],[DATA PUBLICAÇÃO]])),1)</f>
        <v>38.15</v>
      </c>
      <c r="M30" s="182">
        <f>IF(tabJardinagem[[#This Row],[TIPO]]="Equipamento",tabJardinagem[[#This Row],[PREÇO UNIDADE -  (R$)]]/60,0)</f>
        <v>0</v>
      </c>
      <c r="N30" s="182">
        <f>tabJardinagem[[#This Row],[VALOR  - DEPRECIAÇÃO MENSAL - UNIDADE (R$)]]*tabJardinagem[[#This Row],[QUANT ANUAL DO ITEM]]</f>
        <v>0</v>
      </c>
      <c r="O30" s="182">
        <f>tabJardinagem[[#This Row],[VALOR DEPRECIAÇÃO MENSAL - TOTAL (R$)]]*12</f>
        <v>0</v>
      </c>
      <c r="P30" s="182">
        <f>IFERROR(IF(tabJardinagem[[#This Row],[TIPO]]="Equipamento",tabJardinagem[[#This Row],[VALOR  - DEPRECIAÇÃO ANUAL - TOTAL (R$) ]]/12/tabJardinagem[[#This Row],[QUANT. POSTOS]],tabJardinagem[[#This Row],[PREÇO TOTAL -  (R$)]]/12/tabJardinagem[[#This Row],[QUANT. POSTOS]]),0)</f>
        <v>1.0255376344086022</v>
      </c>
    </row>
    <row r="31" spans="1:19">
      <c r="A31" s="184">
        <f t="shared" si="0"/>
        <v>28</v>
      </c>
      <c r="B31" s="186">
        <v>10</v>
      </c>
      <c r="C31" s="186" t="s">
        <v>95</v>
      </c>
      <c r="D31" s="184">
        <f>SUMIFS(tabPostos[Vagas contratadas],tabPostos[Função],"Jardineiro"&amp;"*")</f>
        <v>31</v>
      </c>
      <c r="E31" s="192" t="s">
        <v>1771</v>
      </c>
      <c r="F31" s="191" t="s">
        <v>94</v>
      </c>
      <c r="G31" s="191" t="s">
        <v>97</v>
      </c>
      <c r="H31" s="191"/>
      <c r="I31" s="191"/>
      <c r="J31" s="312">
        <v>38.1</v>
      </c>
      <c r="K31" s="182">
        <f>tabJardinagem[[#This Row],[PREÇO UNIDADE -  (R$)]]*tabJardinagem[[#This Row],[QUANT ANUAL DO ITEM]]</f>
        <v>381</v>
      </c>
      <c r="L31" s="182" cm="1">
        <f t="array" ref="L31">tabJardinagem[[#This Row],[PREÇO INICIAL -  (R$)]]*IFERROR(PRODUCT(1+_xlfn._xlws.FILTER(tabIndices[PERCENTUAL],tabIndices[DATA DA PUBLICAÇÃO]&gt;tabJardinagem[[#This Row],[DATA PUBLICAÇÃO]])),1)</f>
        <v>38.1</v>
      </c>
      <c r="M31" s="182">
        <f>IF(tabJardinagem[[#This Row],[TIPO]]="Equipamento",tabJardinagem[[#This Row],[PREÇO UNIDADE -  (R$)]]/60,0)</f>
        <v>0</v>
      </c>
      <c r="N31" s="182">
        <f>tabJardinagem[[#This Row],[VALOR  - DEPRECIAÇÃO MENSAL - UNIDADE (R$)]]*tabJardinagem[[#This Row],[QUANT ANUAL DO ITEM]]</f>
        <v>0</v>
      </c>
      <c r="O31" s="182">
        <f>tabJardinagem[[#This Row],[VALOR DEPRECIAÇÃO MENSAL - TOTAL (R$)]]*12</f>
        <v>0</v>
      </c>
      <c r="P31" s="182">
        <f>IFERROR(IF(tabJardinagem[[#This Row],[TIPO]]="Equipamento",tabJardinagem[[#This Row],[VALOR  - DEPRECIAÇÃO ANUAL - TOTAL (R$) ]]/12/tabJardinagem[[#This Row],[QUANT. POSTOS]],tabJardinagem[[#This Row],[PREÇO TOTAL -  (R$)]]/12/tabJardinagem[[#This Row],[QUANT. POSTOS]]),0)</f>
        <v>1.0241935483870968</v>
      </c>
    </row>
    <row r="32" spans="1:19">
      <c r="A32" s="184">
        <f t="shared" si="0"/>
        <v>29</v>
      </c>
      <c r="B32" s="186">
        <v>10</v>
      </c>
      <c r="C32" s="186" t="s">
        <v>95</v>
      </c>
      <c r="D32" s="184">
        <f>SUMIFS(tabPostos[Vagas contratadas],tabPostos[Função],"Jardineiro"&amp;"*")</f>
        <v>31</v>
      </c>
      <c r="E32" s="192" t="s">
        <v>1774</v>
      </c>
      <c r="F32" s="191" t="s">
        <v>94</v>
      </c>
      <c r="G32" s="191" t="s">
        <v>97</v>
      </c>
      <c r="H32" s="191"/>
      <c r="I32" s="191"/>
      <c r="J32" s="312">
        <v>43.29</v>
      </c>
      <c r="K32" s="182">
        <f>tabJardinagem[[#This Row],[PREÇO UNIDADE -  (R$)]]*tabJardinagem[[#This Row],[QUANT ANUAL DO ITEM]]</f>
        <v>432.9</v>
      </c>
      <c r="L32" s="182" cm="1">
        <f t="array" ref="L32">tabJardinagem[[#This Row],[PREÇO INICIAL -  (R$)]]*IFERROR(PRODUCT(1+_xlfn._xlws.FILTER(tabIndices[PERCENTUAL],tabIndices[DATA DA PUBLICAÇÃO]&gt;tabJardinagem[[#This Row],[DATA PUBLICAÇÃO]])),1)</f>
        <v>43.29</v>
      </c>
      <c r="M32" s="182">
        <f>IF(tabJardinagem[[#This Row],[TIPO]]="Equipamento",tabJardinagem[[#This Row],[PREÇO UNIDADE -  (R$)]]/60,0)</f>
        <v>0</v>
      </c>
      <c r="N32" s="182">
        <f>tabJardinagem[[#This Row],[VALOR  - DEPRECIAÇÃO MENSAL - UNIDADE (R$)]]*tabJardinagem[[#This Row],[QUANT ANUAL DO ITEM]]</f>
        <v>0</v>
      </c>
      <c r="O32" s="182">
        <f>tabJardinagem[[#This Row],[VALOR DEPRECIAÇÃO MENSAL - TOTAL (R$)]]*12</f>
        <v>0</v>
      </c>
      <c r="P32" s="182">
        <f>IFERROR(IF(tabJardinagem[[#This Row],[TIPO]]="Equipamento",tabJardinagem[[#This Row],[VALOR  - DEPRECIAÇÃO ANUAL - TOTAL (R$) ]]/12/tabJardinagem[[#This Row],[QUANT. POSTOS]],tabJardinagem[[#This Row],[PREÇO TOTAL -  (R$)]]/12/tabJardinagem[[#This Row],[QUANT. POSTOS]]),0)</f>
        <v>1.1637096774193547</v>
      </c>
    </row>
    <row r="33" spans="1:16">
      <c r="A33" s="184">
        <f t="shared" si="0"/>
        <v>30</v>
      </c>
      <c r="B33" s="186">
        <v>10</v>
      </c>
      <c r="C33" s="186" t="s">
        <v>95</v>
      </c>
      <c r="D33" s="184">
        <f>SUMIFS(tabPostos[Vagas contratadas],tabPostos[Função],"Jardineiro"&amp;"*")</f>
        <v>31</v>
      </c>
      <c r="E33" s="192" t="s">
        <v>1776</v>
      </c>
      <c r="F33" s="191" t="s">
        <v>94</v>
      </c>
      <c r="G33" s="191" t="s">
        <v>97</v>
      </c>
      <c r="H33" s="191"/>
      <c r="I33" s="191"/>
      <c r="J33" s="312">
        <v>49.26</v>
      </c>
      <c r="K33" s="182">
        <f>tabJardinagem[[#This Row],[PREÇO UNIDADE -  (R$)]]*tabJardinagem[[#This Row],[QUANT ANUAL DO ITEM]]</f>
        <v>492.59999999999997</v>
      </c>
      <c r="L33" s="182" cm="1">
        <f t="array" ref="L33">tabJardinagem[[#This Row],[PREÇO INICIAL -  (R$)]]*IFERROR(PRODUCT(1+_xlfn._xlws.FILTER(tabIndices[PERCENTUAL],tabIndices[DATA DA PUBLICAÇÃO]&gt;tabJardinagem[[#This Row],[DATA PUBLICAÇÃO]])),1)</f>
        <v>49.26</v>
      </c>
      <c r="M33" s="182">
        <f>IF(tabJardinagem[[#This Row],[TIPO]]="Equipamento",tabJardinagem[[#This Row],[PREÇO UNIDADE -  (R$)]]/60,0)</f>
        <v>0</v>
      </c>
      <c r="N33" s="182">
        <f>tabJardinagem[[#This Row],[VALOR  - DEPRECIAÇÃO MENSAL - UNIDADE (R$)]]*tabJardinagem[[#This Row],[QUANT ANUAL DO ITEM]]</f>
        <v>0</v>
      </c>
      <c r="O33" s="182">
        <f>tabJardinagem[[#This Row],[VALOR DEPRECIAÇÃO MENSAL - TOTAL (R$)]]*12</f>
        <v>0</v>
      </c>
      <c r="P33" s="182">
        <f>IFERROR(IF(tabJardinagem[[#This Row],[TIPO]]="Equipamento",tabJardinagem[[#This Row],[VALOR  - DEPRECIAÇÃO ANUAL - TOTAL (R$) ]]/12/tabJardinagem[[#This Row],[QUANT. POSTOS]],tabJardinagem[[#This Row],[PREÇO TOTAL -  (R$)]]/12/tabJardinagem[[#This Row],[QUANT. POSTOS]]),0)</f>
        <v>1.3241935483870966</v>
      </c>
    </row>
    <row r="34" spans="1:16">
      <c r="A34" s="184">
        <f t="shared" si="0"/>
        <v>31</v>
      </c>
      <c r="B34" s="186">
        <v>10</v>
      </c>
      <c r="C34" s="186" t="s">
        <v>95</v>
      </c>
      <c r="D34" s="184">
        <f>SUMIFS(tabPostos[Vagas contratadas],tabPostos[Função],"Jardineiro"&amp;"*")</f>
        <v>31</v>
      </c>
      <c r="E34" s="192" t="s">
        <v>1772</v>
      </c>
      <c r="F34" s="191" t="s">
        <v>94</v>
      </c>
      <c r="G34" s="191" t="s">
        <v>97</v>
      </c>
      <c r="H34" s="191"/>
      <c r="I34" s="191"/>
      <c r="J34" s="312">
        <v>55</v>
      </c>
      <c r="K34" s="182">
        <f>tabJardinagem[[#This Row],[PREÇO UNIDADE -  (R$)]]*tabJardinagem[[#This Row],[QUANT ANUAL DO ITEM]]</f>
        <v>550</v>
      </c>
      <c r="L34" s="182" cm="1">
        <f t="array" ref="L34">tabJardinagem[[#This Row],[PREÇO INICIAL -  (R$)]]*IFERROR(PRODUCT(1+_xlfn._xlws.FILTER(tabIndices[PERCENTUAL],tabIndices[DATA DA PUBLICAÇÃO]&gt;tabJardinagem[[#This Row],[DATA PUBLICAÇÃO]])),1)</f>
        <v>55</v>
      </c>
      <c r="M34" s="182">
        <f>IF(tabJardinagem[[#This Row],[TIPO]]="Equipamento",tabJardinagem[[#This Row],[PREÇO UNIDADE -  (R$)]]/60,0)</f>
        <v>0</v>
      </c>
      <c r="N34" s="182">
        <f>tabJardinagem[[#This Row],[VALOR  - DEPRECIAÇÃO MENSAL - UNIDADE (R$)]]*tabJardinagem[[#This Row],[QUANT ANUAL DO ITEM]]</f>
        <v>0</v>
      </c>
      <c r="O34" s="182">
        <f>tabJardinagem[[#This Row],[VALOR DEPRECIAÇÃO MENSAL - TOTAL (R$)]]*12</f>
        <v>0</v>
      </c>
      <c r="P34" s="182">
        <f>IFERROR(IF(tabJardinagem[[#This Row],[TIPO]]="Equipamento",tabJardinagem[[#This Row],[VALOR  - DEPRECIAÇÃO ANUAL - TOTAL (R$) ]]/12/tabJardinagem[[#This Row],[QUANT. POSTOS]],tabJardinagem[[#This Row],[PREÇO TOTAL -  (R$)]]/12/tabJardinagem[[#This Row],[QUANT. POSTOS]]),0)</f>
        <v>1.478494623655914</v>
      </c>
    </row>
    <row r="35" spans="1:16">
      <c r="A35" s="184">
        <f t="shared" si="0"/>
        <v>32</v>
      </c>
      <c r="B35" s="186">
        <v>10</v>
      </c>
      <c r="C35" s="186" t="s">
        <v>95</v>
      </c>
      <c r="D35" s="184">
        <f>SUMIFS(tabPostos[Vagas contratadas],tabPostos[Função],"Jardineiro"&amp;"*")</f>
        <v>31</v>
      </c>
      <c r="E35" s="192" t="s">
        <v>1767</v>
      </c>
      <c r="F35" s="191" t="s">
        <v>94</v>
      </c>
      <c r="G35" s="191" t="s">
        <v>97</v>
      </c>
      <c r="H35" s="191"/>
      <c r="I35" s="191"/>
      <c r="J35" s="312">
        <v>119.9</v>
      </c>
      <c r="K35" s="182">
        <f>tabJardinagem[[#This Row],[PREÇO UNIDADE -  (R$)]]*tabJardinagem[[#This Row],[QUANT ANUAL DO ITEM]]</f>
        <v>1199</v>
      </c>
      <c r="L35" s="182" cm="1">
        <f t="array" ref="L35">tabJardinagem[[#This Row],[PREÇO INICIAL -  (R$)]]*IFERROR(PRODUCT(1+_xlfn._xlws.FILTER(tabIndices[PERCENTUAL],tabIndices[DATA DA PUBLICAÇÃO]&gt;tabJardinagem[[#This Row],[DATA PUBLICAÇÃO]])),1)</f>
        <v>119.9</v>
      </c>
      <c r="M35" s="182">
        <f>IF(tabJardinagem[[#This Row],[TIPO]]="Equipamento",tabJardinagem[[#This Row],[PREÇO UNIDADE -  (R$)]]/60,0)</f>
        <v>0</v>
      </c>
      <c r="N35" s="182">
        <f>tabJardinagem[[#This Row],[VALOR  - DEPRECIAÇÃO MENSAL - UNIDADE (R$)]]*tabJardinagem[[#This Row],[QUANT ANUAL DO ITEM]]</f>
        <v>0</v>
      </c>
      <c r="O35" s="182">
        <f>tabJardinagem[[#This Row],[VALOR DEPRECIAÇÃO MENSAL - TOTAL (R$)]]*12</f>
        <v>0</v>
      </c>
      <c r="P35" s="182">
        <f>IFERROR(IF(tabJardinagem[[#This Row],[TIPO]]="Equipamento",tabJardinagem[[#This Row],[VALOR  - DEPRECIAÇÃO ANUAL - TOTAL (R$) ]]/12/tabJardinagem[[#This Row],[QUANT. POSTOS]],tabJardinagem[[#This Row],[PREÇO TOTAL -  (R$)]]/12/tabJardinagem[[#This Row],[QUANT. POSTOS]]),0)</f>
        <v>3.2231182795698925</v>
      </c>
    </row>
    <row r="36" spans="1:16">
      <c r="A36" s="184">
        <f t="shared" si="0"/>
        <v>33</v>
      </c>
      <c r="B36" s="186">
        <v>10</v>
      </c>
      <c r="C36" s="186" t="s">
        <v>95</v>
      </c>
      <c r="D36" s="184">
        <f>SUMIFS(tabPostos[Vagas contratadas],tabPostos[Função],"Jardineiro"&amp;"*")</f>
        <v>31</v>
      </c>
      <c r="E36" s="192" t="s">
        <v>1777</v>
      </c>
      <c r="F36" s="191" t="s">
        <v>94</v>
      </c>
      <c r="G36" s="191" t="s">
        <v>97</v>
      </c>
      <c r="H36" s="191"/>
      <c r="I36" s="191"/>
      <c r="J36" s="312">
        <v>40</v>
      </c>
      <c r="K36" s="182">
        <f>tabJardinagem[[#This Row],[PREÇO UNIDADE -  (R$)]]*tabJardinagem[[#This Row],[QUANT ANUAL DO ITEM]]</f>
        <v>400</v>
      </c>
      <c r="L36" s="182" cm="1">
        <f t="array" ref="L36">tabJardinagem[[#This Row],[PREÇO INICIAL -  (R$)]]*IFERROR(PRODUCT(1+_xlfn._xlws.FILTER(tabIndices[PERCENTUAL],tabIndices[DATA DA PUBLICAÇÃO]&gt;tabJardinagem[[#This Row],[DATA PUBLICAÇÃO]])),1)</f>
        <v>40</v>
      </c>
      <c r="M36" s="182">
        <f>IF(tabJardinagem[[#This Row],[TIPO]]="Equipamento",tabJardinagem[[#This Row],[PREÇO UNIDADE -  (R$)]]/60,0)</f>
        <v>0</v>
      </c>
      <c r="N36" s="182">
        <f>tabJardinagem[[#This Row],[VALOR  - DEPRECIAÇÃO MENSAL - UNIDADE (R$)]]*tabJardinagem[[#This Row],[QUANT ANUAL DO ITEM]]</f>
        <v>0</v>
      </c>
      <c r="O36" s="182">
        <f>tabJardinagem[[#This Row],[VALOR DEPRECIAÇÃO MENSAL - TOTAL (R$)]]*12</f>
        <v>0</v>
      </c>
      <c r="P36" s="182">
        <f>IFERROR(IF(tabJardinagem[[#This Row],[TIPO]]="Equipamento",tabJardinagem[[#This Row],[VALOR  - DEPRECIAÇÃO ANUAL - TOTAL (R$) ]]/12/tabJardinagem[[#This Row],[QUANT. POSTOS]],tabJardinagem[[#This Row],[PREÇO TOTAL -  (R$)]]/12/tabJardinagem[[#This Row],[QUANT. POSTOS]]),0)</f>
        <v>1.0752688172043012</v>
      </c>
    </row>
    <row r="37" spans="1:16">
      <c r="A37" s="184">
        <f t="shared" si="0"/>
        <v>34</v>
      </c>
      <c r="B37" s="186">
        <v>10</v>
      </c>
      <c r="C37" s="186" t="s">
        <v>95</v>
      </c>
      <c r="D37" s="184">
        <f>SUMIFS(tabPostos[Vagas contratadas],tabPostos[Função],"Jardineiro"&amp;"*")</f>
        <v>31</v>
      </c>
      <c r="E37" s="192" t="s">
        <v>1775</v>
      </c>
      <c r="F37" s="191" t="s">
        <v>94</v>
      </c>
      <c r="G37" s="191" t="s">
        <v>97</v>
      </c>
      <c r="H37" s="191"/>
      <c r="I37" s="191"/>
      <c r="J37" s="312">
        <v>64.66</v>
      </c>
      <c r="K37" s="182">
        <f>tabJardinagem[[#This Row],[PREÇO UNIDADE -  (R$)]]*tabJardinagem[[#This Row],[QUANT ANUAL DO ITEM]]</f>
        <v>646.59999999999991</v>
      </c>
      <c r="L37" s="182" cm="1">
        <f t="array" ref="L37">tabJardinagem[[#This Row],[PREÇO INICIAL -  (R$)]]*IFERROR(PRODUCT(1+_xlfn._xlws.FILTER(tabIndices[PERCENTUAL],tabIndices[DATA DA PUBLICAÇÃO]&gt;tabJardinagem[[#This Row],[DATA PUBLICAÇÃO]])),1)</f>
        <v>64.66</v>
      </c>
      <c r="M37" s="182">
        <f>IF(tabJardinagem[[#This Row],[TIPO]]="Equipamento",tabJardinagem[[#This Row],[PREÇO UNIDADE -  (R$)]]/60,0)</f>
        <v>0</v>
      </c>
      <c r="N37" s="182">
        <f>tabJardinagem[[#This Row],[VALOR  - DEPRECIAÇÃO MENSAL - UNIDADE (R$)]]*tabJardinagem[[#This Row],[QUANT ANUAL DO ITEM]]</f>
        <v>0</v>
      </c>
      <c r="O37" s="182">
        <f>tabJardinagem[[#This Row],[VALOR DEPRECIAÇÃO MENSAL - TOTAL (R$)]]*12</f>
        <v>0</v>
      </c>
      <c r="P37" s="182">
        <f>IFERROR(IF(tabJardinagem[[#This Row],[TIPO]]="Equipamento",tabJardinagem[[#This Row],[VALOR  - DEPRECIAÇÃO ANUAL - TOTAL (R$) ]]/12/tabJardinagem[[#This Row],[QUANT. POSTOS]],tabJardinagem[[#This Row],[PREÇO TOTAL -  (R$)]]/12/tabJardinagem[[#This Row],[QUANT. POSTOS]]),0)</f>
        <v>1.7381720430107523</v>
      </c>
    </row>
    <row r="38" spans="1:16">
      <c r="A38" s="184">
        <f t="shared" si="0"/>
        <v>35</v>
      </c>
      <c r="B38" s="186">
        <v>15</v>
      </c>
      <c r="C38" s="186" t="s">
        <v>95</v>
      </c>
      <c r="D38" s="184">
        <f>SUMIFS(tabPostos[Vagas contratadas],tabPostos[Função],"Jardineiro"&amp;"*")</f>
        <v>31</v>
      </c>
      <c r="E38" s="192" t="s">
        <v>1759</v>
      </c>
      <c r="F38" s="191" t="s">
        <v>94</v>
      </c>
      <c r="G38" s="191" t="s">
        <v>97</v>
      </c>
      <c r="H38" s="191"/>
      <c r="I38" s="191"/>
      <c r="J38" s="312">
        <v>42.61</v>
      </c>
      <c r="K38" s="182">
        <f>tabJardinagem[[#This Row],[PREÇO UNIDADE -  (R$)]]*tabJardinagem[[#This Row],[QUANT ANUAL DO ITEM]]</f>
        <v>639.15</v>
      </c>
      <c r="L38" s="182" cm="1">
        <f t="array" ref="L38">tabJardinagem[[#This Row],[PREÇO INICIAL -  (R$)]]*IFERROR(PRODUCT(1+_xlfn._xlws.FILTER(tabIndices[PERCENTUAL],tabIndices[DATA DA PUBLICAÇÃO]&gt;tabJardinagem[[#This Row],[DATA PUBLICAÇÃO]])),1)</f>
        <v>42.61</v>
      </c>
      <c r="M38" s="182">
        <f>IF(tabJardinagem[[#This Row],[TIPO]]="Equipamento",tabJardinagem[[#This Row],[PREÇO UNIDADE -  (R$)]]/60,0)</f>
        <v>0</v>
      </c>
      <c r="N38" s="182">
        <f>tabJardinagem[[#This Row],[VALOR  - DEPRECIAÇÃO MENSAL - UNIDADE (R$)]]*tabJardinagem[[#This Row],[QUANT ANUAL DO ITEM]]</f>
        <v>0</v>
      </c>
      <c r="O38" s="182">
        <f>tabJardinagem[[#This Row],[VALOR DEPRECIAÇÃO MENSAL - TOTAL (R$)]]*12</f>
        <v>0</v>
      </c>
      <c r="P38" s="182">
        <f>IFERROR(IF(tabJardinagem[[#This Row],[TIPO]]="Equipamento",tabJardinagem[[#This Row],[VALOR  - DEPRECIAÇÃO ANUAL - TOTAL (R$) ]]/12/tabJardinagem[[#This Row],[QUANT. POSTOS]],tabJardinagem[[#This Row],[PREÇO TOTAL -  (R$)]]/12/tabJardinagem[[#This Row],[QUANT. POSTOS]]),0)</f>
        <v>1.7181451612903225</v>
      </c>
    </row>
    <row r="39" spans="1:16" ht="25.5">
      <c r="A39" s="184">
        <f t="shared" si="0"/>
        <v>36</v>
      </c>
      <c r="B39" s="186">
        <v>24</v>
      </c>
      <c r="C39" s="186" t="s">
        <v>95</v>
      </c>
      <c r="D39" s="184">
        <f>SUMIFS(tabPostos[Vagas contratadas],tabPostos[Função],"Jardineiro"&amp;"*")</f>
        <v>31</v>
      </c>
      <c r="E39" s="192" t="s">
        <v>1762</v>
      </c>
      <c r="F39" s="191" t="s">
        <v>94</v>
      </c>
      <c r="G39" s="191" t="s">
        <v>97</v>
      </c>
      <c r="H39" s="191"/>
      <c r="I39" s="191"/>
      <c r="J39" s="312">
        <v>28.05</v>
      </c>
      <c r="K39" s="182">
        <f>tabJardinagem[[#This Row],[PREÇO UNIDADE -  (R$)]]*tabJardinagem[[#This Row],[QUANT ANUAL DO ITEM]]</f>
        <v>673.2</v>
      </c>
      <c r="L39" s="182" cm="1">
        <f t="array" ref="L39">tabJardinagem[[#This Row],[PREÇO INICIAL -  (R$)]]*IFERROR(PRODUCT(1+_xlfn._xlws.FILTER(tabIndices[PERCENTUAL],tabIndices[DATA DA PUBLICAÇÃO]&gt;tabJardinagem[[#This Row],[DATA PUBLICAÇÃO]])),1)</f>
        <v>28.05</v>
      </c>
      <c r="M39" s="182">
        <f>IF(tabJardinagem[[#This Row],[TIPO]]="Equipamento",tabJardinagem[[#This Row],[PREÇO UNIDADE -  (R$)]]/60,0)</f>
        <v>0</v>
      </c>
      <c r="N39" s="182">
        <f>tabJardinagem[[#This Row],[VALOR  - DEPRECIAÇÃO MENSAL - UNIDADE (R$)]]*tabJardinagem[[#This Row],[QUANT ANUAL DO ITEM]]</f>
        <v>0</v>
      </c>
      <c r="O39" s="182">
        <f>tabJardinagem[[#This Row],[VALOR DEPRECIAÇÃO MENSAL - TOTAL (R$)]]*12</f>
        <v>0</v>
      </c>
      <c r="P39" s="182">
        <f>IFERROR(IF(tabJardinagem[[#This Row],[TIPO]]="Equipamento",tabJardinagem[[#This Row],[VALOR  - DEPRECIAÇÃO ANUAL - TOTAL (R$) ]]/12/tabJardinagem[[#This Row],[QUANT. POSTOS]],tabJardinagem[[#This Row],[PREÇO TOTAL -  (R$)]]/12/tabJardinagem[[#This Row],[QUANT. POSTOS]]),0)</f>
        <v>1.8096774193548388</v>
      </c>
    </row>
    <row r="40" spans="1:16">
      <c r="A40" s="184">
        <f t="shared" si="0"/>
        <v>37</v>
      </c>
      <c r="B40" s="186">
        <v>24</v>
      </c>
      <c r="C40" s="186" t="s">
        <v>95</v>
      </c>
      <c r="D40" s="184">
        <f>SUMIFS(tabPostos[Vagas contratadas],tabPostos[Função],"Jardineiro"&amp;"*")</f>
        <v>31</v>
      </c>
      <c r="E40" s="192" t="s">
        <v>1761</v>
      </c>
      <c r="F40" s="191" t="s">
        <v>94</v>
      </c>
      <c r="G40" s="191" t="s">
        <v>97</v>
      </c>
      <c r="H40" s="191"/>
      <c r="I40" s="191"/>
      <c r="J40" s="312">
        <v>27.71</v>
      </c>
      <c r="K40" s="182">
        <f>tabJardinagem[[#This Row],[PREÇO UNIDADE -  (R$)]]*tabJardinagem[[#This Row],[QUANT ANUAL DO ITEM]]</f>
        <v>665.04</v>
      </c>
      <c r="L40" s="182" cm="1">
        <f t="array" ref="L40">tabJardinagem[[#This Row],[PREÇO INICIAL -  (R$)]]*IFERROR(PRODUCT(1+_xlfn._xlws.FILTER(tabIndices[PERCENTUAL],tabIndices[DATA DA PUBLICAÇÃO]&gt;tabJardinagem[[#This Row],[DATA PUBLICAÇÃO]])),1)</f>
        <v>27.71</v>
      </c>
      <c r="M40" s="182">
        <f>IF(tabJardinagem[[#This Row],[TIPO]]="Equipamento",tabJardinagem[[#This Row],[PREÇO UNIDADE -  (R$)]]/60,0)</f>
        <v>0</v>
      </c>
      <c r="N40" s="182">
        <f>tabJardinagem[[#This Row],[VALOR  - DEPRECIAÇÃO MENSAL - UNIDADE (R$)]]*tabJardinagem[[#This Row],[QUANT ANUAL DO ITEM]]</f>
        <v>0</v>
      </c>
      <c r="O40" s="182">
        <f>tabJardinagem[[#This Row],[VALOR DEPRECIAÇÃO MENSAL - TOTAL (R$)]]*12</f>
        <v>0</v>
      </c>
      <c r="P40" s="182">
        <f>IFERROR(IF(tabJardinagem[[#This Row],[TIPO]]="Equipamento",tabJardinagem[[#This Row],[VALOR  - DEPRECIAÇÃO ANUAL - TOTAL (R$) ]]/12/tabJardinagem[[#This Row],[QUANT. POSTOS]],tabJardinagem[[#This Row],[PREÇO TOTAL -  (R$)]]/12/tabJardinagem[[#This Row],[QUANT. POSTOS]]),0)</f>
        <v>1.7877419354838708</v>
      </c>
    </row>
    <row r="41" spans="1:16" ht="38.25">
      <c r="A41" s="184">
        <f t="shared" si="0"/>
        <v>38</v>
      </c>
      <c r="B41" s="186">
        <v>30</v>
      </c>
      <c r="C41" s="186" t="s">
        <v>95</v>
      </c>
      <c r="D41" s="184">
        <f>SUMIFS(tabPostos[Vagas contratadas],tabPostos[Função],"Jardineiro"&amp;"*")</f>
        <v>31</v>
      </c>
      <c r="E41" s="192" t="s">
        <v>1782</v>
      </c>
      <c r="F41" s="191" t="s">
        <v>94</v>
      </c>
      <c r="G41" s="191" t="s">
        <v>97</v>
      </c>
      <c r="H41" s="191"/>
      <c r="I41" s="191"/>
      <c r="J41" s="312">
        <v>103.51</v>
      </c>
      <c r="K41" s="182">
        <f>tabJardinagem[[#This Row],[PREÇO UNIDADE -  (R$)]]*tabJardinagem[[#This Row],[QUANT ANUAL DO ITEM]]</f>
        <v>3105.3</v>
      </c>
      <c r="L41" s="182" cm="1">
        <f t="array" ref="L41">tabJardinagem[[#This Row],[PREÇO INICIAL -  (R$)]]*IFERROR(PRODUCT(1+_xlfn._xlws.FILTER(tabIndices[PERCENTUAL],tabIndices[DATA DA PUBLICAÇÃO]&gt;tabJardinagem[[#This Row],[DATA PUBLICAÇÃO]])),1)</f>
        <v>103.51</v>
      </c>
      <c r="M41" s="182">
        <f>IF(tabJardinagem[[#This Row],[TIPO]]="Equipamento",tabJardinagem[[#This Row],[PREÇO UNIDADE -  (R$)]]/60,0)</f>
        <v>0</v>
      </c>
      <c r="N41" s="182">
        <f>tabJardinagem[[#This Row],[VALOR  - DEPRECIAÇÃO MENSAL - UNIDADE (R$)]]*tabJardinagem[[#This Row],[QUANT ANUAL DO ITEM]]</f>
        <v>0</v>
      </c>
      <c r="O41" s="182">
        <f>tabJardinagem[[#This Row],[VALOR DEPRECIAÇÃO MENSAL - TOTAL (R$)]]*12</f>
        <v>0</v>
      </c>
      <c r="P41" s="182">
        <f>IFERROR(IF(tabJardinagem[[#This Row],[TIPO]]="Equipamento",tabJardinagem[[#This Row],[VALOR  - DEPRECIAÇÃO ANUAL - TOTAL (R$) ]]/12/tabJardinagem[[#This Row],[QUANT. POSTOS]],tabJardinagem[[#This Row],[PREÇO TOTAL -  (R$)]]/12/tabJardinagem[[#This Row],[QUANT. POSTOS]]),0)</f>
        <v>8.3475806451612922</v>
      </c>
    </row>
    <row r="42" spans="1:16" ht="38.25">
      <c r="A42" s="184">
        <f t="shared" si="0"/>
        <v>39</v>
      </c>
      <c r="B42" s="186">
        <v>30</v>
      </c>
      <c r="C42" s="186" t="s">
        <v>95</v>
      </c>
      <c r="D42" s="184">
        <f>SUMIFS(tabPostos[Vagas contratadas],tabPostos[Função],"Jardineiro"&amp;"*")</f>
        <v>31</v>
      </c>
      <c r="E42" s="192" t="s">
        <v>1783</v>
      </c>
      <c r="F42" s="191" t="s">
        <v>94</v>
      </c>
      <c r="G42" s="191" t="s">
        <v>97</v>
      </c>
      <c r="H42" s="191"/>
      <c r="I42" s="191"/>
      <c r="J42" s="312">
        <v>165.7</v>
      </c>
      <c r="K42" s="182">
        <f>tabJardinagem[[#This Row],[PREÇO UNIDADE -  (R$)]]*tabJardinagem[[#This Row],[QUANT ANUAL DO ITEM]]</f>
        <v>4971</v>
      </c>
      <c r="L42" s="182" cm="1">
        <f t="array" ref="L42">tabJardinagem[[#This Row],[PREÇO INICIAL -  (R$)]]*IFERROR(PRODUCT(1+_xlfn._xlws.FILTER(tabIndices[PERCENTUAL],tabIndices[DATA DA PUBLICAÇÃO]&gt;tabJardinagem[[#This Row],[DATA PUBLICAÇÃO]])),1)</f>
        <v>165.7</v>
      </c>
      <c r="M42" s="182">
        <f>IF(tabJardinagem[[#This Row],[TIPO]]="Equipamento",tabJardinagem[[#This Row],[PREÇO UNIDADE -  (R$)]]/60,0)</f>
        <v>0</v>
      </c>
      <c r="N42" s="182">
        <f>tabJardinagem[[#This Row],[VALOR  - DEPRECIAÇÃO MENSAL - UNIDADE (R$)]]*tabJardinagem[[#This Row],[QUANT ANUAL DO ITEM]]</f>
        <v>0</v>
      </c>
      <c r="O42" s="182">
        <f>tabJardinagem[[#This Row],[VALOR DEPRECIAÇÃO MENSAL - TOTAL (R$)]]*12</f>
        <v>0</v>
      </c>
      <c r="P42" s="182">
        <f>IFERROR(IF(tabJardinagem[[#This Row],[TIPO]]="Equipamento",tabJardinagem[[#This Row],[VALOR  - DEPRECIAÇÃO ANUAL - TOTAL (R$) ]]/12/tabJardinagem[[#This Row],[QUANT. POSTOS]],tabJardinagem[[#This Row],[PREÇO TOTAL -  (R$)]]/12/tabJardinagem[[#This Row],[QUANT. POSTOS]]),0)</f>
        <v>13.362903225806452</v>
      </c>
    </row>
    <row r="43" spans="1:16" ht="63.75">
      <c r="A43" s="185"/>
      <c r="B43" s="186">
        <v>30</v>
      </c>
      <c r="C43" s="186" t="s">
        <v>95</v>
      </c>
      <c r="D43" s="184">
        <f>SUMIFS(tabPostos[Vagas contratadas],tabPostos[Função],"Jardineiro"&amp;"*")</f>
        <v>31</v>
      </c>
      <c r="E43" s="192" t="s">
        <v>1784</v>
      </c>
      <c r="F43" s="191" t="s">
        <v>94</v>
      </c>
      <c r="G43" s="191" t="s">
        <v>97</v>
      </c>
      <c r="H43" s="191"/>
      <c r="I43" s="191"/>
      <c r="J43" s="312">
        <v>235.49</v>
      </c>
      <c r="K43" s="194">
        <f>tabJardinagem[[#This Row],[PREÇO UNIDADE -  (R$)]]*tabJardinagem[[#This Row],[QUANT ANUAL DO ITEM]]</f>
        <v>7064.7000000000007</v>
      </c>
      <c r="L43" s="194" cm="1">
        <f t="array" ref="L43">tabJardinagem[[#This Row],[PREÇO INICIAL -  (R$)]]*IFERROR(PRODUCT(1+_xlfn._xlws.FILTER(tabIndices[PERCENTUAL],tabIndices[DATA DA PUBLICAÇÃO]&gt;tabJardinagem[[#This Row],[DATA PUBLICAÇÃO]])),1)</f>
        <v>235.49</v>
      </c>
      <c r="M43" s="194">
        <f>IF(tabJardinagem[[#This Row],[TIPO]]="Equipamento",tabJardinagem[[#This Row],[PREÇO UNIDADE -  (R$)]]/60,0)</f>
        <v>0</v>
      </c>
      <c r="N43" s="194">
        <f>tabJardinagem[[#This Row],[VALOR  - DEPRECIAÇÃO MENSAL - UNIDADE (R$)]]*tabJardinagem[[#This Row],[QUANT ANUAL DO ITEM]]</f>
        <v>0</v>
      </c>
      <c r="O43" s="194">
        <f>tabJardinagem[[#This Row],[VALOR DEPRECIAÇÃO MENSAL - TOTAL (R$)]]*12</f>
        <v>0</v>
      </c>
      <c r="P43" s="194">
        <f>IFERROR(IF(tabJardinagem[[#This Row],[TIPO]]="Equipamento",tabJardinagem[[#This Row],[VALOR  - DEPRECIAÇÃO ANUAL - TOTAL (R$) ]]/12/tabJardinagem[[#This Row],[QUANT. POSTOS]],tabJardinagem[[#This Row],[PREÇO TOTAL -  (R$)]]/12/tabJardinagem[[#This Row],[QUANT. POSTOS]]),0)</f>
        <v>18.991129032258065</v>
      </c>
    </row>
    <row r="44" spans="1:16">
      <c r="A44" s="187" t="s">
        <v>7</v>
      </c>
      <c r="B44" s="187"/>
      <c r="C44" s="187"/>
      <c r="D44" s="187"/>
      <c r="E44" s="188"/>
      <c r="F44" s="188"/>
      <c r="G44" s="188"/>
      <c r="H44" s="188"/>
      <c r="I44" s="188"/>
      <c r="J44" s="189">
        <f>SUBTOTAL(9,tabJardinagem[PREÇO INICIAL -  (R$)])</f>
        <v>5618.2999999999984</v>
      </c>
      <c r="K44" s="189">
        <f>SUBTOTAL(9,tabJardinagem[PREÇO TOTAL -  (R$)])</f>
        <v>374744.05000000005</v>
      </c>
      <c r="L44" s="189">
        <f>SUBTOTAL(9,tabJardinagem[PREÇO UNIDADE -  (R$)])</f>
        <v>5618.2999999999984</v>
      </c>
      <c r="M44" s="189">
        <f>SUBTOTAL(9,tabJardinagem[VALOR  - DEPRECIAÇÃO MENSAL - UNIDADE (R$)])</f>
        <v>66.956166666666675</v>
      </c>
      <c r="N44" s="189">
        <f>SUBTOTAL(9,tabJardinagem[VALOR DEPRECIAÇÃO MENSAL - TOTAL (R$)])</f>
        <v>3506.5060000000003</v>
      </c>
      <c r="O44" s="189">
        <f>SUBTOTAL(9,tabJardinagem[VALOR  - DEPRECIAÇÃO ANUAL - TOTAL (R$) ])</f>
        <v>42078.071999999993</v>
      </c>
      <c r="P44" s="189">
        <f>SUBTOTAL(9,tabJardinagem[VALOR UNITÁRIO P/ POSTO (R$)])</f>
        <v>554.92409139784934</v>
      </c>
    </row>
  </sheetData>
  <mergeCells count="1">
    <mergeCell ref="A1:F1"/>
  </mergeCells>
  <pageMargins left="0.511811024" right="0.511811024" top="0.78740157499999996" bottom="0.78740157499999996" header="0.31496062000000002" footer="0.31496062000000002"/>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1:P19"/>
  <sheetViews>
    <sheetView topLeftCell="A3" workbookViewId="0">
      <selection activeCell="H5" sqref="H5"/>
    </sheetView>
  </sheetViews>
  <sheetFormatPr defaultRowHeight="14.25"/>
  <cols>
    <col min="1" max="4" width="9.75" customWidth="1"/>
    <col min="5" max="5" width="51.625" customWidth="1"/>
    <col min="6" max="6" width="11.75" customWidth="1"/>
    <col min="7" max="7" width="13.75" customWidth="1"/>
    <col min="8" max="8" width="10.75" customWidth="1"/>
    <col min="9" max="9" width="13.375" customWidth="1"/>
    <col min="10" max="16" width="13.75" customWidth="1"/>
  </cols>
  <sheetData>
    <row r="1" spans="1:16" ht="45" customHeight="1">
      <c r="A1" s="319" t="s">
        <v>1924</v>
      </c>
      <c r="B1" s="320"/>
      <c r="C1" s="320"/>
      <c r="D1" s="320"/>
      <c r="E1" s="320"/>
      <c r="F1" s="321"/>
    </row>
    <row r="3" spans="1:16" ht="51">
      <c r="A3" s="183" t="s">
        <v>80</v>
      </c>
      <c r="B3" s="183" t="s">
        <v>1785</v>
      </c>
      <c r="C3" s="183" t="s">
        <v>95</v>
      </c>
      <c r="D3" s="183" t="s">
        <v>81</v>
      </c>
      <c r="E3" s="183" t="s">
        <v>82</v>
      </c>
      <c r="F3" s="183" t="s">
        <v>83</v>
      </c>
      <c r="G3" s="195" t="s">
        <v>84</v>
      </c>
      <c r="H3" s="183" t="s">
        <v>85</v>
      </c>
      <c r="I3" s="183" t="s">
        <v>2</v>
      </c>
      <c r="J3" s="183" t="s">
        <v>86</v>
      </c>
      <c r="K3" s="183" t="s">
        <v>87</v>
      </c>
      <c r="L3" s="183" t="s">
        <v>88</v>
      </c>
      <c r="M3" s="183" t="s">
        <v>89</v>
      </c>
      <c r="N3" s="183" t="s">
        <v>90</v>
      </c>
      <c r="O3" s="183" t="s">
        <v>91</v>
      </c>
      <c r="P3" s="183" t="s">
        <v>92</v>
      </c>
    </row>
    <row r="4" spans="1:16" ht="38.25">
      <c r="A4" s="184">
        <v>1</v>
      </c>
      <c r="B4" s="184">
        <v>1</v>
      </c>
      <c r="C4" s="186" t="s">
        <v>95</v>
      </c>
      <c r="D4" s="184">
        <f>SUMIFS(tabPostos[Vagas contratadas],tabPostos[Função],"Lavador de Veiculos - 220 h")</f>
        <v>1</v>
      </c>
      <c r="E4" s="192" t="s">
        <v>1869</v>
      </c>
      <c r="F4" s="191" t="s">
        <v>93</v>
      </c>
      <c r="G4" s="191" t="s">
        <v>1758</v>
      </c>
      <c r="H4" s="191"/>
      <c r="I4" s="196"/>
      <c r="J4" s="312">
        <v>699.95</v>
      </c>
      <c r="K4" s="182">
        <f>tabVeicular[[#This Row],[PREÇO UNIDADE -  (R$)]]*tabVeicular[[#This Row],[QUANT ANUAL DO ITEM]]</f>
        <v>699.95</v>
      </c>
      <c r="L4" s="182" cm="1">
        <f t="array" ref="L4">tabVeicular[[#This Row],[PREÇO INICIAL -  (R$)]]*IFERROR(PRODUCT(1+_xlfn._xlws.FILTER(tabIndices[PERCENTUAL],tabIndices[DATA DA PUBLICAÇÃO]&gt;tabVeicular[[#This Row],[DATA PUBLICAÇÃO]])),1)</f>
        <v>699.95</v>
      </c>
      <c r="M4" s="182">
        <f>IF(tabVeicular[[#This Row],[TIPO]]="Equipamento",tabVeicular[[#This Row],[PREÇO UNIDADE -  (R$)]]/60,0)</f>
        <v>11.665833333333333</v>
      </c>
      <c r="N4" s="182">
        <f>tabVeicular[[#This Row],[VALOR  - DEPRECIAÇÃO MENSAL - UNIDADE (R$)]]*tabVeicular[[#This Row],[QUANT ANUAL DO ITEM]]</f>
        <v>11.665833333333333</v>
      </c>
      <c r="O4" s="182">
        <f>tabVeicular[[#This Row],[VALOR DEPRECIAÇÃO MENSAL - TOTAL (R$)]]*12</f>
        <v>139.99</v>
      </c>
      <c r="P4" s="182">
        <f>IFERROR(IF(tabVeicular[[#This Row],[TIPO]]="Equipamento",tabVeicular[[#This Row],[VALOR  - DEPRECIAÇÃO ANUAL - TOTAL (R$) ]]/12/tabVeicular[[#This Row],[QUANT. POSTOS]],tabVeicular[[#This Row],[PREÇO TOTAL -  (R$)]]/12/tabVeicular[[#This Row],[QUANT. POSTOS]]),0)</f>
        <v>11.665833333333333</v>
      </c>
    </row>
    <row r="5" spans="1:16" ht="51">
      <c r="A5" s="185">
        <v>2</v>
      </c>
      <c r="B5" s="186">
        <v>1</v>
      </c>
      <c r="C5" s="186" t="s">
        <v>95</v>
      </c>
      <c r="D5" s="184">
        <f>SUMIFS(tabPostos[Vagas contratadas],tabPostos[Função],"Lavador de Veiculos - 220 h")</f>
        <v>1</v>
      </c>
      <c r="E5" s="193" t="s">
        <v>1870</v>
      </c>
      <c r="F5" s="191" t="s">
        <v>93</v>
      </c>
      <c r="G5" s="191" t="s">
        <v>1758</v>
      </c>
      <c r="H5" s="190"/>
      <c r="I5" s="190"/>
      <c r="J5" s="312">
        <v>4978.1499999999996</v>
      </c>
      <c r="K5" s="182">
        <f>tabVeicular[[#This Row],[PREÇO UNIDADE -  (R$)]]*tabVeicular[[#This Row],[QUANT ANUAL DO ITEM]]</f>
        <v>4978.1499999999996</v>
      </c>
      <c r="L5" s="182" cm="1">
        <f t="array" ref="L5">tabVeicular[[#This Row],[PREÇO INICIAL -  (R$)]]*IFERROR(PRODUCT(1+_xlfn._xlws.FILTER(tabIndices[PERCENTUAL],tabIndices[DATA DA PUBLICAÇÃO]&gt;tabVeicular[[#This Row],[DATA PUBLICAÇÃO]])),1)</f>
        <v>4978.1499999999996</v>
      </c>
      <c r="M5" s="182">
        <f>IF(tabVeicular[[#This Row],[TIPO]]="Equipamento",tabVeicular[[#This Row],[PREÇO UNIDADE -  (R$)]]/60,0)</f>
        <v>82.969166666666666</v>
      </c>
      <c r="N5" s="182">
        <f>tabVeicular[[#This Row],[VALOR  - DEPRECIAÇÃO MENSAL - UNIDADE (R$)]]*tabVeicular[[#This Row],[QUANT ANUAL DO ITEM]]</f>
        <v>82.969166666666666</v>
      </c>
      <c r="O5" s="182">
        <f>tabVeicular[[#This Row],[VALOR DEPRECIAÇÃO MENSAL - TOTAL (R$)]]*12</f>
        <v>995.63</v>
      </c>
      <c r="P5" s="182">
        <f>IFERROR(IF(tabVeicular[[#This Row],[TIPO]]="Equipamento",tabVeicular[[#This Row],[VALOR  - DEPRECIAÇÃO ANUAL - TOTAL (R$) ]]/12/tabVeicular[[#This Row],[QUANT. POSTOS]],tabVeicular[[#This Row],[PREÇO TOTAL -  (R$)]]/12/tabVeicular[[#This Row],[QUANT. POSTOS]]),0)</f>
        <v>82.969166666666666</v>
      </c>
    </row>
    <row r="6" spans="1:16" ht="25.5">
      <c r="A6" s="184">
        <v>5</v>
      </c>
      <c r="B6" s="186">
        <v>2</v>
      </c>
      <c r="C6" s="186" t="s">
        <v>95</v>
      </c>
      <c r="D6" s="184">
        <v>1</v>
      </c>
      <c r="E6" s="192" t="s">
        <v>1756</v>
      </c>
      <c r="F6" s="191" t="s">
        <v>94</v>
      </c>
      <c r="G6" s="191" t="s">
        <v>97</v>
      </c>
      <c r="H6" s="191"/>
      <c r="I6" s="191"/>
      <c r="J6" s="312">
        <v>43.45</v>
      </c>
      <c r="K6" s="182">
        <f>tabVeicular[[#This Row],[PREÇO UNIDADE -  (R$)]]*tabVeicular[[#This Row],[QUANT ANUAL DO ITEM]]</f>
        <v>86.9</v>
      </c>
      <c r="L6" s="182" cm="1">
        <f t="array" ref="L6">tabVeicular[[#This Row],[PREÇO INICIAL -  (R$)]]*IFERROR(PRODUCT(1+_xlfn._xlws.FILTER(tabIndices[PERCENTUAL],tabIndices[DATA DA PUBLICAÇÃO]&gt;tabVeicular[[#This Row],[DATA PUBLICAÇÃO]])),1)</f>
        <v>43.45</v>
      </c>
      <c r="M6" s="182">
        <f>IF(tabVeicular[[#This Row],[TIPO]]="Equipamento",tabVeicular[[#This Row],[PREÇO UNIDADE -  (R$)]]/60,0)</f>
        <v>0</v>
      </c>
      <c r="N6" s="182">
        <f>tabVeicular[[#This Row],[VALOR  - DEPRECIAÇÃO MENSAL - UNIDADE (R$)]]*tabVeicular[[#This Row],[QUANT ANUAL DO ITEM]]</f>
        <v>0</v>
      </c>
      <c r="O6" s="182">
        <f>tabVeicular[[#This Row],[VALOR DEPRECIAÇÃO MENSAL - TOTAL (R$)]]*12</f>
        <v>0</v>
      </c>
      <c r="P6" s="182">
        <f>IFERROR(IF(tabVeicular[[#This Row],[TIPO]]="Equipamento",tabVeicular[[#This Row],[VALOR  - DEPRECIAÇÃO ANUAL - TOTAL (R$) ]]/12/tabVeicular[[#This Row],[QUANT. POSTOS]],tabVeicular[[#This Row],[PREÇO TOTAL -  (R$)]]/12/tabVeicular[[#This Row],[QUANT. POSTOS]]),0)</f>
        <v>7.2416666666666671</v>
      </c>
    </row>
    <row r="7" spans="1:16" ht="25.5">
      <c r="A7" s="184">
        <v>3</v>
      </c>
      <c r="B7" s="186">
        <v>36</v>
      </c>
      <c r="C7" s="186" t="s">
        <v>95</v>
      </c>
      <c r="D7" s="184">
        <v>1</v>
      </c>
      <c r="E7" s="192" t="s">
        <v>1752</v>
      </c>
      <c r="F7" s="191" t="s">
        <v>94</v>
      </c>
      <c r="G7" s="191" t="s">
        <v>97</v>
      </c>
      <c r="H7" s="191"/>
      <c r="I7" s="191"/>
      <c r="J7" s="312">
        <v>11.45</v>
      </c>
      <c r="K7" s="182">
        <f>tabVeicular[[#This Row],[PREÇO UNIDADE -  (R$)]]*tabVeicular[[#This Row],[QUANT ANUAL DO ITEM]]</f>
        <v>412.2</v>
      </c>
      <c r="L7" s="182" cm="1">
        <f t="array" ref="L7">tabVeicular[[#This Row],[PREÇO INICIAL -  (R$)]]*IFERROR(PRODUCT(1+_xlfn._xlws.FILTER(tabIndices[PERCENTUAL],tabIndices[DATA DA PUBLICAÇÃO]&gt;tabVeicular[[#This Row],[DATA PUBLICAÇÃO]])),1)</f>
        <v>11.45</v>
      </c>
      <c r="M7" s="182">
        <f>IF(tabVeicular[[#This Row],[TIPO]]="Equipamento",tabVeicular[[#This Row],[PREÇO UNIDADE -  (R$)]]/60,0)</f>
        <v>0</v>
      </c>
      <c r="N7" s="182">
        <f>tabVeicular[[#This Row],[VALOR  - DEPRECIAÇÃO MENSAL - UNIDADE (R$)]]*tabVeicular[[#This Row],[QUANT ANUAL DO ITEM]]</f>
        <v>0</v>
      </c>
      <c r="O7" s="182">
        <f>tabVeicular[[#This Row],[VALOR DEPRECIAÇÃO MENSAL - TOTAL (R$)]]*12</f>
        <v>0</v>
      </c>
      <c r="P7" s="182">
        <f>IFERROR(IF(tabVeicular[[#This Row],[TIPO]]="Equipamento",tabVeicular[[#This Row],[VALOR  - DEPRECIAÇÃO ANUAL - TOTAL (R$) ]]/12/tabVeicular[[#This Row],[QUANT. POSTOS]],tabVeicular[[#This Row],[PREÇO TOTAL -  (R$)]]/12/tabVeicular[[#This Row],[QUANT. POSTOS]]),0)</f>
        <v>34.35</v>
      </c>
    </row>
    <row r="8" spans="1:16">
      <c r="A8" s="185">
        <v>6</v>
      </c>
      <c r="B8" s="186">
        <v>8</v>
      </c>
      <c r="C8" s="186" t="s">
        <v>95</v>
      </c>
      <c r="D8" s="184">
        <v>1</v>
      </c>
      <c r="E8" s="192" t="s">
        <v>1757</v>
      </c>
      <c r="F8" s="191" t="s">
        <v>94</v>
      </c>
      <c r="G8" s="191" t="s">
        <v>97</v>
      </c>
      <c r="H8" s="191"/>
      <c r="I8" s="191"/>
      <c r="J8" s="312">
        <v>25.42</v>
      </c>
      <c r="K8" s="182">
        <f>tabVeicular[[#This Row],[PREÇO UNIDADE -  (R$)]]*tabVeicular[[#This Row],[QUANT ANUAL DO ITEM]]</f>
        <v>203.36</v>
      </c>
      <c r="L8" s="182" cm="1">
        <f t="array" ref="L8">tabVeicular[[#This Row],[PREÇO INICIAL -  (R$)]]*IFERROR(PRODUCT(1+_xlfn._xlws.FILTER(tabIndices[PERCENTUAL],tabIndices[DATA DA PUBLICAÇÃO]&gt;tabVeicular[[#This Row],[DATA PUBLICAÇÃO]])),1)</f>
        <v>25.42</v>
      </c>
      <c r="M8" s="182">
        <f>IF(tabVeicular[[#This Row],[TIPO]]="Equipamento",tabVeicular[[#This Row],[PREÇO UNIDADE -  (R$)]]/60,0)</f>
        <v>0</v>
      </c>
      <c r="N8" s="182">
        <f>tabVeicular[[#This Row],[VALOR  - DEPRECIAÇÃO MENSAL - UNIDADE (R$)]]*tabVeicular[[#This Row],[QUANT ANUAL DO ITEM]]</f>
        <v>0</v>
      </c>
      <c r="O8" s="182">
        <f>tabVeicular[[#This Row],[VALOR DEPRECIAÇÃO MENSAL - TOTAL (R$)]]*12</f>
        <v>0</v>
      </c>
      <c r="P8" s="182">
        <f>IFERROR(IF(tabVeicular[[#This Row],[TIPO]]="Equipamento",tabVeicular[[#This Row],[VALOR  - DEPRECIAÇÃO ANUAL - TOTAL (R$) ]]/12/tabVeicular[[#This Row],[QUANT. POSTOS]],tabVeicular[[#This Row],[PREÇO TOTAL -  (R$)]]/12/tabVeicular[[#This Row],[QUANT. POSTOS]]),0)</f>
        <v>16.946666666666669</v>
      </c>
    </row>
    <row r="9" spans="1:16">
      <c r="A9" s="184">
        <v>7</v>
      </c>
      <c r="B9" s="186">
        <v>4</v>
      </c>
      <c r="C9" s="186" t="s">
        <v>95</v>
      </c>
      <c r="D9" s="184">
        <v>1</v>
      </c>
      <c r="E9" s="192" t="s">
        <v>1754</v>
      </c>
      <c r="F9" s="191" t="s">
        <v>94</v>
      </c>
      <c r="G9" s="191" t="s">
        <v>97</v>
      </c>
      <c r="H9" s="191"/>
      <c r="I9" s="191"/>
      <c r="J9" s="312">
        <v>21.43</v>
      </c>
      <c r="K9" s="182">
        <f>tabVeicular[[#This Row],[PREÇO UNIDADE -  (R$)]]*tabVeicular[[#This Row],[QUANT ANUAL DO ITEM]]</f>
        <v>85.72</v>
      </c>
      <c r="L9" s="182" cm="1">
        <f t="array" ref="L9">tabVeicular[[#This Row],[PREÇO INICIAL -  (R$)]]*IFERROR(PRODUCT(1+_xlfn._xlws.FILTER(tabIndices[PERCENTUAL],tabIndices[DATA DA PUBLICAÇÃO]&gt;tabVeicular[[#This Row],[DATA PUBLICAÇÃO]])),1)</f>
        <v>21.43</v>
      </c>
      <c r="M9" s="182">
        <f>IF(tabVeicular[[#This Row],[TIPO]]="Equipamento",tabVeicular[[#This Row],[PREÇO UNIDADE -  (R$)]]/60,0)</f>
        <v>0</v>
      </c>
      <c r="N9" s="182">
        <f>tabVeicular[[#This Row],[VALOR  - DEPRECIAÇÃO MENSAL - UNIDADE (R$)]]*tabVeicular[[#This Row],[QUANT ANUAL DO ITEM]]</f>
        <v>0</v>
      </c>
      <c r="O9" s="182">
        <f>tabVeicular[[#This Row],[VALOR DEPRECIAÇÃO MENSAL - TOTAL (R$)]]*12</f>
        <v>0</v>
      </c>
      <c r="P9" s="182">
        <f>IFERROR(IF(tabVeicular[[#This Row],[TIPO]]="Equipamento",tabVeicular[[#This Row],[VALOR  - DEPRECIAÇÃO ANUAL - TOTAL (R$) ]]/12/tabVeicular[[#This Row],[QUANT. POSTOS]],tabVeicular[[#This Row],[PREÇO TOTAL -  (R$)]]/12/tabVeicular[[#This Row],[QUANT. POSTOS]]),0)</f>
        <v>7.1433333333333335</v>
      </c>
    </row>
    <row r="10" spans="1:16" ht="25.5">
      <c r="A10" s="185">
        <v>8</v>
      </c>
      <c r="B10" s="186">
        <v>1</v>
      </c>
      <c r="C10" s="186" t="s">
        <v>95</v>
      </c>
      <c r="D10" s="184">
        <v>1</v>
      </c>
      <c r="E10" s="192" t="s">
        <v>1755</v>
      </c>
      <c r="F10" s="191" t="s">
        <v>94</v>
      </c>
      <c r="G10" s="191" t="s">
        <v>97</v>
      </c>
      <c r="H10" s="191"/>
      <c r="I10" s="191"/>
      <c r="J10" s="312">
        <v>85.81</v>
      </c>
      <c r="K10" s="182">
        <f>tabVeicular[[#This Row],[PREÇO UNIDADE -  (R$)]]*tabVeicular[[#This Row],[QUANT ANUAL DO ITEM]]</f>
        <v>85.81</v>
      </c>
      <c r="L10" s="182" cm="1">
        <f t="array" ref="L10">tabVeicular[[#This Row],[PREÇO INICIAL -  (R$)]]*IFERROR(PRODUCT(1+_xlfn._xlws.FILTER(tabIndices[PERCENTUAL],tabIndices[DATA DA PUBLICAÇÃO]&gt;tabVeicular[[#This Row],[DATA PUBLICAÇÃO]])),1)</f>
        <v>85.81</v>
      </c>
      <c r="M10" s="182">
        <f>IF(tabVeicular[[#This Row],[TIPO]]="Equipamento",tabVeicular[[#This Row],[PREÇO UNIDADE -  (R$)]]/60,0)</f>
        <v>0</v>
      </c>
      <c r="N10" s="182">
        <f>tabVeicular[[#This Row],[VALOR  - DEPRECIAÇÃO MENSAL - UNIDADE (R$)]]*tabVeicular[[#This Row],[QUANT ANUAL DO ITEM]]</f>
        <v>0</v>
      </c>
      <c r="O10" s="182">
        <f>tabVeicular[[#This Row],[VALOR DEPRECIAÇÃO MENSAL - TOTAL (R$)]]*12</f>
        <v>0</v>
      </c>
      <c r="P10" s="182">
        <f>IFERROR(IF(tabVeicular[[#This Row],[TIPO]]="Equipamento",tabVeicular[[#This Row],[VALOR  - DEPRECIAÇÃO ANUAL - TOTAL (R$) ]]/12/tabVeicular[[#This Row],[QUANT. POSTOS]],tabVeicular[[#This Row],[PREÇO TOTAL -  (R$)]]/12/tabVeicular[[#This Row],[QUANT. POSTOS]]),0)</f>
        <v>7.1508333333333338</v>
      </c>
    </row>
    <row r="11" spans="1:16">
      <c r="A11" s="185">
        <v>4</v>
      </c>
      <c r="B11" s="186">
        <v>4</v>
      </c>
      <c r="C11" s="186" t="s">
        <v>95</v>
      </c>
      <c r="D11" s="184">
        <v>1</v>
      </c>
      <c r="E11" s="193" t="s">
        <v>1753</v>
      </c>
      <c r="F11" s="191" t="s">
        <v>94</v>
      </c>
      <c r="G11" s="191" t="s">
        <v>97</v>
      </c>
      <c r="H11" s="190"/>
      <c r="I11" s="190"/>
      <c r="J11" s="312">
        <v>7.1</v>
      </c>
      <c r="K11" s="182">
        <f>tabVeicular[[#This Row],[PREÇO UNIDADE -  (R$)]]*tabVeicular[[#This Row],[QUANT ANUAL DO ITEM]]</f>
        <v>28.4</v>
      </c>
      <c r="L11" s="182" cm="1">
        <f t="array" ref="L11">tabVeicular[[#This Row],[PREÇO INICIAL -  (R$)]]*IFERROR(PRODUCT(1+_xlfn._xlws.FILTER(tabIndices[PERCENTUAL],tabIndices[DATA DA PUBLICAÇÃO]&gt;tabVeicular[[#This Row],[DATA PUBLICAÇÃO]])),1)</f>
        <v>7.1</v>
      </c>
      <c r="M11" s="182">
        <f>IF(tabVeicular[[#This Row],[TIPO]]="Equipamento",tabVeicular[[#This Row],[PREÇO UNIDADE -  (R$)]]/60,0)</f>
        <v>0</v>
      </c>
      <c r="N11" s="182">
        <f>tabVeicular[[#This Row],[VALOR  - DEPRECIAÇÃO MENSAL - UNIDADE (R$)]]*tabVeicular[[#This Row],[QUANT ANUAL DO ITEM]]</f>
        <v>0</v>
      </c>
      <c r="O11" s="182">
        <f>tabVeicular[[#This Row],[VALOR DEPRECIAÇÃO MENSAL - TOTAL (R$)]]*12</f>
        <v>0</v>
      </c>
      <c r="P11" s="182">
        <f>IFERROR(IF(tabVeicular[[#This Row],[TIPO]]="Equipamento",tabVeicular[[#This Row],[VALOR  - DEPRECIAÇÃO ANUAL - TOTAL (R$) ]]/12/tabVeicular[[#This Row],[QUANT. POSTOS]],tabVeicular[[#This Row],[PREÇO TOTAL -  (R$)]]/12/tabVeicular[[#This Row],[QUANT. POSTOS]]),0)</f>
        <v>2.3666666666666667</v>
      </c>
    </row>
    <row r="12" spans="1:16" ht="25.5">
      <c r="A12" s="185">
        <v>14</v>
      </c>
      <c r="B12" s="186">
        <v>2</v>
      </c>
      <c r="C12" s="191" t="s">
        <v>1746</v>
      </c>
      <c r="D12" s="184">
        <v>1</v>
      </c>
      <c r="E12" s="192" t="s">
        <v>1747</v>
      </c>
      <c r="F12" s="191" t="s">
        <v>96</v>
      </c>
      <c r="G12" s="191" t="s">
        <v>97</v>
      </c>
      <c r="H12" s="191"/>
      <c r="I12" s="191"/>
      <c r="J12" s="313">
        <v>73.23</v>
      </c>
      <c r="K12" s="194">
        <f>tabVeicular[[#This Row],[PREÇO UNIDADE -  (R$)]]*tabVeicular[[#This Row],[QUANT ANUAL DO ITEM]]</f>
        <v>146.46</v>
      </c>
      <c r="L12" s="194" cm="1">
        <f t="array" ref="L12">tabVeicular[[#This Row],[PREÇO INICIAL -  (R$)]]*IFERROR(PRODUCT(1+_xlfn._xlws.FILTER(tabIndices[PERCENTUAL],tabIndices[DATA DA PUBLICAÇÃO]&gt;tabVeicular[[#This Row],[DATA PUBLICAÇÃO]])),1)</f>
        <v>73.23</v>
      </c>
      <c r="M12" s="194">
        <f>IF(tabVeicular[[#This Row],[TIPO]]="Equipamento",tabVeicular[[#This Row],[PREÇO UNIDADE -  (R$)]]/60,0)</f>
        <v>0</v>
      </c>
      <c r="N12" s="194">
        <f>tabVeicular[[#This Row],[VALOR  - DEPRECIAÇÃO MENSAL - UNIDADE (R$)]]*tabVeicular[[#This Row],[QUANT ANUAL DO ITEM]]</f>
        <v>0</v>
      </c>
      <c r="O12" s="194">
        <f>tabVeicular[[#This Row],[VALOR DEPRECIAÇÃO MENSAL - TOTAL (R$)]]*12</f>
        <v>0</v>
      </c>
      <c r="P12" s="194">
        <f>IFERROR(IF(tabVeicular[[#This Row],[TIPO]]="Equipamento",tabVeicular[[#This Row],[VALOR  - DEPRECIAÇÃO ANUAL - TOTAL (R$) ]]/12/tabVeicular[[#This Row],[QUANT. POSTOS]],tabVeicular[[#This Row],[PREÇO TOTAL -  (R$)]]/12/tabVeicular[[#This Row],[QUANT. POSTOS]]),0)</f>
        <v>12.205</v>
      </c>
    </row>
    <row r="13" spans="1:16" ht="25.5">
      <c r="A13" s="184">
        <v>13</v>
      </c>
      <c r="B13" s="186">
        <v>1</v>
      </c>
      <c r="C13" s="191" t="s">
        <v>1748</v>
      </c>
      <c r="D13" s="184">
        <v>1</v>
      </c>
      <c r="E13" s="192" t="s">
        <v>1886</v>
      </c>
      <c r="F13" s="191" t="s">
        <v>96</v>
      </c>
      <c r="G13" s="191" t="s">
        <v>97</v>
      </c>
      <c r="H13" s="191"/>
      <c r="I13" s="191"/>
      <c r="J13" s="313">
        <v>33.22</v>
      </c>
      <c r="K13" s="194">
        <f>tabVeicular[[#This Row],[PREÇO UNIDADE -  (R$)]]*tabVeicular[[#This Row],[QUANT ANUAL DO ITEM]]</f>
        <v>33.22</v>
      </c>
      <c r="L13" s="194" cm="1">
        <f t="array" ref="L13">tabVeicular[[#This Row],[PREÇO INICIAL -  (R$)]]*IFERROR(PRODUCT(1+_xlfn._xlws.FILTER(tabIndices[PERCENTUAL],tabIndices[DATA DA PUBLICAÇÃO]&gt;tabVeicular[[#This Row],[DATA PUBLICAÇÃO]])),1)</f>
        <v>33.22</v>
      </c>
      <c r="M13" s="194">
        <f>IF(tabVeicular[[#This Row],[TIPO]]="Equipamento",tabVeicular[[#This Row],[PREÇO UNIDADE -  (R$)]]/60,0)</f>
        <v>0</v>
      </c>
      <c r="N13" s="194">
        <f>tabVeicular[[#This Row],[VALOR  - DEPRECIAÇÃO MENSAL - UNIDADE (R$)]]*tabVeicular[[#This Row],[QUANT ANUAL DO ITEM]]</f>
        <v>0</v>
      </c>
      <c r="O13" s="194">
        <f>tabVeicular[[#This Row],[VALOR DEPRECIAÇÃO MENSAL - TOTAL (R$)]]*12</f>
        <v>0</v>
      </c>
      <c r="P13" s="194">
        <f>IFERROR(IF(tabVeicular[[#This Row],[TIPO]]="Equipamento",tabVeicular[[#This Row],[VALOR  - DEPRECIAÇÃO ANUAL - TOTAL (R$) ]]/12/tabVeicular[[#This Row],[QUANT. POSTOS]],tabVeicular[[#This Row],[PREÇO TOTAL -  (R$)]]/12/tabVeicular[[#This Row],[QUANT. POSTOS]]),0)</f>
        <v>2.7683333333333331</v>
      </c>
    </row>
    <row r="14" spans="1:16">
      <c r="A14" s="184">
        <v>11</v>
      </c>
      <c r="B14" s="186">
        <v>60</v>
      </c>
      <c r="C14" s="191" t="s">
        <v>1750</v>
      </c>
      <c r="D14" s="184">
        <v>1</v>
      </c>
      <c r="E14" s="192" t="s">
        <v>1889</v>
      </c>
      <c r="F14" s="191" t="s">
        <v>96</v>
      </c>
      <c r="G14" s="191" t="s">
        <v>97</v>
      </c>
      <c r="H14" s="191"/>
      <c r="I14" s="191"/>
      <c r="J14" s="313">
        <v>85.45</v>
      </c>
      <c r="K14" s="182">
        <f>tabVeicular[[#This Row],[PREÇO UNIDADE -  (R$)]]*tabVeicular[[#This Row],[QUANT ANUAL DO ITEM]]</f>
        <v>5127</v>
      </c>
      <c r="L14" s="182" cm="1">
        <f t="array" ref="L14">tabVeicular[[#This Row],[PREÇO INICIAL -  (R$)]]*IFERROR(PRODUCT(1+_xlfn._xlws.FILTER(tabIndices[PERCENTUAL],tabIndices[DATA DA PUBLICAÇÃO]&gt;tabVeicular[[#This Row],[DATA PUBLICAÇÃO]])),1)</f>
        <v>85.45</v>
      </c>
      <c r="M14" s="182">
        <f>IF(tabVeicular[[#This Row],[TIPO]]="Equipamento",tabVeicular[[#This Row],[PREÇO UNIDADE -  (R$)]]/60,0)</f>
        <v>0</v>
      </c>
      <c r="N14" s="182">
        <f>tabVeicular[[#This Row],[VALOR  - DEPRECIAÇÃO MENSAL - UNIDADE (R$)]]*tabVeicular[[#This Row],[QUANT ANUAL DO ITEM]]</f>
        <v>0</v>
      </c>
      <c r="O14" s="182">
        <f>tabVeicular[[#This Row],[VALOR DEPRECIAÇÃO MENSAL - TOTAL (R$)]]*12</f>
        <v>0</v>
      </c>
      <c r="P14" s="182">
        <f>IFERROR(IF(tabVeicular[[#This Row],[TIPO]]="Equipamento",tabVeicular[[#This Row],[VALOR  - DEPRECIAÇÃO ANUAL - TOTAL (R$) ]]/12/tabVeicular[[#This Row],[QUANT. POSTOS]],tabVeicular[[#This Row],[PREÇO TOTAL -  (R$)]]/12/tabVeicular[[#This Row],[QUANT. POSTOS]]),0)</f>
        <v>427.25</v>
      </c>
    </row>
    <row r="15" spans="1:16" ht="25.5">
      <c r="A15" s="184">
        <v>9</v>
      </c>
      <c r="B15" s="186">
        <v>30</v>
      </c>
      <c r="C15" s="191" t="s">
        <v>1751</v>
      </c>
      <c r="D15" s="184">
        <v>1</v>
      </c>
      <c r="E15" s="193" t="s">
        <v>1890</v>
      </c>
      <c r="F15" s="191" t="s">
        <v>96</v>
      </c>
      <c r="G15" s="191" t="s">
        <v>97</v>
      </c>
      <c r="H15" s="190"/>
      <c r="I15" s="190"/>
      <c r="J15" s="313">
        <v>24.45</v>
      </c>
      <c r="K15" s="182">
        <f>tabVeicular[[#This Row],[PREÇO UNIDADE -  (R$)]]*tabVeicular[[#This Row],[QUANT ANUAL DO ITEM]]</f>
        <v>733.5</v>
      </c>
      <c r="L15" s="182" cm="1">
        <f t="array" ref="L15">tabVeicular[[#This Row],[PREÇO INICIAL -  (R$)]]*IFERROR(PRODUCT(1+_xlfn._xlws.FILTER(tabIndices[PERCENTUAL],tabIndices[DATA DA PUBLICAÇÃO]&gt;tabVeicular[[#This Row],[DATA PUBLICAÇÃO]])),1)</f>
        <v>24.45</v>
      </c>
      <c r="M15" s="182">
        <f>IF(tabVeicular[[#This Row],[TIPO]]="Equipamento",tabVeicular[[#This Row],[PREÇO UNIDADE -  (R$)]]/60,0)</f>
        <v>0</v>
      </c>
      <c r="N15" s="182">
        <f>tabVeicular[[#This Row],[VALOR  - DEPRECIAÇÃO MENSAL - UNIDADE (R$)]]*tabVeicular[[#This Row],[QUANT ANUAL DO ITEM]]</f>
        <v>0</v>
      </c>
      <c r="O15" s="182">
        <f>tabVeicular[[#This Row],[VALOR DEPRECIAÇÃO MENSAL - TOTAL (R$)]]*12</f>
        <v>0</v>
      </c>
      <c r="P15" s="182">
        <f>IFERROR(IF(tabVeicular[[#This Row],[TIPO]]="Equipamento",tabVeicular[[#This Row],[VALOR  - DEPRECIAÇÃO ANUAL - TOTAL (R$) ]]/12/tabVeicular[[#This Row],[QUANT. POSTOS]],tabVeicular[[#This Row],[PREÇO TOTAL -  (R$)]]/12/tabVeicular[[#This Row],[QUANT. POSTOS]]),0)</f>
        <v>61.125</v>
      </c>
    </row>
    <row r="16" spans="1:16" ht="25.5">
      <c r="A16" s="185">
        <v>12</v>
      </c>
      <c r="B16" s="186">
        <v>12</v>
      </c>
      <c r="C16" s="191" t="s">
        <v>1749</v>
      </c>
      <c r="D16" s="184">
        <v>1</v>
      </c>
      <c r="E16" s="192" t="s">
        <v>1888</v>
      </c>
      <c r="F16" s="191" t="s">
        <v>96</v>
      </c>
      <c r="G16" s="191" t="s">
        <v>97</v>
      </c>
      <c r="H16" s="191"/>
      <c r="I16" s="191"/>
      <c r="J16" s="313">
        <v>66.08</v>
      </c>
      <c r="K16" s="194">
        <f>tabVeicular[[#This Row],[PREÇO UNIDADE -  (R$)]]*tabVeicular[[#This Row],[QUANT ANUAL DO ITEM]]</f>
        <v>792.96</v>
      </c>
      <c r="L16" s="194" cm="1">
        <f t="array" ref="L16">tabVeicular[[#This Row],[PREÇO INICIAL -  (R$)]]*IFERROR(PRODUCT(1+_xlfn._xlws.FILTER(tabIndices[PERCENTUAL],tabIndices[DATA DA PUBLICAÇÃO]&gt;tabVeicular[[#This Row],[DATA PUBLICAÇÃO]])),1)</f>
        <v>66.08</v>
      </c>
      <c r="M16" s="194">
        <f>IF(tabVeicular[[#This Row],[TIPO]]="Equipamento",tabVeicular[[#This Row],[PREÇO UNIDADE -  (R$)]]/60,0)</f>
        <v>0</v>
      </c>
      <c r="N16" s="194">
        <f>tabVeicular[[#This Row],[VALOR  - DEPRECIAÇÃO MENSAL - UNIDADE (R$)]]*tabVeicular[[#This Row],[QUANT ANUAL DO ITEM]]</f>
        <v>0</v>
      </c>
      <c r="O16" s="194">
        <f>tabVeicular[[#This Row],[VALOR DEPRECIAÇÃO MENSAL - TOTAL (R$)]]*12</f>
        <v>0</v>
      </c>
      <c r="P16" s="194">
        <f>IFERROR(IF(tabVeicular[[#This Row],[TIPO]]="Equipamento",tabVeicular[[#This Row],[VALOR  - DEPRECIAÇÃO ANUAL - TOTAL (R$) ]]/12/tabVeicular[[#This Row],[QUANT. POSTOS]],tabVeicular[[#This Row],[PREÇO TOTAL -  (R$)]]/12/tabVeicular[[#This Row],[QUANT. POSTOS]]),0)</f>
        <v>66.08</v>
      </c>
    </row>
    <row r="17" spans="1:16" ht="25.5">
      <c r="A17" s="184">
        <v>15</v>
      </c>
      <c r="B17" s="186">
        <v>4</v>
      </c>
      <c r="C17" s="191" t="s">
        <v>1745</v>
      </c>
      <c r="D17" s="184">
        <v>1</v>
      </c>
      <c r="E17" s="192" t="s">
        <v>1887</v>
      </c>
      <c r="F17" s="191" t="s">
        <v>96</v>
      </c>
      <c r="G17" s="191" t="s">
        <v>97</v>
      </c>
      <c r="H17" s="191"/>
      <c r="I17" s="191"/>
      <c r="J17" s="313">
        <v>14.98</v>
      </c>
      <c r="K17" s="194">
        <f>tabVeicular[[#This Row],[PREÇO UNIDADE -  (R$)]]*tabVeicular[[#This Row],[QUANT ANUAL DO ITEM]]</f>
        <v>59.92</v>
      </c>
      <c r="L17" s="194" cm="1">
        <f t="array" ref="L17">tabVeicular[[#This Row],[PREÇO INICIAL -  (R$)]]*IFERROR(PRODUCT(1+_xlfn._xlws.FILTER(tabIndices[PERCENTUAL],tabIndices[DATA DA PUBLICAÇÃO]&gt;tabVeicular[[#This Row],[DATA PUBLICAÇÃO]])),1)</f>
        <v>14.98</v>
      </c>
      <c r="M17" s="194">
        <f>IF(tabVeicular[[#This Row],[TIPO]]="Equipamento",tabVeicular[[#This Row],[PREÇO UNIDADE -  (R$)]]/60,0)</f>
        <v>0</v>
      </c>
      <c r="N17" s="194">
        <f>tabVeicular[[#This Row],[VALOR  - DEPRECIAÇÃO MENSAL - UNIDADE (R$)]]*tabVeicular[[#This Row],[QUANT ANUAL DO ITEM]]</f>
        <v>0</v>
      </c>
      <c r="O17" s="194">
        <f>tabVeicular[[#This Row],[VALOR DEPRECIAÇÃO MENSAL - TOTAL (R$)]]*12</f>
        <v>0</v>
      </c>
      <c r="P17" s="194">
        <f>IFERROR(IF(tabVeicular[[#This Row],[TIPO]]="Equipamento",tabVeicular[[#This Row],[VALOR  - DEPRECIAÇÃO ANUAL - TOTAL (R$) ]]/12/tabVeicular[[#This Row],[QUANT. POSTOS]],tabVeicular[[#This Row],[PREÇO TOTAL -  (R$)]]/12/tabVeicular[[#This Row],[QUANT. POSTOS]]),0)</f>
        <v>4.9933333333333332</v>
      </c>
    </row>
    <row r="18" spans="1:16">
      <c r="A18" s="185">
        <v>10</v>
      </c>
      <c r="B18" s="186">
        <v>120</v>
      </c>
      <c r="C18" s="191" t="s">
        <v>1750</v>
      </c>
      <c r="D18" s="184">
        <v>1</v>
      </c>
      <c r="E18" s="192" t="s">
        <v>1891</v>
      </c>
      <c r="F18" s="191" t="s">
        <v>96</v>
      </c>
      <c r="G18" s="191" t="s">
        <v>97</v>
      </c>
      <c r="H18" s="191"/>
      <c r="I18" s="191"/>
      <c r="J18" s="313">
        <v>43.84</v>
      </c>
      <c r="K18" s="182">
        <f>tabVeicular[[#This Row],[PREÇO UNIDADE -  (R$)]]*tabVeicular[[#This Row],[QUANT ANUAL DO ITEM]]</f>
        <v>5260.8</v>
      </c>
      <c r="L18" s="182" cm="1">
        <f t="array" ref="L18">tabVeicular[[#This Row],[PREÇO INICIAL -  (R$)]]*IFERROR(PRODUCT(1+_xlfn._xlws.FILTER(tabIndices[PERCENTUAL],tabIndices[DATA DA PUBLICAÇÃO]&gt;tabVeicular[[#This Row],[DATA PUBLICAÇÃO]])),1)</f>
        <v>43.84</v>
      </c>
      <c r="M18" s="182">
        <f>IF(tabVeicular[[#This Row],[TIPO]]="Equipamento",tabVeicular[[#This Row],[PREÇO UNIDADE -  (R$)]]/60,0)</f>
        <v>0</v>
      </c>
      <c r="N18" s="182">
        <f>tabVeicular[[#This Row],[VALOR  - DEPRECIAÇÃO MENSAL - UNIDADE (R$)]]*tabVeicular[[#This Row],[QUANT ANUAL DO ITEM]]</f>
        <v>0</v>
      </c>
      <c r="O18" s="182">
        <f>tabVeicular[[#This Row],[VALOR DEPRECIAÇÃO MENSAL - TOTAL (R$)]]*12</f>
        <v>0</v>
      </c>
      <c r="P18" s="182">
        <f>IFERROR(IF(tabVeicular[[#This Row],[TIPO]]="Equipamento",tabVeicular[[#This Row],[VALOR  - DEPRECIAÇÃO ANUAL - TOTAL (R$) ]]/12/tabVeicular[[#This Row],[QUANT. POSTOS]],tabVeicular[[#This Row],[PREÇO TOTAL -  (R$)]]/12/tabVeicular[[#This Row],[QUANT. POSTOS]]),0)</f>
        <v>438.40000000000003</v>
      </c>
    </row>
    <row r="19" spans="1:16">
      <c r="A19" s="187" t="s">
        <v>7</v>
      </c>
      <c r="B19" s="187"/>
      <c r="C19" s="187"/>
      <c r="D19" s="187"/>
      <c r="E19" s="188"/>
      <c r="F19" s="188"/>
      <c r="G19" s="188"/>
      <c r="H19" s="188"/>
      <c r="I19" s="188"/>
      <c r="J19" s="189">
        <f>SUBTOTAL(9,tabVeicular[PREÇO INICIAL -  (R$)])</f>
        <v>6214.0099999999993</v>
      </c>
      <c r="K19" s="189">
        <f>SUBTOTAL(9,tabVeicular[PREÇO TOTAL -  (R$)])</f>
        <v>18734.349999999999</v>
      </c>
      <c r="L19" s="189">
        <f>SUBTOTAL(9,tabVeicular[PREÇO UNIDADE -  (R$)])</f>
        <v>6214.0099999999993</v>
      </c>
      <c r="M19" s="189">
        <f>SUBTOTAL(9,tabVeicular[VALOR  - DEPRECIAÇÃO MENSAL - UNIDADE (R$)])</f>
        <v>94.635000000000005</v>
      </c>
      <c r="N19" s="189">
        <f>SUBTOTAL(9,tabVeicular[VALOR DEPRECIAÇÃO MENSAL - TOTAL (R$)])</f>
        <v>94.635000000000005</v>
      </c>
      <c r="O19" s="189">
        <f>SUBTOTAL(9,tabVeicular[VALOR  - DEPRECIAÇÃO ANUAL - TOTAL (R$) ])</f>
        <v>1135.6199999999999</v>
      </c>
      <c r="P19" s="189">
        <f>SUBTOTAL(9,tabVeicular[VALOR UNITÁRIO P/ POSTO (R$)])</f>
        <v>1182.6558333333335</v>
      </c>
    </row>
  </sheetData>
  <mergeCells count="1">
    <mergeCell ref="A1:F1"/>
  </mergeCells>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I4" sqref="I4"/>
    </sheetView>
  </sheetViews>
  <sheetFormatPr defaultRowHeight="14.25"/>
  <cols>
    <col min="1" max="4" width="9.75" customWidth="1"/>
    <col min="5" max="5" width="51.625" customWidth="1"/>
    <col min="6" max="6" width="11.75" customWidth="1"/>
    <col min="7" max="7" width="13.75" customWidth="1"/>
    <col min="8" max="8" width="10.75" customWidth="1"/>
    <col min="9" max="9" width="13.375" customWidth="1"/>
    <col min="10" max="16" width="13.75" customWidth="1"/>
  </cols>
  <sheetData>
    <row r="1" spans="1:16" ht="30.75" customHeight="1">
      <c r="A1" s="319" t="s">
        <v>1915</v>
      </c>
      <c r="B1" s="320"/>
      <c r="C1" s="320"/>
      <c r="D1" s="320"/>
      <c r="E1" s="320"/>
      <c r="F1" s="321"/>
    </row>
    <row r="3" spans="1:16" ht="51">
      <c r="A3" s="183" t="s">
        <v>80</v>
      </c>
      <c r="B3" s="183" t="s">
        <v>1785</v>
      </c>
      <c r="C3" s="183" t="s">
        <v>95</v>
      </c>
      <c r="D3" s="183" t="s">
        <v>81</v>
      </c>
      <c r="E3" s="183" t="s">
        <v>82</v>
      </c>
      <c r="F3" s="183" t="s">
        <v>83</v>
      </c>
      <c r="G3" s="195" t="s">
        <v>84</v>
      </c>
      <c r="H3" s="183" t="s">
        <v>85</v>
      </c>
      <c r="I3" s="183" t="s">
        <v>2</v>
      </c>
      <c r="J3" s="183" t="s">
        <v>86</v>
      </c>
      <c r="K3" s="183" t="s">
        <v>87</v>
      </c>
      <c r="L3" s="183" t="s">
        <v>88</v>
      </c>
      <c r="M3" s="183" t="s">
        <v>89</v>
      </c>
      <c r="N3" s="183" t="s">
        <v>90</v>
      </c>
      <c r="O3" s="183" t="s">
        <v>91</v>
      </c>
      <c r="P3" s="183" t="s">
        <v>92</v>
      </c>
    </row>
    <row r="4" spans="1:16" ht="229.5">
      <c r="A4" s="184">
        <v>1</v>
      </c>
      <c r="B4" s="184">
        <v>16</v>
      </c>
      <c r="C4" s="186" t="s">
        <v>95</v>
      </c>
      <c r="D4" s="184">
        <f>SUMIFS(tabPostos[Vagas contratadas],tabPostos[Função],"Garcom"&amp;"*")</f>
        <v>20</v>
      </c>
      <c r="E4" s="192" t="s">
        <v>1885</v>
      </c>
      <c r="F4" s="191" t="s">
        <v>93</v>
      </c>
      <c r="G4" s="191" t="s">
        <v>1758</v>
      </c>
      <c r="H4" s="191"/>
      <c r="I4" s="196"/>
      <c r="J4" s="312">
        <v>7021.59</v>
      </c>
      <c r="K4" s="182">
        <f>tabGarcom[[#This Row],[PREÇO UNIDADE -  (R$)]]*tabGarcom[[#This Row],[QUANT ANUAL DO ITEM]]</f>
        <v>112345.44</v>
      </c>
      <c r="L4" s="182" cm="1">
        <f t="array" ref="L4">tabGarcom[[#This Row],[PREÇO INICIAL -  (R$)]]*IFERROR(PRODUCT(1+_xlfn._xlws.FILTER(tabIndices[PERCENTUAL],tabIndices[DATA DA PUBLICAÇÃO]&gt;tabGarcom[[#This Row],[DATA PUBLICAÇÃO]])),1)</f>
        <v>7021.59</v>
      </c>
      <c r="M4" s="182">
        <f>IF(tabGarcom[[#This Row],[TIPO]]="Equipamento",tabGarcom[[#This Row],[PREÇO UNIDADE -  (R$)]]/60,0)</f>
        <v>117.0265</v>
      </c>
      <c r="N4" s="182">
        <f>tabGarcom[[#This Row],[VALOR  - DEPRECIAÇÃO MENSAL - UNIDADE (R$)]]*tabGarcom[[#This Row],[QUANT ANUAL DO ITEM]]</f>
        <v>1872.424</v>
      </c>
      <c r="O4" s="182">
        <f>tabGarcom[[#This Row],[VALOR DEPRECIAÇÃO MENSAL - TOTAL (R$)]]*12</f>
        <v>22469.088</v>
      </c>
      <c r="P4" s="182">
        <f>IFERROR(IF(tabGarcom[[#This Row],[TIPO]]="Equipamento",tabGarcom[[#This Row],[VALOR  - DEPRECIAÇÃO ANUAL - TOTAL (R$) ]]/12/tabGarcom[[#This Row],[QUANT. POSTOS]],tabGarcom[[#This Row],[PREÇO TOTAL -  (R$)]]/12/tabGarcom[[#This Row],[QUANT. POSTOS]]),0)</f>
        <v>93.621200000000002</v>
      </c>
    </row>
    <row r="5" spans="1:16">
      <c r="A5" s="187" t="s">
        <v>7</v>
      </c>
      <c r="B5" s="187"/>
      <c r="C5" s="187"/>
      <c r="D5" s="187"/>
      <c r="E5" s="188"/>
      <c r="F5" s="188"/>
      <c r="G5" s="188"/>
      <c r="H5" s="188"/>
      <c r="I5" s="188"/>
      <c r="J5" s="189">
        <f>SUBTOTAL(9,tabGarcom[PREÇO INICIAL -  (R$)])</f>
        <v>7021.59</v>
      </c>
      <c r="K5" s="189">
        <f>SUBTOTAL(9,tabGarcom[PREÇO TOTAL -  (R$)])</f>
        <v>112345.44</v>
      </c>
      <c r="L5" s="189">
        <f>SUBTOTAL(9,tabGarcom[PREÇO UNIDADE -  (R$)])</f>
        <v>7021.59</v>
      </c>
      <c r="M5" s="189">
        <f>SUBTOTAL(9,tabGarcom[VALOR  - DEPRECIAÇÃO MENSAL - UNIDADE (R$)])</f>
        <v>117.0265</v>
      </c>
      <c r="N5" s="189">
        <f>SUBTOTAL(9,tabGarcom[VALOR DEPRECIAÇÃO MENSAL - TOTAL (R$)])</f>
        <v>1872.424</v>
      </c>
      <c r="O5" s="189">
        <f>SUBTOTAL(9,tabGarcom[VALOR  - DEPRECIAÇÃO ANUAL - TOTAL (R$) ])</f>
        <v>22469.088</v>
      </c>
      <c r="P5" s="189">
        <f>SUBTOTAL(9,tabGarcom[VALOR UNITÁRIO P/ POSTO (R$)])</f>
        <v>93.621200000000002</v>
      </c>
    </row>
  </sheetData>
  <mergeCells count="1">
    <mergeCell ref="A1:F1"/>
  </mergeCells>
  <pageMargins left="0.511811024" right="0.511811024" top="0.78740157499999996" bottom="0.78740157499999996" header="0.31496062000000002" footer="0.31496062000000002"/>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dimension ref="A1:N66"/>
  <sheetViews>
    <sheetView topLeftCell="D1" zoomScale="85" zoomScaleNormal="85" workbookViewId="0">
      <selection activeCell="D63" sqref="D63"/>
    </sheetView>
  </sheetViews>
  <sheetFormatPr defaultRowHeight="14.25"/>
  <cols>
    <col min="1" max="1" width="45.125" bestFit="1" customWidth="1"/>
    <col min="2" max="2" width="171.25" hidden="1" customWidth="1"/>
    <col min="3" max="3" width="56.75" hidden="1" customWidth="1"/>
    <col min="4" max="4" width="121.375" customWidth="1"/>
    <col min="5" max="5" width="60" customWidth="1"/>
    <col min="6" max="6" width="11.875" bestFit="1" customWidth="1"/>
    <col min="7" max="7" width="13" bestFit="1" customWidth="1"/>
    <col min="8" max="8" width="11.875" bestFit="1" customWidth="1"/>
    <col min="9" max="9" width="11.25" bestFit="1" customWidth="1"/>
    <col min="10" max="10" width="17.75" bestFit="1" customWidth="1"/>
    <col min="12" max="12" width="16.625" bestFit="1" customWidth="1"/>
    <col min="13" max="13" width="20.125" bestFit="1" customWidth="1"/>
    <col min="14" max="14" width="15" customWidth="1"/>
  </cols>
  <sheetData>
    <row r="1" spans="1:14" s="19" customFormat="1" ht="28.5">
      <c r="A1" s="19" t="s">
        <v>886</v>
      </c>
      <c r="B1" s="19" t="s">
        <v>887</v>
      </c>
      <c r="C1" s="19" t="s">
        <v>888</v>
      </c>
      <c r="D1" s="19" t="s">
        <v>889</v>
      </c>
      <c r="E1" s="19" t="s">
        <v>890</v>
      </c>
      <c r="F1" s="19" t="s">
        <v>891</v>
      </c>
      <c r="G1" s="19" t="s">
        <v>892</v>
      </c>
      <c r="H1" s="19" t="s">
        <v>893</v>
      </c>
      <c r="I1" s="19" t="s">
        <v>894</v>
      </c>
      <c r="J1" s="19" t="s">
        <v>1377</v>
      </c>
      <c r="K1" s="19" t="s">
        <v>895</v>
      </c>
      <c r="L1" s="19" t="s">
        <v>896</v>
      </c>
      <c r="M1" s="19" t="s">
        <v>897</v>
      </c>
      <c r="N1" s="19" t="s">
        <v>898</v>
      </c>
    </row>
    <row r="2" spans="1:14" ht="128.25">
      <c r="A2" s="156" t="s">
        <v>899</v>
      </c>
      <c r="B2" s="157" t="s">
        <v>900</v>
      </c>
      <c r="C2" s="157"/>
      <c r="D2" s="158" t="s">
        <v>1798</v>
      </c>
      <c r="E2" s="157" t="str" cm="1">
        <f t="array" ref="E2">_xlfn.LET(_xlpm.listaComarcas, _xlfn.UNIQUE(_xlfn._xlws.FILTER(tabParametros[Comarca],tabParametros[CCT DA CATEGORIA]=tabSindicatos[[#This Row],[SINDICATOS]],"")),
IF(COUNTA(_xlpm.listaComarcas)=1,
_xlpm.listaComarcas&amp;".",
SUBSTITUTE(_xlfn.TEXTJOIN(", ",TRUE,_xlpm.listaComarcas),", "," e ",COUNTA(_xlpm.listaComarcas)-1)&amp;"."
)
)</f>
        <v>Araguari, Campos Altos, Canapolis, Coromandel, Ibia, Ituiutaba, Iturama, Nova Ponte, Rio Paranaiba, Sao Gotardo e Tupaciguara.</v>
      </c>
      <c r="F2" s="212">
        <v>0</v>
      </c>
      <c r="G2" s="212">
        <v>387.79</v>
      </c>
      <c r="H2" s="212">
        <v>42.97</v>
      </c>
      <c r="I2" s="212">
        <v>0</v>
      </c>
      <c r="J2" s="212">
        <v>0</v>
      </c>
      <c r="K2" s="213">
        <v>45658</v>
      </c>
      <c r="L2" s="209" t="s">
        <v>948</v>
      </c>
      <c r="M2" s="209" t="s">
        <v>948</v>
      </c>
      <c r="N2" s="156" t="s">
        <v>901</v>
      </c>
    </row>
    <row r="3" spans="1:14" ht="128.25">
      <c r="A3" s="156" t="s">
        <v>902</v>
      </c>
      <c r="B3" s="157" t="s">
        <v>903</v>
      </c>
      <c r="C3" s="157"/>
      <c r="D3" s="158" t="s">
        <v>1798</v>
      </c>
      <c r="E3" s="157" t="str" cm="1">
        <f t="array" ref="E3">_xlfn.LET(_xlpm.listaComarcas, _xlfn.UNIQUE(_xlfn._xlws.FILTER(tabParametros[Comarca],tabParametros[CCT DA CATEGORIA]=tabSindicatos[[#This Row],[SINDICATOS]],"")),
IF(COUNTA(_xlpm.listaComarcas)=1,
_xlpm.listaComarcas&amp;".",
SUBSTITUTE(_xlfn.TEXTJOIN(", ",TRUE,_xlpm.listaComarcas),", "," e ",COUNTA(_xlpm.listaComarcas)-1)&amp;"."
)
)</f>
        <v>Araxa.</v>
      </c>
      <c r="F3" s="212">
        <v>29.15</v>
      </c>
      <c r="G3" s="212">
        <v>0</v>
      </c>
      <c r="H3" s="212">
        <v>58.96</v>
      </c>
      <c r="I3" s="212">
        <v>0</v>
      </c>
      <c r="J3" s="212">
        <v>0</v>
      </c>
      <c r="K3" s="213">
        <v>45658</v>
      </c>
      <c r="L3" s="209" t="s">
        <v>948</v>
      </c>
      <c r="M3" s="209" t="s">
        <v>948</v>
      </c>
      <c r="N3" s="156" t="s">
        <v>904</v>
      </c>
    </row>
    <row r="4" spans="1:14" ht="128.25">
      <c r="A4" s="156" t="s">
        <v>905</v>
      </c>
      <c r="B4" s="157" t="s">
        <v>906</v>
      </c>
      <c r="C4" s="157"/>
      <c r="D4" s="158" t="s">
        <v>1798</v>
      </c>
      <c r="E4" s="157" t="str" cm="1">
        <f t="array" ref="E4">_xlfn.LET(_xlpm.listaComarcas, _xlfn.UNIQUE(_xlfn._xlws.FILTER(tabParametros[Comarca],tabParametros[CCT DA CATEGORIA]=tabSindicatos[[#This Row],[SINDICATOS]],"")),
IF(COUNTA(_xlpm.listaComarcas)=1,
_xlpm.listaComarcas&amp;".",
SUBSTITUTE(_xlfn.TEXTJOIN(", ",TRUE,_xlpm.listaComarcas),", "," e ",COUNTA(_xlpm.listaComarcas)-1)&amp;"."
)
)</f>
        <v>Alem Paraiba, Cataguases, Muriae, Uba e Visconde do Rio Branco.</v>
      </c>
      <c r="F4" s="212">
        <v>29.15</v>
      </c>
      <c r="G4" s="212">
        <v>0</v>
      </c>
      <c r="H4" s="212">
        <v>57.07</v>
      </c>
      <c r="I4" s="212">
        <v>0</v>
      </c>
      <c r="J4" s="212">
        <v>0</v>
      </c>
      <c r="K4" s="213">
        <v>45658</v>
      </c>
      <c r="L4" s="209" t="s">
        <v>948</v>
      </c>
      <c r="M4" s="209" t="s">
        <v>948</v>
      </c>
      <c r="N4" s="156" t="s">
        <v>907</v>
      </c>
    </row>
    <row r="5" spans="1:14" ht="128.25">
      <c r="A5" s="156" t="s">
        <v>908</v>
      </c>
      <c r="B5" s="157" t="s">
        <v>909</v>
      </c>
      <c r="C5" s="157"/>
      <c r="D5" s="158" t="s">
        <v>1798</v>
      </c>
      <c r="E5" s="157" t="str" cm="1">
        <f t="array" ref="E5">_xlfn.LET(_xlpm.listaComarcas, _xlfn.UNIQUE(_xlfn._xlws.FILTER(tabParametros[Comarca],tabParametros[CCT DA CATEGORIA]=tabSindicatos[[#This Row],[SINDICATOS]],"")),
IF(COUNTA(_xlpm.listaComarcas)=1,
_xlpm.listaComarcas&amp;".",
SUBSTITUTE(_xlfn.TEXTJOIN(", ",TRUE,_xlpm.listaComarcas),", "," e ",COUNTA(_xlpm.listaComarcas)-1)&amp;"."
)
)</f>
        <v>.</v>
      </c>
      <c r="F5" s="212">
        <v>29.15</v>
      </c>
      <c r="G5" s="212">
        <v>0</v>
      </c>
      <c r="H5" s="212">
        <v>0</v>
      </c>
      <c r="I5" s="212">
        <v>15.07</v>
      </c>
      <c r="J5" s="212">
        <v>0</v>
      </c>
      <c r="K5" s="213">
        <v>45658</v>
      </c>
      <c r="L5" s="209" t="s">
        <v>948</v>
      </c>
      <c r="M5" s="209" t="s">
        <v>948</v>
      </c>
      <c r="N5" s="156" t="s">
        <v>910</v>
      </c>
    </row>
    <row r="6" spans="1:14" ht="128.25">
      <c r="A6" s="156" t="s">
        <v>911</v>
      </c>
      <c r="B6" s="157" t="s">
        <v>912</v>
      </c>
      <c r="C6" s="157" t="s">
        <v>913</v>
      </c>
      <c r="D6" s="158" t="s">
        <v>1798</v>
      </c>
      <c r="E6" s="157" t="str" cm="1">
        <f t="array" ref="E6">_xlfn.LET(_xlpm.listaComarcas, _xlfn.UNIQUE(_xlfn._xlws.FILTER(tabParametros[Comarca],tabParametros[CCT DA CATEGORIA]=tabSindicatos[[#This Row],[SINDICATOS]],"")),
IF(COUNTA(_xlpm.listaComarcas)=1,
_xlpm.listaComarcas&amp;".",
SUBSTITUTE(_xlfn.TEXTJOIN(", ",TRUE,_xlpm.listaComarcas),", "," e ",COUNTA(_xlpm.listaComarcas)-1)&amp;"."
)
)</f>
        <v>Curvelo, Diamantina, Pompeu e Serro.</v>
      </c>
      <c r="F6" s="212">
        <v>29.15</v>
      </c>
      <c r="G6" s="212">
        <v>0</v>
      </c>
      <c r="H6" s="212">
        <v>51.74</v>
      </c>
      <c r="I6" s="212">
        <v>0</v>
      </c>
      <c r="J6" s="212">
        <v>0</v>
      </c>
      <c r="K6" s="213">
        <v>45658</v>
      </c>
      <c r="L6" s="209" t="s">
        <v>948</v>
      </c>
      <c r="M6" s="209" t="s">
        <v>948</v>
      </c>
      <c r="N6" s="156" t="s">
        <v>914</v>
      </c>
    </row>
    <row r="7" spans="1:14" ht="128.25">
      <c r="A7" s="156" t="s">
        <v>915</v>
      </c>
      <c r="B7" s="157" t="s">
        <v>916</v>
      </c>
      <c r="C7" s="157"/>
      <c r="D7" s="158" t="s">
        <v>1798</v>
      </c>
      <c r="E7" s="157" t="str" cm="1">
        <f t="array" ref="E7">_xlfn.LET(_xlpm.listaComarcas, _xlfn.UNIQUE(_xlfn._xlws.FILTER(tabParametros[Comarca],tabParametros[CCT DA CATEGORIA]=tabSindicatos[[#This Row],[SINDICATOS]],"")),
IF(COUNTA(_xlpm.listaComarcas)=1,
_xlpm.listaComarcas&amp;".",
SUBSTITUTE(_xlfn.TEXTJOIN(", ",TRUE,_xlpm.listaComarcas),", "," e ",COUNTA(_xlpm.listaComarcas)-1)&amp;"."
)
)</f>
        <v>Divinopolis.</v>
      </c>
      <c r="F7" s="212">
        <v>29.15</v>
      </c>
      <c r="G7" s="212">
        <v>0</v>
      </c>
      <c r="H7" s="212">
        <v>51.88</v>
      </c>
      <c r="I7" s="212">
        <v>0</v>
      </c>
      <c r="J7" s="212">
        <v>0</v>
      </c>
      <c r="K7" s="213">
        <v>45658</v>
      </c>
      <c r="L7" s="209" t="s">
        <v>948</v>
      </c>
      <c r="M7" s="209" t="s">
        <v>948</v>
      </c>
      <c r="N7" s="156" t="s">
        <v>917</v>
      </c>
    </row>
    <row r="8" spans="1:14" ht="399">
      <c r="A8" s="156" t="s">
        <v>918</v>
      </c>
      <c r="B8" s="157" t="s">
        <v>919</v>
      </c>
      <c r="C8" s="157"/>
      <c r="D8" s="158" t="s">
        <v>1798</v>
      </c>
      <c r="E8" s="157" t="str" cm="1">
        <f t="array" ref="E8">_xlfn.LET(_xlpm.listaComarcas, _xlfn.UNIQUE(_xlfn._xlws.FILTER(tabParametros[Comarca],tabParametros[CCT DA CATEGORIA]=tabSindicatos[[#This Row],[SINDICATOS]],"")),
IF(COUNTA(_xlpm.listaComarcas)=1,
_xlpm.listaComarcas&amp;".",
SUBSTITUTE(_xlfn.TEXTJOIN(", ",TRUE,_xlpm.listaComarcas),", "," e ",COUNTA(_xlpm.listaComarcas)-1)&amp;"."
)
)</f>
        <v>Abre Campo, Aimores, Arinos, Bom Despacho, Buritis, Camanducaia, Cambui, Carandai, Conselheiro Pena, Ipanema, Itamarandiba, Itauna, Jaboticatubas, Jacinto, Mantena, Mutum, Muzambinho, Paracatu, Pecanha, Rio Vermelho e Unai.</v>
      </c>
      <c r="F8" s="212">
        <v>29.15</v>
      </c>
      <c r="G8" s="212">
        <v>0</v>
      </c>
      <c r="H8" s="212">
        <v>0</v>
      </c>
      <c r="I8" s="212">
        <v>15.07</v>
      </c>
      <c r="J8" s="212">
        <v>0</v>
      </c>
      <c r="K8" s="213">
        <v>45658</v>
      </c>
      <c r="L8" s="209" t="s">
        <v>948</v>
      </c>
      <c r="M8" s="209" t="s">
        <v>948</v>
      </c>
      <c r="N8" s="156" t="s">
        <v>920</v>
      </c>
    </row>
    <row r="9" spans="1:14" ht="128.25">
      <c r="A9" s="156" t="s">
        <v>921</v>
      </c>
      <c r="B9" s="157" t="s">
        <v>922</v>
      </c>
      <c r="C9" s="157"/>
      <c r="D9" s="158" t="s">
        <v>1798</v>
      </c>
      <c r="E9" s="157" t="str" cm="1">
        <f t="array" ref="E9">_xlfn.LET(_xlpm.listaComarcas, _xlfn.UNIQUE(_xlfn._xlws.FILTER(tabParametros[Comarca],tabParametros[CCT DA CATEGORIA]=tabSindicatos[[#This Row],[SINDICATOS]],"")),
IF(COUNTA(_xlpm.listaComarcas)=1,
_xlpm.listaComarcas&amp;".",
SUBSTITUTE(_xlfn.TEXTJOIN(", ",TRUE,_xlpm.listaComarcas),", "," e ",COUNTA(_xlpm.listaComarcas)-1)&amp;"."
)
)</f>
        <v>Caete, Esmeraldas e Pedro Leopoldo.</v>
      </c>
      <c r="F9" s="212">
        <v>29.15</v>
      </c>
      <c r="G9" s="212">
        <v>0</v>
      </c>
      <c r="H9" s="212">
        <v>0</v>
      </c>
      <c r="I9" s="212">
        <v>15.07</v>
      </c>
      <c r="J9" s="212">
        <v>0</v>
      </c>
      <c r="K9" s="213">
        <v>45658</v>
      </c>
      <c r="L9" s="209" t="s">
        <v>948</v>
      </c>
      <c r="M9" s="209" t="s">
        <v>948</v>
      </c>
      <c r="N9" s="156" t="s">
        <v>923</v>
      </c>
    </row>
    <row r="10" spans="1:14" ht="370.5">
      <c r="A10" s="156" t="s">
        <v>924</v>
      </c>
      <c r="B10" s="157" t="s">
        <v>925</v>
      </c>
      <c r="C10" s="157"/>
      <c r="D10" s="158" t="s">
        <v>926</v>
      </c>
      <c r="E10" s="157" t="str" cm="1">
        <f t="array" ref="E10">_xlfn.LET(_xlpm.listaComarcas, _xlfn.UNIQUE(_xlfn._xlws.FILTER(tabParametros[Comarca],tabParametros[CCT DA CATEGORIA]=tabSindicatos[[#This Row],[SINDICATOS]],"")),
IF(COUNTA(_xlpm.listaComarcas)=1,
_xlpm.listaComarcas&amp;".",
SUBSTITUTE(_xlfn.TEXTJOIN(", ",TRUE,_xlpm.listaComarcas),", "," e ",COUNTA(_xlpm.listaComarcas)-1)&amp;"."
)
)</f>
        <v>.</v>
      </c>
      <c r="F10" s="212">
        <v>28.97</v>
      </c>
      <c r="G10" s="212">
        <v>0</v>
      </c>
      <c r="H10" s="212">
        <v>0</v>
      </c>
      <c r="I10" s="212">
        <v>0</v>
      </c>
      <c r="J10" s="212">
        <v>0</v>
      </c>
      <c r="K10" s="213">
        <v>45658</v>
      </c>
      <c r="L10" s="209" t="s">
        <v>948</v>
      </c>
      <c r="M10" s="209" t="s">
        <v>948</v>
      </c>
      <c r="N10" s="156" t="s">
        <v>927</v>
      </c>
    </row>
    <row r="11" spans="1:14" ht="128.25">
      <c r="A11" s="156" t="s">
        <v>928</v>
      </c>
      <c r="B11" s="157" t="s">
        <v>929</v>
      </c>
      <c r="C11" s="157"/>
      <c r="D11" s="158" t="s">
        <v>1798</v>
      </c>
      <c r="E11" s="157" t="str" cm="1">
        <f t="array" ref="E11">_xlfn.LET(_xlpm.listaComarcas, _xlfn.UNIQUE(_xlfn._xlws.FILTER(tabParametros[Comarca],tabParametros[CCT DA CATEGORIA]=tabSindicatos[[#This Row],[SINDICATOS]],"")),
IF(COUNTA(_xlpm.listaComarcas)=1,
_xlpm.listaComarcas&amp;".",
SUBSTITUTE(_xlfn.TEXTJOIN(", ",TRUE,_xlpm.listaComarcas),", "," e ",COUNTA(_xlpm.listaComarcas)-1)&amp;"."
)
)</f>
        <v>Governador Valadares.</v>
      </c>
      <c r="F11" s="212">
        <v>29.15</v>
      </c>
      <c r="G11" s="212">
        <v>0</v>
      </c>
      <c r="H11" s="212">
        <v>51.88</v>
      </c>
      <c r="I11" s="212">
        <v>0</v>
      </c>
      <c r="J11" s="212">
        <v>0</v>
      </c>
      <c r="K11" s="213">
        <v>45658</v>
      </c>
      <c r="L11" s="209" t="s">
        <v>948</v>
      </c>
      <c r="M11" s="209" t="s">
        <v>948</v>
      </c>
      <c r="N11" s="156" t="s">
        <v>1894</v>
      </c>
    </row>
    <row r="12" spans="1:14" ht="128.25">
      <c r="A12" s="156" t="s">
        <v>930</v>
      </c>
      <c r="B12" s="157" t="s">
        <v>931</v>
      </c>
      <c r="C12" s="157"/>
      <c r="D12" s="158" t="s">
        <v>1798</v>
      </c>
      <c r="E12" s="157" t="str" cm="1">
        <f t="array" ref="E12">_xlfn.LET(_xlpm.listaComarcas, _xlfn.UNIQUE(_xlfn._xlws.FILTER(tabParametros[Comarca],tabParametros[CCT DA CATEGORIA]=tabSindicatos[[#This Row],[SINDICATOS]],"")),
IF(COUNTA(_xlpm.listaComarcas)=1,
_xlpm.listaComarcas&amp;".",
SUBSTITUTE(_xlfn.TEXTJOIN(", ",TRUE,_xlpm.listaComarcas),", "," e ",COUNTA(_xlpm.listaComarcas)-1)&amp;"."
)
)</f>
        <v>Itabira.</v>
      </c>
      <c r="F12" s="212">
        <v>29.15</v>
      </c>
      <c r="G12" s="212">
        <v>0</v>
      </c>
      <c r="H12" s="212">
        <v>51.88</v>
      </c>
      <c r="I12" s="212">
        <v>0</v>
      </c>
      <c r="J12" s="212">
        <v>0</v>
      </c>
      <c r="K12" s="213">
        <v>45658</v>
      </c>
      <c r="L12" s="209" t="s">
        <v>948</v>
      </c>
      <c r="M12" s="209" t="s">
        <v>948</v>
      </c>
      <c r="N12" s="156" t="s">
        <v>932</v>
      </c>
    </row>
    <row r="13" spans="1:14" ht="128.25">
      <c r="A13" s="156" t="s">
        <v>933</v>
      </c>
      <c r="B13" s="157" t="s">
        <v>934</v>
      </c>
      <c r="C13" s="157"/>
      <c r="D13" s="158" t="s">
        <v>1798</v>
      </c>
      <c r="E13" s="157" t="str" cm="1">
        <f t="array" ref="E13">_xlfn.LET(_xlpm.listaComarcas, _xlfn.UNIQUE(_xlfn._xlws.FILTER(tabParametros[Comarca],tabParametros[CCT DA CATEGORIA]=tabSindicatos[[#This Row],[SINDICATOS]],"")),
IF(COUNTA(_xlpm.listaComarcas)=1,
_xlpm.listaComarcas&amp;".",
SUBSTITUTE(_xlfn.TEXTJOIN(", ",TRUE,_xlpm.listaComarcas),", "," e ",COUNTA(_xlpm.listaComarcas)-1)&amp;"."
)
)</f>
        <v>.</v>
      </c>
      <c r="F13" s="212">
        <v>27.24</v>
      </c>
      <c r="G13" s="212">
        <v>0</v>
      </c>
      <c r="H13" s="212">
        <v>47.16</v>
      </c>
      <c r="I13" s="212">
        <v>0</v>
      </c>
      <c r="J13" s="212">
        <v>0</v>
      </c>
      <c r="K13" s="213">
        <v>45292</v>
      </c>
      <c r="L13" s="209" t="s">
        <v>948</v>
      </c>
      <c r="M13" s="209" t="s">
        <v>948</v>
      </c>
      <c r="N13" s="156" t="s">
        <v>935</v>
      </c>
    </row>
    <row r="14" spans="1:14" ht="128.25">
      <c r="A14" s="156" t="s">
        <v>936</v>
      </c>
      <c r="B14" s="157" t="s">
        <v>937</v>
      </c>
      <c r="C14" s="157"/>
      <c r="D14" s="158" t="s">
        <v>1798</v>
      </c>
      <c r="E14" s="157" t="str" cm="1">
        <f t="array" ref="E14">_xlfn.LET(_xlpm.listaComarcas, _xlfn.UNIQUE(_xlfn._xlws.FILTER(tabParametros[Comarca],tabParametros[CCT DA CATEGORIA]=tabSindicatos[[#This Row],[SINDICATOS]],"")),
IF(COUNTA(_xlpm.listaComarcas)=1,
_xlpm.listaComarcas&amp;".",
SUBSTITUTE(_xlfn.TEXTJOIN(", ",TRUE,_xlpm.listaComarcas),", "," e ",COUNTA(_xlpm.listaComarcas)-1)&amp;"."
)
)</f>
        <v>Juiz de Fora.</v>
      </c>
      <c r="F14" s="212">
        <v>29.15</v>
      </c>
      <c r="G14" s="212">
        <v>0</v>
      </c>
      <c r="H14" s="212">
        <v>56.3</v>
      </c>
      <c r="I14" s="212">
        <v>14.69</v>
      </c>
      <c r="J14" s="212">
        <v>0</v>
      </c>
      <c r="K14" s="213">
        <v>45658</v>
      </c>
      <c r="L14" s="209" t="s">
        <v>948</v>
      </c>
      <c r="M14" s="209" t="s">
        <v>948</v>
      </c>
      <c r="N14" s="156" t="s">
        <v>938</v>
      </c>
    </row>
    <row r="15" spans="1:14" ht="128.25">
      <c r="A15" s="156" t="s">
        <v>939</v>
      </c>
      <c r="B15" s="157" t="s">
        <v>940</v>
      </c>
      <c r="C15" s="157"/>
      <c r="D15" s="158" t="s">
        <v>1798</v>
      </c>
      <c r="E15" s="157" t="str" cm="1">
        <f t="array" ref="E15">_xlfn.LET(_xlpm.listaComarcas, _xlfn.UNIQUE(_xlfn._xlws.FILTER(tabParametros[Comarca],tabParametros[CCT DA CATEGORIA]=tabSindicatos[[#This Row],[SINDICATOS]],"")),
IF(COUNTA(_xlpm.listaComarcas)=1,
_xlpm.listaComarcas&amp;".",
SUBSTITUTE(_xlfn.TEXTJOIN(", ",TRUE,_xlpm.listaComarcas),", "," e ",COUNTA(_xlpm.listaComarcas)-1)&amp;"."
)
)</f>
        <v>Montes Claros.</v>
      </c>
      <c r="F15" s="212">
        <v>29.15</v>
      </c>
      <c r="G15" s="212">
        <v>0</v>
      </c>
      <c r="H15" s="212">
        <v>51.86</v>
      </c>
      <c r="I15" s="212">
        <v>0</v>
      </c>
      <c r="J15" s="212">
        <v>0</v>
      </c>
      <c r="K15" s="213">
        <v>45658</v>
      </c>
      <c r="L15" s="209" t="s">
        <v>948</v>
      </c>
      <c r="M15" s="209" t="s">
        <v>948</v>
      </c>
      <c r="N15" s="156" t="s">
        <v>941</v>
      </c>
    </row>
    <row r="16" spans="1:14" ht="128.25">
      <c r="A16" s="156" t="s">
        <v>942</v>
      </c>
      <c r="B16" s="157" t="s">
        <v>943</v>
      </c>
      <c r="C16" s="157" t="s">
        <v>944</v>
      </c>
      <c r="D16" s="158" t="s">
        <v>1798</v>
      </c>
      <c r="E16" s="157" t="str" cm="1">
        <f t="array" ref="E16">_xlfn.LET(_xlpm.listaComarcas, _xlfn.UNIQUE(_xlfn._xlws.FILTER(tabParametros[Comarca],tabParametros[CCT DA CATEGORIA]=tabSindicatos[[#This Row],[SINDICATOS]],"")),
IF(COUNTA(_xlpm.listaComarcas)=1,
_xlpm.listaComarcas&amp;".",
SUBSTITUTE(_xlfn.TEXTJOIN(", ",TRUE,_xlpm.listaComarcas),", "," e ",COUNTA(_xlpm.listaComarcas)-1)&amp;"."
)
)</f>
        <v>Arcos, Lagoa da Prata, Nova Serrana, Oliveira, Pitangui e Santo Antonio do Monte.</v>
      </c>
      <c r="F16" s="212">
        <v>29.15</v>
      </c>
      <c r="G16" s="212">
        <v>0</v>
      </c>
      <c r="H16" s="212">
        <v>51.88</v>
      </c>
      <c r="I16" s="212">
        <v>0</v>
      </c>
      <c r="J16" s="212">
        <v>0</v>
      </c>
      <c r="K16" s="213">
        <v>45658</v>
      </c>
      <c r="L16" s="209" t="s">
        <v>948</v>
      </c>
      <c r="M16" s="209" t="s">
        <v>948</v>
      </c>
      <c r="N16" s="156" t="s">
        <v>945</v>
      </c>
    </row>
    <row r="17" spans="1:14" ht="128.25">
      <c r="A17" s="156" t="s">
        <v>946</v>
      </c>
      <c r="B17" s="157" t="s">
        <v>947</v>
      </c>
      <c r="C17" s="157"/>
      <c r="D17" s="158" t="s">
        <v>1798</v>
      </c>
      <c r="E17" s="157" t="str" cm="1">
        <f t="array" ref="E17">_xlfn.LET(_xlpm.listaComarcas, _xlfn.UNIQUE(_xlfn._xlws.FILTER(tabParametros[Comarca],tabParametros[CCT DA CATEGORIA]=tabSindicatos[[#This Row],[SINDICATOS]],"")),
IF(COUNTA(_xlpm.listaComarcas)=1,
_xlpm.listaComarcas&amp;".",
SUBSTITUTE(_xlfn.TEXTJOIN(", ",TRUE,_xlpm.listaComarcas),", "," e ",COUNTA(_xlpm.listaComarcas)-1)&amp;"."
)
)</f>
        <v>.</v>
      </c>
      <c r="F17" s="212">
        <v>0</v>
      </c>
      <c r="G17" s="212">
        <v>0</v>
      </c>
      <c r="H17" s="212">
        <v>0</v>
      </c>
      <c r="I17" s="212">
        <v>29.15</v>
      </c>
      <c r="J17" s="212">
        <v>0</v>
      </c>
      <c r="K17" s="213">
        <v>45658</v>
      </c>
      <c r="L17" s="209" t="s">
        <v>948</v>
      </c>
      <c r="M17" s="209" t="s">
        <v>948</v>
      </c>
      <c r="N17" s="156" t="s">
        <v>949</v>
      </c>
    </row>
    <row r="18" spans="1:14" ht="128.25">
      <c r="A18" s="156" t="s">
        <v>950</v>
      </c>
      <c r="B18" s="157" t="s">
        <v>951</v>
      </c>
      <c r="C18" s="157" t="s">
        <v>952</v>
      </c>
      <c r="D18" s="158" t="s">
        <v>1798</v>
      </c>
      <c r="E18" s="157" t="str" cm="1">
        <f t="array" ref="E18">_xlfn.LET(_xlpm.listaComarcas, _xlfn.UNIQUE(_xlfn._xlws.FILTER(tabParametros[Comarca],tabParametros[CCT DA CATEGORIA]=tabSindicatos[[#This Row],[SINDICATOS]],"")),
IF(COUNTA(_xlpm.listaComarcas)=1,
_xlpm.listaComarcas&amp;".",
SUBSTITUTE(_xlfn.TEXTJOIN(", ",TRUE,_xlpm.listaComarcas),", "," e ",COUNTA(_xlpm.listaComarcas)-1)&amp;"."
)
)</f>
        <v>Barao de Cocais e Santa Barbara.</v>
      </c>
      <c r="F18" s="212">
        <v>29.15</v>
      </c>
      <c r="G18" s="212">
        <v>0</v>
      </c>
      <c r="H18" s="212">
        <v>50.74</v>
      </c>
      <c r="I18" s="212">
        <v>0</v>
      </c>
      <c r="J18" s="212">
        <v>0</v>
      </c>
      <c r="K18" s="213">
        <v>45658</v>
      </c>
      <c r="L18" s="209" t="s">
        <v>948</v>
      </c>
      <c r="M18" s="209" t="s">
        <v>948</v>
      </c>
      <c r="N18" s="156" t="s">
        <v>953</v>
      </c>
    </row>
    <row r="19" spans="1:14" ht="128.25">
      <c r="A19" s="156" t="s">
        <v>954</v>
      </c>
      <c r="B19" s="157" t="s">
        <v>955</v>
      </c>
      <c r="C19" s="157"/>
      <c r="D19" s="158" t="s">
        <v>1798</v>
      </c>
      <c r="E19" s="157" t="str" cm="1">
        <f t="array" ref="E19">_xlfn.LET(_xlpm.listaComarcas, _xlfn.UNIQUE(_xlfn._xlws.FILTER(tabParametros[Comarca],tabParametros[CCT DA CATEGORIA]=tabSindicatos[[#This Row],[SINDICATOS]],"")),
IF(COUNTA(_xlpm.listaComarcas)=1,
_xlpm.listaComarcas&amp;".",
SUBSTITUTE(_xlfn.TEXTJOIN(", ",TRUE,_xlpm.listaComarcas),", "," e ",COUNTA(_xlpm.listaComarcas)-1)&amp;"."
)
)</f>
        <v>Barbacena, Carangola, Espera Feliz, Manhuacu, Mirai, Santos Dumont, Sao Joao del Rei e Tombos.</v>
      </c>
      <c r="F19" s="212">
        <v>29.15</v>
      </c>
      <c r="G19" s="212">
        <v>0</v>
      </c>
      <c r="H19" s="212">
        <v>51.88</v>
      </c>
      <c r="I19" s="212">
        <v>0</v>
      </c>
      <c r="J19" s="212">
        <v>0</v>
      </c>
      <c r="K19" s="213">
        <v>45658</v>
      </c>
      <c r="L19" s="209" t="s">
        <v>948</v>
      </c>
      <c r="M19" s="209" t="s">
        <v>948</v>
      </c>
      <c r="N19" s="156" t="s">
        <v>956</v>
      </c>
    </row>
    <row r="20" spans="1:14" ht="128.25">
      <c r="A20" s="156" t="s">
        <v>957</v>
      </c>
      <c r="B20" s="157" t="s">
        <v>958</v>
      </c>
      <c r="C20" s="157" t="s">
        <v>959</v>
      </c>
      <c r="D20" s="158" t="s">
        <v>1798</v>
      </c>
      <c r="E20" s="157" t="str" cm="1">
        <f t="array" ref="E20">_xlfn.LET(_xlpm.listaComarcas, _xlfn.UNIQUE(_xlfn._xlws.FILTER(tabParametros[Comarca],tabParametros[CCT DA CATEGORIA]=tabSindicatos[[#This Row],[SINDICATOS]],"")),
IF(COUNTA(_xlpm.listaComarcas)=1,
_xlpm.listaComarcas&amp;".",
SUBSTITUTE(_xlfn.TEXTJOIN(", ",TRUE,_xlpm.listaComarcas),", "," e ",COUNTA(_xlpm.listaComarcas)-1)&amp;"."
)
)</f>
        <v>Congonhas, Conselheiro Lafaiete, Manhumirim, Mariana, Ouro Preto, Piranga, Ponte Nova e Rio Casca.</v>
      </c>
      <c r="F20" s="212">
        <v>29.15</v>
      </c>
      <c r="G20" s="212">
        <v>0</v>
      </c>
      <c r="H20" s="212">
        <v>51.87</v>
      </c>
      <c r="I20" s="212">
        <v>0</v>
      </c>
      <c r="J20" s="212">
        <v>0</v>
      </c>
      <c r="K20" s="213">
        <v>45658</v>
      </c>
      <c r="L20" s="209" t="s">
        <v>948</v>
      </c>
      <c r="M20" s="209" t="s">
        <v>948</v>
      </c>
      <c r="N20" s="156" t="s">
        <v>960</v>
      </c>
    </row>
    <row r="21" spans="1:14" ht="185.25">
      <c r="A21" s="156" t="s">
        <v>961</v>
      </c>
      <c r="B21" s="157" t="s">
        <v>962</v>
      </c>
      <c r="C21" s="157" t="s">
        <v>963</v>
      </c>
      <c r="D21" s="158" t="s">
        <v>1798</v>
      </c>
      <c r="E21" s="157" t="str" cm="1">
        <f t="array" ref="E21">_xlfn.LET(_xlpm.listaComarcas, _xlfn.UNIQUE(_xlfn._xlws.FILTER(tabParametros[Comarca],tabParametros[CCT DA CATEGORIA]=tabSindicatos[[#This Row],[SINDICATOS]],"")),
IF(COUNTA(_xlpm.listaComarcas)=1,
_xlpm.listaComarcas&amp;".",
SUBSTITUTE(_xlfn.TEXTJOIN(", ",TRUE,_xlpm.listaComarcas),", "," e ",COUNTA(_xlpm.listaComarcas)-1)&amp;"."
)
)</f>
        <v>Alfenas, Alpinopolis, Andradas, Boa Esperanca, Bom Sucesso, Campo Belo, Campos Gerais, Candeias, Carmo do Rio Claro, Eloi Mendes, Extrema, Formiga, Itajuba, Itamogi, Lavras, Machado, Paraguacu, Passos, Poco Fundo, Pouso Alegre, Santa Rita de Caldas, Sao Sebastiao do Paraiso, Tres Coracoes e Varginha.</v>
      </c>
      <c r="F21" s="212">
        <v>29.15</v>
      </c>
      <c r="G21" s="212">
        <v>0</v>
      </c>
      <c r="H21" s="212">
        <v>53.27</v>
      </c>
      <c r="I21" s="212">
        <v>0</v>
      </c>
      <c r="J21" s="212">
        <v>0</v>
      </c>
      <c r="K21" s="213">
        <v>45658</v>
      </c>
      <c r="L21" s="209" t="s">
        <v>948</v>
      </c>
      <c r="M21" s="209" t="s">
        <v>948</v>
      </c>
      <c r="N21" s="156" t="s">
        <v>964</v>
      </c>
    </row>
    <row r="22" spans="1:14" ht="128.25">
      <c r="A22" s="156" t="s">
        <v>965</v>
      </c>
      <c r="B22" s="157" t="s">
        <v>966</v>
      </c>
      <c r="C22" s="157"/>
      <c r="D22" s="158" t="s">
        <v>1798</v>
      </c>
      <c r="E22" s="157" t="str" cm="1">
        <f t="array" ref="E22">_xlfn.LET(_xlpm.listaComarcas, _xlfn.UNIQUE(_xlfn._xlws.FILTER(tabParametros[Comarca],tabParametros[CCT DA CATEGORIA]=tabSindicatos[[#This Row],[SINDICATOS]],"")),
IF(COUNTA(_xlpm.listaComarcas)=1,
_xlpm.listaComarcas&amp;".",
SUBSTITUTE(_xlfn.TEXTJOIN(", ",TRUE,_xlpm.listaComarcas),", "," e ",COUNTA(_xlpm.listaComarcas)-1)&amp;"."
)
)</f>
        <v>Almenara, Capelinha e Itambacuri.</v>
      </c>
      <c r="F22" s="212">
        <v>29.15</v>
      </c>
      <c r="G22" s="212">
        <v>0</v>
      </c>
      <c r="H22" s="212">
        <v>0</v>
      </c>
      <c r="I22" s="212">
        <v>15.07</v>
      </c>
      <c r="J22" s="212">
        <v>0</v>
      </c>
      <c r="K22" s="213">
        <v>45658</v>
      </c>
      <c r="L22" s="209" t="s">
        <v>948</v>
      </c>
      <c r="M22" s="209" t="s">
        <v>948</v>
      </c>
      <c r="N22" s="156" t="s">
        <v>967</v>
      </c>
    </row>
    <row r="23" spans="1:14" ht="128.25">
      <c r="A23" s="156" t="s">
        <v>968</v>
      </c>
      <c r="B23" s="157" t="s">
        <v>969</v>
      </c>
      <c r="C23" s="157" t="s">
        <v>970</v>
      </c>
      <c r="D23" s="158" t="s">
        <v>1798</v>
      </c>
      <c r="E23" s="157" t="str" cm="1">
        <f t="array" ref="E23">_xlfn.LET(_xlpm.listaComarcas, _xlfn.UNIQUE(_xlfn._xlws.FILTER(tabParametros[Comarca],tabParametros[CCT DA CATEGORIA]=tabSindicatos[[#This Row],[SINDICATOS]],"")),
IF(COUNTA(_xlpm.listaComarcas)=1,
_xlpm.listaComarcas&amp;".",
SUBSTITUTE(_xlfn.TEXTJOIN(", ",TRUE,_xlpm.listaComarcas),", "," e ",COUNTA(_xlpm.listaComarcas)-1)&amp;"."
)
)</f>
        <v>Frutal e Patos de Minas.</v>
      </c>
      <c r="F23" s="212">
        <v>29.15</v>
      </c>
      <c r="G23" s="212">
        <v>0</v>
      </c>
      <c r="H23" s="212">
        <v>51.86</v>
      </c>
      <c r="I23" s="212">
        <v>0</v>
      </c>
      <c r="J23" s="212">
        <v>0</v>
      </c>
      <c r="K23" s="213">
        <v>45658</v>
      </c>
      <c r="L23" s="209" t="s">
        <v>948</v>
      </c>
      <c r="M23" s="209" t="s">
        <v>948</v>
      </c>
      <c r="N23" s="156" t="s">
        <v>971</v>
      </c>
    </row>
    <row r="24" spans="1:14">
      <c r="A24" s="156" t="s">
        <v>972</v>
      </c>
      <c r="B24" s="157" t="s">
        <v>973</v>
      </c>
      <c r="C24" s="157"/>
      <c r="D24" s="158" t="s">
        <v>926</v>
      </c>
      <c r="E24" s="157" t="str" cm="1">
        <f t="array" ref="E24">_xlfn.LET(_xlpm.listaComarcas, _xlfn.UNIQUE(_xlfn._xlws.FILTER(tabParametros[Comarca],tabParametros[CCT DA CATEGORIA]=tabSindicatos[[#This Row],[SINDICATOS]],"")),
IF(COUNTA(_xlpm.listaComarcas)=1,
_xlpm.listaComarcas&amp;".",
SUBSTITUTE(_xlfn.TEXTJOIN(", ",TRUE,_xlpm.listaComarcas),", "," e ",COUNTA(_xlpm.listaComarcas)-1)&amp;"."
)
)</f>
        <v>Araxa.</v>
      </c>
      <c r="F24" s="212">
        <v>28.97</v>
      </c>
      <c r="G24" s="212">
        <v>0</v>
      </c>
      <c r="H24" s="212">
        <v>0</v>
      </c>
      <c r="I24" s="212">
        <v>0</v>
      </c>
      <c r="J24" s="212">
        <v>0</v>
      </c>
      <c r="K24" s="213">
        <v>45658</v>
      </c>
      <c r="L24" s="209" t="s">
        <v>948</v>
      </c>
      <c r="M24" s="209" t="s">
        <v>948</v>
      </c>
      <c r="N24" s="156" t="s">
        <v>1378</v>
      </c>
    </row>
    <row r="25" spans="1:14">
      <c r="A25" s="156" t="s">
        <v>974</v>
      </c>
      <c r="B25" s="157" t="s">
        <v>975</v>
      </c>
      <c r="C25" s="157"/>
      <c r="D25" s="158" t="s">
        <v>926</v>
      </c>
      <c r="E25" s="157" t="str" cm="1">
        <f t="array" ref="E25">_xlfn.LET(_xlpm.listaComarcas, _xlfn.UNIQUE(_xlfn._xlws.FILTER(tabParametros[Comarca],tabParametros[CCT DA CATEGORIA]=tabSindicatos[[#This Row],[SINDICATOS]],"")),
IF(COUNTA(_xlpm.listaComarcas)=1,
_xlpm.listaComarcas&amp;".",
SUBSTITUTE(_xlfn.TEXTJOIN(", ",TRUE,_xlpm.listaComarcas),", "," e ",COUNTA(_xlpm.listaComarcas)-1)&amp;"."
)
)</f>
        <v>Barbacena.</v>
      </c>
      <c r="F25" s="212">
        <v>28.97</v>
      </c>
      <c r="G25" s="212">
        <v>0</v>
      </c>
      <c r="H25" s="212">
        <v>22.52</v>
      </c>
      <c r="I25" s="212">
        <v>0</v>
      </c>
      <c r="J25" s="212">
        <v>0</v>
      </c>
      <c r="K25" s="213">
        <v>45658</v>
      </c>
      <c r="L25" s="209" t="s">
        <v>948</v>
      </c>
      <c r="M25" s="209" t="s">
        <v>948</v>
      </c>
      <c r="N25" s="156" t="s">
        <v>976</v>
      </c>
    </row>
    <row r="26" spans="1:14" ht="57">
      <c r="A26" s="156" t="s">
        <v>977</v>
      </c>
      <c r="B26" s="157" t="s">
        <v>978</v>
      </c>
      <c r="C26" s="157"/>
      <c r="D26" s="158" t="s">
        <v>926</v>
      </c>
      <c r="E26" s="157" t="str" cm="1">
        <f t="array" ref="E26">_xlfn.LET(_xlpm.listaComarcas, _xlfn.UNIQUE(_xlfn._xlws.FILTER(tabParametros[Comarca],tabParametros[CCT DA CATEGORIA]=tabSindicatos[[#This Row],[SINDICATOS]],"")),
IF(COUNTA(_xlpm.listaComarcas)=1,
_xlpm.listaComarcas&amp;".",
SUBSTITUTE(_xlfn.TEXTJOIN(", ",TRUE,_xlpm.listaComarcas),", "," e ",COUNTA(_xlpm.listaComarcas)-1)&amp;"."
)
)</f>
        <v>Belo Horizonte e Nova Lima.</v>
      </c>
      <c r="F26" s="212">
        <v>28.97</v>
      </c>
      <c r="G26" s="212">
        <v>0</v>
      </c>
      <c r="H26" s="212">
        <v>18.350000000000001</v>
      </c>
      <c r="I26" s="212">
        <v>0</v>
      </c>
      <c r="J26" s="212">
        <v>0</v>
      </c>
      <c r="K26" s="213">
        <v>45658</v>
      </c>
      <c r="L26" s="209" t="s">
        <v>948</v>
      </c>
      <c r="M26" s="209" t="s">
        <v>948</v>
      </c>
      <c r="N26" s="156" t="s">
        <v>979</v>
      </c>
    </row>
    <row r="27" spans="1:14">
      <c r="A27" s="156" t="s">
        <v>980</v>
      </c>
      <c r="B27" s="157" t="s">
        <v>981</v>
      </c>
      <c r="C27" s="157"/>
      <c r="D27" s="158" t="s">
        <v>926</v>
      </c>
      <c r="E27" s="157" t="str" cm="1">
        <f t="array" ref="E27">_xlfn.LET(_xlpm.listaComarcas, _xlfn.UNIQUE(_xlfn._xlws.FILTER(tabParametros[Comarca],tabParametros[CCT DA CATEGORIA]=tabSindicatos[[#This Row],[SINDICATOS]],"")),
IF(COUNTA(_xlpm.listaComarcas)=1,
_xlpm.listaComarcas&amp;".",
SUBSTITUTE(_xlfn.TEXTJOIN(", ",TRUE,_xlpm.listaComarcas),", "," e ",COUNTA(_xlpm.listaComarcas)-1)&amp;"."
)
)</f>
        <v>Betim.</v>
      </c>
      <c r="F27" s="212">
        <v>28.97</v>
      </c>
      <c r="G27" s="212">
        <v>0</v>
      </c>
      <c r="H27" s="212">
        <v>22.52</v>
      </c>
      <c r="I27" s="212">
        <v>0</v>
      </c>
      <c r="J27" s="212">
        <v>0</v>
      </c>
      <c r="K27" s="213">
        <v>45658</v>
      </c>
      <c r="L27" s="209" t="s">
        <v>948</v>
      </c>
      <c r="M27" s="209" t="s">
        <v>948</v>
      </c>
      <c r="N27" s="156" t="s">
        <v>1379</v>
      </c>
    </row>
    <row r="28" spans="1:14" ht="28.5">
      <c r="A28" s="156" t="s">
        <v>982</v>
      </c>
      <c r="B28" s="157" t="s">
        <v>983</v>
      </c>
      <c r="C28" s="157"/>
      <c r="D28" s="158" t="s">
        <v>926</v>
      </c>
      <c r="E28" s="157" t="str" cm="1">
        <f t="array" ref="E28">_xlfn.LET(_xlpm.listaComarcas, _xlfn.UNIQUE(_xlfn._xlws.FILTER(tabParametros[Comarca],tabParametros[CCT DA CATEGORIA]=tabSindicatos[[#This Row],[SINDICATOS]],"")),
IF(COUNTA(_xlpm.listaComarcas)=1,
_xlpm.listaComarcas&amp;".",
SUBSTITUTE(_xlfn.TEXTJOIN(", ",TRUE,_xlpm.listaComarcas),", "," e ",COUNTA(_xlpm.listaComarcas)-1)&amp;"."
)
)</f>
        <v>Conselheiro Lafaiete.</v>
      </c>
      <c r="F28" s="212">
        <v>28.97</v>
      </c>
      <c r="G28" s="212">
        <v>0</v>
      </c>
      <c r="H28" s="212">
        <v>22.52</v>
      </c>
      <c r="I28" s="212">
        <v>0</v>
      </c>
      <c r="J28" s="212">
        <v>0</v>
      </c>
      <c r="K28" s="213">
        <v>45658</v>
      </c>
      <c r="L28" s="209" t="s">
        <v>948</v>
      </c>
      <c r="M28" s="209" t="s">
        <v>948</v>
      </c>
      <c r="N28" s="156" t="s">
        <v>1803</v>
      </c>
    </row>
    <row r="29" spans="1:14">
      <c r="A29" s="156" t="s">
        <v>984</v>
      </c>
      <c r="B29" s="157" t="s">
        <v>985</v>
      </c>
      <c r="C29" s="157"/>
      <c r="D29" s="158" t="s">
        <v>926</v>
      </c>
      <c r="E29" s="157" t="str" cm="1">
        <f t="array" ref="E29">_xlfn.LET(_xlpm.listaComarcas, _xlfn.UNIQUE(_xlfn._xlws.FILTER(tabParametros[Comarca],tabParametros[CCT DA CATEGORIA]=tabSindicatos[[#This Row],[SINDICATOS]],"")),
IF(COUNTA(_xlpm.listaComarcas)=1,
_xlpm.listaComarcas&amp;".",
SUBSTITUTE(_xlfn.TEXTJOIN(", ",TRUE,_xlpm.listaComarcas),", "," e ",COUNTA(_xlpm.listaComarcas)-1)&amp;"."
)
)</f>
        <v>Contagem.</v>
      </c>
      <c r="F29" s="212">
        <v>28.97</v>
      </c>
      <c r="G29" s="212">
        <v>0</v>
      </c>
      <c r="H29" s="212">
        <v>0</v>
      </c>
      <c r="I29" s="212">
        <v>0</v>
      </c>
      <c r="J29" s="212">
        <v>0</v>
      </c>
      <c r="K29" s="213">
        <v>45658</v>
      </c>
      <c r="L29" s="209" t="s">
        <v>948</v>
      </c>
      <c r="M29" s="209" t="s">
        <v>948</v>
      </c>
      <c r="N29" s="156" t="s">
        <v>1380</v>
      </c>
    </row>
    <row r="30" spans="1:14" ht="42.75">
      <c r="A30" s="156" t="s">
        <v>986</v>
      </c>
      <c r="B30" s="157" t="s">
        <v>987</v>
      </c>
      <c r="C30" s="157"/>
      <c r="D30" s="158" t="s">
        <v>926</v>
      </c>
      <c r="E30" s="157" t="str" cm="1">
        <f t="array" ref="E30">_xlfn.LET(_xlpm.listaComarcas, _xlfn.UNIQUE(_xlfn._xlws.FILTER(tabParametros[Comarca],tabParametros[CCT DA CATEGORIA]=tabSindicatos[[#This Row],[SINDICATOS]],"")),
IF(COUNTA(_xlpm.listaComarcas)=1,
_xlpm.listaComarcas&amp;".",
SUBSTITUTE(_xlfn.TEXTJOIN(", ",TRUE,_xlpm.listaComarcas),", "," e ",COUNTA(_xlpm.listaComarcas)-1)&amp;"."
)
)</f>
        <v>Caratinga e Ipatinga.</v>
      </c>
      <c r="F30" s="212">
        <v>28.97</v>
      </c>
      <c r="G30" s="212">
        <v>0</v>
      </c>
      <c r="H30" s="212">
        <v>0</v>
      </c>
      <c r="I30" s="212">
        <v>0</v>
      </c>
      <c r="J30" s="212">
        <v>0</v>
      </c>
      <c r="K30" s="213">
        <v>45658</v>
      </c>
      <c r="L30" s="209" t="s">
        <v>948</v>
      </c>
      <c r="M30" s="209" t="s">
        <v>948</v>
      </c>
      <c r="N30" s="156" t="s">
        <v>1804</v>
      </c>
    </row>
    <row r="31" spans="1:14" ht="71.25">
      <c r="A31" s="156" t="s">
        <v>988</v>
      </c>
      <c r="B31" s="157" t="s">
        <v>989</v>
      </c>
      <c r="C31" s="157"/>
      <c r="D31" s="158" t="s">
        <v>926</v>
      </c>
      <c r="E31" s="157" t="str" cm="1">
        <f t="array" ref="E31">_xlfn.LET(_xlpm.listaComarcas, _xlfn.UNIQUE(_xlfn._xlws.FILTER(tabParametros[Comarca],tabParametros[CCT DA CATEGORIA]=tabSindicatos[[#This Row],[SINDICATOS]],"")),
IF(COUNTA(_xlpm.listaComarcas)=1,
_xlpm.listaComarcas&amp;".",
SUBSTITUTE(_xlfn.TEXTJOIN(", ",TRUE,_xlpm.listaComarcas),", "," e ",COUNTA(_xlpm.listaComarcas)-1)&amp;"."
)
)</f>
        <v>Diamantina.</v>
      </c>
      <c r="F31" s="212">
        <v>28.97</v>
      </c>
      <c r="G31" s="212">
        <v>0</v>
      </c>
      <c r="H31" s="212">
        <v>0</v>
      </c>
      <c r="I31" s="212">
        <v>0</v>
      </c>
      <c r="J31" s="212">
        <v>0</v>
      </c>
      <c r="K31" s="213">
        <v>45658</v>
      </c>
      <c r="L31" s="209" t="s">
        <v>948</v>
      </c>
      <c r="M31" s="209" t="s">
        <v>948</v>
      </c>
      <c r="N31" s="156" t="s">
        <v>1381</v>
      </c>
    </row>
    <row r="32" spans="1:14">
      <c r="A32" s="156" t="s">
        <v>990</v>
      </c>
      <c r="B32" s="157" t="s">
        <v>991</v>
      </c>
      <c r="C32" s="157"/>
      <c r="D32" s="158" t="s">
        <v>926</v>
      </c>
      <c r="E32" s="157" t="str" cm="1">
        <f t="array" ref="E32">_xlfn.LET(_xlpm.listaComarcas, _xlfn.UNIQUE(_xlfn._xlws.FILTER(tabParametros[Comarca],tabParametros[CCT DA CATEGORIA]=tabSindicatos[[#This Row],[SINDICATOS]],"")),
IF(COUNTA(_xlpm.listaComarcas)=1,
_xlpm.listaComarcas&amp;".",
SUBSTITUTE(_xlfn.TEXTJOIN(", ",TRUE,_xlpm.listaComarcas),", "," e ",COUNTA(_xlpm.listaComarcas)-1)&amp;"."
)
)</f>
        <v>Divinopolis.</v>
      </c>
      <c r="F32" s="212">
        <v>28.97</v>
      </c>
      <c r="G32" s="212">
        <v>0</v>
      </c>
      <c r="H32" s="212">
        <v>0</v>
      </c>
      <c r="I32" s="212">
        <v>0</v>
      </c>
      <c r="J32" s="212">
        <v>0</v>
      </c>
      <c r="K32" s="213">
        <v>45658</v>
      </c>
      <c r="L32" s="209" t="s">
        <v>948</v>
      </c>
      <c r="M32" s="209" t="s">
        <v>948</v>
      </c>
      <c r="N32" s="156" t="s">
        <v>1382</v>
      </c>
    </row>
    <row r="33" spans="1:14" ht="57">
      <c r="A33" s="156" t="s">
        <v>992</v>
      </c>
      <c r="B33" s="157" t="s">
        <v>993</v>
      </c>
      <c r="C33" s="157"/>
      <c r="D33" s="158" t="s">
        <v>926</v>
      </c>
      <c r="E33" s="157" t="str" cm="1">
        <f t="array" ref="E33">_xlfn.LET(_xlpm.listaComarcas, _xlfn.UNIQUE(_xlfn._xlws.FILTER(tabParametros[Comarca],tabParametros[CCT DA CATEGORIA]=tabSindicatos[[#This Row],[SINDICATOS]],"")),
IF(COUNTA(_xlpm.listaComarcas)=1,
_xlpm.listaComarcas&amp;".",
SUBSTITUTE(_xlfn.TEXTJOIN(", ",TRUE,_xlpm.listaComarcas),", "," e ",COUNTA(_xlpm.listaComarcas)-1)&amp;"."
)
)</f>
        <v>Governador Valadares.</v>
      </c>
      <c r="F33" s="212">
        <v>28.97</v>
      </c>
      <c r="G33" s="212">
        <v>0</v>
      </c>
      <c r="H33" s="212">
        <v>0</v>
      </c>
      <c r="I33" s="212">
        <v>0</v>
      </c>
      <c r="J33" s="212">
        <v>0</v>
      </c>
      <c r="K33" s="213">
        <v>45658</v>
      </c>
      <c r="L33" s="209" t="s">
        <v>948</v>
      </c>
      <c r="M33" s="209" t="s">
        <v>948</v>
      </c>
      <c r="N33" s="156" t="s">
        <v>1383</v>
      </c>
    </row>
    <row r="34" spans="1:14" ht="28.5">
      <c r="A34" s="156" t="s">
        <v>994</v>
      </c>
      <c r="B34" s="157" t="s">
        <v>995</v>
      </c>
      <c r="C34" s="157"/>
      <c r="D34" s="158" t="s">
        <v>926</v>
      </c>
      <c r="E34" s="157" t="str" cm="1">
        <f t="array" ref="E34">_xlfn.LET(_xlpm.listaComarcas, _xlfn.UNIQUE(_xlfn._xlws.FILTER(tabParametros[Comarca],tabParametros[CCT DA CATEGORIA]=tabSindicatos[[#This Row],[SINDICATOS]],"")),
IF(COUNTA(_xlpm.listaComarcas)=1,
_xlpm.listaComarcas&amp;".",
SUBSTITUTE(_xlfn.TEXTJOIN(", ",TRUE,_xlpm.listaComarcas),", "," e ",COUNTA(_xlpm.listaComarcas)-1)&amp;"."
)
)</f>
        <v>Ituiutaba.</v>
      </c>
      <c r="F34" s="212">
        <v>28.97</v>
      </c>
      <c r="G34" s="212">
        <v>0</v>
      </c>
      <c r="H34" s="212">
        <v>0</v>
      </c>
      <c r="I34" s="212">
        <v>0</v>
      </c>
      <c r="J34" s="212">
        <v>0</v>
      </c>
      <c r="K34" s="213">
        <v>45658</v>
      </c>
      <c r="L34" s="209" t="s">
        <v>948</v>
      </c>
      <c r="M34" s="209" t="s">
        <v>948</v>
      </c>
      <c r="N34" s="156" t="s">
        <v>1384</v>
      </c>
    </row>
    <row r="35" spans="1:14">
      <c r="A35" s="156" t="s">
        <v>996</v>
      </c>
      <c r="B35" s="157" t="s">
        <v>937</v>
      </c>
      <c r="C35" s="157"/>
      <c r="D35" s="158" t="s">
        <v>926</v>
      </c>
      <c r="E35" s="157" t="str" cm="1">
        <f t="array" ref="E35">_xlfn.LET(_xlpm.listaComarcas, _xlfn.UNIQUE(_xlfn._xlws.FILTER(tabParametros[Comarca],tabParametros[CCT DA CATEGORIA]=tabSindicatos[[#This Row],[SINDICATOS]],"")),
IF(COUNTA(_xlpm.listaComarcas)=1,
_xlpm.listaComarcas&amp;".",
SUBSTITUTE(_xlfn.TEXTJOIN(", ",TRUE,_xlpm.listaComarcas),", "," e ",COUNTA(_xlpm.listaComarcas)-1)&amp;"."
)
)</f>
        <v>Juiz de Fora.</v>
      </c>
      <c r="F35" s="212">
        <v>29.15</v>
      </c>
      <c r="G35" s="212">
        <v>0</v>
      </c>
      <c r="H35" s="212">
        <v>0</v>
      </c>
      <c r="I35" s="212">
        <v>0</v>
      </c>
      <c r="J35" s="212">
        <v>0</v>
      </c>
      <c r="K35" s="213">
        <v>45658</v>
      </c>
      <c r="L35" s="209" t="s">
        <v>948</v>
      </c>
      <c r="M35" s="209" t="s">
        <v>948</v>
      </c>
      <c r="N35" s="156" t="s">
        <v>1385</v>
      </c>
    </row>
    <row r="36" spans="1:14" ht="42.75">
      <c r="A36" s="156" t="s">
        <v>997</v>
      </c>
      <c r="B36" s="157" t="s">
        <v>998</v>
      </c>
      <c r="C36" s="157"/>
      <c r="D36" s="158" t="s">
        <v>926</v>
      </c>
      <c r="E36" s="157" t="str" cm="1">
        <f t="array" ref="E36">_xlfn.LET(_xlpm.listaComarcas, _xlfn.UNIQUE(_xlfn._xlws.FILTER(tabParametros[Comarca],tabParametros[CCT DA CATEGORIA]=tabSindicatos[[#This Row],[SINDICATOS]],"")),
IF(COUNTA(_xlpm.listaComarcas)=1,
_xlpm.listaComarcas&amp;".",
SUBSTITUTE(_xlfn.TEXTJOIN(", ",TRUE,_xlpm.listaComarcas),", "," e ",COUNTA(_xlpm.listaComarcas)-1)&amp;"."
)
)</f>
        <v>Uba.</v>
      </c>
      <c r="F36" s="212">
        <v>28.97</v>
      </c>
      <c r="G36" s="212">
        <v>0</v>
      </c>
      <c r="H36" s="212">
        <v>0</v>
      </c>
      <c r="I36" s="212">
        <v>0</v>
      </c>
      <c r="J36" s="212">
        <v>0</v>
      </c>
      <c r="K36" s="213">
        <v>45658</v>
      </c>
      <c r="L36" s="209" t="s">
        <v>948</v>
      </c>
      <c r="M36" s="209" t="s">
        <v>948</v>
      </c>
      <c r="N36" s="156" t="s">
        <v>1805</v>
      </c>
    </row>
    <row r="37" spans="1:14" ht="28.5">
      <c r="A37" s="156" t="s">
        <v>999</v>
      </c>
      <c r="B37" s="157" t="s">
        <v>1000</v>
      </c>
      <c r="C37" s="157"/>
      <c r="D37" s="158" t="s">
        <v>926</v>
      </c>
      <c r="E37" s="157" t="str" cm="1">
        <f t="array" ref="E37">_xlfn.LET(_xlpm.listaComarcas, _xlfn.UNIQUE(_xlfn._xlws.FILTER(tabParametros[Comarca],tabParametros[CCT DA CATEGORIA]=tabSindicatos[[#This Row],[SINDICATOS]],"")),
IF(COUNTA(_xlpm.listaComarcas)=1,
_xlpm.listaComarcas&amp;".",
SUBSTITUTE(_xlfn.TEXTJOIN(", ",TRUE,_xlpm.listaComarcas),", "," e ",COUNTA(_xlpm.listaComarcas)-1)&amp;"."
)
)</f>
        <v>Campo Belo e Lavras.</v>
      </c>
      <c r="F37" s="212">
        <v>28.97</v>
      </c>
      <c r="G37" s="212">
        <v>0</v>
      </c>
      <c r="H37" s="212">
        <v>0</v>
      </c>
      <c r="I37" s="212">
        <v>0</v>
      </c>
      <c r="J37" s="212">
        <v>0</v>
      </c>
      <c r="K37" s="213">
        <v>45658</v>
      </c>
      <c r="L37" s="209" t="s">
        <v>948</v>
      </c>
      <c r="M37" s="209" t="s">
        <v>948</v>
      </c>
      <c r="N37" s="156" t="s">
        <v>1001</v>
      </c>
    </row>
    <row r="38" spans="1:14" ht="142.5">
      <c r="A38" s="156" t="s">
        <v>1002</v>
      </c>
      <c r="B38" s="157" t="s">
        <v>1003</v>
      </c>
      <c r="C38" s="157"/>
      <c r="D38" s="158" t="s">
        <v>926</v>
      </c>
      <c r="E38" s="157" t="str" cm="1">
        <f t="array" ref="E38">_xlfn.LET(_xlpm.listaComarcas, _xlfn.UNIQUE(_xlfn._xlws.FILTER(tabParametros[Comarca],tabParametros[CCT DA CATEGORIA]=tabSindicatos[[#This Row],[SINDICATOS]],"")),
IF(COUNTA(_xlpm.listaComarcas)=1,
_xlpm.listaComarcas&amp;".",
SUBSTITUTE(_xlfn.TEXTJOIN(", ",TRUE,_xlpm.listaComarcas),", "," e ",COUNTA(_xlpm.listaComarcas)-1)&amp;"."
)
)</f>
        <v>Montes Claros.</v>
      </c>
      <c r="F38" s="212">
        <v>28.97</v>
      </c>
      <c r="G38" s="212">
        <v>0</v>
      </c>
      <c r="H38" s="212">
        <v>22.52</v>
      </c>
      <c r="I38" s="212">
        <v>0</v>
      </c>
      <c r="J38" s="212">
        <v>0</v>
      </c>
      <c r="K38" s="213">
        <v>45658</v>
      </c>
      <c r="L38" s="209" t="s">
        <v>948</v>
      </c>
      <c r="M38" s="209" t="s">
        <v>948</v>
      </c>
      <c r="N38" s="156" t="s">
        <v>1386</v>
      </c>
    </row>
    <row r="39" spans="1:14" ht="42.75">
      <c r="A39" s="156" t="s">
        <v>1004</v>
      </c>
      <c r="B39" s="157" t="s">
        <v>1005</v>
      </c>
      <c r="C39" s="157"/>
      <c r="D39" s="158" t="s">
        <v>926</v>
      </c>
      <c r="E39" s="157" t="str" cm="1">
        <f t="array" ref="E39">_xlfn.LET(_xlpm.listaComarcas, _xlfn.UNIQUE(_xlfn._xlws.FILTER(tabParametros[Comarca],tabParametros[CCT DA CATEGORIA]=tabSindicatos[[#This Row],[SINDICATOS]],"")),
IF(COUNTA(_xlpm.listaComarcas)=1,
_xlpm.listaComarcas&amp;".",
SUBSTITUTE(_xlfn.TEXTJOIN(", ",TRUE,_xlpm.listaComarcas),", "," e ",COUNTA(_xlpm.listaComarcas)-1)&amp;"."
)
)</f>
        <v>Passos.</v>
      </c>
      <c r="F39" s="212">
        <v>28.97</v>
      </c>
      <c r="G39" s="212">
        <v>0</v>
      </c>
      <c r="H39" s="212">
        <v>0</v>
      </c>
      <c r="I39" s="212">
        <v>0</v>
      </c>
      <c r="J39" s="212">
        <v>0</v>
      </c>
      <c r="K39" s="213">
        <v>45658</v>
      </c>
      <c r="L39" s="209" t="s">
        <v>948</v>
      </c>
      <c r="M39" s="209" t="s">
        <v>948</v>
      </c>
      <c r="N39" s="156" t="s">
        <v>1006</v>
      </c>
    </row>
    <row r="40" spans="1:14" ht="28.5">
      <c r="A40" s="156" t="s">
        <v>1007</v>
      </c>
      <c r="B40" s="157" t="s">
        <v>1008</v>
      </c>
      <c r="C40" s="157"/>
      <c r="D40" s="158" t="s">
        <v>926</v>
      </c>
      <c r="E40" s="157" t="str" cm="1">
        <f t="array" ref="E40">_xlfn.LET(_xlpm.listaComarcas, _xlfn.UNIQUE(_xlfn._xlws.FILTER(tabParametros[Comarca],tabParametros[CCT DA CATEGORIA]=tabSindicatos[[#This Row],[SINDICATOS]],"")),
IF(COUNTA(_xlpm.listaComarcas)=1,
_xlpm.listaComarcas&amp;".",
SUBSTITUTE(_xlfn.TEXTJOIN(", ",TRUE,_xlpm.listaComarcas),", "," e ",COUNTA(_xlpm.listaComarcas)-1)&amp;"."
)
)</f>
        <v>Patos de Minas.</v>
      </c>
      <c r="F40" s="212">
        <v>28.97</v>
      </c>
      <c r="G40" s="212">
        <v>0</v>
      </c>
      <c r="H40" s="212">
        <v>22.52</v>
      </c>
      <c r="I40" s="212">
        <v>0</v>
      </c>
      <c r="J40" s="212">
        <v>0</v>
      </c>
      <c r="K40" s="213">
        <v>45658</v>
      </c>
      <c r="L40" s="209" t="s">
        <v>948</v>
      </c>
      <c r="M40" s="209" t="s">
        <v>948</v>
      </c>
      <c r="N40" s="156" t="s">
        <v>1009</v>
      </c>
    </row>
    <row r="41" spans="1:14">
      <c r="A41" s="156" t="s">
        <v>1010</v>
      </c>
      <c r="B41" s="157" t="s">
        <v>1011</v>
      </c>
      <c r="C41" s="157"/>
      <c r="D41" s="158" t="s">
        <v>926</v>
      </c>
      <c r="E41" s="157" t="str" cm="1">
        <f t="array" ref="E41">_xlfn.LET(_xlpm.listaComarcas, _xlfn.UNIQUE(_xlfn._xlws.FILTER(tabParametros[Comarca],tabParametros[CCT DA CATEGORIA]=tabSindicatos[[#This Row],[SINDICATOS]],"")),
IF(COUNTA(_xlpm.listaComarcas)=1,
_xlpm.listaComarcas&amp;".",
SUBSTITUTE(_xlfn.TEXTJOIN(", ",TRUE,_xlpm.listaComarcas),", "," e ",COUNTA(_xlpm.listaComarcas)-1)&amp;"."
)
)</f>
        <v>Pocos de Caldas.</v>
      </c>
      <c r="F41" s="212">
        <v>28.97</v>
      </c>
      <c r="G41" s="212">
        <v>0</v>
      </c>
      <c r="H41" s="212">
        <v>0</v>
      </c>
      <c r="I41" s="212">
        <v>0</v>
      </c>
      <c r="J41" s="212">
        <v>0</v>
      </c>
      <c r="K41" s="213">
        <v>45658</v>
      </c>
      <c r="L41" s="209" t="s">
        <v>948</v>
      </c>
      <c r="M41" s="209" t="s">
        <v>948</v>
      </c>
      <c r="N41" s="156" t="s">
        <v>1896</v>
      </c>
    </row>
    <row r="42" spans="1:14" ht="57">
      <c r="A42" s="156" t="s">
        <v>1012</v>
      </c>
      <c r="B42" s="157" t="s">
        <v>1013</v>
      </c>
      <c r="C42" s="157"/>
      <c r="D42" s="158" t="s">
        <v>926</v>
      </c>
      <c r="E42" s="157" t="str" cm="1">
        <f t="array" ref="E42">_xlfn.LET(_xlpm.listaComarcas, _xlfn.UNIQUE(_xlfn._xlws.FILTER(tabParametros[Comarca],tabParametros[CCT DA CATEGORIA]=tabSindicatos[[#This Row],[SINDICATOS]],"")),
IF(COUNTA(_xlpm.listaComarcas)=1,
_xlpm.listaComarcas&amp;".",
SUBSTITUTE(_xlfn.TEXTJOIN(", ",TRUE,_xlpm.listaComarcas),", "," e ",COUNTA(_xlpm.listaComarcas)-1)&amp;"."
)
)</f>
        <v>Pouso Alegre.</v>
      </c>
      <c r="F42" s="212">
        <v>28.97</v>
      </c>
      <c r="G42" s="212">
        <v>0</v>
      </c>
      <c r="H42" s="212">
        <v>0</v>
      </c>
      <c r="I42" s="212">
        <v>0</v>
      </c>
      <c r="J42" s="212">
        <v>0</v>
      </c>
      <c r="K42" s="213">
        <v>45658</v>
      </c>
      <c r="L42" s="209" t="s">
        <v>948</v>
      </c>
      <c r="M42" s="209" t="s">
        <v>948</v>
      </c>
      <c r="N42" s="156" t="s">
        <v>1897</v>
      </c>
    </row>
    <row r="43" spans="1:14">
      <c r="A43" s="156" t="s">
        <v>1014</v>
      </c>
      <c r="B43" s="157" t="s">
        <v>1015</v>
      </c>
      <c r="C43" s="157"/>
      <c r="D43" s="158" t="s">
        <v>926</v>
      </c>
      <c r="E43" s="157" t="str" cm="1">
        <f t="array" ref="E43">_xlfn.LET(_xlpm.listaComarcas, _xlfn.UNIQUE(_xlfn._xlws.FILTER(tabParametros[Comarca],tabParametros[CCT DA CATEGORIA]=tabSindicatos[[#This Row],[SINDICATOS]],"")),
IF(COUNTA(_xlpm.listaComarcas)=1,
_xlpm.listaComarcas&amp;".",
SUBSTITUTE(_xlfn.TEXTJOIN(", ",TRUE,_xlpm.listaComarcas),", "," e ",COUNTA(_xlpm.listaComarcas)-1)&amp;"."
)
)</f>
        <v>Ribeirao das Neves, Santa Luzia e Vespasiano.</v>
      </c>
      <c r="F43" s="212">
        <v>28.97</v>
      </c>
      <c r="G43" s="212">
        <v>0</v>
      </c>
      <c r="H43" s="212">
        <v>22.52</v>
      </c>
      <c r="I43" s="212">
        <v>0</v>
      </c>
      <c r="J43" s="212">
        <v>0</v>
      </c>
      <c r="K43" s="213">
        <v>45658</v>
      </c>
      <c r="L43" s="209" t="s">
        <v>948</v>
      </c>
      <c r="M43" s="209" t="s">
        <v>948</v>
      </c>
      <c r="N43" s="156" t="s">
        <v>1016</v>
      </c>
    </row>
    <row r="44" spans="1:14">
      <c r="A44" s="156" t="s">
        <v>1017</v>
      </c>
      <c r="B44" s="157" t="s">
        <v>1018</v>
      </c>
      <c r="C44" s="157"/>
      <c r="D44" s="158" t="s">
        <v>926</v>
      </c>
      <c r="E44" s="157" t="str" cm="1">
        <f t="array" ref="E44">_xlfn.LET(_xlpm.listaComarcas, _xlfn.UNIQUE(_xlfn._xlws.FILTER(tabParametros[Comarca],tabParametros[CCT DA CATEGORIA]=tabSindicatos[[#This Row],[SINDICATOS]],"")),
IF(COUNTA(_xlpm.listaComarcas)=1,
_xlpm.listaComarcas&amp;".",
SUBSTITUTE(_xlfn.TEXTJOIN(", ",TRUE,_xlpm.listaComarcas),", "," e ",COUNTA(_xlpm.listaComarcas)-1)&amp;"."
)
)</f>
        <v>Sao Joao del Rei.</v>
      </c>
      <c r="F44" s="212">
        <v>28.97</v>
      </c>
      <c r="G44" s="212">
        <v>0</v>
      </c>
      <c r="H44" s="212">
        <v>0</v>
      </c>
      <c r="I44" s="212">
        <v>0</v>
      </c>
      <c r="J44" s="212">
        <v>0</v>
      </c>
      <c r="K44" s="213">
        <v>45658</v>
      </c>
      <c r="L44" s="209" t="s">
        <v>948</v>
      </c>
      <c r="M44" s="209" t="s">
        <v>948</v>
      </c>
      <c r="N44" s="156" t="s">
        <v>1806</v>
      </c>
    </row>
    <row r="45" spans="1:14">
      <c r="A45" s="156" t="s">
        <v>1019</v>
      </c>
      <c r="B45" s="157" t="s">
        <v>1020</v>
      </c>
      <c r="C45" s="157"/>
      <c r="D45" s="158" t="s">
        <v>926</v>
      </c>
      <c r="E45" s="157" t="str" cm="1">
        <f t="array" ref="E45">_xlfn.LET(_xlpm.listaComarcas, _xlfn.UNIQUE(_xlfn._xlws.FILTER(tabParametros[Comarca],tabParametros[CCT DA CATEGORIA]=tabSindicatos[[#This Row],[SINDICATOS]],"")),
IF(COUNTA(_xlpm.listaComarcas)=1,
_xlpm.listaComarcas&amp;".",
SUBSTITUTE(_xlfn.TEXTJOIN(", ",TRUE,_xlpm.listaComarcas),", "," e ",COUNTA(_xlpm.listaComarcas)-1)&amp;"."
)
)</f>
        <v>Sete Lagoas.</v>
      </c>
      <c r="F45" s="212">
        <v>28.97</v>
      </c>
      <c r="G45" s="212">
        <v>0</v>
      </c>
      <c r="H45" s="212">
        <v>0</v>
      </c>
      <c r="I45" s="212">
        <v>0</v>
      </c>
      <c r="J45" s="212">
        <v>0</v>
      </c>
      <c r="K45" s="213">
        <v>45658</v>
      </c>
      <c r="L45" s="209" t="s">
        <v>948</v>
      </c>
      <c r="M45" s="209" t="s">
        <v>948</v>
      </c>
      <c r="N45" s="156" t="s">
        <v>1021</v>
      </c>
    </row>
    <row r="46" spans="1:14">
      <c r="A46" s="156" t="s">
        <v>1022</v>
      </c>
      <c r="B46" s="157" t="s">
        <v>1023</v>
      </c>
      <c r="C46" s="157"/>
      <c r="D46" s="158" t="s">
        <v>926</v>
      </c>
      <c r="E46" s="157" t="str" cm="1">
        <f t="array" ref="E46">_xlfn.LET(_xlpm.listaComarcas, _xlfn.UNIQUE(_xlfn._xlws.FILTER(tabParametros[Comarca],tabParametros[CCT DA CATEGORIA]=tabSindicatos[[#This Row],[SINDICATOS]],"")),
IF(COUNTA(_xlpm.listaComarcas)=1,
_xlpm.listaComarcas&amp;".",
SUBSTITUTE(_xlfn.TEXTJOIN(", ",TRUE,_xlpm.listaComarcas),", "," e ",COUNTA(_xlpm.listaComarcas)-1)&amp;"."
)
)</f>
        <v>Teofilo Otoni.</v>
      </c>
      <c r="F46" s="212">
        <v>28.97</v>
      </c>
      <c r="G46" s="212">
        <v>0</v>
      </c>
      <c r="H46" s="212">
        <v>22.52</v>
      </c>
      <c r="I46" s="212">
        <v>0</v>
      </c>
      <c r="J46" s="212">
        <v>0</v>
      </c>
      <c r="K46" s="213">
        <v>45658</v>
      </c>
      <c r="L46" s="209" t="s">
        <v>948</v>
      </c>
      <c r="M46" s="209" t="s">
        <v>948</v>
      </c>
      <c r="N46" s="156" t="s">
        <v>1387</v>
      </c>
    </row>
    <row r="47" spans="1:14">
      <c r="A47" s="156" t="s">
        <v>1024</v>
      </c>
      <c r="B47" s="157" t="s">
        <v>1025</v>
      </c>
      <c r="C47" s="157"/>
      <c r="D47" s="158" t="s">
        <v>926</v>
      </c>
      <c r="E47" s="157" t="str" cm="1">
        <f t="array" ref="E47">_xlfn.LET(_xlpm.listaComarcas, _xlfn.UNIQUE(_xlfn._xlws.FILTER(tabParametros[Comarca],tabParametros[CCT DA CATEGORIA]=tabSindicatos[[#This Row],[SINDICATOS]],"")),
IF(COUNTA(_xlpm.listaComarcas)=1,
_xlpm.listaComarcas&amp;".",
SUBSTITUTE(_xlfn.TEXTJOIN(", ",TRUE,_xlpm.listaComarcas),", "," e ",COUNTA(_xlpm.listaComarcas)-1)&amp;"."
)
)</f>
        <v>Uberaba.</v>
      </c>
      <c r="F47" s="212">
        <v>28.97</v>
      </c>
      <c r="G47" s="212">
        <v>0</v>
      </c>
      <c r="H47" s="212">
        <v>0</v>
      </c>
      <c r="I47" s="212">
        <v>0</v>
      </c>
      <c r="J47" s="212">
        <v>0</v>
      </c>
      <c r="K47" s="213">
        <v>45658</v>
      </c>
      <c r="L47" s="209" t="s">
        <v>948</v>
      </c>
      <c r="M47" s="209" t="s">
        <v>948</v>
      </c>
      <c r="N47" s="156" t="s">
        <v>1026</v>
      </c>
    </row>
    <row r="48" spans="1:14" ht="28.5">
      <c r="A48" s="156" t="s">
        <v>1027</v>
      </c>
      <c r="B48" s="157" t="s">
        <v>1028</v>
      </c>
      <c r="C48" s="157"/>
      <c r="D48" s="158" t="s">
        <v>926</v>
      </c>
      <c r="E48" s="157" t="str" cm="1">
        <f t="array" ref="E48">_xlfn.LET(_xlpm.listaComarcas, _xlfn.UNIQUE(_xlfn._xlws.FILTER(tabParametros[Comarca],tabParametros[CCT DA CATEGORIA]=tabSindicatos[[#This Row],[SINDICATOS]],"")),
IF(COUNTA(_xlpm.listaComarcas)=1,
_xlpm.listaComarcas&amp;".",
SUBSTITUTE(_xlfn.TEXTJOIN(", ",TRUE,_xlpm.listaComarcas),", "," e ",COUNTA(_xlpm.listaComarcas)-1)&amp;"."
)
)</f>
        <v>Uberlandia.</v>
      </c>
      <c r="F48" s="212">
        <v>28.97</v>
      </c>
      <c r="G48" s="212">
        <v>0</v>
      </c>
      <c r="H48" s="212">
        <v>22.52</v>
      </c>
      <c r="I48" s="212">
        <v>0</v>
      </c>
      <c r="J48" s="212">
        <v>0</v>
      </c>
      <c r="K48" s="213">
        <v>45658</v>
      </c>
      <c r="L48" s="209" t="s">
        <v>948</v>
      </c>
      <c r="M48" s="209" t="s">
        <v>948</v>
      </c>
      <c r="N48" s="156" t="s">
        <v>1895</v>
      </c>
    </row>
    <row r="49" spans="1:14" ht="42.75">
      <c r="A49" s="156" t="s">
        <v>1029</v>
      </c>
      <c r="B49" s="157" t="s">
        <v>1030</v>
      </c>
      <c r="C49" s="157"/>
      <c r="D49" s="158" t="s">
        <v>926</v>
      </c>
      <c r="E49" s="157" t="str" cm="1">
        <f t="array" ref="E49">_xlfn.LET(_xlpm.listaComarcas, _xlfn.UNIQUE(_xlfn._xlws.FILTER(tabParametros[Comarca],tabParametros[CCT DA CATEGORIA]=tabSindicatos[[#This Row],[SINDICATOS]],"")),
IF(COUNTA(_xlpm.listaComarcas)=1,
_xlpm.listaComarcas&amp;".",
SUBSTITUTE(_xlfn.TEXTJOIN(", ",TRUE,_xlpm.listaComarcas),", "," e ",COUNTA(_xlpm.listaComarcas)-1)&amp;"."
)
)</f>
        <v>Varginha.</v>
      </c>
      <c r="F49" s="212">
        <v>28.97</v>
      </c>
      <c r="G49" s="212">
        <v>0</v>
      </c>
      <c r="H49" s="212">
        <v>0</v>
      </c>
      <c r="I49" s="212">
        <v>0</v>
      </c>
      <c r="J49" s="212">
        <v>0</v>
      </c>
      <c r="K49" s="213">
        <v>45658</v>
      </c>
      <c r="L49" s="209" t="s">
        <v>948</v>
      </c>
      <c r="M49" s="209" t="s">
        <v>948</v>
      </c>
      <c r="N49" s="156" t="s">
        <v>1031</v>
      </c>
    </row>
    <row r="50" spans="1:14" ht="128.25">
      <c r="A50" s="156" t="s">
        <v>1032</v>
      </c>
      <c r="B50" s="157" t="s">
        <v>1033</v>
      </c>
      <c r="C50" s="157"/>
      <c r="D50" s="158" t="s">
        <v>1798</v>
      </c>
      <c r="E50" s="157" t="str" cm="1">
        <f t="array" ref="E50">_xlfn.LET(_xlpm.listaComarcas, _xlfn.UNIQUE(_xlfn._xlws.FILTER(tabParametros[Comarca],tabParametros[CCT DA CATEGORIA]=tabSindicatos[[#This Row],[SINDICATOS]],"")),
IF(COUNTA(_xlpm.listaComarcas)=1,
_xlpm.listaComarcas&amp;".",
SUBSTITUTE(_xlfn.TEXTJOIN(", ",TRUE,_xlpm.listaComarcas),", "," e ",COUNTA(_xlpm.listaComarcas)-1)&amp;"."
)
)</f>
        <v>Sao Lourenco.</v>
      </c>
      <c r="F50" s="212">
        <v>29.15</v>
      </c>
      <c r="G50" s="212">
        <v>0</v>
      </c>
      <c r="H50" s="212">
        <v>53.27</v>
      </c>
      <c r="I50" s="212">
        <v>0</v>
      </c>
      <c r="J50" s="212">
        <v>0</v>
      </c>
      <c r="K50" s="213">
        <v>45658</v>
      </c>
      <c r="L50" s="209" t="s">
        <v>948</v>
      </c>
      <c r="M50" s="209" t="s">
        <v>948</v>
      </c>
      <c r="N50" s="156" t="s">
        <v>1034</v>
      </c>
    </row>
    <row r="51" spans="1:14" ht="128.25">
      <c r="A51" s="156" t="s">
        <v>1035</v>
      </c>
      <c r="B51" s="157" t="s">
        <v>1036</v>
      </c>
      <c r="C51" s="157"/>
      <c r="D51" s="158" t="s">
        <v>1798</v>
      </c>
      <c r="E51" s="157" t="str" cm="1">
        <f t="array" ref="E51">_xlfn.LET(_xlpm.listaComarcas, _xlfn.UNIQUE(_xlfn._xlws.FILTER(tabParametros[Comarca],tabParametros[CCT DA CATEGORIA]=tabSindicatos[[#This Row],[SINDICATOS]],"")),
IF(COUNTA(_xlpm.listaComarcas)=1,
_xlpm.listaComarcas&amp;".",
SUBSTITUTE(_xlfn.TEXTJOIN(", ",TRUE,_xlpm.listaComarcas),", "," e ",COUNTA(_xlpm.listaComarcas)-1)&amp;"."
)
)</f>
        <v>Belo Horizonte.</v>
      </c>
      <c r="F51" s="212">
        <v>29.15</v>
      </c>
      <c r="G51" s="212">
        <v>0</v>
      </c>
      <c r="H51" s="212">
        <v>95.9</v>
      </c>
      <c r="I51" s="212">
        <v>0</v>
      </c>
      <c r="J51" s="212">
        <v>0</v>
      </c>
      <c r="K51" s="213">
        <v>45658</v>
      </c>
      <c r="L51" s="209" t="s">
        <v>948</v>
      </c>
      <c r="M51" s="209" t="s">
        <v>948</v>
      </c>
      <c r="N51" s="156" t="s">
        <v>1037</v>
      </c>
    </row>
    <row r="52" spans="1:14" ht="128.25">
      <c r="A52" s="156" t="s">
        <v>1038</v>
      </c>
      <c r="B52" s="157" t="s">
        <v>1039</v>
      </c>
      <c r="C52" s="157"/>
      <c r="D52" s="158" t="s">
        <v>1798</v>
      </c>
      <c r="E52" s="157" t="str" cm="1">
        <f t="array" ref="E52">_xlfn.LET(_xlpm.listaComarcas, _xlfn.UNIQUE(_xlfn._xlws.FILTER(tabParametros[Comarca],tabParametros[CCT DA CATEGORIA]=tabSindicatos[[#This Row],[SINDICATOS]],"")),
IF(COUNTA(_xlpm.listaComarcas)=1,
_xlpm.listaComarcas&amp;".",
SUBSTITUTE(_xlfn.TEXTJOIN(", ",TRUE,_xlpm.listaComarcas),", "," e ",COUNTA(_xlpm.listaComarcas)-1)&amp;"."
)
)</f>
        <v>Ipatinga.</v>
      </c>
      <c r="F52" s="212">
        <v>29.15</v>
      </c>
      <c r="G52" s="212">
        <v>0</v>
      </c>
      <c r="H52" s="212">
        <v>51.86</v>
      </c>
      <c r="I52" s="212">
        <v>0</v>
      </c>
      <c r="J52" s="212">
        <v>0</v>
      </c>
      <c r="K52" s="213">
        <v>45658</v>
      </c>
      <c r="L52" s="209" t="s">
        <v>948</v>
      </c>
      <c r="M52" s="209" t="s">
        <v>948</v>
      </c>
      <c r="N52" s="156" t="s">
        <v>1040</v>
      </c>
    </row>
    <row r="53" spans="1:14" ht="128.25">
      <c r="A53" s="156" t="s">
        <v>1041</v>
      </c>
      <c r="B53" s="157" t="s">
        <v>1042</v>
      </c>
      <c r="C53" s="157" t="s">
        <v>1043</v>
      </c>
      <c r="D53" s="158" t="s">
        <v>1798</v>
      </c>
      <c r="E53" s="157" t="str" cm="1">
        <f t="array" ref="E53">_xlfn.LET(_xlpm.listaComarcas, _xlfn.UNIQUE(_xlfn._xlws.FILTER(tabParametros[Comarca],tabParametros[CCT DA CATEGORIA]=tabSindicatos[[#This Row],[SINDICATOS]],"")),
IF(COUNTA(_xlpm.listaComarcas)=1,
_xlpm.listaComarcas&amp;".",
SUBSTITUTE(_xlfn.TEXTJOIN(", ",TRUE,_xlpm.listaComarcas),", "," e ",COUNTA(_xlpm.listaComarcas)-1)&amp;"."
)
)</f>
        <v>Caratinga, Coronel Fabriciano, Divino, Inhapim e Timoteo.</v>
      </c>
      <c r="F53" s="212">
        <v>29.15</v>
      </c>
      <c r="G53" s="212">
        <v>0</v>
      </c>
      <c r="H53" s="212">
        <v>51.86</v>
      </c>
      <c r="I53" s="212">
        <v>0</v>
      </c>
      <c r="J53" s="212">
        <v>0</v>
      </c>
      <c r="K53" s="213">
        <v>45658</v>
      </c>
      <c r="L53" s="209" t="s">
        <v>948</v>
      </c>
      <c r="M53" s="209" t="s">
        <v>948</v>
      </c>
      <c r="N53" s="156" t="s">
        <v>1044</v>
      </c>
    </row>
    <row r="54" spans="1:14" ht="128.25">
      <c r="A54" s="156" t="s">
        <v>1045</v>
      </c>
      <c r="B54" s="157" t="s">
        <v>1046</v>
      </c>
      <c r="C54" s="157"/>
      <c r="D54" s="158" t="s">
        <v>1798</v>
      </c>
      <c r="E54" s="157" t="str" cm="1">
        <f t="array" ref="E54">_xlfn.LET(_xlpm.listaComarcas, _xlfn.UNIQUE(_xlfn._xlws.FILTER(tabParametros[Comarca],tabParametros[CCT DA CATEGORIA]=tabSindicatos[[#This Row],[SINDICATOS]],"")),
IF(COUNTA(_xlpm.listaComarcas)=1,
_xlpm.listaComarcas&amp;".",
SUBSTITUTE(_xlfn.TEXTJOIN(", ",TRUE,_xlpm.listaComarcas),", "," e ",COUNTA(_xlpm.listaComarcas)-1)&amp;"."
)
)</f>
        <v>Paraopeba e Sete Lagoas.</v>
      </c>
      <c r="F54" s="212">
        <v>29.15</v>
      </c>
      <c r="G54" s="212">
        <v>0</v>
      </c>
      <c r="H54" s="212">
        <v>51.86</v>
      </c>
      <c r="I54" s="212">
        <v>0</v>
      </c>
      <c r="J54" s="212">
        <v>0</v>
      </c>
      <c r="K54" s="213">
        <v>45658</v>
      </c>
      <c r="L54" s="209" t="s">
        <v>948</v>
      </c>
      <c r="M54" s="209" t="s">
        <v>948</v>
      </c>
      <c r="N54" s="156" t="s">
        <v>1047</v>
      </c>
    </row>
    <row r="55" spans="1:14" ht="128.25">
      <c r="A55" s="156" t="s">
        <v>1048</v>
      </c>
      <c r="B55" s="157" t="s">
        <v>1049</v>
      </c>
      <c r="C55" s="157" t="s">
        <v>1050</v>
      </c>
      <c r="D55" s="158" t="s">
        <v>1798</v>
      </c>
      <c r="E55" s="157" t="str" cm="1">
        <f t="array" ref="E55">_xlfn.LET(_xlpm.listaComarcas, _xlfn.UNIQUE(_xlfn._xlws.FILTER(tabParametros[Comarca],tabParametros[CCT DA CATEGORIA]=tabSindicatos[[#This Row],[SINDICATOS]],"")),
IF(COUNTA(_xlpm.listaComarcas)=1,
_xlpm.listaComarcas&amp;".",
SUBSTITUTE(_xlfn.TEXTJOIN(", ",TRUE,_xlpm.listaComarcas),", "," e ",COUNTA(_xlpm.listaComarcas)-1)&amp;"."
)
)</f>
        <v>Bocaiuva, Brasilia de Minas, Coracao de Jesus, Francisco Sa, Januaria, Manga, Monte Azul, Pirapora, Sao Francisco, Sao Joao da Ponte, Sao Romao e Taiobeiras.</v>
      </c>
      <c r="F55" s="212">
        <v>29.15</v>
      </c>
      <c r="G55" s="212">
        <v>0</v>
      </c>
      <c r="H55" s="212">
        <v>51.86</v>
      </c>
      <c r="I55" s="212">
        <v>0</v>
      </c>
      <c r="J55" s="212">
        <v>0</v>
      </c>
      <c r="K55" s="213">
        <v>45658</v>
      </c>
      <c r="L55" s="209" t="s">
        <v>948</v>
      </c>
      <c r="M55" s="209" t="s">
        <v>948</v>
      </c>
      <c r="N55" s="156" t="s">
        <v>1051</v>
      </c>
    </row>
    <row r="56" spans="1:14" ht="128.25">
      <c r="A56" s="156" t="s">
        <v>1052</v>
      </c>
      <c r="B56" s="157" t="s">
        <v>1011</v>
      </c>
      <c r="C56" s="157"/>
      <c r="D56" s="158" t="s">
        <v>1798</v>
      </c>
      <c r="E56" s="157" t="str" cm="1">
        <f t="array" ref="E56">_xlfn.LET(_xlpm.listaComarcas, _xlfn.UNIQUE(_xlfn._xlws.FILTER(tabParametros[Comarca],tabParametros[CCT DA CATEGORIA]=tabSindicatos[[#This Row],[SINDICATOS]],"")),
IF(COUNTA(_xlpm.listaComarcas)=1,
_xlpm.listaComarcas&amp;".",
SUBSTITUTE(_xlfn.TEXTJOIN(", ",TRUE,_xlpm.listaComarcas),", "," e ",COUNTA(_xlpm.listaComarcas)-1)&amp;"."
)
)</f>
        <v>Pocos de Caldas.</v>
      </c>
      <c r="F56" s="212">
        <v>29.15</v>
      </c>
      <c r="G56" s="212">
        <v>0</v>
      </c>
      <c r="H56" s="212">
        <v>51.86</v>
      </c>
      <c r="I56" s="212">
        <v>0</v>
      </c>
      <c r="J56" s="212">
        <v>0</v>
      </c>
      <c r="K56" s="213">
        <v>45658</v>
      </c>
      <c r="L56" s="209" t="s">
        <v>948</v>
      </c>
      <c r="M56" s="209" t="s">
        <v>948</v>
      </c>
      <c r="N56" s="156" t="s">
        <v>1053</v>
      </c>
    </row>
    <row r="57" spans="1:14" ht="409.5">
      <c r="A57" s="156" t="s">
        <v>1054</v>
      </c>
      <c r="B57" s="157" t="s">
        <v>1055</v>
      </c>
      <c r="C57" s="157"/>
      <c r="D57" s="158" t="s">
        <v>1056</v>
      </c>
      <c r="E57" s="157" t="str" cm="1">
        <f t="array" ref="E57">_xlfn.LET(_xlpm.listaComarcas, _xlfn.UNIQUE(_xlfn._xlws.FILTER(tabParametros[Comarca],tabParametros[CCT DA CATEGORIA]=tabSindicatos[[#This Row],[SINDICATOS]],"")),
IF(COUNTA(_xlpm.listaComarcas)=1,
_xlpm.listaComarcas&amp;".",
SUBSTITUTE(_xlfn.TEXTJOIN(", ",TRUE,_xlpm.listaComarcas),", "," e ",COUNTA(_xlpm.listaComarcas)-1)&amp;"."
)
)</f>
        <v>Belo Horizonte, Itambacuri, Machado, Uberaba e Uberlandia.</v>
      </c>
      <c r="F57" s="212">
        <v>29.14</v>
      </c>
      <c r="G57" s="212">
        <v>0</v>
      </c>
      <c r="H57" s="212">
        <v>51.73</v>
      </c>
      <c r="I57" s="212">
        <v>0</v>
      </c>
      <c r="J57" s="212">
        <v>0</v>
      </c>
      <c r="K57" s="213">
        <v>45658</v>
      </c>
      <c r="L57" s="209" t="s">
        <v>948</v>
      </c>
      <c r="M57" s="209" t="s">
        <v>948</v>
      </c>
      <c r="N57" s="156" t="s">
        <v>1057</v>
      </c>
    </row>
    <row r="58" spans="1:14" ht="128.25">
      <c r="A58" s="156" t="s">
        <v>1058</v>
      </c>
      <c r="B58" s="157" t="s">
        <v>1059</v>
      </c>
      <c r="C58" s="157"/>
      <c r="D58" s="158" t="s">
        <v>1798</v>
      </c>
      <c r="E58" s="157" t="str" cm="1">
        <f t="array" ref="E58">_xlfn.LET(_xlpm.listaComarcas, _xlfn.UNIQUE(_xlfn._xlws.FILTER(tabParametros[Comarca],tabParametros[CCT DA CATEGORIA]=tabSindicatos[[#This Row],[SINDICATOS]],"")),
IF(COUNTA(_xlpm.listaComarcas)=1,
_xlpm.listaComarcas&amp;".",
SUBSTITUTE(_xlfn.TEXTJOIN(", ",TRUE,_xlpm.listaComarcas),", "," e ",COUNTA(_xlpm.listaComarcas)-1)&amp;"."
)
)</f>
        <v>Betim, Brumadinho, Contagem, Ibirite, Lagoa Santa, Matozinhos, Nova Lima, Ribeirao das Neves, Sabara e Santa Luzia.</v>
      </c>
      <c r="F58" s="212">
        <v>29.15</v>
      </c>
      <c r="G58" s="212">
        <v>0</v>
      </c>
      <c r="H58" s="212">
        <v>77.25</v>
      </c>
      <c r="I58" s="212">
        <v>0</v>
      </c>
      <c r="J58" s="212">
        <v>0</v>
      </c>
      <c r="K58" s="213">
        <v>45658</v>
      </c>
      <c r="L58" s="209" t="s">
        <v>948</v>
      </c>
      <c r="M58" s="209" t="s">
        <v>948</v>
      </c>
      <c r="N58" s="156" t="s">
        <v>1060</v>
      </c>
    </row>
    <row r="59" spans="1:14">
      <c r="A59" s="156" t="s">
        <v>1061</v>
      </c>
      <c r="B59" s="157" t="s">
        <v>1036</v>
      </c>
      <c r="C59" s="157"/>
      <c r="D59" s="158" t="s">
        <v>289</v>
      </c>
      <c r="E59" s="157" t="str" cm="1">
        <f t="array" ref="E59">_xlfn.LET(_xlpm.listaComarcas, _xlfn.UNIQUE(_xlfn._xlws.FILTER(tabParametros[Comarca],tabParametros[CCT DA CATEGORIA]=tabSindicatos[[#This Row],[SINDICATOS]],"")),
IF(COUNTA(_xlpm.listaComarcas)=1,
_xlpm.listaComarcas&amp;".",
SUBSTITUTE(_xlfn.TEXTJOIN(", ",TRUE,_xlpm.listaComarcas),", "," e ",COUNTA(_xlpm.listaComarcas)-1)&amp;"."
)
)</f>
        <v>Belo Horizonte.</v>
      </c>
      <c r="F59" s="212">
        <v>29.15</v>
      </c>
      <c r="G59" s="212">
        <v>0</v>
      </c>
      <c r="H59" s="212">
        <v>0</v>
      </c>
      <c r="I59" s="212">
        <v>0</v>
      </c>
      <c r="J59" s="212">
        <v>0</v>
      </c>
      <c r="K59" s="213">
        <v>45658</v>
      </c>
      <c r="L59" s="209" t="s">
        <v>948</v>
      </c>
      <c r="M59" s="209" t="s">
        <v>948</v>
      </c>
      <c r="N59" s="156" t="s">
        <v>1062</v>
      </c>
    </row>
    <row r="60" spans="1:14" ht="409.5">
      <c r="A60" s="156" t="s">
        <v>1063</v>
      </c>
      <c r="B60" s="157" t="s">
        <v>1064</v>
      </c>
      <c r="C60" s="157"/>
      <c r="D60" s="158" t="s">
        <v>394</v>
      </c>
      <c r="E60" s="157" t="str" cm="1">
        <f t="array" ref="E60">_xlfn.LET(_xlpm.listaComarcas, _xlfn.UNIQUE(_xlfn._xlws.FILTER(tabParametros[Comarca],tabParametros[CCT DA CATEGORIA]=tabSindicatos[[#This Row],[SINDICATOS]],"")),
IF(COUNTA(_xlpm.listaComarcas)=1,
_xlpm.listaComarcas&amp;".",
SUBSTITUTE(_xlfn.TEXTJOIN(", ",TRUE,_xlpm.listaComarcas),", "," e ",COUNTA(_xlpm.listaComarcas)-1)&amp;"."
)
)</f>
        <v>Belo Horizonte e Uberlandia.</v>
      </c>
      <c r="F60" s="212">
        <v>25.15</v>
      </c>
      <c r="G60" s="212">
        <v>0</v>
      </c>
      <c r="H60" s="212">
        <v>0</v>
      </c>
      <c r="I60" s="212">
        <v>0</v>
      </c>
      <c r="J60" s="212">
        <v>0</v>
      </c>
      <c r="K60" s="213">
        <v>45292</v>
      </c>
      <c r="L60" s="209" t="s">
        <v>948</v>
      </c>
      <c r="M60" s="209" t="s">
        <v>948</v>
      </c>
      <c r="N60" s="156" t="s">
        <v>1065</v>
      </c>
    </row>
    <row r="61" spans="1:14" ht="128.25">
      <c r="A61" s="156" t="s">
        <v>1066</v>
      </c>
      <c r="B61" s="158" t="s">
        <v>1067</v>
      </c>
      <c r="C61" s="157"/>
      <c r="D61" s="158" t="s">
        <v>1798</v>
      </c>
      <c r="E61" s="157" t="str" cm="1">
        <f t="array" ref="E61">_xlfn.LET(_xlpm.listaComarcas, _xlfn.UNIQUE(_xlfn._xlws.FILTER(tabParametros[Comarca],tabParametros[CCT DA CATEGORIA]=tabSindicatos[[#This Row],[SINDICATOS]],"")),
IF(COUNTA(_xlpm.listaComarcas)=1,
_xlpm.listaComarcas&amp;".",
SUBSTITUTE(_xlfn.TEXTJOIN(", ",TRUE,_xlpm.listaComarcas),", "," e ",COUNTA(_xlpm.listaComarcas)-1)&amp;"."
)
)</f>
        <v>Teofilo Otoni.</v>
      </c>
      <c r="F61" s="212">
        <v>29.15</v>
      </c>
      <c r="G61" s="212">
        <v>0</v>
      </c>
      <c r="H61" s="212">
        <v>0</v>
      </c>
      <c r="I61" s="212">
        <v>15.07</v>
      </c>
      <c r="J61" s="212">
        <v>0</v>
      </c>
      <c r="K61" s="213">
        <v>45658</v>
      </c>
      <c r="L61" s="209" t="s">
        <v>948</v>
      </c>
      <c r="M61" s="209" t="s">
        <v>948</v>
      </c>
      <c r="N61" s="156" t="s">
        <v>1068</v>
      </c>
    </row>
    <row r="62" spans="1:14" ht="128.25">
      <c r="A62" s="156" t="s">
        <v>1069</v>
      </c>
      <c r="B62" s="157" t="s">
        <v>1069</v>
      </c>
      <c r="C62" s="157"/>
      <c r="D62" s="158" t="s">
        <v>1798</v>
      </c>
      <c r="E62" s="157" t="str" cm="1">
        <f t="array" ref="E62">_xlfn.LET(_xlpm.listaComarcas, _xlfn.UNIQUE(_xlfn._xlws.FILTER(tabParametros[Comarca],tabParametros[CCT DA CATEGORIA]=tabSindicatos[[#This Row],[SINDICATOS]],"")),
IF(COUNTA(_xlpm.listaComarcas)=1,
_xlpm.listaComarcas&amp;".",
SUBSTITUTE(_xlfn.TEXTJOIN(", ",TRUE,_xlpm.listaComarcas),", "," e ",COUNTA(_xlpm.listaComarcas)-1)&amp;"."
)
)</f>
        <v>Uberaba.</v>
      </c>
      <c r="F62" s="212">
        <v>29.15</v>
      </c>
      <c r="G62" s="212">
        <v>0</v>
      </c>
      <c r="H62" s="212">
        <v>51.86</v>
      </c>
      <c r="I62" s="212">
        <v>0</v>
      </c>
      <c r="J62" s="212">
        <v>0</v>
      </c>
      <c r="K62" s="213">
        <v>45658</v>
      </c>
      <c r="L62" s="209" t="s">
        <v>948</v>
      </c>
      <c r="M62" s="209" t="s">
        <v>948</v>
      </c>
      <c r="N62" s="156" t="s">
        <v>1070</v>
      </c>
    </row>
    <row r="63" spans="1:14" ht="128.25">
      <c r="A63" s="156" t="s">
        <v>1071</v>
      </c>
      <c r="B63" s="157" t="s">
        <v>1072</v>
      </c>
      <c r="C63" s="157"/>
      <c r="D63" s="158" t="s">
        <v>1798</v>
      </c>
      <c r="E63" s="157" t="str" cm="1">
        <f t="array" ref="E63">_xlfn.LET(_xlpm.listaComarcas, _xlfn.UNIQUE(_xlfn._xlws.FILTER(tabParametros[Comarca],tabParametros[CCT DA CATEGORIA]=tabSindicatos[[#This Row],[SINDICATOS]],"")),
IF(COUNTA(_xlpm.listaComarcas)=1,
_xlpm.listaComarcas&amp;".",
SUBSTITUTE(_xlfn.TEXTJOIN(", ",TRUE,_xlpm.listaComarcas),", "," e ",COUNTA(_xlpm.listaComarcas)-1)&amp;"."
)
)</f>
        <v>Uberlandia.</v>
      </c>
      <c r="F63" s="212">
        <v>0</v>
      </c>
      <c r="G63" s="212">
        <v>387.79</v>
      </c>
      <c r="H63" s="212">
        <v>42.97</v>
      </c>
      <c r="I63" s="212">
        <v>0</v>
      </c>
      <c r="J63" s="212">
        <v>0</v>
      </c>
      <c r="K63" s="213">
        <v>45658</v>
      </c>
      <c r="L63" s="209" t="s">
        <v>948</v>
      </c>
      <c r="M63" s="209" t="s">
        <v>948</v>
      </c>
      <c r="N63" s="156" t="s">
        <v>1073</v>
      </c>
    </row>
    <row r="64" spans="1:14" ht="128.25">
      <c r="A64" s="156" t="s">
        <v>1074</v>
      </c>
      <c r="B64" s="157" t="s">
        <v>1075</v>
      </c>
      <c r="C64" s="157"/>
      <c r="D64" s="158" t="s">
        <v>1798</v>
      </c>
      <c r="E64" s="157" t="str" cm="1">
        <f t="array" ref="E64">_xlfn.LET(_xlpm.listaComarcas, _xlfn.UNIQUE(_xlfn._xlws.FILTER(tabParametros[Comarca],tabParametros[CCT DA CATEGORIA]=tabSindicatos[[#This Row],[SINDICATOS]],"")),
IF(COUNTA(_xlpm.listaComarcas)=1,
_xlpm.listaComarcas&amp;".",
SUBSTITUTE(_xlfn.TEXTJOIN(", ",TRUE,_xlpm.listaComarcas),", "," e ",COUNTA(_xlpm.listaComarcas)-1)&amp;"."
)
)</f>
        <v>Vespasiano.</v>
      </c>
      <c r="F64" s="212">
        <v>29.15</v>
      </c>
      <c r="G64" s="212">
        <v>0</v>
      </c>
      <c r="H64" s="212">
        <v>0</v>
      </c>
      <c r="I64" s="212">
        <v>0</v>
      </c>
      <c r="J64" s="212">
        <v>0</v>
      </c>
      <c r="K64" s="213">
        <v>45658</v>
      </c>
      <c r="L64" s="209" t="s">
        <v>948</v>
      </c>
      <c r="M64" s="209" t="s">
        <v>948</v>
      </c>
      <c r="N64" s="156" t="s">
        <v>1076</v>
      </c>
    </row>
    <row r="65" spans="1:14" ht="128.25">
      <c r="A65" s="156" t="s">
        <v>1077</v>
      </c>
      <c r="B65" s="157" t="s">
        <v>1078</v>
      </c>
      <c r="C65" s="157" t="s">
        <v>1079</v>
      </c>
      <c r="D65" s="158" t="s">
        <v>1798</v>
      </c>
      <c r="E65" s="157" t="str" cm="1">
        <f t="array" ref="E65">_xlfn.LET(_xlpm.listaComarcas, _xlfn.UNIQUE(_xlfn._xlws.FILTER(tabParametros[Comarca],tabParametros[CCT DA CATEGORIA]=tabSindicatos[[#This Row],[SINDICATOS]],"")),
IF(COUNTA(_xlpm.listaComarcas)=1,
_xlpm.listaComarcas&amp;".",
SUBSTITUTE(_xlfn.TEXTJOIN(", ",TRUE,_xlpm.listaComarcas),", "," e ",COUNTA(_xlpm.listaComarcas)-1)&amp;"."
)
)</f>
        <v>Vicosa.</v>
      </c>
      <c r="F65" s="212">
        <v>29.15</v>
      </c>
      <c r="G65" s="212">
        <v>0</v>
      </c>
      <c r="H65" s="212">
        <v>51.86</v>
      </c>
      <c r="I65" s="212">
        <v>0</v>
      </c>
      <c r="J65" s="212">
        <v>0</v>
      </c>
      <c r="K65" s="213">
        <v>45658</v>
      </c>
      <c r="L65" s="209" t="s">
        <v>948</v>
      </c>
      <c r="M65" s="209" t="s">
        <v>948</v>
      </c>
      <c r="N65" s="156" t="s">
        <v>1080</v>
      </c>
    </row>
    <row r="66" spans="1:14">
      <c r="D66" s="159"/>
    </row>
  </sheetData>
  <phoneticPr fontId="9" type="noConversion"/>
  <pageMargins left="0.511811024" right="0.511811024" top="0.78740157499999996" bottom="0.78740157499999996" header="0.31496062000000002" footer="0.31496062000000002"/>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M344"/>
  <sheetViews>
    <sheetView workbookViewId="0">
      <pane ySplit="1" topLeftCell="A312" activePane="bottomLeft" state="frozen"/>
      <selection pane="bottomLeft" activeCell="J323" sqref="J323"/>
    </sheetView>
  </sheetViews>
  <sheetFormatPr defaultRowHeight="14.25"/>
  <cols>
    <col min="1" max="1" width="13" customWidth="1"/>
    <col min="2" max="2" width="21.625" bestFit="1" customWidth="1"/>
    <col min="3" max="3" width="31.25" customWidth="1"/>
    <col min="4" max="4" width="29.125" customWidth="1"/>
    <col min="5" max="5" width="15.875" customWidth="1"/>
    <col min="6" max="6" width="12.25" customWidth="1"/>
    <col min="7" max="7" width="11.375" customWidth="1"/>
    <col min="8" max="8" width="14" customWidth="1"/>
    <col min="9" max="9" width="18" customWidth="1"/>
    <col min="10" max="10" width="12.625" customWidth="1"/>
    <col min="11" max="11" width="12.75" customWidth="1"/>
    <col min="12" max="12" width="17.375" customWidth="1"/>
    <col min="13" max="13" width="15.75" customWidth="1"/>
    <col min="14" max="14" width="3.125" customWidth="1"/>
  </cols>
  <sheetData>
    <row r="1" spans="1:13" s="19" customFormat="1" ht="48.75" customHeight="1">
      <c r="A1" s="19" t="s">
        <v>1081</v>
      </c>
      <c r="B1" s="19" t="s">
        <v>1082</v>
      </c>
      <c r="C1" s="19" t="s">
        <v>1083</v>
      </c>
      <c r="D1" s="19" t="s">
        <v>1084</v>
      </c>
      <c r="E1" s="19" t="s">
        <v>1085</v>
      </c>
      <c r="F1" s="19" t="s">
        <v>1086</v>
      </c>
      <c r="G1" s="19" t="s">
        <v>1087</v>
      </c>
      <c r="H1" s="19" t="s">
        <v>1088</v>
      </c>
      <c r="I1" s="19" t="s">
        <v>1089</v>
      </c>
      <c r="J1" s="19" t="s">
        <v>895</v>
      </c>
      <c r="K1" s="19" t="s">
        <v>896</v>
      </c>
      <c r="L1" s="19" t="s">
        <v>897</v>
      </c>
      <c r="M1" s="19" t="s">
        <v>898</v>
      </c>
    </row>
    <row r="2" spans="1:13" ht="15" customHeight="1">
      <c r="A2" s="147" t="str" cm="1">
        <f t="array" ref="A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1.003.26</v>
      </c>
      <c r="B2" s="199" t="s">
        <v>1091</v>
      </c>
      <c r="C2" s="199" t="s">
        <v>1366</v>
      </c>
      <c r="D2" s="199" t="str" cm="1">
        <f t="array" ref="D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2" s="147" t="s">
        <v>1090</v>
      </c>
      <c r="F2" s="147" t="s">
        <v>120</v>
      </c>
      <c r="G2" s="147">
        <v>1</v>
      </c>
      <c r="H2" s="147">
        <v>0</v>
      </c>
      <c r="I2" s="214">
        <f>1.07*1.07*1.065*1.1016*1709.48/220*100</f>
        <v>1043.7162223913672</v>
      </c>
      <c r="J2" s="249">
        <f>VLOOKUP(tabPostos[[#This Row],[CCT DA CATEGORIA]],'RELAÇÃO SINDICATOS'!A:N,11,0)</f>
        <v>45658</v>
      </c>
      <c r="K2" s="147" t="str">
        <f>VLOOKUP(tabPostos[[#This Row],[CCT DA CATEGORIA]],'RELAÇÃO SINDICATOS'!A:N,12,0)</f>
        <v>-</v>
      </c>
      <c r="L2" s="147" t="str">
        <f>VLOOKUP(tabPostos[[#This Row],[CCT DA CATEGORIA]],'RELAÇÃO SINDICATOS'!A:N,13,0)</f>
        <v>-</v>
      </c>
      <c r="M2" s="147" t="str">
        <f>VLOOKUP(tabPostos[[#This Row],[CCT DA CATEGORIA]],'RELAÇÃO SINDICATOS'!A:N,14,0)</f>
        <v>MG004482/2024</v>
      </c>
    </row>
    <row r="3" spans="1:13" ht="15" customHeight="1">
      <c r="A3" s="147" t="str" cm="1">
        <f t="array" ref="A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1.003.29</v>
      </c>
      <c r="B3" s="199" t="s">
        <v>1091</v>
      </c>
      <c r="C3" s="199" t="s">
        <v>1368</v>
      </c>
      <c r="D3" s="199" t="str" cm="1">
        <f t="array" ref="D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3" s="147" t="s">
        <v>1090</v>
      </c>
      <c r="F3" s="147" t="s">
        <v>120</v>
      </c>
      <c r="G3" s="147">
        <v>1</v>
      </c>
      <c r="H3" s="147">
        <v>0</v>
      </c>
      <c r="I3" s="214">
        <f>1.07*1.07*1.065*1.1016*1709.48</f>
        <v>2296.1756892610078</v>
      </c>
      <c r="J3" s="249">
        <f>VLOOKUP(tabPostos[[#This Row],[CCT DA CATEGORIA]],'RELAÇÃO SINDICATOS'!A:N,11,0)</f>
        <v>45658</v>
      </c>
      <c r="K3" s="147" t="str">
        <f>VLOOKUP(tabPostos[[#This Row],[CCT DA CATEGORIA]],'RELAÇÃO SINDICATOS'!A:N,12,0)</f>
        <v>-</v>
      </c>
      <c r="L3" s="147" t="str">
        <f>VLOOKUP(tabPostos[[#This Row],[CCT DA CATEGORIA]],'RELAÇÃO SINDICATOS'!A:N,13,0)</f>
        <v>-</v>
      </c>
      <c r="M3" s="147" t="str">
        <f>VLOOKUP(tabPostos[[#This Row],[CCT DA CATEGORIA]],'RELAÇÃO SINDICATOS'!A:N,14,0)</f>
        <v>MG004482/2024</v>
      </c>
    </row>
    <row r="4" spans="1:13">
      <c r="A4" s="147" t="str" cm="1">
        <f t="array" ref="A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1.003.43</v>
      </c>
      <c r="B4" s="199" t="s">
        <v>1091</v>
      </c>
      <c r="C4" s="199" t="s">
        <v>314</v>
      </c>
      <c r="D4" s="199" t="str" cm="1">
        <f t="array" ref="D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4" s="147" t="s">
        <v>1090</v>
      </c>
      <c r="F4" s="147" t="s">
        <v>120</v>
      </c>
      <c r="G4" s="147">
        <v>1</v>
      </c>
      <c r="H4" s="147">
        <v>0</v>
      </c>
      <c r="I4" s="214">
        <f>1.07*1.07*1.065*1.1016*1461.74</f>
        <v>1963.4110092077037</v>
      </c>
      <c r="J4" s="249">
        <f>VLOOKUP(tabPostos[[#This Row],[CCT DA CATEGORIA]],'RELAÇÃO SINDICATOS'!A:N,11,0)</f>
        <v>45658</v>
      </c>
      <c r="K4" s="147" t="str">
        <f>VLOOKUP(tabPostos[[#This Row],[CCT DA CATEGORIA]],'RELAÇÃO SINDICATOS'!A:N,12,0)</f>
        <v>-</v>
      </c>
      <c r="L4" s="147" t="str">
        <f>VLOOKUP(tabPostos[[#This Row],[CCT DA CATEGORIA]],'RELAÇÃO SINDICATOS'!A:N,13,0)</f>
        <v>-</v>
      </c>
      <c r="M4" s="147" t="str">
        <f>VLOOKUP(tabPostos[[#This Row],[CCT DA CATEGORIA]],'RELAÇÃO SINDICATOS'!A:N,14,0)</f>
        <v>MG004482/2024</v>
      </c>
    </row>
    <row r="5" spans="1:13">
      <c r="A5" s="147" t="str" cm="1">
        <f t="array" ref="A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1.011.43</v>
      </c>
      <c r="B5" s="199" t="s">
        <v>1092</v>
      </c>
      <c r="C5" s="199" t="s">
        <v>314</v>
      </c>
      <c r="D5" s="199" t="str" cm="1">
        <f t="array" ref="D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5" s="147" t="s">
        <v>1090</v>
      </c>
      <c r="F5" s="147" t="s">
        <v>120</v>
      </c>
      <c r="G5" s="147">
        <v>1</v>
      </c>
      <c r="H5" s="147">
        <v>0</v>
      </c>
      <c r="I5" s="214">
        <f>1.07*1.07*1.065*1.1016*1461.74</f>
        <v>1963.4110092077037</v>
      </c>
      <c r="J5" s="249">
        <f>VLOOKUP(tabPostos[[#This Row],[CCT DA CATEGORIA]],'RELAÇÃO SINDICATOS'!A:N,11,0)</f>
        <v>45658</v>
      </c>
      <c r="K5" s="147" t="str">
        <f>VLOOKUP(tabPostos[[#This Row],[CCT DA CATEGORIA]],'RELAÇÃO SINDICATOS'!A:N,12,0)</f>
        <v>-</v>
      </c>
      <c r="L5" s="147" t="str">
        <f>VLOOKUP(tabPostos[[#This Row],[CCT DA CATEGORIA]],'RELAÇÃO SINDICATOS'!A:N,13,0)</f>
        <v>-</v>
      </c>
      <c r="M5" s="147" t="str">
        <f>VLOOKUP(tabPostos[[#This Row],[CCT DA CATEGORIA]],'RELAÇÃO SINDICATOS'!A:N,14,0)</f>
        <v>MG004482/2024</v>
      </c>
    </row>
    <row r="6" spans="1:13">
      <c r="A6" s="147" t="str" cm="1">
        <f t="array" ref="A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1.015.13</v>
      </c>
      <c r="B6" s="199" t="s">
        <v>1093</v>
      </c>
      <c r="C6" s="199" t="s">
        <v>200</v>
      </c>
      <c r="D6" s="199" t="str" cm="1">
        <f t="array" ref="D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6" s="147" t="s">
        <v>1090</v>
      </c>
      <c r="F6" s="147" t="s">
        <v>120</v>
      </c>
      <c r="G6" s="147">
        <v>1</v>
      </c>
      <c r="H6" s="147">
        <v>0</v>
      </c>
      <c r="I6" s="214">
        <f>1.07*1.07*1.065*1.1016*1188.41</f>
        <v>1596.273808921236</v>
      </c>
      <c r="J6" s="249">
        <f>VLOOKUP(tabPostos[[#This Row],[CCT DA CATEGORIA]],'RELAÇÃO SINDICATOS'!A:N,11,0)</f>
        <v>45658</v>
      </c>
      <c r="K6" s="147" t="str">
        <f>VLOOKUP(tabPostos[[#This Row],[CCT DA CATEGORIA]],'RELAÇÃO SINDICATOS'!A:N,12,0)</f>
        <v>-</v>
      </c>
      <c r="L6" s="147" t="str">
        <f>VLOOKUP(tabPostos[[#This Row],[CCT DA CATEGORIA]],'RELAÇÃO SINDICATOS'!A:N,13,0)</f>
        <v>-</v>
      </c>
      <c r="M6" s="147" t="str">
        <f>VLOOKUP(tabPostos[[#This Row],[CCT DA CATEGORIA]],'RELAÇÃO SINDICATOS'!A:N,14,0)</f>
        <v>MG000299/2025</v>
      </c>
    </row>
    <row r="7" spans="1:13">
      <c r="A7" s="147" t="str" cm="1">
        <f t="array" ref="A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1.015.45</v>
      </c>
      <c r="B7" s="199" t="s">
        <v>1093</v>
      </c>
      <c r="C7" s="199" t="s">
        <v>324</v>
      </c>
      <c r="D7" s="199" t="str" cm="1">
        <f t="array" ref="D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7" s="147" t="s">
        <v>1090</v>
      </c>
      <c r="F7" s="147" t="s">
        <v>120</v>
      </c>
      <c r="G7" s="147">
        <v>1</v>
      </c>
      <c r="H7" s="147">
        <v>0</v>
      </c>
      <c r="I7" s="214">
        <f>1.07*1.07*1.065*1.1016*2529.13</f>
        <v>3397.1306016921476</v>
      </c>
      <c r="J7" s="249">
        <f>VLOOKUP(tabPostos[[#This Row],[CCT DA CATEGORIA]],'RELAÇÃO SINDICATOS'!A:N,11,0)</f>
        <v>45658</v>
      </c>
      <c r="K7" s="147" t="str">
        <f>VLOOKUP(tabPostos[[#This Row],[CCT DA CATEGORIA]],'RELAÇÃO SINDICATOS'!A:N,12,0)</f>
        <v>-</v>
      </c>
      <c r="L7" s="147" t="str">
        <f>VLOOKUP(tabPostos[[#This Row],[CCT DA CATEGORIA]],'RELAÇÃO SINDICATOS'!A:N,13,0)</f>
        <v>-</v>
      </c>
      <c r="M7" s="147" t="str">
        <f>VLOOKUP(tabPostos[[#This Row],[CCT DA CATEGORIA]],'RELAÇÃO SINDICATOS'!A:N,14,0)</f>
        <v>MG000299/2025</v>
      </c>
    </row>
    <row r="8" spans="1:13">
      <c r="A8" s="147" t="str" cm="1">
        <f t="array" ref="A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1.016.28</v>
      </c>
      <c r="B8" s="199" t="s">
        <v>1094</v>
      </c>
      <c r="C8" s="199" t="s">
        <v>244</v>
      </c>
      <c r="D8" s="199" t="str" cm="1">
        <f t="array" ref="D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8" s="147" t="s">
        <v>1090</v>
      </c>
      <c r="F8" s="147" t="s">
        <v>120</v>
      </c>
      <c r="G8" s="147">
        <v>1</v>
      </c>
      <c r="H8" s="147">
        <v>0</v>
      </c>
      <c r="I8" s="214">
        <f>1.07*1.07*1.065*1.1016*1709.48</f>
        <v>2296.1756892610078</v>
      </c>
      <c r="J8" s="249">
        <f>VLOOKUP(tabPostos[[#This Row],[CCT DA CATEGORIA]],'RELAÇÃO SINDICATOS'!A:N,11,0)</f>
        <v>45658</v>
      </c>
      <c r="K8" s="147" t="str">
        <f>VLOOKUP(tabPostos[[#This Row],[CCT DA CATEGORIA]],'RELAÇÃO SINDICATOS'!A:N,12,0)</f>
        <v>-</v>
      </c>
      <c r="L8" s="147" t="str">
        <f>VLOOKUP(tabPostos[[#This Row],[CCT DA CATEGORIA]],'RELAÇÃO SINDICATOS'!A:N,13,0)</f>
        <v>-</v>
      </c>
      <c r="M8" s="147" t="str">
        <f>VLOOKUP(tabPostos[[#This Row],[CCT DA CATEGORIA]],'RELAÇÃO SINDICATOS'!A:N,14,0)</f>
        <v>MG000594/2025</v>
      </c>
    </row>
    <row r="9" spans="1:13">
      <c r="A9" s="147" t="str" cm="1">
        <f t="array" ref="A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1.016.45</v>
      </c>
      <c r="B9" s="199" t="s">
        <v>1094</v>
      </c>
      <c r="C9" s="199" t="s">
        <v>324</v>
      </c>
      <c r="D9" s="199" t="str" cm="1">
        <f t="array" ref="D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9" s="147" t="s">
        <v>1090</v>
      </c>
      <c r="F9" s="147" t="s">
        <v>120</v>
      </c>
      <c r="G9" s="147">
        <v>1</v>
      </c>
      <c r="H9" s="147">
        <v>0</v>
      </c>
      <c r="I9" s="214">
        <f>1.07*1.07*1.065*1.1016*1.045*2420.22</f>
        <v>3397.130467372021</v>
      </c>
      <c r="J9" s="249">
        <f>VLOOKUP(tabPostos[[#This Row],[CCT DA CATEGORIA]],'RELAÇÃO SINDICATOS'!A:N,11,0)</f>
        <v>45658</v>
      </c>
      <c r="K9" s="147" t="str">
        <f>VLOOKUP(tabPostos[[#This Row],[CCT DA CATEGORIA]],'RELAÇÃO SINDICATOS'!A:N,12,0)</f>
        <v>-</v>
      </c>
      <c r="L9" s="147" t="str">
        <f>VLOOKUP(tabPostos[[#This Row],[CCT DA CATEGORIA]],'RELAÇÃO SINDICATOS'!A:N,13,0)</f>
        <v>-</v>
      </c>
      <c r="M9" s="147" t="str">
        <f>VLOOKUP(tabPostos[[#This Row],[CCT DA CATEGORIA]],'RELAÇÃO SINDICATOS'!A:N,14,0)</f>
        <v>MG000594/2025</v>
      </c>
    </row>
    <row r="10" spans="1:13">
      <c r="A10" s="147" t="str" cm="1">
        <f t="array" ref="A1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1.017.45</v>
      </c>
      <c r="B10" s="199" t="s">
        <v>1095</v>
      </c>
      <c r="C10" s="199" t="s">
        <v>324</v>
      </c>
      <c r="D10" s="199" t="str" cm="1">
        <f t="array" ref="D1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Teofilo Otoni</v>
      </c>
      <c r="E10" s="147" t="s">
        <v>1090</v>
      </c>
      <c r="F10" s="147" t="s">
        <v>120</v>
      </c>
      <c r="G10" s="147">
        <v>1</v>
      </c>
      <c r="H10" s="147">
        <v>0</v>
      </c>
      <c r="I10" s="214">
        <f>1.07*1.07*1.065*1.1016*2529.13</f>
        <v>3397.1306016921476</v>
      </c>
      <c r="J10" s="249">
        <f>VLOOKUP(tabPostos[[#This Row],[CCT DA CATEGORIA]],'RELAÇÃO SINDICATOS'!A:N,11,0)</f>
        <v>45658</v>
      </c>
      <c r="K10" s="147" t="str">
        <f>VLOOKUP(tabPostos[[#This Row],[CCT DA CATEGORIA]],'RELAÇÃO SINDICATOS'!A:N,12,0)</f>
        <v>-</v>
      </c>
      <c r="L10" s="147" t="str">
        <f>VLOOKUP(tabPostos[[#This Row],[CCT DA CATEGORIA]],'RELAÇÃO SINDICATOS'!A:N,13,0)</f>
        <v>-</v>
      </c>
      <c r="M10" s="147" t="str">
        <f>VLOOKUP(tabPostos[[#This Row],[CCT DA CATEGORIA]],'RELAÇÃO SINDICATOS'!A:N,14,0)</f>
        <v>MG004488/2024</v>
      </c>
    </row>
    <row r="11" spans="1:13">
      <c r="A11" s="147" t="str" cm="1">
        <f t="array" ref="A1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1.019.43</v>
      </c>
      <c r="B11" s="199" t="s">
        <v>1096</v>
      </c>
      <c r="C11" s="199" t="s">
        <v>314</v>
      </c>
      <c r="D11" s="199" t="str" cm="1">
        <f t="array" ref="D1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1" s="147" t="s">
        <v>1090</v>
      </c>
      <c r="F11" s="147" t="s">
        <v>120</v>
      </c>
      <c r="G11" s="147">
        <v>1</v>
      </c>
      <c r="H11" s="147">
        <v>0</v>
      </c>
      <c r="I11" s="214">
        <f>1.07*1.07*1.065*1.1016*1.045*1398.79</f>
        <v>1963.4050319620983</v>
      </c>
      <c r="J11" s="249">
        <f>VLOOKUP(tabPostos[[#This Row],[CCT DA CATEGORIA]],'RELAÇÃO SINDICATOS'!A:N,11,0)</f>
        <v>45658</v>
      </c>
      <c r="K11" s="147" t="str">
        <f>VLOOKUP(tabPostos[[#This Row],[CCT DA CATEGORIA]],'RELAÇÃO SINDICATOS'!A:N,12,0)</f>
        <v>-</v>
      </c>
      <c r="L11" s="147" t="str">
        <f>VLOOKUP(tabPostos[[#This Row],[CCT DA CATEGORIA]],'RELAÇÃO SINDICATOS'!A:N,13,0)</f>
        <v>-</v>
      </c>
      <c r="M11" s="147" t="str">
        <f>VLOOKUP(tabPostos[[#This Row],[CCT DA CATEGORIA]],'RELAÇÃO SINDICATOS'!A:N,14,0)</f>
        <v>MG000594/2025</v>
      </c>
    </row>
    <row r="12" spans="1:13">
      <c r="A12" s="147" t="str" cm="1">
        <f t="array" ref="A1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1.026.43</v>
      </c>
      <c r="B12" s="199" t="s">
        <v>1097</v>
      </c>
      <c r="C12" s="199" t="s">
        <v>314</v>
      </c>
      <c r="D12" s="199" t="str" cm="1">
        <f t="array" ref="D1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2" s="147" t="s">
        <v>1090</v>
      </c>
      <c r="F12" s="147" t="s">
        <v>120</v>
      </c>
      <c r="G12" s="147">
        <v>1</v>
      </c>
      <c r="H12" s="147">
        <v>0</v>
      </c>
      <c r="I12" s="214">
        <f>1.07*1.07*1.065*1.1016*1.045*1398.79</f>
        <v>1963.4050319620983</v>
      </c>
      <c r="J12" s="249">
        <f>VLOOKUP(tabPostos[[#This Row],[CCT DA CATEGORIA]],'RELAÇÃO SINDICATOS'!A:N,11,0)</f>
        <v>45658</v>
      </c>
      <c r="K12" s="147" t="str">
        <f>VLOOKUP(tabPostos[[#This Row],[CCT DA CATEGORIA]],'RELAÇÃO SINDICATOS'!A:N,12,0)</f>
        <v>-</v>
      </c>
      <c r="L12" s="147" t="str">
        <f>VLOOKUP(tabPostos[[#This Row],[CCT DA CATEGORIA]],'RELAÇÃO SINDICATOS'!A:N,13,0)</f>
        <v>-</v>
      </c>
      <c r="M12" s="147" t="str">
        <f>VLOOKUP(tabPostos[[#This Row],[CCT DA CATEGORIA]],'RELAÇÃO SINDICATOS'!A:N,14,0)</f>
        <v>MG000594/2025</v>
      </c>
    </row>
    <row r="13" spans="1:13">
      <c r="A13" s="147" t="str" cm="1">
        <f t="array" ref="A1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1.035.13</v>
      </c>
      <c r="B13" s="199" t="s">
        <v>1098</v>
      </c>
      <c r="C13" s="199" t="s">
        <v>200</v>
      </c>
      <c r="D13" s="199" t="str" cm="1">
        <f t="array" ref="D1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13" s="147" t="s">
        <v>1090</v>
      </c>
      <c r="F13" s="147" t="s">
        <v>120</v>
      </c>
      <c r="G13" s="147">
        <v>3</v>
      </c>
      <c r="H13" s="147">
        <v>0</v>
      </c>
      <c r="I13" s="214">
        <f>1.07*1.07*1.065*1.1016*1188.41</f>
        <v>1596.273808921236</v>
      </c>
      <c r="J13" s="249">
        <f>VLOOKUP(tabPostos[[#This Row],[CCT DA CATEGORIA]],'RELAÇÃO SINDICATOS'!A:N,11,0)</f>
        <v>45658</v>
      </c>
      <c r="K13" s="147" t="str">
        <f>VLOOKUP(tabPostos[[#This Row],[CCT DA CATEGORIA]],'RELAÇÃO SINDICATOS'!A:N,12,0)</f>
        <v>-</v>
      </c>
      <c r="L13" s="147" t="str">
        <f>VLOOKUP(tabPostos[[#This Row],[CCT DA CATEGORIA]],'RELAÇÃO SINDICATOS'!A:N,13,0)</f>
        <v>-</v>
      </c>
      <c r="M13" s="147" t="str">
        <f>VLOOKUP(tabPostos[[#This Row],[CCT DA CATEGORIA]],'RELAÇÃO SINDICATOS'!A:N,14,0)</f>
        <v>MG001106/2025</v>
      </c>
    </row>
    <row r="14" spans="1:13">
      <c r="A14" s="147" t="str" cm="1">
        <f t="array" ref="A1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1.035.45</v>
      </c>
      <c r="B14" s="199" t="s">
        <v>1098</v>
      </c>
      <c r="C14" s="199" t="s">
        <v>324</v>
      </c>
      <c r="D14" s="199" t="str" cm="1">
        <f t="array" ref="D1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14" s="147" t="s">
        <v>1090</v>
      </c>
      <c r="F14" s="147" t="s">
        <v>120</v>
      </c>
      <c r="G14" s="147">
        <v>1</v>
      </c>
      <c r="H14" s="147">
        <v>0</v>
      </c>
      <c r="I14" s="214">
        <f>1.07*1.07*1.065*1.1016*1.045*2420.22</f>
        <v>3397.130467372021</v>
      </c>
      <c r="J14" s="249">
        <f>VLOOKUP(tabPostos[[#This Row],[CCT DA CATEGORIA]],'RELAÇÃO SINDICATOS'!A:N,11,0)</f>
        <v>45658</v>
      </c>
      <c r="K14" s="147" t="str">
        <f>VLOOKUP(tabPostos[[#This Row],[CCT DA CATEGORIA]],'RELAÇÃO SINDICATOS'!A:N,12,0)</f>
        <v>-</v>
      </c>
      <c r="L14" s="147" t="str">
        <f>VLOOKUP(tabPostos[[#This Row],[CCT DA CATEGORIA]],'RELAÇÃO SINDICATOS'!A:N,13,0)</f>
        <v>-</v>
      </c>
      <c r="M14" s="147" t="str">
        <f>VLOOKUP(tabPostos[[#This Row],[CCT DA CATEGORIA]],'RELAÇÃO SINDICATOS'!A:N,14,0)</f>
        <v>MG001106/2025</v>
      </c>
    </row>
    <row r="15" spans="1:13">
      <c r="A15" s="147" t="str" cm="1">
        <f t="array" ref="A1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1.040.35</v>
      </c>
      <c r="B15" s="199" t="s">
        <v>902</v>
      </c>
      <c r="C15" s="199" t="s">
        <v>274</v>
      </c>
      <c r="D15" s="199" t="str" cm="1">
        <f t="array" ref="D1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Araxa + SEAC-MG</v>
      </c>
      <c r="E15" s="147" t="s">
        <v>1090</v>
      </c>
      <c r="F15" s="147" t="s">
        <v>120</v>
      </c>
      <c r="G15" s="147">
        <v>1</v>
      </c>
      <c r="H15" s="147">
        <v>0</v>
      </c>
      <c r="I15" s="214">
        <f>1.07*1.065*1.1016*1.0435*1.0448*3200.72</f>
        <v>4380.5698893120352</v>
      </c>
      <c r="J15" s="249">
        <f>VLOOKUP(tabPostos[[#This Row],[CCT DA CATEGORIA]],'RELAÇÃO SINDICATOS'!A:N,11,0)</f>
        <v>45658</v>
      </c>
      <c r="K15" s="147" t="str">
        <f>VLOOKUP(tabPostos[[#This Row],[CCT DA CATEGORIA]],'RELAÇÃO SINDICATOS'!A:N,12,0)</f>
        <v>-</v>
      </c>
      <c r="L15" s="147" t="str">
        <f>VLOOKUP(tabPostos[[#This Row],[CCT DA CATEGORIA]],'RELAÇÃO SINDICATOS'!A:N,13,0)</f>
        <v>-</v>
      </c>
      <c r="M15" s="147" t="str">
        <f>VLOOKUP(tabPostos[[#This Row],[CCT DA CATEGORIA]],'RELAÇÃO SINDICATOS'!A:N,14,0)</f>
        <v>MG001917/2025</v>
      </c>
    </row>
    <row r="16" spans="1:13">
      <c r="A16" s="147" t="str" cm="1">
        <f t="array" ref="A1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1.040.44</v>
      </c>
      <c r="B16" s="199" t="s">
        <v>902</v>
      </c>
      <c r="C16" s="199" t="s">
        <v>319</v>
      </c>
      <c r="D16" s="199" t="str" cm="1">
        <f t="array" ref="D1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Araxa</v>
      </c>
      <c r="E16" s="147" t="s">
        <v>1090</v>
      </c>
      <c r="F16" s="147" t="s">
        <v>120</v>
      </c>
      <c r="G16" s="147">
        <v>1</v>
      </c>
      <c r="H16" s="147">
        <v>0</v>
      </c>
      <c r="I16" s="214">
        <f>1.07*1.07*1.065*1.1016*1724.41</f>
        <v>2316.2296840668359</v>
      </c>
      <c r="J16" s="249">
        <f>VLOOKUP(tabPostos[[#This Row],[CCT DA CATEGORIA]],'RELAÇÃO SINDICATOS'!A:N,11,0)</f>
        <v>45658</v>
      </c>
      <c r="K16" s="147" t="str">
        <f>VLOOKUP(tabPostos[[#This Row],[CCT DA CATEGORIA]],'RELAÇÃO SINDICATOS'!A:N,12,0)</f>
        <v>-</v>
      </c>
      <c r="L16" s="147" t="str">
        <f>VLOOKUP(tabPostos[[#This Row],[CCT DA CATEGORIA]],'RELAÇÃO SINDICATOS'!A:N,13,0)</f>
        <v>-</v>
      </c>
      <c r="M16" s="147" t="str">
        <f>VLOOKUP(tabPostos[[#This Row],[CCT DA CATEGORIA]],'RELAÇÃO SINDICATOS'!A:N,14,0)</f>
        <v>MG000344/2025</v>
      </c>
    </row>
    <row r="17" spans="1:13">
      <c r="A17" s="147" t="str" cm="1">
        <f t="array" ref="A1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1.040.45</v>
      </c>
      <c r="B17" s="199" t="s">
        <v>902</v>
      </c>
      <c r="C17" s="199" t="s">
        <v>324</v>
      </c>
      <c r="D17" s="199" t="str" cm="1">
        <f t="array" ref="D1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Araxa</v>
      </c>
      <c r="E17" s="147" t="s">
        <v>1090</v>
      </c>
      <c r="F17" s="147" t="s">
        <v>120</v>
      </c>
      <c r="G17" s="147">
        <v>1</v>
      </c>
      <c r="H17" s="147">
        <v>0</v>
      </c>
      <c r="I17" s="214">
        <f>1.07*1.07*1.065*1.1016*2529.13</f>
        <v>3397.1306016921476</v>
      </c>
      <c r="J17" s="249">
        <f>VLOOKUP(tabPostos[[#This Row],[CCT DA CATEGORIA]],'RELAÇÃO SINDICATOS'!A:N,11,0)</f>
        <v>45658</v>
      </c>
      <c r="K17" s="147" t="str">
        <f>VLOOKUP(tabPostos[[#This Row],[CCT DA CATEGORIA]],'RELAÇÃO SINDICATOS'!A:N,12,0)</f>
        <v>-</v>
      </c>
      <c r="L17" s="147" t="str">
        <f>VLOOKUP(tabPostos[[#This Row],[CCT DA CATEGORIA]],'RELAÇÃO SINDICATOS'!A:N,13,0)</f>
        <v>-</v>
      </c>
      <c r="M17" s="147" t="str">
        <f>VLOOKUP(tabPostos[[#This Row],[CCT DA CATEGORIA]],'RELAÇÃO SINDICATOS'!A:N,14,0)</f>
        <v>MG000344/2025</v>
      </c>
    </row>
    <row r="18" spans="1:13">
      <c r="A18" s="147" t="str" cm="1">
        <f t="array" ref="A1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1.042.45</v>
      </c>
      <c r="B18" s="199" t="s">
        <v>1099</v>
      </c>
      <c r="C18" s="199" t="s">
        <v>324</v>
      </c>
      <c r="D18" s="199" t="str" cm="1">
        <f t="array" ref="D1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Divinopolis</v>
      </c>
      <c r="E18" s="147" t="s">
        <v>1090</v>
      </c>
      <c r="F18" s="147" t="s">
        <v>120</v>
      </c>
      <c r="G18" s="147">
        <v>1</v>
      </c>
      <c r="H18" s="147">
        <v>0</v>
      </c>
      <c r="I18" s="214">
        <f>1.07*1.07*1.065*1.1016*1.045*2420.22</f>
        <v>3397.130467372021</v>
      </c>
      <c r="J18" s="249">
        <f>VLOOKUP(tabPostos[[#This Row],[CCT DA CATEGORIA]],'RELAÇÃO SINDICATOS'!A:N,11,0)</f>
        <v>45658</v>
      </c>
      <c r="K18" s="147" t="str">
        <f>VLOOKUP(tabPostos[[#This Row],[CCT DA CATEGORIA]],'RELAÇÃO SINDICATOS'!A:N,12,0)</f>
        <v>-</v>
      </c>
      <c r="L18" s="147" t="str">
        <f>VLOOKUP(tabPostos[[#This Row],[CCT DA CATEGORIA]],'RELAÇÃO SINDICATOS'!A:N,13,0)</f>
        <v>-</v>
      </c>
      <c r="M18" s="147" t="str">
        <f>VLOOKUP(tabPostos[[#This Row],[CCT DA CATEGORIA]],'RELAÇÃO SINDICATOS'!A:N,14,0)</f>
        <v>MG001011/2025</v>
      </c>
    </row>
    <row r="19" spans="1:13">
      <c r="A19" s="147" t="str" cm="1">
        <f t="array" ref="A1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1.778.13</v>
      </c>
      <c r="B19" s="199" t="s">
        <v>1100</v>
      </c>
      <c r="C19" s="199" t="s">
        <v>200</v>
      </c>
      <c r="D19" s="199" t="str" cm="1">
        <f t="array" ref="D1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9" s="147" t="s">
        <v>1090</v>
      </c>
      <c r="F19" s="147" t="s">
        <v>120</v>
      </c>
      <c r="G19" s="147">
        <v>1</v>
      </c>
      <c r="H19" s="147">
        <v>0</v>
      </c>
      <c r="I19" s="214">
        <f>1.07*1.07*1.065*1.1016*1188.41</f>
        <v>1596.273808921236</v>
      </c>
      <c r="J19" s="249">
        <f>VLOOKUP(tabPostos[[#This Row],[CCT DA CATEGORIA]],'RELAÇÃO SINDICATOS'!A:N,11,0)</f>
        <v>45658</v>
      </c>
      <c r="K19" s="147" t="str">
        <f>VLOOKUP(tabPostos[[#This Row],[CCT DA CATEGORIA]],'RELAÇÃO SINDICATOS'!A:N,12,0)</f>
        <v>-</v>
      </c>
      <c r="L19" s="147" t="str">
        <f>VLOOKUP(tabPostos[[#This Row],[CCT DA CATEGORIA]],'RELAÇÃO SINDICATOS'!A:N,13,0)</f>
        <v>-</v>
      </c>
      <c r="M19" s="147" t="str">
        <f>VLOOKUP(tabPostos[[#This Row],[CCT DA CATEGORIA]],'RELAÇÃO SINDICATOS'!A:N,14,0)</f>
        <v>MG004482/2024</v>
      </c>
    </row>
    <row r="20" spans="1:13">
      <c r="A20" s="147" t="str" cm="1">
        <f t="array" ref="A2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1.778.43</v>
      </c>
      <c r="B20" s="199" t="s">
        <v>1100</v>
      </c>
      <c r="C20" s="199" t="s">
        <v>314</v>
      </c>
      <c r="D20" s="199" t="str" cm="1">
        <f t="array" ref="D2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20" s="147" t="s">
        <v>1090</v>
      </c>
      <c r="F20" s="147" t="s">
        <v>120</v>
      </c>
      <c r="G20" s="147">
        <v>1</v>
      </c>
      <c r="H20" s="147">
        <v>0</v>
      </c>
      <c r="I20" s="214">
        <f>1.07*1.07*1.065*1.1016*1461.74</f>
        <v>1963.4110092077037</v>
      </c>
      <c r="J20" s="249">
        <f>VLOOKUP(tabPostos[[#This Row],[CCT DA CATEGORIA]],'RELAÇÃO SINDICATOS'!A:N,11,0)</f>
        <v>45658</v>
      </c>
      <c r="K20" s="147" t="str">
        <f>VLOOKUP(tabPostos[[#This Row],[CCT DA CATEGORIA]],'RELAÇÃO SINDICATOS'!A:N,12,0)</f>
        <v>-</v>
      </c>
      <c r="L20" s="147" t="str">
        <f>VLOOKUP(tabPostos[[#This Row],[CCT DA CATEGORIA]],'RELAÇÃO SINDICATOS'!A:N,13,0)</f>
        <v>-</v>
      </c>
      <c r="M20" s="147" t="str">
        <f>VLOOKUP(tabPostos[[#This Row],[CCT DA CATEGORIA]],'RELAÇÃO SINDICATOS'!A:N,14,0)</f>
        <v>MG004482/2024</v>
      </c>
    </row>
    <row r="21" spans="1:13">
      <c r="A21" s="147" t="str" cm="1">
        <f t="array" ref="A2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1.054.45</v>
      </c>
      <c r="B21" s="199" t="s">
        <v>1101</v>
      </c>
      <c r="C21" s="199" t="s">
        <v>324</v>
      </c>
      <c r="D21" s="199" t="str" cm="1">
        <f t="array" ref="D2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Joao Monlevade</v>
      </c>
      <c r="E21" s="147" t="s">
        <v>1090</v>
      </c>
      <c r="F21" s="147" t="s">
        <v>120</v>
      </c>
      <c r="G21" s="147">
        <v>1</v>
      </c>
      <c r="H21" s="147">
        <v>0</v>
      </c>
      <c r="I21" s="214">
        <f>1.07*1.07*1.065*1.1016*2529.13</f>
        <v>3397.1306016921476</v>
      </c>
      <c r="J21" s="249">
        <f>VLOOKUP(tabPostos[[#This Row],[CCT DA CATEGORIA]],'RELAÇÃO SINDICATOS'!A:N,11,0)</f>
        <v>45658</v>
      </c>
      <c r="K21" s="147" t="str">
        <f>VLOOKUP(tabPostos[[#This Row],[CCT DA CATEGORIA]],'RELAÇÃO SINDICATOS'!A:N,12,0)</f>
        <v>-</v>
      </c>
      <c r="L21" s="147" t="str">
        <f>VLOOKUP(tabPostos[[#This Row],[CCT DA CATEGORIA]],'RELAÇÃO SINDICATOS'!A:N,13,0)</f>
        <v>-</v>
      </c>
      <c r="M21" s="147" t="str">
        <f>VLOOKUP(tabPostos[[#This Row],[CCT DA CATEGORIA]],'RELAÇÃO SINDICATOS'!A:N,14,0)</f>
        <v>MG001172/2025</v>
      </c>
    </row>
    <row r="22" spans="1:13">
      <c r="A22" s="147" t="str" cm="1">
        <f t="array" ref="A2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1.056.35</v>
      </c>
      <c r="B22" s="199" t="s">
        <v>1102</v>
      </c>
      <c r="C22" s="199" t="s">
        <v>274</v>
      </c>
      <c r="D22" s="199" t="str" cm="1">
        <f t="array" ref="D2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Barbacena + SEAC-MG</v>
      </c>
      <c r="E22" s="147" t="s">
        <v>1090</v>
      </c>
      <c r="F22" s="147" t="s">
        <v>120</v>
      </c>
      <c r="G22" s="147">
        <v>2</v>
      </c>
      <c r="H22" s="147">
        <v>0</v>
      </c>
      <c r="I22" s="214">
        <f>1.05*1.07*1.065*1.1016*1.0435*3313.92</f>
        <v>4558.0709943632919</v>
      </c>
      <c r="J22" s="249">
        <f>VLOOKUP(tabPostos[[#This Row],[CCT DA CATEGORIA]],'RELAÇÃO SINDICATOS'!A:N,11,0)</f>
        <v>45658</v>
      </c>
      <c r="K22" s="147" t="str">
        <f>VLOOKUP(tabPostos[[#This Row],[CCT DA CATEGORIA]],'RELAÇÃO SINDICATOS'!A:N,12,0)</f>
        <v>-</v>
      </c>
      <c r="L22" s="147" t="str">
        <f>VLOOKUP(tabPostos[[#This Row],[CCT DA CATEGORIA]],'RELAÇÃO SINDICATOS'!A:N,13,0)</f>
        <v>-</v>
      </c>
      <c r="M22" s="147" t="str">
        <f>VLOOKUP(tabPostos[[#This Row],[CCT DA CATEGORIA]],'RELAÇÃO SINDICATOS'!A:N,14,0)</f>
        <v>MG001433/2025</v>
      </c>
    </row>
    <row r="23" spans="1:13">
      <c r="A23" s="147" t="str" cm="1">
        <f t="array" ref="A2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1.056.44</v>
      </c>
      <c r="B23" s="199" t="s">
        <v>1102</v>
      </c>
      <c r="C23" s="199" t="s">
        <v>319</v>
      </c>
      <c r="D23" s="199" t="str" cm="1">
        <f t="array" ref="D2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23" s="147" t="s">
        <v>1090</v>
      </c>
      <c r="F23" s="147" t="s">
        <v>120</v>
      </c>
      <c r="G23" s="147">
        <v>1</v>
      </c>
      <c r="H23" s="147">
        <v>0</v>
      </c>
      <c r="I23" s="214">
        <f>1.07*1.07*1.065*1.1016*1724.41</f>
        <v>2316.2296840668359</v>
      </c>
      <c r="J23" s="249">
        <f>VLOOKUP(tabPostos[[#This Row],[CCT DA CATEGORIA]],'RELAÇÃO SINDICATOS'!A:N,11,0)</f>
        <v>45658</v>
      </c>
      <c r="K23" s="147" t="str">
        <f>VLOOKUP(tabPostos[[#This Row],[CCT DA CATEGORIA]],'RELAÇÃO SINDICATOS'!A:N,12,0)</f>
        <v>-</v>
      </c>
      <c r="L23" s="147" t="str">
        <f>VLOOKUP(tabPostos[[#This Row],[CCT DA CATEGORIA]],'RELAÇÃO SINDICATOS'!A:N,13,0)</f>
        <v>-</v>
      </c>
      <c r="M23" s="147" t="str">
        <f>VLOOKUP(tabPostos[[#This Row],[CCT DA CATEGORIA]],'RELAÇÃO SINDICATOS'!A:N,14,0)</f>
        <v>MG000506/2025</v>
      </c>
    </row>
    <row r="24" spans="1:13">
      <c r="A24" s="147" t="str" cm="1">
        <f t="array" ref="A2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1.024.01</v>
      </c>
      <c r="B24" s="199" t="s">
        <v>1103</v>
      </c>
      <c r="C24" s="199" t="s">
        <v>118</v>
      </c>
      <c r="D24" s="199" t="str" cm="1">
        <f t="array" ref="D2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24" s="147" t="s">
        <v>1090</v>
      </c>
      <c r="F24" s="147" t="s">
        <v>120</v>
      </c>
      <c r="G24" s="147">
        <v>10</v>
      </c>
      <c r="H24" s="147">
        <v>0</v>
      </c>
      <c r="I24" s="214">
        <v>2449.21</v>
      </c>
      <c r="J24" s="249">
        <f>VLOOKUP(tabPostos[[#This Row],[CCT DA CATEGORIA]],'RELAÇÃO SINDICATOS'!A:N,11,0)</f>
        <v>45658</v>
      </c>
      <c r="K24" s="147" t="str">
        <f>VLOOKUP(tabPostos[[#This Row],[CCT DA CATEGORIA]],'RELAÇÃO SINDICATOS'!A:N,12,0)</f>
        <v>-</v>
      </c>
      <c r="L24" s="147" t="str">
        <f>VLOOKUP(tabPostos[[#This Row],[CCT DA CATEGORIA]],'RELAÇÃO SINDICATOS'!A:N,13,0)</f>
        <v>-</v>
      </c>
      <c r="M24" s="147" t="str">
        <f>VLOOKUP(tabPostos[[#This Row],[CCT DA CATEGORIA]],'RELAÇÃO SINDICATOS'!A:N,14,0)</f>
        <v>MG004474/2024</v>
      </c>
    </row>
    <row r="25" spans="1:13">
      <c r="A25" s="147" t="str" cm="1">
        <f t="array" ref="A2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1.024.02</v>
      </c>
      <c r="B25" s="199" t="s">
        <v>1103</v>
      </c>
      <c r="C25" s="199" t="s">
        <v>133</v>
      </c>
      <c r="D25" s="199" t="str" cm="1">
        <f t="array" ref="D2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25" s="147" t="s">
        <v>1090</v>
      </c>
      <c r="F25" s="147" t="s">
        <v>120</v>
      </c>
      <c r="G25" s="147">
        <v>20</v>
      </c>
      <c r="H25" s="147">
        <v>0</v>
      </c>
      <c r="I25" s="214">
        <f>1.07*1.07*1.065*1.1016*3550.22</f>
        <v>4768.659975857111</v>
      </c>
      <c r="J25" s="249">
        <f>VLOOKUP(tabPostos[[#This Row],[CCT DA CATEGORIA]],'RELAÇÃO SINDICATOS'!A:N,11,0)</f>
        <v>45658</v>
      </c>
      <c r="K25" s="147" t="str">
        <f>VLOOKUP(tabPostos[[#This Row],[CCT DA CATEGORIA]],'RELAÇÃO SINDICATOS'!A:N,12,0)</f>
        <v>-</v>
      </c>
      <c r="L25" s="147" t="str">
        <f>VLOOKUP(tabPostos[[#This Row],[CCT DA CATEGORIA]],'RELAÇÃO SINDICATOS'!A:N,13,0)</f>
        <v>-</v>
      </c>
      <c r="M25" s="147" t="str">
        <f>VLOOKUP(tabPostos[[#This Row],[CCT DA CATEGORIA]],'RELAÇÃO SINDICATOS'!A:N,14,0)</f>
        <v>MG004474/2024</v>
      </c>
    </row>
    <row r="26" spans="1:13">
      <c r="A26" s="147" t="str" cm="1">
        <f t="array" ref="A2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3.024.02</v>
      </c>
      <c r="B26" s="199" t="s">
        <v>1103</v>
      </c>
      <c r="C26" s="199" t="s">
        <v>133</v>
      </c>
      <c r="D26" s="199" t="str" cm="1">
        <f t="array" ref="D2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26" s="147" t="s">
        <v>1090</v>
      </c>
      <c r="F26" s="147" t="s">
        <v>135</v>
      </c>
      <c r="G26" s="147">
        <v>1</v>
      </c>
      <c r="H26" s="147">
        <v>0</v>
      </c>
      <c r="I26" s="214">
        <f>1.07*1.07*1.065*1.1016*3550.22</f>
        <v>4768.659975857111</v>
      </c>
      <c r="J26" s="249">
        <f>VLOOKUP(tabPostos[[#This Row],[CCT DA CATEGORIA]],'RELAÇÃO SINDICATOS'!A:N,11,0)</f>
        <v>45658</v>
      </c>
      <c r="K26" s="147" t="str">
        <f>VLOOKUP(tabPostos[[#This Row],[CCT DA CATEGORIA]],'RELAÇÃO SINDICATOS'!A:N,12,0)</f>
        <v>-</v>
      </c>
      <c r="L26" s="147" t="str">
        <f>VLOOKUP(tabPostos[[#This Row],[CCT DA CATEGORIA]],'RELAÇÃO SINDICATOS'!A:N,13,0)</f>
        <v>-</v>
      </c>
      <c r="M26" s="147" t="str">
        <f>VLOOKUP(tabPostos[[#This Row],[CCT DA CATEGORIA]],'RELAÇÃO SINDICATOS'!A:N,14,0)</f>
        <v>MG004474/2024</v>
      </c>
    </row>
    <row r="27" spans="1:13">
      <c r="A27" s="147" t="str" cm="1">
        <f t="array" ref="A2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1.024.03</v>
      </c>
      <c r="B27" s="199" t="s">
        <v>1103</v>
      </c>
      <c r="C27" s="199" t="s">
        <v>142</v>
      </c>
      <c r="D27" s="199" t="str" cm="1">
        <f t="array" ref="D2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27" s="147" t="s">
        <v>1090</v>
      </c>
      <c r="F27" s="147" t="s">
        <v>120</v>
      </c>
      <c r="G27" s="147">
        <f>89-1</f>
        <v>88</v>
      </c>
      <c r="H27" s="147">
        <v>0</v>
      </c>
      <c r="I27" s="214">
        <f>1.07*1.07*1.065*1.1016*3550.22</f>
        <v>4768.659975857111</v>
      </c>
      <c r="J27" s="249">
        <f>VLOOKUP(tabPostos[[#This Row],[CCT DA CATEGORIA]],'RELAÇÃO SINDICATOS'!A:N,11,0)</f>
        <v>45658</v>
      </c>
      <c r="K27" s="147" t="str">
        <f>VLOOKUP(tabPostos[[#This Row],[CCT DA CATEGORIA]],'RELAÇÃO SINDICATOS'!A:N,12,0)</f>
        <v>-</v>
      </c>
      <c r="L27" s="147" t="str">
        <f>VLOOKUP(tabPostos[[#This Row],[CCT DA CATEGORIA]],'RELAÇÃO SINDICATOS'!A:N,13,0)</f>
        <v>-</v>
      </c>
      <c r="M27" s="147" t="str">
        <f>VLOOKUP(tabPostos[[#This Row],[CCT DA CATEGORIA]],'RELAÇÃO SINDICATOS'!A:N,14,0)</f>
        <v>MG004474/2024</v>
      </c>
    </row>
    <row r="28" spans="1:13">
      <c r="A28" s="147" t="str" cm="1">
        <f t="array" ref="A2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3.024.03</v>
      </c>
      <c r="B28" s="199" t="s">
        <v>1103</v>
      </c>
      <c r="C28" s="199" t="s">
        <v>142</v>
      </c>
      <c r="D28" s="199" t="str" cm="1">
        <f t="array" ref="D2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28" s="147" t="s">
        <v>1090</v>
      </c>
      <c r="F28" s="147" t="s">
        <v>135</v>
      </c>
      <c r="G28" s="147">
        <f>13+1+15</f>
        <v>29</v>
      </c>
      <c r="H28" s="147">
        <v>0</v>
      </c>
      <c r="I28" s="214">
        <f>1.07*1.07*1.065*1.1016*3550.22</f>
        <v>4768.659975857111</v>
      </c>
      <c r="J28" s="249">
        <f>VLOOKUP(tabPostos[[#This Row],[CCT DA CATEGORIA]],'RELAÇÃO SINDICATOS'!A:N,11,0)</f>
        <v>45658</v>
      </c>
      <c r="K28" s="147" t="str">
        <f>VLOOKUP(tabPostos[[#This Row],[CCT DA CATEGORIA]],'RELAÇÃO SINDICATOS'!A:N,12,0)</f>
        <v>-</v>
      </c>
      <c r="L28" s="147" t="str">
        <f>VLOOKUP(tabPostos[[#This Row],[CCT DA CATEGORIA]],'RELAÇÃO SINDICATOS'!A:N,13,0)</f>
        <v>-</v>
      </c>
      <c r="M28" s="147" t="str">
        <f>VLOOKUP(tabPostos[[#This Row],[CCT DA CATEGORIA]],'RELAÇÃO SINDICATOS'!A:N,14,0)</f>
        <v>MG004474/2024</v>
      </c>
    </row>
    <row r="29" spans="1:13">
      <c r="A29" s="147" t="str" cm="1">
        <f t="array" ref="A2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1.024.04</v>
      </c>
      <c r="B29" s="199" t="s">
        <v>1103</v>
      </c>
      <c r="C29" s="199" t="s">
        <v>150</v>
      </c>
      <c r="D29" s="199" t="str" cm="1">
        <f t="array" ref="D2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29" s="147" t="s">
        <v>1090</v>
      </c>
      <c r="F29" s="147" t="s">
        <v>120</v>
      </c>
      <c r="G29" s="147">
        <v>15</v>
      </c>
      <c r="H29" s="147">
        <v>0</v>
      </c>
      <c r="I29" s="214">
        <v>8036.7</v>
      </c>
      <c r="J29" s="249">
        <f>VLOOKUP(tabPostos[[#This Row],[CCT DA CATEGORIA]],'RELAÇÃO SINDICATOS'!A:N,11,0)</f>
        <v>45658</v>
      </c>
      <c r="K29" s="147" t="str">
        <f>VLOOKUP(tabPostos[[#This Row],[CCT DA CATEGORIA]],'RELAÇÃO SINDICATOS'!A:N,12,0)</f>
        <v>-</v>
      </c>
      <c r="L29" s="147" t="str">
        <f>VLOOKUP(tabPostos[[#This Row],[CCT DA CATEGORIA]],'RELAÇÃO SINDICATOS'!A:N,13,0)</f>
        <v>-</v>
      </c>
      <c r="M29" s="147" t="str">
        <f>VLOOKUP(tabPostos[[#This Row],[CCT DA CATEGORIA]],'RELAÇÃO SINDICATOS'!A:N,14,0)</f>
        <v>MG000635/2025</v>
      </c>
    </row>
    <row r="30" spans="1:13">
      <c r="A30" s="147" t="str" cm="1">
        <f t="array" ref="A3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1.024.05</v>
      </c>
      <c r="B30" s="199" t="s">
        <v>1103</v>
      </c>
      <c r="C30" s="199" t="s">
        <v>159</v>
      </c>
      <c r="D30" s="199" t="str" cm="1">
        <f t="array" ref="D3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30" s="147" t="s">
        <v>1090</v>
      </c>
      <c r="F30" s="147" t="s">
        <v>120</v>
      </c>
      <c r="G30" s="147">
        <v>10</v>
      </c>
      <c r="H30" s="147">
        <v>0</v>
      </c>
      <c r="I30" s="214">
        <v>9236.7900000000009</v>
      </c>
      <c r="J30" s="249">
        <f>VLOOKUP(tabPostos[[#This Row],[CCT DA CATEGORIA]],'RELAÇÃO SINDICATOS'!A:N,11,0)</f>
        <v>45658</v>
      </c>
      <c r="K30" s="147" t="str">
        <f>VLOOKUP(tabPostos[[#This Row],[CCT DA CATEGORIA]],'RELAÇÃO SINDICATOS'!A:N,12,0)</f>
        <v>-</v>
      </c>
      <c r="L30" s="147" t="str">
        <f>VLOOKUP(tabPostos[[#This Row],[CCT DA CATEGORIA]],'RELAÇÃO SINDICATOS'!A:N,13,0)</f>
        <v>-</v>
      </c>
      <c r="M30" s="147" t="str">
        <f>VLOOKUP(tabPostos[[#This Row],[CCT DA CATEGORIA]],'RELAÇÃO SINDICATOS'!A:N,14,0)</f>
        <v>MG000635/2025</v>
      </c>
    </row>
    <row r="31" spans="1:13">
      <c r="A31" s="147" t="str" cm="1">
        <f t="array" ref="A3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1.024.06</v>
      </c>
      <c r="B31" s="199" t="s">
        <v>1103</v>
      </c>
      <c r="C31" s="199" t="s">
        <v>165</v>
      </c>
      <c r="D31" s="199" t="str" cm="1">
        <f t="array" ref="D3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31" s="147" t="s">
        <v>1090</v>
      </c>
      <c r="F31" s="147" t="s">
        <v>120</v>
      </c>
      <c r="G31" s="147">
        <v>25</v>
      </c>
      <c r="H31" s="147">
        <v>0</v>
      </c>
      <c r="I31" s="214">
        <f>1.07*1.07*1.065*1.1016*1819.18</f>
        <v>2443.5248674391278</v>
      </c>
      <c r="J31" s="249">
        <f>VLOOKUP(tabPostos[[#This Row],[CCT DA CATEGORIA]],'RELAÇÃO SINDICATOS'!A:N,11,0)</f>
        <v>45658</v>
      </c>
      <c r="K31" s="147" t="str">
        <f>VLOOKUP(tabPostos[[#This Row],[CCT DA CATEGORIA]],'RELAÇÃO SINDICATOS'!A:N,12,0)</f>
        <v>-</v>
      </c>
      <c r="L31" s="147" t="str">
        <f>VLOOKUP(tabPostos[[#This Row],[CCT DA CATEGORIA]],'RELAÇÃO SINDICATOS'!A:N,13,0)</f>
        <v>-</v>
      </c>
      <c r="M31" s="147" t="str">
        <f>VLOOKUP(tabPostos[[#This Row],[CCT DA CATEGORIA]],'RELAÇÃO SINDICATOS'!A:N,14,0)</f>
        <v>MG004474/2024</v>
      </c>
    </row>
    <row r="32" spans="1:13">
      <c r="A32" s="147" t="str" cm="1">
        <f t="array" ref="A3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1.024.07</v>
      </c>
      <c r="B32" s="199" t="s">
        <v>1103</v>
      </c>
      <c r="C32" s="199" t="s">
        <v>171</v>
      </c>
      <c r="D32" s="199" t="str" cm="1">
        <f t="array" ref="D3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32" s="147" t="s">
        <v>1090</v>
      </c>
      <c r="F32" s="147" t="s">
        <v>120</v>
      </c>
      <c r="G32" s="147">
        <v>3</v>
      </c>
      <c r="H32" s="147">
        <v>0</v>
      </c>
      <c r="I32" s="214">
        <f>1.07*1.07*1.065*1.1016*3079.56</f>
        <v>4136.4688710137752</v>
      </c>
      <c r="J32" s="249">
        <f>VLOOKUP(tabPostos[[#This Row],[CCT DA CATEGORIA]],'RELAÇÃO SINDICATOS'!A:N,11,0)</f>
        <v>45658</v>
      </c>
      <c r="K32" s="147" t="str">
        <f>VLOOKUP(tabPostos[[#This Row],[CCT DA CATEGORIA]],'RELAÇÃO SINDICATOS'!A:N,12,0)</f>
        <v>-</v>
      </c>
      <c r="L32" s="147" t="str">
        <f>VLOOKUP(tabPostos[[#This Row],[CCT DA CATEGORIA]],'RELAÇÃO SINDICATOS'!A:N,13,0)</f>
        <v>-</v>
      </c>
      <c r="M32" s="147" t="str">
        <f>VLOOKUP(tabPostos[[#This Row],[CCT DA CATEGORIA]],'RELAÇÃO SINDICATOS'!A:N,14,0)</f>
        <v>MG004474/2024</v>
      </c>
    </row>
    <row r="33" spans="1:13">
      <c r="A33" s="147" t="str" cm="1">
        <f t="array" ref="A3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1.024.08</v>
      </c>
      <c r="B33" s="199" t="s">
        <v>1103</v>
      </c>
      <c r="C33" s="199" t="s">
        <v>1799</v>
      </c>
      <c r="D33" s="199" t="str" cm="1">
        <f t="array" ref="D3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33" s="147" t="s">
        <v>1090</v>
      </c>
      <c r="F33" s="147" t="s">
        <v>120</v>
      </c>
      <c r="G33" s="147">
        <v>4</v>
      </c>
      <c r="H33" s="147">
        <v>0</v>
      </c>
      <c r="I33" s="214">
        <f>3755.4</f>
        <v>3755.4</v>
      </c>
      <c r="J33" s="249">
        <f>VLOOKUP(tabPostos[[#This Row],[CCT DA CATEGORIA]],'RELAÇÃO SINDICATOS'!A:N,11,0)</f>
        <v>45658</v>
      </c>
      <c r="K33" s="147" t="str">
        <f>VLOOKUP(tabPostos[[#This Row],[CCT DA CATEGORIA]],'RELAÇÃO SINDICATOS'!A:N,12,0)</f>
        <v>-</v>
      </c>
      <c r="L33" s="147" t="str">
        <f>VLOOKUP(tabPostos[[#This Row],[CCT DA CATEGORIA]],'RELAÇÃO SINDICATOS'!A:N,13,0)</f>
        <v>-</v>
      </c>
      <c r="M33" s="147" t="str">
        <f>VLOOKUP(tabPostos[[#This Row],[CCT DA CATEGORIA]],'RELAÇÃO SINDICATOS'!A:N,14,0)</f>
        <v>MG004474/2024</v>
      </c>
    </row>
    <row r="34" spans="1:13">
      <c r="A34" s="147" t="str" cm="1">
        <f t="array" ref="A3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1.024.09</v>
      </c>
      <c r="B34" s="199" t="s">
        <v>1103</v>
      </c>
      <c r="C34" s="199" t="s">
        <v>177</v>
      </c>
      <c r="D34" s="199" t="str" cm="1">
        <f t="array" ref="D3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34" s="147" t="s">
        <v>1090</v>
      </c>
      <c r="F34" s="147" t="s">
        <v>120</v>
      </c>
      <c r="G34" s="147">
        <v>6</v>
      </c>
      <c r="H34" s="147">
        <v>0</v>
      </c>
      <c r="I34" s="214">
        <f>1.07*1.07*1.065*1.1016*1819.18</f>
        <v>2443.5248674391278</v>
      </c>
      <c r="J34" s="249">
        <f>VLOOKUP(tabPostos[[#This Row],[CCT DA CATEGORIA]],'RELAÇÃO SINDICATOS'!A:N,11,0)</f>
        <v>45658</v>
      </c>
      <c r="K34" s="147" t="str">
        <f>VLOOKUP(tabPostos[[#This Row],[CCT DA CATEGORIA]],'RELAÇÃO SINDICATOS'!A:N,12,0)</f>
        <v>-</v>
      </c>
      <c r="L34" s="147" t="str">
        <f>VLOOKUP(tabPostos[[#This Row],[CCT DA CATEGORIA]],'RELAÇÃO SINDICATOS'!A:N,13,0)</f>
        <v>-</v>
      </c>
      <c r="M34" s="147" t="str">
        <f>VLOOKUP(tabPostos[[#This Row],[CCT DA CATEGORIA]],'RELAÇÃO SINDICATOS'!A:N,14,0)</f>
        <v>MG004474/2024</v>
      </c>
    </row>
    <row r="35" spans="1:13">
      <c r="A35" s="147" t="str" cm="1">
        <f t="array" ref="A3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1.024.10</v>
      </c>
      <c r="B35" s="199" t="s">
        <v>1103</v>
      </c>
      <c r="C35" s="199" t="s">
        <v>183</v>
      </c>
      <c r="D35" s="199" t="str" cm="1">
        <f t="array" ref="D3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35" s="147" t="s">
        <v>1090</v>
      </c>
      <c r="F35" s="147" t="s">
        <v>120</v>
      </c>
      <c r="G35" s="147">
        <f>18+2+2</f>
        <v>22</v>
      </c>
      <c r="H35" s="147">
        <v>0</v>
      </c>
      <c r="I35" s="214">
        <f>1.07*1.07*1.065*1.1016*1823.41</f>
        <v>2449.2066087672356</v>
      </c>
      <c r="J35" s="249">
        <f>VLOOKUP(tabPostos[[#This Row],[CCT DA CATEGORIA]],'RELAÇÃO SINDICATOS'!A:N,11,0)</f>
        <v>45658</v>
      </c>
      <c r="K35" s="147" t="str">
        <f>VLOOKUP(tabPostos[[#This Row],[CCT DA CATEGORIA]],'RELAÇÃO SINDICATOS'!A:N,12,0)</f>
        <v>-</v>
      </c>
      <c r="L35" s="147" t="str">
        <f>VLOOKUP(tabPostos[[#This Row],[CCT DA CATEGORIA]],'RELAÇÃO SINDICATOS'!A:N,13,0)</f>
        <v>-</v>
      </c>
      <c r="M35" s="147" t="str">
        <f>VLOOKUP(tabPostos[[#This Row],[CCT DA CATEGORIA]],'RELAÇÃO SINDICATOS'!A:N,14,0)</f>
        <v>MG004474/2024</v>
      </c>
    </row>
    <row r="36" spans="1:13">
      <c r="A36" s="147" t="str" cm="1">
        <f t="array" ref="A3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1.024.11</v>
      </c>
      <c r="B36" s="199" t="s">
        <v>1103</v>
      </c>
      <c r="C36" s="199" t="s">
        <v>189</v>
      </c>
      <c r="D36" s="199" t="str" cm="1">
        <f t="array" ref="D3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36" s="147" t="s">
        <v>1090</v>
      </c>
      <c r="F36" s="147" t="s">
        <v>120</v>
      </c>
      <c r="G36" s="147">
        <f>6+1+1</f>
        <v>8</v>
      </c>
      <c r="H36" s="147">
        <v>0</v>
      </c>
      <c r="I36" s="214">
        <f>1.07*1.07*1.065*1.1016*2735.11</f>
        <v>3673.8031971445557</v>
      </c>
      <c r="J36" s="249">
        <f>VLOOKUP(tabPostos[[#This Row],[CCT DA CATEGORIA]],'RELAÇÃO SINDICATOS'!A:N,11,0)</f>
        <v>45658</v>
      </c>
      <c r="K36" s="147" t="str">
        <f>VLOOKUP(tabPostos[[#This Row],[CCT DA CATEGORIA]],'RELAÇÃO SINDICATOS'!A:N,12,0)</f>
        <v>-</v>
      </c>
      <c r="L36" s="147" t="str">
        <f>VLOOKUP(tabPostos[[#This Row],[CCT DA CATEGORIA]],'RELAÇÃO SINDICATOS'!A:N,13,0)</f>
        <v>-</v>
      </c>
      <c r="M36" s="147" t="str">
        <f>VLOOKUP(tabPostos[[#This Row],[CCT DA CATEGORIA]],'RELAÇÃO SINDICATOS'!A:N,14,0)</f>
        <v>MG004474/2024</v>
      </c>
    </row>
    <row r="37" spans="1:13">
      <c r="A37" s="147" t="str" cm="1">
        <f t="array" ref="A3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1.024.12</v>
      </c>
      <c r="B37" s="199" t="s">
        <v>1103</v>
      </c>
      <c r="C37" s="199" t="s">
        <v>195</v>
      </c>
      <c r="D37" s="199" t="str" cm="1">
        <f t="array" ref="D3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37" s="147" t="s">
        <v>1090</v>
      </c>
      <c r="F37" s="147" t="s">
        <v>120</v>
      </c>
      <c r="G37" s="147">
        <v>20</v>
      </c>
      <c r="H37" s="147">
        <v>0</v>
      </c>
      <c r="I37" s="214">
        <f>1.07*1.07*1.065*1.1016*1227.75</f>
        <v>1649.1153464738998</v>
      </c>
      <c r="J37" s="249">
        <f>VLOOKUP(tabPostos[[#This Row],[CCT DA CATEGORIA]],'RELAÇÃO SINDICATOS'!A:N,11,0)</f>
        <v>45658</v>
      </c>
      <c r="K37" s="147" t="str">
        <f>VLOOKUP(tabPostos[[#This Row],[CCT DA CATEGORIA]],'RELAÇÃO SINDICATOS'!A:N,12,0)</f>
        <v>-</v>
      </c>
      <c r="L37" s="147" t="str">
        <f>VLOOKUP(tabPostos[[#This Row],[CCT DA CATEGORIA]],'RELAÇÃO SINDICATOS'!A:N,13,0)</f>
        <v>-</v>
      </c>
      <c r="M37" s="147" t="str">
        <f>VLOOKUP(tabPostos[[#This Row],[CCT DA CATEGORIA]],'RELAÇÃO SINDICATOS'!A:N,14,0)</f>
        <v>MG004474/2024</v>
      </c>
    </row>
    <row r="38" spans="1:13">
      <c r="A38" s="147" t="str" cm="1">
        <f t="array" ref="A3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1.024.13</v>
      </c>
      <c r="B38" s="199" t="s">
        <v>1103</v>
      </c>
      <c r="C38" s="199" t="s">
        <v>200</v>
      </c>
      <c r="D38" s="199" t="str" cm="1">
        <f t="array" ref="D3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38" s="147" t="s">
        <v>1090</v>
      </c>
      <c r="F38" s="147" t="s">
        <v>120</v>
      </c>
      <c r="G38" s="147">
        <v>45</v>
      </c>
      <c r="H38" s="147">
        <v>0</v>
      </c>
      <c r="I38" s="214">
        <f>1.07*1.07*1.065*1.1016*1227.75</f>
        <v>1649.1153464738998</v>
      </c>
      <c r="J38" s="249">
        <f>VLOOKUP(tabPostos[[#This Row],[CCT DA CATEGORIA]],'RELAÇÃO SINDICATOS'!A:N,11,0)</f>
        <v>45658</v>
      </c>
      <c r="K38" s="147" t="str">
        <f>VLOOKUP(tabPostos[[#This Row],[CCT DA CATEGORIA]],'RELAÇÃO SINDICATOS'!A:N,12,0)</f>
        <v>-</v>
      </c>
      <c r="L38" s="147" t="str">
        <f>VLOOKUP(tabPostos[[#This Row],[CCT DA CATEGORIA]],'RELAÇÃO SINDICATOS'!A:N,13,0)</f>
        <v>-</v>
      </c>
      <c r="M38" s="147" t="str">
        <f>VLOOKUP(tabPostos[[#This Row],[CCT DA CATEGORIA]],'RELAÇÃO SINDICATOS'!A:N,14,0)</f>
        <v>MG004474/2024</v>
      </c>
    </row>
    <row r="39" spans="1:13">
      <c r="A39" s="147" t="str" cm="1">
        <f t="array" ref="A3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1.024.14</v>
      </c>
      <c r="B39" s="199" t="s">
        <v>1103</v>
      </c>
      <c r="C39" s="199" t="s">
        <v>1371</v>
      </c>
      <c r="D39" s="199" t="str" cm="1">
        <f t="array" ref="D3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39" s="147" t="s">
        <v>1090</v>
      </c>
      <c r="F39" s="147" t="s">
        <v>120</v>
      </c>
      <c r="G39" s="147">
        <v>5</v>
      </c>
      <c r="H39" s="147">
        <v>0</v>
      </c>
      <c r="I39" s="214">
        <v>6454.87</v>
      </c>
      <c r="J39" s="249">
        <f>VLOOKUP(tabPostos[[#This Row],[CCT DA CATEGORIA]],'RELAÇÃO SINDICATOS'!A:N,11,0)</f>
        <v>45658</v>
      </c>
      <c r="K39" s="147" t="str">
        <f>VLOOKUP(tabPostos[[#This Row],[CCT DA CATEGORIA]],'RELAÇÃO SINDICATOS'!A:N,12,0)</f>
        <v>-</v>
      </c>
      <c r="L39" s="147" t="str">
        <f>VLOOKUP(tabPostos[[#This Row],[CCT DA CATEGORIA]],'RELAÇÃO SINDICATOS'!A:N,13,0)</f>
        <v>-</v>
      </c>
      <c r="M39" s="147" t="str">
        <f>VLOOKUP(tabPostos[[#This Row],[CCT DA CATEGORIA]],'RELAÇÃO SINDICATOS'!A:N,14,0)</f>
        <v>MG004474/2024</v>
      </c>
    </row>
    <row r="40" spans="1:13">
      <c r="A40" s="147" t="str" cm="1">
        <f t="array" ref="A4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1.024.15</v>
      </c>
      <c r="B40" s="199" t="s">
        <v>1103</v>
      </c>
      <c r="C40" s="199" t="s">
        <v>205</v>
      </c>
      <c r="D40" s="199" t="str" cm="1">
        <f t="array" ref="D4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40" s="147" t="s">
        <v>1090</v>
      </c>
      <c r="F40" s="147" t="s">
        <v>120</v>
      </c>
      <c r="G40" s="147">
        <v>12</v>
      </c>
      <c r="H40" s="147">
        <v>0</v>
      </c>
      <c r="I40" s="214">
        <f>1.07*1.07*1.065*1.1016*1227.75</f>
        <v>1649.1153464738998</v>
      </c>
      <c r="J40" s="249">
        <f>VLOOKUP(tabPostos[[#This Row],[CCT DA CATEGORIA]],'RELAÇÃO SINDICATOS'!A:N,11,0)</f>
        <v>45658</v>
      </c>
      <c r="K40" s="147" t="str">
        <f>VLOOKUP(tabPostos[[#This Row],[CCT DA CATEGORIA]],'RELAÇÃO SINDICATOS'!A:N,12,0)</f>
        <v>-</v>
      </c>
      <c r="L40" s="147" t="str">
        <f>VLOOKUP(tabPostos[[#This Row],[CCT DA CATEGORIA]],'RELAÇÃO SINDICATOS'!A:N,13,0)</f>
        <v>-</v>
      </c>
      <c r="M40" s="147" t="str">
        <f>VLOOKUP(tabPostos[[#This Row],[CCT DA CATEGORIA]],'RELAÇÃO SINDICATOS'!A:N,14,0)</f>
        <v>MG004474/2024</v>
      </c>
    </row>
    <row r="41" spans="1:13">
      <c r="A41" s="147" t="str" cm="1">
        <f t="array" ref="A4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1.024.16</v>
      </c>
      <c r="B41" s="199" t="s">
        <v>1103</v>
      </c>
      <c r="C41" s="199" t="s">
        <v>214</v>
      </c>
      <c r="D41" s="199" t="str" cm="1">
        <f t="array" ref="D4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41" s="147" t="s">
        <v>1090</v>
      </c>
      <c r="F41" s="147" t="s">
        <v>120</v>
      </c>
      <c r="G41" s="147">
        <v>8</v>
      </c>
      <c r="H41" s="147">
        <v>0</v>
      </c>
      <c r="I41" s="214">
        <f>1.07*1.07*1.065*1.1016*1.0435*1310.33</f>
        <v>1836.5985119240554</v>
      </c>
      <c r="J41" s="249">
        <f>VLOOKUP(tabPostos[[#This Row],[CCT DA CATEGORIA]],'RELAÇÃO SINDICATOS'!A:N,11,0)</f>
        <v>45658</v>
      </c>
      <c r="K41" s="147" t="str">
        <f>VLOOKUP(tabPostos[[#This Row],[CCT DA CATEGORIA]],'RELAÇÃO SINDICATOS'!A:N,12,0)</f>
        <v>-</v>
      </c>
      <c r="L41" s="147" t="str">
        <f>VLOOKUP(tabPostos[[#This Row],[CCT DA CATEGORIA]],'RELAÇÃO SINDICATOS'!A:N,13,0)</f>
        <v>-</v>
      </c>
      <c r="M41" s="147" t="str">
        <f>VLOOKUP(tabPostos[[#This Row],[CCT DA CATEGORIA]],'RELAÇÃO SINDICATOS'!A:N,14,0)</f>
        <v>MG000635/2025</v>
      </c>
    </row>
    <row r="42" spans="1:13">
      <c r="A42" s="147" t="str" cm="1">
        <f t="array" ref="A4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1.024.17</v>
      </c>
      <c r="B42" s="199" t="s">
        <v>1103</v>
      </c>
      <c r="C42" s="199" t="s">
        <v>219</v>
      </c>
      <c r="D42" s="199" t="str" cm="1">
        <f t="array" ref="D4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42" s="147" t="s">
        <v>1090</v>
      </c>
      <c r="F42" s="147" t="s">
        <v>120</v>
      </c>
      <c r="G42" s="147">
        <f>14+3+1</f>
        <v>18</v>
      </c>
      <c r="H42" s="147">
        <v>0</v>
      </c>
      <c r="I42" s="214">
        <f>1.07*1.07*1.065*1.1016*2735.11</f>
        <v>3673.8031971445557</v>
      </c>
      <c r="J42" s="249">
        <f>VLOOKUP(tabPostos[[#This Row],[CCT DA CATEGORIA]],'RELAÇÃO SINDICATOS'!A:N,11,0)</f>
        <v>45658</v>
      </c>
      <c r="K42" s="147" t="str">
        <f>VLOOKUP(tabPostos[[#This Row],[CCT DA CATEGORIA]],'RELAÇÃO SINDICATOS'!A:N,12,0)</f>
        <v>-</v>
      </c>
      <c r="L42" s="147" t="str">
        <f>VLOOKUP(tabPostos[[#This Row],[CCT DA CATEGORIA]],'RELAÇÃO SINDICATOS'!A:N,13,0)</f>
        <v>-</v>
      </c>
      <c r="M42" s="147" t="str">
        <f>VLOOKUP(tabPostos[[#This Row],[CCT DA CATEGORIA]],'RELAÇÃO SINDICATOS'!A:N,14,0)</f>
        <v>MG004474/2024</v>
      </c>
    </row>
    <row r="43" spans="1:13">
      <c r="A43" s="147" t="str" cm="1">
        <f t="array" ref="A4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1.024.18</v>
      </c>
      <c r="B43" s="199" t="s">
        <v>1103</v>
      </c>
      <c r="C43" s="199" t="s">
        <v>1364</v>
      </c>
      <c r="D43" s="199" t="str" cm="1">
        <f t="array" ref="D4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43" s="147" t="s">
        <v>1090</v>
      </c>
      <c r="F43" s="147" t="s">
        <v>120</v>
      </c>
      <c r="G43" s="147">
        <v>2</v>
      </c>
      <c r="H43" s="147">
        <v>0</v>
      </c>
      <c r="I43" s="214">
        <f>4052.14</f>
        <v>4052.14</v>
      </c>
      <c r="J43" s="249">
        <f>VLOOKUP(tabPostos[[#This Row],[CCT DA CATEGORIA]],'RELAÇÃO SINDICATOS'!A:N,11,0)</f>
        <v>45658</v>
      </c>
      <c r="K43" s="147" t="str">
        <f>VLOOKUP(tabPostos[[#This Row],[CCT DA CATEGORIA]],'RELAÇÃO SINDICATOS'!A:N,12,0)</f>
        <v>-</v>
      </c>
      <c r="L43" s="147" t="str">
        <f>VLOOKUP(tabPostos[[#This Row],[CCT DA CATEGORIA]],'RELAÇÃO SINDICATOS'!A:N,13,0)</f>
        <v>-</v>
      </c>
      <c r="M43" s="147" t="str">
        <f>VLOOKUP(tabPostos[[#This Row],[CCT DA CATEGORIA]],'RELAÇÃO SINDICATOS'!A:N,14,0)</f>
        <v>MG004474/2024</v>
      </c>
    </row>
    <row r="44" spans="1:13">
      <c r="A44" s="147" t="str" cm="1">
        <f t="array" ref="A4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1.024.19</v>
      </c>
      <c r="B44" s="199" t="s">
        <v>1103</v>
      </c>
      <c r="C44" s="199" t="s">
        <v>1521</v>
      </c>
      <c r="D44" s="199" t="str" cm="1">
        <f t="array" ref="D4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44" s="147" t="s">
        <v>1090</v>
      </c>
      <c r="F44" s="147" t="s">
        <v>120</v>
      </c>
      <c r="G44" s="147">
        <v>2</v>
      </c>
      <c r="H44" s="147">
        <v>0</v>
      </c>
      <c r="I44" s="214">
        <f>4052.14</f>
        <v>4052.14</v>
      </c>
      <c r="J44" s="249">
        <f>VLOOKUP(tabPostos[[#This Row],[CCT DA CATEGORIA]],'RELAÇÃO SINDICATOS'!A:N,11,0)</f>
        <v>45658</v>
      </c>
      <c r="K44" s="147" t="str">
        <f>VLOOKUP(tabPostos[[#This Row],[CCT DA CATEGORIA]],'RELAÇÃO SINDICATOS'!A:N,12,0)</f>
        <v>-</v>
      </c>
      <c r="L44" s="147" t="str">
        <f>VLOOKUP(tabPostos[[#This Row],[CCT DA CATEGORIA]],'RELAÇÃO SINDICATOS'!A:N,13,0)</f>
        <v>-</v>
      </c>
      <c r="M44" s="147" t="str">
        <f>VLOOKUP(tabPostos[[#This Row],[CCT DA CATEGORIA]],'RELAÇÃO SINDICATOS'!A:N,14,0)</f>
        <v>MG004474/2024</v>
      </c>
    </row>
    <row r="45" spans="1:13">
      <c r="A45" s="147" t="str" cm="1">
        <f t="array" ref="A4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1.024.20</v>
      </c>
      <c r="B45" s="199" t="s">
        <v>1103</v>
      </c>
      <c r="C45" s="199" t="s">
        <v>224</v>
      </c>
      <c r="D45" s="199" t="str" cm="1">
        <f t="array" ref="D4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45" s="147" t="s">
        <v>1090</v>
      </c>
      <c r="F45" s="147" t="s">
        <v>120</v>
      </c>
      <c r="G45" s="147">
        <v>5</v>
      </c>
      <c r="H45" s="147">
        <v>0</v>
      </c>
      <c r="I45" s="214">
        <f>4052.14</f>
        <v>4052.14</v>
      </c>
      <c r="J45" s="249">
        <f>VLOOKUP(tabPostos[[#This Row],[CCT DA CATEGORIA]],'RELAÇÃO SINDICATOS'!A:N,11,0)</f>
        <v>45658</v>
      </c>
      <c r="K45" s="147" t="str">
        <f>VLOOKUP(tabPostos[[#This Row],[CCT DA CATEGORIA]],'RELAÇÃO SINDICATOS'!A:N,12,0)</f>
        <v>-</v>
      </c>
      <c r="L45" s="147" t="str">
        <f>VLOOKUP(tabPostos[[#This Row],[CCT DA CATEGORIA]],'RELAÇÃO SINDICATOS'!A:N,13,0)</f>
        <v>-</v>
      </c>
      <c r="M45" s="147" t="str">
        <f>VLOOKUP(tabPostos[[#This Row],[CCT DA CATEGORIA]],'RELAÇÃO SINDICATOS'!A:N,14,0)</f>
        <v>MG004474/2024</v>
      </c>
    </row>
    <row r="46" spans="1:13">
      <c r="A46" s="147" t="str" cm="1">
        <f t="array" ref="A4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1.024.21</v>
      </c>
      <c r="B46" s="199" t="s">
        <v>1103</v>
      </c>
      <c r="C46" s="199" t="s">
        <v>229</v>
      </c>
      <c r="D46" s="199" t="str" cm="1">
        <f t="array" ref="D4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46" s="147" t="s">
        <v>1090</v>
      </c>
      <c r="F46" s="147" t="s">
        <v>120</v>
      </c>
      <c r="G46" s="147">
        <v>4</v>
      </c>
      <c r="H46" s="147">
        <v>0</v>
      </c>
      <c r="I46" s="214">
        <f>1.07*1.07*1.065*1.1016*2281.9</f>
        <v>3065.0509542812397</v>
      </c>
      <c r="J46" s="249">
        <f>VLOOKUP(tabPostos[[#This Row],[CCT DA CATEGORIA]],'RELAÇÃO SINDICATOS'!A:N,11,0)</f>
        <v>45658</v>
      </c>
      <c r="K46" s="147" t="str">
        <f>VLOOKUP(tabPostos[[#This Row],[CCT DA CATEGORIA]],'RELAÇÃO SINDICATOS'!A:N,12,0)</f>
        <v>-</v>
      </c>
      <c r="L46" s="147" t="str">
        <f>VLOOKUP(tabPostos[[#This Row],[CCT DA CATEGORIA]],'RELAÇÃO SINDICATOS'!A:N,13,0)</f>
        <v>-</v>
      </c>
      <c r="M46" s="147" t="str">
        <f>VLOOKUP(tabPostos[[#This Row],[CCT DA CATEGORIA]],'RELAÇÃO SINDICATOS'!A:N,14,0)</f>
        <v>MG004474/2024</v>
      </c>
    </row>
    <row r="47" spans="1:13">
      <c r="A47" s="147" t="str" cm="1">
        <f t="array" ref="A4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1.024.22</v>
      </c>
      <c r="B47" s="199" t="s">
        <v>1103</v>
      </c>
      <c r="C47" s="199" t="s">
        <v>1365</v>
      </c>
      <c r="D47" s="199" t="str" cm="1">
        <f t="array" ref="D4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47" s="147" t="s">
        <v>1090</v>
      </c>
      <c r="F47" s="147" t="s">
        <v>120</v>
      </c>
      <c r="G47" s="147">
        <v>2</v>
      </c>
      <c r="H47" s="147">
        <v>0</v>
      </c>
      <c r="I47" s="214">
        <f>1.07*1.07*1.065*1.1016*2742.52</f>
        <v>3683.7563184781916</v>
      </c>
      <c r="J47" s="249">
        <f>VLOOKUP(tabPostos[[#This Row],[CCT DA CATEGORIA]],'RELAÇÃO SINDICATOS'!A:N,11,0)</f>
        <v>45658</v>
      </c>
      <c r="K47" s="147" t="str">
        <f>VLOOKUP(tabPostos[[#This Row],[CCT DA CATEGORIA]],'RELAÇÃO SINDICATOS'!A:N,12,0)</f>
        <v>-</v>
      </c>
      <c r="L47" s="147" t="str">
        <f>VLOOKUP(tabPostos[[#This Row],[CCT DA CATEGORIA]],'RELAÇÃO SINDICATOS'!A:N,13,0)</f>
        <v>-</v>
      </c>
      <c r="M47" s="147" t="str">
        <f>VLOOKUP(tabPostos[[#This Row],[CCT DA CATEGORIA]],'RELAÇÃO SINDICATOS'!A:N,14,0)</f>
        <v>MG004474/2024</v>
      </c>
    </row>
    <row r="48" spans="1:13">
      <c r="A48" s="147" t="str" cm="1">
        <f t="array" ref="A4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1.024.23</v>
      </c>
      <c r="B48" s="199" t="s">
        <v>1103</v>
      </c>
      <c r="C48" s="199" t="s">
        <v>1522</v>
      </c>
      <c r="D48" s="199" t="str" cm="1">
        <f t="array" ref="D4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48" s="147" t="s">
        <v>1090</v>
      </c>
      <c r="F48" s="147" t="s">
        <v>120</v>
      </c>
      <c r="G48" s="147">
        <v>2</v>
      </c>
      <c r="H48" s="147">
        <v>0</v>
      </c>
      <c r="I48" s="214">
        <f>1.07*1.07*1.065*1.1016*2742.52</f>
        <v>3683.7563184781916</v>
      </c>
      <c r="J48" s="249">
        <f>VLOOKUP(tabPostos[[#This Row],[CCT DA CATEGORIA]],'RELAÇÃO SINDICATOS'!A:N,11,0)</f>
        <v>45658</v>
      </c>
      <c r="K48" s="147" t="str">
        <f>VLOOKUP(tabPostos[[#This Row],[CCT DA CATEGORIA]],'RELAÇÃO SINDICATOS'!A:N,12,0)</f>
        <v>-</v>
      </c>
      <c r="L48" s="147" t="str">
        <f>VLOOKUP(tabPostos[[#This Row],[CCT DA CATEGORIA]],'RELAÇÃO SINDICATOS'!A:N,13,0)</f>
        <v>-</v>
      </c>
      <c r="M48" s="147" t="str">
        <f>VLOOKUP(tabPostos[[#This Row],[CCT DA CATEGORIA]],'RELAÇÃO SINDICATOS'!A:N,14,0)</f>
        <v>MG004474/2024</v>
      </c>
    </row>
    <row r="49" spans="1:13">
      <c r="A49" s="147" t="str" cm="1">
        <f t="array" ref="A4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1.024.24</v>
      </c>
      <c r="B49" s="199" t="s">
        <v>1103</v>
      </c>
      <c r="C49" s="199" t="s">
        <v>234</v>
      </c>
      <c r="D49" s="199" t="str" cm="1">
        <f t="array" ref="D4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49" s="147" t="s">
        <v>1090</v>
      </c>
      <c r="F49" s="147" t="s">
        <v>120</v>
      </c>
      <c r="G49" s="147">
        <v>16</v>
      </c>
      <c r="H49" s="147">
        <v>0</v>
      </c>
      <c r="I49" s="214">
        <f>1.07*1.07*1.065*1.1016*2742.52</f>
        <v>3683.7563184781916</v>
      </c>
      <c r="J49" s="249">
        <f>VLOOKUP(tabPostos[[#This Row],[CCT DA CATEGORIA]],'RELAÇÃO SINDICATOS'!A:N,11,0)</f>
        <v>45658</v>
      </c>
      <c r="K49" s="147" t="str">
        <f>VLOOKUP(tabPostos[[#This Row],[CCT DA CATEGORIA]],'RELAÇÃO SINDICATOS'!A:N,12,0)</f>
        <v>-</v>
      </c>
      <c r="L49" s="147" t="str">
        <f>VLOOKUP(tabPostos[[#This Row],[CCT DA CATEGORIA]],'RELAÇÃO SINDICATOS'!A:N,13,0)</f>
        <v>-</v>
      </c>
      <c r="M49" s="147" t="str">
        <f>VLOOKUP(tabPostos[[#This Row],[CCT DA CATEGORIA]],'RELAÇÃO SINDICATOS'!A:N,14,0)</f>
        <v>MG004474/2024</v>
      </c>
    </row>
    <row r="50" spans="1:13">
      <c r="A50" s="147" t="str" cm="1">
        <f t="array" ref="A5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1.024.28</v>
      </c>
      <c r="B50" s="199" t="s">
        <v>1103</v>
      </c>
      <c r="C50" s="199" t="s">
        <v>244</v>
      </c>
      <c r="D50" s="199" t="str" cm="1">
        <f t="array" ref="D5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50" s="147" t="s">
        <v>1090</v>
      </c>
      <c r="F50" s="147" t="s">
        <v>120</v>
      </c>
      <c r="G50" s="147">
        <v>6</v>
      </c>
      <c r="H50" s="147">
        <v>0</v>
      </c>
      <c r="I50" s="214">
        <f>1.07*1.07*1.065*1.1016*1709.48</f>
        <v>2296.1756892610078</v>
      </c>
      <c r="J50" s="249">
        <f>VLOOKUP(tabPostos[[#This Row],[CCT DA CATEGORIA]],'RELAÇÃO SINDICATOS'!A:N,11,0)</f>
        <v>45658</v>
      </c>
      <c r="K50" s="147" t="str">
        <f>VLOOKUP(tabPostos[[#This Row],[CCT DA CATEGORIA]],'RELAÇÃO SINDICATOS'!A:N,12,0)</f>
        <v>-</v>
      </c>
      <c r="L50" s="147" t="str">
        <f>VLOOKUP(tabPostos[[#This Row],[CCT DA CATEGORIA]],'RELAÇÃO SINDICATOS'!A:N,13,0)</f>
        <v>-</v>
      </c>
      <c r="M50" s="147" t="str">
        <f>VLOOKUP(tabPostos[[#This Row],[CCT DA CATEGORIA]],'RELAÇÃO SINDICATOS'!A:N,14,0)</f>
        <v>MG004474/2024</v>
      </c>
    </row>
    <row r="51" spans="1:13">
      <c r="A51" s="147" t="str" cm="1">
        <f t="array" ref="A5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1.024.25</v>
      </c>
      <c r="B51" s="199" t="s">
        <v>1103</v>
      </c>
      <c r="C51" s="199" t="s">
        <v>239</v>
      </c>
      <c r="D51" s="199" t="str" cm="1">
        <f t="array" ref="D5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51" s="147" t="s">
        <v>1090</v>
      </c>
      <c r="F51" s="147" t="s">
        <v>120</v>
      </c>
      <c r="G51" s="147">
        <v>2</v>
      </c>
      <c r="H51" s="147">
        <v>0</v>
      </c>
      <c r="I51" s="214">
        <v>4804.62</v>
      </c>
      <c r="J51" s="249">
        <f>VLOOKUP(tabPostos[[#This Row],[CCT DA CATEGORIA]],'RELAÇÃO SINDICATOS'!A:N,11,0)</f>
        <v>45658</v>
      </c>
      <c r="K51" s="147" t="str">
        <f>VLOOKUP(tabPostos[[#This Row],[CCT DA CATEGORIA]],'RELAÇÃO SINDICATOS'!A:N,12,0)</f>
        <v>-</v>
      </c>
      <c r="L51" s="147" t="str">
        <f>VLOOKUP(tabPostos[[#This Row],[CCT DA CATEGORIA]],'RELAÇÃO SINDICATOS'!A:N,13,0)</f>
        <v>-</v>
      </c>
      <c r="M51" s="147" t="str">
        <f>VLOOKUP(tabPostos[[#This Row],[CCT DA CATEGORIA]],'RELAÇÃO SINDICATOS'!A:N,14,0)</f>
        <v>MG004474/2024</v>
      </c>
    </row>
    <row r="52" spans="1:13">
      <c r="A52" s="147" t="str" cm="1">
        <f t="array" ref="A5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1.024.30</v>
      </c>
      <c r="B52" s="199" t="s">
        <v>1103</v>
      </c>
      <c r="C52" s="199" t="s">
        <v>249</v>
      </c>
      <c r="D52" s="199" t="str" cm="1">
        <f t="array" ref="D5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52" s="147" t="s">
        <v>1090</v>
      </c>
      <c r="F52" s="147" t="s">
        <v>120</v>
      </c>
      <c r="G52" s="147">
        <v>1</v>
      </c>
      <c r="H52" s="147">
        <v>0</v>
      </c>
      <c r="I52" s="214">
        <f>1.07*1.07*1.065*1.1016*1227.75</f>
        <v>1649.1153464738998</v>
      </c>
      <c r="J52" s="249">
        <f>VLOOKUP(tabPostos[[#This Row],[CCT DA CATEGORIA]],'RELAÇÃO SINDICATOS'!A:N,11,0)</f>
        <v>45658</v>
      </c>
      <c r="K52" s="147" t="str">
        <f>VLOOKUP(tabPostos[[#This Row],[CCT DA CATEGORIA]],'RELAÇÃO SINDICATOS'!A:N,12,0)</f>
        <v>-</v>
      </c>
      <c r="L52" s="147" t="str">
        <f>VLOOKUP(tabPostos[[#This Row],[CCT DA CATEGORIA]],'RELAÇÃO SINDICATOS'!A:N,13,0)</f>
        <v>-</v>
      </c>
      <c r="M52" s="147" t="str">
        <f>VLOOKUP(tabPostos[[#This Row],[CCT DA CATEGORIA]],'RELAÇÃO SINDICATOS'!A:N,14,0)</f>
        <v>MG004474/2024</v>
      </c>
    </row>
    <row r="53" spans="1:13">
      <c r="A53" s="147" t="str" cm="1">
        <f t="array" ref="A5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1.024.31</v>
      </c>
      <c r="B53" s="199" t="s">
        <v>1103</v>
      </c>
      <c r="C53" s="199" t="s">
        <v>254</v>
      </c>
      <c r="D53" s="199" t="str" cm="1">
        <f t="array" ref="D5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53" s="147" t="s">
        <v>1090</v>
      </c>
      <c r="F53" s="147" t="s">
        <v>120</v>
      </c>
      <c r="G53" s="147">
        <v>7</v>
      </c>
      <c r="H53" s="147">
        <v>0</v>
      </c>
      <c r="I53" s="214">
        <f>1.07*1.07*1.065*1.1016*1833.89+0.01</f>
        <v>2463.2933579678438</v>
      </c>
      <c r="J53" s="249">
        <f>VLOOKUP(tabPostos[[#This Row],[CCT DA CATEGORIA]],'RELAÇÃO SINDICATOS'!A:N,11,0)</f>
        <v>45658</v>
      </c>
      <c r="K53" s="147" t="str">
        <f>VLOOKUP(tabPostos[[#This Row],[CCT DA CATEGORIA]],'RELAÇÃO SINDICATOS'!A:N,12,0)</f>
        <v>-</v>
      </c>
      <c r="L53" s="147" t="str">
        <f>VLOOKUP(tabPostos[[#This Row],[CCT DA CATEGORIA]],'RELAÇÃO SINDICATOS'!A:N,13,0)</f>
        <v>-</v>
      </c>
      <c r="M53" s="147" t="str">
        <f>VLOOKUP(tabPostos[[#This Row],[CCT DA CATEGORIA]],'RELAÇÃO SINDICATOS'!A:N,14,0)</f>
        <v>MG004474/2024</v>
      </c>
    </row>
    <row r="54" spans="1:13">
      <c r="A54" s="147" t="str" cm="1">
        <f t="array" ref="A5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1.024.32</v>
      </c>
      <c r="B54" s="199" t="s">
        <v>1103</v>
      </c>
      <c r="C54" s="199" t="s">
        <v>259</v>
      </c>
      <c r="D54" s="199" t="str" cm="1">
        <f t="array" ref="D5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54" s="147" t="s">
        <v>1090</v>
      </c>
      <c r="F54" s="147" t="s">
        <v>120</v>
      </c>
      <c r="G54" s="147">
        <v>13</v>
      </c>
      <c r="H54" s="147">
        <v>0</v>
      </c>
      <c r="I54" s="214">
        <f>1.07*1.07*1.065*1.1016*2735.11</f>
        <v>3673.8031971445557</v>
      </c>
      <c r="J54" s="249">
        <f>VLOOKUP(tabPostos[[#This Row],[CCT DA CATEGORIA]],'RELAÇÃO SINDICATOS'!A:N,11,0)</f>
        <v>45658</v>
      </c>
      <c r="K54" s="147" t="str">
        <f>VLOOKUP(tabPostos[[#This Row],[CCT DA CATEGORIA]],'RELAÇÃO SINDICATOS'!A:N,12,0)</f>
        <v>-</v>
      </c>
      <c r="L54" s="147" t="str">
        <f>VLOOKUP(tabPostos[[#This Row],[CCT DA CATEGORIA]],'RELAÇÃO SINDICATOS'!A:N,13,0)</f>
        <v>-</v>
      </c>
      <c r="M54" s="147" t="str">
        <f>VLOOKUP(tabPostos[[#This Row],[CCT DA CATEGORIA]],'RELAÇÃO SINDICATOS'!A:N,14,0)</f>
        <v>MG004474/2024</v>
      </c>
    </row>
    <row r="55" spans="1:13">
      <c r="A55" s="147" t="str" cm="1">
        <f t="array" ref="A5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1.024.33</v>
      </c>
      <c r="B55" s="199" t="s">
        <v>1103</v>
      </c>
      <c r="C55" s="199" t="s">
        <v>264</v>
      </c>
      <c r="D55" s="199" t="str" cm="1">
        <f t="array" ref="D5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Belo Horizonte + SEAC-MG</v>
      </c>
      <c r="E55" s="147" t="s">
        <v>1090</v>
      </c>
      <c r="F55" s="147" t="s">
        <v>120</v>
      </c>
      <c r="G55" s="147">
        <v>2</v>
      </c>
      <c r="H55" s="147">
        <v>0</v>
      </c>
      <c r="I55" s="214">
        <f>1.05*1.07*1.065*1.1016*1.0435*3313.92</f>
        <v>4558.0709943632919</v>
      </c>
      <c r="J55" s="249">
        <f>VLOOKUP(tabPostos[[#This Row],[CCT DA CATEGORIA]],'RELAÇÃO SINDICATOS'!A:N,11,0)</f>
        <v>45658</v>
      </c>
      <c r="K55" s="147" t="str">
        <f>VLOOKUP(tabPostos[[#This Row],[CCT DA CATEGORIA]],'RELAÇÃO SINDICATOS'!A:N,12,0)</f>
        <v>-</v>
      </c>
      <c r="L55" s="147" t="str">
        <f>VLOOKUP(tabPostos[[#This Row],[CCT DA CATEGORIA]],'RELAÇÃO SINDICATOS'!A:N,13,0)</f>
        <v>-</v>
      </c>
      <c r="M55" s="147" t="str">
        <f>VLOOKUP(tabPostos[[#This Row],[CCT DA CATEGORIA]],'RELAÇÃO SINDICATOS'!A:N,14,0)</f>
        <v>MG001242/2025</v>
      </c>
    </row>
    <row r="56" spans="1:13">
      <c r="A56" s="147" t="str" cm="1">
        <f t="array" ref="A5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1.024.34</v>
      </c>
      <c r="B56" s="199" t="s">
        <v>1103</v>
      </c>
      <c r="C56" s="199" t="s">
        <v>269</v>
      </c>
      <c r="D56" s="199" t="str" cm="1">
        <f t="array" ref="D5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Belo Horizonte + SEAC-MG</v>
      </c>
      <c r="E56" s="147" t="s">
        <v>1090</v>
      </c>
      <c r="F56" s="147" t="s">
        <v>120</v>
      </c>
      <c r="G56" s="147">
        <v>1</v>
      </c>
      <c r="H56" s="147">
        <v>0</v>
      </c>
      <c r="I56" s="214">
        <f>1.05*1.07*1.065*1.1016*1.0435*3313.92/220*150</f>
        <v>3107.775677974972</v>
      </c>
      <c r="J56" s="249">
        <f>VLOOKUP(tabPostos[[#This Row],[CCT DA CATEGORIA]],'RELAÇÃO SINDICATOS'!A:N,11,0)</f>
        <v>45658</v>
      </c>
      <c r="K56" s="147" t="str">
        <f>VLOOKUP(tabPostos[[#This Row],[CCT DA CATEGORIA]],'RELAÇÃO SINDICATOS'!A:N,12,0)</f>
        <v>-</v>
      </c>
      <c r="L56" s="147" t="str">
        <f>VLOOKUP(tabPostos[[#This Row],[CCT DA CATEGORIA]],'RELAÇÃO SINDICATOS'!A:N,13,0)</f>
        <v>-</v>
      </c>
      <c r="M56" s="147" t="str">
        <f>VLOOKUP(tabPostos[[#This Row],[CCT DA CATEGORIA]],'RELAÇÃO SINDICATOS'!A:N,14,0)</f>
        <v>MG001242/2025</v>
      </c>
    </row>
    <row r="57" spans="1:13">
      <c r="A57" s="147" t="str" cm="1">
        <f t="array" ref="A5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1.024.35</v>
      </c>
      <c r="B57" s="199" t="s">
        <v>1103</v>
      </c>
      <c r="C57" s="199" t="s">
        <v>274</v>
      </c>
      <c r="D57" s="199" t="str" cm="1">
        <f t="array" ref="D5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Belo Horizonte + SEAC-MG</v>
      </c>
      <c r="E57" s="147" t="s">
        <v>1090</v>
      </c>
      <c r="F57" s="147" t="s">
        <v>120</v>
      </c>
      <c r="G57" s="147">
        <f>89+2</f>
        <v>91</v>
      </c>
      <c r="H57" s="147">
        <v>0</v>
      </c>
      <c r="I57" s="214">
        <f>1.05*1.07*1.065*1.1016*1.0435*3313.92</f>
        <v>4558.0709943632919</v>
      </c>
      <c r="J57" s="249">
        <f>VLOOKUP(tabPostos[[#This Row],[CCT DA CATEGORIA]],'RELAÇÃO SINDICATOS'!A:N,11,0)</f>
        <v>45658</v>
      </c>
      <c r="K57" s="147" t="str">
        <f>VLOOKUP(tabPostos[[#This Row],[CCT DA CATEGORIA]],'RELAÇÃO SINDICATOS'!A:N,12,0)</f>
        <v>-</v>
      </c>
      <c r="L57" s="147" t="str">
        <f>VLOOKUP(tabPostos[[#This Row],[CCT DA CATEGORIA]],'RELAÇÃO SINDICATOS'!A:N,13,0)</f>
        <v>-</v>
      </c>
      <c r="M57" s="147" t="str">
        <f>VLOOKUP(tabPostos[[#This Row],[CCT DA CATEGORIA]],'RELAÇÃO SINDICATOS'!A:N,14,0)</f>
        <v>MG001242/2025</v>
      </c>
    </row>
    <row r="58" spans="1:13">
      <c r="A58" s="147" t="str" cm="1">
        <f t="array" ref="A5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1.024.36</v>
      </c>
      <c r="B58" s="199" t="s">
        <v>1103</v>
      </c>
      <c r="C58" s="199" t="s">
        <v>279</v>
      </c>
      <c r="D58" s="199" t="str" cm="1">
        <f t="array" ref="D5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Belo Horizonte + SEAC-MG</v>
      </c>
      <c r="E58" s="147" t="s">
        <v>1090</v>
      </c>
      <c r="F58" s="147" t="s">
        <v>120</v>
      </c>
      <c r="G58" s="147">
        <f>9+4</f>
        <v>13</v>
      </c>
      <c r="H58" s="147">
        <v>0</v>
      </c>
      <c r="I58" s="214">
        <f>1.05*1.07*1.065*1.1016*1.0435*3313.92</f>
        <v>4558.0709943632919</v>
      </c>
      <c r="J58" s="249">
        <f>VLOOKUP(tabPostos[[#This Row],[CCT DA CATEGORIA]],'RELAÇÃO SINDICATOS'!A:N,11,0)</f>
        <v>45658</v>
      </c>
      <c r="K58" s="147" t="str">
        <f>VLOOKUP(tabPostos[[#This Row],[CCT DA CATEGORIA]],'RELAÇÃO SINDICATOS'!A:N,12,0)</f>
        <v>-</v>
      </c>
      <c r="L58" s="147" t="str">
        <f>VLOOKUP(tabPostos[[#This Row],[CCT DA CATEGORIA]],'RELAÇÃO SINDICATOS'!A:N,13,0)</f>
        <v>-</v>
      </c>
      <c r="M58" s="147" t="str">
        <f>VLOOKUP(tabPostos[[#This Row],[CCT DA CATEGORIA]],'RELAÇÃO SINDICATOS'!A:N,14,0)</f>
        <v>MG001242/2025</v>
      </c>
    </row>
    <row r="59" spans="1:13">
      <c r="A59" s="147" t="str" cm="1">
        <f t="array" ref="A5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3.024.35</v>
      </c>
      <c r="B59" s="199" t="s">
        <v>1103</v>
      </c>
      <c r="C59" s="199" t="s">
        <v>274</v>
      </c>
      <c r="D59" s="199" t="str" cm="1">
        <f t="array" ref="D5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Belo Horizonte + SEAC-MG</v>
      </c>
      <c r="E59" s="147" t="s">
        <v>1090</v>
      </c>
      <c r="F59" s="147" t="s">
        <v>135</v>
      </c>
      <c r="G59" s="147">
        <v>7</v>
      </c>
      <c r="H59" s="147">
        <v>0</v>
      </c>
      <c r="I59" s="214">
        <f>1.05*1.07*1.065*1.1016*1.0435*3313.92</f>
        <v>4558.0709943632919</v>
      </c>
      <c r="J59" s="249">
        <f>VLOOKUP(tabPostos[[#This Row],[CCT DA CATEGORIA]],'RELAÇÃO SINDICATOS'!A:N,11,0)</f>
        <v>45658</v>
      </c>
      <c r="K59" s="147" t="str">
        <f>VLOOKUP(tabPostos[[#This Row],[CCT DA CATEGORIA]],'RELAÇÃO SINDICATOS'!A:N,12,0)</f>
        <v>-</v>
      </c>
      <c r="L59" s="147" t="str">
        <f>VLOOKUP(tabPostos[[#This Row],[CCT DA CATEGORIA]],'RELAÇÃO SINDICATOS'!A:N,13,0)</f>
        <v>-</v>
      </c>
      <c r="M59" s="147" t="str">
        <f>VLOOKUP(tabPostos[[#This Row],[CCT DA CATEGORIA]],'RELAÇÃO SINDICATOS'!A:N,14,0)</f>
        <v>MG001242/2025</v>
      </c>
    </row>
    <row r="60" spans="1:13">
      <c r="A60" s="147" t="str" cm="1">
        <f t="array" ref="A6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1.024.37</v>
      </c>
      <c r="B60" s="199" t="s">
        <v>1103</v>
      </c>
      <c r="C60" s="199" t="s">
        <v>284</v>
      </c>
      <c r="D60" s="199" t="str" cm="1">
        <f t="array" ref="D6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60" s="147" t="s">
        <v>1090</v>
      </c>
      <c r="F60" s="147" t="s">
        <v>120</v>
      </c>
      <c r="G60" s="147">
        <v>3</v>
      </c>
      <c r="H60" s="147">
        <v>0</v>
      </c>
      <c r="I60" s="214">
        <f>1.07*1.07*1.065*1.1016*1.0435*1308.37</f>
        <v>1833.851316115846</v>
      </c>
      <c r="J60" s="249">
        <f>VLOOKUP(tabPostos[[#This Row],[CCT DA CATEGORIA]],'RELAÇÃO SINDICATOS'!A:N,11,0)</f>
        <v>45658</v>
      </c>
      <c r="K60" s="147" t="str">
        <f>VLOOKUP(tabPostos[[#This Row],[CCT DA CATEGORIA]],'RELAÇÃO SINDICATOS'!A:N,12,0)</f>
        <v>-</v>
      </c>
      <c r="L60" s="147" t="str">
        <f>VLOOKUP(tabPostos[[#This Row],[CCT DA CATEGORIA]],'RELAÇÃO SINDICATOS'!A:N,13,0)</f>
        <v>-</v>
      </c>
      <c r="M60" s="147" t="str">
        <f>VLOOKUP(tabPostos[[#This Row],[CCT DA CATEGORIA]],'RELAÇÃO SINDICATOS'!A:N,14,0)</f>
        <v>MG000635/2025</v>
      </c>
    </row>
    <row r="61" spans="1:13">
      <c r="A61" s="147" t="str" cm="1">
        <f t="array" ref="A6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1.024.39</v>
      </c>
      <c r="B61" s="199" t="s">
        <v>1103</v>
      </c>
      <c r="C61" s="199" t="s">
        <v>294</v>
      </c>
      <c r="D61" s="199" t="str" cm="1">
        <f t="array" ref="D6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61" s="147" t="s">
        <v>1090</v>
      </c>
      <c r="F61" s="147" t="s">
        <v>120</v>
      </c>
      <c r="G61" s="147">
        <f>3+1+2</f>
        <v>6</v>
      </c>
      <c r="H61" s="147">
        <v>0</v>
      </c>
      <c r="I61" s="214">
        <f>1.07*1.07*1.065*1.1016*2735.11</f>
        <v>3673.8031971445557</v>
      </c>
      <c r="J61" s="249">
        <f>VLOOKUP(tabPostos[[#This Row],[CCT DA CATEGORIA]],'RELAÇÃO SINDICATOS'!A:N,11,0)</f>
        <v>45658</v>
      </c>
      <c r="K61" s="147" t="str">
        <f>VLOOKUP(tabPostos[[#This Row],[CCT DA CATEGORIA]],'RELAÇÃO SINDICATOS'!A:N,12,0)</f>
        <v>-</v>
      </c>
      <c r="L61" s="147" t="str">
        <f>VLOOKUP(tabPostos[[#This Row],[CCT DA CATEGORIA]],'RELAÇÃO SINDICATOS'!A:N,13,0)</f>
        <v>-</v>
      </c>
      <c r="M61" s="147" t="str">
        <f>VLOOKUP(tabPostos[[#This Row],[CCT DA CATEGORIA]],'RELAÇÃO SINDICATOS'!A:N,14,0)</f>
        <v>MG004474/2024</v>
      </c>
    </row>
    <row r="62" spans="1:13">
      <c r="A62" s="147" t="str" cm="1">
        <f t="array" ref="A6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1.024.40</v>
      </c>
      <c r="B62" s="199" t="s">
        <v>1103</v>
      </c>
      <c r="C62" s="199" t="s">
        <v>299</v>
      </c>
      <c r="D62" s="199" t="str" cm="1">
        <f t="array" ref="D6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62" s="147" t="s">
        <v>1090</v>
      </c>
      <c r="F62" s="147" t="s">
        <v>120</v>
      </c>
      <c r="G62" s="147">
        <f>6+2</f>
        <v>8</v>
      </c>
      <c r="H62" s="147">
        <v>0</v>
      </c>
      <c r="I62" s="214">
        <f>1.07*1.07*1.065*1.1016*2735.11</f>
        <v>3673.8031971445557</v>
      </c>
      <c r="J62" s="249">
        <f>VLOOKUP(tabPostos[[#This Row],[CCT DA CATEGORIA]],'RELAÇÃO SINDICATOS'!A:N,11,0)</f>
        <v>45658</v>
      </c>
      <c r="K62" s="147" t="str">
        <f>VLOOKUP(tabPostos[[#This Row],[CCT DA CATEGORIA]],'RELAÇÃO SINDICATOS'!A:N,12,0)</f>
        <v>-</v>
      </c>
      <c r="L62" s="147" t="str">
        <f>VLOOKUP(tabPostos[[#This Row],[CCT DA CATEGORIA]],'RELAÇÃO SINDICATOS'!A:N,13,0)</f>
        <v>-</v>
      </c>
      <c r="M62" s="147" t="str">
        <f>VLOOKUP(tabPostos[[#This Row],[CCT DA CATEGORIA]],'RELAÇÃO SINDICATOS'!A:N,14,0)</f>
        <v>MG004474/2024</v>
      </c>
    </row>
    <row r="63" spans="1:13">
      <c r="A63" s="147" t="str" cm="1">
        <f t="array" ref="A6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1.024.41</v>
      </c>
      <c r="B63" s="199" t="s">
        <v>1103</v>
      </c>
      <c r="C63" s="199" t="s">
        <v>304</v>
      </c>
      <c r="D63" s="199" t="str" cm="1">
        <f t="array" ref="D6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63" s="147" t="s">
        <v>1090</v>
      </c>
      <c r="F63" s="147" t="s">
        <v>120</v>
      </c>
      <c r="G63" s="147">
        <v>16</v>
      </c>
      <c r="H63" s="147">
        <v>0</v>
      </c>
      <c r="I63" s="214">
        <f>1.07*1.07*1.065*1.1016*1589.34</f>
        <v>2134.8034899326635</v>
      </c>
      <c r="J63" s="249">
        <f>VLOOKUP(tabPostos[[#This Row],[CCT DA CATEGORIA]],'RELAÇÃO SINDICATOS'!A:N,11,0)</f>
        <v>45658</v>
      </c>
      <c r="K63" s="147" t="str">
        <f>VLOOKUP(tabPostos[[#This Row],[CCT DA CATEGORIA]],'RELAÇÃO SINDICATOS'!A:N,12,0)</f>
        <v>-</v>
      </c>
      <c r="L63" s="147" t="str">
        <f>VLOOKUP(tabPostos[[#This Row],[CCT DA CATEGORIA]],'RELAÇÃO SINDICATOS'!A:N,13,0)</f>
        <v>-</v>
      </c>
      <c r="M63" s="147" t="str">
        <f>VLOOKUP(tabPostos[[#This Row],[CCT DA CATEGORIA]],'RELAÇÃO SINDICATOS'!A:N,14,0)</f>
        <v>MG004474/2024</v>
      </c>
    </row>
    <row r="64" spans="1:13">
      <c r="A64" s="147" t="str" cm="1">
        <f t="array" ref="A6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1.024.42</v>
      </c>
      <c r="B64" s="199" t="s">
        <v>1103</v>
      </c>
      <c r="C64" s="199" t="s">
        <v>309</v>
      </c>
      <c r="D64" s="199" t="str" cm="1">
        <f t="array" ref="D6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64" s="147" t="s">
        <v>1090</v>
      </c>
      <c r="F64" s="147" t="s">
        <v>120</v>
      </c>
      <c r="G64" s="147">
        <v>18</v>
      </c>
      <c r="H64" s="147">
        <v>0</v>
      </c>
      <c r="I64" s="214">
        <f>1.07*1.07*1.065*1.1016*1589.34</f>
        <v>2134.8034899326635</v>
      </c>
      <c r="J64" s="249">
        <f>VLOOKUP(tabPostos[[#This Row],[CCT DA CATEGORIA]],'RELAÇÃO SINDICATOS'!A:N,11,0)</f>
        <v>45658</v>
      </c>
      <c r="K64" s="147" t="str">
        <f>VLOOKUP(tabPostos[[#This Row],[CCT DA CATEGORIA]],'RELAÇÃO SINDICATOS'!A:N,12,0)</f>
        <v>-</v>
      </c>
      <c r="L64" s="147" t="str">
        <f>VLOOKUP(tabPostos[[#This Row],[CCT DA CATEGORIA]],'RELAÇÃO SINDICATOS'!A:N,13,0)</f>
        <v>-</v>
      </c>
      <c r="M64" s="147" t="str">
        <f>VLOOKUP(tabPostos[[#This Row],[CCT DA CATEGORIA]],'RELAÇÃO SINDICATOS'!A:N,14,0)</f>
        <v>MG004474/2024</v>
      </c>
    </row>
    <row r="65" spans="1:13">
      <c r="A65" s="147" t="str" cm="1">
        <f t="array" ref="A6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1.024.43</v>
      </c>
      <c r="B65" s="199" t="s">
        <v>1103</v>
      </c>
      <c r="C65" s="199" t="s">
        <v>314</v>
      </c>
      <c r="D65" s="199" t="str" cm="1">
        <f t="array" ref="D6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65" s="147" t="s">
        <v>1090</v>
      </c>
      <c r="F65" s="147" t="s">
        <v>120</v>
      </c>
      <c r="G65" s="147">
        <v>5</v>
      </c>
      <c r="H65" s="147">
        <v>0</v>
      </c>
      <c r="I65" s="214">
        <f>1.07*1.07*1.065*1.1016*1589.34</f>
        <v>2134.8034899326635</v>
      </c>
      <c r="J65" s="249">
        <f>VLOOKUP(tabPostos[[#This Row],[CCT DA CATEGORIA]],'RELAÇÃO SINDICATOS'!A:N,11,0)</f>
        <v>45658</v>
      </c>
      <c r="K65" s="147" t="str">
        <f>VLOOKUP(tabPostos[[#This Row],[CCT DA CATEGORIA]],'RELAÇÃO SINDICATOS'!A:N,12,0)</f>
        <v>-</v>
      </c>
      <c r="L65" s="147" t="str">
        <f>VLOOKUP(tabPostos[[#This Row],[CCT DA CATEGORIA]],'RELAÇÃO SINDICATOS'!A:N,13,0)</f>
        <v>-</v>
      </c>
      <c r="M65" s="147" t="str">
        <f>VLOOKUP(tabPostos[[#This Row],[CCT DA CATEGORIA]],'RELAÇÃO SINDICATOS'!A:N,14,0)</f>
        <v>MG004474/2024</v>
      </c>
    </row>
    <row r="66" spans="1:13">
      <c r="A66" s="147" t="str" cm="1">
        <f t="array" ref="A6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1.024.44</v>
      </c>
      <c r="B66" s="199" t="s">
        <v>1103</v>
      </c>
      <c r="C66" s="199" t="s">
        <v>319</v>
      </c>
      <c r="D66" s="199" t="str" cm="1">
        <f t="array" ref="D6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66" s="147" t="s">
        <v>1090</v>
      </c>
      <c r="F66" s="147" t="s">
        <v>120</v>
      </c>
      <c r="G66" s="147">
        <v>5</v>
      </c>
      <c r="H66" s="147">
        <v>0</v>
      </c>
      <c r="I66" s="214">
        <f>1.07*1.07*1.065*1.1016*1724.41</f>
        <v>2316.2296840668359</v>
      </c>
      <c r="J66" s="249">
        <f>VLOOKUP(tabPostos[[#This Row],[CCT DA CATEGORIA]],'RELAÇÃO SINDICATOS'!A:N,11,0)</f>
        <v>45658</v>
      </c>
      <c r="K66" s="147" t="str">
        <f>VLOOKUP(tabPostos[[#This Row],[CCT DA CATEGORIA]],'RELAÇÃO SINDICATOS'!A:N,12,0)</f>
        <v>-</v>
      </c>
      <c r="L66" s="147" t="str">
        <f>VLOOKUP(tabPostos[[#This Row],[CCT DA CATEGORIA]],'RELAÇÃO SINDICATOS'!A:N,13,0)</f>
        <v>-</v>
      </c>
      <c r="M66" s="147" t="str">
        <f>VLOOKUP(tabPostos[[#This Row],[CCT DA CATEGORIA]],'RELAÇÃO SINDICATOS'!A:N,14,0)</f>
        <v>MG004474/2024</v>
      </c>
    </row>
    <row r="67" spans="1:13">
      <c r="A67" s="147" t="str" cm="1">
        <f t="array" ref="A6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1.024.45</v>
      </c>
      <c r="B67" s="199" t="s">
        <v>1103</v>
      </c>
      <c r="C67" s="199" t="s">
        <v>324</v>
      </c>
      <c r="D67" s="199" t="str" cm="1">
        <f t="array" ref="D6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67" s="147" t="s">
        <v>1090</v>
      </c>
      <c r="F67" s="147" t="s">
        <v>120</v>
      </c>
      <c r="G67" s="147">
        <v>146</v>
      </c>
      <c r="H67" s="147">
        <v>0</v>
      </c>
      <c r="I67" s="214">
        <f>1.07*1.07*1.065*1.1016*2529.13</f>
        <v>3397.1306016921476</v>
      </c>
      <c r="J67" s="249">
        <f>VLOOKUP(tabPostos[[#This Row],[CCT DA CATEGORIA]],'RELAÇÃO SINDICATOS'!A:N,11,0)</f>
        <v>45658</v>
      </c>
      <c r="K67" s="147" t="str">
        <f>VLOOKUP(tabPostos[[#This Row],[CCT DA CATEGORIA]],'RELAÇÃO SINDICATOS'!A:N,12,0)</f>
        <v>-</v>
      </c>
      <c r="L67" s="147" t="str">
        <f>VLOOKUP(tabPostos[[#This Row],[CCT DA CATEGORIA]],'RELAÇÃO SINDICATOS'!A:N,13,0)</f>
        <v>-</v>
      </c>
      <c r="M67" s="147" t="str">
        <f>VLOOKUP(tabPostos[[#This Row],[CCT DA CATEGORIA]],'RELAÇÃO SINDICATOS'!A:N,14,0)</f>
        <v>MG004474/2024</v>
      </c>
    </row>
    <row r="68" spans="1:13">
      <c r="A68" s="147" t="str" cm="1">
        <f t="array" ref="A6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3.024.45</v>
      </c>
      <c r="B68" s="199" t="s">
        <v>1103</v>
      </c>
      <c r="C68" s="199" t="s">
        <v>324</v>
      </c>
      <c r="D68" s="199" t="str" cm="1">
        <f t="array" ref="D6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68" s="147" t="s">
        <v>1090</v>
      </c>
      <c r="F68" s="147" t="s">
        <v>135</v>
      </c>
      <c r="G68" s="147">
        <f>10</f>
        <v>10</v>
      </c>
      <c r="H68" s="147">
        <v>0</v>
      </c>
      <c r="I68" s="214">
        <f>1.07*1.07*1.065*1.1016*2529.13</f>
        <v>3397.1306016921476</v>
      </c>
      <c r="J68" s="249">
        <f>VLOOKUP(tabPostos[[#This Row],[CCT DA CATEGORIA]],'RELAÇÃO SINDICATOS'!A:N,11,0)</f>
        <v>45658</v>
      </c>
      <c r="K68" s="147" t="str">
        <f>VLOOKUP(tabPostos[[#This Row],[CCT DA CATEGORIA]],'RELAÇÃO SINDICATOS'!A:N,12,0)</f>
        <v>-</v>
      </c>
      <c r="L68" s="147" t="str">
        <f>VLOOKUP(tabPostos[[#This Row],[CCT DA CATEGORIA]],'RELAÇÃO SINDICATOS'!A:N,13,0)</f>
        <v>-</v>
      </c>
      <c r="M68" s="147" t="str">
        <f>VLOOKUP(tabPostos[[#This Row],[CCT DA CATEGORIA]],'RELAÇÃO SINDICATOS'!A:N,14,0)</f>
        <v>MG004474/2024</v>
      </c>
    </row>
    <row r="69" spans="1:13">
      <c r="A69" s="147" t="str" cm="1">
        <f t="array" ref="A6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1.024.46</v>
      </c>
      <c r="B69" s="199" t="s">
        <v>1103</v>
      </c>
      <c r="C69" s="199" t="s">
        <v>329</v>
      </c>
      <c r="D69" s="199" t="str" cm="1">
        <f t="array" ref="D6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69" s="147" t="s">
        <v>1090</v>
      </c>
      <c r="F69" s="147" t="s">
        <v>120</v>
      </c>
      <c r="G69" s="147">
        <v>4</v>
      </c>
      <c r="H69" s="147">
        <v>0</v>
      </c>
      <c r="I69" s="214">
        <f>1.07*1.07*1.065*1.1016*3313.87</f>
        <v>4451.1943581506512</v>
      </c>
      <c r="J69" s="249">
        <f>VLOOKUP(tabPostos[[#This Row],[CCT DA CATEGORIA]],'RELAÇÃO SINDICATOS'!A:N,11,0)</f>
        <v>45658</v>
      </c>
      <c r="K69" s="147" t="str">
        <f>VLOOKUP(tabPostos[[#This Row],[CCT DA CATEGORIA]],'RELAÇÃO SINDICATOS'!A:N,12,0)</f>
        <v>-</v>
      </c>
      <c r="L69" s="147" t="str">
        <f>VLOOKUP(tabPostos[[#This Row],[CCT DA CATEGORIA]],'RELAÇÃO SINDICATOS'!A:N,13,0)</f>
        <v>-</v>
      </c>
      <c r="M69" s="147" t="str">
        <f>VLOOKUP(tabPostos[[#This Row],[CCT DA CATEGORIA]],'RELAÇÃO SINDICATOS'!A:N,14,0)</f>
        <v>MG004474/2024</v>
      </c>
    </row>
    <row r="70" spans="1:13">
      <c r="A70" s="147" t="str" cm="1">
        <f t="array" ref="A7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1.024.47</v>
      </c>
      <c r="B70" s="199" t="s">
        <v>1103</v>
      </c>
      <c r="C70" s="199" t="s">
        <v>334</v>
      </c>
      <c r="D70" s="199" t="str" cm="1">
        <f t="array" ref="D7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70" s="147" t="s">
        <v>1090</v>
      </c>
      <c r="F70" s="147" t="s">
        <v>120</v>
      </c>
      <c r="G70" s="147">
        <v>4</v>
      </c>
      <c r="H70" s="147">
        <v>0</v>
      </c>
      <c r="I70" s="214">
        <f>1.07*1.07*1.065*1.1016*3313.87</f>
        <v>4451.1943581506512</v>
      </c>
      <c r="J70" s="249">
        <f>VLOOKUP(tabPostos[[#This Row],[CCT DA CATEGORIA]],'RELAÇÃO SINDICATOS'!A:N,11,0)</f>
        <v>45658</v>
      </c>
      <c r="K70" s="147" t="str">
        <f>VLOOKUP(tabPostos[[#This Row],[CCT DA CATEGORIA]],'RELAÇÃO SINDICATOS'!A:N,12,0)</f>
        <v>-</v>
      </c>
      <c r="L70" s="147" t="str">
        <f>VLOOKUP(tabPostos[[#This Row],[CCT DA CATEGORIA]],'RELAÇÃO SINDICATOS'!A:N,13,0)</f>
        <v>-</v>
      </c>
      <c r="M70" s="147" t="str">
        <f>VLOOKUP(tabPostos[[#This Row],[CCT DA CATEGORIA]],'RELAÇÃO SINDICATOS'!A:N,14,0)</f>
        <v>MG004474/2024</v>
      </c>
    </row>
    <row r="71" spans="1:13">
      <c r="A71" s="147" t="str" cm="1">
        <f t="array" ref="A7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1.024.38</v>
      </c>
      <c r="B71" s="199" t="s">
        <v>1103</v>
      </c>
      <c r="C71" s="199" t="s">
        <v>289</v>
      </c>
      <c r="D71" s="199" t="str" cm="1">
        <f t="array" ref="D7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SINTERT</v>
      </c>
      <c r="E71" s="147" t="s">
        <v>1090</v>
      </c>
      <c r="F71" s="147" t="s">
        <v>120</v>
      </c>
      <c r="G71" s="147">
        <v>17</v>
      </c>
      <c r="H71" s="147">
        <v>0</v>
      </c>
      <c r="I71" s="281">
        <v>3275.86</v>
      </c>
      <c r="J71" s="249">
        <f>VLOOKUP(tabPostos[[#This Row],[CCT DA CATEGORIA]],'RELAÇÃO SINDICATOS'!A:N,11,0)</f>
        <v>45658</v>
      </c>
      <c r="K71" s="147" t="str">
        <f>VLOOKUP(tabPostos[[#This Row],[CCT DA CATEGORIA]],'RELAÇÃO SINDICATOS'!A:N,12,0)</f>
        <v>-</v>
      </c>
      <c r="L71" s="147" t="str">
        <f>VLOOKUP(tabPostos[[#This Row],[CCT DA CATEGORIA]],'RELAÇÃO SINDICATOS'!A:N,13,0)</f>
        <v>-</v>
      </c>
      <c r="M71" s="147" t="str">
        <f>VLOOKUP(tabPostos[[#This Row],[CCT DA CATEGORIA]],'RELAÇÃO SINDICATOS'!A:N,14,0)</f>
        <v>MG004276/2024</v>
      </c>
    </row>
    <row r="72" spans="1:13">
      <c r="A72" s="147" t="str" cm="1">
        <f t="array" ref="A7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1.024.48</v>
      </c>
      <c r="B72" s="199" t="s">
        <v>1103</v>
      </c>
      <c r="C72" s="199" t="s">
        <v>351</v>
      </c>
      <c r="D72" s="199" t="str" cm="1">
        <f t="array" ref="D7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72" s="147" t="s">
        <v>1090</v>
      </c>
      <c r="F72" s="147" t="s">
        <v>120</v>
      </c>
      <c r="G72" s="147">
        <f>1</f>
        <v>1</v>
      </c>
      <c r="H72" s="147">
        <v>0</v>
      </c>
      <c r="I72" s="214">
        <f>1.07*1.07*1.065*1.1016*1.0435*3334.39</f>
        <v>4673.5827708855413</v>
      </c>
      <c r="J72" s="249">
        <f>VLOOKUP(tabPostos[[#This Row],[CCT DA CATEGORIA]],'RELAÇÃO SINDICATOS'!A:N,11,0)</f>
        <v>45658</v>
      </c>
      <c r="K72" s="147" t="str">
        <f>VLOOKUP(tabPostos[[#This Row],[CCT DA CATEGORIA]],'RELAÇÃO SINDICATOS'!A:N,12,0)</f>
        <v>-</v>
      </c>
      <c r="L72" s="147" t="str">
        <f>VLOOKUP(tabPostos[[#This Row],[CCT DA CATEGORIA]],'RELAÇÃO SINDICATOS'!A:N,13,0)</f>
        <v>-</v>
      </c>
      <c r="M72" s="147" t="str">
        <f>VLOOKUP(tabPostos[[#This Row],[CCT DA CATEGORIA]],'RELAÇÃO SINDICATOS'!A:N,14,0)</f>
        <v>MG000635/2025</v>
      </c>
    </row>
    <row r="73" spans="1:13">
      <c r="A73" s="147" t="str" cm="1">
        <f t="array" ref="A7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1.024.49</v>
      </c>
      <c r="B73" s="199" t="s">
        <v>1103</v>
      </c>
      <c r="C73" s="199" t="s">
        <v>356</v>
      </c>
      <c r="D73" s="199" t="str" cm="1">
        <f t="array" ref="D7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73" s="147" t="s">
        <v>1090</v>
      </c>
      <c r="F73" s="147" t="s">
        <v>120</v>
      </c>
      <c r="G73" s="147">
        <v>2</v>
      </c>
      <c r="H73" s="147">
        <v>0</v>
      </c>
      <c r="I73" s="214">
        <f>1.07*1.07*1.065*1.1016*1.0435*3667.83</f>
        <v>5140.9424496046104</v>
      </c>
      <c r="J73" s="249">
        <f>VLOOKUP(tabPostos[[#This Row],[CCT DA CATEGORIA]],'RELAÇÃO SINDICATOS'!A:N,11,0)</f>
        <v>45658</v>
      </c>
      <c r="K73" s="147" t="str">
        <f>VLOOKUP(tabPostos[[#This Row],[CCT DA CATEGORIA]],'RELAÇÃO SINDICATOS'!A:N,12,0)</f>
        <v>-</v>
      </c>
      <c r="L73" s="147" t="str">
        <f>VLOOKUP(tabPostos[[#This Row],[CCT DA CATEGORIA]],'RELAÇÃO SINDICATOS'!A:N,13,0)</f>
        <v>-</v>
      </c>
      <c r="M73" s="147" t="str">
        <f>VLOOKUP(tabPostos[[#This Row],[CCT DA CATEGORIA]],'RELAÇÃO SINDICATOS'!A:N,14,0)</f>
        <v>MG000635/2025</v>
      </c>
    </row>
    <row r="74" spans="1:13">
      <c r="A74" s="147" t="str" cm="1">
        <f t="array" ref="A7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1.024.50</v>
      </c>
      <c r="B74" s="199" t="s">
        <v>1103</v>
      </c>
      <c r="C74" s="199" t="s">
        <v>361</v>
      </c>
      <c r="D74" s="199" t="str" cm="1">
        <f t="array" ref="D7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74" s="147" t="s">
        <v>1090</v>
      </c>
      <c r="F74" s="147" t="s">
        <v>120</v>
      </c>
      <c r="G74" s="147">
        <v>8</v>
      </c>
      <c r="H74" s="147">
        <v>0</v>
      </c>
      <c r="I74" s="214">
        <f>1.07*1.07*1.065*1.1016*1.0435*4334.39</f>
        <v>6075.2132852781424</v>
      </c>
      <c r="J74" s="249">
        <f>VLOOKUP(tabPostos[[#This Row],[CCT DA CATEGORIA]],'RELAÇÃO SINDICATOS'!A:N,11,0)</f>
        <v>45658</v>
      </c>
      <c r="K74" s="147" t="str">
        <f>VLOOKUP(tabPostos[[#This Row],[CCT DA CATEGORIA]],'RELAÇÃO SINDICATOS'!A:N,12,0)</f>
        <v>-</v>
      </c>
      <c r="L74" s="147" t="str">
        <f>VLOOKUP(tabPostos[[#This Row],[CCT DA CATEGORIA]],'RELAÇÃO SINDICATOS'!A:N,13,0)</f>
        <v>-</v>
      </c>
      <c r="M74" s="147" t="str">
        <f>VLOOKUP(tabPostos[[#This Row],[CCT DA CATEGORIA]],'RELAÇÃO SINDICATOS'!A:N,14,0)</f>
        <v>MG000635/2025</v>
      </c>
    </row>
    <row r="75" spans="1:13">
      <c r="A75" s="147" t="str" cm="1">
        <f t="array" ref="A7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1.024.51</v>
      </c>
      <c r="B75" s="199" t="s">
        <v>1103</v>
      </c>
      <c r="C75" s="199" t="s">
        <v>366</v>
      </c>
      <c r="D75" s="199" t="str" cm="1">
        <f t="array" ref="D7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75" s="147" t="s">
        <v>1090</v>
      </c>
      <c r="F75" s="147" t="s">
        <v>120</v>
      </c>
      <c r="G75" s="147">
        <v>23</v>
      </c>
      <c r="H75" s="147">
        <v>0</v>
      </c>
      <c r="I75" s="214">
        <v>7303</v>
      </c>
      <c r="J75" s="249">
        <f>VLOOKUP(tabPostos[[#This Row],[CCT DA CATEGORIA]],'RELAÇÃO SINDICATOS'!A:N,11,0)</f>
        <v>45658</v>
      </c>
      <c r="K75" s="147" t="str">
        <f>VLOOKUP(tabPostos[[#This Row],[CCT DA CATEGORIA]],'RELAÇÃO SINDICATOS'!A:N,12,0)</f>
        <v>-</v>
      </c>
      <c r="L75" s="147" t="str">
        <f>VLOOKUP(tabPostos[[#This Row],[CCT DA CATEGORIA]],'RELAÇÃO SINDICATOS'!A:N,13,0)</f>
        <v>-</v>
      </c>
      <c r="M75" s="147" t="str">
        <f>VLOOKUP(tabPostos[[#This Row],[CCT DA CATEGORIA]],'RELAÇÃO SINDICATOS'!A:N,14,0)</f>
        <v>MG004474/2024</v>
      </c>
    </row>
    <row r="76" spans="1:13">
      <c r="A76" s="147" t="str" cm="1">
        <f t="array" ref="A7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1.024.52</v>
      </c>
      <c r="B76" s="199" t="s">
        <v>1103</v>
      </c>
      <c r="C76" s="199" t="s">
        <v>371</v>
      </c>
      <c r="D76" s="199" t="str" cm="1">
        <f t="array" ref="D7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76" s="147" t="s">
        <v>1090</v>
      </c>
      <c r="F76" s="147" t="s">
        <v>120</v>
      </c>
      <c r="G76" s="147">
        <f>5+1</f>
        <v>6</v>
      </c>
      <c r="H76" s="147">
        <v>0</v>
      </c>
      <c r="I76" s="214">
        <v>7303</v>
      </c>
      <c r="J76" s="249">
        <f>VLOOKUP(tabPostos[[#This Row],[CCT DA CATEGORIA]],'RELAÇÃO SINDICATOS'!A:N,11,0)</f>
        <v>45658</v>
      </c>
      <c r="K76" s="147" t="str">
        <f>VLOOKUP(tabPostos[[#This Row],[CCT DA CATEGORIA]],'RELAÇÃO SINDICATOS'!A:N,12,0)</f>
        <v>-</v>
      </c>
      <c r="L76" s="147" t="str">
        <f>VLOOKUP(tabPostos[[#This Row],[CCT DA CATEGORIA]],'RELAÇÃO SINDICATOS'!A:N,13,0)</f>
        <v>-</v>
      </c>
      <c r="M76" s="147" t="str">
        <f>VLOOKUP(tabPostos[[#This Row],[CCT DA CATEGORIA]],'RELAÇÃO SINDICATOS'!A:N,14,0)</f>
        <v>MG004474/2024</v>
      </c>
    </row>
    <row r="77" spans="1:13">
      <c r="A77" s="147" t="str" cm="1">
        <f t="array" ref="A7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1.024.53</v>
      </c>
      <c r="B77" s="199" t="s">
        <v>1103</v>
      </c>
      <c r="C77" s="199" t="s">
        <v>1369</v>
      </c>
      <c r="D77" s="199" t="str" cm="1">
        <f t="array" ref="D7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77" s="147" t="s">
        <v>1090</v>
      </c>
      <c r="F77" s="147" t="s">
        <v>120</v>
      </c>
      <c r="G77" s="147">
        <v>2</v>
      </c>
      <c r="H77" s="147">
        <v>0</v>
      </c>
      <c r="I77" s="214">
        <v>4768.66</v>
      </c>
      <c r="J77" s="249">
        <f>VLOOKUP(tabPostos[[#This Row],[CCT DA CATEGORIA]],'RELAÇÃO SINDICATOS'!A:N,11,0)</f>
        <v>45658</v>
      </c>
      <c r="K77" s="147" t="str">
        <f>VLOOKUP(tabPostos[[#This Row],[CCT DA CATEGORIA]],'RELAÇÃO SINDICATOS'!A:N,12,0)</f>
        <v>-</v>
      </c>
      <c r="L77" s="147" t="str">
        <f>VLOOKUP(tabPostos[[#This Row],[CCT DA CATEGORIA]],'RELAÇÃO SINDICATOS'!A:N,13,0)</f>
        <v>-</v>
      </c>
      <c r="M77" s="147" t="str">
        <f>VLOOKUP(tabPostos[[#This Row],[CCT DA CATEGORIA]],'RELAÇÃO SINDICATOS'!A:N,14,0)</f>
        <v>MG004474/2024</v>
      </c>
    </row>
    <row r="78" spans="1:13">
      <c r="A78" s="147" t="str" cm="1">
        <f t="array" ref="A7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1.024.54</v>
      </c>
      <c r="B78" s="199" t="s">
        <v>1103</v>
      </c>
      <c r="C78" s="199" t="s">
        <v>1523</v>
      </c>
      <c r="D78" s="199" t="str" cm="1">
        <f t="array" ref="D7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78" s="147" t="s">
        <v>1090</v>
      </c>
      <c r="F78" s="147" t="s">
        <v>120</v>
      </c>
      <c r="G78" s="147">
        <v>2</v>
      </c>
      <c r="H78" s="147">
        <v>0</v>
      </c>
      <c r="I78" s="214">
        <v>4768.66</v>
      </c>
      <c r="J78" s="249">
        <f>VLOOKUP(tabPostos[[#This Row],[CCT DA CATEGORIA]],'RELAÇÃO SINDICATOS'!A:N,11,0)</f>
        <v>45658</v>
      </c>
      <c r="K78" s="147" t="str">
        <f>VLOOKUP(tabPostos[[#This Row],[CCT DA CATEGORIA]],'RELAÇÃO SINDICATOS'!A:N,12,0)</f>
        <v>-</v>
      </c>
      <c r="L78" s="147" t="str">
        <f>VLOOKUP(tabPostos[[#This Row],[CCT DA CATEGORIA]],'RELAÇÃO SINDICATOS'!A:N,13,0)</f>
        <v>-</v>
      </c>
      <c r="M78" s="147" t="str">
        <f>VLOOKUP(tabPostos[[#This Row],[CCT DA CATEGORIA]],'RELAÇÃO SINDICATOS'!A:N,14,0)</f>
        <v>MG004474/2024</v>
      </c>
    </row>
    <row r="79" spans="1:13">
      <c r="A79" s="147" t="str" cm="1">
        <f t="array" ref="A7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1.024.55</v>
      </c>
      <c r="B79" s="199" t="s">
        <v>1103</v>
      </c>
      <c r="C79" s="199" t="s">
        <v>1370</v>
      </c>
      <c r="D79" s="199" t="str" cm="1">
        <f t="array" ref="D7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79" s="147" t="s">
        <v>1090</v>
      </c>
      <c r="F79" s="147" t="s">
        <v>120</v>
      </c>
      <c r="G79" s="147">
        <v>30</v>
      </c>
      <c r="H79" s="147">
        <v>0</v>
      </c>
      <c r="I79" s="214">
        <v>4768.66</v>
      </c>
      <c r="J79" s="249">
        <f>VLOOKUP(tabPostos[[#This Row],[CCT DA CATEGORIA]],'RELAÇÃO SINDICATOS'!A:N,11,0)</f>
        <v>45658</v>
      </c>
      <c r="K79" s="147" t="str">
        <f>VLOOKUP(tabPostos[[#This Row],[CCT DA CATEGORIA]],'RELAÇÃO SINDICATOS'!A:N,12,0)</f>
        <v>-</v>
      </c>
      <c r="L79" s="147" t="str">
        <f>VLOOKUP(tabPostos[[#This Row],[CCT DA CATEGORIA]],'RELAÇÃO SINDICATOS'!A:N,13,0)</f>
        <v>-</v>
      </c>
      <c r="M79" s="147" t="str">
        <f>VLOOKUP(tabPostos[[#This Row],[CCT DA CATEGORIA]],'RELAÇÃO SINDICATOS'!A:N,14,0)</f>
        <v>MG004474/2024</v>
      </c>
    </row>
    <row r="80" spans="1:13">
      <c r="A80" s="147" t="str" cm="1">
        <f t="array" ref="A8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1.024.56</v>
      </c>
      <c r="B80" s="199" t="s">
        <v>1103</v>
      </c>
      <c r="C80" s="199" t="s">
        <v>375</v>
      </c>
      <c r="D80" s="199" t="str" cm="1">
        <f t="array" ref="D8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SEAC/SINDEAC</v>
      </c>
      <c r="E80" s="147" t="s">
        <v>1090</v>
      </c>
      <c r="F80" s="147" t="s">
        <v>120</v>
      </c>
      <c r="G80" s="147">
        <v>5</v>
      </c>
      <c r="H80" s="147">
        <v>0</v>
      </c>
      <c r="I80" s="214">
        <v>7303</v>
      </c>
      <c r="J80" s="249">
        <f>VLOOKUP(tabPostos[[#This Row],[CCT DA CATEGORIA]],'RELAÇÃO SINDICATOS'!A:N,11,0)</f>
        <v>45658</v>
      </c>
      <c r="K80" s="147" t="str">
        <f>VLOOKUP(tabPostos[[#This Row],[CCT DA CATEGORIA]],'RELAÇÃO SINDICATOS'!A:N,12,0)</f>
        <v>-</v>
      </c>
      <c r="L80" s="147" t="str">
        <f>VLOOKUP(tabPostos[[#This Row],[CCT DA CATEGORIA]],'RELAÇÃO SINDICATOS'!A:N,13,0)</f>
        <v>-</v>
      </c>
      <c r="M80" s="147" t="str">
        <f>VLOOKUP(tabPostos[[#This Row],[CCT DA CATEGORIA]],'RELAÇÃO SINDICATOS'!A:N,14,0)</f>
        <v>MG004474/2024</v>
      </c>
    </row>
    <row r="81" spans="1:13">
      <c r="A81" s="147" t="str" cm="1">
        <f t="array" ref="A8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1.024.57</v>
      </c>
      <c r="B81" s="199" t="s">
        <v>1103</v>
      </c>
      <c r="C81" s="199" t="s">
        <v>379</v>
      </c>
      <c r="D81" s="199" t="str" cm="1">
        <f t="array" ref="D8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81" s="147" t="s">
        <v>1090</v>
      </c>
      <c r="F81" s="147" t="s">
        <v>120</v>
      </c>
      <c r="G81" s="147">
        <v>30</v>
      </c>
      <c r="H81" s="147">
        <v>0</v>
      </c>
      <c r="I81" s="214">
        <v>4804.62</v>
      </c>
      <c r="J81" s="249">
        <f>VLOOKUP(tabPostos[[#This Row],[CCT DA CATEGORIA]],'RELAÇÃO SINDICATOS'!A:N,11,0)</f>
        <v>45658</v>
      </c>
      <c r="K81" s="147" t="str">
        <f>VLOOKUP(tabPostos[[#This Row],[CCT DA CATEGORIA]],'RELAÇÃO SINDICATOS'!A:N,12,0)</f>
        <v>-</v>
      </c>
      <c r="L81" s="147" t="str">
        <f>VLOOKUP(tabPostos[[#This Row],[CCT DA CATEGORIA]],'RELAÇÃO SINDICATOS'!A:N,13,0)</f>
        <v>-</v>
      </c>
      <c r="M81" s="147" t="str">
        <f>VLOOKUP(tabPostos[[#This Row],[CCT DA CATEGORIA]],'RELAÇÃO SINDICATOS'!A:N,14,0)</f>
        <v>MG000635/2025</v>
      </c>
    </row>
    <row r="82" spans="1:13">
      <c r="A82" s="147" t="str" cm="1">
        <f t="array" ref="A8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1.024.58</v>
      </c>
      <c r="B82" s="199" t="s">
        <v>1103</v>
      </c>
      <c r="C82" s="199" t="s">
        <v>383</v>
      </c>
      <c r="D82" s="199" t="str" cm="1">
        <f t="array" ref="D8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82" s="147" t="s">
        <v>1090</v>
      </c>
      <c r="F82" s="147" t="s">
        <v>120</v>
      </c>
      <c r="G82" s="147">
        <v>30</v>
      </c>
      <c r="H82" s="147">
        <v>0</v>
      </c>
      <c r="I82" s="214">
        <v>5677.77</v>
      </c>
      <c r="J82" s="249">
        <f>VLOOKUP(tabPostos[[#This Row],[CCT DA CATEGORIA]],'RELAÇÃO SINDICATOS'!A:N,11,0)</f>
        <v>45658</v>
      </c>
      <c r="K82" s="147" t="str">
        <f>VLOOKUP(tabPostos[[#This Row],[CCT DA CATEGORIA]],'RELAÇÃO SINDICATOS'!A:N,12,0)</f>
        <v>-</v>
      </c>
      <c r="L82" s="147" t="str">
        <f>VLOOKUP(tabPostos[[#This Row],[CCT DA CATEGORIA]],'RELAÇÃO SINDICATOS'!A:N,13,0)</f>
        <v>-</v>
      </c>
      <c r="M82" s="147" t="str">
        <f>VLOOKUP(tabPostos[[#This Row],[CCT DA CATEGORIA]],'RELAÇÃO SINDICATOS'!A:N,14,0)</f>
        <v>MG000635/2025</v>
      </c>
    </row>
    <row r="83" spans="1:13">
      <c r="A83" s="147" t="str" cm="1">
        <f t="array" ref="A8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1.024.59</v>
      </c>
      <c r="B83" s="199" t="s">
        <v>1103</v>
      </c>
      <c r="C83" s="199" t="s">
        <v>387</v>
      </c>
      <c r="D83" s="199" t="str" cm="1">
        <f t="array" ref="D8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83" s="147" t="s">
        <v>1090</v>
      </c>
      <c r="F83" s="147" t="s">
        <v>120</v>
      </c>
      <c r="G83" s="147">
        <v>24</v>
      </c>
      <c r="H83" s="147">
        <v>0</v>
      </c>
      <c r="I83" s="214">
        <v>6836.7</v>
      </c>
      <c r="J83" s="249">
        <f>VLOOKUP(tabPostos[[#This Row],[CCT DA CATEGORIA]],'RELAÇÃO SINDICATOS'!A:N,11,0)</f>
        <v>45658</v>
      </c>
      <c r="K83" s="147" t="str">
        <f>VLOOKUP(tabPostos[[#This Row],[CCT DA CATEGORIA]],'RELAÇÃO SINDICATOS'!A:N,12,0)</f>
        <v>-</v>
      </c>
      <c r="L83" s="147" t="str">
        <f>VLOOKUP(tabPostos[[#This Row],[CCT DA CATEGORIA]],'RELAÇÃO SINDICATOS'!A:N,13,0)</f>
        <v>-</v>
      </c>
      <c r="M83" s="147" t="str">
        <f>VLOOKUP(tabPostos[[#This Row],[CCT DA CATEGORIA]],'RELAÇÃO SINDICATOS'!A:N,14,0)</f>
        <v>MG000635/2025</v>
      </c>
    </row>
    <row r="84" spans="1:13">
      <c r="A84" s="147" t="str" cm="1">
        <f t="array" ref="A8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1.024.60</v>
      </c>
      <c r="B84" s="199" t="s">
        <v>1103</v>
      </c>
      <c r="C84" s="199" t="s">
        <v>394</v>
      </c>
      <c r="D84" s="199" t="str" cm="1">
        <f t="array" ref="D8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Sinttel</v>
      </c>
      <c r="E84" s="147" t="s">
        <v>1090</v>
      </c>
      <c r="F84" s="147" t="s">
        <v>120</v>
      </c>
      <c r="G84" s="147">
        <v>3</v>
      </c>
      <c r="H84" s="147">
        <v>0</v>
      </c>
      <c r="I84" s="214">
        <f>1.07*1.065*1.1016*1.0452*1832.78</f>
        <v>2404.7340385572315</v>
      </c>
      <c r="J84" s="249">
        <f>VLOOKUP(tabPostos[[#This Row],[CCT DA CATEGORIA]],'RELAÇÃO SINDICATOS'!A:N,11,0)</f>
        <v>45292</v>
      </c>
      <c r="K84" s="147" t="str">
        <f>VLOOKUP(tabPostos[[#This Row],[CCT DA CATEGORIA]],'RELAÇÃO SINDICATOS'!A:N,12,0)</f>
        <v>-</v>
      </c>
      <c r="L84" s="147" t="str">
        <f>VLOOKUP(tabPostos[[#This Row],[CCT DA CATEGORIA]],'RELAÇÃO SINDICATOS'!A:N,13,0)</f>
        <v>-</v>
      </c>
      <c r="M84" s="147" t="str">
        <f>VLOOKUP(tabPostos[[#This Row],[CCT DA CATEGORIA]],'RELAÇÃO SINDICATOS'!A:N,14,0)</f>
        <v>MG001376/2024</v>
      </c>
    </row>
    <row r="85" spans="1:13">
      <c r="A85" s="147" t="str" cm="1">
        <f t="array" ref="A8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1.027.13</v>
      </c>
      <c r="B85" s="199" t="s">
        <v>1104</v>
      </c>
      <c r="C85" s="199" t="s">
        <v>200</v>
      </c>
      <c r="D85" s="199" t="str" cm="1">
        <f t="array" ref="D8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85" s="147" t="s">
        <v>1090</v>
      </c>
      <c r="F85" s="147" t="s">
        <v>120</v>
      </c>
      <c r="G85" s="147">
        <v>2</v>
      </c>
      <c r="H85" s="147">
        <v>0</v>
      </c>
      <c r="I85" s="214">
        <f>1.07*1.07*1.065*1.1016*1227.75</f>
        <v>1649.1153464738998</v>
      </c>
      <c r="J85" s="249">
        <f>VLOOKUP(tabPostos[[#This Row],[CCT DA CATEGORIA]],'RELAÇÃO SINDICATOS'!A:N,11,0)</f>
        <v>45658</v>
      </c>
      <c r="K85" s="147" t="str">
        <f>VLOOKUP(tabPostos[[#This Row],[CCT DA CATEGORIA]],'RELAÇÃO SINDICATOS'!A:N,12,0)</f>
        <v>-</v>
      </c>
      <c r="L85" s="147" t="str">
        <f>VLOOKUP(tabPostos[[#This Row],[CCT DA CATEGORIA]],'RELAÇÃO SINDICATOS'!A:N,13,0)</f>
        <v>-</v>
      </c>
      <c r="M85" s="147" t="str">
        <f>VLOOKUP(tabPostos[[#This Row],[CCT DA CATEGORIA]],'RELAÇÃO SINDICATOS'!A:N,14,0)</f>
        <v>MG000016/2025</v>
      </c>
    </row>
    <row r="86" spans="1:13">
      <c r="A86" s="147" t="str" cm="1">
        <f t="array" ref="A8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1.027.14</v>
      </c>
      <c r="B86" s="199" t="s">
        <v>1104</v>
      </c>
      <c r="C86" s="199" t="s">
        <v>1371</v>
      </c>
      <c r="D86" s="199" t="str" cm="1">
        <f t="array" ref="D8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86" s="147" t="s">
        <v>1090</v>
      </c>
      <c r="F86" s="147" t="s">
        <v>120</v>
      </c>
      <c r="G86" s="147">
        <v>1</v>
      </c>
      <c r="H86" s="147">
        <v>0</v>
      </c>
      <c r="I86" s="214">
        <v>6454.87</v>
      </c>
      <c r="J86" s="249">
        <f>VLOOKUP(tabPostos[[#This Row],[CCT DA CATEGORIA]],'RELAÇÃO SINDICATOS'!A:N,11,0)</f>
        <v>45658</v>
      </c>
      <c r="K86" s="147" t="str">
        <f>VLOOKUP(tabPostos[[#This Row],[CCT DA CATEGORIA]],'RELAÇÃO SINDICATOS'!A:N,12,0)</f>
        <v>-</v>
      </c>
      <c r="L86" s="147" t="str">
        <f>VLOOKUP(tabPostos[[#This Row],[CCT DA CATEGORIA]],'RELAÇÃO SINDICATOS'!A:N,13,0)</f>
        <v>-</v>
      </c>
      <c r="M86" s="147" t="str">
        <f>VLOOKUP(tabPostos[[#This Row],[CCT DA CATEGORIA]],'RELAÇÃO SINDICATOS'!A:N,14,0)</f>
        <v>MG000016/2025</v>
      </c>
    </row>
    <row r="87" spans="1:13">
      <c r="A87" s="147" t="str" cm="1">
        <f t="array" ref="A8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1.027.35</v>
      </c>
      <c r="B87" s="199" t="s">
        <v>1104</v>
      </c>
      <c r="C87" s="199" t="s">
        <v>274</v>
      </c>
      <c r="D87" s="199" t="str" cm="1">
        <f t="array" ref="D8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Betim + SEAC-MG</v>
      </c>
      <c r="E87" s="147" t="s">
        <v>1090</v>
      </c>
      <c r="F87" s="147" t="s">
        <v>120</v>
      </c>
      <c r="G87" s="147">
        <v>2</v>
      </c>
      <c r="H87" s="147">
        <v>0</v>
      </c>
      <c r="I87" s="214">
        <f>1.07*1.065*1.1016*1.0435*3313.92</f>
        <v>4341.0199946317061</v>
      </c>
      <c r="J87" s="249">
        <f>VLOOKUP(tabPostos[[#This Row],[CCT DA CATEGORIA]],'RELAÇÃO SINDICATOS'!A:N,11,0)</f>
        <v>45658</v>
      </c>
      <c r="K87" s="147" t="str">
        <f>VLOOKUP(tabPostos[[#This Row],[CCT DA CATEGORIA]],'RELAÇÃO SINDICATOS'!A:N,12,0)</f>
        <v>-</v>
      </c>
      <c r="L87" s="147" t="str">
        <f>VLOOKUP(tabPostos[[#This Row],[CCT DA CATEGORIA]],'RELAÇÃO SINDICATOS'!A:N,13,0)</f>
        <v>-</v>
      </c>
      <c r="M87" s="147" t="str">
        <f>VLOOKUP(tabPostos[[#This Row],[CCT DA CATEGORIA]],'RELAÇÃO SINDICATOS'!A:N,14,0)</f>
        <v>MG001625/2025</v>
      </c>
    </row>
    <row r="88" spans="1:13">
      <c r="A88" s="147" t="str" cm="1">
        <f t="array" ref="A8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1.027.44</v>
      </c>
      <c r="B88" s="199" t="s">
        <v>1104</v>
      </c>
      <c r="C88" s="199" t="s">
        <v>319</v>
      </c>
      <c r="D88" s="199" t="str" cm="1">
        <f t="array" ref="D8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88" s="147" t="s">
        <v>1090</v>
      </c>
      <c r="F88" s="147" t="s">
        <v>120</v>
      </c>
      <c r="G88" s="147">
        <v>1</v>
      </c>
      <c r="H88" s="147">
        <v>0</v>
      </c>
      <c r="I88" s="214">
        <f>1.07*1.07*1.065*1.1016*1724.41</f>
        <v>2316.2296840668359</v>
      </c>
      <c r="J88" s="249">
        <f>VLOOKUP(tabPostos[[#This Row],[CCT DA CATEGORIA]],'RELAÇÃO SINDICATOS'!A:N,11,0)</f>
        <v>45658</v>
      </c>
      <c r="K88" s="147" t="str">
        <f>VLOOKUP(tabPostos[[#This Row],[CCT DA CATEGORIA]],'RELAÇÃO SINDICATOS'!A:N,12,0)</f>
        <v>-</v>
      </c>
      <c r="L88" s="147" t="str">
        <f>VLOOKUP(tabPostos[[#This Row],[CCT DA CATEGORIA]],'RELAÇÃO SINDICATOS'!A:N,13,0)</f>
        <v>-</v>
      </c>
      <c r="M88" s="147" t="str">
        <f>VLOOKUP(tabPostos[[#This Row],[CCT DA CATEGORIA]],'RELAÇÃO SINDICATOS'!A:N,14,0)</f>
        <v>MG000016/2025</v>
      </c>
    </row>
    <row r="89" spans="1:13">
      <c r="A89" s="147" t="str" cm="1">
        <f t="array" ref="A8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1.027.45</v>
      </c>
      <c r="B89" s="199" t="s">
        <v>1104</v>
      </c>
      <c r="C89" s="199" t="s">
        <v>324</v>
      </c>
      <c r="D89" s="199" t="str" cm="1">
        <f t="array" ref="D8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89" s="147" t="s">
        <v>1090</v>
      </c>
      <c r="F89" s="147" t="s">
        <v>120</v>
      </c>
      <c r="G89" s="147">
        <v>1</v>
      </c>
      <c r="H89" s="147">
        <v>0</v>
      </c>
      <c r="I89" s="214">
        <f>1.07*1.07*1.065*1.1016*2529.13</f>
        <v>3397.1306016921476</v>
      </c>
      <c r="J89" s="249">
        <f>VLOOKUP(tabPostos[[#This Row],[CCT DA CATEGORIA]],'RELAÇÃO SINDICATOS'!A:N,11,0)</f>
        <v>45658</v>
      </c>
      <c r="K89" s="147" t="str">
        <f>VLOOKUP(tabPostos[[#This Row],[CCT DA CATEGORIA]],'RELAÇÃO SINDICATOS'!A:N,12,0)</f>
        <v>-</v>
      </c>
      <c r="L89" s="147" t="str">
        <f>VLOOKUP(tabPostos[[#This Row],[CCT DA CATEGORIA]],'RELAÇÃO SINDICATOS'!A:N,13,0)</f>
        <v>-</v>
      </c>
      <c r="M89" s="147" t="str">
        <f>VLOOKUP(tabPostos[[#This Row],[CCT DA CATEGORIA]],'RELAÇÃO SINDICATOS'!A:N,14,0)</f>
        <v>MG000016/2025</v>
      </c>
    </row>
    <row r="90" spans="1:13">
      <c r="A90" s="147" t="str" cm="1">
        <f t="array" ref="A9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1.027.55</v>
      </c>
      <c r="B90" s="199" t="s">
        <v>1104</v>
      </c>
      <c r="C90" s="199" t="s">
        <v>1370</v>
      </c>
      <c r="D90" s="199" t="str" cm="1">
        <f t="array" ref="D9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90" s="147" t="s">
        <v>1090</v>
      </c>
      <c r="F90" s="147" t="s">
        <v>120</v>
      </c>
      <c r="G90" s="147">
        <v>3</v>
      </c>
      <c r="H90" s="147">
        <v>0</v>
      </c>
      <c r="I90" s="214">
        <f>1.07*1.07*1.065*1.1016*3550.22</f>
        <v>4768.659975857111</v>
      </c>
      <c r="J90" s="249">
        <f>VLOOKUP(tabPostos[[#This Row],[CCT DA CATEGORIA]],'RELAÇÃO SINDICATOS'!A:N,11,0)</f>
        <v>45658</v>
      </c>
      <c r="K90" s="147" t="str">
        <f>VLOOKUP(tabPostos[[#This Row],[CCT DA CATEGORIA]],'RELAÇÃO SINDICATOS'!A:N,12,0)</f>
        <v>-</v>
      </c>
      <c r="L90" s="147" t="str">
        <f>VLOOKUP(tabPostos[[#This Row],[CCT DA CATEGORIA]],'RELAÇÃO SINDICATOS'!A:N,13,0)</f>
        <v>-</v>
      </c>
      <c r="M90" s="147" t="str">
        <f>VLOOKUP(tabPostos[[#This Row],[CCT DA CATEGORIA]],'RELAÇÃO SINDICATOS'!A:N,14,0)</f>
        <v>MG000016/2025</v>
      </c>
    </row>
    <row r="91" spans="1:13">
      <c r="A91" s="147" t="str" cm="1">
        <f t="array" ref="A9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1.071.13</v>
      </c>
      <c r="B91" s="199" t="s">
        <v>1105</v>
      </c>
      <c r="C91" s="199" t="s">
        <v>200</v>
      </c>
      <c r="D91" s="199" t="str" cm="1">
        <f t="array" ref="D9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91" s="147" t="s">
        <v>1090</v>
      </c>
      <c r="F91" s="147" t="s">
        <v>120</v>
      </c>
      <c r="G91" s="147">
        <v>1</v>
      </c>
      <c r="H91" s="147">
        <v>0</v>
      </c>
      <c r="I91" s="214">
        <f>1.07*1.07*1.065*1.1016*1188.41</f>
        <v>1596.273808921236</v>
      </c>
      <c r="J91" s="249">
        <f>VLOOKUP(tabPostos[[#This Row],[CCT DA CATEGORIA]],'RELAÇÃO SINDICATOS'!A:N,11,0)</f>
        <v>45658</v>
      </c>
      <c r="K91" s="147" t="str">
        <f>VLOOKUP(tabPostos[[#This Row],[CCT DA CATEGORIA]],'RELAÇÃO SINDICATOS'!A:N,12,0)</f>
        <v>-</v>
      </c>
      <c r="L91" s="147" t="str">
        <f>VLOOKUP(tabPostos[[#This Row],[CCT DA CATEGORIA]],'RELAÇÃO SINDICATOS'!A:N,13,0)</f>
        <v>-</v>
      </c>
      <c r="M91" s="147" t="str">
        <f>VLOOKUP(tabPostos[[#This Row],[CCT DA CATEGORIA]],'RELAÇÃO SINDICATOS'!A:N,14,0)</f>
        <v>MG000594/2025</v>
      </c>
    </row>
    <row r="92" spans="1:13">
      <c r="A92" s="147" t="str" cm="1">
        <f t="array" ref="A9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1.073.45</v>
      </c>
      <c r="B92" s="199" t="s">
        <v>1106</v>
      </c>
      <c r="C92" s="199" t="s">
        <v>324</v>
      </c>
      <c r="D92" s="199" t="str" cm="1">
        <f t="array" ref="D9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92" s="147" t="s">
        <v>1090</v>
      </c>
      <c r="F92" s="147" t="s">
        <v>120</v>
      </c>
      <c r="G92" s="147">
        <v>1</v>
      </c>
      <c r="H92" s="147">
        <v>0</v>
      </c>
      <c r="I92" s="214">
        <f>1.07*1.07*1.065*1.1016*2529.13</f>
        <v>3397.1306016921476</v>
      </c>
      <c r="J92" s="249">
        <f>VLOOKUP(tabPostos[[#This Row],[CCT DA CATEGORIA]],'RELAÇÃO SINDICATOS'!A:N,11,0)</f>
        <v>45658</v>
      </c>
      <c r="K92" s="147" t="str">
        <f>VLOOKUP(tabPostos[[#This Row],[CCT DA CATEGORIA]],'RELAÇÃO SINDICATOS'!A:N,12,0)</f>
        <v>-</v>
      </c>
      <c r="L92" s="147" t="str">
        <f>VLOOKUP(tabPostos[[#This Row],[CCT DA CATEGORIA]],'RELAÇÃO SINDICATOS'!A:N,13,0)</f>
        <v>-</v>
      </c>
      <c r="M92" s="147" t="str">
        <f>VLOOKUP(tabPostos[[#This Row],[CCT DA CATEGORIA]],'RELAÇÃO SINDICATOS'!A:N,14,0)</f>
        <v>MG000256/2025</v>
      </c>
    </row>
    <row r="93" spans="1:13">
      <c r="A93" s="147" t="str" cm="1">
        <f t="array" ref="A9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1.074.43</v>
      </c>
      <c r="B93" s="199" t="s">
        <v>1107</v>
      </c>
      <c r="C93" s="199" t="s">
        <v>314</v>
      </c>
      <c r="D93" s="199" t="str" cm="1">
        <f t="array" ref="D9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93" s="147" t="s">
        <v>1090</v>
      </c>
      <c r="F93" s="147" t="s">
        <v>120</v>
      </c>
      <c r="G93" s="147">
        <v>1</v>
      </c>
      <c r="H93" s="147">
        <v>0</v>
      </c>
      <c r="I93" s="214">
        <f>1.07*1.07*1.065*1.1016*1461.74</f>
        <v>1963.4110092077037</v>
      </c>
      <c r="J93" s="249">
        <f>VLOOKUP(tabPostos[[#This Row],[CCT DA CATEGORIA]],'RELAÇÃO SINDICATOS'!A:N,11,0)</f>
        <v>45658</v>
      </c>
      <c r="K93" s="147" t="str">
        <f>VLOOKUP(tabPostos[[#This Row],[CCT DA CATEGORIA]],'RELAÇÃO SINDICATOS'!A:N,12,0)</f>
        <v>-</v>
      </c>
      <c r="L93" s="147" t="str">
        <f>VLOOKUP(tabPostos[[#This Row],[CCT DA CATEGORIA]],'RELAÇÃO SINDICATOS'!A:N,13,0)</f>
        <v>-</v>
      </c>
      <c r="M93" s="147" t="str">
        <f>VLOOKUP(tabPostos[[#This Row],[CCT DA CATEGORIA]],'RELAÇÃO SINDICATOS'!A:N,14,0)</f>
        <v>MG004482/2024</v>
      </c>
    </row>
    <row r="94" spans="1:13">
      <c r="A94" s="147" t="str" cm="1">
        <f t="array" ref="A9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1.080.45</v>
      </c>
      <c r="B94" s="199" t="s">
        <v>1108</v>
      </c>
      <c r="C94" s="199" t="s">
        <v>324</v>
      </c>
      <c r="D94" s="199" t="str" cm="1">
        <f t="array" ref="D9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94" s="147" t="s">
        <v>1090</v>
      </c>
      <c r="F94" s="147" t="s">
        <v>120</v>
      </c>
      <c r="G94" s="147">
        <v>1</v>
      </c>
      <c r="H94" s="147">
        <v>0</v>
      </c>
      <c r="I94" s="214">
        <f>1.07*1.07*1.065*1.1016*2529.13</f>
        <v>3397.1306016921476</v>
      </c>
      <c r="J94" s="249">
        <f>VLOOKUP(tabPostos[[#This Row],[CCT DA CATEGORIA]],'RELAÇÃO SINDICATOS'!A:N,11,0)</f>
        <v>45658</v>
      </c>
      <c r="K94" s="147" t="str">
        <f>VLOOKUP(tabPostos[[#This Row],[CCT DA CATEGORIA]],'RELAÇÃO SINDICATOS'!A:N,12,0)</f>
        <v>-</v>
      </c>
      <c r="L94" s="147" t="str">
        <f>VLOOKUP(tabPostos[[#This Row],[CCT DA CATEGORIA]],'RELAÇÃO SINDICATOS'!A:N,13,0)</f>
        <v>-</v>
      </c>
      <c r="M94" s="147" t="str">
        <f>VLOOKUP(tabPostos[[#This Row],[CCT DA CATEGORIA]],'RELAÇÃO SINDICATOS'!A:N,14,0)</f>
        <v>MG000594/2025</v>
      </c>
    </row>
    <row r="95" spans="1:13">
      <c r="A95" s="147" t="str" cm="1">
        <f t="array" ref="A9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1.086.43</v>
      </c>
      <c r="B95" s="199" t="s">
        <v>1109</v>
      </c>
      <c r="C95" s="199" t="s">
        <v>314</v>
      </c>
      <c r="D95" s="199" t="str" cm="1">
        <f t="array" ref="D9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95" s="147" t="s">
        <v>1090</v>
      </c>
      <c r="F95" s="147" t="s">
        <v>120</v>
      </c>
      <c r="G95" s="147">
        <v>1</v>
      </c>
      <c r="H95" s="147">
        <v>0</v>
      </c>
      <c r="I95" s="214">
        <f>1.07*1.07*1.065*1.1016*1461.74</f>
        <v>1963.4110092077037</v>
      </c>
      <c r="J95" s="249">
        <f>VLOOKUP(tabPostos[[#This Row],[CCT DA CATEGORIA]],'RELAÇÃO SINDICATOS'!A:N,11,0)</f>
        <v>45658</v>
      </c>
      <c r="K95" s="147" t="str">
        <f>VLOOKUP(tabPostos[[#This Row],[CCT DA CATEGORIA]],'RELAÇÃO SINDICATOS'!A:N,12,0)</f>
        <v>-</v>
      </c>
      <c r="L95" s="147" t="str">
        <f>VLOOKUP(tabPostos[[#This Row],[CCT DA CATEGORIA]],'RELAÇÃO SINDICATOS'!A:N,13,0)</f>
        <v>-</v>
      </c>
      <c r="M95" s="147" t="str">
        <f>VLOOKUP(tabPostos[[#This Row],[CCT DA CATEGORIA]],'RELAÇÃO SINDICATOS'!A:N,14,0)</f>
        <v>MG000256/2025</v>
      </c>
    </row>
    <row r="96" spans="1:13">
      <c r="A96" s="147" t="str" cm="1">
        <f t="array" ref="A9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1.090.45</v>
      </c>
      <c r="B96" s="199" t="s">
        <v>1110</v>
      </c>
      <c r="C96" s="199" t="s">
        <v>324</v>
      </c>
      <c r="D96" s="199" t="str" cm="1">
        <f t="array" ref="D9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96" s="147" t="s">
        <v>1090</v>
      </c>
      <c r="F96" s="147" t="s">
        <v>120</v>
      </c>
      <c r="G96" s="147">
        <v>1</v>
      </c>
      <c r="H96" s="147">
        <v>0</v>
      </c>
      <c r="I96" s="214">
        <f>1.07*1.07*1.065*1.1016*2529.13</f>
        <v>3397.1306016921476</v>
      </c>
      <c r="J96" s="249">
        <f>VLOOKUP(tabPostos[[#This Row],[CCT DA CATEGORIA]],'RELAÇÃO SINDICATOS'!A:N,11,0)</f>
        <v>45658</v>
      </c>
      <c r="K96" s="147" t="str">
        <f>VLOOKUP(tabPostos[[#This Row],[CCT DA CATEGORIA]],'RELAÇÃO SINDICATOS'!A:N,12,0)</f>
        <v>-</v>
      </c>
      <c r="L96" s="147" t="str">
        <f>VLOOKUP(tabPostos[[#This Row],[CCT DA CATEGORIA]],'RELAÇÃO SINDICATOS'!A:N,13,0)</f>
        <v>-</v>
      </c>
      <c r="M96" s="147" t="str">
        <f>VLOOKUP(tabPostos[[#This Row],[CCT DA CATEGORIA]],'RELAÇÃO SINDICATOS'!A:N,14,0)</f>
        <v>MG000016/2025</v>
      </c>
    </row>
    <row r="97" spans="1:13">
      <c r="A97" s="147" t="str" cm="1">
        <f t="array" ref="A9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1.093.43</v>
      </c>
      <c r="B97" s="199" t="s">
        <v>1111</v>
      </c>
      <c r="C97" s="199" t="s">
        <v>314</v>
      </c>
      <c r="D97" s="199" t="str" cm="1">
        <f t="array" ref="D9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97" s="147" t="s">
        <v>1090</v>
      </c>
      <c r="F97" s="147" t="s">
        <v>120</v>
      </c>
      <c r="G97" s="147">
        <v>1</v>
      </c>
      <c r="H97" s="147">
        <v>0</v>
      </c>
      <c r="I97" s="214">
        <f>1.07*1.07*1.065*1.1016*1461.74</f>
        <v>1963.4110092077037</v>
      </c>
      <c r="J97" s="249">
        <f>VLOOKUP(tabPostos[[#This Row],[CCT DA CATEGORIA]],'RELAÇÃO SINDICATOS'!A:N,11,0)</f>
        <v>45658</v>
      </c>
      <c r="K97" s="147" t="str">
        <f>VLOOKUP(tabPostos[[#This Row],[CCT DA CATEGORIA]],'RELAÇÃO SINDICATOS'!A:N,12,0)</f>
        <v>-</v>
      </c>
      <c r="L97" s="147" t="str">
        <f>VLOOKUP(tabPostos[[#This Row],[CCT DA CATEGORIA]],'RELAÇÃO SINDICATOS'!A:N,13,0)</f>
        <v>-</v>
      </c>
      <c r="M97" s="147" t="str">
        <f>VLOOKUP(tabPostos[[#This Row],[CCT DA CATEGORIA]],'RELAÇÃO SINDICATOS'!A:N,14,0)</f>
        <v>MG004482/2024</v>
      </c>
    </row>
    <row r="98" spans="1:13">
      <c r="A98" s="147" t="str" cm="1">
        <f t="array" ref="A9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1.045.45</v>
      </c>
      <c r="B98" s="199" t="s">
        <v>1112</v>
      </c>
      <c r="C98" s="199" t="s">
        <v>324</v>
      </c>
      <c r="D98" s="199" t="str" cm="1">
        <f t="array" ref="D9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RM</v>
      </c>
      <c r="E98" s="147" t="s">
        <v>1090</v>
      </c>
      <c r="F98" s="147" t="s">
        <v>120</v>
      </c>
      <c r="G98" s="147">
        <v>1</v>
      </c>
      <c r="H98" s="147">
        <v>0</v>
      </c>
      <c r="I98" s="214">
        <f>1.07*1.07*1.065*1.1016*2529.13</f>
        <v>3397.1306016921476</v>
      </c>
      <c r="J98" s="249">
        <f>VLOOKUP(tabPostos[[#This Row],[CCT DA CATEGORIA]],'RELAÇÃO SINDICATOS'!A:N,11,0)</f>
        <v>45658</v>
      </c>
      <c r="K98" s="147" t="str">
        <f>VLOOKUP(tabPostos[[#This Row],[CCT DA CATEGORIA]],'RELAÇÃO SINDICATOS'!A:N,12,0)</f>
        <v>-</v>
      </c>
      <c r="L98" s="147" t="str">
        <f>VLOOKUP(tabPostos[[#This Row],[CCT DA CATEGORIA]],'RELAÇÃO SINDICATOS'!A:N,13,0)</f>
        <v>-</v>
      </c>
      <c r="M98" s="147" t="str">
        <f>VLOOKUP(tabPostos[[#This Row],[CCT DA CATEGORIA]],'RELAÇÃO SINDICATOS'!A:N,14,0)</f>
        <v>MG004479/2024</v>
      </c>
    </row>
    <row r="99" spans="1:13">
      <c r="A99" s="147" t="str" cm="1">
        <f t="array" ref="A9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1.878.43</v>
      </c>
      <c r="B99" s="199" t="s">
        <v>1113</v>
      </c>
      <c r="C99" s="199" t="s">
        <v>314</v>
      </c>
      <c r="D99" s="199" t="str" cm="1">
        <f t="array" ref="D9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99" s="147" t="s">
        <v>1090</v>
      </c>
      <c r="F99" s="147" t="s">
        <v>120</v>
      </c>
      <c r="G99" s="147">
        <v>1</v>
      </c>
      <c r="H99" s="147">
        <v>0</v>
      </c>
      <c r="I99" s="214">
        <f>1.07*1.07*1.065*1.1016*1461.74</f>
        <v>1963.4110092077037</v>
      </c>
      <c r="J99" s="249">
        <f>VLOOKUP(tabPostos[[#This Row],[CCT DA CATEGORIA]],'RELAÇÃO SINDICATOS'!A:N,11,0)</f>
        <v>45658</v>
      </c>
      <c r="K99" s="147" t="str">
        <f>VLOOKUP(tabPostos[[#This Row],[CCT DA CATEGORIA]],'RELAÇÃO SINDICATOS'!A:N,12,0)</f>
        <v>-</v>
      </c>
      <c r="L99" s="147" t="str">
        <f>VLOOKUP(tabPostos[[#This Row],[CCT DA CATEGORIA]],'RELAÇÃO SINDICATOS'!A:N,13,0)</f>
        <v>-</v>
      </c>
      <c r="M99" s="147" t="str">
        <f>VLOOKUP(tabPostos[[#This Row],[CCT DA CATEGORIA]],'RELAÇÃO SINDICATOS'!A:N,14,0)</f>
        <v>MG004482/2024</v>
      </c>
    </row>
    <row r="100" spans="1:13">
      <c r="A100" s="147" t="str" cm="1">
        <f t="array" ref="A10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1.106.43</v>
      </c>
      <c r="B100" s="199" t="s">
        <v>1114</v>
      </c>
      <c r="C100" s="199" t="s">
        <v>314</v>
      </c>
      <c r="D100" s="199" t="str" cm="1">
        <f t="array" ref="D10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00" s="147" t="s">
        <v>1090</v>
      </c>
      <c r="F100" s="147" t="s">
        <v>120</v>
      </c>
      <c r="G100" s="147">
        <v>1</v>
      </c>
      <c r="H100" s="147">
        <v>0</v>
      </c>
      <c r="I100" s="214">
        <f>1.07*1.07*1.065*1.1016*1461.74</f>
        <v>1963.4110092077037</v>
      </c>
      <c r="J100" s="249">
        <f>VLOOKUP(tabPostos[[#This Row],[CCT DA CATEGORIA]],'RELAÇÃO SINDICATOS'!A:N,11,0)</f>
        <v>45658</v>
      </c>
      <c r="K100" s="147" t="str">
        <f>VLOOKUP(tabPostos[[#This Row],[CCT DA CATEGORIA]],'RELAÇÃO SINDICATOS'!A:N,12,0)</f>
        <v>-</v>
      </c>
      <c r="L100" s="147" t="str">
        <f>VLOOKUP(tabPostos[[#This Row],[CCT DA CATEGORIA]],'RELAÇÃO SINDICATOS'!A:N,13,0)</f>
        <v>-</v>
      </c>
      <c r="M100" s="147" t="str">
        <f>VLOOKUP(tabPostos[[#This Row],[CCT DA CATEGORIA]],'RELAÇÃO SINDICATOS'!A:N,14,0)</f>
        <v>MG004482/2024</v>
      </c>
    </row>
    <row r="101" spans="1:13">
      <c r="A101" s="147" t="str" cm="1">
        <f t="array" ref="A10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3.112.35</v>
      </c>
      <c r="B101" s="199" t="s">
        <v>1115</v>
      </c>
      <c r="C101" s="199" t="s">
        <v>274</v>
      </c>
      <c r="D101" s="199" t="str" cm="1">
        <f t="array" ref="D10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Lavras + SEAC-MG</v>
      </c>
      <c r="E101" s="147" t="s">
        <v>1090</v>
      </c>
      <c r="F101" s="147" t="s">
        <v>135</v>
      </c>
      <c r="G101" s="147">
        <v>1</v>
      </c>
      <c r="H101" s="147">
        <v>0</v>
      </c>
      <c r="I101" s="214">
        <f>1.05*1.07*1.065*1.1016*1.0435*1.0448*3200.72</f>
        <v>4599.5983837776375</v>
      </c>
      <c r="J101" s="249">
        <f>VLOOKUP(tabPostos[[#This Row],[CCT DA CATEGORIA]],'RELAÇÃO SINDICATOS'!A:N,11,0)</f>
        <v>45658</v>
      </c>
      <c r="K101" s="147" t="str">
        <f>VLOOKUP(tabPostos[[#This Row],[CCT DA CATEGORIA]],'RELAÇÃO SINDICATOS'!A:N,12,0)</f>
        <v>-</v>
      </c>
      <c r="L101" s="147" t="str">
        <f>VLOOKUP(tabPostos[[#This Row],[CCT DA CATEGORIA]],'RELAÇÃO SINDICATOS'!A:N,13,0)</f>
        <v>-</v>
      </c>
      <c r="M101" s="147" t="str">
        <f>VLOOKUP(tabPostos[[#This Row],[CCT DA CATEGORIA]],'RELAÇÃO SINDICATOS'!A:N,14,0)</f>
        <v>MG001379/2025</v>
      </c>
    </row>
    <row r="102" spans="1:13">
      <c r="A102" s="147" t="str" cm="1">
        <f t="array" ref="A10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1.112.44</v>
      </c>
      <c r="B102" s="199" t="s">
        <v>1115</v>
      </c>
      <c r="C102" s="199" t="s">
        <v>319</v>
      </c>
      <c r="D102" s="199" t="str" cm="1">
        <f t="array" ref="D10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02" s="147" t="s">
        <v>1090</v>
      </c>
      <c r="F102" s="147" t="s">
        <v>120</v>
      </c>
      <c r="G102" s="147">
        <v>1</v>
      </c>
      <c r="H102" s="147">
        <v>0</v>
      </c>
      <c r="I102" s="214">
        <f>1.07*1.07*1.065*1.1016*1.045*1650.15</f>
        <v>2316.2253186627422</v>
      </c>
      <c r="J102" s="249">
        <f>VLOOKUP(tabPostos[[#This Row],[CCT DA CATEGORIA]],'RELAÇÃO SINDICATOS'!A:N,11,0)</f>
        <v>45658</v>
      </c>
      <c r="K102" s="147" t="str">
        <f>VLOOKUP(tabPostos[[#This Row],[CCT DA CATEGORIA]],'RELAÇÃO SINDICATOS'!A:N,12,0)</f>
        <v>-</v>
      </c>
      <c r="L102" s="147" t="str">
        <f>VLOOKUP(tabPostos[[#This Row],[CCT DA CATEGORIA]],'RELAÇÃO SINDICATOS'!A:N,13,0)</f>
        <v>-</v>
      </c>
      <c r="M102" s="147" t="str">
        <f>VLOOKUP(tabPostos[[#This Row],[CCT DA CATEGORIA]],'RELAÇÃO SINDICATOS'!A:N,14,0)</f>
        <v>MG000594/2025</v>
      </c>
    </row>
    <row r="103" spans="1:13">
      <c r="A103" s="147" t="str" cm="1">
        <f t="array" ref="A10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1.115.44</v>
      </c>
      <c r="B103" s="199" t="s">
        <v>1116</v>
      </c>
      <c r="C103" s="199" t="s">
        <v>319</v>
      </c>
      <c r="D103" s="199" t="str" cm="1">
        <f t="array" ref="D10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103" s="147" t="s">
        <v>1090</v>
      </c>
      <c r="F103" s="147" t="s">
        <v>120</v>
      </c>
      <c r="G103" s="147">
        <v>1</v>
      </c>
      <c r="H103" s="147">
        <v>0</v>
      </c>
      <c r="I103" s="214">
        <f>1.07*1.07*1.065*1.1016*1.045*1650.15</f>
        <v>2316.2253186627422</v>
      </c>
      <c r="J103" s="249">
        <f>VLOOKUP(tabPostos[[#This Row],[CCT DA CATEGORIA]],'RELAÇÃO SINDICATOS'!A:N,11,0)</f>
        <v>45658</v>
      </c>
      <c r="K103" s="147" t="str">
        <f>VLOOKUP(tabPostos[[#This Row],[CCT DA CATEGORIA]],'RELAÇÃO SINDICATOS'!A:N,12,0)</f>
        <v>-</v>
      </c>
      <c r="L103" s="147" t="str">
        <f>VLOOKUP(tabPostos[[#This Row],[CCT DA CATEGORIA]],'RELAÇÃO SINDICATOS'!A:N,13,0)</f>
        <v>-</v>
      </c>
      <c r="M103" s="147" t="str">
        <f>VLOOKUP(tabPostos[[#This Row],[CCT DA CATEGORIA]],'RELAÇÃO SINDICATOS'!A:N,14,0)</f>
        <v>MG001106/2025</v>
      </c>
    </row>
    <row r="104" spans="1:13">
      <c r="A104" s="147" t="str" cm="1">
        <f t="array" ref="A10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1.116.13</v>
      </c>
      <c r="B104" s="199" t="s">
        <v>1117</v>
      </c>
      <c r="C104" s="199" t="s">
        <v>200</v>
      </c>
      <c r="D104" s="199" t="str" cm="1">
        <f t="array" ref="D10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04" s="147" t="s">
        <v>1090</v>
      </c>
      <c r="F104" s="147" t="s">
        <v>120</v>
      </c>
      <c r="G104" s="147">
        <v>1</v>
      </c>
      <c r="H104" s="147">
        <v>0</v>
      </c>
      <c r="I104" s="214">
        <f>1.07*1.07*1.065*1.1016*1188.41</f>
        <v>1596.273808921236</v>
      </c>
      <c r="J104" s="249">
        <f>VLOOKUP(tabPostos[[#This Row],[CCT DA CATEGORIA]],'RELAÇÃO SINDICATOS'!A:N,11,0)</f>
        <v>45658</v>
      </c>
      <c r="K104" s="147" t="str">
        <f>VLOOKUP(tabPostos[[#This Row],[CCT DA CATEGORIA]],'RELAÇÃO SINDICATOS'!A:N,12,0)</f>
        <v>-</v>
      </c>
      <c r="L104" s="147" t="str">
        <f>VLOOKUP(tabPostos[[#This Row],[CCT DA CATEGORIA]],'RELAÇÃO SINDICATOS'!A:N,13,0)</f>
        <v>-</v>
      </c>
      <c r="M104" s="147" t="str">
        <f>VLOOKUP(tabPostos[[#This Row],[CCT DA CATEGORIA]],'RELAÇÃO SINDICATOS'!A:N,14,0)</f>
        <v>MG000594/2025</v>
      </c>
    </row>
    <row r="105" spans="1:13">
      <c r="A105" s="147" t="str" cm="1">
        <f t="array" ref="A10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1.118.13</v>
      </c>
      <c r="B105" s="199" t="s">
        <v>1118</v>
      </c>
      <c r="C105" s="199" t="s">
        <v>200</v>
      </c>
      <c r="D105" s="199" t="str" cm="1">
        <f t="array" ref="D10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105" s="147" t="s">
        <v>1090</v>
      </c>
      <c r="F105" s="147" t="s">
        <v>120</v>
      </c>
      <c r="G105" s="147">
        <v>1</v>
      </c>
      <c r="H105" s="147">
        <v>0</v>
      </c>
      <c r="I105" s="214">
        <f>1.07*1.07*1.065*1.1016*1188.41</f>
        <v>1596.273808921236</v>
      </c>
      <c r="J105" s="249">
        <f>VLOOKUP(tabPostos[[#This Row],[CCT DA CATEGORIA]],'RELAÇÃO SINDICATOS'!A:N,11,0)</f>
        <v>45658</v>
      </c>
      <c r="K105" s="147" t="str">
        <f>VLOOKUP(tabPostos[[#This Row],[CCT DA CATEGORIA]],'RELAÇÃO SINDICATOS'!A:N,12,0)</f>
        <v>-</v>
      </c>
      <c r="L105" s="147" t="str">
        <f>VLOOKUP(tabPostos[[#This Row],[CCT DA CATEGORIA]],'RELAÇÃO SINDICATOS'!A:N,13,0)</f>
        <v>-</v>
      </c>
      <c r="M105" s="147" t="str">
        <f>VLOOKUP(tabPostos[[#This Row],[CCT DA CATEGORIA]],'RELAÇÃO SINDICATOS'!A:N,14,0)</f>
        <v>MG001106/2025</v>
      </c>
    </row>
    <row r="106" spans="1:13">
      <c r="A106" s="147" t="str" cm="1">
        <f t="array" ref="A10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1.120.43</v>
      </c>
      <c r="B106" s="199" t="s">
        <v>1119</v>
      </c>
      <c r="C106" s="199" t="s">
        <v>314</v>
      </c>
      <c r="D106" s="199" t="str" cm="1">
        <f t="array" ref="D10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06" s="147" t="s">
        <v>1090</v>
      </c>
      <c r="F106" s="147" t="s">
        <v>120</v>
      </c>
      <c r="G106" s="147">
        <v>1</v>
      </c>
      <c r="H106" s="147">
        <v>0</v>
      </c>
      <c r="I106" s="214">
        <f>1.07*1.07*1.065*1.1016*1.045*1398.79</f>
        <v>1963.4050319620983</v>
      </c>
      <c r="J106" s="249">
        <f>VLOOKUP(tabPostos[[#This Row],[CCT DA CATEGORIA]],'RELAÇÃO SINDICATOS'!A:N,11,0)</f>
        <v>45658</v>
      </c>
      <c r="K106" s="147" t="str">
        <f>VLOOKUP(tabPostos[[#This Row],[CCT DA CATEGORIA]],'RELAÇÃO SINDICATOS'!A:N,12,0)</f>
        <v>-</v>
      </c>
      <c r="L106" s="147" t="str">
        <f>VLOOKUP(tabPostos[[#This Row],[CCT DA CATEGORIA]],'RELAÇÃO SINDICATOS'!A:N,13,0)</f>
        <v>-</v>
      </c>
      <c r="M106" s="147" t="str">
        <f>VLOOKUP(tabPostos[[#This Row],[CCT DA CATEGORIA]],'RELAÇÃO SINDICATOS'!A:N,14,0)</f>
        <v>MG000594/2025</v>
      </c>
    </row>
    <row r="107" spans="1:13">
      <c r="A107" s="147" t="str" cm="1">
        <f t="array" ref="A10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1.123.13</v>
      </c>
      <c r="B107" s="199" t="s">
        <v>1120</v>
      </c>
      <c r="C107" s="199" t="s">
        <v>200</v>
      </c>
      <c r="D107" s="199" t="str" cm="1">
        <f t="array" ref="D10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Teofilo Otoni</v>
      </c>
      <c r="E107" s="147" t="s">
        <v>1090</v>
      </c>
      <c r="F107" s="147" t="s">
        <v>120</v>
      </c>
      <c r="G107" s="147">
        <v>1</v>
      </c>
      <c r="H107" s="147">
        <v>0</v>
      </c>
      <c r="I107" s="214">
        <f>1.07*1.07*1.065*1.1016*1188.41</f>
        <v>1596.273808921236</v>
      </c>
      <c r="J107" s="249">
        <f>VLOOKUP(tabPostos[[#This Row],[CCT DA CATEGORIA]],'RELAÇÃO SINDICATOS'!A:N,11,0)</f>
        <v>45658</v>
      </c>
      <c r="K107" s="147" t="str">
        <f>VLOOKUP(tabPostos[[#This Row],[CCT DA CATEGORIA]],'RELAÇÃO SINDICATOS'!A:N,12,0)</f>
        <v>-</v>
      </c>
      <c r="L107" s="147" t="str">
        <f>VLOOKUP(tabPostos[[#This Row],[CCT DA CATEGORIA]],'RELAÇÃO SINDICATOS'!A:N,13,0)</f>
        <v>-</v>
      </c>
      <c r="M107" s="147" t="str">
        <f>VLOOKUP(tabPostos[[#This Row],[CCT DA CATEGORIA]],'RELAÇÃO SINDICATOS'!A:N,14,0)</f>
        <v>MG004488/2024</v>
      </c>
    </row>
    <row r="108" spans="1:13">
      <c r="A108" s="147" t="str" cm="1">
        <f t="array" ref="A10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1.132.44</v>
      </c>
      <c r="B108" s="199" t="s">
        <v>1121</v>
      </c>
      <c r="C108" s="199" t="s">
        <v>319</v>
      </c>
      <c r="D108" s="199" t="str" cm="1">
        <f t="array" ref="D10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08" s="147" t="s">
        <v>1090</v>
      </c>
      <c r="F108" s="147" t="s">
        <v>120</v>
      </c>
      <c r="G108" s="147">
        <v>1</v>
      </c>
      <c r="H108" s="147">
        <v>0</v>
      </c>
      <c r="I108" s="214">
        <f>1.07*1.07*1.065*1.1016*1724.41</f>
        <v>2316.2296840668359</v>
      </c>
      <c r="J108" s="249">
        <f>VLOOKUP(tabPostos[[#This Row],[CCT DA CATEGORIA]],'RELAÇÃO SINDICATOS'!A:N,11,0)</f>
        <v>45658</v>
      </c>
      <c r="K108" s="147" t="str">
        <f>VLOOKUP(tabPostos[[#This Row],[CCT DA CATEGORIA]],'RELAÇÃO SINDICATOS'!A:N,12,0)</f>
        <v>-</v>
      </c>
      <c r="L108" s="147" t="str">
        <f>VLOOKUP(tabPostos[[#This Row],[CCT DA CATEGORIA]],'RELAÇÃO SINDICATOS'!A:N,13,0)</f>
        <v>-</v>
      </c>
      <c r="M108" s="147" t="str">
        <f>VLOOKUP(tabPostos[[#This Row],[CCT DA CATEGORIA]],'RELAÇÃO SINDICATOS'!A:N,14,0)</f>
        <v>MG004482/2024</v>
      </c>
    </row>
    <row r="109" spans="1:13">
      <c r="A109" s="147" t="str" cm="1">
        <f t="array" ref="A10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1.133.13</v>
      </c>
      <c r="B109" s="199" t="s">
        <v>1122</v>
      </c>
      <c r="C109" s="199" t="s">
        <v>200</v>
      </c>
      <c r="D109" s="199" t="str" cm="1">
        <f t="array" ref="D10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109" s="147" t="s">
        <v>1090</v>
      </c>
      <c r="F109" s="147" t="s">
        <v>120</v>
      </c>
      <c r="G109" s="147">
        <v>1</v>
      </c>
      <c r="H109" s="147">
        <v>0</v>
      </c>
      <c r="I109" s="214">
        <f>1.07*1.07*1.065*1.1016*1188.41</f>
        <v>1596.273808921236</v>
      </c>
      <c r="J109" s="249">
        <f>VLOOKUP(tabPostos[[#This Row],[CCT DA CATEGORIA]],'RELAÇÃO SINDICATOS'!A:N,11,0)</f>
        <v>45658</v>
      </c>
      <c r="K109" s="147" t="str">
        <f>VLOOKUP(tabPostos[[#This Row],[CCT DA CATEGORIA]],'RELAÇÃO SINDICATOS'!A:N,12,0)</f>
        <v>-</v>
      </c>
      <c r="L109" s="147" t="str">
        <f>VLOOKUP(tabPostos[[#This Row],[CCT DA CATEGORIA]],'RELAÇÃO SINDICATOS'!A:N,13,0)</f>
        <v>-</v>
      </c>
      <c r="M109" s="147" t="str">
        <f>VLOOKUP(tabPostos[[#This Row],[CCT DA CATEGORIA]],'RELAÇÃO SINDICATOS'!A:N,14,0)</f>
        <v>MG000506/2025</v>
      </c>
    </row>
    <row r="110" spans="1:13">
      <c r="A110" s="147" t="str" cm="1">
        <f t="array" ref="A11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1.133.27</v>
      </c>
      <c r="B110" s="199" t="s">
        <v>1122</v>
      </c>
      <c r="C110" s="199" t="s">
        <v>1367</v>
      </c>
      <c r="D110" s="199" t="str" cm="1">
        <f t="array" ref="D11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110" s="147" t="s">
        <v>1090</v>
      </c>
      <c r="F110" s="147" t="s">
        <v>120</v>
      </c>
      <c r="G110" s="147">
        <v>1</v>
      </c>
      <c r="H110" s="147">
        <v>0</v>
      </c>
      <c r="I110" s="214">
        <f>1.07*1.07*1.065*1.1016*1709.48/220*200</f>
        <v>2087.4324447827344</v>
      </c>
      <c r="J110" s="249">
        <f>VLOOKUP(tabPostos[[#This Row],[CCT DA CATEGORIA]],'RELAÇÃO SINDICATOS'!A:N,11,0)</f>
        <v>45658</v>
      </c>
      <c r="K110" s="147" t="str">
        <f>VLOOKUP(tabPostos[[#This Row],[CCT DA CATEGORIA]],'RELAÇÃO SINDICATOS'!A:N,12,0)</f>
        <v>-</v>
      </c>
      <c r="L110" s="147" t="str">
        <f>VLOOKUP(tabPostos[[#This Row],[CCT DA CATEGORIA]],'RELAÇÃO SINDICATOS'!A:N,13,0)</f>
        <v>-</v>
      </c>
      <c r="M110" s="147" t="str">
        <f>VLOOKUP(tabPostos[[#This Row],[CCT DA CATEGORIA]],'RELAÇÃO SINDICATOS'!A:N,14,0)</f>
        <v>MG000506/2025</v>
      </c>
    </row>
    <row r="111" spans="1:13">
      <c r="A111" s="147" t="str" cm="1">
        <f t="array" ref="A11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1.133.43</v>
      </c>
      <c r="B111" s="199" t="s">
        <v>1122</v>
      </c>
      <c r="C111" s="199" t="s">
        <v>314</v>
      </c>
      <c r="D111" s="199" t="str" cm="1">
        <f t="array" ref="D11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111" s="147" t="s">
        <v>1090</v>
      </c>
      <c r="F111" s="147" t="s">
        <v>120</v>
      </c>
      <c r="G111" s="147">
        <v>1</v>
      </c>
      <c r="H111" s="147">
        <v>0</v>
      </c>
      <c r="I111" s="214">
        <f>1.07*1.07*1.065*1.1016*1461.74</f>
        <v>1963.4110092077037</v>
      </c>
      <c r="J111" s="249">
        <f>VLOOKUP(tabPostos[[#This Row],[CCT DA CATEGORIA]],'RELAÇÃO SINDICATOS'!A:N,11,0)</f>
        <v>45658</v>
      </c>
      <c r="K111" s="147" t="str">
        <f>VLOOKUP(tabPostos[[#This Row],[CCT DA CATEGORIA]],'RELAÇÃO SINDICATOS'!A:N,12,0)</f>
        <v>-</v>
      </c>
      <c r="L111" s="147" t="str">
        <f>VLOOKUP(tabPostos[[#This Row],[CCT DA CATEGORIA]],'RELAÇÃO SINDICATOS'!A:N,13,0)</f>
        <v>-</v>
      </c>
      <c r="M111" s="147" t="str">
        <f>VLOOKUP(tabPostos[[#This Row],[CCT DA CATEGORIA]],'RELAÇÃO SINDICATOS'!A:N,14,0)</f>
        <v>MG000506/2025</v>
      </c>
    </row>
    <row r="112" spans="1:13">
      <c r="A112" s="147" t="str" cm="1">
        <f t="array" ref="A11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1.134.13</v>
      </c>
      <c r="B112" s="199" t="s">
        <v>1123</v>
      </c>
      <c r="C112" s="199" t="s">
        <v>200</v>
      </c>
      <c r="D112" s="199" t="str" cm="1">
        <f t="array" ref="D11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112" s="147" t="s">
        <v>1090</v>
      </c>
      <c r="F112" s="147" t="s">
        <v>120</v>
      </c>
      <c r="G112" s="147">
        <f>2+1</f>
        <v>3</v>
      </c>
      <c r="H112" s="147">
        <v>0</v>
      </c>
      <c r="I112" s="214">
        <f>1.07*1.07*1.065*1.1016*1188.41</f>
        <v>1596.273808921236</v>
      </c>
      <c r="J112" s="249">
        <f>VLOOKUP(tabPostos[[#This Row],[CCT DA CATEGORIA]],'RELAÇÃO SINDICATOS'!A:N,11,0)</f>
        <v>45658</v>
      </c>
      <c r="K112" s="147" t="str">
        <f>VLOOKUP(tabPostos[[#This Row],[CCT DA CATEGORIA]],'RELAÇÃO SINDICATOS'!A:N,12,0)</f>
        <v>-</v>
      </c>
      <c r="L112" s="147" t="str">
        <f>VLOOKUP(tabPostos[[#This Row],[CCT DA CATEGORIA]],'RELAÇÃO SINDICATOS'!A:N,13,0)</f>
        <v>-</v>
      </c>
      <c r="M112" s="147" t="str">
        <f>VLOOKUP(tabPostos[[#This Row],[CCT DA CATEGORIA]],'RELAÇÃO SINDICATOS'!A:N,14,0)</f>
        <v>MG000493/2025</v>
      </c>
    </row>
    <row r="113" spans="1:13">
      <c r="A113" s="147" t="str" cm="1">
        <f t="array" ref="A11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1.134.45</v>
      </c>
      <c r="B113" s="199" t="s">
        <v>1123</v>
      </c>
      <c r="C113" s="199" t="s">
        <v>324</v>
      </c>
      <c r="D113" s="199" t="str" cm="1">
        <f t="array" ref="D11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113" s="147" t="s">
        <v>1090</v>
      </c>
      <c r="F113" s="147" t="s">
        <v>120</v>
      </c>
      <c r="G113" s="147">
        <v>1</v>
      </c>
      <c r="H113" s="147">
        <v>0</v>
      </c>
      <c r="I113" s="214">
        <f>1.07*1.07*1.065*1.1016*2529.13</f>
        <v>3397.1306016921476</v>
      </c>
      <c r="J113" s="249">
        <f>VLOOKUP(tabPostos[[#This Row],[CCT DA CATEGORIA]],'RELAÇÃO SINDICATOS'!A:N,11,0)</f>
        <v>45658</v>
      </c>
      <c r="K113" s="147" t="str">
        <f>VLOOKUP(tabPostos[[#This Row],[CCT DA CATEGORIA]],'RELAÇÃO SINDICATOS'!A:N,12,0)</f>
        <v>-</v>
      </c>
      <c r="L113" s="147" t="str">
        <f>VLOOKUP(tabPostos[[#This Row],[CCT DA CATEGORIA]],'RELAÇÃO SINDICATOS'!A:N,13,0)</f>
        <v>-</v>
      </c>
      <c r="M113" s="147" t="str">
        <f>VLOOKUP(tabPostos[[#This Row],[CCT DA CATEGORIA]],'RELAÇÃO SINDICATOS'!A:N,14,0)</f>
        <v>MG000493/2025</v>
      </c>
    </row>
    <row r="114" spans="1:13">
      <c r="A114" s="147" t="str" cm="1">
        <f t="array" ref="A11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1.134.35</v>
      </c>
      <c r="B114" s="199" t="s">
        <v>1123</v>
      </c>
      <c r="C114" s="199" t="s">
        <v>274</v>
      </c>
      <c r="D114" s="199" t="str" cm="1">
        <f t="array" ref="D11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Coronel Fabriciano + SEAC-MG</v>
      </c>
      <c r="E114" s="147" t="s">
        <v>1090</v>
      </c>
      <c r="F114" s="147" t="s">
        <v>120</v>
      </c>
      <c r="G114" s="147">
        <v>1</v>
      </c>
      <c r="H114" s="147">
        <v>0</v>
      </c>
      <c r="I114" s="214">
        <f>1.05*1.07*1.065*1.1016*1.0435*3344.11</f>
        <v>4599.5952808034681</v>
      </c>
      <c r="J114" s="249">
        <f>VLOOKUP(tabPostos[[#This Row],[CCT DA CATEGORIA]],'RELAÇÃO SINDICATOS'!A:N,11,0)</f>
        <v>45658</v>
      </c>
      <c r="K114" s="147" t="str">
        <f>VLOOKUP(tabPostos[[#This Row],[CCT DA CATEGORIA]],'RELAÇÃO SINDICATOS'!A:N,12,0)</f>
        <v>-</v>
      </c>
      <c r="L114" s="147" t="str">
        <f>VLOOKUP(tabPostos[[#This Row],[CCT DA CATEGORIA]],'RELAÇÃO SINDICATOS'!A:N,13,0)</f>
        <v>-</v>
      </c>
      <c r="M114" s="147" t="str">
        <f>VLOOKUP(tabPostos[[#This Row],[CCT DA CATEGORIA]],'RELAÇÃO SINDICATOS'!A:N,14,0)</f>
        <v>MG002177/2025</v>
      </c>
    </row>
    <row r="115" spans="1:13">
      <c r="A115" s="147" t="str" cm="1">
        <f t="array" ref="A11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1.144.44</v>
      </c>
      <c r="B115" s="199" t="s">
        <v>1124</v>
      </c>
      <c r="C115" s="199" t="s">
        <v>319</v>
      </c>
      <c r="D115" s="199" t="str" cm="1">
        <f t="array" ref="D11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15" s="147" t="s">
        <v>1090</v>
      </c>
      <c r="F115" s="147" t="s">
        <v>120</v>
      </c>
      <c r="G115" s="147">
        <v>1</v>
      </c>
      <c r="H115" s="147">
        <v>0</v>
      </c>
      <c r="I115" s="214">
        <f>1.07*1.07*1.065*1.1016*1.045*1650.15</f>
        <v>2316.2253186627422</v>
      </c>
      <c r="J115" s="249">
        <f>VLOOKUP(tabPostos[[#This Row],[CCT DA CATEGORIA]],'RELAÇÃO SINDICATOS'!A:N,11,0)</f>
        <v>45658</v>
      </c>
      <c r="K115" s="147" t="str">
        <f>VLOOKUP(tabPostos[[#This Row],[CCT DA CATEGORIA]],'RELAÇÃO SINDICATOS'!A:N,12,0)</f>
        <v>-</v>
      </c>
      <c r="L115" s="147" t="str">
        <f>VLOOKUP(tabPostos[[#This Row],[CCT DA CATEGORIA]],'RELAÇÃO SINDICATOS'!A:N,13,0)</f>
        <v>-</v>
      </c>
      <c r="M115" s="147" t="str">
        <f>VLOOKUP(tabPostos[[#This Row],[CCT DA CATEGORIA]],'RELAÇÃO SINDICATOS'!A:N,14,0)</f>
        <v>MG000594/2025</v>
      </c>
    </row>
    <row r="116" spans="1:13">
      <c r="A116" s="147" t="str" cm="1">
        <f t="array" ref="A11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1.153.27</v>
      </c>
      <c r="B116" s="199" t="s">
        <v>905</v>
      </c>
      <c r="C116" s="199" t="s">
        <v>1367</v>
      </c>
      <c r="D116" s="199" t="str" cm="1">
        <f t="array" ref="D11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116" s="147" t="s">
        <v>1090</v>
      </c>
      <c r="F116" s="147" t="s">
        <v>120</v>
      </c>
      <c r="G116" s="147">
        <v>1</v>
      </c>
      <c r="H116" s="147">
        <v>0</v>
      </c>
      <c r="I116" s="214">
        <f>1.07*1.07*1.065*1.1016*1709.48/220*200</f>
        <v>2087.4324447827344</v>
      </c>
      <c r="J116" s="249">
        <f>VLOOKUP(tabPostos[[#This Row],[CCT DA CATEGORIA]],'RELAÇÃO SINDICATOS'!A:N,11,0)</f>
        <v>45658</v>
      </c>
      <c r="K116" s="147" t="str">
        <f>VLOOKUP(tabPostos[[#This Row],[CCT DA CATEGORIA]],'RELAÇÃO SINDICATOS'!A:N,12,0)</f>
        <v>-</v>
      </c>
      <c r="L116" s="147" t="str">
        <f>VLOOKUP(tabPostos[[#This Row],[CCT DA CATEGORIA]],'RELAÇÃO SINDICATOS'!A:N,13,0)</f>
        <v>-</v>
      </c>
      <c r="M116" s="147" t="str">
        <f>VLOOKUP(tabPostos[[#This Row],[CCT DA CATEGORIA]],'RELAÇÃO SINDICATOS'!A:N,14,0)</f>
        <v>MG000299/2025</v>
      </c>
    </row>
    <row r="117" spans="1:13">
      <c r="A117" s="147" t="str" cm="1">
        <f t="array" ref="A11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1.153.29</v>
      </c>
      <c r="B117" s="199" t="s">
        <v>905</v>
      </c>
      <c r="C117" s="199" t="s">
        <v>1368</v>
      </c>
      <c r="D117" s="199" t="str" cm="1">
        <f t="array" ref="D11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117" s="147" t="s">
        <v>1090</v>
      </c>
      <c r="F117" s="147" t="s">
        <v>120</v>
      </c>
      <c r="G117" s="147">
        <v>1</v>
      </c>
      <c r="H117" s="147">
        <v>0</v>
      </c>
      <c r="I117" s="214">
        <f>1.07*1.07*1.065*1.1016*1709.48</f>
        <v>2296.1756892610078</v>
      </c>
      <c r="J117" s="249">
        <f>VLOOKUP(tabPostos[[#This Row],[CCT DA CATEGORIA]],'RELAÇÃO SINDICATOS'!A:N,11,0)</f>
        <v>45658</v>
      </c>
      <c r="K117" s="147" t="str">
        <f>VLOOKUP(tabPostos[[#This Row],[CCT DA CATEGORIA]],'RELAÇÃO SINDICATOS'!A:N,12,0)</f>
        <v>-</v>
      </c>
      <c r="L117" s="147" t="str">
        <f>VLOOKUP(tabPostos[[#This Row],[CCT DA CATEGORIA]],'RELAÇÃO SINDICATOS'!A:N,13,0)</f>
        <v>-</v>
      </c>
      <c r="M117" s="147" t="str">
        <f>VLOOKUP(tabPostos[[#This Row],[CCT DA CATEGORIA]],'RELAÇÃO SINDICATOS'!A:N,14,0)</f>
        <v>MG000299/2025</v>
      </c>
    </row>
    <row r="118" spans="1:13">
      <c r="A118" s="147" t="str" cm="1">
        <f t="array" ref="A11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1.153.45</v>
      </c>
      <c r="B118" s="199" t="s">
        <v>905</v>
      </c>
      <c r="C118" s="199" t="s">
        <v>324</v>
      </c>
      <c r="D118" s="199" t="str" cm="1">
        <f t="array" ref="D11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118" s="147" t="s">
        <v>1090</v>
      </c>
      <c r="F118" s="147" t="s">
        <v>120</v>
      </c>
      <c r="G118" s="147">
        <v>1</v>
      </c>
      <c r="H118" s="147">
        <v>0</v>
      </c>
      <c r="I118" s="214">
        <f>1.07*1.07*1.065*1.1016*2529.13</f>
        <v>3397.1306016921476</v>
      </c>
      <c r="J118" s="249">
        <f>VLOOKUP(tabPostos[[#This Row],[CCT DA CATEGORIA]],'RELAÇÃO SINDICATOS'!A:N,11,0)</f>
        <v>45658</v>
      </c>
      <c r="K118" s="147" t="str">
        <f>VLOOKUP(tabPostos[[#This Row],[CCT DA CATEGORIA]],'RELAÇÃO SINDICATOS'!A:N,12,0)</f>
        <v>-</v>
      </c>
      <c r="L118" s="147" t="str">
        <f>VLOOKUP(tabPostos[[#This Row],[CCT DA CATEGORIA]],'RELAÇÃO SINDICATOS'!A:N,13,0)</f>
        <v>-</v>
      </c>
      <c r="M118" s="147" t="str">
        <f>VLOOKUP(tabPostos[[#This Row],[CCT DA CATEGORIA]],'RELAÇÃO SINDICATOS'!A:N,14,0)</f>
        <v>MG000299/2025</v>
      </c>
    </row>
    <row r="119" spans="1:13">
      <c r="A119" s="147" t="str" cm="1">
        <f t="array" ref="A11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1.180.42</v>
      </c>
      <c r="B119" s="199" t="s">
        <v>1125</v>
      </c>
      <c r="C119" s="199" t="s">
        <v>309</v>
      </c>
      <c r="D119" s="199" t="str" cm="1">
        <f t="array" ref="D11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119" s="147" t="s">
        <v>1090</v>
      </c>
      <c r="F119" s="147" t="s">
        <v>120</v>
      </c>
      <c r="G119" s="147">
        <v>2</v>
      </c>
      <c r="H119" s="147">
        <v>0</v>
      </c>
      <c r="I119" s="214">
        <f>1.07*1.07*1.065*1.1016*1461.74</f>
        <v>1963.4110092077037</v>
      </c>
      <c r="J119" s="249">
        <f>VLOOKUP(tabPostos[[#This Row],[CCT DA CATEGORIA]],'RELAÇÃO SINDICATOS'!A:N,11,0)</f>
        <v>45658</v>
      </c>
      <c r="K119" s="147" t="str">
        <f>VLOOKUP(tabPostos[[#This Row],[CCT DA CATEGORIA]],'RELAÇÃO SINDICATOS'!A:N,12,0)</f>
        <v>-</v>
      </c>
      <c r="L119" s="147" t="str">
        <f>VLOOKUP(tabPostos[[#This Row],[CCT DA CATEGORIA]],'RELAÇÃO SINDICATOS'!A:N,13,0)</f>
        <v>-</v>
      </c>
      <c r="M119" s="147" t="str">
        <f>VLOOKUP(tabPostos[[#This Row],[CCT DA CATEGORIA]],'RELAÇÃO SINDICATOS'!A:N,14,0)</f>
        <v>MG000212/2025</v>
      </c>
    </row>
    <row r="120" spans="1:13">
      <c r="A120" s="147" t="str" cm="1">
        <f t="array" ref="A12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1.180.43</v>
      </c>
      <c r="B120" s="199" t="s">
        <v>1125</v>
      </c>
      <c r="C120" s="199" t="s">
        <v>314</v>
      </c>
      <c r="D120" s="199" t="str" cm="1">
        <f t="array" ref="D12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120" s="147" t="s">
        <v>1090</v>
      </c>
      <c r="F120" s="147" t="s">
        <v>120</v>
      </c>
      <c r="G120" s="147">
        <v>1</v>
      </c>
      <c r="H120" s="147">
        <v>0</v>
      </c>
      <c r="I120" s="214">
        <f>1.07*1.07*1.065*1.1016*1461.74</f>
        <v>1963.4110092077037</v>
      </c>
      <c r="J120" s="249">
        <f>VLOOKUP(tabPostos[[#This Row],[CCT DA CATEGORIA]],'RELAÇÃO SINDICATOS'!A:N,11,0)</f>
        <v>45658</v>
      </c>
      <c r="K120" s="147" t="str">
        <f>VLOOKUP(tabPostos[[#This Row],[CCT DA CATEGORIA]],'RELAÇÃO SINDICATOS'!A:N,12,0)</f>
        <v>-</v>
      </c>
      <c r="L120" s="147" t="str">
        <f>VLOOKUP(tabPostos[[#This Row],[CCT DA CATEGORIA]],'RELAÇÃO SINDICATOS'!A:N,13,0)</f>
        <v>-</v>
      </c>
      <c r="M120" s="147" t="str">
        <f>VLOOKUP(tabPostos[[#This Row],[CCT DA CATEGORIA]],'RELAÇÃO SINDICATOS'!A:N,14,0)</f>
        <v>MG000212/2025</v>
      </c>
    </row>
    <row r="121" spans="1:13">
      <c r="A121" s="147" t="str" cm="1">
        <f t="array" ref="A12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1.183.13</v>
      </c>
      <c r="B121" s="199" t="s">
        <v>1126</v>
      </c>
      <c r="C121" s="199" t="s">
        <v>200</v>
      </c>
      <c r="D121" s="199" t="str" cm="1">
        <f t="array" ref="D12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121" s="147" t="s">
        <v>1090</v>
      </c>
      <c r="F121" s="147" t="s">
        <v>120</v>
      </c>
      <c r="G121" s="147">
        <v>1</v>
      </c>
      <c r="H121" s="147">
        <v>0</v>
      </c>
      <c r="I121" s="214">
        <f>1.07*1.07*1.065*1.1016*1188.41</f>
        <v>1596.273808921236</v>
      </c>
      <c r="J121" s="249">
        <f>VLOOKUP(tabPostos[[#This Row],[CCT DA CATEGORIA]],'RELAÇÃO SINDICATOS'!A:N,11,0)</f>
        <v>45658</v>
      </c>
      <c r="K121" s="147" t="str">
        <f>VLOOKUP(tabPostos[[#This Row],[CCT DA CATEGORIA]],'RELAÇÃO SINDICATOS'!A:N,12,0)</f>
        <v>-</v>
      </c>
      <c r="L121" s="147" t="str">
        <f>VLOOKUP(tabPostos[[#This Row],[CCT DA CATEGORIA]],'RELAÇÃO SINDICATOS'!A:N,13,0)</f>
        <v>-</v>
      </c>
      <c r="M121" s="147" t="str">
        <f>VLOOKUP(tabPostos[[#This Row],[CCT DA CATEGORIA]],'RELAÇÃO SINDICATOS'!A:N,14,0)</f>
        <v>MG000212/2025</v>
      </c>
    </row>
    <row r="122" spans="1:13">
      <c r="A122" s="147" t="str" cm="1">
        <f t="array" ref="A12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1.183.35</v>
      </c>
      <c r="B122" s="199" t="s">
        <v>1126</v>
      </c>
      <c r="C122" s="199" t="s">
        <v>274</v>
      </c>
      <c r="D122" s="199" t="str" cm="1">
        <f t="array" ref="D12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Conselheiro Lafaiete + SEAC-MG</v>
      </c>
      <c r="E122" s="147" t="s">
        <v>1090</v>
      </c>
      <c r="F122" s="147" t="s">
        <v>120</v>
      </c>
      <c r="G122" s="147">
        <v>1</v>
      </c>
      <c r="H122" s="147">
        <v>0</v>
      </c>
      <c r="I122" s="214">
        <f>1.05*1.07*1.065*1.1016*1.0435*3313.92</f>
        <v>4558.0709943632919</v>
      </c>
      <c r="J122" s="249">
        <f>VLOOKUP(tabPostos[[#This Row],[CCT DA CATEGORIA]],'RELAÇÃO SINDICATOS'!A:N,11,0)</f>
        <v>45658</v>
      </c>
      <c r="K122" s="147" t="str">
        <f>VLOOKUP(tabPostos[[#This Row],[CCT DA CATEGORIA]],'RELAÇÃO SINDICATOS'!A:N,12,0)</f>
        <v>-</v>
      </c>
      <c r="L122" s="147" t="str">
        <f>VLOOKUP(tabPostos[[#This Row],[CCT DA CATEGORIA]],'RELAÇÃO SINDICATOS'!A:N,13,0)</f>
        <v>-</v>
      </c>
      <c r="M122" s="147" t="str">
        <f>VLOOKUP(tabPostos[[#This Row],[CCT DA CATEGORIA]],'RELAÇÃO SINDICATOS'!A:N,14,0)</f>
        <v>MG002279/2025</v>
      </c>
    </row>
    <row r="123" spans="1:13">
      <c r="A123" s="147" t="str" cm="1">
        <f t="array" ref="A12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1.183.43</v>
      </c>
      <c r="B123" s="199" t="s">
        <v>1126</v>
      </c>
      <c r="C123" s="199" t="s">
        <v>314</v>
      </c>
      <c r="D123" s="199" t="str" cm="1">
        <f t="array" ref="D12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123" s="147" t="s">
        <v>1090</v>
      </c>
      <c r="F123" s="147" t="s">
        <v>120</v>
      </c>
      <c r="G123" s="147">
        <v>1</v>
      </c>
      <c r="H123" s="147">
        <v>0</v>
      </c>
      <c r="I123" s="214">
        <f>1.07*1.07*1.065*1.1016*1461.74</f>
        <v>1963.4110092077037</v>
      </c>
      <c r="J123" s="249">
        <f>VLOOKUP(tabPostos[[#This Row],[CCT DA CATEGORIA]],'RELAÇÃO SINDICATOS'!A:N,11,0)</f>
        <v>45658</v>
      </c>
      <c r="K123" s="147" t="str">
        <f>VLOOKUP(tabPostos[[#This Row],[CCT DA CATEGORIA]],'RELAÇÃO SINDICATOS'!A:N,12,0)</f>
        <v>-</v>
      </c>
      <c r="L123" s="147" t="str">
        <f>VLOOKUP(tabPostos[[#This Row],[CCT DA CATEGORIA]],'RELAÇÃO SINDICATOS'!A:N,13,0)</f>
        <v>-</v>
      </c>
      <c r="M123" s="147" t="str">
        <f>VLOOKUP(tabPostos[[#This Row],[CCT DA CATEGORIA]],'RELAÇÃO SINDICATOS'!A:N,14,0)</f>
        <v>MG000212/2025</v>
      </c>
    </row>
    <row r="124" spans="1:13">
      <c r="A124" s="147" t="str" cm="1">
        <f t="array" ref="A12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1.183.45</v>
      </c>
      <c r="B124" s="199" t="s">
        <v>1126</v>
      </c>
      <c r="C124" s="199" t="s">
        <v>324</v>
      </c>
      <c r="D124" s="199" t="str" cm="1">
        <f t="array" ref="D12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124" s="147" t="s">
        <v>1090</v>
      </c>
      <c r="F124" s="147" t="s">
        <v>120</v>
      </c>
      <c r="G124" s="147">
        <v>1</v>
      </c>
      <c r="H124" s="147">
        <v>0</v>
      </c>
      <c r="I124" s="214">
        <f>1.07*1.07*1.065*1.1016*2529.13</f>
        <v>3397.1306016921476</v>
      </c>
      <c r="J124" s="249">
        <f>VLOOKUP(tabPostos[[#This Row],[CCT DA CATEGORIA]],'RELAÇÃO SINDICATOS'!A:N,11,0)</f>
        <v>45658</v>
      </c>
      <c r="K124" s="147" t="str">
        <f>VLOOKUP(tabPostos[[#This Row],[CCT DA CATEGORIA]],'RELAÇÃO SINDICATOS'!A:N,12,0)</f>
        <v>-</v>
      </c>
      <c r="L124" s="147" t="str">
        <f>VLOOKUP(tabPostos[[#This Row],[CCT DA CATEGORIA]],'RELAÇÃO SINDICATOS'!A:N,13,0)</f>
        <v>-</v>
      </c>
      <c r="M124" s="147" t="str">
        <f>VLOOKUP(tabPostos[[#This Row],[CCT DA CATEGORIA]],'RELAÇÃO SINDICATOS'!A:N,14,0)</f>
        <v>MG000212/2025</v>
      </c>
    </row>
    <row r="125" spans="1:13">
      <c r="A125" s="147" t="str" cm="1">
        <f t="array" ref="A12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1.184.43</v>
      </c>
      <c r="B125" s="199" t="s">
        <v>1127</v>
      </c>
      <c r="C125" s="199" t="s">
        <v>314</v>
      </c>
      <c r="D125" s="199" t="str" cm="1">
        <f t="array" ref="D12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25" s="147" t="s">
        <v>1090</v>
      </c>
      <c r="F125" s="147" t="s">
        <v>120</v>
      </c>
      <c r="G125" s="147">
        <v>1</v>
      </c>
      <c r="H125" s="147">
        <v>0</v>
      </c>
      <c r="I125" s="214">
        <f>1.07*1.07*1.065*1.1016*1461.74</f>
        <v>1963.4110092077037</v>
      </c>
      <c r="J125" s="249">
        <f>VLOOKUP(tabPostos[[#This Row],[CCT DA CATEGORIA]],'RELAÇÃO SINDICATOS'!A:N,11,0)</f>
        <v>45658</v>
      </c>
      <c r="K125" s="147" t="str">
        <f>VLOOKUP(tabPostos[[#This Row],[CCT DA CATEGORIA]],'RELAÇÃO SINDICATOS'!A:N,12,0)</f>
        <v>-</v>
      </c>
      <c r="L125" s="147" t="str">
        <f>VLOOKUP(tabPostos[[#This Row],[CCT DA CATEGORIA]],'RELAÇÃO SINDICATOS'!A:N,13,0)</f>
        <v>-</v>
      </c>
      <c r="M125" s="147" t="str">
        <f>VLOOKUP(tabPostos[[#This Row],[CCT DA CATEGORIA]],'RELAÇÃO SINDICATOS'!A:N,14,0)</f>
        <v>MG004482/2024</v>
      </c>
    </row>
    <row r="126" spans="1:13">
      <c r="A126" s="147" t="str" cm="1">
        <f t="array" ref="A12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1.079.14</v>
      </c>
      <c r="B126" s="199" t="s">
        <v>1128</v>
      </c>
      <c r="C126" s="199" t="s">
        <v>1371</v>
      </c>
      <c r="D126" s="199" t="str" cm="1">
        <f t="array" ref="D12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126" s="147" t="s">
        <v>1090</v>
      </c>
      <c r="F126" s="147" t="s">
        <v>120</v>
      </c>
      <c r="G126" s="147">
        <v>1</v>
      </c>
      <c r="H126" s="147">
        <v>0</v>
      </c>
      <c r="I126" s="214">
        <v>6454.87</v>
      </c>
      <c r="J126" s="249">
        <f>VLOOKUP(tabPostos[[#This Row],[CCT DA CATEGORIA]],'RELAÇÃO SINDICATOS'!A:N,11,0)</f>
        <v>45658</v>
      </c>
      <c r="K126" s="147" t="str">
        <f>VLOOKUP(tabPostos[[#This Row],[CCT DA CATEGORIA]],'RELAÇÃO SINDICATOS'!A:N,12,0)</f>
        <v>-</v>
      </c>
      <c r="L126" s="147" t="str">
        <f>VLOOKUP(tabPostos[[#This Row],[CCT DA CATEGORIA]],'RELAÇÃO SINDICATOS'!A:N,13,0)</f>
        <v>-</v>
      </c>
      <c r="M126" s="147" t="str">
        <f>VLOOKUP(tabPostos[[#This Row],[CCT DA CATEGORIA]],'RELAÇÃO SINDICATOS'!A:N,14,0)</f>
        <v>MG000016/2025</v>
      </c>
    </row>
    <row r="127" spans="1:13">
      <c r="A127" s="147" t="str" cm="1">
        <f t="array" ref="A12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1.079.15</v>
      </c>
      <c r="B127" s="199" t="s">
        <v>1128</v>
      </c>
      <c r="C127" s="199" t="s">
        <v>205</v>
      </c>
      <c r="D127" s="199" t="str" cm="1">
        <f t="array" ref="D12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127" s="147" t="s">
        <v>1090</v>
      </c>
      <c r="F127" s="147" t="s">
        <v>120</v>
      </c>
      <c r="G127" s="147">
        <v>1</v>
      </c>
      <c r="H127" s="147">
        <v>0</v>
      </c>
      <c r="I127" s="214">
        <f>1.07*1.07*1.065*1.1016*1227.75</f>
        <v>1649.1153464738998</v>
      </c>
      <c r="J127" s="249">
        <f>VLOOKUP(tabPostos[[#This Row],[CCT DA CATEGORIA]],'RELAÇÃO SINDICATOS'!A:N,11,0)</f>
        <v>45658</v>
      </c>
      <c r="K127" s="147" t="str">
        <f>VLOOKUP(tabPostos[[#This Row],[CCT DA CATEGORIA]],'RELAÇÃO SINDICATOS'!A:N,12,0)</f>
        <v>-</v>
      </c>
      <c r="L127" s="147" t="str">
        <f>VLOOKUP(tabPostos[[#This Row],[CCT DA CATEGORIA]],'RELAÇÃO SINDICATOS'!A:N,13,0)</f>
        <v>-</v>
      </c>
      <c r="M127" s="147" t="str">
        <f>VLOOKUP(tabPostos[[#This Row],[CCT DA CATEGORIA]],'RELAÇÃO SINDICATOS'!A:N,14,0)</f>
        <v>MG000016/2025</v>
      </c>
    </row>
    <row r="128" spans="1:13">
      <c r="A128" s="147" t="str" cm="1">
        <f t="array" ref="A12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1.079.35</v>
      </c>
      <c r="B128" s="199" t="s">
        <v>1128</v>
      </c>
      <c r="C128" s="199" t="s">
        <v>274</v>
      </c>
      <c r="D128" s="199" t="str" cm="1">
        <f t="array" ref="D12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Contagem + SEAC-MG</v>
      </c>
      <c r="E128" s="147" t="s">
        <v>1090</v>
      </c>
      <c r="F128" s="147" t="s">
        <v>120</v>
      </c>
      <c r="G128" s="147">
        <v>3</v>
      </c>
      <c r="H128" s="147">
        <v>0</v>
      </c>
      <c r="I128" s="214">
        <f>1.07*1.065*1.1016*1.0435*3344.11</f>
        <v>4380.5669340985405</v>
      </c>
      <c r="J128" s="249">
        <f>VLOOKUP(tabPostos[[#This Row],[CCT DA CATEGORIA]],'RELAÇÃO SINDICATOS'!A:N,11,0)</f>
        <v>45658</v>
      </c>
      <c r="K128" s="147" t="str">
        <f>VLOOKUP(tabPostos[[#This Row],[CCT DA CATEGORIA]],'RELAÇÃO SINDICATOS'!A:N,12,0)</f>
        <v>-</v>
      </c>
      <c r="L128" s="147" t="str">
        <f>VLOOKUP(tabPostos[[#This Row],[CCT DA CATEGORIA]],'RELAÇÃO SINDICATOS'!A:N,13,0)</f>
        <v>-</v>
      </c>
      <c r="M128" s="147" t="str">
        <f>VLOOKUP(tabPostos[[#This Row],[CCT DA CATEGORIA]],'RELAÇÃO SINDICATOS'!A:N,14,0)</f>
        <v>MG001778/2025</v>
      </c>
    </row>
    <row r="129" spans="1:13">
      <c r="A129" s="147" t="str" cm="1">
        <f t="array" ref="A12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3.079.35</v>
      </c>
      <c r="B129" s="199" t="s">
        <v>1128</v>
      </c>
      <c r="C129" s="199" t="s">
        <v>274</v>
      </c>
      <c r="D129" s="199" t="str" cm="1">
        <f t="array" ref="D12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Contagem + SEAC-MG</v>
      </c>
      <c r="E129" s="147" t="s">
        <v>1090</v>
      </c>
      <c r="F129" s="147" t="s">
        <v>135</v>
      </c>
      <c r="G129" s="147">
        <v>1</v>
      </c>
      <c r="H129" s="147">
        <v>0</v>
      </c>
      <c r="I129" s="214">
        <f>1.07*1.065*1.1016*1.0435*3344.11</f>
        <v>4380.5669340985405</v>
      </c>
      <c r="J129" s="249">
        <f>VLOOKUP(tabPostos[[#This Row],[CCT DA CATEGORIA]],'RELAÇÃO SINDICATOS'!A:N,11,0)</f>
        <v>45658</v>
      </c>
      <c r="K129" s="147" t="str">
        <f>VLOOKUP(tabPostos[[#This Row],[CCT DA CATEGORIA]],'RELAÇÃO SINDICATOS'!A:N,12,0)</f>
        <v>-</v>
      </c>
      <c r="L129" s="147" t="str">
        <f>VLOOKUP(tabPostos[[#This Row],[CCT DA CATEGORIA]],'RELAÇÃO SINDICATOS'!A:N,13,0)</f>
        <v>-</v>
      </c>
      <c r="M129" s="147" t="str">
        <f>VLOOKUP(tabPostos[[#This Row],[CCT DA CATEGORIA]],'RELAÇÃO SINDICATOS'!A:N,14,0)</f>
        <v>MG001778/2025</v>
      </c>
    </row>
    <row r="130" spans="1:13">
      <c r="A130" s="147" t="str" cm="1">
        <f t="array" ref="A13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1.079.45</v>
      </c>
      <c r="B130" s="199" t="s">
        <v>1128</v>
      </c>
      <c r="C130" s="199" t="s">
        <v>324</v>
      </c>
      <c r="D130" s="199" t="str" cm="1">
        <f t="array" ref="D13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130" s="147" t="s">
        <v>1090</v>
      </c>
      <c r="F130" s="147" t="s">
        <v>120</v>
      </c>
      <c r="G130" s="147">
        <v>3</v>
      </c>
      <c r="H130" s="147">
        <v>0</v>
      </c>
      <c r="I130" s="214">
        <f>1.07*1.07*1.065*1.1016*2529.13</f>
        <v>3397.1306016921476</v>
      </c>
      <c r="J130" s="249">
        <f>VLOOKUP(tabPostos[[#This Row],[CCT DA CATEGORIA]],'RELAÇÃO SINDICATOS'!A:N,11,0)</f>
        <v>45658</v>
      </c>
      <c r="K130" s="147" t="str">
        <f>VLOOKUP(tabPostos[[#This Row],[CCT DA CATEGORIA]],'RELAÇÃO SINDICATOS'!A:N,12,0)</f>
        <v>-</v>
      </c>
      <c r="L130" s="147" t="str">
        <f>VLOOKUP(tabPostos[[#This Row],[CCT DA CATEGORIA]],'RELAÇÃO SINDICATOS'!A:N,13,0)</f>
        <v>-</v>
      </c>
      <c r="M130" s="147" t="str">
        <f>VLOOKUP(tabPostos[[#This Row],[CCT DA CATEGORIA]],'RELAÇÃO SINDICATOS'!A:N,14,0)</f>
        <v>MG000016/2025</v>
      </c>
    </row>
    <row r="131" spans="1:13">
      <c r="A131" s="147" t="str" cm="1">
        <f t="array" ref="A13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1.079.55</v>
      </c>
      <c r="B131" s="199" t="s">
        <v>1128</v>
      </c>
      <c r="C131" s="199" t="s">
        <v>1370</v>
      </c>
      <c r="D131" s="199" t="str" cm="1">
        <f t="array" ref="D13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131" s="147" t="s">
        <v>1090</v>
      </c>
      <c r="F131" s="147" t="s">
        <v>120</v>
      </c>
      <c r="G131" s="147">
        <v>1</v>
      </c>
      <c r="H131" s="147">
        <v>0</v>
      </c>
      <c r="I131" s="214">
        <f>1.07*1.07*1.065*1.1016*3550.22</f>
        <v>4768.659975857111</v>
      </c>
      <c r="J131" s="249">
        <f>VLOOKUP(tabPostos[[#This Row],[CCT DA CATEGORIA]],'RELAÇÃO SINDICATOS'!A:N,11,0)</f>
        <v>45658</v>
      </c>
      <c r="K131" s="147" t="str">
        <f>VLOOKUP(tabPostos[[#This Row],[CCT DA CATEGORIA]],'RELAÇÃO SINDICATOS'!A:N,12,0)</f>
        <v>-</v>
      </c>
      <c r="L131" s="147" t="str">
        <f>VLOOKUP(tabPostos[[#This Row],[CCT DA CATEGORIA]],'RELAÇÃO SINDICATOS'!A:N,13,0)</f>
        <v>-</v>
      </c>
      <c r="M131" s="147" t="str">
        <f>VLOOKUP(tabPostos[[#This Row],[CCT DA CATEGORIA]],'RELAÇÃO SINDICATOS'!A:N,14,0)</f>
        <v>MG000016/2025</v>
      </c>
    </row>
    <row r="132" spans="1:13">
      <c r="A132" s="147" t="str" cm="1">
        <f t="array" ref="A13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1.775.43</v>
      </c>
      <c r="B132" s="199" t="s">
        <v>1129</v>
      </c>
      <c r="C132" s="199" t="s">
        <v>314</v>
      </c>
      <c r="D132" s="199" t="str" cm="1">
        <f t="array" ref="D13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132" s="147" t="s">
        <v>1090</v>
      </c>
      <c r="F132" s="147" t="s">
        <v>120</v>
      </c>
      <c r="G132" s="147">
        <v>1</v>
      </c>
      <c r="H132" s="147">
        <v>0</v>
      </c>
      <c r="I132" s="214">
        <f>1.07*1.07*1.065*1.1016*1461.74</f>
        <v>1963.4110092077037</v>
      </c>
      <c r="J132" s="249">
        <f>VLOOKUP(tabPostos[[#This Row],[CCT DA CATEGORIA]],'RELAÇÃO SINDICATOS'!A:N,11,0)</f>
        <v>45658</v>
      </c>
      <c r="K132" s="147" t="str">
        <f>VLOOKUP(tabPostos[[#This Row],[CCT DA CATEGORIA]],'RELAÇÃO SINDICATOS'!A:N,12,0)</f>
        <v>-</v>
      </c>
      <c r="L132" s="147" t="str">
        <f>VLOOKUP(tabPostos[[#This Row],[CCT DA CATEGORIA]],'RELAÇÃO SINDICATOS'!A:N,13,0)</f>
        <v>-</v>
      </c>
      <c r="M132" s="147" t="str">
        <f>VLOOKUP(tabPostos[[#This Row],[CCT DA CATEGORIA]],'RELAÇÃO SINDICATOS'!A:N,14,0)</f>
        <v>MG000256/2025</v>
      </c>
    </row>
    <row r="133" spans="1:13">
      <c r="A133" s="147" t="str" cm="1">
        <f t="array" ref="A13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1.193.44</v>
      </c>
      <c r="B133" s="199" t="s">
        <v>1130</v>
      </c>
      <c r="C133" s="199" t="s">
        <v>319</v>
      </c>
      <c r="D133" s="199" t="str" cm="1">
        <f t="array" ref="D13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133" s="147" t="s">
        <v>1090</v>
      </c>
      <c r="F133" s="147" t="s">
        <v>120</v>
      </c>
      <c r="G133" s="147">
        <v>1</v>
      </c>
      <c r="H133" s="147">
        <v>0</v>
      </c>
      <c r="I133" s="214">
        <f>1.07*1.07*1.065*1.1016*1.045*1650.15</f>
        <v>2316.2253186627422</v>
      </c>
      <c r="J133" s="249">
        <f>VLOOKUP(tabPostos[[#This Row],[CCT DA CATEGORIA]],'RELAÇÃO SINDICATOS'!A:N,11,0)</f>
        <v>45658</v>
      </c>
      <c r="K133" s="147" t="str">
        <f>VLOOKUP(tabPostos[[#This Row],[CCT DA CATEGORIA]],'RELAÇÃO SINDICATOS'!A:N,12,0)</f>
        <v>-</v>
      </c>
      <c r="L133" s="147" t="str">
        <f>VLOOKUP(tabPostos[[#This Row],[CCT DA CATEGORIA]],'RELAÇÃO SINDICATOS'!A:N,13,0)</f>
        <v>-</v>
      </c>
      <c r="M133" s="147" t="str">
        <f>VLOOKUP(tabPostos[[#This Row],[CCT DA CATEGORIA]],'RELAÇÃO SINDICATOS'!A:N,14,0)</f>
        <v>MG001106/2025</v>
      </c>
    </row>
    <row r="134" spans="1:13">
      <c r="A134" s="147" t="str" cm="1">
        <f t="array" ref="A13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1.194.13</v>
      </c>
      <c r="B134" s="199" t="s">
        <v>1131</v>
      </c>
      <c r="C134" s="199" t="s">
        <v>200</v>
      </c>
      <c r="D134" s="199" t="str" cm="1">
        <f t="array" ref="D13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134" s="147" t="s">
        <v>1090</v>
      </c>
      <c r="F134" s="147" t="s">
        <v>120</v>
      </c>
      <c r="G134" s="147">
        <v>1</v>
      </c>
      <c r="H134" s="147">
        <v>0</v>
      </c>
      <c r="I134" s="214">
        <f>1.07*1.07*1.065*1.1016*1188.41</f>
        <v>1596.273808921236</v>
      </c>
      <c r="J134" s="249">
        <f>VLOOKUP(tabPostos[[#This Row],[CCT DA CATEGORIA]],'RELAÇÃO SINDICATOS'!A:N,11,0)</f>
        <v>45658</v>
      </c>
      <c r="K134" s="147" t="str">
        <f>VLOOKUP(tabPostos[[#This Row],[CCT DA CATEGORIA]],'RELAÇÃO SINDICATOS'!A:N,12,0)</f>
        <v>-</v>
      </c>
      <c r="L134" s="147" t="str">
        <f>VLOOKUP(tabPostos[[#This Row],[CCT DA CATEGORIA]],'RELAÇÃO SINDICATOS'!A:N,13,0)</f>
        <v>-</v>
      </c>
      <c r="M134" s="147" t="str">
        <f>VLOOKUP(tabPostos[[#This Row],[CCT DA CATEGORIA]],'RELAÇÃO SINDICATOS'!A:N,14,0)</f>
        <v>MG000493/2025</v>
      </c>
    </row>
    <row r="135" spans="1:13">
      <c r="A135" s="147" t="str" cm="1">
        <f t="array" ref="A13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1.194.45</v>
      </c>
      <c r="B135" s="199" t="s">
        <v>1131</v>
      </c>
      <c r="C135" s="199" t="s">
        <v>324</v>
      </c>
      <c r="D135" s="199" t="str" cm="1">
        <f t="array" ref="D13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135" s="147" t="s">
        <v>1090</v>
      </c>
      <c r="F135" s="147" t="s">
        <v>120</v>
      </c>
      <c r="G135" s="147">
        <v>1</v>
      </c>
      <c r="H135" s="147">
        <v>0</v>
      </c>
      <c r="I135" s="214">
        <f>1.07*1.07*1.065*1.1016*2529.13</f>
        <v>3397.1306016921476</v>
      </c>
      <c r="J135" s="249">
        <f>VLOOKUP(tabPostos[[#This Row],[CCT DA CATEGORIA]],'RELAÇÃO SINDICATOS'!A:N,11,0)</f>
        <v>45658</v>
      </c>
      <c r="K135" s="147" t="str">
        <f>VLOOKUP(tabPostos[[#This Row],[CCT DA CATEGORIA]],'RELAÇÃO SINDICATOS'!A:N,12,0)</f>
        <v>-</v>
      </c>
      <c r="L135" s="147" t="str">
        <f>VLOOKUP(tabPostos[[#This Row],[CCT DA CATEGORIA]],'RELAÇÃO SINDICATOS'!A:N,13,0)</f>
        <v>-</v>
      </c>
      <c r="M135" s="147" t="str">
        <f>VLOOKUP(tabPostos[[#This Row],[CCT DA CATEGORIA]],'RELAÇÃO SINDICATOS'!A:N,14,0)</f>
        <v>MG000493/2025</v>
      </c>
    </row>
    <row r="136" spans="1:13">
      <c r="A136" s="147" t="str" cm="1">
        <f t="array" ref="A13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1.209.45</v>
      </c>
      <c r="B136" s="199" t="s">
        <v>911</v>
      </c>
      <c r="C136" s="199" t="s">
        <v>324</v>
      </c>
      <c r="D136" s="199" t="str" cm="1">
        <f t="array" ref="D13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Curvelo</v>
      </c>
      <c r="E136" s="147" t="s">
        <v>1090</v>
      </c>
      <c r="F136" s="147" t="s">
        <v>120</v>
      </c>
      <c r="G136" s="147">
        <v>1</v>
      </c>
      <c r="H136" s="147">
        <v>0</v>
      </c>
      <c r="I136" s="214">
        <f>1.07*1.07*1.065*1.1016*2529.13</f>
        <v>3397.1306016921476</v>
      </c>
      <c r="J136" s="249">
        <f>VLOOKUP(tabPostos[[#This Row],[CCT DA CATEGORIA]],'RELAÇÃO SINDICATOS'!A:N,11,0)</f>
        <v>45658</v>
      </c>
      <c r="K136" s="147" t="str">
        <f>VLOOKUP(tabPostos[[#This Row],[CCT DA CATEGORIA]],'RELAÇÃO SINDICATOS'!A:N,12,0)</f>
        <v>-</v>
      </c>
      <c r="L136" s="147" t="str">
        <f>VLOOKUP(tabPostos[[#This Row],[CCT DA CATEGORIA]],'RELAÇÃO SINDICATOS'!A:N,13,0)</f>
        <v>-</v>
      </c>
      <c r="M136" s="147" t="str">
        <f>VLOOKUP(tabPostos[[#This Row],[CCT DA CATEGORIA]],'RELAÇÃO SINDICATOS'!A:N,14,0)</f>
        <v>MG0000423/2025</v>
      </c>
    </row>
    <row r="137" spans="1:13">
      <c r="A137" s="147" t="str" cm="1">
        <f t="array" ref="A13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1.216.35</v>
      </c>
      <c r="B137" s="199" t="s">
        <v>1132</v>
      </c>
      <c r="C137" s="199" t="s">
        <v>274</v>
      </c>
      <c r="D137" s="199" t="str" cm="1">
        <f t="array" ref="D13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Curvelo + SEAC-MG</v>
      </c>
      <c r="E137" s="147" t="s">
        <v>1090</v>
      </c>
      <c r="F137" s="147" t="s">
        <v>120</v>
      </c>
      <c r="G137" s="147">
        <v>1</v>
      </c>
      <c r="H137" s="147">
        <v>0</v>
      </c>
      <c r="I137" s="214">
        <f>1.07*1.065*1.1016*1.0435*3344.11</f>
        <v>4380.5669340985405</v>
      </c>
      <c r="J137" s="249">
        <f>VLOOKUP(tabPostos[[#This Row],[CCT DA CATEGORIA]],'RELAÇÃO SINDICATOS'!A:N,11,0)</f>
        <v>45658</v>
      </c>
      <c r="K137" s="147" t="str">
        <f>VLOOKUP(tabPostos[[#This Row],[CCT DA CATEGORIA]],'RELAÇÃO SINDICATOS'!A:N,12,0)</f>
        <v>-</v>
      </c>
      <c r="L137" s="147" t="str">
        <f>VLOOKUP(tabPostos[[#This Row],[CCT DA CATEGORIA]],'RELAÇÃO SINDICATOS'!A:N,13,0)</f>
        <v>-</v>
      </c>
      <c r="M137" s="147" t="str">
        <f>VLOOKUP(tabPostos[[#This Row],[CCT DA CATEGORIA]],'RELAÇÃO SINDICATOS'!A:N,14,0)</f>
        <v>MG001316/2025</v>
      </c>
    </row>
    <row r="138" spans="1:13">
      <c r="A138" s="147" t="str" cm="1">
        <f t="array" ref="A13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1.216.41</v>
      </c>
      <c r="B138" s="199" t="s">
        <v>1132</v>
      </c>
      <c r="C138" s="199" t="s">
        <v>304</v>
      </c>
      <c r="D138" s="199" t="str" cm="1">
        <f t="array" ref="D13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Curvelo</v>
      </c>
      <c r="E138" s="147" t="s">
        <v>1090</v>
      </c>
      <c r="F138" s="147" t="s">
        <v>120</v>
      </c>
      <c r="G138" s="147">
        <v>2</v>
      </c>
      <c r="H138" s="147">
        <v>0</v>
      </c>
      <c r="I138" s="214">
        <f>1.07*1.07*1.065*1.1016*1461.74</f>
        <v>1963.4110092077037</v>
      </c>
      <c r="J138" s="249">
        <f>VLOOKUP(tabPostos[[#This Row],[CCT DA CATEGORIA]],'RELAÇÃO SINDICATOS'!A:N,11,0)</f>
        <v>45658</v>
      </c>
      <c r="K138" s="147" t="str">
        <f>VLOOKUP(tabPostos[[#This Row],[CCT DA CATEGORIA]],'RELAÇÃO SINDICATOS'!A:N,12,0)</f>
        <v>-</v>
      </c>
      <c r="L138" s="147" t="str">
        <f>VLOOKUP(tabPostos[[#This Row],[CCT DA CATEGORIA]],'RELAÇÃO SINDICATOS'!A:N,13,0)</f>
        <v>-</v>
      </c>
      <c r="M138" s="147" t="str">
        <f>VLOOKUP(tabPostos[[#This Row],[CCT DA CATEGORIA]],'RELAÇÃO SINDICATOS'!A:N,14,0)</f>
        <v>MG0000423/2025</v>
      </c>
    </row>
    <row r="139" spans="1:13">
      <c r="A139" s="147" t="str" cm="1">
        <f t="array" ref="A13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1.216.45</v>
      </c>
      <c r="B139" s="199" t="s">
        <v>1132</v>
      </c>
      <c r="C139" s="199" t="s">
        <v>324</v>
      </c>
      <c r="D139" s="199" t="str" cm="1">
        <f t="array" ref="D13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Curvelo</v>
      </c>
      <c r="E139" s="147" t="s">
        <v>1090</v>
      </c>
      <c r="F139" s="147" t="s">
        <v>120</v>
      </c>
      <c r="G139" s="147">
        <v>1</v>
      </c>
      <c r="H139" s="147">
        <v>0</v>
      </c>
      <c r="I139" s="214">
        <f>1.07*1.07*1.065*1.1016*2529.13</f>
        <v>3397.1306016921476</v>
      </c>
      <c r="J139" s="249">
        <f>VLOOKUP(tabPostos[[#This Row],[CCT DA CATEGORIA]],'RELAÇÃO SINDICATOS'!A:N,11,0)</f>
        <v>45658</v>
      </c>
      <c r="K139" s="147" t="str">
        <f>VLOOKUP(tabPostos[[#This Row],[CCT DA CATEGORIA]],'RELAÇÃO SINDICATOS'!A:N,12,0)</f>
        <v>-</v>
      </c>
      <c r="L139" s="147" t="str">
        <f>VLOOKUP(tabPostos[[#This Row],[CCT DA CATEGORIA]],'RELAÇÃO SINDICATOS'!A:N,13,0)</f>
        <v>-</v>
      </c>
      <c r="M139" s="147" t="str">
        <f>VLOOKUP(tabPostos[[#This Row],[CCT DA CATEGORIA]],'RELAÇÃO SINDICATOS'!A:N,14,0)</f>
        <v>MG0000423/2025</v>
      </c>
    </row>
    <row r="140" spans="1:13">
      <c r="A140" s="147" t="str" cm="1">
        <f t="array" ref="A14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1.220.26</v>
      </c>
      <c r="B140" s="199" t="s">
        <v>1133</v>
      </c>
      <c r="C140" s="199" t="s">
        <v>1366</v>
      </c>
      <c r="D140" s="199" t="str" cm="1">
        <f t="array" ref="D14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140" s="147" t="s">
        <v>1090</v>
      </c>
      <c r="F140" s="147" t="s">
        <v>120</v>
      </c>
      <c r="G140" s="147">
        <v>1</v>
      </c>
      <c r="H140" s="147">
        <v>0</v>
      </c>
      <c r="I140" s="214">
        <f>1.07*1.07*1.065*1.1016*1709.48/220*100</f>
        <v>1043.7162223913672</v>
      </c>
      <c r="J140" s="249">
        <f>VLOOKUP(tabPostos[[#This Row],[CCT DA CATEGORIA]],'RELAÇÃO SINDICATOS'!A:N,11,0)</f>
        <v>45658</v>
      </c>
      <c r="K140" s="147" t="str">
        <f>VLOOKUP(tabPostos[[#This Row],[CCT DA CATEGORIA]],'RELAÇÃO SINDICATOS'!A:N,12,0)</f>
        <v>-</v>
      </c>
      <c r="L140" s="147" t="str">
        <f>VLOOKUP(tabPostos[[#This Row],[CCT DA CATEGORIA]],'RELAÇÃO SINDICATOS'!A:N,13,0)</f>
        <v>-</v>
      </c>
      <c r="M140" s="147" t="str">
        <f>VLOOKUP(tabPostos[[#This Row],[CCT DA CATEGORIA]],'RELAÇÃO SINDICATOS'!A:N,14,0)</f>
        <v>MG000493/2025</v>
      </c>
    </row>
    <row r="141" spans="1:13">
      <c r="A141" s="147" t="str" cm="1">
        <f t="array" ref="A14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1.220.29</v>
      </c>
      <c r="B141" s="199" t="s">
        <v>1133</v>
      </c>
      <c r="C141" s="199" t="s">
        <v>1368</v>
      </c>
      <c r="D141" s="199" t="str" cm="1">
        <f t="array" ref="D14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141" s="147" t="s">
        <v>1090</v>
      </c>
      <c r="F141" s="147" t="s">
        <v>120</v>
      </c>
      <c r="G141" s="147">
        <v>1</v>
      </c>
      <c r="H141" s="147">
        <v>0</v>
      </c>
      <c r="I141" s="214">
        <f>1.07*1.07*1.065*1.1016*1709.48</f>
        <v>2296.1756892610078</v>
      </c>
      <c r="J141" s="249">
        <f>VLOOKUP(tabPostos[[#This Row],[CCT DA CATEGORIA]],'RELAÇÃO SINDICATOS'!A:N,11,0)</f>
        <v>45658</v>
      </c>
      <c r="K141" s="147" t="str">
        <f>VLOOKUP(tabPostos[[#This Row],[CCT DA CATEGORIA]],'RELAÇÃO SINDICATOS'!A:N,12,0)</f>
        <v>-</v>
      </c>
      <c r="L141" s="147" t="str">
        <f>VLOOKUP(tabPostos[[#This Row],[CCT DA CATEGORIA]],'RELAÇÃO SINDICATOS'!A:N,13,0)</f>
        <v>-</v>
      </c>
      <c r="M141" s="147" t="str">
        <f>VLOOKUP(tabPostos[[#This Row],[CCT DA CATEGORIA]],'RELAÇÃO SINDICATOS'!A:N,14,0)</f>
        <v>MG000493/2025</v>
      </c>
    </row>
    <row r="142" spans="1:13">
      <c r="A142" s="147" t="str" cm="1">
        <f t="array" ref="A14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1.220.43</v>
      </c>
      <c r="B142" s="199" t="s">
        <v>1133</v>
      </c>
      <c r="C142" s="199" t="s">
        <v>314</v>
      </c>
      <c r="D142" s="199" t="str" cm="1">
        <f t="array" ref="D14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142" s="147" t="s">
        <v>1090</v>
      </c>
      <c r="F142" s="147" t="s">
        <v>120</v>
      </c>
      <c r="G142" s="147">
        <v>1</v>
      </c>
      <c r="H142" s="147">
        <v>0</v>
      </c>
      <c r="I142" s="214">
        <f>1.07*1.07*1.065*1.1016*1461.74</f>
        <v>1963.4110092077037</v>
      </c>
      <c r="J142" s="249">
        <f>VLOOKUP(tabPostos[[#This Row],[CCT DA CATEGORIA]],'RELAÇÃO SINDICATOS'!A:N,11,0)</f>
        <v>45658</v>
      </c>
      <c r="K142" s="147" t="str">
        <f>VLOOKUP(tabPostos[[#This Row],[CCT DA CATEGORIA]],'RELAÇÃO SINDICATOS'!A:N,12,0)</f>
        <v>-</v>
      </c>
      <c r="L142" s="147" t="str">
        <f>VLOOKUP(tabPostos[[#This Row],[CCT DA CATEGORIA]],'RELAÇÃO SINDICATOS'!A:N,13,0)</f>
        <v>-</v>
      </c>
      <c r="M142" s="147" t="str">
        <f>VLOOKUP(tabPostos[[#This Row],[CCT DA CATEGORIA]],'RELAÇÃO SINDICATOS'!A:N,14,0)</f>
        <v>MG000493/2025</v>
      </c>
    </row>
    <row r="143" spans="1:13">
      <c r="A143" s="147" t="str" cm="1">
        <f t="array" ref="A14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1.223.35</v>
      </c>
      <c r="B143" s="199" t="s">
        <v>915</v>
      </c>
      <c r="C143" s="199" t="s">
        <v>274</v>
      </c>
      <c r="D143" s="199" t="str" cm="1">
        <f t="array" ref="D14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Divinopolis + SEAC-MG</v>
      </c>
      <c r="E143" s="147" t="s">
        <v>1090</v>
      </c>
      <c r="F143" s="147" t="s">
        <v>120</v>
      </c>
      <c r="G143" s="147">
        <v>2</v>
      </c>
      <c r="H143" s="147">
        <v>0</v>
      </c>
      <c r="I143" s="214">
        <f>1.07*1.065*1.1016*1.0435*3344.11</f>
        <v>4380.5669340985405</v>
      </c>
      <c r="J143" s="249">
        <f>VLOOKUP(tabPostos[[#This Row],[CCT DA CATEGORIA]],'RELAÇÃO SINDICATOS'!A:N,11,0)</f>
        <v>45658</v>
      </c>
      <c r="K143" s="147" t="str">
        <f>VLOOKUP(tabPostos[[#This Row],[CCT DA CATEGORIA]],'RELAÇÃO SINDICATOS'!A:N,12,0)</f>
        <v>-</v>
      </c>
      <c r="L143" s="147" t="str">
        <f>VLOOKUP(tabPostos[[#This Row],[CCT DA CATEGORIA]],'RELAÇÃO SINDICATOS'!A:N,13,0)</f>
        <v>-</v>
      </c>
      <c r="M143" s="147" t="str">
        <f>VLOOKUP(tabPostos[[#This Row],[CCT DA CATEGORIA]],'RELAÇÃO SINDICATOS'!A:N,14,0)</f>
        <v>MG001330/2025</v>
      </c>
    </row>
    <row r="144" spans="1:13">
      <c r="A144" s="147" t="str" cm="1">
        <f t="array" ref="A14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3.223.35</v>
      </c>
      <c r="B144" s="199" t="s">
        <v>915</v>
      </c>
      <c r="C144" s="199" t="s">
        <v>274</v>
      </c>
      <c r="D144" s="199" t="str" cm="1">
        <f t="array" ref="D14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Divinopolis + SEAC-MG</v>
      </c>
      <c r="E144" s="147" t="s">
        <v>1090</v>
      </c>
      <c r="F144" s="147" t="s">
        <v>135</v>
      </c>
      <c r="G144" s="147">
        <v>1</v>
      </c>
      <c r="H144" s="147">
        <v>0</v>
      </c>
      <c r="I144" s="214">
        <f>1.07*1.065*1.1016*1.0435*3344.11</f>
        <v>4380.5669340985405</v>
      </c>
      <c r="J144" s="249">
        <f>VLOOKUP(tabPostos[[#This Row],[CCT DA CATEGORIA]],'RELAÇÃO SINDICATOS'!A:N,11,0)</f>
        <v>45658</v>
      </c>
      <c r="K144" s="147" t="str">
        <f>VLOOKUP(tabPostos[[#This Row],[CCT DA CATEGORIA]],'RELAÇÃO SINDICATOS'!A:N,12,0)</f>
        <v>-</v>
      </c>
      <c r="L144" s="147" t="str">
        <f>VLOOKUP(tabPostos[[#This Row],[CCT DA CATEGORIA]],'RELAÇÃO SINDICATOS'!A:N,13,0)</f>
        <v>-</v>
      </c>
      <c r="M144" s="147" t="str">
        <f>VLOOKUP(tabPostos[[#This Row],[CCT DA CATEGORIA]],'RELAÇÃO SINDICATOS'!A:N,14,0)</f>
        <v>MG001330/2025</v>
      </c>
    </row>
    <row r="145" spans="1:13">
      <c r="A145" s="147" t="str" cm="1">
        <f t="array" ref="A14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1.223.44</v>
      </c>
      <c r="B145" s="199" t="s">
        <v>915</v>
      </c>
      <c r="C145" s="199" t="s">
        <v>319</v>
      </c>
      <c r="D145" s="199" t="str" cm="1">
        <f t="array" ref="D14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Divinopolis</v>
      </c>
      <c r="E145" s="147" t="s">
        <v>1090</v>
      </c>
      <c r="F145" s="147" t="s">
        <v>120</v>
      </c>
      <c r="G145" s="147">
        <v>1</v>
      </c>
      <c r="H145" s="147">
        <v>0</v>
      </c>
      <c r="I145" s="214">
        <f>1.07*1.07*1.065*1.1016*1.045*1650.15</f>
        <v>2316.2253186627422</v>
      </c>
      <c r="J145" s="249">
        <f>VLOOKUP(tabPostos[[#This Row],[CCT DA CATEGORIA]],'RELAÇÃO SINDICATOS'!A:N,11,0)</f>
        <v>45658</v>
      </c>
      <c r="K145" s="147" t="str">
        <f>VLOOKUP(tabPostos[[#This Row],[CCT DA CATEGORIA]],'RELAÇÃO SINDICATOS'!A:N,12,0)</f>
        <v>-</v>
      </c>
      <c r="L145" s="147" t="str">
        <f>VLOOKUP(tabPostos[[#This Row],[CCT DA CATEGORIA]],'RELAÇÃO SINDICATOS'!A:N,13,0)</f>
        <v>-</v>
      </c>
      <c r="M145" s="147" t="str">
        <f>VLOOKUP(tabPostos[[#This Row],[CCT DA CATEGORIA]],'RELAÇÃO SINDICATOS'!A:N,14,0)</f>
        <v>MG000555/2025</v>
      </c>
    </row>
    <row r="146" spans="1:13">
      <c r="A146" s="147" t="str" cm="1">
        <f t="array" ref="A14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1.223.45</v>
      </c>
      <c r="B146" s="199" t="s">
        <v>915</v>
      </c>
      <c r="C146" s="199" t="s">
        <v>324</v>
      </c>
      <c r="D146" s="199" t="str" cm="1">
        <f t="array" ref="D14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Divinopolis</v>
      </c>
      <c r="E146" s="147" t="s">
        <v>1090</v>
      </c>
      <c r="F146" s="147" t="s">
        <v>120</v>
      </c>
      <c r="G146" s="147">
        <v>1</v>
      </c>
      <c r="H146" s="147">
        <v>0</v>
      </c>
      <c r="I146" s="214">
        <f>1.07*1.07*1.065*1.1016*1.045*2420.22</f>
        <v>3397.130467372021</v>
      </c>
      <c r="J146" s="249">
        <f>VLOOKUP(tabPostos[[#This Row],[CCT DA CATEGORIA]],'RELAÇÃO SINDICATOS'!A:N,11,0)</f>
        <v>45658</v>
      </c>
      <c r="K146" s="147" t="str">
        <f>VLOOKUP(tabPostos[[#This Row],[CCT DA CATEGORIA]],'RELAÇÃO SINDICATOS'!A:N,12,0)</f>
        <v>-</v>
      </c>
      <c r="L146" s="147" t="str">
        <f>VLOOKUP(tabPostos[[#This Row],[CCT DA CATEGORIA]],'RELAÇÃO SINDICATOS'!A:N,13,0)</f>
        <v>-</v>
      </c>
      <c r="M146" s="147" t="str">
        <f>VLOOKUP(tabPostos[[#This Row],[CCT DA CATEGORIA]],'RELAÇÃO SINDICATOS'!A:N,14,0)</f>
        <v>MG000555/2025</v>
      </c>
    </row>
    <row r="147" spans="1:13">
      <c r="A147" s="147" t="str" cm="1">
        <f t="array" ref="A14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1.236.43</v>
      </c>
      <c r="B147" s="199" t="s">
        <v>1134</v>
      </c>
      <c r="C147" s="199" t="s">
        <v>314</v>
      </c>
      <c r="D147" s="199" t="str" cm="1">
        <f t="array" ref="D14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47" s="147" t="s">
        <v>1090</v>
      </c>
      <c r="F147" s="147" t="s">
        <v>120</v>
      </c>
      <c r="G147" s="147">
        <v>1</v>
      </c>
      <c r="H147" s="147">
        <v>0</v>
      </c>
      <c r="I147" s="214">
        <f>1.07*1.07*1.065*1.1016*1.045*1398.79</f>
        <v>1963.4050319620983</v>
      </c>
      <c r="J147" s="249">
        <f>VLOOKUP(tabPostos[[#This Row],[CCT DA CATEGORIA]],'RELAÇÃO SINDICATOS'!A:N,11,0)</f>
        <v>45658</v>
      </c>
      <c r="K147" s="147" t="str">
        <f>VLOOKUP(tabPostos[[#This Row],[CCT DA CATEGORIA]],'RELAÇÃO SINDICATOS'!A:N,12,0)</f>
        <v>-</v>
      </c>
      <c r="L147" s="147" t="str">
        <f>VLOOKUP(tabPostos[[#This Row],[CCT DA CATEGORIA]],'RELAÇÃO SINDICATOS'!A:N,13,0)</f>
        <v>-</v>
      </c>
      <c r="M147" s="147" t="str">
        <f>VLOOKUP(tabPostos[[#This Row],[CCT DA CATEGORIA]],'RELAÇÃO SINDICATOS'!A:N,14,0)</f>
        <v>MG000594/2025</v>
      </c>
    </row>
    <row r="148" spans="1:13">
      <c r="A148" s="147" t="str" cm="1">
        <f t="array" ref="A14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1.241.43</v>
      </c>
      <c r="B148" s="199" t="s">
        <v>1135</v>
      </c>
      <c r="C148" s="199" t="s">
        <v>314</v>
      </c>
      <c r="D148" s="199" t="str" cm="1">
        <f t="array" ref="D14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RM</v>
      </c>
      <c r="E148" s="147" t="s">
        <v>1090</v>
      </c>
      <c r="F148" s="147" t="s">
        <v>120</v>
      </c>
      <c r="G148" s="147">
        <v>1</v>
      </c>
      <c r="H148" s="147">
        <v>0</v>
      </c>
      <c r="I148" s="214">
        <f>1.07*1.07*1.065*1.1016*1461.74</f>
        <v>1963.4110092077037</v>
      </c>
      <c r="J148" s="249">
        <f>VLOOKUP(tabPostos[[#This Row],[CCT DA CATEGORIA]],'RELAÇÃO SINDICATOS'!A:N,11,0)</f>
        <v>45658</v>
      </c>
      <c r="K148" s="147" t="str">
        <f>VLOOKUP(tabPostos[[#This Row],[CCT DA CATEGORIA]],'RELAÇÃO SINDICATOS'!A:N,12,0)</f>
        <v>-</v>
      </c>
      <c r="L148" s="147" t="str">
        <f>VLOOKUP(tabPostos[[#This Row],[CCT DA CATEGORIA]],'RELAÇÃO SINDICATOS'!A:N,13,0)</f>
        <v>-</v>
      </c>
      <c r="M148" s="147" t="str">
        <f>VLOOKUP(tabPostos[[#This Row],[CCT DA CATEGORIA]],'RELAÇÃO SINDICATOS'!A:N,14,0)</f>
        <v>MG004479/2024</v>
      </c>
    </row>
    <row r="149" spans="1:13">
      <c r="A149" s="147" t="str" cm="1">
        <f t="array" ref="A14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1.241.45</v>
      </c>
      <c r="B149" s="199" t="s">
        <v>1135</v>
      </c>
      <c r="C149" s="199" t="s">
        <v>324</v>
      </c>
      <c r="D149" s="199" t="str" cm="1">
        <f t="array" ref="D14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RM</v>
      </c>
      <c r="E149" s="147" t="s">
        <v>1090</v>
      </c>
      <c r="F149" s="147" t="s">
        <v>120</v>
      </c>
      <c r="G149" s="147">
        <v>1</v>
      </c>
      <c r="H149" s="147">
        <v>0</v>
      </c>
      <c r="I149" s="214">
        <f>1.07*1.07*1.065*1.1016*1.045*2420.22</f>
        <v>3397.130467372021</v>
      </c>
      <c r="J149" s="249">
        <f>VLOOKUP(tabPostos[[#This Row],[CCT DA CATEGORIA]],'RELAÇÃO SINDICATOS'!A:N,11,0)</f>
        <v>45658</v>
      </c>
      <c r="K149" s="147" t="str">
        <f>VLOOKUP(tabPostos[[#This Row],[CCT DA CATEGORIA]],'RELAÇÃO SINDICATOS'!A:N,12,0)</f>
        <v>-</v>
      </c>
      <c r="L149" s="147" t="str">
        <f>VLOOKUP(tabPostos[[#This Row],[CCT DA CATEGORIA]],'RELAÇÃO SINDICATOS'!A:N,13,0)</f>
        <v>-</v>
      </c>
      <c r="M149" s="147" t="str">
        <f>VLOOKUP(tabPostos[[#This Row],[CCT DA CATEGORIA]],'RELAÇÃO SINDICATOS'!A:N,14,0)</f>
        <v>MG004479/2024</v>
      </c>
    </row>
    <row r="150" spans="1:13">
      <c r="A150" s="147" t="str" cm="1">
        <f t="array" ref="A15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1.242.13</v>
      </c>
      <c r="B150" s="199" t="s">
        <v>1136</v>
      </c>
      <c r="C150" s="199" t="s">
        <v>200</v>
      </c>
      <c r="D150" s="199" t="str" cm="1">
        <f t="array" ref="D15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150" s="147" t="s">
        <v>1090</v>
      </c>
      <c r="F150" s="147" t="s">
        <v>120</v>
      </c>
      <c r="G150" s="147">
        <v>1</v>
      </c>
      <c r="H150" s="147">
        <v>0</v>
      </c>
      <c r="I150" s="214">
        <f>1.07*1.07*1.065*1.1016*1188.41</f>
        <v>1596.273808921236</v>
      </c>
      <c r="J150" s="249">
        <f>VLOOKUP(tabPostos[[#This Row],[CCT DA CATEGORIA]],'RELAÇÃO SINDICATOS'!A:N,11,0)</f>
        <v>45658</v>
      </c>
      <c r="K150" s="147" t="str">
        <f>VLOOKUP(tabPostos[[#This Row],[CCT DA CATEGORIA]],'RELAÇÃO SINDICATOS'!A:N,12,0)</f>
        <v>-</v>
      </c>
      <c r="L150" s="147" t="str">
        <f>VLOOKUP(tabPostos[[#This Row],[CCT DA CATEGORIA]],'RELAÇÃO SINDICATOS'!A:N,13,0)</f>
        <v>-</v>
      </c>
      <c r="M150" s="147" t="str">
        <f>VLOOKUP(tabPostos[[#This Row],[CCT DA CATEGORIA]],'RELAÇÃO SINDICATOS'!A:N,14,0)</f>
        <v>MG000506/2025</v>
      </c>
    </row>
    <row r="151" spans="1:13">
      <c r="A151" s="147" t="str" cm="1">
        <f t="array" ref="A15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1.251.45</v>
      </c>
      <c r="B151" s="199" t="s">
        <v>1137</v>
      </c>
      <c r="C151" s="199" t="s">
        <v>324</v>
      </c>
      <c r="D151" s="199" t="str" cm="1">
        <f t="array" ref="D15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51" s="147" t="s">
        <v>1090</v>
      </c>
      <c r="F151" s="147" t="s">
        <v>120</v>
      </c>
      <c r="G151" s="147">
        <v>1</v>
      </c>
      <c r="H151" s="147">
        <v>0</v>
      </c>
      <c r="I151" s="214">
        <f>1.07*1.07*1.065*1.1016*1.045*2420.22</f>
        <v>3397.130467372021</v>
      </c>
      <c r="J151" s="249">
        <f>VLOOKUP(tabPostos[[#This Row],[CCT DA CATEGORIA]],'RELAÇÃO SINDICATOS'!A:N,11,0)</f>
        <v>45658</v>
      </c>
      <c r="K151" s="147" t="str">
        <f>VLOOKUP(tabPostos[[#This Row],[CCT DA CATEGORIA]],'RELAÇÃO SINDICATOS'!A:N,12,0)</f>
        <v>-</v>
      </c>
      <c r="L151" s="147" t="str">
        <f>VLOOKUP(tabPostos[[#This Row],[CCT DA CATEGORIA]],'RELAÇÃO SINDICATOS'!A:N,13,0)</f>
        <v>-</v>
      </c>
      <c r="M151" s="147" t="str">
        <f>VLOOKUP(tabPostos[[#This Row],[CCT DA CATEGORIA]],'RELAÇÃO SINDICATOS'!A:N,14,0)</f>
        <v>MG000594/2025</v>
      </c>
    </row>
    <row r="152" spans="1:13">
      <c r="A152" s="147" t="str" cm="1">
        <f t="array" ref="A15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1.261.44</v>
      </c>
      <c r="B152" s="199" t="s">
        <v>1138</v>
      </c>
      <c r="C152" s="199" t="s">
        <v>319</v>
      </c>
      <c r="D152" s="199" t="str" cm="1">
        <f t="array" ref="D15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52" s="147" t="s">
        <v>1090</v>
      </c>
      <c r="F152" s="147" t="s">
        <v>120</v>
      </c>
      <c r="G152" s="147">
        <v>1</v>
      </c>
      <c r="H152" s="147">
        <v>0</v>
      </c>
      <c r="I152" s="214">
        <f>1.07*1.07*1.065*1.1016*1.045*1650.15</f>
        <v>2316.2253186627422</v>
      </c>
      <c r="J152" s="249">
        <f>VLOOKUP(tabPostos[[#This Row],[CCT DA CATEGORIA]],'RELAÇÃO SINDICATOS'!A:N,11,0)</f>
        <v>45658</v>
      </c>
      <c r="K152" s="147" t="str">
        <f>VLOOKUP(tabPostos[[#This Row],[CCT DA CATEGORIA]],'RELAÇÃO SINDICATOS'!A:N,12,0)</f>
        <v>-</v>
      </c>
      <c r="L152" s="147" t="str">
        <f>VLOOKUP(tabPostos[[#This Row],[CCT DA CATEGORIA]],'RELAÇÃO SINDICATOS'!A:N,13,0)</f>
        <v>-</v>
      </c>
      <c r="M152" s="147" t="str">
        <f>VLOOKUP(tabPostos[[#This Row],[CCT DA CATEGORIA]],'RELAÇÃO SINDICATOS'!A:N,14,0)</f>
        <v>MG000594/2025</v>
      </c>
    </row>
    <row r="153" spans="1:13">
      <c r="A153" s="147" t="str" cm="1">
        <f t="array" ref="A15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1.267.43</v>
      </c>
      <c r="B153" s="199" t="s">
        <v>1139</v>
      </c>
      <c r="C153" s="199" t="s">
        <v>314</v>
      </c>
      <c r="D153" s="199" t="str" cm="1">
        <f t="array" ref="D15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153" s="147" t="s">
        <v>1090</v>
      </c>
      <c r="F153" s="147" t="s">
        <v>120</v>
      </c>
      <c r="G153" s="147">
        <v>1</v>
      </c>
      <c r="H153" s="147">
        <v>0</v>
      </c>
      <c r="I153" s="214">
        <f>1.07*1.07*1.065*1.1016*1461.74</f>
        <v>1963.4110092077037</v>
      </c>
      <c r="J153" s="249">
        <f>VLOOKUP(tabPostos[[#This Row],[CCT DA CATEGORIA]],'RELAÇÃO SINDICATOS'!A:N,11,0)</f>
        <v>45658</v>
      </c>
      <c r="K153" s="147" t="str">
        <f>VLOOKUP(tabPostos[[#This Row],[CCT DA CATEGORIA]],'RELAÇÃO SINDICATOS'!A:N,12,0)</f>
        <v>-</v>
      </c>
      <c r="L153" s="147" t="str">
        <f>VLOOKUP(tabPostos[[#This Row],[CCT DA CATEGORIA]],'RELAÇÃO SINDICATOS'!A:N,13,0)</f>
        <v>-</v>
      </c>
      <c r="M153" s="147" t="str">
        <f>VLOOKUP(tabPostos[[#This Row],[CCT DA CATEGORIA]],'RELAÇÃO SINDICATOS'!A:N,14,0)</f>
        <v>MG000256/2025</v>
      </c>
    </row>
    <row r="154" spans="1:13">
      <c r="A154" s="147" t="str" cm="1">
        <f t="array" ref="A15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1.271.43</v>
      </c>
      <c r="B154" s="199" t="s">
        <v>1140</v>
      </c>
      <c r="C154" s="199" t="s">
        <v>314</v>
      </c>
      <c r="D154" s="199" t="str" cm="1">
        <f t="array" ref="D15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Uberaba</v>
      </c>
      <c r="E154" s="147" t="s">
        <v>1090</v>
      </c>
      <c r="F154" s="147" t="s">
        <v>120</v>
      </c>
      <c r="G154" s="147">
        <v>1</v>
      </c>
      <c r="H154" s="147">
        <v>0</v>
      </c>
      <c r="I154" s="214">
        <f>1.07*1.07*1.065*1.1016*1.045*1520.9</f>
        <v>2134.8041615332936</v>
      </c>
      <c r="J154" s="249">
        <f>VLOOKUP(tabPostos[[#This Row],[CCT DA CATEGORIA]],'RELAÇÃO SINDICATOS'!A:N,11,0)</f>
        <v>45658</v>
      </c>
      <c r="K154" s="147" t="str">
        <f>VLOOKUP(tabPostos[[#This Row],[CCT DA CATEGORIA]],'RELAÇÃO SINDICATOS'!A:N,12,0)</f>
        <v>-</v>
      </c>
      <c r="L154" s="147" t="str">
        <f>VLOOKUP(tabPostos[[#This Row],[CCT DA CATEGORIA]],'RELAÇÃO SINDICATOS'!A:N,13,0)</f>
        <v>-</v>
      </c>
      <c r="M154" s="147" t="str">
        <f>VLOOKUP(tabPostos[[#This Row],[CCT DA CATEGORIA]],'RELAÇÃO SINDICATOS'!A:N,14,0)</f>
        <v>MG000478/2025</v>
      </c>
    </row>
    <row r="155" spans="1:13">
      <c r="A155" s="147" t="str" cm="1">
        <f t="array" ref="A15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1.105.27</v>
      </c>
      <c r="B155" s="199" t="s">
        <v>1141</v>
      </c>
      <c r="C155" s="199" t="s">
        <v>1367</v>
      </c>
      <c r="D155" s="199" t="str" cm="1">
        <f t="array" ref="D15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Gov. Valadares</v>
      </c>
      <c r="E155" s="147" t="s">
        <v>1090</v>
      </c>
      <c r="F155" s="147" t="s">
        <v>120</v>
      </c>
      <c r="G155" s="147">
        <v>1</v>
      </c>
      <c r="H155" s="147">
        <v>0</v>
      </c>
      <c r="I155" s="214">
        <f>1.07*1.07*1.07*1.065*1.1016*1709.48/220*200</f>
        <v>2233.5527159175258</v>
      </c>
      <c r="J155" s="249">
        <f>VLOOKUP(tabPostos[[#This Row],[CCT DA CATEGORIA]],'RELAÇÃO SINDICATOS'!A:N,11,0)</f>
        <v>45658</v>
      </c>
      <c r="K155" s="147" t="str">
        <f>VLOOKUP(tabPostos[[#This Row],[CCT DA CATEGORIA]],'RELAÇÃO SINDICATOS'!A:N,12,0)</f>
        <v>-</v>
      </c>
      <c r="L155" s="147" t="str">
        <f>VLOOKUP(tabPostos[[#This Row],[CCT DA CATEGORIA]],'RELAÇÃO SINDICATOS'!A:N,13,0)</f>
        <v>-</v>
      </c>
      <c r="M155" s="147" t="str">
        <f>VLOOKUP(tabPostos[[#This Row],[CCT DA CATEGORIA]],'RELAÇÃO SINDICATOS'!A:N,14,0)</f>
        <v>MG002846/2025</v>
      </c>
    </row>
    <row r="156" spans="1:13">
      <c r="A156" s="147" t="str" cm="1">
        <f t="array" ref="A15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1.105.29</v>
      </c>
      <c r="B156" s="199" t="s">
        <v>1141</v>
      </c>
      <c r="C156" s="199" t="s">
        <v>1368</v>
      </c>
      <c r="D156" s="199" t="str" cm="1">
        <f t="array" ref="D15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Gov. Valadares</v>
      </c>
      <c r="E156" s="147" t="s">
        <v>1090</v>
      </c>
      <c r="F156" s="147" t="s">
        <v>120</v>
      </c>
      <c r="G156" s="147">
        <v>1</v>
      </c>
      <c r="H156" s="147">
        <v>0</v>
      </c>
      <c r="I156" s="214">
        <f>1.07*1.07*1.07*1.065*1.1016*1709.48</f>
        <v>2456.9079875092784</v>
      </c>
      <c r="J156" s="249">
        <f>VLOOKUP(tabPostos[[#This Row],[CCT DA CATEGORIA]],'RELAÇÃO SINDICATOS'!A:N,11,0)</f>
        <v>45658</v>
      </c>
      <c r="K156" s="147" t="str">
        <f>VLOOKUP(tabPostos[[#This Row],[CCT DA CATEGORIA]],'RELAÇÃO SINDICATOS'!A:N,12,0)</f>
        <v>-</v>
      </c>
      <c r="L156" s="147" t="str">
        <f>VLOOKUP(tabPostos[[#This Row],[CCT DA CATEGORIA]],'RELAÇÃO SINDICATOS'!A:N,13,0)</f>
        <v>-</v>
      </c>
      <c r="M156" s="147" t="str">
        <f>VLOOKUP(tabPostos[[#This Row],[CCT DA CATEGORIA]],'RELAÇÃO SINDICATOS'!A:N,14,0)</f>
        <v>MG002846/2025</v>
      </c>
    </row>
    <row r="157" spans="1:13">
      <c r="A157" s="147" t="str" cm="1">
        <f t="array" ref="A15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1.105.35</v>
      </c>
      <c r="B157" s="199" t="s">
        <v>1141</v>
      </c>
      <c r="C157" s="199" t="s">
        <v>274</v>
      </c>
      <c r="D157" s="199" t="str" cm="1">
        <f t="array" ref="D15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Governador Valadares + SEAC-MG</v>
      </c>
      <c r="E157" s="147" t="s">
        <v>1090</v>
      </c>
      <c r="F157" s="147" t="s">
        <v>120</v>
      </c>
      <c r="G157" s="147">
        <v>3</v>
      </c>
      <c r="H157" s="147">
        <v>0</v>
      </c>
      <c r="I157" s="214">
        <f>1.07*1.065*1.1016*1.0435*3344.11</f>
        <v>4380.5669340985405</v>
      </c>
      <c r="J157" s="249">
        <f>VLOOKUP(tabPostos[[#This Row],[CCT DA CATEGORIA]],'RELAÇÃO SINDICATOS'!A:N,11,0)</f>
        <v>45658</v>
      </c>
      <c r="K157" s="147" t="str">
        <f>VLOOKUP(tabPostos[[#This Row],[CCT DA CATEGORIA]],'RELAÇÃO SINDICATOS'!A:N,12,0)</f>
        <v>-</v>
      </c>
      <c r="L157" s="147" t="str">
        <f>VLOOKUP(tabPostos[[#This Row],[CCT DA CATEGORIA]],'RELAÇÃO SINDICATOS'!A:N,13,0)</f>
        <v>-</v>
      </c>
      <c r="M157" s="147" t="str">
        <f>VLOOKUP(tabPostos[[#This Row],[CCT DA CATEGORIA]],'RELAÇÃO SINDICATOS'!A:N,14,0)</f>
        <v>MG001558/2025</v>
      </c>
    </row>
    <row r="158" spans="1:13">
      <c r="A158" s="147" t="str" cm="1">
        <f t="array" ref="A15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1.105.43</v>
      </c>
      <c r="B158" s="199" t="s">
        <v>1141</v>
      </c>
      <c r="C158" s="199" t="s">
        <v>314</v>
      </c>
      <c r="D158" s="199" t="str" cm="1">
        <f t="array" ref="D15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Gov. Valadares</v>
      </c>
      <c r="E158" s="147" t="s">
        <v>1090</v>
      </c>
      <c r="F158" s="147" t="s">
        <v>120</v>
      </c>
      <c r="G158" s="147">
        <v>3</v>
      </c>
      <c r="H158" s="147">
        <v>0</v>
      </c>
      <c r="I158" s="214">
        <f>1.07*1.07*1.065*1.1016*1.045*1520.9</f>
        <v>2134.8041615332936</v>
      </c>
      <c r="J158" s="249">
        <f>VLOOKUP(tabPostos[[#This Row],[CCT DA CATEGORIA]],'RELAÇÃO SINDICATOS'!A:N,11,0)</f>
        <v>45658</v>
      </c>
      <c r="K158" s="147" t="str">
        <f>VLOOKUP(tabPostos[[#This Row],[CCT DA CATEGORIA]],'RELAÇÃO SINDICATOS'!A:N,12,0)</f>
        <v>-</v>
      </c>
      <c r="L158" s="147" t="str">
        <f>VLOOKUP(tabPostos[[#This Row],[CCT DA CATEGORIA]],'RELAÇÃO SINDICATOS'!A:N,13,0)</f>
        <v>-</v>
      </c>
      <c r="M158" s="147" t="str">
        <f>VLOOKUP(tabPostos[[#This Row],[CCT DA CATEGORIA]],'RELAÇÃO SINDICATOS'!A:N,14,0)</f>
        <v>MG002846/2025</v>
      </c>
    </row>
    <row r="159" spans="1:13">
      <c r="A159" s="147" t="str" cm="1">
        <f t="array" ref="A15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1.105.45</v>
      </c>
      <c r="B159" s="199" t="s">
        <v>1141</v>
      </c>
      <c r="C159" s="199" t="s">
        <v>324</v>
      </c>
      <c r="D159" s="199" t="str" cm="1">
        <f t="array" ref="D15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Gov. Valadares</v>
      </c>
      <c r="E159" s="147" t="s">
        <v>1090</v>
      </c>
      <c r="F159" s="147" t="s">
        <v>120</v>
      </c>
      <c r="G159" s="147">
        <v>1</v>
      </c>
      <c r="H159" s="147">
        <v>0</v>
      </c>
      <c r="I159" s="214">
        <f>1.07*1.07*1.065*1.1016*1.045*2420.22</f>
        <v>3397.130467372021</v>
      </c>
      <c r="J159" s="249">
        <f>VLOOKUP(tabPostos[[#This Row],[CCT DA CATEGORIA]],'RELAÇÃO SINDICATOS'!A:N,11,0)</f>
        <v>45658</v>
      </c>
      <c r="K159" s="147" t="str">
        <f>VLOOKUP(tabPostos[[#This Row],[CCT DA CATEGORIA]],'RELAÇÃO SINDICATOS'!A:N,12,0)</f>
        <v>-</v>
      </c>
      <c r="L159" s="147" t="str">
        <f>VLOOKUP(tabPostos[[#This Row],[CCT DA CATEGORIA]],'RELAÇÃO SINDICATOS'!A:N,13,0)</f>
        <v>-</v>
      </c>
      <c r="M159" s="147" t="str">
        <f>VLOOKUP(tabPostos[[#This Row],[CCT DA CATEGORIA]],'RELAÇÃO SINDICATOS'!A:N,14,0)</f>
        <v>MG002846/2025</v>
      </c>
    </row>
    <row r="160" spans="1:13">
      <c r="A160" s="147" t="str" cm="1">
        <f t="array" ref="A16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1.295.43</v>
      </c>
      <c r="B160" s="199" t="s">
        <v>1142</v>
      </c>
      <c r="C160" s="199" t="s">
        <v>314</v>
      </c>
      <c r="D160" s="199" t="str" cm="1">
        <f t="array" ref="D16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160" s="147" t="s">
        <v>1090</v>
      </c>
      <c r="F160" s="147" t="s">
        <v>120</v>
      </c>
      <c r="G160" s="147">
        <v>1</v>
      </c>
      <c r="H160" s="147">
        <v>0</v>
      </c>
      <c r="I160" s="214">
        <f>1.07*1.07*1.065*1.1016*1.045*1398.79</f>
        <v>1963.4050319620983</v>
      </c>
      <c r="J160" s="249">
        <f>VLOOKUP(tabPostos[[#This Row],[CCT DA CATEGORIA]],'RELAÇÃO SINDICATOS'!A:N,11,0)</f>
        <v>45658</v>
      </c>
      <c r="K160" s="147" t="str">
        <f>VLOOKUP(tabPostos[[#This Row],[CCT DA CATEGORIA]],'RELAÇÃO SINDICATOS'!A:N,12,0)</f>
        <v>-</v>
      </c>
      <c r="L160" s="147" t="str">
        <f>VLOOKUP(tabPostos[[#This Row],[CCT DA CATEGORIA]],'RELAÇÃO SINDICATOS'!A:N,13,0)</f>
        <v>-</v>
      </c>
      <c r="M160" s="147" t="str">
        <f>VLOOKUP(tabPostos[[#This Row],[CCT DA CATEGORIA]],'RELAÇÃO SINDICATOS'!A:N,14,0)</f>
        <v>MG001106/2025</v>
      </c>
    </row>
    <row r="161" spans="1:13">
      <c r="A161" s="147" t="str" cm="1">
        <f t="array" ref="A16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1.114.41</v>
      </c>
      <c r="B161" s="199" t="s">
        <v>1143</v>
      </c>
      <c r="C161" s="199" t="s">
        <v>304</v>
      </c>
      <c r="D161" s="199" t="str" cm="1">
        <f t="array" ref="D16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161" s="147" t="s">
        <v>1090</v>
      </c>
      <c r="F161" s="147" t="s">
        <v>120</v>
      </c>
      <c r="G161" s="147">
        <v>2</v>
      </c>
      <c r="H161" s="147">
        <v>0</v>
      </c>
      <c r="I161" s="214">
        <f>1.07*1.07*1.065*1.1016*1589.34</f>
        <v>2134.8034899326635</v>
      </c>
      <c r="J161" s="249">
        <f>VLOOKUP(tabPostos[[#This Row],[CCT DA CATEGORIA]],'RELAÇÃO SINDICATOS'!A:N,11,0)</f>
        <v>45658</v>
      </c>
      <c r="K161" s="147" t="str">
        <f>VLOOKUP(tabPostos[[#This Row],[CCT DA CATEGORIA]],'RELAÇÃO SINDICATOS'!A:N,12,0)</f>
        <v>-</v>
      </c>
      <c r="L161" s="147" t="str">
        <f>VLOOKUP(tabPostos[[#This Row],[CCT DA CATEGORIA]],'RELAÇÃO SINDICATOS'!A:N,13,0)</f>
        <v>-</v>
      </c>
      <c r="M161" s="147" t="str">
        <f>VLOOKUP(tabPostos[[#This Row],[CCT DA CATEGORIA]],'RELAÇÃO SINDICATOS'!A:N,14,0)</f>
        <v>MG000016/2025</v>
      </c>
    </row>
    <row r="162" spans="1:13">
      <c r="A162" s="147" t="str" cm="1">
        <f t="array" ref="A16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1.114.42</v>
      </c>
      <c r="B162" s="199" t="s">
        <v>1143</v>
      </c>
      <c r="C162" s="199" t="s">
        <v>309</v>
      </c>
      <c r="D162" s="199" t="str" cm="1">
        <f t="array" ref="D16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162" s="147" t="s">
        <v>1090</v>
      </c>
      <c r="F162" s="147" t="s">
        <v>120</v>
      </c>
      <c r="G162" s="147">
        <v>2</v>
      </c>
      <c r="H162" s="147">
        <v>0</v>
      </c>
      <c r="I162" s="214">
        <f>1.07*1.07*1.065*1.1016*1589.34</f>
        <v>2134.8034899326635</v>
      </c>
      <c r="J162" s="249">
        <f>VLOOKUP(tabPostos[[#This Row],[CCT DA CATEGORIA]],'RELAÇÃO SINDICATOS'!A:N,11,0)</f>
        <v>45658</v>
      </c>
      <c r="K162" s="147" t="str">
        <f>VLOOKUP(tabPostos[[#This Row],[CCT DA CATEGORIA]],'RELAÇÃO SINDICATOS'!A:N,12,0)</f>
        <v>-</v>
      </c>
      <c r="L162" s="147" t="str">
        <f>VLOOKUP(tabPostos[[#This Row],[CCT DA CATEGORIA]],'RELAÇÃO SINDICATOS'!A:N,13,0)</f>
        <v>-</v>
      </c>
      <c r="M162" s="147" t="str">
        <f>VLOOKUP(tabPostos[[#This Row],[CCT DA CATEGORIA]],'RELAÇÃO SINDICATOS'!A:N,14,0)</f>
        <v>MG000016/2025</v>
      </c>
    </row>
    <row r="163" spans="1:13">
      <c r="A163" s="147" t="str" cm="1">
        <f t="array" ref="A16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1.114.45</v>
      </c>
      <c r="B163" s="199" t="s">
        <v>1143</v>
      </c>
      <c r="C163" s="199" t="s">
        <v>324</v>
      </c>
      <c r="D163" s="199" t="str" cm="1">
        <f t="array" ref="D16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163" s="147" t="s">
        <v>1090</v>
      </c>
      <c r="F163" s="147" t="s">
        <v>120</v>
      </c>
      <c r="G163" s="147">
        <v>2</v>
      </c>
      <c r="H163" s="147">
        <v>0</v>
      </c>
      <c r="I163" s="214">
        <f>1.07*1.07*1.065*1.1016*2529.13</f>
        <v>3397.1306016921476</v>
      </c>
      <c r="J163" s="249">
        <f>VLOOKUP(tabPostos[[#This Row],[CCT DA CATEGORIA]],'RELAÇÃO SINDICATOS'!A:N,11,0)</f>
        <v>45658</v>
      </c>
      <c r="K163" s="147" t="str">
        <f>VLOOKUP(tabPostos[[#This Row],[CCT DA CATEGORIA]],'RELAÇÃO SINDICATOS'!A:N,12,0)</f>
        <v>-</v>
      </c>
      <c r="L163" s="147" t="str">
        <f>VLOOKUP(tabPostos[[#This Row],[CCT DA CATEGORIA]],'RELAÇÃO SINDICATOS'!A:N,13,0)</f>
        <v>-</v>
      </c>
      <c r="M163" s="147" t="str">
        <f>VLOOKUP(tabPostos[[#This Row],[CCT DA CATEGORIA]],'RELAÇÃO SINDICATOS'!A:N,14,0)</f>
        <v>MG000016/2025</v>
      </c>
    </row>
    <row r="164" spans="1:13">
      <c r="A164" s="147" t="str" cm="1">
        <f t="array" ref="A16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1.309.13</v>
      </c>
      <c r="B164" s="199" t="s">
        <v>1144</v>
      </c>
      <c r="C164" s="199" t="s">
        <v>200</v>
      </c>
      <c r="D164" s="199" t="str" cm="1">
        <f t="array" ref="D16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164" s="147" t="s">
        <v>1090</v>
      </c>
      <c r="F164" s="147" t="s">
        <v>120</v>
      </c>
      <c r="G164" s="147">
        <v>2</v>
      </c>
      <c r="H164" s="147">
        <v>0</v>
      </c>
      <c r="I164" s="214">
        <f>1.07*1.07*1.065*1.1016*1188.41</f>
        <v>1596.273808921236</v>
      </c>
      <c r="J164" s="249">
        <f>VLOOKUP(tabPostos[[#This Row],[CCT DA CATEGORIA]],'RELAÇÃO SINDICATOS'!A:N,11,0)</f>
        <v>45658</v>
      </c>
      <c r="K164" s="147" t="str">
        <f>VLOOKUP(tabPostos[[#This Row],[CCT DA CATEGORIA]],'RELAÇÃO SINDICATOS'!A:N,12,0)</f>
        <v>-</v>
      </c>
      <c r="L164" s="147" t="str">
        <f>VLOOKUP(tabPostos[[#This Row],[CCT DA CATEGORIA]],'RELAÇÃO SINDICATOS'!A:N,13,0)</f>
        <v>-</v>
      </c>
      <c r="M164" s="147" t="str">
        <f>VLOOKUP(tabPostos[[#This Row],[CCT DA CATEGORIA]],'RELAÇÃO SINDICATOS'!A:N,14,0)</f>
        <v>MG000493/2025</v>
      </c>
    </row>
    <row r="165" spans="1:13">
      <c r="A165" s="147" t="str" cm="1">
        <f t="array" ref="A16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1.309.43</v>
      </c>
      <c r="B165" s="199" t="s">
        <v>1144</v>
      </c>
      <c r="C165" s="199" t="s">
        <v>314</v>
      </c>
      <c r="D165" s="199" t="str" cm="1">
        <f t="array" ref="D16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165" s="147" t="s">
        <v>1090</v>
      </c>
      <c r="F165" s="147" t="s">
        <v>120</v>
      </c>
      <c r="G165" s="147">
        <v>1</v>
      </c>
      <c r="H165" s="147">
        <v>0</v>
      </c>
      <c r="I165" s="214">
        <f>1.07*1.07*1.065*1.1016*1461.74</f>
        <v>1963.4110092077037</v>
      </c>
      <c r="J165" s="249">
        <f>VLOOKUP(tabPostos[[#This Row],[CCT DA CATEGORIA]],'RELAÇÃO SINDICATOS'!A:N,11,0)</f>
        <v>45658</v>
      </c>
      <c r="K165" s="147" t="str">
        <f>VLOOKUP(tabPostos[[#This Row],[CCT DA CATEGORIA]],'RELAÇÃO SINDICATOS'!A:N,12,0)</f>
        <v>-</v>
      </c>
      <c r="L165" s="147" t="str">
        <f>VLOOKUP(tabPostos[[#This Row],[CCT DA CATEGORIA]],'RELAÇÃO SINDICATOS'!A:N,13,0)</f>
        <v>-</v>
      </c>
      <c r="M165" s="147" t="str">
        <f>VLOOKUP(tabPostos[[#This Row],[CCT DA CATEGORIA]],'RELAÇÃO SINDICATOS'!A:N,14,0)</f>
        <v>MG000493/2025</v>
      </c>
    </row>
    <row r="166" spans="1:13">
      <c r="A166" s="147" t="str" cm="1">
        <f t="array" ref="A16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1.312.13</v>
      </c>
      <c r="B166" s="199" t="s">
        <v>1145</v>
      </c>
      <c r="C166" s="199" t="s">
        <v>200</v>
      </c>
      <c r="D166" s="199" t="str" cm="1">
        <f t="array" ref="D16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66" s="147" t="s">
        <v>1090</v>
      </c>
      <c r="F166" s="147" t="s">
        <v>120</v>
      </c>
      <c r="G166" s="147">
        <v>1</v>
      </c>
      <c r="H166" s="147">
        <v>0</v>
      </c>
      <c r="I166" s="214">
        <f>1.07*1.07*1.065*1.1016*1188.41</f>
        <v>1596.273808921236</v>
      </c>
      <c r="J166" s="249">
        <f>VLOOKUP(tabPostos[[#This Row],[CCT DA CATEGORIA]],'RELAÇÃO SINDICATOS'!A:N,11,0)</f>
        <v>45658</v>
      </c>
      <c r="K166" s="147" t="str">
        <f>VLOOKUP(tabPostos[[#This Row],[CCT DA CATEGORIA]],'RELAÇÃO SINDICATOS'!A:N,12,0)</f>
        <v>-</v>
      </c>
      <c r="L166" s="147" t="str">
        <f>VLOOKUP(tabPostos[[#This Row],[CCT DA CATEGORIA]],'RELAÇÃO SINDICATOS'!A:N,13,0)</f>
        <v>-</v>
      </c>
      <c r="M166" s="147" t="str">
        <f>VLOOKUP(tabPostos[[#This Row],[CCT DA CATEGORIA]],'RELAÇÃO SINDICATOS'!A:N,14,0)</f>
        <v>MG004482/2024</v>
      </c>
    </row>
    <row r="167" spans="1:13">
      <c r="A167" s="147" t="str" cm="1">
        <f t="array" ref="A16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1.313.27</v>
      </c>
      <c r="B167" s="199" t="s">
        <v>1146</v>
      </c>
      <c r="C167" s="199" t="s">
        <v>1367</v>
      </c>
      <c r="D167" s="199" t="str" cm="1">
        <f t="array" ref="D16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SECI</v>
      </c>
      <c r="E167" s="147" t="s">
        <v>1090</v>
      </c>
      <c r="F167" s="147" t="s">
        <v>120</v>
      </c>
      <c r="G167" s="147">
        <v>1</v>
      </c>
      <c r="H167" s="147">
        <v>0</v>
      </c>
      <c r="I167" s="214">
        <f>1.07*1.07*1.065*1.1016*1709.48/220*200</f>
        <v>2087.4324447827344</v>
      </c>
      <c r="J167" s="249">
        <f>VLOOKUP(tabPostos[[#This Row],[CCT DA CATEGORIA]],'RELAÇÃO SINDICATOS'!A:N,11,0)</f>
        <v>45658</v>
      </c>
      <c r="K167" s="147" t="str">
        <f>VLOOKUP(tabPostos[[#This Row],[CCT DA CATEGORIA]],'RELAÇÃO SINDICATOS'!A:N,12,0)</f>
        <v>-</v>
      </c>
      <c r="L167" s="147" t="str">
        <f>VLOOKUP(tabPostos[[#This Row],[CCT DA CATEGORIA]],'RELAÇÃO SINDICATOS'!A:N,13,0)</f>
        <v>-</v>
      </c>
      <c r="M167" s="147" t="str">
        <f>VLOOKUP(tabPostos[[#This Row],[CCT DA CATEGORIA]],'RELAÇÃO SINDICATOS'!A:N,14,0)</f>
        <v>MG000736/2025</v>
      </c>
    </row>
    <row r="168" spans="1:13">
      <c r="A168" s="147" t="str" cm="1">
        <f t="array" ref="A16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1.313.29</v>
      </c>
      <c r="B168" s="199" t="s">
        <v>1146</v>
      </c>
      <c r="C168" s="199" t="s">
        <v>1368</v>
      </c>
      <c r="D168" s="199" t="str" cm="1">
        <f t="array" ref="D16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SECI</v>
      </c>
      <c r="E168" s="147" t="s">
        <v>1090</v>
      </c>
      <c r="F168" s="147" t="s">
        <v>120</v>
      </c>
      <c r="G168" s="147">
        <v>1</v>
      </c>
      <c r="H168" s="147">
        <v>0</v>
      </c>
      <c r="I168" s="214">
        <f>1.07*1.07*1.065*1.1016*1709.48</f>
        <v>2296.1756892610078</v>
      </c>
      <c r="J168" s="249">
        <f>VLOOKUP(tabPostos[[#This Row],[CCT DA CATEGORIA]],'RELAÇÃO SINDICATOS'!A:N,11,0)</f>
        <v>45658</v>
      </c>
      <c r="K168" s="147" t="str">
        <f>VLOOKUP(tabPostos[[#This Row],[CCT DA CATEGORIA]],'RELAÇÃO SINDICATOS'!A:N,12,0)</f>
        <v>-</v>
      </c>
      <c r="L168" s="147" t="str">
        <f>VLOOKUP(tabPostos[[#This Row],[CCT DA CATEGORIA]],'RELAÇÃO SINDICATOS'!A:N,13,0)</f>
        <v>-</v>
      </c>
      <c r="M168" s="147" t="str">
        <f>VLOOKUP(tabPostos[[#This Row],[CCT DA CATEGORIA]],'RELAÇÃO SINDICATOS'!A:N,14,0)</f>
        <v>MG000736/2025</v>
      </c>
    </row>
    <row r="169" spans="1:13">
      <c r="A169" s="147" t="str" cm="1">
        <f t="array" ref="A16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1.313.35</v>
      </c>
      <c r="B169" s="199" t="s">
        <v>1146</v>
      </c>
      <c r="C169" s="199" t="s">
        <v>274</v>
      </c>
      <c r="D169" s="199" t="str" cm="1">
        <f t="array" ref="D16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Coronel Fabriciano + SEAC-MG</v>
      </c>
      <c r="E169" s="147" t="s">
        <v>1090</v>
      </c>
      <c r="F169" s="147" t="s">
        <v>120</v>
      </c>
      <c r="G169" s="147">
        <v>1</v>
      </c>
      <c r="H169" s="147">
        <v>0</v>
      </c>
      <c r="I169" s="214">
        <f>1.05*1.07*1.065*1.1016*1.0435*3344.11</f>
        <v>4599.5952808034681</v>
      </c>
      <c r="J169" s="249">
        <f>VLOOKUP(tabPostos[[#This Row],[CCT DA CATEGORIA]],'RELAÇÃO SINDICATOS'!A:N,11,0)</f>
        <v>45658</v>
      </c>
      <c r="K169" s="147" t="str">
        <f>VLOOKUP(tabPostos[[#This Row],[CCT DA CATEGORIA]],'RELAÇÃO SINDICATOS'!A:N,12,0)</f>
        <v>-</v>
      </c>
      <c r="L169" s="147" t="str">
        <f>VLOOKUP(tabPostos[[#This Row],[CCT DA CATEGORIA]],'RELAÇÃO SINDICATOS'!A:N,13,0)</f>
        <v>-</v>
      </c>
      <c r="M169" s="147" t="str">
        <f>VLOOKUP(tabPostos[[#This Row],[CCT DA CATEGORIA]],'RELAÇÃO SINDICATOS'!A:N,14,0)</f>
        <v>MG002177/2025</v>
      </c>
    </row>
    <row r="170" spans="1:13">
      <c r="A170" s="147" t="str" cm="1">
        <f t="array" ref="A17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1.313.45</v>
      </c>
      <c r="B170" s="199" t="s">
        <v>1146</v>
      </c>
      <c r="C170" s="199" t="s">
        <v>324</v>
      </c>
      <c r="D170" s="199" t="str" cm="1">
        <f t="array" ref="D17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SECI</v>
      </c>
      <c r="E170" s="147" t="s">
        <v>1090</v>
      </c>
      <c r="F170" s="147" t="s">
        <v>120</v>
      </c>
      <c r="G170" s="147">
        <v>3</v>
      </c>
      <c r="H170" s="147">
        <v>0</v>
      </c>
      <c r="I170" s="214">
        <f>1.07*1.07*1.065*1.1016*2529.13</f>
        <v>3397.1306016921476</v>
      </c>
      <c r="J170" s="249">
        <f>VLOOKUP(tabPostos[[#This Row],[CCT DA CATEGORIA]],'RELAÇÃO SINDICATOS'!A:N,11,0)</f>
        <v>45658</v>
      </c>
      <c r="K170" s="147" t="str">
        <f>VLOOKUP(tabPostos[[#This Row],[CCT DA CATEGORIA]],'RELAÇÃO SINDICATOS'!A:N,12,0)</f>
        <v>-</v>
      </c>
      <c r="L170" s="147" t="str">
        <f>VLOOKUP(tabPostos[[#This Row],[CCT DA CATEGORIA]],'RELAÇÃO SINDICATOS'!A:N,13,0)</f>
        <v>-</v>
      </c>
      <c r="M170" s="147" t="str">
        <f>VLOOKUP(tabPostos[[#This Row],[CCT DA CATEGORIA]],'RELAÇÃO SINDICATOS'!A:N,14,0)</f>
        <v>MG000736/2025</v>
      </c>
    </row>
    <row r="171" spans="1:13">
      <c r="A171" s="147" t="str" cm="1">
        <f t="array" ref="A17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1.317.13</v>
      </c>
      <c r="B171" s="199" t="s">
        <v>930</v>
      </c>
      <c r="C171" s="199" t="s">
        <v>200</v>
      </c>
      <c r="D171" s="199" t="str" cm="1">
        <f t="array" ref="D17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Itabira</v>
      </c>
      <c r="E171" s="147" t="s">
        <v>1090</v>
      </c>
      <c r="F171" s="147" t="s">
        <v>120</v>
      </c>
      <c r="G171" s="147">
        <v>1</v>
      </c>
      <c r="H171" s="147">
        <v>0</v>
      </c>
      <c r="I171" s="214">
        <f>1.07*1.07*1.065*1.1016*1227.75</f>
        <v>1649.1153464738998</v>
      </c>
      <c r="J171" s="249">
        <f>VLOOKUP(tabPostos[[#This Row],[CCT DA CATEGORIA]],'RELAÇÃO SINDICATOS'!A:N,11,0)</f>
        <v>45658</v>
      </c>
      <c r="K171" s="147" t="str">
        <f>VLOOKUP(tabPostos[[#This Row],[CCT DA CATEGORIA]],'RELAÇÃO SINDICATOS'!A:N,12,0)</f>
        <v>-</v>
      </c>
      <c r="L171" s="147" t="str">
        <f>VLOOKUP(tabPostos[[#This Row],[CCT DA CATEGORIA]],'RELAÇÃO SINDICATOS'!A:N,13,0)</f>
        <v>-</v>
      </c>
      <c r="M171" s="147" t="str">
        <f>VLOOKUP(tabPostos[[#This Row],[CCT DA CATEGORIA]],'RELAÇÃO SINDICATOS'!A:N,14,0)</f>
        <v>MG001187/2025</v>
      </c>
    </row>
    <row r="172" spans="1:13">
      <c r="A172" s="147" t="str" cm="1">
        <f t="array" ref="A17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1.317.41</v>
      </c>
      <c r="B172" s="199" t="s">
        <v>930</v>
      </c>
      <c r="C172" s="199" t="s">
        <v>304</v>
      </c>
      <c r="D172" s="199" t="str" cm="1">
        <f t="array" ref="D17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Itabira</v>
      </c>
      <c r="E172" s="147" t="s">
        <v>1090</v>
      </c>
      <c r="F172" s="147" t="s">
        <v>120</v>
      </c>
      <c r="G172" s="147">
        <v>2</v>
      </c>
      <c r="H172" s="147">
        <v>0</v>
      </c>
      <c r="I172" s="214">
        <f>1.07*1.07*1.065*1.1016*1589.34</f>
        <v>2134.8034899326635</v>
      </c>
      <c r="J172" s="249">
        <f>VLOOKUP(tabPostos[[#This Row],[CCT DA CATEGORIA]],'RELAÇÃO SINDICATOS'!A:N,11,0)</f>
        <v>45658</v>
      </c>
      <c r="K172" s="147" t="str">
        <f>VLOOKUP(tabPostos[[#This Row],[CCT DA CATEGORIA]],'RELAÇÃO SINDICATOS'!A:N,12,0)</f>
        <v>-</v>
      </c>
      <c r="L172" s="147" t="str">
        <f>VLOOKUP(tabPostos[[#This Row],[CCT DA CATEGORIA]],'RELAÇÃO SINDICATOS'!A:N,13,0)</f>
        <v>-</v>
      </c>
      <c r="M172" s="147" t="str">
        <f>VLOOKUP(tabPostos[[#This Row],[CCT DA CATEGORIA]],'RELAÇÃO SINDICATOS'!A:N,14,0)</f>
        <v>MG001187/2025</v>
      </c>
    </row>
    <row r="173" spans="1:13">
      <c r="A173" s="147" t="str" cm="1">
        <f t="array" ref="A17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1.317.42</v>
      </c>
      <c r="B173" s="199" t="s">
        <v>930</v>
      </c>
      <c r="C173" s="199" t="s">
        <v>309</v>
      </c>
      <c r="D173" s="199" t="str" cm="1">
        <f t="array" ref="D17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Itabira</v>
      </c>
      <c r="E173" s="147" t="s">
        <v>1090</v>
      </c>
      <c r="F173" s="147" t="s">
        <v>120</v>
      </c>
      <c r="G173" s="147">
        <v>2</v>
      </c>
      <c r="H173" s="147">
        <v>0</v>
      </c>
      <c r="I173" s="214">
        <f>1.07*1.07*1.065*1.1016*1589.34</f>
        <v>2134.8034899326635</v>
      </c>
      <c r="J173" s="249">
        <f>VLOOKUP(tabPostos[[#This Row],[CCT DA CATEGORIA]],'RELAÇÃO SINDICATOS'!A:N,11,0)</f>
        <v>45658</v>
      </c>
      <c r="K173" s="147" t="str">
        <f>VLOOKUP(tabPostos[[#This Row],[CCT DA CATEGORIA]],'RELAÇÃO SINDICATOS'!A:N,12,0)</f>
        <v>-</v>
      </c>
      <c r="L173" s="147" t="str">
        <f>VLOOKUP(tabPostos[[#This Row],[CCT DA CATEGORIA]],'RELAÇÃO SINDICATOS'!A:N,13,0)</f>
        <v>-</v>
      </c>
      <c r="M173" s="147" t="str">
        <f>VLOOKUP(tabPostos[[#This Row],[CCT DA CATEGORIA]],'RELAÇÃO SINDICATOS'!A:N,14,0)</f>
        <v>MG001187/2025</v>
      </c>
    </row>
    <row r="174" spans="1:13">
      <c r="A174" s="147" t="str" cm="1">
        <f t="array" ref="A17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1.317.44</v>
      </c>
      <c r="B174" s="199" t="s">
        <v>930</v>
      </c>
      <c r="C174" s="199" t="s">
        <v>319</v>
      </c>
      <c r="D174" s="199" t="str" cm="1">
        <f t="array" ref="D17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Itabira</v>
      </c>
      <c r="E174" s="147" t="s">
        <v>1090</v>
      </c>
      <c r="F174" s="147" t="s">
        <v>120</v>
      </c>
      <c r="G174" s="147">
        <v>1</v>
      </c>
      <c r="H174" s="147">
        <v>0</v>
      </c>
      <c r="I174" s="214">
        <f>1.07*1.07*1.065*1.1016*1724.41</f>
        <v>2316.2296840668359</v>
      </c>
      <c r="J174" s="249">
        <f>VLOOKUP(tabPostos[[#This Row],[CCT DA CATEGORIA]],'RELAÇÃO SINDICATOS'!A:N,11,0)</f>
        <v>45658</v>
      </c>
      <c r="K174" s="147" t="str">
        <f>VLOOKUP(tabPostos[[#This Row],[CCT DA CATEGORIA]],'RELAÇÃO SINDICATOS'!A:N,12,0)</f>
        <v>-</v>
      </c>
      <c r="L174" s="147" t="str">
        <f>VLOOKUP(tabPostos[[#This Row],[CCT DA CATEGORIA]],'RELAÇÃO SINDICATOS'!A:N,13,0)</f>
        <v>-</v>
      </c>
      <c r="M174" s="147" t="str">
        <f>VLOOKUP(tabPostos[[#This Row],[CCT DA CATEGORIA]],'RELAÇÃO SINDICATOS'!A:N,14,0)</f>
        <v>MG001187/2025</v>
      </c>
    </row>
    <row r="175" spans="1:13">
      <c r="A175" s="147" t="str" cm="1">
        <f t="array" ref="A17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1.324.43</v>
      </c>
      <c r="B175" s="199" t="s">
        <v>1147</v>
      </c>
      <c r="C175" s="199" t="s">
        <v>314</v>
      </c>
      <c r="D175" s="199" t="str" cm="1">
        <f t="array" ref="D17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75" s="147" t="s">
        <v>1090</v>
      </c>
      <c r="F175" s="147" t="s">
        <v>120</v>
      </c>
      <c r="G175" s="147">
        <v>1</v>
      </c>
      <c r="H175" s="147">
        <v>0</v>
      </c>
      <c r="I175" s="214">
        <f>1.07*1.07*1.065*1.1016*1.045*1398.79</f>
        <v>1963.4050319620983</v>
      </c>
      <c r="J175" s="249">
        <f>VLOOKUP(tabPostos[[#This Row],[CCT DA CATEGORIA]],'RELAÇÃO SINDICATOS'!A:N,11,0)</f>
        <v>45658</v>
      </c>
      <c r="K175" s="147" t="str">
        <f>VLOOKUP(tabPostos[[#This Row],[CCT DA CATEGORIA]],'RELAÇÃO SINDICATOS'!A:N,12,0)</f>
        <v>-</v>
      </c>
      <c r="L175" s="147" t="str">
        <f>VLOOKUP(tabPostos[[#This Row],[CCT DA CATEGORIA]],'RELAÇÃO SINDICATOS'!A:N,13,0)</f>
        <v>-</v>
      </c>
      <c r="M175" s="147" t="str">
        <f>VLOOKUP(tabPostos[[#This Row],[CCT DA CATEGORIA]],'RELAÇÃO SINDICATOS'!A:N,14,0)</f>
        <v>MG000594/2025</v>
      </c>
    </row>
    <row r="176" spans="1:13">
      <c r="A176" s="147" t="str" cm="1">
        <f t="array" ref="A17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1.325.13</v>
      </c>
      <c r="B176" s="199" t="s">
        <v>1148</v>
      </c>
      <c r="C176" s="199" t="s">
        <v>200</v>
      </c>
      <c r="D176" s="199" t="str" cm="1">
        <f t="array" ref="D17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76" s="147" t="s">
        <v>1090</v>
      </c>
      <c r="F176" s="147" t="s">
        <v>120</v>
      </c>
      <c r="G176" s="147">
        <v>1</v>
      </c>
      <c r="H176" s="147">
        <v>0</v>
      </c>
      <c r="I176" s="214">
        <f>1.07*1.07*1.065*1.1016*1188.41</f>
        <v>1596.273808921236</v>
      </c>
      <c r="J176" s="249">
        <f>VLOOKUP(tabPostos[[#This Row],[CCT DA CATEGORIA]],'RELAÇÃO SINDICATOS'!A:N,11,0)</f>
        <v>45658</v>
      </c>
      <c r="K176" s="147" t="str">
        <f>VLOOKUP(tabPostos[[#This Row],[CCT DA CATEGORIA]],'RELAÇÃO SINDICATOS'!A:N,12,0)</f>
        <v>-</v>
      </c>
      <c r="L176" s="147" t="str">
        <f>VLOOKUP(tabPostos[[#This Row],[CCT DA CATEGORIA]],'RELAÇÃO SINDICATOS'!A:N,13,0)</f>
        <v>-</v>
      </c>
      <c r="M176" s="147" t="str">
        <f>VLOOKUP(tabPostos[[#This Row],[CCT DA CATEGORIA]],'RELAÇÃO SINDICATOS'!A:N,14,0)</f>
        <v>MG004482/2024</v>
      </c>
    </row>
    <row r="177" spans="1:13">
      <c r="A177" s="147" t="str" cm="1">
        <f t="array" ref="A17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1.327.16</v>
      </c>
      <c r="B177" s="199" t="s">
        <v>1149</v>
      </c>
      <c r="C177" s="199" t="s">
        <v>214</v>
      </c>
      <c r="D177" s="199" t="str" cm="1">
        <f t="array" ref="D17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177" s="147" t="s">
        <v>1090</v>
      </c>
      <c r="F177" s="147" t="s">
        <v>120</v>
      </c>
      <c r="G177" s="147">
        <v>1</v>
      </c>
      <c r="H177" s="147">
        <v>0</v>
      </c>
      <c r="I177" s="214">
        <f>1.07*1.07*1.065*1.1016*1.0435*1310.33</f>
        <v>1836.5985119240554</v>
      </c>
      <c r="J177" s="249">
        <f>VLOOKUP(tabPostos[[#This Row],[CCT DA CATEGORIA]],'RELAÇÃO SINDICATOS'!A:N,11,0)</f>
        <v>45658</v>
      </c>
      <c r="K177" s="147" t="str">
        <f>VLOOKUP(tabPostos[[#This Row],[CCT DA CATEGORIA]],'RELAÇÃO SINDICATOS'!A:N,12,0)</f>
        <v>-</v>
      </c>
      <c r="L177" s="147" t="str">
        <f>VLOOKUP(tabPostos[[#This Row],[CCT DA CATEGORIA]],'RELAÇÃO SINDICATOS'!A:N,13,0)</f>
        <v>-</v>
      </c>
      <c r="M177" s="147" t="str">
        <f>VLOOKUP(tabPostos[[#This Row],[CCT DA CATEGORIA]],'RELAÇÃO SINDICATOS'!A:N,14,0)</f>
        <v>MG000635/2025</v>
      </c>
    </row>
    <row r="178" spans="1:13">
      <c r="A178" s="147" t="str" cm="1">
        <f t="array" ref="A17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1.327.44</v>
      </c>
      <c r="B178" s="199" t="s">
        <v>1149</v>
      </c>
      <c r="C178" s="199" t="s">
        <v>319</v>
      </c>
      <c r="D178" s="199" t="str" cm="1">
        <f t="array" ref="D17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Teofilo Otoni</v>
      </c>
      <c r="E178" s="147" t="s">
        <v>1090</v>
      </c>
      <c r="F178" s="147" t="s">
        <v>120</v>
      </c>
      <c r="G178" s="147">
        <v>1</v>
      </c>
      <c r="H178" s="147">
        <v>0</v>
      </c>
      <c r="I178" s="214">
        <f>1.07*1.07*1.065*1.1016*1724.41</f>
        <v>2316.2296840668359</v>
      </c>
      <c r="J178" s="249">
        <f>VLOOKUP(tabPostos[[#This Row],[CCT DA CATEGORIA]],'RELAÇÃO SINDICATOS'!A:N,11,0)</f>
        <v>45658</v>
      </c>
      <c r="K178" s="147" t="str">
        <f>VLOOKUP(tabPostos[[#This Row],[CCT DA CATEGORIA]],'RELAÇÃO SINDICATOS'!A:N,12,0)</f>
        <v>-</v>
      </c>
      <c r="L178" s="147" t="str">
        <f>VLOOKUP(tabPostos[[#This Row],[CCT DA CATEGORIA]],'RELAÇÃO SINDICATOS'!A:N,13,0)</f>
        <v>-</v>
      </c>
      <c r="M178" s="147" t="str">
        <f>VLOOKUP(tabPostos[[#This Row],[CCT DA CATEGORIA]],'RELAÇÃO SINDICATOS'!A:N,14,0)</f>
        <v>MG004488/2024</v>
      </c>
    </row>
    <row r="179" spans="1:13">
      <c r="A179" s="147" t="str" cm="1">
        <f t="array" ref="A17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1.329.13</v>
      </c>
      <c r="B179" s="199" t="s">
        <v>1150</v>
      </c>
      <c r="C179" s="199" t="s">
        <v>200</v>
      </c>
      <c r="D179" s="199" t="str" cm="1">
        <f t="array" ref="D17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79" s="147" t="s">
        <v>1090</v>
      </c>
      <c r="F179" s="147" t="s">
        <v>120</v>
      </c>
      <c r="G179" s="147">
        <v>1</v>
      </c>
      <c r="H179" s="147">
        <v>0</v>
      </c>
      <c r="I179" s="214">
        <f>1.07*1.07*1.065*1.1016*1188.41</f>
        <v>1596.273808921236</v>
      </c>
      <c r="J179" s="249">
        <f>VLOOKUP(tabPostos[[#This Row],[CCT DA CATEGORIA]],'RELAÇÃO SINDICATOS'!A:N,11,0)</f>
        <v>45658</v>
      </c>
      <c r="K179" s="147" t="str">
        <f>VLOOKUP(tabPostos[[#This Row],[CCT DA CATEGORIA]],'RELAÇÃO SINDICATOS'!A:N,12,0)</f>
        <v>-</v>
      </c>
      <c r="L179" s="147" t="str">
        <f>VLOOKUP(tabPostos[[#This Row],[CCT DA CATEGORIA]],'RELAÇÃO SINDICATOS'!A:N,13,0)</f>
        <v>-</v>
      </c>
      <c r="M179" s="147" t="str">
        <f>VLOOKUP(tabPostos[[#This Row],[CCT DA CATEGORIA]],'RELAÇÃO SINDICATOS'!A:N,14,0)</f>
        <v>MG000594/2025</v>
      </c>
    </row>
    <row r="180" spans="1:13">
      <c r="A180" s="147" t="str" cm="1">
        <f t="array" ref="A18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1.338.43</v>
      </c>
      <c r="B180" s="199" t="s">
        <v>1151</v>
      </c>
      <c r="C180" s="199" t="s">
        <v>314</v>
      </c>
      <c r="D180" s="199" t="str" cm="1">
        <f t="array" ref="D18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80" s="147" t="s">
        <v>1090</v>
      </c>
      <c r="F180" s="147" t="s">
        <v>120</v>
      </c>
      <c r="G180" s="147">
        <v>1</v>
      </c>
      <c r="H180" s="147">
        <v>0</v>
      </c>
      <c r="I180" s="214">
        <f>1.07*1.07*1.065*1.1016*1461.74</f>
        <v>1963.4110092077037</v>
      </c>
      <c r="J180" s="249">
        <f>VLOOKUP(tabPostos[[#This Row],[CCT DA CATEGORIA]],'RELAÇÃO SINDICATOS'!A:N,11,0)</f>
        <v>45658</v>
      </c>
      <c r="K180" s="147" t="str">
        <f>VLOOKUP(tabPostos[[#This Row],[CCT DA CATEGORIA]],'RELAÇÃO SINDICATOS'!A:N,12,0)</f>
        <v>-</v>
      </c>
      <c r="L180" s="147" t="str">
        <f>VLOOKUP(tabPostos[[#This Row],[CCT DA CATEGORIA]],'RELAÇÃO SINDICATOS'!A:N,13,0)</f>
        <v>-</v>
      </c>
      <c r="M180" s="147" t="str">
        <f>VLOOKUP(tabPostos[[#This Row],[CCT DA CATEGORIA]],'RELAÇÃO SINDICATOS'!A:N,14,0)</f>
        <v>MG004482/2024</v>
      </c>
    </row>
    <row r="181" spans="1:13">
      <c r="A181" s="147" t="str" cm="1">
        <f t="array" ref="A18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1.338.45</v>
      </c>
      <c r="B181" s="199" t="s">
        <v>1151</v>
      </c>
      <c r="C181" s="199" t="s">
        <v>324</v>
      </c>
      <c r="D181" s="199" t="str" cm="1">
        <f t="array" ref="D18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81" s="147" t="s">
        <v>1090</v>
      </c>
      <c r="F181" s="147" t="s">
        <v>120</v>
      </c>
      <c r="G181" s="147">
        <v>1</v>
      </c>
      <c r="H181" s="147">
        <v>0</v>
      </c>
      <c r="I181" s="214">
        <f>1.07*1.07*1.065*1.1016*2529.13</f>
        <v>3397.1306016921476</v>
      </c>
      <c r="J181" s="249">
        <f>VLOOKUP(tabPostos[[#This Row],[CCT DA CATEGORIA]],'RELAÇÃO SINDICATOS'!A:N,11,0)</f>
        <v>45658</v>
      </c>
      <c r="K181" s="147" t="str">
        <f>VLOOKUP(tabPostos[[#This Row],[CCT DA CATEGORIA]],'RELAÇÃO SINDICATOS'!A:N,12,0)</f>
        <v>-</v>
      </c>
      <c r="L181" s="147" t="str">
        <f>VLOOKUP(tabPostos[[#This Row],[CCT DA CATEGORIA]],'RELAÇÃO SINDICATOS'!A:N,13,0)</f>
        <v>-</v>
      </c>
      <c r="M181" s="147" t="str">
        <f>VLOOKUP(tabPostos[[#This Row],[CCT DA CATEGORIA]],'RELAÇÃO SINDICATOS'!A:N,14,0)</f>
        <v>MG004482/2024</v>
      </c>
    </row>
    <row r="182" spans="1:13">
      <c r="A182" s="147" t="str" cm="1">
        <f t="array" ref="A18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1.342.35</v>
      </c>
      <c r="B182" s="199" t="s">
        <v>1152</v>
      </c>
      <c r="C182" s="199" t="s">
        <v>274</v>
      </c>
      <c r="D182" s="199" t="str" cm="1">
        <f t="array" ref="D18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Ituiutaba + SEAC-MG</v>
      </c>
      <c r="E182" s="147" t="s">
        <v>1090</v>
      </c>
      <c r="F182" s="147" t="s">
        <v>120</v>
      </c>
      <c r="G182" s="147">
        <v>1</v>
      </c>
      <c r="H182" s="147">
        <v>0</v>
      </c>
      <c r="I182" s="214">
        <f>1.07*1.065*1.1016*1.0435*3344.11</f>
        <v>4380.5669340985405</v>
      </c>
      <c r="J182" s="249">
        <f>VLOOKUP(tabPostos[[#This Row],[CCT DA CATEGORIA]],'RELAÇÃO SINDICATOS'!A:N,11,0)</f>
        <v>45658</v>
      </c>
      <c r="K182" s="147" t="str">
        <f>VLOOKUP(tabPostos[[#This Row],[CCT DA CATEGORIA]],'RELAÇÃO SINDICATOS'!A:N,12,0)</f>
        <v>-</v>
      </c>
      <c r="L182" s="147" t="str">
        <f>VLOOKUP(tabPostos[[#This Row],[CCT DA CATEGORIA]],'RELAÇÃO SINDICATOS'!A:N,13,0)</f>
        <v>-</v>
      </c>
      <c r="M182" s="147" t="str">
        <f>VLOOKUP(tabPostos[[#This Row],[CCT DA CATEGORIA]],'RELAÇÃO SINDICATOS'!A:N,14,0)</f>
        <v>MG001627/2025</v>
      </c>
    </row>
    <row r="183" spans="1:13">
      <c r="A183" s="147" t="str" cm="1">
        <f t="array" ref="A18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1.342.43</v>
      </c>
      <c r="B183" s="199" t="s">
        <v>1152</v>
      </c>
      <c r="C183" s="199" t="s">
        <v>314</v>
      </c>
      <c r="D183" s="199" t="str" cm="1">
        <f t="array" ref="D18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183" s="147" t="s">
        <v>1090</v>
      </c>
      <c r="F183" s="147" t="s">
        <v>120</v>
      </c>
      <c r="G183" s="147">
        <v>1</v>
      </c>
      <c r="H183" s="147">
        <v>0</v>
      </c>
      <c r="I183" s="214">
        <f>1.07*1.07*1.065*1.1016*1.045*1398.79</f>
        <v>1963.4050319620983</v>
      </c>
      <c r="J183" s="249">
        <f>VLOOKUP(tabPostos[[#This Row],[CCT DA CATEGORIA]],'RELAÇÃO SINDICATOS'!A:N,11,0)</f>
        <v>45658</v>
      </c>
      <c r="K183" s="147" t="str">
        <f>VLOOKUP(tabPostos[[#This Row],[CCT DA CATEGORIA]],'RELAÇÃO SINDICATOS'!A:N,12,0)</f>
        <v>-</v>
      </c>
      <c r="L183" s="147" t="str">
        <f>VLOOKUP(tabPostos[[#This Row],[CCT DA CATEGORIA]],'RELAÇÃO SINDICATOS'!A:N,13,0)</f>
        <v>-</v>
      </c>
      <c r="M183" s="147" t="str">
        <f>VLOOKUP(tabPostos[[#This Row],[CCT DA CATEGORIA]],'RELAÇÃO SINDICATOS'!A:N,14,0)</f>
        <v>MG001106/2025</v>
      </c>
    </row>
    <row r="184" spans="1:13">
      <c r="A184" s="147" t="str" cm="1">
        <f t="array" ref="A18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1.344.13</v>
      </c>
      <c r="B184" s="199" t="s">
        <v>1153</v>
      </c>
      <c r="C184" s="199" t="s">
        <v>200</v>
      </c>
      <c r="D184" s="199" t="str" cm="1">
        <f t="array" ref="D18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184" s="147" t="s">
        <v>1090</v>
      </c>
      <c r="F184" s="147" t="s">
        <v>120</v>
      </c>
      <c r="G184" s="147">
        <v>1</v>
      </c>
      <c r="H184" s="147">
        <v>0</v>
      </c>
      <c r="I184" s="214">
        <f>1.07*1.07*1.065*1.1016*1188.41</f>
        <v>1596.273808921236</v>
      </c>
      <c r="J184" s="249">
        <f>VLOOKUP(tabPostos[[#This Row],[CCT DA CATEGORIA]],'RELAÇÃO SINDICATOS'!A:N,11,0)</f>
        <v>45658</v>
      </c>
      <c r="K184" s="147" t="str">
        <f>VLOOKUP(tabPostos[[#This Row],[CCT DA CATEGORIA]],'RELAÇÃO SINDICATOS'!A:N,12,0)</f>
        <v>-</v>
      </c>
      <c r="L184" s="147" t="str">
        <f>VLOOKUP(tabPostos[[#This Row],[CCT DA CATEGORIA]],'RELAÇÃO SINDICATOS'!A:N,13,0)</f>
        <v>-</v>
      </c>
      <c r="M184" s="147" t="str">
        <f>VLOOKUP(tabPostos[[#This Row],[CCT DA CATEGORIA]],'RELAÇÃO SINDICATOS'!A:N,14,0)</f>
        <v>MG001106/2025</v>
      </c>
    </row>
    <row r="185" spans="1:13">
      <c r="A185" s="147" t="str" cm="1">
        <f t="array" ref="A18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1.344.45</v>
      </c>
      <c r="B185" s="199" t="s">
        <v>1153</v>
      </c>
      <c r="C185" s="199" t="s">
        <v>324</v>
      </c>
      <c r="D185" s="199" t="str" cm="1">
        <f t="array" ref="D18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185" s="147" t="s">
        <v>1090</v>
      </c>
      <c r="F185" s="147" t="s">
        <v>120</v>
      </c>
      <c r="G185" s="147">
        <v>1</v>
      </c>
      <c r="H185" s="147">
        <v>0</v>
      </c>
      <c r="I185" s="214">
        <f>1.07*1.07*1.065*1.1016*2529.13</f>
        <v>3397.1306016921476</v>
      </c>
      <c r="J185" s="249">
        <f>VLOOKUP(tabPostos[[#This Row],[CCT DA CATEGORIA]],'RELAÇÃO SINDICATOS'!A:N,11,0)</f>
        <v>45658</v>
      </c>
      <c r="K185" s="147" t="str">
        <f>VLOOKUP(tabPostos[[#This Row],[CCT DA CATEGORIA]],'RELAÇÃO SINDICATOS'!A:N,12,0)</f>
        <v>-</v>
      </c>
      <c r="L185" s="147" t="str">
        <f>VLOOKUP(tabPostos[[#This Row],[CCT DA CATEGORIA]],'RELAÇÃO SINDICATOS'!A:N,13,0)</f>
        <v>-</v>
      </c>
      <c r="M185" s="147" t="str">
        <f>VLOOKUP(tabPostos[[#This Row],[CCT DA CATEGORIA]],'RELAÇÃO SINDICATOS'!A:N,14,0)</f>
        <v>MG001106/2025</v>
      </c>
    </row>
    <row r="186" spans="1:13">
      <c r="A186" s="147" t="str" cm="1">
        <f t="array" ref="A18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1.346.43</v>
      </c>
      <c r="B186" s="199" t="s">
        <v>1154</v>
      </c>
      <c r="C186" s="199" t="s">
        <v>314</v>
      </c>
      <c r="D186" s="199" t="str" cm="1">
        <f t="array" ref="D18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86" s="147" t="s">
        <v>1090</v>
      </c>
      <c r="F186" s="147" t="s">
        <v>120</v>
      </c>
      <c r="G186" s="147">
        <v>1</v>
      </c>
      <c r="H186" s="147">
        <v>0</v>
      </c>
      <c r="I186" s="214">
        <f>1.07*1.07*1.065*1.1016*1461.74</f>
        <v>1963.4110092077037</v>
      </c>
      <c r="J186" s="249">
        <f>VLOOKUP(tabPostos[[#This Row],[CCT DA CATEGORIA]],'RELAÇÃO SINDICATOS'!A:N,11,0)</f>
        <v>45658</v>
      </c>
      <c r="K186" s="147" t="str">
        <f>VLOOKUP(tabPostos[[#This Row],[CCT DA CATEGORIA]],'RELAÇÃO SINDICATOS'!A:N,12,0)</f>
        <v>-</v>
      </c>
      <c r="L186" s="147" t="str">
        <f>VLOOKUP(tabPostos[[#This Row],[CCT DA CATEGORIA]],'RELAÇÃO SINDICATOS'!A:N,13,0)</f>
        <v>-</v>
      </c>
      <c r="M186" s="147" t="str">
        <f>VLOOKUP(tabPostos[[#This Row],[CCT DA CATEGORIA]],'RELAÇÃO SINDICATOS'!A:N,14,0)</f>
        <v>MG004482/2024</v>
      </c>
    </row>
    <row r="187" spans="1:13">
      <c r="A187" s="147" t="str" cm="1">
        <f t="array" ref="A18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1.347.44</v>
      </c>
      <c r="B187" s="199" t="s">
        <v>1155</v>
      </c>
      <c r="C187" s="199" t="s">
        <v>319</v>
      </c>
      <c r="D187" s="199" t="str" cm="1">
        <f t="array" ref="D18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187" s="147" t="s">
        <v>1090</v>
      </c>
      <c r="F187" s="147" t="s">
        <v>120</v>
      </c>
      <c r="G187" s="147">
        <v>1</v>
      </c>
      <c r="H187" s="147">
        <v>0</v>
      </c>
      <c r="I187" s="214">
        <f>1.07*1.07*1.065*1.1016*1724.41</f>
        <v>2316.2296840668359</v>
      </c>
      <c r="J187" s="249">
        <f>VLOOKUP(tabPostos[[#This Row],[CCT DA CATEGORIA]],'RELAÇÃO SINDICATOS'!A:N,11,0)</f>
        <v>45658</v>
      </c>
      <c r="K187" s="147" t="str">
        <f>VLOOKUP(tabPostos[[#This Row],[CCT DA CATEGORIA]],'RELAÇÃO SINDICATOS'!A:N,12,0)</f>
        <v>-</v>
      </c>
      <c r="L187" s="147" t="str">
        <f>VLOOKUP(tabPostos[[#This Row],[CCT DA CATEGORIA]],'RELAÇÃO SINDICATOS'!A:N,13,0)</f>
        <v>-</v>
      </c>
      <c r="M187" s="147" t="str">
        <f>VLOOKUP(tabPostos[[#This Row],[CCT DA CATEGORIA]],'RELAÇÃO SINDICATOS'!A:N,14,0)</f>
        <v>MG004482/2024</v>
      </c>
    </row>
    <row r="188" spans="1:13">
      <c r="A188" s="147" t="str" cm="1">
        <f t="array" ref="A18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1.352.43</v>
      </c>
      <c r="B188" s="199" t="s">
        <v>1156</v>
      </c>
      <c r="C188" s="199" t="s">
        <v>314</v>
      </c>
      <c r="D188" s="199" t="str" cm="1">
        <f t="array" ref="D18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188" s="147" t="s">
        <v>1090</v>
      </c>
      <c r="F188" s="147" t="s">
        <v>120</v>
      </c>
      <c r="G188" s="147">
        <v>1</v>
      </c>
      <c r="H188" s="147">
        <v>0</v>
      </c>
      <c r="I188" s="214">
        <f>1.07*1.07*1.065*1.1016*1461.74</f>
        <v>1963.4110092077037</v>
      </c>
      <c r="J188" s="249">
        <f>VLOOKUP(tabPostos[[#This Row],[CCT DA CATEGORIA]],'RELAÇÃO SINDICATOS'!A:N,11,0)</f>
        <v>45658</v>
      </c>
      <c r="K188" s="147" t="str">
        <f>VLOOKUP(tabPostos[[#This Row],[CCT DA CATEGORIA]],'RELAÇÃO SINDICATOS'!A:N,12,0)</f>
        <v>-</v>
      </c>
      <c r="L188" s="147" t="str">
        <f>VLOOKUP(tabPostos[[#This Row],[CCT DA CATEGORIA]],'RELAÇÃO SINDICATOS'!A:N,13,0)</f>
        <v>-</v>
      </c>
      <c r="M188" s="147" t="str">
        <f>VLOOKUP(tabPostos[[#This Row],[CCT DA CATEGORIA]],'RELAÇÃO SINDICATOS'!A:N,14,0)</f>
        <v>MG000256/2025</v>
      </c>
    </row>
    <row r="189" spans="1:13">
      <c r="A189" s="147" t="str" cm="1">
        <f t="array" ref="A18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1.145.13</v>
      </c>
      <c r="B189" s="199" t="s">
        <v>936</v>
      </c>
      <c r="C189" s="199" t="s">
        <v>200</v>
      </c>
      <c r="D189" s="199" t="str" cm="1">
        <f t="array" ref="D18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Juiz de Fora</v>
      </c>
      <c r="E189" s="147" t="s">
        <v>1090</v>
      </c>
      <c r="F189" s="147" t="s">
        <v>120</v>
      </c>
      <c r="G189" s="147">
        <v>6</v>
      </c>
      <c r="H189" s="147">
        <v>0</v>
      </c>
      <c r="I189" s="214">
        <f>1.07*1.07*1.075*1.1016*1182.42+0.01</f>
        <v>1603.1509726567601</v>
      </c>
      <c r="J189" s="249">
        <f>VLOOKUP(tabPostos[[#This Row],[CCT DA CATEGORIA]],'RELAÇÃO SINDICATOS'!A:N,11,0)</f>
        <v>45658</v>
      </c>
      <c r="K189" s="147" t="str">
        <f>VLOOKUP(tabPostos[[#This Row],[CCT DA CATEGORIA]],'RELAÇÃO SINDICATOS'!A:N,12,0)</f>
        <v>-</v>
      </c>
      <c r="L189" s="147" t="str">
        <f>VLOOKUP(tabPostos[[#This Row],[CCT DA CATEGORIA]],'RELAÇÃO SINDICATOS'!A:N,13,0)</f>
        <v>-</v>
      </c>
      <c r="M189" s="147" t="str">
        <f>VLOOKUP(tabPostos[[#This Row],[CCT DA CATEGORIA]],'RELAÇÃO SINDICATOS'!A:N,14,0)</f>
        <v>MG004343/2024</v>
      </c>
    </row>
    <row r="190" spans="1:13">
      <c r="A190" s="147" t="str" cm="1">
        <f t="array" ref="A19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1.145.35</v>
      </c>
      <c r="B190" s="199" t="s">
        <v>936</v>
      </c>
      <c r="C190" s="199" t="s">
        <v>274</v>
      </c>
      <c r="D190" s="199" t="str" cm="1">
        <f t="array" ref="D19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Juiz de Fora + SEAC-MG</v>
      </c>
      <c r="E190" s="147" t="s">
        <v>1090</v>
      </c>
      <c r="F190" s="147" t="s">
        <v>120</v>
      </c>
      <c r="G190" s="147">
        <v>2</v>
      </c>
      <c r="H190" s="147">
        <v>0</v>
      </c>
      <c r="I190" s="214">
        <f>1.07*1.065*1.1016*1.04*3204.82</f>
        <v>4184.0252254419847</v>
      </c>
      <c r="J190" s="249">
        <f>VLOOKUP(tabPostos[[#This Row],[CCT DA CATEGORIA]],'RELAÇÃO SINDICATOS'!A:N,11,0)</f>
        <v>45658</v>
      </c>
      <c r="K190" s="147" t="str">
        <f>VLOOKUP(tabPostos[[#This Row],[CCT DA CATEGORIA]],'RELAÇÃO SINDICATOS'!A:N,12,0)</f>
        <v>-</v>
      </c>
      <c r="L190" s="147" t="str">
        <f>VLOOKUP(tabPostos[[#This Row],[CCT DA CATEGORIA]],'RELAÇÃO SINDICATOS'!A:N,13,0)</f>
        <v>-</v>
      </c>
      <c r="M190" s="147" t="str">
        <f>VLOOKUP(tabPostos[[#This Row],[CCT DA CATEGORIA]],'RELAÇÃO SINDICATOS'!A:N,14,0)</f>
        <v>MG001974/2025</v>
      </c>
    </row>
    <row r="191" spans="1:13">
      <c r="A191" s="147" t="str" cm="1">
        <f t="array" ref="A19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3.145.35</v>
      </c>
      <c r="B191" s="199" t="s">
        <v>936</v>
      </c>
      <c r="C191" s="199" t="s">
        <v>274</v>
      </c>
      <c r="D191" s="199" t="str" cm="1">
        <f t="array" ref="D19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Juiz de Fora + SEAC-MG</v>
      </c>
      <c r="E191" s="147" t="s">
        <v>1090</v>
      </c>
      <c r="F191" s="147" t="s">
        <v>135</v>
      </c>
      <c r="G191" s="147">
        <v>1</v>
      </c>
      <c r="H191" s="147">
        <v>0</v>
      </c>
      <c r="I191" s="214">
        <f>1.07*1.065*1.1016*1.04*3204.82</f>
        <v>4184.0252254419847</v>
      </c>
      <c r="J191" s="249">
        <f>VLOOKUP(tabPostos[[#This Row],[CCT DA CATEGORIA]],'RELAÇÃO SINDICATOS'!A:N,11,0)</f>
        <v>45658</v>
      </c>
      <c r="K191" s="147" t="str">
        <f>VLOOKUP(tabPostos[[#This Row],[CCT DA CATEGORIA]],'RELAÇÃO SINDICATOS'!A:N,12,0)</f>
        <v>-</v>
      </c>
      <c r="L191" s="147" t="str">
        <f>VLOOKUP(tabPostos[[#This Row],[CCT DA CATEGORIA]],'RELAÇÃO SINDICATOS'!A:N,13,0)</f>
        <v>-</v>
      </c>
      <c r="M191" s="147" t="str">
        <f>VLOOKUP(tabPostos[[#This Row],[CCT DA CATEGORIA]],'RELAÇÃO SINDICATOS'!A:N,14,0)</f>
        <v>MG001974/2025</v>
      </c>
    </row>
    <row r="192" spans="1:13">
      <c r="A192" s="147" t="str" cm="1">
        <f t="array" ref="A19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1.145.45</v>
      </c>
      <c r="B192" s="199" t="s">
        <v>936</v>
      </c>
      <c r="C192" s="199" t="s">
        <v>324</v>
      </c>
      <c r="D192" s="199" t="str" cm="1">
        <f t="array" ref="D19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Juiz de Fora</v>
      </c>
      <c r="E192" s="147" t="s">
        <v>1090</v>
      </c>
      <c r="F192" s="147" t="s">
        <v>120</v>
      </c>
      <c r="G192" s="147">
        <v>1</v>
      </c>
      <c r="H192" s="147">
        <v>0</v>
      </c>
      <c r="I192" s="214">
        <f>1.07*1.07*1.075*1.1016*1.045*2420.22</f>
        <v>3429.0284060327917</v>
      </c>
      <c r="J192" s="249">
        <f>VLOOKUP(tabPostos[[#This Row],[CCT DA CATEGORIA]],'RELAÇÃO SINDICATOS'!A:N,11,0)</f>
        <v>45658</v>
      </c>
      <c r="K192" s="147" t="str">
        <f>VLOOKUP(tabPostos[[#This Row],[CCT DA CATEGORIA]],'RELAÇÃO SINDICATOS'!A:N,12,0)</f>
        <v>-</v>
      </c>
      <c r="L192" s="147" t="str">
        <f>VLOOKUP(tabPostos[[#This Row],[CCT DA CATEGORIA]],'RELAÇÃO SINDICATOS'!A:N,13,0)</f>
        <v>-</v>
      </c>
      <c r="M192" s="147" t="str">
        <f>VLOOKUP(tabPostos[[#This Row],[CCT DA CATEGORIA]],'RELAÇÃO SINDICATOS'!A:N,14,0)</f>
        <v>MG004343/2024</v>
      </c>
    </row>
    <row r="193" spans="1:13">
      <c r="A193" s="147" t="str" cm="1">
        <f t="array" ref="A19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1.372.45</v>
      </c>
      <c r="B193" s="199" t="s">
        <v>1157</v>
      </c>
      <c r="C193" s="199" t="s">
        <v>324</v>
      </c>
      <c r="D193" s="199" t="str" cm="1">
        <f t="array" ref="D19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Divinopolis</v>
      </c>
      <c r="E193" s="147" t="s">
        <v>1090</v>
      </c>
      <c r="F193" s="147" t="s">
        <v>120</v>
      </c>
      <c r="G193" s="147">
        <v>1</v>
      </c>
      <c r="H193" s="147">
        <v>0</v>
      </c>
      <c r="I193" s="214">
        <f>1.07*1.07*1.065*1.1016*1.045*2420.22</f>
        <v>3397.130467372021</v>
      </c>
      <c r="J193" s="249">
        <f>VLOOKUP(tabPostos[[#This Row],[CCT DA CATEGORIA]],'RELAÇÃO SINDICATOS'!A:N,11,0)</f>
        <v>45658</v>
      </c>
      <c r="K193" s="147" t="str">
        <f>VLOOKUP(tabPostos[[#This Row],[CCT DA CATEGORIA]],'RELAÇÃO SINDICATOS'!A:N,12,0)</f>
        <v>-</v>
      </c>
      <c r="L193" s="147" t="str">
        <f>VLOOKUP(tabPostos[[#This Row],[CCT DA CATEGORIA]],'RELAÇÃO SINDICATOS'!A:N,13,0)</f>
        <v>-</v>
      </c>
      <c r="M193" s="147" t="str">
        <f>VLOOKUP(tabPostos[[#This Row],[CCT DA CATEGORIA]],'RELAÇÃO SINDICATOS'!A:N,14,0)</f>
        <v>MG001011/2025</v>
      </c>
    </row>
    <row r="194" spans="1:13">
      <c r="A194" s="147" t="str" cm="1">
        <f t="array" ref="A19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1.148.43</v>
      </c>
      <c r="B194" s="199" t="s">
        <v>1158</v>
      </c>
      <c r="C194" s="199" t="s">
        <v>314</v>
      </c>
      <c r="D194" s="199" t="str" cm="1">
        <f t="array" ref="D19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194" s="147" t="s">
        <v>1090</v>
      </c>
      <c r="F194" s="147" t="s">
        <v>120</v>
      </c>
      <c r="G194" s="147">
        <v>1</v>
      </c>
      <c r="H194" s="147">
        <v>0</v>
      </c>
      <c r="I194" s="214">
        <f>1.07*1.07*1.065*1.1016*1589.34</f>
        <v>2134.8034899326635</v>
      </c>
      <c r="J194" s="249">
        <f>VLOOKUP(tabPostos[[#This Row],[CCT DA CATEGORIA]],'RELAÇÃO SINDICATOS'!A:N,11,0)</f>
        <v>45658</v>
      </c>
      <c r="K194" s="147" t="str">
        <f>VLOOKUP(tabPostos[[#This Row],[CCT DA CATEGORIA]],'RELAÇÃO SINDICATOS'!A:N,12,0)</f>
        <v>-</v>
      </c>
      <c r="L194" s="147" t="str">
        <f>VLOOKUP(tabPostos[[#This Row],[CCT DA CATEGORIA]],'RELAÇÃO SINDICATOS'!A:N,13,0)</f>
        <v>-</v>
      </c>
      <c r="M194" s="147" t="str">
        <f>VLOOKUP(tabPostos[[#This Row],[CCT DA CATEGORIA]],'RELAÇÃO SINDICATOS'!A:N,14,0)</f>
        <v>MG000016/2025</v>
      </c>
    </row>
    <row r="195" spans="1:13">
      <c r="A195" s="147" t="str" cm="1">
        <f t="array" ref="A19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1.382.13</v>
      </c>
      <c r="B195" s="199" t="s">
        <v>1159</v>
      </c>
      <c r="C195" s="199" t="s">
        <v>200</v>
      </c>
      <c r="D195" s="199" t="str" cm="1">
        <f t="array" ref="D19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95" s="147" t="s">
        <v>1090</v>
      </c>
      <c r="F195" s="147" t="s">
        <v>120</v>
      </c>
      <c r="G195" s="147">
        <v>1</v>
      </c>
      <c r="H195" s="147">
        <v>0</v>
      </c>
      <c r="I195" s="214">
        <f>1.07*1.07*1.065*1.1016*1188.41</f>
        <v>1596.273808921236</v>
      </c>
      <c r="J195" s="249">
        <f>VLOOKUP(tabPostos[[#This Row],[CCT DA CATEGORIA]],'RELAÇÃO SINDICATOS'!A:N,11,0)</f>
        <v>45658</v>
      </c>
      <c r="K195" s="147" t="str">
        <f>VLOOKUP(tabPostos[[#This Row],[CCT DA CATEGORIA]],'RELAÇÃO SINDICATOS'!A:N,12,0)</f>
        <v>-</v>
      </c>
      <c r="L195" s="147" t="str">
        <f>VLOOKUP(tabPostos[[#This Row],[CCT DA CATEGORIA]],'RELAÇÃO SINDICATOS'!A:N,13,0)</f>
        <v>-</v>
      </c>
      <c r="M195" s="147" t="str">
        <f>VLOOKUP(tabPostos[[#This Row],[CCT DA CATEGORIA]],'RELAÇÃO SINDICATOS'!A:N,14,0)</f>
        <v>MG000594/2025</v>
      </c>
    </row>
    <row r="196" spans="1:13">
      <c r="A196" s="147" t="str" cm="1">
        <f t="array" ref="A19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1.382.28</v>
      </c>
      <c r="B196" s="199" t="s">
        <v>1159</v>
      </c>
      <c r="C196" s="199" t="s">
        <v>244</v>
      </c>
      <c r="D196" s="199" t="str" cm="1">
        <f t="array" ref="D19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96" s="147" t="s">
        <v>1090</v>
      </c>
      <c r="F196" s="147" t="s">
        <v>120</v>
      </c>
      <c r="G196" s="147">
        <v>1</v>
      </c>
      <c r="H196" s="147">
        <v>0</v>
      </c>
      <c r="I196" s="214">
        <f>1.07*1.07*1.065*1.1016*1709.48</f>
        <v>2296.1756892610078</v>
      </c>
      <c r="J196" s="249">
        <f>VLOOKUP(tabPostos[[#This Row],[CCT DA CATEGORIA]],'RELAÇÃO SINDICATOS'!A:N,11,0)</f>
        <v>45658</v>
      </c>
      <c r="K196" s="147" t="str">
        <f>VLOOKUP(tabPostos[[#This Row],[CCT DA CATEGORIA]],'RELAÇÃO SINDICATOS'!A:N,12,0)</f>
        <v>-</v>
      </c>
      <c r="L196" s="147" t="str">
        <f>VLOOKUP(tabPostos[[#This Row],[CCT DA CATEGORIA]],'RELAÇÃO SINDICATOS'!A:N,13,0)</f>
        <v>-</v>
      </c>
      <c r="M196" s="147" t="str">
        <f>VLOOKUP(tabPostos[[#This Row],[CCT DA CATEGORIA]],'RELAÇÃO SINDICATOS'!A:N,14,0)</f>
        <v>MG000594/2025</v>
      </c>
    </row>
    <row r="197" spans="1:13">
      <c r="A197" s="147" t="str" cm="1">
        <f t="array" ref="A19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1.382.29</v>
      </c>
      <c r="B197" s="199" t="s">
        <v>1159</v>
      </c>
      <c r="C197" s="199" t="s">
        <v>1368</v>
      </c>
      <c r="D197" s="199" t="str" cm="1">
        <f t="array" ref="D19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97" s="147" t="s">
        <v>1090</v>
      </c>
      <c r="F197" s="147" t="s">
        <v>120</v>
      </c>
      <c r="G197" s="147">
        <v>1</v>
      </c>
      <c r="H197" s="147">
        <v>0</v>
      </c>
      <c r="I197" s="214">
        <f>1.07*1.07*1.065*1.1016*1709.48</f>
        <v>2296.1756892610078</v>
      </c>
      <c r="J197" s="249">
        <f>VLOOKUP(tabPostos[[#This Row],[CCT DA CATEGORIA]],'RELAÇÃO SINDICATOS'!A:N,11,0)</f>
        <v>45658</v>
      </c>
      <c r="K197" s="147" t="str">
        <f>VLOOKUP(tabPostos[[#This Row],[CCT DA CATEGORIA]],'RELAÇÃO SINDICATOS'!A:N,12,0)</f>
        <v>-</v>
      </c>
      <c r="L197" s="147" t="str">
        <f>VLOOKUP(tabPostos[[#This Row],[CCT DA CATEGORIA]],'RELAÇÃO SINDICATOS'!A:N,13,0)</f>
        <v>-</v>
      </c>
      <c r="M197" s="147" t="str">
        <f>VLOOKUP(tabPostos[[#This Row],[CCT DA CATEGORIA]],'RELAÇÃO SINDICATOS'!A:N,14,0)</f>
        <v>MG000594/2025</v>
      </c>
    </row>
    <row r="198" spans="1:13">
      <c r="A198" s="147" t="str" cm="1">
        <f t="array" ref="A19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1.382.35</v>
      </c>
      <c r="B198" s="199" t="s">
        <v>1159</v>
      </c>
      <c r="C198" s="199" t="s">
        <v>274</v>
      </c>
      <c r="D198" s="199" t="str" cm="1">
        <f t="array" ref="D19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Lavras + SEAC-MG</v>
      </c>
      <c r="E198" s="147" t="s">
        <v>1090</v>
      </c>
      <c r="F198" s="147" t="s">
        <v>120</v>
      </c>
      <c r="G198" s="147">
        <v>1</v>
      </c>
      <c r="H198" s="147">
        <v>0</v>
      </c>
      <c r="I198" s="214">
        <f>1.05*1.07*1.065*1.1016*1.0435*1.0448*3200.72</f>
        <v>4599.5983837776375</v>
      </c>
      <c r="J198" s="249">
        <f>VLOOKUP(tabPostos[[#This Row],[CCT DA CATEGORIA]],'RELAÇÃO SINDICATOS'!A:N,11,0)</f>
        <v>45658</v>
      </c>
      <c r="K198" s="147" t="str">
        <f>VLOOKUP(tabPostos[[#This Row],[CCT DA CATEGORIA]],'RELAÇÃO SINDICATOS'!A:N,12,0)</f>
        <v>-</v>
      </c>
      <c r="L198" s="147" t="str">
        <f>VLOOKUP(tabPostos[[#This Row],[CCT DA CATEGORIA]],'RELAÇÃO SINDICATOS'!A:N,13,0)</f>
        <v>-</v>
      </c>
      <c r="M198" s="147" t="str">
        <f>VLOOKUP(tabPostos[[#This Row],[CCT DA CATEGORIA]],'RELAÇÃO SINDICATOS'!A:N,14,0)</f>
        <v>MG001379/2025</v>
      </c>
    </row>
    <row r="199" spans="1:13">
      <c r="A199" s="147" t="str" cm="1">
        <f t="array" ref="A19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1.382.43</v>
      </c>
      <c r="B199" s="199" t="s">
        <v>1159</v>
      </c>
      <c r="C199" s="199" t="s">
        <v>314</v>
      </c>
      <c r="D199" s="199" t="str" cm="1">
        <f t="array" ref="D19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199" s="147" t="s">
        <v>1090</v>
      </c>
      <c r="F199" s="147" t="s">
        <v>120</v>
      </c>
      <c r="G199" s="147">
        <v>1</v>
      </c>
      <c r="H199" s="147">
        <v>0</v>
      </c>
      <c r="I199" s="214">
        <f>1.07*1.07*1.065*1.1016*1.045*1398.79</f>
        <v>1963.4050319620983</v>
      </c>
      <c r="J199" s="249">
        <f>VLOOKUP(tabPostos[[#This Row],[CCT DA CATEGORIA]],'RELAÇÃO SINDICATOS'!A:N,11,0)</f>
        <v>45658</v>
      </c>
      <c r="K199" s="147" t="str">
        <f>VLOOKUP(tabPostos[[#This Row],[CCT DA CATEGORIA]],'RELAÇÃO SINDICATOS'!A:N,12,0)</f>
        <v>-</v>
      </c>
      <c r="L199" s="147" t="str">
        <f>VLOOKUP(tabPostos[[#This Row],[CCT DA CATEGORIA]],'RELAÇÃO SINDICATOS'!A:N,13,0)</f>
        <v>-</v>
      </c>
      <c r="M199" s="147" t="str">
        <f>VLOOKUP(tabPostos[[#This Row],[CCT DA CATEGORIA]],'RELAÇÃO SINDICATOS'!A:N,14,0)</f>
        <v>MG000594/2025</v>
      </c>
    </row>
    <row r="200" spans="1:13">
      <c r="A200" s="147" t="str" cm="1">
        <f t="array" ref="A20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1.382.45</v>
      </c>
      <c r="B200" s="199" t="s">
        <v>1159</v>
      </c>
      <c r="C200" s="199" t="s">
        <v>324</v>
      </c>
      <c r="D200" s="199" t="str" cm="1">
        <f t="array" ref="D20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00" s="147" t="s">
        <v>1090</v>
      </c>
      <c r="F200" s="147" t="s">
        <v>120</v>
      </c>
      <c r="G200" s="147">
        <v>1</v>
      </c>
      <c r="H200" s="147">
        <v>0</v>
      </c>
      <c r="I200" s="214">
        <f>1.07*1.07*1.065*1.1016*1.045*2420.22</f>
        <v>3397.130467372021</v>
      </c>
      <c r="J200" s="249">
        <f>VLOOKUP(tabPostos[[#This Row],[CCT DA CATEGORIA]],'RELAÇÃO SINDICATOS'!A:N,11,0)</f>
        <v>45658</v>
      </c>
      <c r="K200" s="147" t="str">
        <f>VLOOKUP(tabPostos[[#This Row],[CCT DA CATEGORIA]],'RELAÇÃO SINDICATOS'!A:N,12,0)</f>
        <v>-</v>
      </c>
      <c r="L200" s="147" t="str">
        <f>VLOOKUP(tabPostos[[#This Row],[CCT DA CATEGORIA]],'RELAÇÃO SINDICATOS'!A:N,13,0)</f>
        <v>-</v>
      </c>
      <c r="M200" s="147" t="str">
        <f>VLOOKUP(tabPostos[[#This Row],[CCT DA CATEGORIA]],'RELAÇÃO SINDICATOS'!A:N,14,0)</f>
        <v>MG000594/2025</v>
      </c>
    </row>
    <row r="201" spans="1:13">
      <c r="A201" s="147" t="str" cm="1">
        <f t="array" ref="A20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1.382.44</v>
      </c>
      <c r="B201" s="199" t="s">
        <v>1159</v>
      </c>
      <c r="C201" s="199" t="s">
        <v>319</v>
      </c>
      <c r="D201" s="199" t="str" cm="1">
        <f t="array" ref="D20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01" s="147" t="s">
        <v>1090</v>
      </c>
      <c r="F201" s="147" t="s">
        <v>120</v>
      </c>
      <c r="G201" s="147">
        <v>1</v>
      </c>
      <c r="H201" s="147">
        <v>0</v>
      </c>
      <c r="I201" s="214">
        <f>1.07*1.07*1.065*1.1016*1.045*1650.15</f>
        <v>2316.2253186627422</v>
      </c>
      <c r="J201" s="249">
        <f>VLOOKUP(tabPostos[[#This Row],[CCT DA CATEGORIA]],'RELAÇÃO SINDICATOS'!A:N,11,0)</f>
        <v>45658</v>
      </c>
      <c r="K201" s="147" t="str">
        <f>VLOOKUP(tabPostos[[#This Row],[CCT DA CATEGORIA]],'RELAÇÃO SINDICATOS'!A:N,12,0)</f>
        <v>-</v>
      </c>
      <c r="L201" s="147" t="str">
        <f>VLOOKUP(tabPostos[[#This Row],[CCT DA CATEGORIA]],'RELAÇÃO SINDICATOS'!A:N,13,0)</f>
        <v>-</v>
      </c>
      <c r="M201" s="147" t="str">
        <f>VLOOKUP(tabPostos[[#This Row],[CCT DA CATEGORIA]],'RELAÇÃO SINDICATOS'!A:N,14,0)</f>
        <v>MG000594/2025</v>
      </c>
    </row>
    <row r="202" spans="1:13">
      <c r="A202" s="147" t="str" cm="1">
        <f t="array" ref="A20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1.390.16</v>
      </c>
      <c r="B202" s="199" t="s">
        <v>1160</v>
      </c>
      <c r="C202" s="199" t="s">
        <v>214</v>
      </c>
      <c r="D202" s="199" t="str" cm="1">
        <f t="array" ref="D20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202" s="147" t="s">
        <v>1090</v>
      </c>
      <c r="F202" s="147" t="s">
        <v>120</v>
      </c>
      <c r="G202" s="147">
        <v>1</v>
      </c>
      <c r="H202" s="147">
        <v>0</v>
      </c>
      <c r="I202" s="214">
        <f>1.07*1.07*1.065*1.1016*1.0435*1310.33</f>
        <v>1836.5985119240554</v>
      </c>
      <c r="J202" s="249">
        <f>VLOOKUP(tabPostos[[#This Row],[CCT DA CATEGORIA]],'RELAÇÃO SINDICATOS'!A:N,11,0)</f>
        <v>45658</v>
      </c>
      <c r="K202" s="147" t="str">
        <f>VLOOKUP(tabPostos[[#This Row],[CCT DA CATEGORIA]],'RELAÇÃO SINDICATOS'!A:N,12,0)</f>
        <v>-</v>
      </c>
      <c r="L202" s="147" t="str">
        <f>VLOOKUP(tabPostos[[#This Row],[CCT DA CATEGORIA]],'RELAÇÃO SINDICATOS'!A:N,13,0)</f>
        <v>-</v>
      </c>
      <c r="M202" s="147" t="str">
        <f>VLOOKUP(tabPostos[[#This Row],[CCT DA CATEGORIA]],'RELAÇÃO SINDICATOS'!A:N,14,0)</f>
        <v>MG000635/2025</v>
      </c>
    </row>
    <row r="203" spans="1:13">
      <c r="A203" s="147" t="str" cm="1">
        <f t="array" ref="A20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1.390.45</v>
      </c>
      <c r="B203" s="199" t="s">
        <v>1160</v>
      </c>
      <c r="C203" s="199" t="s">
        <v>324</v>
      </c>
      <c r="D203" s="199" t="str" cm="1">
        <f t="array" ref="D20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03" s="147" t="s">
        <v>1090</v>
      </c>
      <c r="F203" s="147" t="s">
        <v>120</v>
      </c>
      <c r="G203" s="147">
        <v>1</v>
      </c>
      <c r="H203" s="147">
        <v>0</v>
      </c>
      <c r="I203" s="214">
        <f>1.07*1.07*1.065*1.1016*1.045*2420.22</f>
        <v>3397.130467372021</v>
      </c>
      <c r="J203" s="249">
        <f>VLOOKUP(tabPostos[[#This Row],[CCT DA CATEGORIA]],'RELAÇÃO SINDICATOS'!A:N,11,0)</f>
        <v>45658</v>
      </c>
      <c r="K203" s="147" t="str">
        <f>VLOOKUP(tabPostos[[#This Row],[CCT DA CATEGORIA]],'RELAÇÃO SINDICATOS'!A:N,12,0)</f>
        <v>-</v>
      </c>
      <c r="L203" s="147" t="str">
        <f>VLOOKUP(tabPostos[[#This Row],[CCT DA CATEGORIA]],'RELAÇÃO SINDICATOS'!A:N,13,0)</f>
        <v>-</v>
      </c>
      <c r="M203" s="147" t="str">
        <f>VLOOKUP(tabPostos[[#This Row],[CCT DA CATEGORIA]],'RELAÇÃO SINDICATOS'!A:N,14,0)</f>
        <v>MG000594/2025</v>
      </c>
    </row>
    <row r="204" spans="1:13">
      <c r="A204" s="147" t="str" cm="1">
        <f t="array" ref="A20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1.393.13</v>
      </c>
      <c r="B204" s="199" t="s">
        <v>1161</v>
      </c>
      <c r="C204" s="199" t="s">
        <v>200</v>
      </c>
      <c r="D204" s="199" t="str" cm="1">
        <f t="array" ref="D20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04" s="147" t="s">
        <v>1090</v>
      </c>
      <c r="F204" s="147" t="s">
        <v>120</v>
      </c>
      <c r="G204" s="147">
        <v>1</v>
      </c>
      <c r="H204" s="147">
        <v>0</v>
      </c>
      <c r="I204" s="214">
        <f>1.07*1.07*1.065*1.1016*1188.41</f>
        <v>1596.273808921236</v>
      </c>
      <c r="J204" s="249">
        <f>VLOOKUP(tabPostos[[#This Row],[CCT DA CATEGORIA]],'RELAÇÃO SINDICATOS'!A:N,11,0)</f>
        <v>45658</v>
      </c>
      <c r="K204" s="147" t="str">
        <f>VLOOKUP(tabPostos[[#This Row],[CCT DA CATEGORIA]],'RELAÇÃO SINDICATOS'!A:N,12,0)</f>
        <v>-</v>
      </c>
      <c r="L204" s="147" t="str">
        <f>VLOOKUP(tabPostos[[#This Row],[CCT DA CATEGORIA]],'RELAÇÃO SINDICATOS'!A:N,13,0)</f>
        <v>-</v>
      </c>
      <c r="M204" s="147" t="str">
        <f>VLOOKUP(tabPostos[[#This Row],[CCT DA CATEGORIA]],'RELAÇÃO SINDICATOS'!A:N,14,0)</f>
        <v>MG000256/2025</v>
      </c>
    </row>
    <row r="205" spans="1:13">
      <c r="A205" s="147" t="str" cm="1">
        <f t="array" ref="A20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1.393.41</v>
      </c>
      <c r="B205" s="199" t="s">
        <v>1161</v>
      </c>
      <c r="C205" s="199" t="s">
        <v>304</v>
      </c>
      <c r="D205" s="199" t="str" cm="1">
        <f t="array" ref="D20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05" s="147" t="s">
        <v>1090</v>
      </c>
      <c r="F205" s="147" t="s">
        <v>120</v>
      </c>
      <c r="G205" s="147">
        <v>2</v>
      </c>
      <c r="H205" s="147">
        <v>0</v>
      </c>
      <c r="I205" s="214">
        <f>1.07*1.07*1.065*1.1016*1461.74</f>
        <v>1963.4110092077037</v>
      </c>
      <c r="J205" s="249">
        <f>VLOOKUP(tabPostos[[#This Row],[CCT DA CATEGORIA]],'RELAÇÃO SINDICATOS'!A:N,11,0)</f>
        <v>45658</v>
      </c>
      <c r="K205" s="147" t="str">
        <f>VLOOKUP(tabPostos[[#This Row],[CCT DA CATEGORIA]],'RELAÇÃO SINDICATOS'!A:N,12,0)</f>
        <v>-</v>
      </c>
      <c r="L205" s="147" t="str">
        <f>VLOOKUP(tabPostos[[#This Row],[CCT DA CATEGORIA]],'RELAÇÃO SINDICATOS'!A:N,13,0)</f>
        <v>-</v>
      </c>
      <c r="M205" s="147" t="str">
        <f>VLOOKUP(tabPostos[[#This Row],[CCT DA CATEGORIA]],'RELAÇÃO SINDICATOS'!A:N,14,0)</f>
        <v>MG000256/2025</v>
      </c>
    </row>
    <row r="206" spans="1:13">
      <c r="A206" s="147" t="str" cm="1">
        <f t="array" ref="A20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1.393.42</v>
      </c>
      <c r="B206" s="199" t="s">
        <v>1161</v>
      </c>
      <c r="C206" s="199" t="s">
        <v>309</v>
      </c>
      <c r="D206" s="199" t="str" cm="1">
        <f t="array" ref="D20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06" s="147" t="s">
        <v>1090</v>
      </c>
      <c r="F206" s="147" t="s">
        <v>120</v>
      </c>
      <c r="G206" s="147">
        <v>2</v>
      </c>
      <c r="H206" s="147">
        <v>0</v>
      </c>
      <c r="I206" s="214">
        <f>1.07*1.07*1.065*1.1016*1461.74</f>
        <v>1963.4110092077037</v>
      </c>
      <c r="J206" s="249">
        <f>VLOOKUP(tabPostos[[#This Row],[CCT DA CATEGORIA]],'RELAÇÃO SINDICATOS'!A:N,11,0)</f>
        <v>45658</v>
      </c>
      <c r="K206" s="147" t="str">
        <f>VLOOKUP(tabPostos[[#This Row],[CCT DA CATEGORIA]],'RELAÇÃO SINDICATOS'!A:N,12,0)</f>
        <v>-</v>
      </c>
      <c r="L206" s="147" t="str">
        <f>VLOOKUP(tabPostos[[#This Row],[CCT DA CATEGORIA]],'RELAÇÃO SINDICATOS'!A:N,13,0)</f>
        <v>-</v>
      </c>
      <c r="M206" s="147" t="str">
        <f>VLOOKUP(tabPostos[[#This Row],[CCT DA CATEGORIA]],'RELAÇÃO SINDICATOS'!A:N,14,0)</f>
        <v>MG000256/2025</v>
      </c>
    </row>
    <row r="207" spans="1:13">
      <c r="A207" s="147" t="str" cm="1">
        <f t="array" ref="A20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1.394.43</v>
      </c>
      <c r="B207" s="199" t="s">
        <v>1162</v>
      </c>
      <c r="C207" s="199" t="s">
        <v>314</v>
      </c>
      <c r="D207" s="199" t="str" cm="1">
        <f t="array" ref="D20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207" s="147" t="s">
        <v>1090</v>
      </c>
      <c r="F207" s="147" t="s">
        <v>120</v>
      </c>
      <c r="G207" s="147">
        <v>1</v>
      </c>
      <c r="H207" s="147">
        <v>0</v>
      </c>
      <c r="I207" s="214">
        <f>1.07*1.07*1.065*1.1016*1461.74</f>
        <v>1963.4110092077037</v>
      </c>
      <c r="J207" s="249">
        <f>VLOOKUP(tabPostos[[#This Row],[CCT DA CATEGORIA]],'RELAÇÃO SINDICATOS'!A:N,11,0)</f>
        <v>45658</v>
      </c>
      <c r="K207" s="147" t="str">
        <f>VLOOKUP(tabPostos[[#This Row],[CCT DA CATEGORIA]],'RELAÇÃO SINDICATOS'!A:N,12,0)</f>
        <v>-</v>
      </c>
      <c r="L207" s="147" t="str">
        <f>VLOOKUP(tabPostos[[#This Row],[CCT DA CATEGORIA]],'RELAÇÃO SINDICATOS'!A:N,13,0)</f>
        <v>-</v>
      </c>
      <c r="M207" s="147" t="str">
        <f>VLOOKUP(tabPostos[[#This Row],[CCT DA CATEGORIA]],'RELAÇÃO SINDICATOS'!A:N,14,0)</f>
        <v>MG000506/2025</v>
      </c>
    </row>
    <row r="208" spans="1:13">
      <c r="A208" s="147" t="str" cm="1">
        <f t="array" ref="A20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1.394.45</v>
      </c>
      <c r="B208" s="199" t="s">
        <v>1162</v>
      </c>
      <c r="C208" s="199" t="s">
        <v>324</v>
      </c>
      <c r="D208" s="199" t="str" cm="1">
        <f t="array" ref="D20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208" s="147" t="s">
        <v>1090</v>
      </c>
      <c r="F208" s="147" t="s">
        <v>120</v>
      </c>
      <c r="G208" s="147">
        <v>1</v>
      </c>
      <c r="H208" s="147">
        <v>0</v>
      </c>
      <c r="I208" s="214">
        <f>1.07*1.07*1.065*1.1016*2529.13</f>
        <v>3397.1306016921476</v>
      </c>
      <c r="J208" s="249">
        <f>VLOOKUP(tabPostos[[#This Row],[CCT DA CATEGORIA]],'RELAÇÃO SINDICATOS'!A:N,11,0)</f>
        <v>45658</v>
      </c>
      <c r="K208" s="147" t="str">
        <f>VLOOKUP(tabPostos[[#This Row],[CCT DA CATEGORIA]],'RELAÇÃO SINDICATOS'!A:N,12,0)</f>
        <v>-</v>
      </c>
      <c r="L208" s="147" t="str">
        <f>VLOOKUP(tabPostos[[#This Row],[CCT DA CATEGORIA]],'RELAÇÃO SINDICATOS'!A:N,13,0)</f>
        <v>-</v>
      </c>
      <c r="M208" s="147" t="str">
        <f>VLOOKUP(tabPostos[[#This Row],[CCT DA CATEGORIA]],'RELAÇÃO SINDICATOS'!A:N,14,0)</f>
        <v>MG000506/2025</v>
      </c>
    </row>
    <row r="209" spans="1:13">
      <c r="A209" s="147" t="str" cm="1">
        <f t="array" ref="A20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1.395.13</v>
      </c>
      <c r="B209" s="199" t="s">
        <v>1163</v>
      </c>
      <c r="C209" s="199" t="s">
        <v>200</v>
      </c>
      <c r="D209" s="199" t="str" cm="1">
        <f t="array" ref="D20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09" s="147" t="s">
        <v>1090</v>
      </c>
      <c r="F209" s="147" t="s">
        <v>120</v>
      </c>
      <c r="G209" s="147">
        <v>1</v>
      </c>
      <c r="H209" s="147">
        <v>0</v>
      </c>
      <c r="I209" s="214">
        <f>1.07*1.07*1.065*1.1016*1188.41</f>
        <v>1596.273808921236</v>
      </c>
      <c r="J209" s="249">
        <f>VLOOKUP(tabPostos[[#This Row],[CCT DA CATEGORIA]],'RELAÇÃO SINDICATOS'!A:N,11,0)</f>
        <v>45658</v>
      </c>
      <c r="K209" s="147" t="str">
        <f>VLOOKUP(tabPostos[[#This Row],[CCT DA CATEGORIA]],'RELAÇÃO SINDICATOS'!A:N,12,0)</f>
        <v>-</v>
      </c>
      <c r="L209" s="147" t="str">
        <f>VLOOKUP(tabPostos[[#This Row],[CCT DA CATEGORIA]],'RELAÇÃO SINDICATOS'!A:N,13,0)</f>
        <v>-</v>
      </c>
      <c r="M209" s="147" t="str">
        <f>VLOOKUP(tabPostos[[#This Row],[CCT DA CATEGORIA]],'RELAÇÃO SINDICATOS'!A:N,14,0)</f>
        <v>MG000212/2025</v>
      </c>
    </row>
    <row r="210" spans="1:13">
      <c r="A210" s="147" t="str" cm="1">
        <f t="array" ref="A21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1.395.45</v>
      </c>
      <c r="B210" s="199" t="s">
        <v>1163</v>
      </c>
      <c r="C210" s="199" t="s">
        <v>324</v>
      </c>
      <c r="D210" s="199" t="str" cm="1">
        <f t="array" ref="D21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10" s="147" t="s">
        <v>1090</v>
      </c>
      <c r="F210" s="147" t="s">
        <v>120</v>
      </c>
      <c r="G210" s="147">
        <v>1</v>
      </c>
      <c r="H210" s="147">
        <v>0</v>
      </c>
      <c r="I210" s="214">
        <f>1.07*1.07*1.065*1.1016*2529.13</f>
        <v>3397.1306016921476</v>
      </c>
      <c r="J210" s="249">
        <f>VLOOKUP(tabPostos[[#This Row],[CCT DA CATEGORIA]],'RELAÇÃO SINDICATOS'!A:N,11,0)</f>
        <v>45658</v>
      </c>
      <c r="K210" s="147" t="str">
        <f>VLOOKUP(tabPostos[[#This Row],[CCT DA CATEGORIA]],'RELAÇÃO SINDICATOS'!A:N,12,0)</f>
        <v>-</v>
      </c>
      <c r="L210" s="147" t="str">
        <f>VLOOKUP(tabPostos[[#This Row],[CCT DA CATEGORIA]],'RELAÇÃO SINDICATOS'!A:N,13,0)</f>
        <v>-</v>
      </c>
      <c r="M210" s="147" t="str">
        <f>VLOOKUP(tabPostos[[#This Row],[CCT DA CATEGORIA]],'RELAÇÃO SINDICATOS'!A:N,14,0)</f>
        <v>MG000212/2025</v>
      </c>
    </row>
    <row r="211" spans="1:13">
      <c r="A211" s="147" t="str" cm="1">
        <f t="array" ref="A21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1.396.13</v>
      </c>
      <c r="B211" s="199" t="s">
        <v>1164</v>
      </c>
      <c r="C211" s="199" t="s">
        <v>200</v>
      </c>
      <c r="D211" s="199" t="str" cm="1">
        <f t="array" ref="D21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211" s="147" t="s">
        <v>1090</v>
      </c>
      <c r="F211" s="147" t="s">
        <v>120</v>
      </c>
      <c r="G211" s="147">
        <v>1</v>
      </c>
      <c r="H211" s="147">
        <v>0</v>
      </c>
      <c r="I211" s="214">
        <f>1.07*1.07*1.065*1.1016*1188.41</f>
        <v>1596.273808921236</v>
      </c>
      <c r="J211" s="249">
        <f>VLOOKUP(tabPostos[[#This Row],[CCT DA CATEGORIA]],'RELAÇÃO SINDICATOS'!A:N,11,0)</f>
        <v>45658</v>
      </c>
      <c r="K211" s="147" t="str">
        <f>VLOOKUP(tabPostos[[#This Row],[CCT DA CATEGORIA]],'RELAÇÃO SINDICATOS'!A:N,12,0)</f>
        <v>-</v>
      </c>
      <c r="L211" s="147" t="str">
        <f>VLOOKUP(tabPostos[[#This Row],[CCT DA CATEGORIA]],'RELAÇÃO SINDICATOS'!A:N,13,0)</f>
        <v>-</v>
      </c>
      <c r="M211" s="147" t="str">
        <f>VLOOKUP(tabPostos[[#This Row],[CCT DA CATEGORIA]],'RELAÇÃO SINDICATOS'!A:N,14,0)</f>
        <v>MG004482/2024</v>
      </c>
    </row>
    <row r="212" spans="1:13">
      <c r="A212" s="147" t="str" cm="1">
        <f t="array" ref="A21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1.400.45</v>
      </c>
      <c r="B212" s="199" t="s">
        <v>1165</v>
      </c>
      <c r="C212" s="199" t="s">
        <v>324</v>
      </c>
      <c r="D212" s="199" t="str" cm="1">
        <f t="array" ref="D21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12" s="147" t="s">
        <v>1090</v>
      </c>
      <c r="F212" s="147" t="s">
        <v>120</v>
      </c>
      <c r="G212" s="147">
        <v>1</v>
      </c>
      <c r="H212" s="147">
        <v>0</v>
      </c>
      <c r="I212" s="214">
        <f>1.07*1.07*1.065*1.1016*2529.13</f>
        <v>3397.1306016921476</v>
      </c>
      <c r="J212" s="249">
        <f>VLOOKUP(tabPostos[[#This Row],[CCT DA CATEGORIA]],'RELAÇÃO SINDICATOS'!A:N,11,0)</f>
        <v>45658</v>
      </c>
      <c r="K212" s="147" t="str">
        <f>VLOOKUP(tabPostos[[#This Row],[CCT DA CATEGORIA]],'RELAÇÃO SINDICATOS'!A:N,12,0)</f>
        <v>-</v>
      </c>
      <c r="L212" s="147" t="str">
        <f>VLOOKUP(tabPostos[[#This Row],[CCT DA CATEGORIA]],'RELAÇÃO SINDICATOS'!A:N,13,0)</f>
        <v>-</v>
      </c>
      <c r="M212" s="147" t="str">
        <f>VLOOKUP(tabPostos[[#This Row],[CCT DA CATEGORIA]],'RELAÇÃO SINDICATOS'!A:N,14,0)</f>
        <v>MG000212/2025</v>
      </c>
    </row>
    <row r="213" spans="1:13">
      <c r="A213" s="147" t="str" cm="1">
        <f t="array" ref="A21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1.411.44</v>
      </c>
      <c r="B213" s="199" t="s">
        <v>1166</v>
      </c>
      <c r="C213" s="199" t="s">
        <v>319</v>
      </c>
      <c r="D213" s="199" t="str" cm="1">
        <f t="array" ref="D21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13" s="147" t="s">
        <v>1090</v>
      </c>
      <c r="F213" s="147" t="s">
        <v>120</v>
      </c>
      <c r="G213" s="147">
        <v>1</v>
      </c>
      <c r="H213" s="147">
        <v>0</v>
      </c>
      <c r="I213" s="214">
        <f>1.07*1.07*1.065*1.1016*1724.41</f>
        <v>2316.2296840668359</v>
      </c>
      <c r="J213" s="249">
        <f>VLOOKUP(tabPostos[[#This Row],[CCT DA CATEGORIA]],'RELAÇÃO SINDICATOS'!A:N,11,0)</f>
        <v>45658</v>
      </c>
      <c r="K213" s="147" t="str">
        <f>VLOOKUP(tabPostos[[#This Row],[CCT DA CATEGORIA]],'RELAÇÃO SINDICATOS'!A:N,12,0)</f>
        <v>-</v>
      </c>
      <c r="L213" s="147" t="str">
        <f>VLOOKUP(tabPostos[[#This Row],[CCT DA CATEGORIA]],'RELAÇÃO SINDICATOS'!A:N,13,0)</f>
        <v>-</v>
      </c>
      <c r="M213" s="147" t="str">
        <f>VLOOKUP(tabPostos[[#This Row],[CCT DA CATEGORIA]],'RELAÇÃO SINDICATOS'!A:N,14,0)</f>
        <v>MG000016/2025</v>
      </c>
    </row>
    <row r="214" spans="1:13">
      <c r="A214" s="147" t="str" cm="1">
        <f t="array" ref="A21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1.422.43</v>
      </c>
      <c r="B214" s="199" t="s">
        <v>1167</v>
      </c>
      <c r="C214" s="199" t="s">
        <v>314</v>
      </c>
      <c r="D214" s="199" t="str" cm="1">
        <f t="array" ref="D21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214" s="147" t="s">
        <v>1090</v>
      </c>
      <c r="F214" s="147" t="s">
        <v>120</v>
      </c>
      <c r="G214" s="147">
        <v>1</v>
      </c>
      <c r="H214" s="147">
        <v>0</v>
      </c>
      <c r="I214" s="214">
        <f>1.07*1.07*1.065*1.1016*1461.74</f>
        <v>1963.4110092077037</v>
      </c>
      <c r="J214" s="249">
        <f>VLOOKUP(tabPostos[[#This Row],[CCT DA CATEGORIA]],'RELAÇÃO SINDICATOS'!A:N,11,0)</f>
        <v>45658</v>
      </c>
      <c r="K214" s="147" t="str">
        <f>VLOOKUP(tabPostos[[#This Row],[CCT DA CATEGORIA]],'RELAÇÃO SINDICATOS'!A:N,12,0)</f>
        <v>-</v>
      </c>
      <c r="L214" s="147" t="str">
        <f>VLOOKUP(tabPostos[[#This Row],[CCT DA CATEGORIA]],'RELAÇÃO SINDICATOS'!A:N,13,0)</f>
        <v>-</v>
      </c>
      <c r="M214" s="147" t="str">
        <f>VLOOKUP(tabPostos[[#This Row],[CCT DA CATEGORIA]],'RELAÇÃO SINDICATOS'!A:N,14,0)</f>
        <v>MG000506/2025</v>
      </c>
    </row>
    <row r="215" spans="1:13">
      <c r="A215" s="147" t="str" cm="1">
        <f t="array" ref="A21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1.429.43</v>
      </c>
      <c r="B215" s="199" t="s">
        <v>1168</v>
      </c>
      <c r="C215" s="199" t="s">
        <v>314</v>
      </c>
      <c r="D215" s="199" t="str" cm="1">
        <f t="array" ref="D21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15" s="147" t="s">
        <v>1090</v>
      </c>
      <c r="F215" s="147" t="s">
        <v>120</v>
      </c>
      <c r="G215" s="147">
        <v>1</v>
      </c>
      <c r="H215" s="147">
        <v>0</v>
      </c>
      <c r="I215" s="214">
        <f>1.07*1.07*1.065*1.1016*1461.74</f>
        <v>1963.4110092077037</v>
      </c>
      <c r="J215" s="249">
        <f>VLOOKUP(tabPostos[[#This Row],[CCT DA CATEGORIA]],'RELAÇÃO SINDICATOS'!A:N,11,0)</f>
        <v>45658</v>
      </c>
      <c r="K215" s="147" t="str">
        <f>VLOOKUP(tabPostos[[#This Row],[CCT DA CATEGORIA]],'RELAÇÃO SINDICATOS'!A:N,12,0)</f>
        <v>-</v>
      </c>
      <c r="L215" s="147" t="str">
        <f>VLOOKUP(tabPostos[[#This Row],[CCT DA CATEGORIA]],'RELAÇÃO SINDICATOS'!A:N,13,0)</f>
        <v>-</v>
      </c>
      <c r="M215" s="147" t="str">
        <f>VLOOKUP(tabPostos[[#This Row],[CCT DA CATEGORIA]],'RELAÇÃO SINDICATOS'!A:N,14,0)</f>
        <v>MG000256/2025</v>
      </c>
    </row>
    <row r="216" spans="1:13">
      <c r="A216" s="147" t="str" cm="1">
        <f t="array" ref="A21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1.433.06</v>
      </c>
      <c r="B216" s="199" t="s">
        <v>939</v>
      </c>
      <c r="C216" s="199" t="s">
        <v>165</v>
      </c>
      <c r="D216" s="199" t="str" cm="1">
        <f t="array" ref="D21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Montes Claros</v>
      </c>
      <c r="E216" s="147" t="s">
        <v>1090</v>
      </c>
      <c r="F216" s="147" t="s">
        <v>120</v>
      </c>
      <c r="G216" s="147">
        <v>1</v>
      </c>
      <c r="H216" s="147">
        <v>0</v>
      </c>
      <c r="I216" s="214">
        <f>1.07*1.07*1.065*1.1016*1819.18</f>
        <v>2443.5248674391278</v>
      </c>
      <c r="J216" s="249">
        <f>VLOOKUP(tabPostos[[#This Row],[CCT DA CATEGORIA]],'RELAÇÃO SINDICATOS'!A:N,11,0)</f>
        <v>45658</v>
      </c>
      <c r="K216" s="147" t="str">
        <f>VLOOKUP(tabPostos[[#This Row],[CCT DA CATEGORIA]],'RELAÇÃO SINDICATOS'!A:N,12,0)</f>
        <v>-</v>
      </c>
      <c r="L216" s="147" t="str">
        <f>VLOOKUP(tabPostos[[#This Row],[CCT DA CATEGORIA]],'RELAÇÃO SINDICATOS'!A:N,13,0)</f>
        <v>-</v>
      </c>
      <c r="M216" s="147" t="str">
        <f>VLOOKUP(tabPostos[[#This Row],[CCT DA CATEGORIA]],'RELAÇÃO SINDICATOS'!A:N,14,0)</f>
        <v>MG000255/2025</v>
      </c>
    </row>
    <row r="217" spans="1:13">
      <c r="A217" s="147" t="str" cm="1">
        <f t="array" ref="A21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1.433.13</v>
      </c>
      <c r="B217" s="199" t="s">
        <v>939</v>
      </c>
      <c r="C217" s="199" t="s">
        <v>200</v>
      </c>
      <c r="D217" s="199" t="str" cm="1">
        <f t="array" ref="D21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Montes Claros</v>
      </c>
      <c r="E217" s="147" t="s">
        <v>1090</v>
      </c>
      <c r="F217" s="147" t="s">
        <v>120</v>
      </c>
      <c r="G217" s="147">
        <v>4</v>
      </c>
      <c r="H217" s="147">
        <v>0</v>
      </c>
      <c r="I217" s="214">
        <f>1.07*1.07*1.065*1.1016*1227.75</f>
        <v>1649.1153464738998</v>
      </c>
      <c r="J217" s="249">
        <f>VLOOKUP(tabPostos[[#This Row],[CCT DA CATEGORIA]],'RELAÇÃO SINDICATOS'!A:N,11,0)</f>
        <v>45658</v>
      </c>
      <c r="K217" s="147" t="str">
        <f>VLOOKUP(tabPostos[[#This Row],[CCT DA CATEGORIA]],'RELAÇÃO SINDICATOS'!A:N,12,0)</f>
        <v>-</v>
      </c>
      <c r="L217" s="147" t="str">
        <f>VLOOKUP(tabPostos[[#This Row],[CCT DA CATEGORIA]],'RELAÇÃO SINDICATOS'!A:N,13,0)</f>
        <v>-</v>
      </c>
      <c r="M217" s="147" t="str">
        <f>VLOOKUP(tabPostos[[#This Row],[CCT DA CATEGORIA]],'RELAÇÃO SINDICATOS'!A:N,14,0)</f>
        <v>MG000255/2025</v>
      </c>
    </row>
    <row r="218" spans="1:13">
      <c r="A218" s="147" t="str" cm="1">
        <f t="array" ref="A21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1.433.28</v>
      </c>
      <c r="B218" s="199" t="s">
        <v>939</v>
      </c>
      <c r="C218" s="199" t="s">
        <v>244</v>
      </c>
      <c r="D218" s="199" t="str" cm="1">
        <f t="array" ref="D21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Montes Claros</v>
      </c>
      <c r="E218" s="147" t="s">
        <v>1090</v>
      </c>
      <c r="F218" s="147" t="s">
        <v>120</v>
      </c>
      <c r="G218" s="147">
        <v>1</v>
      </c>
      <c r="H218" s="147">
        <v>0</v>
      </c>
      <c r="I218" s="214">
        <f>1.07*1.07*1.065*1.1016*1709.48</f>
        <v>2296.1756892610078</v>
      </c>
      <c r="J218" s="249">
        <f>VLOOKUP(tabPostos[[#This Row],[CCT DA CATEGORIA]],'RELAÇÃO SINDICATOS'!A:N,11,0)</f>
        <v>45658</v>
      </c>
      <c r="K218" s="147" t="str">
        <f>VLOOKUP(tabPostos[[#This Row],[CCT DA CATEGORIA]],'RELAÇÃO SINDICATOS'!A:N,12,0)</f>
        <v>-</v>
      </c>
      <c r="L218" s="147" t="str">
        <f>VLOOKUP(tabPostos[[#This Row],[CCT DA CATEGORIA]],'RELAÇÃO SINDICATOS'!A:N,13,0)</f>
        <v>-</v>
      </c>
      <c r="M218" s="147" t="str">
        <f>VLOOKUP(tabPostos[[#This Row],[CCT DA CATEGORIA]],'RELAÇÃO SINDICATOS'!A:N,14,0)</f>
        <v>MG000255/2025</v>
      </c>
    </row>
    <row r="219" spans="1:13">
      <c r="A219" s="147" t="str" cm="1">
        <f t="array" ref="A21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1.433.35</v>
      </c>
      <c r="B219" s="199" t="s">
        <v>939</v>
      </c>
      <c r="C219" s="199" t="s">
        <v>274</v>
      </c>
      <c r="D219" s="199" t="str" cm="1">
        <f t="array" ref="D21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Montes Claros + SEAC-MG</v>
      </c>
      <c r="E219" s="147" t="s">
        <v>1090</v>
      </c>
      <c r="F219" s="147" t="s">
        <v>120</v>
      </c>
      <c r="G219" s="147">
        <v>4</v>
      </c>
      <c r="H219" s="147">
        <v>0</v>
      </c>
      <c r="I219" s="214">
        <f>1.07*1.065*1.1016*1.0435*3313.92</f>
        <v>4341.0199946317061</v>
      </c>
      <c r="J219" s="249">
        <f>VLOOKUP(tabPostos[[#This Row],[CCT DA CATEGORIA]],'RELAÇÃO SINDICATOS'!A:N,11,0)</f>
        <v>45658</v>
      </c>
      <c r="K219" s="147" t="str">
        <f>VLOOKUP(tabPostos[[#This Row],[CCT DA CATEGORIA]],'RELAÇÃO SINDICATOS'!A:N,12,0)</f>
        <v>-</v>
      </c>
      <c r="L219" s="147" t="str">
        <f>VLOOKUP(tabPostos[[#This Row],[CCT DA CATEGORIA]],'RELAÇÃO SINDICATOS'!A:N,13,0)</f>
        <v>-</v>
      </c>
      <c r="M219" s="147" t="str">
        <f>VLOOKUP(tabPostos[[#This Row],[CCT DA CATEGORIA]],'RELAÇÃO SINDICATOS'!A:N,14,0)</f>
        <v>MG001762/2025</v>
      </c>
    </row>
    <row r="220" spans="1:13">
      <c r="A220" s="147" t="str" cm="1">
        <f t="array" ref="A22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1.433.41</v>
      </c>
      <c r="B220" s="199" t="s">
        <v>939</v>
      </c>
      <c r="C220" s="199" t="s">
        <v>304</v>
      </c>
      <c r="D220" s="199" t="str" cm="1">
        <f t="array" ref="D22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Montes Claros</v>
      </c>
      <c r="E220" s="147" t="s">
        <v>1090</v>
      </c>
      <c r="F220" s="147" t="s">
        <v>120</v>
      </c>
      <c r="G220" s="147">
        <v>2</v>
      </c>
      <c r="H220" s="147">
        <v>0</v>
      </c>
      <c r="I220" s="214">
        <f>1.07*1.07*1.065*1.1016*1589.34</f>
        <v>2134.8034899326635</v>
      </c>
      <c r="J220" s="249">
        <f>VLOOKUP(tabPostos[[#This Row],[CCT DA CATEGORIA]],'RELAÇÃO SINDICATOS'!A:N,11,0)</f>
        <v>45658</v>
      </c>
      <c r="K220" s="147" t="str">
        <f>VLOOKUP(tabPostos[[#This Row],[CCT DA CATEGORIA]],'RELAÇÃO SINDICATOS'!A:N,12,0)</f>
        <v>-</v>
      </c>
      <c r="L220" s="147" t="str">
        <f>VLOOKUP(tabPostos[[#This Row],[CCT DA CATEGORIA]],'RELAÇÃO SINDICATOS'!A:N,13,0)</f>
        <v>-</v>
      </c>
      <c r="M220" s="147" t="str">
        <f>VLOOKUP(tabPostos[[#This Row],[CCT DA CATEGORIA]],'RELAÇÃO SINDICATOS'!A:N,14,0)</f>
        <v>MG000255/2025</v>
      </c>
    </row>
    <row r="221" spans="1:13">
      <c r="A221" s="147" t="str" cm="1">
        <f t="array" ref="A22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1.433.42</v>
      </c>
      <c r="B221" s="199" t="s">
        <v>939</v>
      </c>
      <c r="C221" s="199" t="s">
        <v>309</v>
      </c>
      <c r="D221" s="199" t="str" cm="1">
        <f t="array" ref="D22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Montes Claros</v>
      </c>
      <c r="E221" s="147" t="s">
        <v>1090</v>
      </c>
      <c r="F221" s="147" t="s">
        <v>120</v>
      </c>
      <c r="G221" s="147">
        <v>2</v>
      </c>
      <c r="H221" s="147">
        <v>0</v>
      </c>
      <c r="I221" s="214">
        <f>1.07*1.07*1.065*1.1016*1589.34</f>
        <v>2134.8034899326635</v>
      </c>
      <c r="J221" s="249">
        <f>VLOOKUP(tabPostos[[#This Row],[CCT DA CATEGORIA]],'RELAÇÃO SINDICATOS'!A:N,11,0)</f>
        <v>45658</v>
      </c>
      <c r="K221" s="147" t="str">
        <f>VLOOKUP(tabPostos[[#This Row],[CCT DA CATEGORIA]],'RELAÇÃO SINDICATOS'!A:N,12,0)</f>
        <v>-</v>
      </c>
      <c r="L221" s="147" t="str">
        <f>VLOOKUP(tabPostos[[#This Row],[CCT DA CATEGORIA]],'RELAÇÃO SINDICATOS'!A:N,13,0)</f>
        <v>-</v>
      </c>
      <c r="M221" s="147" t="str">
        <f>VLOOKUP(tabPostos[[#This Row],[CCT DA CATEGORIA]],'RELAÇÃO SINDICATOS'!A:N,14,0)</f>
        <v>MG000255/2025</v>
      </c>
    </row>
    <row r="222" spans="1:13">
      <c r="A222" s="147" t="str" cm="1">
        <f t="array" ref="A22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1.433.45</v>
      </c>
      <c r="B222" s="199" t="s">
        <v>939</v>
      </c>
      <c r="C222" s="199" t="s">
        <v>324</v>
      </c>
      <c r="D222" s="199" t="str" cm="1">
        <f t="array" ref="D22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Montes Claros</v>
      </c>
      <c r="E222" s="147" t="s">
        <v>1090</v>
      </c>
      <c r="F222" s="147" t="s">
        <v>120</v>
      </c>
      <c r="G222" s="147">
        <v>1</v>
      </c>
      <c r="H222" s="147">
        <v>0</v>
      </c>
      <c r="I222" s="214">
        <f>1.07*1.07*1.065*1.1016*2529.13</f>
        <v>3397.1306016921476</v>
      </c>
      <c r="J222" s="249">
        <f>VLOOKUP(tabPostos[[#This Row],[CCT DA CATEGORIA]],'RELAÇÃO SINDICATOS'!A:N,11,0)</f>
        <v>45658</v>
      </c>
      <c r="K222" s="147" t="str">
        <f>VLOOKUP(tabPostos[[#This Row],[CCT DA CATEGORIA]],'RELAÇÃO SINDICATOS'!A:N,12,0)</f>
        <v>-</v>
      </c>
      <c r="L222" s="147" t="str">
        <f>VLOOKUP(tabPostos[[#This Row],[CCT DA CATEGORIA]],'RELAÇÃO SINDICATOS'!A:N,13,0)</f>
        <v>-</v>
      </c>
      <c r="M222" s="147" t="str">
        <f>VLOOKUP(tabPostos[[#This Row],[CCT DA CATEGORIA]],'RELAÇÃO SINDICATOS'!A:N,14,0)</f>
        <v>MG000255/2025</v>
      </c>
    </row>
    <row r="223" spans="1:13">
      <c r="A223" s="147" t="str" cm="1">
        <f t="array" ref="A22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1.439.13</v>
      </c>
      <c r="B223" s="199" t="s">
        <v>1169</v>
      </c>
      <c r="C223" s="199" t="s">
        <v>200</v>
      </c>
      <c r="D223" s="199" t="str" cm="1">
        <f t="array" ref="D22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223" s="147" t="s">
        <v>1090</v>
      </c>
      <c r="F223" s="147" t="s">
        <v>120</v>
      </c>
      <c r="G223" s="147">
        <v>2</v>
      </c>
      <c r="H223" s="147">
        <v>0</v>
      </c>
      <c r="I223" s="214">
        <f>1.07*1.07*1.065*1.1016*1188.41</f>
        <v>1596.273808921236</v>
      </c>
      <c r="J223" s="249">
        <f>VLOOKUP(tabPostos[[#This Row],[CCT DA CATEGORIA]],'RELAÇÃO SINDICATOS'!A:N,11,0)</f>
        <v>45658</v>
      </c>
      <c r="K223" s="147" t="str">
        <f>VLOOKUP(tabPostos[[#This Row],[CCT DA CATEGORIA]],'RELAÇÃO SINDICATOS'!A:N,12,0)</f>
        <v>-</v>
      </c>
      <c r="L223" s="147" t="str">
        <f>VLOOKUP(tabPostos[[#This Row],[CCT DA CATEGORIA]],'RELAÇÃO SINDICATOS'!A:N,13,0)</f>
        <v>-</v>
      </c>
      <c r="M223" s="147" t="str">
        <f>VLOOKUP(tabPostos[[#This Row],[CCT DA CATEGORIA]],'RELAÇÃO SINDICATOS'!A:N,14,0)</f>
        <v>MG000299/2025</v>
      </c>
    </row>
    <row r="224" spans="1:13">
      <c r="A224" s="147" t="str" cm="1">
        <f t="array" ref="A22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1.439.45</v>
      </c>
      <c r="B224" s="199" t="s">
        <v>1169</v>
      </c>
      <c r="C224" s="199" t="s">
        <v>324</v>
      </c>
      <c r="D224" s="199" t="str" cm="1">
        <f t="array" ref="D22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224" s="147" t="s">
        <v>1090</v>
      </c>
      <c r="F224" s="147" t="s">
        <v>120</v>
      </c>
      <c r="G224" s="147">
        <v>1</v>
      </c>
      <c r="H224" s="147">
        <v>0</v>
      </c>
      <c r="I224" s="214">
        <f>1.07*1.07*1.065*1.1016*2529.13</f>
        <v>3397.1306016921476</v>
      </c>
      <c r="J224" s="249">
        <f>VLOOKUP(tabPostos[[#This Row],[CCT DA CATEGORIA]],'RELAÇÃO SINDICATOS'!A:N,11,0)</f>
        <v>45658</v>
      </c>
      <c r="K224" s="147" t="str">
        <f>VLOOKUP(tabPostos[[#This Row],[CCT DA CATEGORIA]],'RELAÇÃO SINDICATOS'!A:N,12,0)</f>
        <v>-</v>
      </c>
      <c r="L224" s="147" t="str">
        <f>VLOOKUP(tabPostos[[#This Row],[CCT DA CATEGORIA]],'RELAÇÃO SINDICATOS'!A:N,13,0)</f>
        <v>-</v>
      </c>
      <c r="M224" s="147" t="str">
        <f>VLOOKUP(tabPostos[[#This Row],[CCT DA CATEGORIA]],'RELAÇÃO SINDICATOS'!A:N,14,0)</f>
        <v>MG000299/2025</v>
      </c>
    </row>
    <row r="225" spans="1:13">
      <c r="A225" s="147" t="str" cm="1">
        <f t="array" ref="A22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1.440.44</v>
      </c>
      <c r="B225" s="199" t="s">
        <v>1170</v>
      </c>
      <c r="C225" s="199" t="s">
        <v>319</v>
      </c>
      <c r="D225" s="199" t="str" cm="1">
        <f t="array" ref="D22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225" s="147" t="s">
        <v>1090</v>
      </c>
      <c r="F225" s="147" t="s">
        <v>120</v>
      </c>
      <c r="G225" s="147">
        <v>1</v>
      </c>
      <c r="H225" s="147">
        <v>0</v>
      </c>
      <c r="I225" s="214">
        <f>1.07*1.07*1.065*1.1016*1724.41</f>
        <v>2316.2296840668359</v>
      </c>
      <c r="J225" s="249">
        <f>VLOOKUP(tabPostos[[#This Row],[CCT DA CATEGORIA]],'RELAÇÃO SINDICATOS'!A:N,11,0)</f>
        <v>45658</v>
      </c>
      <c r="K225" s="147" t="str">
        <f>VLOOKUP(tabPostos[[#This Row],[CCT DA CATEGORIA]],'RELAÇÃO SINDICATOS'!A:N,12,0)</f>
        <v>-</v>
      </c>
      <c r="L225" s="147" t="str">
        <f>VLOOKUP(tabPostos[[#This Row],[CCT DA CATEGORIA]],'RELAÇÃO SINDICATOS'!A:N,13,0)</f>
        <v>-</v>
      </c>
      <c r="M225" s="147" t="str">
        <f>VLOOKUP(tabPostos[[#This Row],[CCT DA CATEGORIA]],'RELAÇÃO SINDICATOS'!A:N,14,0)</f>
        <v>MG004482/2024</v>
      </c>
    </row>
    <row r="226" spans="1:13">
      <c r="A226" s="147" t="str" cm="1">
        <f t="array" ref="A22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1.441.43</v>
      </c>
      <c r="B226" s="199" t="s">
        <v>1171</v>
      </c>
      <c r="C226" s="199" t="s">
        <v>314</v>
      </c>
      <c r="D226" s="199" t="str" cm="1">
        <f t="array" ref="D22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226" s="147" t="s">
        <v>1090</v>
      </c>
      <c r="F226" s="147" t="s">
        <v>120</v>
      </c>
      <c r="G226" s="147">
        <v>1</v>
      </c>
      <c r="H226" s="147">
        <v>0</v>
      </c>
      <c r="I226" s="214">
        <f>1.07*1.07*1.065*1.1016*1461.74</f>
        <v>1963.4110092077037</v>
      </c>
      <c r="J226" s="249">
        <f>VLOOKUP(tabPostos[[#This Row],[CCT DA CATEGORIA]],'RELAÇÃO SINDICATOS'!A:N,11,0)</f>
        <v>45658</v>
      </c>
      <c r="K226" s="147" t="str">
        <f>VLOOKUP(tabPostos[[#This Row],[CCT DA CATEGORIA]],'RELAÇÃO SINDICATOS'!A:N,12,0)</f>
        <v>-</v>
      </c>
      <c r="L226" s="147" t="str">
        <f>VLOOKUP(tabPostos[[#This Row],[CCT DA CATEGORIA]],'RELAÇÃO SINDICATOS'!A:N,13,0)</f>
        <v>-</v>
      </c>
      <c r="M226" s="147" t="str">
        <f>VLOOKUP(tabPostos[[#This Row],[CCT DA CATEGORIA]],'RELAÇÃO SINDICATOS'!A:N,14,0)</f>
        <v>MG004482/2024</v>
      </c>
    </row>
    <row r="227" spans="1:13">
      <c r="A227" s="147" t="str" cm="1">
        <f t="array" ref="A22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1.188.35</v>
      </c>
      <c r="B227" s="199" t="s">
        <v>1172</v>
      </c>
      <c r="C227" s="199" t="s">
        <v>274</v>
      </c>
      <c r="D227" s="199" t="str" cm="1">
        <f t="array" ref="D22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Belo Horizonte + SEAC-MG</v>
      </c>
      <c r="E227" s="147" t="s">
        <v>1090</v>
      </c>
      <c r="F227" s="147" t="s">
        <v>120</v>
      </c>
      <c r="G227" s="147">
        <v>1</v>
      </c>
      <c r="H227" s="147">
        <v>0</v>
      </c>
      <c r="I227" s="214">
        <f>1.05*1.07*1.065*1.1016*1.0435*3313.92</f>
        <v>4558.0709943632919</v>
      </c>
      <c r="J227" s="249">
        <f>VLOOKUP(tabPostos[[#This Row],[CCT DA CATEGORIA]],'RELAÇÃO SINDICATOS'!A:N,11,0)</f>
        <v>45658</v>
      </c>
      <c r="K227" s="147" t="str">
        <f>VLOOKUP(tabPostos[[#This Row],[CCT DA CATEGORIA]],'RELAÇÃO SINDICATOS'!A:N,12,0)</f>
        <v>-</v>
      </c>
      <c r="L227" s="147" t="str">
        <f>VLOOKUP(tabPostos[[#This Row],[CCT DA CATEGORIA]],'RELAÇÃO SINDICATOS'!A:N,13,0)</f>
        <v>-</v>
      </c>
      <c r="M227" s="147" t="str">
        <f>VLOOKUP(tabPostos[[#This Row],[CCT DA CATEGORIA]],'RELAÇÃO SINDICATOS'!A:N,14,0)</f>
        <v>MG001242/2025</v>
      </c>
    </row>
    <row r="228" spans="1:13">
      <c r="A228" s="147" t="str" cm="1">
        <f t="array" ref="A22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1.188.41</v>
      </c>
      <c r="B228" s="199" t="s">
        <v>1172</v>
      </c>
      <c r="C228" s="199" t="s">
        <v>304</v>
      </c>
      <c r="D228" s="199" t="str" cm="1">
        <f t="array" ref="D22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28" s="147" t="s">
        <v>1090</v>
      </c>
      <c r="F228" s="147" t="s">
        <v>120</v>
      </c>
      <c r="G228" s="147">
        <v>2</v>
      </c>
      <c r="H228" s="147">
        <v>0</v>
      </c>
      <c r="I228" s="214">
        <f>1.07*1.07*1.065*1.1016*1589.34</f>
        <v>2134.8034899326635</v>
      </c>
      <c r="J228" s="249">
        <f>VLOOKUP(tabPostos[[#This Row],[CCT DA CATEGORIA]],'RELAÇÃO SINDICATOS'!A:N,11,0)</f>
        <v>45658</v>
      </c>
      <c r="K228" s="147" t="str">
        <f>VLOOKUP(tabPostos[[#This Row],[CCT DA CATEGORIA]],'RELAÇÃO SINDICATOS'!A:N,12,0)</f>
        <v>-</v>
      </c>
      <c r="L228" s="147" t="str">
        <f>VLOOKUP(tabPostos[[#This Row],[CCT DA CATEGORIA]],'RELAÇÃO SINDICATOS'!A:N,13,0)</f>
        <v>-</v>
      </c>
      <c r="M228" s="147" t="str">
        <f>VLOOKUP(tabPostos[[#This Row],[CCT DA CATEGORIA]],'RELAÇÃO SINDICATOS'!A:N,14,0)</f>
        <v>MG000016/2025</v>
      </c>
    </row>
    <row r="229" spans="1:13">
      <c r="A229" s="147" t="str" cm="1">
        <f t="array" ref="A22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1.188.42</v>
      </c>
      <c r="B229" s="199" t="s">
        <v>1172</v>
      </c>
      <c r="C229" s="199" t="s">
        <v>309</v>
      </c>
      <c r="D229" s="199" t="str" cm="1">
        <f t="array" ref="D22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29" s="147" t="s">
        <v>1090</v>
      </c>
      <c r="F229" s="147" t="s">
        <v>120</v>
      </c>
      <c r="G229" s="147">
        <v>2</v>
      </c>
      <c r="H229" s="147">
        <v>0</v>
      </c>
      <c r="I229" s="214">
        <f>1.07*1.07*1.065*1.1016*1589.34</f>
        <v>2134.8034899326635</v>
      </c>
      <c r="J229" s="249">
        <f>VLOOKUP(tabPostos[[#This Row],[CCT DA CATEGORIA]],'RELAÇÃO SINDICATOS'!A:N,11,0)</f>
        <v>45658</v>
      </c>
      <c r="K229" s="147" t="str">
        <f>VLOOKUP(tabPostos[[#This Row],[CCT DA CATEGORIA]],'RELAÇÃO SINDICATOS'!A:N,12,0)</f>
        <v>-</v>
      </c>
      <c r="L229" s="147" t="str">
        <f>VLOOKUP(tabPostos[[#This Row],[CCT DA CATEGORIA]],'RELAÇÃO SINDICATOS'!A:N,13,0)</f>
        <v>-</v>
      </c>
      <c r="M229" s="147" t="str">
        <f>VLOOKUP(tabPostos[[#This Row],[CCT DA CATEGORIA]],'RELAÇÃO SINDICATOS'!A:N,14,0)</f>
        <v>MG000016/2025</v>
      </c>
    </row>
    <row r="230" spans="1:13">
      <c r="A230" s="147" t="str" cm="1">
        <f t="array" ref="A23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1.188.44</v>
      </c>
      <c r="B230" s="199" t="s">
        <v>1172</v>
      </c>
      <c r="C230" s="199" t="s">
        <v>319</v>
      </c>
      <c r="D230" s="199" t="str" cm="1">
        <f t="array" ref="D23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30" s="147" t="s">
        <v>1090</v>
      </c>
      <c r="F230" s="147" t="s">
        <v>120</v>
      </c>
      <c r="G230" s="147">
        <v>1</v>
      </c>
      <c r="H230" s="147">
        <v>0</v>
      </c>
      <c r="I230" s="214">
        <f>1.07*1.07*1.065*1.1016*1724.41</f>
        <v>2316.2296840668359</v>
      </c>
      <c r="J230" s="249">
        <f>VLOOKUP(tabPostos[[#This Row],[CCT DA CATEGORIA]],'RELAÇÃO SINDICATOS'!A:N,11,0)</f>
        <v>45658</v>
      </c>
      <c r="K230" s="147" t="str">
        <f>VLOOKUP(tabPostos[[#This Row],[CCT DA CATEGORIA]],'RELAÇÃO SINDICATOS'!A:N,12,0)</f>
        <v>-</v>
      </c>
      <c r="L230" s="147" t="str">
        <f>VLOOKUP(tabPostos[[#This Row],[CCT DA CATEGORIA]],'RELAÇÃO SINDICATOS'!A:N,13,0)</f>
        <v>-</v>
      </c>
      <c r="M230" s="147" t="str">
        <f>VLOOKUP(tabPostos[[#This Row],[CCT DA CATEGORIA]],'RELAÇÃO SINDICATOS'!A:N,14,0)</f>
        <v>MG000016/2025</v>
      </c>
    </row>
    <row r="231" spans="1:13">
      <c r="A231" s="147" t="str" cm="1">
        <f t="array" ref="A23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1.450.45</v>
      </c>
      <c r="B231" s="199" t="s">
        <v>1173</v>
      </c>
      <c r="C231" s="199" t="s">
        <v>324</v>
      </c>
      <c r="D231" s="199" t="str" cm="1">
        <f t="array" ref="D23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231" s="147" t="s">
        <v>1090</v>
      </c>
      <c r="F231" s="147" t="s">
        <v>120</v>
      </c>
      <c r="G231" s="147">
        <v>1</v>
      </c>
      <c r="H231" s="147">
        <v>0</v>
      </c>
      <c r="I231" s="214">
        <f>1.07*1.07*1.065*1.1016*1.045*2420.22</f>
        <v>3397.130467372021</v>
      </c>
      <c r="J231" s="249">
        <f>VLOOKUP(tabPostos[[#This Row],[CCT DA CATEGORIA]],'RELAÇÃO SINDICATOS'!A:N,11,0)</f>
        <v>45658</v>
      </c>
      <c r="K231" s="147" t="str">
        <f>VLOOKUP(tabPostos[[#This Row],[CCT DA CATEGORIA]],'RELAÇÃO SINDICATOS'!A:N,12,0)</f>
        <v>-</v>
      </c>
      <c r="L231" s="147" t="str">
        <f>VLOOKUP(tabPostos[[#This Row],[CCT DA CATEGORIA]],'RELAÇÃO SINDICATOS'!A:N,13,0)</f>
        <v>-</v>
      </c>
      <c r="M231" s="147" t="str">
        <f>VLOOKUP(tabPostos[[#This Row],[CCT DA CATEGORIA]],'RELAÇÃO SINDICATOS'!A:N,14,0)</f>
        <v>MG001106/2025</v>
      </c>
    </row>
    <row r="232" spans="1:13">
      <c r="A232" s="147" t="str" cm="1">
        <f t="array" ref="A23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1.452.13</v>
      </c>
      <c r="B232" s="199" t="s">
        <v>1174</v>
      </c>
      <c r="C232" s="199" t="s">
        <v>200</v>
      </c>
      <c r="D232" s="199" t="str" cm="1">
        <f t="array" ref="D23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Divinopolis</v>
      </c>
      <c r="E232" s="147" t="s">
        <v>1090</v>
      </c>
      <c r="F232" s="147" t="s">
        <v>120</v>
      </c>
      <c r="G232" s="147">
        <v>1</v>
      </c>
      <c r="H232" s="147">
        <v>0</v>
      </c>
      <c r="I232" s="214">
        <f>1.07*1.07*1.065*1.1016*1188.41</f>
        <v>1596.273808921236</v>
      </c>
      <c r="J232" s="249">
        <f>VLOOKUP(tabPostos[[#This Row],[CCT DA CATEGORIA]],'RELAÇÃO SINDICATOS'!A:N,11,0)</f>
        <v>45658</v>
      </c>
      <c r="K232" s="147" t="str">
        <f>VLOOKUP(tabPostos[[#This Row],[CCT DA CATEGORIA]],'RELAÇÃO SINDICATOS'!A:N,12,0)</f>
        <v>-</v>
      </c>
      <c r="L232" s="147" t="str">
        <f>VLOOKUP(tabPostos[[#This Row],[CCT DA CATEGORIA]],'RELAÇÃO SINDICATOS'!A:N,13,0)</f>
        <v>-</v>
      </c>
      <c r="M232" s="147" t="str">
        <f>VLOOKUP(tabPostos[[#This Row],[CCT DA CATEGORIA]],'RELAÇÃO SINDICATOS'!A:N,14,0)</f>
        <v>MG001011/2025</v>
      </c>
    </row>
    <row r="233" spans="1:13">
      <c r="A233" s="147" t="str" cm="1">
        <f t="array" ref="A23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1.452.45</v>
      </c>
      <c r="B233" s="199" t="s">
        <v>1174</v>
      </c>
      <c r="C233" s="199" t="s">
        <v>324</v>
      </c>
      <c r="D233" s="199" t="str" cm="1">
        <f t="array" ref="D23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Divinopolis</v>
      </c>
      <c r="E233" s="147" t="s">
        <v>1090</v>
      </c>
      <c r="F233" s="147" t="s">
        <v>120</v>
      </c>
      <c r="G233" s="147">
        <v>1</v>
      </c>
      <c r="H233" s="147">
        <v>0</v>
      </c>
      <c r="I233" s="214">
        <f>1.07*1.07*1.065*1.1016*1.045*2420.22</f>
        <v>3397.130467372021</v>
      </c>
      <c r="J233" s="249">
        <f>VLOOKUP(tabPostos[[#This Row],[CCT DA CATEGORIA]],'RELAÇÃO SINDICATOS'!A:N,11,0)</f>
        <v>45658</v>
      </c>
      <c r="K233" s="147" t="str">
        <f>VLOOKUP(tabPostos[[#This Row],[CCT DA CATEGORIA]],'RELAÇÃO SINDICATOS'!A:N,12,0)</f>
        <v>-</v>
      </c>
      <c r="L233" s="147" t="str">
        <f>VLOOKUP(tabPostos[[#This Row],[CCT DA CATEGORIA]],'RELAÇÃO SINDICATOS'!A:N,13,0)</f>
        <v>-</v>
      </c>
      <c r="M233" s="147" t="str">
        <f>VLOOKUP(tabPostos[[#This Row],[CCT DA CATEGORIA]],'RELAÇÃO SINDICATOS'!A:N,14,0)</f>
        <v>MG001011/2025</v>
      </c>
    </row>
    <row r="234" spans="1:13">
      <c r="A234" s="147" t="str" cm="1">
        <f t="array" ref="A23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1.456.43</v>
      </c>
      <c r="B234" s="199" t="s">
        <v>1175</v>
      </c>
      <c r="C234" s="199" t="s">
        <v>314</v>
      </c>
      <c r="D234" s="199" t="str" cm="1">
        <f t="array" ref="D23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Divinopolis</v>
      </c>
      <c r="E234" s="147" t="s">
        <v>1090</v>
      </c>
      <c r="F234" s="147" t="s">
        <v>120</v>
      </c>
      <c r="G234" s="147">
        <v>1</v>
      </c>
      <c r="H234" s="147">
        <v>0</v>
      </c>
      <c r="I234" s="214">
        <f>1.07*1.07*1.065*1.1016*1.045*1398.79</f>
        <v>1963.4050319620983</v>
      </c>
      <c r="J234" s="249">
        <f>VLOOKUP(tabPostos[[#This Row],[CCT DA CATEGORIA]],'RELAÇÃO SINDICATOS'!A:N,11,0)</f>
        <v>45658</v>
      </c>
      <c r="K234" s="147" t="str">
        <f>VLOOKUP(tabPostos[[#This Row],[CCT DA CATEGORIA]],'RELAÇÃO SINDICATOS'!A:N,12,0)</f>
        <v>-</v>
      </c>
      <c r="L234" s="147" t="str">
        <f>VLOOKUP(tabPostos[[#This Row],[CCT DA CATEGORIA]],'RELAÇÃO SINDICATOS'!A:N,13,0)</f>
        <v>-</v>
      </c>
      <c r="M234" s="147" t="str">
        <f>VLOOKUP(tabPostos[[#This Row],[CCT DA CATEGORIA]],'RELAÇÃO SINDICATOS'!A:N,14,0)</f>
        <v>MG001011/2025</v>
      </c>
    </row>
    <row r="235" spans="1:13">
      <c r="A235" s="147" t="str" cm="1">
        <f t="array" ref="A23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1.456.45</v>
      </c>
      <c r="B235" s="199" t="s">
        <v>1175</v>
      </c>
      <c r="C235" s="199" t="s">
        <v>324</v>
      </c>
      <c r="D235" s="199" t="str" cm="1">
        <f t="array" ref="D23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Divinopolis</v>
      </c>
      <c r="E235" s="147" t="s">
        <v>1090</v>
      </c>
      <c r="F235" s="147" t="s">
        <v>120</v>
      </c>
      <c r="G235" s="147">
        <v>1</v>
      </c>
      <c r="H235" s="147">
        <v>0</v>
      </c>
      <c r="I235" s="214">
        <f>1.07*1.07*1.065*1.1016*1.045*2420.22</f>
        <v>3397.130467372021</v>
      </c>
      <c r="J235" s="249">
        <f>VLOOKUP(tabPostos[[#This Row],[CCT DA CATEGORIA]],'RELAÇÃO SINDICATOS'!A:N,11,0)</f>
        <v>45658</v>
      </c>
      <c r="K235" s="147" t="str">
        <f>VLOOKUP(tabPostos[[#This Row],[CCT DA CATEGORIA]],'RELAÇÃO SINDICATOS'!A:N,12,0)</f>
        <v>-</v>
      </c>
      <c r="L235" s="147" t="str">
        <f>VLOOKUP(tabPostos[[#This Row],[CCT DA CATEGORIA]],'RELAÇÃO SINDICATOS'!A:N,13,0)</f>
        <v>-</v>
      </c>
      <c r="M235" s="147" t="str">
        <f>VLOOKUP(tabPostos[[#This Row],[CCT DA CATEGORIA]],'RELAÇÃO SINDICATOS'!A:N,14,0)</f>
        <v>MG001011/2025</v>
      </c>
    </row>
    <row r="236" spans="1:13">
      <c r="A236" s="147" t="str" cm="1">
        <f t="array" ref="A23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1.461.13</v>
      </c>
      <c r="B236" s="199" t="s">
        <v>1176</v>
      </c>
      <c r="C236" s="199" t="s">
        <v>200</v>
      </c>
      <c r="D236" s="199" t="str" cm="1">
        <f t="array" ref="D23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36" s="147" t="s">
        <v>1090</v>
      </c>
      <c r="F236" s="147" t="s">
        <v>120</v>
      </c>
      <c r="G236" s="147">
        <v>1</v>
      </c>
      <c r="H236" s="147">
        <v>0</v>
      </c>
      <c r="I236" s="214">
        <f>1.07*1.07*1.065*1.1016*1188.41</f>
        <v>1596.273808921236</v>
      </c>
      <c r="J236" s="249">
        <f>VLOOKUP(tabPostos[[#This Row],[CCT DA CATEGORIA]],'RELAÇÃO SINDICATOS'!A:N,11,0)</f>
        <v>45658</v>
      </c>
      <c r="K236" s="147" t="str">
        <f>VLOOKUP(tabPostos[[#This Row],[CCT DA CATEGORIA]],'RELAÇÃO SINDICATOS'!A:N,12,0)</f>
        <v>-</v>
      </c>
      <c r="L236" s="147" t="str">
        <f>VLOOKUP(tabPostos[[#This Row],[CCT DA CATEGORIA]],'RELAÇÃO SINDICATOS'!A:N,13,0)</f>
        <v>-</v>
      </c>
      <c r="M236" s="147" t="str">
        <f>VLOOKUP(tabPostos[[#This Row],[CCT DA CATEGORIA]],'RELAÇÃO SINDICATOS'!A:N,14,0)</f>
        <v>MG000212/2025</v>
      </c>
    </row>
    <row r="237" spans="1:13">
      <c r="A237" s="147" t="str" cm="1">
        <f t="array" ref="A23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1.461.43</v>
      </c>
      <c r="B237" s="199" t="s">
        <v>1176</v>
      </c>
      <c r="C237" s="199" t="s">
        <v>314</v>
      </c>
      <c r="D237" s="199" t="str" cm="1">
        <f t="array" ref="D23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37" s="147" t="s">
        <v>1090</v>
      </c>
      <c r="F237" s="147" t="s">
        <v>120</v>
      </c>
      <c r="G237" s="147">
        <v>1</v>
      </c>
      <c r="H237" s="147">
        <v>0</v>
      </c>
      <c r="I237" s="214">
        <f>1.07*1.07*1.065*1.1016*1461.74</f>
        <v>1963.4110092077037</v>
      </c>
      <c r="J237" s="249">
        <f>VLOOKUP(tabPostos[[#This Row],[CCT DA CATEGORIA]],'RELAÇÃO SINDICATOS'!A:N,11,0)</f>
        <v>45658</v>
      </c>
      <c r="K237" s="147" t="str">
        <f>VLOOKUP(tabPostos[[#This Row],[CCT DA CATEGORIA]],'RELAÇÃO SINDICATOS'!A:N,12,0)</f>
        <v>-</v>
      </c>
      <c r="L237" s="147" t="str">
        <f>VLOOKUP(tabPostos[[#This Row],[CCT DA CATEGORIA]],'RELAÇÃO SINDICATOS'!A:N,13,0)</f>
        <v>-</v>
      </c>
      <c r="M237" s="147" t="str">
        <f>VLOOKUP(tabPostos[[#This Row],[CCT DA CATEGORIA]],'RELAÇÃO SINDICATOS'!A:N,14,0)</f>
        <v>MG000212/2025</v>
      </c>
    </row>
    <row r="238" spans="1:13">
      <c r="A238" s="147" t="str" cm="1">
        <f t="array" ref="A23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1.470.45</v>
      </c>
      <c r="B238" s="199" t="s">
        <v>1177</v>
      </c>
      <c r="C238" s="199" t="s">
        <v>324</v>
      </c>
      <c r="D238" s="199" t="str" cm="1">
        <f t="array" ref="D23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238" s="147" t="s">
        <v>1090</v>
      </c>
      <c r="F238" s="147" t="s">
        <v>120</v>
      </c>
      <c r="G238" s="147">
        <v>1</v>
      </c>
      <c r="H238" s="147">
        <v>0</v>
      </c>
      <c r="I238" s="214">
        <f>1.07*1.07*1.065*1.1016*2529.13</f>
        <v>3397.1306016921476</v>
      </c>
      <c r="J238" s="249">
        <f>VLOOKUP(tabPostos[[#This Row],[CCT DA CATEGORIA]],'RELAÇÃO SINDICATOS'!A:N,11,0)</f>
        <v>45658</v>
      </c>
      <c r="K238" s="147" t="str">
        <f>VLOOKUP(tabPostos[[#This Row],[CCT DA CATEGORIA]],'RELAÇÃO SINDICATOS'!A:N,12,0)</f>
        <v>-</v>
      </c>
      <c r="L238" s="147" t="str">
        <f>VLOOKUP(tabPostos[[#This Row],[CCT DA CATEGORIA]],'RELAÇÃO SINDICATOS'!A:N,13,0)</f>
        <v>-</v>
      </c>
      <c r="M238" s="147" t="str">
        <f>VLOOKUP(tabPostos[[#This Row],[CCT DA CATEGORIA]],'RELAÇÃO SINDICATOS'!A:N,14,0)</f>
        <v>MG004482/2024</v>
      </c>
    </row>
    <row r="239" spans="1:13">
      <c r="A239" s="147" t="str" cm="1">
        <f t="array" ref="A23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1.472.43</v>
      </c>
      <c r="B239" s="199" t="s">
        <v>1178</v>
      </c>
      <c r="C239" s="199" t="s">
        <v>314</v>
      </c>
      <c r="D239" s="199" t="str" cm="1">
        <f t="array" ref="D23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39" s="147" t="s">
        <v>1090</v>
      </c>
      <c r="F239" s="147" t="s">
        <v>120</v>
      </c>
      <c r="G239" s="147">
        <v>1</v>
      </c>
      <c r="H239" s="147">
        <v>0</v>
      </c>
      <c r="I239" s="214">
        <f>1.07*1.07*1.065*1.1016*1.045*1398.79</f>
        <v>1963.4050319620983</v>
      </c>
      <c r="J239" s="249">
        <f>VLOOKUP(tabPostos[[#This Row],[CCT DA CATEGORIA]],'RELAÇÃO SINDICATOS'!A:N,11,0)</f>
        <v>45658</v>
      </c>
      <c r="K239" s="147" t="str">
        <f>VLOOKUP(tabPostos[[#This Row],[CCT DA CATEGORIA]],'RELAÇÃO SINDICATOS'!A:N,12,0)</f>
        <v>-</v>
      </c>
      <c r="L239" s="147" t="str">
        <f>VLOOKUP(tabPostos[[#This Row],[CCT DA CATEGORIA]],'RELAÇÃO SINDICATOS'!A:N,13,0)</f>
        <v>-</v>
      </c>
      <c r="M239" s="147" t="str">
        <f>VLOOKUP(tabPostos[[#This Row],[CCT DA CATEGORIA]],'RELAÇÃO SINDICATOS'!A:N,14,0)</f>
        <v>MG000594/2025</v>
      </c>
    </row>
    <row r="240" spans="1:13">
      <c r="A240" s="147" t="str" cm="1">
        <f t="array" ref="A24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1.474.43</v>
      </c>
      <c r="B240" s="199" t="s">
        <v>1179</v>
      </c>
      <c r="C240" s="199" t="s">
        <v>314</v>
      </c>
      <c r="D240" s="199" t="str" cm="1">
        <f t="array" ref="D24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Sete Lagoas</v>
      </c>
      <c r="E240" s="147" t="s">
        <v>1090</v>
      </c>
      <c r="F240" s="147" t="s">
        <v>120</v>
      </c>
      <c r="G240" s="147">
        <v>1</v>
      </c>
      <c r="H240" s="147">
        <v>0</v>
      </c>
      <c r="I240" s="214">
        <f>1.07*1.07*1.065*1.1016*1589.34</f>
        <v>2134.8034899326635</v>
      </c>
      <c r="J240" s="249">
        <f>VLOOKUP(tabPostos[[#This Row],[CCT DA CATEGORIA]],'RELAÇÃO SINDICATOS'!A:N,11,0)</f>
        <v>45658</v>
      </c>
      <c r="K240" s="147" t="str">
        <f>VLOOKUP(tabPostos[[#This Row],[CCT DA CATEGORIA]],'RELAÇÃO SINDICATOS'!A:N,12,0)</f>
        <v>-</v>
      </c>
      <c r="L240" s="147" t="str">
        <f>VLOOKUP(tabPostos[[#This Row],[CCT DA CATEGORIA]],'RELAÇÃO SINDICATOS'!A:N,13,0)</f>
        <v>-</v>
      </c>
      <c r="M240" s="147" t="str">
        <f>VLOOKUP(tabPostos[[#This Row],[CCT DA CATEGORIA]],'RELAÇÃO SINDICATOS'!A:N,14,0)</f>
        <v>MG000435/2025</v>
      </c>
    </row>
    <row r="241" spans="1:13">
      <c r="A241" s="147" t="str" cm="1">
        <f t="array" ref="A24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1.479.35</v>
      </c>
      <c r="B241" s="199" t="s">
        <v>1180</v>
      </c>
      <c r="C241" s="199" t="s">
        <v>274</v>
      </c>
      <c r="D241" s="199" t="str" cm="1">
        <f t="array" ref="D24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Passos + SEAC-MG</v>
      </c>
      <c r="E241" s="147" t="s">
        <v>1090</v>
      </c>
      <c r="F241" s="147" t="s">
        <v>120</v>
      </c>
      <c r="G241" s="147">
        <v>2</v>
      </c>
      <c r="H241" s="147">
        <v>0</v>
      </c>
      <c r="I241" s="214">
        <f>1.05*1.07*1.065*1.1016*1.0435*3344.11</f>
        <v>4599.5952808034681</v>
      </c>
      <c r="J241" s="249">
        <f>VLOOKUP(tabPostos[[#This Row],[CCT DA CATEGORIA]],'RELAÇÃO SINDICATOS'!A:N,11,0)</f>
        <v>45658</v>
      </c>
      <c r="K241" s="147" t="str">
        <f>VLOOKUP(tabPostos[[#This Row],[CCT DA CATEGORIA]],'RELAÇÃO SINDICATOS'!A:N,12,0)</f>
        <v>-</v>
      </c>
      <c r="L241" s="147" t="str">
        <f>VLOOKUP(tabPostos[[#This Row],[CCT DA CATEGORIA]],'RELAÇÃO SINDICATOS'!A:N,13,0)</f>
        <v>-</v>
      </c>
      <c r="M241" s="147" t="str">
        <f>VLOOKUP(tabPostos[[#This Row],[CCT DA CATEGORIA]],'RELAÇÃO SINDICATOS'!A:N,14,0)</f>
        <v>MG001335/2025</v>
      </c>
    </row>
    <row r="242" spans="1:13">
      <c r="A242" s="147" t="str" cm="1">
        <f t="array" ref="A24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3.479.35</v>
      </c>
      <c r="B242" s="199" t="s">
        <v>1180</v>
      </c>
      <c r="C242" s="199" t="s">
        <v>274</v>
      </c>
      <c r="D242" s="199" t="str" cm="1">
        <f t="array" ref="D24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Passos + SEAC-MG</v>
      </c>
      <c r="E242" s="147" t="s">
        <v>1090</v>
      </c>
      <c r="F242" s="147" t="s">
        <v>135</v>
      </c>
      <c r="G242" s="147">
        <v>1</v>
      </c>
      <c r="H242" s="147">
        <v>0</v>
      </c>
      <c r="I242" s="214">
        <f>1.05*1.07*1.065*1.1016*1.0435*3344.11</f>
        <v>4599.5952808034681</v>
      </c>
      <c r="J242" s="249">
        <f>VLOOKUP(tabPostos[[#This Row],[CCT DA CATEGORIA]],'RELAÇÃO SINDICATOS'!A:N,11,0)</f>
        <v>45658</v>
      </c>
      <c r="K242" s="147" t="str">
        <f>VLOOKUP(tabPostos[[#This Row],[CCT DA CATEGORIA]],'RELAÇÃO SINDICATOS'!A:N,12,0)</f>
        <v>-</v>
      </c>
      <c r="L242" s="147" t="str">
        <f>VLOOKUP(tabPostos[[#This Row],[CCT DA CATEGORIA]],'RELAÇÃO SINDICATOS'!A:N,13,0)</f>
        <v>-</v>
      </c>
      <c r="M242" s="147" t="str">
        <f>VLOOKUP(tabPostos[[#This Row],[CCT DA CATEGORIA]],'RELAÇÃO SINDICATOS'!A:N,14,0)</f>
        <v>MG001335/2025</v>
      </c>
    </row>
    <row r="243" spans="1:13">
      <c r="A243" s="147" t="str" cm="1">
        <f t="array" ref="A24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1.479.43</v>
      </c>
      <c r="B243" s="199" t="s">
        <v>1180</v>
      </c>
      <c r="C243" s="199" t="s">
        <v>314</v>
      </c>
      <c r="D243" s="199" t="str" cm="1">
        <f t="array" ref="D24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43" s="147" t="s">
        <v>1090</v>
      </c>
      <c r="F243" s="147" t="s">
        <v>120</v>
      </c>
      <c r="G243" s="147">
        <v>1</v>
      </c>
      <c r="H243" s="147">
        <v>0</v>
      </c>
      <c r="I243" s="214">
        <f>1.07*1.07*1.065*1.1016*1.045*1398.79</f>
        <v>1963.4050319620983</v>
      </c>
      <c r="J243" s="249">
        <f>VLOOKUP(tabPostos[[#This Row],[CCT DA CATEGORIA]],'RELAÇÃO SINDICATOS'!A:N,11,0)</f>
        <v>45658</v>
      </c>
      <c r="K243" s="147" t="str">
        <f>VLOOKUP(tabPostos[[#This Row],[CCT DA CATEGORIA]],'RELAÇÃO SINDICATOS'!A:N,12,0)</f>
        <v>-</v>
      </c>
      <c r="L243" s="147" t="str">
        <f>VLOOKUP(tabPostos[[#This Row],[CCT DA CATEGORIA]],'RELAÇÃO SINDICATOS'!A:N,13,0)</f>
        <v>-</v>
      </c>
      <c r="M243" s="147" t="str">
        <f>VLOOKUP(tabPostos[[#This Row],[CCT DA CATEGORIA]],'RELAÇÃO SINDICATOS'!A:N,14,0)</f>
        <v>MG000594/2025</v>
      </c>
    </row>
    <row r="244" spans="1:13">
      <c r="A244" s="147" t="str" cm="1">
        <f t="array" ref="A24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1.479.45</v>
      </c>
      <c r="B244" s="199" t="s">
        <v>1180</v>
      </c>
      <c r="C244" s="199" t="s">
        <v>324</v>
      </c>
      <c r="D244" s="199" t="str" cm="1">
        <f t="array" ref="D24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44" s="147" t="s">
        <v>1090</v>
      </c>
      <c r="F244" s="147" t="s">
        <v>120</v>
      </c>
      <c r="G244" s="147">
        <v>3</v>
      </c>
      <c r="H244" s="147">
        <v>0</v>
      </c>
      <c r="I244" s="214">
        <f>1.07*1.07*1.065*1.1016*1.045*2420.22</f>
        <v>3397.130467372021</v>
      </c>
      <c r="J244" s="249">
        <f>VLOOKUP(tabPostos[[#This Row],[CCT DA CATEGORIA]],'RELAÇÃO SINDICATOS'!A:N,11,0)</f>
        <v>45658</v>
      </c>
      <c r="K244" s="147" t="str">
        <f>VLOOKUP(tabPostos[[#This Row],[CCT DA CATEGORIA]],'RELAÇÃO SINDICATOS'!A:N,12,0)</f>
        <v>-</v>
      </c>
      <c r="L244" s="147" t="str">
        <f>VLOOKUP(tabPostos[[#This Row],[CCT DA CATEGORIA]],'RELAÇÃO SINDICATOS'!A:N,13,0)</f>
        <v>-</v>
      </c>
      <c r="M244" s="147" t="str">
        <f>VLOOKUP(tabPostos[[#This Row],[CCT DA CATEGORIA]],'RELAÇÃO SINDICATOS'!A:N,14,0)</f>
        <v>MG000594/2025</v>
      </c>
    </row>
    <row r="245" spans="1:13">
      <c r="A245" s="147" t="str" cm="1">
        <f t="array" ref="A24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1.480.35</v>
      </c>
      <c r="B245" s="199" t="s">
        <v>1181</v>
      </c>
      <c r="C245" s="199" t="s">
        <v>274</v>
      </c>
      <c r="D245" s="199" t="str" cm="1">
        <f t="array" ref="D24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Patos de Minas + SEAC-MG</v>
      </c>
      <c r="E245" s="147" t="s">
        <v>1090</v>
      </c>
      <c r="F245" s="147" t="s">
        <v>120</v>
      </c>
      <c r="G245" s="147">
        <v>2</v>
      </c>
      <c r="H245" s="147">
        <v>0</v>
      </c>
      <c r="I245" s="214">
        <f>1.05*1.07*1.065*1.1016*1.0435*3313.92</f>
        <v>4558.0709943632919</v>
      </c>
      <c r="J245" s="249">
        <f>VLOOKUP(tabPostos[[#This Row],[CCT DA CATEGORIA]],'RELAÇÃO SINDICATOS'!A:N,11,0)</f>
        <v>45658</v>
      </c>
      <c r="K245" s="147" t="str">
        <f>VLOOKUP(tabPostos[[#This Row],[CCT DA CATEGORIA]],'RELAÇÃO SINDICATOS'!A:N,12,0)</f>
        <v>-</v>
      </c>
      <c r="L245" s="147" t="str">
        <f>VLOOKUP(tabPostos[[#This Row],[CCT DA CATEGORIA]],'RELAÇÃO SINDICATOS'!A:N,13,0)</f>
        <v>-</v>
      </c>
      <c r="M245" s="147" t="str">
        <f>VLOOKUP(tabPostos[[#This Row],[CCT DA CATEGORIA]],'RELAÇÃO SINDICATOS'!A:N,14,0)</f>
        <v>MG001465/2025</v>
      </c>
    </row>
    <row r="246" spans="1:13">
      <c r="A246" s="147" t="str" cm="1">
        <f t="array" ref="A24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1.480.45</v>
      </c>
      <c r="B246" s="199" t="s">
        <v>1181</v>
      </c>
      <c r="C246" s="199" t="s">
        <v>324</v>
      </c>
      <c r="D246" s="199" t="str" cm="1">
        <f t="array" ref="D24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Uberaba</v>
      </c>
      <c r="E246" s="147" t="s">
        <v>1090</v>
      </c>
      <c r="F246" s="147" t="s">
        <v>120</v>
      </c>
      <c r="G246" s="147">
        <v>1</v>
      </c>
      <c r="H246" s="147">
        <v>0</v>
      </c>
      <c r="I246" s="214">
        <f>1.07*1.07*1.065*1.1016*1.045*2420.22</f>
        <v>3397.130467372021</v>
      </c>
      <c r="J246" s="249">
        <f>VLOOKUP(tabPostos[[#This Row],[CCT DA CATEGORIA]],'RELAÇÃO SINDICATOS'!A:N,11,0)</f>
        <v>45658</v>
      </c>
      <c r="K246" s="147" t="str">
        <f>VLOOKUP(tabPostos[[#This Row],[CCT DA CATEGORIA]],'RELAÇÃO SINDICATOS'!A:N,12,0)</f>
        <v>-</v>
      </c>
      <c r="L246" s="147" t="str">
        <f>VLOOKUP(tabPostos[[#This Row],[CCT DA CATEGORIA]],'RELAÇÃO SINDICATOS'!A:N,13,0)</f>
        <v>-</v>
      </c>
      <c r="M246" s="147" t="str">
        <f>VLOOKUP(tabPostos[[#This Row],[CCT DA CATEGORIA]],'RELAÇÃO SINDICATOS'!A:N,14,0)</f>
        <v>MG000478/2025</v>
      </c>
    </row>
    <row r="247" spans="1:13">
      <c r="A247" s="147" t="str" cm="1">
        <f t="array" ref="A24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1.486.43</v>
      </c>
      <c r="B247" s="199" t="s">
        <v>1182</v>
      </c>
      <c r="C247" s="199" t="s">
        <v>314</v>
      </c>
      <c r="D247" s="199" t="str" cm="1">
        <f t="array" ref="D24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247" s="147" t="s">
        <v>1090</v>
      </c>
      <c r="F247" s="147" t="s">
        <v>120</v>
      </c>
      <c r="G247" s="147">
        <v>1</v>
      </c>
      <c r="H247" s="147">
        <v>0</v>
      </c>
      <c r="I247" s="214">
        <f>1.07*1.07*1.065*1.1016*1461.74</f>
        <v>1963.4110092077037</v>
      </c>
      <c r="J247" s="249">
        <f>VLOOKUP(tabPostos[[#This Row],[CCT DA CATEGORIA]],'RELAÇÃO SINDICATOS'!A:N,11,0)</f>
        <v>45658</v>
      </c>
      <c r="K247" s="147" t="str">
        <f>VLOOKUP(tabPostos[[#This Row],[CCT DA CATEGORIA]],'RELAÇÃO SINDICATOS'!A:N,12,0)</f>
        <v>-</v>
      </c>
      <c r="L247" s="147" t="str">
        <f>VLOOKUP(tabPostos[[#This Row],[CCT DA CATEGORIA]],'RELAÇÃO SINDICATOS'!A:N,13,0)</f>
        <v>-</v>
      </c>
      <c r="M247" s="147" t="str">
        <f>VLOOKUP(tabPostos[[#This Row],[CCT DA CATEGORIA]],'RELAÇÃO SINDICATOS'!A:N,14,0)</f>
        <v>MG004482/2024</v>
      </c>
    </row>
    <row r="248" spans="1:13">
      <c r="A248" s="147" t="str" cm="1">
        <f t="array" ref="A24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1.210.13</v>
      </c>
      <c r="B248" s="199" t="s">
        <v>1183</v>
      </c>
      <c r="C248" s="199" t="s">
        <v>200</v>
      </c>
      <c r="D248" s="199" t="str" cm="1">
        <f t="array" ref="D24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RM</v>
      </c>
      <c r="E248" s="147" t="s">
        <v>1090</v>
      </c>
      <c r="F248" s="147" t="s">
        <v>120</v>
      </c>
      <c r="G248" s="147">
        <v>2</v>
      </c>
      <c r="H248" s="147">
        <v>0</v>
      </c>
      <c r="I248" s="214">
        <f>1.07*1.07*1.065*1.1016*1227.75</f>
        <v>1649.1153464738998</v>
      </c>
      <c r="J248" s="249">
        <f>VLOOKUP(tabPostos[[#This Row],[CCT DA CATEGORIA]],'RELAÇÃO SINDICATOS'!A:N,11,0)</f>
        <v>45658</v>
      </c>
      <c r="K248" s="147" t="str">
        <f>VLOOKUP(tabPostos[[#This Row],[CCT DA CATEGORIA]],'RELAÇÃO SINDICATOS'!A:N,12,0)</f>
        <v>-</v>
      </c>
      <c r="L248" s="147" t="str">
        <f>VLOOKUP(tabPostos[[#This Row],[CCT DA CATEGORIA]],'RELAÇÃO SINDICATOS'!A:N,13,0)</f>
        <v>-</v>
      </c>
      <c r="M248" s="147" t="str">
        <f>VLOOKUP(tabPostos[[#This Row],[CCT DA CATEGORIA]],'RELAÇÃO SINDICATOS'!A:N,14,0)</f>
        <v>MG004479/2024</v>
      </c>
    </row>
    <row r="249" spans="1:13">
      <c r="A249" s="147" t="str" cm="1">
        <f t="array" ref="A24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1.210.45</v>
      </c>
      <c r="B249" s="199" t="s">
        <v>1183</v>
      </c>
      <c r="C249" s="199" t="s">
        <v>324</v>
      </c>
      <c r="D249" s="199" t="str" cm="1">
        <f t="array" ref="D24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RM</v>
      </c>
      <c r="E249" s="147" t="s">
        <v>1090</v>
      </c>
      <c r="F249" s="147" t="s">
        <v>120</v>
      </c>
      <c r="G249" s="147">
        <v>1</v>
      </c>
      <c r="H249" s="147">
        <v>0</v>
      </c>
      <c r="I249" s="214">
        <f>1.07*1.07*1.065*1.1016*2529.13</f>
        <v>3397.1306016921476</v>
      </c>
      <c r="J249" s="249">
        <f>VLOOKUP(tabPostos[[#This Row],[CCT DA CATEGORIA]],'RELAÇÃO SINDICATOS'!A:N,11,0)</f>
        <v>45658</v>
      </c>
      <c r="K249" s="147" t="str">
        <f>VLOOKUP(tabPostos[[#This Row],[CCT DA CATEGORIA]],'RELAÇÃO SINDICATOS'!A:N,12,0)</f>
        <v>-</v>
      </c>
      <c r="L249" s="147" t="str">
        <f>VLOOKUP(tabPostos[[#This Row],[CCT DA CATEGORIA]],'RELAÇÃO SINDICATOS'!A:N,13,0)</f>
        <v>-</v>
      </c>
      <c r="M249" s="147" t="str">
        <f>VLOOKUP(tabPostos[[#This Row],[CCT DA CATEGORIA]],'RELAÇÃO SINDICATOS'!A:N,14,0)</f>
        <v>MG004479/2024</v>
      </c>
    </row>
    <row r="250" spans="1:13">
      <c r="A250" s="147" t="str" cm="1">
        <f t="array" ref="A25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1.508.44</v>
      </c>
      <c r="B250" s="199" t="s">
        <v>1184</v>
      </c>
      <c r="C250" s="199" t="s">
        <v>319</v>
      </c>
      <c r="D250" s="199" t="str" cm="1">
        <f t="array" ref="D25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50" s="147" t="s">
        <v>1090</v>
      </c>
      <c r="F250" s="147" t="s">
        <v>120</v>
      </c>
      <c r="G250" s="147">
        <v>1</v>
      </c>
      <c r="H250" s="147">
        <v>0</v>
      </c>
      <c r="I250" s="214">
        <f>1.07*1.07*1.065*1.1016*1724.41</f>
        <v>2316.2296840668359</v>
      </c>
      <c r="J250" s="249">
        <f>VLOOKUP(tabPostos[[#This Row],[CCT DA CATEGORIA]],'RELAÇÃO SINDICATOS'!A:N,11,0)</f>
        <v>45658</v>
      </c>
      <c r="K250" s="147" t="str">
        <f>VLOOKUP(tabPostos[[#This Row],[CCT DA CATEGORIA]],'RELAÇÃO SINDICATOS'!A:N,12,0)</f>
        <v>-</v>
      </c>
      <c r="L250" s="147" t="str">
        <f>VLOOKUP(tabPostos[[#This Row],[CCT DA CATEGORIA]],'RELAÇÃO SINDICATOS'!A:N,13,0)</f>
        <v>-</v>
      </c>
      <c r="M250" s="147" t="str">
        <f>VLOOKUP(tabPostos[[#This Row],[CCT DA CATEGORIA]],'RELAÇÃO SINDICATOS'!A:N,14,0)</f>
        <v>MG000212/2025</v>
      </c>
    </row>
    <row r="251" spans="1:13">
      <c r="A251" s="147" t="str" cm="1">
        <f t="array" ref="A25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1.512.45</v>
      </c>
      <c r="B251" s="199" t="s">
        <v>1185</v>
      </c>
      <c r="C251" s="199" t="s">
        <v>324</v>
      </c>
      <c r="D251" s="199" t="str" cm="1">
        <f t="array" ref="D25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51" s="147" t="s">
        <v>1090</v>
      </c>
      <c r="F251" s="147" t="s">
        <v>120</v>
      </c>
      <c r="G251" s="147">
        <v>1</v>
      </c>
      <c r="H251" s="147">
        <v>0</v>
      </c>
      <c r="I251" s="214">
        <f>1.07*1.07*1.065*1.1016*2529.13</f>
        <v>3397.1306016921476</v>
      </c>
      <c r="J251" s="249">
        <f>VLOOKUP(tabPostos[[#This Row],[CCT DA CATEGORIA]],'RELAÇÃO SINDICATOS'!A:N,11,0)</f>
        <v>45658</v>
      </c>
      <c r="K251" s="147" t="str">
        <f>VLOOKUP(tabPostos[[#This Row],[CCT DA CATEGORIA]],'RELAÇÃO SINDICATOS'!A:N,12,0)</f>
        <v>-</v>
      </c>
      <c r="L251" s="147" t="str">
        <f>VLOOKUP(tabPostos[[#This Row],[CCT DA CATEGORIA]],'RELAÇÃO SINDICATOS'!A:N,13,0)</f>
        <v>-</v>
      </c>
      <c r="M251" s="147" t="str">
        <f>VLOOKUP(tabPostos[[#This Row],[CCT DA CATEGORIA]],'RELAÇÃO SINDICATOS'!A:N,14,0)</f>
        <v>MG000256/2025</v>
      </c>
    </row>
    <row r="252" spans="1:13">
      <c r="A252" s="147" t="str" cm="1">
        <f t="array" ref="A25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1.514.44</v>
      </c>
      <c r="B252" s="199" t="s">
        <v>1186</v>
      </c>
      <c r="C252" s="199" t="s">
        <v>319</v>
      </c>
      <c r="D252" s="199" t="str" cm="1">
        <f t="array" ref="D25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Divinopolis</v>
      </c>
      <c r="E252" s="147" t="s">
        <v>1090</v>
      </c>
      <c r="F252" s="147" t="s">
        <v>120</v>
      </c>
      <c r="G252" s="147">
        <v>1</v>
      </c>
      <c r="H252" s="147">
        <v>0</v>
      </c>
      <c r="I252" s="214">
        <f>1.07*1.07*1.065*1.1016*1.045*1650.15</f>
        <v>2316.2253186627422</v>
      </c>
      <c r="J252" s="249">
        <f>VLOOKUP(tabPostos[[#This Row],[CCT DA CATEGORIA]],'RELAÇÃO SINDICATOS'!A:N,11,0)</f>
        <v>45658</v>
      </c>
      <c r="K252" s="147" t="str">
        <f>VLOOKUP(tabPostos[[#This Row],[CCT DA CATEGORIA]],'RELAÇÃO SINDICATOS'!A:N,12,0)</f>
        <v>-</v>
      </c>
      <c r="L252" s="147" t="str">
        <f>VLOOKUP(tabPostos[[#This Row],[CCT DA CATEGORIA]],'RELAÇÃO SINDICATOS'!A:N,13,0)</f>
        <v>-</v>
      </c>
      <c r="M252" s="147" t="str">
        <f>VLOOKUP(tabPostos[[#This Row],[CCT DA CATEGORIA]],'RELAÇÃO SINDICATOS'!A:N,14,0)</f>
        <v>MG001011/2025</v>
      </c>
    </row>
    <row r="253" spans="1:13">
      <c r="A253" s="147" t="str" cm="1">
        <f t="array" ref="A25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1.517.13</v>
      </c>
      <c r="B253" s="199" t="s">
        <v>1187</v>
      </c>
      <c r="C253" s="199" t="s">
        <v>200</v>
      </c>
      <c r="D253" s="199" t="str" cm="1">
        <f t="array" ref="D25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53" s="147" t="s">
        <v>1090</v>
      </c>
      <c r="F253" s="147" t="s">
        <v>120</v>
      </c>
      <c r="G253" s="147">
        <v>1</v>
      </c>
      <c r="H253" s="147">
        <v>0</v>
      </c>
      <c r="I253" s="214">
        <f>1.07*1.07*1.065*1.1016*1188.41</f>
        <v>1596.273808921236</v>
      </c>
      <c r="J253" s="249">
        <f>VLOOKUP(tabPostos[[#This Row],[CCT DA CATEGORIA]],'RELAÇÃO SINDICATOS'!A:N,11,0)</f>
        <v>45658</v>
      </c>
      <c r="K253" s="147" t="str">
        <f>VLOOKUP(tabPostos[[#This Row],[CCT DA CATEGORIA]],'RELAÇÃO SINDICATOS'!A:N,12,0)</f>
        <v>-</v>
      </c>
      <c r="L253" s="147" t="str">
        <f>VLOOKUP(tabPostos[[#This Row],[CCT DA CATEGORIA]],'RELAÇÃO SINDICATOS'!A:N,13,0)</f>
        <v>-</v>
      </c>
      <c r="M253" s="147" t="str">
        <f>VLOOKUP(tabPostos[[#This Row],[CCT DA CATEGORIA]],'RELAÇÃO SINDICATOS'!A:N,14,0)</f>
        <v>MG000594/2025</v>
      </c>
    </row>
    <row r="254" spans="1:13">
      <c r="A254" s="147" t="str" cm="1">
        <f t="array" ref="A25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1.518.13</v>
      </c>
      <c r="B254" s="199" t="s">
        <v>1188</v>
      </c>
      <c r="C254" s="199" t="s">
        <v>200</v>
      </c>
      <c r="D254" s="199" t="str" cm="1">
        <f t="array" ref="D25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SETHPC - Pocos de Caldas</v>
      </c>
      <c r="E254" s="147" t="s">
        <v>1090</v>
      </c>
      <c r="F254" s="147" t="s">
        <v>120</v>
      </c>
      <c r="G254" s="147">
        <v>1</v>
      </c>
      <c r="H254" s="147">
        <v>0</v>
      </c>
      <c r="I254" s="214">
        <f>1.07*1.07*1.065*1.1016*1188.41</f>
        <v>1596.273808921236</v>
      </c>
      <c r="J254" s="249">
        <f>VLOOKUP(tabPostos[[#This Row],[CCT DA CATEGORIA]],'RELAÇÃO SINDICATOS'!A:N,11,0)</f>
        <v>45658</v>
      </c>
      <c r="K254" s="147" t="str">
        <f>VLOOKUP(tabPostos[[#This Row],[CCT DA CATEGORIA]],'RELAÇÃO SINDICATOS'!A:N,12,0)</f>
        <v>-</v>
      </c>
      <c r="L254" s="147" t="str">
        <f>VLOOKUP(tabPostos[[#This Row],[CCT DA CATEGORIA]],'RELAÇÃO SINDICATOS'!A:N,13,0)</f>
        <v>-</v>
      </c>
      <c r="M254" s="147" t="str">
        <f>VLOOKUP(tabPostos[[#This Row],[CCT DA CATEGORIA]],'RELAÇÃO SINDICATOS'!A:N,14,0)</f>
        <v>MG000165/2025</v>
      </c>
    </row>
    <row r="255" spans="1:13">
      <c r="A255" s="147" t="str" cm="1">
        <f t="array" ref="A25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1.518.35</v>
      </c>
      <c r="B255" s="199" t="s">
        <v>1188</v>
      </c>
      <c r="C255" s="199" t="s">
        <v>274</v>
      </c>
      <c r="D255" s="199" t="str" cm="1">
        <f t="array" ref="D25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Pocos de Caldas + SEAC-MG</v>
      </c>
      <c r="E255" s="147" t="s">
        <v>1090</v>
      </c>
      <c r="F255" s="147" t="s">
        <v>120</v>
      </c>
      <c r="G255" s="147">
        <v>1</v>
      </c>
      <c r="H255" s="147">
        <v>0</v>
      </c>
      <c r="I255" s="214">
        <f>1.05*1.07*1.065*1.1016*1.0435*3344.11</f>
        <v>4599.5952808034681</v>
      </c>
      <c r="J255" s="249">
        <f>VLOOKUP(tabPostos[[#This Row],[CCT DA CATEGORIA]],'RELAÇÃO SINDICATOS'!A:N,11,0)</f>
        <v>45658</v>
      </c>
      <c r="K255" s="147" t="str">
        <f>VLOOKUP(tabPostos[[#This Row],[CCT DA CATEGORIA]],'RELAÇÃO SINDICATOS'!A:N,12,0)</f>
        <v>-</v>
      </c>
      <c r="L255" s="147" t="str">
        <f>VLOOKUP(tabPostos[[#This Row],[CCT DA CATEGORIA]],'RELAÇÃO SINDICATOS'!A:N,13,0)</f>
        <v>-</v>
      </c>
      <c r="M255" s="147" t="str">
        <f>VLOOKUP(tabPostos[[#This Row],[CCT DA CATEGORIA]],'RELAÇÃO SINDICATOS'!A:N,14,0)</f>
        <v>MG002742/2025</v>
      </c>
    </row>
    <row r="256" spans="1:13">
      <c r="A256" s="147" t="str" cm="1">
        <f t="array" ref="A25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3.518.35</v>
      </c>
      <c r="B256" s="199" t="s">
        <v>1188</v>
      </c>
      <c r="C256" s="199" t="s">
        <v>274</v>
      </c>
      <c r="D256" s="199" t="str" cm="1">
        <f t="array" ref="D25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Pocos de Caldas + SEAC-MG</v>
      </c>
      <c r="E256" s="147" t="s">
        <v>1090</v>
      </c>
      <c r="F256" s="147" t="s">
        <v>135</v>
      </c>
      <c r="G256" s="147">
        <v>1</v>
      </c>
      <c r="H256" s="147">
        <v>0</v>
      </c>
      <c r="I256" s="214">
        <f>1.05*1.07*1.065*1.1016*1.0435*3344.11</f>
        <v>4599.5952808034681</v>
      </c>
      <c r="J256" s="249">
        <f>VLOOKUP(tabPostos[[#This Row],[CCT DA CATEGORIA]],'RELAÇÃO SINDICATOS'!A:N,11,0)</f>
        <v>45658</v>
      </c>
      <c r="K256" s="147" t="str">
        <f>VLOOKUP(tabPostos[[#This Row],[CCT DA CATEGORIA]],'RELAÇÃO SINDICATOS'!A:N,12,0)</f>
        <v>-</v>
      </c>
      <c r="L256" s="147" t="str">
        <f>VLOOKUP(tabPostos[[#This Row],[CCT DA CATEGORIA]],'RELAÇÃO SINDICATOS'!A:N,13,0)</f>
        <v>-</v>
      </c>
      <c r="M256" s="147" t="str">
        <f>VLOOKUP(tabPostos[[#This Row],[CCT DA CATEGORIA]],'RELAÇÃO SINDICATOS'!A:N,14,0)</f>
        <v>MG002742/2025</v>
      </c>
    </row>
    <row r="257" spans="1:13">
      <c r="A257" s="147" t="str" cm="1">
        <f t="array" ref="A25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1.520.43</v>
      </c>
      <c r="B257" s="199" t="s">
        <v>1189</v>
      </c>
      <c r="C257" s="199" t="s">
        <v>314</v>
      </c>
      <c r="D257" s="199" t="str" cm="1">
        <f t="array" ref="D25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Curvelo</v>
      </c>
      <c r="E257" s="147" t="s">
        <v>1090</v>
      </c>
      <c r="F257" s="147" t="s">
        <v>120</v>
      </c>
      <c r="G257" s="147">
        <v>1</v>
      </c>
      <c r="H257" s="147">
        <v>0</v>
      </c>
      <c r="I257" s="214">
        <f>1.07*1.07*1.065*1.1016*1461.74</f>
        <v>1963.4110092077037</v>
      </c>
      <c r="J257" s="249">
        <f>VLOOKUP(tabPostos[[#This Row],[CCT DA CATEGORIA]],'RELAÇÃO SINDICATOS'!A:N,11,0)</f>
        <v>45658</v>
      </c>
      <c r="K257" s="147" t="str">
        <f>VLOOKUP(tabPostos[[#This Row],[CCT DA CATEGORIA]],'RELAÇÃO SINDICATOS'!A:N,12,0)</f>
        <v>-</v>
      </c>
      <c r="L257" s="147" t="str">
        <f>VLOOKUP(tabPostos[[#This Row],[CCT DA CATEGORIA]],'RELAÇÃO SINDICATOS'!A:N,13,0)</f>
        <v>-</v>
      </c>
      <c r="M257" s="147" t="str">
        <f>VLOOKUP(tabPostos[[#This Row],[CCT DA CATEGORIA]],'RELAÇÃO SINDICATOS'!A:N,14,0)</f>
        <v>MG0000423/2025</v>
      </c>
    </row>
    <row r="258" spans="1:13">
      <c r="A258" s="147" t="str" cm="1">
        <f t="array" ref="A25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1.521.27</v>
      </c>
      <c r="B258" s="199" t="s">
        <v>1190</v>
      </c>
      <c r="C258" s="199" t="s">
        <v>1367</v>
      </c>
      <c r="D258" s="199" t="str" cm="1">
        <f t="array" ref="D25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58" s="147" t="s">
        <v>1090</v>
      </c>
      <c r="F258" s="147" t="s">
        <v>120</v>
      </c>
      <c r="G258" s="147">
        <v>1</v>
      </c>
      <c r="H258" s="147">
        <v>0</v>
      </c>
      <c r="I258" s="214">
        <f>1.07*1.07*1.065*1.1016*1709.48/220*200</f>
        <v>2087.4324447827344</v>
      </c>
      <c r="J258" s="249">
        <f>VLOOKUP(tabPostos[[#This Row],[CCT DA CATEGORIA]],'RELAÇÃO SINDICATOS'!A:N,11,0)</f>
        <v>45658</v>
      </c>
      <c r="K258" s="147" t="str">
        <f>VLOOKUP(tabPostos[[#This Row],[CCT DA CATEGORIA]],'RELAÇÃO SINDICATOS'!A:N,12,0)</f>
        <v>-</v>
      </c>
      <c r="L258" s="147" t="str">
        <f>VLOOKUP(tabPostos[[#This Row],[CCT DA CATEGORIA]],'RELAÇÃO SINDICATOS'!A:N,13,0)</f>
        <v>-</v>
      </c>
      <c r="M258" s="147" t="str">
        <f>VLOOKUP(tabPostos[[#This Row],[CCT DA CATEGORIA]],'RELAÇÃO SINDICATOS'!A:N,14,0)</f>
        <v>MG000212/2025</v>
      </c>
    </row>
    <row r="259" spans="1:13">
      <c r="A259" s="147" t="str" cm="1">
        <f t="array" ref="A25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1.521.29</v>
      </c>
      <c r="B259" s="199" t="s">
        <v>1190</v>
      </c>
      <c r="C259" s="199" t="s">
        <v>1368</v>
      </c>
      <c r="D259" s="199" t="str" cm="1">
        <f t="array" ref="D25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59" s="147" t="s">
        <v>1090</v>
      </c>
      <c r="F259" s="147" t="s">
        <v>120</v>
      </c>
      <c r="G259" s="147">
        <v>1</v>
      </c>
      <c r="H259" s="147">
        <v>0</v>
      </c>
      <c r="I259" s="214">
        <f>1.07*1.07*1.065*1.1016*1709.48</f>
        <v>2296.1756892610078</v>
      </c>
      <c r="J259" s="249">
        <f>VLOOKUP(tabPostos[[#This Row],[CCT DA CATEGORIA]],'RELAÇÃO SINDICATOS'!A:N,11,0)</f>
        <v>45658</v>
      </c>
      <c r="K259" s="147" t="str">
        <f>VLOOKUP(tabPostos[[#This Row],[CCT DA CATEGORIA]],'RELAÇÃO SINDICATOS'!A:N,12,0)</f>
        <v>-</v>
      </c>
      <c r="L259" s="147" t="str">
        <f>VLOOKUP(tabPostos[[#This Row],[CCT DA CATEGORIA]],'RELAÇÃO SINDICATOS'!A:N,13,0)</f>
        <v>-</v>
      </c>
      <c r="M259" s="147" t="str">
        <f>VLOOKUP(tabPostos[[#This Row],[CCT DA CATEGORIA]],'RELAÇÃO SINDICATOS'!A:N,14,0)</f>
        <v>MG000212/2025</v>
      </c>
    </row>
    <row r="260" spans="1:13">
      <c r="A260" s="147" t="str" cm="1">
        <f t="array" ref="A26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1.521.42</v>
      </c>
      <c r="B260" s="199" t="s">
        <v>1190</v>
      </c>
      <c r="C260" s="199" t="s">
        <v>309</v>
      </c>
      <c r="D260" s="199" t="str" cm="1">
        <f t="array" ref="D26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60" s="147" t="s">
        <v>1090</v>
      </c>
      <c r="F260" s="147" t="s">
        <v>120</v>
      </c>
      <c r="G260" s="147">
        <v>2</v>
      </c>
      <c r="H260" s="147">
        <v>0</v>
      </c>
      <c r="I260" s="214">
        <f>1.07*1.07*1.065*1.1016*1461.74</f>
        <v>1963.4110092077037</v>
      </c>
      <c r="J260" s="249">
        <f>VLOOKUP(tabPostos[[#This Row],[CCT DA CATEGORIA]],'RELAÇÃO SINDICATOS'!A:N,11,0)</f>
        <v>45658</v>
      </c>
      <c r="K260" s="147" t="str">
        <f>VLOOKUP(tabPostos[[#This Row],[CCT DA CATEGORIA]],'RELAÇÃO SINDICATOS'!A:N,12,0)</f>
        <v>-</v>
      </c>
      <c r="L260" s="147" t="str">
        <f>VLOOKUP(tabPostos[[#This Row],[CCT DA CATEGORIA]],'RELAÇÃO SINDICATOS'!A:N,13,0)</f>
        <v>-</v>
      </c>
      <c r="M260" s="147" t="str">
        <f>VLOOKUP(tabPostos[[#This Row],[CCT DA CATEGORIA]],'RELAÇÃO SINDICATOS'!A:N,14,0)</f>
        <v>MG000212/2025</v>
      </c>
    </row>
    <row r="261" spans="1:13">
      <c r="A261" s="147" t="str" cm="1">
        <f t="array" ref="A26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1.521.43</v>
      </c>
      <c r="B261" s="199" t="s">
        <v>1190</v>
      </c>
      <c r="C261" s="199" t="s">
        <v>314</v>
      </c>
      <c r="D261" s="199" t="str" cm="1">
        <f t="array" ref="D26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61" s="147" t="s">
        <v>1090</v>
      </c>
      <c r="F261" s="147" t="s">
        <v>120</v>
      </c>
      <c r="G261" s="147">
        <v>1</v>
      </c>
      <c r="H261" s="147">
        <v>0</v>
      </c>
      <c r="I261" s="214">
        <f>1.07*1.07*1.065*1.1016*1461.74</f>
        <v>1963.4110092077037</v>
      </c>
      <c r="J261" s="249">
        <f>VLOOKUP(tabPostos[[#This Row],[CCT DA CATEGORIA]],'RELAÇÃO SINDICATOS'!A:N,11,0)</f>
        <v>45658</v>
      </c>
      <c r="K261" s="147" t="str">
        <f>VLOOKUP(tabPostos[[#This Row],[CCT DA CATEGORIA]],'RELAÇÃO SINDICATOS'!A:N,12,0)</f>
        <v>-</v>
      </c>
      <c r="L261" s="147" t="str">
        <f>VLOOKUP(tabPostos[[#This Row],[CCT DA CATEGORIA]],'RELAÇÃO SINDICATOS'!A:N,13,0)</f>
        <v>-</v>
      </c>
      <c r="M261" s="147" t="str">
        <f>VLOOKUP(tabPostos[[#This Row],[CCT DA CATEGORIA]],'RELAÇÃO SINDICATOS'!A:N,14,0)</f>
        <v>MG000212/2025</v>
      </c>
    </row>
    <row r="262" spans="1:13">
      <c r="A262" s="147" t="str" cm="1">
        <f t="array" ref="A26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1.525.35</v>
      </c>
      <c r="B262" s="199" t="s">
        <v>1191</v>
      </c>
      <c r="C262" s="199" t="s">
        <v>274</v>
      </c>
      <c r="D262" s="199" t="str" cm="1">
        <f t="array" ref="D26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Pouso Alegre + SEAC-MG</v>
      </c>
      <c r="E262" s="147" t="s">
        <v>1090</v>
      </c>
      <c r="F262" s="147" t="s">
        <v>120</v>
      </c>
      <c r="G262" s="147">
        <v>1</v>
      </c>
      <c r="H262" s="147">
        <v>0</v>
      </c>
      <c r="I262" s="214">
        <f>1.05*1.07*1.065*1.1016*1.0435*3313.92</f>
        <v>4558.0709943632919</v>
      </c>
      <c r="J262" s="249">
        <f>VLOOKUP(tabPostos[[#This Row],[CCT DA CATEGORIA]],'RELAÇÃO SINDICATOS'!A:N,11,0)</f>
        <v>45658</v>
      </c>
      <c r="K262" s="147" t="str">
        <f>VLOOKUP(tabPostos[[#This Row],[CCT DA CATEGORIA]],'RELAÇÃO SINDICATOS'!A:N,12,0)</f>
        <v>-</v>
      </c>
      <c r="L262" s="147" t="str">
        <f>VLOOKUP(tabPostos[[#This Row],[CCT DA CATEGORIA]],'RELAÇÃO SINDICATOS'!A:N,13,0)</f>
        <v>-</v>
      </c>
      <c r="M262" s="147" t="str">
        <f>VLOOKUP(tabPostos[[#This Row],[CCT DA CATEGORIA]],'RELAÇÃO SINDICATOS'!A:N,14,0)</f>
        <v>MG002721/2025</v>
      </c>
    </row>
    <row r="263" spans="1:13">
      <c r="A263" s="147" t="str" cm="1">
        <f t="array" ref="A26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3.525.35</v>
      </c>
      <c r="B263" s="199" t="s">
        <v>1191</v>
      </c>
      <c r="C263" s="199" t="s">
        <v>274</v>
      </c>
      <c r="D263" s="199" t="str" cm="1">
        <f t="array" ref="D26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Pouso Alegre + SEAC-MG</v>
      </c>
      <c r="E263" s="147" t="s">
        <v>1090</v>
      </c>
      <c r="F263" s="147" t="s">
        <v>135</v>
      </c>
      <c r="G263" s="147">
        <v>1</v>
      </c>
      <c r="H263" s="147">
        <v>0</v>
      </c>
      <c r="I263" s="214">
        <f>1.05*1.07*1.065*1.1016*1.0435*3313.92</f>
        <v>4558.0709943632919</v>
      </c>
      <c r="J263" s="249">
        <f>VLOOKUP(tabPostos[[#This Row],[CCT DA CATEGORIA]],'RELAÇÃO SINDICATOS'!A:N,11,0)</f>
        <v>45658</v>
      </c>
      <c r="K263" s="147" t="str">
        <f>VLOOKUP(tabPostos[[#This Row],[CCT DA CATEGORIA]],'RELAÇÃO SINDICATOS'!A:N,12,0)</f>
        <v>-</v>
      </c>
      <c r="L263" s="147" t="str">
        <f>VLOOKUP(tabPostos[[#This Row],[CCT DA CATEGORIA]],'RELAÇÃO SINDICATOS'!A:N,13,0)</f>
        <v>-</v>
      </c>
      <c r="M263" s="147" t="str">
        <f>VLOOKUP(tabPostos[[#This Row],[CCT DA CATEGORIA]],'RELAÇÃO SINDICATOS'!A:N,14,0)</f>
        <v>MG002721/2025</v>
      </c>
    </row>
    <row r="264" spans="1:13">
      <c r="A264" s="147" t="str" cm="1">
        <f t="array" ref="A26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1.525.43</v>
      </c>
      <c r="B264" s="199" t="s">
        <v>1191</v>
      </c>
      <c r="C264" s="199" t="s">
        <v>314</v>
      </c>
      <c r="D264" s="199" t="str" cm="1">
        <f t="array" ref="D26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64" s="147" t="s">
        <v>1090</v>
      </c>
      <c r="F264" s="147" t="s">
        <v>120</v>
      </c>
      <c r="G264" s="147">
        <v>1</v>
      </c>
      <c r="H264" s="147">
        <v>0</v>
      </c>
      <c r="I264" s="214">
        <f>1.07*1.07*1.065*1.1016*1.045*1398.79</f>
        <v>1963.4050319620983</v>
      </c>
      <c r="J264" s="249">
        <f>VLOOKUP(tabPostos[[#This Row],[CCT DA CATEGORIA]],'RELAÇÃO SINDICATOS'!A:N,11,0)</f>
        <v>45658</v>
      </c>
      <c r="K264" s="147" t="str">
        <f>VLOOKUP(tabPostos[[#This Row],[CCT DA CATEGORIA]],'RELAÇÃO SINDICATOS'!A:N,12,0)</f>
        <v>-</v>
      </c>
      <c r="L264" s="147" t="str">
        <f>VLOOKUP(tabPostos[[#This Row],[CCT DA CATEGORIA]],'RELAÇÃO SINDICATOS'!A:N,13,0)</f>
        <v>-</v>
      </c>
      <c r="M264" s="147" t="str">
        <f>VLOOKUP(tabPostos[[#This Row],[CCT DA CATEGORIA]],'RELAÇÃO SINDICATOS'!A:N,14,0)</f>
        <v>MG000594/2025</v>
      </c>
    </row>
    <row r="265" spans="1:13">
      <c r="A265" s="147" t="str" cm="1">
        <f t="array" ref="A26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1.231.13</v>
      </c>
      <c r="B265" s="199" t="s">
        <v>1192</v>
      </c>
      <c r="C265" s="199" t="s">
        <v>200</v>
      </c>
      <c r="D265" s="199" t="str" cm="1">
        <f t="array" ref="D26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65" s="147" t="s">
        <v>1090</v>
      </c>
      <c r="F265" s="147" t="s">
        <v>120</v>
      </c>
      <c r="G265" s="147">
        <v>3</v>
      </c>
      <c r="H265" s="147">
        <v>0</v>
      </c>
      <c r="I265" s="214">
        <f>1.07*1.07*1.065*1.1016*1227.75</f>
        <v>1649.1153464738998</v>
      </c>
      <c r="J265" s="249">
        <f>VLOOKUP(tabPostos[[#This Row],[CCT DA CATEGORIA]],'RELAÇÃO SINDICATOS'!A:N,11,0)</f>
        <v>45658</v>
      </c>
      <c r="K265" s="147" t="str">
        <f>VLOOKUP(tabPostos[[#This Row],[CCT DA CATEGORIA]],'RELAÇÃO SINDICATOS'!A:N,12,0)</f>
        <v>-</v>
      </c>
      <c r="L265" s="147" t="str">
        <f>VLOOKUP(tabPostos[[#This Row],[CCT DA CATEGORIA]],'RELAÇÃO SINDICATOS'!A:N,13,0)</f>
        <v>-</v>
      </c>
      <c r="M265" s="147" t="str">
        <f>VLOOKUP(tabPostos[[#This Row],[CCT DA CATEGORIA]],'RELAÇÃO SINDICATOS'!A:N,14,0)</f>
        <v>MG000016/2025</v>
      </c>
    </row>
    <row r="266" spans="1:13">
      <c r="A266" s="147" t="str" cm="1">
        <f t="array" ref="A26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1.231.31</v>
      </c>
      <c r="B266" s="199" t="s">
        <v>1192</v>
      </c>
      <c r="C266" s="199" t="s">
        <v>254</v>
      </c>
      <c r="D266" s="199" t="str" cm="1">
        <f t="array" ref="D26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66" s="147" t="s">
        <v>1090</v>
      </c>
      <c r="F266" s="147" t="s">
        <v>120</v>
      </c>
      <c r="G266" s="147">
        <v>1</v>
      </c>
      <c r="H266" s="147">
        <v>0</v>
      </c>
      <c r="I266" s="214">
        <f>1.07*1.07*1.065*1.1016*1833.89+0.01</f>
        <v>2463.2933579678438</v>
      </c>
      <c r="J266" s="249">
        <f>VLOOKUP(tabPostos[[#This Row],[CCT DA CATEGORIA]],'RELAÇÃO SINDICATOS'!A:N,11,0)</f>
        <v>45658</v>
      </c>
      <c r="K266" s="147" t="str">
        <f>VLOOKUP(tabPostos[[#This Row],[CCT DA CATEGORIA]],'RELAÇÃO SINDICATOS'!A:N,12,0)</f>
        <v>-</v>
      </c>
      <c r="L266" s="147" t="str">
        <f>VLOOKUP(tabPostos[[#This Row],[CCT DA CATEGORIA]],'RELAÇÃO SINDICATOS'!A:N,13,0)</f>
        <v>-</v>
      </c>
      <c r="M266" s="147" t="str">
        <f>VLOOKUP(tabPostos[[#This Row],[CCT DA CATEGORIA]],'RELAÇÃO SINDICATOS'!A:N,14,0)</f>
        <v>MG000016/2025</v>
      </c>
    </row>
    <row r="267" spans="1:13">
      <c r="A267" s="147" t="str" cm="1">
        <f t="array" ref="A26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1.231.35</v>
      </c>
      <c r="B267" s="199" t="s">
        <v>1192</v>
      </c>
      <c r="C267" s="199" t="s">
        <v>274</v>
      </c>
      <c r="D267" s="199" t="str" cm="1">
        <f t="array" ref="D26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RMBH + SEAC-MG</v>
      </c>
      <c r="E267" s="147" t="s">
        <v>1090</v>
      </c>
      <c r="F267" s="147" t="s">
        <v>120</v>
      </c>
      <c r="G267" s="147">
        <v>2</v>
      </c>
      <c r="H267" s="147">
        <v>0</v>
      </c>
      <c r="I267" s="214">
        <f>1.05*1.07*1.065*1.1016*1.0435*3246.71</f>
        <v>4465.6282221988586</v>
      </c>
      <c r="J267" s="249">
        <f>VLOOKUP(tabPostos[[#This Row],[CCT DA CATEGORIA]],'RELAÇÃO SINDICATOS'!A:N,11,0)</f>
        <v>45658</v>
      </c>
      <c r="K267" s="147" t="str">
        <f>VLOOKUP(tabPostos[[#This Row],[CCT DA CATEGORIA]],'RELAÇÃO SINDICATOS'!A:N,12,0)</f>
        <v>-</v>
      </c>
      <c r="L267" s="147" t="str">
        <f>VLOOKUP(tabPostos[[#This Row],[CCT DA CATEGORIA]],'RELAÇÃO SINDICATOS'!A:N,13,0)</f>
        <v>-</v>
      </c>
      <c r="M267" s="147" t="str">
        <f>VLOOKUP(tabPostos[[#This Row],[CCT DA CATEGORIA]],'RELAÇÃO SINDICATOS'!A:N,14,0)</f>
        <v>MG001489/2025</v>
      </c>
    </row>
    <row r="268" spans="1:13">
      <c r="A268" s="147" t="str" cm="1">
        <f t="array" ref="A26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1.231.43</v>
      </c>
      <c r="B268" s="199" t="s">
        <v>1192</v>
      </c>
      <c r="C268" s="199" t="s">
        <v>314</v>
      </c>
      <c r="D268" s="199" t="str" cm="1">
        <f t="array" ref="D26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68" s="147" t="s">
        <v>1090</v>
      </c>
      <c r="F268" s="147" t="s">
        <v>120</v>
      </c>
      <c r="G268" s="147">
        <v>1</v>
      </c>
      <c r="H268" s="147">
        <v>0</v>
      </c>
      <c r="I268" s="214">
        <f>1.07*1.07*1.065*1.1016*1589.34</f>
        <v>2134.8034899326635</v>
      </c>
      <c r="J268" s="249">
        <f>VLOOKUP(tabPostos[[#This Row],[CCT DA CATEGORIA]],'RELAÇÃO SINDICATOS'!A:N,11,0)</f>
        <v>45658</v>
      </c>
      <c r="K268" s="147" t="str">
        <f>VLOOKUP(tabPostos[[#This Row],[CCT DA CATEGORIA]],'RELAÇÃO SINDICATOS'!A:N,12,0)</f>
        <v>-</v>
      </c>
      <c r="L268" s="147" t="str">
        <f>VLOOKUP(tabPostos[[#This Row],[CCT DA CATEGORIA]],'RELAÇÃO SINDICATOS'!A:N,13,0)</f>
        <v>-</v>
      </c>
      <c r="M268" s="147" t="str">
        <f>VLOOKUP(tabPostos[[#This Row],[CCT DA CATEGORIA]],'RELAÇÃO SINDICATOS'!A:N,14,0)</f>
        <v>MG000016/2025</v>
      </c>
    </row>
    <row r="269" spans="1:13">
      <c r="A269" s="147" t="str" cm="1">
        <f t="array" ref="A26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1.231.45</v>
      </c>
      <c r="B269" s="199" t="s">
        <v>1192</v>
      </c>
      <c r="C269" s="199" t="s">
        <v>324</v>
      </c>
      <c r="D269" s="199" t="str" cm="1">
        <f t="array" ref="D26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69" s="147" t="s">
        <v>1090</v>
      </c>
      <c r="F269" s="147" t="s">
        <v>120</v>
      </c>
      <c r="G269" s="147">
        <v>2</v>
      </c>
      <c r="H269" s="147">
        <v>0</v>
      </c>
      <c r="I269" s="214">
        <f>1.07*1.07*1.065*1.1016*2529.13</f>
        <v>3397.1306016921476</v>
      </c>
      <c r="J269" s="249">
        <f>VLOOKUP(tabPostos[[#This Row],[CCT DA CATEGORIA]],'RELAÇÃO SINDICATOS'!A:N,11,0)</f>
        <v>45658</v>
      </c>
      <c r="K269" s="147" t="str">
        <f>VLOOKUP(tabPostos[[#This Row],[CCT DA CATEGORIA]],'RELAÇÃO SINDICATOS'!A:N,12,0)</f>
        <v>-</v>
      </c>
      <c r="L269" s="147" t="str">
        <f>VLOOKUP(tabPostos[[#This Row],[CCT DA CATEGORIA]],'RELAÇÃO SINDICATOS'!A:N,13,0)</f>
        <v>-</v>
      </c>
      <c r="M269" s="147" t="str">
        <f>VLOOKUP(tabPostos[[#This Row],[CCT DA CATEGORIA]],'RELAÇÃO SINDICATOS'!A:N,14,0)</f>
        <v>MG000016/2025</v>
      </c>
    </row>
    <row r="270" spans="1:13">
      <c r="A270" s="147" t="str" cm="1">
        <f t="array" ref="A27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1.549.43</v>
      </c>
      <c r="B270" s="199" t="s">
        <v>1193</v>
      </c>
      <c r="C270" s="199" t="s">
        <v>314</v>
      </c>
      <c r="D270" s="199" t="str" cm="1">
        <f t="array" ref="D27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Ouro Preto</v>
      </c>
      <c r="E270" s="147" t="s">
        <v>1090</v>
      </c>
      <c r="F270" s="147" t="s">
        <v>120</v>
      </c>
      <c r="G270" s="147">
        <v>1</v>
      </c>
      <c r="H270" s="147">
        <v>0</v>
      </c>
      <c r="I270" s="214">
        <f>1.07*1.07*1.065*1.1016*1461.74</f>
        <v>1963.4110092077037</v>
      </c>
      <c r="J270" s="249">
        <f>VLOOKUP(tabPostos[[#This Row],[CCT DA CATEGORIA]],'RELAÇÃO SINDICATOS'!A:N,11,0)</f>
        <v>45658</v>
      </c>
      <c r="K270" s="147" t="str">
        <f>VLOOKUP(tabPostos[[#This Row],[CCT DA CATEGORIA]],'RELAÇÃO SINDICATOS'!A:N,12,0)</f>
        <v>-</v>
      </c>
      <c r="L270" s="147" t="str">
        <f>VLOOKUP(tabPostos[[#This Row],[CCT DA CATEGORIA]],'RELAÇÃO SINDICATOS'!A:N,13,0)</f>
        <v>-</v>
      </c>
      <c r="M270" s="147" t="str">
        <f>VLOOKUP(tabPostos[[#This Row],[CCT DA CATEGORIA]],'RELAÇÃO SINDICATOS'!A:N,14,0)</f>
        <v>MG000212/2025</v>
      </c>
    </row>
    <row r="271" spans="1:13">
      <c r="A271" s="147" t="str" cm="1">
        <f t="array" ref="A27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1.555.43</v>
      </c>
      <c r="B271" s="199" t="s">
        <v>1194</v>
      </c>
      <c r="C271" s="199" t="s">
        <v>314</v>
      </c>
      <c r="D271" s="199" t="str" cm="1">
        <f t="array" ref="D27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271" s="147" t="s">
        <v>1090</v>
      </c>
      <c r="F271" s="147" t="s">
        <v>120</v>
      </c>
      <c r="G271" s="147">
        <v>1</v>
      </c>
      <c r="H271" s="147">
        <v>0</v>
      </c>
      <c r="I271" s="214">
        <f>1.07*1.07*1.065*1.1016*1.045*1398.79</f>
        <v>1963.4050319620983</v>
      </c>
      <c r="J271" s="249">
        <f>VLOOKUP(tabPostos[[#This Row],[CCT DA CATEGORIA]],'RELAÇÃO SINDICATOS'!A:N,11,0)</f>
        <v>45658</v>
      </c>
      <c r="K271" s="147" t="str">
        <f>VLOOKUP(tabPostos[[#This Row],[CCT DA CATEGORIA]],'RELAÇÃO SINDICATOS'!A:N,12,0)</f>
        <v>-</v>
      </c>
      <c r="L271" s="147" t="str">
        <f>VLOOKUP(tabPostos[[#This Row],[CCT DA CATEGORIA]],'RELAÇÃO SINDICATOS'!A:N,13,0)</f>
        <v>-</v>
      </c>
      <c r="M271" s="147" t="str">
        <f>VLOOKUP(tabPostos[[#This Row],[CCT DA CATEGORIA]],'RELAÇÃO SINDICATOS'!A:N,14,0)</f>
        <v>MG001106/2025</v>
      </c>
    </row>
    <row r="272" spans="1:13">
      <c r="A272" s="147" t="str" cm="1">
        <f t="array" ref="A27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1.560.43</v>
      </c>
      <c r="B272" s="199" t="s">
        <v>1195</v>
      </c>
      <c r="C272" s="199" t="s">
        <v>314</v>
      </c>
      <c r="D272" s="199" t="str" cm="1">
        <f t="array" ref="D27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272" s="147" t="s">
        <v>1090</v>
      </c>
      <c r="F272" s="147" t="s">
        <v>120</v>
      </c>
      <c r="G272" s="147">
        <v>1</v>
      </c>
      <c r="H272" s="147">
        <v>0</v>
      </c>
      <c r="I272" s="214">
        <f>1.07*1.07*1.065*1.1016*1461.74</f>
        <v>1963.4110092077037</v>
      </c>
      <c r="J272" s="249">
        <f>VLOOKUP(tabPostos[[#This Row],[CCT DA CATEGORIA]],'RELAÇÃO SINDICATOS'!A:N,11,0)</f>
        <v>45658</v>
      </c>
      <c r="K272" s="147" t="str">
        <f>VLOOKUP(tabPostos[[#This Row],[CCT DA CATEGORIA]],'RELAÇÃO SINDICATOS'!A:N,12,0)</f>
        <v>-</v>
      </c>
      <c r="L272" s="147" t="str">
        <f>VLOOKUP(tabPostos[[#This Row],[CCT DA CATEGORIA]],'RELAÇÃO SINDICATOS'!A:N,13,0)</f>
        <v>-</v>
      </c>
      <c r="M272" s="147" t="str">
        <f>VLOOKUP(tabPostos[[#This Row],[CCT DA CATEGORIA]],'RELAÇÃO SINDICATOS'!A:N,14,0)</f>
        <v>MG004482/2024</v>
      </c>
    </row>
    <row r="273" spans="1:13" ht="15.75" customHeight="1">
      <c r="A273" s="147" t="str" cm="1">
        <f t="array" ref="A27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1.567.43</v>
      </c>
      <c r="B273" s="199" t="s">
        <v>1196</v>
      </c>
      <c r="C273" s="199" t="s">
        <v>314</v>
      </c>
      <c r="D273" s="199" t="str" cm="1">
        <f t="array" ref="D27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73" s="147" t="s">
        <v>1090</v>
      </c>
      <c r="F273" s="147" t="s">
        <v>120</v>
      </c>
      <c r="G273" s="147">
        <v>1</v>
      </c>
      <c r="H273" s="147">
        <v>0</v>
      </c>
      <c r="I273" s="214">
        <f>1.07*1.07*1.065*1.1016*1589.34</f>
        <v>2134.8034899326635</v>
      </c>
      <c r="J273" s="249">
        <f>VLOOKUP(tabPostos[[#This Row],[CCT DA CATEGORIA]],'RELAÇÃO SINDICATOS'!A:N,11,0)</f>
        <v>45658</v>
      </c>
      <c r="K273" s="147" t="str">
        <f>VLOOKUP(tabPostos[[#This Row],[CCT DA CATEGORIA]],'RELAÇÃO SINDICATOS'!A:N,12,0)</f>
        <v>-</v>
      </c>
      <c r="L273" s="147" t="str">
        <f>VLOOKUP(tabPostos[[#This Row],[CCT DA CATEGORIA]],'RELAÇÃO SINDICATOS'!A:N,13,0)</f>
        <v>-</v>
      </c>
      <c r="M273" s="147" t="str">
        <f>VLOOKUP(tabPostos[[#This Row],[CCT DA CATEGORIA]],'RELAÇÃO SINDICATOS'!A:N,14,0)</f>
        <v>MG000016/2025</v>
      </c>
    </row>
    <row r="274" spans="1:13">
      <c r="A274" s="147" t="str" cm="1">
        <f t="array" ref="A27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1.567.45</v>
      </c>
      <c r="B274" s="199" t="s">
        <v>1196</v>
      </c>
      <c r="C274" s="199" t="s">
        <v>324</v>
      </c>
      <c r="D274" s="199" t="str" cm="1">
        <f t="array" ref="D27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74" s="147" t="s">
        <v>1090</v>
      </c>
      <c r="F274" s="147" t="s">
        <v>120</v>
      </c>
      <c r="G274" s="147">
        <v>1</v>
      </c>
      <c r="H274" s="147">
        <v>0</v>
      </c>
      <c r="I274" s="214">
        <f>1.07*1.07*1.065*1.1016*2529.13</f>
        <v>3397.1306016921476</v>
      </c>
      <c r="J274" s="249">
        <f>VLOOKUP(tabPostos[[#This Row],[CCT DA CATEGORIA]],'RELAÇÃO SINDICATOS'!A:N,11,0)</f>
        <v>45658</v>
      </c>
      <c r="K274" s="147" t="str">
        <f>VLOOKUP(tabPostos[[#This Row],[CCT DA CATEGORIA]],'RELAÇÃO SINDICATOS'!A:N,12,0)</f>
        <v>-</v>
      </c>
      <c r="L274" s="147" t="str">
        <f>VLOOKUP(tabPostos[[#This Row],[CCT DA CATEGORIA]],'RELAÇÃO SINDICATOS'!A:N,13,0)</f>
        <v>-</v>
      </c>
      <c r="M274" s="147" t="str">
        <f>VLOOKUP(tabPostos[[#This Row],[CCT DA CATEGORIA]],'RELAÇÃO SINDICATOS'!A:N,14,0)</f>
        <v>MG000016/2025</v>
      </c>
    </row>
    <row r="275" spans="1:13">
      <c r="A275" s="147" t="str" cm="1">
        <f t="array" ref="A27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1.572.45</v>
      </c>
      <c r="B275" s="199" t="s">
        <v>1197</v>
      </c>
      <c r="C275" s="199" t="s">
        <v>324</v>
      </c>
      <c r="D275" s="199" t="str" cm="1">
        <f t="array" ref="D27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Joao Monlevade</v>
      </c>
      <c r="E275" s="147" t="s">
        <v>1090</v>
      </c>
      <c r="F275" s="147" t="s">
        <v>120</v>
      </c>
      <c r="G275" s="147">
        <v>1</v>
      </c>
      <c r="H275" s="147">
        <v>0</v>
      </c>
      <c r="I275" s="214">
        <f>1.07*1.07*1.065*1.1016*1.045*1650.15</f>
        <v>2316.2253186627422</v>
      </c>
      <c r="J275" s="249">
        <f>VLOOKUP(tabPostos[[#This Row],[CCT DA CATEGORIA]],'RELAÇÃO SINDICATOS'!A:N,11,0)</f>
        <v>45658</v>
      </c>
      <c r="K275" s="147" t="str">
        <f>VLOOKUP(tabPostos[[#This Row],[CCT DA CATEGORIA]],'RELAÇÃO SINDICATOS'!A:N,12,0)</f>
        <v>-</v>
      </c>
      <c r="L275" s="147" t="str">
        <f>VLOOKUP(tabPostos[[#This Row],[CCT DA CATEGORIA]],'RELAÇÃO SINDICATOS'!A:N,13,0)</f>
        <v>-</v>
      </c>
      <c r="M275" s="147" t="str">
        <f>VLOOKUP(tabPostos[[#This Row],[CCT DA CATEGORIA]],'RELAÇÃO SINDICATOS'!A:N,14,0)</f>
        <v>MG001172/2025</v>
      </c>
    </row>
    <row r="276" spans="1:13">
      <c r="A276" s="147" t="str" cm="1">
        <f t="array" ref="A27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1.245.35</v>
      </c>
      <c r="B276" s="199" t="s">
        <v>1198</v>
      </c>
      <c r="C276" s="199" t="s">
        <v>274</v>
      </c>
      <c r="D276" s="199" t="str" cm="1">
        <f t="array" ref="D27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RMBH + SEAC-MG</v>
      </c>
      <c r="E276" s="147" t="s">
        <v>1090</v>
      </c>
      <c r="F276" s="147" t="s">
        <v>120</v>
      </c>
      <c r="G276" s="147">
        <v>1</v>
      </c>
      <c r="H276" s="147">
        <v>0</v>
      </c>
      <c r="I276" s="214">
        <f>1.05*1.07*1.065*1.1016*1.0435*3246.71</f>
        <v>4465.6282221988586</v>
      </c>
      <c r="J276" s="249">
        <f>VLOOKUP(tabPostos[[#This Row],[CCT DA CATEGORIA]],'RELAÇÃO SINDICATOS'!A:N,11,0)</f>
        <v>45658</v>
      </c>
      <c r="K276" s="147" t="str">
        <f>VLOOKUP(tabPostos[[#This Row],[CCT DA CATEGORIA]],'RELAÇÃO SINDICATOS'!A:N,12,0)</f>
        <v>-</v>
      </c>
      <c r="L276" s="147" t="str">
        <f>VLOOKUP(tabPostos[[#This Row],[CCT DA CATEGORIA]],'RELAÇÃO SINDICATOS'!A:N,13,0)</f>
        <v>-</v>
      </c>
      <c r="M276" s="147" t="str">
        <f>VLOOKUP(tabPostos[[#This Row],[CCT DA CATEGORIA]],'RELAÇÃO SINDICATOS'!A:N,14,0)</f>
        <v>MG001489/2025</v>
      </c>
    </row>
    <row r="277" spans="1:13">
      <c r="A277" s="147" t="str" cm="1">
        <f t="array" ref="A27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1.245.44</v>
      </c>
      <c r="B277" s="199" t="s">
        <v>1198</v>
      </c>
      <c r="C277" s="199" t="s">
        <v>319</v>
      </c>
      <c r="D277" s="199" t="str" cm="1">
        <f t="array" ref="D27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Sind - Asseio</v>
      </c>
      <c r="E277" s="147" t="s">
        <v>1090</v>
      </c>
      <c r="F277" s="147" t="s">
        <v>120</v>
      </c>
      <c r="G277" s="147">
        <v>1</v>
      </c>
      <c r="H277" s="147">
        <v>0</v>
      </c>
      <c r="I277" s="214">
        <f>1.07*1.07*1.065*1.1016*1724.41</f>
        <v>2316.2296840668359</v>
      </c>
      <c r="J277" s="249">
        <f>VLOOKUP(tabPostos[[#This Row],[CCT DA CATEGORIA]],'RELAÇÃO SINDICATOS'!A:N,11,0)</f>
        <v>45658</v>
      </c>
      <c r="K277" s="147" t="str">
        <f>VLOOKUP(tabPostos[[#This Row],[CCT DA CATEGORIA]],'RELAÇÃO SINDICATOS'!A:N,12,0)</f>
        <v>-</v>
      </c>
      <c r="L277" s="147" t="str">
        <f>VLOOKUP(tabPostos[[#This Row],[CCT DA CATEGORIA]],'RELAÇÃO SINDICATOS'!A:N,13,0)</f>
        <v>-</v>
      </c>
      <c r="M277" s="147" t="str">
        <f>VLOOKUP(tabPostos[[#This Row],[CCT DA CATEGORIA]],'RELAÇÃO SINDICATOS'!A:N,14,0)</f>
        <v>MG000016/2025</v>
      </c>
    </row>
    <row r="278" spans="1:13">
      <c r="A278" s="147" t="str" cm="1">
        <f t="array" ref="A27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1.592.45</v>
      </c>
      <c r="B278" s="199" t="s">
        <v>1199</v>
      </c>
      <c r="C278" s="199" t="s">
        <v>324</v>
      </c>
      <c r="D278" s="199" t="str" cm="1">
        <f t="array" ref="D27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78" s="147" t="s">
        <v>1090</v>
      </c>
      <c r="F278" s="147" t="s">
        <v>120</v>
      </c>
      <c r="G278" s="147">
        <v>1</v>
      </c>
      <c r="H278" s="147">
        <v>0</v>
      </c>
      <c r="I278" s="214">
        <f>1.07*1.07*1.065*1.1016*1.045*2420.22</f>
        <v>3397.130467372021</v>
      </c>
      <c r="J278" s="249">
        <f>VLOOKUP(tabPostos[[#This Row],[CCT DA CATEGORIA]],'RELAÇÃO SINDICATOS'!A:N,11,0)</f>
        <v>45658</v>
      </c>
      <c r="K278" s="147" t="str">
        <f>VLOOKUP(tabPostos[[#This Row],[CCT DA CATEGORIA]],'RELAÇÃO SINDICATOS'!A:N,12,0)</f>
        <v>-</v>
      </c>
      <c r="L278" s="147" t="str">
        <f>VLOOKUP(tabPostos[[#This Row],[CCT DA CATEGORIA]],'RELAÇÃO SINDICATOS'!A:N,13,0)</f>
        <v>-</v>
      </c>
      <c r="M278" s="147" t="str">
        <f>VLOOKUP(tabPostos[[#This Row],[CCT DA CATEGORIA]],'RELAÇÃO SINDICATOS'!A:N,14,0)</f>
        <v>MG000594/2025</v>
      </c>
    </row>
    <row r="279" spans="1:13">
      <c r="A279" s="147" t="str" cm="1">
        <f t="array" ref="A27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1.604.43</v>
      </c>
      <c r="B279" s="199" t="s">
        <v>1200</v>
      </c>
      <c r="C279" s="199" t="s">
        <v>314</v>
      </c>
      <c r="D279" s="199" t="str" cm="1">
        <f t="array" ref="D27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Divinopolis</v>
      </c>
      <c r="E279" s="147" t="s">
        <v>1090</v>
      </c>
      <c r="F279" s="147" t="s">
        <v>120</v>
      </c>
      <c r="G279" s="147">
        <v>1</v>
      </c>
      <c r="H279" s="147">
        <v>0</v>
      </c>
      <c r="I279" s="214">
        <f>1.07*1.07*1.065*1.1016*1.045*1398.79</f>
        <v>1963.4050319620983</v>
      </c>
      <c r="J279" s="249">
        <f>VLOOKUP(tabPostos[[#This Row],[CCT DA CATEGORIA]],'RELAÇÃO SINDICATOS'!A:N,11,0)</f>
        <v>45658</v>
      </c>
      <c r="K279" s="147" t="str">
        <f>VLOOKUP(tabPostos[[#This Row],[CCT DA CATEGORIA]],'RELAÇÃO SINDICATOS'!A:N,12,0)</f>
        <v>-</v>
      </c>
      <c r="L279" s="147" t="str">
        <f>VLOOKUP(tabPostos[[#This Row],[CCT DA CATEGORIA]],'RELAÇÃO SINDICATOS'!A:N,13,0)</f>
        <v>-</v>
      </c>
      <c r="M279" s="147" t="str">
        <f>VLOOKUP(tabPostos[[#This Row],[CCT DA CATEGORIA]],'RELAÇÃO SINDICATOS'!A:N,14,0)</f>
        <v>MG001011/2025</v>
      </c>
    </row>
    <row r="280" spans="1:13">
      <c r="A280" s="147" t="str" cm="1">
        <f t="array" ref="A28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1.607.13</v>
      </c>
      <c r="B280" s="199" t="s">
        <v>1201</v>
      </c>
      <c r="C280" s="199" t="s">
        <v>200</v>
      </c>
      <c r="D280" s="199" t="str" cm="1">
        <f t="array" ref="D28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280" s="147" t="s">
        <v>1090</v>
      </c>
      <c r="F280" s="147" t="s">
        <v>120</v>
      </c>
      <c r="G280" s="147">
        <v>1</v>
      </c>
      <c r="H280" s="147">
        <v>0</v>
      </c>
      <c r="I280" s="214">
        <f>1.07*1.07*1.065*1.1016*1188.41</f>
        <v>1596.273808921236</v>
      </c>
      <c r="J280" s="249">
        <f>VLOOKUP(tabPostos[[#This Row],[CCT DA CATEGORIA]],'RELAÇÃO SINDICATOS'!A:N,11,0)</f>
        <v>45658</v>
      </c>
      <c r="K280" s="147" t="str">
        <f>VLOOKUP(tabPostos[[#This Row],[CCT DA CATEGORIA]],'RELAÇÃO SINDICATOS'!A:N,12,0)</f>
        <v>-</v>
      </c>
      <c r="L280" s="147" t="str">
        <f>VLOOKUP(tabPostos[[#This Row],[CCT DA CATEGORIA]],'RELAÇÃO SINDICATOS'!A:N,13,0)</f>
        <v>-</v>
      </c>
      <c r="M280" s="147" t="str">
        <f>VLOOKUP(tabPostos[[#This Row],[CCT DA CATEGORIA]],'RELAÇÃO SINDICATOS'!A:N,14,0)</f>
        <v>MG000506/2025</v>
      </c>
    </row>
    <row r="281" spans="1:13">
      <c r="A281" s="147" t="str" cm="1">
        <f t="array" ref="A28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1.611.28</v>
      </c>
      <c r="B281" s="199" t="s">
        <v>1202</v>
      </c>
      <c r="C281" s="199" t="s">
        <v>244</v>
      </c>
      <c r="D281" s="199" t="str" cm="1">
        <f t="array" ref="D28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81" s="147" t="s">
        <v>1090</v>
      </c>
      <c r="F281" s="147" t="s">
        <v>120</v>
      </c>
      <c r="G281" s="147">
        <v>1</v>
      </c>
      <c r="H281" s="147">
        <v>0</v>
      </c>
      <c r="I281" s="214">
        <f>1.07*1.07*1.065*1.1016*1709.48</f>
        <v>2296.1756892610078</v>
      </c>
      <c r="J281" s="249">
        <f>VLOOKUP(tabPostos[[#This Row],[CCT DA CATEGORIA]],'RELAÇÃO SINDICATOS'!A:N,11,0)</f>
        <v>45658</v>
      </c>
      <c r="K281" s="147" t="str">
        <f>VLOOKUP(tabPostos[[#This Row],[CCT DA CATEGORIA]],'RELAÇÃO SINDICATOS'!A:N,12,0)</f>
        <v>-</v>
      </c>
      <c r="L281" s="147" t="str">
        <f>VLOOKUP(tabPostos[[#This Row],[CCT DA CATEGORIA]],'RELAÇÃO SINDICATOS'!A:N,13,0)</f>
        <v>-</v>
      </c>
      <c r="M281" s="147" t="str">
        <f>VLOOKUP(tabPostos[[#This Row],[CCT DA CATEGORIA]],'RELAÇÃO SINDICATOS'!A:N,14,0)</f>
        <v>MG000256/2025</v>
      </c>
    </row>
    <row r="282" spans="1:13">
      <c r="A282" s="147" t="str" cm="1">
        <f t="array" ref="A28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1.611.43</v>
      </c>
      <c r="B282" s="199" t="s">
        <v>1202</v>
      </c>
      <c r="C282" s="199" t="s">
        <v>314</v>
      </c>
      <c r="D282" s="199" t="str" cm="1">
        <f t="array" ref="D28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82" s="147" t="s">
        <v>1090</v>
      </c>
      <c r="F282" s="147" t="s">
        <v>120</v>
      </c>
      <c r="G282" s="147">
        <v>1</v>
      </c>
      <c r="H282" s="147">
        <v>0</v>
      </c>
      <c r="I282" s="214">
        <f>1.07*1.07*1.065*1.1016*1461.74</f>
        <v>1963.4110092077037</v>
      </c>
      <c r="J282" s="249">
        <f>VLOOKUP(tabPostos[[#This Row],[CCT DA CATEGORIA]],'RELAÇÃO SINDICATOS'!A:N,11,0)</f>
        <v>45658</v>
      </c>
      <c r="K282" s="147" t="str">
        <f>VLOOKUP(tabPostos[[#This Row],[CCT DA CATEGORIA]],'RELAÇÃO SINDICATOS'!A:N,12,0)</f>
        <v>-</v>
      </c>
      <c r="L282" s="147" t="str">
        <f>VLOOKUP(tabPostos[[#This Row],[CCT DA CATEGORIA]],'RELAÇÃO SINDICATOS'!A:N,13,0)</f>
        <v>-</v>
      </c>
      <c r="M282" s="147" t="str">
        <f>VLOOKUP(tabPostos[[#This Row],[CCT DA CATEGORIA]],'RELAÇÃO SINDICATOS'!A:N,14,0)</f>
        <v>MG000256/2025</v>
      </c>
    </row>
    <row r="283" spans="1:13">
      <c r="A283" s="147" t="str" cm="1">
        <f t="array" ref="A28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1.621.45</v>
      </c>
      <c r="B283" s="199" t="s">
        <v>1203</v>
      </c>
      <c r="C283" s="199" t="s">
        <v>324</v>
      </c>
      <c r="D283" s="199" t="str" cm="1">
        <f t="array" ref="D28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283" s="147" t="s">
        <v>1090</v>
      </c>
      <c r="F283" s="147" t="s">
        <v>120</v>
      </c>
      <c r="G283" s="147">
        <v>1</v>
      </c>
      <c r="H283" s="147">
        <v>0</v>
      </c>
      <c r="I283" s="214">
        <f>1.07*1.07*1.065*1.1016*1.045*2420.22</f>
        <v>3397.130467372021</v>
      </c>
      <c r="J283" s="249">
        <f>VLOOKUP(tabPostos[[#This Row],[CCT DA CATEGORIA]],'RELAÇÃO SINDICATOS'!A:N,11,0)</f>
        <v>45658</v>
      </c>
      <c r="K283" s="147" t="str">
        <f>VLOOKUP(tabPostos[[#This Row],[CCT DA CATEGORIA]],'RELAÇÃO SINDICATOS'!A:N,12,0)</f>
        <v>-</v>
      </c>
      <c r="L283" s="147" t="str">
        <f>VLOOKUP(tabPostos[[#This Row],[CCT DA CATEGORIA]],'RELAÇÃO SINDICATOS'!A:N,13,0)</f>
        <v>-</v>
      </c>
      <c r="M283" s="147" t="str">
        <f>VLOOKUP(tabPostos[[#This Row],[CCT DA CATEGORIA]],'RELAÇÃO SINDICATOS'!A:N,14,0)</f>
        <v>MG001106/2025</v>
      </c>
    </row>
    <row r="284" spans="1:13">
      <c r="A284" s="147" t="str" cm="1">
        <f t="array" ref="A28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1.624.43</v>
      </c>
      <c r="B284" s="199" t="s">
        <v>1204</v>
      </c>
      <c r="C284" s="199" t="s">
        <v>314</v>
      </c>
      <c r="D284" s="199" t="str" cm="1">
        <f t="array" ref="D28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84" s="147" t="s">
        <v>1090</v>
      </c>
      <c r="F284" s="147" t="s">
        <v>120</v>
      </c>
      <c r="G284" s="147">
        <v>1</v>
      </c>
      <c r="H284" s="147">
        <v>0</v>
      </c>
      <c r="I284" s="214">
        <f>1.07*1.07*1.065*1.1016*1461.74</f>
        <v>1963.4110092077037</v>
      </c>
      <c r="J284" s="249">
        <f>VLOOKUP(tabPostos[[#This Row],[CCT DA CATEGORIA]],'RELAÇÃO SINDICATOS'!A:N,11,0)</f>
        <v>45658</v>
      </c>
      <c r="K284" s="147" t="str">
        <f>VLOOKUP(tabPostos[[#This Row],[CCT DA CATEGORIA]],'RELAÇÃO SINDICATOS'!A:N,12,0)</f>
        <v>-</v>
      </c>
      <c r="L284" s="147" t="str">
        <f>VLOOKUP(tabPostos[[#This Row],[CCT DA CATEGORIA]],'RELAÇÃO SINDICATOS'!A:N,13,0)</f>
        <v>-</v>
      </c>
      <c r="M284" s="147" t="str">
        <f>VLOOKUP(tabPostos[[#This Row],[CCT DA CATEGORIA]],'RELAÇÃO SINDICATOS'!A:N,14,0)</f>
        <v>MG000256/2025</v>
      </c>
    </row>
    <row r="285" spans="1:13">
      <c r="A285" s="147" t="str" cm="1">
        <f t="array" ref="A28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1.625.35</v>
      </c>
      <c r="B285" s="199" t="s">
        <v>1205</v>
      </c>
      <c r="C285" s="199" t="s">
        <v>274</v>
      </c>
      <c r="D285" s="199" t="str" cm="1">
        <f t="array" ref="D28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Sao Joao Del Rei + SEAC-MG</v>
      </c>
      <c r="E285" s="147" t="s">
        <v>1090</v>
      </c>
      <c r="F285" s="147" t="s">
        <v>120</v>
      </c>
      <c r="G285" s="147">
        <v>1</v>
      </c>
      <c r="H285" s="147">
        <v>0</v>
      </c>
      <c r="I285" s="214">
        <f>1.05*1.07*1.065*1.1016*1.0435*3344.11</f>
        <v>4599.5952808034681</v>
      </c>
      <c r="J285" s="249">
        <f>VLOOKUP(tabPostos[[#This Row],[CCT DA CATEGORIA]],'RELAÇÃO SINDICATOS'!A:N,11,0)</f>
        <v>45658</v>
      </c>
      <c r="K285" s="147" t="str">
        <f>VLOOKUP(tabPostos[[#This Row],[CCT DA CATEGORIA]],'RELAÇÃO SINDICATOS'!A:N,12,0)</f>
        <v>-</v>
      </c>
      <c r="L285" s="147" t="str">
        <f>VLOOKUP(tabPostos[[#This Row],[CCT DA CATEGORIA]],'RELAÇÃO SINDICATOS'!A:N,13,0)</f>
        <v>-</v>
      </c>
      <c r="M285" s="147" t="str">
        <f>VLOOKUP(tabPostos[[#This Row],[CCT DA CATEGORIA]],'RELAÇÃO SINDICATOS'!A:N,14,0)</f>
        <v>MG002513/2025</v>
      </c>
    </row>
    <row r="286" spans="1:13">
      <c r="A286" s="147" t="str" cm="1">
        <f t="array" ref="A28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1.625.41</v>
      </c>
      <c r="B286" s="199" t="s">
        <v>1205</v>
      </c>
      <c r="C286" s="199" t="s">
        <v>304</v>
      </c>
      <c r="D286" s="199" t="str" cm="1">
        <f t="array" ref="D28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286" s="147" t="s">
        <v>1090</v>
      </c>
      <c r="F286" s="147" t="s">
        <v>120</v>
      </c>
      <c r="G286" s="147">
        <v>2</v>
      </c>
      <c r="H286" s="147">
        <v>0</v>
      </c>
      <c r="I286" s="214">
        <f>1.07*1.07*1.065*1.1016*1461.74</f>
        <v>1963.4110092077037</v>
      </c>
      <c r="J286" s="249">
        <f>VLOOKUP(tabPostos[[#This Row],[CCT DA CATEGORIA]],'RELAÇÃO SINDICATOS'!A:N,11,0)</f>
        <v>45658</v>
      </c>
      <c r="K286" s="147" t="str">
        <f>VLOOKUP(tabPostos[[#This Row],[CCT DA CATEGORIA]],'RELAÇÃO SINDICATOS'!A:N,12,0)</f>
        <v>-</v>
      </c>
      <c r="L286" s="147" t="str">
        <f>VLOOKUP(tabPostos[[#This Row],[CCT DA CATEGORIA]],'RELAÇÃO SINDICATOS'!A:N,13,0)</f>
        <v>-</v>
      </c>
      <c r="M286" s="147" t="str">
        <f>VLOOKUP(tabPostos[[#This Row],[CCT DA CATEGORIA]],'RELAÇÃO SINDICATOS'!A:N,14,0)</f>
        <v>MG000506/2025</v>
      </c>
    </row>
    <row r="287" spans="1:13">
      <c r="A287" s="147" t="str" cm="1">
        <f t="array" ref="A28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1.625.42</v>
      </c>
      <c r="B287" s="199" t="s">
        <v>1205</v>
      </c>
      <c r="C287" s="199" t="s">
        <v>309</v>
      </c>
      <c r="D287" s="199" t="str" cm="1">
        <f t="array" ref="D28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287" s="147" t="s">
        <v>1090</v>
      </c>
      <c r="F287" s="147" t="s">
        <v>120</v>
      </c>
      <c r="G287" s="147">
        <v>2</v>
      </c>
      <c r="H287" s="147">
        <v>0</v>
      </c>
      <c r="I287" s="214">
        <f>1.07*1.07*1.065*1.1016*1461.74</f>
        <v>1963.4110092077037</v>
      </c>
      <c r="J287" s="249">
        <f>VLOOKUP(tabPostos[[#This Row],[CCT DA CATEGORIA]],'RELAÇÃO SINDICATOS'!A:N,11,0)</f>
        <v>45658</v>
      </c>
      <c r="K287" s="147" t="str">
        <f>VLOOKUP(tabPostos[[#This Row],[CCT DA CATEGORIA]],'RELAÇÃO SINDICATOS'!A:N,12,0)</f>
        <v>-</v>
      </c>
      <c r="L287" s="147" t="str">
        <f>VLOOKUP(tabPostos[[#This Row],[CCT DA CATEGORIA]],'RELAÇÃO SINDICATOS'!A:N,13,0)</f>
        <v>-</v>
      </c>
      <c r="M287" s="147" t="str">
        <f>VLOOKUP(tabPostos[[#This Row],[CCT DA CATEGORIA]],'RELAÇÃO SINDICATOS'!A:N,14,0)</f>
        <v>MG000506/2025</v>
      </c>
    </row>
    <row r="288" spans="1:13">
      <c r="A288" s="147" t="str" cm="1">
        <f t="array" ref="A28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1.625.45</v>
      </c>
      <c r="B288" s="199" t="s">
        <v>1205</v>
      </c>
      <c r="C288" s="199" t="s">
        <v>324</v>
      </c>
      <c r="D288" s="199" t="str" cm="1">
        <f t="array" ref="D28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288" s="147" t="s">
        <v>1090</v>
      </c>
      <c r="F288" s="147" t="s">
        <v>120</v>
      </c>
      <c r="G288" s="147">
        <v>1</v>
      </c>
      <c r="H288" s="147">
        <v>0</v>
      </c>
      <c r="I288" s="214">
        <f>1.07*1.07*1.065*1.1016*2529.13</f>
        <v>3397.1306016921476</v>
      </c>
      <c r="J288" s="249">
        <f>VLOOKUP(tabPostos[[#This Row],[CCT DA CATEGORIA]],'RELAÇÃO SINDICATOS'!A:N,11,0)</f>
        <v>45658</v>
      </c>
      <c r="K288" s="147" t="str">
        <f>VLOOKUP(tabPostos[[#This Row],[CCT DA CATEGORIA]],'RELAÇÃO SINDICATOS'!A:N,12,0)</f>
        <v>-</v>
      </c>
      <c r="L288" s="147" t="str">
        <f>VLOOKUP(tabPostos[[#This Row],[CCT DA CATEGORIA]],'RELAÇÃO SINDICATOS'!A:N,13,0)</f>
        <v>-</v>
      </c>
      <c r="M288" s="147" t="str">
        <f>VLOOKUP(tabPostos[[#This Row],[CCT DA CATEGORIA]],'RELAÇÃO SINDICATOS'!A:N,14,0)</f>
        <v>MG000506/2025</v>
      </c>
    </row>
    <row r="289" spans="1:13">
      <c r="A289" s="147" t="str" cm="1">
        <f t="array" ref="A28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1.637.41</v>
      </c>
      <c r="B289" s="199" t="s">
        <v>1032</v>
      </c>
      <c r="C289" s="199" t="s">
        <v>304</v>
      </c>
      <c r="D289" s="199" t="str" cm="1">
        <f t="array" ref="D28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Sao Lourenco</v>
      </c>
      <c r="E289" s="147" t="s">
        <v>1090</v>
      </c>
      <c r="F289" s="147" t="s">
        <v>120</v>
      </c>
      <c r="G289" s="147">
        <v>2</v>
      </c>
      <c r="H289" s="147">
        <v>0</v>
      </c>
      <c r="I289" s="214">
        <f>1.07*1.07*1.065*1.1016*1.045*1445.06</f>
        <v>2028.3517007464663</v>
      </c>
      <c r="J289" s="249">
        <f>VLOOKUP(tabPostos[[#This Row],[CCT DA CATEGORIA]],'RELAÇÃO SINDICATOS'!A:N,11,0)</f>
        <v>45658</v>
      </c>
      <c r="K289" s="147" t="str">
        <f>VLOOKUP(tabPostos[[#This Row],[CCT DA CATEGORIA]],'RELAÇÃO SINDICATOS'!A:N,12,0)</f>
        <v>-</v>
      </c>
      <c r="L289" s="147" t="str">
        <f>VLOOKUP(tabPostos[[#This Row],[CCT DA CATEGORIA]],'RELAÇÃO SINDICATOS'!A:N,13,0)</f>
        <v>-</v>
      </c>
      <c r="M289" s="147" t="str">
        <f>VLOOKUP(tabPostos[[#This Row],[CCT DA CATEGORIA]],'RELAÇÃO SINDICATOS'!A:N,14,0)</f>
        <v>MG000592/2025</v>
      </c>
    </row>
    <row r="290" spans="1:13">
      <c r="A290" s="147" t="str" cm="1">
        <f t="array" ref="A29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1.637.42</v>
      </c>
      <c r="B290" s="199" t="s">
        <v>1032</v>
      </c>
      <c r="C290" s="199" t="s">
        <v>309</v>
      </c>
      <c r="D290" s="199" t="str" cm="1">
        <f t="array" ref="D29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Sao Lourenco</v>
      </c>
      <c r="E290" s="147" t="s">
        <v>1090</v>
      </c>
      <c r="F290" s="147" t="s">
        <v>120</v>
      </c>
      <c r="G290" s="147">
        <v>2</v>
      </c>
      <c r="H290" s="147">
        <v>0</v>
      </c>
      <c r="I290" s="214">
        <f>1.07*1.07*1.065*1.1016*1.045*1445.06</f>
        <v>2028.3517007464663</v>
      </c>
      <c r="J290" s="249">
        <f>VLOOKUP(tabPostos[[#This Row],[CCT DA CATEGORIA]],'RELAÇÃO SINDICATOS'!A:N,11,0)</f>
        <v>45658</v>
      </c>
      <c r="K290" s="147" t="str">
        <f>VLOOKUP(tabPostos[[#This Row],[CCT DA CATEGORIA]],'RELAÇÃO SINDICATOS'!A:N,12,0)</f>
        <v>-</v>
      </c>
      <c r="L290" s="147" t="str">
        <f>VLOOKUP(tabPostos[[#This Row],[CCT DA CATEGORIA]],'RELAÇÃO SINDICATOS'!A:N,13,0)</f>
        <v>-</v>
      </c>
      <c r="M290" s="147" t="str">
        <f>VLOOKUP(tabPostos[[#This Row],[CCT DA CATEGORIA]],'RELAÇÃO SINDICATOS'!A:N,14,0)</f>
        <v>MG000592/2025</v>
      </c>
    </row>
    <row r="291" spans="1:13">
      <c r="A291" s="147" t="str" cm="1">
        <f t="array" ref="A29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1.642.43</v>
      </c>
      <c r="B291" s="199" t="s">
        <v>1206</v>
      </c>
      <c r="C291" s="199" t="s">
        <v>314</v>
      </c>
      <c r="D291" s="199" t="str" cm="1">
        <f t="array" ref="D29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91" s="147" t="s">
        <v>1090</v>
      </c>
      <c r="F291" s="147" t="s">
        <v>120</v>
      </c>
      <c r="G291" s="147">
        <v>1</v>
      </c>
      <c r="H291" s="147">
        <v>0</v>
      </c>
      <c r="I291" s="214">
        <f>1.07*1.07*1.065*1.1016*1461.74</f>
        <v>1963.4110092077037</v>
      </c>
      <c r="J291" s="249">
        <f>VLOOKUP(tabPostos[[#This Row],[CCT DA CATEGORIA]],'RELAÇÃO SINDICATOS'!A:N,11,0)</f>
        <v>45658</v>
      </c>
      <c r="K291" s="147" t="str">
        <f>VLOOKUP(tabPostos[[#This Row],[CCT DA CATEGORIA]],'RELAÇÃO SINDICATOS'!A:N,12,0)</f>
        <v>-</v>
      </c>
      <c r="L291" s="147" t="str">
        <f>VLOOKUP(tabPostos[[#This Row],[CCT DA CATEGORIA]],'RELAÇÃO SINDICATOS'!A:N,13,0)</f>
        <v>-</v>
      </c>
      <c r="M291" s="147" t="str">
        <f>VLOOKUP(tabPostos[[#This Row],[CCT DA CATEGORIA]],'RELAÇÃO SINDICATOS'!A:N,14,0)</f>
        <v>MG000256/2025</v>
      </c>
    </row>
    <row r="292" spans="1:13">
      <c r="A292" s="147" t="str" cm="1">
        <f t="array" ref="A29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1.647.13</v>
      </c>
      <c r="B292" s="199" t="s">
        <v>1207</v>
      </c>
      <c r="C292" s="199" t="s">
        <v>200</v>
      </c>
      <c r="D292" s="199" t="str" cm="1">
        <f t="array" ref="D29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92" s="147" t="s">
        <v>1090</v>
      </c>
      <c r="F292" s="147" t="s">
        <v>120</v>
      </c>
      <c r="G292" s="147">
        <v>1</v>
      </c>
      <c r="H292" s="147">
        <v>0</v>
      </c>
      <c r="I292" s="214">
        <f>1.07*1.07*1.065*1.1016*1188.41</f>
        <v>1596.273808921236</v>
      </c>
      <c r="J292" s="249">
        <f>VLOOKUP(tabPostos[[#This Row],[CCT DA CATEGORIA]],'RELAÇÃO SINDICATOS'!A:N,11,0)</f>
        <v>45658</v>
      </c>
      <c r="K292" s="147" t="str">
        <f>VLOOKUP(tabPostos[[#This Row],[CCT DA CATEGORIA]],'RELAÇÃO SINDICATOS'!A:N,12,0)</f>
        <v>-</v>
      </c>
      <c r="L292" s="147" t="str">
        <f>VLOOKUP(tabPostos[[#This Row],[CCT DA CATEGORIA]],'RELAÇÃO SINDICATOS'!A:N,13,0)</f>
        <v>-</v>
      </c>
      <c r="M292" s="147" t="str">
        <f>VLOOKUP(tabPostos[[#This Row],[CCT DA CATEGORIA]],'RELAÇÃO SINDICATOS'!A:N,14,0)</f>
        <v>MG000594/2025</v>
      </c>
    </row>
    <row r="293" spans="1:13">
      <c r="A293" s="147" t="str" cm="1">
        <f t="array" ref="A29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1.647.43</v>
      </c>
      <c r="B293" s="199" t="s">
        <v>1207</v>
      </c>
      <c r="C293" s="199" t="s">
        <v>314</v>
      </c>
      <c r="D293" s="199" t="str" cm="1">
        <f t="array" ref="D29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293" s="147" t="s">
        <v>1090</v>
      </c>
      <c r="F293" s="147" t="s">
        <v>120</v>
      </c>
      <c r="G293" s="147">
        <v>1</v>
      </c>
      <c r="H293" s="147">
        <v>0</v>
      </c>
      <c r="I293" s="214">
        <f>1.07*1.07*1.065*1.1016*1.045*1398.79</f>
        <v>1963.4050319620983</v>
      </c>
      <c r="J293" s="249">
        <f>VLOOKUP(tabPostos[[#This Row],[CCT DA CATEGORIA]],'RELAÇÃO SINDICATOS'!A:N,11,0)</f>
        <v>45658</v>
      </c>
      <c r="K293" s="147" t="str">
        <f>VLOOKUP(tabPostos[[#This Row],[CCT DA CATEGORIA]],'RELAÇÃO SINDICATOS'!A:N,12,0)</f>
        <v>-</v>
      </c>
      <c r="L293" s="147" t="str">
        <f>VLOOKUP(tabPostos[[#This Row],[CCT DA CATEGORIA]],'RELAÇÃO SINDICATOS'!A:N,13,0)</f>
        <v>-</v>
      </c>
      <c r="M293" s="147" t="str">
        <f>VLOOKUP(tabPostos[[#This Row],[CCT DA CATEGORIA]],'RELAÇÃO SINDICATOS'!A:N,14,0)</f>
        <v>MG000594/2025</v>
      </c>
    </row>
    <row r="294" spans="1:13">
      <c r="A294" s="147" t="str" cm="1">
        <f t="array" ref="A29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1.671.43</v>
      </c>
      <c r="B294" s="199" t="s">
        <v>1208</v>
      </c>
      <c r="C294" s="199" t="s">
        <v>314</v>
      </c>
      <c r="D294" s="199" t="str" cm="1">
        <f t="array" ref="D29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Curvelo</v>
      </c>
      <c r="E294" s="147" t="s">
        <v>1090</v>
      </c>
      <c r="F294" s="147" t="s">
        <v>120</v>
      </c>
      <c r="G294" s="147">
        <v>1</v>
      </c>
      <c r="H294" s="147">
        <v>0</v>
      </c>
      <c r="I294" s="214">
        <f>1.07*1.07*1.065*1.1016*1461.74</f>
        <v>1963.4110092077037</v>
      </c>
      <c r="J294" s="249">
        <f>VLOOKUP(tabPostos[[#This Row],[CCT DA CATEGORIA]],'RELAÇÃO SINDICATOS'!A:N,11,0)</f>
        <v>45658</v>
      </c>
      <c r="K294" s="147" t="str">
        <f>VLOOKUP(tabPostos[[#This Row],[CCT DA CATEGORIA]],'RELAÇÃO SINDICATOS'!A:N,12,0)</f>
        <v>-</v>
      </c>
      <c r="L294" s="147" t="str">
        <f>VLOOKUP(tabPostos[[#This Row],[CCT DA CATEGORIA]],'RELAÇÃO SINDICATOS'!A:N,13,0)</f>
        <v>-</v>
      </c>
      <c r="M294" s="147" t="str">
        <f>VLOOKUP(tabPostos[[#This Row],[CCT DA CATEGORIA]],'RELAÇÃO SINDICATOS'!A:N,14,0)</f>
        <v>MG0000423/2025</v>
      </c>
    </row>
    <row r="295" spans="1:13">
      <c r="A295" s="147" t="str" cm="1">
        <f t="array" ref="A29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1.672.13</v>
      </c>
      <c r="B295" s="199" t="s">
        <v>1045</v>
      </c>
      <c r="C295" s="199" t="s">
        <v>200</v>
      </c>
      <c r="D295" s="199" t="str" cm="1">
        <f t="array" ref="D29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Sete Lagoas</v>
      </c>
      <c r="E295" s="147" t="s">
        <v>1090</v>
      </c>
      <c r="F295" s="147" t="s">
        <v>120</v>
      </c>
      <c r="G295" s="147">
        <v>1</v>
      </c>
      <c r="H295" s="147">
        <v>0</v>
      </c>
      <c r="I295" s="214">
        <f>1.07*1.07*1.065*1.1016*1227.75</f>
        <v>1649.1153464738998</v>
      </c>
      <c r="J295" s="249">
        <f>VLOOKUP(tabPostos[[#This Row],[CCT DA CATEGORIA]],'RELAÇÃO SINDICATOS'!A:N,11,0)</f>
        <v>45658</v>
      </c>
      <c r="K295" s="147" t="str">
        <f>VLOOKUP(tabPostos[[#This Row],[CCT DA CATEGORIA]],'RELAÇÃO SINDICATOS'!A:N,12,0)</f>
        <v>-</v>
      </c>
      <c r="L295" s="147" t="str">
        <f>VLOOKUP(tabPostos[[#This Row],[CCT DA CATEGORIA]],'RELAÇÃO SINDICATOS'!A:N,13,0)</f>
        <v>-</v>
      </c>
      <c r="M295" s="147" t="str">
        <f>VLOOKUP(tabPostos[[#This Row],[CCT DA CATEGORIA]],'RELAÇÃO SINDICATOS'!A:N,14,0)</f>
        <v>MG000435/2025</v>
      </c>
    </row>
    <row r="296" spans="1:13">
      <c r="A296" s="147" t="str" cm="1">
        <f t="array" ref="A29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1.672.35</v>
      </c>
      <c r="B296" s="199" t="s">
        <v>1045</v>
      </c>
      <c r="C296" s="199" t="s">
        <v>274</v>
      </c>
      <c r="D296" s="199" t="str" cm="1">
        <f t="array" ref="D29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Sete Lagoas + SEAC-MG</v>
      </c>
      <c r="E296" s="147" t="s">
        <v>1090</v>
      </c>
      <c r="F296" s="147" t="s">
        <v>120</v>
      </c>
      <c r="G296" s="147">
        <v>1</v>
      </c>
      <c r="H296" s="147">
        <v>0</v>
      </c>
      <c r="I296" s="214">
        <f>1.05*1.07*1.065*1.1016*1.0435*3344.11</f>
        <v>4599.5952808034681</v>
      </c>
      <c r="J296" s="249">
        <f>VLOOKUP(tabPostos[[#This Row],[CCT DA CATEGORIA]],'RELAÇÃO SINDICATOS'!A:N,11,0)</f>
        <v>45658</v>
      </c>
      <c r="K296" s="147" t="str">
        <f>VLOOKUP(tabPostos[[#This Row],[CCT DA CATEGORIA]],'RELAÇÃO SINDICATOS'!A:N,12,0)</f>
        <v>-</v>
      </c>
      <c r="L296" s="147" t="str">
        <f>VLOOKUP(tabPostos[[#This Row],[CCT DA CATEGORIA]],'RELAÇÃO SINDICATOS'!A:N,13,0)</f>
        <v>-</v>
      </c>
      <c r="M296" s="147" t="str">
        <f>VLOOKUP(tabPostos[[#This Row],[CCT DA CATEGORIA]],'RELAÇÃO SINDICATOS'!A:N,14,0)</f>
        <v>MG001349/2025</v>
      </c>
    </row>
    <row r="297" spans="1:13">
      <c r="A297" s="147" t="str" cm="1">
        <f t="array" ref="A29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1.672.41</v>
      </c>
      <c r="B297" s="199" t="s">
        <v>1045</v>
      </c>
      <c r="C297" s="199" t="s">
        <v>304</v>
      </c>
      <c r="D297" s="199" t="str" cm="1">
        <f t="array" ref="D29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Sete Lagoas</v>
      </c>
      <c r="E297" s="147" t="s">
        <v>1090</v>
      </c>
      <c r="F297" s="147" t="s">
        <v>120</v>
      </c>
      <c r="G297" s="147">
        <v>2</v>
      </c>
      <c r="H297" s="147">
        <v>0</v>
      </c>
      <c r="I297" s="214">
        <f>1.07*1.07*1.065*1.1016*1589.34</f>
        <v>2134.8034899326635</v>
      </c>
      <c r="J297" s="249">
        <f>VLOOKUP(tabPostos[[#This Row],[CCT DA CATEGORIA]],'RELAÇÃO SINDICATOS'!A:N,11,0)</f>
        <v>45658</v>
      </c>
      <c r="K297" s="147" t="str">
        <f>VLOOKUP(tabPostos[[#This Row],[CCT DA CATEGORIA]],'RELAÇÃO SINDICATOS'!A:N,12,0)</f>
        <v>-</v>
      </c>
      <c r="L297" s="147" t="str">
        <f>VLOOKUP(tabPostos[[#This Row],[CCT DA CATEGORIA]],'RELAÇÃO SINDICATOS'!A:N,13,0)</f>
        <v>-</v>
      </c>
      <c r="M297" s="147" t="str">
        <f>VLOOKUP(tabPostos[[#This Row],[CCT DA CATEGORIA]],'RELAÇÃO SINDICATOS'!A:N,14,0)</f>
        <v>MG000435/2025</v>
      </c>
    </row>
    <row r="298" spans="1:13">
      <c r="A298" s="147" t="str" cm="1">
        <f t="array" ref="A29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1.672.42</v>
      </c>
      <c r="B298" s="199" t="s">
        <v>1045</v>
      </c>
      <c r="C298" s="199" t="s">
        <v>309</v>
      </c>
      <c r="D298" s="199" t="str" cm="1">
        <f t="array" ref="D29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Sete Lagoas</v>
      </c>
      <c r="E298" s="147" t="s">
        <v>1090</v>
      </c>
      <c r="F298" s="147" t="s">
        <v>120</v>
      </c>
      <c r="G298" s="147">
        <v>2</v>
      </c>
      <c r="H298" s="147">
        <v>0</v>
      </c>
      <c r="I298" s="214">
        <f>1.07*1.07*1.065*1.1016*1589.34</f>
        <v>2134.8034899326635</v>
      </c>
      <c r="J298" s="249">
        <f>VLOOKUP(tabPostos[[#This Row],[CCT DA CATEGORIA]],'RELAÇÃO SINDICATOS'!A:N,11,0)</f>
        <v>45658</v>
      </c>
      <c r="K298" s="147" t="str">
        <f>VLOOKUP(tabPostos[[#This Row],[CCT DA CATEGORIA]],'RELAÇÃO SINDICATOS'!A:N,12,0)</f>
        <v>-</v>
      </c>
      <c r="L298" s="147" t="str">
        <f>VLOOKUP(tabPostos[[#This Row],[CCT DA CATEGORIA]],'RELAÇÃO SINDICATOS'!A:N,13,0)</f>
        <v>-</v>
      </c>
      <c r="M298" s="147" t="str">
        <f>VLOOKUP(tabPostos[[#This Row],[CCT DA CATEGORIA]],'RELAÇÃO SINDICATOS'!A:N,14,0)</f>
        <v>MG000435/2025</v>
      </c>
    </row>
    <row r="299" spans="1:13">
      <c r="A299" s="147" t="str" cm="1">
        <f t="array" ref="A29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1.680.43</v>
      </c>
      <c r="B299" s="199" t="s">
        <v>1209</v>
      </c>
      <c r="C299" s="199" t="s">
        <v>314</v>
      </c>
      <c r="D299" s="199" t="str" cm="1">
        <f t="array" ref="D29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Sethac Norte de Minas</v>
      </c>
      <c r="E299" s="147" t="s">
        <v>1090</v>
      </c>
      <c r="F299" s="147" t="s">
        <v>120</v>
      </c>
      <c r="G299" s="147">
        <v>1</v>
      </c>
      <c r="H299" s="147">
        <v>0</v>
      </c>
      <c r="I299" s="214">
        <f>1.07*1.07*1.065*1.1016*1461.74</f>
        <v>1963.4110092077037</v>
      </c>
      <c r="J299" s="249">
        <f>VLOOKUP(tabPostos[[#This Row],[CCT DA CATEGORIA]],'RELAÇÃO SINDICATOS'!A:N,11,0)</f>
        <v>45658</v>
      </c>
      <c r="K299" s="147" t="str">
        <f>VLOOKUP(tabPostos[[#This Row],[CCT DA CATEGORIA]],'RELAÇÃO SINDICATOS'!A:N,12,0)</f>
        <v>-</v>
      </c>
      <c r="L299" s="147" t="str">
        <f>VLOOKUP(tabPostos[[#This Row],[CCT DA CATEGORIA]],'RELAÇÃO SINDICATOS'!A:N,13,0)</f>
        <v>-</v>
      </c>
      <c r="M299" s="147" t="str">
        <f>VLOOKUP(tabPostos[[#This Row],[CCT DA CATEGORIA]],'RELAÇÃO SINDICATOS'!A:N,14,0)</f>
        <v>MG000256/2025</v>
      </c>
    </row>
    <row r="300" spans="1:13">
      <c r="A300" s="147" t="str" cm="1">
        <f t="array" ref="A30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1.686.28</v>
      </c>
      <c r="B300" s="199" t="s">
        <v>1066</v>
      </c>
      <c r="C300" s="199" t="s">
        <v>244</v>
      </c>
      <c r="D300" s="199" t="str" cm="1">
        <f t="array" ref="D30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Teofilo Otoni</v>
      </c>
      <c r="E300" s="147" t="s">
        <v>1090</v>
      </c>
      <c r="F300" s="147" t="s">
        <v>120</v>
      </c>
      <c r="G300" s="147">
        <v>1</v>
      </c>
      <c r="H300" s="147">
        <v>0</v>
      </c>
      <c r="I300" s="214">
        <f>1.07*1.07*1.065*1.1016*1709.48</f>
        <v>2296.1756892610078</v>
      </c>
      <c r="J300" s="249">
        <f>VLOOKUP(tabPostos[[#This Row],[CCT DA CATEGORIA]],'RELAÇÃO SINDICATOS'!A:N,11,0)</f>
        <v>45658</v>
      </c>
      <c r="K300" s="147" t="str">
        <f>VLOOKUP(tabPostos[[#This Row],[CCT DA CATEGORIA]],'RELAÇÃO SINDICATOS'!A:N,12,0)</f>
        <v>-</v>
      </c>
      <c r="L300" s="147" t="str">
        <f>VLOOKUP(tabPostos[[#This Row],[CCT DA CATEGORIA]],'RELAÇÃO SINDICATOS'!A:N,13,0)</f>
        <v>-</v>
      </c>
      <c r="M300" s="147" t="str">
        <f>VLOOKUP(tabPostos[[#This Row],[CCT DA CATEGORIA]],'RELAÇÃO SINDICATOS'!A:N,14,0)</f>
        <v>MG004477/2024</v>
      </c>
    </row>
    <row r="301" spans="1:13">
      <c r="A301" s="147" t="str" cm="1">
        <f t="array" ref="A30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1.686.35</v>
      </c>
      <c r="B301" s="199" t="s">
        <v>1066</v>
      </c>
      <c r="C301" s="199" t="s">
        <v>274</v>
      </c>
      <c r="D301" s="199" t="str" cm="1">
        <f t="array" ref="D30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Teofilo Otoni + SEAC-MG</v>
      </c>
      <c r="E301" s="147" t="s">
        <v>1090</v>
      </c>
      <c r="F301" s="147" t="s">
        <v>120</v>
      </c>
      <c r="G301" s="147">
        <v>3</v>
      </c>
      <c r="H301" s="147">
        <v>0</v>
      </c>
      <c r="I301" s="214">
        <f>1.07*1.065*1.1016*1.0435*3313.92</f>
        <v>4341.0199946317061</v>
      </c>
      <c r="J301" s="249">
        <f>VLOOKUP(tabPostos[[#This Row],[CCT DA CATEGORIA]],'RELAÇÃO SINDICATOS'!A:N,11,0)</f>
        <v>45658</v>
      </c>
      <c r="K301" s="147" t="str">
        <f>VLOOKUP(tabPostos[[#This Row],[CCT DA CATEGORIA]],'RELAÇÃO SINDICATOS'!A:N,12,0)</f>
        <v>-</v>
      </c>
      <c r="L301" s="147" t="str">
        <f>VLOOKUP(tabPostos[[#This Row],[CCT DA CATEGORIA]],'RELAÇÃO SINDICATOS'!A:N,13,0)</f>
        <v>-</v>
      </c>
      <c r="M301" s="147" t="str">
        <f>VLOOKUP(tabPostos[[#This Row],[CCT DA CATEGORIA]],'RELAÇÃO SINDICATOS'!A:N,14,0)</f>
        <v>MG001648/2025</v>
      </c>
    </row>
    <row r="302" spans="1:13">
      <c r="A302" s="147" t="str" cm="1">
        <f t="array" ref="A30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3.686.35</v>
      </c>
      <c r="B302" s="199" t="s">
        <v>1066</v>
      </c>
      <c r="C302" s="199" t="s">
        <v>274</v>
      </c>
      <c r="D302" s="199" t="str" cm="1">
        <f t="array" ref="D30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Teofilo Otoni + SEAC-MG</v>
      </c>
      <c r="E302" s="147" t="s">
        <v>1090</v>
      </c>
      <c r="F302" s="147" t="s">
        <v>135</v>
      </c>
      <c r="G302" s="147">
        <v>1</v>
      </c>
      <c r="H302" s="147">
        <v>0</v>
      </c>
      <c r="I302" s="214">
        <f>1.07*1.065*1.1016*1.0435*3313.92</f>
        <v>4341.0199946317061</v>
      </c>
      <c r="J302" s="249">
        <f>VLOOKUP(tabPostos[[#This Row],[CCT DA CATEGORIA]],'RELAÇÃO SINDICATOS'!A:N,11,0)</f>
        <v>45658</v>
      </c>
      <c r="K302" s="147" t="str">
        <f>VLOOKUP(tabPostos[[#This Row],[CCT DA CATEGORIA]],'RELAÇÃO SINDICATOS'!A:N,12,0)</f>
        <v>-</v>
      </c>
      <c r="L302" s="147" t="str">
        <f>VLOOKUP(tabPostos[[#This Row],[CCT DA CATEGORIA]],'RELAÇÃO SINDICATOS'!A:N,13,0)</f>
        <v>-</v>
      </c>
      <c r="M302" s="147" t="str">
        <f>VLOOKUP(tabPostos[[#This Row],[CCT DA CATEGORIA]],'RELAÇÃO SINDICATOS'!A:N,14,0)</f>
        <v>MG001648/2025</v>
      </c>
    </row>
    <row r="303" spans="1:13">
      <c r="A303" s="147" t="str" cm="1">
        <f t="array" ref="A30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1.686.41</v>
      </c>
      <c r="B303" s="199" t="s">
        <v>1066</v>
      </c>
      <c r="C303" s="199" t="s">
        <v>304</v>
      </c>
      <c r="D303" s="199" t="str" cm="1">
        <f t="array" ref="D30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Teofilo Otoni</v>
      </c>
      <c r="E303" s="147" t="s">
        <v>1090</v>
      </c>
      <c r="F303" s="147" t="s">
        <v>120</v>
      </c>
      <c r="G303" s="147">
        <v>4</v>
      </c>
      <c r="H303" s="147">
        <v>0</v>
      </c>
      <c r="I303" s="214">
        <f>1.07*1.07*1.065*1.1016*1.045*1520.9</f>
        <v>2134.8041615332936</v>
      </c>
      <c r="J303" s="249">
        <f>VLOOKUP(tabPostos[[#This Row],[CCT DA CATEGORIA]],'RELAÇÃO SINDICATOS'!A:N,11,0)</f>
        <v>45658</v>
      </c>
      <c r="K303" s="147" t="str">
        <f>VLOOKUP(tabPostos[[#This Row],[CCT DA CATEGORIA]],'RELAÇÃO SINDICATOS'!A:N,12,0)</f>
        <v>-</v>
      </c>
      <c r="L303" s="147" t="str">
        <f>VLOOKUP(tabPostos[[#This Row],[CCT DA CATEGORIA]],'RELAÇÃO SINDICATOS'!A:N,13,0)</f>
        <v>-</v>
      </c>
      <c r="M303" s="147" t="str">
        <f>VLOOKUP(tabPostos[[#This Row],[CCT DA CATEGORIA]],'RELAÇÃO SINDICATOS'!A:N,14,0)</f>
        <v>MG004477/2024</v>
      </c>
    </row>
    <row r="304" spans="1:13">
      <c r="A304" s="147" t="str" cm="1">
        <f t="array" ref="A30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1.686.42</v>
      </c>
      <c r="B304" s="199" t="s">
        <v>1066</v>
      </c>
      <c r="C304" s="199" t="s">
        <v>309</v>
      </c>
      <c r="D304" s="199" t="str" cm="1">
        <f t="array" ref="D30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Teofilo Otoni</v>
      </c>
      <c r="E304" s="147" t="s">
        <v>1090</v>
      </c>
      <c r="F304" s="147" t="s">
        <v>120</v>
      </c>
      <c r="G304" s="147">
        <v>4</v>
      </c>
      <c r="H304" s="147">
        <v>0</v>
      </c>
      <c r="I304" s="214">
        <f>1.07*1.07*1.065*1.1016*1.045*1520.9</f>
        <v>2134.8041615332936</v>
      </c>
      <c r="J304" s="249">
        <f>VLOOKUP(tabPostos[[#This Row],[CCT DA CATEGORIA]],'RELAÇÃO SINDICATOS'!A:N,11,0)</f>
        <v>45658</v>
      </c>
      <c r="K304" s="147" t="str">
        <f>VLOOKUP(tabPostos[[#This Row],[CCT DA CATEGORIA]],'RELAÇÃO SINDICATOS'!A:N,12,0)</f>
        <v>-</v>
      </c>
      <c r="L304" s="147" t="str">
        <f>VLOOKUP(tabPostos[[#This Row],[CCT DA CATEGORIA]],'RELAÇÃO SINDICATOS'!A:N,13,0)</f>
        <v>-</v>
      </c>
      <c r="M304" s="147" t="str">
        <f>VLOOKUP(tabPostos[[#This Row],[CCT DA CATEGORIA]],'RELAÇÃO SINDICATOS'!A:N,14,0)</f>
        <v>MG004477/2024</v>
      </c>
    </row>
    <row r="305" spans="1:13">
      <c r="A305" s="147" t="str" cm="1">
        <f t="array" ref="A30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1.687.45</v>
      </c>
      <c r="B305" s="199" t="s">
        <v>1210</v>
      </c>
      <c r="C305" s="199" t="s">
        <v>324</v>
      </c>
      <c r="D305" s="199" t="str" cm="1">
        <f t="array" ref="D30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Seethur</v>
      </c>
      <c r="E305" s="147" t="s">
        <v>1090</v>
      </c>
      <c r="F305" s="147" t="s">
        <v>120</v>
      </c>
      <c r="G305" s="147">
        <v>1</v>
      </c>
      <c r="H305" s="147">
        <v>0</v>
      </c>
      <c r="I305" s="214">
        <f>1.07*1.07*1.065*1.1016*2529.13</f>
        <v>3397.1306016921476</v>
      </c>
      <c r="J305" s="249">
        <f>VLOOKUP(tabPostos[[#This Row],[CCT DA CATEGORIA]],'RELAÇÃO SINDICATOS'!A:N,11,0)</f>
        <v>45658</v>
      </c>
      <c r="K305" s="147" t="str">
        <f>VLOOKUP(tabPostos[[#This Row],[CCT DA CATEGORIA]],'RELAÇÃO SINDICATOS'!A:N,12,0)</f>
        <v>-</v>
      </c>
      <c r="L305" s="147" t="str">
        <f>VLOOKUP(tabPostos[[#This Row],[CCT DA CATEGORIA]],'RELAÇÃO SINDICATOS'!A:N,13,0)</f>
        <v>-</v>
      </c>
      <c r="M305" s="147" t="str">
        <f>VLOOKUP(tabPostos[[#This Row],[CCT DA CATEGORIA]],'RELAÇÃO SINDICATOS'!A:N,14,0)</f>
        <v>MG000493/2025</v>
      </c>
    </row>
    <row r="306" spans="1:13">
      <c r="A306" s="147" t="str" cm="1">
        <f t="array" ref="A30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1.692.43</v>
      </c>
      <c r="B306" s="199" t="s">
        <v>1211</v>
      </c>
      <c r="C306" s="199" t="s">
        <v>314</v>
      </c>
      <c r="D306" s="199" t="str" cm="1">
        <f t="array" ref="D30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Juiz de Fora</v>
      </c>
      <c r="E306" s="147" t="s">
        <v>1090</v>
      </c>
      <c r="F306" s="147" t="s">
        <v>120</v>
      </c>
      <c r="G306" s="147">
        <v>1</v>
      </c>
      <c r="H306" s="147">
        <v>0</v>
      </c>
      <c r="I306" s="214">
        <f>1.07*1.07*1.065*1.1016*1461.74</f>
        <v>1963.4110092077037</v>
      </c>
      <c r="J306" s="249">
        <f>VLOOKUP(tabPostos[[#This Row],[CCT DA CATEGORIA]],'RELAÇÃO SINDICATOS'!A:N,11,0)</f>
        <v>45658</v>
      </c>
      <c r="K306" s="147" t="str">
        <f>VLOOKUP(tabPostos[[#This Row],[CCT DA CATEGORIA]],'RELAÇÃO SINDICATOS'!A:N,12,0)</f>
        <v>-</v>
      </c>
      <c r="L306" s="147" t="str">
        <f>VLOOKUP(tabPostos[[#This Row],[CCT DA CATEGORIA]],'RELAÇÃO SINDICATOS'!A:N,13,0)</f>
        <v>-</v>
      </c>
      <c r="M306" s="147" t="str">
        <f>VLOOKUP(tabPostos[[#This Row],[CCT DA CATEGORIA]],'RELAÇÃO SINDICATOS'!A:N,14,0)</f>
        <v>MG000506/2025</v>
      </c>
    </row>
    <row r="307" spans="1:13">
      <c r="A307" s="147" t="str" cm="1">
        <f t="array" ref="A30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1.693.45</v>
      </c>
      <c r="B307" s="199" t="s">
        <v>1212</v>
      </c>
      <c r="C307" s="199" t="s">
        <v>324</v>
      </c>
      <c r="D307" s="199" t="str" cm="1">
        <f t="array" ref="D30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307" s="147" t="s">
        <v>1090</v>
      </c>
      <c r="F307" s="147" t="s">
        <v>120</v>
      </c>
      <c r="G307" s="147">
        <v>1</v>
      </c>
      <c r="H307" s="147">
        <v>0</v>
      </c>
      <c r="I307" s="214">
        <f>1.07*1.07*1.065*1.1016*1.045*2420.22</f>
        <v>3397.130467372021</v>
      </c>
      <c r="J307" s="249">
        <f>VLOOKUP(tabPostos[[#This Row],[CCT DA CATEGORIA]],'RELAÇÃO SINDICATOS'!A:N,11,0)</f>
        <v>45658</v>
      </c>
      <c r="K307" s="147" t="str">
        <f>VLOOKUP(tabPostos[[#This Row],[CCT DA CATEGORIA]],'RELAÇÃO SINDICATOS'!A:N,12,0)</f>
        <v>-</v>
      </c>
      <c r="L307" s="147" t="str">
        <f>VLOOKUP(tabPostos[[#This Row],[CCT DA CATEGORIA]],'RELAÇÃO SINDICATOS'!A:N,13,0)</f>
        <v>-</v>
      </c>
      <c r="M307" s="147" t="str">
        <f>VLOOKUP(tabPostos[[#This Row],[CCT DA CATEGORIA]],'RELAÇÃO SINDICATOS'!A:N,14,0)</f>
        <v>MG000594/2025</v>
      </c>
    </row>
    <row r="308" spans="1:13">
      <c r="A308" s="147" t="str" cm="1">
        <f t="array" ref="A30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1.696.44</v>
      </c>
      <c r="B308" s="199" t="s">
        <v>1213</v>
      </c>
      <c r="C308" s="199" t="s">
        <v>319</v>
      </c>
      <c r="D308" s="199" t="str" cm="1">
        <f t="array" ref="D30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Alto Paranaiba</v>
      </c>
      <c r="E308" s="147" t="s">
        <v>1090</v>
      </c>
      <c r="F308" s="147" t="s">
        <v>120</v>
      </c>
      <c r="G308" s="147">
        <v>1</v>
      </c>
      <c r="H308" s="147">
        <v>0</v>
      </c>
      <c r="I308" s="214">
        <f>1.07*1.07*1.065*1.1016*1.045*1650.15</f>
        <v>2316.2253186627422</v>
      </c>
      <c r="J308" s="249">
        <f>VLOOKUP(tabPostos[[#This Row],[CCT DA CATEGORIA]],'RELAÇÃO SINDICATOS'!A:N,11,0)</f>
        <v>45658</v>
      </c>
      <c r="K308" s="147" t="str">
        <f>VLOOKUP(tabPostos[[#This Row],[CCT DA CATEGORIA]],'RELAÇÃO SINDICATOS'!A:N,12,0)</f>
        <v>-</v>
      </c>
      <c r="L308" s="147" t="str">
        <f>VLOOKUP(tabPostos[[#This Row],[CCT DA CATEGORIA]],'RELAÇÃO SINDICATOS'!A:N,13,0)</f>
        <v>-</v>
      </c>
      <c r="M308" s="147" t="str">
        <f>VLOOKUP(tabPostos[[#This Row],[CCT DA CATEGORIA]],'RELAÇÃO SINDICATOS'!A:N,14,0)</f>
        <v>MG001106/2025</v>
      </c>
    </row>
    <row r="309" spans="1:13">
      <c r="A309" s="147" t="str" cm="1">
        <f t="array" ref="A30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1.699.35</v>
      </c>
      <c r="B309" s="199" t="s">
        <v>1214</v>
      </c>
      <c r="C309" s="199" t="s">
        <v>274</v>
      </c>
      <c r="D309" s="199" t="str" cm="1">
        <f t="array" ref="D30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Juiz de Fora e Região + SEAC-MG</v>
      </c>
      <c r="E309" s="147" t="s">
        <v>1090</v>
      </c>
      <c r="F309" s="147" t="s">
        <v>120</v>
      </c>
      <c r="G309" s="147">
        <v>1</v>
      </c>
      <c r="H309" s="147">
        <v>0</v>
      </c>
      <c r="I309" s="214">
        <f>1.05*1.07*1.065*1.1016*1.0435*3344.11</f>
        <v>4599.5952808034681</v>
      </c>
      <c r="J309" s="249">
        <f>VLOOKUP(tabPostos[[#This Row],[CCT DA CATEGORIA]],'RELAÇÃO SINDICATOS'!A:N,11,0)</f>
        <v>45658</v>
      </c>
      <c r="K309" s="147" t="str">
        <f>VLOOKUP(tabPostos[[#This Row],[CCT DA CATEGORIA]],'RELAÇÃO SINDICATOS'!A:N,12,0)</f>
        <v>-</v>
      </c>
      <c r="L309" s="147" t="str">
        <f>VLOOKUP(tabPostos[[#This Row],[CCT DA CATEGORIA]],'RELAÇÃO SINDICATOS'!A:N,13,0)</f>
        <v>-</v>
      </c>
      <c r="M309" s="147" t="str">
        <f>VLOOKUP(tabPostos[[#This Row],[CCT DA CATEGORIA]],'RELAÇÃO SINDICATOS'!A:N,14,0)</f>
        <v>MG001893/2025</v>
      </c>
    </row>
    <row r="310" spans="1:13">
      <c r="A310" s="147" t="str" cm="1">
        <f t="array" ref="A31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1.699.43</v>
      </c>
      <c r="B310" s="199" t="s">
        <v>1214</v>
      </c>
      <c r="C310" s="199" t="s">
        <v>314</v>
      </c>
      <c r="D310" s="199" t="str" cm="1">
        <f t="array" ref="D31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310" s="147" t="s">
        <v>1090</v>
      </c>
      <c r="F310" s="147" t="s">
        <v>120</v>
      </c>
      <c r="G310" s="147">
        <v>1</v>
      </c>
      <c r="H310" s="147">
        <v>0</v>
      </c>
      <c r="I310" s="214">
        <f>1.07*1.07*1.065*1.1016*1461.74</f>
        <v>1963.4110092077037</v>
      </c>
      <c r="J310" s="249">
        <f>VLOOKUP(tabPostos[[#This Row],[CCT DA CATEGORIA]],'RELAÇÃO SINDICATOS'!A:N,11,0)</f>
        <v>45658</v>
      </c>
      <c r="K310" s="147" t="str">
        <f>VLOOKUP(tabPostos[[#This Row],[CCT DA CATEGORIA]],'RELAÇÃO SINDICATOS'!A:N,12,0)</f>
        <v>-</v>
      </c>
      <c r="L310" s="147" t="str">
        <f>VLOOKUP(tabPostos[[#This Row],[CCT DA CATEGORIA]],'RELAÇÃO SINDICATOS'!A:N,13,0)</f>
        <v>-</v>
      </c>
      <c r="M310" s="147" t="str">
        <f>VLOOKUP(tabPostos[[#This Row],[CCT DA CATEGORIA]],'RELAÇÃO SINDICATOS'!A:N,14,0)</f>
        <v>MG000299/2025</v>
      </c>
    </row>
    <row r="311" spans="1:13">
      <c r="A311" s="147" t="str" cm="1">
        <f t="array" ref="A31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1.701.13</v>
      </c>
      <c r="B311" s="199" t="s">
        <v>1069</v>
      </c>
      <c r="C311" s="199" t="s">
        <v>200</v>
      </c>
      <c r="D311" s="199" t="str" cm="1">
        <f t="array" ref="D31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Uberaba</v>
      </c>
      <c r="E311" s="147" t="s">
        <v>1090</v>
      </c>
      <c r="F311" s="147" t="s">
        <v>120</v>
      </c>
      <c r="G311" s="147">
        <v>1</v>
      </c>
      <c r="H311" s="147">
        <v>0</v>
      </c>
      <c r="I311" s="214">
        <f>1.07*1.07*1.065*1.1016*1227.75</f>
        <v>1649.1153464738998</v>
      </c>
      <c r="J311" s="249">
        <f>VLOOKUP(tabPostos[[#This Row],[CCT DA CATEGORIA]],'RELAÇÃO SINDICATOS'!A:N,11,0)</f>
        <v>45658</v>
      </c>
      <c r="K311" s="147" t="str">
        <f>VLOOKUP(tabPostos[[#This Row],[CCT DA CATEGORIA]],'RELAÇÃO SINDICATOS'!A:N,12,0)</f>
        <v>-</v>
      </c>
      <c r="L311" s="147" t="str">
        <f>VLOOKUP(tabPostos[[#This Row],[CCT DA CATEGORIA]],'RELAÇÃO SINDICATOS'!A:N,13,0)</f>
        <v>-</v>
      </c>
      <c r="M311" s="147" t="str">
        <f>VLOOKUP(tabPostos[[#This Row],[CCT DA CATEGORIA]],'RELAÇÃO SINDICATOS'!A:N,14,0)</f>
        <v>MG000412/2025</v>
      </c>
    </row>
    <row r="312" spans="1:13">
      <c r="A312" s="147" t="str" cm="1">
        <f t="array" ref="A31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1.701.16</v>
      </c>
      <c r="B312" s="199" t="s">
        <v>1069</v>
      </c>
      <c r="C312" s="199" t="s">
        <v>214</v>
      </c>
      <c r="D312" s="199" t="str" cm="1">
        <f t="array" ref="D31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312" s="147" t="s">
        <v>1090</v>
      </c>
      <c r="F312" s="147" t="s">
        <v>120</v>
      </c>
      <c r="G312" s="147">
        <v>5</v>
      </c>
      <c r="H312" s="147">
        <v>0</v>
      </c>
      <c r="I312" s="214">
        <f>1.07*1.07*1.065*1.1016*1.0435*1310.33</f>
        <v>1836.5985119240554</v>
      </c>
      <c r="J312" s="249">
        <f>VLOOKUP(tabPostos[[#This Row],[CCT DA CATEGORIA]],'RELAÇÃO SINDICATOS'!A:N,11,0)</f>
        <v>45658</v>
      </c>
      <c r="K312" s="147" t="str">
        <f>VLOOKUP(tabPostos[[#This Row],[CCT DA CATEGORIA]],'RELAÇÃO SINDICATOS'!A:N,12,0)</f>
        <v>-</v>
      </c>
      <c r="L312" s="147" t="str">
        <f>VLOOKUP(tabPostos[[#This Row],[CCT DA CATEGORIA]],'RELAÇÃO SINDICATOS'!A:N,13,0)</f>
        <v>-</v>
      </c>
      <c r="M312" s="147" t="str">
        <f>VLOOKUP(tabPostos[[#This Row],[CCT DA CATEGORIA]],'RELAÇÃO SINDICATOS'!A:N,14,0)</f>
        <v>MG000635/2025</v>
      </c>
    </row>
    <row r="313" spans="1:13">
      <c r="A313" s="147" t="str" cm="1">
        <f t="array" ref="A31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1.701.28</v>
      </c>
      <c r="B313" s="199" t="s">
        <v>1069</v>
      </c>
      <c r="C313" s="199" t="s">
        <v>244</v>
      </c>
      <c r="D313" s="199" t="str" cm="1">
        <f t="array" ref="D31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Uberaba</v>
      </c>
      <c r="E313" s="147" t="s">
        <v>1090</v>
      </c>
      <c r="F313" s="147" t="s">
        <v>120</v>
      </c>
      <c r="G313" s="147">
        <v>1</v>
      </c>
      <c r="H313" s="147">
        <v>0</v>
      </c>
      <c r="I313" s="214">
        <f>1.07*1.07*1.065*1.1016*1709.48</f>
        <v>2296.1756892610078</v>
      </c>
      <c r="J313" s="249">
        <f>VLOOKUP(tabPostos[[#This Row],[CCT DA CATEGORIA]],'RELAÇÃO SINDICATOS'!A:N,11,0)</f>
        <v>45658</v>
      </c>
      <c r="K313" s="147" t="str">
        <f>VLOOKUP(tabPostos[[#This Row],[CCT DA CATEGORIA]],'RELAÇÃO SINDICATOS'!A:N,12,0)</f>
        <v>-</v>
      </c>
      <c r="L313" s="147" t="str">
        <f>VLOOKUP(tabPostos[[#This Row],[CCT DA CATEGORIA]],'RELAÇÃO SINDICATOS'!A:N,13,0)</f>
        <v>-</v>
      </c>
      <c r="M313" s="147" t="str">
        <f>VLOOKUP(tabPostos[[#This Row],[CCT DA CATEGORIA]],'RELAÇÃO SINDICATOS'!A:N,14,0)</f>
        <v>MG000412/2025</v>
      </c>
    </row>
    <row r="314" spans="1:13">
      <c r="A314" s="147" t="str" cm="1">
        <f t="array" ref="A31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1.701.35</v>
      </c>
      <c r="B314" s="199" t="s">
        <v>1069</v>
      </c>
      <c r="C314" s="199" t="s">
        <v>274</v>
      </c>
      <c r="D314" s="199" t="str" cm="1">
        <f t="array" ref="D31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Uberaba + SEAC-MG</v>
      </c>
      <c r="E314" s="147" t="s">
        <v>1090</v>
      </c>
      <c r="F314" s="147" t="s">
        <v>120</v>
      </c>
      <c r="G314" s="147">
        <v>4</v>
      </c>
      <c r="H314" s="147">
        <v>0</v>
      </c>
      <c r="I314" s="214">
        <f>1.05*1.07*1.065*1.1016*1.0435*3344.11</f>
        <v>4599.5952808034681</v>
      </c>
      <c r="J314" s="249">
        <f>VLOOKUP(tabPostos[[#This Row],[CCT DA CATEGORIA]],'RELAÇÃO SINDICATOS'!A:N,11,0)</f>
        <v>45658</v>
      </c>
      <c r="K314" s="147" t="str">
        <f>VLOOKUP(tabPostos[[#This Row],[CCT DA CATEGORIA]],'RELAÇÃO SINDICATOS'!A:N,12,0)</f>
        <v>-</v>
      </c>
      <c r="L314" s="147" t="str">
        <f>VLOOKUP(tabPostos[[#This Row],[CCT DA CATEGORIA]],'RELAÇÃO SINDICATOS'!A:N,13,0)</f>
        <v>-</v>
      </c>
      <c r="M314" s="147" t="str">
        <f>VLOOKUP(tabPostos[[#This Row],[CCT DA CATEGORIA]],'RELAÇÃO SINDICATOS'!A:N,14,0)</f>
        <v>MG001355/2025</v>
      </c>
    </row>
    <row r="315" spans="1:13">
      <c r="A315" s="147" t="str" cm="1">
        <f t="array" ref="A31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1.701.43</v>
      </c>
      <c r="B315" s="199" t="s">
        <v>1069</v>
      </c>
      <c r="C315" s="199" t="s">
        <v>314</v>
      </c>
      <c r="D315" s="199" t="str" cm="1">
        <f t="array" ref="D31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Uberaba</v>
      </c>
      <c r="E315" s="147" t="s">
        <v>1090</v>
      </c>
      <c r="F315" s="147" t="s">
        <v>120</v>
      </c>
      <c r="G315" s="147">
        <v>1</v>
      </c>
      <c r="H315" s="147">
        <v>0</v>
      </c>
      <c r="I315" s="214">
        <f>1.07*1.07*1.065*1.1016*1.045*1520.9</f>
        <v>2134.8041615332936</v>
      </c>
      <c r="J315" s="249">
        <f>VLOOKUP(tabPostos[[#This Row],[CCT DA CATEGORIA]],'RELAÇÃO SINDICATOS'!A:N,11,0)</f>
        <v>45658</v>
      </c>
      <c r="K315" s="147" t="str">
        <f>VLOOKUP(tabPostos[[#This Row],[CCT DA CATEGORIA]],'RELAÇÃO SINDICATOS'!A:N,12,0)</f>
        <v>-</v>
      </c>
      <c r="L315" s="147" t="str">
        <f>VLOOKUP(tabPostos[[#This Row],[CCT DA CATEGORIA]],'RELAÇÃO SINDICATOS'!A:N,13,0)</f>
        <v>-</v>
      </c>
      <c r="M315" s="147" t="str">
        <f>VLOOKUP(tabPostos[[#This Row],[CCT DA CATEGORIA]],'RELAÇÃO SINDICATOS'!A:N,14,0)</f>
        <v>MG000412/2025</v>
      </c>
    </row>
    <row r="316" spans="1:13">
      <c r="A316" s="147" t="str" cm="1">
        <f t="array" ref="A31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1.701.45</v>
      </c>
      <c r="B316" s="199" t="s">
        <v>1069</v>
      </c>
      <c r="C316" s="199" t="s">
        <v>324</v>
      </c>
      <c r="D316" s="199" t="str" cm="1">
        <f t="array" ref="D31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Uberaba</v>
      </c>
      <c r="E316" s="147" t="s">
        <v>1090</v>
      </c>
      <c r="F316" s="147" t="s">
        <v>120</v>
      </c>
      <c r="G316" s="147">
        <v>1</v>
      </c>
      <c r="H316" s="147">
        <v>0</v>
      </c>
      <c r="I316" s="214">
        <f>1.07*1.07*1.065*1.1016*1.045*2420.22</f>
        <v>3397.130467372021</v>
      </c>
      <c r="J316" s="249">
        <f>VLOOKUP(tabPostos[[#This Row],[CCT DA CATEGORIA]],'RELAÇÃO SINDICATOS'!A:N,11,0)</f>
        <v>45658</v>
      </c>
      <c r="K316" s="147" t="str">
        <f>VLOOKUP(tabPostos[[#This Row],[CCT DA CATEGORIA]],'RELAÇÃO SINDICATOS'!A:N,12,0)</f>
        <v>-</v>
      </c>
      <c r="L316" s="147" t="str">
        <f>VLOOKUP(tabPostos[[#This Row],[CCT DA CATEGORIA]],'RELAÇÃO SINDICATOS'!A:N,13,0)</f>
        <v>-</v>
      </c>
      <c r="M316" s="147" t="str">
        <f>VLOOKUP(tabPostos[[#This Row],[CCT DA CATEGORIA]],'RELAÇÃO SINDICATOS'!A:N,14,0)</f>
        <v>MG000412/2025</v>
      </c>
    </row>
    <row r="317" spans="1:13">
      <c r="A317" s="147" t="str" cm="1">
        <f t="array" ref="A31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1.702.06</v>
      </c>
      <c r="B317" s="199" t="s">
        <v>1071</v>
      </c>
      <c r="C317" s="199" t="s">
        <v>165</v>
      </c>
      <c r="D317" s="199" t="str" cm="1">
        <f t="array" ref="D31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Uberlandia</v>
      </c>
      <c r="E317" s="147" t="s">
        <v>1090</v>
      </c>
      <c r="F317" s="147" t="s">
        <v>120</v>
      </c>
      <c r="G317" s="147">
        <v>1</v>
      </c>
      <c r="H317" s="147">
        <v>0</v>
      </c>
      <c r="I317" s="214">
        <f>1.07*1.07*1.065*1.1016*1819.18</f>
        <v>2443.5248674391278</v>
      </c>
      <c r="J317" s="249">
        <f>VLOOKUP(tabPostos[[#This Row],[CCT DA CATEGORIA]],'RELAÇÃO SINDICATOS'!A:N,11,0)</f>
        <v>45658</v>
      </c>
      <c r="K317" s="147" t="str">
        <f>VLOOKUP(tabPostos[[#This Row],[CCT DA CATEGORIA]],'RELAÇÃO SINDICATOS'!A:N,12,0)</f>
        <v>-</v>
      </c>
      <c r="L317" s="147" t="str">
        <f>VLOOKUP(tabPostos[[#This Row],[CCT DA CATEGORIA]],'RELAÇÃO SINDICATOS'!A:N,13,0)</f>
        <v>-</v>
      </c>
      <c r="M317" s="147" t="str">
        <f>VLOOKUP(tabPostos[[#This Row],[CCT DA CATEGORIA]],'RELAÇÃO SINDICATOS'!A:N,14,0)</f>
        <v>MG001252/2025</v>
      </c>
    </row>
    <row r="318" spans="1:13">
      <c r="A318" s="147" t="str" cm="1">
        <f t="array" ref="A31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1.702.13</v>
      </c>
      <c r="B318" s="199" t="s">
        <v>1071</v>
      </c>
      <c r="C318" s="199" t="s">
        <v>200</v>
      </c>
      <c r="D318" s="199" t="str" cm="1">
        <f t="array" ref="D31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Uberlandia</v>
      </c>
      <c r="E318" s="147" t="s">
        <v>1090</v>
      </c>
      <c r="F318" s="147" t="s">
        <v>120</v>
      </c>
      <c r="G318" s="147">
        <v>6</v>
      </c>
      <c r="H318" s="147">
        <v>0</v>
      </c>
      <c r="I318" s="214">
        <f>1.07*1.07*1.065*1.1016*1.045*1174.88+0.01</f>
        <v>1649.124809193396</v>
      </c>
      <c r="J318" s="249">
        <f>VLOOKUP(tabPostos[[#This Row],[CCT DA CATEGORIA]],'RELAÇÃO SINDICATOS'!A:N,11,0)</f>
        <v>45658</v>
      </c>
      <c r="K318" s="147" t="str">
        <f>VLOOKUP(tabPostos[[#This Row],[CCT DA CATEGORIA]],'RELAÇÃO SINDICATOS'!A:N,12,0)</f>
        <v>-</v>
      </c>
      <c r="L318" s="147" t="str">
        <f>VLOOKUP(tabPostos[[#This Row],[CCT DA CATEGORIA]],'RELAÇÃO SINDICATOS'!A:N,13,0)</f>
        <v>-</v>
      </c>
      <c r="M318" s="147" t="str">
        <f>VLOOKUP(tabPostos[[#This Row],[CCT DA CATEGORIA]],'RELAÇÃO SINDICATOS'!A:N,14,0)</f>
        <v>MG001252/2025</v>
      </c>
    </row>
    <row r="319" spans="1:13">
      <c r="A319" s="147" t="str" cm="1">
        <f t="array" ref="A31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1.702.16</v>
      </c>
      <c r="B319" s="199" t="s">
        <v>1071</v>
      </c>
      <c r="C319" s="199" t="s">
        <v>214</v>
      </c>
      <c r="D319" s="199" t="str" cm="1">
        <f t="array" ref="D31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SETTASPOC</v>
      </c>
      <c r="E319" s="147" t="s">
        <v>1090</v>
      </c>
      <c r="F319" s="147" t="s">
        <v>120</v>
      </c>
      <c r="G319" s="147">
        <v>2</v>
      </c>
      <c r="H319" s="147">
        <v>0</v>
      </c>
      <c r="I319" s="214">
        <f>1.07*1.07*1.065*1.1016*1.0435*1310.33</f>
        <v>1836.5985119240554</v>
      </c>
      <c r="J319" s="249">
        <f>VLOOKUP(tabPostos[[#This Row],[CCT DA CATEGORIA]],'RELAÇÃO SINDICATOS'!A:N,11,0)</f>
        <v>45658</v>
      </c>
      <c r="K319" s="147" t="str">
        <f>VLOOKUP(tabPostos[[#This Row],[CCT DA CATEGORIA]],'RELAÇÃO SINDICATOS'!A:N,12,0)</f>
        <v>-</v>
      </c>
      <c r="L319" s="147" t="str">
        <f>VLOOKUP(tabPostos[[#This Row],[CCT DA CATEGORIA]],'RELAÇÃO SINDICATOS'!A:N,13,0)</f>
        <v>-</v>
      </c>
      <c r="M319" s="147" t="str">
        <f>VLOOKUP(tabPostos[[#This Row],[CCT DA CATEGORIA]],'RELAÇÃO SINDICATOS'!A:N,14,0)</f>
        <v>MG000635/2025</v>
      </c>
    </row>
    <row r="320" spans="1:13">
      <c r="A320" s="147" t="str" cm="1">
        <f t="array" ref="A32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1.702.28</v>
      </c>
      <c r="B320" s="199" t="s">
        <v>1071</v>
      </c>
      <c r="C320" s="199" t="s">
        <v>244</v>
      </c>
      <c r="D320" s="199" t="str" cm="1">
        <f t="array" ref="D32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Uberlandia</v>
      </c>
      <c r="E320" s="147" t="s">
        <v>1090</v>
      </c>
      <c r="F320" s="147" t="s">
        <v>120</v>
      </c>
      <c r="G320" s="147">
        <v>1</v>
      </c>
      <c r="H320" s="147">
        <v>0</v>
      </c>
      <c r="I320" s="214">
        <f>1.07*1.07*1.065*1.1016*1709.48</f>
        <v>2296.1756892610078</v>
      </c>
      <c r="J320" s="249">
        <f>VLOOKUP(tabPostos[[#This Row],[CCT DA CATEGORIA]],'RELAÇÃO SINDICATOS'!A:N,11,0)</f>
        <v>45658</v>
      </c>
      <c r="K320" s="147" t="str">
        <f>VLOOKUP(tabPostos[[#This Row],[CCT DA CATEGORIA]],'RELAÇÃO SINDICATOS'!A:N,12,0)</f>
        <v>-</v>
      </c>
      <c r="L320" s="147" t="str">
        <f>VLOOKUP(tabPostos[[#This Row],[CCT DA CATEGORIA]],'RELAÇÃO SINDICATOS'!A:N,13,0)</f>
        <v>-</v>
      </c>
      <c r="M320" s="147" t="str">
        <f>VLOOKUP(tabPostos[[#This Row],[CCT DA CATEGORIA]],'RELAÇÃO SINDICATOS'!A:N,14,0)</f>
        <v>MG001252/2025</v>
      </c>
    </row>
    <row r="321" spans="1:13">
      <c r="A321" s="147" t="str" cm="1">
        <f t="array" ref="A32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1.702.35</v>
      </c>
      <c r="B321" s="199" t="s">
        <v>1071</v>
      </c>
      <c r="C321" s="199" t="s">
        <v>274</v>
      </c>
      <c r="D321" s="199" t="str" cm="1">
        <f t="array" ref="D32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Uberlandia + SEAC-MG</v>
      </c>
      <c r="E321" s="147" t="s">
        <v>1090</v>
      </c>
      <c r="F321" s="147" t="s">
        <v>120</v>
      </c>
      <c r="G321" s="147">
        <v>5</v>
      </c>
      <c r="H321" s="147">
        <v>0</v>
      </c>
      <c r="I321" s="214">
        <f>1.05*1.07*1.065*1.1016*1.0435*3313.92</f>
        <v>4558.0709943632919</v>
      </c>
      <c r="J321" s="249">
        <f>VLOOKUP(tabPostos[[#This Row],[CCT DA CATEGORIA]],'RELAÇÃO SINDICATOS'!A:N,11,0)</f>
        <v>45658</v>
      </c>
      <c r="K321" s="147" t="str">
        <f>VLOOKUP(tabPostos[[#This Row],[CCT DA CATEGORIA]],'RELAÇÃO SINDICATOS'!A:N,12,0)</f>
        <v>-</v>
      </c>
      <c r="L321" s="147" t="str">
        <f>VLOOKUP(tabPostos[[#This Row],[CCT DA CATEGORIA]],'RELAÇÃO SINDICATOS'!A:N,13,0)</f>
        <v>-</v>
      </c>
      <c r="M321" s="147" t="str">
        <f>VLOOKUP(tabPostos[[#This Row],[CCT DA CATEGORIA]],'RELAÇÃO SINDICATOS'!A:N,14,0)</f>
        <v>MG002682/2025</v>
      </c>
    </row>
    <row r="322" spans="1:13">
      <c r="A322" s="147" t="str" cm="1">
        <f t="array" ref="A32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3.702.35</v>
      </c>
      <c r="B322" s="199" t="s">
        <v>1071</v>
      </c>
      <c r="C322" s="199" t="s">
        <v>274</v>
      </c>
      <c r="D322" s="199" t="str" cm="1">
        <f t="array" ref="D32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Uberlandia + SEAC-MG</v>
      </c>
      <c r="E322" s="147" t="s">
        <v>1090</v>
      </c>
      <c r="F322" s="147" t="s">
        <v>135</v>
      </c>
      <c r="G322" s="147">
        <v>1</v>
      </c>
      <c r="H322" s="147">
        <v>0</v>
      </c>
      <c r="I322" s="214">
        <f>1.05*1.07*1.065*1.1016*1.0435*3313.92</f>
        <v>4558.0709943632919</v>
      </c>
      <c r="J322" s="249">
        <f>VLOOKUP(tabPostos[[#This Row],[CCT DA CATEGORIA]],'RELAÇÃO SINDICATOS'!A:N,11,0)</f>
        <v>45658</v>
      </c>
      <c r="K322" s="147" t="str">
        <f>VLOOKUP(tabPostos[[#This Row],[CCT DA CATEGORIA]],'RELAÇÃO SINDICATOS'!A:N,12,0)</f>
        <v>-</v>
      </c>
      <c r="L322" s="147" t="str">
        <f>VLOOKUP(tabPostos[[#This Row],[CCT DA CATEGORIA]],'RELAÇÃO SINDICATOS'!A:N,13,0)</f>
        <v>-</v>
      </c>
      <c r="M322" s="147" t="str">
        <f>VLOOKUP(tabPostos[[#This Row],[CCT DA CATEGORIA]],'RELAÇÃO SINDICATOS'!A:N,14,0)</f>
        <v>MG002682/2025</v>
      </c>
    </row>
    <row r="323" spans="1:13">
      <c r="A323" s="147" t="str" cm="1">
        <f t="array" ref="A32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1.702.43</v>
      </c>
      <c r="B323" s="199" t="s">
        <v>1071</v>
      </c>
      <c r="C323" s="199" t="s">
        <v>314</v>
      </c>
      <c r="D323" s="199" t="str" cm="1">
        <f t="array" ref="D32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Uberlandia</v>
      </c>
      <c r="E323" s="147" t="s">
        <v>1090</v>
      </c>
      <c r="F323" s="147" t="s">
        <v>120</v>
      </c>
      <c r="G323" s="147">
        <v>1</v>
      </c>
      <c r="H323" s="147">
        <v>0</v>
      </c>
      <c r="I323" s="214">
        <f>1.07*1.07*1.065*1.1016*1.045*1520.9</f>
        <v>2134.8041615332936</v>
      </c>
      <c r="J323" s="249">
        <f>VLOOKUP(tabPostos[[#This Row],[CCT DA CATEGORIA]],'RELAÇÃO SINDICATOS'!A:N,11,0)</f>
        <v>45658</v>
      </c>
      <c r="K323" s="147" t="str">
        <f>VLOOKUP(tabPostos[[#This Row],[CCT DA CATEGORIA]],'RELAÇÃO SINDICATOS'!A:N,12,0)</f>
        <v>-</v>
      </c>
      <c r="L323" s="147" t="str">
        <f>VLOOKUP(tabPostos[[#This Row],[CCT DA CATEGORIA]],'RELAÇÃO SINDICATOS'!A:N,13,0)</f>
        <v>-</v>
      </c>
      <c r="M323" s="147" t="str">
        <f>VLOOKUP(tabPostos[[#This Row],[CCT DA CATEGORIA]],'RELAÇÃO SINDICATOS'!A:N,14,0)</f>
        <v>MG001252/2025</v>
      </c>
    </row>
    <row r="324" spans="1:13">
      <c r="A324" s="147" t="str" cm="1">
        <f t="array" ref="A32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1.702.45</v>
      </c>
      <c r="B324" s="199" t="s">
        <v>1071</v>
      </c>
      <c r="C324" s="199" t="s">
        <v>324</v>
      </c>
      <c r="D324" s="199" t="str" cm="1">
        <f t="array" ref="D32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Uberlandia</v>
      </c>
      <c r="E324" s="147" t="s">
        <v>1090</v>
      </c>
      <c r="F324" s="147" t="s">
        <v>120</v>
      </c>
      <c r="G324" s="147">
        <v>5</v>
      </c>
      <c r="H324" s="147">
        <v>0</v>
      </c>
      <c r="I324" s="214">
        <f>1.07*1.07*1.065*1.1016*1.045*2420.22</f>
        <v>3397.130467372021</v>
      </c>
      <c r="J324" s="249">
        <f>VLOOKUP(tabPostos[[#This Row],[CCT DA CATEGORIA]],'RELAÇÃO SINDICATOS'!A:N,11,0)</f>
        <v>45658</v>
      </c>
      <c r="K324" s="147" t="str">
        <f>VLOOKUP(tabPostos[[#This Row],[CCT DA CATEGORIA]],'RELAÇÃO SINDICATOS'!A:N,12,0)</f>
        <v>-</v>
      </c>
      <c r="L324" s="147" t="str">
        <f>VLOOKUP(tabPostos[[#This Row],[CCT DA CATEGORIA]],'RELAÇÃO SINDICATOS'!A:N,13,0)</f>
        <v>-</v>
      </c>
      <c r="M324" s="147" t="str">
        <f>VLOOKUP(tabPostos[[#This Row],[CCT DA CATEGORIA]],'RELAÇÃO SINDICATOS'!A:N,14,0)</f>
        <v>MG001252/2025</v>
      </c>
    </row>
    <row r="325" spans="1:13">
      <c r="A325" s="147" t="str" cm="1">
        <f t="array" ref="A32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1.702.60</v>
      </c>
      <c r="B325" s="199" t="s">
        <v>1071</v>
      </c>
      <c r="C325" s="199" t="s">
        <v>394</v>
      </c>
      <c r="D325" s="199" t="str" cm="1">
        <f t="array" ref="D32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Sinttel</v>
      </c>
      <c r="E325" s="147" t="s">
        <v>1090</v>
      </c>
      <c r="F325" s="147" t="s">
        <v>120</v>
      </c>
      <c r="G325" s="147">
        <v>1</v>
      </c>
      <c r="H325" s="147">
        <v>0</v>
      </c>
      <c r="I325" s="214">
        <f>1.07*1.065*1.1016*1.0452*1832.78</f>
        <v>2404.7340385572315</v>
      </c>
      <c r="J325" s="249">
        <f>VLOOKUP(tabPostos[[#This Row],[CCT DA CATEGORIA]],'RELAÇÃO SINDICATOS'!A:N,11,0)</f>
        <v>45292</v>
      </c>
      <c r="K325" s="147" t="str">
        <f>VLOOKUP(tabPostos[[#This Row],[CCT DA CATEGORIA]],'RELAÇÃO SINDICATOS'!A:N,12,0)</f>
        <v>-</v>
      </c>
      <c r="L325" s="147" t="str">
        <f>VLOOKUP(tabPostos[[#This Row],[CCT DA CATEGORIA]],'RELAÇÃO SINDICATOS'!A:N,13,0)</f>
        <v>-</v>
      </c>
      <c r="M325" s="147" t="str">
        <f>VLOOKUP(tabPostos[[#This Row],[CCT DA CATEGORIA]],'RELAÇÃO SINDICATOS'!A:N,14,0)</f>
        <v>MG001376/2024</v>
      </c>
    </row>
    <row r="326" spans="1:13">
      <c r="A326" s="147" t="str" cm="1">
        <f t="array" ref="A32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1.704.43</v>
      </c>
      <c r="B326" s="199" t="s">
        <v>1215</v>
      </c>
      <c r="C326" s="199" t="s">
        <v>314</v>
      </c>
      <c r="D326" s="199" t="str" cm="1">
        <f t="array" ref="D32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Fethemg Interior</v>
      </c>
      <c r="E326" s="147" t="s">
        <v>1090</v>
      </c>
      <c r="F326" s="147" t="s">
        <v>120</v>
      </c>
      <c r="G326" s="147">
        <v>1</v>
      </c>
      <c r="H326" s="147">
        <v>0</v>
      </c>
      <c r="I326" s="214">
        <f>1.07*1.07*1.065*1.1016*1461.74</f>
        <v>1963.4110092077037</v>
      </c>
      <c r="J326" s="249">
        <f>VLOOKUP(tabPostos[[#This Row],[CCT DA CATEGORIA]],'RELAÇÃO SINDICATOS'!A:N,11,0)</f>
        <v>45658</v>
      </c>
      <c r="K326" s="147" t="str">
        <f>VLOOKUP(tabPostos[[#This Row],[CCT DA CATEGORIA]],'RELAÇÃO SINDICATOS'!A:N,12,0)</f>
        <v>-</v>
      </c>
      <c r="L326" s="147" t="str">
        <f>VLOOKUP(tabPostos[[#This Row],[CCT DA CATEGORIA]],'RELAÇÃO SINDICATOS'!A:N,13,0)</f>
        <v>-</v>
      </c>
      <c r="M326" s="147" t="str">
        <f>VLOOKUP(tabPostos[[#This Row],[CCT DA CATEGORIA]],'RELAÇÃO SINDICATOS'!A:N,14,0)</f>
        <v>MG004482/2024</v>
      </c>
    </row>
    <row r="327" spans="1:13" ht="14.25" customHeight="1">
      <c r="A327" s="147" t="str" cm="1">
        <f t="array" ref="A32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1.707.35</v>
      </c>
      <c r="B327" s="199" t="s">
        <v>1216</v>
      </c>
      <c r="C327" s="199" t="s">
        <v>274</v>
      </c>
      <c r="D327" s="199" t="str" cm="1">
        <f t="array" ref="D32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Varginha + SEAC-MG</v>
      </c>
      <c r="E327" s="147" t="s">
        <v>1090</v>
      </c>
      <c r="F327" s="147" t="s">
        <v>120</v>
      </c>
      <c r="G327" s="147">
        <v>1</v>
      </c>
      <c r="H327" s="147">
        <v>0</v>
      </c>
      <c r="I327" s="214">
        <f>1.05*1.07*1.065*1.1016*1.0435*3313.92</f>
        <v>4558.0709943632919</v>
      </c>
      <c r="J327" s="249">
        <f>VLOOKUP(tabPostos[[#This Row],[CCT DA CATEGORIA]],'RELAÇÃO SINDICATOS'!A:N,11,0)</f>
        <v>45658</v>
      </c>
      <c r="K327" s="147" t="str">
        <f>VLOOKUP(tabPostos[[#This Row],[CCT DA CATEGORIA]],'RELAÇÃO SINDICATOS'!A:N,12,0)</f>
        <v>-</v>
      </c>
      <c r="L327" s="147" t="str">
        <f>VLOOKUP(tabPostos[[#This Row],[CCT DA CATEGORIA]],'RELAÇÃO SINDICATOS'!A:N,13,0)</f>
        <v>-</v>
      </c>
      <c r="M327" s="147" t="str">
        <f>VLOOKUP(tabPostos[[#This Row],[CCT DA CATEGORIA]],'RELAÇÃO SINDICATOS'!A:N,14,0)</f>
        <v>MG001486/2025</v>
      </c>
    </row>
    <row r="328" spans="1:13">
      <c r="A328" s="147" t="str" cm="1">
        <f t="array" ref="A32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1.707.43</v>
      </c>
      <c r="B328" s="199" t="s">
        <v>1216</v>
      </c>
      <c r="C328" s="199" t="s">
        <v>314</v>
      </c>
      <c r="D328" s="199" t="str" cm="1">
        <f t="array" ref="D32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Regiao de Sao Lourenco</v>
      </c>
      <c r="E328" s="147" t="s">
        <v>1090</v>
      </c>
      <c r="F328" s="147" t="s">
        <v>120</v>
      </c>
      <c r="G328" s="147">
        <v>1</v>
      </c>
      <c r="H328" s="147">
        <v>0</v>
      </c>
      <c r="I328" s="214">
        <f>1.07*1.07*1.065*1.1016*1.045*1398.79</f>
        <v>1963.4050319620983</v>
      </c>
      <c r="J328" s="249">
        <f>VLOOKUP(tabPostos[[#This Row],[CCT DA CATEGORIA]],'RELAÇÃO SINDICATOS'!A:N,11,0)</f>
        <v>45658</v>
      </c>
      <c r="K328" s="147" t="str">
        <f>VLOOKUP(tabPostos[[#This Row],[CCT DA CATEGORIA]],'RELAÇÃO SINDICATOS'!A:N,12,0)</f>
        <v>-</v>
      </c>
      <c r="L328" s="147" t="str">
        <f>VLOOKUP(tabPostos[[#This Row],[CCT DA CATEGORIA]],'RELAÇÃO SINDICATOS'!A:N,13,0)</f>
        <v>-</v>
      </c>
      <c r="M328" s="147" t="str">
        <f>VLOOKUP(tabPostos[[#This Row],[CCT DA CATEGORIA]],'RELAÇÃO SINDICATOS'!A:N,14,0)</f>
        <v>MG000594/2025</v>
      </c>
    </row>
    <row r="329" spans="1:13">
      <c r="A329" s="147" t="str" cm="1">
        <f t="array" ref="A32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1.290.35</v>
      </c>
      <c r="B329" s="199" t="s">
        <v>1074</v>
      </c>
      <c r="C329" s="199" t="s">
        <v>274</v>
      </c>
      <c r="D329" s="199" t="str" cm="1">
        <f t="array" ref="D32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Rodoviarios de RMBH + SEAC-MG</v>
      </c>
      <c r="E329" s="147" t="s">
        <v>1090</v>
      </c>
      <c r="F329" s="147" t="s">
        <v>120</v>
      </c>
      <c r="G329" s="147">
        <v>1</v>
      </c>
      <c r="H329" s="147">
        <v>0</v>
      </c>
      <c r="I329" s="214">
        <f>1.05*1.07*1.065*1.1016*1.0435*3246.71</f>
        <v>4465.6282221988586</v>
      </c>
      <c r="J329" s="249">
        <f>VLOOKUP(tabPostos[[#This Row],[CCT DA CATEGORIA]],'RELAÇÃO SINDICATOS'!A:N,11,0)</f>
        <v>45658</v>
      </c>
      <c r="K329" s="147" t="str">
        <f>VLOOKUP(tabPostos[[#This Row],[CCT DA CATEGORIA]],'RELAÇÃO SINDICATOS'!A:N,12,0)</f>
        <v>-</v>
      </c>
      <c r="L329" s="147" t="str">
        <f>VLOOKUP(tabPostos[[#This Row],[CCT DA CATEGORIA]],'RELAÇÃO SINDICATOS'!A:N,13,0)</f>
        <v>-</v>
      </c>
      <c r="M329" s="147" t="str">
        <f>VLOOKUP(tabPostos[[#This Row],[CCT DA CATEGORIA]],'RELAÇÃO SINDICATOS'!A:N,14,0)</f>
        <v>MG001489/2025</v>
      </c>
    </row>
    <row r="330" spans="1:13">
      <c r="A330" s="147" t="str" cm="1">
        <f t="array" ref="A33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1.290.41</v>
      </c>
      <c r="B330" s="199" t="s">
        <v>1074</v>
      </c>
      <c r="C330" s="199" t="s">
        <v>304</v>
      </c>
      <c r="D330" s="199" t="str" cm="1">
        <f t="array" ref="D33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Vespasiano</v>
      </c>
      <c r="E330" s="147" t="s">
        <v>1090</v>
      </c>
      <c r="F330" s="147" t="s">
        <v>120</v>
      </c>
      <c r="G330" s="147">
        <v>2</v>
      </c>
      <c r="H330" s="147">
        <v>0</v>
      </c>
      <c r="I330" s="214">
        <f>1.07*1.07*1.065*1.1016*1.045*1520.9</f>
        <v>2134.8041615332936</v>
      </c>
      <c r="J330" s="249">
        <f>VLOOKUP(tabPostos[[#This Row],[CCT DA CATEGORIA]],'RELAÇÃO SINDICATOS'!A:N,11,0)</f>
        <v>45658</v>
      </c>
      <c r="K330" s="147" t="str">
        <f>VLOOKUP(tabPostos[[#This Row],[CCT DA CATEGORIA]],'RELAÇÃO SINDICATOS'!A:N,12,0)</f>
        <v>-</v>
      </c>
      <c r="L330" s="147" t="str">
        <f>VLOOKUP(tabPostos[[#This Row],[CCT DA CATEGORIA]],'RELAÇÃO SINDICATOS'!A:N,13,0)</f>
        <v>-</v>
      </c>
      <c r="M330" s="147" t="str">
        <f>VLOOKUP(tabPostos[[#This Row],[CCT DA CATEGORIA]],'RELAÇÃO SINDICATOS'!A:N,14,0)</f>
        <v>MG000989/2025</v>
      </c>
    </row>
    <row r="331" spans="1:13">
      <c r="A331" s="147" t="str" cm="1">
        <f t="array" ref="A33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1.290.42</v>
      </c>
      <c r="B331" s="199" t="s">
        <v>1074</v>
      </c>
      <c r="C331" s="199" t="s">
        <v>309</v>
      </c>
      <c r="D331" s="199" t="str" cm="1">
        <f t="array" ref="D33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Vespasiano</v>
      </c>
      <c r="E331" s="147" t="s">
        <v>1090</v>
      </c>
      <c r="F331" s="147" t="s">
        <v>120</v>
      </c>
      <c r="G331" s="147">
        <v>2</v>
      </c>
      <c r="H331" s="147">
        <v>0</v>
      </c>
      <c r="I331" s="214">
        <f>1.07*1.07*1.065*1.1016*1.045*1520.9</f>
        <v>2134.8041615332936</v>
      </c>
      <c r="J331" s="249">
        <f>VLOOKUP(tabPostos[[#This Row],[CCT DA CATEGORIA]],'RELAÇÃO SINDICATOS'!A:N,11,0)</f>
        <v>45658</v>
      </c>
      <c r="K331" s="147" t="str">
        <f>VLOOKUP(tabPostos[[#This Row],[CCT DA CATEGORIA]],'RELAÇÃO SINDICATOS'!A:N,12,0)</f>
        <v>-</v>
      </c>
      <c r="L331" s="147" t="str">
        <f>VLOOKUP(tabPostos[[#This Row],[CCT DA CATEGORIA]],'RELAÇÃO SINDICATOS'!A:N,13,0)</f>
        <v>-</v>
      </c>
      <c r="M331" s="147" t="str">
        <f>VLOOKUP(tabPostos[[#This Row],[CCT DA CATEGORIA]],'RELAÇÃO SINDICATOS'!A:N,14,0)</f>
        <v>MG000989/2025</v>
      </c>
    </row>
    <row r="332" spans="1:13">
      <c r="A332" s="147" t="str" cm="1">
        <f t="array" ref="A33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1.290.45</v>
      </c>
      <c r="B332" s="199" t="s">
        <v>1074</v>
      </c>
      <c r="C332" s="199" t="s">
        <v>324</v>
      </c>
      <c r="D332" s="199" t="str" cm="1">
        <f t="array" ref="D33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Vespasiano</v>
      </c>
      <c r="E332" s="147" t="s">
        <v>1090</v>
      </c>
      <c r="F332" s="147" t="s">
        <v>120</v>
      </c>
      <c r="G332" s="147">
        <v>1</v>
      </c>
      <c r="H332" s="147">
        <v>0</v>
      </c>
      <c r="I332" s="214">
        <f>1.07*1.07*1.065*1.1016*1.045*2420.22</f>
        <v>3397.130467372021</v>
      </c>
      <c r="J332" s="249">
        <f>VLOOKUP(tabPostos[[#This Row],[CCT DA CATEGORIA]],'RELAÇÃO SINDICATOS'!A:N,11,0)</f>
        <v>45658</v>
      </c>
      <c r="K332" s="147" t="str">
        <f>VLOOKUP(tabPostos[[#This Row],[CCT DA CATEGORIA]],'RELAÇÃO SINDICATOS'!A:N,12,0)</f>
        <v>-</v>
      </c>
      <c r="L332" s="147" t="str">
        <f>VLOOKUP(tabPostos[[#This Row],[CCT DA CATEGORIA]],'RELAÇÃO SINDICATOS'!A:N,13,0)</f>
        <v>-</v>
      </c>
      <c r="M332" s="147" t="str">
        <f>VLOOKUP(tabPostos[[#This Row],[CCT DA CATEGORIA]],'RELAÇÃO SINDICATOS'!A:N,14,0)</f>
        <v>MG000989/2025</v>
      </c>
    </row>
    <row r="333" spans="1:13">
      <c r="A333" s="147" t="str" cm="1">
        <f t="array" ref="A33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1.713.27</v>
      </c>
      <c r="B333" s="199" t="s">
        <v>1217</v>
      </c>
      <c r="C333" s="199" t="s">
        <v>1367</v>
      </c>
      <c r="D333" s="199" t="str" cm="1">
        <f t="array" ref="D33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Vicosa e Regiao</v>
      </c>
      <c r="E333" s="147" t="s">
        <v>1090</v>
      </c>
      <c r="F333" s="147" t="s">
        <v>120</v>
      </c>
      <c r="G333" s="147">
        <v>1</v>
      </c>
      <c r="H333" s="147">
        <v>0</v>
      </c>
      <c r="I333" s="214">
        <f>1.07*1.07*1.065*1.1016*1709.48/220*200</f>
        <v>2087.4324447827344</v>
      </c>
      <c r="J333" s="249">
        <f>VLOOKUP(tabPostos[[#This Row],[CCT DA CATEGORIA]],'RELAÇÃO SINDICATOS'!A:N,11,0)</f>
        <v>45658</v>
      </c>
      <c r="K333" s="147" t="str">
        <f>VLOOKUP(tabPostos[[#This Row],[CCT DA CATEGORIA]],'RELAÇÃO SINDICATOS'!A:N,12,0)</f>
        <v>-</v>
      </c>
      <c r="L333" s="147" t="str">
        <f>VLOOKUP(tabPostos[[#This Row],[CCT DA CATEGORIA]],'RELAÇÃO SINDICATOS'!A:N,13,0)</f>
        <v>-</v>
      </c>
      <c r="M333" s="147" t="str">
        <f>VLOOKUP(tabPostos[[#This Row],[CCT DA CATEGORIA]],'RELAÇÃO SINDICATOS'!A:N,14,0)</f>
        <v>MG001208/2025</v>
      </c>
    </row>
    <row r="334" spans="1:13">
      <c r="A334" s="147" t="str" cm="1">
        <f t="array" ref="A33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1.713.29</v>
      </c>
      <c r="B334" s="199" t="s">
        <v>1217</v>
      </c>
      <c r="C334" s="199" t="s">
        <v>1368</v>
      </c>
      <c r="D334" s="199" t="str" cm="1">
        <f t="array" ref="D33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Vicosa e Regiao</v>
      </c>
      <c r="E334" s="147" t="s">
        <v>1090</v>
      </c>
      <c r="F334" s="147" t="s">
        <v>120</v>
      </c>
      <c r="G334" s="147">
        <v>1</v>
      </c>
      <c r="H334" s="147">
        <v>0</v>
      </c>
      <c r="I334" s="214">
        <f>1.07*1.07*1.065*1.1016*1709.48</f>
        <v>2296.1756892610078</v>
      </c>
      <c r="J334" s="249">
        <f>VLOOKUP(tabPostos[[#This Row],[CCT DA CATEGORIA]],'RELAÇÃO SINDICATOS'!A:N,11,0)</f>
        <v>45658</v>
      </c>
      <c r="K334" s="147" t="str">
        <f>VLOOKUP(tabPostos[[#This Row],[CCT DA CATEGORIA]],'RELAÇÃO SINDICATOS'!A:N,12,0)</f>
        <v>-</v>
      </c>
      <c r="L334" s="147" t="str">
        <f>VLOOKUP(tabPostos[[#This Row],[CCT DA CATEGORIA]],'RELAÇÃO SINDICATOS'!A:N,13,0)</f>
        <v>-</v>
      </c>
      <c r="M334" s="147" t="str">
        <f>VLOOKUP(tabPostos[[#This Row],[CCT DA CATEGORIA]],'RELAÇÃO SINDICATOS'!A:N,14,0)</f>
        <v>MG001208/2025</v>
      </c>
    </row>
    <row r="335" spans="1:13">
      <c r="A335" s="147" t="str" cm="1">
        <f t="array" ref="A33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1.713.43</v>
      </c>
      <c r="B335" s="199" t="s">
        <v>1217</v>
      </c>
      <c r="C335" s="199" t="s">
        <v>314</v>
      </c>
      <c r="D335" s="199" t="str" cm="1">
        <f t="array" ref="D33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Vicosa e Regiao</v>
      </c>
      <c r="E335" s="147" t="s">
        <v>1090</v>
      </c>
      <c r="F335" s="147" t="s">
        <v>120</v>
      </c>
      <c r="G335" s="147">
        <v>1</v>
      </c>
      <c r="H335" s="147">
        <v>0</v>
      </c>
      <c r="I335" s="214">
        <f>1.07*1.07*1.065*1.1016*1461.74</f>
        <v>1963.4110092077037</v>
      </c>
      <c r="J335" s="249">
        <f>VLOOKUP(tabPostos[[#This Row],[CCT DA CATEGORIA]],'RELAÇÃO SINDICATOS'!A:N,11,0)</f>
        <v>45658</v>
      </c>
      <c r="K335" s="147" t="str">
        <f>VLOOKUP(tabPostos[[#This Row],[CCT DA CATEGORIA]],'RELAÇÃO SINDICATOS'!A:N,12,0)</f>
        <v>-</v>
      </c>
      <c r="L335" s="147" t="str">
        <f>VLOOKUP(tabPostos[[#This Row],[CCT DA CATEGORIA]],'RELAÇÃO SINDICATOS'!A:N,13,0)</f>
        <v>-</v>
      </c>
      <c r="M335" s="147" t="str">
        <f>VLOOKUP(tabPostos[[#This Row],[CCT DA CATEGORIA]],'RELAÇÃO SINDICATOS'!A:N,14,0)</f>
        <v>MG001208/2025</v>
      </c>
    </row>
    <row r="336" spans="1:13">
      <c r="A336" s="147" t="str" cm="1">
        <f t="array" ref="A33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1.720.13</v>
      </c>
      <c r="B336" s="199" t="s">
        <v>1218</v>
      </c>
      <c r="C336" s="199" t="s">
        <v>200</v>
      </c>
      <c r="D336" s="199" t="str" cm="1">
        <f t="array" ref="D33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336" s="147" t="s">
        <v>1090</v>
      </c>
      <c r="F336" s="147" t="s">
        <v>120</v>
      </c>
      <c r="G336" s="147">
        <v>1</v>
      </c>
      <c r="H336" s="147">
        <v>0</v>
      </c>
      <c r="I336" s="214">
        <f>1.07*1.07*1.065*1.1016*1188.41</f>
        <v>1596.273808921236</v>
      </c>
      <c r="J336" s="249">
        <f>VLOOKUP(tabPostos[[#This Row],[CCT DA CATEGORIA]],'RELAÇÃO SINDICATOS'!A:N,11,0)</f>
        <v>45658</v>
      </c>
      <c r="K336" s="147" t="str">
        <f>VLOOKUP(tabPostos[[#This Row],[CCT DA CATEGORIA]],'RELAÇÃO SINDICATOS'!A:N,12,0)</f>
        <v>-</v>
      </c>
      <c r="L336" s="147" t="str">
        <f>VLOOKUP(tabPostos[[#This Row],[CCT DA CATEGORIA]],'RELAÇÃO SINDICATOS'!A:N,13,0)</f>
        <v>-</v>
      </c>
      <c r="M336" s="147" t="str">
        <f>VLOOKUP(tabPostos[[#This Row],[CCT DA CATEGORIA]],'RELAÇÃO SINDICATOS'!A:N,14,0)</f>
        <v>MG000299/2025</v>
      </c>
    </row>
    <row r="337" spans="1:13">
      <c r="A337" s="147" t="str" cm="1">
        <f t="array" ref="A33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1.720.27</v>
      </c>
      <c r="B337" s="199" t="s">
        <v>1218</v>
      </c>
      <c r="C337" s="199" t="s">
        <v>1367</v>
      </c>
      <c r="D337" s="199" t="str" cm="1">
        <f t="array" ref="D33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337" s="147" t="s">
        <v>1090</v>
      </c>
      <c r="F337" s="147" t="s">
        <v>120</v>
      </c>
      <c r="G337" s="147">
        <v>1</v>
      </c>
      <c r="H337" s="147">
        <v>0</v>
      </c>
      <c r="I337" s="214">
        <f>1.07*1.07*1.065*1.1016*1709.48/220*200</f>
        <v>2087.4324447827344</v>
      </c>
      <c r="J337" s="249">
        <f>VLOOKUP(tabPostos[[#This Row],[CCT DA CATEGORIA]],'RELAÇÃO SINDICATOS'!A:N,11,0)</f>
        <v>45658</v>
      </c>
      <c r="K337" s="147" t="str">
        <f>VLOOKUP(tabPostos[[#This Row],[CCT DA CATEGORIA]],'RELAÇÃO SINDICATOS'!A:N,12,0)</f>
        <v>-</v>
      </c>
      <c r="L337" s="147" t="str">
        <f>VLOOKUP(tabPostos[[#This Row],[CCT DA CATEGORIA]],'RELAÇÃO SINDICATOS'!A:N,13,0)</f>
        <v>-</v>
      </c>
      <c r="M337" s="147" t="str">
        <f>VLOOKUP(tabPostos[[#This Row],[CCT DA CATEGORIA]],'RELAÇÃO SINDICATOS'!A:N,14,0)</f>
        <v>MG000299/2025</v>
      </c>
    </row>
    <row r="338" spans="1:13">
      <c r="A338" s="147" t="str" cm="1">
        <f t="array" ref="A33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1.720.29</v>
      </c>
      <c r="B338" s="199" t="s">
        <v>1218</v>
      </c>
      <c r="C338" s="199" t="s">
        <v>1368</v>
      </c>
      <c r="D338" s="199" t="str" cm="1">
        <f t="array" ref="D33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338" s="147" t="s">
        <v>1090</v>
      </c>
      <c r="F338" s="147" t="s">
        <v>120</v>
      </c>
      <c r="G338" s="147">
        <v>1</v>
      </c>
      <c r="H338" s="147">
        <v>0</v>
      </c>
      <c r="I338" s="214">
        <f>1.07*1.07*1.065*1.1016*1709.48</f>
        <v>2296.1756892610078</v>
      </c>
      <c r="J338" s="249">
        <f>VLOOKUP(tabPostos[[#This Row],[CCT DA CATEGORIA]],'RELAÇÃO SINDICATOS'!A:N,11,0)</f>
        <v>45658</v>
      </c>
      <c r="K338" s="147" t="str">
        <f>VLOOKUP(tabPostos[[#This Row],[CCT DA CATEGORIA]],'RELAÇÃO SINDICATOS'!A:N,12,0)</f>
        <v>-</v>
      </c>
      <c r="L338" s="147" t="str">
        <f>VLOOKUP(tabPostos[[#This Row],[CCT DA CATEGORIA]],'RELAÇÃO SINDICATOS'!A:N,13,0)</f>
        <v>-</v>
      </c>
      <c r="M338" s="147" t="str">
        <f>VLOOKUP(tabPostos[[#This Row],[CCT DA CATEGORIA]],'RELAÇÃO SINDICATOS'!A:N,14,0)</f>
        <v>MG000299/2025</v>
      </c>
    </row>
    <row r="339" spans="1:13">
      <c r="A339" s="147" t="str" cm="1">
        <f t="array" ref="A33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1.720.43</v>
      </c>
      <c r="B339" s="199" t="s">
        <v>1218</v>
      </c>
      <c r="C339" s="199" t="s">
        <v>314</v>
      </c>
      <c r="D339" s="199" t="str" cm="1">
        <f t="array" ref="D33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_xlfn._xlws.FILTER(tabSindicatos[SINDICATOS],
(ISNUMBER(SEARCH(","&amp;TRIM(UPPER(SUBSTITUTE(tabPostos[[#This Row],[Comarca]]," ","")))&amp;",",_xlpm.MATRIZ_COMARCA,1)))*
(ISNUMBER(SEARCH(","&amp;TRIM(SUBSTITUTE(SUBSTITUTE(SUBSTITUTE(UPPER(tabPostos[[#This Row],[Função]])," E ",", ")," ",""),".",""))&amp;",",_xlpm.MATRIZ_FUNCAO,1)))
)
))</f>
        <v>Cataguases</v>
      </c>
      <c r="E339" s="147" t="s">
        <v>1090</v>
      </c>
      <c r="F339" s="147" t="s">
        <v>120</v>
      </c>
      <c r="G339" s="147">
        <v>1</v>
      </c>
      <c r="H339" s="147">
        <v>0</v>
      </c>
      <c r="I339" s="214">
        <f>1.07*1.07*1.065*1.1016*1461.74</f>
        <v>1963.4110092077037</v>
      </c>
      <c r="J339" s="249">
        <f>VLOOKUP(tabPostos[[#This Row],[CCT DA CATEGORIA]],'RELAÇÃO SINDICATOS'!A:N,11,0)</f>
        <v>45658</v>
      </c>
      <c r="K339" s="147" t="str">
        <f>VLOOKUP(tabPostos[[#This Row],[CCT DA CATEGORIA]],'RELAÇÃO SINDICATOS'!A:N,12,0)</f>
        <v>-</v>
      </c>
      <c r="L339" s="147" t="str">
        <f>VLOOKUP(tabPostos[[#This Row],[CCT DA CATEGORIA]],'RELAÇÃO SINDICATOS'!A:N,13,0)</f>
        <v>-</v>
      </c>
      <c r="M339" s="147" t="str">
        <f>VLOOKUP(tabPostos[[#This Row],[CCT DA CATEGORIA]],'RELAÇÃO SINDICATOS'!A:N,14,0)</f>
        <v>MG000299/2025</v>
      </c>
    </row>
    <row r="340" spans="1:13" s="274" customFormat="1" ht="15.75">
      <c r="A340" s="269" t="s">
        <v>1520</v>
      </c>
      <c r="B340" s="270"/>
      <c r="C340" s="270"/>
      <c r="D340" s="270"/>
      <c r="E340" s="270"/>
      <c r="F340" s="270"/>
      <c r="G340" s="271">
        <f>SUBTOTAL(9,tabPostos[Vagas contratadas])</f>
        <v>1304</v>
      </c>
      <c r="H340" s="271">
        <f>SUBTOTAL(9,tabPostos[Vagas suspensas])</f>
        <v>0</v>
      </c>
      <c r="I340" s="272">
        <f>SUBTOTAL(9,tabPostos[Salário Base])</f>
        <v>981388.11926325131</v>
      </c>
      <c r="J340" s="270"/>
      <c r="K340" s="270"/>
      <c r="L340" s="270"/>
      <c r="M340" s="273"/>
    </row>
    <row r="341" spans="1:13" ht="15">
      <c r="A341" s="260"/>
    </row>
    <row r="344" spans="1:13">
      <c r="G344">
        <f>G340+'[1]RELAÇÃO POSTOS'!$G$254</f>
        <v>1741</v>
      </c>
    </row>
  </sheetData>
  <pageMargins left="0.511811024" right="0.511811024" top="0.78740157499999996" bottom="0.78740157499999996" header="0.31496062000000002" footer="0.31496062000000002"/>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dimension ref="A1:BJ376"/>
  <sheetViews>
    <sheetView topLeftCell="C1" zoomScale="85" zoomScaleNormal="85" workbookViewId="0">
      <pane ySplit="3" topLeftCell="A4" activePane="bottomLeft" state="frozen"/>
      <selection pane="bottomLeft" activeCell="G8" sqref="G8"/>
    </sheetView>
  </sheetViews>
  <sheetFormatPr defaultRowHeight="14.25"/>
  <cols>
    <col min="1" max="1" width="22" bestFit="1" customWidth="1"/>
    <col min="2" max="2" width="23.875" bestFit="1" customWidth="1"/>
    <col min="3" max="3" width="53.375" bestFit="1" customWidth="1"/>
    <col min="4" max="4" width="24.875" bestFit="1" customWidth="1"/>
    <col min="5" max="5" width="19.375" bestFit="1" customWidth="1"/>
    <col min="6" max="6" width="24.75" bestFit="1" customWidth="1"/>
    <col min="7" max="7" width="24" bestFit="1" customWidth="1"/>
    <col min="8" max="8" width="23.625" bestFit="1" customWidth="1"/>
    <col min="9" max="9" width="18.25" style="22" bestFit="1" customWidth="1"/>
    <col min="10" max="10" width="29.75" bestFit="1" customWidth="1"/>
    <col min="11" max="11" width="28.625" bestFit="1" customWidth="1"/>
    <col min="12" max="12" width="23.125" bestFit="1" customWidth="1"/>
    <col min="13" max="13" width="39.25" bestFit="1" customWidth="1"/>
    <col min="14" max="14" width="29.25" bestFit="1" customWidth="1"/>
    <col min="15" max="15" width="20.375" bestFit="1" customWidth="1"/>
    <col min="16" max="16" width="37" bestFit="1" customWidth="1"/>
    <col min="17" max="17" width="10.625" bestFit="1" customWidth="1"/>
    <col min="18" max="18" width="18.875" bestFit="1" customWidth="1"/>
    <col min="19" max="19" width="21.375" bestFit="1" customWidth="1"/>
    <col min="20" max="20" width="12.125" bestFit="1" customWidth="1"/>
    <col min="21" max="21" width="22" bestFit="1" customWidth="1"/>
    <col min="22" max="22" width="11.25" bestFit="1" customWidth="1"/>
    <col min="23" max="23" width="19.125" bestFit="1" customWidth="1"/>
    <col min="24" max="24" width="13.375" bestFit="1" customWidth="1"/>
    <col min="25" max="25" width="23.625" bestFit="1" customWidth="1"/>
    <col min="26" max="26" width="40.125" bestFit="1" customWidth="1"/>
    <col min="27" max="27" width="23" bestFit="1" customWidth="1"/>
    <col min="28" max="28" width="24" bestFit="1" customWidth="1"/>
    <col min="29" max="29" width="18.25" bestFit="1" customWidth="1"/>
    <col min="30" max="30" width="13.375" bestFit="1" customWidth="1"/>
    <col min="31" max="31" width="10.75" bestFit="1" customWidth="1"/>
    <col min="32" max="32" width="28.375" bestFit="1" customWidth="1"/>
    <col min="33" max="33" width="20.875" bestFit="1" customWidth="1"/>
    <col min="34" max="34" width="26.625" bestFit="1" customWidth="1"/>
    <col min="35" max="35" width="52.75" bestFit="1" customWidth="1"/>
    <col min="36" max="36" width="36" bestFit="1" customWidth="1"/>
    <col min="37" max="37" width="51" bestFit="1" customWidth="1"/>
    <col min="38" max="38" width="35" bestFit="1" customWidth="1"/>
    <col min="39" max="39" width="66.125" bestFit="1" customWidth="1"/>
    <col min="40" max="40" width="30.375" bestFit="1" customWidth="1"/>
    <col min="41" max="41" width="51" bestFit="1" customWidth="1"/>
    <col min="42" max="42" width="26.375" bestFit="1" customWidth="1"/>
    <col min="43" max="43" width="23.25" bestFit="1" customWidth="1"/>
    <col min="44" max="44" width="25.625" bestFit="1" customWidth="1"/>
    <col min="45" max="45" width="40" bestFit="1" customWidth="1"/>
    <col min="46" max="46" width="41.75" bestFit="1" customWidth="1"/>
    <col min="47" max="47" width="39.875" bestFit="1" customWidth="1"/>
    <col min="48" max="48" width="31.375" bestFit="1" customWidth="1"/>
    <col min="49" max="49" width="31.75" bestFit="1" customWidth="1"/>
    <col min="50" max="50" width="22.375" bestFit="1" customWidth="1"/>
    <col min="51" max="51" width="28" bestFit="1" customWidth="1"/>
    <col min="52" max="52" width="45.125" bestFit="1" customWidth="1"/>
    <col min="53" max="53" width="57" bestFit="1" customWidth="1"/>
    <col min="54" max="54" width="25.25" bestFit="1" customWidth="1"/>
    <col min="55" max="55" width="22.25" bestFit="1" customWidth="1"/>
    <col min="56" max="56" width="14.375" bestFit="1" customWidth="1"/>
    <col min="57" max="57" width="13.125" bestFit="1" customWidth="1"/>
    <col min="58" max="59" width="9.375" bestFit="1" customWidth="1"/>
    <col min="60" max="60" width="17.875" bestFit="1" customWidth="1"/>
    <col min="61" max="61" width="26" bestFit="1" customWidth="1"/>
    <col min="62" max="62" width="41" bestFit="1" customWidth="1"/>
    <col min="63" max="63" width="25" bestFit="1" customWidth="1"/>
    <col min="64" max="64" width="46.375" bestFit="1" customWidth="1"/>
  </cols>
  <sheetData>
    <row r="1" spans="1:62" s="149" customFormat="1" ht="24.95" customHeight="1">
      <c r="D1" s="200"/>
      <c r="E1" s="200"/>
      <c r="F1" s="200"/>
      <c r="G1" s="200"/>
      <c r="H1" s="200"/>
      <c r="I1" s="215"/>
      <c r="J1" s="200"/>
      <c r="K1" s="200"/>
      <c r="L1" s="200"/>
      <c r="M1" s="200"/>
      <c r="N1" s="200"/>
      <c r="O1" s="200"/>
      <c r="P1" s="200"/>
      <c r="Q1" s="200"/>
      <c r="R1" s="200"/>
      <c r="S1" s="200"/>
      <c r="T1" s="200"/>
      <c r="U1" s="20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c r="BD1" s="200"/>
      <c r="BE1" s="200"/>
      <c r="BF1" s="200"/>
      <c r="BG1" s="200"/>
      <c r="BH1" s="200"/>
      <c r="BI1" s="200"/>
      <c r="BJ1" s="200"/>
    </row>
    <row r="2" spans="1:62" s="19" customFormat="1" ht="24.95" customHeight="1">
      <c r="I2" s="216"/>
    </row>
    <row r="3" spans="1:62" s="11" customFormat="1" ht="25.5">
      <c r="A3" s="217" t="s">
        <v>1081</v>
      </c>
      <c r="B3" s="218" t="s">
        <v>1082</v>
      </c>
      <c r="C3" s="218" t="s">
        <v>1083</v>
      </c>
      <c r="D3" s="218" t="s">
        <v>1084</v>
      </c>
      <c r="E3" s="219" t="s">
        <v>1085</v>
      </c>
      <c r="F3" s="219" t="s">
        <v>1086</v>
      </c>
      <c r="G3" s="218" t="s">
        <v>1087</v>
      </c>
      <c r="H3" s="220" t="s">
        <v>1088</v>
      </c>
      <c r="I3" s="221" t="s">
        <v>1089</v>
      </c>
      <c r="J3" s="222" t="s">
        <v>1219</v>
      </c>
      <c r="K3" s="222" t="s">
        <v>1220</v>
      </c>
      <c r="L3" s="222" t="s">
        <v>1221</v>
      </c>
      <c r="M3" s="222" t="s">
        <v>1222</v>
      </c>
      <c r="N3" s="222" t="s">
        <v>1223</v>
      </c>
      <c r="O3" s="222" t="s">
        <v>1892</v>
      </c>
      <c r="P3" s="222" t="s">
        <v>1224</v>
      </c>
      <c r="Q3" s="223" t="s">
        <v>129</v>
      </c>
      <c r="R3" s="223" t="s">
        <v>138</v>
      </c>
      <c r="S3" s="223" t="s">
        <v>145</v>
      </c>
      <c r="T3" s="223" t="s">
        <v>155</v>
      </c>
      <c r="U3" s="223" t="s">
        <v>161</v>
      </c>
      <c r="V3" s="223" t="s">
        <v>167</v>
      </c>
      <c r="W3" s="223" t="s">
        <v>173</v>
      </c>
      <c r="X3" s="223" t="s">
        <v>179</v>
      </c>
      <c r="Y3" s="224" t="s">
        <v>1225</v>
      </c>
      <c r="Z3" s="224" t="s">
        <v>1226</v>
      </c>
      <c r="AA3" s="223" t="s">
        <v>1227</v>
      </c>
      <c r="AB3" s="223" t="s">
        <v>1228</v>
      </c>
      <c r="AC3" s="223" t="s">
        <v>892</v>
      </c>
      <c r="AD3" s="223" t="s">
        <v>893</v>
      </c>
      <c r="AE3" s="223" t="s">
        <v>894</v>
      </c>
      <c r="AF3" s="223" t="s">
        <v>1377</v>
      </c>
      <c r="AG3" s="223" t="s">
        <v>1229</v>
      </c>
      <c r="AH3" s="223" t="s">
        <v>1230</v>
      </c>
      <c r="AI3" s="225" t="s">
        <v>1231</v>
      </c>
      <c r="AJ3" s="225" t="s">
        <v>1232</v>
      </c>
      <c r="AK3" s="225" t="s">
        <v>1233</v>
      </c>
      <c r="AL3" s="225" t="s">
        <v>1234</v>
      </c>
      <c r="AM3" s="225" t="s">
        <v>1235</v>
      </c>
      <c r="AN3" s="224" t="s">
        <v>1236</v>
      </c>
      <c r="AO3" s="225" t="s">
        <v>1237</v>
      </c>
      <c r="AP3" s="15" t="s">
        <v>1238</v>
      </c>
      <c r="AQ3" s="15" t="s">
        <v>1239</v>
      </c>
      <c r="AR3" s="15" t="s">
        <v>1240</v>
      </c>
      <c r="AS3" s="15" t="s">
        <v>1241</v>
      </c>
      <c r="AT3" s="15" t="s">
        <v>1242</v>
      </c>
      <c r="AU3" s="15" t="s">
        <v>1243</v>
      </c>
      <c r="AV3" s="226" t="s">
        <v>1244</v>
      </c>
      <c r="AW3" s="220" t="s">
        <v>1245</v>
      </c>
      <c r="AX3" s="227" t="s">
        <v>1246</v>
      </c>
      <c r="AY3" s="227" t="s">
        <v>1247</v>
      </c>
      <c r="AZ3" s="227" t="s">
        <v>1248</v>
      </c>
      <c r="BA3" s="227" t="s">
        <v>1249</v>
      </c>
      <c r="BB3" s="227" t="s">
        <v>1250</v>
      </c>
      <c r="BC3" s="228" t="s">
        <v>137</v>
      </c>
      <c r="BD3" s="228" t="s">
        <v>144</v>
      </c>
      <c r="BE3" s="228" t="s">
        <v>185</v>
      </c>
      <c r="BF3" s="228" t="s">
        <v>191</v>
      </c>
      <c r="BG3" s="228" t="s">
        <v>101</v>
      </c>
      <c r="BH3" s="229" t="s">
        <v>895</v>
      </c>
      <c r="BI3" s="229" t="s">
        <v>896</v>
      </c>
      <c r="BJ3" s="230" t="s">
        <v>1251</v>
      </c>
    </row>
    <row r="4" spans="1:62">
      <c r="A4" s="252" t="s">
        <v>1528</v>
      </c>
      <c r="B4" s="253" t="s">
        <v>1091</v>
      </c>
      <c r="C4" s="253" t="s">
        <v>1366</v>
      </c>
      <c r="D4" s="253" t="str">
        <f>VLOOKUP(tabParametros[[#This Row],[Código do Posto]],tabPostos[],4,0)</f>
        <v>Fethemg Interior</v>
      </c>
      <c r="E4" s="283" t="str">
        <f>VLOOKUP(tabParametros[[#This Row],[Código do Posto]],tabPostos[],5,0)</f>
        <v>Apoio</v>
      </c>
      <c r="F4" s="283" t="str">
        <f>VLOOKUP(tabParametros[[#This Row],[Código do Posto]],tabPostos[],6,0)</f>
        <v>PGJ</v>
      </c>
      <c r="G4" s="283">
        <f>VLOOKUP(tabParametros[[#This Row],[Código do Posto]],tabPostos[],7,0)</f>
        <v>1</v>
      </c>
      <c r="H4" s="283">
        <f>VLOOKUP(tabParametros[[#This Row],[Código do Posto]],tabPostos[],8,0)</f>
        <v>0</v>
      </c>
      <c r="I4" s="254">
        <f>VLOOKUP(tabParametros[[#This Row],[Código do Posto]],tabPostos[],9,0)</f>
        <v>1043.7162223913672</v>
      </c>
      <c r="J4" s="254">
        <f>IF(ISNUMBER(SEARCH("Eletricista",tabParametros[[#This Row],[Função]],1)),0.3*tabParametros[[#This Row],[Salário Base]],0)</f>
        <v>0</v>
      </c>
      <c r="K4" s="25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4" s="254">
        <f>IF(AND(ISNUMBER(SEARCH("Noturno",tabParametros[[#This Row],[Função]],1)),tabParametros[[#This Row],[Comarca]]&lt;&gt;"Juiz de Fora"),tabParametros[[#This Row],[Salário Base]]/210*0.39*7*15.5,IF(ISNUMBER(SEARCH("Noturno",tabParametros[[#This Row],[Função]],1)),tabParametros[[#This Row],[Salário Base]]/210*0.2*8*15.5,0))</f>
        <v>0</v>
      </c>
      <c r="M4" s="254">
        <f>IF(ISNUMBER(SEARCH("Motorista II",tabParametros[[#This Row],[Função]],1)),0.3022*tabParametros[[#This Row],[Salário Base]],0)</f>
        <v>0</v>
      </c>
      <c r="N4" s="254">
        <v>0</v>
      </c>
      <c r="O4" s="254">
        <f>IF(ISNUMBER(SEARCH("TECNOLOGIA DA INFORMACAO",tabParametros[[#This Row],[Função]],1)),0.056*tabParametros[[#This Row],[Salário Base]],0)</f>
        <v>0</v>
      </c>
      <c r="P4" s="254">
        <f>IF(tabParametros[[#This Row],[Função]]="Operador de Midia Audiovisual - 150 h",tabParametros[[#This Row],[Salário Base]]/150*50*30%,IF(tabParametros[[#This Row],[Função]]="Supervisor de Manutencao de Veiculos II - 220 h",12%*tabParametros[[#This Row],[Salário Base]],0))</f>
        <v>0</v>
      </c>
      <c r="Q4" s="255">
        <f>VLOOKUP(tabParametros[[#Headers],[INSS]],tabImpostosNacionais[],2,0)</f>
        <v>0.2</v>
      </c>
      <c r="R4" s="255">
        <f>VLOOKUP(tabParametros[[#Headers],[SESI OU SESC]],tabImpostosNacionais[],2,0)</f>
        <v>1.4999999999999999E-2</v>
      </c>
      <c r="S4" s="255">
        <f>VLOOKUP(tabParametros[[#Headers],[SENAI OU SENAC]],tabImpostosNacionais[],2,0)</f>
        <v>0.01</v>
      </c>
      <c r="T4" s="255">
        <f>VLOOKUP(tabParametros[[#Headers],[INCRA]],tabImpostosNacionais[],2,0)</f>
        <v>2E-3</v>
      </c>
      <c r="U4" s="255">
        <f>VLOOKUP(tabParametros[[#Headers],[Salário Educação]],tabImpostosNacionais[],2,0)</f>
        <v>2.5000000000000001E-2</v>
      </c>
      <c r="V4" s="255">
        <f>VLOOKUP(tabParametros[[#Headers],[FGTS]],tabImpostosNacionais[],2,0)</f>
        <v>0.08</v>
      </c>
      <c r="W4" s="255">
        <f>VLOOKUP(tabParametros[[#Headers],[RAT Ajustado]],tabImpostosNacionais[],2,0)</f>
        <v>0.04</v>
      </c>
      <c r="X4" s="255">
        <f>VLOOKUP(tabParametros[[#Headers],[SEBRAE]],tabImpostosNacionais[],2,0)</f>
        <v>6.0000000000000001E-3</v>
      </c>
      <c r="Y4" s="255">
        <f t="shared" ref="Y4:Y67" si="0">1/12</f>
        <v>8.3333333333333329E-2</v>
      </c>
      <c r="Z4" s="255">
        <f t="shared" ref="Z4:Z67" si="1">1/12+1/12/3</f>
        <v>0.1111111111111111</v>
      </c>
      <c r="AA4" s="254">
        <f>VLOOKUP(tabParametros[[#This Row],[Comarca]],tabComarca[],5,0)</f>
        <v>6.4</v>
      </c>
      <c r="AB4" s="254">
        <f>VLOOKUP(tabParametros[[#This Row],[CCT DA CATEGORIA]],tabSindicatos[],6,0)</f>
        <v>29.15</v>
      </c>
      <c r="AC4" s="254">
        <f>VLOOKUP(tabParametros[[#This Row],[CCT DA CATEGORIA]],tabSindicatos[],7,0)</f>
        <v>0</v>
      </c>
      <c r="AD4" s="254" cm="1">
        <f t="array" ref="AD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4" s="254">
        <f>VLOOKUP(tabParametros[[#This Row],[CCT DA CATEGORIA]],tabSindicatos[],9,0)</f>
        <v>15.07</v>
      </c>
      <c r="AF4" s="254">
        <f>VLOOKUP(tabParametros[[#This Row],[CCT DA CATEGORIA]],tabSindicatos[],10,0)</f>
        <v>0</v>
      </c>
      <c r="AG4" s="256">
        <f>VLOOKUP(tabParametros[[#Headers],[Seguro de Vida]],tabOutrosCustos[],3,0)</f>
        <v>3.36</v>
      </c>
      <c r="AH4" s="256">
        <f>IF(ISNUMBER(SEARCH("MOTORISTA",tabParametros[[#This Row],[Função]],1)),VLOOKUP("MOTORISTAS",tabDiarias[],2,0),IF(tabParametros[[#This Row],[Comarca]]="Belo Horizonte",VLOOKUP("APOIO",tabDiarias[],2,0),0))</f>
        <v>0</v>
      </c>
      <c r="AI4" s="255">
        <f t="shared" ref="AI4:AI67" si="2">(1/12*7%)+((1+1+1/3)*1/12)*(7%/12)+((1/12*0.05)+((1+1+1/3)*1/12)*(7%/12))/30*3*5/60</f>
        <v>7.011766975308642E-3</v>
      </c>
      <c r="AJ4" s="257">
        <f>tabParametros[[#This Row],[FGTS]]*tabParametros[[#This Row],[Aviso Prévio Indenizado (API) e Reflexo do Aviso Prévio Indenizado]]</f>
        <v>5.609413580246914E-4</v>
      </c>
      <c r="AK4" s="257">
        <f>tabParametros[[#This Row],[FGTS]]*tabParametros[[#This Row],[Aviso Prévio Indenizado (API) e Reflexo do Aviso Prévio Indenizado]]*40%</f>
        <v>2.2437654320987658E-4</v>
      </c>
      <c r="AL4" s="255">
        <f t="shared" ref="AL4:AL67" si="3">((1/30*7)*0.9)/60</f>
        <v>3.5000000000000005E-3</v>
      </c>
      <c r="AM4" s="255">
        <f>tabParametros[[#This Row],[Aviso Prévio Trabalhado - APT]]*SUM(tabParametros[[#This Row],[INSS]:[SEBRAE]])</f>
        <v>1.3230000000000004E-3</v>
      </c>
      <c r="AN4" s="255">
        <f t="shared" ref="AN4:AN67" si="4">0.4*0.08*0.8*(1+1/12+1/12+1/3/12)</f>
        <v>3.0577777777777773E-2</v>
      </c>
      <c r="AO4" s="255">
        <f t="shared" ref="AO4:AO67" si="5">(1*1%)/12</f>
        <v>8.3333333333333339E-4</v>
      </c>
      <c r="AP4" s="255">
        <f t="shared" ref="AP4:AP67" si="6">1/30*3.04/12</f>
        <v>8.4444444444444437E-3</v>
      </c>
      <c r="AQ4" s="255">
        <f t="shared" ref="AQ4:AQ67" si="7">0.73/30/12</f>
        <v>2.0277777777777777E-3</v>
      </c>
      <c r="AR4" s="255">
        <f t="shared" ref="AR4:AR67" si="8">5/30/12*1.23%</f>
        <v>1.7083333333333333E-4</v>
      </c>
      <c r="AS4" s="255">
        <f t="shared" ref="AS4:AS67" si="9">1/30*15*0.5%/12</f>
        <v>2.0833333333333335E-4</v>
      </c>
      <c r="AT4" s="255">
        <f t="shared" ref="AT4:AT67" si="10">((1/12+1/12+1/3/12)*4/12)*2%</f>
        <v>1.2962962962962963E-3</v>
      </c>
      <c r="AU4" s="257">
        <f>SUM(tabParametros[[#This Row],[Ausência por Doença]:[Férias, Adicional de Férias e 13º  com empregada em gozo de Licença Maternidade]])*SUM(tabParametros[[#This Row],[INSS]:[SEBRAE]])</f>
        <v>4.5918250000000008E-3</v>
      </c>
      <c r="AV4" s="254">
        <f>IF(tabParametros[[#This Row],[Função]]="Porteiro - 220 h",SUM(tabParametros[[#This Row],[Salário Base]:[Adicional de Acúmulo de função]])/220*20*1.5,IF(ISNUMBER(SEARCH("12 x 36",tabParametros[[#This Row],[Função]],1)),SUM(tabParametros[[#This Row],[Salário Base]:[Adicional de Acúmulo de função]])/210*15.5*1.5,0))</f>
        <v>0</v>
      </c>
      <c r="AW4" s="254">
        <f>IF(tabParametros[[#This Row],[Vagas contratadas]]&gt;0,(SUM(tabParametros[[#This Row],[Salário Base]:[Adicional de Acúmulo de função]])*30%+SUM(tabParametros[[#This Row],[Vale - Alimentação]:[Seguro de Vida]]))/tabParametros[[#This Row],[Vagas contratadas]]*tabParametros[[#This Row],[Vagas suspensas]],0)</f>
        <v>0</v>
      </c>
      <c r="AX4" s="254">
        <f>SUMIF(tabUniformes[Cargo],tabParametros[[#This Row],[Função]],tabUniformes[Valor unit. Mensal])</f>
        <v>196.62072732312174</v>
      </c>
      <c r="AY4" s="254">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4" s="254">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4" s="254">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 s="254">
        <v>0</v>
      </c>
      <c r="BC4" s="256" t="e">
        <f ca="1">VLOOKUP(tabParametros[[#Headers],[Custos Indiretos]],tabOutrosCustos[],3,0)</f>
        <v>#NAME?</v>
      </c>
      <c r="BD4" s="256" t="e">
        <f ca="1">VLOOKUP(tabParametros[[#Headers],[Lucro]],tabOutrosCustos[],3,0)</f>
        <v>#NAME?</v>
      </c>
      <c r="BE4" s="255">
        <f>VLOOKUP(tabParametros[[#Headers],[COFINS]],tabImpostosNacionais[],2,0)</f>
        <v>7.5999999999999998E-2</v>
      </c>
      <c r="BF4" s="255">
        <f>VLOOKUP(tabParametros[[#Headers],[PIS]],tabImpostosNacionais[],2,0)</f>
        <v>1.6500000000000001E-2</v>
      </c>
      <c r="BG4" s="255">
        <f>VLOOKUP(tabParametros[[#This Row],[Comarca]],tabComarca[],4,0)</f>
        <v>0.03</v>
      </c>
      <c r="BH4" s="258">
        <f>VLOOKUP(tabParametros[[#This Row],[CCT DA CATEGORIA]],tabSindicatos[],11,0)</f>
        <v>45658</v>
      </c>
      <c r="BI4" s="283" t="str">
        <f>VLOOKUP(tabParametros[[#This Row],[CCT DA CATEGORIA]],tabSindicatos[],12,0)</f>
        <v>-</v>
      </c>
      <c r="BJ4" s="286" t="str">
        <f>VLOOKUP(tabParametros[[#This Row],[CCT DA CATEGORIA]],tabSindicatos[],13,0)</f>
        <v>-</v>
      </c>
    </row>
    <row r="5" spans="1:62">
      <c r="A5" s="231" t="s">
        <v>1529</v>
      </c>
      <c r="B5" s="197" t="s">
        <v>1091</v>
      </c>
      <c r="C5" s="197" t="s">
        <v>1368</v>
      </c>
      <c r="D5" s="197" t="str">
        <f>VLOOKUP(tabParametros[[#This Row],[Código do Posto]],tabPostos[],4,0)</f>
        <v>Fethemg Interior</v>
      </c>
      <c r="E5" s="282" t="str">
        <f>VLOOKUP(tabParametros[[#This Row],[Código do Posto]],tabPostos[],5,0)</f>
        <v>Apoio</v>
      </c>
      <c r="F5" s="282" t="str">
        <f>VLOOKUP(tabParametros[[#This Row],[Código do Posto]],tabPostos[],6,0)</f>
        <v>PGJ</v>
      </c>
      <c r="G5" s="282">
        <f>VLOOKUP(tabParametros[[#This Row],[Código do Posto]],tabPostos[],7,0)</f>
        <v>1</v>
      </c>
      <c r="H5" s="282">
        <f>VLOOKUP(tabParametros[[#This Row],[Código do Posto]],tabPostos[],8,0)</f>
        <v>0</v>
      </c>
      <c r="I5" s="232">
        <f>VLOOKUP(tabParametros[[#This Row],[Código do Posto]],tabPostos[],9,0)</f>
        <v>2296.1756892610078</v>
      </c>
      <c r="J5" s="232">
        <f>IF(ISNUMBER(SEARCH("Eletricista",tabParametros[[#This Row],[Função]],1)),0.3*tabParametros[[#This Row],[Salário Base]],0)</f>
        <v>0</v>
      </c>
      <c r="K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5" s="232">
        <f>IF(AND(ISNUMBER(SEARCH("Noturno",tabParametros[[#This Row],[Função]],1)),tabParametros[[#This Row],[Comarca]]&lt;&gt;"Juiz de Fora"),tabParametros[[#This Row],[Salário Base]]/210*0.39*7*15.5,IF(ISNUMBER(SEARCH("Noturno",tabParametros[[#This Row],[Função]],1)),tabParametros[[#This Row],[Salário Base]]/210*0.2*8*15.5,0))</f>
        <v>0</v>
      </c>
      <c r="M5" s="232">
        <f>IF(ISNUMBER(SEARCH("Motorista II",tabParametros[[#This Row],[Função]],1)),0.3022*tabParametros[[#This Row],[Salário Base]],0)</f>
        <v>0</v>
      </c>
      <c r="N5" s="254">
        <v>0</v>
      </c>
      <c r="O5" s="254">
        <f>IF(ISNUMBER(SEARCH("TECNOLOGIA DA INFORMACAO",tabParametros[[#This Row],[Função]],1)),0.056*tabParametros[[#This Row],[Salário Base]],0)</f>
        <v>0</v>
      </c>
      <c r="P5" s="232">
        <f>IF(tabParametros[[#This Row],[Função]]="Operador de Midia Audiovisual - 150 h",tabParametros[[#This Row],[Salário Base]]/150*50*30%,IF(tabParametros[[#This Row],[Função]]="Supervisor de Manutencao de Veiculos II - 220 h",12%*tabParametros[[#This Row],[Salário Base]],0))</f>
        <v>0</v>
      </c>
      <c r="Q5" s="233">
        <f>VLOOKUP(tabParametros[[#Headers],[INSS]],tabImpostosNacionais[],2,0)</f>
        <v>0.2</v>
      </c>
      <c r="R5" s="233">
        <f>VLOOKUP(tabParametros[[#Headers],[SESI OU SESC]],tabImpostosNacionais[],2,0)</f>
        <v>1.4999999999999999E-2</v>
      </c>
      <c r="S5" s="233">
        <f>VLOOKUP(tabParametros[[#Headers],[SENAI OU SENAC]],tabImpostosNacionais[],2,0)</f>
        <v>0.01</v>
      </c>
      <c r="T5" s="233">
        <f>VLOOKUP(tabParametros[[#Headers],[INCRA]],tabImpostosNacionais[],2,0)</f>
        <v>2E-3</v>
      </c>
      <c r="U5" s="233">
        <f>VLOOKUP(tabParametros[[#Headers],[Salário Educação]],tabImpostosNacionais[],2,0)</f>
        <v>2.5000000000000001E-2</v>
      </c>
      <c r="V5" s="233">
        <f>VLOOKUP(tabParametros[[#Headers],[FGTS]],tabImpostosNacionais[],2,0)</f>
        <v>0.08</v>
      </c>
      <c r="W5" s="233">
        <f>VLOOKUP(tabParametros[[#Headers],[RAT Ajustado]],tabImpostosNacionais[],2,0)</f>
        <v>0.04</v>
      </c>
      <c r="X5" s="233">
        <f>VLOOKUP(tabParametros[[#Headers],[SEBRAE]],tabImpostosNacionais[],2,0)</f>
        <v>6.0000000000000001E-3</v>
      </c>
      <c r="Y5" s="233">
        <f t="shared" si="0"/>
        <v>8.3333333333333329E-2</v>
      </c>
      <c r="Z5" s="233">
        <f t="shared" si="1"/>
        <v>0.1111111111111111</v>
      </c>
      <c r="AA5" s="232">
        <f>VLOOKUP(tabParametros[[#This Row],[Comarca]],tabComarca[],5,0)</f>
        <v>6.4</v>
      </c>
      <c r="AB5" s="232">
        <f>VLOOKUP(tabParametros[[#This Row],[CCT DA CATEGORIA]],tabSindicatos[],6,0)</f>
        <v>29.15</v>
      </c>
      <c r="AC5" s="232">
        <f>VLOOKUP(tabParametros[[#This Row],[CCT DA CATEGORIA]],tabSindicatos[],7,0)</f>
        <v>0</v>
      </c>
      <c r="AD5" s="232" cm="1">
        <f t="array" ref="AD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5" s="232">
        <f>VLOOKUP(tabParametros[[#This Row],[CCT DA CATEGORIA]],tabSindicatos[],9,0)</f>
        <v>15.07</v>
      </c>
      <c r="AF5" s="232">
        <f>VLOOKUP(tabParametros[[#This Row],[CCT DA CATEGORIA]],tabSindicatos[],10,0)</f>
        <v>0</v>
      </c>
      <c r="AG5" s="234">
        <f>VLOOKUP(tabParametros[[#Headers],[Seguro de Vida]],tabOutrosCustos[],3,0)</f>
        <v>3.36</v>
      </c>
      <c r="AH5" s="234">
        <f>IF(ISNUMBER(SEARCH("MOTORISTA",tabParametros[[#This Row],[Função]],1)),VLOOKUP("MOTORISTAS",tabDiarias[],2,0),IF(tabParametros[[#This Row],[Comarca]]="Belo Horizonte",VLOOKUP("APOIO",tabDiarias[],2,0),0))</f>
        <v>0</v>
      </c>
      <c r="AI5" s="233">
        <f t="shared" si="2"/>
        <v>7.011766975308642E-3</v>
      </c>
      <c r="AJ5" s="235">
        <f>tabParametros[[#This Row],[FGTS]]*tabParametros[[#This Row],[Aviso Prévio Indenizado (API) e Reflexo do Aviso Prévio Indenizado]]</f>
        <v>5.609413580246914E-4</v>
      </c>
      <c r="AK5" s="235">
        <f>tabParametros[[#This Row],[FGTS]]*tabParametros[[#This Row],[Aviso Prévio Indenizado (API) e Reflexo do Aviso Prévio Indenizado]]*40%</f>
        <v>2.2437654320987658E-4</v>
      </c>
      <c r="AL5" s="233">
        <f t="shared" si="3"/>
        <v>3.5000000000000005E-3</v>
      </c>
      <c r="AM5" s="233">
        <f>tabParametros[[#This Row],[Aviso Prévio Trabalhado - APT]]*SUM(tabParametros[[#This Row],[INSS]:[SEBRAE]])</f>
        <v>1.3230000000000004E-3</v>
      </c>
      <c r="AN5" s="233">
        <f t="shared" si="4"/>
        <v>3.0577777777777773E-2</v>
      </c>
      <c r="AO5" s="233">
        <f t="shared" si="5"/>
        <v>8.3333333333333339E-4</v>
      </c>
      <c r="AP5" s="233">
        <f t="shared" si="6"/>
        <v>8.4444444444444437E-3</v>
      </c>
      <c r="AQ5" s="233">
        <f t="shared" si="7"/>
        <v>2.0277777777777777E-3</v>
      </c>
      <c r="AR5" s="233">
        <f t="shared" si="8"/>
        <v>1.7083333333333333E-4</v>
      </c>
      <c r="AS5" s="233">
        <f t="shared" si="9"/>
        <v>2.0833333333333335E-4</v>
      </c>
      <c r="AT5" s="233">
        <f t="shared" si="10"/>
        <v>1.2962962962962963E-3</v>
      </c>
      <c r="AU5" s="235">
        <f>SUM(tabParametros[[#This Row],[Ausência por Doença]:[Férias, Adicional de Férias e 13º  com empregada em gozo de Licença Maternidade]])*SUM(tabParametros[[#This Row],[INSS]:[SEBRAE]])</f>
        <v>4.5918250000000008E-3</v>
      </c>
      <c r="AV5" s="254">
        <f>IF(tabParametros[[#This Row],[Função]]="Porteiro - 220 h",SUM(tabParametros[[#This Row],[Salário Base]:[Adicional de Acúmulo de função]])/220*20*1.5,IF(ISNUMBER(SEARCH("12 x 36",tabParametros[[#This Row],[Função]],1)),SUM(tabParametros[[#This Row],[Salário Base]:[Adicional de Acúmulo de função]])/210*15.5*1.5,0))</f>
        <v>0</v>
      </c>
      <c r="AW5" s="232">
        <f>IF(tabParametros[[#This Row],[Vagas contratadas]]&gt;0,(SUM(tabParametros[[#This Row],[Salário Base]:[Adicional de Acúmulo de função]])*30%+SUM(tabParametros[[#This Row],[Vale - Alimentação]:[Seguro de Vida]]))/tabParametros[[#This Row],[Vagas contratadas]]*tabParametros[[#This Row],[Vagas suspensas]],0)</f>
        <v>0</v>
      </c>
      <c r="AX5" s="232">
        <f>SUMIF(tabUniformes[Cargo],tabParametros[[#This Row],[Função]],tabUniformes[Valor unit. Mensal])</f>
        <v>196.62072732312174</v>
      </c>
      <c r="AY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 s="232">
        <v>0</v>
      </c>
      <c r="BC5" s="234" t="e">
        <f ca="1">VLOOKUP(tabParametros[[#Headers],[Custos Indiretos]],tabOutrosCustos[],3,0)</f>
        <v>#NAME?</v>
      </c>
      <c r="BD5" s="234" t="e">
        <f ca="1">VLOOKUP(tabParametros[[#Headers],[Lucro]],tabOutrosCustos[],3,0)</f>
        <v>#NAME?</v>
      </c>
      <c r="BE5" s="233">
        <f>VLOOKUP(tabParametros[[#Headers],[COFINS]],tabImpostosNacionais[],2,0)</f>
        <v>7.5999999999999998E-2</v>
      </c>
      <c r="BF5" s="233">
        <f>VLOOKUP(tabParametros[[#Headers],[PIS]],tabImpostosNacionais[],2,0)</f>
        <v>1.6500000000000001E-2</v>
      </c>
      <c r="BG5" s="233">
        <f>VLOOKUP(tabParametros[[#This Row],[Comarca]],tabComarca[],4,0)</f>
        <v>0.03</v>
      </c>
      <c r="BH5" s="236">
        <f>VLOOKUP(tabParametros[[#This Row],[CCT DA CATEGORIA]],tabSindicatos[],11,0)</f>
        <v>45658</v>
      </c>
      <c r="BI5" s="282" t="str">
        <f>VLOOKUP(tabParametros[[#This Row],[CCT DA CATEGORIA]],tabSindicatos[],12,0)</f>
        <v>-</v>
      </c>
      <c r="BJ5" s="285" t="str">
        <f>VLOOKUP(tabParametros[[#This Row],[CCT DA CATEGORIA]],tabSindicatos[],13,0)</f>
        <v>-</v>
      </c>
    </row>
    <row r="6" spans="1:62">
      <c r="A6" s="231" t="s">
        <v>1530</v>
      </c>
      <c r="B6" s="197" t="s">
        <v>1091</v>
      </c>
      <c r="C6" s="197" t="s">
        <v>314</v>
      </c>
      <c r="D6" s="197" t="str">
        <f>VLOOKUP(tabParametros[[#This Row],[Código do Posto]],tabPostos[],4,0)</f>
        <v>Fethemg Interior</v>
      </c>
      <c r="E6" s="282" t="str">
        <f>VLOOKUP(tabParametros[[#This Row],[Código do Posto]],tabPostos[],5,0)</f>
        <v>Apoio</v>
      </c>
      <c r="F6" s="282" t="str">
        <f>VLOOKUP(tabParametros[[#This Row],[Código do Posto]],tabPostos[],6,0)</f>
        <v>PGJ</v>
      </c>
      <c r="G6" s="282">
        <f>VLOOKUP(tabParametros[[#This Row],[Código do Posto]],tabPostos[],7,0)</f>
        <v>1</v>
      </c>
      <c r="H6" s="282">
        <f>VLOOKUP(tabParametros[[#This Row],[Código do Posto]],tabPostos[],8,0)</f>
        <v>0</v>
      </c>
      <c r="I6" s="232">
        <f>VLOOKUP(tabParametros[[#This Row],[Código do Posto]],tabPostos[],9,0)</f>
        <v>1963.4110092077037</v>
      </c>
      <c r="J6" s="232">
        <f>IF(ISNUMBER(SEARCH("Eletricista",tabParametros[[#This Row],[Função]],1)),0.3*tabParametros[[#This Row],[Salário Base]],0)</f>
        <v>0</v>
      </c>
      <c r="K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 s="232">
        <f>IF(AND(ISNUMBER(SEARCH("Noturno",tabParametros[[#This Row],[Função]],1)),tabParametros[[#This Row],[Comarca]]&lt;&gt;"Juiz de Fora"),tabParametros[[#This Row],[Salário Base]]/210*0.39*7*15.5,IF(ISNUMBER(SEARCH("Noturno",tabParametros[[#This Row],[Função]],1)),tabParametros[[#This Row],[Salário Base]]/210*0.2*8*15.5,0))</f>
        <v>0</v>
      </c>
      <c r="M6" s="232">
        <f>IF(ISNUMBER(SEARCH("Motorista II",tabParametros[[#This Row],[Função]],1)),0.3022*tabParametros[[#This Row],[Salário Base]],0)</f>
        <v>0</v>
      </c>
      <c r="N6" s="254">
        <v>0</v>
      </c>
      <c r="O6" s="254">
        <f>IF(ISNUMBER(SEARCH("TECNOLOGIA DA INFORMACAO",tabParametros[[#This Row],[Função]],1)),0.056*tabParametros[[#This Row],[Salário Base]],0)</f>
        <v>0</v>
      </c>
      <c r="P6" s="232">
        <f>IF(tabParametros[[#This Row],[Função]]="Operador de Midia Audiovisual - 150 h",tabParametros[[#This Row],[Salário Base]]/150*50*30%,IF(tabParametros[[#This Row],[Função]]="Supervisor de Manutencao de Veiculos II - 220 h",12%*tabParametros[[#This Row],[Salário Base]],0))</f>
        <v>0</v>
      </c>
      <c r="Q6" s="233">
        <f>VLOOKUP(tabParametros[[#Headers],[INSS]],tabImpostosNacionais[],2,0)</f>
        <v>0.2</v>
      </c>
      <c r="R6" s="233">
        <f>VLOOKUP(tabParametros[[#Headers],[SESI OU SESC]],tabImpostosNacionais[],2,0)</f>
        <v>1.4999999999999999E-2</v>
      </c>
      <c r="S6" s="233">
        <f>VLOOKUP(tabParametros[[#Headers],[SENAI OU SENAC]],tabImpostosNacionais[],2,0)</f>
        <v>0.01</v>
      </c>
      <c r="T6" s="233">
        <f>VLOOKUP(tabParametros[[#Headers],[INCRA]],tabImpostosNacionais[],2,0)</f>
        <v>2E-3</v>
      </c>
      <c r="U6" s="233">
        <f>VLOOKUP(tabParametros[[#Headers],[Salário Educação]],tabImpostosNacionais[],2,0)</f>
        <v>2.5000000000000001E-2</v>
      </c>
      <c r="V6" s="233">
        <f>VLOOKUP(tabParametros[[#Headers],[FGTS]],tabImpostosNacionais[],2,0)</f>
        <v>0.08</v>
      </c>
      <c r="W6" s="233">
        <f>VLOOKUP(tabParametros[[#Headers],[RAT Ajustado]],tabImpostosNacionais[],2,0)</f>
        <v>0.04</v>
      </c>
      <c r="X6" s="233">
        <f>VLOOKUP(tabParametros[[#Headers],[SEBRAE]],tabImpostosNacionais[],2,0)</f>
        <v>6.0000000000000001E-3</v>
      </c>
      <c r="Y6" s="233">
        <f t="shared" si="0"/>
        <v>8.3333333333333329E-2</v>
      </c>
      <c r="Z6" s="233">
        <f t="shared" si="1"/>
        <v>0.1111111111111111</v>
      </c>
      <c r="AA6" s="232">
        <f>VLOOKUP(tabParametros[[#This Row],[Comarca]],tabComarca[],5,0)</f>
        <v>6.4</v>
      </c>
      <c r="AB6" s="232">
        <f>VLOOKUP(tabParametros[[#This Row],[CCT DA CATEGORIA]],tabSindicatos[],6,0)</f>
        <v>29.15</v>
      </c>
      <c r="AC6" s="232">
        <f>VLOOKUP(tabParametros[[#This Row],[CCT DA CATEGORIA]],tabSindicatos[],7,0)</f>
        <v>0</v>
      </c>
      <c r="AD6" s="232" cm="1">
        <f t="array" ref="AD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6" s="232">
        <f>VLOOKUP(tabParametros[[#This Row],[CCT DA CATEGORIA]],tabSindicatos[],9,0)</f>
        <v>15.07</v>
      </c>
      <c r="AF6" s="232">
        <f>VLOOKUP(tabParametros[[#This Row],[CCT DA CATEGORIA]],tabSindicatos[],10,0)</f>
        <v>0</v>
      </c>
      <c r="AG6" s="234">
        <f>VLOOKUP(tabParametros[[#Headers],[Seguro de Vida]],tabOutrosCustos[],3,0)</f>
        <v>3.36</v>
      </c>
      <c r="AH6" s="234">
        <f>IF(ISNUMBER(SEARCH("MOTORISTA",tabParametros[[#This Row],[Função]],1)),VLOOKUP("MOTORISTAS",tabDiarias[],2,0),IF(tabParametros[[#This Row],[Comarca]]="Belo Horizonte",VLOOKUP("APOIO",tabDiarias[],2,0),0))</f>
        <v>0</v>
      </c>
      <c r="AI6" s="233">
        <f t="shared" si="2"/>
        <v>7.011766975308642E-3</v>
      </c>
      <c r="AJ6" s="235">
        <f>tabParametros[[#This Row],[FGTS]]*tabParametros[[#This Row],[Aviso Prévio Indenizado (API) e Reflexo do Aviso Prévio Indenizado]]</f>
        <v>5.609413580246914E-4</v>
      </c>
      <c r="AK6" s="235">
        <f>tabParametros[[#This Row],[FGTS]]*tabParametros[[#This Row],[Aviso Prévio Indenizado (API) e Reflexo do Aviso Prévio Indenizado]]*40%</f>
        <v>2.2437654320987658E-4</v>
      </c>
      <c r="AL6" s="233">
        <f t="shared" si="3"/>
        <v>3.5000000000000005E-3</v>
      </c>
      <c r="AM6" s="233">
        <f>tabParametros[[#This Row],[Aviso Prévio Trabalhado - APT]]*SUM(tabParametros[[#This Row],[INSS]:[SEBRAE]])</f>
        <v>1.3230000000000004E-3</v>
      </c>
      <c r="AN6" s="233">
        <f t="shared" si="4"/>
        <v>3.0577777777777773E-2</v>
      </c>
      <c r="AO6" s="233">
        <f t="shared" si="5"/>
        <v>8.3333333333333339E-4</v>
      </c>
      <c r="AP6" s="233">
        <f t="shared" si="6"/>
        <v>8.4444444444444437E-3</v>
      </c>
      <c r="AQ6" s="233">
        <f t="shared" si="7"/>
        <v>2.0277777777777777E-3</v>
      </c>
      <c r="AR6" s="233">
        <f t="shared" si="8"/>
        <v>1.7083333333333333E-4</v>
      </c>
      <c r="AS6" s="233">
        <f t="shared" si="9"/>
        <v>2.0833333333333335E-4</v>
      </c>
      <c r="AT6" s="233">
        <f t="shared" si="10"/>
        <v>1.2962962962962963E-3</v>
      </c>
      <c r="AU6" s="235">
        <f>SUM(tabParametros[[#This Row],[Ausência por Doença]:[Férias, Adicional de Férias e 13º  com empregada em gozo de Licença Maternidade]])*SUM(tabParametros[[#This Row],[INSS]:[SEBRAE]])</f>
        <v>4.5918250000000008E-3</v>
      </c>
      <c r="AV6"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6" s="232">
        <f>IF(tabParametros[[#This Row],[Vagas contratadas]]&gt;0,(SUM(tabParametros[[#This Row],[Salário Base]:[Adicional de Acúmulo de função]])*30%+SUM(tabParametros[[#This Row],[Vale - Alimentação]:[Seguro de Vida]]))/tabParametros[[#This Row],[Vagas contratadas]]*tabParametros[[#This Row],[Vagas suspensas]],0)</f>
        <v>0</v>
      </c>
      <c r="AX6" s="232">
        <f>SUMIF(tabUniformes[Cargo],tabParametros[[#This Row],[Função]],tabUniformes[Valor unit. Mensal])</f>
        <v>56.642978962543395</v>
      </c>
      <c r="AY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 s="232">
        <v>0</v>
      </c>
      <c r="BC6" s="234" t="e">
        <f ca="1">VLOOKUP(tabParametros[[#Headers],[Custos Indiretos]],tabOutrosCustos[],3,0)</f>
        <v>#NAME?</v>
      </c>
      <c r="BD6" s="234" t="e">
        <f ca="1">VLOOKUP(tabParametros[[#Headers],[Lucro]],tabOutrosCustos[],3,0)</f>
        <v>#NAME?</v>
      </c>
      <c r="BE6" s="233">
        <f>VLOOKUP(tabParametros[[#Headers],[COFINS]],tabImpostosNacionais[],2,0)</f>
        <v>7.5999999999999998E-2</v>
      </c>
      <c r="BF6" s="233">
        <f>VLOOKUP(tabParametros[[#Headers],[PIS]],tabImpostosNacionais[],2,0)</f>
        <v>1.6500000000000001E-2</v>
      </c>
      <c r="BG6" s="233">
        <f>VLOOKUP(tabParametros[[#This Row],[Comarca]],tabComarca[],4,0)</f>
        <v>0.03</v>
      </c>
      <c r="BH6" s="236">
        <f>VLOOKUP(tabParametros[[#This Row],[CCT DA CATEGORIA]],tabSindicatos[],11,0)</f>
        <v>45658</v>
      </c>
      <c r="BI6" s="282" t="str">
        <f>VLOOKUP(tabParametros[[#This Row],[CCT DA CATEGORIA]],tabSindicatos[],12,0)</f>
        <v>-</v>
      </c>
      <c r="BJ6" s="285" t="str">
        <f>VLOOKUP(tabParametros[[#This Row],[CCT DA CATEGORIA]],tabSindicatos[],13,0)</f>
        <v>-</v>
      </c>
    </row>
    <row r="7" spans="1:62">
      <c r="A7" s="231" t="s">
        <v>1531</v>
      </c>
      <c r="B7" s="197" t="s">
        <v>1092</v>
      </c>
      <c r="C7" s="197" t="s">
        <v>314</v>
      </c>
      <c r="D7" s="197" t="str">
        <f>VLOOKUP(tabParametros[[#This Row],[Código do Posto]],tabPostos[],4,0)</f>
        <v>Fethemg Interior</v>
      </c>
      <c r="E7" s="282" t="str">
        <f>VLOOKUP(tabParametros[[#This Row],[Código do Posto]],tabPostos[],5,0)</f>
        <v>Apoio</v>
      </c>
      <c r="F7" s="282" t="str">
        <f>VLOOKUP(tabParametros[[#This Row],[Código do Posto]],tabPostos[],6,0)</f>
        <v>PGJ</v>
      </c>
      <c r="G7" s="282">
        <f>VLOOKUP(tabParametros[[#This Row],[Código do Posto]],tabPostos[],7,0)</f>
        <v>1</v>
      </c>
      <c r="H7" s="282">
        <f>VLOOKUP(tabParametros[[#This Row],[Código do Posto]],tabPostos[],8,0)</f>
        <v>0</v>
      </c>
      <c r="I7" s="232">
        <f>VLOOKUP(tabParametros[[#This Row],[Código do Posto]],tabPostos[],9,0)</f>
        <v>1963.4110092077037</v>
      </c>
      <c r="J7" s="232">
        <f>IF(ISNUMBER(SEARCH("Eletricista",tabParametros[[#This Row],[Função]],1)),0.3*tabParametros[[#This Row],[Salário Base]],0)</f>
        <v>0</v>
      </c>
      <c r="K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 s="232">
        <f>IF(AND(ISNUMBER(SEARCH("Noturno",tabParametros[[#This Row],[Função]],1)),tabParametros[[#This Row],[Comarca]]&lt;&gt;"Juiz de Fora"),tabParametros[[#This Row],[Salário Base]]/210*0.39*7*15.5,IF(ISNUMBER(SEARCH("Noturno",tabParametros[[#This Row],[Função]],1)),tabParametros[[#This Row],[Salário Base]]/210*0.2*8*15.5,0))</f>
        <v>0</v>
      </c>
      <c r="M7" s="232">
        <f>IF(ISNUMBER(SEARCH("Motorista II",tabParametros[[#This Row],[Função]],1)),0.3022*tabParametros[[#This Row],[Salário Base]],0)</f>
        <v>0</v>
      </c>
      <c r="N7" s="254">
        <v>0</v>
      </c>
      <c r="O7" s="254">
        <f>IF(ISNUMBER(SEARCH("TECNOLOGIA DA INFORMACAO",tabParametros[[#This Row],[Função]],1)),0.056*tabParametros[[#This Row],[Salário Base]],0)</f>
        <v>0</v>
      </c>
      <c r="P7" s="232">
        <f>IF(tabParametros[[#This Row],[Função]]="Operador de Midia Audiovisual - 150 h",tabParametros[[#This Row],[Salário Base]]/150*50*30%,IF(tabParametros[[#This Row],[Função]]="Supervisor de Manutencao de Veiculos II - 220 h",12%*tabParametros[[#This Row],[Salário Base]],0))</f>
        <v>0</v>
      </c>
      <c r="Q7" s="233">
        <f>VLOOKUP(tabParametros[[#Headers],[INSS]],tabImpostosNacionais[],2,0)</f>
        <v>0.2</v>
      </c>
      <c r="R7" s="233">
        <f>VLOOKUP(tabParametros[[#Headers],[SESI OU SESC]],tabImpostosNacionais[],2,0)</f>
        <v>1.4999999999999999E-2</v>
      </c>
      <c r="S7" s="233">
        <f>VLOOKUP(tabParametros[[#Headers],[SENAI OU SENAC]],tabImpostosNacionais[],2,0)</f>
        <v>0.01</v>
      </c>
      <c r="T7" s="233">
        <f>VLOOKUP(tabParametros[[#Headers],[INCRA]],tabImpostosNacionais[],2,0)</f>
        <v>2E-3</v>
      </c>
      <c r="U7" s="233">
        <f>VLOOKUP(tabParametros[[#Headers],[Salário Educação]],tabImpostosNacionais[],2,0)</f>
        <v>2.5000000000000001E-2</v>
      </c>
      <c r="V7" s="233">
        <f>VLOOKUP(tabParametros[[#Headers],[FGTS]],tabImpostosNacionais[],2,0)</f>
        <v>0.08</v>
      </c>
      <c r="W7" s="233">
        <f>VLOOKUP(tabParametros[[#Headers],[RAT Ajustado]],tabImpostosNacionais[],2,0)</f>
        <v>0.04</v>
      </c>
      <c r="X7" s="233">
        <f>VLOOKUP(tabParametros[[#Headers],[SEBRAE]],tabImpostosNacionais[],2,0)</f>
        <v>6.0000000000000001E-3</v>
      </c>
      <c r="Y7" s="233">
        <f t="shared" si="0"/>
        <v>8.3333333333333329E-2</v>
      </c>
      <c r="Z7" s="233">
        <f t="shared" si="1"/>
        <v>0.1111111111111111</v>
      </c>
      <c r="AA7" s="232">
        <f>VLOOKUP(tabParametros[[#This Row],[Comarca]],tabComarca[],5,0)</f>
        <v>6.4</v>
      </c>
      <c r="AB7" s="232">
        <f>VLOOKUP(tabParametros[[#This Row],[CCT DA CATEGORIA]],tabSindicatos[],6,0)</f>
        <v>29.15</v>
      </c>
      <c r="AC7" s="232">
        <f>VLOOKUP(tabParametros[[#This Row],[CCT DA CATEGORIA]],tabSindicatos[],7,0)</f>
        <v>0</v>
      </c>
      <c r="AD7" s="232" cm="1">
        <f t="array" ref="AD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7" s="232">
        <f>VLOOKUP(tabParametros[[#This Row],[CCT DA CATEGORIA]],tabSindicatos[],9,0)</f>
        <v>15.07</v>
      </c>
      <c r="AF7" s="232">
        <f>VLOOKUP(tabParametros[[#This Row],[CCT DA CATEGORIA]],tabSindicatos[],10,0)</f>
        <v>0</v>
      </c>
      <c r="AG7" s="234">
        <f>VLOOKUP(tabParametros[[#Headers],[Seguro de Vida]],tabOutrosCustos[],3,0)</f>
        <v>3.36</v>
      </c>
      <c r="AH7" s="234">
        <f>IF(ISNUMBER(SEARCH("MOTORISTA",tabParametros[[#This Row],[Função]],1)),VLOOKUP("MOTORISTAS",tabDiarias[],2,0),IF(tabParametros[[#This Row],[Comarca]]="Belo Horizonte",VLOOKUP("APOIO",tabDiarias[],2,0),0))</f>
        <v>0</v>
      </c>
      <c r="AI7" s="233">
        <f t="shared" si="2"/>
        <v>7.011766975308642E-3</v>
      </c>
      <c r="AJ7" s="235">
        <f>tabParametros[[#This Row],[FGTS]]*tabParametros[[#This Row],[Aviso Prévio Indenizado (API) e Reflexo do Aviso Prévio Indenizado]]</f>
        <v>5.609413580246914E-4</v>
      </c>
      <c r="AK7" s="235">
        <f>tabParametros[[#This Row],[FGTS]]*tabParametros[[#This Row],[Aviso Prévio Indenizado (API) e Reflexo do Aviso Prévio Indenizado]]*40%</f>
        <v>2.2437654320987658E-4</v>
      </c>
      <c r="AL7" s="233">
        <f t="shared" si="3"/>
        <v>3.5000000000000005E-3</v>
      </c>
      <c r="AM7" s="233">
        <f>tabParametros[[#This Row],[Aviso Prévio Trabalhado - APT]]*SUM(tabParametros[[#This Row],[INSS]:[SEBRAE]])</f>
        <v>1.3230000000000004E-3</v>
      </c>
      <c r="AN7" s="233">
        <f t="shared" si="4"/>
        <v>3.0577777777777773E-2</v>
      </c>
      <c r="AO7" s="233">
        <f t="shared" si="5"/>
        <v>8.3333333333333339E-4</v>
      </c>
      <c r="AP7" s="233">
        <f t="shared" si="6"/>
        <v>8.4444444444444437E-3</v>
      </c>
      <c r="AQ7" s="233">
        <f t="shared" si="7"/>
        <v>2.0277777777777777E-3</v>
      </c>
      <c r="AR7" s="233">
        <f t="shared" si="8"/>
        <v>1.7083333333333333E-4</v>
      </c>
      <c r="AS7" s="233">
        <f t="shared" si="9"/>
        <v>2.0833333333333335E-4</v>
      </c>
      <c r="AT7" s="233">
        <f t="shared" si="10"/>
        <v>1.2962962962962963E-3</v>
      </c>
      <c r="AU7" s="235">
        <f>SUM(tabParametros[[#This Row],[Ausência por Doença]:[Férias, Adicional de Férias e 13º  com empregada em gozo de Licença Maternidade]])*SUM(tabParametros[[#This Row],[INSS]:[SEBRAE]])</f>
        <v>4.5918250000000008E-3</v>
      </c>
      <c r="AV7"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7" s="232">
        <f>IF(tabParametros[[#This Row],[Vagas contratadas]]&gt;0,(SUM(tabParametros[[#This Row],[Salário Base]:[Adicional de Acúmulo de função]])*30%+SUM(tabParametros[[#This Row],[Vale - Alimentação]:[Seguro de Vida]]))/tabParametros[[#This Row],[Vagas contratadas]]*tabParametros[[#This Row],[Vagas suspensas]],0)</f>
        <v>0</v>
      </c>
      <c r="AX7" s="232">
        <f>SUMIF(tabUniformes[Cargo],tabParametros[[#This Row],[Função]],tabUniformes[Valor unit. Mensal])</f>
        <v>56.642978962543395</v>
      </c>
      <c r="AY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 s="232">
        <v>0</v>
      </c>
      <c r="BC7" s="234" t="e">
        <f ca="1">VLOOKUP(tabParametros[[#Headers],[Custos Indiretos]],tabOutrosCustos[],3,0)</f>
        <v>#NAME?</v>
      </c>
      <c r="BD7" s="234" t="e">
        <f ca="1">VLOOKUP(tabParametros[[#Headers],[Lucro]],tabOutrosCustos[],3,0)</f>
        <v>#NAME?</v>
      </c>
      <c r="BE7" s="233">
        <f>VLOOKUP(tabParametros[[#Headers],[COFINS]],tabImpostosNacionais[],2,0)</f>
        <v>7.5999999999999998E-2</v>
      </c>
      <c r="BF7" s="233">
        <f>VLOOKUP(tabParametros[[#Headers],[PIS]],tabImpostosNacionais[],2,0)</f>
        <v>1.6500000000000001E-2</v>
      </c>
      <c r="BG7" s="233">
        <f>VLOOKUP(tabParametros[[#This Row],[Comarca]],tabComarca[],4,0)</f>
        <v>0.05</v>
      </c>
      <c r="BH7" s="236">
        <f>VLOOKUP(tabParametros[[#This Row],[CCT DA CATEGORIA]],tabSindicatos[],11,0)</f>
        <v>45658</v>
      </c>
      <c r="BI7" s="282" t="str">
        <f>VLOOKUP(tabParametros[[#This Row],[CCT DA CATEGORIA]],tabSindicatos[],12,0)</f>
        <v>-</v>
      </c>
      <c r="BJ7" s="285" t="str">
        <f>VLOOKUP(tabParametros[[#This Row],[CCT DA CATEGORIA]],tabSindicatos[],13,0)</f>
        <v>-</v>
      </c>
    </row>
    <row r="8" spans="1:62">
      <c r="A8" s="231" t="s">
        <v>1403</v>
      </c>
      <c r="B8" s="197" t="s">
        <v>1093</v>
      </c>
      <c r="C8" s="197" t="s">
        <v>200</v>
      </c>
      <c r="D8" s="197" t="str">
        <f>VLOOKUP(tabParametros[[#This Row],[Código do Posto]],tabPostos[],4,0)</f>
        <v>Cataguases</v>
      </c>
      <c r="E8" s="282" t="str">
        <f>VLOOKUP(tabParametros[[#This Row],[Código do Posto]],tabPostos[],5,0)</f>
        <v>Apoio</v>
      </c>
      <c r="F8" s="282" t="str">
        <f>VLOOKUP(tabParametros[[#This Row],[Código do Posto]],tabPostos[],6,0)</f>
        <v>PGJ</v>
      </c>
      <c r="G8" s="282">
        <f>VLOOKUP(tabParametros[[#This Row],[Código do Posto]],tabPostos[],7,0)</f>
        <v>1</v>
      </c>
      <c r="H8" s="282">
        <f>VLOOKUP(tabParametros[[#This Row],[Código do Posto]],tabPostos[],8,0)</f>
        <v>0</v>
      </c>
      <c r="I8" s="232">
        <f>VLOOKUP(tabParametros[[#This Row],[Código do Posto]],tabPostos[],9,0)</f>
        <v>1596.273808921236</v>
      </c>
      <c r="J8" s="232">
        <f>IF(ISNUMBER(SEARCH("Eletricista",tabParametros[[#This Row],[Função]],1)),0.3*tabParametros[[#This Row],[Salário Base]],0)</f>
        <v>0</v>
      </c>
      <c r="K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 s="232">
        <f>IF(AND(ISNUMBER(SEARCH("Noturno",tabParametros[[#This Row],[Função]],1)),tabParametros[[#This Row],[Comarca]]&lt;&gt;"Juiz de Fora"),tabParametros[[#This Row],[Salário Base]]/210*0.39*7*15.5,IF(ISNUMBER(SEARCH("Noturno",tabParametros[[#This Row],[Função]],1)),tabParametros[[#This Row],[Salário Base]]/210*0.2*8*15.5,0))</f>
        <v>0</v>
      </c>
      <c r="M8" s="232">
        <f>IF(ISNUMBER(SEARCH("Motorista II",tabParametros[[#This Row],[Função]],1)),0.3022*tabParametros[[#This Row],[Salário Base]],0)</f>
        <v>0</v>
      </c>
      <c r="N8" s="254">
        <v>0</v>
      </c>
      <c r="O8" s="254">
        <f>IF(ISNUMBER(SEARCH("TECNOLOGIA DA INFORMACAO",tabParametros[[#This Row],[Função]],1)),0.056*tabParametros[[#This Row],[Salário Base]],0)</f>
        <v>0</v>
      </c>
      <c r="P8" s="232">
        <f>IF(tabParametros[[#This Row],[Função]]="Operador de Midia Audiovisual - 150 h",tabParametros[[#This Row],[Salário Base]]/150*50*30%,IF(tabParametros[[#This Row],[Função]]="Supervisor de Manutencao de Veiculos II - 220 h",12%*tabParametros[[#This Row],[Salário Base]],0))</f>
        <v>0</v>
      </c>
      <c r="Q8" s="233">
        <f>VLOOKUP(tabParametros[[#Headers],[INSS]],tabImpostosNacionais[],2,0)</f>
        <v>0.2</v>
      </c>
      <c r="R8" s="233">
        <f>VLOOKUP(tabParametros[[#Headers],[SESI OU SESC]],tabImpostosNacionais[],2,0)</f>
        <v>1.4999999999999999E-2</v>
      </c>
      <c r="S8" s="233">
        <f>VLOOKUP(tabParametros[[#Headers],[SENAI OU SENAC]],tabImpostosNacionais[],2,0)</f>
        <v>0.01</v>
      </c>
      <c r="T8" s="233">
        <f>VLOOKUP(tabParametros[[#Headers],[INCRA]],tabImpostosNacionais[],2,0)</f>
        <v>2E-3</v>
      </c>
      <c r="U8" s="233">
        <f>VLOOKUP(tabParametros[[#Headers],[Salário Educação]],tabImpostosNacionais[],2,0)</f>
        <v>2.5000000000000001E-2</v>
      </c>
      <c r="V8" s="233">
        <f>VLOOKUP(tabParametros[[#Headers],[FGTS]],tabImpostosNacionais[],2,0)</f>
        <v>0.08</v>
      </c>
      <c r="W8" s="233">
        <f>VLOOKUP(tabParametros[[#Headers],[RAT Ajustado]],tabImpostosNacionais[],2,0)</f>
        <v>0.04</v>
      </c>
      <c r="X8" s="233">
        <f>VLOOKUP(tabParametros[[#Headers],[SEBRAE]],tabImpostosNacionais[],2,0)</f>
        <v>6.0000000000000001E-3</v>
      </c>
      <c r="Y8" s="233">
        <f t="shared" si="0"/>
        <v>8.3333333333333329E-2</v>
      </c>
      <c r="Z8" s="233">
        <f t="shared" si="1"/>
        <v>0.1111111111111111</v>
      </c>
      <c r="AA8" s="232">
        <f>VLOOKUP(tabParametros[[#This Row],[Comarca]],tabComarca[],5,0)</f>
        <v>6.4</v>
      </c>
      <c r="AB8" s="232">
        <f>VLOOKUP(tabParametros[[#This Row],[CCT DA CATEGORIA]],tabSindicatos[],6,0)</f>
        <v>29.15</v>
      </c>
      <c r="AC8" s="232">
        <f>VLOOKUP(tabParametros[[#This Row],[CCT DA CATEGORIA]],tabSindicatos[],7,0)</f>
        <v>0</v>
      </c>
      <c r="AD8" s="232" cm="1">
        <f t="array" ref="AD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8" s="232">
        <f>VLOOKUP(tabParametros[[#This Row],[CCT DA CATEGORIA]],tabSindicatos[],9,0)</f>
        <v>0</v>
      </c>
      <c r="AF8" s="232">
        <f>VLOOKUP(tabParametros[[#This Row],[CCT DA CATEGORIA]],tabSindicatos[],10,0)</f>
        <v>0</v>
      </c>
      <c r="AG8" s="234">
        <f>VLOOKUP(tabParametros[[#Headers],[Seguro de Vida]],tabOutrosCustos[],3,0)</f>
        <v>3.36</v>
      </c>
      <c r="AH8" s="234">
        <f>IF(ISNUMBER(SEARCH("MOTORISTA",tabParametros[[#This Row],[Função]],1)),VLOOKUP("MOTORISTAS",tabDiarias[],2,0),IF(tabParametros[[#This Row],[Comarca]]="Belo Horizonte",VLOOKUP("APOIO",tabDiarias[],2,0),0))</f>
        <v>0</v>
      </c>
      <c r="AI8" s="233">
        <f t="shared" si="2"/>
        <v>7.011766975308642E-3</v>
      </c>
      <c r="AJ8" s="235">
        <f>tabParametros[[#This Row],[FGTS]]*tabParametros[[#This Row],[Aviso Prévio Indenizado (API) e Reflexo do Aviso Prévio Indenizado]]</f>
        <v>5.609413580246914E-4</v>
      </c>
      <c r="AK8" s="235">
        <f>tabParametros[[#This Row],[FGTS]]*tabParametros[[#This Row],[Aviso Prévio Indenizado (API) e Reflexo do Aviso Prévio Indenizado]]*40%</f>
        <v>2.2437654320987658E-4</v>
      </c>
      <c r="AL8" s="233">
        <f t="shared" si="3"/>
        <v>3.5000000000000005E-3</v>
      </c>
      <c r="AM8" s="233">
        <f>tabParametros[[#This Row],[Aviso Prévio Trabalhado - APT]]*SUM(tabParametros[[#This Row],[INSS]:[SEBRAE]])</f>
        <v>1.3230000000000004E-3</v>
      </c>
      <c r="AN8" s="233">
        <f t="shared" si="4"/>
        <v>3.0577777777777773E-2</v>
      </c>
      <c r="AO8" s="233">
        <f t="shared" si="5"/>
        <v>8.3333333333333339E-4</v>
      </c>
      <c r="AP8" s="233">
        <f t="shared" si="6"/>
        <v>8.4444444444444437E-3</v>
      </c>
      <c r="AQ8" s="233">
        <f t="shared" si="7"/>
        <v>2.0277777777777777E-3</v>
      </c>
      <c r="AR8" s="233">
        <f t="shared" si="8"/>
        <v>1.7083333333333333E-4</v>
      </c>
      <c r="AS8" s="233">
        <f t="shared" si="9"/>
        <v>2.0833333333333335E-4</v>
      </c>
      <c r="AT8" s="233">
        <f t="shared" si="10"/>
        <v>1.2962962962962963E-3</v>
      </c>
      <c r="AU8" s="235">
        <f>SUM(tabParametros[[#This Row],[Ausência por Doença]:[Férias, Adicional de Férias e 13º  com empregada em gozo de Licença Maternidade]])*SUM(tabParametros[[#This Row],[INSS]:[SEBRAE]])</f>
        <v>4.5918250000000008E-3</v>
      </c>
      <c r="AV8" s="254">
        <f>IF(tabParametros[[#This Row],[Função]]="Porteiro - 220 h",SUM(tabParametros[[#This Row],[Salário Base]:[Adicional de Acúmulo de função]])/220*20*1.5,IF(ISNUMBER(SEARCH("12 x 36",tabParametros[[#This Row],[Função]],1)),SUM(tabParametros[[#This Row],[Salário Base]:[Adicional de Acúmulo de função]])/210*15.5*1.5,0))</f>
        <v>0</v>
      </c>
      <c r="AW8" s="232">
        <f>IF(tabParametros[[#This Row],[Vagas contratadas]]&gt;0,(SUM(tabParametros[[#This Row],[Salário Base]:[Adicional de Acúmulo de função]])*30%+SUM(tabParametros[[#This Row],[Vale - Alimentação]:[Seguro de Vida]]))/tabParametros[[#This Row],[Vagas contratadas]]*tabParametros[[#This Row],[Vagas suspensas]],0)</f>
        <v>0</v>
      </c>
      <c r="AX8" s="232">
        <f>SUMIF(tabUniformes[Cargo],tabParametros[[#This Row],[Função]],tabUniformes[Valor unit. Mensal])</f>
        <v>56.141713661989918</v>
      </c>
      <c r="AY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 s="232">
        <v>0</v>
      </c>
      <c r="BC8" s="234" t="e">
        <f ca="1">VLOOKUP(tabParametros[[#Headers],[Custos Indiretos]],tabOutrosCustos[],3,0)</f>
        <v>#NAME?</v>
      </c>
      <c r="BD8" s="234" t="e">
        <f ca="1">VLOOKUP(tabParametros[[#Headers],[Lucro]],tabOutrosCustos[],3,0)</f>
        <v>#NAME?</v>
      </c>
      <c r="BE8" s="233">
        <f>VLOOKUP(tabParametros[[#Headers],[COFINS]],tabImpostosNacionais[],2,0)</f>
        <v>7.5999999999999998E-2</v>
      </c>
      <c r="BF8" s="233">
        <f>VLOOKUP(tabParametros[[#Headers],[PIS]],tabImpostosNacionais[],2,0)</f>
        <v>1.6500000000000001E-2</v>
      </c>
      <c r="BG8" s="233">
        <f>VLOOKUP(tabParametros[[#This Row],[Comarca]],tabComarca[],4,0)</f>
        <v>0.02</v>
      </c>
      <c r="BH8" s="236">
        <f>VLOOKUP(tabParametros[[#This Row],[CCT DA CATEGORIA]],tabSindicatos[],11,0)</f>
        <v>45658</v>
      </c>
      <c r="BI8" s="282" t="str">
        <f>VLOOKUP(tabParametros[[#This Row],[CCT DA CATEGORIA]],tabSindicatos[],12,0)</f>
        <v>-</v>
      </c>
      <c r="BJ8" s="285" t="str">
        <f>VLOOKUP(tabParametros[[#This Row],[CCT DA CATEGORIA]],tabSindicatos[],13,0)</f>
        <v>-</v>
      </c>
    </row>
    <row r="9" spans="1:62">
      <c r="A9" s="231" t="s">
        <v>1532</v>
      </c>
      <c r="B9" s="197" t="s">
        <v>1093</v>
      </c>
      <c r="C9" s="197" t="s">
        <v>324</v>
      </c>
      <c r="D9" s="197" t="str">
        <f>VLOOKUP(tabParametros[[#This Row],[Código do Posto]],tabPostos[],4,0)</f>
        <v>Cataguases</v>
      </c>
      <c r="E9" s="282" t="str">
        <f>VLOOKUP(tabParametros[[#This Row],[Código do Posto]],tabPostos[],5,0)</f>
        <v>Apoio</v>
      </c>
      <c r="F9" s="282" t="str">
        <f>VLOOKUP(tabParametros[[#This Row],[Código do Posto]],tabPostos[],6,0)</f>
        <v>PGJ</v>
      </c>
      <c r="G9" s="282">
        <f>VLOOKUP(tabParametros[[#This Row],[Código do Posto]],tabPostos[],7,0)</f>
        <v>1</v>
      </c>
      <c r="H9" s="282">
        <f>VLOOKUP(tabParametros[[#This Row],[Código do Posto]],tabPostos[],8,0)</f>
        <v>0</v>
      </c>
      <c r="I9" s="232">
        <f>VLOOKUP(tabParametros[[#This Row],[Código do Posto]],tabPostos[],9,0)</f>
        <v>3397.1306016921476</v>
      </c>
      <c r="J9" s="232">
        <f>IF(ISNUMBER(SEARCH("Eletricista",tabParametros[[#This Row],[Função]],1)),0.3*tabParametros[[#This Row],[Salário Base]],0)</f>
        <v>0</v>
      </c>
      <c r="K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 s="232">
        <f>IF(AND(ISNUMBER(SEARCH("Noturno",tabParametros[[#This Row],[Função]],1)),tabParametros[[#This Row],[Comarca]]&lt;&gt;"Juiz de Fora"),tabParametros[[#This Row],[Salário Base]]/210*0.39*7*15.5,IF(ISNUMBER(SEARCH("Noturno",tabParametros[[#This Row],[Função]],1)),tabParametros[[#This Row],[Salário Base]]/210*0.2*8*15.5,0))</f>
        <v>0</v>
      </c>
      <c r="M9" s="232">
        <f>IF(ISNUMBER(SEARCH("Motorista II",tabParametros[[#This Row],[Função]],1)),0.3022*tabParametros[[#This Row],[Salário Base]],0)</f>
        <v>0</v>
      </c>
      <c r="N9" s="254">
        <v>0</v>
      </c>
      <c r="O9" s="254">
        <f>IF(ISNUMBER(SEARCH("TECNOLOGIA DA INFORMACAO",tabParametros[[#This Row],[Função]],1)),0.056*tabParametros[[#This Row],[Salário Base]],0)</f>
        <v>0</v>
      </c>
      <c r="P9" s="232">
        <f>IF(tabParametros[[#This Row],[Função]]="Operador de Midia Audiovisual - 150 h",tabParametros[[#This Row],[Salário Base]]/150*50*30%,IF(tabParametros[[#This Row],[Função]]="Supervisor de Manutencao de Veiculos II - 220 h",12%*tabParametros[[#This Row],[Salário Base]],0))</f>
        <v>0</v>
      </c>
      <c r="Q9" s="233">
        <f>VLOOKUP(tabParametros[[#Headers],[INSS]],tabImpostosNacionais[],2,0)</f>
        <v>0.2</v>
      </c>
      <c r="R9" s="233">
        <f>VLOOKUP(tabParametros[[#Headers],[SESI OU SESC]],tabImpostosNacionais[],2,0)</f>
        <v>1.4999999999999999E-2</v>
      </c>
      <c r="S9" s="233">
        <f>VLOOKUP(tabParametros[[#Headers],[SENAI OU SENAC]],tabImpostosNacionais[],2,0)</f>
        <v>0.01</v>
      </c>
      <c r="T9" s="233">
        <f>VLOOKUP(tabParametros[[#Headers],[INCRA]],tabImpostosNacionais[],2,0)</f>
        <v>2E-3</v>
      </c>
      <c r="U9" s="233">
        <f>VLOOKUP(tabParametros[[#Headers],[Salário Educação]],tabImpostosNacionais[],2,0)</f>
        <v>2.5000000000000001E-2</v>
      </c>
      <c r="V9" s="233">
        <f>VLOOKUP(tabParametros[[#Headers],[FGTS]],tabImpostosNacionais[],2,0)</f>
        <v>0.08</v>
      </c>
      <c r="W9" s="233">
        <f>VLOOKUP(tabParametros[[#Headers],[RAT Ajustado]],tabImpostosNacionais[],2,0)</f>
        <v>0.04</v>
      </c>
      <c r="X9" s="233">
        <f>VLOOKUP(tabParametros[[#Headers],[SEBRAE]],tabImpostosNacionais[],2,0)</f>
        <v>6.0000000000000001E-3</v>
      </c>
      <c r="Y9" s="233">
        <f t="shared" si="0"/>
        <v>8.3333333333333329E-2</v>
      </c>
      <c r="Z9" s="233">
        <f t="shared" si="1"/>
        <v>0.1111111111111111</v>
      </c>
      <c r="AA9" s="232">
        <f>VLOOKUP(tabParametros[[#This Row],[Comarca]],tabComarca[],5,0)</f>
        <v>6.4</v>
      </c>
      <c r="AB9" s="232">
        <f>VLOOKUP(tabParametros[[#This Row],[CCT DA CATEGORIA]],tabSindicatos[],6,0)</f>
        <v>29.15</v>
      </c>
      <c r="AC9" s="232">
        <f>VLOOKUP(tabParametros[[#This Row],[CCT DA CATEGORIA]],tabSindicatos[],7,0)</f>
        <v>0</v>
      </c>
      <c r="AD9" s="232" cm="1">
        <f t="array" ref="AD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9" s="232">
        <f>VLOOKUP(tabParametros[[#This Row],[CCT DA CATEGORIA]],tabSindicatos[],9,0)</f>
        <v>0</v>
      </c>
      <c r="AF9" s="232">
        <f>VLOOKUP(tabParametros[[#This Row],[CCT DA CATEGORIA]],tabSindicatos[],10,0)</f>
        <v>0</v>
      </c>
      <c r="AG9" s="234">
        <f>VLOOKUP(tabParametros[[#Headers],[Seguro de Vida]],tabOutrosCustos[],3,0)</f>
        <v>3.36</v>
      </c>
      <c r="AH9" s="234">
        <f>IF(ISNUMBER(SEARCH("MOTORISTA",tabParametros[[#This Row],[Função]],1)),VLOOKUP("MOTORISTAS",tabDiarias[],2,0),IF(tabParametros[[#This Row],[Comarca]]="Belo Horizonte",VLOOKUP("APOIO",tabDiarias[],2,0),0))</f>
        <v>0</v>
      </c>
      <c r="AI9" s="233">
        <f t="shared" si="2"/>
        <v>7.011766975308642E-3</v>
      </c>
      <c r="AJ9" s="235">
        <f>tabParametros[[#This Row],[FGTS]]*tabParametros[[#This Row],[Aviso Prévio Indenizado (API) e Reflexo do Aviso Prévio Indenizado]]</f>
        <v>5.609413580246914E-4</v>
      </c>
      <c r="AK9" s="235">
        <f>tabParametros[[#This Row],[FGTS]]*tabParametros[[#This Row],[Aviso Prévio Indenizado (API) e Reflexo do Aviso Prévio Indenizado]]*40%</f>
        <v>2.2437654320987658E-4</v>
      </c>
      <c r="AL9" s="233">
        <f t="shared" si="3"/>
        <v>3.5000000000000005E-3</v>
      </c>
      <c r="AM9" s="233">
        <f>tabParametros[[#This Row],[Aviso Prévio Trabalhado - APT]]*SUM(tabParametros[[#This Row],[INSS]:[SEBRAE]])</f>
        <v>1.3230000000000004E-3</v>
      </c>
      <c r="AN9" s="233">
        <f t="shared" si="4"/>
        <v>3.0577777777777773E-2</v>
      </c>
      <c r="AO9" s="233">
        <f t="shared" si="5"/>
        <v>8.3333333333333339E-4</v>
      </c>
      <c r="AP9" s="233">
        <f t="shared" si="6"/>
        <v>8.4444444444444437E-3</v>
      </c>
      <c r="AQ9" s="233">
        <f t="shared" si="7"/>
        <v>2.0277777777777777E-3</v>
      </c>
      <c r="AR9" s="233">
        <f t="shared" si="8"/>
        <v>1.7083333333333333E-4</v>
      </c>
      <c r="AS9" s="233">
        <f t="shared" si="9"/>
        <v>2.0833333333333335E-4</v>
      </c>
      <c r="AT9" s="233">
        <f t="shared" si="10"/>
        <v>1.2962962962962963E-3</v>
      </c>
      <c r="AU9" s="235">
        <f>SUM(tabParametros[[#This Row],[Ausência por Doença]:[Férias, Adicional de Férias e 13º  com empregada em gozo de Licença Maternidade]])*SUM(tabParametros[[#This Row],[INSS]:[SEBRAE]])</f>
        <v>4.5918250000000008E-3</v>
      </c>
      <c r="AV9" s="254">
        <f>IF(tabParametros[[#This Row],[Função]]="Porteiro - 220 h",SUM(tabParametros[[#This Row],[Salário Base]:[Adicional de Acúmulo de função]])/220*20*1.5,IF(ISNUMBER(SEARCH("12 x 36",tabParametros[[#This Row],[Função]],1)),SUM(tabParametros[[#This Row],[Salário Base]:[Adicional de Acúmulo de função]])/210*15.5*1.5,0))</f>
        <v>0</v>
      </c>
      <c r="AW9" s="232">
        <f>IF(tabParametros[[#This Row],[Vagas contratadas]]&gt;0,(SUM(tabParametros[[#This Row],[Salário Base]:[Adicional de Acúmulo de função]])*30%+SUM(tabParametros[[#This Row],[Vale - Alimentação]:[Seguro de Vida]]))/tabParametros[[#This Row],[Vagas contratadas]]*tabParametros[[#This Row],[Vagas suspensas]],0)</f>
        <v>0</v>
      </c>
      <c r="AX9" s="232">
        <f>SUMIF(tabUniformes[Cargo],tabParametros[[#This Row],[Função]],tabUniformes[Valor unit. Mensal])</f>
        <v>56.642978962543395</v>
      </c>
      <c r="AY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 s="232">
        <v>0</v>
      </c>
      <c r="BC9" s="234" t="e">
        <f ca="1">VLOOKUP(tabParametros[[#Headers],[Custos Indiretos]],tabOutrosCustos[],3,0)</f>
        <v>#NAME?</v>
      </c>
      <c r="BD9" s="234" t="e">
        <f ca="1">VLOOKUP(tabParametros[[#Headers],[Lucro]],tabOutrosCustos[],3,0)</f>
        <v>#NAME?</v>
      </c>
      <c r="BE9" s="233">
        <f>VLOOKUP(tabParametros[[#Headers],[COFINS]],tabImpostosNacionais[],2,0)</f>
        <v>7.5999999999999998E-2</v>
      </c>
      <c r="BF9" s="233">
        <f>VLOOKUP(tabParametros[[#Headers],[PIS]],tabImpostosNacionais[],2,0)</f>
        <v>1.6500000000000001E-2</v>
      </c>
      <c r="BG9" s="233">
        <f>VLOOKUP(tabParametros[[#This Row],[Comarca]],tabComarca[],4,0)</f>
        <v>0.02</v>
      </c>
      <c r="BH9" s="236">
        <f>VLOOKUP(tabParametros[[#This Row],[CCT DA CATEGORIA]],tabSindicatos[],11,0)</f>
        <v>45658</v>
      </c>
      <c r="BI9" s="282" t="str">
        <f>VLOOKUP(tabParametros[[#This Row],[CCT DA CATEGORIA]],tabSindicatos[],12,0)</f>
        <v>-</v>
      </c>
      <c r="BJ9" s="285" t="str">
        <f>VLOOKUP(tabParametros[[#This Row],[CCT DA CATEGORIA]],tabSindicatos[],13,0)</f>
        <v>-</v>
      </c>
    </row>
    <row r="10" spans="1:62">
      <c r="A10" s="231" t="s">
        <v>1533</v>
      </c>
      <c r="B10" s="197" t="s">
        <v>1094</v>
      </c>
      <c r="C10" s="197" t="s">
        <v>244</v>
      </c>
      <c r="D10" s="197" t="str">
        <f>VLOOKUP(tabParametros[[#This Row],[Código do Posto]],tabPostos[],4,0)</f>
        <v>Regiao de Sao Lourenco</v>
      </c>
      <c r="E10" s="282" t="str">
        <f>VLOOKUP(tabParametros[[#This Row],[Código do Posto]],tabPostos[],5,0)</f>
        <v>Apoio</v>
      </c>
      <c r="F10" s="282" t="str">
        <f>VLOOKUP(tabParametros[[#This Row],[Código do Posto]],tabPostos[],6,0)</f>
        <v>PGJ</v>
      </c>
      <c r="G10" s="282">
        <f>VLOOKUP(tabParametros[[#This Row],[Código do Posto]],tabPostos[],7,0)</f>
        <v>1</v>
      </c>
      <c r="H10" s="282">
        <f>VLOOKUP(tabParametros[[#This Row],[Código do Posto]],tabPostos[],8,0)</f>
        <v>0</v>
      </c>
      <c r="I10" s="232">
        <f>VLOOKUP(tabParametros[[#This Row],[Código do Posto]],tabPostos[],9,0)</f>
        <v>2296.1756892610078</v>
      </c>
      <c r="J10" s="232">
        <f>IF(ISNUMBER(SEARCH("Eletricista",tabParametros[[#This Row],[Função]],1)),0.3*tabParametros[[#This Row],[Salário Base]],0)</f>
        <v>0</v>
      </c>
      <c r="K1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0" s="232">
        <f>IF(AND(ISNUMBER(SEARCH("Noturno",tabParametros[[#This Row],[Função]],1)),tabParametros[[#This Row],[Comarca]]&lt;&gt;"Juiz de Fora"),tabParametros[[#This Row],[Salário Base]]/210*0.39*7*15.5,IF(ISNUMBER(SEARCH("Noturno",tabParametros[[#This Row],[Função]],1)),tabParametros[[#This Row],[Salário Base]]/210*0.2*8*15.5,0))</f>
        <v>0</v>
      </c>
      <c r="M10" s="232">
        <f>IF(ISNUMBER(SEARCH("Motorista II",tabParametros[[#This Row],[Função]],1)),0.3022*tabParametros[[#This Row],[Salário Base]],0)</f>
        <v>0</v>
      </c>
      <c r="N10" s="254">
        <v>0</v>
      </c>
      <c r="O10" s="254">
        <f>IF(ISNUMBER(SEARCH("TECNOLOGIA DA INFORMACAO",tabParametros[[#This Row],[Função]],1)),0.056*tabParametros[[#This Row],[Salário Base]],0)</f>
        <v>0</v>
      </c>
      <c r="P10" s="232">
        <f>IF(tabParametros[[#This Row],[Função]]="Operador de Midia Audiovisual - 150 h",tabParametros[[#This Row],[Salário Base]]/150*50*30%,IF(tabParametros[[#This Row],[Função]]="Supervisor de Manutencao de Veiculos II - 220 h",12%*tabParametros[[#This Row],[Salário Base]],0))</f>
        <v>0</v>
      </c>
      <c r="Q10" s="233">
        <f>VLOOKUP(tabParametros[[#Headers],[INSS]],tabImpostosNacionais[],2,0)</f>
        <v>0.2</v>
      </c>
      <c r="R10" s="233">
        <f>VLOOKUP(tabParametros[[#Headers],[SESI OU SESC]],tabImpostosNacionais[],2,0)</f>
        <v>1.4999999999999999E-2</v>
      </c>
      <c r="S10" s="233">
        <f>VLOOKUP(tabParametros[[#Headers],[SENAI OU SENAC]],tabImpostosNacionais[],2,0)</f>
        <v>0.01</v>
      </c>
      <c r="T10" s="233">
        <f>VLOOKUP(tabParametros[[#Headers],[INCRA]],tabImpostosNacionais[],2,0)</f>
        <v>2E-3</v>
      </c>
      <c r="U10" s="233">
        <f>VLOOKUP(tabParametros[[#Headers],[Salário Educação]],tabImpostosNacionais[],2,0)</f>
        <v>2.5000000000000001E-2</v>
      </c>
      <c r="V10" s="233">
        <f>VLOOKUP(tabParametros[[#Headers],[FGTS]],tabImpostosNacionais[],2,0)</f>
        <v>0.08</v>
      </c>
      <c r="W10" s="233">
        <f>VLOOKUP(tabParametros[[#Headers],[RAT Ajustado]],tabImpostosNacionais[],2,0)</f>
        <v>0.04</v>
      </c>
      <c r="X10" s="233">
        <f>VLOOKUP(tabParametros[[#Headers],[SEBRAE]],tabImpostosNacionais[],2,0)</f>
        <v>6.0000000000000001E-3</v>
      </c>
      <c r="Y10" s="233">
        <f t="shared" si="0"/>
        <v>8.3333333333333329E-2</v>
      </c>
      <c r="Z10" s="233">
        <f t="shared" si="1"/>
        <v>0.1111111111111111</v>
      </c>
      <c r="AA10" s="232">
        <f>VLOOKUP(tabParametros[[#This Row],[Comarca]],tabComarca[],5,0)</f>
        <v>6.4</v>
      </c>
      <c r="AB10" s="232">
        <f>VLOOKUP(tabParametros[[#This Row],[CCT DA CATEGORIA]],tabSindicatos[],6,0)</f>
        <v>29.15</v>
      </c>
      <c r="AC10" s="232">
        <f>VLOOKUP(tabParametros[[#This Row],[CCT DA CATEGORIA]],tabSindicatos[],7,0)</f>
        <v>0</v>
      </c>
      <c r="AD10" s="232" cm="1">
        <f t="array" ref="AD1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0" s="232">
        <f>VLOOKUP(tabParametros[[#This Row],[CCT DA CATEGORIA]],tabSindicatos[],9,0)</f>
        <v>0</v>
      </c>
      <c r="AF10" s="232">
        <f>VLOOKUP(tabParametros[[#This Row],[CCT DA CATEGORIA]],tabSindicatos[],10,0)</f>
        <v>0</v>
      </c>
      <c r="AG10" s="234">
        <f>VLOOKUP(tabParametros[[#Headers],[Seguro de Vida]],tabOutrosCustos[],3,0)</f>
        <v>3.36</v>
      </c>
      <c r="AH10" s="234">
        <f>IF(ISNUMBER(SEARCH("MOTORISTA",tabParametros[[#This Row],[Função]],1)),VLOOKUP("MOTORISTAS",tabDiarias[],2,0),IF(tabParametros[[#This Row],[Comarca]]="Belo Horizonte",VLOOKUP("APOIO",tabDiarias[],2,0),0))</f>
        <v>0</v>
      </c>
      <c r="AI10" s="233">
        <f t="shared" si="2"/>
        <v>7.011766975308642E-3</v>
      </c>
      <c r="AJ10" s="235">
        <f>tabParametros[[#This Row],[FGTS]]*tabParametros[[#This Row],[Aviso Prévio Indenizado (API) e Reflexo do Aviso Prévio Indenizado]]</f>
        <v>5.609413580246914E-4</v>
      </c>
      <c r="AK10" s="235">
        <f>tabParametros[[#This Row],[FGTS]]*tabParametros[[#This Row],[Aviso Prévio Indenizado (API) e Reflexo do Aviso Prévio Indenizado]]*40%</f>
        <v>2.2437654320987658E-4</v>
      </c>
      <c r="AL10" s="233">
        <f t="shared" si="3"/>
        <v>3.5000000000000005E-3</v>
      </c>
      <c r="AM10" s="233">
        <f>tabParametros[[#This Row],[Aviso Prévio Trabalhado - APT]]*SUM(tabParametros[[#This Row],[INSS]:[SEBRAE]])</f>
        <v>1.3230000000000004E-3</v>
      </c>
      <c r="AN10" s="233">
        <f t="shared" si="4"/>
        <v>3.0577777777777773E-2</v>
      </c>
      <c r="AO10" s="233">
        <f t="shared" si="5"/>
        <v>8.3333333333333339E-4</v>
      </c>
      <c r="AP10" s="233">
        <f t="shared" si="6"/>
        <v>8.4444444444444437E-3</v>
      </c>
      <c r="AQ10" s="233">
        <f t="shared" si="7"/>
        <v>2.0277777777777777E-3</v>
      </c>
      <c r="AR10" s="233">
        <f t="shared" si="8"/>
        <v>1.7083333333333333E-4</v>
      </c>
      <c r="AS10" s="233">
        <f t="shared" si="9"/>
        <v>2.0833333333333335E-4</v>
      </c>
      <c r="AT10" s="233">
        <f t="shared" si="10"/>
        <v>1.2962962962962963E-3</v>
      </c>
      <c r="AU10" s="235">
        <f>SUM(tabParametros[[#This Row],[Ausência por Doença]:[Férias, Adicional de Férias e 13º  com empregada em gozo de Licença Maternidade]])*SUM(tabParametros[[#This Row],[INSS]:[SEBRAE]])</f>
        <v>4.5918250000000008E-3</v>
      </c>
      <c r="AV10" s="254">
        <f>IF(tabParametros[[#This Row],[Função]]="Porteiro - 220 h",SUM(tabParametros[[#This Row],[Salário Base]:[Adicional de Acúmulo de função]])/220*20*1.5,IF(ISNUMBER(SEARCH("12 x 36",tabParametros[[#This Row],[Função]],1)),SUM(tabParametros[[#This Row],[Salário Base]:[Adicional de Acúmulo de função]])/210*15.5*1.5,0))</f>
        <v>0</v>
      </c>
      <c r="AW10" s="232">
        <f>IF(tabParametros[[#This Row],[Vagas contratadas]]&gt;0,(SUM(tabParametros[[#This Row],[Salário Base]:[Adicional de Acúmulo de função]])*30%+SUM(tabParametros[[#This Row],[Vale - Alimentação]:[Seguro de Vida]]))/tabParametros[[#This Row],[Vagas contratadas]]*tabParametros[[#This Row],[Vagas suspensas]],0)</f>
        <v>0</v>
      </c>
      <c r="AX10" s="232">
        <f>SUMIF(tabUniformes[Cargo],tabParametros[[#This Row],[Função]],tabUniformes[Valor unit. Mensal])</f>
        <v>226.33322732312172</v>
      </c>
      <c r="AY1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 s="232">
        <v>0</v>
      </c>
      <c r="BC10" s="234" t="e">
        <f ca="1">VLOOKUP(tabParametros[[#Headers],[Custos Indiretos]],tabOutrosCustos[],3,0)</f>
        <v>#NAME?</v>
      </c>
      <c r="BD10" s="234" t="e">
        <f ca="1">VLOOKUP(tabParametros[[#Headers],[Lucro]],tabOutrosCustos[],3,0)</f>
        <v>#NAME?</v>
      </c>
      <c r="BE10" s="233">
        <f>VLOOKUP(tabParametros[[#Headers],[COFINS]],tabImpostosNacionais[],2,0)</f>
        <v>7.5999999999999998E-2</v>
      </c>
      <c r="BF10" s="233">
        <f>VLOOKUP(tabParametros[[#Headers],[PIS]],tabImpostosNacionais[],2,0)</f>
        <v>1.6500000000000001E-2</v>
      </c>
      <c r="BG10" s="233">
        <f>VLOOKUP(tabParametros[[#This Row],[Comarca]],tabComarca[],4,0)</f>
        <v>0.02</v>
      </c>
      <c r="BH10" s="236">
        <f>VLOOKUP(tabParametros[[#This Row],[CCT DA CATEGORIA]],tabSindicatos[],11,0)</f>
        <v>45658</v>
      </c>
      <c r="BI10" s="282" t="str">
        <f>VLOOKUP(tabParametros[[#This Row],[CCT DA CATEGORIA]],tabSindicatos[],12,0)</f>
        <v>-</v>
      </c>
      <c r="BJ10" s="285" t="str">
        <f>VLOOKUP(tabParametros[[#This Row],[CCT DA CATEGORIA]],tabSindicatos[],13,0)</f>
        <v>-</v>
      </c>
    </row>
    <row r="11" spans="1:62">
      <c r="A11" s="231" t="s">
        <v>1534</v>
      </c>
      <c r="B11" s="197" t="s">
        <v>1094</v>
      </c>
      <c r="C11" s="197" t="s">
        <v>324</v>
      </c>
      <c r="D11" s="197" t="str">
        <f>VLOOKUP(tabParametros[[#This Row],[Código do Posto]],tabPostos[],4,0)</f>
        <v>Regiao de Sao Lourenco</v>
      </c>
      <c r="E11" s="282" t="str">
        <f>VLOOKUP(tabParametros[[#This Row],[Código do Posto]],tabPostos[],5,0)</f>
        <v>Apoio</v>
      </c>
      <c r="F11" s="282" t="str">
        <f>VLOOKUP(tabParametros[[#This Row],[Código do Posto]],tabPostos[],6,0)</f>
        <v>PGJ</v>
      </c>
      <c r="G11" s="282">
        <f>VLOOKUP(tabParametros[[#This Row],[Código do Posto]],tabPostos[],7,0)</f>
        <v>1</v>
      </c>
      <c r="H11" s="282">
        <f>VLOOKUP(tabParametros[[#This Row],[Código do Posto]],tabPostos[],8,0)</f>
        <v>0</v>
      </c>
      <c r="I11" s="232">
        <f>VLOOKUP(tabParametros[[#This Row],[Código do Posto]],tabPostos[],9,0)</f>
        <v>3397.130467372021</v>
      </c>
      <c r="J11" s="232">
        <f>IF(ISNUMBER(SEARCH("Eletricista",tabParametros[[#This Row],[Função]],1)),0.3*tabParametros[[#This Row],[Salário Base]],0)</f>
        <v>0</v>
      </c>
      <c r="K1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1" s="232">
        <f>IF(AND(ISNUMBER(SEARCH("Noturno",tabParametros[[#This Row],[Função]],1)),tabParametros[[#This Row],[Comarca]]&lt;&gt;"Juiz de Fora"),tabParametros[[#This Row],[Salário Base]]/210*0.39*7*15.5,IF(ISNUMBER(SEARCH("Noturno",tabParametros[[#This Row],[Função]],1)),tabParametros[[#This Row],[Salário Base]]/210*0.2*8*15.5,0))</f>
        <v>0</v>
      </c>
      <c r="M11" s="232">
        <f>IF(ISNUMBER(SEARCH("Motorista II",tabParametros[[#This Row],[Função]],1)),0.3022*tabParametros[[#This Row],[Salário Base]],0)</f>
        <v>0</v>
      </c>
      <c r="N11" s="254">
        <v>0</v>
      </c>
      <c r="O11" s="254">
        <f>IF(ISNUMBER(SEARCH("TECNOLOGIA DA INFORMACAO",tabParametros[[#This Row],[Função]],1)),0.056*tabParametros[[#This Row],[Salário Base]],0)</f>
        <v>0</v>
      </c>
      <c r="P11" s="232">
        <f>IF(tabParametros[[#This Row],[Função]]="Operador de Midia Audiovisual - 150 h",tabParametros[[#This Row],[Salário Base]]/150*50*30%,IF(tabParametros[[#This Row],[Função]]="Supervisor de Manutencao de Veiculos II - 220 h",12%*tabParametros[[#This Row],[Salário Base]],0))</f>
        <v>0</v>
      </c>
      <c r="Q11" s="233">
        <f>VLOOKUP(tabParametros[[#Headers],[INSS]],tabImpostosNacionais[],2,0)</f>
        <v>0.2</v>
      </c>
      <c r="R11" s="233">
        <f>VLOOKUP(tabParametros[[#Headers],[SESI OU SESC]],tabImpostosNacionais[],2,0)</f>
        <v>1.4999999999999999E-2</v>
      </c>
      <c r="S11" s="233">
        <f>VLOOKUP(tabParametros[[#Headers],[SENAI OU SENAC]],tabImpostosNacionais[],2,0)</f>
        <v>0.01</v>
      </c>
      <c r="T11" s="233">
        <f>VLOOKUP(tabParametros[[#Headers],[INCRA]],tabImpostosNacionais[],2,0)</f>
        <v>2E-3</v>
      </c>
      <c r="U11" s="233">
        <f>VLOOKUP(tabParametros[[#Headers],[Salário Educação]],tabImpostosNacionais[],2,0)</f>
        <v>2.5000000000000001E-2</v>
      </c>
      <c r="V11" s="233">
        <f>VLOOKUP(tabParametros[[#Headers],[FGTS]],tabImpostosNacionais[],2,0)</f>
        <v>0.08</v>
      </c>
      <c r="W11" s="233">
        <f>VLOOKUP(tabParametros[[#Headers],[RAT Ajustado]],tabImpostosNacionais[],2,0)</f>
        <v>0.04</v>
      </c>
      <c r="X11" s="233">
        <f>VLOOKUP(tabParametros[[#Headers],[SEBRAE]],tabImpostosNacionais[],2,0)</f>
        <v>6.0000000000000001E-3</v>
      </c>
      <c r="Y11" s="233">
        <f t="shared" si="0"/>
        <v>8.3333333333333329E-2</v>
      </c>
      <c r="Z11" s="233">
        <f t="shared" si="1"/>
        <v>0.1111111111111111</v>
      </c>
      <c r="AA11" s="232">
        <f>VLOOKUP(tabParametros[[#This Row],[Comarca]],tabComarca[],5,0)</f>
        <v>6.4</v>
      </c>
      <c r="AB11" s="232">
        <f>VLOOKUP(tabParametros[[#This Row],[CCT DA CATEGORIA]],tabSindicatos[],6,0)</f>
        <v>29.15</v>
      </c>
      <c r="AC11" s="232">
        <f>VLOOKUP(tabParametros[[#This Row],[CCT DA CATEGORIA]],tabSindicatos[],7,0)</f>
        <v>0</v>
      </c>
      <c r="AD11" s="232" cm="1">
        <f t="array" ref="AD1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1" s="232">
        <f>VLOOKUP(tabParametros[[#This Row],[CCT DA CATEGORIA]],tabSindicatos[],9,0)</f>
        <v>0</v>
      </c>
      <c r="AF11" s="232">
        <f>VLOOKUP(tabParametros[[#This Row],[CCT DA CATEGORIA]],tabSindicatos[],10,0)</f>
        <v>0</v>
      </c>
      <c r="AG11" s="234">
        <f>VLOOKUP(tabParametros[[#Headers],[Seguro de Vida]],tabOutrosCustos[],3,0)</f>
        <v>3.36</v>
      </c>
      <c r="AH11" s="234">
        <f>IF(ISNUMBER(SEARCH("MOTORISTA",tabParametros[[#This Row],[Função]],1)),VLOOKUP("MOTORISTAS",tabDiarias[],2,0),IF(tabParametros[[#This Row],[Comarca]]="Belo Horizonte",VLOOKUP("APOIO",tabDiarias[],2,0),0))</f>
        <v>0</v>
      </c>
      <c r="AI11" s="233">
        <f t="shared" si="2"/>
        <v>7.011766975308642E-3</v>
      </c>
      <c r="AJ11" s="235">
        <f>tabParametros[[#This Row],[FGTS]]*tabParametros[[#This Row],[Aviso Prévio Indenizado (API) e Reflexo do Aviso Prévio Indenizado]]</f>
        <v>5.609413580246914E-4</v>
      </c>
      <c r="AK11" s="235">
        <f>tabParametros[[#This Row],[FGTS]]*tabParametros[[#This Row],[Aviso Prévio Indenizado (API) e Reflexo do Aviso Prévio Indenizado]]*40%</f>
        <v>2.2437654320987658E-4</v>
      </c>
      <c r="AL11" s="233">
        <f t="shared" si="3"/>
        <v>3.5000000000000005E-3</v>
      </c>
      <c r="AM11" s="233">
        <f>tabParametros[[#This Row],[Aviso Prévio Trabalhado - APT]]*SUM(tabParametros[[#This Row],[INSS]:[SEBRAE]])</f>
        <v>1.3230000000000004E-3</v>
      </c>
      <c r="AN11" s="233">
        <f t="shared" si="4"/>
        <v>3.0577777777777773E-2</v>
      </c>
      <c r="AO11" s="233">
        <f t="shared" si="5"/>
        <v>8.3333333333333339E-4</v>
      </c>
      <c r="AP11" s="233">
        <f t="shared" si="6"/>
        <v>8.4444444444444437E-3</v>
      </c>
      <c r="AQ11" s="233">
        <f t="shared" si="7"/>
        <v>2.0277777777777777E-3</v>
      </c>
      <c r="AR11" s="233">
        <f t="shared" si="8"/>
        <v>1.7083333333333333E-4</v>
      </c>
      <c r="AS11" s="233">
        <f t="shared" si="9"/>
        <v>2.0833333333333335E-4</v>
      </c>
      <c r="AT11" s="233">
        <f t="shared" si="10"/>
        <v>1.2962962962962963E-3</v>
      </c>
      <c r="AU11" s="235">
        <f>SUM(tabParametros[[#This Row],[Ausência por Doença]:[Férias, Adicional de Férias e 13º  com empregada em gozo de Licença Maternidade]])*SUM(tabParametros[[#This Row],[INSS]:[SEBRAE]])</f>
        <v>4.5918250000000008E-3</v>
      </c>
      <c r="AV11" s="254">
        <f>IF(tabParametros[[#This Row],[Função]]="Porteiro - 220 h",SUM(tabParametros[[#This Row],[Salário Base]:[Adicional de Acúmulo de função]])/220*20*1.5,IF(ISNUMBER(SEARCH("12 x 36",tabParametros[[#This Row],[Função]],1)),SUM(tabParametros[[#This Row],[Salário Base]:[Adicional de Acúmulo de função]])/210*15.5*1.5,0))</f>
        <v>0</v>
      </c>
      <c r="AW11" s="232">
        <f>IF(tabParametros[[#This Row],[Vagas contratadas]]&gt;0,(SUM(tabParametros[[#This Row],[Salário Base]:[Adicional de Acúmulo de função]])*30%+SUM(tabParametros[[#This Row],[Vale - Alimentação]:[Seguro de Vida]]))/tabParametros[[#This Row],[Vagas contratadas]]*tabParametros[[#This Row],[Vagas suspensas]],0)</f>
        <v>0</v>
      </c>
      <c r="AX11" s="232">
        <f>SUMIF(tabUniformes[Cargo],tabParametros[[#This Row],[Função]],tabUniformes[Valor unit. Mensal])</f>
        <v>56.642978962543395</v>
      </c>
      <c r="AY1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 s="232">
        <v>0</v>
      </c>
      <c r="BC11" s="234" t="e">
        <f ca="1">VLOOKUP(tabParametros[[#Headers],[Custos Indiretos]],tabOutrosCustos[],3,0)</f>
        <v>#NAME?</v>
      </c>
      <c r="BD11" s="234" t="e">
        <f ca="1">VLOOKUP(tabParametros[[#Headers],[Lucro]],tabOutrosCustos[],3,0)</f>
        <v>#NAME?</v>
      </c>
      <c r="BE11" s="233">
        <f>VLOOKUP(tabParametros[[#Headers],[COFINS]],tabImpostosNacionais[],2,0)</f>
        <v>7.5999999999999998E-2</v>
      </c>
      <c r="BF11" s="233">
        <f>VLOOKUP(tabParametros[[#Headers],[PIS]],tabImpostosNacionais[],2,0)</f>
        <v>1.6500000000000001E-2</v>
      </c>
      <c r="BG11" s="233">
        <f>VLOOKUP(tabParametros[[#This Row],[Comarca]],tabComarca[],4,0)</f>
        <v>0.02</v>
      </c>
      <c r="BH11" s="236">
        <f>VLOOKUP(tabParametros[[#This Row],[CCT DA CATEGORIA]],tabSindicatos[],11,0)</f>
        <v>45658</v>
      </c>
      <c r="BI11" s="282" t="str">
        <f>VLOOKUP(tabParametros[[#This Row],[CCT DA CATEGORIA]],tabSindicatos[],12,0)</f>
        <v>-</v>
      </c>
      <c r="BJ11" s="285" t="str">
        <f>VLOOKUP(tabParametros[[#This Row],[CCT DA CATEGORIA]],tabSindicatos[],13,0)</f>
        <v>-</v>
      </c>
    </row>
    <row r="12" spans="1:62">
      <c r="A12" s="231" t="s">
        <v>1535</v>
      </c>
      <c r="B12" s="197" t="s">
        <v>1095</v>
      </c>
      <c r="C12" s="197" t="s">
        <v>324</v>
      </c>
      <c r="D12" s="197" t="str">
        <f>VLOOKUP(tabParametros[[#This Row],[Código do Posto]],tabPostos[],4,0)</f>
        <v>Regiao de Teofilo Otoni</v>
      </c>
      <c r="E12" s="282" t="str">
        <f>VLOOKUP(tabParametros[[#This Row],[Código do Posto]],tabPostos[],5,0)</f>
        <v>Apoio</v>
      </c>
      <c r="F12" s="282" t="str">
        <f>VLOOKUP(tabParametros[[#This Row],[Código do Posto]],tabPostos[],6,0)</f>
        <v>PGJ</v>
      </c>
      <c r="G12" s="282">
        <f>VLOOKUP(tabParametros[[#This Row],[Código do Posto]],tabPostos[],7,0)</f>
        <v>1</v>
      </c>
      <c r="H12" s="282">
        <f>VLOOKUP(tabParametros[[#This Row],[Código do Posto]],tabPostos[],8,0)</f>
        <v>0</v>
      </c>
      <c r="I12" s="232">
        <f>VLOOKUP(tabParametros[[#This Row],[Código do Posto]],tabPostos[],9,0)</f>
        <v>3397.1306016921476</v>
      </c>
      <c r="J12" s="232">
        <f>IF(ISNUMBER(SEARCH("Eletricista",tabParametros[[#This Row],[Função]],1)),0.3*tabParametros[[#This Row],[Salário Base]],0)</f>
        <v>0</v>
      </c>
      <c r="K1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 s="232">
        <f>IF(AND(ISNUMBER(SEARCH("Noturno",tabParametros[[#This Row],[Função]],1)),tabParametros[[#This Row],[Comarca]]&lt;&gt;"Juiz de Fora"),tabParametros[[#This Row],[Salário Base]]/210*0.39*7*15.5,IF(ISNUMBER(SEARCH("Noturno",tabParametros[[#This Row],[Função]],1)),tabParametros[[#This Row],[Salário Base]]/210*0.2*8*15.5,0))</f>
        <v>0</v>
      </c>
      <c r="M12" s="232">
        <f>IF(ISNUMBER(SEARCH("Motorista II",tabParametros[[#This Row],[Função]],1)),0.3022*tabParametros[[#This Row],[Salário Base]],0)</f>
        <v>0</v>
      </c>
      <c r="N12" s="254">
        <v>0</v>
      </c>
      <c r="O12" s="254">
        <f>IF(ISNUMBER(SEARCH("TECNOLOGIA DA INFORMACAO",tabParametros[[#This Row],[Função]],1)),0.056*tabParametros[[#This Row],[Salário Base]],0)</f>
        <v>0</v>
      </c>
      <c r="P12" s="232">
        <f>IF(tabParametros[[#This Row],[Função]]="Operador de Midia Audiovisual - 150 h",tabParametros[[#This Row],[Salário Base]]/150*50*30%,IF(tabParametros[[#This Row],[Função]]="Supervisor de Manutencao de Veiculos II - 220 h",12%*tabParametros[[#This Row],[Salário Base]],0))</f>
        <v>0</v>
      </c>
      <c r="Q12" s="233">
        <f>VLOOKUP(tabParametros[[#Headers],[INSS]],tabImpostosNacionais[],2,0)</f>
        <v>0.2</v>
      </c>
      <c r="R12" s="233">
        <f>VLOOKUP(tabParametros[[#Headers],[SESI OU SESC]],tabImpostosNacionais[],2,0)</f>
        <v>1.4999999999999999E-2</v>
      </c>
      <c r="S12" s="233">
        <f>VLOOKUP(tabParametros[[#Headers],[SENAI OU SENAC]],tabImpostosNacionais[],2,0)</f>
        <v>0.01</v>
      </c>
      <c r="T12" s="233">
        <f>VLOOKUP(tabParametros[[#Headers],[INCRA]],tabImpostosNacionais[],2,0)</f>
        <v>2E-3</v>
      </c>
      <c r="U12" s="233">
        <f>VLOOKUP(tabParametros[[#Headers],[Salário Educação]],tabImpostosNacionais[],2,0)</f>
        <v>2.5000000000000001E-2</v>
      </c>
      <c r="V12" s="233">
        <f>VLOOKUP(tabParametros[[#Headers],[FGTS]],tabImpostosNacionais[],2,0)</f>
        <v>0.08</v>
      </c>
      <c r="W12" s="233">
        <f>VLOOKUP(tabParametros[[#Headers],[RAT Ajustado]],tabImpostosNacionais[],2,0)</f>
        <v>0.04</v>
      </c>
      <c r="X12" s="233">
        <f>VLOOKUP(tabParametros[[#Headers],[SEBRAE]],tabImpostosNacionais[],2,0)</f>
        <v>6.0000000000000001E-3</v>
      </c>
      <c r="Y12" s="233">
        <f t="shared" si="0"/>
        <v>8.3333333333333329E-2</v>
      </c>
      <c r="Z12" s="233">
        <f t="shared" si="1"/>
        <v>0.1111111111111111</v>
      </c>
      <c r="AA12" s="232">
        <f>VLOOKUP(tabParametros[[#This Row],[Comarca]],tabComarca[],5,0)</f>
        <v>6.4</v>
      </c>
      <c r="AB12" s="232">
        <f>VLOOKUP(tabParametros[[#This Row],[CCT DA CATEGORIA]],tabSindicatos[],6,0)</f>
        <v>29.15</v>
      </c>
      <c r="AC12" s="232">
        <f>VLOOKUP(tabParametros[[#This Row],[CCT DA CATEGORIA]],tabSindicatos[],7,0)</f>
        <v>0</v>
      </c>
      <c r="AD12" s="232" cm="1">
        <f t="array" ref="AD1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2" s="232">
        <f>VLOOKUP(tabParametros[[#This Row],[CCT DA CATEGORIA]],tabSindicatos[],9,0)</f>
        <v>15.07</v>
      </c>
      <c r="AF12" s="232">
        <f>VLOOKUP(tabParametros[[#This Row],[CCT DA CATEGORIA]],tabSindicatos[],10,0)</f>
        <v>0</v>
      </c>
      <c r="AG12" s="234">
        <f>VLOOKUP(tabParametros[[#Headers],[Seguro de Vida]],tabOutrosCustos[],3,0)</f>
        <v>3.36</v>
      </c>
      <c r="AH12" s="234">
        <f>IF(ISNUMBER(SEARCH("MOTORISTA",tabParametros[[#This Row],[Função]],1)),VLOOKUP("MOTORISTAS",tabDiarias[],2,0),IF(tabParametros[[#This Row],[Comarca]]="Belo Horizonte",VLOOKUP("APOIO",tabDiarias[],2,0),0))</f>
        <v>0</v>
      </c>
      <c r="AI12" s="233">
        <f t="shared" si="2"/>
        <v>7.011766975308642E-3</v>
      </c>
      <c r="AJ12" s="235">
        <f>tabParametros[[#This Row],[FGTS]]*tabParametros[[#This Row],[Aviso Prévio Indenizado (API) e Reflexo do Aviso Prévio Indenizado]]</f>
        <v>5.609413580246914E-4</v>
      </c>
      <c r="AK12" s="235">
        <f>tabParametros[[#This Row],[FGTS]]*tabParametros[[#This Row],[Aviso Prévio Indenizado (API) e Reflexo do Aviso Prévio Indenizado]]*40%</f>
        <v>2.2437654320987658E-4</v>
      </c>
      <c r="AL12" s="233">
        <f t="shared" si="3"/>
        <v>3.5000000000000005E-3</v>
      </c>
      <c r="AM12" s="233">
        <f>tabParametros[[#This Row],[Aviso Prévio Trabalhado - APT]]*SUM(tabParametros[[#This Row],[INSS]:[SEBRAE]])</f>
        <v>1.3230000000000004E-3</v>
      </c>
      <c r="AN12" s="233">
        <f t="shared" si="4"/>
        <v>3.0577777777777773E-2</v>
      </c>
      <c r="AO12" s="233">
        <f t="shared" si="5"/>
        <v>8.3333333333333339E-4</v>
      </c>
      <c r="AP12" s="233">
        <f t="shared" si="6"/>
        <v>8.4444444444444437E-3</v>
      </c>
      <c r="AQ12" s="233">
        <f t="shared" si="7"/>
        <v>2.0277777777777777E-3</v>
      </c>
      <c r="AR12" s="233">
        <f t="shared" si="8"/>
        <v>1.7083333333333333E-4</v>
      </c>
      <c r="AS12" s="233">
        <f t="shared" si="9"/>
        <v>2.0833333333333335E-4</v>
      </c>
      <c r="AT12" s="233">
        <f t="shared" si="10"/>
        <v>1.2962962962962963E-3</v>
      </c>
      <c r="AU12" s="235">
        <f>SUM(tabParametros[[#This Row],[Ausência por Doença]:[Férias, Adicional de Férias e 13º  com empregada em gozo de Licença Maternidade]])*SUM(tabParametros[[#This Row],[INSS]:[SEBRAE]])</f>
        <v>4.5918250000000008E-3</v>
      </c>
      <c r="AV12" s="254">
        <f>IF(tabParametros[[#This Row],[Função]]="Porteiro - 220 h",SUM(tabParametros[[#This Row],[Salário Base]:[Adicional de Acúmulo de função]])/220*20*1.5,IF(ISNUMBER(SEARCH("12 x 36",tabParametros[[#This Row],[Função]],1)),SUM(tabParametros[[#This Row],[Salário Base]:[Adicional de Acúmulo de função]])/210*15.5*1.5,0))</f>
        <v>0</v>
      </c>
      <c r="AW12" s="232">
        <f>IF(tabParametros[[#This Row],[Vagas contratadas]]&gt;0,(SUM(tabParametros[[#This Row],[Salário Base]:[Adicional de Acúmulo de função]])*30%+SUM(tabParametros[[#This Row],[Vale - Alimentação]:[Seguro de Vida]]))/tabParametros[[#This Row],[Vagas contratadas]]*tabParametros[[#This Row],[Vagas suspensas]],0)</f>
        <v>0</v>
      </c>
      <c r="AX12" s="232">
        <f>SUMIF(tabUniformes[Cargo],tabParametros[[#This Row],[Função]],tabUniformes[Valor unit. Mensal])</f>
        <v>56.642978962543395</v>
      </c>
      <c r="AY1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 s="232">
        <v>0</v>
      </c>
      <c r="BC12" s="234" t="e">
        <f ca="1">VLOOKUP(tabParametros[[#Headers],[Custos Indiretos]],tabOutrosCustos[],3,0)</f>
        <v>#NAME?</v>
      </c>
      <c r="BD12" s="234" t="e">
        <f ca="1">VLOOKUP(tabParametros[[#Headers],[Lucro]],tabOutrosCustos[],3,0)</f>
        <v>#NAME?</v>
      </c>
      <c r="BE12" s="233">
        <f>VLOOKUP(tabParametros[[#Headers],[COFINS]],tabImpostosNacionais[],2,0)</f>
        <v>7.5999999999999998E-2</v>
      </c>
      <c r="BF12" s="233">
        <f>VLOOKUP(tabParametros[[#Headers],[PIS]],tabImpostosNacionais[],2,0)</f>
        <v>1.6500000000000001E-2</v>
      </c>
      <c r="BG12" s="233">
        <f>VLOOKUP(tabParametros[[#This Row],[Comarca]],tabComarca[],4,0)</f>
        <v>0.03</v>
      </c>
      <c r="BH12" s="236">
        <f>VLOOKUP(tabParametros[[#This Row],[CCT DA CATEGORIA]],tabSindicatos[],11,0)</f>
        <v>45658</v>
      </c>
      <c r="BI12" s="282" t="str">
        <f>VLOOKUP(tabParametros[[#This Row],[CCT DA CATEGORIA]],tabSindicatos[],12,0)</f>
        <v>-</v>
      </c>
      <c r="BJ12" s="285" t="str">
        <f>VLOOKUP(tabParametros[[#This Row],[CCT DA CATEGORIA]],tabSindicatos[],13,0)</f>
        <v>-</v>
      </c>
    </row>
    <row r="13" spans="1:62">
      <c r="A13" s="231" t="s">
        <v>1536</v>
      </c>
      <c r="B13" s="197" t="s">
        <v>1096</v>
      </c>
      <c r="C13" s="197" t="s">
        <v>314</v>
      </c>
      <c r="D13" s="197" t="str">
        <f>VLOOKUP(tabParametros[[#This Row],[Código do Posto]],tabPostos[],4,0)</f>
        <v>Regiao de Sao Lourenco</v>
      </c>
      <c r="E13" s="282" t="str">
        <f>VLOOKUP(tabParametros[[#This Row],[Código do Posto]],tabPostos[],5,0)</f>
        <v>Apoio</v>
      </c>
      <c r="F13" s="282" t="str">
        <f>VLOOKUP(tabParametros[[#This Row],[Código do Posto]],tabPostos[],6,0)</f>
        <v>PGJ</v>
      </c>
      <c r="G13" s="282">
        <f>VLOOKUP(tabParametros[[#This Row],[Código do Posto]],tabPostos[],7,0)</f>
        <v>1</v>
      </c>
      <c r="H13" s="282">
        <f>VLOOKUP(tabParametros[[#This Row],[Código do Posto]],tabPostos[],8,0)</f>
        <v>0</v>
      </c>
      <c r="I13" s="232">
        <f>VLOOKUP(tabParametros[[#This Row],[Código do Posto]],tabPostos[],9,0)</f>
        <v>1963.4050319620983</v>
      </c>
      <c r="J13" s="232">
        <f>IF(ISNUMBER(SEARCH("Eletricista",tabParametros[[#This Row],[Função]],1)),0.3*tabParametros[[#This Row],[Salário Base]],0)</f>
        <v>0</v>
      </c>
      <c r="K1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 s="232">
        <f>IF(AND(ISNUMBER(SEARCH("Noturno",tabParametros[[#This Row],[Função]],1)),tabParametros[[#This Row],[Comarca]]&lt;&gt;"Juiz de Fora"),tabParametros[[#This Row],[Salário Base]]/210*0.39*7*15.5,IF(ISNUMBER(SEARCH("Noturno",tabParametros[[#This Row],[Função]],1)),tabParametros[[#This Row],[Salário Base]]/210*0.2*8*15.5,0))</f>
        <v>0</v>
      </c>
      <c r="M13" s="232">
        <f>IF(ISNUMBER(SEARCH("Motorista II",tabParametros[[#This Row],[Função]],1)),0.3022*tabParametros[[#This Row],[Salário Base]],0)</f>
        <v>0</v>
      </c>
      <c r="N13" s="254">
        <v>0</v>
      </c>
      <c r="O13" s="254">
        <f>IF(ISNUMBER(SEARCH("TECNOLOGIA DA INFORMACAO",tabParametros[[#This Row],[Função]],1)),0.056*tabParametros[[#This Row],[Salário Base]],0)</f>
        <v>0</v>
      </c>
      <c r="P13" s="232">
        <f>IF(tabParametros[[#This Row],[Função]]="Operador de Midia Audiovisual - 150 h",tabParametros[[#This Row],[Salário Base]]/150*50*30%,IF(tabParametros[[#This Row],[Função]]="Supervisor de Manutencao de Veiculos II - 220 h",12%*tabParametros[[#This Row],[Salário Base]],0))</f>
        <v>0</v>
      </c>
      <c r="Q13" s="233">
        <f>VLOOKUP(tabParametros[[#Headers],[INSS]],tabImpostosNacionais[],2,0)</f>
        <v>0.2</v>
      </c>
      <c r="R13" s="233">
        <f>VLOOKUP(tabParametros[[#Headers],[SESI OU SESC]],tabImpostosNacionais[],2,0)</f>
        <v>1.4999999999999999E-2</v>
      </c>
      <c r="S13" s="233">
        <f>VLOOKUP(tabParametros[[#Headers],[SENAI OU SENAC]],tabImpostosNacionais[],2,0)</f>
        <v>0.01</v>
      </c>
      <c r="T13" s="233">
        <f>VLOOKUP(tabParametros[[#Headers],[INCRA]],tabImpostosNacionais[],2,0)</f>
        <v>2E-3</v>
      </c>
      <c r="U13" s="233">
        <f>VLOOKUP(tabParametros[[#Headers],[Salário Educação]],tabImpostosNacionais[],2,0)</f>
        <v>2.5000000000000001E-2</v>
      </c>
      <c r="V13" s="233">
        <f>VLOOKUP(tabParametros[[#Headers],[FGTS]],tabImpostosNacionais[],2,0)</f>
        <v>0.08</v>
      </c>
      <c r="W13" s="233">
        <f>VLOOKUP(tabParametros[[#Headers],[RAT Ajustado]],tabImpostosNacionais[],2,0)</f>
        <v>0.04</v>
      </c>
      <c r="X13" s="233">
        <f>VLOOKUP(tabParametros[[#Headers],[SEBRAE]],tabImpostosNacionais[],2,0)</f>
        <v>6.0000000000000001E-3</v>
      </c>
      <c r="Y13" s="233">
        <f t="shared" si="0"/>
        <v>8.3333333333333329E-2</v>
      </c>
      <c r="Z13" s="233">
        <f t="shared" si="1"/>
        <v>0.1111111111111111</v>
      </c>
      <c r="AA13" s="232">
        <f>VLOOKUP(tabParametros[[#This Row],[Comarca]],tabComarca[],5,0)</f>
        <v>6.4</v>
      </c>
      <c r="AB13" s="232">
        <f>VLOOKUP(tabParametros[[#This Row],[CCT DA CATEGORIA]],tabSindicatos[],6,0)</f>
        <v>29.15</v>
      </c>
      <c r="AC13" s="232">
        <f>VLOOKUP(tabParametros[[#This Row],[CCT DA CATEGORIA]],tabSindicatos[],7,0)</f>
        <v>0</v>
      </c>
      <c r="AD13" s="232" cm="1">
        <f t="array" ref="AD1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3" s="232">
        <f>VLOOKUP(tabParametros[[#This Row],[CCT DA CATEGORIA]],tabSindicatos[],9,0)</f>
        <v>0</v>
      </c>
      <c r="AF13" s="232">
        <f>VLOOKUP(tabParametros[[#This Row],[CCT DA CATEGORIA]],tabSindicatos[],10,0)</f>
        <v>0</v>
      </c>
      <c r="AG13" s="234">
        <f>VLOOKUP(tabParametros[[#Headers],[Seguro de Vida]],tabOutrosCustos[],3,0)</f>
        <v>3.36</v>
      </c>
      <c r="AH13" s="234">
        <f>IF(ISNUMBER(SEARCH("MOTORISTA",tabParametros[[#This Row],[Função]],1)),VLOOKUP("MOTORISTAS",tabDiarias[],2,0),IF(tabParametros[[#This Row],[Comarca]]="Belo Horizonte",VLOOKUP("APOIO",tabDiarias[],2,0),0))</f>
        <v>0</v>
      </c>
      <c r="AI13" s="233">
        <f t="shared" si="2"/>
        <v>7.011766975308642E-3</v>
      </c>
      <c r="AJ13" s="235">
        <f>tabParametros[[#This Row],[FGTS]]*tabParametros[[#This Row],[Aviso Prévio Indenizado (API) e Reflexo do Aviso Prévio Indenizado]]</f>
        <v>5.609413580246914E-4</v>
      </c>
      <c r="AK13" s="235">
        <f>tabParametros[[#This Row],[FGTS]]*tabParametros[[#This Row],[Aviso Prévio Indenizado (API) e Reflexo do Aviso Prévio Indenizado]]*40%</f>
        <v>2.2437654320987658E-4</v>
      </c>
      <c r="AL13" s="233">
        <f t="shared" si="3"/>
        <v>3.5000000000000005E-3</v>
      </c>
      <c r="AM13" s="233">
        <f>tabParametros[[#This Row],[Aviso Prévio Trabalhado - APT]]*SUM(tabParametros[[#This Row],[INSS]:[SEBRAE]])</f>
        <v>1.3230000000000004E-3</v>
      </c>
      <c r="AN13" s="233">
        <f t="shared" si="4"/>
        <v>3.0577777777777773E-2</v>
      </c>
      <c r="AO13" s="233">
        <f t="shared" si="5"/>
        <v>8.3333333333333339E-4</v>
      </c>
      <c r="AP13" s="233">
        <f t="shared" si="6"/>
        <v>8.4444444444444437E-3</v>
      </c>
      <c r="AQ13" s="233">
        <f t="shared" si="7"/>
        <v>2.0277777777777777E-3</v>
      </c>
      <c r="AR13" s="233">
        <f t="shared" si="8"/>
        <v>1.7083333333333333E-4</v>
      </c>
      <c r="AS13" s="233">
        <f t="shared" si="9"/>
        <v>2.0833333333333335E-4</v>
      </c>
      <c r="AT13" s="233">
        <f t="shared" si="10"/>
        <v>1.2962962962962963E-3</v>
      </c>
      <c r="AU13" s="235">
        <f>SUM(tabParametros[[#This Row],[Ausência por Doença]:[Férias, Adicional de Férias e 13º  com empregada em gozo de Licença Maternidade]])*SUM(tabParametros[[#This Row],[INSS]:[SEBRAE]])</f>
        <v>4.5918250000000008E-3</v>
      </c>
      <c r="AV13"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13" s="232">
        <f>IF(tabParametros[[#This Row],[Vagas contratadas]]&gt;0,(SUM(tabParametros[[#This Row],[Salário Base]:[Adicional de Acúmulo de função]])*30%+SUM(tabParametros[[#This Row],[Vale - Alimentação]:[Seguro de Vida]]))/tabParametros[[#This Row],[Vagas contratadas]]*tabParametros[[#This Row],[Vagas suspensas]],0)</f>
        <v>0</v>
      </c>
      <c r="AX13" s="232">
        <f>SUMIF(tabUniformes[Cargo],tabParametros[[#This Row],[Função]],tabUniformes[Valor unit. Mensal])</f>
        <v>56.642978962543395</v>
      </c>
      <c r="AY1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 s="232">
        <v>0</v>
      </c>
      <c r="BC13" s="234" t="e">
        <f ca="1">VLOOKUP(tabParametros[[#Headers],[Custos Indiretos]],tabOutrosCustos[],3,0)</f>
        <v>#NAME?</v>
      </c>
      <c r="BD13" s="234" t="e">
        <f ca="1">VLOOKUP(tabParametros[[#Headers],[Lucro]],tabOutrosCustos[],3,0)</f>
        <v>#NAME?</v>
      </c>
      <c r="BE13" s="233">
        <f>VLOOKUP(tabParametros[[#Headers],[COFINS]],tabImpostosNacionais[],2,0)</f>
        <v>7.5999999999999998E-2</v>
      </c>
      <c r="BF13" s="233">
        <f>VLOOKUP(tabParametros[[#Headers],[PIS]],tabImpostosNacionais[],2,0)</f>
        <v>1.6500000000000001E-2</v>
      </c>
      <c r="BG13" s="233">
        <f>VLOOKUP(tabParametros[[#This Row],[Comarca]],tabComarca[],4,0)</f>
        <v>0.02</v>
      </c>
      <c r="BH13" s="236">
        <f>VLOOKUP(tabParametros[[#This Row],[CCT DA CATEGORIA]],tabSindicatos[],11,0)</f>
        <v>45658</v>
      </c>
      <c r="BI13" s="282" t="str">
        <f>VLOOKUP(tabParametros[[#This Row],[CCT DA CATEGORIA]],tabSindicatos[],12,0)</f>
        <v>-</v>
      </c>
      <c r="BJ13" s="285" t="str">
        <f>VLOOKUP(tabParametros[[#This Row],[CCT DA CATEGORIA]],tabSindicatos[],13,0)</f>
        <v>-</v>
      </c>
    </row>
    <row r="14" spans="1:62">
      <c r="A14" s="231" t="s">
        <v>1537</v>
      </c>
      <c r="B14" s="197" t="s">
        <v>1097</v>
      </c>
      <c r="C14" s="197" t="s">
        <v>314</v>
      </c>
      <c r="D14" s="197" t="str">
        <f>VLOOKUP(tabParametros[[#This Row],[Código do Posto]],tabPostos[],4,0)</f>
        <v>Regiao de Sao Lourenco</v>
      </c>
      <c r="E14" s="282" t="str">
        <f>VLOOKUP(tabParametros[[#This Row],[Código do Posto]],tabPostos[],5,0)</f>
        <v>Apoio</v>
      </c>
      <c r="F14" s="282" t="str">
        <f>VLOOKUP(tabParametros[[#This Row],[Código do Posto]],tabPostos[],6,0)</f>
        <v>PGJ</v>
      </c>
      <c r="G14" s="282">
        <f>VLOOKUP(tabParametros[[#This Row],[Código do Posto]],tabPostos[],7,0)</f>
        <v>1</v>
      </c>
      <c r="H14" s="282">
        <f>VLOOKUP(tabParametros[[#This Row],[Código do Posto]],tabPostos[],8,0)</f>
        <v>0</v>
      </c>
      <c r="I14" s="232">
        <f>VLOOKUP(tabParametros[[#This Row],[Código do Posto]],tabPostos[],9,0)</f>
        <v>1963.4050319620983</v>
      </c>
      <c r="J14" s="232">
        <f>IF(ISNUMBER(SEARCH("Eletricista",tabParametros[[#This Row],[Função]],1)),0.3*tabParametros[[#This Row],[Salário Base]],0)</f>
        <v>0</v>
      </c>
      <c r="K1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4" s="232">
        <f>IF(AND(ISNUMBER(SEARCH("Noturno",tabParametros[[#This Row],[Função]],1)),tabParametros[[#This Row],[Comarca]]&lt;&gt;"Juiz de Fora"),tabParametros[[#This Row],[Salário Base]]/210*0.39*7*15.5,IF(ISNUMBER(SEARCH("Noturno",tabParametros[[#This Row],[Função]],1)),tabParametros[[#This Row],[Salário Base]]/210*0.2*8*15.5,0))</f>
        <v>0</v>
      </c>
      <c r="M14" s="232">
        <f>IF(ISNUMBER(SEARCH("Motorista II",tabParametros[[#This Row],[Função]],1)),0.3022*tabParametros[[#This Row],[Salário Base]],0)</f>
        <v>0</v>
      </c>
      <c r="N14" s="254">
        <v>0</v>
      </c>
      <c r="O14" s="254">
        <f>IF(ISNUMBER(SEARCH("TECNOLOGIA DA INFORMACAO",tabParametros[[#This Row],[Função]],1)),0.056*tabParametros[[#This Row],[Salário Base]],0)</f>
        <v>0</v>
      </c>
      <c r="P14" s="232">
        <f>IF(tabParametros[[#This Row],[Função]]="Operador de Midia Audiovisual - 150 h",tabParametros[[#This Row],[Salário Base]]/150*50*30%,IF(tabParametros[[#This Row],[Função]]="Supervisor de Manutencao de Veiculos II - 220 h",12%*tabParametros[[#This Row],[Salário Base]],0))</f>
        <v>0</v>
      </c>
      <c r="Q14" s="233">
        <f>VLOOKUP(tabParametros[[#Headers],[INSS]],tabImpostosNacionais[],2,0)</f>
        <v>0.2</v>
      </c>
      <c r="R14" s="233">
        <f>VLOOKUP(tabParametros[[#Headers],[SESI OU SESC]],tabImpostosNacionais[],2,0)</f>
        <v>1.4999999999999999E-2</v>
      </c>
      <c r="S14" s="233">
        <f>VLOOKUP(tabParametros[[#Headers],[SENAI OU SENAC]],tabImpostosNacionais[],2,0)</f>
        <v>0.01</v>
      </c>
      <c r="T14" s="233">
        <f>VLOOKUP(tabParametros[[#Headers],[INCRA]],tabImpostosNacionais[],2,0)</f>
        <v>2E-3</v>
      </c>
      <c r="U14" s="233">
        <f>VLOOKUP(tabParametros[[#Headers],[Salário Educação]],tabImpostosNacionais[],2,0)</f>
        <v>2.5000000000000001E-2</v>
      </c>
      <c r="V14" s="233">
        <f>VLOOKUP(tabParametros[[#Headers],[FGTS]],tabImpostosNacionais[],2,0)</f>
        <v>0.08</v>
      </c>
      <c r="W14" s="233">
        <f>VLOOKUP(tabParametros[[#Headers],[RAT Ajustado]],tabImpostosNacionais[],2,0)</f>
        <v>0.04</v>
      </c>
      <c r="X14" s="233">
        <f>VLOOKUP(tabParametros[[#Headers],[SEBRAE]],tabImpostosNacionais[],2,0)</f>
        <v>6.0000000000000001E-3</v>
      </c>
      <c r="Y14" s="233">
        <f t="shared" si="0"/>
        <v>8.3333333333333329E-2</v>
      </c>
      <c r="Z14" s="233">
        <f t="shared" si="1"/>
        <v>0.1111111111111111</v>
      </c>
      <c r="AA14" s="232">
        <f>VLOOKUP(tabParametros[[#This Row],[Comarca]],tabComarca[],5,0)</f>
        <v>6.4</v>
      </c>
      <c r="AB14" s="232">
        <f>VLOOKUP(tabParametros[[#This Row],[CCT DA CATEGORIA]],tabSindicatos[],6,0)</f>
        <v>29.15</v>
      </c>
      <c r="AC14" s="232">
        <f>VLOOKUP(tabParametros[[#This Row],[CCT DA CATEGORIA]],tabSindicatos[],7,0)</f>
        <v>0</v>
      </c>
      <c r="AD14" s="232" cm="1">
        <f t="array" ref="AD1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4" s="232">
        <f>VLOOKUP(tabParametros[[#This Row],[CCT DA CATEGORIA]],tabSindicatos[],9,0)</f>
        <v>0</v>
      </c>
      <c r="AF14" s="232">
        <f>VLOOKUP(tabParametros[[#This Row],[CCT DA CATEGORIA]],tabSindicatos[],10,0)</f>
        <v>0</v>
      </c>
      <c r="AG14" s="234">
        <f>VLOOKUP(tabParametros[[#Headers],[Seguro de Vida]],tabOutrosCustos[],3,0)</f>
        <v>3.36</v>
      </c>
      <c r="AH14" s="234">
        <f>IF(ISNUMBER(SEARCH("MOTORISTA",tabParametros[[#This Row],[Função]],1)),VLOOKUP("MOTORISTAS",tabDiarias[],2,0),IF(tabParametros[[#This Row],[Comarca]]="Belo Horizonte",VLOOKUP("APOIO",tabDiarias[],2,0),0))</f>
        <v>0</v>
      </c>
      <c r="AI14" s="233">
        <f t="shared" si="2"/>
        <v>7.011766975308642E-3</v>
      </c>
      <c r="AJ14" s="235">
        <f>tabParametros[[#This Row],[FGTS]]*tabParametros[[#This Row],[Aviso Prévio Indenizado (API) e Reflexo do Aviso Prévio Indenizado]]</f>
        <v>5.609413580246914E-4</v>
      </c>
      <c r="AK14" s="235">
        <f>tabParametros[[#This Row],[FGTS]]*tabParametros[[#This Row],[Aviso Prévio Indenizado (API) e Reflexo do Aviso Prévio Indenizado]]*40%</f>
        <v>2.2437654320987658E-4</v>
      </c>
      <c r="AL14" s="233">
        <f t="shared" si="3"/>
        <v>3.5000000000000005E-3</v>
      </c>
      <c r="AM14" s="233">
        <f>tabParametros[[#This Row],[Aviso Prévio Trabalhado - APT]]*SUM(tabParametros[[#This Row],[INSS]:[SEBRAE]])</f>
        <v>1.3230000000000004E-3</v>
      </c>
      <c r="AN14" s="233">
        <f t="shared" si="4"/>
        <v>3.0577777777777773E-2</v>
      </c>
      <c r="AO14" s="233">
        <f t="shared" si="5"/>
        <v>8.3333333333333339E-4</v>
      </c>
      <c r="AP14" s="233">
        <f t="shared" si="6"/>
        <v>8.4444444444444437E-3</v>
      </c>
      <c r="AQ14" s="233">
        <f t="shared" si="7"/>
        <v>2.0277777777777777E-3</v>
      </c>
      <c r="AR14" s="233">
        <f t="shared" si="8"/>
        <v>1.7083333333333333E-4</v>
      </c>
      <c r="AS14" s="233">
        <f t="shared" si="9"/>
        <v>2.0833333333333335E-4</v>
      </c>
      <c r="AT14" s="233">
        <f t="shared" si="10"/>
        <v>1.2962962962962963E-3</v>
      </c>
      <c r="AU14" s="235">
        <f>SUM(tabParametros[[#This Row],[Ausência por Doença]:[Férias, Adicional de Férias e 13º  com empregada em gozo de Licença Maternidade]])*SUM(tabParametros[[#This Row],[INSS]:[SEBRAE]])</f>
        <v>4.5918250000000008E-3</v>
      </c>
      <c r="AV14"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14" s="232">
        <f>IF(tabParametros[[#This Row],[Vagas contratadas]]&gt;0,(SUM(tabParametros[[#This Row],[Salário Base]:[Adicional de Acúmulo de função]])*30%+SUM(tabParametros[[#This Row],[Vale - Alimentação]:[Seguro de Vida]]))/tabParametros[[#This Row],[Vagas contratadas]]*tabParametros[[#This Row],[Vagas suspensas]],0)</f>
        <v>0</v>
      </c>
      <c r="AX14" s="232">
        <f>SUMIF(tabUniformes[Cargo],tabParametros[[#This Row],[Função]],tabUniformes[Valor unit. Mensal])</f>
        <v>56.642978962543395</v>
      </c>
      <c r="AY1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 s="232">
        <v>0</v>
      </c>
      <c r="BC14" s="234" t="e">
        <f ca="1">VLOOKUP(tabParametros[[#Headers],[Custos Indiretos]],tabOutrosCustos[],3,0)</f>
        <v>#NAME?</v>
      </c>
      <c r="BD14" s="234" t="e">
        <f ca="1">VLOOKUP(tabParametros[[#Headers],[Lucro]],tabOutrosCustos[],3,0)</f>
        <v>#NAME?</v>
      </c>
      <c r="BE14" s="233">
        <f>VLOOKUP(tabParametros[[#Headers],[COFINS]],tabImpostosNacionais[],2,0)</f>
        <v>7.5999999999999998E-2</v>
      </c>
      <c r="BF14" s="233">
        <f>VLOOKUP(tabParametros[[#Headers],[PIS]],tabImpostosNacionais[],2,0)</f>
        <v>1.6500000000000001E-2</v>
      </c>
      <c r="BG14" s="233">
        <f>VLOOKUP(tabParametros[[#This Row],[Comarca]],tabComarca[],4,0)</f>
        <v>0.05</v>
      </c>
      <c r="BH14" s="236">
        <f>VLOOKUP(tabParametros[[#This Row],[CCT DA CATEGORIA]],tabSindicatos[],11,0)</f>
        <v>45658</v>
      </c>
      <c r="BI14" s="282" t="str">
        <f>VLOOKUP(tabParametros[[#This Row],[CCT DA CATEGORIA]],tabSindicatos[],12,0)</f>
        <v>-</v>
      </c>
      <c r="BJ14" s="285" t="str">
        <f>VLOOKUP(tabParametros[[#This Row],[CCT DA CATEGORIA]],tabSindicatos[],13,0)</f>
        <v>-</v>
      </c>
    </row>
    <row r="15" spans="1:62">
      <c r="A15" s="231" t="s">
        <v>1404</v>
      </c>
      <c r="B15" s="197" t="s">
        <v>1098</v>
      </c>
      <c r="C15" s="197" t="s">
        <v>200</v>
      </c>
      <c r="D15" s="197" t="str">
        <f>VLOOKUP(tabParametros[[#This Row],[Código do Posto]],tabPostos[],4,0)</f>
        <v>Alto Paranaiba</v>
      </c>
      <c r="E15" s="282" t="str">
        <f>VLOOKUP(tabParametros[[#This Row],[Código do Posto]],tabPostos[],5,0)</f>
        <v>Apoio</v>
      </c>
      <c r="F15" s="282" t="str">
        <f>VLOOKUP(tabParametros[[#This Row],[Código do Posto]],tabPostos[],6,0)</f>
        <v>PGJ</v>
      </c>
      <c r="G15" s="282">
        <f>VLOOKUP(tabParametros[[#This Row],[Código do Posto]],tabPostos[],7,0)</f>
        <v>3</v>
      </c>
      <c r="H15" s="282">
        <f>VLOOKUP(tabParametros[[#This Row],[Código do Posto]],tabPostos[],8,0)</f>
        <v>0</v>
      </c>
      <c r="I15" s="232">
        <f>VLOOKUP(tabParametros[[#This Row],[Código do Posto]],tabPostos[],9,0)</f>
        <v>1596.273808921236</v>
      </c>
      <c r="J15" s="232">
        <f>IF(ISNUMBER(SEARCH("Eletricista",tabParametros[[#This Row],[Função]],1)),0.3*tabParametros[[#This Row],[Salário Base]],0)</f>
        <v>0</v>
      </c>
      <c r="K1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5" s="232">
        <f>IF(AND(ISNUMBER(SEARCH("Noturno",tabParametros[[#This Row],[Função]],1)),tabParametros[[#This Row],[Comarca]]&lt;&gt;"Juiz de Fora"),tabParametros[[#This Row],[Salário Base]]/210*0.39*7*15.5,IF(ISNUMBER(SEARCH("Noturno",tabParametros[[#This Row],[Função]],1)),tabParametros[[#This Row],[Salário Base]]/210*0.2*8*15.5,0))</f>
        <v>0</v>
      </c>
      <c r="M15" s="232">
        <f>IF(ISNUMBER(SEARCH("Motorista II",tabParametros[[#This Row],[Função]],1)),0.3022*tabParametros[[#This Row],[Salário Base]],0)</f>
        <v>0</v>
      </c>
      <c r="N15" s="254">
        <v>0</v>
      </c>
      <c r="O15" s="254">
        <f>IF(ISNUMBER(SEARCH("TECNOLOGIA DA INFORMACAO",tabParametros[[#This Row],[Função]],1)),0.056*tabParametros[[#This Row],[Salário Base]],0)</f>
        <v>0</v>
      </c>
      <c r="P15" s="232">
        <f>IF(tabParametros[[#This Row],[Função]]="Operador de Midia Audiovisual - 150 h",tabParametros[[#This Row],[Salário Base]]/150*50*30%,IF(tabParametros[[#This Row],[Função]]="Supervisor de Manutencao de Veiculos II - 220 h",12%*tabParametros[[#This Row],[Salário Base]],0))</f>
        <v>0</v>
      </c>
      <c r="Q15" s="233">
        <f>VLOOKUP(tabParametros[[#Headers],[INSS]],tabImpostosNacionais[],2,0)</f>
        <v>0.2</v>
      </c>
      <c r="R15" s="233">
        <f>VLOOKUP(tabParametros[[#Headers],[SESI OU SESC]],tabImpostosNacionais[],2,0)</f>
        <v>1.4999999999999999E-2</v>
      </c>
      <c r="S15" s="233">
        <f>VLOOKUP(tabParametros[[#Headers],[SENAI OU SENAC]],tabImpostosNacionais[],2,0)</f>
        <v>0.01</v>
      </c>
      <c r="T15" s="233">
        <f>VLOOKUP(tabParametros[[#Headers],[INCRA]],tabImpostosNacionais[],2,0)</f>
        <v>2E-3</v>
      </c>
      <c r="U15" s="233">
        <f>VLOOKUP(tabParametros[[#Headers],[Salário Educação]],tabImpostosNacionais[],2,0)</f>
        <v>2.5000000000000001E-2</v>
      </c>
      <c r="V15" s="233">
        <f>VLOOKUP(tabParametros[[#Headers],[FGTS]],tabImpostosNacionais[],2,0)</f>
        <v>0.08</v>
      </c>
      <c r="W15" s="233">
        <f>VLOOKUP(tabParametros[[#Headers],[RAT Ajustado]],tabImpostosNacionais[],2,0)</f>
        <v>0.04</v>
      </c>
      <c r="X15" s="233">
        <f>VLOOKUP(tabParametros[[#Headers],[SEBRAE]],tabImpostosNacionais[],2,0)</f>
        <v>6.0000000000000001E-3</v>
      </c>
      <c r="Y15" s="233">
        <f t="shared" si="0"/>
        <v>8.3333333333333329E-2</v>
      </c>
      <c r="Z15" s="233">
        <f t="shared" si="1"/>
        <v>0.1111111111111111</v>
      </c>
      <c r="AA15" s="232">
        <f>VLOOKUP(tabParametros[[#This Row],[Comarca]],tabComarca[],5,0)</f>
        <v>6.4</v>
      </c>
      <c r="AB15" s="232">
        <f>VLOOKUP(tabParametros[[#This Row],[CCT DA CATEGORIA]],tabSindicatos[],6,0)</f>
        <v>0</v>
      </c>
      <c r="AC15" s="232">
        <f>VLOOKUP(tabParametros[[#This Row],[CCT DA CATEGORIA]],tabSindicatos[],7,0)</f>
        <v>387.79</v>
      </c>
      <c r="AD15" s="232" cm="1">
        <f t="array" ref="AD1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15" s="232">
        <f>VLOOKUP(tabParametros[[#This Row],[CCT DA CATEGORIA]],tabSindicatos[],9,0)</f>
        <v>0</v>
      </c>
      <c r="AF15" s="232">
        <f>VLOOKUP(tabParametros[[#This Row],[CCT DA CATEGORIA]],tabSindicatos[],10,0)</f>
        <v>0</v>
      </c>
      <c r="AG15" s="234">
        <f>VLOOKUP(tabParametros[[#Headers],[Seguro de Vida]],tabOutrosCustos[],3,0)</f>
        <v>3.36</v>
      </c>
      <c r="AH15" s="234">
        <f>IF(ISNUMBER(SEARCH("MOTORISTA",tabParametros[[#This Row],[Função]],1)),VLOOKUP("MOTORISTAS",tabDiarias[],2,0),IF(tabParametros[[#This Row],[Comarca]]="Belo Horizonte",VLOOKUP("APOIO",tabDiarias[],2,0),0))</f>
        <v>0</v>
      </c>
      <c r="AI15" s="233">
        <f t="shared" si="2"/>
        <v>7.011766975308642E-3</v>
      </c>
      <c r="AJ15" s="235">
        <f>tabParametros[[#This Row],[FGTS]]*tabParametros[[#This Row],[Aviso Prévio Indenizado (API) e Reflexo do Aviso Prévio Indenizado]]</f>
        <v>5.609413580246914E-4</v>
      </c>
      <c r="AK15" s="235">
        <f>tabParametros[[#This Row],[FGTS]]*tabParametros[[#This Row],[Aviso Prévio Indenizado (API) e Reflexo do Aviso Prévio Indenizado]]*40%</f>
        <v>2.2437654320987658E-4</v>
      </c>
      <c r="AL15" s="233">
        <f t="shared" si="3"/>
        <v>3.5000000000000005E-3</v>
      </c>
      <c r="AM15" s="233">
        <f>tabParametros[[#This Row],[Aviso Prévio Trabalhado - APT]]*SUM(tabParametros[[#This Row],[INSS]:[SEBRAE]])</f>
        <v>1.3230000000000004E-3</v>
      </c>
      <c r="AN15" s="233">
        <f t="shared" si="4"/>
        <v>3.0577777777777773E-2</v>
      </c>
      <c r="AO15" s="233">
        <f t="shared" si="5"/>
        <v>8.3333333333333339E-4</v>
      </c>
      <c r="AP15" s="233">
        <f t="shared" si="6"/>
        <v>8.4444444444444437E-3</v>
      </c>
      <c r="AQ15" s="233">
        <f t="shared" si="7"/>
        <v>2.0277777777777777E-3</v>
      </c>
      <c r="AR15" s="233">
        <f t="shared" si="8"/>
        <v>1.7083333333333333E-4</v>
      </c>
      <c r="AS15" s="233">
        <f t="shared" si="9"/>
        <v>2.0833333333333335E-4</v>
      </c>
      <c r="AT15" s="233">
        <f t="shared" si="10"/>
        <v>1.2962962962962963E-3</v>
      </c>
      <c r="AU15" s="235">
        <f>SUM(tabParametros[[#This Row],[Ausência por Doença]:[Férias, Adicional de Férias e 13º  com empregada em gozo de Licença Maternidade]])*SUM(tabParametros[[#This Row],[INSS]:[SEBRAE]])</f>
        <v>4.5918250000000008E-3</v>
      </c>
      <c r="AV15" s="254">
        <f>IF(tabParametros[[#This Row],[Função]]="Porteiro - 220 h",SUM(tabParametros[[#This Row],[Salário Base]:[Adicional de Acúmulo de função]])/220*20*1.5,IF(ISNUMBER(SEARCH("12 x 36",tabParametros[[#This Row],[Função]],1)),SUM(tabParametros[[#This Row],[Salário Base]:[Adicional de Acúmulo de função]])/210*15.5*1.5,0))</f>
        <v>0</v>
      </c>
      <c r="AW15" s="232">
        <f>IF(tabParametros[[#This Row],[Vagas contratadas]]&gt;0,(SUM(tabParametros[[#This Row],[Salário Base]:[Adicional de Acúmulo de função]])*30%+SUM(tabParametros[[#This Row],[Vale - Alimentação]:[Seguro de Vida]]))/tabParametros[[#This Row],[Vagas contratadas]]*tabParametros[[#This Row],[Vagas suspensas]],0)</f>
        <v>0</v>
      </c>
      <c r="AX15" s="232">
        <f>SUMIF(tabUniformes[Cargo],tabParametros[[#This Row],[Função]],tabUniformes[Valor unit. Mensal])</f>
        <v>56.141713661989918</v>
      </c>
      <c r="AY1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 s="232">
        <v>0</v>
      </c>
      <c r="BC15" s="234" t="e">
        <f ca="1">VLOOKUP(tabParametros[[#Headers],[Custos Indiretos]],tabOutrosCustos[],3,0)</f>
        <v>#NAME?</v>
      </c>
      <c r="BD15" s="234" t="e">
        <f ca="1">VLOOKUP(tabParametros[[#Headers],[Lucro]],tabOutrosCustos[],3,0)</f>
        <v>#NAME?</v>
      </c>
      <c r="BE15" s="233">
        <f>VLOOKUP(tabParametros[[#Headers],[COFINS]],tabImpostosNacionais[],2,0)</f>
        <v>7.5999999999999998E-2</v>
      </c>
      <c r="BF15" s="233">
        <f>VLOOKUP(tabParametros[[#Headers],[PIS]],tabImpostosNacionais[],2,0)</f>
        <v>1.6500000000000001E-2</v>
      </c>
      <c r="BG15" s="233">
        <f>VLOOKUP(tabParametros[[#This Row],[Comarca]],tabComarca[],4,0)</f>
        <v>0.03</v>
      </c>
      <c r="BH15" s="236">
        <f>VLOOKUP(tabParametros[[#This Row],[CCT DA CATEGORIA]],tabSindicatos[],11,0)</f>
        <v>45658</v>
      </c>
      <c r="BI15" s="282" t="str">
        <f>VLOOKUP(tabParametros[[#This Row],[CCT DA CATEGORIA]],tabSindicatos[],12,0)</f>
        <v>-</v>
      </c>
      <c r="BJ15" s="285" t="str">
        <f>VLOOKUP(tabParametros[[#This Row],[CCT DA CATEGORIA]],tabSindicatos[],13,0)</f>
        <v>-</v>
      </c>
    </row>
    <row r="16" spans="1:62">
      <c r="A16" s="231" t="s">
        <v>1538</v>
      </c>
      <c r="B16" s="197" t="s">
        <v>1098</v>
      </c>
      <c r="C16" s="197" t="s">
        <v>324</v>
      </c>
      <c r="D16" s="197" t="str">
        <f>VLOOKUP(tabParametros[[#This Row],[Código do Posto]],tabPostos[],4,0)</f>
        <v>Alto Paranaiba</v>
      </c>
      <c r="E16" s="282" t="str">
        <f>VLOOKUP(tabParametros[[#This Row],[Código do Posto]],tabPostos[],5,0)</f>
        <v>Apoio</v>
      </c>
      <c r="F16" s="282" t="str">
        <f>VLOOKUP(tabParametros[[#This Row],[Código do Posto]],tabPostos[],6,0)</f>
        <v>PGJ</v>
      </c>
      <c r="G16" s="282">
        <f>VLOOKUP(tabParametros[[#This Row],[Código do Posto]],tabPostos[],7,0)</f>
        <v>1</v>
      </c>
      <c r="H16" s="282">
        <f>VLOOKUP(tabParametros[[#This Row],[Código do Posto]],tabPostos[],8,0)</f>
        <v>0</v>
      </c>
      <c r="I16" s="232">
        <f>VLOOKUP(tabParametros[[#This Row],[Código do Posto]],tabPostos[],9,0)</f>
        <v>3397.130467372021</v>
      </c>
      <c r="J16" s="232">
        <f>IF(ISNUMBER(SEARCH("Eletricista",tabParametros[[#This Row],[Função]],1)),0.3*tabParametros[[#This Row],[Salário Base]],0)</f>
        <v>0</v>
      </c>
      <c r="K1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 s="232">
        <f>IF(AND(ISNUMBER(SEARCH("Noturno",tabParametros[[#This Row],[Função]],1)),tabParametros[[#This Row],[Comarca]]&lt;&gt;"Juiz de Fora"),tabParametros[[#This Row],[Salário Base]]/210*0.39*7*15.5,IF(ISNUMBER(SEARCH("Noturno",tabParametros[[#This Row],[Função]],1)),tabParametros[[#This Row],[Salário Base]]/210*0.2*8*15.5,0))</f>
        <v>0</v>
      </c>
      <c r="M16" s="232">
        <f>IF(ISNUMBER(SEARCH("Motorista II",tabParametros[[#This Row],[Função]],1)),0.3022*tabParametros[[#This Row],[Salário Base]],0)</f>
        <v>0</v>
      </c>
      <c r="N16" s="254">
        <v>0</v>
      </c>
      <c r="O16" s="254">
        <f>IF(ISNUMBER(SEARCH("TECNOLOGIA DA INFORMACAO",tabParametros[[#This Row],[Função]],1)),0.056*tabParametros[[#This Row],[Salário Base]],0)</f>
        <v>0</v>
      </c>
      <c r="P16" s="232">
        <f>IF(tabParametros[[#This Row],[Função]]="Operador de Midia Audiovisual - 150 h",tabParametros[[#This Row],[Salário Base]]/150*50*30%,IF(tabParametros[[#This Row],[Função]]="Supervisor de Manutencao de Veiculos II - 220 h",12%*tabParametros[[#This Row],[Salário Base]],0))</f>
        <v>0</v>
      </c>
      <c r="Q16" s="233">
        <f>VLOOKUP(tabParametros[[#Headers],[INSS]],tabImpostosNacionais[],2,0)</f>
        <v>0.2</v>
      </c>
      <c r="R16" s="233">
        <f>VLOOKUP(tabParametros[[#Headers],[SESI OU SESC]],tabImpostosNacionais[],2,0)</f>
        <v>1.4999999999999999E-2</v>
      </c>
      <c r="S16" s="233">
        <f>VLOOKUP(tabParametros[[#Headers],[SENAI OU SENAC]],tabImpostosNacionais[],2,0)</f>
        <v>0.01</v>
      </c>
      <c r="T16" s="233">
        <f>VLOOKUP(tabParametros[[#Headers],[INCRA]],tabImpostosNacionais[],2,0)</f>
        <v>2E-3</v>
      </c>
      <c r="U16" s="233">
        <f>VLOOKUP(tabParametros[[#Headers],[Salário Educação]],tabImpostosNacionais[],2,0)</f>
        <v>2.5000000000000001E-2</v>
      </c>
      <c r="V16" s="233">
        <f>VLOOKUP(tabParametros[[#Headers],[FGTS]],tabImpostosNacionais[],2,0)</f>
        <v>0.08</v>
      </c>
      <c r="W16" s="233">
        <f>VLOOKUP(tabParametros[[#Headers],[RAT Ajustado]],tabImpostosNacionais[],2,0)</f>
        <v>0.04</v>
      </c>
      <c r="X16" s="233">
        <f>VLOOKUP(tabParametros[[#Headers],[SEBRAE]],tabImpostosNacionais[],2,0)</f>
        <v>6.0000000000000001E-3</v>
      </c>
      <c r="Y16" s="233">
        <f t="shared" si="0"/>
        <v>8.3333333333333329E-2</v>
      </c>
      <c r="Z16" s="233">
        <f t="shared" si="1"/>
        <v>0.1111111111111111</v>
      </c>
      <c r="AA16" s="232">
        <f>VLOOKUP(tabParametros[[#This Row],[Comarca]],tabComarca[],5,0)</f>
        <v>6.4</v>
      </c>
      <c r="AB16" s="232">
        <f>VLOOKUP(tabParametros[[#This Row],[CCT DA CATEGORIA]],tabSindicatos[],6,0)</f>
        <v>0</v>
      </c>
      <c r="AC16" s="232">
        <f>VLOOKUP(tabParametros[[#This Row],[CCT DA CATEGORIA]],tabSindicatos[],7,0)</f>
        <v>387.79</v>
      </c>
      <c r="AD16" s="232" cm="1">
        <f t="array" ref="AD1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16" s="232">
        <f>VLOOKUP(tabParametros[[#This Row],[CCT DA CATEGORIA]],tabSindicatos[],9,0)</f>
        <v>0</v>
      </c>
      <c r="AF16" s="232">
        <f>VLOOKUP(tabParametros[[#This Row],[CCT DA CATEGORIA]],tabSindicatos[],10,0)</f>
        <v>0</v>
      </c>
      <c r="AG16" s="234">
        <f>VLOOKUP(tabParametros[[#Headers],[Seguro de Vida]],tabOutrosCustos[],3,0)</f>
        <v>3.36</v>
      </c>
      <c r="AH16" s="234">
        <f>IF(ISNUMBER(SEARCH("MOTORISTA",tabParametros[[#This Row],[Função]],1)),VLOOKUP("MOTORISTAS",tabDiarias[],2,0),IF(tabParametros[[#This Row],[Comarca]]="Belo Horizonte",VLOOKUP("APOIO",tabDiarias[],2,0),0))</f>
        <v>0</v>
      </c>
      <c r="AI16" s="233">
        <f t="shared" si="2"/>
        <v>7.011766975308642E-3</v>
      </c>
      <c r="AJ16" s="235">
        <f>tabParametros[[#This Row],[FGTS]]*tabParametros[[#This Row],[Aviso Prévio Indenizado (API) e Reflexo do Aviso Prévio Indenizado]]</f>
        <v>5.609413580246914E-4</v>
      </c>
      <c r="AK16" s="235">
        <f>tabParametros[[#This Row],[FGTS]]*tabParametros[[#This Row],[Aviso Prévio Indenizado (API) e Reflexo do Aviso Prévio Indenizado]]*40%</f>
        <v>2.2437654320987658E-4</v>
      </c>
      <c r="AL16" s="233">
        <f t="shared" si="3"/>
        <v>3.5000000000000005E-3</v>
      </c>
      <c r="AM16" s="233">
        <f>tabParametros[[#This Row],[Aviso Prévio Trabalhado - APT]]*SUM(tabParametros[[#This Row],[INSS]:[SEBRAE]])</f>
        <v>1.3230000000000004E-3</v>
      </c>
      <c r="AN16" s="233">
        <f t="shared" si="4"/>
        <v>3.0577777777777773E-2</v>
      </c>
      <c r="AO16" s="233">
        <f t="shared" si="5"/>
        <v>8.3333333333333339E-4</v>
      </c>
      <c r="AP16" s="233">
        <f t="shared" si="6"/>
        <v>8.4444444444444437E-3</v>
      </c>
      <c r="AQ16" s="233">
        <f t="shared" si="7"/>
        <v>2.0277777777777777E-3</v>
      </c>
      <c r="AR16" s="233">
        <f t="shared" si="8"/>
        <v>1.7083333333333333E-4</v>
      </c>
      <c r="AS16" s="233">
        <f t="shared" si="9"/>
        <v>2.0833333333333335E-4</v>
      </c>
      <c r="AT16" s="233">
        <f t="shared" si="10"/>
        <v>1.2962962962962963E-3</v>
      </c>
      <c r="AU16" s="235">
        <f>SUM(tabParametros[[#This Row],[Ausência por Doença]:[Férias, Adicional de Férias e 13º  com empregada em gozo de Licença Maternidade]])*SUM(tabParametros[[#This Row],[INSS]:[SEBRAE]])</f>
        <v>4.5918250000000008E-3</v>
      </c>
      <c r="AV16" s="254">
        <f>IF(tabParametros[[#This Row],[Função]]="Porteiro - 220 h",SUM(tabParametros[[#This Row],[Salário Base]:[Adicional de Acúmulo de função]])/220*20*1.5,IF(ISNUMBER(SEARCH("12 x 36",tabParametros[[#This Row],[Função]],1)),SUM(tabParametros[[#This Row],[Salário Base]:[Adicional de Acúmulo de função]])/210*15.5*1.5,0))</f>
        <v>0</v>
      </c>
      <c r="AW16" s="232">
        <f>IF(tabParametros[[#This Row],[Vagas contratadas]]&gt;0,(SUM(tabParametros[[#This Row],[Salário Base]:[Adicional de Acúmulo de função]])*30%+SUM(tabParametros[[#This Row],[Vale - Alimentação]:[Seguro de Vida]]))/tabParametros[[#This Row],[Vagas contratadas]]*tabParametros[[#This Row],[Vagas suspensas]],0)</f>
        <v>0</v>
      </c>
      <c r="AX16" s="232">
        <f>SUMIF(tabUniformes[Cargo],tabParametros[[#This Row],[Função]],tabUniformes[Valor unit. Mensal])</f>
        <v>56.642978962543395</v>
      </c>
      <c r="AY1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 s="232">
        <v>0</v>
      </c>
      <c r="BC16" s="234" t="e">
        <f ca="1">VLOOKUP(tabParametros[[#Headers],[Custos Indiretos]],tabOutrosCustos[],3,0)</f>
        <v>#NAME?</v>
      </c>
      <c r="BD16" s="234" t="e">
        <f ca="1">VLOOKUP(tabParametros[[#Headers],[Lucro]],tabOutrosCustos[],3,0)</f>
        <v>#NAME?</v>
      </c>
      <c r="BE16" s="233">
        <f>VLOOKUP(tabParametros[[#Headers],[COFINS]],tabImpostosNacionais[],2,0)</f>
        <v>7.5999999999999998E-2</v>
      </c>
      <c r="BF16" s="233">
        <f>VLOOKUP(tabParametros[[#Headers],[PIS]],tabImpostosNacionais[],2,0)</f>
        <v>1.6500000000000001E-2</v>
      </c>
      <c r="BG16" s="233">
        <f>VLOOKUP(tabParametros[[#This Row],[Comarca]],tabComarca[],4,0)</f>
        <v>0.03</v>
      </c>
      <c r="BH16" s="236">
        <f>VLOOKUP(tabParametros[[#This Row],[CCT DA CATEGORIA]],tabSindicatos[],11,0)</f>
        <v>45658</v>
      </c>
      <c r="BI16" s="282" t="str">
        <f>VLOOKUP(tabParametros[[#This Row],[CCT DA CATEGORIA]],tabSindicatos[],12,0)</f>
        <v>-</v>
      </c>
      <c r="BJ16" s="285" t="str">
        <f>VLOOKUP(tabParametros[[#This Row],[CCT DA CATEGORIA]],tabSindicatos[],13,0)</f>
        <v>-</v>
      </c>
    </row>
    <row r="17" spans="1:62">
      <c r="A17" s="231" t="s">
        <v>1539</v>
      </c>
      <c r="B17" s="197" t="s">
        <v>902</v>
      </c>
      <c r="C17" s="197" t="s">
        <v>274</v>
      </c>
      <c r="D17" s="197" t="str">
        <f>VLOOKUP(tabParametros[[#This Row],[Código do Posto]],tabPostos[],4,0)</f>
        <v>Rodoviarios de Araxa + SEAC-MG</v>
      </c>
      <c r="E17" s="282" t="str">
        <f>VLOOKUP(tabParametros[[#This Row],[Código do Posto]],tabPostos[],5,0)</f>
        <v>Apoio</v>
      </c>
      <c r="F17" s="282" t="str">
        <f>VLOOKUP(tabParametros[[#This Row],[Código do Posto]],tabPostos[],6,0)</f>
        <v>PGJ</v>
      </c>
      <c r="G17" s="282">
        <f>VLOOKUP(tabParametros[[#This Row],[Código do Posto]],tabPostos[],7,0)</f>
        <v>1</v>
      </c>
      <c r="H17" s="282">
        <f>VLOOKUP(tabParametros[[#This Row],[Código do Posto]],tabPostos[],8,0)</f>
        <v>0</v>
      </c>
      <c r="I17" s="232">
        <f>VLOOKUP(tabParametros[[#This Row],[Código do Posto]],tabPostos[],9,0)</f>
        <v>4380.5698893120352</v>
      </c>
      <c r="J17" s="232">
        <f>IF(ISNUMBER(SEARCH("Eletricista",tabParametros[[#This Row],[Função]],1)),0.3*tabParametros[[#This Row],[Salário Base]],0)</f>
        <v>0</v>
      </c>
      <c r="K1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 s="232">
        <f>IF(AND(ISNUMBER(SEARCH("Noturno",tabParametros[[#This Row],[Função]],1)),tabParametros[[#This Row],[Comarca]]&lt;&gt;"Juiz de Fora"),tabParametros[[#This Row],[Salário Base]]/210*0.39*7*15.5,IF(ISNUMBER(SEARCH("Noturno",tabParametros[[#This Row],[Função]],1)),tabParametros[[#This Row],[Salário Base]]/210*0.2*8*15.5,0))</f>
        <v>0</v>
      </c>
      <c r="M17" s="232">
        <f>IF(ISNUMBER(SEARCH("Motorista II",tabParametros[[#This Row],[Função]],1)),0.3022*tabParametros[[#This Row],[Salário Base]],0)</f>
        <v>0</v>
      </c>
      <c r="N17" s="254">
        <v>0</v>
      </c>
      <c r="O17" s="254">
        <f>IF(ISNUMBER(SEARCH("TECNOLOGIA DA INFORMACAO",tabParametros[[#This Row],[Função]],1)),0.056*tabParametros[[#This Row],[Salário Base]],0)</f>
        <v>0</v>
      </c>
      <c r="P17" s="232">
        <f>IF(tabParametros[[#This Row],[Função]]="Operador de Midia Audiovisual - 150 h",tabParametros[[#This Row],[Salário Base]]/150*50*30%,IF(tabParametros[[#This Row],[Função]]="Supervisor de Manutencao de Veiculos II - 220 h",12%*tabParametros[[#This Row],[Salário Base]],0))</f>
        <v>0</v>
      </c>
      <c r="Q17" s="233">
        <f>VLOOKUP(tabParametros[[#Headers],[INSS]],tabImpostosNacionais[],2,0)</f>
        <v>0.2</v>
      </c>
      <c r="R17" s="233">
        <f>VLOOKUP(tabParametros[[#Headers],[SESI OU SESC]],tabImpostosNacionais[],2,0)</f>
        <v>1.4999999999999999E-2</v>
      </c>
      <c r="S17" s="233">
        <f>VLOOKUP(tabParametros[[#Headers],[SENAI OU SENAC]],tabImpostosNacionais[],2,0)</f>
        <v>0.01</v>
      </c>
      <c r="T17" s="233">
        <f>VLOOKUP(tabParametros[[#Headers],[INCRA]],tabImpostosNacionais[],2,0)</f>
        <v>2E-3</v>
      </c>
      <c r="U17" s="233">
        <f>VLOOKUP(tabParametros[[#Headers],[Salário Educação]],tabImpostosNacionais[],2,0)</f>
        <v>2.5000000000000001E-2</v>
      </c>
      <c r="V17" s="233">
        <f>VLOOKUP(tabParametros[[#Headers],[FGTS]],tabImpostosNacionais[],2,0)</f>
        <v>0.08</v>
      </c>
      <c r="W17" s="233">
        <f>VLOOKUP(tabParametros[[#Headers],[RAT Ajustado]],tabImpostosNacionais[],2,0)</f>
        <v>0.04</v>
      </c>
      <c r="X17" s="233">
        <f>VLOOKUP(tabParametros[[#Headers],[SEBRAE]],tabImpostosNacionais[],2,0)</f>
        <v>6.0000000000000001E-3</v>
      </c>
      <c r="Y17" s="233">
        <f t="shared" si="0"/>
        <v>8.3333333333333329E-2</v>
      </c>
      <c r="Z17" s="233">
        <f t="shared" si="1"/>
        <v>0.1111111111111111</v>
      </c>
      <c r="AA17" s="232">
        <f>VLOOKUP(tabParametros[[#This Row],[Comarca]],tabComarca[],5,0)</f>
        <v>6.4</v>
      </c>
      <c r="AB17" s="232">
        <f>VLOOKUP(tabParametros[[#This Row],[CCT DA CATEGORIA]],tabSindicatos[],6,0)</f>
        <v>28.97</v>
      </c>
      <c r="AC17" s="232">
        <f>VLOOKUP(tabParametros[[#This Row],[CCT DA CATEGORIA]],tabSindicatos[],7,0)</f>
        <v>0</v>
      </c>
      <c r="AD17" s="232" cm="1">
        <f t="array" ref="AD1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7" s="232">
        <f>VLOOKUP(tabParametros[[#This Row],[CCT DA CATEGORIA]],tabSindicatos[],9,0)</f>
        <v>0</v>
      </c>
      <c r="AF17" s="232">
        <f>VLOOKUP(tabParametros[[#This Row],[CCT DA CATEGORIA]],tabSindicatos[],10,0)</f>
        <v>0</v>
      </c>
      <c r="AG17" s="234">
        <f>VLOOKUP(tabParametros[[#Headers],[Seguro de Vida]],tabOutrosCustos[],3,0)</f>
        <v>3.36</v>
      </c>
      <c r="AH17" s="234">
        <f>IF(ISNUMBER(SEARCH("MOTORISTA",tabParametros[[#This Row],[Função]],1)),VLOOKUP("MOTORISTAS",tabDiarias[],2,0),IF(tabParametros[[#This Row],[Comarca]]="Belo Horizonte",VLOOKUP("APOIO",tabDiarias[],2,0),0))</f>
        <v>662.42</v>
      </c>
      <c r="AI17" s="233">
        <f t="shared" si="2"/>
        <v>7.011766975308642E-3</v>
      </c>
      <c r="AJ17" s="235">
        <f>tabParametros[[#This Row],[FGTS]]*tabParametros[[#This Row],[Aviso Prévio Indenizado (API) e Reflexo do Aviso Prévio Indenizado]]</f>
        <v>5.609413580246914E-4</v>
      </c>
      <c r="AK17" s="235">
        <f>tabParametros[[#This Row],[FGTS]]*tabParametros[[#This Row],[Aviso Prévio Indenizado (API) e Reflexo do Aviso Prévio Indenizado]]*40%</f>
        <v>2.2437654320987658E-4</v>
      </c>
      <c r="AL17" s="233">
        <f t="shared" si="3"/>
        <v>3.5000000000000005E-3</v>
      </c>
      <c r="AM17" s="233">
        <f>tabParametros[[#This Row],[Aviso Prévio Trabalhado - APT]]*SUM(tabParametros[[#This Row],[INSS]:[SEBRAE]])</f>
        <v>1.3230000000000004E-3</v>
      </c>
      <c r="AN17" s="233">
        <f t="shared" si="4"/>
        <v>3.0577777777777773E-2</v>
      </c>
      <c r="AO17" s="233">
        <f t="shared" si="5"/>
        <v>8.3333333333333339E-4</v>
      </c>
      <c r="AP17" s="233">
        <f t="shared" si="6"/>
        <v>8.4444444444444437E-3</v>
      </c>
      <c r="AQ17" s="233">
        <f t="shared" si="7"/>
        <v>2.0277777777777777E-3</v>
      </c>
      <c r="AR17" s="233">
        <f t="shared" si="8"/>
        <v>1.7083333333333333E-4</v>
      </c>
      <c r="AS17" s="233">
        <f t="shared" si="9"/>
        <v>2.0833333333333335E-4</v>
      </c>
      <c r="AT17" s="233">
        <f t="shared" si="10"/>
        <v>1.2962962962962963E-3</v>
      </c>
      <c r="AU17" s="235">
        <f>SUM(tabParametros[[#This Row],[Ausência por Doença]:[Férias, Adicional de Férias e 13º  com empregada em gozo de Licença Maternidade]])*SUM(tabParametros[[#This Row],[INSS]:[SEBRAE]])</f>
        <v>4.5918250000000008E-3</v>
      </c>
      <c r="AV17" s="254">
        <f>IF(tabParametros[[#This Row],[Função]]="Porteiro - 220 h",SUM(tabParametros[[#This Row],[Salário Base]:[Adicional de Acúmulo de função]])/220*20*1.5,IF(ISNUMBER(SEARCH("12 x 36",tabParametros[[#This Row],[Função]],1)),SUM(tabParametros[[#This Row],[Salário Base]:[Adicional de Acúmulo de função]])/210*15.5*1.5,0))</f>
        <v>0</v>
      </c>
      <c r="AW17" s="232">
        <f>IF(tabParametros[[#This Row],[Vagas contratadas]]&gt;0,(SUM(tabParametros[[#This Row],[Salário Base]:[Adicional de Acúmulo de função]])*30%+SUM(tabParametros[[#This Row],[Vale - Alimentação]:[Seguro de Vida]]))/tabParametros[[#This Row],[Vagas contratadas]]*tabParametros[[#This Row],[Vagas suspensas]],0)</f>
        <v>0</v>
      </c>
      <c r="AX17" s="232">
        <f>SUMIF(tabUniformes[Cargo],tabParametros[[#This Row],[Função]],tabUniformes[Valor unit. Mensal])</f>
        <v>92.100763771570698</v>
      </c>
      <c r="AY1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 s="232">
        <v>0</v>
      </c>
      <c r="BC17" s="234" t="e">
        <f ca="1">VLOOKUP(tabParametros[[#Headers],[Custos Indiretos]],tabOutrosCustos[],3,0)</f>
        <v>#NAME?</v>
      </c>
      <c r="BD17" s="234" t="e">
        <f ca="1">VLOOKUP(tabParametros[[#Headers],[Lucro]],tabOutrosCustos[],3,0)</f>
        <v>#NAME?</v>
      </c>
      <c r="BE17" s="233">
        <f>VLOOKUP(tabParametros[[#Headers],[COFINS]],tabImpostosNacionais[],2,0)</f>
        <v>7.5999999999999998E-2</v>
      </c>
      <c r="BF17" s="233">
        <f>VLOOKUP(tabParametros[[#Headers],[PIS]],tabImpostosNacionais[],2,0)</f>
        <v>1.6500000000000001E-2</v>
      </c>
      <c r="BG17" s="233">
        <f>VLOOKUP(tabParametros[[#This Row],[Comarca]],tabComarca[],4,0)</f>
        <v>0.02</v>
      </c>
      <c r="BH17" s="236">
        <f>VLOOKUP(tabParametros[[#This Row],[CCT DA CATEGORIA]],tabSindicatos[],11,0)</f>
        <v>45658</v>
      </c>
      <c r="BI17" s="282" t="str">
        <f>VLOOKUP(tabParametros[[#This Row],[CCT DA CATEGORIA]],tabSindicatos[],12,0)</f>
        <v>-</v>
      </c>
      <c r="BJ17" s="285" t="str">
        <f>VLOOKUP(tabParametros[[#This Row],[CCT DA CATEGORIA]],tabSindicatos[],13,0)</f>
        <v>-</v>
      </c>
    </row>
    <row r="18" spans="1:62">
      <c r="A18" s="231" t="s">
        <v>1540</v>
      </c>
      <c r="B18" s="197" t="s">
        <v>902</v>
      </c>
      <c r="C18" s="197" t="s">
        <v>319</v>
      </c>
      <c r="D18" s="197" t="str">
        <f>VLOOKUP(tabParametros[[#This Row],[Código do Posto]],tabPostos[],4,0)</f>
        <v>Araxa</v>
      </c>
      <c r="E18" s="282" t="str">
        <f>VLOOKUP(tabParametros[[#This Row],[Código do Posto]],tabPostos[],5,0)</f>
        <v>Apoio</v>
      </c>
      <c r="F18" s="282" t="str">
        <f>VLOOKUP(tabParametros[[#This Row],[Código do Posto]],tabPostos[],6,0)</f>
        <v>PGJ</v>
      </c>
      <c r="G18" s="282">
        <f>VLOOKUP(tabParametros[[#This Row],[Código do Posto]],tabPostos[],7,0)</f>
        <v>1</v>
      </c>
      <c r="H18" s="282">
        <f>VLOOKUP(tabParametros[[#This Row],[Código do Posto]],tabPostos[],8,0)</f>
        <v>0</v>
      </c>
      <c r="I18" s="232">
        <f>VLOOKUP(tabParametros[[#This Row],[Código do Posto]],tabPostos[],9,0)</f>
        <v>2316.2296840668359</v>
      </c>
      <c r="J18" s="232">
        <f>IF(ISNUMBER(SEARCH("Eletricista",tabParametros[[#This Row],[Função]],1)),0.3*tabParametros[[#This Row],[Salário Base]],0)</f>
        <v>0</v>
      </c>
      <c r="K1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 s="232">
        <f>IF(AND(ISNUMBER(SEARCH("Noturno",tabParametros[[#This Row],[Função]],1)),tabParametros[[#This Row],[Comarca]]&lt;&gt;"Juiz de Fora"),tabParametros[[#This Row],[Salário Base]]/210*0.39*7*15.5,IF(ISNUMBER(SEARCH("Noturno",tabParametros[[#This Row],[Função]],1)),tabParametros[[#This Row],[Salário Base]]/210*0.2*8*15.5,0))</f>
        <v>0</v>
      </c>
      <c r="M18" s="232">
        <f>IF(ISNUMBER(SEARCH("Motorista II",tabParametros[[#This Row],[Função]],1)),0.3022*tabParametros[[#This Row],[Salário Base]],0)</f>
        <v>0</v>
      </c>
      <c r="N18" s="254">
        <v>0</v>
      </c>
      <c r="O18" s="254">
        <f>IF(ISNUMBER(SEARCH("TECNOLOGIA DA INFORMACAO",tabParametros[[#This Row],[Função]],1)),0.056*tabParametros[[#This Row],[Salário Base]],0)</f>
        <v>0</v>
      </c>
      <c r="P18" s="232">
        <f>IF(tabParametros[[#This Row],[Função]]="Operador de Midia Audiovisual - 150 h",tabParametros[[#This Row],[Salário Base]]/150*50*30%,IF(tabParametros[[#This Row],[Função]]="Supervisor de Manutencao de Veiculos II - 220 h",12%*tabParametros[[#This Row],[Salário Base]],0))</f>
        <v>0</v>
      </c>
      <c r="Q18" s="233">
        <f>VLOOKUP(tabParametros[[#Headers],[INSS]],tabImpostosNacionais[],2,0)</f>
        <v>0.2</v>
      </c>
      <c r="R18" s="233">
        <f>VLOOKUP(tabParametros[[#Headers],[SESI OU SESC]],tabImpostosNacionais[],2,0)</f>
        <v>1.4999999999999999E-2</v>
      </c>
      <c r="S18" s="233">
        <f>VLOOKUP(tabParametros[[#Headers],[SENAI OU SENAC]],tabImpostosNacionais[],2,0)</f>
        <v>0.01</v>
      </c>
      <c r="T18" s="233">
        <f>VLOOKUP(tabParametros[[#Headers],[INCRA]],tabImpostosNacionais[],2,0)</f>
        <v>2E-3</v>
      </c>
      <c r="U18" s="233">
        <f>VLOOKUP(tabParametros[[#Headers],[Salário Educação]],tabImpostosNacionais[],2,0)</f>
        <v>2.5000000000000001E-2</v>
      </c>
      <c r="V18" s="233">
        <f>VLOOKUP(tabParametros[[#Headers],[FGTS]],tabImpostosNacionais[],2,0)</f>
        <v>0.08</v>
      </c>
      <c r="W18" s="233">
        <f>VLOOKUP(tabParametros[[#Headers],[RAT Ajustado]],tabImpostosNacionais[],2,0)</f>
        <v>0.04</v>
      </c>
      <c r="X18" s="233">
        <f>VLOOKUP(tabParametros[[#Headers],[SEBRAE]],tabImpostosNacionais[],2,0)</f>
        <v>6.0000000000000001E-3</v>
      </c>
      <c r="Y18" s="233">
        <f t="shared" si="0"/>
        <v>8.3333333333333329E-2</v>
      </c>
      <c r="Z18" s="233">
        <f t="shared" si="1"/>
        <v>0.1111111111111111</v>
      </c>
      <c r="AA18" s="232">
        <f>VLOOKUP(tabParametros[[#This Row],[Comarca]],tabComarca[],5,0)</f>
        <v>6.4</v>
      </c>
      <c r="AB18" s="232">
        <f>VLOOKUP(tabParametros[[#This Row],[CCT DA CATEGORIA]],tabSindicatos[],6,0)</f>
        <v>29.15</v>
      </c>
      <c r="AC18" s="232">
        <f>VLOOKUP(tabParametros[[#This Row],[CCT DA CATEGORIA]],tabSindicatos[],7,0)</f>
        <v>0</v>
      </c>
      <c r="AD18" s="232" cm="1">
        <f t="array" ref="AD1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58.96</v>
      </c>
      <c r="AE18" s="232">
        <f>VLOOKUP(tabParametros[[#This Row],[CCT DA CATEGORIA]],tabSindicatos[],9,0)</f>
        <v>0</v>
      </c>
      <c r="AF18" s="232">
        <f>VLOOKUP(tabParametros[[#This Row],[CCT DA CATEGORIA]],tabSindicatos[],10,0)</f>
        <v>0</v>
      </c>
      <c r="AG18" s="234">
        <f>VLOOKUP(tabParametros[[#Headers],[Seguro de Vida]],tabOutrosCustos[],3,0)</f>
        <v>3.36</v>
      </c>
      <c r="AH18" s="234">
        <f>IF(ISNUMBER(SEARCH("MOTORISTA",tabParametros[[#This Row],[Função]],1)),VLOOKUP("MOTORISTAS",tabDiarias[],2,0),IF(tabParametros[[#This Row],[Comarca]]="Belo Horizonte",VLOOKUP("APOIO",tabDiarias[],2,0),0))</f>
        <v>0</v>
      </c>
      <c r="AI18" s="233">
        <f t="shared" si="2"/>
        <v>7.011766975308642E-3</v>
      </c>
      <c r="AJ18" s="235">
        <f>tabParametros[[#This Row],[FGTS]]*tabParametros[[#This Row],[Aviso Prévio Indenizado (API) e Reflexo do Aviso Prévio Indenizado]]</f>
        <v>5.609413580246914E-4</v>
      </c>
      <c r="AK18" s="235">
        <f>tabParametros[[#This Row],[FGTS]]*tabParametros[[#This Row],[Aviso Prévio Indenizado (API) e Reflexo do Aviso Prévio Indenizado]]*40%</f>
        <v>2.2437654320987658E-4</v>
      </c>
      <c r="AL18" s="233">
        <f t="shared" si="3"/>
        <v>3.5000000000000005E-3</v>
      </c>
      <c r="AM18" s="233">
        <f>tabParametros[[#This Row],[Aviso Prévio Trabalhado - APT]]*SUM(tabParametros[[#This Row],[INSS]:[SEBRAE]])</f>
        <v>1.3230000000000004E-3</v>
      </c>
      <c r="AN18" s="233">
        <f t="shared" si="4"/>
        <v>3.0577777777777773E-2</v>
      </c>
      <c r="AO18" s="233">
        <f t="shared" si="5"/>
        <v>8.3333333333333339E-4</v>
      </c>
      <c r="AP18" s="233">
        <f t="shared" si="6"/>
        <v>8.4444444444444437E-3</v>
      </c>
      <c r="AQ18" s="233">
        <f t="shared" si="7"/>
        <v>2.0277777777777777E-3</v>
      </c>
      <c r="AR18" s="233">
        <f t="shared" si="8"/>
        <v>1.7083333333333333E-4</v>
      </c>
      <c r="AS18" s="233">
        <f t="shared" si="9"/>
        <v>2.0833333333333335E-4</v>
      </c>
      <c r="AT18" s="233">
        <f t="shared" si="10"/>
        <v>1.2962962962962963E-3</v>
      </c>
      <c r="AU18" s="235">
        <f>SUM(tabParametros[[#This Row],[Ausência por Doença]:[Férias, Adicional de Férias e 13º  com empregada em gozo de Licença Maternidade]])*SUM(tabParametros[[#This Row],[INSS]:[SEBRAE]])</f>
        <v>4.5918250000000008E-3</v>
      </c>
      <c r="AV18" s="254">
        <f>IF(tabParametros[[#This Row],[Função]]="Porteiro - 220 h",SUM(tabParametros[[#This Row],[Salário Base]:[Adicional de Acúmulo de função]])/220*20*1.5,IF(ISNUMBER(SEARCH("12 x 36",tabParametros[[#This Row],[Função]],1)),SUM(tabParametros[[#This Row],[Salário Base]:[Adicional de Acúmulo de função]])/210*15.5*1.5,0))</f>
        <v>0</v>
      </c>
      <c r="AW18" s="232">
        <f>IF(tabParametros[[#This Row],[Vagas contratadas]]&gt;0,(SUM(tabParametros[[#This Row],[Salário Base]:[Adicional de Acúmulo de função]])*30%+SUM(tabParametros[[#This Row],[Vale - Alimentação]:[Seguro de Vida]]))/tabParametros[[#This Row],[Vagas contratadas]]*tabParametros[[#This Row],[Vagas suspensas]],0)</f>
        <v>0</v>
      </c>
      <c r="AX18" s="232">
        <f>SUMIF(tabUniformes[Cargo],tabParametros[[#This Row],[Função]],tabUniformes[Valor unit. Mensal])</f>
        <v>56.642978962543395</v>
      </c>
      <c r="AY1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 s="232">
        <v>0</v>
      </c>
      <c r="BC18" s="234" t="e">
        <f ca="1">VLOOKUP(tabParametros[[#Headers],[Custos Indiretos]],tabOutrosCustos[],3,0)</f>
        <v>#NAME?</v>
      </c>
      <c r="BD18" s="234" t="e">
        <f ca="1">VLOOKUP(tabParametros[[#Headers],[Lucro]],tabOutrosCustos[],3,0)</f>
        <v>#NAME?</v>
      </c>
      <c r="BE18" s="233">
        <f>VLOOKUP(tabParametros[[#Headers],[COFINS]],tabImpostosNacionais[],2,0)</f>
        <v>7.5999999999999998E-2</v>
      </c>
      <c r="BF18" s="233">
        <f>VLOOKUP(tabParametros[[#Headers],[PIS]],tabImpostosNacionais[],2,0)</f>
        <v>1.6500000000000001E-2</v>
      </c>
      <c r="BG18" s="233">
        <f>VLOOKUP(tabParametros[[#This Row],[Comarca]],tabComarca[],4,0)</f>
        <v>0.02</v>
      </c>
      <c r="BH18" s="236">
        <f>VLOOKUP(tabParametros[[#This Row],[CCT DA CATEGORIA]],tabSindicatos[],11,0)</f>
        <v>45658</v>
      </c>
      <c r="BI18" s="282" t="str">
        <f>VLOOKUP(tabParametros[[#This Row],[CCT DA CATEGORIA]],tabSindicatos[],12,0)</f>
        <v>-</v>
      </c>
      <c r="BJ18" s="285" t="str">
        <f>VLOOKUP(tabParametros[[#This Row],[CCT DA CATEGORIA]],tabSindicatos[],13,0)</f>
        <v>-</v>
      </c>
    </row>
    <row r="19" spans="1:62">
      <c r="A19" s="231" t="s">
        <v>1541</v>
      </c>
      <c r="B19" s="197" t="s">
        <v>902</v>
      </c>
      <c r="C19" s="197" t="s">
        <v>324</v>
      </c>
      <c r="D19" s="197" t="str">
        <f>VLOOKUP(tabParametros[[#This Row],[Código do Posto]],tabPostos[],4,0)</f>
        <v>Araxa</v>
      </c>
      <c r="E19" s="282" t="str">
        <f>VLOOKUP(tabParametros[[#This Row],[Código do Posto]],tabPostos[],5,0)</f>
        <v>Apoio</v>
      </c>
      <c r="F19" s="282" t="str">
        <f>VLOOKUP(tabParametros[[#This Row],[Código do Posto]],tabPostos[],6,0)</f>
        <v>PGJ</v>
      </c>
      <c r="G19" s="282">
        <f>VLOOKUP(tabParametros[[#This Row],[Código do Posto]],tabPostos[],7,0)</f>
        <v>1</v>
      </c>
      <c r="H19" s="282">
        <f>VLOOKUP(tabParametros[[#This Row],[Código do Posto]],tabPostos[],8,0)</f>
        <v>0</v>
      </c>
      <c r="I19" s="232">
        <f>VLOOKUP(tabParametros[[#This Row],[Código do Posto]],tabPostos[],9,0)</f>
        <v>3397.1306016921476</v>
      </c>
      <c r="J19" s="232">
        <f>IF(ISNUMBER(SEARCH("Eletricista",tabParametros[[#This Row],[Função]],1)),0.3*tabParametros[[#This Row],[Salário Base]],0)</f>
        <v>0</v>
      </c>
      <c r="K1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9" s="232">
        <f>IF(AND(ISNUMBER(SEARCH("Noturno",tabParametros[[#This Row],[Função]],1)),tabParametros[[#This Row],[Comarca]]&lt;&gt;"Juiz de Fora"),tabParametros[[#This Row],[Salário Base]]/210*0.39*7*15.5,IF(ISNUMBER(SEARCH("Noturno",tabParametros[[#This Row],[Função]],1)),tabParametros[[#This Row],[Salário Base]]/210*0.2*8*15.5,0))</f>
        <v>0</v>
      </c>
      <c r="M19" s="232">
        <f>IF(ISNUMBER(SEARCH("Motorista II",tabParametros[[#This Row],[Função]],1)),0.3022*tabParametros[[#This Row],[Salário Base]],0)</f>
        <v>0</v>
      </c>
      <c r="N19" s="254">
        <v>0</v>
      </c>
      <c r="O19" s="254">
        <f>IF(ISNUMBER(SEARCH("TECNOLOGIA DA INFORMACAO",tabParametros[[#This Row],[Função]],1)),0.056*tabParametros[[#This Row],[Salário Base]],0)</f>
        <v>0</v>
      </c>
      <c r="P19" s="232">
        <f>IF(tabParametros[[#This Row],[Função]]="Operador de Midia Audiovisual - 150 h",tabParametros[[#This Row],[Salário Base]]/150*50*30%,IF(tabParametros[[#This Row],[Função]]="Supervisor de Manutencao de Veiculos II - 220 h",12%*tabParametros[[#This Row],[Salário Base]],0))</f>
        <v>0</v>
      </c>
      <c r="Q19" s="233">
        <f>VLOOKUP(tabParametros[[#Headers],[INSS]],tabImpostosNacionais[],2,0)</f>
        <v>0.2</v>
      </c>
      <c r="R19" s="233">
        <f>VLOOKUP(tabParametros[[#Headers],[SESI OU SESC]],tabImpostosNacionais[],2,0)</f>
        <v>1.4999999999999999E-2</v>
      </c>
      <c r="S19" s="233">
        <f>VLOOKUP(tabParametros[[#Headers],[SENAI OU SENAC]],tabImpostosNacionais[],2,0)</f>
        <v>0.01</v>
      </c>
      <c r="T19" s="233">
        <f>VLOOKUP(tabParametros[[#Headers],[INCRA]],tabImpostosNacionais[],2,0)</f>
        <v>2E-3</v>
      </c>
      <c r="U19" s="233">
        <f>VLOOKUP(tabParametros[[#Headers],[Salário Educação]],tabImpostosNacionais[],2,0)</f>
        <v>2.5000000000000001E-2</v>
      </c>
      <c r="V19" s="233">
        <f>VLOOKUP(tabParametros[[#Headers],[FGTS]],tabImpostosNacionais[],2,0)</f>
        <v>0.08</v>
      </c>
      <c r="W19" s="233">
        <f>VLOOKUP(tabParametros[[#Headers],[RAT Ajustado]],tabImpostosNacionais[],2,0)</f>
        <v>0.04</v>
      </c>
      <c r="X19" s="233">
        <f>VLOOKUP(tabParametros[[#Headers],[SEBRAE]],tabImpostosNacionais[],2,0)</f>
        <v>6.0000000000000001E-3</v>
      </c>
      <c r="Y19" s="233">
        <f t="shared" si="0"/>
        <v>8.3333333333333329E-2</v>
      </c>
      <c r="Z19" s="233">
        <f t="shared" si="1"/>
        <v>0.1111111111111111</v>
      </c>
      <c r="AA19" s="232">
        <f>VLOOKUP(tabParametros[[#This Row],[Comarca]],tabComarca[],5,0)</f>
        <v>6.4</v>
      </c>
      <c r="AB19" s="232">
        <f>VLOOKUP(tabParametros[[#This Row],[CCT DA CATEGORIA]],tabSindicatos[],6,0)</f>
        <v>29.15</v>
      </c>
      <c r="AC19" s="232">
        <f>VLOOKUP(tabParametros[[#This Row],[CCT DA CATEGORIA]],tabSindicatos[],7,0)</f>
        <v>0</v>
      </c>
      <c r="AD19" s="232" cm="1">
        <f t="array" ref="AD1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58.96</v>
      </c>
      <c r="AE19" s="232">
        <f>VLOOKUP(tabParametros[[#This Row],[CCT DA CATEGORIA]],tabSindicatos[],9,0)</f>
        <v>0</v>
      </c>
      <c r="AF19" s="232">
        <f>VLOOKUP(tabParametros[[#This Row],[CCT DA CATEGORIA]],tabSindicatos[],10,0)</f>
        <v>0</v>
      </c>
      <c r="AG19" s="234">
        <f>VLOOKUP(tabParametros[[#Headers],[Seguro de Vida]],tabOutrosCustos[],3,0)</f>
        <v>3.36</v>
      </c>
      <c r="AH19" s="234">
        <f>IF(ISNUMBER(SEARCH("MOTORISTA",tabParametros[[#This Row],[Função]],1)),VLOOKUP("MOTORISTAS",tabDiarias[],2,0),IF(tabParametros[[#This Row],[Comarca]]="Belo Horizonte",VLOOKUP("APOIO",tabDiarias[],2,0),0))</f>
        <v>0</v>
      </c>
      <c r="AI19" s="233">
        <f t="shared" si="2"/>
        <v>7.011766975308642E-3</v>
      </c>
      <c r="AJ19" s="235">
        <f>tabParametros[[#This Row],[FGTS]]*tabParametros[[#This Row],[Aviso Prévio Indenizado (API) e Reflexo do Aviso Prévio Indenizado]]</f>
        <v>5.609413580246914E-4</v>
      </c>
      <c r="AK19" s="235">
        <f>tabParametros[[#This Row],[FGTS]]*tabParametros[[#This Row],[Aviso Prévio Indenizado (API) e Reflexo do Aviso Prévio Indenizado]]*40%</f>
        <v>2.2437654320987658E-4</v>
      </c>
      <c r="AL19" s="233">
        <f t="shared" si="3"/>
        <v>3.5000000000000005E-3</v>
      </c>
      <c r="AM19" s="233">
        <f>tabParametros[[#This Row],[Aviso Prévio Trabalhado - APT]]*SUM(tabParametros[[#This Row],[INSS]:[SEBRAE]])</f>
        <v>1.3230000000000004E-3</v>
      </c>
      <c r="AN19" s="233">
        <f t="shared" si="4"/>
        <v>3.0577777777777773E-2</v>
      </c>
      <c r="AO19" s="233">
        <f t="shared" si="5"/>
        <v>8.3333333333333339E-4</v>
      </c>
      <c r="AP19" s="233">
        <f t="shared" si="6"/>
        <v>8.4444444444444437E-3</v>
      </c>
      <c r="AQ19" s="233">
        <f t="shared" si="7"/>
        <v>2.0277777777777777E-3</v>
      </c>
      <c r="AR19" s="233">
        <f t="shared" si="8"/>
        <v>1.7083333333333333E-4</v>
      </c>
      <c r="AS19" s="233">
        <f t="shared" si="9"/>
        <v>2.0833333333333335E-4</v>
      </c>
      <c r="AT19" s="233">
        <f t="shared" si="10"/>
        <v>1.2962962962962963E-3</v>
      </c>
      <c r="AU19" s="235">
        <f>SUM(tabParametros[[#This Row],[Ausência por Doença]:[Férias, Adicional de Férias e 13º  com empregada em gozo de Licença Maternidade]])*SUM(tabParametros[[#This Row],[INSS]:[SEBRAE]])</f>
        <v>4.5918250000000008E-3</v>
      </c>
      <c r="AV19" s="254">
        <f>IF(tabParametros[[#This Row],[Função]]="Porteiro - 220 h",SUM(tabParametros[[#This Row],[Salário Base]:[Adicional de Acúmulo de função]])/220*20*1.5,IF(ISNUMBER(SEARCH("12 x 36",tabParametros[[#This Row],[Função]],1)),SUM(tabParametros[[#This Row],[Salário Base]:[Adicional de Acúmulo de função]])/210*15.5*1.5,0))</f>
        <v>0</v>
      </c>
      <c r="AW19" s="232">
        <f>IF(tabParametros[[#This Row],[Vagas contratadas]]&gt;0,(SUM(tabParametros[[#This Row],[Salário Base]:[Adicional de Acúmulo de função]])*30%+SUM(tabParametros[[#This Row],[Vale - Alimentação]:[Seguro de Vida]]))/tabParametros[[#This Row],[Vagas contratadas]]*tabParametros[[#This Row],[Vagas suspensas]],0)</f>
        <v>0</v>
      </c>
      <c r="AX19" s="232">
        <f>SUMIF(tabUniformes[Cargo],tabParametros[[#This Row],[Função]],tabUniformes[Valor unit. Mensal])</f>
        <v>56.642978962543395</v>
      </c>
      <c r="AY1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 s="232">
        <v>0</v>
      </c>
      <c r="BC19" s="234" t="e">
        <f ca="1">VLOOKUP(tabParametros[[#Headers],[Custos Indiretos]],tabOutrosCustos[],3,0)</f>
        <v>#NAME?</v>
      </c>
      <c r="BD19" s="234" t="e">
        <f ca="1">VLOOKUP(tabParametros[[#Headers],[Lucro]],tabOutrosCustos[],3,0)</f>
        <v>#NAME?</v>
      </c>
      <c r="BE19" s="233">
        <f>VLOOKUP(tabParametros[[#Headers],[COFINS]],tabImpostosNacionais[],2,0)</f>
        <v>7.5999999999999998E-2</v>
      </c>
      <c r="BF19" s="233">
        <f>VLOOKUP(tabParametros[[#Headers],[PIS]],tabImpostosNacionais[],2,0)</f>
        <v>1.6500000000000001E-2</v>
      </c>
      <c r="BG19" s="233">
        <f>VLOOKUP(tabParametros[[#This Row],[Comarca]],tabComarca[],4,0)</f>
        <v>0.02</v>
      </c>
      <c r="BH19" s="236">
        <f>VLOOKUP(tabParametros[[#This Row],[CCT DA CATEGORIA]],tabSindicatos[],11,0)</f>
        <v>45658</v>
      </c>
      <c r="BI19" s="282" t="str">
        <f>VLOOKUP(tabParametros[[#This Row],[CCT DA CATEGORIA]],tabSindicatos[],12,0)</f>
        <v>-</v>
      </c>
      <c r="BJ19" s="285" t="str">
        <f>VLOOKUP(tabParametros[[#This Row],[CCT DA CATEGORIA]],tabSindicatos[],13,0)</f>
        <v>-</v>
      </c>
    </row>
    <row r="20" spans="1:62">
      <c r="A20" s="231" t="s">
        <v>1542</v>
      </c>
      <c r="B20" s="197" t="s">
        <v>1099</v>
      </c>
      <c r="C20" s="197" t="s">
        <v>324</v>
      </c>
      <c r="D20" s="197" t="str">
        <f>VLOOKUP(tabParametros[[#This Row],[Código do Posto]],tabPostos[],4,0)</f>
        <v>Regiao de Divinopolis</v>
      </c>
      <c r="E20" s="282" t="str">
        <f>VLOOKUP(tabParametros[[#This Row],[Código do Posto]],tabPostos[],5,0)</f>
        <v>Apoio</v>
      </c>
      <c r="F20" s="282" t="str">
        <f>VLOOKUP(tabParametros[[#This Row],[Código do Posto]],tabPostos[],6,0)</f>
        <v>PGJ</v>
      </c>
      <c r="G20" s="282">
        <f>VLOOKUP(tabParametros[[#This Row],[Código do Posto]],tabPostos[],7,0)</f>
        <v>1</v>
      </c>
      <c r="H20" s="282">
        <f>VLOOKUP(tabParametros[[#This Row],[Código do Posto]],tabPostos[],8,0)</f>
        <v>0</v>
      </c>
      <c r="I20" s="232">
        <f>VLOOKUP(tabParametros[[#This Row],[Código do Posto]],tabPostos[],9,0)</f>
        <v>3397.130467372021</v>
      </c>
      <c r="J20" s="232">
        <f>IF(ISNUMBER(SEARCH("Eletricista",tabParametros[[#This Row],[Função]],1)),0.3*tabParametros[[#This Row],[Salário Base]],0)</f>
        <v>0</v>
      </c>
      <c r="K2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 s="232">
        <f>IF(AND(ISNUMBER(SEARCH("Noturno",tabParametros[[#This Row],[Função]],1)),tabParametros[[#This Row],[Comarca]]&lt;&gt;"Juiz de Fora"),tabParametros[[#This Row],[Salário Base]]/210*0.39*7*15.5,IF(ISNUMBER(SEARCH("Noturno",tabParametros[[#This Row],[Função]],1)),tabParametros[[#This Row],[Salário Base]]/210*0.2*8*15.5,0))</f>
        <v>0</v>
      </c>
      <c r="M20" s="232">
        <f>IF(ISNUMBER(SEARCH("Motorista II",tabParametros[[#This Row],[Função]],1)),0.3022*tabParametros[[#This Row],[Salário Base]],0)</f>
        <v>0</v>
      </c>
      <c r="N20" s="254">
        <v>0</v>
      </c>
      <c r="O20" s="254">
        <f>IF(ISNUMBER(SEARCH("TECNOLOGIA DA INFORMACAO",tabParametros[[#This Row],[Função]],1)),0.056*tabParametros[[#This Row],[Salário Base]],0)</f>
        <v>0</v>
      </c>
      <c r="P20" s="232">
        <f>IF(tabParametros[[#This Row],[Função]]="Operador de Midia Audiovisual - 150 h",tabParametros[[#This Row],[Salário Base]]/150*50*30%,IF(tabParametros[[#This Row],[Função]]="Supervisor de Manutencao de Veiculos II - 220 h",12%*tabParametros[[#This Row],[Salário Base]],0))</f>
        <v>0</v>
      </c>
      <c r="Q20" s="233">
        <f>VLOOKUP(tabParametros[[#Headers],[INSS]],tabImpostosNacionais[],2,0)</f>
        <v>0.2</v>
      </c>
      <c r="R20" s="233">
        <f>VLOOKUP(tabParametros[[#Headers],[SESI OU SESC]],tabImpostosNacionais[],2,0)</f>
        <v>1.4999999999999999E-2</v>
      </c>
      <c r="S20" s="233">
        <f>VLOOKUP(tabParametros[[#Headers],[SENAI OU SENAC]],tabImpostosNacionais[],2,0)</f>
        <v>0.01</v>
      </c>
      <c r="T20" s="233">
        <f>VLOOKUP(tabParametros[[#Headers],[INCRA]],tabImpostosNacionais[],2,0)</f>
        <v>2E-3</v>
      </c>
      <c r="U20" s="233">
        <f>VLOOKUP(tabParametros[[#Headers],[Salário Educação]],tabImpostosNacionais[],2,0)</f>
        <v>2.5000000000000001E-2</v>
      </c>
      <c r="V20" s="233">
        <f>VLOOKUP(tabParametros[[#Headers],[FGTS]],tabImpostosNacionais[],2,0)</f>
        <v>0.08</v>
      </c>
      <c r="W20" s="233">
        <f>VLOOKUP(tabParametros[[#Headers],[RAT Ajustado]],tabImpostosNacionais[],2,0)</f>
        <v>0.04</v>
      </c>
      <c r="X20" s="233">
        <f>VLOOKUP(tabParametros[[#Headers],[SEBRAE]],tabImpostosNacionais[],2,0)</f>
        <v>6.0000000000000001E-3</v>
      </c>
      <c r="Y20" s="233">
        <f t="shared" si="0"/>
        <v>8.3333333333333329E-2</v>
      </c>
      <c r="Z20" s="233">
        <f t="shared" si="1"/>
        <v>0.1111111111111111</v>
      </c>
      <c r="AA20" s="232">
        <f>VLOOKUP(tabParametros[[#This Row],[Comarca]],tabComarca[],5,0)</f>
        <v>6.4</v>
      </c>
      <c r="AB20" s="232">
        <f>VLOOKUP(tabParametros[[#This Row],[CCT DA CATEGORIA]],tabSindicatos[],6,0)</f>
        <v>29.15</v>
      </c>
      <c r="AC20" s="232">
        <f>VLOOKUP(tabParametros[[#This Row],[CCT DA CATEGORIA]],tabSindicatos[],7,0)</f>
        <v>0</v>
      </c>
      <c r="AD20" s="232" cm="1">
        <f t="array" ref="AD2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0" s="232">
        <f>VLOOKUP(tabParametros[[#This Row],[CCT DA CATEGORIA]],tabSindicatos[],9,0)</f>
        <v>0</v>
      </c>
      <c r="AF20" s="232">
        <f>VLOOKUP(tabParametros[[#This Row],[CCT DA CATEGORIA]],tabSindicatos[],10,0)</f>
        <v>0</v>
      </c>
      <c r="AG20" s="234">
        <f>VLOOKUP(tabParametros[[#Headers],[Seguro de Vida]],tabOutrosCustos[],3,0)</f>
        <v>3.36</v>
      </c>
      <c r="AH20" s="234">
        <f>IF(ISNUMBER(SEARCH("MOTORISTA",tabParametros[[#This Row],[Função]],1)),VLOOKUP("MOTORISTAS",tabDiarias[],2,0),IF(tabParametros[[#This Row],[Comarca]]="Belo Horizonte",VLOOKUP("APOIO",tabDiarias[],2,0),0))</f>
        <v>0</v>
      </c>
      <c r="AI20" s="233">
        <f t="shared" si="2"/>
        <v>7.011766975308642E-3</v>
      </c>
      <c r="AJ20" s="235">
        <f>tabParametros[[#This Row],[FGTS]]*tabParametros[[#This Row],[Aviso Prévio Indenizado (API) e Reflexo do Aviso Prévio Indenizado]]</f>
        <v>5.609413580246914E-4</v>
      </c>
      <c r="AK20" s="235">
        <f>tabParametros[[#This Row],[FGTS]]*tabParametros[[#This Row],[Aviso Prévio Indenizado (API) e Reflexo do Aviso Prévio Indenizado]]*40%</f>
        <v>2.2437654320987658E-4</v>
      </c>
      <c r="AL20" s="233">
        <f t="shared" si="3"/>
        <v>3.5000000000000005E-3</v>
      </c>
      <c r="AM20" s="233">
        <f>tabParametros[[#This Row],[Aviso Prévio Trabalhado - APT]]*SUM(tabParametros[[#This Row],[INSS]:[SEBRAE]])</f>
        <v>1.3230000000000004E-3</v>
      </c>
      <c r="AN20" s="233">
        <f t="shared" si="4"/>
        <v>3.0577777777777773E-2</v>
      </c>
      <c r="AO20" s="233">
        <f t="shared" si="5"/>
        <v>8.3333333333333339E-4</v>
      </c>
      <c r="AP20" s="233">
        <f t="shared" si="6"/>
        <v>8.4444444444444437E-3</v>
      </c>
      <c r="AQ20" s="233">
        <f t="shared" si="7"/>
        <v>2.0277777777777777E-3</v>
      </c>
      <c r="AR20" s="233">
        <f t="shared" si="8"/>
        <v>1.7083333333333333E-4</v>
      </c>
      <c r="AS20" s="233">
        <f t="shared" si="9"/>
        <v>2.0833333333333335E-4</v>
      </c>
      <c r="AT20" s="233">
        <f t="shared" si="10"/>
        <v>1.2962962962962963E-3</v>
      </c>
      <c r="AU20" s="235">
        <f>SUM(tabParametros[[#This Row],[Ausência por Doença]:[Férias, Adicional de Férias e 13º  com empregada em gozo de Licença Maternidade]])*SUM(tabParametros[[#This Row],[INSS]:[SEBRAE]])</f>
        <v>4.5918250000000008E-3</v>
      </c>
      <c r="AV20" s="254">
        <f>IF(tabParametros[[#This Row],[Função]]="Porteiro - 220 h",SUM(tabParametros[[#This Row],[Salário Base]:[Adicional de Acúmulo de função]])/220*20*1.5,IF(ISNUMBER(SEARCH("12 x 36",tabParametros[[#This Row],[Função]],1)),SUM(tabParametros[[#This Row],[Salário Base]:[Adicional de Acúmulo de função]])/210*15.5*1.5,0))</f>
        <v>0</v>
      </c>
      <c r="AW20" s="232">
        <f>IF(tabParametros[[#This Row],[Vagas contratadas]]&gt;0,(SUM(tabParametros[[#This Row],[Salário Base]:[Adicional de Acúmulo de função]])*30%+SUM(tabParametros[[#This Row],[Vale - Alimentação]:[Seguro de Vida]]))/tabParametros[[#This Row],[Vagas contratadas]]*tabParametros[[#This Row],[Vagas suspensas]],0)</f>
        <v>0</v>
      </c>
      <c r="AX20" s="232">
        <f>SUMIF(tabUniformes[Cargo],tabParametros[[#This Row],[Função]],tabUniformes[Valor unit. Mensal])</f>
        <v>56.642978962543395</v>
      </c>
      <c r="AY2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 s="232">
        <v>0</v>
      </c>
      <c r="BC20" s="234" t="e">
        <f ca="1">VLOOKUP(tabParametros[[#Headers],[Custos Indiretos]],tabOutrosCustos[],3,0)</f>
        <v>#NAME?</v>
      </c>
      <c r="BD20" s="234" t="e">
        <f ca="1">VLOOKUP(tabParametros[[#Headers],[Lucro]],tabOutrosCustos[],3,0)</f>
        <v>#NAME?</v>
      </c>
      <c r="BE20" s="233">
        <f>VLOOKUP(tabParametros[[#Headers],[COFINS]],tabImpostosNacionais[],2,0)</f>
        <v>7.5999999999999998E-2</v>
      </c>
      <c r="BF20" s="233">
        <f>VLOOKUP(tabParametros[[#Headers],[PIS]],tabImpostosNacionais[],2,0)</f>
        <v>1.6500000000000001E-2</v>
      </c>
      <c r="BG20" s="233">
        <f>VLOOKUP(tabParametros[[#This Row],[Comarca]],tabComarca[],4,0)</f>
        <v>0.02</v>
      </c>
      <c r="BH20" s="236">
        <f>VLOOKUP(tabParametros[[#This Row],[CCT DA CATEGORIA]],tabSindicatos[],11,0)</f>
        <v>45658</v>
      </c>
      <c r="BI20" s="282" t="str">
        <f>VLOOKUP(tabParametros[[#This Row],[CCT DA CATEGORIA]],tabSindicatos[],12,0)</f>
        <v>-</v>
      </c>
      <c r="BJ20" s="285" t="str">
        <f>VLOOKUP(tabParametros[[#This Row],[CCT DA CATEGORIA]],tabSindicatos[],13,0)</f>
        <v>-</v>
      </c>
    </row>
    <row r="21" spans="1:62">
      <c r="A21" s="231" t="s">
        <v>1405</v>
      </c>
      <c r="B21" s="197" t="s">
        <v>1100</v>
      </c>
      <c r="C21" s="197" t="s">
        <v>200</v>
      </c>
      <c r="D21" s="197" t="str">
        <f>VLOOKUP(tabParametros[[#This Row],[Código do Posto]],tabPostos[],4,0)</f>
        <v>Fethemg Interior</v>
      </c>
      <c r="E21" s="282" t="str">
        <f>VLOOKUP(tabParametros[[#This Row],[Código do Posto]],tabPostos[],5,0)</f>
        <v>Apoio</v>
      </c>
      <c r="F21" s="282" t="str">
        <f>VLOOKUP(tabParametros[[#This Row],[Código do Posto]],tabPostos[],6,0)</f>
        <v>PGJ</v>
      </c>
      <c r="G21" s="282">
        <f>VLOOKUP(tabParametros[[#This Row],[Código do Posto]],tabPostos[],7,0)</f>
        <v>1</v>
      </c>
      <c r="H21" s="282">
        <f>VLOOKUP(tabParametros[[#This Row],[Código do Posto]],tabPostos[],8,0)</f>
        <v>0</v>
      </c>
      <c r="I21" s="232">
        <f>VLOOKUP(tabParametros[[#This Row],[Código do Posto]],tabPostos[],9,0)</f>
        <v>1596.273808921236</v>
      </c>
      <c r="J21" s="232">
        <f>IF(ISNUMBER(SEARCH("Eletricista",tabParametros[[#This Row],[Função]],1)),0.3*tabParametros[[#This Row],[Salário Base]],0)</f>
        <v>0</v>
      </c>
      <c r="K2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 s="232">
        <f>IF(AND(ISNUMBER(SEARCH("Noturno",tabParametros[[#This Row],[Função]],1)),tabParametros[[#This Row],[Comarca]]&lt;&gt;"Juiz de Fora"),tabParametros[[#This Row],[Salário Base]]/210*0.39*7*15.5,IF(ISNUMBER(SEARCH("Noturno",tabParametros[[#This Row],[Função]],1)),tabParametros[[#This Row],[Salário Base]]/210*0.2*8*15.5,0))</f>
        <v>0</v>
      </c>
      <c r="M21" s="232">
        <f>IF(ISNUMBER(SEARCH("Motorista II",tabParametros[[#This Row],[Função]],1)),0.3022*tabParametros[[#This Row],[Salário Base]],0)</f>
        <v>0</v>
      </c>
      <c r="N21" s="254">
        <v>0</v>
      </c>
      <c r="O21" s="254">
        <f>IF(ISNUMBER(SEARCH("TECNOLOGIA DA INFORMACAO",tabParametros[[#This Row],[Função]],1)),0.056*tabParametros[[#This Row],[Salário Base]],0)</f>
        <v>0</v>
      </c>
      <c r="P21" s="232">
        <f>IF(tabParametros[[#This Row],[Função]]="Operador de Midia Audiovisual - 150 h",tabParametros[[#This Row],[Salário Base]]/150*50*30%,IF(tabParametros[[#This Row],[Função]]="Supervisor de Manutencao de Veiculos II - 220 h",12%*tabParametros[[#This Row],[Salário Base]],0))</f>
        <v>0</v>
      </c>
      <c r="Q21" s="233">
        <f>VLOOKUP(tabParametros[[#Headers],[INSS]],tabImpostosNacionais[],2,0)</f>
        <v>0.2</v>
      </c>
      <c r="R21" s="233">
        <f>VLOOKUP(tabParametros[[#Headers],[SESI OU SESC]],tabImpostosNacionais[],2,0)</f>
        <v>1.4999999999999999E-2</v>
      </c>
      <c r="S21" s="233">
        <f>VLOOKUP(tabParametros[[#Headers],[SENAI OU SENAC]],tabImpostosNacionais[],2,0)</f>
        <v>0.01</v>
      </c>
      <c r="T21" s="233">
        <f>VLOOKUP(tabParametros[[#Headers],[INCRA]],tabImpostosNacionais[],2,0)</f>
        <v>2E-3</v>
      </c>
      <c r="U21" s="233">
        <f>VLOOKUP(tabParametros[[#Headers],[Salário Educação]],tabImpostosNacionais[],2,0)</f>
        <v>2.5000000000000001E-2</v>
      </c>
      <c r="V21" s="233">
        <f>VLOOKUP(tabParametros[[#Headers],[FGTS]],tabImpostosNacionais[],2,0)</f>
        <v>0.08</v>
      </c>
      <c r="W21" s="233">
        <f>VLOOKUP(tabParametros[[#Headers],[RAT Ajustado]],tabImpostosNacionais[],2,0)</f>
        <v>0.04</v>
      </c>
      <c r="X21" s="233">
        <f>VLOOKUP(tabParametros[[#Headers],[SEBRAE]],tabImpostosNacionais[],2,0)</f>
        <v>6.0000000000000001E-3</v>
      </c>
      <c r="Y21" s="233">
        <f t="shared" si="0"/>
        <v>8.3333333333333329E-2</v>
      </c>
      <c r="Z21" s="233">
        <f t="shared" si="1"/>
        <v>0.1111111111111111</v>
      </c>
      <c r="AA21" s="232">
        <f>VLOOKUP(tabParametros[[#This Row],[Comarca]],tabComarca[],5,0)</f>
        <v>6.4</v>
      </c>
      <c r="AB21" s="232">
        <f>VLOOKUP(tabParametros[[#This Row],[CCT DA CATEGORIA]],tabSindicatos[],6,0)</f>
        <v>29.15</v>
      </c>
      <c r="AC21" s="232">
        <f>VLOOKUP(tabParametros[[#This Row],[CCT DA CATEGORIA]],tabSindicatos[],7,0)</f>
        <v>0</v>
      </c>
      <c r="AD21" s="232" cm="1">
        <f t="array" ref="AD2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1" s="232">
        <f>VLOOKUP(tabParametros[[#This Row],[CCT DA CATEGORIA]],tabSindicatos[],9,0)</f>
        <v>15.07</v>
      </c>
      <c r="AF21" s="232">
        <f>VLOOKUP(tabParametros[[#This Row],[CCT DA CATEGORIA]],tabSindicatos[],10,0)</f>
        <v>0</v>
      </c>
      <c r="AG21" s="234">
        <f>VLOOKUP(tabParametros[[#Headers],[Seguro de Vida]],tabOutrosCustos[],3,0)</f>
        <v>3.36</v>
      </c>
      <c r="AH21" s="234">
        <f>IF(ISNUMBER(SEARCH("MOTORISTA",tabParametros[[#This Row],[Função]],1)),VLOOKUP("MOTORISTAS",tabDiarias[],2,0),IF(tabParametros[[#This Row],[Comarca]]="Belo Horizonte",VLOOKUP("APOIO",tabDiarias[],2,0),0))</f>
        <v>0</v>
      </c>
      <c r="AI21" s="233">
        <f t="shared" si="2"/>
        <v>7.011766975308642E-3</v>
      </c>
      <c r="AJ21" s="235">
        <f>tabParametros[[#This Row],[FGTS]]*tabParametros[[#This Row],[Aviso Prévio Indenizado (API) e Reflexo do Aviso Prévio Indenizado]]</f>
        <v>5.609413580246914E-4</v>
      </c>
      <c r="AK21" s="235">
        <f>tabParametros[[#This Row],[FGTS]]*tabParametros[[#This Row],[Aviso Prévio Indenizado (API) e Reflexo do Aviso Prévio Indenizado]]*40%</f>
        <v>2.2437654320987658E-4</v>
      </c>
      <c r="AL21" s="233">
        <f t="shared" si="3"/>
        <v>3.5000000000000005E-3</v>
      </c>
      <c r="AM21" s="233">
        <f>tabParametros[[#This Row],[Aviso Prévio Trabalhado - APT]]*SUM(tabParametros[[#This Row],[INSS]:[SEBRAE]])</f>
        <v>1.3230000000000004E-3</v>
      </c>
      <c r="AN21" s="233">
        <f t="shared" si="4"/>
        <v>3.0577777777777773E-2</v>
      </c>
      <c r="AO21" s="233">
        <f t="shared" si="5"/>
        <v>8.3333333333333339E-4</v>
      </c>
      <c r="AP21" s="233">
        <f t="shared" si="6"/>
        <v>8.4444444444444437E-3</v>
      </c>
      <c r="AQ21" s="233">
        <f t="shared" si="7"/>
        <v>2.0277777777777777E-3</v>
      </c>
      <c r="AR21" s="233">
        <f t="shared" si="8"/>
        <v>1.7083333333333333E-4</v>
      </c>
      <c r="AS21" s="233">
        <f t="shared" si="9"/>
        <v>2.0833333333333335E-4</v>
      </c>
      <c r="AT21" s="233">
        <f t="shared" si="10"/>
        <v>1.2962962962962963E-3</v>
      </c>
      <c r="AU21" s="235">
        <f>SUM(tabParametros[[#This Row],[Ausência por Doença]:[Férias, Adicional de Férias e 13º  com empregada em gozo de Licença Maternidade]])*SUM(tabParametros[[#This Row],[INSS]:[SEBRAE]])</f>
        <v>4.5918250000000008E-3</v>
      </c>
      <c r="AV21" s="254">
        <f>IF(tabParametros[[#This Row],[Função]]="Porteiro - 220 h",SUM(tabParametros[[#This Row],[Salário Base]:[Adicional de Acúmulo de função]])/220*20*1.5,IF(ISNUMBER(SEARCH("12 x 36",tabParametros[[#This Row],[Função]],1)),SUM(tabParametros[[#This Row],[Salário Base]:[Adicional de Acúmulo de função]])/210*15.5*1.5,0))</f>
        <v>0</v>
      </c>
      <c r="AW21" s="232">
        <f>IF(tabParametros[[#This Row],[Vagas contratadas]]&gt;0,(SUM(tabParametros[[#This Row],[Salário Base]:[Adicional de Acúmulo de função]])*30%+SUM(tabParametros[[#This Row],[Vale - Alimentação]:[Seguro de Vida]]))/tabParametros[[#This Row],[Vagas contratadas]]*tabParametros[[#This Row],[Vagas suspensas]],0)</f>
        <v>0</v>
      </c>
      <c r="AX21" s="232">
        <f>SUMIF(tabUniformes[Cargo],tabParametros[[#This Row],[Função]],tabUniformes[Valor unit. Mensal])</f>
        <v>56.141713661989918</v>
      </c>
      <c r="AY2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 s="232">
        <v>0</v>
      </c>
      <c r="BC21" s="234" t="e">
        <f ca="1">VLOOKUP(tabParametros[[#Headers],[Custos Indiretos]],tabOutrosCustos[],3,0)</f>
        <v>#NAME?</v>
      </c>
      <c r="BD21" s="234" t="e">
        <f ca="1">VLOOKUP(tabParametros[[#Headers],[Lucro]],tabOutrosCustos[],3,0)</f>
        <v>#NAME?</v>
      </c>
      <c r="BE21" s="233">
        <f>VLOOKUP(tabParametros[[#Headers],[COFINS]],tabImpostosNacionais[],2,0)</f>
        <v>7.5999999999999998E-2</v>
      </c>
      <c r="BF21" s="233">
        <f>VLOOKUP(tabParametros[[#Headers],[PIS]],tabImpostosNacionais[],2,0)</f>
        <v>1.6500000000000001E-2</v>
      </c>
      <c r="BG21" s="233">
        <f>VLOOKUP(tabParametros[[#This Row],[Comarca]],tabComarca[],4,0)</f>
        <v>0.03</v>
      </c>
      <c r="BH21" s="236">
        <f>VLOOKUP(tabParametros[[#This Row],[CCT DA CATEGORIA]],tabSindicatos[],11,0)</f>
        <v>45658</v>
      </c>
      <c r="BI21" s="282" t="str">
        <f>VLOOKUP(tabParametros[[#This Row],[CCT DA CATEGORIA]],tabSindicatos[],12,0)</f>
        <v>-</v>
      </c>
      <c r="BJ21" s="285" t="str">
        <f>VLOOKUP(tabParametros[[#This Row],[CCT DA CATEGORIA]],tabSindicatos[],13,0)</f>
        <v>-</v>
      </c>
    </row>
    <row r="22" spans="1:62">
      <c r="A22" s="231" t="s">
        <v>1543</v>
      </c>
      <c r="B22" s="197" t="s">
        <v>1100</v>
      </c>
      <c r="C22" s="197" t="s">
        <v>314</v>
      </c>
      <c r="D22" s="197" t="str">
        <f>VLOOKUP(tabParametros[[#This Row],[Código do Posto]],tabPostos[],4,0)</f>
        <v>Fethemg Interior</v>
      </c>
      <c r="E22" s="282" t="str">
        <f>VLOOKUP(tabParametros[[#This Row],[Código do Posto]],tabPostos[],5,0)</f>
        <v>Apoio</v>
      </c>
      <c r="F22" s="282" t="str">
        <f>VLOOKUP(tabParametros[[#This Row],[Código do Posto]],tabPostos[],6,0)</f>
        <v>PGJ</v>
      </c>
      <c r="G22" s="282">
        <f>VLOOKUP(tabParametros[[#This Row],[Código do Posto]],tabPostos[],7,0)</f>
        <v>1</v>
      </c>
      <c r="H22" s="282">
        <f>VLOOKUP(tabParametros[[#This Row],[Código do Posto]],tabPostos[],8,0)</f>
        <v>0</v>
      </c>
      <c r="I22" s="232">
        <f>VLOOKUP(tabParametros[[#This Row],[Código do Posto]],tabPostos[],9,0)</f>
        <v>1963.4110092077037</v>
      </c>
      <c r="J22" s="232">
        <f>IF(ISNUMBER(SEARCH("Eletricista",tabParametros[[#This Row],[Função]],1)),0.3*tabParametros[[#This Row],[Salário Base]],0)</f>
        <v>0</v>
      </c>
      <c r="K2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 s="232">
        <f>IF(AND(ISNUMBER(SEARCH("Noturno",tabParametros[[#This Row],[Função]],1)),tabParametros[[#This Row],[Comarca]]&lt;&gt;"Juiz de Fora"),tabParametros[[#This Row],[Salário Base]]/210*0.39*7*15.5,IF(ISNUMBER(SEARCH("Noturno",tabParametros[[#This Row],[Função]],1)),tabParametros[[#This Row],[Salário Base]]/210*0.2*8*15.5,0))</f>
        <v>0</v>
      </c>
      <c r="M22" s="232">
        <f>IF(ISNUMBER(SEARCH("Motorista II",tabParametros[[#This Row],[Função]],1)),0.3022*tabParametros[[#This Row],[Salário Base]],0)</f>
        <v>0</v>
      </c>
      <c r="N22" s="254">
        <v>0</v>
      </c>
      <c r="O22" s="254">
        <f>IF(ISNUMBER(SEARCH("TECNOLOGIA DA INFORMACAO",tabParametros[[#This Row],[Função]],1)),0.056*tabParametros[[#This Row],[Salário Base]],0)</f>
        <v>0</v>
      </c>
      <c r="P22" s="232">
        <f>IF(tabParametros[[#This Row],[Função]]="Operador de Midia Audiovisual - 150 h",tabParametros[[#This Row],[Salário Base]]/150*50*30%,IF(tabParametros[[#This Row],[Função]]="Supervisor de Manutencao de Veiculos II - 220 h",12%*tabParametros[[#This Row],[Salário Base]],0))</f>
        <v>0</v>
      </c>
      <c r="Q22" s="233">
        <f>VLOOKUP(tabParametros[[#Headers],[INSS]],tabImpostosNacionais[],2,0)</f>
        <v>0.2</v>
      </c>
      <c r="R22" s="233">
        <f>VLOOKUP(tabParametros[[#Headers],[SESI OU SESC]],tabImpostosNacionais[],2,0)</f>
        <v>1.4999999999999999E-2</v>
      </c>
      <c r="S22" s="233">
        <f>VLOOKUP(tabParametros[[#Headers],[SENAI OU SENAC]],tabImpostosNacionais[],2,0)</f>
        <v>0.01</v>
      </c>
      <c r="T22" s="233">
        <f>VLOOKUP(tabParametros[[#Headers],[INCRA]],tabImpostosNacionais[],2,0)</f>
        <v>2E-3</v>
      </c>
      <c r="U22" s="233">
        <f>VLOOKUP(tabParametros[[#Headers],[Salário Educação]],tabImpostosNacionais[],2,0)</f>
        <v>2.5000000000000001E-2</v>
      </c>
      <c r="V22" s="233">
        <f>VLOOKUP(tabParametros[[#Headers],[FGTS]],tabImpostosNacionais[],2,0)</f>
        <v>0.08</v>
      </c>
      <c r="W22" s="233">
        <f>VLOOKUP(tabParametros[[#Headers],[RAT Ajustado]],tabImpostosNacionais[],2,0)</f>
        <v>0.04</v>
      </c>
      <c r="X22" s="233">
        <f>VLOOKUP(tabParametros[[#Headers],[SEBRAE]],tabImpostosNacionais[],2,0)</f>
        <v>6.0000000000000001E-3</v>
      </c>
      <c r="Y22" s="233">
        <f t="shared" si="0"/>
        <v>8.3333333333333329E-2</v>
      </c>
      <c r="Z22" s="233">
        <f t="shared" si="1"/>
        <v>0.1111111111111111</v>
      </c>
      <c r="AA22" s="232">
        <f>VLOOKUP(tabParametros[[#This Row],[Comarca]],tabComarca[],5,0)</f>
        <v>6.4</v>
      </c>
      <c r="AB22" s="232">
        <f>VLOOKUP(tabParametros[[#This Row],[CCT DA CATEGORIA]],tabSindicatos[],6,0)</f>
        <v>29.15</v>
      </c>
      <c r="AC22" s="232">
        <f>VLOOKUP(tabParametros[[#This Row],[CCT DA CATEGORIA]],tabSindicatos[],7,0)</f>
        <v>0</v>
      </c>
      <c r="AD22" s="232" cm="1">
        <f t="array" ref="AD2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2" s="232">
        <f>VLOOKUP(tabParametros[[#This Row],[CCT DA CATEGORIA]],tabSindicatos[],9,0)</f>
        <v>15.07</v>
      </c>
      <c r="AF22" s="232">
        <f>VLOOKUP(tabParametros[[#This Row],[CCT DA CATEGORIA]],tabSindicatos[],10,0)</f>
        <v>0</v>
      </c>
      <c r="AG22" s="234">
        <f>VLOOKUP(tabParametros[[#Headers],[Seguro de Vida]],tabOutrosCustos[],3,0)</f>
        <v>3.36</v>
      </c>
      <c r="AH22" s="234">
        <f>IF(ISNUMBER(SEARCH("MOTORISTA",tabParametros[[#This Row],[Função]],1)),VLOOKUP("MOTORISTAS",tabDiarias[],2,0),IF(tabParametros[[#This Row],[Comarca]]="Belo Horizonte",VLOOKUP("APOIO",tabDiarias[],2,0),0))</f>
        <v>0</v>
      </c>
      <c r="AI22" s="233">
        <f t="shared" si="2"/>
        <v>7.011766975308642E-3</v>
      </c>
      <c r="AJ22" s="235">
        <f>tabParametros[[#This Row],[FGTS]]*tabParametros[[#This Row],[Aviso Prévio Indenizado (API) e Reflexo do Aviso Prévio Indenizado]]</f>
        <v>5.609413580246914E-4</v>
      </c>
      <c r="AK22" s="235">
        <f>tabParametros[[#This Row],[FGTS]]*tabParametros[[#This Row],[Aviso Prévio Indenizado (API) e Reflexo do Aviso Prévio Indenizado]]*40%</f>
        <v>2.2437654320987658E-4</v>
      </c>
      <c r="AL22" s="233">
        <f t="shared" si="3"/>
        <v>3.5000000000000005E-3</v>
      </c>
      <c r="AM22" s="233">
        <f>tabParametros[[#This Row],[Aviso Prévio Trabalhado - APT]]*SUM(tabParametros[[#This Row],[INSS]:[SEBRAE]])</f>
        <v>1.3230000000000004E-3</v>
      </c>
      <c r="AN22" s="233">
        <f t="shared" si="4"/>
        <v>3.0577777777777773E-2</v>
      </c>
      <c r="AO22" s="233">
        <f t="shared" si="5"/>
        <v>8.3333333333333339E-4</v>
      </c>
      <c r="AP22" s="233">
        <f t="shared" si="6"/>
        <v>8.4444444444444437E-3</v>
      </c>
      <c r="AQ22" s="233">
        <f t="shared" si="7"/>
        <v>2.0277777777777777E-3</v>
      </c>
      <c r="AR22" s="233">
        <f t="shared" si="8"/>
        <v>1.7083333333333333E-4</v>
      </c>
      <c r="AS22" s="233">
        <f t="shared" si="9"/>
        <v>2.0833333333333335E-4</v>
      </c>
      <c r="AT22" s="233">
        <f t="shared" si="10"/>
        <v>1.2962962962962963E-3</v>
      </c>
      <c r="AU22" s="235">
        <f>SUM(tabParametros[[#This Row],[Ausência por Doença]:[Férias, Adicional de Férias e 13º  com empregada em gozo de Licença Maternidade]])*SUM(tabParametros[[#This Row],[INSS]:[SEBRAE]])</f>
        <v>4.5918250000000008E-3</v>
      </c>
      <c r="AV22"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2" s="232">
        <f>IF(tabParametros[[#This Row],[Vagas contratadas]]&gt;0,(SUM(tabParametros[[#This Row],[Salário Base]:[Adicional de Acúmulo de função]])*30%+SUM(tabParametros[[#This Row],[Vale - Alimentação]:[Seguro de Vida]]))/tabParametros[[#This Row],[Vagas contratadas]]*tabParametros[[#This Row],[Vagas suspensas]],0)</f>
        <v>0</v>
      </c>
      <c r="AX22" s="232">
        <f>SUMIF(tabUniformes[Cargo],tabParametros[[#This Row],[Função]],tabUniformes[Valor unit. Mensal])</f>
        <v>56.642978962543395</v>
      </c>
      <c r="AY2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 s="232">
        <v>0</v>
      </c>
      <c r="BC22" s="234" t="e">
        <f ca="1">VLOOKUP(tabParametros[[#Headers],[Custos Indiretos]],tabOutrosCustos[],3,0)</f>
        <v>#NAME?</v>
      </c>
      <c r="BD22" s="234" t="e">
        <f ca="1">VLOOKUP(tabParametros[[#Headers],[Lucro]],tabOutrosCustos[],3,0)</f>
        <v>#NAME?</v>
      </c>
      <c r="BE22" s="233">
        <f>VLOOKUP(tabParametros[[#Headers],[COFINS]],tabImpostosNacionais[],2,0)</f>
        <v>7.5999999999999998E-2</v>
      </c>
      <c r="BF22" s="233">
        <f>VLOOKUP(tabParametros[[#Headers],[PIS]],tabImpostosNacionais[],2,0)</f>
        <v>1.6500000000000001E-2</v>
      </c>
      <c r="BG22" s="233">
        <f>VLOOKUP(tabParametros[[#This Row],[Comarca]],tabComarca[],4,0)</f>
        <v>0.03</v>
      </c>
      <c r="BH22" s="236">
        <f>VLOOKUP(tabParametros[[#This Row],[CCT DA CATEGORIA]],tabSindicatos[],11,0)</f>
        <v>45658</v>
      </c>
      <c r="BI22" s="282" t="str">
        <f>VLOOKUP(tabParametros[[#This Row],[CCT DA CATEGORIA]],tabSindicatos[],12,0)</f>
        <v>-</v>
      </c>
      <c r="BJ22" s="285" t="str">
        <f>VLOOKUP(tabParametros[[#This Row],[CCT DA CATEGORIA]],tabSindicatos[],13,0)</f>
        <v>-</v>
      </c>
    </row>
    <row r="23" spans="1:62">
      <c r="A23" s="231" t="s">
        <v>1544</v>
      </c>
      <c r="B23" s="197" t="s">
        <v>1101</v>
      </c>
      <c r="C23" s="197" t="s">
        <v>324</v>
      </c>
      <c r="D23" s="197" t="str">
        <f>VLOOKUP(tabParametros[[#This Row],[Código do Posto]],tabPostos[],4,0)</f>
        <v>Regiao de Joao Monlevade</v>
      </c>
      <c r="E23" s="282" t="str">
        <f>VLOOKUP(tabParametros[[#This Row],[Código do Posto]],tabPostos[],5,0)</f>
        <v>Apoio</v>
      </c>
      <c r="F23" s="282" t="str">
        <f>VLOOKUP(tabParametros[[#This Row],[Código do Posto]],tabPostos[],6,0)</f>
        <v>PGJ</v>
      </c>
      <c r="G23" s="282">
        <f>VLOOKUP(tabParametros[[#This Row],[Código do Posto]],tabPostos[],7,0)</f>
        <v>1</v>
      </c>
      <c r="H23" s="282">
        <f>VLOOKUP(tabParametros[[#This Row],[Código do Posto]],tabPostos[],8,0)</f>
        <v>0</v>
      </c>
      <c r="I23" s="232">
        <f>VLOOKUP(tabParametros[[#This Row],[Código do Posto]],tabPostos[],9,0)</f>
        <v>3397.1306016921476</v>
      </c>
      <c r="J23" s="232">
        <f>IF(ISNUMBER(SEARCH("Eletricista",tabParametros[[#This Row],[Função]],1)),0.3*tabParametros[[#This Row],[Salário Base]],0)</f>
        <v>0</v>
      </c>
      <c r="K2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 s="232">
        <f>IF(AND(ISNUMBER(SEARCH("Noturno",tabParametros[[#This Row],[Função]],1)),tabParametros[[#This Row],[Comarca]]&lt;&gt;"Juiz de Fora"),tabParametros[[#This Row],[Salário Base]]/210*0.39*7*15.5,IF(ISNUMBER(SEARCH("Noturno",tabParametros[[#This Row],[Função]],1)),tabParametros[[#This Row],[Salário Base]]/210*0.2*8*15.5,0))</f>
        <v>0</v>
      </c>
      <c r="M23" s="232">
        <f>IF(ISNUMBER(SEARCH("Motorista II",tabParametros[[#This Row],[Função]],1)),0.3022*tabParametros[[#This Row],[Salário Base]],0)</f>
        <v>0</v>
      </c>
      <c r="N23" s="254">
        <v>0</v>
      </c>
      <c r="O23" s="254">
        <f>IF(ISNUMBER(SEARCH("TECNOLOGIA DA INFORMACAO",tabParametros[[#This Row],[Função]],1)),0.056*tabParametros[[#This Row],[Salário Base]],0)</f>
        <v>0</v>
      </c>
      <c r="P23" s="232">
        <f>IF(tabParametros[[#This Row],[Função]]="Operador de Midia Audiovisual - 150 h",tabParametros[[#This Row],[Salário Base]]/150*50*30%,IF(tabParametros[[#This Row],[Função]]="Supervisor de Manutencao de Veiculos II - 220 h",12%*tabParametros[[#This Row],[Salário Base]],0))</f>
        <v>0</v>
      </c>
      <c r="Q23" s="233">
        <f>VLOOKUP(tabParametros[[#Headers],[INSS]],tabImpostosNacionais[],2,0)</f>
        <v>0.2</v>
      </c>
      <c r="R23" s="233">
        <f>VLOOKUP(tabParametros[[#Headers],[SESI OU SESC]],tabImpostosNacionais[],2,0)</f>
        <v>1.4999999999999999E-2</v>
      </c>
      <c r="S23" s="233">
        <f>VLOOKUP(tabParametros[[#Headers],[SENAI OU SENAC]],tabImpostosNacionais[],2,0)</f>
        <v>0.01</v>
      </c>
      <c r="T23" s="233">
        <f>VLOOKUP(tabParametros[[#Headers],[INCRA]],tabImpostosNacionais[],2,0)</f>
        <v>2E-3</v>
      </c>
      <c r="U23" s="233">
        <f>VLOOKUP(tabParametros[[#Headers],[Salário Educação]],tabImpostosNacionais[],2,0)</f>
        <v>2.5000000000000001E-2</v>
      </c>
      <c r="V23" s="233">
        <f>VLOOKUP(tabParametros[[#Headers],[FGTS]],tabImpostosNacionais[],2,0)</f>
        <v>0.08</v>
      </c>
      <c r="W23" s="233">
        <f>VLOOKUP(tabParametros[[#Headers],[RAT Ajustado]],tabImpostosNacionais[],2,0)</f>
        <v>0.04</v>
      </c>
      <c r="X23" s="233">
        <f>VLOOKUP(tabParametros[[#Headers],[SEBRAE]],tabImpostosNacionais[],2,0)</f>
        <v>6.0000000000000001E-3</v>
      </c>
      <c r="Y23" s="233">
        <f t="shared" si="0"/>
        <v>8.3333333333333329E-2</v>
      </c>
      <c r="Z23" s="233">
        <f t="shared" si="1"/>
        <v>0.1111111111111111</v>
      </c>
      <c r="AA23" s="232">
        <f>VLOOKUP(tabParametros[[#This Row],[Comarca]],tabComarca[],5,0)</f>
        <v>6.4</v>
      </c>
      <c r="AB23" s="232">
        <f>VLOOKUP(tabParametros[[#This Row],[CCT DA CATEGORIA]],tabSindicatos[],6,0)</f>
        <v>29.15</v>
      </c>
      <c r="AC23" s="232">
        <f>VLOOKUP(tabParametros[[#This Row],[CCT DA CATEGORIA]],tabSindicatos[],7,0)</f>
        <v>0</v>
      </c>
      <c r="AD23" s="232" cm="1">
        <f t="array" ref="AD2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50.74</v>
      </c>
      <c r="AE23" s="232">
        <f>VLOOKUP(tabParametros[[#This Row],[CCT DA CATEGORIA]],tabSindicatos[],9,0)</f>
        <v>0</v>
      </c>
      <c r="AF23" s="232">
        <f>VLOOKUP(tabParametros[[#This Row],[CCT DA CATEGORIA]],tabSindicatos[],10,0)</f>
        <v>0</v>
      </c>
      <c r="AG23" s="234">
        <f>VLOOKUP(tabParametros[[#Headers],[Seguro de Vida]],tabOutrosCustos[],3,0)</f>
        <v>3.36</v>
      </c>
      <c r="AH23" s="234">
        <f>IF(ISNUMBER(SEARCH("MOTORISTA",tabParametros[[#This Row],[Função]],1)),VLOOKUP("MOTORISTAS",tabDiarias[],2,0),IF(tabParametros[[#This Row],[Comarca]]="Belo Horizonte",VLOOKUP("APOIO",tabDiarias[],2,0),0))</f>
        <v>0</v>
      </c>
      <c r="AI23" s="233">
        <f t="shared" si="2"/>
        <v>7.011766975308642E-3</v>
      </c>
      <c r="AJ23" s="235">
        <f>tabParametros[[#This Row],[FGTS]]*tabParametros[[#This Row],[Aviso Prévio Indenizado (API) e Reflexo do Aviso Prévio Indenizado]]</f>
        <v>5.609413580246914E-4</v>
      </c>
      <c r="AK23" s="235">
        <f>tabParametros[[#This Row],[FGTS]]*tabParametros[[#This Row],[Aviso Prévio Indenizado (API) e Reflexo do Aviso Prévio Indenizado]]*40%</f>
        <v>2.2437654320987658E-4</v>
      </c>
      <c r="AL23" s="233">
        <f t="shared" si="3"/>
        <v>3.5000000000000005E-3</v>
      </c>
      <c r="AM23" s="233">
        <f>tabParametros[[#This Row],[Aviso Prévio Trabalhado - APT]]*SUM(tabParametros[[#This Row],[INSS]:[SEBRAE]])</f>
        <v>1.3230000000000004E-3</v>
      </c>
      <c r="AN23" s="233">
        <f t="shared" si="4"/>
        <v>3.0577777777777773E-2</v>
      </c>
      <c r="AO23" s="233">
        <f t="shared" si="5"/>
        <v>8.3333333333333339E-4</v>
      </c>
      <c r="AP23" s="233">
        <f t="shared" si="6"/>
        <v>8.4444444444444437E-3</v>
      </c>
      <c r="AQ23" s="233">
        <f t="shared" si="7"/>
        <v>2.0277777777777777E-3</v>
      </c>
      <c r="AR23" s="233">
        <f t="shared" si="8"/>
        <v>1.7083333333333333E-4</v>
      </c>
      <c r="AS23" s="233">
        <f t="shared" si="9"/>
        <v>2.0833333333333335E-4</v>
      </c>
      <c r="AT23" s="233">
        <f t="shared" si="10"/>
        <v>1.2962962962962963E-3</v>
      </c>
      <c r="AU23" s="235">
        <f>SUM(tabParametros[[#This Row],[Ausência por Doença]:[Férias, Adicional de Férias e 13º  com empregada em gozo de Licença Maternidade]])*SUM(tabParametros[[#This Row],[INSS]:[SEBRAE]])</f>
        <v>4.5918250000000008E-3</v>
      </c>
      <c r="AV23" s="254">
        <f>IF(tabParametros[[#This Row],[Função]]="Porteiro - 220 h",SUM(tabParametros[[#This Row],[Salário Base]:[Adicional de Acúmulo de função]])/220*20*1.5,IF(ISNUMBER(SEARCH("12 x 36",tabParametros[[#This Row],[Função]],1)),SUM(tabParametros[[#This Row],[Salário Base]:[Adicional de Acúmulo de função]])/210*15.5*1.5,0))</f>
        <v>0</v>
      </c>
      <c r="AW23" s="232">
        <f>IF(tabParametros[[#This Row],[Vagas contratadas]]&gt;0,(SUM(tabParametros[[#This Row],[Salário Base]:[Adicional de Acúmulo de função]])*30%+SUM(tabParametros[[#This Row],[Vale - Alimentação]:[Seguro de Vida]]))/tabParametros[[#This Row],[Vagas contratadas]]*tabParametros[[#This Row],[Vagas suspensas]],0)</f>
        <v>0</v>
      </c>
      <c r="AX23" s="232">
        <f>SUMIF(tabUniformes[Cargo],tabParametros[[#This Row],[Função]],tabUniformes[Valor unit. Mensal])</f>
        <v>56.642978962543395</v>
      </c>
      <c r="AY2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 s="232">
        <v>0</v>
      </c>
      <c r="BC23" s="234" t="e">
        <f ca="1">VLOOKUP(tabParametros[[#Headers],[Custos Indiretos]],tabOutrosCustos[],3,0)</f>
        <v>#NAME?</v>
      </c>
      <c r="BD23" s="234" t="e">
        <f ca="1">VLOOKUP(tabParametros[[#Headers],[Lucro]],tabOutrosCustos[],3,0)</f>
        <v>#NAME?</v>
      </c>
      <c r="BE23" s="233">
        <f>VLOOKUP(tabParametros[[#Headers],[COFINS]],tabImpostosNacionais[],2,0)</f>
        <v>7.5999999999999998E-2</v>
      </c>
      <c r="BF23" s="233">
        <f>VLOOKUP(tabParametros[[#Headers],[PIS]],tabImpostosNacionais[],2,0)</f>
        <v>1.6500000000000001E-2</v>
      </c>
      <c r="BG23" s="233">
        <f>VLOOKUP(tabParametros[[#This Row],[Comarca]],tabComarca[],4,0)</f>
        <v>0.05</v>
      </c>
      <c r="BH23" s="236">
        <f>VLOOKUP(tabParametros[[#This Row],[CCT DA CATEGORIA]],tabSindicatos[],11,0)</f>
        <v>45658</v>
      </c>
      <c r="BI23" s="282" t="str">
        <f>VLOOKUP(tabParametros[[#This Row],[CCT DA CATEGORIA]],tabSindicatos[],12,0)</f>
        <v>-</v>
      </c>
      <c r="BJ23" s="285" t="str">
        <f>VLOOKUP(tabParametros[[#This Row],[CCT DA CATEGORIA]],tabSindicatos[],13,0)</f>
        <v>-</v>
      </c>
    </row>
    <row r="24" spans="1:62">
      <c r="A24" s="231" t="s">
        <v>1545</v>
      </c>
      <c r="B24" s="197" t="s">
        <v>1102</v>
      </c>
      <c r="C24" s="197" t="s">
        <v>274</v>
      </c>
      <c r="D24" s="197" t="str">
        <f>VLOOKUP(tabParametros[[#This Row],[Código do Posto]],tabPostos[],4,0)</f>
        <v>Rodoviarios de Barbacena + SEAC-MG</v>
      </c>
      <c r="E24" s="282" t="str">
        <f>VLOOKUP(tabParametros[[#This Row],[Código do Posto]],tabPostos[],5,0)</f>
        <v>Apoio</v>
      </c>
      <c r="F24" s="282" t="str">
        <f>VLOOKUP(tabParametros[[#This Row],[Código do Posto]],tabPostos[],6,0)</f>
        <v>PGJ</v>
      </c>
      <c r="G24" s="282">
        <f>VLOOKUP(tabParametros[[#This Row],[Código do Posto]],tabPostos[],7,0)</f>
        <v>2</v>
      </c>
      <c r="H24" s="282">
        <f>VLOOKUP(tabParametros[[#This Row],[Código do Posto]],tabPostos[],8,0)</f>
        <v>0</v>
      </c>
      <c r="I24" s="232">
        <f>VLOOKUP(tabParametros[[#This Row],[Código do Posto]],tabPostos[],9,0)</f>
        <v>4558.0709943632919</v>
      </c>
      <c r="J24" s="232">
        <f>IF(ISNUMBER(SEARCH("Eletricista",tabParametros[[#This Row],[Função]],1)),0.3*tabParametros[[#This Row],[Salário Base]],0)</f>
        <v>0</v>
      </c>
      <c r="K2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 s="232">
        <f>IF(AND(ISNUMBER(SEARCH("Noturno",tabParametros[[#This Row],[Função]],1)),tabParametros[[#This Row],[Comarca]]&lt;&gt;"Juiz de Fora"),tabParametros[[#This Row],[Salário Base]]/210*0.39*7*15.5,IF(ISNUMBER(SEARCH("Noturno",tabParametros[[#This Row],[Função]],1)),tabParametros[[#This Row],[Salário Base]]/210*0.2*8*15.5,0))</f>
        <v>0</v>
      </c>
      <c r="M24" s="232">
        <f>IF(ISNUMBER(SEARCH("Motorista II",tabParametros[[#This Row],[Função]],1)),0.3022*tabParametros[[#This Row],[Salário Base]],0)</f>
        <v>0</v>
      </c>
      <c r="N24" s="254">
        <v>0</v>
      </c>
      <c r="O24" s="254">
        <f>IF(ISNUMBER(SEARCH("TECNOLOGIA DA INFORMACAO",tabParametros[[#This Row],[Função]],1)),0.056*tabParametros[[#This Row],[Salário Base]],0)</f>
        <v>0</v>
      </c>
      <c r="P24" s="232">
        <f>IF(tabParametros[[#This Row],[Função]]="Operador de Midia Audiovisual - 150 h",tabParametros[[#This Row],[Salário Base]]/150*50*30%,IF(tabParametros[[#This Row],[Função]]="Supervisor de Manutencao de Veiculos II - 220 h",12%*tabParametros[[#This Row],[Salário Base]],0))</f>
        <v>0</v>
      </c>
      <c r="Q24" s="233">
        <f>VLOOKUP(tabParametros[[#Headers],[INSS]],tabImpostosNacionais[],2,0)</f>
        <v>0.2</v>
      </c>
      <c r="R24" s="233">
        <f>VLOOKUP(tabParametros[[#Headers],[SESI OU SESC]],tabImpostosNacionais[],2,0)</f>
        <v>1.4999999999999999E-2</v>
      </c>
      <c r="S24" s="233">
        <f>VLOOKUP(tabParametros[[#Headers],[SENAI OU SENAC]],tabImpostosNacionais[],2,0)</f>
        <v>0.01</v>
      </c>
      <c r="T24" s="233">
        <f>VLOOKUP(tabParametros[[#Headers],[INCRA]],tabImpostosNacionais[],2,0)</f>
        <v>2E-3</v>
      </c>
      <c r="U24" s="233">
        <f>VLOOKUP(tabParametros[[#Headers],[Salário Educação]],tabImpostosNacionais[],2,0)</f>
        <v>2.5000000000000001E-2</v>
      </c>
      <c r="V24" s="233">
        <f>VLOOKUP(tabParametros[[#Headers],[FGTS]],tabImpostosNacionais[],2,0)</f>
        <v>0.08</v>
      </c>
      <c r="W24" s="233">
        <f>VLOOKUP(tabParametros[[#Headers],[RAT Ajustado]],tabImpostosNacionais[],2,0)</f>
        <v>0.04</v>
      </c>
      <c r="X24" s="233">
        <f>VLOOKUP(tabParametros[[#Headers],[SEBRAE]],tabImpostosNacionais[],2,0)</f>
        <v>6.0000000000000001E-3</v>
      </c>
      <c r="Y24" s="233">
        <f t="shared" si="0"/>
        <v>8.3333333333333329E-2</v>
      </c>
      <c r="Z24" s="233">
        <f t="shared" si="1"/>
        <v>0.1111111111111111</v>
      </c>
      <c r="AA24" s="232">
        <f>VLOOKUP(tabParametros[[#This Row],[Comarca]],tabComarca[],5,0)</f>
        <v>6.4</v>
      </c>
      <c r="AB24" s="232">
        <f>VLOOKUP(tabParametros[[#This Row],[CCT DA CATEGORIA]],tabSindicatos[],6,0)</f>
        <v>28.97</v>
      </c>
      <c r="AC24" s="232">
        <f>VLOOKUP(tabParametros[[#This Row],[CCT DA CATEGORIA]],tabSindicatos[],7,0)</f>
        <v>0</v>
      </c>
      <c r="AD24" s="232" cm="1">
        <f t="array" ref="AD2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24" s="232">
        <f>VLOOKUP(tabParametros[[#This Row],[CCT DA CATEGORIA]],tabSindicatos[],9,0)</f>
        <v>0</v>
      </c>
      <c r="AF24" s="232">
        <f>VLOOKUP(tabParametros[[#This Row],[CCT DA CATEGORIA]],tabSindicatos[],10,0)</f>
        <v>0</v>
      </c>
      <c r="AG24" s="234">
        <f>VLOOKUP(tabParametros[[#Headers],[Seguro de Vida]],tabOutrosCustos[],3,0)</f>
        <v>3.36</v>
      </c>
      <c r="AH24" s="234">
        <f>IF(ISNUMBER(SEARCH("MOTORISTA",tabParametros[[#This Row],[Função]],1)),VLOOKUP("MOTORISTAS",tabDiarias[],2,0),IF(tabParametros[[#This Row],[Comarca]]="Belo Horizonte",VLOOKUP("APOIO",tabDiarias[],2,0),0))</f>
        <v>662.42</v>
      </c>
      <c r="AI24" s="233">
        <f t="shared" si="2"/>
        <v>7.011766975308642E-3</v>
      </c>
      <c r="AJ24" s="235">
        <f>tabParametros[[#This Row],[FGTS]]*tabParametros[[#This Row],[Aviso Prévio Indenizado (API) e Reflexo do Aviso Prévio Indenizado]]</f>
        <v>5.609413580246914E-4</v>
      </c>
      <c r="AK24" s="235">
        <f>tabParametros[[#This Row],[FGTS]]*tabParametros[[#This Row],[Aviso Prévio Indenizado (API) e Reflexo do Aviso Prévio Indenizado]]*40%</f>
        <v>2.2437654320987658E-4</v>
      </c>
      <c r="AL24" s="233">
        <f t="shared" si="3"/>
        <v>3.5000000000000005E-3</v>
      </c>
      <c r="AM24" s="233">
        <f>tabParametros[[#This Row],[Aviso Prévio Trabalhado - APT]]*SUM(tabParametros[[#This Row],[INSS]:[SEBRAE]])</f>
        <v>1.3230000000000004E-3</v>
      </c>
      <c r="AN24" s="233">
        <f t="shared" si="4"/>
        <v>3.0577777777777773E-2</v>
      </c>
      <c r="AO24" s="233">
        <f t="shared" si="5"/>
        <v>8.3333333333333339E-4</v>
      </c>
      <c r="AP24" s="233">
        <f t="shared" si="6"/>
        <v>8.4444444444444437E-3</v>
      </c>
      <c r="AQ24" s="233">
        <f t="shared" si="7"/>
        <v>2.0277777777777777E-3</v>
      </c>
      <c r="AR24" s="233">
        <f t="shared" si="8"/>
        <v>1.7083333333333333E-4</v>
      </c>
      <c r="AS24" s="233">
        <f t="shared" si="9"/>
        <v>2.0833333333333335E-4</v>
      </c>
      <c r="AT24" s="233">
        <f t="shared" si="10"/>
        <v>1.2962962962962963E-3</v>
      </c>
      <c r="AU24" s="235">
        <f>SUM(tabParametros[[#This Row],[Ausência por Doença]:[Férias, Adicional de Férias e 13º  com empregada em gozo de Licença Maternidade]])*SUM(tabParametros[[#This Row],[INSS]:[SEBRAE]])</f>
        <v>4.5918250000000008E-3</v>
      </c>
      <c r="AV24" s="254">
        <f>IF(tabParametros[[#This Row],[Função]]="Porteiro - 220 h",SUM(tabParametros[[#This Row],[Salário Base]:[Adicional de Acúmulo de função]])/220*20*1.5,IF(ISNUMBER(SEARCH("12 x 36",tabParametros[[#This Row],[Função]],1)),SUM(tabParametros[[#This Row],[Salário Base]:[Adicional de Acúmulo de função]])/210*15.5*1.5,0))</f>
        <v>0</v>
      </c>
      <c r="AW24" s="232">
        <f>IF(tabParametros[[#This Row],[Vagas contratadas]]&gt;0,(SUM(tabParametros[[#This Row],[Salário Base]:[Adicional de Acúmulo de função]])*30%+SUM(tabParametros[[#This Row],[Vale - Alimentação]:[Seguro de Vida]]))/tabParametros[[#This Row],[Vagas contratadas]]*tabParametros[[#This Row],[Vagas suspensas]],0)</f>
        <v>0</v>
      </c>
      <c r="AX24" s="232">
        <f>SUMIF(tabUniformes[Cargo],tabParametros[[#This Row],[Função]],tabUniformes[Valor unit. Mensal])</f>
        <v>92.100763771570698</v>
      </c>
      <c r="AY2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 s="232">
        <v>0</v>
      </c>
      <c r="BC24" s="234" t="e">
        <f ca="1">VLOOKUP(tabParametros[[#Headers],[Custos Indiretos]],tabOutrosCustos[],3,0)</f>
        <v>#NAME?</v>
      </c>
      <c r="BD24" s="234" t="e">
        <f ca="1">VLOOKUP(tabParametros[[#Headers],[Lucro]],tabOutrosCustos[],3,0)</f>
        <v>#NAME?</v>
      </c>
      <c r="BE24" s="233">
        <f>VLOOKUP(tabParametros[[#Headers],[COFINS]],tabImpostosNacionais[],2,0)</f>
        <v>7.5999999999999998E-2</v>
      </c>
      <c r="BF24" s="233">
        <f>VLOOKUP(tabParametros[[#Headers],[PIS]],tabImpostosNacionais[],2,0)</f>
        <v>1.6500000000000001E-2</v>
      </c>
      <c r="BG24" s="233">
        <f>VLOOKUP(tabParametros[[#This Row],[Comarca]],tabComarca[],4,0)</f>
        <v>3.5000000000000003E-2</v>
      </c>
      <c r="BH24" s="236">
        <f>VLOOKUP(tabParametros[[#This Row],[CCT DA CATEGORIA]],tabSindicatos[],11,0)</f>
        <v>45658</v>
      </c>
      <c r="BI24" s="282" t="str">
        <f>VLOOKUP(tabParametros[[#This Row],[CCT DA CATEGORIA]],tabSindicatos[],12,0)</f>
        <v>-</v>
      </c>
      <c r="BJ24" s="285" t="str">
        <f>VLOOKUP(tabParametros[[#This Row],[CCT DA CATEGORIA]],tabSindicatos[],13,0)</f>
        <v>-</v>
      </c>
    </row>
    <row r="25" spans="1:62">
      <c r="A25" s="231" t="s">
        <v>1546</v>
      </c>
      <c r="B25" s="197" t="s">
        <v>1102</v>
      </c>
      <c r="C25" s="197" t="s">
        <v>319</v>
      </c>
      <c r="D25" s="197" t="str">
        <f>VLOOKUP(tabParametros[[#This Row],[Código do Posto]],tabPostos[],4,0)</f>
        <v>Regiao de Juiz de Fora</v>
      </c>
      <c r="E25" s="282" t="str">
        <f>VLOOKUP(tabParametros[[#This Row],[Código do Posto]],tabPostos[],5,0)</f>
        <v>Apoio</v>
      </c>
      <c r="F25" s="282" t="str">
        <f>VLOOKUP(tabParametros[[#This Row],[Código do Posto]],tabPostos[],6,0)</f>
        <v>PGJ</v>
      </c>
      <c r="G25" s="282">
        <f>VLOOKUP(tabParametros[[#This Row],[Código do Posto]],tabPostos[],7,0)</f>
        <v>1</v>
      </c>
      <c r="H25" s="282">
        <f>VLOOKUP(tabParametros[[#This Row],[Código do Posto]],tabPostos[],8,0)</f>
        <v>0</v>
      </c>
      <c r="I25" s="232">
        <f>VLOOKUP(tabParametros[[#This Row],[Código do Posto]],tabPostos[],9,0)</f>
        <v>2316.2296840668359</v>
      </c>
      <c r="J25" s="232">
        <f>IF(ISNUMBER(SEARCH("Eletricista",tabParametros[[#This Row],[Função]],1)),0.3*tabParametros[[#This Row],[Salário Base]],0)</f>
        <v>0</v>
      </c>
      <c r="K2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 s="232">
        <f>IF(AND(ISNUMBER(SEARCH("Noturno",tabParametros[[#This Row],[Função]],1)),tabParametros[[#This Row],[Comarca]]&lt;&gt;"Juiz de Fora"),tabParametros[[#This Row],[Salário Base]]/210*0.39*7*15.5,IF(ISNUMBER(SEARCH("Noturno",tabParametros[[#This Row],[Função]],1)),tabParametros[[#This Row],[Salário Base]]/210*0.2*8*15.5,0))</f>
        <v>0</v>
      </c>
      <c r="M25" s="232">
        <f>IF(ISNUMBER(SEARCH("Motorista II",tabParametros[[#This Row],[Função]],1)),0.3022*tabParametros[[#This Row],[Salário Base]],0)</f>
        <v>0</v>
      </c>
      <c r="N25" s="254">
        <v>0</v>
      </c>
      <c r="O25" s="254">
        <f>IF(ISNUMBER(SEARCH("TECNOLOGIA DA INFORMACAO",tabParametros[[#This Row],[Função]],1)),0.056*tabParametros[[#This Row],[Salário Base]],0)</f>
        <v>0</v>
      </c>
      <c r="P25" s="232">
        <f>IF(tabParametros[[#This Row],[Função]]="Operador de Midia Audiovisual - 150 h",tabParametros[[#This Row],[Salário Base]]/150*50*30%,IF(tabParametros[[#This Row],[Função]]="Supervisor de Manutencao de Veiculos II - 220 h",12%*tabParametros[[#This Row],[Salário Base]],0))</f>
        <v>0</v>
      </c>
      <c r="Q25" s="233">
        <f>VLOOKUP(tabParametros[[#Headers],[INSS]],tabImpostosNacionais[],2,0)</f>
        <v>0.2</v>
      </c>
      <c r="R25" s="233">
        <f>VLOOKUP(tabParametros[[#Headers],[SESI OU SESC]],tabImpostosNacionais[],2,0)</f>
        <v>1.4999999999999999E-2</v>
      </c>
      <c r="S25" s="233">
        <f>VLOOKUP(tabParametros[[#Headers],[SENAI OU SENAC]],tabImpostosNacionais[],2,0)</f>
        <v>0.01</v>
      </c>
      <c r="T25" s="233">
        <f>VLOOKUP(tabParametros[[#Headers],[INCRA]],tabImpostosNacionais[],2,0)</f>
        <v>2E-3</v>
      </c>
      <c r="U25" s="233">
        <f>VLOOKUP(tabParametros[[#Headers],[Salário Educação]],tabImpostosNacionais[],2,0)</f>
        <v>2.5000000000000001E-2</v>
      </c>
      <c r="V25" s="233">
        <f>VLOOKUP(tabParametros[[#Headers],[FGTS]],tabImpostosNacionais[],2,0)</f>
        <v>0.08</v>
      </c>
      <c r="W25" s="233">
        <f>VLOOKUP(tabParametros[[#Headers],[RAT Ajustado]],tabImpostosNacionais[],2,0)</f>
        <v>0.04</v>
      </c>
      <c r="X25" s="233">
        <f>VLOOKUP(tabParametros[[#Headers],[SEBRAE]],tabImpostosNacionais[],2,0)</f>
        <v>6.0000000000000001E-3</v>
      </c>
      <c r="Y25" s="233">
        <f t="shared" si="0"/>
        <v>8.3333333333333329E-2</v>
      </c>
      <c r="Z25" s="233">
        <f t="shared" si="1"/>
        <v>0.1111111111111111</v>
      </c>
      <c r="AA25" s="232">
        <f>VLOOKUP(tabParametros[[#This Row],[Comarca]],tabComarca[],5,0)</f>
        <v>6.4</v>
      </c>
      <c r="AB25" s="232">
        <f>VLOOKUP(tabParametros[[#This Row],[CCT DA CATEGORIA]],tabSindicatos[],6,0)</f>
        <v>29.15</v>
      </c>
      <c r="AC25" s="232">
        <f>VLOOKUP(tabParametros[[#This Row],[CCT DA CATEGORIA]],tabSindicatos[],7,0)</f>
        <v>0</v>
      </c>
      <c r="AD25" s="232" cm="1">
        <f t="array" ref="AD2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5" s="232">
        <f>VLOOKUP(tabParametros[[#This Row],[CCT DA CATEGORIA]],tabSindicatos[],9,0)</f>
        <v>0</v>
      </c>
      <c r="AF25" s="232">
        <f>VLOOKUP(tabParametros[[#This Row],[CCT DA CATEGORIA]],tabSindicatos[],10,0)</f>
        <v>0</v>
      </c>
      <c r="AG25" s="234">
        <f>VLOOKUP(tabParametros[[#Headers],[Seguro de Vida]],tabOutrosCustos[],3,0)</f>
        <v>3.36</v>
      </c>
      <c r="AH25" s="234">
        <f>IF(ISNUMBER(SEARCH("MOTORISTA",tabParametros[[#This Row],[Função]],1)),VLOOKUP("MOTORISTAS",tabDiarias[],2,0),IF(tabParametros[[#This Row],[Comarca]]="Belo Horizonte",VLOOKUP("APOIO",tabDiarias[],2,0),0))</f>
        <v>0</v>
      </c>
      <c r="AI25" s="233">
        <f t="shared" si="2"/>
        <v>7.011766975308642E-3</v>
      </c>
      <c r="AJ25" s="235">
        <f>tabParametros[[#This Row],[FGTS]]*tabParametros[[#This Row],[Aviso Prévio Indenizado (API) e Reflexo do Aviso Prévio Indenizado]]</f>
        <v>5.609413580246914E-4</v>
      </c>
      <c r="AK25" s="235">
        <f>tabParametros[[#This Row],[FGTS]]*tabParametros[[#This Row],[Aviso Prévio Indenizado (API) e Reflexo do Aviso Prévio Indenizado]]*40%</f>
        <v>2.2437654320987658E-4</v>
      </c>
      <c r="AL25" s="233">
        <f t="shared" si="3"/>
        <v>3.5000000000000005E-3</v>
      </c>
      <c r="AM25" s="233">
        <f>tabParametros[[#This Row],[Aviso Prévio Trabalhado - APT]]*SUM(tabParametros[[#This Row],[INSS]:[SEBRAE]])</f>
        <v>1.3230000000000004E-3</v>
      </c>
      <c r="AN25" s="233">
        <f t="shared" si="4"/>
        <v>3.0577777777777773E-2</v>
      </c>
      <c r="AO25" s="233">
        <f t="shared" si="5"/>
        <v>8.3333333333333339E-4</v>
      </c>
      <c r="AP25" s="233">
        <f t="shared" si="6"/>
        <v>8.4444444444444437E-3</v>
      </c>
      <c r="AQ25" s="233">
        <f t="shared" si="7"/>
        <v>2.0277777777777777E-3</v>
      </c>
      <c r="AR25" s="233">
        <f t="shared" si="8"/>
        <v>1.7083333333333333E-4</v>
      </c>
      <c r="AS25" s="233">
        <f t="shared" si="9"/>
        <v>2.0833333333333335E-4</v>
      </c>
      <c r="AT25" s="233">
        <f t="shared" si="10"/>
        <v>1.2962962962962963E-3</v>
      </c>
      <c r="AU25" s="235">
        <f>SUM(tabParametros[[#This Row],[Ausência por Doença]:[Férias, Adicional de Férias e 13º  com empregada em gozo de Licença Maternidade]])*SUM(tabParametros[[#This Row],[INSS]:[SEBRAE]])</f>
        <v>4.5918250000000008E-3</v>
      </c>
      <c r="AV25" s="254">
        <f>IF(tabParametros[[#This Row],[Função]]="Porteiro - 220 h",SUM(tabParametros[[#This Row],[Salário Base]:[Adicional de Acúmulo de função]])/220*20*1.5,IF(ISNUMBER(SEARCH("12 x 36",tabParametros[[#This Row],[Função]],1)),SUM(tabParametros[[#This Row],[Salário Base]:[Adicional de Acúmulo de função]])/210*15.5*1.5,0))</f>
        <v>0</v>
      </c>
      <c r="AW25" s="232">
        <f>IF(tabParametros[[#This Row],[Vagas contratadas]]&gt;0,(SUM(tabParametros[[#This Row],[Salário Base]:[Adicional de Acúmulo de função]])*30%+SUM(tabParametros[[#This Row],[Vale - Alimentação]:[Seguro de Vida]]))/tabParametros[[#This Row],[Vagas contratadas]]*tabParametros[[#This Row],[Vagas suspensas]],0)</f>
        <v>0</v>
      </c>
      <c r="AX25" s="232">
        <f>SUMIF(tabUniformes[Cargo],tabParametros[[#This Row],[Função]],tabUniformes[Valor unit. Mensal])</f>
        <v>56.642978962543395</v>
      </c>
      <c r="AY2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 s="232">
        <v>0</v>
      </c>
      <c r="BC25" s="234" t="e">
        <f ca="1">VLOOKUP(tabParametros[[#Headers],[Custos Indiretos]],tabOutrosCustos[],3,0)</f>
        <v>#NAME?</v>
      </c>
      <c r="BD25" s="234" t="e">
        <f ca="1">VLOOKUP(tabParametros[[#Headers],[Lucro]],tabOutrosCustos[],3,0)</f>
        <v>#NAME?</v>
      </c>
      <c r="BE25" s="233">
        <f>VLOOKUP(tabParametros[[#Headers],[COFINS]],tabImpostosNacionais[],2,0)</f>
        <v>7.5999999999999998E-2</v>
      </c>
      <c r="BF25" s="233">
        <f>VLOOKUP(tabParametros[[#Headers],[PIS]],tabImpostosNacionais[],2,0)</f>
        <v>1.6500000000000001E-2</v>
      </c>
      <c r="BG25" s="233">
        <f>VLOOKUP(tabParametros[[#This Row],[Comarca]],tabComarca[],4,0)</f>
        <v>3.5000000000000003E-2</v>
      </c>
      <c r="BH25" s="236">
        <f>VLOOKUP(tabParametros[[#This Row],[CCT DA CATEGORIA]],tabSindicatos[],11,0)</f>
        <v>45658</v>
      </c>
      <c r="BI25" s="282" t="str">
        <f>VLOOKUP(tabParametros[[#This Row],[CCT DA CATEGORIA]],tabSindicatos[],12,0)</f>
        <v>-</v>
      </c>
      <c r="BJ25" s="285" t="str">
        <f>VLOOKUP(tabParametros[[#This Row],[CCT DA CATEGORIA]],tabSindicatos[],13,0)</f>
        <v>-</v>
      </c>
    </row>
    <row r="26" spans="1:62">
      <c r="A26" s="231" t="s">
        <v>1406</v>
      </c>
      <c r="B26" s="197" t="s">
        <v>1103</v>
      </c>
      <c r="C26" s="197" t="s">
        <v>118</v>
      </c>
      <c r="D26" s="197" t="str">
        <f>VLOOKUP(tabParametros[[#This Row],[Código do Posto]],tabPostos[],4,0)</f>
        <v>SEAC/SINDEAC</v>
      </c>
      <c r="E26" s="282" t="str">
        <f>VLOOKUP(tabParametros[[#This Row],[Código do Posto]],tabPostos[],5,0)</f>
        <v>Apoio</v>
      </c>
      <c r="F26" s="282" t="str">
        <f>VLOOKUP(tabParametros[[#This Row],[Código do Posto]],tabPostos[],6,0)</f>
        <v>PGJ</v>
      </c>
      <c r="G26" s="282">
        <f>VLOOKUP(tabParametros[[#This Row],[Código do Posto]],tabPostos[],7,0)</f>
        <v>10</v>
      </c>
      <c r="H26" s="282">
        <f>VLOOKUP(tabParametros[[#This Row],[Código do Posto]],tabPostos[],8,0)</f>
        <v>0</v>
      </c>
      <c r="I26" s="232">
        <f>VLOOKUP(tabParametros[[#This Row],[Código do Posto]],tabPostos[],9,0)</f>
        <v>2449.21</v>
      </c>
      <c r="J26" s="232">
        <f>IF(ISNUMBER(SEARCH("Eletricista",tabParametros[[#This Row],[Função]],1)),0.3*tabParametros[[#This Row],[Salário Base]],0)</f>
        <v>0</v>
      </c>
      <c r="K2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6" s="232">
        <f>IF(AND(ISNUMBER(SEARCH("Noturno",tabParametros[[#This Row],[Função]],1)),tabParametros[[#This Row],[Comarca]]&lt;&gt;"Juiz de Fora"),tabParametros[[#This Row],[Salário Base]]/210*0.39*7*15.5,IF(ISNUMBER(SEARCH("Noturno",tabParametros[[#This Row],[Função]],1)),tabParametros[[#This Row],[Salário Base]]/210*0.2*8*15.5,0))</f>
        <v>0</v>
      </c>
      <c r="M26" s="232">
        <f>IF(ISNUMBER(SEARCH("Motorista II",tabParametros[[#This Row],[Função]],1)),0.3022*tabParametros[[#This Row],[Salário Base]],0)</f>
        <v>0</v>
      </c>
      <c r="N26" s="254">
        <v>0</v>
      </c>
      <c r="O26" s="254">
        <f>IF(ISNUMBER(SEARCH("TECNOLOGIA DA INFORMACAO",tabParametros[[#This Row],[Função]],1)),0.056*tabParametros[[#This Row],[Salário Base]],0)</f>
        <v>0</v>
      </c>
      <c r="P26" s="232">
        <f>IF(tabParametros[[#This Row],[Função]]="Operador de Midia Audiovisual - 150 h",tabParametros[[#This Row],[Salário Base]]/150*50*30%,IF(tabParametros[[#This Row],[Função]]="Supervisor de Manutencao de Veiculos II - 220 h",12%*tabParametros[[#This Row],[Salário Base]],0))</f>
        <v>0</v>
      </c>
      <c r="Q26" s="233">
        <f>VLOOKUP(tabParametros[[#Headers],[INSS]],tabImpostosNacionais[],2,0)</f>
        <v>0.2</v>
      </c>
      <c r="R26" s="233">
        <f>VLOOKUP(tabParametros[[#Headers],[SESI OU SESC]],tabImpostosNacionais[],2,0)</f>
        <v>1.4999999999999999E-2</v>
      </c>
      <c r="S26" s="233">
        <f>VLOOKUP(tabParametros[[#Headers],[SENAI OU SENAC]],tabImpostosNacionais[],2,0)</f>
        <v>0.01</v>
      </c>
      <c r="T26" s="233">
        <f>VLOOKUP(tabParametros[[#Headers],[INCRA]],tabImpostosNacionais[],2,0)</f>
        <v>2E-3</v>
      </c>
      <c r="U26" s="233">
        <f>VLOOKUP(tabParametros[[#Headers],[Salário Educação]],tabImpostosNacionais[],2,0)</f>
        <v>2.5000000000000001E-2</v>
      </c>
      <c r="V26" s="233">
        <f>VLOOKUP(tabParametros[[#Headers],[FGTS]],tabImpostosNacionais[],2,0)</f>
        <v>0.08</v>
      </c>
      <c r="W26" s="233">
        <f>VLOOKUP(tabParametros[[#Headers],[RAT Ajustado]],tabImpostosNacionais[],2,0)</f>
        <v>0.04</v>
      </c>
      <c r="X26" s="233">
        <f>VLOOKUP(tabParametros[[#Headers],[SEBRAE]],tabImpostosNacionais[],2,0)</f>
        <v>6.0000000000000001E-3</v>
      </c>
      <c r="Y26" s="233">
        <f t="shared" si="0"/>
        <v>8.3333333333333329E-2</v>
      </c>
      <c r="Z26" s="233">
        <f t="shared" si="1"/>
        <v>0.1111111111111111</v>
      </c>
      <c r="AA26" s="232">
        <f>VLOOKUP(tabParametros[[#This Row],[Comarca]],tabComarca[],5,0)</f>
        <v>11.25</v>
      </c>
      <c r="AB26" s="232">
        <f>VLOOKUP(tabParametros[[#This Row],[CCT DA CATEGORIA]],tabSindicatos[],6,0)</f>
        <v>29.15</v>
      </c>
      <c r="AC26" s="232">
        <f>VLOOKUP(tabParametros[[#This Row],[CCT DA CATEGORIA]],tabSindicatos[],7,0)</f>
        <v>0</v>
      </c>
      <c r="AD26" s="232" cm="1">
        <f t="array" ref="AD2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26" s="232">
        <f>VLOOKUP(tabParametros[[#This Row],[CCT DA CATEGORIA]],tabSindicatos[],9,0)</f>
        <v>0</v>
      </c>
      <c r="AF26" s="232">
        <f>VLOOKUP(tabParametros[[#This Row],[CCT DA CATEGORIA]],tabSindicatos[],10,0)</f>
        <v>0</v>
      </c>
      <c r="AG26" s="234">
        <f>VLOOKUP(tabParametros[[#Headers],[Seguro de Vida]],tabOutrosCustos[],3,0)</f>
        <v>3.36</v>
      </c>
      <c r="AH26" s="234">
        <f>IF(ISNUMBER(SEARCH("MOTORISTA",tabParametros[[#This Row],[Função]],1)),VLOOKUP("MOTORISTAS",tabDiarias[],2,0),IF(tabParametros[[#This Row],[Comarca]]="Belo Horizonte",VLOOKUP("APOIO",tabDiarias[],2,0),0))</f>
        <v>202.08</v>
      </c>
      <c r="AI26" s="233">
        <f t="shared" si="2"/>
        <v>7.011766975308642E-3</v>
      </c>
      <c r="AJ26" s="235">
        <f>tabParametros[[#This Row],[FGTS]]*tabParametros[[#This Row],[Aviso Prévio Indenizado (API) e Reflexo do Aviso Prévio Indenizado]]</f>
        <v>5.609413580246914E-4</v>
      </c>
      <c r="AK26" s="235">
        <f>tabParametros[[#This Row],[FGTS]]*tabParametros[[#This Row],[Aviso Prévio Indenizado (API) e Reflexo do Aviso Prévio Indenizado]]*40%</f>
        <v>2.2437654320987658E-4</v>
      </c>
      <c r="AL26" s="233">
        <f t="shared" si="3"/>
        <v>3.5000000000000005E-3</v>
      </c>
      <c r="AM26" s="233">
        <f>tabParametros[[#This Row],[Aviso Prévio Trabalhado - APT]]*SUM(tabParametros[[#This Row],[INSS]:[SEBRAE]])</f>
        <v>1.3230000000000004E-3</v>
      </c>
      <c r="AN26" s="233">
        <f t="shared" si="4"/>
        <v>3.0577777777777773E-2</v>
      </c>
      <c r="AO26" s="233">
        <f t="shared" si="5"/>
        <v>8.3333333333333339E-4</v>
      </c>
      <c r="AP26" s="233">
        <f t="shared" si="6"/>
        <v>8.4444444444444437E-3</v>
      </c>
      <c r="AQ26" s="233">
        <f t="shared" si="7"/>
        <v>2.0277777777777777E-3</v>
      </c>
      <c r="AR26" s="233">
        <f t="shared" si="8"/>
        <v>1.7083333333333333E-4</v>
      </c>
      <c r="AS26" s="233">
        <f t="shared" si="9"/>
        <v>2.0833333333333335E-4</v>
      </c>
      <c r="AT26" s="233">
        <f t="shared" si="10"/>
        <v>1.2962962962962963E-3</v>
      </c>
      <c r="AU26" s="235">
        <f>SUM(tabParametros[[#This Row],[Ausência por Doença]:[Férias, Adicional de Férias e 13º  com empregada em gozo de Licença Maternidade]])*SUM(tabParametros[[#This Row],[INSS]:[SEBRAE]])</f>
        <v>4.5918250000000008E-3</v>
      </c>
      <c r="AV26" s="254">
        <f>IF(tabParametros[[#This Row],[Função]]="Porteiro - 220 h",SUM(tabParametros[[#This Row],[Salário Base]:[Adicional de Acúmulo de função]])/220*20*1.5,IF(ISNUMBER(SEARCH("12 x 36",tabParametros[[#This Row],[Função]],1)),SUM(tabParametros[[#This Row],[Salário Base]:[Adicional de Acúmulo de função]])/210*15.5*1.5,0))</f>
        <v>0</v>
      </c>
      <c r="AW26" s="232">
        <f>IF(tabParametros[[#This Row],[Vagas contratadas]]&gt;0,(SUM(tabParametros[[#This Row],[Salário Base]:[Adicional de Acúmulo de função]])*30%+SUM(tabParametros[[#This Row],[Vale - Alimentação]:[Seguro de Vida]]))/tabParametros[[#This Row],[Vagas contratadas]]*tabParametros[[#This Row],[Vagas suspensas]],0)</f>
        <v>0</v>
      </c>
      <c r="AX26" s="232">
        <f>SUMIF(tabUniformes[Cargo],tabParametros[[#This Row],[Função]],tabUniformes[Valor unit. Mensal])</f>
        <v>121.1225</v>
      </c>
      <c r="AY2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 s="232">
        <v>0</v>
      </c>
      <c r="BC26" s="234" t="e">
        <f ca="1">VLOOKUP(tabParametros[[#Headers],[Custos Indiretos]],tabOutrosCustos[],3,0)</f>
        <v>#NAME?</v>
      </c>
      <c r="BD26" s="234" t="e">
        <f ca="1">VLOOKUP(tabParametros[[#Headers],[Lucro]],tabOutrosCustos[],3,0)</f>
        <v>#NAME?</v>
      </c>
      <c r="BE26" s="233">
        <f>VLOOKUP(tabParametros[[#Headers],[COFINS]],tabImpostosNacionais[],2,0)</f>
        <v>7.5999999999999998E-2</v>
      </c>
      <c r="BF26" s="233">
        <f>VLOOKUP(tabParametros[[#Headers],[PIS]],tabImpostosNacionais[],2,0)</f>
        <v>1.6500000000000001E-2</v>
      </c>
      <c r="BG26" s="233">
        <f>VLOOKUP(tabParametros[[#This Row],[Comarca]],tabComarca[],4,0)</f>
        <v>0.05</v>
      </c>
      <c r="BH26" s="236">
        <f>VLOOKUP(tabParametros[[#This Row],[CCT DA CATEGORIA]],tabSindicatos[],11,0)</f>
        <v>45658</v>
      </c>
      <c r="BI26" s="282" t="str">
        <f>VLOOKUP(tabParametros[[#This Row],[CCT DA CATEGORIA]],tabSindicatos[],12,0)</f>
        <v>-</v>
      </c>
      <c r="BJ26" s="285" t="str">
        <f>VLOOKUP(tabParametros[[#This Row],[CCT DA CATEGORIA]],tabSindicatos[],13,0)</f>
        <v>-</v>
      </c>
    </row>
    <row r="27" spans="1:62">
      <c r="A27" s="231" t="s">
        <v>1407</v>
      </c>
      <c r="B27" s="197" t="s">
        <v>1103</v>
      </c>
      <c r="C27" s="197" t="s">
        <v>133</v>
      </c>
      <c r="D27" s="197" t="str">
        <f>VLOOKUP(tabParametros[[#This Row],[Código do Posto]],tabPostos[],4,0)</f>
        <v>SEAC/SINDEAC</v>
      </c>
      <c r="E27" s="282" t="str">
        <f>VLOOKUP(tabParametros[[#This Row],[Código do Posto]],tabPostos[],5,0)</f>
        <v>Apoio</v>
      </c>
      <c r="F27" s="282" t="str">
        <f>VLOOKUP(tabParametros[[#This Row],[Código do Posto]],tabPostos[],6,0)</f>
        <v>PGJ</v>
      </c>
      <c r="G27" s="282">
        <f>VLOOKUP(tabParametros[[#This Row],[Código do Posto]],tabPostos[],7,0)</f>
        <v>20</v>
      </c>
      <c r="H27" s="282">
        <f>VLOOKUP(tabParametros[[#This Row],[Código do Posto]],tabPostos[],8,0)</f>
        <v>0</v>
      </c>
      <c r="I27" s="232">
        <f>VLOOKUP(tabParametros[[#This Row],[Código do Posto]],tabPostos[],9,0)</f>
        <v>4768.659975857111</v>
      </c>
      <c r="J27" s="232">
        <f>IF(ISNUMBER(SEARCH("Eletricista",tabParametros[[#This Row],[Função]],1)),0.3*tabParametros[[#This Row],[Salário Base]],0)</f>
        <v>0</v>
      </c>
      <c r="K2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 s="232">
        <f>IF(AND(ISNUMBER(SEARCH("Noturno",tabParametros[[#This Row],[Função]],1)),tabParametros[[#This Row],[Comarca]]&lt;&gt;"Juiz de Fora"),tabParametros[[#This Row],[Salário Base]]/210*0.39*7*15.5,IF(ISNUMBER(SEARCH("Noturno",tabParametros[[#This Row],[Função]],1)),tabParametros[[#This Row],[Salário Base]]/210*0.2*8*15.5,0))</f>
        <v>0</v>
      </c>
      <c r="M27" s="232">
        <f>IF(ISNUMBER(SEARCH("Motorista II",tabParametros[[#This Row],[Função]],1)),0.3022*tabParametros[[#This Row],[Salário Base]],0)</f>
        <v>0</v>
      </c>
      <c r="N27" s="254">
        <v>0</v>
      </c>
      <c r="O27" s="254">
        <f>IF(ISNUMBER(SEARCH("TECNOLOGIA DA INFORMACAO",tabParametros[[#This Row],[Função]],1)),0.056*tabParametros[[#This Row],[Salário Base]],0)</f>
        <v>0</v>
      </c>
      <c r="P27" s="232">
        <f>IF(tabParametros[[#This Row],[Função]]="Operador de Midia Audiovisual - 150 h",tabParametros[[#This Row],[Salário Base]]/150*50*30%,IF(tabParametros[[#This Row],[Função]]="Supervisor de Manutencao de Veiculos II - 220 h",12%*tabParametros[[#This Row],[Salário Base]],0))</f>
        <v>0</v>
      </c>
      <c r="Q27" s="233">
        <f>VLOOKUP(tabParametros[[#Headers],[INSS]],tabImpostosNacionais[],2,0)</f>
        <v>0.2</v>
      </c>
      <c r="R27" s="233">
        <f>VLOOKUP(tabParametros[[#Headers],[SESI OU SESC]],tabImpostosNacionais[],2,0)</f>
        <v>1.4999999999999999E-2</v>
      </c>
      <c r="S27" s="233">
        <f>VLOOKUP(tabParametros[[#Headers],[SENAI OU SENAC]],tabImpostosNacionais[],2,0)</f>
        <v>0.01</v>
      </c>
      <c r="T27" s="233">
        <f>VLOOKUP(tabParametros[[#Headers],[INCRA]],tabImpostosNacionais[],2,0)</f>
        <v>2E-3</v>
      </c>
      <c r="U27" s="233">
        <f>VLOOKUP(tabParametros[[#Headers],[Salário Educação]],tabImpostosNacionais[],2,0)</f>
        <v>2.5000000000000001E-2</v>
      </c>
      <c r="V27" s="233">
        <f>VLOOKUP(tabParametros[[#Headers],[FGTS]],tabImpostosNacionais[],2,0)</f>
        <v>0.08</v>
      </c>
      <c r="W27" s="233">
        <f>VLOOKUP(tabParametros[[#Headers],[RAT Ajustado]],tabImpostosNacionais[],2,0)</f>
        <v>0.04</v>
      </c>
      <c r="X27" s="233">
        <f>VLOOKUP(tabParametros[[#Headers],[SEBRAE]],tabImpostosNacionais[],2,0)</f>
        <v>6.0000000000000001E-3</v>
      </c>
      <c r="Y27" s="233">
        <f t="shared" si="0"/>
        <v>8.3333333333333329E-2</v>
      </c>
      <c r="Z27" s="233">
        <f t="shared" si="1"/>
        <v>0.1111111111111111</v>
      </c>
      <c r="AA27" s="232">
        <f>VLOOKUP(tabParametros[[#This Row],[Comarca]],tabComarca[],5,0)</f>
        <v>11.25</v>
      </c>
      <c r="AB27" s="232">
        <f>VLOOKUP(tabParametros[[#This Row],[CCT DA CATEGORIA]],tabSindicatos[],6,0)</f>
        <v>29.15</v>
      </c>
      <c r="AC27" s="232">
        <f>VLOOKUP(tabParametros[[#This Row],[CCT DA CATEGORIA]],tabSindicatos[],7,0)</f>
        <v>0</v>
      </c>
      <c r="AD27" s="232" cm="1">
        <f t="array" ref="AD2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27" s="232">
        <f>VLOOKUP(tabParametros[[#This Row],[CCT DA CATEGORIA]],tabSindicatos[],9,0)</f>
        <v>0</v>
      </c>
      <c r="AF27" s="232">
        <f>VLOOKUP(tabParametros[[#This Row],[CCT DA CATEGORIA]],tabSindicatos[],10,0)</f>
        <v>0</v>
      </c>
      <c r="AG27" s="234">
        <f>VLOOKUP(tabParametros[[#Headers],[Seguro de Vida]],tabOutrosCustos[],3,0)</f>
        <v>3.36</v>
      </c>
      <c r="AH27" s="234">
        <f>IF(ISNUMBER(SEARCH("MOTORISTA",tabParametros[[#This Row],[Função]],1)),VLOOKUP("MOTORISTAS",tabDiarias[],2,0),IF(tabParametros[[#This Row],[Comarca]]="Belo Horizonte",VLOOKUP("APOIO",tabDiarias[],2,0),0))</f>
        <v>202.08</v>
      </c>
      <c r="AI27" s="233">
        <f t="shared" si="2"/>
        <v>7.011766975308642E-3</v>
      </c>
      <c r="AJ27" s="235">
        <f>tabParametros[[#This Row],[FGTS]]*tabParametros[[#This Row],[Aviso Prévio Indenizado (API) e Reflexo do Aviso Prévio Indenizado]]</f>
        <v>5.609413580246914E-4</v>
      </c>
      <c r="AK27" s="235">
        <f>tabParametros[[#This Row],[FGTS]]*tabParametros[[#This Row],[Aviso Prévio Indenizado (API) e Reflexo do Aviso Prévio Indenizado]]*40%</f>
        <v>2.2437654320987658E-4</v>
      </c>
      <c r="AL27" s="233">
        <f t="shared" si="3"/>
        <v>3.5000000000000005E-3</v>
      </c>
      <c r="AM27" s="233">
        <f>tabParametros[[#This Row],[Aviso Prévio Trabalhado - APT]]*SUM(tabParametros[[#This Row],[INSS]:[SEBRAE]])</f>
        <v>1.3230000000000004E-3</v>
      </c>
      <c r="AN27" s="233">
        <f t="shared" si="4"/>
        <v>3.0577777777777773E-2</v>
      </c>
      <c r="AO27" s="233">
        <f t="shared" si="5"/>
        <v>8.3333333333333339E-4</v>
      </c>
      <c r="AP27" s="233">
        <f t="shared" si="6"/>
        <v>8.4444444444444437E-3</v>
      </c>
      <c r="AQ27" s="233">
        <f t="shared" si="7"/>
        <v>2.0277777777777777E-3</v>
      </c>
      <c r="AR27" s="233">
        <f t="shared" si="8"/>
        <v>1.7083333333333333E-4</v>
      </c>
      <c r="AS27" s="233">
        <f t="shared" si="9"/>
        <v>2.0833333333333335E-4</v>
      </c>
      <c r="AT27" s="233">
        <f t="shared" si="10"/>
        <v>1.2962962962962963E-3</v>
      </c>
      <c r="AU27" s="235">
        <f>SUM(tabParametros[[#This Row],[Ausência por Doença]:[Férias, Adicional de Férias e 13º  com empregada em gozo de Licença Maternidade]])*SUM(tabParametros[[#This Row],[INSS]:[SEBRAE]])</f>
        <v>4.5918250000000008E-3</v>
      </c>
      <c r="AV27" s="254">
        <f>IF(tabParametros[[#This Row],[Função]]="Porteiro - 220 h",SUM(tabParametros[[#This Row],[Salário Base]:[Adicional de Acúmulo de função]])/220*20*1.5,IF(ISNUMBER(SEARCH("12 x 36",tabParametros[[#This Row],[Função]],1)),SUM(tabParametros[[#This Row],[Salário Base]:[Adicional de Acúmulo de função]])/210*15.5*1.5,0))</f>
        <v>0</v>
      </c>
      <c r="AW27" s="232">
        <f>IF(tabParametros[[#This Row],[Vagas contratadas]]&gt;0,(SUM(tabParametros[[#This Row],[Salário Base]:[Adicional de Acúmulo de função]])*30%+SUM(tabParametros[[#This Row],[Vale - Alimentação]:[Seguro de Vida]]))/tabParametros[[#This Row],[Vagas contratadas]]*tabParametros[[#This Row],[Vagas suspensas]],0)</f>
        <v>0</v>
      </c>
      <c r="AX27" s="232">
        <f>SUMIF(tabUniformes[Cargo],tabParametros[[#This Row],[Função]],tabUniformes[Valor unit. Mensal])</f>
        <v>74.449166666666656</v>
      </c>
      <c r="AY2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 s="232">
        <v>0</v>
      </c>
      <c r="BC27" s="234" t="e">
        <f ca="1">VLOOKUP(tabParametros[[#Headers],[Custos Indiretos]],tabOutrosCustos[],3,0)</f>
        <v>#NAME?</v>
      </c>
      <c r="BD27" s="234" t="e">
        <f ca="1">VLOOKUP(tabParametros[[#Headers],[Lucro]],tabOutrosCustos[],3,0)</f>
        <v>#NAME?</v>
      </c>
      <c r="BE27" s="233">
        <f>VLOOKUP(tabParametros[[#Headers],[COFINS]],tabImpostosNacionais[],2,0)</f>
        <v>7.5999999999999998E-2</v>
      </c>
      <c r="BF27" s="233">
        <f>VLOOKUP(tabParametros[[#Headers],[PIS]],tabImpostosNacionais[],2,0)</f>
        <v>1.6500000000000001E-2</v>
      </c>
      <c r="BG27" s="233">
        <f>VLOOKUP(tabParametros[[#This Row],[Comarca]],tabComarca[],4,0)</f>
        <v>0.05</v>
      </c>
      <c r="BH27" s="236">
        <f>VLOOKUP(tabParametros[[#This Row],[CCT DA CATEGORIA]],tabSindicatos[],11,0)</f>
        <v>45658</v>
      </c>
      <c r="BI27" s="282" t="str">
        <f>VLOOKUP(tabParametros[[#This Row],[CCT DA CATEGORIA]],tabSindicatos[],12,0)</f>
        <v>-</v>
      </c>
      <c r="BJ27" s="285" t="str">
        <f>VLOOKUP(tabParametros[[#This Row],[CCT DA CATEGORIA]],tabSindicatos[],13,0)</f>
        <v>-</v>
      </c>
    </row>
    <row r="28" spans="1:62">
      <c r="A28" s="231" t="s">
        <v>1800</v>
      </c>
      <c r="B28" s="197" t="s">
        <v>1103</v>
      </c>
      <c r="C28" s="197" t="s">
        <v>133</v>
      </c>
      <c r="D28" s="197" t="str">
        <f>VLOOKUP(tabParametros[[#This Row],[Código do Posto]],tabPostos[],4,0)</f>
        <v>SEAC/SINDEAC</v>
      </c>
      <c r="E28" s="282" t="str">
        <f>VLOOKUP(tabParametros[[#This Row],[Código do Posto]],tabPostos[],5,0)</f>
        <v>Apoio</v>
      </c>
      <c r="F28" s="282" t="str">
        <f>VLOOKUP(tabParametros[[#This Row],[Código do Posto]],tabPostos[],6,0)</f>
        <v>FEPDC</v>
      </c>
      <c r="G28" s="282">
        <f>VLOOKUP(tabParametros[[#This Row],[Código do Posto]],tabPostos[],7,0)</f>
        <v>1</v>
      </c>
      <c r="H28" s="282">
        <f>VLOOKUP(tabParametros[[#This Row],[Código do Posto]],tabPostos[],8,0)</f>
        <v>0</v>
      </c>
      <c r="I28" s="232">
        <f>VLOOKUP(tabParametros[[#This Row],[Código do Posto]],tabPostos[],9,0)</f>
        <v>4768.659975857111</v>
      </c>
      <c r="J28" s="232">
        <f>IF(ISNUMBER(SEARCH("Eletricista",tabParametros[[#This Row],[Função]],1)),0.3*tabParametros[[#This Row],[Salário Base]],0)</f>
        <v>0</v>
      </c>
      <c r="K2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 s="232">
        <f>IF(AND(ISNUMBER(SEARCH("Noturno",tabParametros[[#This Row],[Função]],1)),tabParametros[[#This Row],[Comarca]]&lt;&gt;"Juiz de Fora"),tabParametros[[#This Row],[Salário Base]]/210*0.39*7*15.5,IF(ISNUMBER(SEARCH("Noturno",tabParametros[[#This Row],[Função]],1)),tabParametros[[#This Row],[Salário Base]]/210*0.2*8*15.5,0))</f>
        <v>0</v>
      </c>
      <c r="M28" s="232">
        <f>IF(ISNUMBER(SEARCH("Motorista II",tabParametros[[#This Row],[Função]],1)),0.3022*tabParametros[[#This Row],[Salário Base]],0)</f>
        <v>0</v>
      </c>
      <c r="N28" s="254">
        <v>0</v>
      </c>
      <c r="O28" s="254">
        <f>IF(ISNUMBER(SEARCH("TECNOLOGIA DA INFORMACAO",tabParametros[[#This Row],[Função]],1)),0.056*tabParametros[[#This Row],[Salário Base]],0)</f>
        <v>0</v>
      </c>
      <c r="P28" s="232">
        <f>IF(tabParametros[[#This Row],[Função]]="Operador de Midia Audiovisual - 150 h",tabParametros[[#This Row],[Salário Base]]/150*50*30%,IF(tabParametros[[#This Row],[Função]]="Supervisor de Manutencao de Veiculos II - 220 h",12%*tabParametros[[#This Row],[Salário Base]],0))</f>
        <v>0</v>
      </c>
      <c r="Q28" s="233">
        <f>VLOOKUP(tabParametros[[#Headers],[INSS]],tabImpostosNacionais[],2,0)</f>
        <v>0.2</v>
      </c>
      <c r="R28" s="233">
        <f>VLOOKUP(tabParametros[[#Headers],[SESI OU SESC]],tabImpostosNacionais[],2,0)</f>
        <v>1.4999999999999999E-2</v>
      </c>
      <c r="S28" s="233">
        <f>VLOOKUP(tabParametros[[#Headers],[SENAI OU SENAC]],tabImpostosNacionais[],2,0)</f>
        <v>0.01</v>
      </c>
      <c r="T28" s="233">
        <f>VLOOKUP(tabParametros[[#Headers],[INCRA]],tabImpostosNacionais[],2,0)</f>
        <v>2E-3</v>
      </c>
      <c r="U28" s="233">
        <f>VLOOKUP(tabParametros[[#Headers],[Salário Educação]],tabImpostosNacionais[],2,0)</f>
        <v>2.5000000000000001E-2</v>
      </c>
      <c r="V28" s="233">
        <f>VLOOKUP(tabParametros[[#Headers],[FGTS]],tabImpostosNacionais[],2,0)</f>
        <v>0.08</v>
      </c>
      <c r="W28" s="233">
        <f>VLOOKUP(tabParametros[[#Headers],[RAT Ajustado]],tabImpostosNacionais[],2,0)</f>
        <v>0.04</v>
      </c>
      <c r="X28" s="233">
        <f>VLOOKUP(tabParametros[[#Headers],[SEBRAE]],tabImpostosNacionais[],2,0)</f>
        <v>6.0000000000000001E-3</v>
      </c>
      <c r="Y28" s="233">
        <f t="shared" si="0"/>
        <v>8.3333333333333329E-2</v>
      </c>
      <c r="Z28" s="233">
        <f t="shared" si="1"/>
        <v>0.1111111111111111</v>
      </c>
      <c r="AA28" s="232">
        <f>VLOOKUP(tabParametros[[#This Row],[Comarca]],tabComarca[],5,0)</f>
        <v>11.25</v>
      </c>
      <c r="AB28" s="232">
        <f>VLOOKUP(tabParametros[[#This Row],[CCT DA CATEGORIA]],tabSindicatos[],6,0)</f>
        <v>29.15</v>
      </c>
      <c r="AC28" s="232">
        <f>VLOOKUP(tabParametros[[#This Row],[CCT DA CATEGORIA]],tabSindicatos[],7,0)</f>
        <v>0</v>
      </c>
      <c r="AD28" s="232" cm="1">
        <f t="array" ref="AD2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28" s="232">
        <f>VLOOKUP(tabParametros[[#This Row],[CCT DA CATEGORIA]],tabSindicatos[],9,0)</f>
        <v>0</v>
      </c>
      <c r="AF28" s="232">
        <f>VLOOKUP(tabParametros[[#This Row],[CCT DA CATEGORIA]],tabSindicatos[],10,0)</f>
        <v>0</v>
      </c>
      <c r="AG28" s="234">
        <f>VLOOKUP(tabParametros[[#Headers],[Seguro de Vida]],tabOutrosCustos[],3,0)</f>
        <v>3.36</v>
      </c>
      <c r="AH28" s="234">
        <f>IF(ISNUMBER(SEARCH("MOTORISTA",tabParametros[[#This Row],[Função]],1)),VLOOKUP("MOTORISTAS",tabDiarias[],2,0),IF(tabParametros[[#This Row],[Comarca]]="Belo Horizonte",VLOOKUP("APOIO",tabDiarias[],2,0),0))</f>
        <v>202.08</v>
      </c>
      <c r="AI28" s="233">
        <f t="shared" si="2"/>
        <v>7.011766975308642E-3</v>
      </c>
      <c r="AJ28" s="235">
        <f>tabParametros[[#This Row],[FGTS]]*tabParametros[[#This Row],[Aviso Prévio Indenizado (API) e Reflexo do Aviso Prévio Indenizado]]</f>
        <v>5.609413580246914E-4</v>
      </c>
      <c r="AK28" s="235">
        <f>tabParametros[[#This Row],[FGTS]]*tabParametros[[#This Row],[Aviso Prévio Indenizado (API) e Reflexo do Aviso Prévio Indenizado]]*40%</f>
        <v>2.2437654320987658E-4</v>
      </c>
      <c r="AL28" s="233">
        <f t="shared" si="3"/>
        <v>3.5000000000000005E-3</v>
      </c>
      <c r="AM28" s="233">
        <f>tabParametros[[#This Row],[Aviso Prévio Trabalhado - APT]]*SUM(tabParametros[[#This Row],[INSS]:[SEBRAE]])</f>
        <v>1.3230000000000004E-3</v>
      </c>
      <c r="AN28" s="233">
        <f t="shared" si="4"/>
        <v>3.0577777777777773E-2</v>
      </c>
      <c r="AO28" s="233">
        <f t="shared" si="5"/>
        <v>8.3333333333333339E-4</v>
      </c>
      <c r="AP28" s="233">
        <f t="shared" si="6"/>
        <v>8.4444444444444437E-3</v>
      </c>
      <c r="AQ28" s="233">
        <f t="shared" si="7"/>
        <v>2.0277777777777777E-3</v>
      </c>
      <c r="AR28" s="233">
        <f t="shared" si="8"/>
        <v>1.7083333333333333E-4</v>
      </c>
      <c r="AS28" s="233">
        <f t="shared" si="9"/>
        <v>2.0833333333333335E-4</v>
      </c>
      <c r="AT28" s="233">
        <f t="shared" si="10"/>
        <v>1.2962962962962963E-3</v>
      </c>
      <c r="AU28" s="235">
        <f>SUM(tabParametros[[#This Row],[Ausência por Doença]:[Férias, Adicional de Férias e 13º  com empregada em gozo de Licença Maternidade]])*SUM(tabParametros[[#This Row],[INSS]:[SEBRAE]])</f>
        <v>4.5918250000000008E-3</v>
      </c>
      <c r="AV28" s="254">
        <f>IF(tabParametros[[#This Row],[Função]]="Porteiro - 220 h",SUM(tabParametros[[#This Row],[Salário Base]:[Adicional de Acúmulo de função]])/220*20*1.5,IF(ISNUMBER(SEARCH("12 x 36",tabParametros[[#This Row],[Função]],1)),SUM(tabParametros[[#This Row],[Salário Base]:[Adicional de Acúmulo de função]])/210*15.5*1.5,0))</f>
        <v>0</v>
      </c>
      <c r="AW28" s="232">
        <f>IF(tabParametros[[#This Row],[Vagas contratadas]]&gt;0,(SUM(tabParametros[[#This Row],[Salário Base]:[Adicional de Acúmulo de função]])*30%+SUM(tabParametros[[#This Row],[Vale - Alimentação]:[Seguro de Vida]]))/tabParametros[[#This Row],[Vagas contratadas]]*tabParametros[[#This Row],[Vagas suspensas]],0)</f>
        <v>0</v>
      </c>
      <c r="AX28" s="232">
        <f>SUMIF(tabUniformes[Cargo],tabParametros[[#This Row],[Função]],tabUniformes[Valor unit. Mensal])</f>
        <v>74.449166666666656</v>
      </c>
      <c r="AY2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 s="232">
        <v>0</v>
      </c>
      <c r="BC28" s="234" t="e">
        <f ca="1">VLOOKUP(tabParametros[[#Headers],[Custos Indiretos]],tabOutrosCustos[],3,0)</f>
        <v>#NAME?</v>
      </c>
      <c r="BD28" s="234" t="e">
        <f ca="1">VLOOKUP(tabParametros[[#Headers],[Lucro]],tabOutrosCustos[],3,0)</f>
        <v>#NAME?</v>
      </c>
      <c r="BE28" s="233">
        <f>VLOOKUP(tabParametros[[#Headers],[COFINS]],tabImpostosNacionais[],2,0)</f>
        <v>7.5999999999999998E-2</v>
      </c>
      <c r="BF28" s="233">
        <f>VLOOKUP(tabParametros[[#Headers],[PIS]],tabImpostosNacionais[],2,0)</f>
        <v>1.6500000000000001E-2</v>
      </c>
      <c r="BG28" s="233">
        <f>VLOOKUP(tabParametros[[#This Row],[Comarca]],tabComarca[],4,0)</f>
        <v>0.05</v>
      </c>
      <c r="BH28" s="236">
        <f>VLOOKUP(tabParametros[[#This Row],[CCT DA CATEGORIA]],tabSindicatos[],11,0)</f>
        <v>45658</v>
      </c>
      <c r="BI28" s="282" t="str">
        <f>VLOOKUP(tabParametros[[#This Row],[CCT DA CATEGORIA]],tabSindicatos[],12,0)</f>
        <v>-</v>
      </c>
      <c r="BJ28" s="285" t="str">
        <f>VLOOKUP(tabParametros[[#This Row],[CCT DA CATEGORIA]],tabSindicatos[],13,0)</f>
        <v>-</v>
      </c>
    </row>
    <row r="29" spans="1:62">
      <c r="A29" s="231" t="s">
        <v>1408</v>
      </c>
      <c r="B29" s="197" t="s">
        <v>1103</v>
      </c>
      <c r="C29" s="197" t="s">
        <v>142</v>
      </c>
      <c r="D29" s="197" t="str">
        <f>VLOOKUP(tabParametros[[#This Row],[Código do Posto]],tabPostos[],4,0)</f>
        <v>SEAC/SINDEAC</v>
      </c>
      <c r="E29" s="282" t="str">
        <f>VLOOKUP(tabParametros[[#This Row],[Código do Posto]],tabPostos[],5,0)</f>
        <v>Apoio</v>
      </c>
      <c r="F29" s="282" t="str">
        <f>VLOOKUP(tabParametros[[#This Row],[Código do Posto]],tabPostos[],6,0)</f>
        <v>PGJ</v>
      </c>
      <c r="G29" s="282">
        <f>VLOOKUP(tabParametros[[#This Row],[Código do Posto]],tabPostos[],7,0)</f>
        <v>88</v>
      </c>
      <c r="H29" s="282">
        <f>VLOOKUP(tabParametros[[#This Row],[Código do Posto]],tabPostos[],8,0)</f>
        <v>0</v>
      </c>
      <c r="I29" s="232">
        <f>VLOOKUP(tabParametros[[#This Row],[Código do Posto]],tabPostos[],9,0)</f>
        <v>4768.659975857111</v>
      </c>
      <c r="J29" s="232">
        <f>IF(ISNUMBER(SEARCH("Eletricista",tabParametros[[#This Row],[Função]],1)),0.3*tabParametros[[#This Row],[Salário Base]],0)</f>
        <v>0</v>
      </c>
      <c r="K2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 s="232">
        <f>IF(AND(ISNUMBER(SEARCH("Noturno",tabParametros[[#This Row],[Função]],1)),tabParametros[[#This Row],[Comarca]]&lt;&gt;"Juiz de Fora"),tabParametros[[#This Row],[Salário Base]]/210*0.39*7*15.5,IF(ISNUMBER(SEARCH("Noturno",tabParametros[[#This Row],[Função]],1)),tabParametros[[#This Row],[Salário Base]]/210*0.2*8*15.5,0))</f>
        <v>0</v>
      </c>
      <c r="M29" s="232">
        <f>IF(ISNUMBER(SEARCH("Motorista II",tabParametros[[#This Row],[Função]],1)),0.3022*tabParametros[[#This Row],[Salário Base]],0)</f>
        <v>0</v>
      </c>
      <c r="N29" s="254">
        <v>0</v>
      </c>
      <c r="O29" s="254">
        <f>IF(ISNUMBER(SEARCH("TECNOLOGIA DA INFORMACAO",tabParametros[[#This Row],[Função]],1)),0.056*tabParametros[[#This Row],[Salário Base]],0)</f>
        <v>0</v>
      </c>
      <c r="P29" s="232">
        <f>IF(tabParametros[[#This Row],[Função]]="Operador de Midia Audiovisual - 150 h",tabParametros[[#This Row],[Salário Base]]/150*50*30%,IF(tabParametros[[#This Row],[Função]]="Supervisor de Manutencao de Veiculos II - 220 h",12%*tabParametros[[#This Row],[Salário Base]],0))</f>
        <v>0</v>
      </c>
      <c r="Q29" s="233">
        <f>VLOOKUP(tabParametros[[#Headers],[INSS]],tabImpostosNacionais[],2,0)</f>
        <v>0.2</v>
      </c>
      <c r="R29" s="233">
        <f>VLOOKUP(tabParametros[[#Headers],[SESI OU SESC]],tabImpostosNacionais[],2,0)</f>
        <v>1.4999999999999999E-2</v>
      </c>
      <c r="S29" s="233">
        <f>VLOOKUP(tabParametros[[#Headers],[SENAI OU SENAC]],tabImpostosNacionais[],2,0)</f>
        <v>0.01</v>
      </c>
      <c r="T29" s="233">
        <f>VLOOKUP(tabParametros[[#Headers],[INCRA]],tabImpostosNacionais[],2,0)</f>
        <v>2E-3</v>
      </c>
      <c r="U29" s="233">
        <f>VLOOKUP(tabParametros[[#Headers],[Salário Educação]],tabImpostosNacionais[],2,0)</f>
        <v>2.5000000000000001E-2</v>
      </c>
      <c r="V29" s="233">
        <f>VLOOKUP(tabParametros[[#Headers],[FGTS]],tabImpostosNacionais[],2,0)</f>
        <v>0.08</v>
      </c>
      <c r="W29" s="233">
        <f>VLOOKUP(tabParametros[[#Headers],[RAT Ajustado]],tabImpostosNacionais[],2,0)</f>
        <v>0.04</v>
      </c>
      <c r="X29" s="233">
        <f>VLOOKUP(tabParametros[[#Headers],[SEBRAE]],tabImpostosNacionais[],2,0)</f>
        <v>6.0000000000000001E-3</v>
      </c>
      <c r="Y29" s="233">
        <f t="shared" si="0"/>
        <v>8.3333333333333329E-2</v>
      </c>
      <c r="Z29" s="233">
        <f t="shared" si="1"/>
        <v>0.1111111111111111</v>
      </c>
      <c r="AA29" s="232">
        <f>VLOOKUP(tabParametros[[#This Row],[Comarca]],tabComarca[],5,0)</f>
        <v>11.25</v>
      </c>
      <c r="AB29" s="232">
        <f>VLOOKUP(tabParametros[[#This Row],[CCT DA CATEGORIA]],tabSindicatos[],6,0)</f>
        <v>29.15</v>
      </c>
      <c r="AC29" s="232">
        <f>VLOOKUP(tabParametros[[#This Row],[CCT DA CATEGORIA]],tabSindicatos[],7,0)</f>
        <v>0</v>
      </c>
      <c r="AD29" s="232" cm="1">
        <f t="array" ref="AD2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29" s="232">
        <f>VLOOKUP(tabParametros[[#This Row],[CCT DA CATEGORIA]],tabSindicatos[],9,0)</f>
        <v>0</v>
      </c>
      <c r="AF29" s="232">
        <f>VLOOKUP(tabParametros[[#This Row],[CCT DA CATEGORIA]],tabSindicatos[],10,0)</f>
        <v>0</v>
      </c>
      <c r="AG29" s="234">
        <f>VLOOKUP(tabParametros[[#Headers],[Seguro de Vida]],tabOutrosCustos[],3,0)</f>
        <v>3.36</v>
      </c>
      <c r="AH29" s="234">
        <f>IF(ISNUMBER(SEARCH("MOTORISTA",tabParametros[[#This Row],[Função]],1)),VLOOKUP("MOTORISTAS",tabDiarias[],2,0),IF(tabParametros[[#This Row],[Comarca]]="Belo Horizonte",VLOOKUP("APOIO",tabDiarias[],2,0),0))</f>
        <v>202.08</v>
      </c>
      <c r="AI29" s="233">
        <f t="shared" si="2"/>
        <v>7.011766975308642E-3</v>
      </c>
      <c r="AJ29" s="235">
        <f>tabParametros[[#This Row],[FGTS]]*tabParametros[[#This Row],[Aviso Prévio Indenizado (API) e Reflexo do Aviso Prévio Indenizado]]</f>
        <v>5.609413580246914E-4</v>
      </c>
      <c r="AK29" s="235">
        <f>tabParametros[[#This Row],[FGTS]]*tabParametros[[#This Row],[Aviso Prévio Indenizado (API) e Reflexo do Aviso Prévio Indenizado]]*40%</f>
        <v>2.2437654320987658E-4</v>
      </c>
      <c r="AL29" s="233">
        <f t="shared" si="3"/>
        <v>3.5000000000000005E-3</v>
      </c>
      <c r="AM29" s="233">
        <f>tabParametros[[#This Row],[Aviso Prévio Trabalhado - APT]]*SUM(tabParametros[[#This Row],[INSS]:[SEBRAE]])</f>
        <v>1.3230000000000004E-3</v>
      </c>
      <c r="AN29" s="233">
        <f t="shared" si="4"/>
        <v>3.0577777777777773E-2</v>
      </c>
      <c r="AO29" s="233">
        <f t="shared" si="5"/>
        <v>8.3333333333333339E-4</v>
      </c>
      <c r="AP29" s="233">
        <f t="shared" si="6"/>
        <v>8.4444444444444437E-3</v>
      </c>
      <c r="AQ29" s="233">
        <f t="shared" si="7"/>
        <v>2.0277777777777777E-3</v>
      </c>
      <c r="AR29" s="233">
        <f t="shared" si="8"/>
        <v>1.7083333333333333E-4</v>
      </c>
      <c r="AS29" s="233">
        <f t="shared" si="9"/>
        <v>2.0833333333333335E-4</v>
      </c>
      <c r="AT29" s="233">
        <f t="shared" si="10"/>
        <v>1.2962962962962963E-3</v>
      </c>
      <c r="AU29" s="235">
        <f>SUM(tabParametros[[#This Row],[Ausência por Doença]:[Férias, Adicional de Férias e 13º  com empregada em gozo de Licença Maternidade]])*SUM(tabParametros[[#This Row],[INSS]:[SEBRAE]])</f>
        <v>4.5918250000000008E-3</v>
      </c>
      <c r="AV29" s="254">
        <f>IF(tabParametros[[#This Row],[Função]]="Porteiro - 220 h",SUM(tabParametros[[#This Row],[Salário Base]:[Adicional de Acúmulo de função]])/220*20*1.5,IF(ISNUMBER(SEARCH("12 x 36",tabParametros[[#This Row],[Função]],1)),SUM(tabParametros[[#This Row],[Salário Base]:[Adicional de Acúmulo de função]])/210*15.5*1.5,0))</f>
        <v>0</v>
      </c>
      <c r="AW29" s="232">
        <f>IF(tabParametros[[#This Row],[Vagas contratadas]]&gt;0,(SUM(tabParametros[[#This Row],[Salário Base]:[Adicional de Acúmulo de função]])*30%+SUM(tabParametros[[#This Row],[Vale - Alimentação]:[Seguro de Vida]]))/tabParametros[[#This Row],[Vagas contratadas]]*tabParametros[[#This Row],[Vagas suspensas]],0)</f>
        <v>0</v>
      </c>
      <c r="AX29" s="232">
        <f>SUMIF(tabUniformes[Cargo],tabParametros[[#This Row],[Função]],tabUniformes[Valor unit. Mensal])</f>
        <v>122.88960578008744</v>
      </c>
      <c r="AY2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 s="232">
        <v>0</v>
      </c>
      <c r="BC29" s="234" t="e">
        <f ca="1">VLOOKUP(tabParametros[[#Headers],[Custos Indiretos]],tabOutrosCustos[],3,0)</f>
        <v>#NAME?</v>
      </c>
      <c r="BD29" s="234" t="e">
        <f ca="1">VLOOKUP(tabParametros[[#Headers],[Lucro]],tabOutrosCustos[],3,0)</f>
        <v>#NAME?</v>
      </c>
      <c r="BE29" s="233">
        <f>VLOOKUP(tabParametros[[#Headers],[COFINS]],tabImpostosNacionais[],2,0)</f>
        <v>7.5999999999999998E-2</v>
      </c>
      <c r="BF29" s="233">
        <f>VLOOKUP(tabParametros[[#Headers],[PIS]],tabImpostosNacionais[],2,0)</f>
        <v>1.6500000000000001E-2</v>
      </c>
      <c r="BG29" s="233">
        <f>VLOOKUP(tabParametros[[#This Row],[Comarca]],tabComarca[],4,0)</f>
        <v>0.05</v>
      </c>
      <c r="BH29" s="236">
        <f>VLOOKUP(tabParametros[[#This Row],[CCT DA CATEGORIA]],tabSindicatos[],11,0)</f>
        <v>45658</v>
      </c>
      <c r="BI29" s="282" t="str">
        <f>VLOOKUP(tabParametros[[#This Row],[CCT DA CATEGORIA]],tabSindicatos[],12,0)</f>
        <v>-</v>
      </c>
      <c r="BJ29" s="285" t="str">
        <f>VLOOKUP(tabParametros[[#This Row],[CCT DA CATEGORIA]],tabSindicatos[],13,0)</f>
        <v>-</v>
      </c>
    </row>
    <row r="30" spans="1:62">
      <c r="A30" s="231" t="s">
        <v>1409</v>
      </c>
      <c r="B30" s="197" t="s">
        <v>1103</v>
      </c>
      <c r="C30" s="197" t="s">
        <v>142</v>
      </c>
      <c r="D30" s="197" t="str">
        <f>VLOOKUP(tabParametros[[#This Row],[Código do Posto]],tabPostos[],4,0)</f>
        <v>SEAC/SINDEAC</v>
      </c>
      <c r="E30" s="282" t="str">
        <f>VLOOKUP(tabParametros[[#This Row],[Código do Posto]],tabPostos[],5,0)</f>
        <v>Apoio</v>
      </c>
      <c r="F30" s="282" t="str">
        <f>VLOOKUP(tabParametros[[#This Row],[Código do Posto]],tabPostos[],6,0)</f>
        <v>FEPDC</v>
      </c>
      <c r="G30" s="282">
        <f>VLOOKUP(tabParametros[[#This Row],[Código do Posto]],tabPostos[],7,0)</f>
        <v>29</v>
      </c>
      <c r="H30" s="282">
        <f>VLOOKUP(tabParametros[[#This Row],[Código do Posto]],tabPostos[],8,0)</f>
        <v>0</v>
      </c>
      <c r="I30" s="232">
        <f>VLOOKUP(tabParametros[[#This Row],[Código do Posto]],tabPostos[],9,0)</f>
        <v>4768.659975857111</v>
      </c>
      <c r="J30" s="232">
        <f>IF(ISNUMBER(SEARCH("Eletricista",tabParametros[[#This Row],[Função]],1)),0.3*tabParametros[[#This Row],[Salário Base]],0)</f>
        <v>0</v>
      </c>
      <c r="K3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 s="232">
        <f>IF(AND(ISNUMBER(SEARCH("Noturno",tabParametros[[#This Row],[Função]],1)),tabParametros[[#This Row],[Comarca]]&lt;&gt;"Juiz de Fora"),tabParametros[[#This Row],[Salário Base]]/210*0.39*7*15.5,IF(ISNUMBER(SEARCH("Noturno",tabParametros[[#This Row],[Função]],1)),tabParametros[[#This Row],[Salário Base]]/210*0.2*8*15.5,0))</f>
        <v>0</v>
      </c>
      <c r="M30" s="232">
        <f>IF(ISNUMBER(SEARCH("Motorista II",tabParametros[[#This Row],[Função]],1)),0.3022*tabParametros[[#This Row],[Salário Base]],0)</f>
        <v>0</v>
      </c>
      <c r="N30" s="254">
        <v>0</v>
      </c>
      <c r="O30" s="254">
        <f>IF(ISNUMBER(SEARCH("TECNOLOGIA DA INFORMACAO",tabParametros[[#This Row],[Função]],1)),0.056*tabParametros[[#This Row],[Salário Base]],0)</f>
        <v>0</v>
      </c>
      <c r="P30" s="232">
        <f>IF(tabParametros[[#This Row],[Função]]="Operador de Midia Audiovisual - 150 h",tabParametros[[#This Row],[Salário Base]]/150*50*30%,IF(tabParametros[[#This Row],[Função]]="Supervisor de Manutencao de Veiculos II - 220 h",12%*tabParametros[[#This Row],[Salário Base]],0))</f>
        <v>0</v>
      </c>
      <c r="Q30" s="233">
        <f>VLOOKUP(tabParametros[[#Headers],[INSS]],tabImpostosNacionais[],2,0)</f>
        <v>0.2</v>
      </c>
      <c r="R30" s="233">
        <f>VLOOKUP(tabParametros[[#Headers],[SESI OU SESC]],tabImpostosNacionais[],2,0)</f>
        <v>1.4999999999999999E-2</v>
      </c>
      <c r="S30" s="233">
        <f>VLOOKUP(tabParametros[[#Headers],[SENAI OU SENAC]],tabImpostosNacionais[],2,0)</f>
        <v>0.01</v>
      </c>
      <c r="T30" s="233">
        <f>VLOOKUP(tabParametros[[#Headers],[INCRA]],tabImpostosNacionais[],2,0)</f>
        <v>2E-3</v>
      </c>
      <c r="U30" s="233">
        <f>VLOOKUP(tabParametros[[#Headers],[Salário Educação]],tabImpostosNacionais[],2,0)</f>
        <v>2.5000000000000001E-2</v>
      </c>
      <c r="V30" s="233">
        <f>VLOOKUP(tabParametros[[#Headers],[FGTS]],tabImpostosNacionais[],2,0)</f>
        <v>0.08</v>
      </c>
      <c r="W30" s="233">
        <f>VLOOKUP(tabParametros[[#Headers],[RAT Ajustado]],tabImpostosNacionais[],2,0)</f>
        <v>0.04</v>
      </c>
      <c r="X30" s="233">
        <f>VLOOKUP(tabParametros[[#Headers],[SEBRAE]],tabImpostosNacionais[],2,0)</f>
        <v>6.0000000000000001E-3</v>
      </c>
      <c r="Y30" s="233">
        <f t="shared" si="0"/>
        <v>8.3333333333333329E-2</v>
      </c>
      <c r="Z30" s="233">
        <f t="shared" si="1"/>
        <v>0.1111111111111111</v>
      </c>
      <c r="AA30" s="232">
        <f>VLOOKUP(tabParametros[[#This Row],[Comarca]],tabComarca[],5,0)</f>
        <v>11.25</v>
      </c>
      <c r="AB30" s="232">
        <f>VLOOKUP(tabParametros[[#This Row],[CCT DA CATEGORIA]],tabSindicatos[],6,0)</f>
        <v>29.15</v>
      </c>
      <c r="AC30" s="232">
        <f>VLOOKUP(tabParametros[[#This Row],[CCT DA CATEGORIA]],tabSindicatos[],7,0)</f>
        <v>0</v>
      </c>
      <c r="AD30" s="232" cm="1">
        <f t="array" ref="AD3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30" s="232">
        <f>VLOOKUP(tabParametros[[#This Row],[CCT DA CATEGORIA]],tabSindicatos[],9,0)</f>
        <v>0</v>
      </c>
      <c r="AF30" s="232">
        <f>VLOOKUP(tabParametros[[#This Row],[CCT DA CATEGORIA]],tabSindicatos[],10,0)</f>
        <v>0</v>
      </c>
      <c r="AG30" s="234">
        <f>VLOOKUP(tabParametros[[#Headers],[Seguro de Vida]],tabOutrosCustos[],3,0)</f>
        <v>3.36</v>
      </c>
      <c r="AH30" s="234">
        <f>IF(ISNUMBER(SEARCH("MOTORISTA",tabParametros[[#This Row],[Função]],1)),VLOOKUP("MOTORISTAS",tabDiarias[],2,0),IF(tabParametros[[#This Row],[Comarca]]="Belo Horizonte",VLOOKUP("APOIO",tabDiarias[],2,0),0))</f>
        <v>202.08</v>
      </c>
      <c r="AI30" s="233">
        <f t="shared" si="2"/>
        <v>7.011766975308642E-3</v>
      </c>
      <c r="AJ30" s="235">
        <f>tabParametros[[#This Row],[FGTS]]*tabParametros[[#This Row],[Aviso Prévio Indenizado (API) e Reflexo do Aviso Prévio Indenizado]]</f>
        <v>5.609413580246914E-4</v>
      </c>
      <c r="AK30" s="235">
        <f>tabParametros[[#This Row],[FGTS]]*tabParametros[[#This Row],[Aviso Prévio Indenizado (API) e Reflexo do Aviso Prévio Indenizado]]*40%</f>
        <v>2.2437654320987658E-4</v>
      </c>
      <c r="AL30" s="233">
        <f t="shared" si="3"/>
        <v>3.5000000000000005E-3</v>
      </c>
      <c r="AM30" s="233">
        <f>tabParametros[[#This Row],[Aviso Prévio Trabalhado - APT]]*SUM(tabParametros[[#This Row],[INSS]:[SEBRAE]])</f>
        <v>1.3230000000000004E-3</v>
      </c>
      <c r="AN30" s="233">
        <f t="shared" si="4"/>
        <v>3.0577777777777773E-2</v>
      </c>
      <c r="AO30" s="233">
        <f t="shared" si="5"/>
        <v>8.3333333333333339E-4</v>
      </c>
      <c r="AP30" s="233">
        <f t="shared" si="6"/>
        <v>8.4444444444444437E-3</v>
      </c>
      <c r="AQ30" s="233">
        <f t="shared" si="7"/>
        <v>2.0277777777777777E-3</v>
      </c>
      <c r="AR30" s="233">
        <f t="shared" si="8"/>
        <v>1.7083333333333333E-4</v>
      </c>
      <c r="AS30" s="233">
        <f t="shared" si="9"/>
        <v>2.0833333333333335E-4</v>
      </c>
      <c r="AT30" s="233">
        <f t="shared" si="10"/>
        <v>1.2962962962962963E-3</v>
      </c>
      <c r="AU30" s="235">
        <f>SUM(tabParametros[[#This Row],[Ausência por Doença]:[Férias, Adicional de Férias e 13º  com empregada em gozo de Licença Maternidade]])*SUM(tabParametros[[#This Row],[INSS]:[SEBRAE]])</f>
        <v>4.5918250000000008E-3</v>
      </c>
      <c r="AV30" s="254">
        <f>IF(tabParametros[[#This Row],[Função]]="Porteiro - 220 h",SUM(tabParametros[[#This Row],[Salário Base]:[Adicional de Acúmulo de função]])/220*20*1.5,IF(ISNUMBER(SEARCH("12 x 36",tabParametros[[#This Row],[Função]],1)),SUM(tabParametros[[#This Row],[Salário Base]:[Adicional de Acúmulo de função]])/210*15.5*1.5,0))</f>
        <v>0</v>
      </c>
      <c r="AW30" s="232">
        <f>IF(tabParametros[[#This Row],[Vagas contratadas]]&gt;0,(SUM(tabParametros[[#This Row],[Salário Base]:[Adicional de Acúmulo de função]])*30%+SUM(tabParametros[[#This Row],[Vale - Alimentação]:[Seguro de Vida]]))/tabParametros[[#This Row],[Vagas contratadas]]*tabParametros[[#This Row],[Vagas suspensas]],0)</f>
        <v>0</v>
      </c>
      <c r="AX30" s="232">
        <f>SUMIF(tabUniformes[Cargo],tabParametros[[#This Row],[Função]],tabUniformes[Valor unit. Mensal])</f>
        <v>122.88960578008744</v>
      </c>
      <c r="AY3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 s="232">
        <v>0</v>
      </c>
      <c r="BC30" s="234" t="e">
        <f ca="1">VLOOKUP(tabParametros[[#Headers],[Custos Indiretos]],tabOutrosCustos[],3,0)</f>
        <v>#NAME?</v>
      </c>
      <c r="BD30" s="234" t="e">
        <f ca="1">VLOOKUP(tabParametros[[#Headers],[Lucro]],tabOutrosCustos[],3,0)</f>
        <v>#NAME?</v>
      </c>
      <c r="BE30" s="233">
        <f>VLOOKUP(tabParametros[[#Headers],[COFINS]],tabImpostosNacionais[],2,0)</f>
        <v>7.5999999999999998E-2</v>
      </c>
      <c r="BF30" s="233">
        <f>VLOOKUP(tabParametros[[#Headers],[PIS]],tabImpostosNacionais[],2,0)</f>
        <v>1.6500000000000001E-2</v>
      </c>
      <c r="BG30" s="233">
        <f>VLOOKUP(tabParametros[[#This Row],[Comarca]],tabComarca[],4,0)</f>
        <v>0.05</v>
      </c>
      <c r="BH30" s="236">
        <f>VLOOKUP(tabParametros[[#This Row],[CCT DA CATEGORIA]],tabSindicatos[],11,0)</f>
        <v>45658</v>
      </c>
      <c r="BI30" s="282" t="str">
        <f>VLOOKUP(tabParametros[[#This Row],[CCT DA CATEGORIA]],tabSindicatos[],12,0)</f>
        <v>-</v>
      </c>
      <c r="BJ30" s="285" t="str">
        <f>VLOOKUP(tabParametros[[#This Row],[CCT DA CATEGORIA]],tabSindicatos[],13,0)</f>
        <v>-</v>
      </c>
    </row>
    <row r="31" spans="1:62">
      <c r="A31" s="231" t="s">
        <v>1410</v>
      </c>
      <c r="B31" s="197" t="s">
        <v>1103</v>
      </c>
      <c r="C31" s="197" t="s">
        <v>150</v>
      </c>
      <c r="D31" s="197" t="str">
        <f>VLOOKUP(tabParametros[[#This Row],[Código do Posto]],tabPostos[],4,0)</f>
        <v>SETTASPOC</v>
      </c>
      <c r="E31" s="282" t="str">
        <f>VLOOKUP(tabParametros[[#This Row],[Código do Posto]],tabPostos[],5,0)</f>
        <v>Apoio</v>
      </c>
      <c r="F31" s="282" t="str">
        <f>VLOOKUP(tabParametros[[#This Row],[Código do Posto]],tabPostos[],6,0)</f>
        <v>PGJ</v>
      </c>
      <c r="G31" s="282">
        <f>VLOOKUP(tabParametros[[#This Row],[Código do Posto]],tabPostos[],7,0)</f>
        <v>15</v>
      </c>
      <c r="H31" s="282">
        <f>VLOOKUP(tabParametros[[#This Row],[Código do Posto]],tabPostos[],8,0)</f>
        <v>0</v>
      </c>
      <c r="I31" s="232">
        <f>VLOOKUP(tabParametros[[#This Row],[Código do Posto]],tabPostos[],9,0)</f>
        <v>8036.7</v>
      </c>
      <c r="J31" s="232">
        <f>IF(ISNUMBER(SEARCH("Eletricista",tabParametros[[#This Row],[Função]],1)),0.3*tabParametros[[#This Row],[Salário Base]],0)</f>
        <v>0</v>
      </c>
      <c r="K3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 s="232">
        <f>IF(AND(ISNUMBER(SEARCH("Noturno",tabParametros[[#This Row],[Função]],1)),tabParametros[[#This Row],[Comarca]]&lt;&gt;"Juiz de Fora"),tabParametros[[#This Row],[Salário Base]]/210*0.39*7*15.5,IF(ISNUMBER(SEARCH("Noturno",tabParametros[[#This Row],[Função]],1)),tabParametros[[#This Row],[Salário Base]]/210*0.2*8*15.5,0))</f>
        <v>0</v>
      </c>
      <c r="M31" s="232">
        <f>IF(ISNUMBER(SEARCH("Motorista II",tabParametros[[#This Row],[Função]],1)),0.3022*tabParametros[[#This Row],[Salário Base]],0)</f>
        <v>0</v>
      </c>
      <c r="N31" s="254">
        <v>0</v>
      </c>
      <c r="O31" s="254">
        <f>IF(ISNUMBER(SEARCH("TECNOLOGIA DA INFORMACAO",tabParametros[[#This Row],[Função]],1)),0.056*tabParametros[[#This Row],[Salário Base]],0)</f>
        <v>450.05520000000001</v>
      </c>
      <c r="P31" s="232">
        <f>IF(tabParametros[[#This Row],[Função]]="Operador de Midia Audiovisual - 150 h",tabParametros[[#This Row],[Salário Base]]/150*50*30%,IF(tabParametros[[#This Row],[Função]]="Supervisor de Manutencao de Veiculos II - 220 h",12%*tabParametros[[#This Row],[Salário Base]],0))</f>
        <v>0</v>
      </c>
      <c r="Q31" s="233">
        <f>VLOOKUP(tabParametros[[#Headers],[INSS]],tabImpostosNacionais[],2,0)</f>
        <v>0.2</v>
      </c>
      <c r="R31" s="233">
        <f>VLOOKUP(tabParametros[[#Headers],[SESI OU SESC]],tabImpostosNacionais[],2,0)</f>
        <v>1.4999999999999999E-2</v>
      </c>
      <c r="S31" s="233">
        <f>VLOOKUP(tabParametros[[#Headers],[SENAI OU SENAC]],tabImpostosNacionais[],2,0)</f>
        <v>0.01</v>
      </c>
      <c r="T31" s="233">
        <f>VLOOKUP(tabParametros[[#Headers],[INCRA]],tabImpostosNacionais[],2,0)</f>
        <v>2E-3</v>
      </c>
      <c r="U31" s="233">
        <f>VLOOKUP(tabParametros[[#Headers],[Salário Educação]],tabImpostosNacionais[],2,0)</f>
        <v>2.5000000000000001E-2</v>
      </c>
      <c r="V31" s="233">
        <f>VLOOKUP(tabParametros[[#Headers],[FGTS]],tabImpostosNacionais[],2,0)</f>
        <v>0.08</v>
      </c>
      <c r="W31" s="233">
        <f>VLOOKUP(tabParametros[[#Headers],[RAT Ajustado]],tabImpostosNacionais[],2,0)</f>
        <v>0.04</v>
      </c>
      <c r="X31" s="233">
        <f>VLOOKUP(tabParametros[[#Headers],[SEBRAE]],tabImpostosNacionais[],2,0)</f>
        <v>6.0000000000000001E-3</v>
      </c>
      <c r="Y31" s="233">
        <f t="shared" si="0"/>
        <v>8.3333333333333329E-2</v>
      </c>
      <c r="Z31" s="233">
        <f t="shared" si="1"/>
        <v>0.1111111111111111</v>
      </c>
      <c r="AA31" s="232">
        <f>VLOOKUP(tabParametros[[#This Row],[Comarca]],tabComarca[],5,0)</f>
        <v>11.25</v>
      </c>
      <c r="AB31" s="232">
        <f>VLOOKUP(tabParametros[[#This Row],[CCT DA CATEGORIA]],tabSindicatos[],6,0)</f>
        <v>29.14</v>
      </c>
      <c r="AC31" s="232">
        <f>VLOOKUP(tabParametros[[#This Row],[CCT DA CATEGORIA]],tabSindicatos[],7,0)</f>
        <v>0</v>
      </c>
      <c r="AD31" s="232" cm="1">
        <f t="array" ref="AD3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31" s="232">
        <f>VLOOKUP(tabParametros[[#This Row],[CCT DA CATEGORIA]],tabSindicatos[],9,0)</f>
        <v>0</v>
      </c>
      <c r="AF31" s="232">
        <f>VLOOKUP(tabParametros[[#This Row],[CCT DA CATEGORIA]],tabSindicatos[],10,0)</f>
        <v>0</v>
      </c>
      <c r="AG31" s="234">
        <f>VLOOKUP(tabParametros[[#Headers],[Seguro de Vida]],tabOutrosCustos[],3,0)</f>
        <v>3.36</v>
      </c>
      <c r="AH31" s="234">
        <f>IF(ISNUMBER(SEARCH("MOTORISTA",tabParametros[[#This Row],[Função]],1)),VLOOKUP("MOTORISTAS",tabDiarias[],2,0),IF(tabParametros[[#This Row],[Comarca]]="Belo Horizonte",VLOOKUP("APOIO",tabDiarias[],2,0),0))</f>
        <v>202.08</v>
      </c>
      <c r="AI31" s="233">
        <f t="shared" si="2"/>
        <v>7.011766975308642E-3</v>
      </c>
      <c r="AJ31" s="235">
        <f>tabParametros[[#This Row],[FGTS]]*tabParametros[[#This Row],[Aviso Prévio Indenizado (API) e Reflexo do Aviso Prévio Indenizado]]</f>
        <v>5.609413580246914E-4</v>
      </c>
      <c r="AK31" s="235">
        <f>tabParametros[[#This Row],[FGTS]]*tabParametros[[#This Row],[Aviso Prévio Indenizado (API) e Reflexo do Aviso Prévio Indenizado]]*40%</f>
        <v>2.2437654320987658E-4</v>
      </c>
      <c r="AL31" s="233">
        <f t="shared" si="3"/>
        <v>3.5000000000000005E-3</v>
      </c>
      <c r="AM31" s="233">
        <f>tabParametros[[#This Row],[Aviso Prévio Trabalhado - APT]]*SUM(tabParametros[[#This Row],[INSS]:[SEBRAE]])</f>
        <v>1.3230000000000004E-3</v>
      </c>
      <c r="AN31" s="233">
        <f t="shared" si="4"/>
        <v>3.0577777777777773E-2</v>
      </c>
      <c r="AO31" s="233">
        <f t="shared" si="5"/>
        <v>8.3333333333333339E-4</v>
      </c>
      <c r="AP31" s="233">
        <f t="shared" si="6"/>
        <v>8.4444444444444437E-3</v>
      </c>
      <c r="AQ31" s="233">
        <f t="shared" si="7"/>
        <v>2.0277777777777777E-3</v>
      </c>
      <c r="AR31" s="233">
        <f t="shared" si="8"/>
        <v>1.7083333333333333E-4</v>
      </c>
      <c r="AS31" s="233">
        <f t="shared" si="9"/>
        <v>2.0833333333333335E-4</v>
      </c>
      <c r="AT31" s="233">
        <f t="shared" si="10"/>
        <v>1.2962962962962963E-3</v>
      </c>
      <c r="AU31" s="235">
        <f>SUM(tabParametros[[#This Row],[Ausência por Doença]:[Férias, Adicional de Férias e 13º  com empregada em gozo de Licença Maternidade]])*SUM(tabParametros[[#This Row],[INSS]:[SEBRAE]])</f>
        <v>4.5918250000000008E-3</v>
      </c>
      <c r="AV31" s="254">
        <f>IF(tabParametros[[#This Row],[Função]]="Porteiro - 220 h",SUM(tabParametros[[#This Row],[Salário Base]:[Adicional de Acúmulo de função]])/220*20*1.5,IF(ISNUMBER(SEARCH("12 x 36",tabParametros[[#This Row],[Função]],1)),SUM(tabParametros[[#This Row],[Salário Base]:[Adicional de Acúmulo de função]])/210*15.5*1.5,0))</f>
        <v>0</v>
      </c>
      <c r="AW31" s="232">
        <f>IF(tabParametros[[#This Row],[Vagas contratadas]]&gt;0,(SUM(tabParametros[[#This Row],[Salário Base]:[Adicional de Acúmulo de função]])*30%+SUM(tabParametros[[#This Row],[Vale - Alimentação]:[Seguro de Vida]]))/tabParametros[[#This Row],[Vagas contratadas]]*tabParametros[[#This Row],[Vagas suspensas]],0)</f>
        <v>0</v>
      </c>
      <c r="AX31" s="232">
        <f>SUMIF(tabUniformes[Cargo],tabParametros[[#This Row],[Função]],tabUniformes[Valor unit. Mensal])</f>
        <v>44.111346448706357</v>
      </c>
      <c r="AY3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 s="232">
        <v>0</v>
      </c>
      <c r="BC31" s="234" t="e">
        <f ca="1">VLOOKUP(tabParametros[[#Headers],[Custos Indiretos]],tabOutrosCustos[],3,0)</f>
        <v>#NAME?</v>
      </c>
      <c r="BD31" s="234" t="e">
        <f ca="1">VLOOKUP(tabParametros[[#Headers],[Lucro]],tabOutrosCustos[],3,0)</f>
        <v>#NAME?</v>
      </c>
      <c r="BE31" s="233">
        <f>VLOOKUP(tabParametros[[#Headers],[COFINS]],tabImpostosNacionais[],2,0)</f>
        <v>7.5999999999999998E-2</v>
      </c>
      <c r="BF31" s="233">
        <f>VLOOKUP(tabParametros[[#Headers],[PIS]],tabImpostosNacionais[],2,0)</f>
        <v>1.6500000000000001E-2</v>
      </c>
      <c r="BG31" s="233">
        <f>VLOOKUP(tabParametros[[#This Row],[Comarca]],tabComarca[],4,0)</f>
        <v>0.05</v>
      </c>
      <c r="BH31" s="236">
        <f>VLOOKUP(tabParametros[[#This Row],[CCT DA CATEGORIA]],tabSindicatos[],11,0)</f>
        <v>45658</v>
      </c>
      <c r="BI31" s="282" t="str">
        <f>VLOOKUP(tabParametros[[#This Row],[CCT DA CATEGORIA]],tabSindicatos[],12,0)</f>
        <v>-</v>
      </c>
      <c r="BJ31" s="285" t="str">
        <f>VLOOKUP(tabParametros[[#This Row],[CCT DA CATEGORIA]],tabSindicatos[],13,0)</f>
        <v>-</v>
      </c>
    </row>
    <row r="32" spans="1:62">
      <c r="A32" s="231" t="s">
        <v>1411</v>
      </c>
      <c r="B32" s="197" t="s">
        <v>1103</v>
      </c>
      <c r="C32" s="197" t="s">
        <v>159</v>
      </c>
      <c r="D32" s="197" t="str">
        <f>VLOOKUP(tabParametros[[#This Row],[Código do Posto]],tabPostos[],4,0)</f>
        <v>SETTASPOC</v>
      </c>
      <c r="E32" s="282" t="str">
        <f>VLOOKUP(tabParametros[[#This Row],[Código do Posto]],tabPostos[],5,0)</f>
        <v>Apoio</v>
      </c>
      <c r="F32" s="282" t="str">
        <f>VLOOKUP(tabParametros[[#This Row],[Código do Posto]],tabPostos[],6,0)</f>
        <v>PGJ</v>
      </c>
      <c r="G32" s="282">
        <f>VLOOKUP(tabParametros[[#This Row],[Código do Posto]],tabPostos[],7,0)</f>
        <v>10</v>
      </c>
      <c r="H32" s="282">
        <f>VLOOKUP(tabParametros[[#This Row],[Código do Posto]],tabPostos[],8,0)</f>
        <v>0</v>
      </c>
      <c r="I32" s="232">
        <f>VLOOKUP(tabParametros[[#This Row],[Código do Posto]],tabPostos[],9,0)</f>
        <v>9236.7900000000009</v>
      </c>
      <c r="J32" s="232">
        <f>IF(ISNUMBER(SEARCH("Eletricista",tabParametros[[#This Row],[Função]],1)),0.3*tabParametros[[#This Row],[Salário Base]],0)</f>
        <v>0</v>
      </c>
      <c r="K3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 s="232">
        <f>IF(AND(ISNUMBER(SEARCH("Noturno",tabParametros[[#This Row],[Função]],1)),tabParametros[[#This Row],[Comarca]]&lt;&gt;"Juiz de Fora"),tabParametros[[#This Row],[Salário Base]]/210*0.39*7*15.5,IF(ISNUMBER(SEARCH("Noturno",tabParametros[[#This Row],[Função]],1)),tabParametros[[#This Row],[Salário Base]]/210*0.2*8*15.5,0))</f>
        <v>0</v>
      </c>
      <c r="M32" s="232">
        <f>IF(ISNUMBER(SEARCH("Motorista II",tabParametros[[#This Row],[Função]],1)),0.3022*tabParametros[[#This Row],[Salário Base]],0)</f>
        <v>0</v>
      </c>
      <c r="N32" s="254">
        <v>0</v>
      </c>
      <c r="O32" s="254">
        <f>IF(ISNUMBER(SEARCH("TECNOLOGIA DA INFORMACAO",tabParametros[[#This Row],[Função]],1)),0.056*tabParametros[[#This Row],[Salário Base]],0)</f>
        <v>517.26024000000007</v>
      </c>
      <c r="P32" s="232">
        <f>IF(tabParametros[[#This Row],[Função]]="Operador de Midia Audiovisual - 150 h",tabParametros[[#This Row],[Salário Base]]/150*50*30%,IF(tabParametros[[#This Row],[Função]]="Supervisor de Manutencao de Veiculos II - 220 h",12%*tabParametros[[#This Row],[Salário Base]],0))</f>
        <v>0</v>
      </c>
      <c r="Q32" s="233">
        <f>VLOOKUP(tabParametros[[#Headers],[INSS]],tabImpostosNacionais[],2,0)</f>
        <v>0.2</v>
      </c>
      <c r="R32" s="233">
        <f>VLOOKUP(tabParametros[[#Headers],[SESI OU SESC]],tabImpostosNacionais[],2,0)</f>
        <v>1.4999999999999999E-2</v>
      </c>
      <c r="S32" s="233">
        <f>VLOOKUP(tabParametros[[#Headers],[SENAI OU SENAC]],tabImpostosNacionais[],2,0)</f>
        <v>0.01</v>
      </c>
      <c r="T32" s="233">
        <f>VLOOKUP(tabParametros[[#Headers],[INCRA]],tabImpostosNacionais[],2,0)</f>
        <v>2E-3</v>
      </c>
      <c r="U32" s="233">
        <f>VLOOKUP(tabParametros[[#Headers],[Salário Educação]],tabImpostosNacionais[],2,0)</f>
        <v>2.5000000000000001E-2</v>
      </c>
      <c r="V32" s="233">
        <f>VLOOKUP(tabParametros[[#Headers],[FGTS]],tabImpostosNacionais[],2,0)</f>
        <v>0.08</v>
      </c>
      <c r="W32" s="233">
        <f>VLOOKUP(tabParametros[[#Headers],[RAT Ajustado]],tabImpostosNacionais[],2,0)</f>
        <v>0.04</v>
      </c>
      <c r="X32" s="233">
        <f>VLOOKUP(tabParametros[[#Headers],[SEBRAE]],tabImpostosNacionais[],2,0)</f>
        <v>6.0000000000000001E-3</v>
      </c>
      <c r="Y32" s="233">
        <f t="shared" si="0"/>
        <v>8.3333333333333329E-2</v>
      </c>
      <c r="Z32" s="233">
        <f t="shared" si="1"/>
        <v>0.1111111111111111</v>
      </c>
      <c r="AA32" s="232">
        <f>VLOOKUP(tabParametros[[#This Row],[Comarca]],tabComarca[],5,0)</f>
        <v>11.25</v>
      </c>
      <c r="AB32" s="232">
        <f>VLOOKUP(tabParametros[[#This Row],[CCT DA CATEGORIA]],tabSindicatos[],6,0)</f>
        <v>29.14</v>
      </c>
      <c r="AC32" s="232">
        <f>VLOOKUP(tabParametros[[#This Row],[CCT DA CATEGORIA]],tabSindicatos[],7,0)</f>
        <v>0</v>
      </c>
      <c r="AD32" s="232" cm="1">
        <f t="array" ref="AD3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32" s="232">
        <f>VLOOKUP(tabParametros[[#This Row],[CCT DA CATEGORIA]],tabSindicatos[],9,0)</f>
        <v>0</v>
      </c>
      <c r="AF32" s="232">
        <f>VLOOKUP(tabParametros[[#This Row],[CCT DA CATEGORIA]],tabSindicatos[],10,0)</f>
        <v>0</v>
      </c>
      <c r="AG32" s="234">
        <f>VLOOKUP(tabParametros[[#Headers],[Seguro de Vida]],tabOutrosCustos[],3,0)</f>
        <v>3.36</v>
      </c>
      <c r="AH32" s="234">
        <f>IF(ISNUMBER(SEARCH("MOTORISTA",tabParametros[[#This Row],[Função]],1)),VLOOKUP("MOTORISTAS",tabDiarias[],2,0),IF(tabParametros[[#This Row],[Comarca]]="Belo Horizonte",VLOOKUP("APOIO",tabDiarias[],2,0),0))</f>
        <v>202.08</v>
      </c>
      <c r="AI32" s="233">
        <f t="shared" si="2"/>
        <v>7.011766975308642E-3</v>
      </c>
      <c r="AJ32" s="235">
        <f>tabParametros[[#This Row],[FGTS]]*tabParametros[[#This Row],[Aviso Prévio Indenizado (API) e Reflexo do Aviso Prévio Indenizado]]</f>
        <v>5.609413580246914E-4</v>
      </c>
      <c r="AK32" s="235">
        <f>tabParametros[[#This Row],[FGTS]]*tabParametros[[#This Row],[Aviso Prévio Indenizado (API) e Reflexo do Aviso Prévio Indenizado]]*40%</f>
        <v>2.2437654320987658E-4</v>
      </c>
      <c r="AL32" s="233">
        <f t="shared" si="3"/>
        <v>3.5000000000000005E-3</v>
      </c>
      <c r="AM32" s="233">
        <f>tabParametros[[#This Row],[Aviso Prévio Trabalhado - APT]]*SUM(tabParametros[[#This Row],[INSS]:[SEBRAE]])</f>
        <v>1.3230000000000004E-3</v>
      </c>
      <c r="AN32" s="233">
        <f t="shared" si="4"/>
        <v>3.0577777777777773E-2</v>
      </c>
      <c r="AO32" s="233">
        <f t="shared" si="5"/>
        <v>8.3333333333333339E-4</v>
      </c>
      <c r="AP32" s="233">
        <f t="shared" si="6"/>
        <v>8.4444444444444437E-3</v>
      </c>
      <c r="AQ32" s="233">
        <f t="shared" si="7"/>
        <v>2.0277777777777777E-3</v>
      </c>
      <c r="AR32" s="233">
        <f t="shared" si="8"/>
        <v>1.7083333333333333E-4</v>
      </c>
      <c r="AS32" s="233">
        <f t="shared" si="9"/>
        <v>2.0833333333333335E-4</v>
      </c>
      <c r="AT32" s="233">
        <f t="shared" si="10"/>
        <v>1.2962962962962963E-3</v>
      </c>
      <c r="AU32" s="235">
        <f>SUM(tabParametros[[#This Row],[Ausência por Doença]:[Férias, Adicional de Férias e 13º  com empregada em gozo de Licença Maternidade]])*SUM(tabParametros[[#This Row],[INSS]:[SEBRAE]])</f>
        <v>4.5918250000000008E-3</v>
      </c>
      <c r="AV32" s="254">
        <f>IF(tabParametros[[#This Row],[Função]]="Porteiro - 220 h",SUM(tabParametros[[#This Row],[Salário Base]:[Adicional de Acúmulo de função]])/220*20*1.5,IF(ISNUMBER(SEARCH("12 x 36",tabParametros[[#This Row],[Função]],1)),SUM(tabParametros[[#This Row],[Salário Base]:[Adicional de Acúmulo de função]])/210*15.5*1.5,0))</f>
        <v>0</v>
      </c>
      <c r="AW32" s="232">
        <f>IF(tabParametros[[#This Row],[Vagas contratadas]]&gt;0,(SUM(tabParametros[[#This Row],[Salário Base]:[Adicional de Acúmulo de função]])*30%+SUM(tabParametros[[#This Row],[Vale - Alimentação]:[Seguro de Vida]]))/tabParametros[[#This Row],[Vagas contratadas]]*tabParametros[[#This Row],[Vagas suspensas]],0)</f>
        <v>0</v>
      </c>
      <c r="AX32" s="232">
        <f>SUMIF(tabUniformes[Cargo],tabParametros[[#This Row],[Função]],tabUniformes[Valor unit. Mensal])</f>
        <v>44.111346448706357</v>
      </c>
      <c r="AY3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 s="232">
        <v>0</v>
      </c>
      <c r="BC32" s="234" t="e">
        <f ca="1">VLOOKUP(tabParametros[[#Headers],[Custos Indiretos]],tabOutrosCustos[],3,0)</f>
        <v>#NAME?</v>
      </c>
      <c r="BD32" s="234" t="e">
        <f ca="1">VLOOKUP(tabParametros[[#Headers],[Lucro]],tabOutrosCustos[],3,0)</f>
        <v>#NAME?</v>
      </c>
      <c r="BE32" s="233">
        <f>VLOOKUP(tabParametros[[#Headers],[COFINS]],tabImpostosNacionais[],2,0)</f>
        <v>7.5999999999999998E-2</v>
      </c>
      <c r="BF32" s="233">
        <f>VLOOKUP(tabParametros[[#Headers],[PIS]],tabImpostosNacionais[],2,0)</f>
        <v>1.6500000000000001E-2</v>
      </c>
      <c r="BG32" s="233">
        <f>VLOOKUP(tabParametros[[#This Row],[Comarca]],tabComarca[],4,0)</f>
        <v>0.05</v>
      </c>
      <c r="BH32" s="236">
        <f>VLOOKUP(tabParametros[[#This Row],[CCT DA CATEGORIA]],tabSindicatos[],11,0)</f>
        <v>45658</v>
      </c>
      <c r="BI32" s="282" t="str">
        <f>VLOOKUP(tabParametros[[#This Row],[CCT DA CATEGORIA]],tabSindicatos[],12,0)</f>
        <v>-</v>
      </c>
      <c r="BJ32" s="285" t="str">
        <f>VLOOKUP(tabParametros[[#This Row],[CCT DA CATEGORIA]],tabSindicatos[],13,0)</f>
        <v>-</v>
      </c>
    </row>
    <row r="33" spans="1:62">
      <c r="A33" s="231" t="s">
        <v>1412</v>
      </c>
      <c r="B33" s="197" t="s">
        <v>1103</v>
      </c>
      <c r="C33" s="197" t="s">
        <v>165</v>
      </c>
      <c r="D33" s="197" t="str">
        <f>VLOOKUP(tabParametros[[#This Row],[Código do Posto]],tabPostos[],4,0)</f>
        <v>SEAC/SINDEAC</v>
      </c>
      <c r="E33" s="282" t="str">
        <f>VLOOKUP(tabParametros[[#This Row],[Código do Posto]],tabPostos[],5,0)</f>
        <v>Apoio</v>
      </c>
      <c r="F33" s="282" t="str">
        <f>VLOOKUP(tabParametros[[#This Row],[Código do Posto]],tabPostos[],6,0)</f>
        <v>PGJ</v>
      </c>
      <c r="G33" s="282">
        <f>VLOOKUP(tabParametros[[#This Row],[Código do Posto]],tabPostos[],7,0)</f>
        <v>25</v>
      </c>
      <c r="H33" s="282">
        <f>VLOOKUP(tabParametros[[#This Row],[Código do Posto]],tabPostos[],8,0)</f>
        <v>0</v>
      </c>
      <c r="I33" s="232">
        <f>VLOOKUP(tabParametros[[#This Row],[Código do Posto]],tabPostos[],9,0)</f>
        <v>2443.5248674391278</v>
      </c>
      <c r="J33" s="232">
        <f>IF(ISNUMBER(SEARCH("Eletricista",tabParametros[[#This Row],[Função]],1)),0.3*tabParametros[[#This Row],[Salário Base]],0)</f>
        <v>0</v>
      </c>
      <c r="K3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3" s="232">
        <f>IF(AND(ISNUMBER(SEARCH("Noturno",tabParametros[[#This Row],[Função]],1)),tabParametros[[#This Row],[Comarca]]&lt;&gt;"Juiz de Fora"),tabParametros[[#This Row],[Salário Base]]/210*0.39*7*15.5,IF(ISNUMBER(SEARCH("Noturno",tabParametros[[#This Row],[Função]],1)),tabParametros[[#This Row],[Salário Base]]/210*0.2*8*15.5,0))</f>
        <v>0</v>
      </c>
      <c r="M33" s="232">
        <f>IF(ISNUMBER(SEARCH("Motorista II",tabParametros[[#This Row],[Função]],1)),0.3022*tabParametros[[#This Row],[Salário Base]],0)</f>
        <v>0</v>
      </c>
      <c r="N33" s="254">
        <v>0</v>
      </c>
      <c r="O33" s="254">
        <f>IF(ISNUMBER(SEARCH("TECNOLOGIA DA INFORMACAO",tabParametros[[#This Row],[Função]],1)),0.056*tabParametros[[#This Row],[Salário Base]],0)</f>
        <v>0</v>
      </c>
      <c r="P33" s="232">
        <f>IF(tabParametros[[#This Row],[Função]]="Operador de Midia Audiovisual - 150 h",tabParametros[[#This Row],[Salário Base]]/150*50*30%,IF(tabParametros[[#This Row],[Função]]="Supervisor de Manutencao de Veiculos II - 220 h",12%*tabParametros[[#This Row],[Salário Base]],0))</f>
        <v>0</v>
      </c>
      <c r="Q33" s="233">
        <f>VLOOKUP(tabParametros[[#Headers],[INSS]],tabImpostosNacionais[],2,0)</f>
        <v>0.2</v>
      </c>
      <c r="R33" s="233">
        <f>VLOOKUP(tabParametros[[#Headers],[SESI OU SESC]],tabImpostosNacionais[],2,0)</f>
        <v>1.4999999999999999E-2</v>
      </c>
      <c r="S33" s="233">
        <f>VLOOKUP(tabParametros[[#Headers],[SENAI OU SENAC]],tabImpostosNacionais[],2,0)</f>
        <v>0.01</v>
      </c>
      <c r="T33" s="233">
        <f>VLOOKUP(tabParametros[[#Headers],[INCRA]],tabImpostosNacionais[],2,0)</f>
        <v>2E-3</v>
      </c>
      <c r="U33" s="233">
        <f>VLOOKUP(tabParametros[[#Headers],[Salário Educação]],tabImpostosNacionais[],2,0)</f>
        <v>2.5000000000000001E-2</v>
      </c>
      <c r="V33" s="233">
        <f>VLOOKUP(tabParametros[[#Headers],[FGTS]],tabImpostosNacionais[],2,0)</f>
        <v>0.08</v>
      </c>
      <c r="W33" s="233">
        <f>VLOOKUP(tabParametros[[#Headers],[RAT Ajustado]],tabImpostosNacionais[],2,0)</f>
        <v>0.04</v>
      </c>
      <c r="X33" s="233">
        <f>VLOOKUP(tabParametros[[#Headers],[SEBRAE]],tabImpostosNacionais[],2,0)</f>
        <v>6.0000000000000001E-3</v>
      </c>
      <c r="Y33" s="233">
        <f t="shared" si="0"/>
        <v>8.3333333333333329E-2</v>
      </c>
      <c r="Z33" s="233">
        <f t="shared" si="1"/>
        <v>0.1111111111111111</v>
      </c>
      <c r="AA33" s="232">
        <f>VLOOKUP(tabParametros[[#This Row],[Comarca]],tabComarca[],5,0)</f>
        <v>11.25</v>
      </c>
      <c r="AB33" s="232">
        <f>VLOOKUP(tabParametros[[#This Row],[CCT DA CATEGORIA]],tabSindicatos[],6,0)</f>
        <v>29.15</v>
      </c>
      <c r="AC33" s="232">
        <f>VLOOKUP(tabParametros[[#This Row],[CCT DA CATEGORIA]],tabSindicatos[],7,0)</f>
        <v>0</v>
      </c>
      <c r="AD33" s="232" cm="1">
        <f t="array" ref="AD3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33" s="232">
        <f>VLOOKUP(tabParametros[[#This Row],[CCT DA CATEGORIA]],tabSindicatos[],9,0)</f>
        <v>0</v>
      </c>
      <c r="AF33" s="232">
        <f>VLOOKUP(tabParametros[[#This Row],[CCT DA CATEGORIA]],tabSindicatos[],10,0)</f>
        <v>0</v>
      </c>
      <c r="AG33" s="234">
        <f>VLOOKUP(tabParametros[[#Headers],[Seguro de Vida]],tabOutrosCustos[],3,0)</f>
        <v>3.36</v>
      </c>
      <c r="AH33" s="234">
        <f>IF(ISNUMBER(SEARCH("MOTORISTA",tabParametros[[#This Row],[Função]],1)),VLOOKUP("MOTORISTAS",tabDiarias[],2,0),IF(tabParametros[[#This Row],[Comarca]]="Belo Horizonte",VLOOKUP("APOIO",tabDiarias[],2,0),0))</f>
        <v>202.08</v>
      </c>
      <c r="AI33" s="233">
        <f t="shared" si="2"/>
        <v>7.011766975308642E-3</v>
      </c>
      <c r="AJ33" s="235">
        <f>tabParametros[[#This Row],[FGTS]]*tabParametros[[#This Row],[Aviso Prévio Indenizado (API) e Reflexo do Aviso Prévio Indenizado]]</f>
        <v>5.609413580246914E-4</v>
      </c>
      <c r="AK33" s="235">
        <f>tabParametros[[#This Row],[FGTS]]*tabParametros[[#This Row],[Aviso Prévio Indenizado (API) e Reflexo do Aviso Prévio Indenizado]]*40%</f>
        <v>2.2437654320987658E-4</v>
      </c>
      <c r="AL33" s="233">
        <f t="shared" si="3"/>
        <v>3.5000000000000005E-3</v>
      </c>
      <c r="AM33" s="233">
        <f>tabParametros[[#This Row],[Aviso Prévio Trabalhado - APT]]*SUM(tabParametros[[#This Row],[INSS]:[SEBRAE]])</f>
        <v>1.3230000000000004E-3</v>
      </c>
      <c r="AN33" s="233">
        <f t="shared" si="4"/>
        <v>3.0577777777777773E-2</v>
      </c>
      <c r="AO33" s="233">
        <f t="shared" si="5"/>
        <v>8.3333333333333339E-4</v>
      </c>
      <c r="AP33" s="233">
        <f t="shared" si="6"/>
        <v>8.4444444444444437E-3</v>
      </c>
      <c r="AQ33" s="233">
        <f t="shared" si="7"/>
        <v>2.0277777777777777E-3</v>
      </c>
      <c r="AR33" s="233">
        <f t="shared" si="8"/>
        <v>1.7083333333333333E-4</v>
      </c>
      <c r="AS33" s="233">
        <f t="shared" si="9"/>
        <v>2.0833333333333335E-4</v>
      </c>
      <c r="AT33" s="233">
        <f t="shared" si="10"/>
        <v>1.2962962962962963E-3</v>
      </c>
      <c r="AU33" s="235">
        <f>SUM(tabParametros[[#This Row],[Ausência por Doença]:[Férias, Adicional de Férias e 13º  com empregada em gozo de Licença Maternidade]])*SUM(tabParametros[[#This Row],[INSS]:[SEBRAE]])</f>
        <v>4.5918250000000008E-3</v>
      </c>
      <c r="AV33" s="254">
        <f>IF(tabParametros[[#This Row],[Função]]="Porteiro - 220 h",SUM(tabParametros[[#This Row],[Salário Base]:[Adicional de Acúmulo de função]])/220*20*1.5,IF(ISNUMBER(SEARCH("12 x 36",tabParametros[[#This Row],[Função]],1)),SUM(tabParametros[[#This Row],[Salário Base]:[Adicional de Acúmulo de função]])/210*15.5*1.5,0))</f>
        <v>0</v>
      </c>
      <c r="AW33" s="232">
        <f>IF(tabParametros[[#This Row],[Vagas contratadas]]&gt;0,(SUM(tabParametros[[#This Row],[Salário Base]:[Adicional de Acúmulo de função]])*30%+SUM(tabParametros[[#This Row],[Vale - Alimentação]:[Seguro de Vida]]))/tabParametros[[#This Row],[Vagas contratadas]]*tabParametros[[#This Row],[Vagas suspensas]],0)</f>
        <v>0</v>
      </c>
      <c r="AX33" s="232">
        <f>SUMIF(tabUniformes[Cargo],tabParametros[[#This Row],[Função]],tabUniformes[Valor unit. Mensal])</f>
        <v>190.56060491869394</v>
      </c>
      <c r="AY3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 s="232">
        <v>0</v>
      </c>
      <c r="BC33" s="234" t="e">
        <f ca="1">VLOOKUP(tabParametros[[#Headers],[Custos Indiretos]],tabOutrosCustos[],3,0)</f>
        <v>#NAME?</v>
      </c>
      <c r="BD33" s="234" t="e">
        <f ca="1">VLOOKUP(tabParametros[[#Headers],[Lucro]],tabOutrosCustos[],3,0)</f>
        <v>#NAME?</v>
      </c>
      <c r="BE33" s="233">
        <f>VLOOKUP(tabParametros[[#Headers],[COFINS]],tabImpostosNacionais[],2,0)</f>
        <v>7.5999999999999998E-2</v>
      </c>
      <c r="BF33" s="233">
        <f>VLOOKUP(tabParametros[[#Headers],[PIS]],tabImpostosNacionais[],2,0)</f>
        <v>1.6500000000000001E-2</v>
      </c>
      <c r="BG33" s="233">
        <f>VLOOKUP(tabParametros[[#This Row],[Comarca]],tabComarca[],4,0)</f>
        <v>0.05</v>
      </c>
      <c r="BH33" s="236">
        <f>VLOOKUP(tabParametros[[#This Row],[CCT DA CATEGORIA]],tabSindicatos[],11,0)</f>
        <v>45658</v>
      </c>
      <c r="BI33" s="282" t="str">
        <f>VLOOKUP(tabParametros[[#This Row],[CCT DA CATEGORIA]],tabSindicatos[],12,0)</f>
        <v>-</v>
      </c>
      <c r="BJ33" s="285" t="str">
        <f>VLOOKUP(tabParametros[[#This Row],[CCT DA CATEGORIA]],tabSindicatos[],13,0)</f>
        <v>-</v>
      </c>
    </row>
    <row r="34" spans="1:62">
      <c r="A34" s="231" t="s">
        <v>1413</v>
      </c>
      <c r="B34" s="197" t="s">
        <v>1103</v>
      </c>
      <c r="C34" s="197" t="s">
        <v>171</v>
      </c>
      <c r="D34" s="197" t="str">
        <f>VLOOKUP(tabParametros[[#This Row],[Código do Posto]],tabPostos[],4,0)</f>
        <v>SEAC/SINDEAC</v>
      </c>
      <c r="E34" s="282" t="str">
        <f>VLOOKUP(tabParametros[[#This Row],[Código do Posto]],tabPostos[],5,0)</f>
        <v>Apoio</v>
      </c>
      <c r="F34" s="282" t="str">
        <f>VLOOKUP(tabParametros[[#This Row],[Código do Posto]],tabPostos[],6,0)</f>
        <v>PGJ</v>
      </c>
      <c r="G34" s="282">
        <f>VLOOKUP(tabParametros[[#This Row],[Código do Posto]],tabPostos[],7,0)</f>
        <v>3</v>
      </c>
      <c r="H34" s="282">
        <f>VLOOKUP(tabParametros[[#This Row],[Código do Posto]],tabPostos[],8,0)</f>
        <v>0</v>
      </c>
      <c r="I34" s="232">
        <f>VLOOKUP(tabParametros[[#This Row],[Código do Posto]],tabPostos[],9,0)</f>
        <v>4136.4688710137752</v>
      </c>
      <c r="J34" s="232">
        <f>IF(ISNUMBER(SEARCH("Eletricista",tabParametros[[#This Row],[Função]],1)),0.3*tabParametros[[#This Row],[Salário Base]],0)</f>
        <v>0</v>
      </c>
      <c r="K3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4" s="232">
        <f>IF(AND(ISNUMBER(SEARCH("Noturno",tabParametros[[#This Row],[Função]],1)),tabParametros[[#This Row],[Comarca]]&lt;&gt;"Juiz de Fora"),tabParametros[[#This Row],[Salário Base]]/210*0.39*7*15.5,IF(ISNUMBER(SEARCH("Noturno",tabParametros[[#This Row],[Função]],1)),tabParametros[[#This Row],[Salário Base]]/210*0.2*8*15.5,0))</f>
        <v>0</v>
      </c>
      <c r="M34" s="232">
        <f>IF(ISNUMBER(SEARCH("Motorista II",tabParametros[[#This Row],[Função]],1)),0.3022*tabParametros[[#This Row],[Salário Base]],0)</f>
        <v>0</v>
      </c>
      <c r="N34" s="254">
        <v>0</v>
      </c>
      <c r="O34" s="254">
        <f>IF(ISNUMBER(SEARCH("TECNOLOGIA DA INFORMACAO",tabParametros[[#This Row],[Função]],1)),0.056*tabParametros[[#This Row],[Salário Base]],0)</f>
        <v>0</v>
      </c>
      <c r="P34" s="232">
        <f>IF(tabParametros[[#This Row],[Função]]="Operador de Midia Audiovisual - 150 h",tabParametros[[#This Row],[Salário Base]]/150*50*30%,IF(tabParametros[[#This Row],[Função]]="Supervisor de Manutencao de Veiculos II - 220 h",12%*tabParametros[[#This Row],[Salário Base]],0))</f>
        <v>0</v>
      </c>
      <c r="Q34" s="233">
        <f>VLOOKUP(tabParametros[[#Headers],[INSS]],tabImpostosNacionais[],2,0)</f>
        <v>0.2</v>
      </c>
      <c r="R34" s="233">
        <f>VLOOKUP(tabParametros[[#Headers],[SESI OU SESC]],tabImpostosNacionais[],2,0)</f>
        <v>1.4999999999999999E-2</v>
      </c>
      <c r="S34" s="233">
        <f>VLOOKUP(tabParametros[[#Headers],[SENAI OU SENAC]],tabImpostosNacionais[],2,0)</f>
        <v>0.01</v>
      </c>
      <c r="T34" s="233">
        <f>VLOOKUP(tabParametros[[#Headers],[INCRA]],tabImpostosNacionais[],2,0)</f>
        <v>2E-3</v>
      </c>
      <c r="U34" s="233">
        <f>VLOOKUP(tabParametros[[#Headers],[Salário Educação]],tabImpostosNacionais[],2,0)</f>
        <v>2.5000000000000001E-2</v>
      </c>
      <c r="V34" s="233">
        <f>VLOOKUP(tabParametros[[#Headers],[FGTS]],tabImpostosNacionais[],2,0)</f>
        <v>0.08</v>
      </c>
      <c r="W34" s="233">
        <f>VLOOKUP(tabParametros[[#Headers],[RAT Ajustado]],tabImpostosNacionais[],2,0)</f>
        <v>0.04</v>
      </c>
      <c r="X34" s="233">
        <f>VLOOKUP(tabParametros[[#Headers],[SEBRAE]],tabImpostosNacionais[],2,0)</f>
        <v>6.0000000000000001E-3</v>
      </c>
      <c r="Y34" s="233">
        <f t="shared" si="0"/>
        <v>8.3333333333333329E-2</v>
      </c>
      <c r="Z34" s="233">
        <f t="shared" si="1"/>
        <v>0.1111111111111111</v>
      </c>
      <c r="AA34" s="232">
        <f>VLOOKUP(tabParametros[[#This Row],[Comarca]],tabComarca[],5,0)</f>
        <v>11.25</v>
      </c>
      <c r="AB34" s="232">
        <f>VLOOKUP(tabParametros[[#This Row],[CCT DA CATEGORIA]],tabSindicatos[],6,0)</f>
        <v>29.15</v>
      </c>
      <c r="AC34" s="232">
        <f>VLOOKUP(tabParametros[[#This Row],[CCT DA CATEGORIA]],tabSindicatos[],7,0)</f>
        <v>0</v>
      </c>
      <c r="AD34" s="232" cm="1">
        <f t="array" ref="AD3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34" s="232">
        <f>VLOOKUP(tabParametros[[#This Row],[CCT DA CATEGORIA]],tabSindicatos[],9,0)</f>
        <v>0</v>
      </c>
      <c r="AF34" s="232">
        <f>VLOOKUP(tabParametros[[#This Row],[CCT DA CATEGORIA]],tabSindicatos[],10,0)</f>
        <v>0</v>
      </c>
      <c r="AG34" s="234">
        <f>VLOOKUP(tabParametros[[#Headers],[Seguro de Vida]],tabOutrosCustos[],3,0)</f>
        <v>3.36</v>
      </c>
      <c r="AH34" s="234">
        <f>IF(ISNUMBER(SEARCH("MOTORISTA",tabParametros[[#This Row],[Função]],1)),VLOOKUP("MOTORISTAS",tabDiarias[],2,0),IF(tabParametros[[#This Row],[Comarca]]="Belo Horizonte",VLOOKUP("APOIO",tabDiarias[],2,0),0))</f>
        <v>202.08</v>
      </c>
      <c r="AI34" s="233">
        <f t="shared" si="2"/>
        <v>7.011766975308642E-3</v>
      </c>
      <c r="AJ34" s="235">
        <f>tabParametros[[#This Row],[FGTS]]*tabParametros[[#This Row],[Aviso Prévio Indenizado (API) e Reflexo do Aviso Prévio Indenizado]]</f>
        <v>5.609413580246914E-4</v>
      </c>
      <c r="AK34" s="235">
        <f>tabParametros[[#This Row],[FGTS]]*tabParametros[[#This Row],[Aviso Prévio Indenizado (API) e Reflexo do Aviso Prévio Indenizado]]*40%</f>
        <v>2.2437654320987658E-4</v>
      </c>
      <c r="AL34" s="233">
        <f t="shared" si="3"/>
        <v>3.5000000000000005E-3</v>
      </c>
      <c r="AM34" s="233">
        <f>tabParametros[[#This Row],[Aviso Prévio Trabalhado - APT]]*SUM(tabParametros[[#This Row],[INSS]:[SEBRAE]])</f>
        <v>1.3230000000000004E-3</v>
      </c>
      <c r="AN34" s="233">
        <f t="shared" si="4"/>
        <v>3.0577777777777773E-2</v>
      </c>
      <c r="AO34" s="233">
        <f t="shared" si="5"/>
        <v>8.3333333333333339E-4</v>
      </c>
      <c r="AP34" s="233">
        <f t="shared" si="6"/>
        <v>8.4444444444444437E-3</v>
      </c>
      <c r="AQ34" s="233">
        <f t="shared" si="7"/>
        <v>2.0277777777777777E-3</v>
      </c>
      <c r="AR34" s="233">
        <f t="shared" si="8"/>
        <v>1.7083333333333333E-4</v>
      </c>
      <c r="AS34" s="233">
        <f t="shared" si="9"/>
        <v>2.0833333333333335E-4</v>
      </c>
      <c r="AT34" s="233">
        <f t="shared" si="10"/>
        <v>1.2962962962962963E-3</v>
      </c>
      <c r="AU34" s="235">
        <f>SUM(tabParametros[[#This Row],[Ausência por Doença]:[Férias, Adicional de Férias e 13º  com empregada em gozo de Licença Maternidade]])*SUM(tabParametros[[#This Row],[INSS]:[SEBRAE]])</f>
        <v>4.5918250000000008E-3</v>
      </c>
      <c r="AV34" s="254">
        <f>IF(tabParametros[[#This Row],[Função]]="Porteiro - 220 h",SUM(tabParametros[[#This Row],[Salário Base]:[Adicional de Acúmulo de função]])/220*20*1.5,IF(ISNUMBER(SEARCH("12 x 36",tabParametros[[#This Row],[Função]],1)),SUM(tabParametros[[#This Row],[Salário Base]:[Adicional de Acúmulo de função]])/210*15.5*1.5,0))</f>
        <v>0</v>
      </c>
      <c r="AW34" s="232">
        <f>IF(tabParametros[[#This Row],[Vagas contratadas]]&gt;0,(SUM(tabParametros[[#This Row],[Salário Base]:[Adicional de Acúmulo de função]])*30%+SUM(tabParametros[[#This Row],[Vale - Alimentação]:[Seguro de Vida]]))/tabParametros[[#This Row],[Vagas contratadas]]*tabParametros[[#This Row],[Vagas suspensas]],0)</f>
        <v>0</v>
      </c>
      <c r="AX34" s="232">
        <f>SUMIF(tabUniformes[Cargo],tabParametros[[#This Row],[Função]],tabUniformes[Valor unit. Mensal])</f>
        <v>190.56060491869394</v>
      </c>
      <c r="AY3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4" s="232">
        <v>0</v>
      </c>
      <c r="BC34" s="234" t="e">
        <f ca="1">VLOOKUP(tabParametros[[#Headers],[Custos Indiretos]],tabOutrosCustos[],3,0)</f>
        <v>#NAME?</v>
      </c>
      <c r="BD34" s="234" t="e">
        <f ca="1">VLOOKUP(tabParametros[[#Headers],[Lucro]],tabOutrosCustos[],3,0)</f>
        <v>#NAME?</v>
      </c>
      <c r="BE34" s="233">
        <f>VLOOKUP(tabParametros[[#Headers],[COFINS]],tabImpostosNacionais[],2,0)</f>
        <v>7.5999999999999998E-2</v>
      </c>
      <c r="BF34" s="233">
        <f>VLOOKUP(tabParametros[[#Headers],[PIS]],tabImpostosNacionais[],2,0)</f>
        <v>1.6500000000000001E-2</v>
      </c>
      <c r="BG34" s="233">
        <f>VLOOKUP(tabParametros[[#This Row],[Comarca]],tabComarca[],4,0)</f>
        <v>0.05</v>
      </c>
      <c r="BH34" s="236">
        <f>VLOOKUP(tabParametros[[#This Row],[CCT DA CATEGORIA]],tabSindicatos[],11,0)</f>
        <v>45658</v>
      </c>
      <c r="BI34" s="282" t="str">
        <f>VLOOKUP(tabParametros[[#This Row],[CCT DA CATEGORIA]],tabSindicatos[],12,0)</f>
        <v>-</v>
      </c>
      <c r="BJ34" s="285" t="str">
        <f>VLOOKUP(tabParametros[[#This Row],[CCT DA CATEGORIA]],tabSindicatos[],13,0)</f>
        <v>-</v>
      </c>
    </row>
    <row r="35" spans="1:62">
      <c r="A35" s="231" t="s">
        <v>1414</v>
      </c>
      <c r="B35" s="197" t="s">
        <v>1103</v>
      </c>
      <c r="C35" s="197" t="s">
        <v>1799</v>
      </c>
      <c r="D35" s="197" t="str">
        <f>VLOOKUP(tabParametros[[#This Row],[Código do Posto]],tabPostos[],4,0)</f>
        <v>SEAC/SINDEAC</v>
      </c>
      <c r="E35" s="282" t="str">
        <f>VLOOKUP(tabParametros[[#This Row],[Código do Posto]],tabPostos[],5,0)</f>
        <v>Apoio</v>
      </c>
      <c r="F35" s="282" t="str">
        <f>VLOOKUP(tabParametros[[#This Row],[Código do Posto]],tabPostos[],6,0)</f>
        <v>PGJ</v>
      </c>
      <c r="G35" s="282">
        <f>VLOOKUP(tabParametros[[#This Row],[Código do Posto]],tabPostos[],7,0)</f>
        <v>4</v>
      </c>
      <c r="H35" s="282">
        <f>VLOOKUP(tabParametros[[#This Row],[Código do Posto]],tabPostos[],8,0)</f>
        <v>0</v>
      </c>
      <c r="I35" s="232">
        <f>VLOOKUP(tabParametros[[#This Row],[Código do Posto]],tabPostos[],9,0)</f>
        <v>3755.4</v>
      </c>
      <c r="J35" s="232">
        <f>IF(ISNUMBER(SEARCH("Eletricista",tabParametros[[#This Row],[Função]],1)),0.3*tabParametros[[#This Row],[Salário Base]],0)</f>
        <v>0</v>
      </c>
      <c r="K3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5" s="232">
        <f>IF(AND(ISNUMBER(SEARCH("Noturno",tabParametros[[#This Row],[Função]],1)),tabParametros[[#This Row],[Comarca]]&lt;&gt;"Juiz de Fora"),tabParametros[[#This Row],[Salário Base]]/210*0.39*7*15.5,IF(ISNUMBER(SEARCH("Noturno",tabParametros[[#This Row],[Função]],1)),tabParametros[[#This Row],[Salário Base]]/210*0.2*8*15.5,0))</f>
        <v>0</v>
      </c>
      <c r="M35" s="232">
        <f>IF(ISNUMBER(SEARCH("Motorista II",tabParametros[[#This Row],[Função]],1)),0.3022*tabParametros[[#This Row],[Salário Base]],0)</f>
        <v>0</v>
      </c>
      <c r="N35" s="254">
        <v>0</v>
      </c>
      <c r="O35" s="254">
        <f>IF(ISNUMBER(SEARCH("TECNOLOGIA DA INFORMACAO",tabParametros[[#This Row],[Função]],1)),0.056*tabParametros[[#This Row],[Salário Base]],0)</f>
        <v>0</v>
      </c>
      <c r="P35" s="232">
        <f>IF(tabParametros[[#This Row],[Função]]="Operador de Midia Audiovisual - 150 h",tabParametros[[#This Row],[Salário Base]]/150*50*30%,IF(tabParametros[[#This Row],[Função]]="Supervisor de Manutencao de Veiculos II - 220 h",12%*tabParametros[[#This Row],[Salário Base]],0))</f>
        <v>0</v>
      </c>
      <c r="Q35" s="233">
        <f>VLOOKUP(tabParametros[[#Headers],[INSS]],tabImpostosNacionais[],2,0)</f>
        <v>0.2</v>
      </c>
      <c r="R35" s="233">
        <f>VLOOKUP(tabParametros[[#Headers],[SESI OU SESC]],tabImpostosNacionais[],2,0)</f>
        <v>1.4999999999999999E-2</v>
      </c>
      <c r="S35" s="233">
        <f>VLOOKUP(tabParametros[[#Headers],[SENAI OU SENAC]],tabImpostosNacionais[],2,0)</f>
        <v>0.01</v>
      </c>
      <c r="T35" s="233">
        <f>VLOOKUP(tabParametros[[#Headers],[INCRA]],tabImpostosNacionais[],2,0)</f>
        <v>2E-3</v>
      </c>
      <c r="U35" s="233">
        <f>VLOOKUP(tabParametros[[#Headers],[Salário Educação]],tabImpostosNacionais[],2,0)</f>
        <v>2.5000000000000001E-2</v>
      </c>
      <c r="V35" s="233">
        <f>VLOOKUP(tabParametros[[#Headers],[FGTS]],tabImpostosNacionais[],2,0)</f>
        <v>0.08</v>
      </c>
      <c r="W35" s="233">
        <f>VLOOKUP(tabParametros[[#Headers],[RAT Ajustado]],tabImpostosNacionais[],2,0)</f>
        <v>0.04</v>
      </c>
      <c r="X35" s="233">
        <f>VLOOKUP(tabParametros[[#Headers],[SEBRAE]],tabImpostosNacionais[],2,0)</f>
        <v>6.0000000000000001E-3</v>
      </c>
      <c r="Y35" s="233">
        <f t="shared" si="0"/>
        <v>8.3333333333333329E-2</v>
      </c>
      <c r="Z35" s="233">
        <f t="shared" si="1"/>
        <v>0.1111111111111111</v>
      </c>
      <c r="AA35" s="232">
        <f>VLOOKUP(tabParametros[[#This Row],[Comarca]],tabComarca[],5,0)</f>
        <v>11.25</v>
      </c>
      <c r="AB35" s="232">
        <f>VLOOKUP(tabParametros[[#This Row],[CCT DA CATEGORIA]],tabSindicatos[],6,0)</f>
        <v>29.15</v>
      </c>
      <c r="AC35" s="232">
        <f>VLOOKUP(tabParametros[[#This Row],[CCT DA CATEGORIA]],tabSindicatos[],7,0)</f>
        <v>0</v>
      </c>
      <c r="AD35" s="232" cm="1">
        <f t="array" ref="AD3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35" s="232">
        <f>VLOOKUP(tabParametros[[#This Row],[CCT DA CATEGORIA]],tabSindicatos[],9,0)</f>
        <v>0</v>
      </c>
      <c r="AF35" s="232">
        <f>VLOOKUP(tabParametros[[#This Row],[CCT DA CATEGORIA]],tabSindicatos[],10,0)</f>
        <v>0</v>
      </c>
      <c r="AG35" s="234">
        <f>VLOOKUP(tabParametros[[#Headers],[Seguro de Vida]],tabOutrosCustos[],3,0)</f>
        <v>3.36</v>
      </c>
      <c r="AH35" s="234">
        <f>IF(ISNUMBER(SEARCH("MOTORISTA",tabParametros[[#This Row],[Função]],1)),VLOOKUP("MOTORISTAS",tabDiarias[],2,0),IF(tabParametros[[#This Row],[Comarca]]="Belo Horizonte",VLOOKUP("APOIO",tabDiarias[],2,0),0))</f>
        <v>202.08</v>
      </c>
      <c r="AI35" s="233">
        <f t="shared" si="2"/>
        <v>7.011766975308642E-3</v>
      </c>
      <c r="AJ35" s="235">
        <f>tabParametros[[#This Row],[FGTS]]*tabParametros[[#This Row],[Aviso Prévio Indenizado (API) e Reflexo do Aviso Prévio Indenizado]]</f>
        <v>5.609413580246914E-4</v>
      </c>
      <c r="AK35" s="235">
        <f>tabParametros[[#This Row],[FGTS]]*tabParametros[[#This Row],[Aviso Prévio Indenizado (API) e Reflexo do Aviso Prévio Indenizado]]*40%</f>
        <v>2.2437654320987658E-4</v>
      </c>
      <c r="AL35" s="233">
        <f t="shared" si="3"/>
        <v>3.5000000000000005E-3</v>
      </c>
      <c r="AM35" s="233">
        <f>tabParametros[[#This Row],[Aviso Prévio Trabalhado - APT]]*SUM(tabParametros[[#This Row],[INSS]:[SEBRAE]])</f>
        <v>1.3230000000000004E-3</v>
      </c>
      <c r="AN35" s="233">
        <f t="shared" si="4"/>
        <v>3.0577777777777773E-2</v>
      </c>
      <c r="AO35" s="233">
        <f t="shared" si="5"/>
        <v>8.3333333333333339E-4</v>
      </c>
      <c r="AP35" s="233">
        <f t="shared" si="6"/>
        <v>8.4444444444444437E-3</v>
      </c>
      <c r="AQ35" s="233">
        <f t="shared" si="7"/>
        <v>2.0277777777777777E-3</v>
      </c>
      <c r="AR35" s="233">
        <f t="shared" si="8"/>
        <v>1.7083333333333333E-4</v>
      </c>
      <c r="AS35" s="233">
        <f t="shared" si="9"/>
        <v>2.0833333333333335E-4</v>
      </c>
      <c r="AT35" s="233">
        <f t="shared" si="10"/>
        <v>1.2962962962962963E-3</v>
      </c>
      <c r="AU35" s="235">
        <f>SUM(tabParametros[[#This Row],[Ausência por Doença]:[Férias, Adicional de Férias e 13º  com empregada em gozo de Licença Maternidade]])*SUM(tabParametros[[#This Row],[INSS]:[SEBRAE]])</f>
        <v>4.5918250000000008E-3</v>
      </c>
      <c r="AV35" s="254">
        <f>IF(tabParametros[[#This Row],[Função]]="Porteiro - 220 h",SUM(tabParametros[[#This Row],[Salário Base]:[Adicional de Acúmulo de função]])/220*20*1.5,IF(ISNUMBER(SEARCH("12 x 36",tabParametros[[#This Row],[Função]],1)),SUM(tabParametros[[#This Row],[Salário Base]:[Adicional de Acúmulo de função]])/210*15.5*1.5,0))</f>
        <v>0</v>
      </c>
      <c r="AW35" s="232">
        <f>IF(tabParametros[[#This Row],[Vagas contratadas]]&gt;0,(SUM(tabParametros[[#This Row],[Salário Base]:[Adicional de Acúmulo de função]])*30%+SUM(tabParametros[[#This Row],[Vale - Alimentação]:[Seguro de Vida]]))/tabParametros[[#This Row],[Vagas contratadas]]*tabParametros[[#This Row],[Vagas suspensas]],0)</f>
        <v>0</v>
      </c>
      <c r="AX35" s="232">
        <f>SUMIF(tabUniformes[Cargo],tabParametros[[#This Row],[Função]],tabUniformes[Valor unit. Mensal])</f>
        <v>223.1825</v>
      </c>
      <c r="AY3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5" s="232">
        <v>0</v>
      </c>
      <c r="BC35" s="234" t="e">
        <f ca="1">VLOOKUP(tabParametros[[#Headers],[Custos Indiretos]],tabOutrosCustos[],3,0)</f>
        <v>#NAME?</v>
      </c>
      <c r="BD35" s="234" t="e">
        <f ca="1">VLOOKUP(tabParametros[[#Headers],[Lucro]],tabOutrosCustos[],3,0)</f>
        <v>#NAME?</v>
      </c>
      <c r="BE35" s="233">
        <f>VLOOKUP(tabParametros[[#Headers],[COFINS]],tabImpostosNacionais[],2,0)</f>
        <v>7.5999999999999998E-2</v>
      </c>
      <c r="BF35" s="233">
        <f>VLOOKUP(tabParametros[[#Headers],[PIS]],tabImpostosNacionais[],2,0)</f>
        <v>1.6500000000000001E-2</v>
      </c>
      <c r="BG35" s="233">
        <f>VLOOKUP(tabParametros[[#This Row],[Comarca]],tabComarca[],4,0)</f>
        <v>0.05</v>
      </c>
      <c r="BH35" s="236">
        <f>VLOOKUP(tabParametros[[#This Row],[CCT DA CATEGORIA]],tabSindicatos[],11,0)</f>
        <v>45658</v>
      </c>
      <c r="BI35" s="282" t="str">
        <f>VLOOKUP(tabParametros[[#This Row],[CCT DA CATEGORIA]],tabSindicatos[],12,0)</f>
        <v>-</v>
      </c>
      <c r="BJ35" s="285" t="str">
        <f>VLOOKUP(tabParametros[[#This Row],[CCT DA CATEGORIA]],tabSindicatos[],13,0)</f>
        <v>-</v>
      </c>
    </row>
    <row r="36" spans="1:62">
      <c r="A36" s="231" t="s">
        <v>1415</v>
      </c>
      <c r="B36" s="197" t="s">
        <v>1103</v>
      </c>
      <c r="C36" s="197" t="s">
        <v>177</v>
      </c>
      <c r="D36" s="197" t="str">
        <f>VLOOKUP(tabParametros[[#This Row],[Código do Posto]],tabPostos[],4,0)</f>
        <v>SEAC/SINDEAC</v>
      </c>
      <c r="E36" s="282" t="str">
        <f>VLOOKUP(tabParametros[[#This Row],[Código do Posto]],tabPostos[],5,0)</f>
        <v>Apoio</v>
      </c>
      <c r="F36" s="282" t="str">
        <f>VLOOKUP(tabParametros[[#This Row],[Código do Posto]],tabPostos[],6,0)</f>
        <v>PGJ</v>
      </c>
      <c r="G36" s="282">
        <f>VLOOKUP(tabParametros[[#This Row],[Código do Posto]],tabPostos[],7,0)</f>
        <v>6</v>
      </c>
      <c r="H36" s="282">
        <f>VLOOKUP(tabParametros[[#This Row],[Código do Posto]],tabPostos[],8,0)</f>
        <v>0</v>
      </c>
      <c r="I36" s="232">
        <f>VLOOKUP(tabParametros[[#This Row],[Código do Posto]],tabPostos[],9,0)</f>
        <v>2443.5248674391278</v>
      </c>
      <c r="J36" s="232">
        <f>IF(ISNUMBER(SEARCH("Eletricista",tabParametros[[#This Row],[Função]],1)),0.3*tabParametros[[#This Row],[Salário Base]],0)</f>
        <v>0</v>
      </c>
      <c r="K3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6" s="232">
        <f>IF(AND(ISNUMBER(SEARCH("Noturno",tabParametros[[#This Row],[Função]],1)),tabParametros[[#This Row],[Comarca]]&lt;&gt;"Juiz de Fora"),tabParametros[[#This Row],[Salário Base]]/210*0.39*7*15.5,IF(ISNUMBER(SEARCH("Noturno",tabParametros[[#This Row],[Função]],1)),tabParametros[[#This Row],[Salário Base]]/210*0.2*8*15.5,0))</f>
        <v>0</v>
      </c>
      <c r="M36" s="232">
        <f>IF(ISNUMBER(SEARCH("Motorista II",tabParametros[[#This Row],[Função]],1)),0.3022*tabParametros[[#This Row],[Salário Base]],0)</f>
        <v>0</v>
      </c>
      <c r="N36" s="254">
        <v>0</v>
      </c>
      <c r="O36" s="254">
        <f>IF(ISNUMBER(SEARCH("TECNOLOGIA DA INFORMACAO",tabParametros[[#This Row],[Função]],1)),0.056*tabParametros[[#This Row],[Salário Base]],0)</f>
        <v>0</v>
      </c>
      <c r="P36" s="232">
        <f>IF(tabParametros[[#This Row],[Função]]="Operador de Midia Audiovisual - 150 h",tabParametros[[#This Row],[Salário Base]]/150*50*30%,IF(tabParametros[[#This Row],[Função]]="Supervisor de Manutencao de Veiculos II - 220 h",12%*tabParametros[[#This Row],[Salário Base]],0))</f>
        <v>0</v>
      </c>
      <c r="Q36" s="233">
        <f>VLOOKUP(tabParametros[[#Headers],[INSS]],tabImpostosNacionais[],2,0)</f>
        <v>0.2</v>
      </c>
      <c r="R36" s="233">
        <f>VLOOKUP(tabParametros[[#Headers],[SESI OU SESC]],tabImpostosNacionais[],2,0)</f>
        <v>1.4999999999999999E-2</v>
      </c>
      <c r="S36" s="233">
        <f>VLOOKUP(tabParametros[[#Headers],[SENAI OU SENAC]],tabImpostosNacionais[],2,0)</f>
        <v>0.01</v>
      </c>
      <c r="T36" s="233">
        <f>VLOOKUP(tabParametros[[#Headers],[INCRA]],tabImpostosNacionais[],2,0)</f>
        <v>2E-3</v>
      </c>
      <c r="U36" s="233">
        <f>VLOOKUP(tabParametros[[#Headers],[Salário Educação]],tabImpostosNacionais[],2,0)</f>
        <v>2.5000000000000001E-2</v>
      </c>
      <c r="V36" s="233">
        <f>VLOOKUP(tabParametros[[#Headers],[FGTS]],tabImpostosNacionais[],2,0)</f>
        <v>0.08</v>
      </c>
      <c r="W36" s="233">
        <f>VLOOKUP(tabParametros[[#Headers],[RAT Ajustado]],tabImpostosNacionais[],2,0)</f>
        <v>0.04</v>
      </c>
      <c r="X36" s="233">
        <f>VLOOKUP(tabParametros[[#Headers],[SEBRAE]],tabImpostosNacionais[],2,0)</f>
        <v>6.0000000000000001E-3</v>
      </c>
      <c r="Y36" s="233">
        <f t="shared" si="0"/>
        <v>8.3333333333333329E-2</v>
      </c>
      <c r="Z36" s="233">
        <f t="shared" si="1"/>
        <v>0.1111111111111111</v>
      </c>
      <c r="AA36" s="232">
        <f>VLOOKUP(tabParametros[[#This Row],[Comarca]],tabComarca[],5,0)</f>
        <v>11.25</v>
      </c>
      <c r="AB36" s="232">
        <f>VLOOKUP(tabParametros[[#This Row],[CCT DA CATEGORIA]],tabSindicatos[],6,0)</f>
        <v>29.15</v>
      </c>
      <c r="AC36" s="232">
        <f>VLOOKUP(tabParametros[[#This Row],[CCT DA CATEGORIA]],tabSindicatos[],7,0)</f>
        <v>0</v>
      </c>
      <c r="AD36" s="232" cm="1">
        <f t="array" ref="AD3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36" s="232">
        <f>VLOOKUP(tabParametros[[#This Row],[CCT DA CATEGORIA]],tabSindicatos[],9,0)</f>
        <v>0</v>
      </c>
      <c r="AF36" s="232">
        <f>VLOOKUP(tabParametros[[#This Row],[CCT DA CATEGORIA]],tabSindicatos[],10,0)</f>
        <v>0</v>
      </c>
      <c r="AG36" s="234">
        <f>VLOOKUP(tabParametros[[#Headers],[Seguro de Vida]],tabOutrosCustos[],3,0)</f>
        <v>3.36</v>
      </c>
      <c r="AH36" s="234">
        <f>IF(ISNUMBER(SEARCH("MOTORISTA",tabParametros[[#This Row],[Função]],1)),VLOOKUP("MOTORISTAS",tabDiarias[],2,0),IF(tabParametros[[#This Row],[Comarca]]="Belo Horizonte",VLOOKUP("APOIO",tabDiarias[],2,0),0))</f>
        <v>202.08</v>
      </c>
      <c r="AI36" s="233">
        <f t="shared" si="2"/>
        <v>7.011766975308642E-3</v>
      </c>
      <c r="AJ36" s="235">
        <f>tabParametros[[#This Row],[FGTS]]*tabParametros[[#This Row],[Aviso Prévio Indenizado (API) e Reflexo do Aviso Prévio Indenizado]]</f>
        <v>5.609413580246914E-4</v>
      </c>
      <c r="AK36" s="235">
        <f>tabParametros[[#This Row],[FGTS]]*tabParametros[[#This Row],[Aviso Prévio Indenizado (API) e Reflexo do Aviso Prévio Indenizado]]*40%</f>
        <v>2.2437654320987658E-4</v>
      </c>
      <c r="AL36" s="233">
        <f t="shared" si="3"/>
        <v>3.5000000000000005E-3</v>
      </c>
      <c r="AM36" s="233">
        <f>tabParametros[[#This Row],[Aviso Prévio Trabalhado - APT]]*SUM(tabParametros[[#This Row],[INSS]:[SEBRAE]])</f>
        <v>1.3230000000000004E-3</v>
      </c>
      <c r="AN36" s="233">
        <f t="shared" si="4"/>
        <v>3.0577777777777773E-2</v>
      </c>
      <c r="AO36" s="233">
        <f t="shared" si="5"/>
        <v>8.3333333333333339E-4</v>
      </c>
      <c r="AP36" s="233">
        <f t="shared" si="6"/>
        <v>8.4444444444444437E-3</v>
      </c>
      <c r="AQ36" s="233">
        <f t="shared" si="7"/>
        <v>2.0277777777777777E-3</v>
      </c>
      <c r="AR36" s="233">
        <f t="shared" si="8"/>
        <v>1.7083333333333333E-4</v>
      </c>
      <c r="AS36" s="233">
        <f t="shared" si="9"/>
        <v>2.0833333333333335E-4</v>
      </c>
      <c r="AT36" s="233">
        <f t="shared" si="10"/>
        <v>1.2962962962962963E-3</v>
      </c>
      <c r="AU36" s="235">
        <f>SUM(tabParametros[[#This Row],[Ausência por Doença]:[Férias, Adicional de Férias e 13º  com empregada em gozo de Licença Maternidade]])*SUM(tabParametros[[#This Row],[INSS]:[SEBRAE]])</f>
        <v>4.5918250000000008E-3</v>
      </c>
      <c r="AV36" s="254">
        <f>IF(tabParametros[[#This Row],[Função]]="Porteiro - 220 h",SUM(tabParametros[[#This Row],[Salário Base]:[Adicional de Acúmulo de função]])/220*20*1.5,IF(ISNUMBER(SEARCH("12 x 36",tabParametros[[#This Row],[Função]],1)),SUM(tabParametros[[#This Row],[Salário Base]:[Adicional de Acúmulo de função]])/210*15.5*1.5,0))</f>
        <v>0</v>
      </c>
      <c r="AW36" s="232">
        <f>IF(tabParametros[[#This Row],[Vagas contratadas]]&gt;0,(SUM(tabParametros[[#This Row],[Salário Base]:[Adicional de Acúmulo de função]])*30%+SUM(tabParametros[[#This Row],[Vale - Alimentação]:[Seguro de Vida]]))/tabParametros[[#This Row],[Vagas contratadas]]*tabParametros[[#This Row],[Vagas suspensas]],0)</f>
        <v>0</v>
      </c>
      <c r="AX36" s="232">
        <f>SUMIF(tabUniformes[Cargo],tabParametros[[#This Row],[Função]],tabUniformes[Valor unit. Mensal])</f>
        <v>90.784679782039703</v>
      </c>
      <c r="AY3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6" s="232">
        <v>0</v>
      </c>
      <c r="BC36" s="234" t="e">
        <f ca="1">VLOOKUP(tabParametros[[#Headers],[Custos Indiretos]],tabOutrosCustos[],3,0)</f>
        <v>#NAME?</v>
      </c>
      <c r="BD36" s="234" t="e">
        <f ca="1">VLOOKUP(tabParametros[[#Headers],[Lucro]],tabOutrosCustos[],3,0)</f>
        <v>#NAME?</v>
      </c>
      <c r="BE36" s="233">
        <f>VLOOKUP(tabParametros[[#Headers],[COFINS]],tabImpostosNacionais[],2,0)</f>
        <v>7.5999999999999998E-2</v>
      </c>
      <c r="BF36" s="233">
        <f>VLOOKUP(tabParametros[[#Headers],[PIS]],tabImpostosNacionais[],2,0)</f>
        <v>1.6500000000000001E-2</v>
      </c>
      <c r="BG36" s="233">
        <f>VLOOKUP(tabParametros[[#This Row],[Comarca]],tabComarca[],4,0)</f>
        <v>0.05</v>
      </c>
      <c r="BH36" s="236">
        <f>VLOOKUP(tabParametros[[#This Row],[CCT DA CATEGORIA]],tabSindicatos[],11,0)</f>
        <v>45658</v>
      </c>
      <c r="BI36" s="282" t="str">
        <f>VLOOKUP(tabParametros[[#This Row],[CCT DA CATEGORIA]],tabSindicatos[],12,0)</f>
        <v>-</v>
      </c>
      <c r="BJ36" s="285" t="str">
        <f>VLOOKUP(tabParametros[[#This Row],[CCT DA CATEGORIA]],tabSindicatos[],13,0)</f>
        <v>-</v>
      </c>
    </row>
    <row r="37" spans="1:62">
      <c r="A37" s="231" t="s">
        <v>1416</v>
      </c>
      <c r="B37" s="197" t="s">
        <v>1103</v>
      </c>
      <c r="C37" s="197" t="s">
        <v>183</v>
      </c>
      <c r="D37" s="197" t="str">
        <f>VLOOKUP(tabParametros[[#This Row],[Código do Posto]],tabPostos[],4,0)</f>
        <v>SEAC/SINDEAC</v>
      </c>
      <c r="E37" s="282" t="str">
        <f>VLOOKUP(tabParametros[[#This Row],[Código do Posto]],tabPostos[],5,0)</f>
        <v>Apoio</v>
      </c>
      <c r="F37" s="282" t="str">
        <f>VLOOKUP(tabParametros[[#This Row],[Código do Posto]],tabPostos[],6,0)</f>
        <v>PGJ</v>
      </c>
      <c r="G37" s="282">
        <f>VLOOKUP(tabParametros[[#This Row],[Código do Posto]],tabPostos[],7,0)</f>
        <v>22</v>
      </c>
      <c r="H37" s="282">
        <f>VLOOKUP(tabParametros[[#This Row],[Código do Posto]],tabPostos[],8,0)</f>
        <v>0</v>
      </c>
      <c r="I37" s="232">
        <f>VLOOKUP(tabParametros[[#This Row],[Código do Posto]],tabPostos[],9,0)</f>
        <v>2449.2066087672356</v>
      </c>
      <c r="J37" s="232">
        <f>IF(ISNUMBER(SEARCH("Eletricista",tabParametros[[#This Row],[Função]],1)),0.3*tabParametros[[#This Row],[Salário Base]],0)</f>
        <v>0</v>
      </c>
      <c r="K3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7" s="232">
        <f>IF(AND(ISNUMBER(SEARCH("Noturno",tabParametros[[#This Row],[Função]],1)),tabParametros[[#This Row],[Comarca]]&lt;&gt;"Juiz de Fora"),tabParametros[[#This Row],[Salário Base]]/210*0.39*7*15.5,IF(ISNUMBER(SEARCH("Noturno",tabParametros[[#This Row],[Função]],1)),tabParametros[[#This Row],[Salário Base]]/210*0.2*8*15.5,0))</f>
        <v>0</v>
      </c>
      <c r="M37" s="232">
        <f>IF(ISNUMBER(SEARCH("Motorista II",tabParametros[[#This Row],[Função]],1)),0.3022*tabParametros[[#This Row],[Salário Base]],0)</f>
        <v>0</v>
      </c>
      <c r="N37" s="254">
        <v>0</v>
      </c>
      <c r="O37" s="254">
        <f>IF(ISNUMBER(SEARCH("TECNOLOGIA DA INFORMACAO",tabParametros[[#This Row],[Função]],1)),0.056*tabParametros[[#This Row],[Salário Base]],0)</f>
        <v>0</v>
      </c>
      <c r="P37" s="232">
        <f>IF(tabParametros[[#This Row],[Função]]="Operador de Midia Audiovisual - 150 h",tabParametros[[#This Row],[Salário Base]]/150*50*30%,IF(tabParametros[[#This Row],[Função]]="Supervisor de Manutencao de Veiculos II - 220 h",12%*tabParametros[[#This Row],[Salário Base]],0))</f>
        <v>0</v>
      </c>
      <c r="Q37" s="233">
        <f>VLOOKUP(tabParametros[[#Headers],[INSS]],tabImpostosNacionais[],2,0)</f>
        <v>0.2</v>
      </c>
      <c r="R37" s="233">
        <f>VLOOKUP(tabParametros[[#Headers],[SESI OU SESC]],tabImpostosNacionais[],2,0)</f>
        <v>1.4999999999999999E-2</v>
      </c>
      <c r="S37" s="233">
        <f>VLOOKUP(tabParametros[[#Headers],[SENAI OU SENAC]],tabImpostosNacionais[],2,0)</f>
        <v>0.01</v>
      </c>
      <c r="T37" s="233">
        <f>VLOOKUP(tabParametros[[#Headers],[INCRA]],tabImpostosNacionais[],2,0)</f>
        <v>2E-3</v>
      </c>
      <c r="U37" s="233">
        <f>VLOOKUP(tabParametros[[#Headers],[Salário Educação]],tabImpostosNacionais[],2,0)</f>
        <v>2.5000000000000001E-2</v>
      </c>
      <c r="V37" s="233">
        <f>VLOOKUP(tabParametros[[#Headers],[FGTS]],tabImpostosNacionais[],2,0)</f>
        <v>0.08</v>
      </c>
      <c r="W37" s="233">
        <f>VLOOKUP(tabParametros[[#Headers],[RAT Ajustado]],tabImpostosNacionais[],2,0)</f>
        <v>0.04</v>
      </c>
      <c r="X37" s="233">
        <f>VLOOKUP(tabParametros[[#Headers],[SEBRAE]],tabImpostosNacionais[],2,0)</f>
        <v>6.0000000000000001E-3</v>
      </c>
      <c r="Y37" s="233">
        <f t="shared" si="0"/>
        <v>8.3333333333333329E-2</v>
      </c>
      <c r="Z37" s="233">
        <f t="shared" si="1"/>
        <v>0.1111111111111111</v>
      </c>
      <c r="AA37" s="232">
        <f>VLOOKUP(tabParametros[[#This Row],[Comarca]],tabComarca[],5,0)</f>
        <v>11.25</v>
      </c>
      <c r="AB37" s="232">
        <f>VLOOKUP(tabParametros[[#This Row],[CCT DA CATEGORIA]],tabSindicatos[],6,0)</f>
        <v>29.15</v>
      </c>
      <c r="AC37" s="232">
        <f>VLOOKUP(tabParametros[[#This Row],[CCT DA CATEGORIA]],tabSindicatos[],7,0)</f>
        <v>0</v>
      </c>
      <c r="AD37" s="232" cm="1">
        <f t="array" ref="AD3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37" s="232">
        <f>VLOOKUP(tabParametros[[#This Row],[CCT DA CATEGORIA]],tabSindicatos[],9,0)</f>
        <v>0</v>
      </c>
      <c r="AF37" s="232">
        <f>VLOOKUP(tabParametros[[#This Row],[CCT DA CATEGORIA]],tabSindicatos[],10,0)</f>
        <v>0</v>
      </c>
      <c r="AG37" s="234">
        <f>VLOOKUP(tabParametros[[#Headers],[Seguro de Vida]],tabOutrosCustos[],3,0)</f>
        <v>3.36</v>
      </c>
      <c r="AH37" s="234">
        <f>IF(ISNUMBER(SEARCH("MOTORISTA",tabParametros[[#This Row],[Função]],1)),VLOOKUP("MOTORISTAS",tabDiarias[],2,0),IF(tabParametros[[#This Row],[Comarca]]="Belo Horizonte",VLOOKUP("APOIO",tabDiarias[],2,0),0))</f>
        <v>202.08</v>
      </c>
      <c r="AI37" s="233">
        <f t="shared" si="2"/>
        <v>7.011766975308642E-3</v>
      </c>
      <c r="AJ37" s="235">
        <f>tabParametros[[#This Row],[FGTS]]*tabParametros[[#This Row],[Aviso Prévio Indenizado (API) e Reflexo do Aviso Prévio Indenizado]]</f>
        <v>5.609413580246914E-4</v>
      </c>
      <c r="AK37" s="235">
        <f>tabParametros[[#This Row],[FGTS]]*tabParametros[[#This Row],[Aviso Prévio Indenizado (API) e Reflexo do Aviso Prévio Indenizado]]*40%</f>
        <v>2.2437654320987658E-4</v>
      </c>
      <c r="AL37" s="233">
        <f t="shared" si="3"/>
        <v>3.5000000000000005E-3</v>
      </c>
      <c r="AM37" s="233">
        <f>tabParametros[[#This Row],[Aviso Prévio Trabalhado - APT]]*SUM(tabParametros[[#This Row],[INSS]:[SEBRAE]])</f>
        <v>1.3230000000000004E-3</v>
      </c>
      <c r="AN37" s="233">
        <f t="shared" si="4"/>
        <v>3.0577777777777773E-2</v>
      </c>
      <c r="AO37" s="233">
        <f t="shared" si="5"/>
        <v>8.3333333333333339E-4</v>
      </c>
      <c r="AP37" s="233">
        <f t="shared" si="6"/>
        <v>8.4444444444444437E-3</v>
      </c>
      <c r="AQ37" s="233">
        <f t="shared" si="7"/>
        <v>2.0277777777777777E-3</v>
      </c>
      <c r="AR37" s="233">
        <f t="shared" si="8"/>
        <v>1.7083333333333333E-4</v>
      </c>
      <c r="AS37" s="233">
        <f t="shared" si="9"/>
        <v>2.0833333333333335E-4</v>
      </c>
      <c r="AT37" s="233">
        <f t="shared" si="10"/>
        <v>1.2962962962962963E-3</v>
      </c>
      <c r="AU37" s="235">
        <f>SUM(tabParametros[[#This Row],[Ausência por Doença]:[Férias, Adicional de Férias e 13º  com empregada em gozo de Licença Maternidade]])*SUM(tabParametros[[#This Row],[INSS]:[SEBRAE]])</f>
        <v>4.5918250000000008E-3</v>
      </c>
      <c r="AV37" s="254">
        <f>IF(tabParametros[[#This Row],[Função]]="Porteiro - 220 h",SUM(tabParametros[[#This Row],[Salário Base]:[Adicional de Acúmulo de função]])/220*20*1.5,IF(ISNUMBER(SEARCH("12 x 36",tabParametros[[#This Row],[Função]],1)),SUM(tabParametros[[#This Row],[Salário Base]:[Adicional de Acúmulo de função]])/210*15.5*1.5,0))</f>
        <v>0</v>
      </c>
      <c r="AW37" s="232">
        <f>IF(tabParametros[[#This Row],[Vagas contratadas]]&gt;0,(SUM(tabParametros[[#This Row],[Salário Base]:[Adicional de Acúmulo de função]])*30%+SUM(tabParametros[[#This Row],[Vale - Alimentação]:[Seguro de Vida]]))/tabParametros[[#This Row],[Vagas contratadas]]*tabParametros[[#This Row],[Vagas suspensas]],0)</f>
        <v>0</v>
      </c>
      <c r="AX37" s="232">
        <f>SUMIF(tabUniformes[Cargo],tabParametros[[#This Row],[Função]],tabUniformes[Valor unit. Mensal])</f>
        <v>578.61233278757447</v>
      </c>
      <c r="AY3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7" s="232">
        <v>0</v>
      </c>
      <c r="BC37" s="234" t="e">
        <f ca="1">VLOOKUP(tabParametros[[#Headers],[Custos Indiretos]],tabOutrosCustos[],3,0)</f>
        <v>#NAME?</v>
      </c>
      <c r="BD37" s="234" t="e">
        <f ca="1">VLOOKUP(tabParametros[[#Headers],[Lucro]],tabOutrosCustos[],3,0)</f>
        <v>#NAME?</v>
      </c>
      <c r="BE37" s="233">
        <f>VLOOKUP(tabParametros[[#Headers],[COFINS]],tabImpostosNacionais[],2,0)</f>
        <v>7.5999999999999998E-2</v>
      </c>
      <c r="BF37" s="233">
        <f>VLOOKUP(tabParametros[[#Headers],[PIS]],tabImpostosNacionais[],2,0)</f>
        <v>1.6500000000000001E-2</v>
      </c>
      <c r="BG37" s="233">
        <f>VLOOKUP(tabParametros[[#This Row],[Comarca]],tabComarca[],4,0)</f>
        <v>0.05</v>
      </c>
      <c r="BH37" s="236">
        <f>VLOOKUP(tabParametros[[#This Row],[CCT DA CATEGORIA]],tabSindicatos[],11,0)</f>
        <v>45658</v>
      </c>
      <c r="BI37" s="282" t="str">
        <f>VLOOKUP(tabParametros[[#This Row],[CCT DA CATEGORIA]],tabSindicatos[],12,0)</f>
        <v>-</v>
      </c>
      <c r="BJ37" s="285" t="str">
        <f>VLOOKUP(tabParametros[[#This Row],[CCT DA CATEGORIA]],tabSindicatos[],13,0)</f>
        <v>-</v>
      </c>
    </row>
    <row r="38" spans="1:62">
      <c r="A38" s="231" t="s">
        <v>1417</v>
      </c>
      <c r="B38" s="197" t="s">
        <v>1103</v>
      </c>
      <c r="C38" s="197" t="s">
        <v>189</v>
      </c>
      <c r="D38" s="197" t="str">
        <f>VLOOKUP(tabParametros[[#This Row],[Código do Posto]],tabPostos[],4,0)</f>
        <v>SEAC/SINDEAC</v>
      </c>
      <c r="E38" s="282" t="str">
        <f>VLOOKUP(tabParametros[[#This Row],[Código do Posto]],tabPostos[],5,0)</f>
        <v>Apoio</v>
      </c>
      <c r="F38" s="282" t="str">
        <f>VLOOKUP(tabParametros[[#This Row],[Código do Posto]],tabPostos[],6,0)</f>
        <v>PGJ</v>
      </c>
      <c r="G38" s="282">
        <f>VLOOKUP(tabParametros[[#This Row],[Código do Posto]],tabPostos[],7,0)</f>
        <v>8</v>
      </c>
      <c r="H38" s="282">
        <f>VLOOKUP(tabParametros[[#This Row],[Código do Posto]],tabPostos[],8,0)</f>
        <v>0</v>
      </c>
      <c r="I38" s="232">
        <f>VLOOKUP(tabParametros[[#This Row],[Código do Posto]],tabPostos[],9,0)</f>
        <v>3673.8031971445557</v>
      </c>
      <c r="J38" s="232">
        <f>IF(ISNUMBER(SEARCH("Eletricista",tabParametros[[#This Row],[Função]],1)),0.3*tabParametros[[#This Row],[Salário Base]],0)</f>
        <v>0</v>
      </c>
      <c r="K3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38" s="232">
        <f>IF(AND(ISNUMBER(SEARCH("Noturno",tabParametros[[#This Row],[Função]],1)),tabParametros[[#This Row],[Comarca]]&lt;&gt;"Juiz de Fora"),tabParametros[[#This Row],[Salário Base]]/210*0.39*7*15.5,IF(ISNUMBER(SEARCH("Noturno",tabParametros[[#This Row],[Função]],1)),tabParametros[[#This Row],[Salário Base]]/210*0.2*8*15.5,0))</f>
        <v>0</v>
      </c>
      <c r="M38" s="232">
        <f>IF(ISNUMBER(SEARCH("Motorista II",tabParametros[[#This Row],[Função]],1)),0.3022*tabParametros[[#This Row],[Salário Base]],0)</f>
        <v>0</v>
      </c>
      <c r="N38" s="254">
        <v>0</v>
      </c>
      <c r="O38" s="254">
        <f>IF(ISNUMBER(SEARCH("TECNOLOGIA DA INFORMACAO",tabParametros[[#This Row],[Função]],1)),0.056*tabParametros[[#This Row],[Salário Base]],0)</f>
        <v>0</v>
      </c>
      <c r="P38" s="232">
        <f>IF(tabParametros[[#This Row],[Função]]="Operador de Midia Audiovisual - 150 h",tabParametros[[#This Row],[Salário Base]]/150*50*30%,IF(tabParametros[[#This Row],[Função]]="Supervisor de Manutencao de Veiculos II - 220 h",12%*tabParametros[[#This Row],[Salário Base]],0))</f>
        <v>0</v>
      </c>
      <c r="Q38" s="233">
        <f>VLOOKUP(tabParametros[[#Headers],[INSS]],tabImpostosNacionais[],2,0)</f>
        <v>0.2</v>
      </c>
      <c r="R38" s="233">
        <f>VLOOKUP(tabParametros[[#Headers],[SESI OU SESC]],tabImpostosNacionais[],2,0)</f>
        <v>1.4999999999999999E-2</v>
      </c>
      <c r="S38" s="233">
        <f>VLOOKUP(tabParametros[[#Headers],[SENAI OU SENAC]],tabImpostosNacionais[],2,0)</f>
        <v>0.01</v>
      </c>
      <c r="T38" s="233">
        <f>VLOOKUP(tabParametros[[#Headers],[INCRA]],tabImpostosNacionais[],2,0)</f>
        <v>2E-3</v>
      </c>
      <c r="U38" s="233">
        <f>VLOOKUP(tabParametros[[#Headers],[Salário Educação]],tabImpostosNacionais[],2,0)</f>
        <v>2.5000000000000001E-2</v>
      </c>
      <c r="V38" s="233">
        <f>VLOOKUP(tabParametros[[#Headers],[FGTS]],tabImpostosNacionais[],2,0)</f>
        <v>0.08</v>
      </c>
      <c r="W38" s="233">
        <f>VLOOKUP(tabParametros[[#Headers],[RAT Ajustado]],tabImpostosNacionais[],2,0)</f>
        <v>0.04</v>
      </c>
      <c r="X38" s="233">
        <f>VLOOKUP(tabParametros[[#Headers],[SEBRAE]],tabImpostosNacionais[],2,0)</f>
        <v>6.0000000000000001E-3</v>
      </c>
      <c r="Y38" s="233">
        <f t="shared" si="0"/>
        <v>8.3333333333333329E-2</v>
      </c>
      <c r="Z38" s="233">
        <f t="shared" si="1"/>
        <v>0.1111111111111111</v>
      </c>
      <c r="AA38" s="232">
        <f>VLOOKUP(tabParametros[[#This Row],[Comarca]],tabComarca[],5,0)</f>
        <v>11.25</v>
      </c>
      <c r="AB38" s="232">
        <f>VLOOKUP(tabParametros[[#This Row],[CCT DA CATEGORIA]],tabSindicatos[],6,0)</f>
        <v>29.15</v>
      </c>
      <c r="AC38" s="232">
        <f>VLOOKUP(tabParametros[[#This Row],[CCT DA CATEGORIA]],tabSindicatos[],7,0)</f>
        <v>0</v>
      </c>
      <c r="AD38" s="232" cm="1">
        <f t="array" ref="AD3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38" s="232">
        <f>VLOOKUP(tabParametros[[#This Row],[CCT DA CATEGORIA]],tabSindicatos[],9,0)</f>
        <v>0</v>
      </c>
      <c r="AF38" s="232">
        <f>VLOOKUP(tabParametros[[#This Row],[CCT DA CATEGORIA]],tabSindicatos[],10,0)</f>
        <v>0</v>
      </c>
      <c r="AG38" s="234">
        <f>VLOOKUP(tabParametros[[#Headers],[Seguro de Vida]],tabOutrosCustos[],3,0)</f>
        <v>3.36</v>
      </c>
      <c r="AH38" s="234">
        <f>IF(ISNUMBER(SEARCH("MOTORISTA",tabParametros[[#This Row],[Função]],1)),VLOOKUP("MOTORISTAS",tabDiarias[],2,0),IF(tabParametros[[#This Row],[Comarca]]="Belo Horizonte",VLOOKUP("APOIO",tabDiarias[],2,0),0))</f>
        <v>202.08</v>
      </c>
      <c r="AI38" s="233">
        <f t="shared" si="2"/>
        <v>7.011766975308642E-3</v>
      </c>
      <c r="AJ38" s="235">
        <f>tabParametros[[#This Row],[FGTS]]*tabParametros[[#This Row],[Aviso Prévio Indenizado (API) e Reflexo do Aviso Prévio Indenizado]]</f>
        <v>5.609413580246914E-4</v>
      </c>
      <c r="AK38" s="235">
        <f>tabParametros[[#This Row],[FGTS]]*tabParametros[[#This Row],[Aviso Prévio Indenizado (API) e Reflexo do Aviso Prévio Indenizado]]*40%</f>
        <v>2.2437654320987658E-4</v>
      </c>
      <c r="AL38" s="233">
        <f t="shared" si="3"/>
        <v>3.5000000000000005E-3</v>
      </c>
      <c r="AM38" s="233">
        <f>tabParametros[[#This Row],[Aviso Prévio Trabalhado - APT]]*SUM(tabParametros[[#This Row],[INSS]:[SEBRAE]])</f>
        <v>1.3230000000000004E-3</v>
      </c>
      <c r="AN38" s="233">
        <f t="shared" si="4"/>
        <v>3.0577777777777773E-2</v>
      </c>
      <c r="AO38" s="233">
        <f t="shared" si="5"/>
        <v>8.3333333333333339E-4</v>
      </c>
      <c r="AP38" s="233">
        <f t="shared" si="6"/>
        <v>8.4444444444444437E-3</v>
      </c>
      <c r="AQ38" s="233">
        <f t="shared" si="7"/>
        <v>2.0277777777777777E-3</v>
      </c>
      <c r="AR38" s="233">
        <f t="shared" si="8"/>
        <v>1.7083333333333333E-4</v>
      </c>
      <c r="AS38" s="233">
        <f t="shared" si="9"/>
        <v>2.0833333333333335E-4</v>
      </c>
      <c r="AT38" s="233">
        <f t="shared" si="10"/>
        <v>1.2962962962962963E-3</v>
      </c>
      <c r="AU38" s="235">
        <f>SUM(tabParametros[[#This Row],[Ausência por Doença]:[Férias, Adicional de Férias e 13º  com empregada em gozo de Licença Maternidade]])*SUM(tabParametros[[#This Row],[INSS]:[SEBRAE]])</f>
        <v>4.5918250000000008E-3</v>
      </c>
      <c r="AV38" s="254">
        <f>IF(tabParametros[[#This Row],[Função]]="Porteiro - 220 h",SUM(tabParametros[[#This Row],[Salário Base]:[Adicional de Acúmulo de função]])/220*20*1.5,IF(ISNUMBER(SEARCH("12 x 36",tabParametros[[#This Row],[Função]],1)),SUM(tabParametros[[#This Row],[Salário Base]:[Adicional de Acúmulo de função]])/210*15.5*1.5,0))</f>
        <v>0</v>
      </c>
      <c r="AW38" s="232">
        <f>IF(tabParametros[[#This Row],[Vagas contratadas]]&gt;0,(SUM(tabParametros[[#This Row],[Salário Base]:[Adicional de Acúmulo de função]])*30%+SUM(tabParametros[[#This Row],[Vale - Alimentação]:[Seguro de Vida]]))/tabParametros[[#This Row],[Vagas contratadas]]*tabParametros[[#This Row],[Vagas suspensas]],0)</f>
        <v>0</v>
      </c>
      <c r="AX38" s="232">
        <f>SUMIF(tabUniformes[Cargo],tabParametros[[#This Row],[Função]],tabUniformes[Valor unit. Mensal])</f>
        <v>659.85501639421614</v>
      </c>
      <c r="AY3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8" s="232">
        <v>0</v>
      </c>
      <c r="BC38" s="234" t="e">
        <f ca="1">VLOOKUP(tabParametros[[#Headers],[Custos Indiretos]],tabOutrosCustos[],3,0)</f>
        <v>#NAME?</v>
      </c>
      <c r="BD38" s="234" t="e">
        <f ca="1">VLOOKUP(tabParametros[[#Headers],[Lucro]],tabOutrosCustos[],3,0)</f>
        <v>#NAME?</v>
      </c>
      <c r="BE38" s="233">
        <f>VLOOKUP(tabParametros[[#Headers],[COFINS]],tabImpostosNacionais[],2,0)</f>
        <v>7.5999999999999998E-2</v>
      </c>
      <c r="BF38" s="233">
        <f>VLOOKUP(tabParametros[[#Headers],[PIS]],tabImpostosNacionais[],2,0)</f>
        <v>1.6500000000000001E-2</v>
      </c>
      <c r="BG38" s="233">
        <f>VLOOKUP(tabParametros[[#This Row],[Comarca]],tabComarca[],4,0)</f>
        <v>0.05</v>
      </c>
      <c r="BH38" s="236">
        <f>VLOOKUP(tabParametros[[#This Row],[CCT DA CATEGORIA]],tabSindicatos[],11,0)</f>
        <v>45658</v>
      </c>
      <c r="BI38" s="282" t="str">
        <f>VLOOKUP(tabParametros[[#This Row],[CCT DA CATEGORIA]],tabSindicatos[],12,0)</f>
        <v>-</v>
      </c>
      <c r="BJ38" s="285" t="str">
        <f>VLOOKUP(tabParametros[[#This Row],[CCT DA CATEGORIA]],tabSindicatos[],13,0)</f>
        <v>-</v>
      </c>
    </row>
    <row r="39" spans="1:62">
      <c r="A39" s="231" t="s">
        <v>1418</v>
      </c>
      <c r="B39" s="197" t="s">
        <v>1103</v>
      </c>
      <c r="C39" s="197" t="s">
        <v>195</v>
      </c>
      <c r="D39" s="197" t="str">
        <f>VLOOKUP(tabParametros[[#This Row],[Código do Posto]],tabPostos[],4,0)</f>
        <v>SEAC/SINDEAC</v>
      </c>
      <c r="E39" s="282" t="str">
        <f>VLOOKUP(tabParametros[[#This Row],[Código do Posto]],tabPostos[],5,0)</f>
        <v>Apoio</v>
      </c>
      <c r="F39" s="282" t="str">
        <f>VLOOKUP(tabParametros[[#This Row],[Código do Posto]],tabPostos[],6,0)</f>
        <v>PGJ</v>
      </c>
      <c r="G39" s="282">
        <f>VLOOKUP(tabParametros[[#This Row],[Código do Posto]],tabPostos[],7,0)</f>
        <v>20</v>
      </c>
      <c r="H39" s="282">
        <f>VLOOKUP(tabParametros[[#This Row],[Código do Posto]],tabPostos[],8,0)</f>
        <v>0</v>
      </c>
      <c r="I39" s="232">
        <f>VLOOKUP(tabParametros[[#This Row],[Código do Posto]],tabPostos[],9,0)</f>
        <v>1649.1153464738998</v>
      </c>
      <c r="J39" s="232">
        <f>IF(ISNUMBER(SEARCH("Eletricista",tabParametros[[#This Row],[Função]],1)),0.3*tabParametros[[#This Row],[Salário Base]],0)</f>
        <v>0</v>
      </c>
      <c r="K3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9" s="232">
        <f>IF(AND(ISNUMBER(SEARCH("Noturno",tabParametros[[#This Row],[Função]],1)),tabParametros[[#This Row],[Comarca]]&lt;&gt;"Juiz de Fora"),tabParametros[[#This Row],[Salário Base]]/210*0.39*7*15.5,IF(ISNUMBER(SEARCH("Noturno",tabParametros[[#This Row],[Função]],1)),tabParametros[[#This Row],[Salário Base]]/210*0.2*8*15.5,0))</f>
        <v>0</v>
      </c>
      <c r="M39" s="232">
        <f>IF(ISNUMBER(SEARCH("Motorista II",tabParametros[[#This Row],[Função]],1)),0.3022*tabParametros[[#This Row],[Salário Base]],0)</f>
        <v>0</v>
      </c>
      <c r="N39" s="254">
        <v>0</v>
      </c>
      <c r="O39" s="254">
        <f>IF(ISNUMBER(SEARCH("TECNOLOGIA DA INFORMACAO",tabParametros[[#This Row],[Função]],1)),0.056*tabParametros[[#This Row],[Salário Base]],0)</f>
        <v>0</v>
      </c>
      <c r="P39" s="232">
        <f>IF(tabParametros[[#This Row],[Função]]="Operador de Midia Audiovisual - 150 h",tabParametros[[#This Row],[Salário Base]]/150*50*30%,IF(tabParametros[[#This Row],[Função]]="Supervisor de Manutencao de Veiculos II - 220 h",12%*tabParametros[[#This Row],[Salário Base]],0))</f>
        <v>0</v>
      </c>
      <c r="Q39" s="233">
        <f>VLOOKUP(tabParametros[[#Headers],[INSS]],tabImpostosNacionais[],2,0)</f>
        <v>0.2</v>
      </c>
      <c r="R39" s="233">
        <f>VLOOKUP(tabParametros[[#Headers],[SESI OU SESC]],tabImpostosNacionais[],2,0)</f>
        <v>1.4999999999999999E-2</v>
      </c>
      <c r="S39" s="233">
        <f>VLOOKUP(tabParametros[[#Headers],[SENAI OU SENAC]],tabImpostosNacionais[],2,0)</f>
        <v>0.01</v>
      </c>
      <c r="T39" s="233">
        <f>VLOOKUP(tabParametros[[#Headers],[INCRA]],tabImpostosNacionais[],2,0)</f>
        <v>2E-3</v>
      </c>
      <c r="U39" s="233">
        <f>VLOOKUP(tabParametros[[#Headers],[Salário Educação]],tabImpostosNacionais[],2,0)</f>
        <v>2.5000000000000001E-2</v>
      </c>
      <c r="V39" s="233">
        <f>VLOOKUP(tabParametros[[#Headers],[FGTS]],tabImpostosNacionais[],2,0)</f>
        <v>0.08</v>
      </c>
      <c r="W39" s="233">
        <f>VLOOKUP(tabParametros[[#Headers],[RAT Ajustado]],tabImpostosNacionais[],2,0)</f>
        <v>0.04</v>
      </c>
      <c r="X39" s="233">
        <f>VLOOKUP(tabParametros[[#Headers],[SEBRAE]],tabImpostosNacionais[],2,0)</f>
        <v>6.0000000000000001E-3</v>
      </c>
      <c r="Y39" s="233">
        <f t="shared" si="0"/>
        <v>8.3333333333333329E-2</v>
      </c>
      <c r="Z39" s="233">
        <f t="shared" si="1"/>
        <v>0.1111111111111111</v>
      </c>
      <c r="AA39" s="232">
        <f>VLOOKUP(tabParametros[[#This Row],[Comarca]],tabComarca[],5,0)</f>
        <v>11.25</v>
      </c>
      <c r="AB39" s="232">
        <f>VLOOKUP(tabParametros[[#This Row],[CCT DA CATEGORIA]],tabSindicatos[],6,0)</f>
        <v>29.15</v>
      </c>
      <c r="AC39" s="232">
        <f>VLOOKUP(tabParametros[[#This Row],[CCT DA CATEGORIA]],tabSindicatos[],7,0)</f>
        <v>0</v>
      </c>
      <c r="AD39" s="232" cm="1">
        <f t="array" ref="AD3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39" s="232">
        <f>VLOOKUP(tabParametros[[#This Row],[CCT DA CATEGORIA]],tabSindicatos[],9,0)</f>
        <v>0</v>
      </c>
      <c r="AF39" s="232">
        <f>VLOOKUP(tabParametros[[#This Row],[CCT DA CATEGORIA]],tabSindicatos[],10,0)</f>
        <v>0</v>
      </c>
      <c r="AG39" s="234">
        <f>VLOOKUP(tabParametros[[#Headers],[Seguro de Vida]],tabOutrosCustos[],3,0)</f>
        <v>3.36</v>
      </c>
      <c r="AH39" s="234">
        <f>IF(ISNUMBER(SEARCH("MOTORISTA",tabParametros[[#This Row],[Função]],1)),VLOOKUP("MOTORISTAS",tabDiarias[],2,0),IF(tabParametros[[#This Row],[Comarca]]="Belo Horizonte",VLOOKUP("APOIO",tabDiarias[],2,0),0))</f>
        <v>202.08</v>
      </c>
      <c r="AI39" s="233">
        <f t="shared" si="2"/>
        <v>7.011766975308642E-3</v>
      </c>
      <c r="AJ39" s="235">
        <f>tabParametros[[#This Row],[FGTS]]*tabParametros[[#This Row],[Aviso Prévio Indenizado (API) e Reflexo do Aviso Prévio Indenizado]]</f>
        <v>5.609413580246914E-4</v>
      </c>
      <c r="AK39" s="235">
        <f>tabParametros[[#This Row],[FGTS]]*tabParametros[[#This Row],[Aviso Prévio Indenizado (API) e Reflexo do Aviso Prévio Indenizado]]*40%</f>
        <v>2.2437654320987658E-4</v>
      </c>
      <c r="AL39" s="233">
        <f t="shared" si="3"/>
        <v>3.5000000000000005E-3</v>
      </c>
      <c r="AM39" s="233">
        <f>tabParametros[[#This Row],[Aviso Prévio Trabalhado - APT]]*SUM(tabParametros[[#This Row],[INSS]:[SEBRAE]])</f>
        <v>1.3230000000000004E-3</v>
      </c>
      <c r="AN39" s="233">
        <f t="shared" si="4"/>
        <v>3.0577777777777773E-2</v>
      </c>
      <c r="AO39" s="233">
        <f t="shared" si="5"/>
        <v>8.3333333333333339E-4</v>
      </c>
      <c r="AP39" s="233">
        <f t="shared" si="6"/>
        <v>8.4444444444444437E-3</v>
      </c>
      <c r="AQ39" s="233">
        <f t="shared" si="7"/>
        <v>2.0277777777777777E-3</v>
      </c>
      <c r="AR39" s="233">
        <f t="shared" si="8"/>
        <v>1.7083333333333333E-4</v>
      </c>
      <c r="AS39" s="233">
        <f t="shared" si="9"/>
        <v>2.0833333333333335E-4</v>
      </c>
      <c r="AT39" s="233">
        <f t="shared" si="10"/>
        <v>1.2962962962962963E-3</v>
      </c>
      <c r="AU39" s="235">
        <f>SUM(tabParametros[[#This Row],[Ausência por Doença]:[Férias, Adicional de Férias e 13º  com empregada em gozo de Licença Maternidade]])*SUM(tabParametros[[#This Row],[INSS]:[SEBRAE]])</f>
        <v>4.5918250000000008E-3</v>
      </c>
      <c r="AV39" s="254">
        <f>IF(tabParametros[[#This Row],[Função]]="Porteiro - 220 h",SUM(tabParametros[[#This Row],[Salário Base]:[Adicional de Acúmulo de função]])/220*20*1.5,IF(ISNUMBER(SEARCH("12 x 36",tabParametros[[#This Row],[Função]],1)),SUM(tabParametros[[#This Row],[Salário Base]:[Adicional de Acúmulo de função]])/210*15.5*1.5,0))</f>
        <v>0</v>
      </c>
      <c r="AW39" s="232">
        <f>IF(tabParametros[[#This Row],[Vagas contratadas]]&gt;0,(SUM(tabParametros[[#This Row],[Salário Base]:[Adicional de Acúmulo de função]])*30%+SUM(tabParametros[[#This Row],[Vale - Alimentação]:[Seguro de Vida]]))/tabParametros[[#This Row],[Vagas contratadas]]*tabParametros[[#This Row],[Vagas suspensas]],0)</f>
        <v>0</v>
      </c>
      <c r="AX39" s="232">
        <f>SUMIF(tabUniformes[Cargo],tabParametros[[#This Row],[Função]],tabUniformes[Valor unit. Mensal])</f>
        <v>101.67869344317154</v>
      </c>
      <c r="AY3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9" s="232">
        <v>0</v>
      </c>
      <c r="BC39" s="234" t="e">
        <f ca="1">VLOOKUP(tabParametros[[#Headers],[Custos Indiretos]],tabOutrosCustos[],3,0)</f>
        <v>#NAME?</v>
      </c>
      <c r="BD39" s="234" t="e">
        <f ca="1">VLOOKUP(tabParametros[[#Headers],[Lucro]],tabOutrosCustos[],3,0)</f>
        <v>#NAME?</v>
      </c>
      <c r="BE39" s="233">
        <f>VLOOKUP(tabParametros[[#Headers],[COFINS]],tabImpostosNacionais[],2,0)</f>
        <v>7.5999999999999998E-2</v>
      </c>
      <c r="BF39" s="233">
        <f>VLOOKUP(tabParametros[[#Headers],[PIS]],tabImpostosNacionais[],2,0)</f>
        <v>1.6500000000000001E-2</v>
      </c>
      <c r="BG39" s="233">
        <f>VLOOKUP(tabParametros[[#This Row],[Comarca]],tabComarca[],4,0)</f>
        <v>0.05</v>
      </c>
      <c r="BH39" s="236">
        <f>VLOOKUP(tabParametros[[#This Row],[CCT DA CATEGORIA]],tabSindicatos[],11,0)</f>
        <v>45658</v>
      </c>
      <c r="BI39" s="282" t="str">
        <f>VLOOKUP(tabParametros[[#This Row],[CCT DA CATEGORIA]],tabSindicatos[],12,0)</f>
        <v>-</v>
      </c>
      <c r="BJ39" s="285" t="str">
        <f>VLOOKUP(tabParametros[[#This Row],[CCT DA CATEGORIA]],tabSindicatos[],13,0)</f>
        <v>-</v>
      </c>
    </row>
    <row r="40" spans="1:62">
      <c r="A40" s="231" t="s">
        <v>1419</v>
      </c>
      <c r="B40" s="197" t="s">
        <v>1103</v>
      </c>
      <c r="C40" s="197" t="s">
        <v>200</v>
      </c>
      <c r="D40" s="197" t="str">
        <f>VLOOKUP(tabParametros[[#This Row],[Código do Posto]],tabPostos[],4,0)</f>
        <v>SEAC/SINDEAC</v>
      </c>
      <c r="E40" s="282" t="str">
        <f>VLOOKUP(tabParametros[[#This Row],[Código do Posto]],tabPostos[],5,0)</f>
        <v>Apoio</v>
      </c>
      <c r="F40" s="282" t="str">
        <f>VLOOKUP(tabParametros[[#This Row],[Código do Posto]],tabPostos[],6,0)</f>
        <v>PGJ</v>
      </c>
      <c r="G40" s="282">
        <f>VLOOKUP(tabParametros[[#This Row],[Código do Posto]],tabPostos[],7,0)</f>
        <v>45</v>
      </c>
      <c r="H40" s="282">
        <f>VLOOKUP(tabParametros[[#This Row],[Código do Posto]],tabPostos[],8,0)</f>
        <v>0</v>
      </c>
      <c r="I40" s="232">
        <f>VLOOKUP(tabParametros[[#This Row],[Código do Posto]],tabPostos[],9,0)</f>
        <v>1649.1153464738998</v>
      </c>
      <c r="J40" s="232">
        <f>IF(ISNUMBER(SEARCH("Eletricista",tabParametros[[#This Row],[Função]],1)),0.3*tabParametros[[#This Row],[Salário Base]],0)</f>
        <v>0</v>
      </c>
      <c r="K4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0" s="232">
        <f>IF(AND(ISNUMBER(SEARCH("Noturno",tabParametros[[#This Row],[Função]],1)),tabParametros[[#This Row],[Comarca]]&lt;&gt;"Juiz de Fora"),tabParametros[[#This Row],[Salário Base]]/210*0.39*7*15.5,IF(ISNUMBER(SEARCH("Noturno",tabParametros[[#This Row],[Função]],1)),tabParametros[[#This Row],[Salário Base]]/210*0.2*8*15.5,0))</f>
        <v>0</v>
      </c>
      <c r="M40" s="232">
        <f>IF(ISNUMBER(SEARCH("Motorista II",tabParametros[[#This Row],[Função]],1)),0.3022*tabParametros[[#This Row],[Salário Base]],0)</f>
        <v>0</v>
      </c>
      <c r="N40" s="254">
        <v>0</v>
      </c>
      <c r="O40" s="254">
        <f>IF(ISNUMBER(SEARCH("TECNOLOGIA DA INFORMACAO",tabParametros[[#This Row],[Função]],1)),0.056*tabParametros[[#This Row],[Salário Base]],0)</f>
        <v>0</v>
      </c>
      <c r="P40" s="232">
        <f>IF(tabParametros[[#This Row],[Função]]="Operador de Midia Audiovisual - 150 h",tabParametros[[#This Row],[Salário Base]]/150*50*30%,IF(tabParametros[[#This Row],[Função]]="Supervisor de Manutencao de Veiculos II - 220 h",12%*tabParametros[[#This Row],[Salário Base]],0))</f>
        <v>0</v>
      </c>
      <c r="Q40" s="233">
        <f>VLOOKUP(tabParametros[[#Headers],[INSS]],tabImpostosNacionais[],2,0)</f>
        <v>0.2</v>
      </c>
      <c r="R40" s="233">
        <f>VLOOKUP(tabParametros[[#Headers],[SESI OU SESC]],tabImpostosNacionais[],2,0)</f>
        <v>1.4999999999999999E-2</v>
      </c>
      <c r="S40" s="233">
        <f>VLOOKUP(tabParametros[[#Headers],[SENAI OU SENAC]],tabImpostosNacionais[],2,0)</f>
        <v>0.01</v>
      </c>
      <c r="T40" s="233">
        <f>VLOOKUP(tabParametros[[#Headers],[INCRA]],tabImpostosNacionais[],2,0)</f>
        <v>2E-3</v>
      </c>
      <c r="U40" s="233">
        <f>VLOOKUP(tabParametros[[#Headers],[Salário Educação]],tabImpostosNacionais[],2,0)</f>
        <v>2.5000000000000001E-2</v>
      </c>
      <c r="V40" s="233">
        <f>VLOOKUP(tabParametros[[#Headers],[FGTS]],tabImpostosNacionais[],2,0)</f>
        <v>0.08</v>
      </c>
      <c r="W40" s="233">
        <f>VLOOKUP(tabParametros[[#Headers],[RAT Ajustado]],tabImpostosNacionais[],2,0)</f>
        <v>0.04</v>
      </c>
      <c r="X40" s="233">
        <f>VLOOKUP(tabParametros[[#Headers],[SEBRAE]],tabImpostosNacionais[],2,0)</f>
        <v>6.0000000000000001E-3</v>
      </c>
      <c r="Y40" s="233">
        <f t="shared" si="0"/>
        <v>8.3333333333333329E-2</v>
      </c>
      <c r="Z40" s="233">
        <f t="shared" si="1"/>
        <v>0.1111111111111111</v>
      </c>
      <c r="AA40" s="232">
        <f>VLOOKUP(tabParametros[[#This Row],[Comarca]],tabComarca[],5,0)</f>
        <v>11.25</v>
      </c>
      <c r="AB40" s="232">
        <f>VLOOKUP(tabParametros[[#This Row],[CCT DA CATEGORIA]],tabSindicatos[],6,0)</f>
        <v>29.15</v>
      </c>
      <c r="AC40" s="232">
        <f>VLOOKUP(tabParametros[[#This Row],[CCT DA CATEGORIA]],tabSindicatos[],7,0)</f>
        <v>0</v>
      </c>
      <c r="AD40" s="232" cm="1">
        <f t="array" ref="AD4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40" s="232">
        <f>VLOOKUP(tabParametros[[#This Row],[CCT DA CATEGORIA]],tabSindicatos[],9,0)</f>
        <v>0</v>
      </c>
      <c r="AF40" s="232">
        <f>VLOOKUP(tabParametros[[#This Row],[CCT DA CATEGORIA]],tabSindicatos[],10,0)</f>
        <v>0</v>
      </c>
      <c r="AG40" s="234">
        <f>VLOOKUP(tabParametros[[#Headers],[Seguro de Vida]],tabOutrosCustos[],3,0)</f>
        <v>3.36</v>
      </c>
      <c r="AH40" s="234">
        <f>IF(ISNUMBER(SEARCH("MOTORISTA",tabParametros[[#This Row],[Função]],1)),VLOOKUP("MOTORISTAS",tabDiarias[],2,0),IF(tabParametros[[#This Row],[Comarca]]="Belo Horizonte",VLOOKUP("APOIO",tabDiarias[],2,0),0))</f>
        <v>202.08</v>
      </c>
      <c r="AI40" s="233">
        <f t="shared" si="2"/>
        <v>7.011766975308642E-3</v>
      </c>
      <c r="AJ40" s="235">
        <f>tabParametros[[#This Row],[FGTS]]*tabParametros[[#This Row],[Aviso Prévio Indenizado (API) e Reflexo do Aviso Prévio Indenizado]]</f>
        <v>5.609413580246914E-4</v>
      </c>
      <c r="AK40" s="235">
        <f>tabParametros[[#This Row],[FGTS]]*tabParametros[[#This Row],[Aviso Prévio Indenizado (API) e Reflexo do Aviso Prévio Indenizado]]*40%</f>
        <v>2.2437654320987658E-4</v>
      </c>
      <c r="AL40" s="233">
        <f t="shared" si="3"/>
        <v>3.5000000000000005E-3</v>
      </c>
      <c r="AM40" s="233">
        <f>tabParametros[[#This Row],[Aviso Prévio Trabalhado - APT]]*SUM(tabParametros[[#This Row],[INSS]:[SEBRAE]])</f>
        <v>1.3230000000000004E-3</v>
      </c>
      <c r="AN40" s="233">
        <f t="shared" si="4"/>
        <v>3.0577777777777773E-2</v>
      </c>
      <c r="AO40" s="233">
        <f t="shared" si="5"/>
        <v>8.3333333333333339E-4</v>
      </c>
      <c r="AP40" s="233">
        <f t="shared" si="6"/>
        <v>8.4444444444444437E-3</v>
      </c>
      <c r="AQ40" s="233">
        <f t="shared" si="7"/>
        <v>2.0277777777777777E-3</v>
      </c>
      <c r="AR40" s="233">
        <f t="shared" si="8"/>
        <v>1.7083333333333333E-4</v>
      </c>
      <c r="AS40" s="233">
        <f t="shared" si="9"/>
        <v>2.0833333333333335E-4</v>
      </c>
      <c r="AT40" s="233">
        <f t="shared" si="10"/>
        <v>1.2962962962962963E-3</v>
      </c>
      <c r="AU40" s="235">
        <f>SUM(tabParametros[[#This Row],[Ausência por Doença]:[Férias, Adicional de Férias e 13º  com empregada em gozo de Licença Maternidade]])*SUM(tabParametros[[#This Row],[INSS]:[SEBRAE]])</f>
        <v>4.5918250000000008E-3</v>
      </c>
      <c r="AV40" s="254">
        <f>IF(tabParametros[[#This Row],[Função]]="Porteiro - 220 h",SUM(tabParametros[[#This Row],[Salário Base]:[Adicional de Acúmulo de função]])/220*20*1.5,IF(ISNUMBER(SEARCH("12 x 36",tabParametros[[#This Row],[Função]],1)),SUM(tabParametros[[#This Row],[Salário Base]:[Adicional de Acúmulo de função]])/210*15.5*1.5,0))</f>
        <v>0</v>
      </c>
      <c r="AW40" s="232">
        <f>IF(tabParametros[[#This Row],[Vagas contratadas]]&gt;0,(SUM(tabParametros[[#This Row],[Salário Base]:[Adicional de Acúmulo de função]])*30%+SUM(tabParametros[[#This Row],[Vale - Alimentação]:[Seguro de Vida]]))/tabParametros[[#This Row],[Vagas contratadas]]*tabParametros[[#This Row],[Vagas suspensas]],0)</f>
        <v>0</v>
      </c>
      <c r="AX40" s="232">
        <f>SUMIF(tabUniformes[Cargo],tabParametros[[#This Row],[Função]],tabUniformes[Valor unit. Mensal])</f>
        <v>56.141713661989918</v>
      </c>
      <c r="AY4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4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0" s="232">
        <v>0</v>
      </c>
      <c r="BC40" s="234" t="e">
        <f ca="1">VLOOKUP(tabParametros[[#Headers],[Custos Indiretos]],tabOutrosCustos[],3,0)</f>
        <v>#NAME?</v>
      </c>
      <c r="BD40" s="234" t="e">
        <f ca="1">VLOOKUP(tabParametros[[#Headers],[Lucro]],tabOutrosCustos[],3,0)</f>
        <v>#NAME?</v>
      </c>
      <c r="BE40" s="233">
        <f>VLOOKUP(tabParametros[[#Headers],[COFINS]],tabImpostosNacionais[],2,0)</f>
        <v>7.5999999999999998E-2</v>
      </c>
      <c r="BF40" s="233">
        <f>VLOOKUP(tabParametros[[#Headers],[PIS]],tabImpostosNacionais[],2,0)</f>
        <v>1.6500000000000001E-2</v>
      </c>
      <c r="BG40" s="233">
        <f>VLOOKUP(tabParametros[[#This Row],[Comarca]],tabComarca[],4,0)</f>
        <v>0.05</v>
      </c>
      <c r="BH40" s="236">
        <f>VLOOKUP(tabParametros[[#This Row],[CCT DA CATEGORIA]],tabSindicatos[],11,0)</f>
        <v>45658</v>
      </c>
      <c r="BI40" s="282" t="str">
        <f>VLOOKUP(tabParametros[[#This Row],[CCT DA CATEGORIA]],tabSindicatos[],12,0)</f>
        <v>-</v>
      </c>
      <c r="BJ40" s="285" t="str">
        <f>VLOOKUP(tabParametros[[#This Row],[CCT DA CATEGORIA]],tabSindicatos[],13,0)</f>
        <v>-</v>
      </c>
    </row>
    <row r="41" spans="1:62">
      <c r="A41" s="231" t="s">
        <v>1420</v>
      </c>
      <c r="B41" s="197" t="s">
        <v>1103</v>
      </c>
      <c r="C41" s="197" t="s">
        <v>1371</v>
      </c>
      <c r="D41" s="197" t="str">
        <f>VLOOKUP(tabParametros[[#This Row],[Código do Posto]],tabPostos[],4,0)</f>
        <v>SEAC/SINDEAC</v>
      </c>
      <c r="E41" s="282" t="str">
        <f>VLOOKUP(tabParametros[[#This Row],[Código do Posto]],tabPostos[],5,0)</f>
        <v>Apoio</v>
      </c>
      <c r="F41" s="282" t="str">
        <f>VLOOKUP(tabParametros[[#This Row],[Código do Posto]],tabPostos[],6,0)</f>
        <v>PGJ</v>
      </c>
      <c r="G41" s="282">
        <f>VLOOKUP(tabParametros[[#This Row],[Código do Posto]],tabPostos[],7,0)</f>
        <v>5</v>
      </c>
      <c r="H41" s="282">
        <f>VLOOKUP(tabParametros[[#This Row],[Código do Posto]],tabPostos[],8,0)</f>
        <v>0</v>
      </c>
      <c r="I41" s="232">
        <f>VLOOKUP(tabParametros[[#This Row],[Código do Posto]],tabPostos[],9,0)</f>
        <v>6454.87</v>
      </c>
      <c r="J41" s="232">
        <f>IF(ISNUMBER(SEARCH("Eletricista",tabParametros[[#This Row],[Função]],1)),0.3*tabParametros[[#This Row],[Salário Base]],0)</f>
        <v>0</v>
      </c>
      <c r="K4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1" s="232">
        <f>IF(AND(ISNUMBER(SEARCH("Noturno",tabParametros[[#This Row],[Função]],1)),tabParametros[[#This Row],[Comarca]]&lt;&gt;"Juiz de Fora"),tabParametros[[#This Row],[Salário Base]]/210*0.39*7*15.5,IF(ISNUMBER(SEARCH("Noturno",tabParametros[[#This Row],[Função]],1)),tabParametros[[#This Row],[Salário Base]]/210*0.2*8*15.5,0))</f>
        <v>0</v>
      </c>
      <c r="M41" s="232">
        <f>IF(ISNUMBER(SEARCH("Motorista II",tabParametros[[#This Row],[Função]],1)),0.3022*tabParametros[[#This Row],[Salário Base]],0)</f>
        <v>0</v>
      </c>
      <c r="N41" s="254">
        <v>0</v>
      </c>
      <c r="O41" s="254">
        <f>IF(ISNUMBER(SEARCH("TECNOLOGIA DA INFORMACAO",tabParametros[[#This Row],[Função]],1)),0.056*tabParametros[[#This Row],[Salário Base]],0)</f>
        <v>0</v>
      </c>
      <c r="P41" s="232">
        <f>IF(tabParametros[[#This Row],[Função]]="Operador de Midia Audiovisual - 150 h",tabParametros[[#This Row],[Salário Base]]/150*50*30%,IF(tabParametros[[#This Row],[Função]]="Supervisor de Manutencao de Veiculos II - 220 h",12%*tabParametros[[#This Row],[Salário Base]],0))</f>
        <v>0</v>
      </c>
      <c r="Q41" s="233">
        <f>VLOOKUP(tabParametros[[#Headers],[INSS]],tabImpostosNacionais[],2,0)</f>
        <v>0.2</v>
      </c>
      <c r="R41" s="233">
        <f>VLOOKUP(tabParametros[[#Headers],[SESI OU SESC]],tabImpostosNacionais[],2,0)</f>
        <v>1.4999999999999999E-2</v>
      </c>
      <c r="S41" s="233">
        <f>VLOOKUP(tabParametros[[#Headers],[SENAI OU SENAC]],tabImpostosNacionais[],2,0)</f>
        <v>0.01</v>
      </c>
      <c r="T41" s="233">
        <f>VLOOKUP(tabParametros[[#Headers],[INCRA]],tabImpostosNacionais[],2,0)</f>
        <v>2E-3</v>
      </c>
      <c r="U41" s="233">
        <f>VLOOKUP(tabParametros[[#Headers],[Salário Educação]],tabImpostosNacionais[],2,0)</f>
        <v>2.5000000000000001E-2</v>
      </c>
      <c r="V41" s="233">
        <f>VLOOKUP(tabParametros[[#Headers],[FGTS]],tabImpostosNacionais[],2,0)</f>
        <v>0.08</v>
      </c>
      <c r="W41" s="233">
        <f>VLOOKUP(tabParametros[[#Headers],[RAT Ajustado]],tabImpostosNacionais[],2,0)</f>
        <v>0.04</v>
      </c>
      <c r="X41" s="233">
        <f>VLOOKUP(tabParametros[[#Headers],[SEBRAE]],tabImpostosNacionais[],2,0)</f>
        <v>6.0000000000000001E-3</v>
      </c>
      <c r="Y41" s="233">
        <f t="shared" si="0"/>
        <v>8.3333333333333329E-2</v>
      </c>
      <c r="Z41" s="233">
        <f t="shared" si="1"/>
        <v>0.1111111111111111</v>
      </c>
      <c r="AA41" s="232">
        <f>VLOOKUP(tabParametros[[#This Row],[Comarca]],tabComarca[],5,0)</f>
        <v>11.25</v>
      </c>
      <c r="AB41" s="232">
        <f>VLOOKUP(tabParametros[[#This Row],[CCT DA CATEGORIA]],tabSindicatos[],6,0)</f>
        <v>29.15</v>
      </c>
      <c r="AC41" s="232">
        <f>VLOOKUP(tabParametros[[#This Row],[CCT DA CATEGORIA]],tabSindicatos[],7,0)</f>
        <v>0</v>
      </c>
      <c r="AD41" s="232" cm="1">
        <f t="array" ref="AD4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41" s="232">
        <f>VLOOKUP(tabParametros[[#This Row],[CCT DA CATEGORIA]],tabSindicatos[],9,0)</f>
        <v>0</v>
      </c>
      <c r="AF41" s="232">
        <f>VLOOKUP(tabParametros[[#This Row],[CCT DA CATEGORIA]],tabSindicatos[],10,0)</f>
        <v>0</v>
      </c>
      <c r="AG41" s="234">
        <f>VLOOKUP(tabParametros[[#Headers],[Seguro de Vida]],tabOutrosCustos[],3,0)</f>
        <v>3.36</v>
      </c>
      <c r="AH41" s="234">
        <f>IF(ISNUMBER(SEARCH("MOTORISTA",tabParametros[[#This Row],[Função]],1)),VLOOKUP("MOTORISTAS",tabDiarias[],2,0),IF(tabParametros[[#This Row],[Comarca]]="Belo Horizonte",VLOOKUP("APOIO",tabDiarias[],2,0),0))</f>
        <v>202.08</v>
      </c>
      <c r="AI41" s="233">
        <f t="shared" si="2"/>
        <v>7.011766975308642E-3</v>
      </c>
      <c r="AJ41" s="235">
        <f>tabParametros[[#This Row],[FGTS]]*tabParametros[[#This Row],[Aviso Prévio Indenizado (API) e Reflexo do Aviso Prévio Indenizado]]</f>
        <v>5.609413580246914E-4</v>
      </c>
      <c r="AK41" s="235">
        <f>tabParametros[[#This Row],[FGTS]]*tabParametros[[#This Row],[Aviso Prévio Indenizado (API) e Reflexo do Aviso Prévio Indenizado]]*40%</f>
        <v>2.2437654320987658E-4</v>
      </c>
      <c r="AL41" s="233">
        <f t="shared" si="3"/>
        <v>3.5000000000000005E-3</v>
      </c>
      <c r="AM41" s="233">
        <f>tabParametros[[#This Row],[Aviso Prévio Trabalhado - APT]]*SUM(tabParametros[[#This Row],[INSS]:[SEBRAE]])</f>
        <v>1.3230000000000004E-3</v>
      </c>
      <c r="AN41" s="233">
        <f t="shared" si="4"/>
        <v>3.0577777777777773E-2</v>
      </c>
      <c r="AO41" s="233">
        <f t="shared" si="5"/>
        <v>8.3333333333333339E-4</v>
      </c>
      <c r="AP41" s="233">
        <f t="shared" si="6"/>
        <v>8.4444444444444437E-3</v>
      </c>
      <c r="AQ41" s="233">
        <f t="shared" si="7"/>
        <v>2.0277777777777777E-3</v>
      </c>
      <c r="AR41" s="233">
        <f t="shared" si="8"/>
        <v>1.7083333333333333E-4</v>
      </c>
      <c r="AS41" s="233">
        <f t="shared" si="9"/>
        <v>2.0833333333333335E-4</v>
      </c>
      <c r="AT41" s="233">
        <f t="shared" si="10"/>
        <v>1.2962962962962963E-3</v>
      </c>
      <c r="AU41" s="235">
        <f>SUM(tabParametros[[#This Row],[Ausência por Doença]:[Férias, Adicional de Férias e 13º  com empregada em gozo de Licença Maternidade]])*SUM(tabParametros[[#This Row],[INSS]:[SEBRAE]])</f>
        <v>4.5918250000000008E-3</v>
      </c>
      <c r="AV41" s="254">
        <f>IF(tabParametros[[#This Row],[Função]]="Porteiro - 220 h",SUM(tabParametros[[#This Row],[Salário Base]:[Adicional de Acúmulo de função]])/220*20*1.5,IF(ISNUMBER(SEARCH("12 x 36",tabParametros[[#This Row],[Função]],1)),SUM(tabParametros[[#This Row],[Salário Base]:[Adicional de Acúmulo de função]])/210*15.5*1.5,0))</f>
        <v>0</v>
      </c>
      <c r="AW41" s="232">
        <f>IF(tabParametros[[#This Row],[Vagas contratadas]]&gt;0,(SUM(tabParametros[[#This Row],[Salário Base]:[Adicional de Acúmulo de função]])*30%+SUM(tabParametros[[#This Row],[Vale - Alimentação]:[Seguro de Vida]]))/tabParametros[[#This Row],[Vagas contratadas]]*tabParametros[[#This Row],[Vagas suspensas]],0)</f>
        <v>0</v>
      </c>
      <c r="AX41" s="232">
        <f>SUMIF(tabUniformes[Cargo],tabParametros[[#This Row],[Função]],tabUniformes[Valor unit. Mensal])</f>
        <v>90.784679782039703</v>
      </c>
      <c r="AY4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4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1" s="232">
        <v>0</v>
      </c>
      <c r="BC41" s="234" t="e">
        <f ca="1">VLOOKUP(tabParametros[[#Headers],[Custos Indiretos]],tabOutrosCustos[],3,0)</f>
        <v>#NAME?</v>
      </c>
      <c r="BD41" s="234" t="e">
        <f ca="1">VLOOKUP(tabParametros[[#Headers],[Lucro]],tabOutrosCustos[],3,0)</f>
        <v>#NAME?</v>
      </c>
      <c r="BE41" s="233">
        <f>VLOOKUP(tabParametros[[#Headers],[COFINS]],tabImpostosNacionais[],2,0)</f>
        <v>7.5999999999999998E-2</v>
      </c>
      <c r="BF41" s="233">
        <f>VLOOKUP(tabParametros[[#Headers],[PIS]],tabImpostosNacionais[],2,0)</f>
        <v>1.6500000000000001E-2</v>
      </c>
      <c r="BG41" s="233">
        <f>VLOOKUP(tabParametros[[#This Row],[Comarca]],tabComarca[],4,0)</f>
        <v>0.05</v>
      </c>
      <c r="BH41" s="236">
        <f>VLOOKUP(tabParametros[[#This Row],[CCT DA CATEGORIA]],tabSindicatos[],11,0)</f>
        <v>45658</v>
      </c>
      <c r="BI41" s="282" t="str">
        <f>VLOOKUP(tabParametros[[#This Row],[CCT DA CATEGORIA]],tabSindicatos[],12,0)</f>
        <v>-</v>
      </c>
      <c r="BJ41" s="285" t="str">
        <f>VLOOKUP(tabParametros[[#This Row],[CCT DA CATEGORIA]],tabSindicatos[],13,0)</f>
        <v>-</v>
      </c>
    </row>
    <row r="42" spans="1:62">
      <c r="A42" s="231" t="s">
        <v>1421</v>
      </c>
      <c r="B42" s="197" t="s">
        <v>1103</v>
      </c>
      <c r="C42" s="197" t="s">
        <v>205</v>
      </c>
      <c r="D42" s="197" t="str">
        <f>VLOOKUP(tabParametros[[#This Row],[Código do Posto]],tabPostos[],4,0)</f>
        <v>SEAC/SINDEAC</v>
      </c>
      <c r="E42" s="282" t="str">
        <f>VLOOKUP(tabParametros[[#This Row],[Código do Posto]],tabPostos[],5,0)</f>
        <v>Apoio</v>
      </c>
      <c r="F42" s="282" t="str">
        <f>VLOOKUP(tabParametros[[#This Row],[Código do Posto]],tabPostos[],6,0)</f>
        <v>PGJ</v>
      </c>
      <c r="G42" s="282">
        <f>VLOOKUP(tabParametros[[#This Row],[Código do Posto]],tabPostos[],7,0)</f>
        <v>12</v>
      </c>
      <c r="H42" s="282">
        <f>VLOOKUP(tabParametros[[#This Row],[Código do Posto]],tabPostos[],8,0)</f>
        <v>0</v>
      </c>
      <c r="I42" s="232">
        <f>VLOOKUP(tabParametros[[#This Row],[Código do Posto]],tabPostos[],9,0)</f>
        <v>1649.1153464738998</v>
      </c>
      <c r="J42" s="232">
        <f>IF(ISNUMBER(SEARCH("Eletricista",tabParametros[[#This Row],[Função]],1)),0.3*tabParametros[[#This Row],[Salário Base]],0)</f>
        <v>0</v>
      </c>
      <c r="K4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2" s="232">
        <f>IF(AND(ISNUMBER(SEARCH("Noturno",tabParametros[[#This Row],[Função]],1)),tabParametros[[#This Row],[Comarca]]&lt;&gt;"Juiz de Fora"),tabParametros[[#This Row],[Salário Base]]/210*0.39*7*15.5,IF(ISNUMBER(SEARCH("Noturno",tabParametros[[#This Row],[Função]],1)),tabParametros[[#This Row],[Salário Base]]/210*0.2*8*15.5,0))</f>
        <v>0</v>
      </c>
      <c r="M42" s="232">
        <f>IF(ISNUMBER(SEARCH("Motorista II",tabParametros[[#This Row],[Função]],1)),0.3022*tabParametros[[#This Row],[Salário Base]],0)</f>
        <v>0</v>
      </c>
      <c r="N42" s="254">
        <v>0</v>
      </c>
      <c r="O42" s="254">
        <f>IF(ISNUMBER(SEARCH("TECNOLOGIA DA INFORMACAO",tabParametros[[#This Row],[Função]],1)),0.056*tabParametros[[#This Row],[Salário Base]],0)</f>
        <v>0</v>
      </c>
      <c r="P42" s="232">
        <f>IF(tabParametros[[#This Row],[Função]]="Operador de Midia Audiovisual - 150 h",tabParametros[[#This Row],[Salário Base]]/150*50*30%,IF(tabParametros[[#This Row],[Função]]="Supervisor de Manutencao de Veiculos II - 220 h",12%*tabParametros[[#This Row],[Salário Base]],0))</f>
        <v>0</v>
      </c>
      <c r="Q42" s="233">
        <f>VLOOKUP(tabParametros[[#Headers],[INSS]],tabImpostosNacionais[],2,0)</f>
        <v>0.2</v>
      </c>
      <c r="R42" s="233">
        <f>VLOOKUP(tabParametros[[#Headers],[SESI OU SESC]],tabImpostosNacionais[],2,0)</f>
        <v>1.4999999999999999E-2</v>
      </c>
      <c r="S42" s="233">
        <f>VLOOKUP(tabParametros[[#Headers],[SENAI OU SENAC]],tabImpostosNacionais[],2,0)</f>
        <v>0.01</v>
      </c>
      <c r="T42" s="233">
        <f>VLOOKUP(tabParametros[[#Headers],[INCRA]],tabImpostosNacionais[],2,0)</f>
        <v>2E-3</v>
      </c>
      <c r="U42" s="233">
        <f>VLOOKUP(tabParametros[[#Headers],[Salário Educação]],tabImpostosNacionais[],2,0)</f>
        <v>2.5000000000000001E-2</v>
      </c>
      <c r="V42" s="233">
        <f>VLOOKUP(tabParametros[[#Headers],[FGTS]],tabImpostosNacionais[],2,0)</f>
        <v>0.08</v>
      </c>
      <c r="W42" s="233">
        <f>VLOOKUP(tabParametros[[#Headers],[RAT Ajustado]],tabImpostosNacionais[],2,0)</f>
        <v>0.04</v>
      </c>
      <c r="X42" s="233">
        <f>VLOOKUP(tabParametros[[#Headers],[SEBRAE]],tabImpostosNacionais[],2,0)</f>
        <v>6.0000000000000001E-3</v>
      </c>
      <c r="Y42" s="233">
        <f t="shared" si="0"/>
        <v>8.3333333333333329E-2</v>
      </c>
      <c r="Z42" s="233">
        <f t="shared" si="1"/>
        <v>0.1111111111111111</v>
      </c>
      <c r="AA42" s="232">
        <f>VLOOKUP(tabParametros[[#This Row],[Comarca]],tabComarca[],5,0)</f>
        <v>11.25</v>
      </c>
      <c r="AB42" s="232">
        <f>VLOOKUP(tabParametros[[#This Row],[CCT DA CATEGORIA]],tabSindicatos[],6,0)</f>
        <v>29.15</v>
      </c>
      <c r="AC42" s="232">
        <f>VLOOKUP(tabParametros[[#This Row],[CCT DA CATEGORIA]],tabSindicatos[],7,0)</f>
        <v>0</v>
      </c>
      <c r="AD42" s="232" cm="1">
        <f t="array" ref="AD4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42" s="232">
        <f>VLOOKUP(tabParametros[[#This Row],[CCT DA CATEGORIA]],tabSindicatos[],9,0)</f>
        <v>0</v>
      </c>
      <c r="AF42" s="232">
        <f>VLOOKUP(tabParametros[[#This Row],[CCT DA CATEGORIA]],tabSindicatos[],10,0)</f>
        <v>0</v>
      </c>
      <c r="AG42" s="234">
        <f>VLOOKUP(tabParametros[[#Headers],[Seguro de Vida]],tabOutrosCustos[],3,0)</f>
        <v>3.36</v>
      </c>
      <c r="AH42" s="234">
        <f>IF(ISNUMBER(SEARCH("MOTORISTA",tabParametros[[#This Row],[Função]],1)),VLOOKUP("MOTORISTAS",tabDiarias[],2,0),IF(tabParametros[[#This Row],[Comarca]]="Belo Horizonte",VLOOKUP("APOIO",tabDiarias[],2,0),0))</f>
        <v>202.08</v>
      </c>
      <c r="AI42" s="233">
        <f t="shared" si="2"/>
        <v>7.011766975308642E-3</v>
      </c>
      <c r="AJ42" s="235">
        <f>tabParametros[[#This Row],[FGTS]]*tabParametros[[#This Row],[Aviso Prévio Indenizado (API) e Reflexo do Aviso Prévio Indenizado]]</f>
        <v>5.609413580246914E-4</v>
      </c>
      <c r="AK42" s="235">
        <f>tabParametros[[#This Row],[FGTS]]*tabParametros[[#This Row],[Aviso Prévio Indenizado (API) e Reflexo do Aviso Prévio Indenizado]]*40%</f>
        <v>2.2437654320987658E-4</v>
      </c>
      <c r="AL42" s="233">
        <f t="shared" si="3"/>
        <v>3.5000000000000005E-3</v>
      </c>
      <c r="AM42" s="233">
        <f>tabParametros[[#This Row],[Aviso Prévio Trabalhado - APT]]*SUM(tabParametros[[#This Row],[INSS]:[SEBRAE]])</f>
        <v>1.3230000000000004E-3</v>
      </c>
      <c r="AN42" s="233">
        <f t="shared" si="4"/>
        <v>3.0577777777777773E-2</v>
      </c>
      <c r="AO42" s="233">
        <f t="shared" si="5"/>
        <v>8.3333333333333339E-4</v>
      </c>
      <c r="AP42" s="233">
        <f t="shared" si="6"/>
        <v>8.4444444444444437E-3</v>
      </c>
      <c r="AQ42" s="233">
        <f t="shared" si="7"/>
        <v>2.0277777777777777E-3</v>
      </c>
      <c r="AR42" s="233">
        <f t="shared" si="8"/>
        <v>1.7083333333333333E-4</v>
      </c>
      <c r="AS42" s="233">
        <f t="shared" si="9"/>
        <v>2.0833333333333335E-4</v>
      </c>
      <c r="AT42" s="233">
        <f t="shared" si="10"/>
        <v>1.2962962962962963E-3</v>
      </c>
      <c r="AU42" s="235">
        <f>SUM(tabParametros[[#This Row],[Ausência por Doença]:[Férias, Adicional de Férias e 13º  com empregada em gozo de Licença Maternidade]])*SUM(tabParametros[[#This Row],[INSS]:[SEBRAE]])</f>
        <v>4.5918250000000008E-3</v>
      </c>
      <c r="AV42" s="254">
        <f>IF(tabParametros[[#This Row],[Função]]="Porteiro - 220 h",SUM(tabParametros[[#This Row],[Salário Base]:[Adicional de Acúmulo de função]])/220*20*1.5,IF(ISNUMBER(SEARCH("12 x 36",tabParametros[[#This Row],[Função]],1)),SUM(tabParametros[[#This Row],[Salário Base]:[Adicional de Acúmulo de função]])/210*15.5*1.5,0))</f>
        <v>0</v>
      </c>
      <c r="AW42" s="232">
        <f>IF(tabParametros[[#This Row],[Vagas contratadas]]&gt;0,(SUM(tabParametros[[#This Row],[Salário Base]:[Adicional de Acúmulo de função]])*30%+SUM(tabParametros[[#This Row],[Vale - Alimentação]:[Seguro de Vida]]))/tabParametros[[#This Row],[Vagas contratadas]]*tabParametros[[#This Row],[Vagas suspensas]],0)</f>
        <v>0</v>
      </c>
      <c r="AX42" s="232">
        <f>SUMIF(tabUniformes[Cargo],tabParametros[[#This Row],[Função]],tabUniformes[Valor unit. Mensal])</f>
        <v>107.69869344317156</v>
      </c>
      <c r="AY4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4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2" s="232">
        <v>0</v>
      </c>
      <c r="BC42" s="234" t="e">
        <f ca="1">VLOOKUP(tabParametros[[#Headers],[Custos Indiretos]],tabOutrosCustos[],3,0)</f>
        <v>#NAME?</v>
      </c>
      <c r="BD42" s="234" t="e">
        <f ca="1">VLOOKUP(tabParametros[[#Headers],[Lucro]],tabOutrosCustos[],3,0)</f>
        <v>#NAME?</v>
      </c>
      <c r="BE42" s="233">
        <f>VLOOKUP(tabParametros[[#Headers],[COFINS]],tabImpostosNacionais[],2,0)</f>
        <v>7.5999999999999998E-2</v>
      </c>
      <c r="BF42" s="233">
        <f>VLOOKUP(tabParametros[[#Headers],[PIS]],tabImpostosNacionais[],2,0)</f>
        <v>1.6500000000000001E-2</v>
      </c>
      <c r="BG42" s="233">
        <f>VLOOKUP(tabParametros[[#This Row],[Comarca]],tabComarca[],4,0)</f>
        <v>0.05</v>
      </c>
      <c r="BH42" s="236">
        <f>VLOOKUP(tabParametros[[#This Row],[CCT DA CATEGORIA]],tabSindicatos[],11,0)</f>
        <v>45658</v>
      </c>
      <c r="BI42" s="282" t="str">
        <f>VLOOKUP(tabParametros[[#This Row],[CCT DA CATEGORIA]],tabSindicatos[],12,0)</f>
        <v>-</v>
      </c>
      <c r="BJ42" s="285" t="str">
        <f>VLOOKUP(tabParametros[[#This Row],[CCT DA CATEGORIA]],tabSindicatos[],13,0)</f>
        <v>-</v>
      </c>
    </row>
    <row r="43" spans="1:62">
      <c r="A43" s="231" t="s">
        <v>1422</v>
      </c>
      <c r="B43" s="197" t="s">
        <v>1103</v>
      </c>
      <c r="C43" s="197" t="s">
        <v>214</v>
      </c>
      <c r="D43" s="197" t="str">
        <f>VLOOKUP(tabParametros[[#This Row],[Código do Posto]],tabPostos[],4,0)</f>
        <v>SETTASPOC</v>
      </c>
      <c r="E43" s="282" t="str">
        <f>VLOOKUP(tabParametros[[#This Row],[Código do Posto]],tabPostos[],5,0)</f>
        <v>Apoio</v>
      </c>
      <c r="F43" s="282" t="str">
        <f>VLOOKUP(tabParametros[[#This Row],[Código do Posto]],tabPostos[],6,0)</f>
        <v>PGJ</v>
      </c>
      <c r="G43" s="282">
        <f>VLOOKUP(tabParametros[[#This Row],[Código do Posto]],tabPostos[],7,0)</f>
        <v>8</v>
      </c>
      <c r="H43" s="282">
        <f>VLOOKUP(tabParametros[[#This Row],[Código do Posto]],tabPostos[],8,0)</f>
        <v>0</v>
      </c>
      <c r="I43" s="232">
        <f>VLOOKUP(tabParametros[[#This Row],[Código do Posto]],tabPostos[],9,0)</f>
        <v>1836.5985119240554</v>
      </c>
      <c r="J43" s="232">
        <f>IF(ISNUMBER(SEARCH("Eletricista",tabParametros[[#This Row],[Função]],1)),0.3*tabParametros[[#This Row],[Salário Base]],0)</f>
        <v>0</v>
      </c>
      <c r="K4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3" s="232">
        <f>IF(AND(ISNUMBER(SEARCH("Noturno",tabParametros[[#This Row],[Função]],1)),tabParametros[[#This Row],[Comarca]]&lt;&gt;"Juiz de Fora"),tabParametros[[#This Row],[Salário Base]]/210*0.39*7*15.5,IF(ISNUMBER(SEARCH("Noturno",tabParametros[[#This Row],[Função]],1)),tabParametros[[#This Row],[Salário Base]]/210*0.2*8*15.5,0))</f>
        <v>0</v>
      </c>
      <c r="M43" s="232">
        <f>IF(ISNUMBER(SEARCH("Motorista II",tabParametros[[#This Row],[Função]],1)),0.3022*tabParametros[[#This Row],[Salário Base]],0)</f>
        <v>0</v>
      </c>
      <c r="N43" s="254">
        <v>0</v>
      </c>
      <c r="O43" s="254">
        <f>IF(ISNUMBER(SEARCH("TECNOLOGIA DA INFORMACAO",tabParametros[[#This Row],[Função]],1)),0.056*tabParametros[[#This Row],[Salário Base]],0)</f>
        <v>0</v>
      </c>
      <c r="P43" s="232">
        <f>IF(tabParametros[[#This Row],[Função]]="Operador de Midia Audiovisual - 150 h",tabParametros[[#This Row],[Salário Base]]/150*50*30%,IF(tabParametros[[#This Row],[Função]]="Supervisor de Manutencao de Veiculos II - 220 h",12%*tabParametros[[#This Row],[Salário Base]],0))</f>
        <v>0</v>
      </c>
      <c r="Q43" s="233">
        <f>VLOOKUP(tabParametros[[#Headers],[INSS]],tabImpostosNacionais[],2,0)</f>
        <v>0.2</v>
      </c>
      <c r="R43" s="233">
        <f>VLOOKUP(tabParametros[[#Headers],[SESI OU SESC]],tabImpostosNacionais[],2,0)</f>
        <v>1.4999999999999999E-2</v>
      </c>
      <c r="S43" s="233">
        <f>VLOOKUP(tabParametros[[#Headers],[SENAI OU SENAC]],tabImpostosNacionais[],2,0)</f>
        <v>0.01</v>
      </c>
      <c r="T43" s="233">
        <f>VLOOKUP(tabParametros[[#Headers],[INCRA]],tabImpostosNacionais[],2,0)</f>
        <v>2E-3</v>
      </c>
      <c r="U43" s="233">
        <f>VLOOKUP(tabParametros[[#Headers],[Salário Educação]],tabImpostosNacionais[],2,0)</f>
        <v>2.5000000000000001E-2</v>
      </c>
      <c r="V43" s="233">
        <f>VLOOKUP(tabParametros[[#Headers],[FGTS]],tabImpostosNacionais[],2,0)</f>
        <v>0.08</v>
      </c>
      <c r="W43" s="233">
        <f>VLOOKUP(tabParametros[[#Headers],[RAT Ajustado]],tabImpostosNacionais[],2,0)</f>
        <v>0.04</v>
      </c>
      <c r="X43" s="233">
        <f>VLOOKUP(tabParametros[[#Headers],[SEBRAE]],tabImpostosNacionais[],2,0)</f>
        <v>6.0000000000000001E-3</v>
      </c>
      <c r="Y43" s="233">
        <f t="shared" si="0"/>
        <v>8.3333333333333329E-2</v>
      </c>
      <c r="Z43" s="233">
        <f t="shared" si="1"/>
        <v>0.1111111111111111</v>
      </c>
      <c r="AA43" s="232">
        <f>VLOOKUP(tabParametros[[#This Row],[Comarca]],tabComarca[],5,0)</f>
        <v>11.25</v>
      </c>
      <c r="AB43" s="232">
        <f>VLOOKUP(tabParametros[[#This Row],[CCT DA CATEGORIA]],tabSindicatos[],6,0)</f>
        <v>29.14</v>
      </c>
      <c r="AC43" s="232">
        <f>VLOOKUP(tabParametros[[#This Row],[CCT DA CATEGORIA]],tabSindicatos[],7,0)</f>
        <v>0</v>
      </c>
      <c r="AD43" s="232" cm="1">
        <f t="array" ref="AD4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43" s="232">
        <f>VLOOKUP(tabParametros[[#This Row],[CCT DA CATEGORIA]],tabSindicatos[],9,0)</f>
        <v>0</v>
      </c>
      <c r="AF43" s="232">
        <f>VLOOKUP(tabParametros[[#This Row],[CCT DA CATEGORIA]],tabSindicatos[],10,0)</f>
        <v>0</v>
      </c>
      <c r="AG43" s="234">
        <f>VLOOKUP(tabParametros[[#Headers],[Seguro de Vida]],tabOutrosCustos[],3,0)</f>
        <v>3.36</v>
      </c>
      <c r="AH43" s="234">
        <f>IF(ISNUMBER(SEARCH("MOTORISTA",tabParametros[[#This Row],[Função]],1)),VLOOKUP("MOTORISTAS",tabDiarias[],2,0),IF(tabParametros[[#This Row],[Comarca]]="Belo Horizonte",VLOOKUP("APOIO",tabDiarias[],2,0),0))</f>
        <v>202.08</v>
      </c>
      <c r="AI43" s="233">
        <f t="shared" si="2"/>
        <v>7.011766975308642E-3</v>
      </c>
      <c r="AJ43" s="235">
        <f>tabParametros[[#This Row],[FGTS]]*tabParametros[[#This Row],[Aviso Prévio Indenizado (API) e Reflexo do Aviso Prévio Indenizado]]</f>
        <v>5.609413580246914E-4</v>
      </c>
      <c r="AK43" s="235">
        <f>tabParametros[[#This Row],[FGTS]]*tabParametros[[#This Row],[Aviso Prévio Indenizado (API) e Reflexo do Aviso Prévio Indenizado]]*40%</f>
        <v>2.2437654320987658E-4</v>
      </c>
      <c r="AL43" s="233">
        <f t="shared" si="3"/>
        <v>3.5000000000000005E-3</v>
      </c>
      <c r="AM43" s="233">
        <f>tabParametros[[#This Row],[Aviso Prévio Trabalhado - APT]]*SUM(tabParametros[[#This Row],[INSS]:[SEBRAE]])</f>
        <v>1.3230000000000004E-3</v>
      </c>
      <c r="AN43" s="233">
        <f t="shared" si="4"/>
        <v>3.0577777777777773E-2</v>
      </c>
      <c r="AO43" s="233">
        <f t="shared" si="5"/>
        <v>8.3333333333333339E-4</v>
      </c>
      <c r="AP43" s="233">
        <f t="shared" si="6"/>
        <v>8.4444444444444437E-3</v>
      </c>
      <c r="AQ43" s="233">
        <f t="shared" si="7"/>
        <v>2.0277777777777777E-3</v>
      </c>
      <c r="AR43" s="233">
        <f t="shared" si="8"/>
        <v>1.7083333333333333E-4</v>
      </c>
      <c r="AS43" s="233">
        <f t="shared" si="9"/>
        <v>2.0833333333333335E-4</v>
      </c>
      <c r="AT43" s="233">
        <f t="shared" si="10"/>
        <v>1.2962962962962963E-3</v>
      </c>
      <c r="AU43" s="235">
        <f>SUM(tabParametros[[#This Row],[Ausência por Doença]:[Férias, Adicional de Férias e 13º  com empregada em gozo de Licença Maternidade]])*SUM(tabParametros[[#This Row],[INSS]:[SEBRAE]])</f>
        <v>4.5918250000000008E-3</v>
      </c>
      <c r="AV43" s="254">
        <f>IF(tabParametros[[#This Row],[Função]]="Porteiro - 220 h",SUM(tabParametros[[#This Row],[Salário Base]:[Adicional de Acúmulo de função]])/220*20*1.5,IF(ISNUMBER(SEARCH("12 x 36",tabParametros[[#This Row],[Função]],1)),SUM(tabParametros[[#This Row],[Salário Base]:[Adicional de Acúmulo de função]])/210*15.5*1.5,0))</f>
        <v>0</v>
      </c>
      <c r="AW43" s="232">
        <f>IF(tabParametros[[#This Row],[Vagas contratadas]]&gt;0,(SUM(tabParametros[[#This Row],[Salário Base]:[Adicional de Acúmulo de função]])*30%+SUM(tabParametros[[#This Row],[Vale - Alimentação]:[Seguro de Vida]]))/tabParametros[[#This Row],[Vagas contratadas]]*tabParametros[[#This Row],[Vagas suspensas]],0)</f>
        <v>0</v>
      </c>
      <c r="AX43" s="232">
        <f>SUMIF(tabUniformes[Cargo],tabParametros[[#This Row],[Função]],tabUniformes[Valor unit. Mensal])</f>
        <v>44.111346448706357</v>
      </c>
      <c r="AY4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4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3" s="232">
        <v>0</v>
      </c>
      <c r="BC43" s="234" t="e">
        <f ca="1">VLOOKUP(tabParametros[[#Headers],[Custos Indiretos]],tabOutrosCustos[],3,0)</f>
        <v>#NAME?</v>
      </c>
      <c r="BD43" s="234" t="e">
        <f ca="1">VLOOKUP(tabParametros[[#Headers],[Lucro]],tabOutrosCustos[],3,0)</f>
        <v>#NAME?</v>
      </c>
      <c r="BE43" s="233">
        <f>VLOOKUP(tabParametros[[#Headers],[COFINS]],tabImpostosNacionais[],2,0)</f>
        <v>7.5999999999999998E-2</v>
      </c>
      <c r="BF43" s="233">
        <f>VLOOKUP(tabParametros[[#Headers],[PIS]],tabImpostosNacionais[],2,0)</f>
        <v>1.6500000000000001E-2</v>
      </c>
      <c r="BG43" s="233">
        <f>VLOOKUP(tabParametros[[#This Row],[Comarca]],tabComarca[],4,0)</f>
        <v>0.05</v>
      </c>
      <c r="BH43" s="236">
        <f>VLOOKUP(tabParametros[[#This Row],[CCT DA CATEGORIA]],tabSindicatos[],11,0)</f>
        <v>45658</v>
      </c>
      <c r="BI43" s="282" t="str">
        <f>VLOOKUP(tabParametros[[#This Row],[CCT DA CATEGORIA]],tabSindicatos[],12,0)</f>
        <v>-</v>
      </c>
      <c r="BJ43" s="285" t="str">
        <f>VLOOKUP(tabParametros[[#This Row],[CCT DA CATEGORIA]],tabSindicatos[],13,0)</f>
        <v>-</v>
      </c>
    </row>
    <row r="44" spans="1:62">
      <c r="A44" s="231" t="s">
        <v>1423</v>
      </c>
      <c r="B44" s="197" t="s">
        <v>1103</v>
      </c>
      <c r="C44" s="197" t="s">
        <v>219</v>
      </c>
      <c r="D44" s="197" t="str">
        <f>VLOOKUP(tabParametros[[#This Row],[Código do Posto]],tabPostos[],4,0)</f>
        <v>SEAC/SINDEAC</v>
      </c>
      <c r="E44" s="282" t="str">
        <f>VLOOKUP(tabParametros[[#This Row],[Código do Posto]],tabPostos[],5,0)</f>
        <v>Apoio</v>
      </c>
      <c r="F44" s="282" t="str">
        <f>VLOOKUP(tabParametros[[#This Row],[Código do Posto]],tabPostos[],6,0)</f>
        <v>PGJ</v>
      </c>
      <c r="G44" s="282">
        <f>VLOOKUP(tabParametros[[#This Row],[Código do Posto]],tabPostos[],7,0)</f>
        <v>18</v>
      </c>
      <c r="H44" s="282">
        <f>VLOOKUP(tabParametros[[#This Row],[Código do Posto]],tabPostos[],8,0)</f>
        <v>0</v>
      </c>
      <c r="I44" s="232">
        <f>VLOOKUP(tabParametros[[#This Row],[Código do Posto]],tabPostos[],9,0)</f>
        <v>3673.8031971445557</v>
      </c>
      <c r="J44" s="232">
        <f>IF(ISNUMBER(SEARCH("Eletricista",tabParametros[[#This Row],[Função]],1)),0.3*tabParametros[[#This Row],[Salário Base]],0)</f>
        <v>1102.1409591433667</v>
      </c>
      <c r="K4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4" s="232">
        <f>IF(AND(ISNUMBER(SEARCH("Noturno",tabParametros[[#This Row],[Função]],1)),tabParametros[[#This Row],[Comarca]]&lt;&gt;"Juiz de Fora"),tabParametros[[#This Row],[Salário Base]]/210*0.39*7*15.5,IF(ISNUMBER(SEARCH("Noturno",tabParametros[[#This Row],[Função]],1)),tabParametros[[#This Row],[Salário Base]]/210*0.2*8*15.5,0))</f>
        <v>0</v>
      </c>
      <c r="M44" s="232">
        <f>IF(ISNUMBER(SEARCH("Motorista II",tabParametros[[#This Row],[Função]],1)),0.3022*tabParametros[[#This Row],[Salário Base]],0)</f>
        <v>0</v>
      </c>
      <c r="N44" s="254">
        <v>0</v>
      </c>
      <c r="O44" s="254">
        <f>IF(ISNUMBER(SEARCH("TECNOLOGIA DA INFORMACAO",tabParametros[[#This Row],[Função]],1)),0.056*tabParametros[[#This Row],[Salário Base]],0)</f>
        <v>0</v>
      </c>
      <c r="P44" s="232">
        <f>IF(tabParametros[[#This Row],[Função]]="Operador de Midia Audiovisual - 150 h",tabParametros[[#This Row],[Salário Base]]/150*50*30%,IF(tabParametros[[#This Row],[Função]]="Supervisor de Manutencao de Veiculos II - 220 h",12%*tabParametros[[#This Row],[Salário Base]],0))</f>
        <v>0</v>
      </c>
      <c r="Q44" s="233">
        <f>VLOOKUP(tabParametros[[#Headers],[INSS]],tabImpostosNacionais[],2,0)</f>
        <v>0.2</v>
      </c>
      <c r="R44" s="233">
        <f>VLOOKUP(tabParametros[[#Headers],[SESI OU SESC]],tabImpostosNacionais[],2,0)</f>
        <v>1.4999999999999999E-2</v>
      </c>
      <c r="S44" s="233">
        <f>VLOOKUP(tabParametros[[#Headers],[SENAI OU SENAC]],tabImpostosNacionais[],2,0)</f>
        <v>0.01</v>
      </c>
      <c r="T44" s="233">
        <f>VLOOKUP(tabParametros[[#Headers],[INCRA]],tabImpostosNacionais[],2,0)</f>
        <v>2E-3</v>
      </c>
      <c r="U44" s="233">
        <f>VLOOKUP(tabParametros[[#Headers],[Salário Educação]],tabImpostosNacionais[],2,0)</f>
        <v>2.5000000000000001E-2</v>
      </c>
      <c r="V44" s="233">
        <f>VLOOKUP(tabParametros[[#Headers],[FGTS]],tabImpostosNacionais[],2,0)</f>
        <v>0.08</v>
      </c>
      <c r="W44" s="233">
        <f>VLOOKUP(tabParametros[[#Headers],[RAT Ajustado]],tabImpostosNacionais[],2,0)</f>
        <v>0.04</v>
      </c>
      <c r="X44" s="233">
        <f>VLOOKUP(tabParametros[[#Headers],[SEBRAE]],tabImpostosNacionais[],2,0)</f>
        <v>6.0000000000000001E-3</v>
      </c>
      <c r="Y44" s="233">
        <f t="shared" si="0"/>
        <v>8.3333333333333329E-2</v>
      </c>
      <c r="Z44" s="233">
        <f t="shared" si="1"/>
        <v>0.1111111111111111</v>
      </c>
      <c r="AA44" s="232">
        <f>VLOOKUP(tabParametros[[#This Row],[Comarca]],tabComarca[],5,0)</f>
        <v>11.25</v>
      </c>
      <c r="AB44" s="232">
        <f>VLOOKUP(tabParametros[[#This Row],[CCT DA CATEGORIA]],tabSindicatos[],6,0)</f>
        <v>29.15</v>
      </c>
      <c r="AC44" s="232">
        <f>VLOOKUP(tabParametros[[#This Row],[CCT DA CATEGORIA]],tabSindicatos[],7,0)</f>
        <v>0</v>
      </c>
      <c r="AD44" s="232" cm="1">
        <f t="array" ref="AD4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44" s="232">
        <f>VLOOKUP(tabParametros[[#This Row],[CCT DA CATEGORIA]],tabSindicatos[],9,0)</f>
        <v>0</v>
      </c>
      <c r="AF44" s="232">
        <f>VLOOKUP(tabParametros[[#This Row],[CCT DA CATEGORIA]],tabSindicatos[],10,0)</f>
        <v>0</v>
      </c>
      <c r="AG44" s="234">
        <f>VLOOKUP(tabParametros[[#Headers],[Seguro de Vida]],tabOutrosCustos[],3,0)</f>
        <v>3.36</v>
      </c>
      <c r="AH44" s="234">
        <f>IF(ISNUMBER(SEARCH("MOTORISTA",tabParametros[[#This Row],[Função]],1)),VLOOKUP("MOTORISTAS",tabDiarias[],2,0),IF(tabParametros[[#This Row],[Comarca]]="Belo Horizonte",VLOOKUP("APOIO",tabDiarias[],2,0),0))</f>
        <v>202.08</v>
      </c>
      <c r="AI44" s="233">
        <f t="shared" si="2"/>
        <v>7.011766975308642E-3</v>
      </c>
      <c r="AJ44" s="235">
        <f>tabParametros[[#This Row],[FGTS]]*tabParametros[[#This Row],[Aviso Prévio Indenizado (API) e Reflexo do Aviso Prévio Indenizado]]</f>
        <v>5.609413580246914E-4</v>
      </c>
      <c r="AK44" s="235">
        <f>tabParametros[[#This Row],[FGTS]]*tabParametros[[#This Row],[Aviso Prévio Indenizado (API) e Reflexo do Aviso Prévio Indenizado]]*40%</f>
        <v>2.2437654320987658E-4</v>
      </c>
      <c r="AL44" s="233">
        <f t="shared" si="3"/>
        <v>3.5000000000000005E-3</v>
      </c>
      <c r="AM44" s="233">
        <f>tabParametros[[#This Row],[Aviso Prévio Trabalhado - APT]]*SUM(tabParametros[[#This Row],[INSS]:[SEBRAE]])</f>
        <v>1.3230000000000004E-3</v>
      </c>
      <c r="AN44" s="233">
        <f t="shared" si="4"/>
        <v>3.0577777777777773E-2</v>
      </c>
      <c r="AO44" s="233">
        <f t="shared" si="5"/>
        <v>8.3333333333333339E-4</v>
      </c>
      <c r="AP44" s="233">
        <f t="shared" si="6"/>
        <v>8.4444444444444437E-3</v>
      </c>
      <c r="AQ44" s="233">
        <f t="shared" si="7"/>
        <v>2.0277777777777777E-3</v>
      </c>
      <c r="AR44" s="233">
        <f t="shared" si="8"/>
        <v>1.7083333333333333E-4</v>
      </c>
      <c r="AS44" s="233">
        <f t="shared" si="9"/>
        <v>2.0833333333333335E-4</v>
      </c>
      <c r="AT44" s="233">
        <f t="shared" si="10"/>
        <v>1.2962962962962963E-3</v>
      </c>
      <c r="AU44" s="235">
        <f>SUM(tabParametros[[#This Row],[Ausência por Doença]:[Férias, Adicional de Férias e 13º  com empregada em gozo de Licença Maternidade]])*SUM(tabParametros[[#This Row],[INSS]:[SEBRAE]])</f>
        <v>4.5918250000000008E-3</v>
      </c>
      <c r="AV44" s="254">
        <f>IF(tabParametros[[#This Row],[Função]]="Porteiro - 220 h",SUM(tabParametros[[#This Row],[Salário Base]:[Adicional de Acúmulo de função]])/220*20*1.5,IF(ISNUMBER(SEARCH("12 x 36",tabParametros[[#This Row],[Função]],1)),SUM(tabParametros[[#This Row],[Salário Base]:[Adicional de Acúmulo de função]])/210*15.5*1.5,0))</f>
        <v>0</v>
      </c>
      <c r="AW44" s="232">
        <f>IF(tabParametros[[#This Row],[Vagas contratadas]]&gt;0,(SUM(tabParametros[[#This Row],[Salário Base]:[Adicional de Acúmulo de função]])*30%+SUM(tabParametros[[#This Row],[Vale - Alimentação]:[Seguro de Vida]]))/tabParametros[[#This Row],[Vagas contratadas]]*tabParametros[[#This Row],[Vagas suspensas]],0)</f>
        <v>0</v>
      </c>
      <c r="AX44" s="232">
        <f>SUMIF(tabUniformes[Cargo],tabParametros[[#This Row],[Função]],tabUniformes[Valor unit. Mensal])</f>
        <v>440.9050163942162</v>
      </c>
      <c r="AY4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4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4" s="232">
        <v>0</v>
      </c>
      <c r="BC44" s="234" t="e">
        <f ca="1">VLOOKUP(tabParametros[[#Headers],[Custos Indiretos]],tabOutrosCustos[],3,0)</f>
        <v>#NAME?</v>
      </c>
      <c r="BD44" s="234" t="e">
        <f ca="1">VLOOKUP(tabParametros[[#Headers],[Lucro]],tabOutrosCustos[],3,0)</f>
        <v>#NAME?</v>
      </c>
      <c r="BE44" s="233">
        <f>VLOOKUP(tabParametros[[#Headers],[COFINS]],tabImpostosNacionais[],2,0)</f>
        <v>7.5999999999999998E-2</v>
      </c>
      <c r="BF44" s="233">
        <f>VLOOKUP(tabParametros[[#Headers],[PIS]],tabImpostosNacionais[],2,0)</f>
        <v>1.6500000000000001E-2</v>
      </c>
      <c r="BG44" s="233">
        <f>VLOOKUP(tabParametros[[#This Row],[Comarca]],tabComarca[],4,0)</f>
        <v>0.05</v>
      </c>
      <c r="BH44" s="236">
        <f>VLOOKUP(tabParametros[[#This Row],[CCT DA CATEGORIA]],tabSindicatos[],11,0)</f>
        <v>45658</v>
      </c>
      <c r="BI44" s="282" t="str">
        <f>VLOOKUP(tabParametros[[#This Row],[CCT DA CATEGORIA]],tabSindicatos[],12,0)</f>
        <v>-</v>
      </c>
      <c r="BJ44" s="285" t="str">
        <f>VLOOKUP(tabParametros[[#This Row],[CCT DA CATEGORIA]],tabSindicatos[],13,0)</f>
        <v>-</v>
      </c>
    </row>
    <row r="45" spans="1:62">
      <c r="A45" s="231" t="s">
        <v>1424</v>
      </c>
      <c r="B45" s="197" t="s">
        <v>1103</v>
      </c>
      <c r="C45" s="197" t="s">
        <v>1364</v>
      </c>
      <c r="D45" s="197" t="str">
        <f>VLOOKUP(tabParametros[[#This Row],[Código do Posto]],tabPostos[],4,0)</f>
        <v>SEAC/SINDEAC</v>
      </c>
      <c r="E45" s="282" t="str">
        <f>VLOOKUP(tabParametros[[#This Row],[Código do Posto]],tabPostos[],5,0)</f>
        <v>Apoio</v>
      </c>
      <c r="F45" s="282" t="str">
        <f>VLOOKUP(tabParametros[[#This Row],[Código do Posto]],tabPostos[],6,0)</f>
        <v>PGJ</v>
      </c>
      <c r="G45" s="282">
        <f>VLOOKUP(tabParametros[[#This Row],[Código do Posto]],tabPostos[],7,0)</f>
        <v>2</v>
      </c>
      <c r="H45" s="282">
        <f>VLOOKUP(tabParametros[[#This Row],[Código do Posto]],tabPostos[],8,0)</f>
        <v>0</v>
      </c>
      <c r="I45" s="232">
        <f>VLOOKUP(tabParametros[[#This Row],[Código do Posto]],tabPostos[],9,0)</f>
        <v>4052.14</v>
      </c>
      <c r="J45" s="232">
        <f>IF(ISNUMBER(SEARCH("Eletricista",tabParametros[[#This Row],[Função]],1)),0.3*tabParametros[[#This Row],[Salário Base]],0)</f>
        <v>0</v>
      </c>
      <c r="K4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5" s="232">
        <f>IF(AND(ISNUMBER(SEARCH("Noturno",tabParametros[[#This Row],[Função]],1)),tabParametros[[#This Row],[Comarca]]&lt;&gt;"Juiz de Fora"),tabParametros[[#This Row],[Salário Base]]/210*0.39*7*15.5,IF(ISNUMBER(SEARCH("Noturno",tabParametros[[#This Row],[Função]],1)),tabParametros[[#This Row],[Salário Base]]/210*0.2*8*15.5,0))</f>
        <v>0</v>
      </c>
      <c r="M45" s="232">
        <f>IF(ISNUMBER(SEARCH("Motorista II",tabParametros[[#This Row],[Função]],1)),0.3022*tabParametros[[#This Row],[Salário Base]],0)</f>
        <v>0</v>
      </c>
      <c r="N45" s="254">
        <v>0</v>
      </c>
      <c r="O45" s="254">
        <f>IF(ISNUMBER(SEARCH("TECNOLOGIA DA INFORMACAO",tabParametros[[#This Row],[Função]],1)),0.056*tabParametros[[#This Row],[Salário Base]],0)</f>
        <v>0</v>
      </c>
      <c r="P45" s="232">
        <f>IF(tabParametros[[#This Row],[Função]]="Operador de Midia Audiovisual - 150 h",tabParametros[[#This Row],[Salário Base]]/150*50*30%,IF(tabParametros[[#This Row],[Função]]="Supervisor de Manutencao de Veiculos II - 220 h",12%*tabParametros[[#This Row],[Salário Base]],0))</f>
        <v>0</v>
      </c>
      <c r="Q45" s="233">
        <f>VLOOKUP(tabParametros[[#Headers],[INSS]],tabImpostosNacionais[],2,0)</f>
        <v>0.2</v>
      </c>
      <c r="R45" s="233">
        <f>VLOOKUP(tabParametros[[#Headers],[SESI OU SESC]],tabImpostosNacionais[],2,0)</f>
        <v>1.4999999999999999E-2</v>
      </c>
      <c r="S45" s="233">
        <f>VLOOKUP(tabParametros[[#Headers],[SENAI OU SENAC]],tabImpostosNacionais[],2,0)</f>
        <v>0.01</v>
      </c>
      <c r="T45" s="233">
        <f>VLOOKUP(tabParametros[[#Headers],[INCRA]],tabImpostosNacionais[],2,0)</f>
        <v>2E-3</v>
      </c>
      <c r="U45" s="233">
        <f>VLOOKUP(tabParametros[[#Headers],[Salário Educação]],tabImpostosNacionais[],2,0)</f>
        <v>2.5000000000000001E-2</v>
      </c>
      <c r="V45" s="233">
        <f>VLOOKUP(tabParametros[[#Headers],[FGTS]],tabImpostosNacionais[],2,0)</f>
        <v>0.08</v>
      </c>
      <c r="W45" s="233">
        <f>VLOOKUP(tabParametros[[#Headers],[RAT Ajustado]],tabImpostosNacionais[],2,0)</f>
        <v>0.04</v>
      </c>
      <c r="X45" s="233">
        <f>VLOOKUP(tabParametros[[#Headers],[SEBRAE]],tabImpostosNacionais[],2,0)</f>
        <v>6.0000000000000001E-3</v>
      </c>
      <c r="Y45" s="233">
        <f t="shared" si="0"/>
        <v>8.3333333333333329E-2</v>
      </c>
      <c r="Z45" s="233">
        <f t="shared" si="1"/>
        <v>0.1111111111111111</v>
      </c>
      <c r="AA45" s="232">
        <f>VLOOKUP(tabParametros[[#This Row],[Comarca]],tabComarca[],5,0)</f>
        <v>11.25</v>
      </c>
      <c r="AB45" s="232">
        <f>VLOOKUP(tabParametros[[#This Row],[CCT DA CATEGORIA]],tabSindicatos[],6,0)</f>
        <v>29.15</v>
      </c>
      <c r="AC45" s="232">
        <f>VLOOKUP(tabParametros[[#This Row],[CCT DA CATEGORIA]],tabSindicatos[],7,0)</f>
        <v>0</v>
      </c>
      <c r="AD45" s="232" cm="1">
        <f t="array" ref="AD4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45" s="232">
        <f>VLOOKUP(tabParametros[[#This Row],[CCT DA CATEGORIA]],tabSindicatos[],9,0)</f>
        <v>0</v>
      </c>
      <c r="AF45" s="232">
        <f>VLOOKUP(tabParametros[[#This Row],[CCT DA CATEGORIA]],tabSindicatos[],10,0)</f>
        <v>0</v>
      </c>
      <c r="AG45" s="234">
        <f>VLOOKUP(tabParametros[[#Headers],[Seguro de Vida]],tabOutrosCustos[],3,0)</f>
        <v>3.36</v>
      </c>
      <c r="AH45" s="234">
        <f>IF(ISNUMBER(SEARCH("MOTORISTA",tabParametros[[#This Row],[Função]],1)),VLOOKUP("MOTORISTAS",tabDiarias[],2,0),IF(tabParametros[[#This Row],[Comarca]]="Belo Horizonte",VLOOKUP("APOIO",tabDiarias[],2,0),0))</f>
        <v>202.08</v>
      </c>
      <c r="AI45" s="233">
        <f t="shared" si="2"/>
        <v>7.011766975308642E-3</v>
      </c>
      <c r="AJ45" s="235">
        <f>tabParametros[[#This Row],[FGTS]]*tabParametros[[#This Row],[Aviso Prévio Indenizado (API) e Reflexo do Aviso Prévio Indenizado]]</f>
        <v>5.609413580246914E-4</v>
      </c>
      <c r="AK45" s="235">
        <f>tabParametros[[#This Row],[FGTS]]*tabParametros[[#This Row],[Aviso Prévio Indenizado (API) e Reflexo do Aviso Prévio Indenizado]]*40%</f>
        <v>2.2437654320987658E-4</v>
      </c>
      <c r="AL45" s="233">
        <f t="shared" si="3"/>
        <v>3.5000000000000005E-3</v>
      </c>
      <c r="AM45" s="233">
        <f>tabParametros[[#This Row],[Aviso Prévio Trabalhado - APT]]*SUM(tabParametros[[#This Row],[INSS]:[SEBRAE]])</f>
        <v>1.3230000000000004E-3</v>
      </c>
      <c r="AN45" s="233">
        <f t="shared" si="4"/>
        <v>3.0577777777777773E-2</v>
      </c>
      <c r="AO45" s="233">
        <f t="shared" si="5"/>
        <v>8.3333333333333339E-4</v>
      </c>
      <c r="AP45" s="233">
        <f t="shared" si="6"/>
        <v>8.4444444444444437E-3</v>
      </c>
      <c r="AQ45" s="233">
        <f t="shared" si="7"/>
        <v>2.0277777777777777E-3</v>
      </c>
      <c r="AR45" s="233">
        <f t="shared" si="8"/>
        <v>1.7083333333333333E-4</v>
      </c>
      <c r="AS45" s="233">
        <f t="shared" si="9"/>
        <v>2.0833333333333335E-4</v>
      </c>
      <c r="AT45" s="233">
        <f t="shared" si="10"/>
        <v>1.2962962962962963E-3</v>
      </c>
      <c r="AU45" s="235">
        <f>SUM(tabParametros[[#This Row],[Ausência por Doença]:[Férias, Adicional de Férias e 13º  com empregada em gozo de Licença Maternidade]])*SUM(tabParametros[[#This Row],[INSS]:[SEBRAE]])</f>
        <v>4.5918250000000008E-3</v>
      </c>
      <c r="AV45" s="254">
        <f>IF(tabParametros[[#This Row],[Função]]="Porteiro - 220 h",SUM(tabParametros[[#This Row],[Salário Base]:[Adicional de Acúmulo de função]])/220*20*1.5,IF(ISNUMBER(SEARCH("12 x 36",tabParametros[[#This Row],[Função]],1)),SUM(tabParametros[[#This Row],[Salário Base]:[Adicional de Acúmulo de função]])/210*15.5*1.5,0))</f>
        <v>448.62978571428567</v>
      </c>
      <c r="AW45" s="232">
        <f>IF(tabParametros[[#This Row],[Vagas contratadas]]&gt;0,(SUM(tabParametros[[#This Row],[Salário Base]:[Adicional de Acúmulo de função]])*30%+SUM(tabParametros[[#This Row],[Vale - Alimentação]:[Seguro de Vida]]))/tabParametros[[#This Row],[Vagas contratadas]]*tabParametros[[#This Row],[Vagas suspensas]],0)</f>
        <v>0</v>
      </c>
      <c r="AX45" s="232">
        <f>SUMIF(tabUniformes[Cargo],tabParametros[[#This Row],[Função]],tabUniformes[Valor unit. Mensal])</f>
        <v>56.642978962543395</v>
      </c>
      <c r="AY4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4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5" s="232">
        <v>0</v>
      </c>
      <c r="BC45" s="234" t="e">
        <f ca="1">VLOOKUP(tabParametros[[#Headers],[Custos Indiretos]],tabOutrosCustos[],3,0)</f>
        <v>#NAME?</v>
      </c>
      <c r="BD45" s="234" t="e">
        <f ca="1">VLOOKUP(tabParametros[[#Headers],[Lucro]],tabOutrosCustos[],3,0)</f>
        <v>#NAME?</v>
      </c>
      <c r="BE45" s="233">
        <f>VLOOKUP(tabParametros[[#Headers],[COFINS]],tabImpostosNacionais[],2,0)</f>
        <v>7.5999999999999998E-2</v>
      </c>
      <c r="BF45" s="233">
        <f>VLOOKUP(tabParametros[[#Headers],[PIS]],tabImpostosNacionais[],2,0)</f>
        <v>1.6500000000000001E-2</v>
      </c>
      <c r="BG45" s="233">
        <f>VLOOKUP(tabParametros[[#This Row],[Comarca]],tabComarca[],4,0)</f>
        <v>0.05</v>
      </c>
      <c r="BH45" s="236">
        <f>VLOOKUP(tabParametros[[#This Row],[CCT DA CATEGORIA]],tabSindicatos[],11,0)</f>
        <v>45658</v>
      </c>
      <c r="BI45" s="282" t="str">
        <f>VLOOKUP(tabParametros[[#This Row],[CCT DA CATEGORIA]],tabSindicatos[],12,0)</f>
        <v>-</v>
      </c>
      <c r="BJ45" s="285" t="str">
        <f>VLOOKUP(tabParametros[[#This Row],[CCT DA CATEGORIA]],tabSindicatos[],13,0)</f>
        <v>-</v>
      </c>
    </row>
    <row r="46" spans="1:62">
      <c r="A46" s="231" t="s">
        <v>1425</v>
      </c>
      <c r="B46" s="197" t="s">
        <v>1103</v>
      </c>
      <c r="C46" s="197" t="s">
        <v>1521</v>
      </c>
      <c r="D46" s="197" t="str">
        <f>VLOOKUP(tabParametros[[#This Row],[Código do Posto]],tabPostos[],4,0)</f>
        <v>SEAC/SINDEAC</v>
      </c>
      <c r="E46" s="282" t="str">
        <f>VLOOKUP(tabParametros[[#This Row],[Código do Posto]],tabPostos[],5,0)</f>
        <v>Apoio</v>
      </c>
      <c r="F46" s="282" t="str">
        <f>VLOOKUP(tabParametros[[#This Row],[Código do Posto]],tabPostos[],6,0)</f>
        <v>PGJ</v>
      </c>
      <c r="G46" s="282">
        <f>VLOOKUP(tabParametros[[#This Row],[Código do Posto]],tabPostos[],7,0)</f>
        <v>2</v>
      </c>
      <c r="H46" s="282">
        <f>VLOOKUP(tabParametros[[#This Row],[Código do Posto]],tabPostos[],8,0)</f>
        <v>0</v>
      </c>
      <c r="I46" s="232">
        <f>VLOOKUP(tabParametros[[#This Row],[Código do Posto]],tabPostos[],9,0)</f>
        <v>4052.14</v>
      </c>
      <c r="J46" s="232">
        <f>IF(ISNUMBER(SEARCH("Eletricista",tabParametros[[#This Row],[Função]],1)),0.3*tabParametros[[#This Row],[Salário Base]],0)</f>
        <v>0</v>
      </c>
      <c r="K4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6" s="232">
        <f>IF(AND(ISNUMBER(SEARCH("Noturno",tabParametros[[#This Row],[Função]],1)),tabParametros[[#This Row],[Comarca]]&lt;&gt;"Juiz de Fora"),tabParametros[[#This Row],[Salário Base]]/210*0.39*7*15.5,IF(ISNUMBER(SEARCH("Noturno",tabParametros[[#This Row],[Função]],1)),tabParametros[[#This Row],[Salário Base]]/210*0.2*8*15.5,0))</f>
        <v>816.50621000000001</v>
      </c>
      <c r="M46" s="232">
        <f>IF(ISNUMBER(SEARCH("Motorista II",tabParametros[[#This Row],[Função]],1)),0.3022*tabParametros[[#This Row],[Salário Base]],0)</f>
        <v>0</v>
      </c>
      <c r="N46" s="254">
        <v>0</v>
      </c>
      <c r="O46" s="254">
        <f>IF(ISNUMBER(SEARCH("TECNOLOGIA DA INFORMACAO",tabParametros[[#This Row],[Função]],1)),0.056*tabParametros[[#This Row],[Salário Base]],0)</f>
        <v>0</v>
      </c>
      <c r="P46" s="232">
        <f>IF(tabParametros[[#This Row],[Função]]="Operador de Midia Audiovisual - 150 h",tabParametros[[#This Row],[Salário Base]]/150*50*30%,IF(tabParametros[[#This Row],[Função]]="Supervisor de Manutencao de Veiculos II - 220 h",12%*tabParametros[[#This Row],[Salário Base]],0))</f>
        <v>0</v>
      </c>
      <c r="Q46" s="233">
        <f>VLOOKUP(tabParametros[[#Headers],[INSS]],tabImpostosNacionais[],2,0)</f>
        <v>0.2</v>
      </c>
      <c r="R46" s="233">
        <f>VLOOKUP(tabParametros[[#Headers],[SESI OU SESC]],tabImpostosNacionais[],2,0)</f>
        <v>1.4999999999999999E-2</v>
      </c>
      <c r="S46" s="233">
        <f>VLOOKUP(tabParametros[[#Headers],[SENAI OU SENAC]],tabImpostosNacionais[],2,0)</f>
        <v>0.01</v>
      </c>
      <c r="T46" s="233">
        <f>VLOOKUP(tabParametros[[#Headers],[INCRA]],tabImpostosNacionais[],2,0)</f>
        <v>2E-3</v>
      </c>
      <c r="U46" s="233">
        <f>VLOOKUP(tabParametros[[#Headers],[Salário Educação]],tabImpostosNacionais[],2,0)</f>
        <v>2.5000000000000001E-2</v>
      </c>
      <c r="V46" s="233">
        <f>VLOOKUP(tabParametros[[#Headers],[FGTS]],tabImpostosNacionais[],2,0)</f>
        <v>0.08</v>
      </c>
      <c r="W46" s="233">
        <f>VLOOKUP(tabParametros[[#Headers],[RAT Ajustado]],tabImpostosNacionais[],2,0)</f>
        <v>0.04</v>
      </c>
      <c r="X46" s="233">
        <f>VLOOKUP(tabParametros[[#Headers],[SEBRAE]],tabImpostosNacionais[],2,0)</f>
        <v>6.0000000000000001E-3</v>
      </c>
      <c r="Y46" s="233">
        <f t="shared" si="0"/>
        <v>8.3333333333333329E-2</v>
      </c>
      <c r="Z46" s="233">
        <f t="shared" si="1"/>
        <v>0.1111111111111111</v>
      </c>
      <c r="AA46" s="232">
        <f>VLOOKUP(tabParametros[[#This Row],[Comarca]],tabComarca[],5,0)</f>
        <v>11.25</v>
      </c>
      <c r="AB46" s="232">
        <f>VLOOKUP(tabParametros[[#This Row],[CCT DA CATEGORIA]],tabSindicatos[],6,0)</f>
        <v>29.15</v>
      </c>
      <c r="AC46" s="232">
        <f>VLOOKUP(tabParametros[[#This Row],[CCT DA CATEGORIA]],tabSindicatos[],7,0)</f>
        <v>0</v>
      </c>
      <c r="AD46" s="232" cm="1">
        <f t="array" ref="AD4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46" s="232">
        <f>VLOOKUP(tabParametros[[#This Row],[CCT DA CATEGORIA]],tabSindicatos[],9,0)</f>
        <v>0</v>
      </c>
      <c r="AF46" s="232">
        <f>VLOOKUP(tabParametros[[#This Row],[CCT DA CATEGORIA]],tabSindicatos[],10,0)</f>
        <v>0</v>
      </c>
      <c r="AG46" s="234">
        <f>VLOOKUP(tabParametros[[#Headers],[Seguro de Vida]],tabOutrosCustos[],3,0)</f>
        <v>3.36</v>
      </c>
      <c r="AH46" s="234">
        <f>IF(ISNUMBER(SEARCH("MOTORISTA",tabParametros[[#This Row],[Função]],1)),VLOOKUP("MOTORISTAS",tabDiarias[],2,0),IF(tabParametros[[#This Row],[Comarca]]="Belo Horizonte",VLOOKUP("APOIO",tabDiarias[],2,0),0))</f>
        <v>202.08</v>
      </c>
      <c r="AI46" s="233">
        <f t="shared" si="2"/>
        <v>7.011766975308642E-3</v>
      </c>
      <c r="AJ46" s="235">
        <f>tabParametros[[#This Row],[FGTS]]*tabParametros[[#This Row],[Aviso Prévio Indenizado (API) e Reflexo do Aviso Prévio Indenizado]]</f>
        <v>5.609413580246914E-4</v>
      </c>
      <c r="AK46" s="235">
        <f>tabParametros[[#This Row],[FGTS]]*tabParametros[[#This Row],[Aviso Prévio Indenizado (API) e Reflexo do Aviso Prévio Indenizado]]*40%</f>
        <v>2.2437654320987658E-4</v>
      </c>
      <c r="AL46" s="233">
        <f t="shared" si="3"/>
        <v>3.5000000000000005E-3</v>
      </c>
      <c r="AM46" s="233">
        <f>tabParametros[[#This Row],[Aviso Prévio Trabalhado - APT]]*SUM(tabParametros[[#This Row],[INSS]:[SEBRAE]])</f>
        <v>1.3230000000000004E-3</v>
      </c>
      <c r="AN46" s="233">
        <f t="shared" si="4"/>
        <v>3.0577777777777773E-2</v>
      </c>
      <c r="AO46" s="233">
        <f t="shared" si="5"/>
        <v>8.3333333333333339E-4</v>
      </c>
      <c r="AP46" s="233">
        <f t="shared" si="6"/>
        <v>8.4444444444444437E-3</v>
      </c>
      <c r="AQ46" s="233">
        <f t="shared" si="7"/>
        <v>2.0277777777777777E-3</v>
      </c>
      <c r="AR46" s="233">
        <f t="shared" si="8"/>
        <v>1.7083333333333333E-4</v>
      </c>
      <c r="AS46" s="233">
        <f t="shared" si="9"/>
        <v>2.0833333333333335E-4</v>
      </c>
      <c r="AT46" s="233">
        <f t="shared" si="10"/>
        <v>1.2962962962962963E-3</v>
      </c>
      <c r="AU46" s="235">
        <f>SUM(tabParametros[[#This Row],[Ausência por Doença]:[Férias, Adicional de Férias e 13º  com empregada em gozo de Licença Maternidade]])*SUM(tabParametros[[#This Row],[INSS]:[SEBRAE]])</f>
        <v>4.5918250000000008E-3</v>
      </c>
      <c r="AV46" s="254">
        <f>IF(tabParametros[[#This Row],[Função]]="Porteiro - 220 h",SUM(tabParametros[[#This Row],[Salário Base]:[Adicional de Acúmulo de função]])/220*20*1.5,IF(ISNUMBER(SEARCH("12 x 36",tabParametros[[#This Row],[Função]],1)),SUM(tabParametros[[#This Row],[Salário Base]:[Adicional de Acúmulo de função]])/210*15.5*1.5,0))</f>
        <v>539.0286875357142</v>
      </c>
      <c r="AW46" s="232">
        <f>IF(tabParametros[[#This Row],[Vagas contratadas]]&gt;0,(SUM(tabParametros[[#This Row],[Salário Base]:[Adicional de Acúmulo de função]])*30%+SUM(tabParametros[[#This Row],[Vale - Alimentação]:[Seguro de Vida]]))/tabParametros[[#This Row],[Vagas contratadas]]*tabParametros[[#This Row],[Vagas suspensas]],0)</f>
        <v>0</v>
      </c>
      <c r="AX46" s="232">
        <f>SUMIF(tabUniformes[Cargo],tabParametros[[#This Row],[Função]],tabUniformes[Valor unit. Mensal])</f>
        <v>56.642978962543395</v>
      </c>
      <c r="AY4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4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6" s="232">
        <v>0</v>
      </c>
      <c r="BC46" s="234" t="e">
        <f ca="1">VLOOKUP(tabParametros[[#Headers],[Custos Indiretos]],tabOutrosCustos[],3,0)</f>
        <v>#NAME?</v>
      </c>
      <c r="BD46" s="234" t="e">
        <f ca="1">VLOOKUP(tabParametros[[#Headers],[Lucro]],tabOutrosCustos[],3,0)</f>
        <v>#NAME?</v>
      </c>
      <c r="BE46" s="233">
        <f>VLOOKUP(tabParametros[[#Headers],[COFINS]],tabImpostosNacionais[],2,0)</f>
        <v>7.5999999999999998E-2</v>
      </c>
      <c r="BF46" s="233">
        <f>VLOOKUP(tabParametros[[#Headers],[PIS]],tabImpostosNacionais[],2,0)</f>
        <v>1.6500000000000001E-2</v>
      </c>
      <c r="BG46" s="233">
        <f>VLOOKUP(tabParametros[[#This Row],[Comarca]],tabComarca[],4,0)</f>
        <v>0.05</v>
      </c>
      <c r="BH46" s="236">
        <f>VLOOKUP(tabParametros[[#This Row],[CCT DA CATEGORIA]],tabSindicatos[],11,0)</f>
        <v>45658</v>
      </c>
      <c r="BI46" s="282" t="str">
        <f>VLOOKUP(tabParametros[[#This Row],[CCT DA CATEGORIA]],tabSindicatos[],12,0)</f>
        <v>-</v>
      </c>
      <c r="BJ46" s="285" t="str">
        <f>VLOOKUP(tabParametros[[#This Row],[CCT DA CATEGORIA]],tabSindicatos[],13,0)</f>
        <v>-</v>
      </c>
    </row>
    <row r="47" spans="1:62">
      <c r="A47" s="231" t="s">
        <v>1426</v>
      </c>
      <c r="B47" s="197" t="s">
        <v>1103</v>
      </c>
      <c r="C47" s="197" t="s">
        <v>224</v>
      </c>
      <c r="D47" s="197" t="str">
        <f>VLOOKUP(tabParametros[[#This Row],[Código do Posto]],tabPostos[],4,0)</f>
        <v>SEAC/SINDEAC</v>
      </c>
      <c r="E47" s="282" t="str">
        <f>VLOOKUP(tabParametros[[#This Row],[Código do Posto]],tabPostos[],5,0)</f>
        <v>Apoio</v>
      </c>
      <c r="F47" s="282" t="str">
        <f>VLOOKUP(tabParametros[[#This Row],[Código do Posto]],tabPostos[],6,0)</f>
        <v>PGJ</v>
      </c>
      <c r="G47" s="282">
        <f>VLOOKUP(tabParametros[[#This Row],[Código do Posto]],tabPostos[],7,0)</f>
        <v>5</v>
      </c>
      <c r="H47" s="282">
        <f>VLOOKUP(tabParametros[[#This Row],[Código do Posto]],tabPostos[],8,0)</f>
        <v>0</v>
      </c>
      <c r="I47" s="232">
        <f>VLOOKUP(tabParametros[[#This Row],[Código do Posto]],tabPostos[],9,0)</f>
        <v>4052.14</v>
      </c>
      <c r="J47" s="232">
        <f>IF(ISNUMBER(SEARCH("Eletricista",tabParametros[[#This Row],[Função]],1)),0.3*tabParametros[[#This Row],[Salário Base]],0)</f>
        <v>0</v>
      </c>
      <c r="K4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7" s="232">
        <f>IF(AND(ISNUMBER(SEARCH("Noturno",tabParametros[[#This Row],[Função]],1)),tabParametros[[#This Row],[Comarca]]&lt;&gt;"Juiz de Fora"),tabParametros[[#This Row],[Salário Base]]/210*0.39*7*15.5,IF(ISNUMBER(SEARCH("Noturno",tabParametros[[#This Row],[Função]],1)),tabParametros[[#This Row],[Salário Base]]/210*0.2*8*15.5,0))</f>
        <v>0</v>
      </c>
      <c r="M47" s="232">
        <f>IF(ISNUMBER(SEARCH("Motorista II",tabParametros[[#This Row],[Função]],1)),0.3022*tabParametros[[#This Row],[Salário Base]],0)</f>
        <v>0</v>
      </c>
      <c r="N47" s="254">
        <v>0</v>
      </c>
      <c r="O47" s="254">
        <f>IF(ISNUMBER(SEARCH("TECNOLOGIA DA INFORMACAO",tabParametros[[#This Row],[Função]],1)),0.056*tabParametros[[#This Row],[Salário Base]],0)</f>
        <v>0</v>
      </c>
      <c r="P47" s="232">
        <f>IF(tabParametros[[#This Row],[Função]]="Operador de Midia Audiovisual - 150 h",tabParametros[[#This Row],[Salário Base]]/150*50*30%,IF(tabParametros[[#This Row],[Função]]="Supervisor de Manutencao de Veiculos II - 220 h",12%*tabParametros[[#This Row],[Salário Base]],0))</f>
        <v>0</v>
      </c>
      <c r="Q47" s="233">
        <f>VLOOKUP(tabParametros[[#Headers],[INSS]],tabImpostosNacionais[],2,0)</f>
        <v>0.2</v>
      </c>
      <c r="R47" s="233">
        <f>VLOOKUP(tabParametros[[#Headers],[SESI OU SESC]],tabImpostosNacionais[],2,0)</f>
        <v>1.4999999999999999E-2</v>
      </c>
      <c r="S47" s="233">
        <f>VLOOKUP(tabParametros[[#Headers],[SENAI OU SENAC]],tabImpostosNacionais[],2,0)</f>
        <v>0.01</v>
      </c>
      <c r="T47" s="233">
        <f>VLOOKUP(tabParametros[[#Headers],[INCRA]],tabImpostosNacionais[],2,0)</f>
        <v>2E-3</v>
      </c>
      <c r="U47" s="233">
        <f>VLOOKUP(tabParametros[[#Headers],[Salário Educação]],tabImpostosNacionais[],2,0)</f>
        <v>2.5000000000000001E-2</v>
      </c>
      <c r="V47" s="233">
        <f>VLOOKUP(tabParametros[[#Headers],[FGTS]],tabImpostosNacionais[],2,0)</f>
        <v>0.08</v>
      </c>
      <c r="W47" s="233">
        <f>VLOOKUP(tabParametros[[#Headers],[RAT Ajustado]],tabImpostosNacionais[],2,0)</f>
        <v>0.04</v>
      </c>
      <c r="X47" s="233">
        <f>VLOOKUP(tabParametros[[#Headers],[SEBRAE]],tabImpostosNacionais[],2,0)</f>
        <v>6.0000000000000001E-3</v>
      </c>
      <c r="Y47" s="233">
        <f t="shared" si="0"/>
        <v>8.3333333333333329E-2</v>
      </c>
      <c r="Z47" s="233">
        <f t="shared" si="1"/>
        <v>0.1111111111111111</v>
      </c>
      <c r="AA47" s="232">
        <f>VLOOKUP(tabParametros[[#This Row],[Comarca]],tabComarca[],5,0)</f>
        <v>11.25</v>
      </c>
      <c r="AB47" s="232">
        <f>VLOOKUP(tabParametros[[#This Row],[CCT DA CATEGORIA]],tabSindicatos[],6,0)</f>
        <v>29.15</v>
      </c>
      <c r="AC47" s="232">
        <f>VLOOKUP(tabParametros[[#This Row],[CCT DA CATEGORIA]],tabSindicatos[],7,0)</f>
        <v>0</v>
      </c>
      <c r="AD47" s="232" cm="1">
        <f t="array" ref="AD4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47" s="232">
        <f>VLOOKUP(tabParametros[[#This Row],[CCT DA CATEGORIA]],tabSindicatos[],9,0)</f>
        <v>0</v>
      </c>
      <c r="AF47" s="232">
        <f>VLOOKUP(tabParametros[[#This Row],[CCT DA CATEGORIA]],tabSindicatos[],10,0)</f>
        <v>0</v>
      </c>
      <c r="AG47" s="234">
        <f>VLOOKUP(tabParametros[[#Headers],[Seguro de Vida]],tabOutrosCustos[],3,0)</f>
        <v>3.36</v>
      </c>
      <c r="AH47" s="234">
        <f>IF(ISNUMBER(SEARCH("MOTORISTA",tabParametros[[#This Row],[Função]],1)),VLOOKUP("MOTORISTAS",tabDiarias[],2,0),IF(tabParametros[[#This Row],[Comarca]]="Belo Horizonte",VLOOKUP("APOIO",tabDiarias[],2,0),0))</f>
        <v>202.08</v>
      </c>
      <c r="AI47" s="233">
        <f t="shared" si="2"/>
        <v>7.011766975308642E-3</v>
      </c>
      <c r="AJ47" s="235">
        <f>tabParametros[[#This Row],[FGTS]]*tabParametros[[#This Row],[Aviso Prévio Indenizado (API) e Reflexo do Aviso Prévio Indenizado]]</f>
        <v>5.609413580246914E-4</v>
      </c>
      <c r="AK47" s="235">
        <f>tabParametros[[#This Row],[FGTS]]*tabParametros[[#This Row],[Aviso Prévio Indenizado (API) e Reflexo do Aviso Prévio Indenizado]]*40%</f>
        <v>2.2437654320987658E-4</v>
      </c>
      <c r="AL47" s="233">
        <f t="shared" si="3"/>
        <v>3.5000000000000005E-3</v>
      </c>
      <c r="AM47" s="233">
        <f>tabParametros[[#This Row],[Aviso Prévio Trabalhado - APT]]*SUM(tabParametros[[#This Row],[INSS]:[SEBRAE]])</f>
        <v>1.3230000000000004E-3</v>
      </c>
      <c r="AN47" s="233">
        <f t="shared" si="4"/>
        <v>3.0577777777777773E-2</v>
      </c>
      <c r="AO47" s="233">
        <f t="shared" si="5"/>
        <v>8.3333333333333339E-4</v>
      </c>
      <c r="AP47" s="233">
        <f t="shared" si="6"/>
        <v>8.4444444444444437E-3</v>
      </c>
      <c r="AQ47" s="233">
        <f t="shared" si="7"/>
        <v>2.0277777777777777E-3</v>
      </c>
      <c r="AR47" s="233">
        <f t="shared" si="8"/>
        <v>1.7083333333333333E-4</v>
      </c>
      <c r="AS47" s="233">
        <f t="shared" si="9"/>
        <v>2.0833333333333335E-4</v>
      </c>
      <c r="AT47" s="233">
        <f t="shared" si="10"/>
        <v>1.2962962962962963E-3</v>
      </c>
      <c r="AU47" s="235">
        <f>SUM(tabParametros[[#This Row],[Ausência por Doença]:[Férias, Adicional de Férias e 13º  com empregada em gozo de Licença Maternidade]])*SUM(tabParametros[[#This Row],[INSS]:[SEBRAE]])</f>
        <v>4.5918250000000008E-3</v>
      </c>
      <c r="AV47" s="254">
        <f>IF(tabParametros[[#This Row],[Função]]="Porteiro - 220 h",SUM(tabParametros[[#This Row],[Salário Base]:[Adicional de Acúmulo de função]])/220*20*1.5,IF(ISNUMBER(SEARCH("12 x 36",tabParametros[[#This Row],[Função]],1)),SUM(tabParametros[[#This Row],[Salário Base]:[Adicional de Acúmulo de função]])/210*15.5*1.5,0))</f>
        <v>0</v>
      </c>
      <c r="AW47" s="232">
        <f>IF(tabParametros[[#This Row],[Vagas contratadas]]&gt;0,(SUM(tabParametros[[#This Row],[Salário Base]:[Adicional de Acúmulo de função]])*30%+SUM(tabParametros[[#This Row],[Vale - Alimentação]:[Seguro de Vida]]))/tabParametros[[#This Row],[Vagas contratadas]]*tabParametros[[#This Row],[Vagas suspensas]],0)</f>
        <v>0</v>
      </c>
      <c r="AX47" s="232">
        <f>SUMIF(tabUniformes[Cargo],tabParametros[[#This Row],[Função]],tabUniformes[Valor unit. Mensal])</f>
        <v>56.642978962543395</v>
      </c>
      <c r="AY4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4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7" s="232">
        <v>0</v>
      </c>
      <c r="BC47" s="234" t="e">
        <f ca="1">VLOOKUP(tabParametros[[#Headers],[Custos Indiretos]],tabOutrosCustos[],3,0)</f>
        <v>#NAME?</v>
      </c>
      <c r="BD47" s="234" t="e">
        <f ca="1">VLOOKUP(tabParametros[[#Headers],[Lucro]],tabOutrosCustos[],3,0)</f>
        <v>#NAME?</v>
      </c>
      <c r="BE47" s="233">
        <f>VLOOKUP(tabParametros[[#Headers],[COFINS]],tabImpostosNacionais[],2,0)</f>
        <v>7.5999999999999998E-2</v>
      </c>
      <c r="BF47" s="233">
        <f>VLOOKUP(tabParametros[[#Headers],[PIS]],tabImpostosNacionais[],2,0)</f>
        <v>1.6500000000000001E-2</v>
      </c>
      <c r="BG47" s="233">
        <f>VLOOKUP(tabParametros[[#This Row],[Comarca]],tabComarca[],4,0)</f>
        <v>0.05</v>
      </c>
      <c r="BH47" s="236">
        <f>VLOOKUP(tabParametros[[#This Row],[CCT DA CATEGORIA]],tabSindicatos[],11,0)</f>
        <v>45658</v>
      </c>
      <c r="BI47" s="282" t="str">
        <f>VLOOKUP(tabParametros[[#This Row],[CCT DA CATEGORIA]],tabSindicatos[],12,0)</f>
        <v>-</v>
      </c>
      <c r="BJ47" s="285" t="str">
        <f>VLOOKUP(tabParametros[[#This Row],[CCT DA CATEGORIA]],tabSindicatos[],13,0)</f>
        <v>-</v>
      </c>
    </row>
    <row r="48" spans="1:62">
      <c r="A48" s="231" t="s">
        <v>1427</v>
      </c>
      <c r="B48" s="197" t="s">
        <v>1103</v>
      </c>
      <c r="C48" s="197" t="s">
        <v>229</v>
      </c>
      <c r="D48" s="197" t="str">
        <f>VLOOKUP(tabParametros[[#This Row],[Código do Posto]],tabPostos[],4,0)</f>
        <v>SEAC/SINDEAC</v>
      </c>
      <c r="E48" s="282" t="str">
        <f>VLOOKUP(tabParametros[[#This Row],[Código do Posto]],tabPostos[],5,0)</f>
        <v>Apoio</v>
      </c>
      <c r="F48" s="282" t="str">
        <f>VLOOKUP(tabParametros[[#This Row],[Código do Posto]],tabPostos[],6,0)</f>
        <v>PGJ</v>
      </c>
      <c r="G48" s="282">
        <f>VLOOKUP(tabParametros[[#This Row],[Código do Posto]],tabPostos[],7,0)</f>
        <v>4</v>
      </c>
      <c r="H48" s="282">
        <f>VLOOKUP(tabParametros[[#This Row],[Código do Posto]],tabPostos[],8,0)</f>
        <v>0</v>
      </c>
      <c r="I48" s="232">
        <f>VLOOKUP(tabParametros[[#This Row],[Código do Posto]],tabPostos[],9,0)</f>
        <v>3065.0509542812397</v>
      </c>
      <c r="J48" s="232">
        <f>IF(ISNUMBER(SEARCH("Eletricista",tabParametros[[#This Row],[Função]],1)),0.3*tabParametros[[#This Row],[Salário Base]],0)</f>
        <v>0</v>
      </c>
      <c r="K4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8" s="232">
        <f>IF(AND(ISNUMBER(SEARCH("Noturno",tabParametros[[#This Row],[Função]],1)),tabParametros[[#This Row],[Comarca]]&lt;&gt;"Juiz de Fora"),tabParametros[[#This Row],[Salário Base]]/210*0.39*7*15.5,IF(ISNUMBER(SEARCH("Noturno",tabParametros[[#This Row],[Função]],1)),tabParametros[[#This Row],[Salário Base]]/210*0.2*8*15.5,0))</f>
        <v>0</v>
      </c>
      <c r="M48" s="232">
        <f>IF(ISNUMBER(SEARCH("Motorista II",tabParametros[[#This Row],[Função]],1)),0.3022*tabParametros[[#This Row],[Salário Base]],0)</f>
        <v>0</v>
      </c>
      <c r="N48" s="254">
        <v>0</v>
      </c>
      <c r="O48" s="254">
        <f>IF(ISNUMBER(SEARCH("TECNOLOGIA DA INFORMACAO",tabParametros[[#This Row],[Função]],1)),0.056*tabParametros[[#This Row],[Salário Base]],0)</f>
        <v>0</v>
      </c>
      <c r="P48" s="232">
        <f>IF(tabParametros[[#This Row],[Função]]="Operador de Midia Audiovisual - 150 h",tabParametros[[#This Row],[Salário Base]]/150*50*30%,IF(tabParametros[[#This Row],[Função]]="Supervisor de Manutencao de Veiculos II - 220 h",12%*tabParametros[[#This Row],[Salário Base]],0))</f>
        <v>0</v>
      </c>
      <c r="Q48" s="233">
        <f>VLOOKUP(tabParametros[[#Headers],[INSS]],tabImpostosNacionais[],2,0)</f>
        <v>0.2</v>
      </c>
      <c r="R48" s="233">
        <f>VLOOKUP(tabParametros[[#Headers],[SESI OU SESC]],tabImpostosNacionais[],2,0)</f>
        <v>1.4999999999999999E-2</v>
      </c>
      <c r="S48" s="233">
        <f>VLOOKUP(tabParametros[[#Headers],[SENAI OU SENAC]],tabImpostosNacionais[],2,0)</f>
        <v>0.01</v>
      </c>
      <c r="T48" s="233">
        <f>VLOOKUP(tabParametros[[#Headers],[INCRA]],tabImpostosNacionais[],2,0)</f>
        <v>2E-3</v>
      </c>
      <c r="U48" s="233">
        <f>VLOOKUP(tabParametros[[#Headers],[Salário Educação]],tabImpostosNacionais[],2,0)</f>
        <v>2.5000000000000001E-2</v>
      </c>
      <c r="V48" s="233">
        <f>VLOOKUP(tabParametros[[#Headers],[FGTS]],tabImpostosNacionais[],2,0)</f>
        <v>0.08</v>
      </c>
      <c r="W48" s="233">
        <f>VLOOKUP(tabParametros[[#Headers],[RAT Ajustado]],tabImpostosNacionais[],2,0)</f>
        <v>0.04</v>
      </c>
      <c r="X48" s="233">
        <f>VLOOKUP(tabParametros[[#Headers],[SEBRAE]],tabImpostosNacionais[],2,0)</f>
        <v>6.0000000000000001E-3</v>
      </c>
      <c r="Y48" s="233">
        <f t="shared" si="0"/>
        <v>8.3333333333333329E-2</v>
      </c>
      <c r="Z48" s="233">
        <f t="shared" si="1"/>
        <v>0.1111111111111111</v>
      </c>
      <c r="AA48" s="232">
        <f>VLOOKUP(tabParametros[[#This Row],[Comarca]],tabComarca[],5,0)</f>
        <v>11.25</v>
      </c>
      <c r="AB48" s="232">
        <f>VLOOKUP(tabParametros[[#This Row],[CCT DA CATEGORIA]],tabSindicatos[],6,0)</f>
        <v>29.15</v>
      </c>
      <c r="AC48" s="232">
        <f>VLOOKUP(tabParametros[[#This Row],[CCT DA CATEGORIA]],tabSindicatos[],7,0)</f>
        <v>0</v>
      </c>
      <c r="AD48" s="232" cm="1">
        <f t="array" ref="AD4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48" s="232">
        <f>VLOOKUP(tabParametros[[#This Row],[CCT DA CATEGORIA]],tabSindicatos[],9,0)</f>
        <v>0</v>
      </c>
      <c r="AF48" s="232">
        <f>VLOOKUP(tabParametros[[#This Row],[CCT DA CATEGORIA]],tabSindicatos[],10,0)</f>
        <v>0</v>
      </c>
      <c r="AG48" s="234">
        <f>VLOOKUP(tabParametros[[#Headers],[Seguro de Vida]],tabOutrosCustos[],3,0)</f>
        <v>3.36</v>
      </c>
      <c r="AH48" s="234">
        <f>IF(ISNUMBER(SEARCH("MOTORISTA",tabParametros[[#This Row],[Função]],1)),VLOOKUP("MOTORISTAS",tabDiarias[],2,0),IF(tabParametros[[#This Row],[Comarca]]="Belo Horizonte",VLOOKUP("APOIO",tabDiarias[],2,0),0))</f>
        <v>202.08</v>
      </c>
      <c r="AI48" s="233">
        <f t="shared" si="2"/>
        <v>7.011766975308642E-3</v>
      </c>
      <c r="AJ48" s="235">
        <f>tabParametros[[#This Row],[FGTS]]*tabParametros[[#This Row],[Aviso Prévio Indenizado (API) e Reflexo do Aviso Prévio Indenizado]]</f>
        <v>5.609413580246914E-4</v>
      </c>
      <c r="AK48" s="235">
        <f>tabParametros[[#This Row],[FGTS]]*tabParametros[[#This Row],[Aviso Prévio Indenizado (API) e Reflexo do Aviso Prévio Indenizado]]*40%</f>
        <v>2.2437654320987658E-4</v>
      </c>
      <c r="AL48" s="233">
        <f t="shared" si="3"/>
        <v>3.5000000000000005E-3</v>
      </c>
      <c r="AM48" s="233">
        <f>tabParametros[[#This Row],[Aviso Prévio Trabalhado - APT]]*SUM(tabParametros[[#This Row],[INSS]:[SEBRAE]])</f>
        <v>1.3230000000000004E-3</v>
      </c>
      <c r="AN48" s="233">
        <f t="shared" si="4"/>
        <v>3.0577777777777773E-2</v>
      </c>
      <c r="AO48" s="233">
        <f t="shared" si="5"/>
        <v>8.3333333333333339E-4</v>
      </c>
      <c r="AP48" s="233">
        <f t="shared" si="6"/>
        <v>8.4444444444444437E-3</v>
      </c>
      <c r="AQ48" s="233">
        <f t="shared" si="7"/>
        <v>2.0277777777777777E-3</v>
      </c>
      <c r="AR48" s="233">
        <f t="shared" si="8"/>
        <v>1.7083333333333333E-4</v>
      </c>
      <c r="AS48" s="233">
        <f t="shared" si="9"/>
        <v>2.0833333333333335E-4</v>
      </c>
      <c r="AT48" s="233">
        <f t="shared" si="10"/>
        <v>1.2962962962962963E-3</v>
      </c>
      <c r="AU48" s="235">
        <f>SUM(tabParametros[[#This Row],[Ausência por Doença]:[Férias, Adicional de Férias e 13º  com empregada em gozo de Licença Maternidade]])*SUM(tabParametros[[#This Row],[INSS]:[SEBRAE]])</f>
        <v>4.5918250000000008E-3</v>
      </c>
      <c r="AV48" s="254">
        <f>IF(tabParametros[[#This Row],[Função]]="Porteiro - 220 h",SUM(tabParametros[[#This Row],[Salário Base]:[Adicional de Acúmulo de função]])/220*20*1.5,IF(ISNUMBER(SEARCH("12 x 36",tabParametros[[#This Row],[Função]],1)),SUM(tabParametros[[#This Row],[Salário Base]:[Adicional de Acúmulo de função]])/210*15.5*1.5,0))</f>
        <v>0</v>
      </c>
      <c r="AW48" s="232">
        <f>IF(tabParametros[[#This Row],[Vagas contratadas]]&gt;0,(SUM(tabParametros[[#This Row],[Salário Base]:[Adicional de Acúmulo de função]])*30%+SUM(tabParametros[[#This Row],[Vale - Alimentação]:[Seguro de Vida]]))/tabParametros[[#This Row],[Vagas contratadas]]*tabParametros[[#This Row],[Vagas suspensas]],0)</f>
        <v>0</v>
      </c>
      <c r="AX48" s="232">
        <f>SUMIF(tabUniformes[Cargo],tabParametros[[#This Row],[Função]],tabUniformes[Valor unit. Mensal])</f>
        <v>123.55365929034191</v>
      </c>
      <c r="AY4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4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8" s="232">
        <v>0</v>
      </c>
      <c r="BC48" s="234" t="e">
        <f ca="1">VLOOKUP(tabParametros[[#Headers],[Custos Indiretos]],tabOutrosCustos[],3,0)</f>
        <v>#NAME?</v>
      </c>
      <c r="BD48" s="234" t="e">
        <f ca="1">VLOOKUP(tabParametros[[#Headers],[Lucro]],tabOutrosCustos[],3,0)</f>
        <v>#NAME?</v>
      </c>
      <c r="BE48" s="233">
        <f>VLOOKUP(tabParametros[[#Headers],[COFINS]],tabImpostosNacionais[],2,0)</f>
        <v>7.5999999999999998E-2</v>
      </c>
      <c r="BF48" s="233">
        <f>VLOOKUP(tabParametros[[#Headers],[PIS]],tabImpostosNacionais[],2,0)</f>
        <v>1.6500000000000001E-2</v>
      </c>
      <c r="BG48" s="233">
        <f>VLOOKUP(tabParametros[[#This Row],[Comarca]],tabComarca[],4,0)</f>
        <v>0.05</v>
      </c>
      <c r="BH48" s="236">
        <f>VLOOKUP(tabParametros[[#This Row],[CCT DA CATEGORIA]],tabSindicatos[],11,0)</f>
        <v>45658</v>
      </c>
      <c r="BI48" s="282" t="str">
        <f>VLOOKUP(tabParametros[[#This Row],[CCT DA CATEGORIA]],tabSindicatos[],12,0)</f>
        <v>-</v>
      </c>
      <c r="BJ48" s="285" t="str">
        <f>VLOOKUP(tabParametros[[#This Row],[CCT DA CATEGORIA]],tabSindicatos[],13,0)</f>
        <v>-</v>
      </c>
    </row>
    <row r="49" spans="1:62">
      <c r="A49" s="231" t="s">
        <v>1428</v>
      </c>
      <c r="B49" s="197" t="s">
        <v>1103</v>
      </c>
      <c r="C49" s="197" t="s">
        <v>1365</v>
      </c>
      <c r="D49" s="197" t="str">
        <f>VLOOKUP(tabParametros[[#This Row],[Código do Posto]],tabPostos[],4,0)</f>
        <v>SEAC/SINDEAC</v>
      </c>
      <c r="E49" s="282" t="str">
        <f>VLOOKUP(tabParametros[[#This Row],[Código do Posto]],tabPostos[],5,0)</f>
        <v>Apoio</v>
      </c>
      <c r="F49" s="282" t="str">
        <f>VLOOKUP(tabParametros[[#This Row],[Código do Posto]],tabPostos[],6,0)</f>
        <v>PGJ</v>
      </c>
      <c r="G49" s="282">
        <f>VLOOKUP(tabParametros[[#This Row],[Código do Posto]],tabPostos[],7,0)</f>
        <v>2</v>
      </c>
      <c r="H49" s="282">
        <f>VLOOKUP(tabParametros[[#This Row],[Código do Posto]],tabPostos[],8,0)</f>
        <v>0</v>
      </c>
      <c r="I49" s="232">
        <f>VLOOKUP(tabParametros[[#This Row],[Código do Posto]],tabPostos[],9,0)</f>
        <v>3683.7563184781916</v>
      </c>
      <c r="J49" s="232">
        <f>IF(ISNUMBER(SEARCH("Eletricista",tabParametros[[#This Row],[Função]],1)),0.3*tabParametros[[#This Row],[Salário Base]],0)</f>
        <v>0</v>
      </c>
      <c r="K4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49" s="232">
        <f>IF(AND(ISNUMBER(SEARCH("Noturno",tabParametros[[#This Row],[Função]],1)),tabParametros[[#This Row],[Comarca]]&lt;&gt;"Juiz de Fora"),tabParametros[[#This Row],[Salário Base]]/210*0.39*7*15.5,IF(ISNUMBER(SEARCH("Noturno",tabParametros[[#This Row],[Função]],1)),tabParametros[[#This Row],[Salário Base]]/210*0.2*8*15.5,0))</f>
        <v>0</v>
      </c>
      <c r="M49" s="232">
        <f>IF(ISNUMBER(SEARCH("Motorista II",tabParametros[[#This Row],[Função]],1)),0.3022*tabParametros[[#This Row],[Salário Base]],0)</f>
        <v>0</v>
      </c>
      <c r="N49" s="254">
        <v>0</v>
      </c>
      <c r="O49" s="254">
        <f>IF(ISNUMBER(SEARCH("TECNOLOGIA DA INFORMACAO",tabParametros[[#This Row],[Função]],1)),0.056*tabParametros[[#This Row],[Salário Base]],0)</f>
        <v>0</v>
      </c>
      <c r="P49" s="232">
        <f>IF(tabParametros[[#This Row],[Função]]="Operador de Midia Audiovisual - 150 h",tabParametros[[#This Row],[Salário Base]]/150*50*30%,IF(tabParametros[[#This Row],[Função]]="Supervisor de Manutencao de Veiculos II - 220 h",12%*tabParametros[[#This Row],[Salário Base]],0))</f>
        <v>0</v>
      </c>
      <c r="Q49" s="233">
        <f>VLOOKUP(tabParametros[[#Headers],[INSS]],tabImpostosNacionais[],2,0)</f>
        <v>0.2</v>
      </c>
      <c r="R49" s="233">
        <f>VLOOKUP(tabParametros[[#Headers],[SESI OU SESC]],tabImpostosNacionais[],2,0)</f>
        <v>1.4999999999999999E-2</v>
      </c>
      <c r="S49" s="233">
        <f>VLOOKUP(tabParametros[[#Headers],[SENAI OU SENAC]],tabImpostosNacionais[],2,0)</f>
        <v>0.01</v>
      </c>
      <c r="T49" s="233">
        <f>VLOOKUP(tabParametros[[#Headers],[INCRA]],tabImpostosNacionais[],2,0)</f>
        <v>2E-3</v>
      </c>
      <c r="U49" s="233">
        <f>VLOOKUP(tabParametros[[#Headers],[Salário Educação]],tabImpostosNacionais[],2,0)</f>
        <v>2.5000000000000001E-2</v>
      </c>
      <c r="V49" s="233">
        <f>VLOOKUP(tabParametros[[#Headers],[FGTS]],tabImpostosNacionais[],2,0)</f>
        <v>0.08</v>
      </c>
      <c r="W49" s="233">
        <f>VLOOKUP(tabParametros[[#Headers],[RAT Ajustado]],tabImpostosNacionais[],2,0)</f>
        <v>0.04</v>
      </c>
      <c r="X49" s="233">
        <f>VLOOKUP(tabParametros[[#Headers],[SEBRAE]],tabImpostosNacionais[],2,0)</f>
        <v>6.0000000000000001E-3</v>
      </c>
      <c r="Y49" s="233">
        <f t="shared" si="0"/>
        <v>8.3333333333333329E-2</v>
      </c>
      <c r="Z49" s="233">
        <f t="shared" si="1"/>
        <v>0.1111111111111111</v>
      </c>
      <c r="AA49" s="232">
        <f>VLOOKUP(tabParametros[[#This Row],[Comarca]],tabComarca[],5,0)</f>
        <v>11.25</v>
      </c>
      <c r="AB49" s="232">
        <f>VLOOKUP(tabParametros[[#This Row],[CCT DA CATEGORIA]],tabSindicatos[],6,0)</f>
        <v>29.15</v>
      </c>
      <c r="AC49" s="232">
        <f>VLOOKUP(tabParametros[[#This Row],[CCT DA CATEGORIA]],tabSindicatos[],7,0)</f>
        <v>0</v>
      </c>
      <c r="AD49" s="232" cm="1">
        <f t="array" ref="AD4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49" s="232">
        <f>VLOOKUP(tabParametros[[#This Row],[CCT DA CATEGORIA]],tabSindicatos[],9,0)</f>
        <v>0</v>
      </c>
      <c r="AF49" s="232">
        <f>VLOOKUP(tabParametros[[#This Row],[CCT DA CATEGORIA]],tabSindicatos[],10,0)</f>
        <v>0</v>
      </c>
      <c r="AG49" s="234">
        <f>VLOOKUP(tabParametros[[#Headers],[Seguro de Vida]],tabOutrosCustos[],3,0)</f>
        <v>3.36</v>
      </c>
      <c r="AH49" s="234">
        <f>IF(ISNUMBER(SEARCH("MOTORISTA",tabParametros[[#This Row],[Função]],1)),VLOOKUP("MOTORISTAS",tabDiarias[],2,0),IF(tabParametros[[#This Row],[Comarca]]="Belo Horizonte",VLOOKUP("APOIO",tabDiarias[],2,0),0))</f>
        <v>202.08</v>
      </c>
      <c r="AI49" s="233">
        <f t="shared" si="2"/>
        <v>7.011766975308642E-3</v>
      </c>
      <c r="AJ49" s="235">
        <f>tabParametros[[#This Row],[FGTS]]*tabParametros[[#This Row],[Aviso Prévio Indenizado (API) e Reflexo do Aviso Prévio Indenizado]]</f>
        <v>5.609413580246914E-4</v>
      </c>
      <c r="AK49" s="235">
        <f>tabParametros[[#This Row],[FGTS]]*tabParametros[[#This Row],[Aviso Prévio Indenizado (API) e Reflexo do Aviso Prévio Indenizado]]*40%</f>
        <v>2.2437654320987658E-4</v>
      </c>
      <c r="AL49" s="233">
        <f t="shared" si="3"/>
        <v>3.5000000000000005E-3</v>
      </c>
      <c r="AM49" s="233">
        <f>tabParametros[[#This Row],[Aviso Prévio Trabalhado - APT]]*SUM(tabParametros[[#This Row],[INSS]:[SEBRAE]])</f>
        <v>1.3230000000000004E-3</v>
      </c>
      <c r="AN49" s="233">
        <f t="shared" si="4"/>
        <v>3.0577777777777773E-2</v>
      </c>
      <c r="AO49" s="233">
        <f t="shared" si="5"/>
        <v>8.3333333333333339E-4</v>
      </c>
      <c r="AP49" s="233">
        <f t="shared" si="6"/>
        <v>8.4444444444444437E-3</v>
      </c>
      <c r="AQ49" s="233">
        <f t="shared" si="7"/>
        <v>2.0277777777777777E-3</v>
      </c>
      <c r="AR49" s="233">
        <f t="shared" si="8"/>
        <v>1.7083333333333333E-4</v>
      </c>
      <c r="AS49" s="233">
        <f t="shared" si="9"/>
        <v>2.0833333333333335E-4</v>
      </c>
      <c r="AT49" s="233">
        <f t="shared" si="10"/>
        <v>1.2962962962962963E-3</v>
      </c>
      <c r="AU49" s="235">
        <f>SUM(tabParametros[[#This Row],[Ausência por Doença]:[Férias, Adicional de Férias e 13º  com empregada em gozo de Licença Maternidade]])*SUM(tabParametros[[#This Row],[INSS]:[SEBRAE]])</f>
        <v>4.5918250000000008E-3</v>
      </c>
      <c r="AV49" s="254">
        <f>IF(tabParametros[[#This Row],[Função]]="Porteiro - 220 h",SUM(tabParametros[[#This Row],[Salário Base]:[Adicional de Acúmulo de função]])/220*20*1.5,IF(ISNUMBER(SEARCH("12 x 36",tabParametros[[#This Row],[Função]],1)),SUM(tabParametros[[#This Row],[Salário Base]:[Adicional de Acúmulo de função]])/210*15.5*1.5,0))</f>
        <v>407.84444954579982</v>
      </c>
      <c r="AW49" s="232">
        <f>IF(tabParametros[[#This Row],[Vagas contratadas]]&gt;0,(SUM(tabParametros[[#This Row],[Salário Base]:[Adicional de Acúmulo de função]])*30%+SUM(tabParametros[[#This Row],[Vale - Alimentação]:[Seguro de Vida]]))/tabParametros[[#This Row],[Vagas contratadas]]*tabParametros[[#This Row],[Vagas suspensas]],0)</f>
        <v>0</v>
      </c>
      <c r="AX49" s="232">
        <f>SUMIF(tabUniformes[Cargo],tabParametros[[#This Row],[Função]],tabUniformes[Valor unit. Mensal])</f>
        <v>62.658162569185173</v>
      </c>
      <c r="AY4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4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93.621200000000002</v>
      </c>
      <c r="BA4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49" s="232">
        <v>0</v>
      </c>
      <c r="BC49" s="234" t="e">
        <f ca="1">VLOOKUP(tabParametros[[#Headers],[Custos Indiretos]],tabOutrosCustos[],3,0)</f>
        <v>#NAME?</v>
      </c>
      <c r="BD49" s="234" t="e">
        <f ca="1">VLOOKUP(tabParametros[[#Headers],[Lucro]],tabOutrosCustos[],3,0)</f>
        <v>#NAME?</v>
      </c>
      <c r="BE49" s="233">
        <f>VLOOKUP(tabParametros[[#Headers],[COFINS]],tabImpostosNacionais[],2,0)</f>
        <v>7.5999999999999998E-2</v>
      </c>
      <c r="BF49" s="233">
        <f>VLOOKUP(tabParametros[[#Headers],[PIS]],tabImpostosNacionais[],2,0)</f>
        <v>1.6500000000000001E-2</v>
      </c>
      <c r="BG49" s="233">
        <f>VLOOKUP(tabParametros[[#This Row],[Comarca]],tabComarca[],4,0)</f>
        <v>0.05</v>
      </c>
      <c r="BH49" s="236">
        <f>VLOOKUP(tabParametros[[#This Row],[CCT DA CATEGORIA]],tabSindicatos[],11,0)</f>
        <v>45658</v>
      </c>
      <c r="BI49" s="282" t="str">
        <f>VLOOKUP(tabParametros[[#This Row],[CCT DA CATEGORIA]],tabSindicatos[],12,0)</f>
        <v>-</v>
      </c>
      <c r="BJ49" s="285" t="str">
        <f>VLOOKUP(tabParametros[[#This Row],[CCT DA CATEGORIA]],tabSindicatos[],13,0)</f>
        <v>-</v>
      </c>
    </row>
    <row r="50" spans="1:62">
      <c r="A50" s="231" t="s">
        <v>1429</v>
      </c>
      <c r="B50" s="197" t="s">
        <v>1103</v>
      </c>
      <c r="C50" s="197" t="s">
        <v>1522</v>
      </c>
      <c r="D50" s="197" t="str">
        <f>VLOOKUP(tabParametros[[#This Row],[Código do Posto]],tabPostos[],4,0)</f>
        <v>SEAC/SINDEAC</v>
      </c>
      <c r="E50" s="282" t="str">
        <f>VLOOKUP(tabParametros[[#This Row],[Código do Posto]],tabPostos[],5,0)</f>
        <v>Apoio</v>
      </c>
      <c r="F50" s="282" t="str">
        <f>VLOOKUP(tabParametros[[#This Row],[Código do Posto]],tabPostos[],6,0)</f>
        <v>PGJ</v>
      </c>
      <c r="G50" s="282">
        <f>VLOOKUP(tabParametros[[#This Row],[Código do Posto]],tabPostos[],7,0)</f>
        <v>2</v>
      </c>
      <c r="H50" s="282">
        <f>VLOOKUP(tabParametros[[#This Row],[Código do Posto]],tabPostos[],8,0)</f>
        <v>0</v>
      </c>
      <c r="I50" s="232">
        <f>VLOOKUP(tabParametros[[#This Row],[Código do Posto]],tabPostos[],9,0)</f>
        <v>3683.7563184781916</v>
      </c>
      <c r="J50" s="232">
        <f>IF(ISNUMBER(SEARCH("Eletricista",tabParametros[[#This Row],[Função]],1)),0.3*tabParametros[[#This Row],[Salário Base]],0)</f>
        <v>0</v>
      </c>
      <c r="K5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50" s="232">
        <f>IF(AND(ISNUMBER(SEARCH("Noturno",tabParametros[[#This Row],[Função]],1)),tabParametros[[#This Row],[Comarca]]&lt;&gt;"Juiz de Fora"),tabParametros[[#This Row],[Salário Base]]/210*0.39*7*15.5,IF(ISNUMBER(SEARCH("Noturno",tabParametros[[#This Row],[Função]],1)),tabParametros[[#This Row],[Salário Base]]/210*0.2*8*15.5,0))</f>
        <v>742.27689817335568</v>
      </c>
      <c r="M50" s="232">
        <f>IF(ISNUMBER(SEARCH("Motorista II",tabParametros[[#This Row],[Função]],1)),0.3022*tabParametros[[#This Row],[Salário Base]],0)</f>
        <v>0</v>
      </c>
      <c r="N50" s="254">
        <v>0</v>
      </c>
      <c r="O50" s="254">
        <f>IF(ISNUMBER(SEARCH("TECNOLOGIA DA INFORMACAO",tabParametros[[#This Row],[Função]],1)),0.056*tabParametros[[#This Row],[Salário Base]],0)</f>
        <v>0</v>
      </c>
      <c r="P50" s="232">
        <f>IF(tabParametros[[#This Row],[Função]]="Operador de Midia Audiovisual - 150 h",tabParametros[[#This Row],[Salário Base]]/150*50*30%,IF(tabParametros[[#This Row],[Função]]="Supervisor de Manutencao de Veiculos II - 220 h",12%*tabParametros[[#This Row],[Salário Base]],0))</f>
        <v>0</v>
      </c>
      <c r="Q50" s="233">
        <f>VLOOKUP(tabParametros[[#Headers],[INSS]],tabImpostosNacionais[],2,0)</f>
        <v>0.2</v>
      </c>
      <c r="R50" s="233">
        <f>VLOOKUP(tabParametros[[#Headers],[SESI OU SESC]],tabImpostosNacionais[],2,0)</f>
        <v>1.4999999999999999E-2</v>
      </c>
      <c r="S50" s="233">
        <f>VLOOKUP(tabParametros[[#Headers],[SENAI OU SENAC]],tabImpostosNacionais[],2,0)</f>
        <v>0.01</v>
      </c>
      <c r="T50" s="233">
        <f>VLOOKUP(tabParametros[[#Headers],[INCRA]],tabImpostosNacionais[],2,0)</f>
        <v>2E-3</v>
      </c>
      <c r="U50" s="233">
        <f>VLOOKUP(tabParametros[[#Headers],[Salário Educação]],tabImpostosNacionais[],2,0)</f>
        <v>2.5000000000000001E-2</v>
      </c>
      <c r="V50" s="233">
        <f>VLOOKUP(tabParametros[[#Headers],[FGTS]],tabImpostosNacionais[],2,0)</f>
        <v>0.08</v>
      </c>
      <c r="W50" s="233">
        <f>VLOOKUP(tabParametros[[#Headers],[RAT Ajustado]],tabImpostosNacionais[],2,0)</f>
        <v>0.04</v>
      </c>
      <c r="X50" s="233">
        <f>VLOOKUP(tabParametros[[#Headers],[SEBRAE]],tabImpostosNacionais[],2,0)</f>
        <v>6.0000000000000001E-3</v>
      </c>
      <c r="Y50" s="233">
        <f t="shared" si="0"/>
        <v>8.3333333333333329E-2</v>
      </c>
      <c r="Z50" s="233">
        <f t="shared" si="1"/>
        <v>0.1111111111111111</v>
      </c>
      <c r="AA50" s="232">
        <f>VLOOKUP(tabParametros[[#This Row],[Comarca]],tabComarca[],5,0)</f>
        <v>11.25</v>
      </c>
      <c r="AB50" s="232">
        <f>VLOOKUP(tabParametros[[#This Row],[CCT DA CATEGORIA]],tabSindicatos[],6,0)</f>
        <v>29.15</v>
      </c>
      <c r="AC50" s="232">
        <f>VLOOKUP(tabParametros[[#This Row],[CCT DA CATEGORIA]],tabSindicatos[],7,0)</f>
        <v>0</v>
      </c>
      <c r="AD50" s="232" cm="1">
        <f t="array" ref="AD5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50" s="232">
        <f>VLOOKUP(tabParametros[[#This Row],[CCT DA CATEGORIA]],tabSindicatos[],9,0)</f>
        <v>0</v>
      </c>
      <c r="AF50" s="232">
        <f>VLOOKUP(tabParametros[[#This Row],[CCT DA CATEGORIA]],tabSindicatos[],10,0)</f>
        <v>0</v>
      </c>
      <c r="AG50" s="234">
        <f>VLOOKUP(tabParametros[[#Headers],[Seguro de Vida]],tabOutrosCustos[],3,0)</f>
        <v>3.36</v>
      </c>
      <c r="AH50" s="234">
        <f>IF(ISNUMBER(SEARCH("MOTORISTA",tabParametros[[#This Row],[Função]],1)),VLOOKUP("MOTORISTAS",tabDiarias[],2,0),IF(tabParametros[[#This Row],[Comarca]]="Belo Horizonte",VLOOKUP("APOIO",tabDiarias[],2,0),0))</f>
        <v>202.08</v>
      </c>
      <c r="AI50" s="233">
        <f t="shared" si="2"/>
        <v>7.011766975308642E-3</v>
      </c>
      <c r="AJ50" s="235">
        <f>tabParametros[[#This Row],[FGTS]]*tabParametros[[#This Row],[Aviso Prévio Indenizado (API) e Reflexo do Aviso Prévio Indenizado]]</f>
        <v>5.609413580246914E-4</v>
      </c>
      <c r="AK50" s="235">
        <f>tabParametros[[#This Row],[FGTS]]*tabParametros[[#This Row],[Aviso Prévio Indenizado (API) e Reflexo do Aviso Prévio Indenizado]]*40%</f>
        <v>2.2437654320987658E-4</v>
      </c>
      <c r="AL50" s="233">
        <f t="shared" si="3"/>
        <v>3.5000000000000005E-3</v>
      </c>
      <c r="AM50" s="233">
        <f>tabParametros[[#This Row],[Aviso Prévio Trabalhado - APT]]*SUM(tabParametros[[#This Row],[INSS]:[SEBRAE]])</f>
        <v>1.3230000000000004E-3</v>
      </c>
      <c r="AN50" s="233">
        <f t="shared" si="4"/>
        <v>3.0577777777777773E-2</v>
      </c>
      <c r="AO50" s="233">
        <f t="shared" si="5"/>
        <v>8.3333333333333339E-4</v>
      </c>
      <c r="AP50" s="233">
        <f t="shared" si="6"/>
        <v>8.4444444444444437E-3</v>
      </c>
      <c r="AQ50" s="233">
        <f t="shared" si="7"/>
        <v>2.0277777777777777E-3</v>
      </c>
      <c r="AR50" s="233">
        <f t="shared" si="8"/>
        <v>1.7083333333333333E-4</v>
      </c>
      <c r="AS50" s="233">
        <f t="shared" si="9"/>
        <v>2.0833333333333335E-4</v>
      </c>
      <c r="AT50" s="233">
        <f t="shared" si="10"/>
        <v>1.2962962962962963E-3</v>
      </c>
      <c r="AU50" s="235">
        <f>SUM(tabParametros[[#This Row],[Ausência por Doença]:[Férias, Adicional de Férias e 13º  com empregada em gozo de Licença Maternidade]])*SUM(tabParametros[[#This Row],[INSS]:[SEBRAE]])</f>
        <v>4.5918250000000008E-3</v>
      </c>
      <c r="AV50" s="254">
        <f>IF(tabParametros[[#This Row],[Função]]="Porteiro - 220 h",SUM(tabParametros[[#This Row],[Salário Base]:[Adicional de Acúmulo de função]])/220*20*1.5,IF(ISNUMBER(SEARCH("12 x 36",tabParametros[[#This Row],[Função]],1)),SUM(tabParametros[[#This Row],[Salário Base]:[Adicional de Acúmulo de função]])/210*15.5*1.5,0))</f>
        <v>490.02510612927836</v>
      </c>
      <c r="AW50" s="232">
        <f>IF(tabParametros[[#This Row],[Vagas contratadas]]&gt;0,(SUM(tabParametros[[#This Row],[Salário Base]:[Adicional de Acúmulo de função]])*30%+SUM(tabParametros[[#This Row],[Vale - Alimentação]:[Seguro de Vida]]))/tabParametros[[#This Row],[Vagas contratadas]]*tabParametros[[#This Row],[Vagas suspensas]],0)</f>
        <v>0</v>
      </c>
      <c r="AX50" s="232">
        <f>SUMIF(tabUniformes[Cargo],tabParametros[[#This Row],[Função]],tabUniformes[Valor unit. Mensal])</f>
        <v>62.658162569185173</v>
      </c>
      <c r="AY5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5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93.621200000000002</v>
      </c>
      <c r="BA5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0" s="232">
        <v>0</v>
      </c>
      <c r="BC50" s="234" t="e">
        <f ca="1">VLOOKUP(tabParametros[[#Headers],[Custos Indiretos]],tabOutrosCustos[],3,0)</f>
        <v>#NAME?</v>
      </c>
      <c r="BD50" s="234" t="e">
        <f ca="1">VLOOKUP(tabParametros[[#Headers],[Lucro]],tabOutrosCustos[],3,0)</f>
        <v>#NAME?</v>
      </c>
      <c r="BE50" s="233">
        <f>VLOOKUP(tabParametros[[#Headers],[COFINS]],tabImpostosNacionais[],2,0)</f>
        <v>7.5999999999999998E-2</v>
      </c>
      <c r="BF50" s="233">
        <f>VLOOKUP(tabParametros[[#Headers],[PIS]],tabImpostosNacionais[],2,0)</f>
        <v>1.6500000000000001E-2</v>
      </c>
      <c r="BG50" s="233">
        <f>VLOOKUP(tabParametros[[#This Row],[Comarca]],tabComarca[],4,0)</f>
        <v>0.05</v>
      </c>
      <c r="BH50" s="236">
        <f>VLOOKUP(tabParametros[[#This Row],[CCT DA CATEGORIA]],tabSindicatos[],11,0)</f>
        <v>45658</v>
      </c>
      <c r="BI50" s="282" t="str">
        <f>VLOOKUP(tabParametros[[#This Row],[CCT DA CATEGORIA]],tabSindicatos[],12,0)</f>
        <v>-</v>
      </c>
      <c r="BJ50" s="285" t="str">
        <f>VLOOKUP(tabParametros[[#This Row],[CCT DA CATEGORIA]],tabSindicatos[],13,0)</f>
        <v>-</v>
      </c>
    </row>
    <row r="51" spans="1:62">
      <c r="A51" s="231" t="s">
        <v>1547</v>
      </c>
      <c r="B51" s="197" t="s">
        <v>1103</v>
      </c>
      <c r="C51" s="197" t="s">
        <v>234</v>
      </c>
      <c r="D51" s="197" t="str">
        <f>VLOOKUP(tabParametros[[#This Row],[Código do Posto]],tabPostos[],4,0)</f>
        <v>SEAC/SINDEAC</v>
      </c>
      <c r="E51" s="282" t="str">
        <f>VLOOKUP(tabParametros[[#This Row],[Código do Posto]],tabPostos[],5,0)</f>
        <v>Apoio</v>
      </c>
      <c r="F51" s="282" t="str">
        <f>VLOOKUP(tabParametros[[#This Row],[Código do Posto]],tabPostos[],6,0)</f>
        <v>PGJ</v>
      </c>
      <c r="G51" s="282">
        <f>VLOOKUP(tabParametros[[#This Row],[Código do Posto]],tabPostos[],7,0)</f>
        <v>16</v>
      </c>
      <c r="H51" s="282">
        <f>VLOOKUP(tabParametros[[#This Row],[Código do Posto]],tabPostos[],8,0)</f>
        <v>0</v>
      </c>
      <c r="I51" s="232">
        <f>VLOOKUP(tabParametros[[#This Row],[Código do Posto]],tabPostos[],9,0)</f>
        <v>3683.7563184781916</v>
      </c>
      <c r="J51" s="232">
        <f>IF(ISNUMBER(SEARCH("Eletricista",tabParametros[[#This Row],[Função]],1)),0.3*tabParametros[[#This Row],[Salário Base]],0)</f>
        <v>0</v>
      </c>
      <c r="K5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51" s="232">
        <f>IF(AND(ISNUMBER(SEARCH("Noturno",tabParametros[[#This Row],[Função]],1)),tabParametros[[#This Row],[Comarca]]&lt;&gt;"Juiz de Fora"),tabParametros[[#This Row],[Salário Base]]/210*0.39*7*15.5,IF(ISNUMBER(SEARCH("Noturno",tabParametros[[#This Row],[Função]],1)),tabParametros[[#This Row],[Salário Base]]/210*0.2*8*15.5,0))</f>
        <v>0</v>
      </c>
      <c r="M51" s="232">
        <f>IF(ISNUMBER(SEARCH("Motorista II",tabParametros[[#This Row],[Função]],1)),0.3022*tabParametros[[#This Row],[Salário Base]],0)</f>
        <v>0</v>
      </c>
      <c r="N51" s="254">
        <v>0</v>
      </c>
      <c r="O51" s="254">
        <f>IF(ISNUMBER(SEARCH("TECNOLOGIA DA INFORMACAO",tabParametros[[#This Row],[Função]],1)),0.056*tabParametros[[#This Row],[Salário Base]],0)</f>
        <v>0</v>
      </c>
      <c r="P51" s="232">
        <f>IF(tabParametros[[#This Row],[Função]]="Operador de Midia Audiovisual - 150 h",tabParametros[[#This Row],[Salário Base]]/150*50*30%,IF(tabParametros[[#This Row],[Função]]="Supervisor de Manutencao de Veiculos II - 220 h",12%*tabParametros[[#This Row],[Salário Base]],0))</f>
        <v>0</v>
      </c>
      <c r="Q51" s="233">
        <f>VLOOKUP(tabParametros[[#Headers],[INSS]],tabImpostosNacionais[],2,0)</f>
        <v>0.2</v>
      </c>
      <c r="R51" s="233">
        <f>VLOOKUP(tabParametros[[#Headers],[SESI OU SESC]],tabImpostosNacionais[],2,0)</f>
        <v>1.4999999999999999E-2</v>
      </c>
      <c r="S51" s="233">
        <f>VLOOKUP(tabParametros[[#Headers],[SENAI OU SENAC]],tabImpostosNacionais[],2,0)</f>
        <v>0.01</v>
      </c>
      <c r="T51" s="233">
        <f>VLOOKUP(tabParametros[[#Headers],[INCRA]],tabImpostosNacionais[],2,0)</f>
        <v>2E-3</v>
      </c>
      <c r="U51" s="233">
        <f>VLOOKUP(tabParametros[[#Headers],[Salário Educação]],tabImpostosNacionais[],2,0)</f>
        <v>2.5000000000000001E-2</v>
      </c>
      <c r="V51" s="233">
        <f>VLOOKUP(tabParametros[[#Headers],[FGTS]],tabImpostosNacionais[],2,0)</f>
        <v>0.08</v>
      </c>
      <c r="W51" s="233">
        <f>VLOOKUP(tabParametros[[#Headers],[RAT Ajustado]],tabImpostosNacionais[],2,0)</f>
        <v>0.04</v>
      </c>
      <c r="X51" s="233">
        <f>VLOOKUP(tabParametros[[#Headers],[SEBRAE]],tabImpostosNacionais[],2,0)</f>
        <v>6.0000000000000001E-3</v>
      </c>
      <c r="Y51" s="233">
        <f t="shared" si="0"/>
        <v>8.3333333333333329E-2</v>
      </c>
      <c r="Z51" s="233">
        <f t="shared" si="1"/>
        <v>0.1111111111111111</v>
      </c>
      <c r="AA51" s="232">
        <f>VLOOKUP(tabParametros[[#This Row],[Comarca]],tabComarca[],5,0)</f>
        <v>11.25</v>
      </c>
      <c r="AB51" s="232">
        <f>VLOOKUP(tabParametros[[#This Row],[CCT DA CATEGORIA]],tabSindicatos[],6,0)</f>
        <v>29.15</v>
      </c>
      <c r="AC51" s="232">
        <f>VLOOKUP(tabParametros[[#This Row],[CCT DA CATEGORIA]],tabSindicatos[],7,0)</f>
        <v>0</v>
      </c>
      <c r="AD51" s="232" cm="1">
        <f t="array" ref="AD5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51" s="232">
        <f>VLOOKUP(tabParametros[[#This Row],[CCT DA CATEGORIA]],tabSindicatos[],9,0)</f>
        <v>0</v>
      </c>
      <c r="AF51" s="232">
        <f>VLOOKUP(tabParametros[[#This Row],[CCT DA CATEGORIA]],tabSindicatos[],10,0)</f>
        <v>0</v>
      </c>
      <c r="AG51" s="234">
        <f>VLOOKUP(tabParametros[[#Headers],[Seguro de Vida]],tabOutrosCustos[],3,0)</f>
        <v>3.36</v>
      </c>
      <c r="AH51" s="234">
        <f>IF(ISNUMBER(SEARCH("MOTORISTA",tabParametros[[#This Row],[Função]],1)),VLOOKUP("MOTORISTAS",tabDiarias[],2,0),IF(tabParametros[[#This Row],[Comarca]]="Belo Horizonte",VLOOKUP("APOIO",tabDiarias[],2,0),0))</f>
        <v>202.08</v>
      </c>
      <c r="AI51" s="233">
        <f t="shared" si="2"/>
        <v>7.011766975308642E-3</v>
      </c>
      <c r="AJ51" s="235">
        <f>tabParametros[[#This Row],[FGTS]]*tabParametros[[#This Row],[Aviso Prévio Indenizado (API) e Reflexo do Aviso Prévio Indenizado]]</f>
        <v>5.609413580246914E-4</v>
      </c>
      <c r="AK51" s="235">
        <f>tabParametros[[#This Row],[FGTS]]*tabParametros[[#This Row],[Aviso Prévio Indenizado (API) e Reflexo do Aviso Prévio Indenizado]]*40%</f>
        <v>2.2437654320987658E-4</v>
      </c>
      <c r="AL51" s="233">
        <f t="shared" si="3"/>
        <v>3.5000000000000005E-3</v>
      </c>
      <c r="AM51" s="233">
        <f>tabParametros[[#This Row],[Aviso Prévio Trabalhado - APT]]*SUM(tabParametros[[#This Row],[INSS]:[SEBRAE]])</f>
        <v>1.3230000000000004E-3</v>
      </c>
      <c r="AN51" s="233">
        <f t="shared" si="4"/>
        <v>3.0577777777777773E-2</v>
      </c>
      <c r="AO51" s="233">
        <f t="shared" si="5"/>
        <v>8.3333333333333339E-4</v>
      </c>
      <c r="AP51" s="233">
        <f t="shared" si="6"/>
        <v>8.4444444444444437E-3</v>
      </c>
      <c r="AQ51" s="233">
        <f t="shared" si="7"/>
        <v>2.0277777777777777E-3</v>
      </c>
      <c r="AR51" s="233">
        <f t="shared" si="8"/>
        <v>1.7083333333333333E-4</v>
      </c>
      <c r="AS51" s="233">
        <f t="shared" si="9"/>
        <v>2.0833333333333335E-4</v>
      </c>
      <c r="AT51" s="233">
        <f t="shared" si="10"/>
        <v>1.2962962962962963E-3</v>
      </c>
      <c r="AU51" s="235">
        <f>SUM(tabParametros[[#This Row],[Ausência por Doença]:[Férias, Adicional de Férias e 13º  com empregada em gozo de Licença Maternidade]])*SUM(tabParametros[[#This Row],[INSS]:[SEBRAE]])</f>
        <v>4.5918250000000008E-3</v>
      </c>
      <c r="AV51" s="254">
        <f>IF(tabParametros[[#This Row],[Função]]="Porteiro - 220 h",SUM(tabParametros[[#This Row],[Salário Base]:[Adicional de Acúmulo de função]])/220*20*1.5,IF(ISNUMBER(SEARCH("12 x 36",tabParametros[[#This Row],[Função]],1)),SUM(tabParametros[[#This Row],[Salário Base]:[Adicional de Acúmulo de função]])/210*15.5*1.5,0))</f>
        <v>0</v>
      </c>
      <c r="AW51" s="232">
        <f>IF(tabParametros[[#This Row],[Vagas contratadas]]&gt;0,(SUM(tabParametros[[#This Row],[Salário Base]:[Adicional de Acúmulo de função]])*30%+SUM(tabParametros[[#This Row],[Vale - Alimentação]:[Seguro de Vida]]))/tabParametros[[#This Row],[Vagas contratadas]]*tabParametros[[#This Row],[Vagas suspensas]],0)</f>
        <v>0</v>
      </c>
      <c r="AX51" s="232">
        <f>SUMIF(tabUniformes[Cargo],tabParametros[[#This Row],[Função]],tabUniformes[Valor unit. Mensal])</f>
        <v>62.658162569185173</v>
      </c>
      <c r="AY5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5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93.621200000000002</v>
      </c>
      <c r="BA5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1" s="232">
        <v>0</v>
      </c>
      <c r="BC51" s="234" t="e">
        <f ca="1">VLOOKUP(tabParametros[[#Headers],[Custos Indiretos]],tabOutrosCustos[],3,0)</f>
        <v>#NAME?</v>
      </c>
      <c r="BD51" s="234" t="e">
        <f ca="1">VLOOKUP(tabParametros[[#Headers],[Lucro]],tabOutrosCustos[],3,0)</f>
        <v>#NAME?</v>
      </c>
      <c r="BE51" s="233">
        <f>VLOOKUP(tabParametros[[#Headers],[COFINS]],tabImpostosNacionais[],2,0)</f>
        <v>7.5999999999999998E-2</v>
      </c>
      <c r="BF51" s="233">
        <f>VLOOKUP(tabParametros[[#Headers],[PIS]],tabImpostosNacionais[],2,0)</f>
        <v>1.6500000000000001E-2</v>
      </c>
      <c r="BG51" s="233">
        <f>VLOOKUP(tabParametros[[#This Row],[Comarca]],tabComarca[],4,0)</f>
        <v>0.05</v>
      </c>
      <c r="BH51" s="236">
        <f>VLOOKUP(tabParametros[[#This Row],[CCT DA CATEGORIA]],tabSindicatos[],11,0)</f>
        <v>45658</v>
      </c>
      <c r="BI51" s="282" t="str">
        <f>VLOOKUP(tabParametros[[#This Row],[CCT DA CATEGORIA]],tabSindicatos[],12,0)</f>
        <v>-</v>
      </c>
      <c r="BJ51" s="285" t="str">
        <f>VLOOKUP(tabParametros[[#This Row],[CCT DA CATEGORIA]],tabSindicatos[],13,0)</f>
        <v>-</v>
      </c>
    </row>
    <row r="52" spans="1:62">
      <c r="A52" s="231" t="s">
        <v>1430</v>
      </c>
      <c r="B52" s="197" t="s">
        <v>1103</v>
      </c>
      <c r="C52" s="197" t="s">
        <v>244</v>
      </c>
      <c r="D52" s="197" t="str">
        <f>VLOOKUP(tabParametros[[#This Row],[Código do Posto]],tabPostos[],4,0)</f>
        <v>SEAC/SINDEAC</v>
      </c>
      <c r="E52" s="282" t="str">
        <f>VLOOKUP(tabParametros[[#This Row],[Código do Posto]],tabPostos[],5,0)</f>
        <v>Apoio</v>
      </c>
      <c r="F52" s="282" t="str">
        <f>VLOOKUP(tabParametros[[#This Row],[Código do Posto]],tabPostos[],6,0)</f>
        <v>PGJ</v>
      </c>
      <c r="G52" s="282">
        <f>VLOOKUP(tabParametros[[#This Row],[Código do Posto]],tabPostos[],7,0)</f>
        <v>6</v>
      </c>
      <c r="H52" s="282">
        <f>VLOOKUP(tabParametros[[#This Row],[Código do Posto]],tabPostos[],8,0)</f>
        <v>0</v>
      </c>
      <c r="I52" s="232">
        <f>VLOOKUP(tabParametros[[#This Row],[Código do Posto]],tabPostos[],9,0)</f>
        <v>2296.1756892610078</v>
      </c>
      <c r="J52" s="232">
        <f>IF(ISNUMBER(SEARCH("Eletricista",tabParametros[[#This Row],[Função]],1)),0.3*tabParametros[[#This Row],[Salário Base]],0)</f>
        <v>0</v>
      </c>
      <c r="K5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52" s="232">
        <f>IF(AND(ISNUMBER(SEARCH("Noturno",tabParametros[[#This Row],[Função]],1)),tabParametros[[#This Row],[Comarca]]&lt;&gt;"Juiz de Fora"),tabParametros[[#This Row],[Salário Base]]/210*0.39*7*15.5,IF(ISNUMBER(SEARCH("Noturno",tabParametros[[#This Row],[Função]],1)),tabParametros[[#This Row],[Salário Base]]/210*0.2*8*15.5,0))</f>
        <v>0</v>
      </c>
      <c r="M52" s="232">
        <f>IF(ISNUMBER(SEARCH("Motorista II",tabParametros[[#This Row],[Função]],1)),0.3022*tabParametros[[#This Row],[Salário Base]],0)</f>
        <v>0</v>
      </c>
      <c r="N52" s="254">
        <v>0</v>
      </c>
      <c r="O52" s="254">
        <f>IF(ISNUMBER(SEARCH("TECNOLOGIA DA INFORMACAO",tabParametros[[#This Row],[Função]],1)),0.056*tabParametros[[#This Row],[Salário Base]],0)</f>
        <v>0</v>
      </c>
      <c r="P52" s="232">
        <f>IF(tabParametros[[#This Row],[Função]]="Operador de Midia Audiovisual - 150 h",tabParametros[[#This Row],[Salário Base]]/150*50*30%,IF(tabParametros[[#This Row],[Função]]="Supervisor de Manutencao de Veiculos II - 220 h",12%*tabParametros[[#This Row],[Salário Base]],0))</f>
        <v>0</v>
      </c>
      <c r="Q52" s="233">
        <f>VLOOKUP(tabParametros[[#Headers],[INSS]],tabImpostosNacionais[],2,0)</f>
        <v>0.2</v>
      </c>
      <c r="R52" s="233">
        <f>VLOOKUP(tabParametros[[#Headers],[SESI OU SESC]],tabImpostosNacionais[],2,0)</f>
        <v>1.4999999999999999E-2</v>
      </c>
      <c r="S52" s="233">
        <f>VLOOKUP(tabParametros[[#Headers],[SENAI OU SENAC]],tabImpostosNacionais[],2,0)</f>
        <v>0.01</v>
      </c>
      <c r="T52" s="233">
        <f>VLOOKUP(tabParametros[[#Headers],[INCRA]],tabImpostosNacionais[],2,0)</f>
        <v>2E-3</v>
      </c>
      <c r="U52" s="233">
        <f>VLOOKUP(tabParametros[[#Headers],[Salário Educação]],tabImpostosNacionais[],2,0)</f>
        <v>2.5000000000000001E-2</v>
      </c>
      <c r="V52" s="233">
        <f>VLOOKUP(tabParametros[[#Headers],[FGTS]],tabImpostosNacionais[],2,0)</f>
        <v>0.08</v>
      </c>
      <c r="W52" s="233">
        <f>VLOOKUP(tabParametros[[#Headers],[RAT Ajustado]],tabImpostosNacionais[],2,0)</f>
        <v>0.04</v>
      </c>
      <c r="X52" s="233">
        <f>VLOOKUP(tabParametros[[#Headers],[SEBRAE]],tabImpostosNacionais[],2,0)</f>
        <v>6.0000000000000001E-3</v>
      </c>
      <c r="Y52" s="233">
        <f t="shared" si="0"/>
        <v>8.3333333333333329E-2</v>
      </c>
      <c r="Z52" s="233">
        <f t="shared" si="1"/>
        <v>0.1111111111111111</v>
      </c>
      <c r="AA52" s="232">
        <f>VLOOKUP(tabParametros[[#This Row],[Comarca]],tabComarca[],5,0)</f>
        <v>11.25</v>
      </c>
      <c r="AB52" s="232">
        <f>VLOOKUP(tabParametros[[#This Row],[CCT DA CATEGORIA]],tabSindicatos[],6,0)</f>
        <v>29.15</v>
      </c>
      <c r="AC52" s="232">
        <f>VLOOKUP(tabParametros[[#This Row],[CCT DA CATEGORIA]],tabSindicatos[],7,0)</f>
        <v>0</v>
      </c>
      <c r="AD52" s="232" cm="1">
        <f t="array" ref="AD5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52" s="232">
        <f>VLOOKUP(tabParametros[[#This Row],[CCT DA CATEGORIA]],tabSindicatos[],9,0)</f>
        <v>0</v>
      </c>
      <c r="AF52" s="232">
        <f>VLOOKUP(tabParametros[[#This Row],[CCT DA CATEGORIA]],tabSindicatos[],10,0)</f>
        <v>0</v>
      </c>
      <c r="AG52" s="234">
        <f>VLOOKUP(tabParametros[[#Headers],[Seguro de Vida]],tabOutrosCustos[],3,0)</f>
        <v>3.36</v>
      </c>
      <c r="AH52" s="234">
        <f>IF(ISNUMBER(SEARCH("MOTORISTA",tabParametros[[#This Row],[Função]],1)),VLOOKUP("MOTORISTAS",tabDiarias[],2,0),IF(tabParametros[[#This Row],[Comarca]]="Belo Horizonte",VLOOKUP("APOIO",tabDiarias[],2,0),0))</f>
        <v>202.08</v>
      </c>
      <c r="AI52" s="233">
        <f t="shared" si="2"/>
        <v>7.011766975308642E-3</v>
      </c>
      <c r="AJ52" s="235">
        <f>tabParametros[[#This Row],[FGTS]]*tabParametros[[#This Row],[Aviso Prévio Indenizado (API) e Reflexo do Aviso Prévio Indenizado]]</f>
        <v>5.609413580246914E-4</v>
      </c>
      <c r="AK52" s="235">
        <f>tabParametros[[#This Row],[FGTS]]*tabParametros[[#This Row],[Aviso Prévio Indenizado (API) e Reflexo do Aviso Prévio Indenizado]]*40%</f>
        <v>2.2437654320987658E-4</v>
      </c>
      <c r="AL52" s="233">
        <f t="shared" si="3"/>
        <v>3.5000000000000005E-3</v>
      </c>
      <c r="AM52" s="233">
        <f>tabParametros[[#This Row],[Aviso Prévio Trabalhado - APT]]*SUM(tabParametros[[#This Row],[INSS]:[SEBRAE]])</f>
        <v>1.3230000000000004E-3</v>
      </c>
      <c r="AN52" s="233">
        <f t="shared" si="4"/>
        <v>3.0577777777777773E-2</v>
      </c>
      <c r="AO52" s="233">
        <f t="shared" si="5"/>
        <v>8.3333333333333339E-4</v>
      </c>
      <c r="AP52" s="233">
        <f t="shared" si="6"/>
        <v>8.4444444444444437E-3</v>
      </c>
      <c r="AQ52" s="233">
        <f t="shared" si="7"/>
        <v>2.0277777777777777E-3</v>
      </c>
      <c r="AR52" s="233">
        <f t="shared" si="8"/>
        <v>1.7083333333333333E-4</v>
      </c>
      <c r="AS52" s="233">
        <f t="shared" si="9"/>
        <v>2.0833333333333335E-4</v>
      </c>
      <c r="AT52" s="233">
        <f t="shared" si="10"/>
        <v>1.2962962962962963E-3</v>
      </c>
      <c r="AU52" s="235">
        <f>SUM(tabParametros[[#This Row],[Ausência por Doença]:[Férias, Adicional de Férias e 13º  com empregada em gozo de Licença Maternidade]])*SUM(tabParametros[[#This Row],[INSS]:[SEBRAE]])</f>
        <v>4.5918250000000008E-3</v>
      </c>
      <c r="AV52" s="254">
        <f>IF(tabParametros[[#This Row],[Função]]="Porteiro - 220 h",SUM(tabParametros[[#This Row],[Salário Base]:[Adicional de Acúmulo de função]])/220*20*1.5,IF(ISNUMBER(SEARCH("12 x 36",tabParametros[[#This Row],[Função]],1)),SUM(tabParametros[[#This Row],[Salário Base]:[Adicional de Acúmulo de função]])/210*15.5*1.5,0))</f>
        <v>0</v>
      </c>
      <c r="AW52" s="232">
        <f>IF(tabParametros[[#This Row],[Vagas contratadas]]&gt;0,(SUM(tabParametros[[#This Row],[Salário Base]:[Adicional de Acúmulo de função]])*30%+SUM(tabParametros[[#This Row],[Vale - Alimentação]:[Seguro de Vida]]))/tabParametros[[#This Row],[Vagas contratadas]]*tabParametros[[#This Row],[Vagas suspensas]],0)</f>
        <v>0</v>
      </c>
      <c r="AX52" s="232">
        <f>SUMIF(tabUniformes[Cargo],tabParametros[[#This Row],[Função]],tabUniformes[Valor unit. Mensal])</f>
        <v>226.33322732312172</v>
      </c>
      <c r="AY5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5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5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2" s="232">
        <v>0</v>
      </c>
      <c r="BC52" s="234" t="e">
        <f ca="1">VLOOKUP(tabParametros[[#Headers],[Custos Indiretos]],tabOutrosCustos[],3,0)</f>
        <v>#NAME?</v>
      </c>
      <c r="BD52" s="234" t="e">
        <f ca="1">VLOOKUP(tabParametros[[#Headers],[Lucro]],tabOutrosCustos[],3,0)</f>
        <v>#NAME?</v>
      </c>
      <c r="BE52" s="233">
        <f>VLOOKUP(tabParametros[[#Headers],[COFINS]],tabImpostosNacionais[],2,0)</f>
        <v>7.5999999999999998E-2</v>
      </c>
      <c r="BF52" s="233">
        <f>VLOOKUP(tabParametros[[#Headers],[PIS]],tabImpostosNacionais[],2,0)</f>
        <v>1.6500000000000001E-2</v>
      </c>
      <c r="BG52" s="233">
        <f>VLOOKUP(tabParametros[[#This Row],[Comarca]],tabComarca[],4,0)</f>
        <v>0.05</v>
      </c>
      <c r="BH52" s="236">
        <f>VLOOKUP(tabParametros[[#This Row],[CCT DA CATEGORIA]],tabSindicatos[],11,0)</f>
        <v>45658</v>
      </c>
      <c r="BI52" s="282" t="str">
        <f>VLOOKUP(tabParametros[[#This Row],[CCT DA CATEGORIA]],tabSindicatos[],12,0)</f>
        <v>-</v>
      </c>
      <c r="BJ52" s="285" t="str">
        <f>VLOOKUP(tabParametros[[#This Row],[CCT DA CATEGORIA]],tabSindicatos[],13,0)</f>
        <v>-</v>
      </c>
    </row>
    <row r="53" spans="1:62">
      <c r="A53" s="231" t="s">
        <v>1548</v>
      </c>
      <c r="B53" s="197" t="s">
        <v>1103</v>
      </c>
      <c r="C53" s="197" t="s">
        <v>239</v>
      </c>
      <c r="D53" s="197" t="str">
        <f>VLOOKUP(tabParametros[[#This Row],[Código do Posto]],tabPostos[],4,0)</f>
        <v>SEAC/SINDEAC</v>
      </c>
      <c r="E53" s="282" t="str">
        <f>VLOOKUP(tabParametros[[#This Row],[Código do Posto]],tabPostos[],5,0)</f>
        <v>Apoio</v>
      </c>
      <c r="F53" s="282" t="str">
        <f>VLOOKUP(tabParametros[[#This Row],[Código do Posto]],tabPostos[],6,0)</f>
        <v>PGJ</v>
      </c>
      <c r="G53" s="282">
        <f>VLOOKUP(tabParametros[[#This Row],[Código do Posto]],tabPostos[],7,0)</f>
        <v>2</v>
      </c>
      <c r="H53" s="282">
        <f>VLOOKUP(tabParametros[[#This Row],[Código do Posto]],tabPostos[],8,0)</f>
        <v>0</v>
      </c>
      <c r="I53" s="232">
        <f>VLOOKUP(tabParametros[[#This Row],[Código do Posto]],tabPostos[],9,0)</f>
        <v>4804.62</v>
      </c>
      <c r="J53" s="232">
        <f>IF(ISNUMBER(SEARCH("Eletricista",tabParametros[[#This Row],[Função]],1)),0.3*tabParametros[[#This Row],[Salário Base]],0)</f>
        <v>0</v>
      </c>
      <c r="K5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53" s="232">
        <f>IF(AND(ISNUMBER(SEARCH("Noturno",tabParametros[[#This Row],[Função]],1)),tabParametros[[#This Row],[Comarca]]&lt;&gt;"Juiz de Fora"),tabParametros[[#This Row],[Salário Base]]/210*0.39*7*15.5,IF(ISNUMBER(SEARCH("Noturno",tabParametros[[#This Row],[Função]],1)),tabParametros[[#This Row],[Salário Base]]/210*0.2*8*15.5,0))</f>
        <v>0</v>
      </c>
      <c r="M53" s="232">
        <f>IF(ISNUMBER(SEARCH("Motorista II",tabParametros[[#This Row],[Função]],1)),0.3022*tabParametros[[#This Row],[Salário Base]],0)</f>
        <v>0</v>
      </c>
      <c r="N53" s="254">
        <v>0</v>
      </c>
      <c r="O53" s="254">
        <f>IF(ISNUMBER(SEARCH("TECNOLOGIA DA INFORMACAO",tabParametros[[#This Row],[Função]],1)),0.056*tabParametros[[#This Row],[Salário Base]],0)</f>
        <v>0</v>
      </c>
      <c r="P53" s="232">
        <f>IF(tabParametros[[#This Row],[Função]]="Operador de Midia Audiovisual - 150 h",tabParametros[[#This Row],[Salário Base]]/150*50*30%,IF(tabParametros[[#This Row],[Função]]="Supervisor de Manutencao de Veiculos II - 220 h",12%*tabParametros[[#This Row],[Salário Base]],0))</f>
        <v>0</v>
      </c>
      <c r="Q53" s="233">
        <f>VLOOKUP(tabParametros[[#Headers],[INSS]],tabImpostosNacionais[],2,0)</f>
        <v>0.2</v>
      </c>
      <c r="R53" s="233">
        <f>VLOOKUP(tabParametros[[#Headers],[SESI OU SESC]],tabImpostosNacionais[],2,0)</f>
        <v>1.4999999999999999E-2</v>
      </c>
      <c r="S53" s="233">
        <f>VLOOKUP(tabParametros[[#Headers],[SENAI OU SENAC]],tabImpostosNacionais[],2,0)</f>
        <v>0.01</v>
      </c>
      <c r="T53" s="233">
        <f>VLOOKUP(tabParametros[[#Headers],[INCRA]],tabImpostosNacionais[],2,0)</f>
        <v>2E-3</v>
      </c>
      <c r="U53" s="233">
        <f>VLOOKUP(tabParametros[[#Headers],[Salário Educação]],tabImpostosNacionais[],2,0)</f>
        <v>2.5000000000000001E-2</v>
      </c>
      <c r="V53" s="233">
        <f>VLOOKUP(tabParametros[[#Headers],[FGTS]],tabImpostosNacionais[],2,0)</f>
        <v>0.08</v>
      </c>
      <c r="W53" s="233">
        <f>VLOOKUP(tabParametros[[#Headers],[RAT Ajustado]],tabImpostosNacionais[],2,0)</f>
        <v>0.04</v>
      </c>
      <c r="X53" s="233">
        <f>VLOOKUP(tabParametros[[#Headers],[SEBRAE]],tabImpostosNacionais[],2,0)</f>
        <v>6.0000000000000001E-3</v>
      </c>
      <c r="Y53" s="233">
        <f t="shared" si="0"/>
        <v>8.3333333333333329E-2</v>
      </c>
      <c r="Z53" s="233">
        <f t="shared" si="1"/>
        <v>0.1111111111111111</v>
      </c>
      <c r="AA53" s="232">
        <f>VLOOKUP(tabParametros[[#This Row],[Comarca]],tabComarca[],5,0)</f>
        <v>11.25</v>
      </c>
      <c r="AB53" s="232">
        <f>VLOOKUP(tabParametros[[#This Row],[CCT DA CATEGORIA]],tabSindicatos[],6,0)</f>
        <v>29.15</v>
      </c>
      <c r="AC53" s="232">
        <f>VLOOKUP(tabParametros[[#This Row],[CCT DA CATEGORIA]],tabSindicatos[],7,0)</f>
        <v>0</v>
      </c>
      <c r="AD53" s="232" cm="1">
        <f t="array" ref="AD5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53" s="232">
        <f>VLOOKUP(tabParametros[[#This Row],[CCT DA CATEGORIA]],tabSindicatos[],9,0)</f>
        <v>0</v>
      </c>
      <c r="AF53" s="232">
        <f>VLOOKUP(tabParametros[[#This Row],[CCT DA CATEGORIA]],tabSindicatos[],10,0)</f>
        <v>0</v>
      </c>
      <c r="AG53" s="234">
        <f>VLOOKUP(tabParametros[[#Headers],[Seguro de Vida]],tabOutrosCustos[],3,0)</f>
        <v>3.36</v>
      </c>
      <c r="AH53" s="234">
        <f>IF(ISNUMBER(SEARCH("MOTORISTA",tabParametros[[#This Row],[Função]],1)),VLOOKUP("MOTORISTAS",tabDiarias[],2,0),IF(tabParametros[[#This Row],[Comarca]]="Belo Horizonte",VLOOKUP("APOIO",tabDiarias[],2,0),0))</f>
        <v>202.08</v>
      </c>
      <c r="AI53" s="233">
        <f t="shared" si="2"/>
        <v>7.011766975308642E-3</v>
      </c>
      <c r="AJ53" s="235">
        <f>tabParametros[[#This Row],[FGTS]]*tabParametros[[#This Row],[Aviso Prévio Indenizado (API) e Reflexo do Aviso Prévio Indenizado]]</f>
        <v>5.609413580246914E-4</v>
      </c>
      <c r="AK53" s="235">
        <f>tabParametros[[#This Row],[FGTS]]*tabParametros[[#This Row],[Aviso Prévio Indenizado (API) e Reflexo do Aviso Prévio Indenizado]]*40%</f>
        <v>2.2437654320987658E-4</v>
      </c>
      <c r="AL53" s="233">
        <f t="shared" si="3"/>
        <v>3.5000000000000005E-3</v>
      </c>
      <c r="AM53" s="233">
        <f>tabParametros[[#This Row],[Aviso Prévio Trabalhado - APT]]*SUM(tabParametros[[#This Row],[INSS]:[SEBRAE]])</f>
        <v>1.3230000000000004E-3</v>
      </c>
      <c r="AN53" s="233">
        <f t="shared" si="4"/>
        <v>3.0577777777777773E-2</v>
      </c>
      <c r="AO53" s="233">
        <f t="shared" si="5"/>
        <v>8.3333333333333339E-4</v>
      </c>
      <c r="AP53" s="233">
        <f t="shared" si="6"/>
        <v>8.4444444444444437E-3</v>
      </c>
      <c r="AQ53" s="233">
        <f t="shared" si="7"/>
        <v>2.0277777777777777E-3</v>
      </c>
      <c r="AR53" s="233">
        <f t="shared" si="8"/>
        <v>1.7083333333333333E-4</v>
      </c>
      <c r="AS53" s="233">
        <f t="shared" si="9"/>
        <v>2.0833333333333335E-4</v>
      </c>
      <c r="AT53" s="233">
        <f t="shared" si="10"/>
        <v>1.2962962962962963E-3</v>
      </c>
      <c r="AU53" s="235">
        <f>SUM(tabParametros[[#This Row],[Ausência por Doença]:[Férias, Adicional de Férias e 13º  com empregada em gozo de Licença Maternidade]])*SUM(tabParametros[[#This Row],[INSS]:[SEBRAE]])</f>
        <v>4.5918250000000008E-3</v>
      </c>
      <c r="AV53" s="254">
        <f>IF(tabParametros[[#This Row],[Função]]="Porteiro - 220 h",SUM(tabParametros[[#This Row],[Salário Base]:[Adicional de Acúmulo de função]])/220*20*1.5,IF(ISNUMBER(SEARCH("12 x 36",tabParametros[[#This Row],[Função]],1)),SUM(tabParametros[[#This Row],[Salário Base]:[Adicional de Acúmulo de função]])/210*15.5*1.5,0))</f>
        <v>0</v>
      </c>
      <c r="AW53" s="232">
        <f>IF(tabParametros[[#This Row],[Vagas contratadas]]&gt;0,(SUM(tabParametros[[#This Row],[Salário Base]:[Adicional de Acúmulo de função]])*30%+SUM(tabParametros[[#This Row],[Vale - Alimentação]:[Seguro de Vida]]))/tabParametros[[#This Row],[Vagas contratadas]]*tabParametros[[#This Row],[Vagas suspensas]],0)</f>
        <v>0</v>
      </c>
      <c r="AX53" s="232">
        <f>SUMIF(tabUniformes[Cargo],tabParametros[[#This Row],[Função]],tabUniformes[Valor unit. Mensal])</f>
        <v>90.784679782039703</v>
      </c>
      <c r="AY5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5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5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3" s="232">
        <v>0</v>
      </c>
      <c r="BC53" s="234" t="e">
        <f ca="1">VLOOKUP(tabParametros[[#Headers],[Custos Indiretos]],tabOutrosCustos[],3,0)</f>
        <v>#NAME?</v>
      </c>
      <c r="BD53" s="234" t="e">
        <f ca="1">VLOOKUP(tabParametros[[#Headers],[Lucro]],tabOutrosCustos[],3,0)</f>
        <v>#NAME?</v>
      </c>
      <c r="BE53" s="233">
        <f>VLOOKUP(tabParametros[[#Headers],[COFINS]],tabImpostosNacionais[],2,0)</f>
        <v>7.5999999999999998E-2</v>
      </c>
      <c r="BF53" s="233">
        <f>VLOOKUP(tabParametros[[#Headers],[PIS]],tabImpostosNacionais[],2,0)</f>
        <v>1.6500000000000001E-2</v>
      </c>
      <c r="BG53" s="233">
        <f>VLOOKUP(tabParametros[[#This Row],[Comarca]],tabComarca[],4,0)</f>
        <v>0.05</v>
      </c>
      <c r="BH53" s="236">
        <f>VLOOKUP(tabParametros[[#This Row],[CCT DA CATEGORIA]],tabSindicatos[],11,0)</f>
        <v>45658</v>
      </c>
      <c r="BI53" s="282" t="str">
        <f>VLOOKUP(tabParametros[[#This Row],[CCT DA CATEGORIA]],tabSindicatos[],12,0)</f>
        <v>-</v>
      </c>
      <c r="BJ53" s="285" t="str">
        <f>VLOOKUP(tabParametros[[#This Row],[CCT DA CATEGORIA]],tabSindicatos[],13,0)</f>
        <v>-</v>
      </c>
    </row>
    <row r="54" spans="1:62">
      <c r="A54" s="231" t="s">
        <v>1431</v>
      </c>
      <c r="B54" s="197" t="s">
        <v>1103</v>
      </c>
      <c r="C54" s="197" t="s">
        <v>249</v>
      </c>
      <c r="D54" s="197" t="str">
        <f>VLOOKUP(tabParametros[[#This Row],[Código do Posto]],tabPostos[],4,0)</f>
        <v>SEAC/SINDEAC</v>
      </c>
      <c r="E54" s="282" t="str">
        <f>VLOOKUP(tabParametros[[#This Row],[Código do Posto]],tabPostos[],5,0)</f>
        <v>Apoio</v>
      </c>
      <c r="F54" s="282" t="str">
        <f>VLOOKUP(tabParametros[[#This Row],[Código do Posto]],tabPostos[],6,0)</f>
        <v>PGJ</v>
      </c>
      <c r="G54" s="282">
        <f>VLOOKUP(tabParametros[[#This Row],[Código do Posto]],tabPostos[],7,0)</f>
        <v>1</v>
      </c>
      <c r="H54" s="282">
        <f>VLOOKUP(tabParametros[[#This Row],[Código do Posto]],tabPostos[],8,0)</f>
        <v>0</v>
      </c>
      <c r="I54" s="232">
        <f>VLOOKUP(tabParametros[[#This Row],[Código do Posto]],tabPostos[],9,0)</f>
        <v>1649.1153464738998</v>
      </c>
      <c r="J54" s="232">
        <f>IF(ISNUMBER(SEARCH("Eletricista",tabParametros[[#This Row],[Função]],1)),0.3*tabParametros[[#This Row],[Salário Base]],0)</f>
        <v>0</v>
      </c>
      <c r="K5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54" s="232">
        <f>IF(AND(ISNUMBER(SEARCH("Noturno",tabParametros[[#This Row],[Função]],1)),tabParametros[[#This Row],[Comarca]]&lt;&gt;"Juiz de Fora"),tabParametros[[#This Row],[Salário Base]]/210*0.39*7*15.5,IF(ISNUMBER(SEARCH("Noturno",tabParametros[[#This Row],[Função]],1)),tabParametros[[#This Row],[Salário Base]]/210*0.2*8*15.5,0))</f>
        <v>0</v>
      </c>
      <c r="M54" s="232">
        <f>IF(ISNUMBER(SEARCH("Motorista II",tabParametros[[#This Row],[Função]],1)),0.3022*tabParametros[[#This Row],[Salário Base]],0)</f>
        <v>0</v>
      </c>
      <c r="N54" s="254">
        <v>0</v>
      </c>
      <c r="O54" s="254">
        <f>IF(ISNUMBER(SEARCH("TECNOLOGIA DA INFORMACAO",tabParametros[[#This Row],[Função]],1)),0.056*tabParametros[[#This Row],[Salário Base]],0)</f>
        <v>0</v>
      </c>
      <c r="P54" s="232">
        <f>IF(tabParametros[[#This Row],[Função]]="Operador de Midia Audiovisual - 150 h",tabParametros[[#This Row],[Salário Base]]/150*50*30%,IF(tabParametros[[#This Row],[Função]]="Supervisor de Manutencao de Veiculos II - 220 h",12%*tabParametros[[#This Row],[Salário Base]],0))</f>
        <v>0</v>
      </c>
      <c r="Q54" s="233">
        <f>VLOOKUP(tabParametros[[#Headers],[INSS]],tabImpostosNacionais[],2,0)</f>
        <v>0.2</v>
      </c>
      <c r="R54" s="233">
        <f>VLOOKUP(tabParametros[[#Headers],[SESI OU SESC]],tabImpostosNacionais[],2,0)</f>
        <v>1.4999999999999999E-2</v>
      </c>
      <c r="S54" s="233">
        <f>VLOOKUP(tabParametros[[#Headers],[SENAI OU SENAC]],tabImpostosNacionais[],2,0)</f>
        <v>0.01</v>
      </c>
      <c r="T54" s="233">
        <f>VLOOKUP(tabParametros[[#Headers],[INCRA]],tabImpostosNacionais[],2,0)</f>
        <v>2E-3</v>
      </c>
      <c r="U54" s="233">
        <f>VLOOKUP(tabParametros[[#Headers],[Salário Educação]],tabImpostosNacionais[],2,0)</f>
        <v>2.5000000000000001E-2</v>
      </c>
      <c r="V54" s="233">
        <f>VLOOKUP(tabParametros[[#Headers],[FGTS]],tabImpostosNacionais[],2,0)</f>
        <v>0.08</v>
      </c>
      <c r="W54" s="233">
        <f>VLOOKUP(tabParametros[[#Headers],[RAT Ajustado]],tabImpostosNacionais[],2,0)</f>
        <v>0.04</v>
      </c>
      <c r="X54" s="233">
        <f>VLOOKUP(tabParametros[[#Headers],[SEBRAE]],tabImpostosNacionais[],2,0)</f>
        <v>6.0000000000000001E-3</v>
      </c>
      <c r="Y54" s="233">
        <f t="shared" si="0"/>
        <v>8.3333333333333329E-2</v>
      </c>
      <c r="Z54" s="233">
        <f t="shared" si="1"/>
        <v>0.1111111111111111</v>
      </c>
      <c r="AA54" s="232">
        <f>VLOOKUP(tabParametros[[#This Row],[Comarca]],tabComarca[],5,0)</f>
        <v>11.25</v>
      </c>
      <c r="AB54" s="232">
        <f>VLOOKUP(tabParametros[[#This Row],[CCT DA CATEGORIA]],tabSindicatos[],6,0)</f>
        <v>29.15</v>
      </c>
      <c r="AC54" s="232">
        <f>VLOOKUP(tabParametros[[#This Row],[CCT DA CATEGORIA]],tabSindicatos[],7,0)</f>
        <v>0</v>
      </c>
      <c r="AD54" s="232" cm="1">
        <f t="array" ref="AD5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54" s="232">
        <f>VLOOKUP(tabParametros[[#This Row],[CCT DA CATEGORIA]],tabSindicatos[],9,0)</f>
        <v>0</v>
      </c>
      <c r="AF54" s="232">
        <f>VLOOKUP(tabParametros[[#This Row],[CCT DA CATEGORIA]],tabSindicatos[],10,0)</f>
        <v>0</v>
      </c>
      <c r="AG54" s="234">
        <f>VLOOKUP(tabParametros[[#Headers],[Seguro de Vida]],tabOutrosCustos[],3,0)</f>
        <v>3.36</v>
      </c>
      <c r="AH54" s="234">
        <f>IF(ISNUMBER(SEARCH("MOTORISTA",tabParametros[[#This Row],[Função]],1)),VLOOKUP("MOTORISTAS",tabDiarias[],2,0),IF(tabParametros[[#This Row],[Comarca]]="Belo Horizonte",VLOOKUP("APOIO",tabDiarias[],2,0),0))</f>
        <v>202.08</v>
      </c>
      <c r="AI54" s="233">
        <f t="shared" si="2"/>
        <v>7.011766975308642E-3</v>
      </c>
      <c r="AJ54" s="235">
        <f>tabParametros[[#This Row],[FGTS]]*tabParametros[[#This Row],[Aviso Prévio Indenizado (API) e Reflexo do Aviso Prévio Indenizado]]</f>
        <v>5.609413580246914E-4</v>
      </c>
      <c r="AK54" s="235">
        <f>tabParametros[[#This Row],[FGTS]]*tabParametros[[#This Row],[Aviso Prévio Indenizado (API) e Reflexo do Aviso Prévio Indenizado]]*40%</f>
        <v>2.2437654320987658E-4</v>
      </c>
      <c r="AL54" s="233">
        <f t="shared" si="3"/>
        <v>3.5000000000000005E-3</v>
      </c>
      <c r="AM54" s="233">
        <f>tabParametros[[#This Row],[Aviso Prévio Trabalhado - APT]]*SUM(tabParametros[[#This Row],[INSS]:[SEBRAE]])</f>
        <v>1.3230000000000004E-3</v>
      </c>
      <c r="AN54" s="233">
        <f t="shared" si="4"/>
        <v>3.0577777777777773E-2</v>
      </c>
      <c r="AO54" s="233">
        <f t="shared" si="5"/>
        <v>8.3333333333333339E-4</v>
      </c>
      <c r="AP54" s="233">
        <f t="shared" si="6"/>
        <v>8.4444444444444437E-3</v>
      </c>
      <c r="AQ54" s="233">
        <f t="shared" si="7"/>
        <v>2.0277777777777777E-3</v>
      </c>
      <c r="AR54" s="233">
        <f t="shared" si="8"/>
        <v>1.7083333333333333E-4</v>
      </c>
      <c r="AS54" s="233">
        <f t="shared" si="9"/>
        <v>2.0833333333333335E-4</v>
      </c>
      <c r="AT54" s="233">
        <f t="shared" si="10"/>
        <v>1.2962962962962963E-3</v>
      </c>
      <c r="AU54" s="235">
        <f>SUM(tabParametros[[#This Row],[Ausência por Doença]:[Férias, Adicional de Férias e 13º  com empregada em gozo de Licença Maternidade]])*SUM(tabParametros[[#This Row],[INSS]:[SEBRAE]])</f>
        <v>4.5918250000000008E-3</v>
      </c>
      <c r="AV54" s="254">
        <f>IF(tabParametros[[#This Row],[Função]]="Porteiro - 220 h",SUM(tabParametros[[#This Row],[Salário Base]:[Adicional de Acúmulo de função]])/220*20*1.5,IF(ISNUMBER(SEARCH("12 x 36",tabParametros[[#This Row],[Função]],1)),SUM(tabParametros[[#This Row],[Salário Base]:[Adicional de Acúmulo de função]])/210*15.5*1.5,0))</f>
        <v>0</v>
      </c>
      <c r="AW54" s="232">
        <f>IF(tabParametros[[#This Row],[Vagas contratadas]]&gt;0,(SUM(tabParametros[[#This Row],[Salário Base]:[Adicional de Acúmulo de função]])*30%+SUM(tabParametros[[#This Row],[Vale - Alimentação]:[Seguro de Vida]]))/tabParametros[[#This Row],[Vagas contratadas]]*tabParametros[[#This Row],[Vagas suspensas]],0)</f>
        <v>0</v>
      </c>
      <c r="AX54" s="232">
        <f>SUMIF(tabUniformes[Cargo],tabParametros[[#This Row],[Função]],tabUniformes[Valor unit. Mensal])</f>
        <v>130.12869344317153</v>
      </c>
      <c r="AY5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75.19916666666667</v>
      </c>
      <c r="AZ5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94.635000000000005</v>
      </c>
      <c r="BA5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1012.8216666666667</v>
      </c>
      <c r="BB54" s="232">
        <v>0</v>
      </c>
      <c r="BC54" s="234" t="e">
        <f ca="1">VLOOKUP(tabParametros[[#Headers],[Custos Indiretos]],tabOutrosCustos[],3,0)</f>
        <v>#NAME?</v>
      </c>
      <c r="BD54" s="234" t="e">
        <f ca="1">VLOOKUP(tabParametros[[#Headers],[Lucro]],tabOutrosCustos[],3,0)</f>
        <v>#NAME?</v>
      </c>
      <c r="BE54" s="233">
        <f>VLOOKUP(tabParametros[[#Headers],[COFINS]],tabImpostosNacionais[],2,0)</f>
        <v>7.5999999999999998E-2</v>
      </c>
      <c r="BF54" s="233">
        <f>VLOOKUP(tabParametros[[#Headers],[PIS]],tabImpostosNacionais[],2,0)</f>
        <v>1.6500000000000001E-2</v>
      </c>
      <c r="BG54" s="233">
        <f>VLOOKUP(tabParametros[[#This Row],[Comarca]],tabComarca[],4,0)</f>
        <v>0.05</v>
      </c>
      <c r="BH54" s="236">
        <f>VLOOKUP(tabParametros[[#This Row],[CCT DA CATEGORIA]],tabSindicatos[],11,0)</f>
        <v>45658</v>
      </c>
      <c r="BI54" s="282" t="str">
        <f>VLOOKUP(tabParametros[[#This Row],[CCT DA CATEGORIA]],tabSindicatos[],12,0)</f>
        <v>-</v>
      </c>
      <c r="BJ54" s="285" t="str">
        <f>VLOOKUP(tabParametros[[#This Row],[CCT DA CATEGORIA]],tabSindicatos[],13,0)</f>
        <v>-</v>
      </c>
    </row>
    <row r="55" spans="1:62">
      <c r="A55" s="231" t="s">
        <v>1432</v>
      </c>
      <c r="B55" s="197" t="s">
        <v>1103</v>
      </c>
      <c r="C55" s="197" t="s">
        <v>254</v>
      </c>
      <c r="D55" s="197" t="str">
        <f>VLOOKUP(tabParametros[[#This Row],[Código do Posto]],tabPostos[],4,0)</f>
        <v>SEAC/SINDEAC</v>
      </c>
      <c r="E55" s="282" t="str">
        <f>VLOOKUP(tabParametros[[#This Row],[Código do Posto]],tabPostos[],5,0)</f>
        <v>Apoio</v>
      </c>
      <c r="F55" s="282" t="str">
        <f>VLOOKUP(tabParametros[[#This Row],[Código do Posto]],tabPostos[],6,0)</f>
        <v>PGJ</v>
      </c>
      <c r="G55" s="282">
        <f>VLOOKUP(tabParametros[[#This Row],[Código do Posto]],tabPostos[],7,0)</f>
        <v>7</v>
      </c>
      <c r="H55" s="282">
        <f>VLOOKUP(tabParametros[[#This Row],[Código do Posto]],tabPostos[],8,0)</f>
        <v>0</v>
      </c>
      <c r="I55" s="232">
        <f>VLOOKUP(tabParametros[[#This Row],[Código do Posto]],tabPostos[],9,0)</f>
        <v>2463.2933579678438</v>
      </c>
      <c r="J55" s="232">
        <f>IF(ISNUMBER(SEARCH("Eletricista",tabParametros[[#This Row],[Função]],1)),0.3*tabParametros[[#This Row],[Salário Base]],0)</f>
        <v>0</v>
      </c>
      <c r="K5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55" s="232">
        <f>IF(AND(ISNUMBER(SEARCH("Noturno",tabParametros[[#This Row],[Função]],1)),tabParametros[[#This Row],[Comarca]]&lt;&gt;"Juiz de Fora"),tabParametros[[#This Row],[Salário Base]]/210*0.39*7*15.5,IF(ISNUMBER(SEARCH("Noturno",tabParametros[[#This Row],[Função]],1)),tabParametros[[#This Row],[Salário Base]]/210*0.2*8*15.5,0))</f>
        <v>0</v>
      </c>
      <c r="M55" s="232">
        <f>IF(ISNUMBER(SEARCH("Motorista II",tabParametros[[#This Row],[Função]],1)),0.3022*tabParametros[[#This Row],[Salário Base]],0)</f>
        <v>0</v>
      </c>
      <c r="N55" s="254">
        <v>0</v>
      </c>
      <c r="O55" s="254">
        <f>IF(ISNUMBER(SEARCH("TECNOLOGIA DA INFORMACAO",tabParametros[[#This Row],[Função]],1)),0.056*tabParametros[[#This Row],[Salário Base]],0)</f>
        <v>0</v>
      </c>
      <c r="P55" s="232">
        <f>IF(tabParametros[[#This Row],[Função]]="Operador de Midia Audiovisual - 150 h",tabParametros[[#This Row],[Salário Base]]/150*50*30%,IF(tabParametros[[#This Row],[Função]]="Supervisor de Manutencao de Veiculos II - 220 h",12%*tabParametros[[#This Row],[Salário Base]],0))</f>
        <v>0</v>
      </c>
      <c r="Q55" s="233">
        <f>VLOOKUP(tabParametros[[#Headers],[INSS]],tabImpostosNacionais[],2,0)</f>
        <v>0.2</v>
      </c>
      <c r="R55" s="233">
        <f>VLOOKUP(tabParametros[[#Headers],[SESI OU SESC]],tabImpostosNacionais[],2,0)</f>
        <v>1.4999999999999999E-2</v>
      </c>
      <c r="S55" s="233">
        <f>VLOOKUP(tabParametros[[#Headers],[SENAI OU SENAC]],tabImpostosNacionais[],2,0)</f>
        <v>0.01</v>
      </c>
      <c r="T55" s="233">
        <f>VLOOKUP(tabParametros[[#Headers],[INCRA]],tabImpostosNacionais[],2,0)</f>
        <v>2E-3</v>
      </c>
      <c r="U55" s="233">
        <f>VLOOKUP(tabParametros[[#Headers],[Salário Educação]],tabImpostosNacionais[],2,0)</f>
        <v>2.5000000000000001E-2</v>
      </c>
      <c r="V55" s="233">
        <f>VLOOKUP(tabParametros[[#Headers],[FGTS]],tabImpostosNacionais[],2,0)</f>
        <v>0.08</v>
      </c>
      <c r="W55" s="233">
        <f>VLOOKUP(tabParametros[[#Headers],[RAT Ajustado]],tabImpostosNacionais[],2,0)</f>
        <v>0.04</v>
      </c>
      <c r="X55" s="233">
        <f>VLOOKUP(tabParametros[[#Headers],[SEBRAE]],tabImpostosNacionais[],2,0)</f>
        <v>6.0000000000000001E-3</v>
      </c>
      <c r="Y55" s="233">
        <f t="shared" si="0"/>
        <v>8.3333333333333329E-2</v>
      </c>
      <c r="Z55" s="233">
        <f t="shared" si="1"/>
        <v>0.1111111111111111</v>
      </c>
      <c r="AA55" s="232">
        <f>VLOOKUP(tabParametros[[#This Row],[Comarca]],tabComarca[],5,0)</f>
        <v>11.25</v>
      </c>
      <c r="AB55" s="232">
        <f>VLOOKUP(tabParametros[[#This Row],[CCT DA CATEGORIA]],tabSindicatos[],6,0)</f>
        <v>29.15</v>
      </c>
      <c r="AC55" s="232">
        <f>VLOOKUP(tabParametros[[#This Row],[CCT DA CATEGORIA]],tabSindicatos[],7,0)</f>
        <v>0</v>
      </c>
      <c r="AD55" s="232" cm="1">
        <f t="array" ref="AD5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55" s="232">
        <f>VLOOKUP(tabParametros[[#This Row],[CCT DA CATEGORIA]],tabSindicatos[],9,0)</f>
        <v>0</v>
      </c>
      <c r="AF55" s="232">
        <f>VLOOKUP(tabParametros[[#This Row],[CCT DA CATEGORIA]],tabSindicatos[],10,0)</f>
        <v>0</v>
      </c>
      <c r="AG55" s="234">
        <f>VLOOKUP(tabParametros[[#Headers],[Seguro de Vida]],tabOutrosCustos[],3,0)</f>
        <v>3.36</v>
      </c>
      <c r="AH55" s="234">
        <f>IF(ISNUMBER(SEARCH("MOTORISTA",tabParametros[[#This Row],[Função]],1)),VLOOKUP("MOTORISTAS",tabDiarias[],2,0),IF(tabParametros[[#This Row],[Comarca]]="Belo Horizonte",VLOOKUP("APOIO",tabDiarias[],2,0),0))</f>
        <v>202.08</v>
      </c>
      <c r="AI55" s="233">
        <f t="shared" si="2"/>
        <v>7.011766975308642E-3</v>
      </c>
      <c r="AJ55" s="235">
        <f>tabParametros[[#This Row],[FGTS]]*tabParametros[[#This Row],[Aviso Prévio Indenizado (API) e Reflexo do Aviso Prévio Indenizado]]</f>
        <v>5.609413580246914E-4</v>
      </c>
      <c r="AK55" s="235">
        <f>tabParametros[[#This Row],[FGTS]]*tabParametros[[#This Row],[Aviso Prévio Indenizado (API) e Reflexo do Aviso Prévio Indenizado]]*40%</f>
        <v>2.2437654320987658E-4</v>
      </c>
      <c r="AL55" s="233">
        <f t="shared" si="3"/>
        <v>3.5000000000000005E-3</v>
      </c>
      <c r="AM55" s="233">
        <f>tabParametros[[#This Row],[Aviso Prévio Trabalhado - APT]]*SUM(tabParametros[[#This Row],[INSS]:[SEBRAE]])</f>
        <v>1.3230000000000004E-3</v>
      </c>
      <c r="AN55" s="233">
        <f t="shared" si="4"/>
        <v>3.0577777777777773E-2</v>
      </c>
      <c r="AO55" s="233">
        <f t="shared" si="5"/>
        <v>8.3333333333333339E-4</v>
      </c>
      <c r="AP55" s="233">
        <f t="shared" si="6"/>
        <v>8.4444444444444437E-3</v>
      </c>
      <c r="AQ55" s="233">
        <f t="shared" si="7"/>
        <v>2.0277777777777777E-3</v>
      </c>
      <c r="AR55" s="233">
        <f t="shared" si="8"/>
        <v>1.7083333333333333E-4</v>
      </c>
      <c r="AS55" s="233">
        <f t="shared" si="9"/>
        <v>2.0833333333333335E-4</v>
      </c>
      <c r="AT55" s="233">
        <f t="shared" si="10"/>
        <v>1.2962962962962963E-3</v>
      </c>
      <c r="AU55" s="235">
        <f>SUM(tabParametros[[#This Row],[Ausência por Doença]:[Férias, Adicional de Férias e 13º  com empregada em gozo de Licença Maternidade]])*SUM(tabParametros[[#This Row],[INSS]:[SEBRAE]])</f>
        <v>4.5918250000000008E-3</v>
      </c>
      <c r="AV55" s="254">
        <f>IF(tabParametros[[#This Row],[Função]]="Porteiro - 220 h",SUM(tabParametros[[#This Row],[Salário Base]:[Adicional de Acúmulo de função]])/220*20*1.5,IF(ISNUMBER(SEARCH("12 x 36",tabParametros[[#This Row],[Função]],1)),SUM(tabParametros[[#This Row],[Salário Base]:[Adicional de Acúmulo de função]])/210*15.5*1.5,0))</f>
        <v>0</v>
      </c>
      <c r="AW55" s="232">
        <f>IF(tabParametros[[#This Row],[Vagas contratadas]]&gt;0,(SUM(tabParametros[[#This Row],[Salário Base]:[Adicional de Acúmulo de função]])*30%+SUM(tabParametros[[#This Row],[Vale - Alimentação]:[Seguro de Vida]]))/tabParametros[[#This Row],[Vagas contratadas]]*tabParametros[[#This Row],[Vagas suspensas]],0)</f>
        <v>0</v>
      </c>
      <c r="AX55" s="232">
        <f>SUMIF(tabUniformes[Cargo],tabParametros[[#This Row],[Função]],tabUniformes[Valor unit. Mensal])</f>
        <v>98.712455192002366</v>
      </c>
      <c r="AY5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5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5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5" s="232">
        <v>0</v>
      </c>
      <c r="BC55" s="234" t="e">
        <f ca="1">VLOOKUP(tabParametros[[#Headers],[Custos Indiretos]],tabOutrosCustos[],3,0)</f>
        <v>#NAME?</v>
      </c>
      <c r="BD55" s="234" t="e">
        <f ca="1">VLOOKUP(tabParametros[[#Headers],[Lucro]],tabOutrosCustos[],3,0)</f>
        <v>#NAME?</v>
      </c>
      <c r="BE55" s="233">
        <f>VLOOKUP(tabParametros[[#Headers],[COFINS]],tabImpostosNacionais[],2,0)</f>
        <v>7.5999999999999998E-2</v>
      </c>
      <c r="BF55" s="233">
        <f>VLOOKUP(tabParametros[[#Headers],[PIS]],tabImpostosNacionais[],2,0)</f>
        <v>1.6500000000000001E-2</v>
      </c>
      <c r="BG55" s="233">
        <f>VLOOKUP(tabParametros[[#This Row],[Comarca]],tabComarca[],4,0)</f>
        <v>0.05</v>
      </c>
      <c r="BH55" s="236">
        <f>VLOOKUP(tabParametros[[#This Row],[CCT DA CATEGORIA]],tabSindicatos[],11,0)</f>
        <v>45658</v>
      </c>
      <c r="BI55" s="282" t="str">
        <f>VLOOKUP(tabParametros[[#This Row],[CCT DA CATEGORIA]],tabSindicatos[],12,0)</f>
        <v>-</v>
      </c>
      <c r="BJ55" s="285" t="str">
        <f>VLOOKUP(tabParametros[[#This Row],[CCT DA CATEGORIA]],tabSindicatos[],13,0)</f>
        <v>-</v>
      </c>
    </row>
    <row r="56" spans="1:62">
      <c r="A56" s="231" t="s">
        <v>1433</v>
      </c>
      <c r="B56" s="197" t="s">
        <v>1103</v>
      </c>
      <c r="C56" s="197" t="s">
        <v>259</v>
      </c>
      <c r="D56" s="197" t="str">
        <f>VLOOKUP(tabParametros[[#This Row],[Código do Posto]],tabPostos[],4,0)</f>
        <v>SEAC/SINDEAC</v>
      </c>
      <c r="E56" s="282" t="str">
        <f>VLOOKUP(tabParametros[[#This Row],[Código do Posto]],tabPostos[],5,0)</f>
        <v>Apoio</v>
      </c>
      <c r="F56" s="282" t="str">
        <f>VLOOKUP(tabParametros[[#This Row],[Código do Posto]],tabPostos[],6,0)</f>
        <v>PGJ</v>
      </c>
      <c r="G56" s="282">
        <f>VLOOKUP(tabParametros[[#This Row],[Código do Posto]],tabPostos[],7,0)</f>
        <v>13</v>
      </c>
      <c r="H56" s="282">
        <f>VLOOKUP(tabParametros[[#This Row],[Código do Posto]],tabPostos[],8,0)</f>
        <v>0</v>
      </c>
      <c r="I56" s="232">
        <f>VLOOKUP(tabParametros[[#This Row],[Código do Posto]],tabPostos[],9,0)</f>
        <v>3673.8031971445557</v>
      </c>
      <c r="J56" s="232">
        <f>IF(ISNUMBER(SEARCH("Eletricista",tabParametros[[#This Row],[Função]],1)),0.3*tabParametros[[#This Row],[Salário Base]],0)</f>
        <v>0</v>
      </c>
      <c r="K5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56" s="232">
        <f>IF(AND(ISNUMBER(SEARCH("Noturno",tabParametros[[#This Row],[Função]],1)),tabParametros[[#This Row],[Comarca]]&lt;&gt;"Juiz de Fora"),tabParametros[[#This Row],[Salário Base]]/210*0.39*7*15.5,IF(ISNUMBER(SEARCH("Noturno",tabParametros[[#This Row],[Função]],1)),tabParametros[[#This Row],[Salário Base]]/210*0.2*8*15.5,0))</f>
        <v>0</v>
      </c>
      <c r="M56" s="232">
        <f>IF(ISNUMBER(SEARCH("Motorista II",tabParametros[[#This Row],[Função]],1)),0.3022*tabParametros[[#This Row],[Salário Base]],0)</f>
        <v>0</v>
      </c>
      <c r="N56" s="254">
        <v>0</v>
      </c>
      <c r="O56" s="254">
        <f>IF(ISNUMBER(SEARCH("TECNOLOGIA DA INFORMACAO",tabParametros[[#This Row],[Função]],1)),0.056*tabParametros[[#This Row],[Salário Base]],0)</f>
        <v>0</v>
      </c>
      <c r="P56" s="232">
        <f>IF(tabParametros[[#This Row],[Função]]="Operador de Midia Audiovisual - 150 h",tabParametros[[#This Row],[Salário Base]]/150*50*30%,IF(tabParametros[[#This Row],[Função]]="Supervisor de Manutencao de Veiculos II - 220 h",12%*tabParametros[[#This Row],[Salário Base]],0))</f>
        <v>0</v>
      </c>
      <c r="Q56" s="233">
        <f>VLOOKUP(tabParametros[[#Headers],[INSS]],tabImpostosNacionais[],2,0)</f>
        <v>0.2</v>
      </c>
      <c r="R56" s="233">
        <f>VLOOKUP(tabParametros[[#Headers],[SESI OU SESC]],tabImpostosNacionais[],2,0)</f>
        <v>1.4999999999999999E-2</v>
      </c>
      <c r="S56" s="233">
        <f>VLOOKUP(tabParametros[[#Headers],[SENAI OU SENAC]],tabImpostosNacionais[],2,0)</f>
        <v>0.01</v>
      </c>
      <c r="T56" s="233">
        <f>VLOOKUP(tabParametros[[#Headers],[INCRA]],tabImpostosNacionais[],2,0)</f>
        <v>2E-3</v>
      </c>
      <c r="U56" s="233">
        <f>VLOOKUP(tabParametros[[#Headers],[Salário Educação]],tabImpostosNacionais[],2,0)</f>
        <v>2.5000000000000001E-2</v>
      </c>
      <c r="V56" s="233">
        <f>VLOOKUP(tabParametros[[#Headers],[FGTS]],tabImpostosNacionais[],2,0)</f>
        <v>0.08</v>
      </c>
      <c r="W56" s="233">
        <f>VLOOKUP(tabParametros[[#Headers],[RAT Ajustado]],tabImpostosNacionais[],2,0)</f>
        <v>0.04</v>
      </c>
      <c r="X56" s="233">
        <f>VLOOKUP(tabParametros[[#Headers],[SEBRAE]],tabImpostosNacionais[],2,0)</f>
        <v>6.0000000000000001E-3</v>
      </c>
      <c r="Y56" s="233">
        <f t="shared" si="0"/>
        <v>8.3333333333333329E-2</v>
      </c>
      <c r="Z56" s="233">
        <f t="shared" si="1"/>
        <v>0.1111111111111111</v>
      </c>
      <c r="AA56" s="232">
        <f>VLOOKUP(tabParametros[[#This Row],[Comarca]],tabComarca[],5,0)</f>
        <v>11.25</v>
      </c>
      <c r="AB56" s="232">
        <f>VLOOKUP(tabParametros[[#This Row],[CCT DA CATEGORIA]],tabSindicatos[],6,0)</f>
        <v>29.15</v>
      </c>
      <c r="AC56" s="232">
        <f>VLOOKUP(tabParametros[[#This Row],[CCT DA CATEGORIA]],tabSindicatos[],7,0)</f>
        <v>0</v>
      </c>
      <c r="AD56" s="232" cm="1">
        <f t="array" ref="AD5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56" s="232">
        <f>VLOOKUP(tabParametros[[#This Row],[CCT DA CATEGORIA]],tabSindicatos[],9,0)</f>
        <v>0</v>
      </c>
      <c r="AF56" s="232">
        <f>VLOOKUP(tabParametros[[#This Row],[CCT DA CATEGORIA]],tabSindicatos[],10,0)</f>
        <v>0</v>
      </c>
      <c r="AG56" s="234">
        <f>VLOOKUP(tabParametros[[#Headers],[Seguro de Vida]],tabOutrosCustos[],3,0)</f>
        <v>3.36</v>
      </c>
      <c r="AH56" s="234">
        <f>IF(ISNUMBER(SEARCH("MOTORISTA",tabParametros[[#This Row],[Função]],1)),VLOOKUP("MOTORISTAS",tabDiarias[],2,0),IF(tabParametros[[#This Row],[Comarca]]="Belo Horizonte",VLOOKUP("APOIO",tabDiarias[],2,0),0))</f>
        <v>202.08</v>
      </c>
      <c r="AI56" s="233">
        <f t="shared" si="2"/>
        <v>7.011766975308642E-3</v>
      </c>
      <c r="AJ56" s="235">
        <f>tabParametros[[#This Row],[FGTS]]*tabParametros[[#This Row],[Aviso Prévio Indenizado (API) e Reflexo do Aviso Prévio Indenizado]]</f>
        <v>5.609413580246914E-4</v>
      </c>
      <c r="AK56" s="235">
        <f>tabParametros[[#This Row],[FGTS]]*tabParametros[[#This Row],[Aviso Prévio Indenizado (API) e Reflexo do Aviso Prévio Indenizado]]*40%</f>
        <v>2.2437654320987658E-4</v>
      </c>
      <c r="AL56" s="233">
        <f t="shared" si="3"/>
        <v>3.5000000000000005E-3</v>
      </c>
      <c r="AM56" s="233">
        <f>tabParametros[[#This Row],[Aviso Prévio Trabalhado - APT]]*SUM(tabParametros[[#This Row],[INSS]:[SEBRAE]])</f>
        <v>1.3230000000000004E-3</v>
      </c>
      <c r="AN56" s="233">
        <f t="shared" si="4"/>
        <v>3.0577777777777773E-2</v>
      </c>
      <c r="AO56" s="233">
        <f t="shared" si="5"/>
        <v>8.3333333333333339E-4</v>
      </c>
      <c r="AP56" s="233">
        <f t="shared" si="6"/>
        <v>8.4444444444444437E-3</v>
      </c>
      <c r="AQ56" s="233">
        <f t="shared" si="7"/>
        <v>2.0277777777777777E-3</v>
      </c>
      <c r="AR56" s="233">
        <f t="shared" si="8"/>
        <v>1.7083333333333333E-4</v>
      </c>
      <c r="AS56" s="233">
        <f t="shared" si="9"/>
        <v>2.0833333333333335E-4</v>
      </c>
      <c r="AT56" s="233">
        <f t="shared" si="10"/>
        <v>1.2962962962962963E-3</v>
      </c>
      <c r="AU56" s="235">
        <f>SUM(tabParametros[[#This Row],[Ausência por Doença]:[Férias, Adicional de Férias e 13º  com empregada em gozo de Licença Maternidade]])*SUM(tabParametros[[#This Row],[INSS]:[SEBRAE]])</f>
        <v>4.5918250000000008E-3</v>
      </c>
      <c r="AV56" s="254">
        <f>IF(tabParametros[[#This Row],[Função]]="Porteiro - 220 h",SUM(tabParametros[[#This Row],[Salário Base]:[Adicional de Acúmulo de função]])/220*20*1.5,IF(ISNUMBER(SEARCH("12 x 36",tabParametros[[#This Row],[Função]],1)),SUM(tabParametros[[#This Row],[Salário Base]:[Adicional de Acúmulo de função]])/210*15.5*1.5,0))</f>
        <v>0</v>
      </c>
      <c r="AW56" s="232">
        <f>IF(tabParametros[[#This Row],[Vagas contratadas]]&gt;0,(SUM(tabParametros[[#This Row],[Salário Base]:[Adicional de Acúmulo de função]])*30%+SUM(tabParametros[[#This Row],[Vale - Alimentação]:[Seguro de Vida]]))/tabParametros[[#This Row],[Vagas contratadas]]*tabParametros[[#This Row],[Vagas suspensas]],0)</f>
        <v>0</v>
      </c>
      <c r="AX56" s="232">
        <f>SUMIF(tabUniformes[Cargo],tabParametros[[#This Row],[Função]],tabUniformes[Valor unit. Mensal])</f>
        <v>403.67168306088286</v>
      </c>
      <c r="AY5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5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5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6" s="232">
        <v>0</v>
      </c>
      <c r="BC56" s="234" t="e">
        <f ca="1">VLOOKUP(tabParametros[[#Headers],[Custos Indiretos]],tabOutrosCustos[],3,0)</f>
        <v>#NAME?</v>
      </c>
      <c r="BD56" s="234" t="e">
        <f ca="1">VLOOKUP(tabParametros[[#Headers],[Lucro]],tabOutrosCustos[],3,0)</f>
        <v>#NAME?</v>
      </c>
      <c r="BE56" s="233">
        <f>VLOOKUP(tabParametros[[#Headers],[COFINS]],tabImpostosNacionais[],2,0)</f>
        <v>7.5999999999999998E-2</v>
      </c>
      <c r="BF56" s="233">
        <f>VLOOKUP(tabParametros[[#Headers],[PIS]],tabImpostosNacionais[],2,0)</f>
        <v>1.6500000000000001E-2</v>
      </c>
      <c r="BG56" s="233">
        <f>VLOOKUP(tabParametros[[#This Row],[Comarca]],tabComarca[],4,0)</f>
        <v>0.05</v>
      </c>
      <c r="BH56" s="236">
        <f>VLOOKUP(tabParametros[[#This Row],[CCT DA CATEGORIA]],tabSindicatos[],11,0)</f>
        <v>45658</v>
      </c>
      <c r="BI56" s="282" t="str">
        <f>VLOOKUP(tabParametros[[#This Row],[CCT DA CATEGORIA]],tabSindicatos[],12,0)</f>
        <v>-</v>
      </c>
      <c r="BJ56" s="285" t="str">
        <f>VLOOKUP(tabParametros[[#This Row],[CCT DA CATEGORIA]],tabSindicatos[],13,0)</f>
        <v>-</v>
      </c>
    </row>
    <row r="57" spans="1:62">
      <c r="A57" s="231" t="s">
        <v>1434</v>
      </c>
      <c r="B57" s="197" t="s">
        <v>1103</v>
      </c>
      <c r="C57" s="197" t="s">
        <v>264</v>
      </c>
      <c r="D57" s="197" t="str">
        <f>VLOOKUP(tabParametros[[#This Row],[Código do Posto]],tabPostos[],4,0)</f>
        <v>Rodoviarios de Belo Horizonte + SEAC-MG</v>
      </c>
      <c r="E57" s="282" t="str">
        <f>VLOOKUP(tabParametros[[#This Row],[Código do Posto]],tabPostos[],5,0)</f>
        <v>Apoio</v>
      </c>
      <c r="F57" s="282" t="str">
        <f>VLOOKUP(tabParametros[[#This Row],[Código do Posto]],tabPostos[],6,0)</f>
        <v>PGJ</v>
      </c>
      <c r="G57" s="282">
        <f>VLOOKUP(tabParametros[[#This Row],[Código do Posto]],tabPostos[],7,0)</f>
        <v>2</v>
      </c>
      <c r="H57" s="282">
        <f>VLOOKUP(tabParametros[[#This Row],[Código do Posto]],tabPostos[],8,0)</f>
        <v>0</v>
      </c>
      <c r="I57" s="232">
        <f>VLOOKUP(tabParametros[[#This Row],[Código do Posto]],tabPostos[],9,0)</f>
        <v>4558.0709943632919</v>
      </c>
      <c r="J57" s="232">
        <f>IF(ISNUMBER(SEARCH("Eletricista",tabParametros[[#This Row],[Função]],1)),0.3*tabParametros[[#This Row],[Salário Base]],0)</f>
        <v>0</v>
      </c>
      <c r="K5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57" s="232">
        <f>IF(AND(ISNUMBER(SEARCH("Noturno",tabParametros[[#This Row],[Função]],1)),tabParametros[[#This Row],[Comarca]]&lt;&gt;"Juiz de Fora"),tabParametros[[#This Row],[Salário Base]]/210*0.39*7*15.5,IF(ISNUMBER(SEARCH("Noturno",tabParametros[[#This Row],[Função]],1)),tabParametros[[#This Row],[Salário Base]]/210*0.2*8*15.5,0))</f>
        <v>0</v>
      </c>
      <c r="M57" s="232">
        <f>IF(ISNUMBER(SEARCH("Motorista II",tabParametros[[#This Row],[Função]],1)),0.3022*tabParametros[[#This Row],[Salário Base]],0)</f>
        <v>0</v>
      </c>
      <c r="N57" s="254">
        <v>0</v>
      </c>
      <c r="O57" s="254">
        <f>IF(ISNUMBER(SEARCH("TECNOLOGIA DA INFORMACAO",tabParametros[[#This Row],[Função]],1)),0.056*tabParametros[[#This Row],[Salário Base]],0)</f>
        <v>0</v>
      </c>
      <c r="P57" s="232">
        <f>IF(tabParametros[[#This Row],[Função]]="Operador de Midia Audiovisual - 150 h",tabParametros[[#This Row],[Salário Base]]/150*50*30%,IF(tabParametros[[#This Row],[Função]]="Supervisor de Manutencao de Veiculos II - 220 h",12%*tabParametros[[#This Row],[Salário Base]],0))</f>
        <v>0</v>
      </c>
      <c r="Q57" s="233">
        <f>VLOOKUP(tabParametros[[#Headers],[INSS]],tabImpostosNacionais[],2,0)</f>
        <v>0.2</v>
      </c>
      <c r="R57" s="233">
        <f>VLOOKUP(tabParametros[[#Headers],[SESI OU SESC]],tabImpostosNacionais[],2,0)</f>
        <v>1.4999999999999999E-2</v>
      </c>
      <c r="S57" s="233">
        <f>VLOOKUP(tabParametros[[#Headers],[SENAI OU SENAC]],tabImpostosNacionais[],2,0)</f>
        <v>0.01</v>
      </c>
      <c r="T57" s="233">
        <f>VLOOKUP(tabParametros[[#Headers],[INCRA]],tabImpostosNacionais[],2,0)</f>
        <v>2E-3</v>
      </c>
      <c r="U57" s="233">
        <f>VLOOKUP(tabParametros[[#Headers],[Salário Educação]],tabImpostosNacionais[],2,0)</f>
        <v>2.5000000000000001E-2</v>
      </c>
      <c r="V57" s="233">
        <f>VLOOKUP(tabParametros[[#Headers],[FGTS]],tabImpostosNacionais[],2,0)</f>
        <v>0.08</v>
      </c>
      <c r="W57" s="233">
        <f>VLOOKUP(tabParametros[[#Headers],[RAT Ajustado]],tabImpostosNacionais[],2,0)</f>
        <v>0.04</v>
      </c>
      <c r="X57" s="233">
        <f>VLOOKUP(tabParametros[[#Headers],[SEBRAE]],tabImpostosNacionais[],2,0)</f>
        <v>6.0000000000000001E-3</v>
      </c>
      <c r="Y57" s="233">
        <f t="shared" si="0"/>
        <v>8.3333333333333329E-2</v>
      </c>
      <c r="Z57" s="233">
        <f t="shared" si="1"/>
        <v>0.1111111111111111</v>
      </c>
      <c r="AA57" s="232">
        <f>VLOOKUP(tabParametros[[#This Row],[Comarca]],tabComarca[],5,0)</f>
        <v>11.25</v>
      </c>
      <c r="AB57" s="232">
        <f>VLOOKUP(tabParametros[[#This Row],[CCT DA CATEGORIA]],tabSindicatos[],6,0)</f>
        <v>28.97</v>
      </c>
      <c r="AC57" s="232">
        <f>VLOOKUP(tabParametros[[#This Row],[CCT DA CATEGORIA]],tabSindicatos[],7,0)</f>
        <v>0</v>
      </c>
      <c r="AD57" s="232" cm="1">
        <f t="array" ref="AD5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18.350000000000001</v>
      </c>
      <c r="AE57" s="232">
        <f>VLOOKUP(tabParametros[[#This Row],[CCT DA CATEGORIA]],tabSindicatos[],9,0)</f>
        <v>0</v>
      </c>
      <c r="AF57" s="232">
        <f>VLOOKUP(tabParametros[[#This Row],[CCT DA CATEGORIA]],tabSindicatos[],10,0)</f>
        <v>0</v>
      </c>
      <c r="AG57" s="234">
        <f>VLOOKUP(tabParametros[[#Headers],[Seguro de Vida]],tabOutrosCustos[],3,0)</f>
        <v>3.36</v>
      </c>
      <c r="AH57" s="234">
        <f>IF(ISNUMBER(SEARCH("MOTORISTA",tabParametros[[#This Row],[Função]],1)),VLOOKUP("MOTORISTAS",tabDiarias[],2,0),IF(tabParametros[[#This Row],[Comarca]]="Belo Horizonte",VLOOKUP("APOIO",tabDiarias[],2,0),0))</f>
        <v>662.42</v>
      </c>
      <c r="AI57" s="233">
        <f t="shared" si="2"/>
        <v>7.011766975308642E-3</v>
      </c>
      <c r="AJ57" s="235">
        <f>tabParametros[[#This Row],[FGTS]]*tabParametros[[#This Row],[Aviso Prévio Indenizado (API) e Reflexo do Aviso Prévio Indenizado]]</f>
        <v>5.609413580246914E-4</v>
      </c>
      <c r="AK57" s="235">
        <f>tabParametros[[#This Row],[FGTS]]*tabParametros[[#This Row],[Aviso Prévio Indenizado (API) e Reflexo do Aviso Prévio Indenizado]]*40%</f>
        <v>2.2437654320987658E-4</v>
      </c>
      <c r="AL57" s="233">
        <f t="shared" si="3"/>
        <v>3.5000000000000005E-3</v>
      </c>
      <c r="AM57" s="233">
        <f>tabParametros[[#This Row],[Aviso Prévio Trabalhado - APT]]*SUM(tabParametros[[#This Row],[INSS]:[SEBRAE]])</f>
        <v>1.3230000000000004E-3</v>
      </c>
      <c r="AN57" s="233">
        <f t="shared" si="4"/>
        <v>3.0577777777777773E-2</v>
      </c>
      <c r="AO57" s="233">
        <f t="shared" si="5"/>
        <v>8.3333333333333339E-4</v>
      </c>
      <c r="AP57" s="233">
        <f t="shared" si="6"/>
        <v>8.4444444444444437E-3</v>
      </c>
      <c r="AQ57" s="233">
        <f t="shared" si="7"/>
        <v>2.0277777777777777E-3</v>
      </c>
      <c r="AR57" s="233">
        <f t="shared" si="8"/>
        <v>1.7083333333333333E-4</v>
      </c>
      <c r="AS57" s="233">
        <f t="shared" si="9"/>
        <v>2.0833333333333335E-4</v>
      </c>
      <c r="AT57" s="233">
        <f t="shared" si="10"/>
        <v>1.2962962962962963E-3</v>
      </c>
      <c r="AU57" s="235">
        <f>SUM(tabParametros[[#This Row],[Ausência por Doença]:[Férias, Adicional de Férias e 13º  com empregada em gozo de Licença Maternidade]])*SUM(tabParametros[[#This Row],[INSS]:[SEBRAE]])</f>
        <v>4.5918250000000008E-3</v>
      </c>
      <c r="AV57" s="254">
        <f>IF(tabParametros[[#This Row],[Função]]="Porteiro - 220 h",SUM(tabParametros[[#This Row],[Salário Base]:[Adicional de Acúmulo de função]])/220*20*1.5,IF(ISNUMBER(SEARCH("12 x 36",tabParametros[[#This Row],[Função]],1)),SUM(tabParametros[[#This Row],[Salário Base]:[Adicional de Acúmulo de função]])/210*15.5*1.5,0))</f>
        <v>504.64357437593583</v>
      </c>
      <c r="AW57" s="232">
        <f>IF(tabParametros[[#This Row],[Vagas contratadas]]&gt;0,(SUM(tabParametros[[#This Row],[Salário Base]:[Adicional de Acúmulo de função]])*30%+SUM(tabParametros[[#This Row],[Vale - Alimentação]:[Seguro de Vida]]))/tabParametros[[#This Row],[Vagas contratadas]]*tabParametros[[#This Row],[Vagas suspensas]],0)</f>
        <v>0</v>
      </c>
      <c r="AX57" s="232">
        <f>SUMIF(tabUniformes[Cargo],tabParametros[[#This Row],[Função]],tabUniformes[Valor unit. Mensal])</f>
        <v>92.100763771570698</v>
      </c>
      <c r="AY5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5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5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7" s="232">
        <v>0</v>
      </c>
      <c r="BC57" s="234" t="e">
        <f ca="1">VLOOKUP(tabParametros[[#Headers],[Custos Indiretos]],tabOutrosCustos[],3,0)</f>
        <v>#NAME?</v>
      </c>
      <c r="BD57" s="234" t="e">
        <f ca="1">VLOOKUP(tabParametros[[#Headers],[Lucro]],tabOutrosCustos[],3,0)</f>
        <v>#NAME?</v>
      </c>
      <c r="BE57" s="233">
        <f>VLOOKUP(tabParametros[[#Headers],[COFINS]],tabImpostosNacionais[],2,0)</f>
        <v>7.5999999999999998E-2</v>
      </c>
      <c r="BF57" s="233">
        <f>VLOOKUP(tabParametros[[#Headers],[PIS]],tabImpostosNacionais[],2,0)</f>
        <v>1.6500000000000001E-2</v>
      </c>
      <c r="BG57" s="233">
        <f>VLOOKUP(tabParametros[[#This Row],[Comarca]],tabComarca[],4,0)</f>
        <v>0.05</v>
      </c>
      <c r="BH57" s="236">
        <f>VLOOKUP(tabParametros[[#This Row],[CCT DA CATEGORIA]],tabSindicatos[],11,0)</f>
        <v>45658</v>
      </c>
      <c r="BI57" s="282" t="str">
        <f>VLOOKUP(tabParametros[[#This Row],[CCT DA CATEGORIA]],tabSindicatos[],12,0)</f>
        <v>-</v>
      </c>
      <c r="BJ57" s="285" t="str">
        <f>VLOOKUP(tabParametros[[#This Row],[CCT DA CATEGORIA]],tabSindicatos[],13,0)</f>
        <v>-</v>
      </c>
    </row>
    <row r="58" spans="1:62">
      <c r="A58" s="231" t="s">
        <v>1435</v>
      </c>
      <c r="B58" s="197" t="s">
        <v>1103</v>
      </c>
      <c r="C58" s="197" t="s">
        <v>269</v>
      </c>
      <c r="D58" s="197" t="str">
        <f>VLOOKUP(tabParametros[[#This Row],[Código do Posto]],tabPostos[],4,0)</f>
        <v>Rodoviarios de Belo Horizonte + SEAC-MG</v>
      </c>
      <c r="E58" s="282" t="str">
        <f>VLOOKUP(tabParametros[[#This Row],[Código do Posto]],tabPostos[],5,0)</f>
        <v>Apoio</v>
      </c>
      <c r="F58" s="282" t="str">
        <f>VLOOKUP(tabParametros[[#This Row],[Código do Posto]],tabPostos[],6,0)</f>
        <v>PGJ</v>
      </c>
      <c r="G58" s="282">
        <f>VLOOKUP(tabParametros[[#This Row],[Código do Posto]],tabPostos[],7,0)</f>
        <v>1</v>
      </c>
      <c r="H58" s="282">
        <f>VLOOKUP(tabParametros[[#This Row],[Código do Posto]],tabPostos[],8,0)</f>
        <v>0</v>
      </c>
      <c r="I58" s="232">
        <f>VLOOKUP(tabParametros[[#This Row],[Código do Posto]],tabPostos[],9,0)</f>
        <v>3107.775677974972</v>
      </c>
      <c r="J58" s="232">
        <f>IF(ISNUMBER(SEARCH("Eletricista",tabParametros[[#This Row],[Função]],1)),0.3*tabParametros[[#This Row],[Salário Base]],0)</f>
        <v>0</v>
      </c>
      <c r="K5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58" s="232">
        <f>IF(AND(ISNUMBER(SEARCH("Noturno",tabParametros[[#This Row],[Função]],1)),tabParametros[[#This Row],[Comarca]]&lt;&gt;"Juiz de Fora"),tabParametros[[#This Row],[Salário Base]]/210*0.39*7*15.5,IF(ISNUMBER(SEARCH("Noturno",tabParametros[[#This Row],[Função]],1)),tabParametros[[#This Row],[Salário Base]]/210*0.2*8*15.5,0))</f>
        <v>0</v>
      </c>
      <c r="M58" s="232">
        <f>IF(ISNUMBER(SEARCH("Motorista II",tabParametros[[#This Row],[Função]],1)),0.3022*tabParametros[[#This Row],[Salário Base]],0)</f>
        <v>0</v>
      </c>
      <c r="N58" s="254">
        <v>0</v>
      </c>
      <c r="O58" s="254">
        <f>IF(ISNUMBER(SEARCH("TECNOLOGIA DA INFORMACAO",tabParametros[[#This Row],[Função]],1)),0.056*tabParametros[[#This Row],[Salário Base]],0)</f>
        <v>0</v>
      </c>
      <c r="P58" s="232">
        <f>IF(tabParametros[[#This Row],[Função]]="Operador de Midia Audiovisual - 150 h",tabParametros[[#This Row],[Salário Base]]/150*50*30%,IF(tabParametros[[#This Row],[Função]]="Supervisor de Manutencao de Veiculos II - 220 h",12%*tabParametros[[#This Row],[Salário Base]],0))</f>
        <v>0</v>
      </c>
      <c r="Q58" s="233">
        <f>VLOOKUP(tabParametros[[#Headers],[INSS]],tabImpostosNacionais[],2,0)</f>
        <v>0.2</v>
      </c>
      <c r="R58" s="233">
        <f>VLOOKUP(tabParametros[[#Headers],[SESI OU SESC]],tabImpostosNacionais[],2,0)</f>
        <v>1.4999999999999999E-2</v>
      </c>
      <c r="S58" s="233">
        <f>VLOOKUP(tabParametros[[#Headers],[SENAI OU SENAC]],tabImpostosNacionais[],2,0)</f>
        <v>0.01</v>
      </c>
      <c r="T58" s="233">
        <f>VLOOKUP(tabParametros[[#Headers],[INCRA]],tabImpostosNacionais[],2,0)</f>
        <v>2E-3</v>
      </c>
      <c r="U58" s="233">
        <f>VLOOKUP(tabParametros[[#Headers],[Salário Educação]],tabImpostosNacionais[],2,0)</f>
        <v>2.5000000000000001E-2</v>
      </c>
      <c r="V58" s="233">
        <f>VLOOKUP(tabParametros[[#Headers],[FGTS]],tabImpostosNacionais[],2,0)</f>
        <v>0.08</v>
      </c>
      <c r="W58" s="233">
        <f>VLOOKUP(tabParametros[[#Headers],[RAT Ajustado]],tabImpostosNacionais[],2,0)</f>
        <v>0.04</v>
      </c>
      <c r="X58" s="233">
        <f>VLOOKUP(tabParametros[[#Headers],[SEBRAE]],tabImpostosNacionais[],2,0)</f>
        <v>6.0000000000000001E-3</v>
      </c>
      <c r="Y58" s="233">
        <f t="shared" si="0"/>
        <v>8.3333333333333329E-2</v>
      </c>
      <c r="Z58" s="233">
        <f t="shared" si="1"/>
        <v>0.1111111111111111</v>
      </c>
      <c r="AA58" s="232">
        <f>VLOOKUP(tabParametros[[#This Row],[Comarca]],tabComarca[],5,0)</f>
        <v>11.25</v>
      </c>
      <c r="AB58" s="232">
        <f>VLOOKUP(tabParametros[[#This Row],[CCT DA CATEGORIA]],tabSindicatos[],6,0)</f>
        <v>28.97</v>
      </c>
      <c r="AC58" s="232">
        <f>VLOOKUP(tabParametros[[#This Row],[CCT DA CATEGORIA]],tabSindicatos[],7,0)</f>
        <v>0</v>
      </c>
      <c r="AD58" s="232" cm="1">
        <f t="array" ref="AD5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18.350000000000001</v>
      </c>
      <c r="AE58" s="232">
        <f>VLOOKUP(tabParametros[[#This Row],[CCT DA CATEGORIA]],tabSindicatos[],9,0)</f>
        <v>0</v>
      </c>
      <c r="AF58" s="232">
        <f>VLOOKUP(tabParametros[[#This Row],[CCT DA CATEGORIA]],tabSindicatos[],10,0)</f>
        <v>0</v>
      </c>
      <c r="AG58" s="234">
        <f>VLOOKUP(tabParametros[[#Headers],[Seguro de Vida]],tabOutrosCustos[],3,0)</f>
        <v>3.36</v>
      </c>
      <c r="AH58" s="234">
        <f>IF(ISNUMBER(SEARCH("MOTORISTA",tabParametros[[#This Row],[Função]],1)),VLOOKUP("MOTORISTAS",tabDiarias[],2,0),IF(tabParametros[[#This Row],[Comarca]]="Belo Horizonte",VLOOKUP("APOIO",tabDiarias[],2,0),0))</f>
        <v>662.42</v>
      </c>
      <c r="AI58" s="233">
        <f t="shared" si="2"/>
        <v>7.011766975308642E-3</v>
      </c>
      <c r="AJ58" s="235">
        <f>tabParametros[[#This Row],[FGTS]]*tabParametros[[#This Row],[Aviso Prévio Indenizado (API) e Reflexo do Aviso Prévio Indenizado]]</f>
        <v>5.609413580246914E-4</v>
      </c>
      <c r="AK58" s="235">
        <f>tabParametros[[#This Row],[FGTS]]*tabParametros[[#This Row],[Aviso Prévio Indenizado (API) e Reflexo do Aviso Prévio Indenizado]]*40%</f>
        <v>2.2437654320987658E-4</v>
      </c>
      <c r="AL58" s="233">
        <f t="shared" si="3"/>
        <v>3.5000000000000005E-3</v>
      </c>
      <c r="AM58" s="233">
        <f>tabParametros[[#This Row],[Aviso Prévio Trabalhado - APT]]*SUM(tabParametros[[#This Row],[INSS]:[SEBRAE]])</f>
        <v>1.3230000000000004E-3</v>
      </c>
      <c r="AN58" s="233">
        <f t="shared" si="4"/>
        <v>3.0577777777777773E-2</v>
      </c>
      <c r="AO58" s="233">
        <f t="shared" si="5"/>
        <v>8.3333333333333339E-4</v>
      </c>
      <c r="AP58" s="233">
        <f t="shared" si="6"/>
        <v>8.4444444444444437E-3</v>
      </c>
      <c r="AQ58" s="233">
        <f t="shared" si="7"/>
        <v>2.0277777777777777E-3</v>
      </c>
      <c r="AR58" s="233">
        <f t="shared" si="8"/>
        <v>1.7083333333333333E-4</v>
      </c>
      <c r="AS58" s="233">
        <f t="shared" si="9"/>
        <v>2.0833333333333335E-4</v>
      </c>
      <c r="AT58" s="233">
        <f t="shared" si="10"/>
        <v>1.2962962962962963E-3</v>
      </c>
      <c r="AU58" s="235">
        <f>SUM(tabParametros[[#This Row],[Ausência por Doença]:[Férias, Adicional de Férias e 13º  com empregada em gozo de Licença Maternidade]])*SUM(tabParametros[[#This Row],[INSS]:[SEBRAE]])</f>
        <v>4.5918250000000008E-3</v>
      </c>
      <c r="AV58" s="254">
        <f>IF(tabParametros[[#This Row],[Função]]="Porteiro - 220 h",SUM(tabParametros[[#This Row],[Salário Base]:[Adicional de Acúmulo de função]])/220*20*1.5,IF(ISNUMBER(SEARCH("12 x 36",tabParametros[[#This Row],[Função]],1)),SUM(tabParametros[[#This Row],[Salário Base]:[Adicional de Acúmulo de função]])/210*15.5*1.5,0))</f>
        <v>0</v>
      </c>
      <c r="AW58" s="232">
        <f>IF(tabParametros[[#This Row],[Vagas contratadas]]&gt;0,(SUM(tabParametros[[#This Row],[Salário Base]:[Adicional de Acúmulo de função]])*30%+SUM(tabParametros[[#This Row],[Vale - Alimentação]:[Seguro de Vida]]))/tabParametros[[#This Row],[Vagas contratadas]]*tabParametros[[#This Row],[Vagas suspensas]],0)</f>
        <v>0</v>
      </c>
      <c r="AX58" s="232">
        <f>SUMIF(tabUniformes[Cargo],tabParametros[[#This Row],[Função]],tabUniformes[Valor unit. Mensal])</f>
        <v>92.100763771570698</v>
      </c>
      <c r="AY5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5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5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8" s="232">
        <v>0</v>
      </c>
      <c r="BC58" s="234" t="e">
        <f ca="1">VLOOKUP(tabParametros[[#Headers],[Custos Indiretos]],tabOutrosCustos[],3,0)</f>
        <v>#NAME?</v>
      </c>
      <c r="BD58" s="234" t="e">
        <f ca="1">VLOOKUP(tabParametros[[#Headers],[Lucro]],tabOutrosCustos[],3,0)</f>
        <v>#NAME?</v>
      </c>
      <c r="BE58" s="233">
        <f>VLOOKUP(tabParametros[[#Headers],[COFINS]],tabImpostosNacionais[],2,0)</f>
        <v>7.5999999999999998E-2</v>
      </c>
      <c r="BF58" s="233">
        <f>VLOOKUP(tabParametros[[#Headers],[PIS]],tabImpostosNacionais[],2,0)</f>
        <v>1.6500000000000001E-2</v>
      </c>
      <c r="BG58" s="233">
        <f>VLOOKUP(tabParametros[[#This Row],[Comarca]],tabComarca[],4,0)</f>
        <v>0.05</v>
      </c>
      <c r="BH58" s="236">
        <f>VLOOKUP(tabParametros[[#This Row],[CCT DA CATEGORIA]],tabSindicatos[],11,0)</f>
        <v>45658</v>
      </c>
      <c r="BI58" s="282" t="str">
        <f>VLOOKUP(tabParametros[[#This Row],[CCT DA CATEGORIA]],tabSindicatos[],12,0)</f>
        <v>-</v>
      </c>
      <c r="BJ58" s="285" t="str">
        <f>VLOOKUP(tabParametros[[#This Row],[CCT DA CATEGORIA]],tabSindicatos[],13,0)</f>
        <v>-</v>
      </c>
    </row>
    <row r="59" spans="1:62">
      <c r="A59" s="231" t="s">
        <v>1436</v>
      </c>
      <c r="B59" s="197" t="s">
        <v>1103</v>
      </c>
      <c r="C59" s="197" t="s">
        <v>274</v>
      </c>
      <c r="D59" s="197" t="str">
        <f>VLOOKUP(tabParametros[[#This Row],[Código do Posto]],tabPostos[],4,0)</f>
        <v>Rodoviarios de Belo Horizonte + SEAC-MG</v>
      </c>
      <c r="E59" s="282" t="str">
        <f>VLOOKUP(tabParametros[[#This Row],[Código do Posto]],tabPostos[],5,0)</f>
        <v>Apoio</v>
      </c>
      <c r="F59" s="282" t="str">
        <f>VLOOKUP(tabParametros[[#This Row],[Código do Posto]],tabPostos[],6,0)</f>
        <v>PGJ</v>
      </c>
      <c r="G59" s="282">
        <f>VLOOKUP(tabParametros[[#This Row],[Código do Posto]],tabPostos[],7,0)</f>
        <v>91</v>
      </c>
      <c r="H59" s="282">
        <f>VLOOKUP(tabParametros[[#This Row],[Código do Posto]],tabPostos[],8,0)</f>
        <v>0</v>
      </c>
      <c r="I59" s="232">
        <f>VLOOKUP(tabParametros[[#This Row],[Código do Posto]],tabPostos[],9,0)</f>
        <v>4558.0709943632919</v>
      </c>
      <c r="J59" s="232">
        <f>IF(ISNUMBER(SEARCH("Eletricista",tabParametros[[#This Row],[Função]],1)),0.3*tabParametros[[#This Row],[Salário Base]],0)</f>
        <v>0</v>
      </c>
      <c r="K5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59" s="232">
        <f>IF(AND(ISNUMBER(SEARCH("Noturno",tabParametros[[#This Row],[Função]],1)),tabParametros[[#This Row],[Comarca]]&lt;&gt;"Juiz de Fora"),tabParametros[[#This Row],[Salário Base]]/210*0.39*7*15.5,IF(ISNUMBER(SEARCH("Noturno",tabParametros[[#This Row],[Função]],1)),tabParametros[[#This Row],[Salário Base]]/210*0.2*8*15.5,0))</f>
        <v>0</v>
      </c>
      <c r="M59" s="232">
        <f>IF(ISNUMBER(SEARCH("Motorista II",tabParametros[[#This Row],[Função]],1)),0.3022*tabParametros[[#This Row],[Salário Base]],0)</f>
        <v>0</v>
      </c>
      <c r="N59" s="254">
        <v>0</v>
      </c>
      <c r="O59" s="254">
        <f>IF(ISNUMBER(SEARCH("TECNOLOGIA DA INFORMACAO",tabParametros[[#This Row],[Função]],1)),0.056*tabParametros[[#This Row],[Salário Base]],0)</f>
        <v>0</v>
      </c>
      <c r="P59" s="232">
        <f>IF(tabParametros[[#This Row],[Função]]="Operador de Midia Audiovisual - 150 h",tabParametros[[#This Row],[Salário Base]]/150*50*30%,IF(tabParametros[[#This Row],[Função]]="Supervisor de Manutencao de Veiculos II - 220 h",12%*tabParametros[[#This Row],[Salário Base]],0))</f>
        <v>0</v>
      </c>
      <c r="Q59" s="233">
        <f>VLOOKUP(tabParametros[[#Headers],[INSS]],tabImpostosNacionais[],2,0)</f>
        <v>0.2</v>
      </c>
      <c r="R59" s="233">
        <f>VLOOKUP(tabParametros[[#Headers],[SESI OU SESC]],tabImpostosNacionais[],2,0)</f>
        <v>1.4999999999999999E-2</v>
      </c>
      <c r="S59" s="233">
        <f>VLOOKUP(tabParametros[[#Headers],[SENAI OU SENAC]],tabImpostosNacionais[],2,0)</f>
        <v>0.01</v>
      </c>
      <c r="T59" s="233">
        <f>VLOOKUP(tabParametros[[#Headers],[INCRA]],tabImpostosNacionais[],2,0)</f>
        <v>2E-3</v>
      </c>
      <c r="U59" s="233">
        <f>VLOOKUP(tabParametros[[#Headers],[Salário Educação]],tabImpostosNacionais[],2,0)</f>
        <v>2.5000000000000001E-2</v>
      </c>
      <c r="V59" s="233">
        <f>VLOOKUP(tabParametros[[#Headers],[FGTS]],tabImpostosNacionais[],2,0)</f>
        <v>0.08</v>
      </c>
      <c r="W59" s="233">
        <f>VLOOKUP(tabParametros[[#Headers],[RAT Ajustado]],tabImpostosNacionais[],2,0)</f>
        <v>0.04</v>
      </c>
      <c r="X59" s="233">
        <f>VLOOKUP(tabParametros[[#Headers],[SEBRAE]],tabImpostosNacionais[],2,0)</f>
        <v>6.0000000000000001E-3</v>
      </c>
      <c r="Y59" s="233">
        <f t="shared" si="0"/>
        <v>8.3333333333333329E-2</v>
      </c>
      <c r="Z59" s="233">
        <f t="shared" si="1"/>
        <v>0.1111111111111111</v>
      </c>
      <c r="AA59" s="232">
        <f>VLOOKUP(tabParametros[[#This Row],[Comarca]],tabComarca[],5,0)</f>
        <v>11.25</v>
      </c>
      <c r="AB59" s="232">
        <f>VLOOKUP(tabParametros[[#This Row],[CCT DA CATEGORIA]],tabSindicatos[],6,0)</f>
        <v>28.97</v>
      </c>
      <c r="AC59" s="232">
        <f>VLOOKUP(tabParametros[[#This Row],[CCT DA CATEGORIA]],tabSindicatos[],7,0)</f>
        <v>0</v>
      </c>
      <c r="AD59" s="232" cm="1">
        <f t="array" ref="AD5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18.350000000000001</v>
      </c>
      <c r="AE59" s="232">
        <f>VLOOKUP(tabParametros[[#This Row],[CCT DA CATEGORIA]],tabSindicatos[],9,0)</f>
        <v>0</v>
      </c>
      <c r="AF59" s="232">
        <f>VLOOKUP(tabParametros[[#This Row],[CCT DA CATEGORIA]],tabSindicatos[],10,0)</f>
        <v>0</v>
      </c>
      <c r="AG59" s="234">
        <f>VLOOKUP(tabParametros[[#Headers],[Seguro de Vida]],tabOutrosCustos[],3,0)</f>
        <v>3.36</v>
      </c>
      <c r="AH59" s="234">
        <f>IF(ISNUMBER(SEARCH("MOTORISTA",tabParametros[[#This Row],[Função]],1)),VLOOKUP("MOTORISTAS",tabDiarias[],2,0),IF(tabParametros[[#This Row],[Comarca]]="Belo Horizonte",VLOOKUP("APOIO",tabDiarias[],2,0),0))</f>
        <v>662.42</v>
      </c>
      <c r="AI59" s="233">
        <f t="shared" si="2"/>
        <v>7.011766975308642E-3</v>
      </c>
      <c r="AJ59" s="235">
        <f>tabParametros[[#This Row],[FGTS]]*tabParametros[[#This Row],[Aviso Prévio Indenizado (API) e Reflexo do Aviso Prévio Indenizado]]</f>
        <v>5.609413580246914E-4</v>
      </c>
      <c r="AK59" s="235">
        <f>tabParametros[[#This Row],[FGTS]]*tabParametros[[#This Row],[Aviso Prévio Indenizado (API) e Reflexo do Aviso Prévio Indenizado]]*40%</f>
        <v>2.2437654320987658E-4</v>
      </c>
      <c r="AL59" s="233">
        <f t="shared" si="3"/>
        <v>3.5000000000000005E-3</v>
      </c>
      <c r="AM59" s="233">
        <f>tabParametros[[#This Row],[Aviso Prévio Trabalhado - APT]]*SUM(tabParametros[[#This Row],[INSS]:[SEBRAE]])</f>
        <v>1.3230000000000004E-3</v>
      </c>
      <c r="AN59" s="233">
        <f t="shared" si="4"/>
        <v>3.0577777777777773E-2</v>
      </c>
      <c r="AO59" s="233">
        <f t="shared" si="5"/>
        <v>8.3333333333333339E-4</v>
      </c>
      <c r="AP59" s="233">
        <f t="shared" si="6"/>
        <v>8.4444444444444437E-3</v>
      </c>
      <c r="AQ59" s="233">
        <f t="shared" si="7"/>
        <v>2.0277777777777777E-3</v>
      </c>
      <c r="AR59" s="233">
        <f t="shared" si="8"/>
        <v>1.7083333333333333E-4</v>
      </c>
      <c r="AS59" s="233">
        <f t="shared" si="9"/>
        <v>2.0833333333333335E-4</v>
      </c>
      <c r="AT59" s="233">
        <f t="shared" si="10"/>
        <v>1.2962962962962963E-3</v>
      </c>
      <c r="AU59" s="235">
        <f>SUM(tabParametros[[#This Row],[Ausência por Doença]:[Férias, Adicional de Férias e 13º  com empregada em gozo de Licença Maternidade]])*SUM(tabParametros[[#This Row],[INSS]:[SEBRAE]])</f>
        <v>4.5918250000000008E-3</v>
      </c>
      <c r="AV59" s="254">
        <f>IF(tabParametros[[#This Row],[Função]]="Porteiro - 220 h",SUM(tabParametros[[#This Row],[Salário Base]:[Adicional de Acúmulo de função]])/220*20*1.5,IF(ISNUMBER(SEARCH("12 x 36",tabParametros[[#This Row],[Função]],1)),SUM(tabParametros[[#This Row],[Salário Base]:[Adicional de Acúmulo de função]])/210*15.5*1.5,0))</f>
        <v>0</v>
      </c>
      <c r="AW59" s="232">
        <f>IF(tabParametros[[#This Row],[Vagas contratadas]]&gt;0,(SUM(tabParametros[[#This Row],[Salário Base]:[Adicional de Acúmulo de função]])*30%+SUM(tabParametros[[#This Row],[Vale - Alimentação]:[Seguro de Vida]]))/tabParametros[[#This Row],[Vagas contratadas]]*tabParametros[[#This Row],[Vagas suspensas]],0)</f>
        <v>0</v>
      </c>
      <c r="AX59" s="232">
        <f>SUMIF(tabUniformes[Cargo],tabParametros[[#This Row],[Função]],tabUniformes[Valor unit. Mensal])</f>
        <v>92.100763771570698</v>
      </c>
      <c r="AY5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5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5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59" s="232">
        <v>0</v>
      </c>
      <c r="BC59" s="234" t="e">
        <f ca="1">VLOOKUP(tabParametros[[#Headers],[Custos Indiretos]],tabOutrosCustos[],3,0)</f>
        <v>#NAME?</v>
      </c>
      <c r="BD59" s="234" t="e">
        <f ca="1">VLOOKUP(tabParametros[[#Headers],[Lucro]],tabOutrosCustos[],3,0)</f>
        <v>#NAME?</v>
      </c>
      <c r="BE59" s="233">
        <f>VLOOKUP(tabParametros[[#Headers],[COFINS]],tabImpostosNacionais[],2,0)</f>
        <v>7.5999999999999998E-2</v>
      </c>
      <c r="BF59" s="233">
        <f>VLOOKUP(tabParametros[[#Headers],[PIS]],tabImpostosNacionais[],2,0)</f>
        <v>1.6500000000000001E-2</v>
      </c>
      <c r="BG59" s="233">
        <f>VLOOKUP(tabParametros[[#This Row],[Comarca]],tabComarca[],4,0)</f>
        <v>0.05</v>
      </c>
      <c r="BH59" s="236">
        <f>VLOOKUP(tabParametros[[#This Row],[CCT DA CATEGORIA]],tabSindicatos[],11,0)</f>
        <v>45658</v>
      </c>
      <c r="BI59" s="282" t="str">
        <f>VLOOKUP(tabParametros[[#This Row],[CCT DA CATEGORIA]],tabSindicatos[],12,0)</f>
        <v>-</v>
      </c>
      <c r="BJ59" s="285" t="str">
        <f>VLOOKUP(tabParametros[[#This Row],[CCT DA CATEGORIA]],tabSindicatos[],13,0)</f>
        <v>-</v>
      </c>
    </row>
    <row r="60" spans="1:62">
      <c r="A60" s="231" t="s">
        <v>1446</v>
      </c>
      <c r="B60" s="197" t="s">
        <v>1103</v>
      </c>
      <c r="C60" s="197" t="s">
        <v>279</v>
      </c>
      <c r="D60" s="197" t="str">
        <f>VLOOKUP(tabParametros[[#This Row],[Código do Posto]],tabPostos[],4,0)</f>
        <v>Rodoviarios de Belo Horizonte + SEAC-MG</v>
      </c>
      <c r="E60" s="282" t="str">
        <f>VLOOKUP(tabParametros[[#This Row],[Código do Posto]],tabPostos[],5,0)</f>
        <v>Apoio</v>
      </c>
      <c r="F60" s="282" t="str">
        <f>VLOOKUP(tabParametros[[#This Row],[Código do Posto]],tabPostos[],6,0)</f>
        <v>PGJ</v>
      </c>
      <c r="G60" s="282">
        <f>VLOOKUP(tabParametros[[#This Row],[Código do Posto]],tabPostos[],7,0)</f>
        <v>13</v>
      </c>
      <c r="H60" s="282">
        <f>VLOOKUP(tabParametros[[#This Row],[Código do Posto]],tabPostos[],8,0)</f>
        <v>0</v>
      </c>
      <c r="I60" s="232">
        <f>VLOOKUP(tabParametros[[#This Row],[Código do Posto]],tabPostos[],9,0)</f>
        <v>4558.0709943632919</v>
      </c>
      <c r="J60" s="232">
        <f>IF(ISNUMBER(SEARCH("Eletricista",tabParametros[[#This Row],[Função]],1)),0.3*tabParametros[[#This Row],[Salário Base]],0)</f>
        <v>0</v>
      </c>
      <c r="K6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0" s="232">
        <f>IF(AND(ISNUMBER(SEARCH("Noturno",tabParametros[[#This Row],[Função]],1)),tabParametros[[#This Row],[Comarca]]&lt;&gt;"Juiz de Fora"),tabParametros[[#This Row],[Salário Base]]/210*0.39*7*15.5,IF(ISNUMBER(SEARCH("Noturno",tabParametros[[#This Row],[Função]],1)),tabParametros[[#This Row],[Salário Base]]/210*0.2*8*15.5,0))</f>
        <v>0</v>
      </c>
      <c r="M60" s="232">
        <f>IF(ISNUMBER(SEARCH("Motorista II",tabParametros[[#This Row],[Função]],1)),0.3022*tabParametros[[#This Row],[Salário Base]],0)</f>
        <v>1377.449054496587</v>
      </c>
      <c r="N60" s="254">
        <v>0</v>
      </c>
      <c r="O60" s="254">
        <f>IF(ISNUMBER(SEARCH("TECNOLOGIA DA INFORMACAO",tabParametros[[#This Row],[Função]],1)),0.056*tabParametros[[#This Row],[Salário Base]],0)</f>
        <v>0</v>
      </c>
      <c r="P60" s="232">
        <f>IF(tabParametros[[#This Row],[Função]]="Operador de Midia Audiovisual - 150 h",tabParametros[[#This Row],[Salário Base]]/150*50*30%,IF(tabParametros[[#This Row],[Função]]="Supervisor de Manutencao de Veiculos II - 220 h",12%*tabParametros[[#This Row],[Salário Base]],0))</f>
        <v>0</v>
      </c>
      <c r="Q60" s="233">
        <f>VLOOKUP(tabParametros[[#Headers],[INSS]],tabImpostosNacionais[],2,0)</f>
        <v>0.2</v>
      </c>
      <c r="R60" s="233">
        <f>VLOOKUP(tabParametros[[#Headers],[SESI OU SESC]],tabImpostosNacionais[],2,0)</f>
        <v>1.4999999999999999E-2</v>
      </c>
      <c r="S60" s="233">
        <f>VLOOKUP(tabParametros[[#Headers],[SENAI OU SENAC]],tabImpostosNacionais[],2,0)</f>
        <v>0.01</v>
      </c>
      <c r="T60" s="233">
        <f>VLOOKUP(tabParametros[[#Headers],[INCRA]],tabImpostosNacionais[],2,0)</f>
        <v>2E-3</v>
      </c>
      <c r="U60" s="233">
        <f>VLOOKUP(tabParametros[[#Headers],[Salário Educação]],tabImpostosNacionais[],2,0)</f>
        <v>2.5000000000000001E-2</v>
      </c>
      <c r="V60" s="233">
        <f>VLOOKUP(tabParametros[[#Headers],[FGTS]],tabImpostosNacionais[],2,0)</f>
        <v>0.08</v>
      </c>
      <c r="W60" s="233">
        <f>VLOOKUP(tabParametros[[#Headers],[RAT Ajustado]],tabImpostosNacionais[],2,0)</f>
        <v>0.04</v>
      </c>
      <c r="X60" s="233">
        <f>VLOOKUP(tabParametros[[#Headers],[SEBRAE]],tabImpostosNacionais[],2,0)</f>
        <v>6.0000000000000001E-3</v>
      </c>
      <c r="Y60" s="233">
        <f t="shared" si="0"/>
        <v>8.3333333333333329E-2</v>
      </c>
      <c r="Z60" s="233">
        <f t="shared" si="1"/>
        <v>0.1111111111111111</v>
      </c>
      <c r="AA60" s="232">
        <f>VLOOKUP(tabParametros[[#This Row],[Comarca]],tabComarca[],5,0)</f>
        <v>11.25</v>
      </c>
      <c r="AB60" s="232">
        <f>VLOOKUP(tabParametros[[#This Row],[CCT DA CATEGORIA]],tabSindicatos[],6,0)</f>
        <v>28.97</v>
      </c>
      <c r="AC60" s="232">
        <f>VLOOKUP(tabParametros[[#This Row],[CCT DA CATEGORIA]],tabSindicatos[],7,0)</f>
        <v>0</v>
      </c>
      <c r="AD60" s="232" cm="1">
        <f t="array" ref="AD6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18.350000000000001</v>
      </c>
      <c r="AE60" s="232">
        <f>VLOOKUP(tabParametros[[#This Row],[CCT DA CATEGORIA]],tabSindicatos[],9,0)</f>
        <v>0</v>
      </c>
      <c r="AF60" s="232">
        <f>VLOOKUP(tabParametros[[#This Row],[CCT DA CATEGORIA]],tabSindicatos[],10,0)</f>
        <v>0</v>
      </c>
      <c r="AG60" s="234">
        <f>VLOOKUP(tabParametros[[#Headers],[Seguro de Vida]],tabOutrosCustos[],3,0)</f>
        <v>3.36</v>
      </c>
      <c r="AH60" s="234">
        <f>IF(ISNUMBER(SEARCH("MOTORISTA",tabParametros[[#This Row],[Função]],1)),VLOOKUP("MOTORISTAS",tabDiarias[],2,0),IF(tabParametros[[#This Row],[Comarca]]="Belo Horizonte",VLOOKUP("APOIO",tabDiarias[],2,0),0))</f>
        <v>662.42</v>
      </c>
      <c r="AI60" s="233">
        <f t="shared" si="2"/>
        <v>7.011766975308642E-3</v>
      </c>
      <c r="AJ60" s="235">
        <f>tabParametros[[#This Row],[FGTS]]*tabParametros[[#This Row],[Aviso Prévio Indenizado (API) e Reflexo do Aviso Prévio Indenizado]]</f>
        <v>5.609413580246914E-4</v>
      </c>
      <c r="AK60" s="235">
        <f>tabParametros[[#This Row],[FGTS]]*tabParametros[[#This Row],[Aviso Prévio Indenizado (API) e Reflexo do Aviso Prévio Indenizado]]*40%</f>
        <v>2.2437654320987658E-4</v>
      </c>
      <c r="AL60" s="233">
        <f t="shared" si="3"/>
        <v>3.5000000000000005E-3</v>
      </c>
      <c r="AM60" s="233">
        <f>tabParametros[[#This Row],[Aviso Prévio Trabalhado - APT]]*SUM(tabParametros[[#This Row],[INSS]:[SEBRAE]])</f>
        <v>1.3230000000000004E-3</v>
      </c>
      <c r="AN60" s="233">
        <f t="shared" si="4"/>
        <v>3.0577777777777773E-2</v>
      </c>
      <c r="AO60" s="233">
        <f t="shared" si="5"/>
        <v>8.3333333333333339E-4</v>
      </c>
      <c r="AP60" s="233">
        <f t="shared" si="6"/>
        <v>8.4444444444444437E-3</v>
      </c>
      <c r="AQ60" s="233">
        <f t="shared" si="7"/>
        <v>2.0277777777777777E-3</v>
      </c>
      <c r="AR60" s="233">
        <f t="shared" si="8"/>
        <v>1.7083333333333333E-4</v>
      </c>
      <c r="AS60" s="233">
        <f t="shared" si="9"/>
        <v>2.0833333333333335E-4</v>
      </c>
      <c r="AT60" s="233">
        <f t="shared" si="10"/>
        <v>1.2962962962962963E-3</v>
      </c>
      <c r="AU60" s="235">
        <f>SUM(tabParametros[[#This Row],[Ausência por Doença]:[Férias, Adicional de Férias e 13º  com empregada em gozo de Licença Maternidade]])*SUM(tabParametros[[#This Row],[INSS]:[SEBRAE]])</f>
        <v>4.5918250000000008E-3</v>
      </c>
      <c r="AV60" s="254">
        <f>IF(tabParametros[[#This Row],[Função]]="Porteiro - 220 h",SUM(tabParametros[[#This Row],[Salário Base]:[Adicional de Acúmulo de função]])/220*20*1.5,IF(ISNUMBER(SEARCH("12 x 36",tabParametros[[#This Row],[Função]],1)),SUM(tabParametros[[#This Row],[Salário Base]:[Adicional de Acúmulo de função]])/210*15.5*1.5,0))</f>
        <v>0</v>
      </c>
      <c r="AW60" s="232">
        <f>IF(tabParametros[[#This Row],[Vagas contratadas]]&gt;0,(SUM(tabParametros[[#This Row],[Salário Base]:[Adicional de Acúmulo de função]])*30%+SUM(tabParametros[[#This Row],[Vale - Alimentação]:[Seguro de Vida]]))/tabParametros[[#This Row],[Vagas contratadas]]*tabParametros[[#This Row],[Vagas suspensas]],0)</f>
        <v>0</v>
      </c>
      <c r="AX60" s="232">
        <f>SUMIF(tabUniformes[Cargo],tabParametros[[#This Row],[Função]],tabUniformes[Valor unit. Mensal])</f>
        <v>92.100763771570712</v>
      </c>
      <c r="AY6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0" s="232">
        <v>0</v>
      </c>
      <c r="BC60" s="234" t="e">
        <f ca="1">VLOOKUP(tabParametros[[#Headers],[Custos Indiretos]],tabOutrosCustos[],3,0)</f>
        <v>#NAME?</v>
      </c>
      <c r="BD60" s="234" t="e">
        <f ca="1">VLOOKUP(tabParametros[[#Headers],[Lucro]],tabOutrosCustos[],3,0)</f>
        <v>#NAME?</v>
      </c>
      <c r="BE60" s="233">
        <f>VLOOKUP(tabParametros[[#Headers],[COFINS]],tabImpostosNacionais[],2,0)</f>
        <v>7.5999999999999998E-2</v>
      </c>
      <c r="BF60" s="233">
        <f>VLOOKUP(tabParametros[[#Headers],[PIS]],tabImpostosNacionais[],2,0)</f>
        <v>1.6500000000000001E-2</v>
      </c>
      <c r="BG60" s="233">
        <f>VLOOKUP(tabParametros[[#This Row],[Comarca]],tabComarca[],4,0)</f>
        <v>0.05</v>
      </c>
      <c r="BH60" s="236">
        <f>VLOOKUP(tabParametros[[#This Row],[CCT DA CATEGORIA]],tabSindicatos[],11,0)</f>
        <v>45658</v>
      </c>
      <c r="BI60" s="282" t="str">
        <f>VLOOKUP(tabParametros[[#This Row],[CCT DA CATEGORIA]],tabSindicatos[],12,0)</f>
        <v>-</v>
      </c>
      <c r="BJ60" s="285" t="str">
        <f>VLOOKUP(tabParametros[[#This Row],[CCT DA CATEGORIA]],tabSindicatos[],13,0)</f>
        <v>-</v>
      </c>
    </row>
    <row r="61" spans="1:62">
      <c r="A61" s="231" t="s">
        <v>1549</v>
      </c>
      <c r="B61" s="197" t="s">
        <v>1103</v>
      </c>
      <c r="C61" s="197" t="s">
        <v>274</v>
      </c>
      <c r="D61" s="197" t="str">
        <f>VLOOKUP(tabParametros[[#This Row],[Código do Posto]],tabPostos[],4,0)</f>
        <v>Rodoviarios de Belo Horizonte + SEAC-MG</v>
      </c>
      <c r="E61" s="282" t="str">
        <f>VLOOKUP(tabParametros[[#This Row],[Código do Posto]],tabPostos[],5,0)</f>
        <v>Apoio</v>
      </c>
      <c r="F61" s="282" t="str">
        <f>VLOOKUP(tabParametros[[#This Row],[Código do Posto]],tabPostos[],6,0)</f>
        <v>FEPDC</v>
      </c>
      <c r="G61" s="282">
        <f>VLOOKUP(tabParametros[[#This Row],[Código do Posto]],tabPostos[],7,0)</f>
        <v>7</v>
      </c>
      <c r="H61" s="282">
        <f>VLOOKUP(tabParametros[[#This Row],[Código do Posto]],tabPostos[],8,0)</f>
        <v>0</v>
      </c>
      <c r="I61" s="232">
        <f>VLOOKUP(tabParametros[[#This Row],[Código do Posto]],tabPostos[],9,0)</f>
        <v>4558.0709943632919</v>
      </c>
      <c r="J61" s="232">
        <f>IF(ISNUMBER(SEARCH("Eletricista",tabParametros[[#This Row],[Função]],1)),0.3*tabParametros[[#This Row],[Salário Base]],0)</f>
        <v>0</v>
      </c>
      <c r="K6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1" s="232">
        <f>IF(AND(ISNUMBER(SEARCH("Noturno",tabParametros[[#This Row],[Função]],1)),tabParametros[[#This Row],[Comarca]]&lt;&gt;"Juiz de Fora"),tabParametros[[#This Row],[Salário Base]]/210*0.39*7*15.5,IF(ISNUMBER(SEARCH("Noturno",tabParametros[[#This Row],[Função]],1)),tabParametros[[#This Row],[Salário Base]]/210*0.2*8*15.5,0))</f>
        <v>0</v>
      </c>
      <c r="M61" s="232">
        <f>IF(ISNUMBER(SEARCH("Motorista II",tabParametros[[#This Row],[Função]],1)),0.3022*tabParametros[[#This Row],[Salário Base]],0)</f>
        <v>0</v>
      </c>
      <c r="N61" s="254">
        <v>0</v>
      </c>
      <c r="O61" s="254">
        <f>IF(ISNUMBER(SEARCH("TECNOLOGIA DA INFORMACAO",tabParametros[[#This Row],[Função]],1)),0.056*tabParametros[[#This Row],[Salário Base]],0)</f>
        <v>0</v>
      </c>
      <c r="P61" s="232">
        <f>IF(tabParametros[[#This Row],[Função]]="Operador de Midia Audiovisual - 150 h",tabParametros[[#This Row],[Salário Base]]/150*50*30%,IF(tabParametros[[#This Row],[Função]]="Supervisor de Manutencao de Veiculos II - 220 h",12%*tabParametros[[#This Row],[Salário Base]],0))</f>
        <v>0</v>
      </c>
      <c r="Q61" s="233">
        <f>VLOOKUP(tabParametros[[#Headers],[INSS]],tabImpostosNacionais[],2,0)</f>
        <v>0.2</v>
      </c>
      <c r="R61" s="233">
        <f>VLOOKUP(tabParametros[[#Headers],[SESI OU SESC]],tabImpostosNacionais[],2,0)</f>
        <v>1.4999999999999999E-2</v>
      </c>
      <c r="S61" s="233">
        <f>VLOOKUP(tabParametros[[#Headers],[SENAI OU SENAC]],tabImpostosNacionais[],2,0)</f>
        <v>0.01</v>
      </c>
      <c r="T61" s="233">
        <f>VLOOKUP(tabParametros[[#Headers],[INCRA]],tabImpostosNacionais[],2,0)</f>
        <v>2E-3</v>
      </c>
      <c r="U61" s="233">
        <f>VLOOKUP(tabParametros[[#Headers],[Salário Educação]],tabImpostosNacionais[],2,0)</f>
        <v>2.5000000000000001E-2</v>
      </c>
      <c r="V61" s="233">
        <f>VLOOKUP(tabParametros[[#Headers],[FGTS]],tabImpostosNacionais[],2,0)</f>
        <v>0.08</v>
      </c>
      <c r="W61" s="233">
        <f>VLOOKUP(tabParametros[[#Headers],[RAT Ajustado]],tabImpostosNacionais[],2,0)</f>
        <v>0.04</v>
      </c>
      <c r="X61" s="233">
        <f>VLOOKUP(tabParametros[[#Headers],[SEBRAE]],tabImpostosNacionais[],2,0)</f>
        <v>6.0000000000000001E-3</v>
      </c>
      <c r="Y61" s="233">
        <f t="shared" si="0"/>
        <v>8.3333333333333329E-2</v>
      </c>
      <c r="Z61" s="233">
        <f t="shared" si="1"/>
        <v>0.1111111111111111</v>
      </c>
      <c r="AA61" s="232">
        <f>VLOOKUP(tabParametros[[#This Row],[Comarca]],tabComarca[],5,0)</f>
        <v>11.25</v>
      </c>
      <c r="AB61" s="232">
        <f>VLOOKUP(tabParametros[[#This Row],[CCT DA CATEGORIA]],tabSindicatos[],6,0)</f>
        <v>28.97</v>
      </c>
      <c r="AC61" s="232">
        <f>VLOOKUP(tabParametros[[#This Row],[CCT DA CATEGORIA]],tabSindicatos[],7,0)</f>
        <v>0</v>
      </c>
      <c r="AD61" s="232" cm="1">
        <f t="array" ref="AD6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18.350000000000001</v>
      </c>
      <c r="AE61" s="232">
        <f>VLOOKUP(tabParametros[[#This Row],[CCT DA CATEGORIA]],tabSindicatos[],9,0)</f>
        <v>0</v>
      </c>
      <c r="AF61" s="232">
        <f>VLOOKUP(tabParametros[[#This Row],[CCT DA CATEGORIA]],tabSindicatos[],10,0)</f>
        <v>0</v>
      </c>
      <c r="AG61" s="234">
        <f>VLOOKUP(tabParametros[[#Headers],[Seguro de Vida]],tabOutrosCustos[],3,0)</f>
        <v>3.36</v>
      </c>
      <c r="AH61" s="234">
        <f>IF(ISNUMBER(SEARCH("MOTORISTA",tabParametros[[#This Row],[Função]],1)),VLOOKUP("MOTORISTAS",tabDiarias[],2,0),IF(tabParametros[[#This Row],[Comarca]]="Belo Horizonte",VLOOKUP("APOIO",tabDiarias[],2,0),0))</f>
        <v>662.42</v>
      </c>
      <c r="AI61" s="233">
        <f t="shared" si="2"/>
        <v>7.011766975308642E-3</v>
      </c>
      <c r="AJ61" s="235">
        <f>tabParametros[[#This Row],[FGTS]]*tabParametros[[#This Row],[Aviso Prévio Indenizado (API) e Reflexo do Aviso Prévio Indenizado]]</f>
        <v>5.609413580246914E-4</v>
      </c>
      <c r="AK61" s="235">
        <f>tabParametros[[#This Row],[FGTS]]*tabParametros[[#This Row],[Aviso Prévio Indenizado (API) e Reflexo do Aviso Prévio Indenizado]]*40%</f>
        <v>2.2437654320987658E-4</v>
      </c>
      <c r="AL61" s="233">
        <f t="shared" si="3"/>
        <v>3.5000000000000005E-3</v>
      </c>
      <c r="AM61" s="233">
        <f>tabParametros[[#This Row],[Aviso Prévio Trabalhado - APT]]*SUM(tabParametros[[#This Row],[INSS]:[SEBRAE]])</f>
        <v>1.3230000000000004E-3</v>
      </c>
      <c r="AN61" s="233">
        <f t="shared" si="4"/>
        <v>3.0577777777777773E-2</v>
      </c>
      <c r="AO61" s="233">
        <f t="shared" si="5"/>
        <v>8.3333333333333339E-4</v>
      </c>
      <c r="AP61" s="233">
        <f t="shared" si="6"/>
        <v>8.4444444444444437E-3</v>
      </c>
      <c r="AQ61" s="233">
        <f t="shared" si="7"/>
        <v>2.0277777777777777E-3</v>
      </c>
      <c r="AR61" s="233">
        <f t="shared" si="8"/>
        <v>1.7083333333333333E-4</v>
      </c>
      <c r="AS61" s="233">
        <f t="shared" si="9"/>
        <v>2.0833333333333335E-4</v>
      </c>
      <c r="AT61" s="233">
        <f t="shared" si="10"/>
        <v>1.2962962962962963E-3</v>
      </c>
      <c r="AU61" s="235">
        <f>SUM(tabParametros[[#This Row],[Ausência por Doença]:[Férias, Adicional de Férias e 13º  com empregada em gozo de Licença Maternidade]])*SUM(tabParametros[[#This Row],[INSS]:[SEBRAE]])</f>
        <v>4.5918250000000008E-3</v>
      </c>
      <c r="AV61" s="254">
        <f>IF(tabParametros[[#This Row],[Função]]="Porteiro - 220 h",SUM(tabParametros[[#This Row],[Salário Base]:[Adicional de Acúmulo de função]])/220*20*1.5,IF(ISNUMBER(SEARCH("12 x 36",tabParametros[[#This Row],[Função]],1)),SUM(tabParametros[[#This Row],[Salário Base]:[Adicional de Acúmulo de função]])/210*15.5*1.5,0))</f>
        <v>0</v>
      </c>
      <c r="AW61" s="232">
        <f>IF(tabParametros[[#This Row],[Vagas contratadas]]&gt;0,(SUM(tabParametros[[#This Row],[Salário Base]:[Adicional de Acúmulo de função]])*30%+SUM(tabParametros[[#This Row],[Vale - Alimentação]:[Seguro de Vida]]))/tabParametros[[#This Row],[Vagas contratadas]]*tabParametros[[#This Row],[Vagas suspensas]],0)</f>
        <v>0</v>
      </c>
      <c r="AX61" s="232">
        <f>SUMIF(tabUniformes[Cargo],tabParametros[[#This Row],[Função]],tabUniformes[Valor unit. Mensal])</f>
        <v>92.100763771570698</v>
      </c>
      <c r="AY6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1" s="232">
        <v>0</v>
      </c>
      <c r="BC61" s="234" t="e">
        <f ca="1">VLOOKUP(tabParametros[[#Headers],[Custos Indiretos]],tabOutrosCustos[],3,0)</f>
        <v>#NAME?</v>
      </c>
      <c r="BD61" s="234" t="e">
        <f ca="1">VLOOKUP(tabParametros[[#Headers],[Lucro]],tabOutrosCustos[],3,0)</f>
        <v>#NAME?</v>
      </c>
      <c r="BE61" s="233">
        <f>VLOOKUP(tabParametros[[#Headers],[COFINS]],tabImpostosNacionais[],2,0)</f>
        <v>7.5999999999999998E-2</v>
      </c>
      <c r="BF61" s="233">
        <f>VLOOKUP(tabParametros[[#Headers],[PIS]],tabImpostosNacionais[],2,0)</f>
        <v>1.6500000000000001E-2</v>
      </c>
      <c r="BG61" s="233">
        <f>VLOOKUP(tabParametros[[#This Row],[Comarca]],tabComarca[],4,0)</f>
        <v>0.05</v>
      </c>
      <c r="BH61" s="236">
        <f>VLOOKUP(tabParametros[[#This Row],[CCT DA CATEGORIA]],tabSindicatos[],11,0)</f>
        <v>45658</v>
      </c>
      <c r="BI61" s="282" t="str">
        <f>VLOOKUP(tabParametros[[#This Row],[CCT DA CATEGORIA]],tabSindicatos[],12,0)</f>
        <v>-</v>
      </c>
      <c r="BJ61" s="285" t="str">
        <f>VLOOKUP(tabParametros[[#This Row],[CCT DA CATEGORIA]],tabSindicatos[],13,0)</f>
        <v>-</v>
      </c>
    </row>
    <row r="62" spans="1:62">
      <c r="A62" s="231" t="s">
        <v>1437</v>
      </c>
      <c r="B62" s="197" t="s">
        <v>1103</v>
      </c>
      <c r="C62" s="197" t="s">
        <v>284</v>
      </c>
      <c r="D62" s="197" t="str">
        <f>VLOOKUP(tabParametros[[#This Row],[Código do Posto]],tabPostos[],4,0)</f>
        <v>SETTASPOC</v>
      </c>
      <c r="E62" s="282" t="str">
        <f>VLOOKUP(tabParametros[[#This Row],[Código do Posto]],tabPostos[],5,0)</f>
        <v>Apoio</v>
      </c>
      <c r="F62" s="282" t="str">
        <f>VLOOKUP(tabParametros[[#This Row],[Código do Posto]],tabPostos[],6,0)</f>
        <v>PGJ</v>
      </c>
      <c r="G62" s="282">
        <f>VLOOKUP(tabParametros[[#This Row],[Código do Posto]],tabPostos[],7,0)</f>
        <v>3</v>
      </c>
      <c r="H62" s="282">
        <f>VLOOKUP(tabParametros[[#This Row],[Código do Posto]],tabPostos[],8,0)</f>
        <v>0</v>
      </c>
      <c r="I62" s="232">
        <f>VLOOKUP(tabParametros[[#This Row],[Código do Posto]],tabPostos[],9,0)</f>
        <v>1833.851316115846</v>
      </c>
      <c r="J62" s="232">
        <f>IF(ISNUMBER(SEARCH("Eletricista",tabParametros[[#This Row],[Função]],1)),0.3*tabParametros[[#This Row],[Salário Base]],0)</f>
        <v>0</v>
      </c>
      <c r="K6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2" s="232">
        <f>IF(AND(ISNUMBER(SEARCH("Noturno",tabParametros[[#This Row],[Função]],1)),tabParametros[[#This Row],[Comarca]]&lt;&gt;"Juiz de Fora"),tabParametros[[#This Row],[Salário Base]]/210*0.39*7*15.5,IF(ISNUMBER(SEARCH("Noturno",tabParametros[[#This Row],[Função]],1)),tabParametros[[#This Row],[Salário Base]]/210*0.2*8*15.5,0))</f>
        <v>0</v>
      </c>
      <c r="M62" s="232">
        <f>IF(ISNUMBER(SEARCH("Motorista II",tabParametros[[#This Row],[Função]],1)),0.3022*tabParametros[[#This Row],[Salário Base]],0)</f>
        <v>0</v>
      </c>
      <c r="N62" s="254">
        <v>0</v>
      </c>
      <c r="O62" s="254">
        <f>IF(ISNUMBER(SEARCH("TECNOLOGIA DA INFORMACAO",tabParametros[[#This Row],[Função]],1)),0.056*tabParametros[[#This Row],[Salário Base]],0)</f>
        <v>0</v>
      </c>
      <c r="P62" s="232">
        <f>IF(tabParametros[[#This Row],[Função]]="Operador de Midia Audiovisual - 150 h",tabParametros[[#This Row],[Salário Base]]/150*50*30%,IF(tabParametros[[#This Row],[Função]]="Supervisor de Manutencao de Veiculos II - 220 h",12%*tabParametros[[#This Row],[Salário Base]],0))</f>
        <v>0</v>
      </c>
      <c r="Q62" s="233">
        <f>VLOOKUP(tabParametros[[#Headers],[INSS]],tabImpostosNacionais[],2,0)</f>
        <v>0.2</v>
      </c>
      <c r="R62" s="233">
        <f>VLOOKUP(tabParametros[[#Headers],[SESI OU SESC]],tabImpostosNacionais[],2,0)</f>
        <v>1.4999999999999999E-2</v>
      </c>
      <c r="S62" s="233">
        <f>VLOOKUP(tabParametros[[#Headers],[SENAI OU SENAC]],tabImpostosNacionais[],2,0)</f>
        <v>0.01</v>
      </c>
      <c r="T62" s="233">
        <f>VLOOKUP(tabParametros[[#Headers],[INCRA]],tabImpostosNacionais[],2,0)</f>
        <v>2E-3</v>
      </c>
      <c r="U62" s="233">
        <f>VLOOKUP(tabParametros[[#Headers],[Salário Educação]],tabImpostosNacionais[],2,0)</f>
        <v>2.5000000000000001E-2</v>
      </c>
      <c r="V62" s="233">
        <f>VLOOKUP(tabParametros[[#Headers],[FGTS]],tabImpostosNacionais[],2,0)</f>
        <v>0.08</v>
      </c>
      <c r="W62" s="233">
        <f>VLOOKUP(tabParametros[[#Headers],[RAT Ajustado]],tabImpostosNacionais[],2,0)</f>
        <v>0.04</v>
      </c>
      <c r="X62" s="233">
        <f>VLOOKUP(tabParametros[[#Headers],[SEBRAE]],tabImpostosNacionais[],2,0)</f>
        <v>6.0000000000000001E-3</v>
      </c>
      <c r="Y62" s="233">
        <f t="shared" si="0"/>
        <v>8.3333333333333329E-2</v>
      </c>
      <c r="Z62" s="233">
        <f t="shared" si="1"/>
        <v>0.1111111111111111</v>
      </c>
      <c r="AA62" s="232">
        <f>VLOOKUP(tabParametros[[#This Row],[Comarca]],tabComarca[],5,0)</f>
        <v>11.25</v>
      </c>
      <c r="AB62" s="232">
        <f>VLOOKUP(tabParametros[[#This Row],[CCT DA CATEGORIA]],tabSindicatos[],6,0)</f>
        <v>29.14</v>
      </c>
      <c r="AC62" s="232">
        <f>VLOOKUP(tabParametros[[#This Row],[CCT DA CATEGORIA]],tabSindicatos[],7,0)</f>
        <v>0</v>
      </c>
      <c r="AD62" s="232" cm="1">
        <f t="array" ref="AD6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62" s="232">
        <f>VLOOKUP(tabParametros[[#This Row],[CCT DA CATEGORIA]],tabSindicatos[],9,0)</f>
        <v>0</v>
      </c>
      <c r="AF62" s="232">
        <f>VLOOKUP(tabParametros[[#This Row],[CCT DA CATEGORIA]],tabSindicatos[],10,0)</f>
        <v>0</v>
      </c>
      <c r="AG62" s="234">
        <f>VLOOKUP(tabParametros[[#Headers],[Seguro de Vida]],tabOutrosCustos[],3,0)</f>
        <v>3.36</v>
      </c>
      <c r="AH62" s="234">
        <f>IF(ISNUMBER(SEARCH("MOTORISTA",tabParametros[[#This Row],[Função]],1)),VLOOKUP("MOTORISTAS",tabDiarias[],2,0),IF(tabParametros[[#This Row],[Comarca]]="Belo Horizonte",VLOOKUP("APOIO",tabDiarias[],2,0),0))</f>
        <v>202.08</v>
      </c>
      <c r="AI62" s="233">
        <f t="shared" si="2"/>
        <v>7.011766975308642E-3</v>
      </c>
      <c r="AJ62" s="235">
        <f>tabParametros[[#This Row],[FGTS]]*tabParametros[[#This Row],[Aviso Prévio Indenizado (API) e Reflexo do Aviso Prévio Indenizado]]</f>
        <v>5.609413580246914E-4</v>
      </c>
      <c r="AK62" s="235">
        <f>tabParametros[[#This Row],[FGTS]]*tabParametros[[#This Row],[Aviso Prévio Indenizado (API) e Reflexo do Aviso Prévio Indenizado]]*40%</f>
        <v>2.2437654320987658E-4</v>
      </c>
      <c r="AL62" s="233">
        <f t="shared" si="3"/>
        <v>3.5000000000000005E-3</v>
      </c>
      <c r="AM62" s="233">
        <f>tabParametros[[#This Row],[Aviso Prévio Trabalhado - APT]]*SUM(tabParametros[[#This Row],[INSS]:[SEBRAE]])</f>
        <v>1.3230000000000004E-3</v>
      </c>
      <c r="AN62" s="233">
        <f t="shared" si="4"/>
        <v>3.0577777777777773E-2</v>
      </c>
      <c r="AO62" s="233">
        <f t="shared" si="5"/>
        <v>8.3333333333333339E-4</v>
      </c>
      <c r="AP62" s="233">
        <f t="shared" si="6"/>
        <v>8.4444444444444437E-3</v>
      </c>
      <c r="AQ62" s="233">
        <f t="shared" si="7"/>
        <v>2.0277777777777777E-3</v>
      </c>
      <c r="AR62" s="233">
        <f t="shared" si="8"/>
        <v>1.7083333333333333E-4</v>
      </c>
      <c r="AS62" s="233">
        <f t="shared" si="9"/>
        <v>2.0833333333333335E-4</v>
      </c>
      <c r="AT62" s="233">
        <f t="shared" si="10"/>
        <v>1.2962962962962963E-3</v>
      </c>
      <c r="AU62" s="235">
        <f>SUM(tabParametros[[#This Row],[Ausência por Doença]:[Férias, Adicional de Férias e 13º  com empregada em gozo de Licença Maternidade]])*SUM(tabParametros[[#This Row],[INSS]:[SEBRAE]])</f>
        <v>4.5918250000000008E-3</v>
      </c>
      <c r="AV62" s="254">
        <f>IF(tabParametros[[#This Row],[Função]]="Porteiro - 220 h",SUM(tabParametros[[#This Row],[Salário Base]:[Adicional de Acúmulo de função]])/220*20*1.5,IF(ISNUMBER(SEARCH("12 x 36",tabParametros[[#This Row],[Função]],1)),SUM(tabParametros[[#This Row],[Salário Base]:[Adicional de Acúmulo de função]])/210*15.5*1.5,0))</f>
        <v>0</v>
      </c>
      <c r="AW62" s="232">
        <f>IF(tabParametros[[#This Row],[Vagas contratadas]]&gt;0,(SUM(tabParametros[[#This Row],[Salário Base]:[Adicional de Acúmulo de função]])*30%+SUM(tabParametros[[#This Row],[Vale - Alimentação]:[Seguro de Vida]]))/tabParametros[[#This Row],[Vagas contratadas]]*tabParametros[[#This Row],[Vagas suspensas]],0)</f>
        <v>0</v>
      </c>
      <c r="AX62" s="232">
        <f>SUMIF(tabUniformes[Cargo],tabParametros[[#This Row],[Função]],tabUniformes[Valor unit. Mensal])</f>
        <v>90.784679782039703</v>
      </c>
      <c r="AY6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2" s="232">
        <v>0</v>
      </c>
      <c r="BC62" s="234" t="e">
        <f ca="1">VLOOKUP(tabParametros[[#Headers],[Custos Indiretos]],tabOutrosCustos[],3,0)</f>
        <v>#NAME?</v>
      </c>
      <c r="BD62" s="234" t="e">
        <f ca="1">VLOOKUP(tabParametros[[#Headers],[Lucro]],tabOutrosCustos[],3,0)</f>
        <v>#NAME?</v>
      </c>
      <c r="BE62" s="233">
        <f>VLOOKUP(tabParametros[[#Headers],[COFINS]],tabImpostosNacionais[],2,0)</f>
        <v>7.5999999999999998E-2</v>
      </c>
      <c r="BF62" s="233">
        <f>VLOOKUP(tabParametros[[#Headers],[PIS]],tabImpostosNacionais[],2,0)</f>
        <v>1.6500000000000001E-2</v>
      </c>
      <c r="BG62" s="233">
        <f>VLOOKUP(tabParametros[[#This Row],[Comarca]],tabComarca[],4,0)</f>
        <v>0.05</v>
      </c>
      <c r="BH62" s="236">
        <f>VLOOKUP(tabParametros[[#This Row],[CCT DA CATEGORIA]],tabSindicatos[],11,0)</f>
        <v>45658</v>
      </c>
      <c r="BI62" s="282" t="str">
        <f>VLOOKUP(tabParametros[[#This Row],[CCT DA CATEGORIA]],tabSindicatos[],12,0)</f>
        <v>-</v>
      </c>
      <c r="BJ62" s="285" t="str">
        <f>VLOOKUP(tabParametros[[#This Row],[CCT DA CATEGORIA]],tabSindicatos[],13,0)</f>
        <v>-</v>
      </c>
    </row>
    <row r="63" spans="1:62">
      <c r="A63" s="231" t="s">
        <v>1439</v>
      </c>
      <c r="B63" s="197" t="s">
        <v>1103</v>
      </c>
      <c r="C63" s="197" t="s">
        <v>294</v>
      </c>
      <c r="D63" s="197" t="str">
        <f>VLOOKUP(tabParametros[[#This Row],[Código do Posto]],tabPostos[],4,0)</f>
        <v>SEAC/SINDEAC</v>
      </c>
      <c r="E63" s="282" t="str">
        <f>VLOOKUP(tabParametros[[#This Row],[Código do Posto]],tabPostos[],5,0)</f>
        <v>Apoio</v>
      </c>
      <c r="F63" s="282" t="str">
        <f>VLOOKUP(tabParametros[[#This Row],[Código do Posto]],tabPostos[],6,0)</f>
        <v>PGJ</v>
      </c>
      <c r="G63" s="282">
        <f>VLOOKUP(tabParametros[[#This Row],[Código do Posto]],tabPostos[],7,0)</f>
        <v>6</v>
      </c>
      <c r="H63" s="282">
        <f>VLOOKUP(tabParametros[[#This Row],[Código do Posto]],tabPostos[],8,0)</f>
        <v>0</v>
      </c>
      <c r="I63" s="232">
        <f>VLOOKUP(tabParametros[[#This Row],[Código do Posto]],tabPostos[],9,0)</f>
        <v>3673.8031971445557</v>
      </c>
      <c r="J63" s="232">
        <f>IF(ISNUMBER(SEARCH("Eletricista",tabParametros[[#This Row],[Função]],1)),0.3*tabParametros[[#This Row],[Salário Base]],0)</f>
        <v>0</v>
      </c>
      <c r="K6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3" s="232">
        <f>IF(AND(ISNUMBER(SEARCH("Noturno",tabParametros[[#This Row],[Função]],1)),tabParametros[[#This Row],[Comarca]]&lt;&gt;"Juiz de Fora"),tabParametros[[#This Row],[Salário Base]]/210*0.39*7*15.5,IF(ISNUMBER(SEARCH("Noturno",tabParametros[[#This Row],[Função]],1)),tabParametros[[#This Row],[Salário Base]]/210*0.2*8*15.5,0))</f>
        <v>0</v>
      </c>
      <c r="M63" s="232">
        <f>IF(ISNUMBER(SEARCH("Motorista II",tabParametros[[#This Row],[Função]],1)),0.3022*tabParametros[[#This Row],[Salário Base]],0)</f>
        <v>0</v>
      </c>
      <c r="N63" s="254">
        <v>0</v>
      </c>
      <c r="O63" s="254">
        <f>IF(ISNUMBER(SEARCH("TECNOLOGIA DA INFORMACAO",tabParametros[[#This Row],[Função]],1)),0.056*tabParametros[[#This Row],[Salário Base]],0)</f>
        <v>0</v>
      </c>
      <c r="P63" s="232">
        <f>IF(tabParametros[[#This Row],[Função]]="Operador de Midia Audiovisual - 150 h",tabParametros[[#This Row],[Salário Base]]/150*50*30%,IF(tabParametros[[#This Row],[Função]]="Supervisor de Manutencao de Veiculos II - 220 h",12%*tabParametros[[#This Row],[Salário Base]],0))</f>
        <v>0</v>
      </c>
      <c r="Q63" s="233">
        <f>VLOOKUP(tabParametros[[#Headers],[INSS]],tabImpostosNacionais[],2,0)</f>
        <v>0.2</v>
      </c>
      <c r="R63" s="233">
        <f>VLOOKUP(tabParametros[[#Headers],[SESI OU SESC]],tabImpostosNacionais[],2,0)</f>
        <v>1.4999999999999999E-2</v>
      </c>
      <c r="S63" s="233">
        <f>VLOOKUP(tabParametros[[#Headers],[SENAI OU SENAC]],tabImpostosNacionais[],2,0)</f>
        <v>0.01</v>
      </c>
      <c r="T63" s="233">
        <f>VLOOKUP(tabParametros[[#Headers],[INCRA]],tabImpostosNacionais[],2,0)</f>
        <v>2E-3</v>
      </c>
      <c r="U63" s="233">
        <f>VLOOKUP(tabParametros[[#Headers],[Salário Educação]],tabImpostosNacionais[],2,0)</f>
        <v>2.5000000000000001E-2</v>
      </c>
      <c r="V63" s="233">
        <f>VLOOKUP(tabParametros[[#Headers],[FGTS]],tabImpostosNacionais[],2,0)</f>
        <v>0.08</v>
      </c>
      <c r="W63" s="233">
        <f>VLOOKUP(tabParametros[[#Headers],[RAT Ajustado]],tabImpostosNacionais[],2,0)</f>
        <v>0.04</v>
      </c>
      <c r="X63" s="233">
        <f>VLOOKUP(tabParametros[[#Headers],[SEBRAE]],tabImpostosNacionais[],2,0)</f>
        <v>6.0000000000000001E-3</v>
      </c>
      <c r="Y63" s="233">
        <f t="shared" si="0"/>
        <v>8.3333333333333329E-2</v>
      </c>
      <c r="Z63" s="233">
        <f t="shared" si="1"/>
        <v>0.1111111111111111</v>
      </c>
      <c r="AA63" s="232">
        <f>VLOOKUP(tabParametros[[#This Row],[Comarca]],tabComarca[],5,0)</f>
        <v>11.25</v>
      </c>
      <c r="AB63" s="232">
        <f>VLOOKUP(tabParametros[[#This Row],[CCT DA CATEGORIA]],tabSindicatos[],6,0)</f>
        <v>29.15</v>
      </c>
      <c r="AC63" s="232">
        <f>VLOOKUP(tabParametros[[#This Row],[CCT DA CATEGORIA]],tabSindicatos[],7,0)</f>
        <v>0</v>
      </c>
      <c r="AD63" s="232" cm="1">
        <f t="array" ref="AD6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63" s="232">
        <f>VLOOKUP(tabParametros[[#This Row],[CCT DA CATEGORIA]],tabSindicatos[],9,0)</f>
        <v>0</v>
      </c>
      <c r="AF63" s="232">
        <f>VLOOKUP(tabParametros[[#This Row],[CCT DA CATEGORIA]],tabSindicatos[],10,0)</f>
        <v>0</v>
      </c>
      <c r="AG63" s="234">
        <f>VLOOKUP(tabParametros[[#Headers],[Seguro de Vida]],tabOutrosCustos[],3,0)</f>
        <v>3.36</v>
      </c>
      <c r="AH63" s="234">
        <f>IF(ISNUMBER(SEARCH("MOTORISTA",tabParametros[[#This Row],[Função]],1)),VLOOKUP("MOTORISTAS",tabDiarias[],2,0),IF(tabParametros[[#This Row],[Comarca]]="Belo Horizonte",VLOOKUP("APOIO",tabDiarias[],2,0),0))</f>
        <v>202.08</v>
      </c>
      <c r="AI63" s="233">
        <f t="shared" si="2"/>
        <v>7.011766975308642E-3</v>
      </c>
      <c r="AJ63" s="235">
        <f>tabParametros[[#This Row],[FGTS]]*tabParametros[[#This Row],[Aviso Prévio Indenizado (API) e Reflexo do Aviso Prévio Indenizado]]</f>
        <v>5.609413580246914E-4</v>
      </c>
      <c r="AK63" s="235">
        <f>tabParametros[[#This Row],[FGTS]]*tabParametros[[#This Row],[Aviso Prévio Indenizado (API) e Reflexo do Aviso Prévio Indenizado]]*40%</f>
        <v>2.2437654320987658E-4</v>
      </c>
      <c r="AL63" s="233">
        <f t="shared" si="3"/>
        <v>3.5000000000000005E-3</v>
      </c>
      <c r="AM63" s="233">
        <f>tabParametros[[#This Row],[Aviso Prévio Trabalhado - APT]]*SUM(tabParametros[[#This Row],[INSS]:[SEBRAE]])</f>
        <v>1.3230000000000004E-3</v>
      </c>
      <c r="AN63" s="233">
        <f t="shared" si="4"/>
        <v>3.0577777777777773E-2</v>
      </c>
      <c r="AO63" s="233">
        <f t="shared" si="5"/>
        <v>8.3333333333333339E-4</v>
      </c>
      <c r="AP63" s="233">
        <f t="shared" si="6"/>
        <v>8.4444444444444437E-3</v>
      </c>
      <c r="AQ63" s="233">
        <f t="shared" si="7"/>
        <v>2.0277777777777777E-3</v>
      </c>
      <c r="AR63" s="233">
        <f t="shared" si="8"/>
        <v>1.7083333333333333E-4</v>
      </c>
      <c r="AS63" s="233">
        <f t="shared" si="9"/>
        <v>2.0833333333333335E-4</v>
      </c>
      <c r="AT63" s="233">
        <f t="shared" si="10"/>
        <v>1.2962962962962963E-3</v>
      </c>
      <c r="AU63" s="235">
        <f>SUM(tabParametros[[#This Row],[Ausência por Doença]:[Férias, Adicional de Férias e 13º  com empregada em gozo de Licença Maternidade]])*SUM(tabParametros[[#This Row],[INSS]:[SEBRAE]])</f>
        <v>4.5918250000000008E-3</v>
      </c>
      <c r="AV63" s="254">
        <f>IF(tabParametros[[#This Row],[Função]]="Porteiro - 220 h",SUM(tabParametros[[#This Row],[Salário Base]:[Adicional de Acúmulo de função]])/220*20*1.5,IF(ISNUMBER(SEARCH("12 x 36",tabParametros[[#This Row],[Função]],1)),SUM(tabParametros[[#This Row],[Salário Base]:[Adicional de Acúmulo de função]])/210*15.5*1.5,0))</f>
        <v>0</v>
      </c>
      <c r="AW63" s="232">
        <f>IF(tabParametros[[#This Row],[Vagas contratadas]]&gt;0,(SUM(tabParametros[[#This Row],[Salário Base]:[Adicional de Acúmulo de função]])*30%+SUM(tabParametros[[#This Row],[Vale - Alimentação]:[Seguro de Vida]]))/tabParametros[[#This Row],[Vagas contratadas]]*tabParametros[[#This Row],[Vagas suspensas]],0)</f>
        <v>0</v>
      </c>
      <c r="AX63" s="232">
        <f>SUMIF(tabUniformes[Cargo],tabParametros[[#This Row],[Função]],tabUniformes[Valor unit. Mensal])</f>
        <v>361.43084972754951</v>
      </c>
      <c r="AY6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3" s="232">
        <v>0</v>
      </c>
      <c r="BC63" s="234" t="e">
        <f ca="1">VLOOKUP(tabParametros[[#Headers],[Custos Indiretos]],tabOutrosCustos[],3,0)</f>
        <v>#NAME?</v>
      </c>
      <c r="BD63" s="234" t="e">
        <f ca="1">VLOOKUP(tabParametros[[#Headers],[Lucro]],tabOutrosCustos[],3,0)</f>
        <v>#NAME?</v>
      </c>
      <c r="BE63" s="233">
        <f>VLOOKUP(tabParametros[[#Headers],[COFINS]],tabImpostosNacionais[],2,0)</f>
        <v>7.5999999999999998E-2</v>
      </c>
      <c r="BF63" s="233">
        <f>VLOOKUP(tabParametros[[#Headers],[PIS]],tabImpostosNacionais[],2,0)</f>
        <v>1.6500000000000001E-2</v>
      </c>
      <c r="BG63" s="233">
        <f>VLOOKUP(tabParametros[[#This Row],[Comarca]],tabComarca[],4,0)</f>
        <v>0.05</v>
      </c>
      <c r="BH63" s="236">
        <f>VLOOKUP(tabParametros[[#This Row],[CCT DA CATEGORIA]],tabSindicatos[],11,0)</f>
        <v>45658</v>
      </c>
      <c r="BI63" s="282" t="str">
        <f>VLOOKUP(tabParametros[[#This Row],[CCT DA CATEGORIA]],tabSindicatos[],12,0)</f>
        <v>-</v>
      </c>
      <c r="BJ63" s="285" t="str">
        <f>VLOOKUP(tabParametros[[#This Row],[CCT DA CATEGORIA]],tabSindicatos[],13,0)</f>
        <v>-</v>
      </c>
    </row>
    <row r="64" spans="1:62">
      <c r="A64" s="231" t="s">
        <v>1440</v>
      </c>
      <c r="B64" s="197" t="s">
        <v>1103</v>
      </c>
      <c r="C64" s="197" t="s">
        <v>299</v>
      </c>
      <c r="D64" s="197" t="str">
        <f>VLOOKUP(tabParametros[[#This Row],[Código do Posto]],tabPostos[],4,0)</f>
        <v>SEAC/SINDEAC</v>
      </c>
      <c r="E64" s="282" t="str">
        <f>VLOOKUP(tabParametros[[#This Row],[Código do Posto]],tabPostos[],5,0)</f>
        <v>Apoio</v>
      </c>
      <c r="F64" s="282" t="str">
        <f>VLOOKUP(tabParametros[[#This Row],[Código do Posto]],tabPostos[],6,0)</f>
        <v>PGJ</v>
      </c>
      <c r="G64" s="282">
        <f>VLOOKUP(tabParametros[[#This Row],[Código do Posto]],tabPostos[],7,0)</f>
        <v>8</v>
      </c>
      <c r="H64" s="282">
        <f>VLOOKUP(tabParametros[[#This Row],[Código do Posto]],tabPostos[],8,0)</f>
        <v>0</v>
      </c>
      <c r="I64" s="232">
        <f>VLOOKUP(tabParametros[[#This Row],[Código do Posto]],tabPostos[],9,0)</f>
        <v>3673.8031971445557</v>
      </c>
      <c r="J64" s="232">
        <f>IF(ISNUMBER(SEARCH("Eletricista",tabParametros[[#This Row],[Função]],1)),0.3*tabParametros[[#This Row],[Salário Base]],0)</f>
        <v>0</v>
      </c>
      <c r="K6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64" s="232">
        <f>IF(AND(ISNUMBER(SEARCH("Noturno",tabParametros[[#This Row],[Função]],1)),tabParametros[[#This Row],[Comarca]]&lt;&gt;"Juiz de Fora"),tabParametros[[#This Row],[Salário Base]]/210*0.39*7*15.5,IF(ISNUMBER(SEARCH("Noturno",tabParametros[[#This Row],[Função]],1)),tabParametros[[#This Row],[Salário Base]]/210*0.2*8*15.5,0))</f>
        <v>0</v>
      </c>
      <c r="M64" s="232">
        <f>IF(ISNUMBER(SEARCH("Motorista II",tabParametros[[#This Row],[Função]],1)),0.3022*tabParametros[[#This Row],[Salário Base]],0)</f>
        <v>0</v>
      </c>
      <c r="N64" s="254">
        <v>0</v>
      </c>
      <c r="O64" s="254">
        <f>IF(ISNUMBER(SEARCH("TECNOLOGIA DA INFORMACAO",tabParametros[[#This Row],[Função]],1)),0.056*tabParametros[[#This Row],[Salário Base]],0)</f>
        <v>0</v>
      </c>
      <c r="P64" s="232">
        <f>IF(tabParametros[[#This Row],[Função]]="Operador de Midia Audiovisual - 150 h",tabParametros[[#This Row],[Salário Base]]/150*50*30%,IF(tabParametros[[#This Row],[Função]]="Supervisor de Manutencao de Veiculos II - 220 h",12%*tabParametros[[#This Row],[Salário Base]],0))</f>
        <v>0</v>
      </c>
      <c r="Q64" s="233">
        <f>VLOOKUP(tabParametros[[#Headers],[INSS]],tabImpostosNacionais[],2,0)</f>
        <v>0.2</v>
      </c>
      <c r="R64" s="233">
        <f>VLOOKUP(tabParametros[[#Headers],[SESI OU SESC]],tabImpostosNacionais[],2,0)</f>
        <v>1.4999999999999999E-2</v>
      </c>
      <c r="S64" s="233">
        <f>VLOOKUP(tabParametros[[#Headers],[SENAI OU SENAC]],tabImpostosNacionais[],2,0)</f>
        <v>0.01</v>
      </c>
      <c r="T64" s="233">
        <f>VLOOKUP(tabParametros[[#Headers],[INCRA]],tabImpostosNacionais[],2,0)</f>
        <v>2E-3</v>
      </c>
      <c r="U64" s="233">
        <f>VLOOKUP(tabParametros[[#Headers],[Salário Educação]],tabImpostosNacionais[],2,0)</f>
        <v>2.5000000000000001E-2</v>
      </c>
      <c r="V64" s="233">
        <f>VLOOKUP(tabParametros[[#Headers],[FGTS]],tabImpostosNacionais[],2,0)</f>
        <v>0.08</v>
      </c>
      <c r="W64" s="233">
        <f>VLOOKUP(tabParametros[[#Headers],[RAT Ajustado]],tabImpostosNacionais[],2,0)</f>
        <v>0.04</v>
      </c>
      <c r="X64" s="233">
        <f>VLOOKUP(tabParametros[[#Headers],[SEBRAE]],tabImpostosNacionais[],2,0)</f>
        <v>6.0000000000000001E-3</v>
      </c>
      <c r="Y64" s="233">
        <f t="shared" si="0"/>
        <v>8.3333333333333329E-2</v>
      </c>
      <c r="Z64" s="233">
        <f t="shared" si="1"/>
        <v>0.1111111111111111</v>
      </c>
      <c r="AA64" s="232">
        <f>VLOOKUP(tabParametros[[#This Row],[Comarca]],tabComarca[],5,0)</f>
        <v>11.25</v>
      </c>
      <c r="AB64" s="232">
        <f>VLOOKUP(tabParametros[[#This Row],[CCT DA CATEGORIA]],tabSindicatos[],6,0)</f>
        <v>29.15</v>
      </c>
      <c r="AC64" s="232">
        <f>VLOOKUP(tabParametros[[#This Row],[CCT DA CATEGORIA]],tabSindicatos[],7,0)</f>
        <v>0</v>
      </c>
      <c r="AD64" s="232" cm="1">
        <f t="array" ref="AD6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64" s="232">
        <f>VLOOKUP(tabParametros[[#This Row],[CCT DA CATEGORIA]],tabSindicatos[],9,0)</f>
        <v>0</v>
      </c>
      <c r="AF64" s="232">
        <f>VLOOKUP(tabParametros[[#This Row],[CCT DA CATEGORIA]],tabSindicatos[],10,0)</f>
        <v>0</v>
      </c>
      <c r="AG64" s="234">
        <f>VLOOKUP(tabParametros[[#Headers],[Seguro de Vida]],tabOutrosCustos[],3,0)</f>
        <v>3.36</v>
      </c>
      <c r="AH64" s="234">
        <f>IF(ISNUMBER(SEARCH("MOTORISTA",tabParametros[[#This Row],[Função]],1)),VLOOKUP("MOTORISTAS",tabDiarias[],2,0),IF(tabParametros[[#This Row],[Comarca]]="Belo Horizonte",VLOOKUP("APOIO",tabDiarias[],2,0),0))</f>
        <v>202.08</v>
      </c>
      <c r="AI64" s="233">
        <f t="shared" si="2"/>
        <v>7.011766975308642E-3</v>
      </c>
      <c r="AJ64" s="235">
        <f>tabParametros[[#This Row],[FGTS]]*tabParametros[[#This Row],[Aviso Prévio Indenizado (API) e Reflexo do Aviso Prévio Indenizado]]</f>
        <v>5.609413580246914E-4</v>
      </c>
      <c r="AK64" s="235">
        <f>tabParametros[[#This Row],[FGTS]]*tabParametros[[#This Row],[Aviso Prévio Indenizado (API) e Reflexo do Aviso Prévio Indenizado]]*40%</f>
        <v>2.2437654320987658E-4</v>
      </c>
      <c r="AL64" s="233">
        <f t="shared" si="3"/>
        <v>3.5000000000000005E-3</v>
      </c>
      <c r="AM64" s="233">
        <f>tabParametros[[#This Row],[Aviso Prévio Trabalhado - APT]]*SUM(tabParametros[[#This Row],[INSS]:[SEBRAE]])</f>
        <v>1.3230000000000004E-3</v>
      </c>
      <c r="AN64" s="233">
        <f t="shared" si="4"/>
        <v>3.0577777777777773E-2</v>
      </c>
      <c r="AO64" s="233">
        <f t="shared" si="5"/>
        <v>8.3333333333333339E-4</v>
      </c>
      <c r="AP64" s="233">
        <f t="shared" si="6"/>
        <v>8.4444444444444437E-3</v>
      </c>
      <c r="AQ64" s="233">
        <f t="shared" si="7"/>
        <v>2.0277777777777777E-3</v>
      </c>
      <c r="AR64" s="233">
        <f t="shared" si="8"/>
        <v>1.7083333333333333E-4</v>
      </c>
      <c r="AS64" s="233">
        <f t="shared" si="9"/>
        <v>2.0833333333333335E-4</v>
      </c>
      <c r="AT64" s="233">
        <f t="shared" si="10"/>
        <v>1.2962962962962963E-3</v>
      </c>
      <c r="AU64" s="235">
        <f>SUM(tabParametros[[#This Row],[Ausência por Doença]:[Férias, Adicional de Férias e 13º  com empregada em gozo de Licença Maternidade]])*SUM(tabParametros[[#This Row],[INSS]:[SEBRAE]])</f>
        <v>4.5918250000000008E-3</v>
      </c>
      <c r="AV64" s="254">
        <f>IF(tabParametros[[#This Row],[Função]]="Porteiro - 220 h",SUM(tabParametros[[#This Row],[Salário Base]:[Adicional de Acúmulo de função]])/220*20*1.5,IF(ISNUMBER(SEARCH("12 x 36",tabParametros[[#This Row],[Função]],1)),SUM(tabParametros[[#This Row],[Salário Base]:[Adicional de Acúmulo de função]])/210*15.5*1.5,0))</f>
        <v>0</v>
      </c>
      <c r="AW64" s="232">
        <f>IF(tabParametros[[#This Row],[Vagas contratadas]]&gt;0,(SUM(tabParametros[[#This Row],[Salário Base]:[Adicional de Acúmulo de função]])*30%+SUM(tabParametros[[#This Row],[Vale - Alimentação]:[Seguro de Vida]]))/tabParametros[[#This Row],[Vagas contratadas]]*tabParametros[[#This Row],[Vagas suspensas]],0)</f>
        <v>0</v>
      </c>
      <c r="AX64" s="232">
        <f>SUMIF(tabUniformes[Cargo],tabParametros[[#This Row],[Função]],tabUniformes[Valor unit. Mensal])</f>
        <v>344.38334972754956</v>
      </c>
      <c r="AY6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4" s="232">
        <v>0</v>
      </c>
      <c r="BC64" s="234" t="e">
        <f ca="1">VLOOKUP(tabParametros[[#Headers],[Custos Indiretos]],tabOutrosCustos[],3,0)</f>
        <v>#NAME?</v>
      </c>
      <c r="BD64" s="234" t="e">
        <f ca="1">VLOOKUP(tabParametros[[#Headers],[Lucro]],tabOutrosCustos[],3,0)</f>
        <v>#NAME?</v>
      </c>
      <c r="BE64" s="233">
        <f>VLOOKUP(tabParametros[[#Headers],[COFINS]],tabImpostosNacionais[],2,0)</f>
        <v>7.5999999999999998E-2</v>
      </c>
      <c r="BF64" s="233">
        <f>VLOOKUP(tabParametros[[#Headers],[PIS]],tabImpostosNacionais[],2,0)</f>
        <v>1.6500000000000001E-2</v>
      </c>
      <c r="BG64" s="233">
        <f>VLOOKUP(tabParametros[[#This Row],[Comarca]],tabComarca[],4,0)</f>
        <v>0.05</v>
      </c>
      <c r="BH64" s="236">
        <f>VLOOKUP(tabParametros[[#This Row],[CCT DA CATEGORIA]],tabSindicatos[],11,0)</f>
        <v>45658</v>
      </c>
      <c r="BI64" s="282" t="str">
        <f>VLOOKUP(tabParametros[[#This Row],[CCT DA CATEGORIA]],tabSindicatos[],12,0)</f>
        <v>-</v>
      </c>
      <c r="BJ64" s="285" t="str">
        <f>VLOOKUP(tabParametros[[#This Row],[CCT DA CATEGORIA]],tabSindicatos[],13,0)</f>
        <v>-</v>
      </c>
    </row>
    <row r="65" spans="1:62">
      <c r="A65" s="231" t="s">
        <v>1441</v>
      </c>
      <c r="B65" s="197" t="s">
        <v>1103</v>
      </c>
      <c r="C65" s="197" t="s">
        <v>304</v>
      </c>
      <c r="D65" s="197" t="str">
        <f>VLOOKUP(tabParametros[[#This Row],[Código do Posto]],tabPostos[],4,0)</f>
        <v>SEAC/SINDEAC</v>
      </c>
      <c r="E65" s="282" t="str">
        <f>VLOOKUP(tabParametros[[#This Row],[Código do Posto]],tabPostos[],5,0)</f>
        <v>Apoio</v>
      </c>
      <c r="F65" s="282" t="str">
        <f>VLOOKUP(tabParametros[[#This Row],[Código do Posto]],tabPostos[],6,0)</f>
        <v>PGJ</v>
      </c>
      <c r="G65" s="282">
        <f>VLOOKUP(tabParametros[[#This Row],[Código do Posto]],tabPostos[],7,0)</f>
        <v>16</v>
      </c>
      <c r="H65" s="282">
        <f>VLOOKUP(tabParametros[[#This Row],[Código do Posto]],tabPostos[],8,0)</f>
        <v>0</v>
      </c>
      <c r="I65" s="232">
        <f>VLOOKUP(tabParametros[[#This Row],[Código do Posto]],tabPostos[],9,0)</f>
        <v>2134.8034899326635</v>
      </c>
      <c r="J65" s="232">
        <f>IF(ISNUMBER(SEARCH("Eletricista",tabParametros[[#This Row],[Função]],1)),0.3*tabParametros[[#This Row],[Salário Base]],0)</f>
        <v>0</v>
      </c>
      <c r="K6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5" s="232">
        <f>IF(AND(ISNUMBER(SEARCH("Noturno",tabParametros[[#This Row],[Função]],1)),tabParametros[[#This Row],[Comarca]]&lt;&gt;"Juiz de Fora"),tabParametros[[#This Row],[Salário Base]]/210*0.39*7*15.5,IF(ISNUMBER(SEARCH("Noturno",tabParametros[[#This Row],[Função]],1)),tabParametros[[#This Row],[Salário Base]]/210*0.2*8*15.5,0))</f>
        <v>0</v>
      </c>
      <c r="M65" s="232">
        <f>IF(ISNUMBER(SEARCH("Motorista II",tabParametros[[#This Row],[Função]],1)),0.3022*tabParametros[[#This Row],[Salário Base]],0)</f>
        <v>0</v>
      </c>
      <c r="N65" s="254">
        <v>0</v>
      </c>
      <c r="O65" s="254">
        <f>IF(ISNUMBER(SEARCH("TECNOLOGIA DA INFORMACAO",tabParametros[[#This Row],[Função]],1)),0.056*tabParametros[[#This Row],[Salário Base]],0)</f>
        <v>0</v>
      </c>
      <c r="P65" s="232">
        <f>IF(tabParametros[[#This Row],[Função]]="Operador de Midia Audiovisual - 150 h",tabParametros[[#This Row],[Salário Base]]/150*50*30%,IF(tabParametros[[#This Row],[Função]]="Supervisor de Manutencao de Veiculos II - 220 h",12%*tabParametros[[#This Row],[Salário Base]],0))</f>
        <v>0</v>
      </c>
      <c r="Q65" s="233">
        <f>VLOOKUP(tabParametros[[#Headers],[INSS]],tabImpostosNacionais[],2,0)</f>
        <v>0.2</v>
      </c>
      <c r="R65" s="233">
        <f>VLOOKUP(tabParametros[[#Headers],[SESI OU SESC]],tabImpostosNacionais[],2,0)</f>
        <v>1.4999999999999999E-2</v>
      </c>
      <c r="S65" s="233">
        <f>VLOOKUP(tabParametros[[#Headers],[SENAI OU SENAC]],tabImpostosNacionais[],2,0)</f>
        <v>0.01</v>
      </c>
      <c r="T65" s="233">
        <f>VLOOKUP(tabParametros[[#Headers],[INCRA]],tabImpostosNacionais[],2,0)</f>
        <v>2E-3</v>
      </c>
      <c r="U65" s="233">
        <f>VLOOKUP(tabParametros[[#Headers],[Salário Educação]],tabImpostosNacionais[],2,0)</f>
        <v>2.5000000000000001E-2</v>
      </c>
      <c r="V65" s="233">
        <f>VLOOKUP(tabParametros[[#Headers],[FGTS]],tabImpostosNacionais[],2,0)</f>
        <v>0.08</v>
      </c>
      <c r="W65" s="233">
        <f>VLOOKUP(tabParametros[[#Headers],[RAT Ajustado]],tabImpostosNacionais[],2,0)</f>
        <v>0.04</v>
      </c>
      <c r="X65" s="233">
        <f>VLOOKUP(tabParametros[[#Headers],[SEBRAE]],tabImpostosNacionais[],2,0)</f>
        <v>6.0000000000000001E-3</v>
      </c>
      <c r="Y65" s="233">
        <f t="shared" si="0"/>
        <v>8.3333333333333329E-2</v>
      </c>
      <c r="Z65" s="233">
        <f t="shared" si="1"/>
        <v>0.1111111111111111</v>
      </c>
      <c r="AA65" s="232">
        <f>VLOOKUP(tabParametros[[#This Row],[Comarca]],tabComarca[],5,0)</f>
        <v>11.25</v>
      </c>
      <c r="AB65" s="232">
        <f>VLOOKUP(tabParametros[[#This Row],[CCT DA CATEGORIA]],tabSindicatos[],6,0)</f>
        <v>29.15</v>
      </c>
      <c r="AC65" s="232">
        <f>VLOOKUP(tabParametros[[#This Row],[CCT DA CATEGORIA]],tabSindicatos[],7,0)</f>
        <v>0</v>
      </c>
      <c r="AD65" s="232" cm="1">
        <f t="array" ref="AD6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65" s="232">
        <f>VLOOKUP(tabParametros[[#This Row],[CCT DA CATEGORIA]],tabSindicatos[],9,0)</f>
        <v>0</v>
      </c>
      <c r="AF65" s="232">
        <f>VLOOKUP(tabParametros[[#This Row],[CCT DA CATEGORIA]],tabSindicatos[],10,0)</f>
        <v>0</v>
      </c>
      <c r="AG65" s="234">
        <f>VLOOKUP(tabParametros[[#Headers],[Seguro de Vida]],tabOutrosCustos[],3,0)</f>
        <v>3.36</v>
      </c>
      <c r="AH65" s="234">
        <f>IF(ISNUMBER(SEARCH("MOTORISTA",tabParametros[[#This Row],[Função]],1)),VLOOKUP("MOTORISTAS",tabDiarias[],2,0),IF(tabParametros[[#This Row],[Comarca]]="Belo Horizonte",VLOOKUP("APOIO",tabDiarias[],2,0),0))</f>
        <v>202.08</v>
      </c>
      <c r="AI65" s="233">
        <f t="shared" si="2"/>
        <v>7.011766975308642E-3</v>
      </c>
      <c r="AJ65" s="235">
        <f>tabParametros[[#This Row],[FGTS]]*tabParametros[[#This Row],[Aviso Prévio Indenizado (API) e Reflexo do Aviso Prévio Indenizado]]</f>
        <v>5.609413580246914E-4</v>
      </c>
      <c r="AK65" s="235">
        <f>tabParametros[[#This Row],[FGTS]]*tabParametros[[#This Row],[Aviso Prévio Indenizado (API) e Reflexo do Aviso Prévio Indenizado]]*40%</f>
        <v>2.2437654320987658E-4</v>
      </c>
      <c r="AL65" s="233">
        <f t="shared" si="3"/>
        <v>3.5000000000000005E-3</v>
      </c>
      <c r="AM65" s="233">
        <f>tabParametros[[#This Row],[Aviso Prévio Trabalhado - APT]]*SUM(tabParametros[[#This Row],[INSS]:[SEBRAE]])</f>
        <v>1.3230000000000004E-3</v>
      </c>
      <c r="AN65" s="233">
        <f t="shared" si="4"/>
        <v>3.0577777777777773E-2</v>
      </c>
      <c r="AO65" s="233">
        <f t="shared" si="5"/>
        <v>8.3333333333333339E-4</v>
      </c>
      <c r="AP65" s="233">
        <f t="shared" si="6"/>
        <v>8.4444444444444437E-3</v>
      </c>
      <c r="AQ65" s="233">
        <f t="shared" si="7"/>
        <v>2.0277777777777777E-3</v>
      </c>
      <c r="AR65" s="233">
        <f t="shared" si="8"/>
        <v>1.7083333333333333E-4</v>
      </c>
      <c r="AS65" s="233">
        <f t="shared" si="9"/>
        <v>2.0833333333333335E-4</v>
      </c>
      <c r="AT65" s="233">
        <f t="shared" si="10"/>
        <v>1.2962962962962963E-3</v>
      </c>
      <c r="AU65" s="235">
        <f>SUM(tabParametros[[#This Row],[Ausência por Doença]:[Férias, Adicional de Férias e 13º  com empregada em gozo de Licença Maternidade]])*SUM(tabParametros[[#This Row],[INSS]:[SEBRAE]])</f>
        <v>4.5918250000000008E-3</v>
      </c>
      <c r="AV65" s="254">
        <f>IF(tabParametros[[#This Row],[Função]]="Porteiro - 220 h",SUM(tabParametros[[#This Row],[Salário Base]:[Adicional de Acúmulo de função]])/220*20*1.5,IF(ISNUMBER(SEARCH("12 x 36",tabParametros[[#This Row],[Função]],1)),SUM(tabParametros[[#This Row],[Salário Base]:[Adicional de Acúmulo de função]])/210*15.5*1.5,0))</f>
        <v>236.35324352825916</v>
      </c>
      <c r="AW65" s="232">
        <f>IF(tabParametros[[#This Row],[Vagas contratadas]]&gt;0,(SUM(tabParametros[[#This Row],[Salário Base]:[Adicional de Acúmulo de função]])*30%+SUM(tabParametros[[#This Row],[Vale - Alimentação]:[Seguro de Vida]]))/tabParametros[[#This Row],[Vagas contratadas]]*tabParametros[[#This Row],[Vagas suspensas]],0)</f>
        <v>0</v>
      </c>
      <c r="AX65" s="232">
        <f>SUMIF(tabUniformes[Cargo],tabParametros[[#This Row],[Função]],tabUniformes[Valor unit. Mensal])</f>
        <v>56.642978962543395</v>
      </c>
      <c r="AY6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5" s="232">
        <v>0</v>
      </c>
      <c r="BC65" s="234" t="e">
        <f ca="1">VLOOKUP(tabParametros[[#Headers],[Custos Indiretos]],tabOutrosCustos[],3,0)</f>
        <v>#NAME?</v>
      </c>
      <c r="BD65" s="234" t="e">
        <f ca="1">VLOOKUP(tabParametros[[#Headers],[Lucro]],tabOutrosCustos[],3,0)</f>
        <v>#NAME?</v>
      </c>
      <c r="BE65" s="233">
        <f>VLOOKUP(tabParametros[[#Headers],[COFINS]],tabImpostosNacionais[],2,0)</f>
        <v>7.5999999999999998E-2</v>
      </c>
      <c r="BF65" s="233">
        <f>VLOOKUP(tabParametros[[#Headers],[PIS]],tabImpostosNacionais[],2,0)</f>
        <v>1.6500000000000001E-2</v>
      </c>
      <c r="BG65" s="233">
        <f>VLOOKUP(tabParametros[[#This Row],[Comarca]],tabComarca[],4,0)</f>
        <v>0.05</v>
      </c>
      <c r="BH65" s="236">
        <f>VLOOKUP(tabParametros[[#This Row],[CCT DA CATEGORIA]],tabSindicatos[],11,0)</f>
        <v>45658</v>
      </c>
      <c r="BI65" s="282" t="str">
        <f>VLOOKUP(tabParametros[[#This Row],[CCT DA CATEGORIA]],tabSindicatos[],12,0)</f>
        <v>-</v>
      </c>
      <c r="BJ65" s="285" t="str">
        <f>VLOOKUP(tabParametros[[#This Row],[CCT DA CATEGORIA]],tabSindicatos[],13,0)</f>
        <v>-</v>
      </c>
    </row>
    <row r="66" spans="1:62">
      <c r="A66" s="231" t="s">
        <v>1442</v>
      </c>
      <c r="B66" s="197" t="s">
        <v>1103</v>
      </c>
      <c r="C66" s="197" t="s">
        <v>309</v>
      </c>
      <c r="D66" s="197" t="str">
        <f>VLOOKUP(tabParametros[[#This Row],[Código do Posto]],tabPostos[],4,0)</f>
        <v>SEAC/SINDEAC</v>
      </c>
      <c r="E66" s="282" t="str">
        <f>VLOOKUP(tabParametros[[#This Row],[Código do Posto]],tabPostos[],5,0)</f>
        <v>Apoio</v>
      </c>
      <c r="F66" s="282" t="str">
        <f>VLOOKUP(tabParametros[[#This Row],[Código do Posto]],tabPostos[],6,0)</f>
        <v>PGJ</v>
      </c>
      <c r="G66" s="282">
        <f>VLOOKUP(tabParametros[[#This Row],[Código do Posto]],tabPostos[],7,0)</f>
        <v>18</v>
      </c>
      <c r="H66" s="282">
        <f>VLOOKUP(tabParametros[[#This Row],[Código do Posto]],tabPostos[],8,0)</f>
        <v>0</v>
      </c>
      <c r="I66" s="232">
        <f>VLOOKUP(tabParametros[[#This Row],[Código do Posto]],tabPostos[],9,0)</f>
        <v>2134.8034899326635</v>
      </c>
      <c r="J66" s="232">
        <f>IF(ISNUMBER(SEARCH("Eletricista",tabParametros[[#This Row],[Função]],1)),0.3*tabParametros[[#This Row],[Salário Base]],0)</f>
        <v>0</v>
      </c>
      <c r="K6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6" s="232">
        <f>IF(AND(ISNUMBER(SEARCH("Noturno",tabParametros[[#This Row],[Função]],1)),tabParametros[[#This Row],[Comarca]]&lt;&gt;"Juiz de Fora"),tabParametros[[#This Row],[Salário Base]]/210*0.39*7*15.5,IF(ISNUMBER(SEARCH("Noturno",tabParametros[[#This Row],[Função]],1)),tabParametros[[#This Row],[Salário Base]]/210*0.2*8*15.5,0))</f>
        <v>430.16290322143169</v>
      </c>
      <c r="M66" s="232">
        <f>IF(ISNUMBER(SEARCH("Motorista II",tabParametros[[#This Row],[Função]],1)),0.3022*tabParametros[[#This Row],[Salário Base]],0)</f>
        <v>0</v>
      </c>
      <c r="N66" s="254">
        <v>0</v>
      </c>
      <c r="O66" s="254">
        <f>IF(ISNUMBER(SEARCH("TECNOLOGIA DA INFORMACAO",tabParametros[[#This Row],[Função]],1)),0.056*tabParametros[[#This Row],[Salário Base]],0)</f>
        <v>0</v>
      </c>
      <c r="P66" s="232">
        <f>IF(tabParametros[[#This Row],[Função]]="Operador de Midia Audiovisual - 150 h",tabParametros[[#This Row],[Salário Base]]/150*50*30%,IF(tabParametros[[#This Row],[Função]]="Supervisor de Manutencao de Veiculos II - 220 h",12%*tabParametros[[#This Row],[Salário Base]],0))</f>
        <v>0</v>
      </c>
      <c r="Q66" s="233">
        <f>VLOOKUP(tabParametros[[#Headers],[INSS]],tabImpostosNacionais[],2,0)</f>
        <v>0.2</v>
      </c>
      <c r="R66" s="233">
        <f>VLOOKUP(tabParametros[[#Headers],[SESI OU SESC]],tabImpostosNacionais[],2,0)</f>
        <v>1.4999999999999999E-2</v>
      </c>
      <c r="S66" s="233">
        <f>VLOOKUP(tabParametros[[#Headers],[SENAI OU SENAC]],tabImpostosNacionais[],2,0)</f>
        <v>0.01</v>
      </c>
      <c r="T66" s="233">
        <f>VLOOKUP(tabParametros[[#Headers],[INCRA]],tabImpostosNacionais[],2,0)</f>
        <v>2E-3</v>
      </c>
      <c r="U66" s="233">
        <f>VLOOKUP(tabParametros[[#Headers],[Salário Educação]],tabImpostosNacionais[],2,0)</f>
        <v>2.5000000000000001E-2</v>
      </c>
      <c r="V66" s="233">
        <f>VLOOKUP(tabParametros[[#Headers],[FGTS]],tabImpostosNacionais[],2,0)</f>
        <v>0.08</v>
      </c>
      <c r="W66" s="233">
        <f>VLOOKUP(tabParametros[[#Headers],[RAT Ajustado]],tabImpostosNacionais[],2,0)</f>
        <v>0.04</v>
      </c>
      <c r="X66" s="233">
        <f>VLOOKUP(tabParametros[[#Headers],[SEBRAE]],tabImpostosNacionais[],2,0)</f>
        <v>6.0000000000000001E-3</v>
      </c>
      <c r="Y66" s="233">
        <f t="shared" si="0"/>
        <v>8.3333333333333329E-2</v>
      </c>
      <c r="Z66" s="233">
        <f t="shared" si="1"/>
        <v>0.1111111111111111</v>
      </c>
      <c r="AA66" s="232">
        <f>VLOOKUP(tabParametros[[#This Row],[Comarca]],tabComarca[],5,0)</f>
        <v>11.25</v>
      </c>
      <c r="AB66" s="232">
        <f>VLOOKUP(tabParametros[[#This Row],[CCT DA CATEGORIA]],tabSindicatos[],6,0)</f>
        <v>29.15</v>
      </c>
      <c r="AC66" s="232">
        <f>VLOOKUP(tabParametros[[#This Row],[CCT DA CATEGORIA]],tabSindicatos[],7,0)</f>
        <v>0</v>
      </c>
      <c r="AD66" s="232" cm="1">
        <f t="array" ref="AD6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66" s="232">
        <f>VLOOKUP(tabParametros[[#This Row],[CCT DA CATEGORIA]],tabSindicatos[],9,0)</f>
        <v>0</v>
      </c>
      <c r="AF66" s="232">
        <f>VLOOKUP(tabParametros[[#This Row],[CCT DA CATEGORIA]],tabSindicatos[],10,0)</f>
        <v>0</v>
      </c>
      <c r="AG66" s="234">
        <f>VLOOKUP(tabParametros[[#Headers],[Seguro de Vida]],tabOutrosCustos[],3,0)</f>
        <v>3.36</v>
      </c>
      <c r="AH66" s="234">
        <f>IF(ISNUMBER(SEARCH("MOTORISTA",tabParametros[[#This Row],[Função]],1)),VLOOKUP("MOTORISTAS",tabDiarias[],2,0),IF(tabParametros[[#This Row],[Comarca]]="Belo Horizonte",VLOOKUP("APOIO",tabDiarias[],2,0),0))</f>
        <v>202.08</v>
      </c>
      <c r="AI66" s="233">
        <f t="shared" si="2"/>
        <v>7.011766975308642E-3</v>
      </c>
      <c r="AJ66" s="235">
        <f>tabParametros[[#This Row],[FGTS]]*tabParametros[[#This Row],[Aviso Prévio Indenizado (API) e Reflexo do Aviso Prévio Indenizado]]</f>
        <v>5.609413580246914E-4</v>
      </c>
      <c r="AK66" s="235">
        <f>tabParametros[[#This Row],[FGTS]]*tabParametros[[#This Row],[Aviso Prévio Indenizado (API) e Reflexo do Aviso Prévio Indenizado]]*40%</f>
        <v>2.2437654320987658E-4</v>
      </c>
      <c r="AL66" s="233">
        <f t="shared" si="3"/>
        <v>3.5000000000000005E-3</v>
      </c>
      <c r="AM66" s="233">
        <f>tabParametros[[#This Row],[Aviso Prévio Trabalhado - APT]]*SUM(tabParametros[[#This Row],[INSS]:[SEBRAE]])</f>
        <v>1.3230000000000004E-3</v>
      </c>
      <c r="AN66" s="233">
        <f t="shared" si="4"/>
        <v>3.0577777777777773E-2</v>
      </c>
      <c r="AO66" s="233">
        <f t="shared" si="5"/>
        <v>8.3333333333333339E-4</v>
      </c>
      <c r="AP66" s="233">
        <f t="shared" si="6"/>
        <v>8.4444444444444437E-3</v>
      </c>
      <c r="AQ66" s="233">
        <f t="shared" si="7"/>
        <v>2.0277777777777777E-3</v>
      </c>
      <c r="AR66" s="233">
        <f t="shared" si="8"/>
        <v>1.7083333333333333E-4</v>
      </c>
      <c r="AS66" s="233">
        <f t="shared" si="9"/>
        <v>2.0833333333333335E-4</v>
      </c>
      <c r="AT66" s="233">
        <f t="shared" si="10"/>
        <v>1.2962962962962963E-3</v>
      </c>
      <c r="AU66" s="235">
        <f>SUM(tabParametros[[#This Row],[Ausência por Doença]:[Férias, Adicional de Férias e 13º  com empregada em gozo de Licença Maternidade]])*SUM(tabParametros[[#This Row],[INSS]:[SEBRAE]])</f>
        <v>4.5918250000000008E-3</v>
      </c>
      <c r="AV66" s="254">
        <f>IF(tabParametros[[#This Row],[Função]]="Porteiro - 220 h",SUM(tabParametros[[#This Row],[Salário Base]:[Adicional de Acúmulo de função]])/220*20*1.5,IF(ISNUMBER(SEARCH("12 x 36",tabParametros[[#This Row],[Função]],1)),SUM(tabParametros[[#This Row],[Salário Base]:[Adicional de Acúmulo de função]])/210*15.5*1.5,0))</f>
        <v>283.97842209920344</v>
      </c>
      <c r="AW66" s="232">
        <f>IF(tabParametros[[#This Row],[Vagas contratadas]]&gt;0,(SUM(tabParametros[[#This Row],[Salário Base]:[Adicional de Acúmulo de função]])*30%+SUM(tabParametros[[#This Row],[Vale - Alimentação]:[Seguro de Vida]]))/tabParametros[[#This Row],[Vagas contratadas]]*tabParametros[[#This Row],[Vagas suspensas]],0)</f>
        <v>0</v>
      </c>
      <c r="AX66" s="232">
        <f>SUMIF(tabUniformes[Cargo],tabParametros[[#This Row],[Função]],tabUniformes[Valor unit. Mensal])</f>
        <v>56.642978962543395</v>
      </c>
      <c r="AY6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6" s="232">
        <v>0</v>
      </c>
      <c r="BC66" s="234" t="e">
        <f ca="1">VLOOKUP(tabParametros[[#Headers],[Custos Indiretos]],tabOutrosCustos[],3,0)</f>
        <v>#NAME?</v>
      </c>
      <c r="BD66" s="234" t="e">
        <f ca="1">VLOOKUP(tabParametros[[#Headers],[Lucro]],tabOutrosCustos[],3,0)</f>
        <v>#NAME?</v>
      </c>
      <c r="BE66" s="233">
        <f>VLOOKUP(tabParametros[[#Headers],[COFINS]],tabImpostosNacionais[],2,0)</f>
        <v>7.5999999999999998E-2</v>
      </c>
      <c r="BF66" s="233">
        <f>VLOOKUP(tabParametros[[#Headers],[PIS]],tabImpostosNacionais[],2,0)</f>
        <v>1.6500000000000001E-2</v>
      </c>
      <c r="BG66" s="233">
        <f>VLOOKUP(tabParametros[[#This Row],[Comarca]],tabComarca[],4,0)</f>
        <v>0.05</v>
      </c>
      <c r="BH66" s="236">
        <f>VLOOKUP(tabParametros[[#This Row],[CCT DA CATEGORIA]],tabSindicatos[],11,0)</f>
        <v>45658</v>
      </c>
      <c r="BI66" s="282" t="str">
        <f>VLOOKUP(tabParametros[[#This Row],[CCT DA CATEGORIA]],tabSindicatos[],12,0)</f>
        <v>-</v>
      </c>
      <c r="BJ66" s="285" t="str">
        <f>VLOOKUP(tabParametros[[#This Row],[CCT DA CATEGORIA]],tabSindicatos[],13,0)</f>
        <v>-</v>
      </c>
    </row>
    <row r="67" spans="1:62">
      <c r="A67" s="231" t="s">
        <v>1443</v>
      </c>
      <c r="B67" s="197" t="s">
        <v>1103</v>
      </c>
      <c r="C67" s="197" t="s">
        <v>314</v>
      </c>
      <c r="D67" s="197" t="str">
        <f>VLOOKUP(tabParametros[[#This Row],[Código do Posto]],tabPostos[],4,0)</f>
        <v>SEAC/SINDEAC</v>
      </c>
      <c r="E67" s="282" t="str">
        <f>VLOOKUP(tabParametros[[#This Row],[Código do Posto]],tabPostos[],5,0)</f>
        <v>Apoio</v>
      </c>
      <c r="F67" s="282" t="str">
        <f>VLOOKUP(tabParametros[[#This Row],[Código do Posto]],tabPostos[],6,0)</f>
        <v>PGJ</v>
      </c>
      <c r="G67" s="282">
        <f>VLOOKUP(tabParametros[[#This Row],[Código do Posto]],tabPostos[],7,0)</f>
        <v>5</v>
      </c>
      <c r="H67" s="282">
        <f>VLOOKUP(tabParametros[[#This Row],[Código do Posto]],tabPostos[],8,0)</f>
        <v>0</v>
      </c>
      <c r="I67" s="232">
        <f>VLOOKUP(tabParametros[[#This Row],[Código do Posto]],tabPostos[],9,0)</f>
        <v>2134.8034899326635</v>
      </c>
      <c r="J67" s="232">
        <f>IF(ISNUMBER(SEARCH("Eletricista",tabParametros[[#This Row],[Função]],1)),0.3*tabParametros[[#This Row],[Salário Base]],0)</f>
        <v>0</v>
      </c>
      <c r="K6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7" s="232">
        <f>IF(AND(ISNUMBER(SEARCH("Noturno",tabParametros[[#This Row],[Função]],1)),tabParametros[[#This Row],[Comarca]]&lt;&gt;"Juiz de Fora"),tabParametros[[#This Row],[Salário Base]]/210*0.39*7*15.5,IF(ISNUMBER(SEARCH("Noturno",tabParametros[[#This Row],[Função]],1)),tabParametros[[#This Row],[Salário Base]]/210*0.2*8*15.5,0))</f>
        <v>0</v>
      </c>
      <c r="M67" s="232">
        <f>IF(ISNUMBER(SEARCH("Motorista II",tabParametros[[#This Row],[Função]],1)),0.3022*tabParametros[[#This Row],[Salário Base]],0)</f>
        <v>0</v>
      </c>
      <c r="N67" s="254">
        <v>0</v>
      </c>
      <c r="O67" s="254">
        <f>IF(ISNUMBER(SEARCH("TECNOLOGIA DA INFORMACAO",tabParametros[[#This Row],[Função]],1)),0.056*tabParametros[[#This Row],[Salário Base]],0)</f>
        <v>0</v>
      </c>
      <c r="P67" s="232">
        <f>IF(tabParametros[[#This Row],[Função]]="Operador de Midia Audiovisual - 150 h",tabParametros[[#This Row],[Salário Base]]/150*50*30%,IF(tabParametros[[#This Row],[Função]]="Supervisor de Manutencao de Veiculos II - 220 h",12%*tabParametros[[#This Row],[Salário Base]],0))</f>
        <v>0</v>
      </c>
      <c r="Q67" s="233">
        <f>VLOOKUP(tabParametros[[#Headers],[INSS]],tabImpostosNacionais[],2,0)</f>
        <v>0.2</v>
      </c>
      <c r="R67" s="233">
        <f>VLOOKUP(tabParametros[[#Headers],[SESI OU SESC]],tabImpostosNacionais[],2,0)</f>
        <v>1.4999999999999999E-2</v>
      </c>
      <c r="S67" s="233">
        <f>VLOOKUP(tabParametros[[#Headers],[SENAI OU SENAC]],tabImpostosNacionais[],2,0)</f>
        <v>0.01</v>
      </c>
      <c r="T67" s="233">
        <f>VLOOKUP(tabParametros[[#Headers],[INCRA]],tabImpostosNacionais[],2,0)</f>
        <v>2E-3</v>
      </c>
      <c r="U67" s="233">
        <f>VLOOKUP(tabParametros[[#Headers],[Salário Educação]],tabImpostosNacionais[],2,0)</f>
        <v>2.5000000000000001E-2</v>
      </c>
      <c r="V67" s="233">
        <f>VLOOKUP(tabParametros[[#Headers],[FGTS]],tabImpostosNacionais[],2,0)</f>
        <v>0.08</v>
      </c>
      <c r="W67" s="233">
        <f>VLOOKUP(tabParametros[[#Headers],[RAT Ajustado]],tabImpostosNacionais[],2,0)</f>
        <v>0.04</v>
      </c>
      <c r="X67" s="233">
        <f>VLOOKUP(tabParametros[[#Headers],[SEBRAE]],tabImpostosNacionais[],2,0)</f>
        <v>6.0000000000000001E-3</v>
      </c>
      <c r="Y67" s="233">
        <f t="shared" si="0"/>
        <v>8.3333333333333329E-2</v>
      </c>
      <c r="Z67" s="233">
        <f t="shared" si="1"/>
        <v>0.1111111111111111</v>
      </c>
      <c r="AA67" s="232">
        <f>VLOOKUP(tabParametros[[#This Row],[Comarca]],tabComarca[],5,0)</f>
        <v>11.25</v>
      </c>
      <c r="AB67" s="232">
        <f>VLOOKUP(tabParametros[[#This Row],[CCT DA CATEGORIA]],tabSindicatos[],6,0)</f>
        <v>29.15</v>
      </c>
      <c r="AC67" s="232">
        <f>VLOOKUP(tabParametros[[#This Row],[CCT DA CATEGORIA]],tabSindicatos[],7,0)</f>
        <v>0</v>
      </c>
      <c r="AD67" s="232" cm="1">
        <f t="array" ref="AD6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67" s="232">
        <f>VLOOKUP(tabParametros[[#This Row],[CCT DA CATEGORIA]],tabSindicatos[],9,0)</f>
        <v>0</v>
      </c>
      <c r="AF67" s="232">
        <f>VLOOKUP(tabParametros[[#This Row],[CCT DA CATEGORIA]],tabSindicatos[],10,0)</f>
        <v>0</v>
      </c>
      <c r="AG67" s="234">
        <f>VLOOKUP(tabParametros[[#Headers],[Seguro de Vida]],tabOutrosCustos[],3,0)</f>
        <v>3.36</v>
      </c>
      <c r="AH67" s="234">
        <f>IF(ISNUMBER(SEARCH("MOTORISTA",tabParametros[[#This Row],[Função]],1)),VLOOKUP("MOTORISTAS",tabDiarias[],2,0),IF(tabParametros[[#This Row],[Comarca]]="Belo Horizonte",VLOOKUP("APOIO",tabDiarias[],2,0),0))</f>
        <v>202.08</v>
      </c>
      <c r="AI67" s="233">
        <f t="shared" si="2"/>
        <v>7.011766975308642E-3</v>
      </c>
      <c r="AJ67" s="235">
        <f>tabParametros[[#This Row],[FGTS]]*tabParametros[[#This Row],[Aviso Prévio Indenizado (API) e Reflexo do Aviso Prévio Indenizado]]</f>
        <v>5.609413580246914E-4</v>
      </c>
      <c r="AK67" s="235">
        <f>tabParametros[[#This Row],[FGTS]]*tabParametros[[#This Row],[Aviso Prévio Indenizado (API) e Reflexo do Aviso Prévio Indenizado]]*40%</f>
        <v>2.2437654320987658E-4</v>
      </c>
      <c r="AL67" s="233">
        <f t="shared" si="3"/>
        <v>3.5000000000000005E-3</v>
      </c>
      <c r="AM67" s="233">
        <f>tabParametros[[#This Row],[Aviso Prévio Trabalhado - APT]]*SUM(tabParametros[[#This Row],[INSS]:[SEBRAE]])</f>
        <v>1.3230000000000004E-3</v>
      </c>
      <c r="AN67" s="233">
        <f t="shared" si="4"/>
        <v>3.0577777777777773E-2</v>
      </c>
      <c r="AO67" s="233">
        <f t="shared" si="5"/>
        <v>8.3333333333333339E-4</v>
      </c>
      <c r="AP67" s="233">
        <f t="shared" si="6"/>
        <v>8.4444444444444437E-3</v>
      </c>
      <c r="AQ67" s="233">
        <f t="shared" si="7"/>
        <v>2.0277777777777777E-3</v>
      </c>
      <c r="AR67" s="233">
        <f t="shared" si="8"/>
        <v>1.7083333333333333E-4</v>
      </c>
      <c r="AS67" s="233">
        <f t="shared" si="9"/>
        <v>2.0833333333333335E-4</v>
      </c>
      <c r="AT67" s="233">
        <f t="shared" si="10"/>
        <v>1.2962962962962963E-3</v>
      </c>
      <c r="AU67" s="235">
        <f>SUM(tabParametros[[#This Row],[Ausência por Doença]:[Férias, Adicional de Férias e 13º  com empregada em gozo de Licença Maternidade]])*SUM(tabParametros[[#This Row],[INSS]:[SEBRAE]])</f>
        <v>4.5918250000000008E-3</v>
      </c>
      <c r="AV67" s="254">
        <f>IF(tabParametros[[#This Row],[Função]]="Porteiro - 220 h",SUM(tabParametros[[#This Row],[Salário Base]:[Adicional de Acúmulo de função]])/220*20*1.5,IF(ISNUMBER(SEARCH("12 x 36",tabParametros[[#This Row],[Função]],1)),SUM(tabParametros[[#This Row],[Salário Base]:[Adicional de Acúmulo de função]])/210*15.5*1.5,0))</f>
        <v>291.10956680899955</v>
      </c>
      <c r="AW67" s="232">
        <f>IF(tabParametros[[#This Row],[Vagas contratadas]]&gt;0,(SUM(tabParametros[[#This Row],[Salário Base]:[Adicional de Acúmulo de função]])*30%+SUM(tabParametros[[#This Row],[Vale - Alimentação]:[Seguro de Vida]]))/tabParametros[[#This Row],[Vagas contratadas]]*tabParametros[[#This Row],[Vagas suspensas]],0)</f>
        <v>0</v>
      </c>
      <c r="AX67" s="232">
        <f>SUMIF(tabUniformes[Cargo],tabParametros[[#This Row],[Função]],tabUniformes[Valor unit. Mensal])</f>
        <v>56.642978962543395</v>
      </c>
      <c r="AY6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7" s="232">
        <v>0</v>
      </c>
      <c r="BC67" s="234" t="e">
        <f ca="1">VLOOKUP(tabParametros[[#Headers],[Custos Indiretos]],tabOutrosCustos[],3,0)</f>
        <v>#NAME?</v>
      </c>
      <c r="BD67" s="234" t="e">
        <f ca="1">VLOOKUP(tabParametros[[#Headers],[Lucro]],tabOutrosCustos[],3,0)</f>
        <v>#NAME?</v>
      </c>
      <c r="BE67" s="233">
        <f>VLOOKUP(tabParametros[[#Headers],[COFINS]],tabImpostosNacionais[],2,0)</f>
        <v>7.5999999999999998E-2</v>
      </c>
      <c r="BF67" s="233">
        <f>VLOOKUP(tabParametros[[#Headers],[PIS]],tabImpostosNacionais[],2,0)</f>
        <v>1.6500000000000001E-2</v>
      </c>
      <c r="BG67" s="233">
        <f>VLOOKUP(tabParametros[[#This Row],[Comarca]],tabComarca[],4,0)</f>
        <v>0.05</v>
      </c>
      <c r="BH67" s="236">
        <f>VLOOKUP(tabParametros[[#This Row],[CCT DA CATEGORIA]],tabSindicatos[],11,0)</f>
        <v>45658</v>
      </c>
      <c r="BI67" s="282" t="str">
        <f>VLOOKUP(tabParametros[[#This Row],[CCT DA CATEGORIA]],tabSindicatos[],12,0)</f>
        <v>-</v>
      </c>
      <c r="BJ67" s="285" t="str">
        <f>VLOOKUP(tabParametros[[#This Row],[CCT DA CATEGORIA]],tabSindicatos[],13,0)</f>
        <v>-</v>
      </c>
    </row>
    <row r="68" spans="1:62">
      <c r="A68" s="231" t="s">
        <v>1444</v>
      </c>
      <c r="B68" s="197" t="s">
        <v>1103</v>
      </c>
      <c r="C68" s="197" t="s">
        <v>319</v>
      </c>
      <c r="D68" s="197" t="str">
        <f>VLOOKUP(tabParametros[[#This Row],[Código do Posto]],tabPostos[],4,0)</f>
        <v>SEAC/SINDEAC</v>
      </c>
      <c r="E68" s="282" t="str">
        <f>VLOOKUP(tabParametros[[#This Row],[Código do Posto]],tabPostos[],5,0)</f>
        <v>Apoio</v>
      </c>
      <c r="F68" s="282" t="str">
        <f>VLOOKUP(tabParametros[[#This Row],[Código do Posto]],tabPostos[],6,0)</f>
        <v>PGJ</v>
      </c>
      <c r="G68" s="282">
        <f>VLOOKUP(tabParametros[[#This Row],[Código do Posto]],tabPostos[],7,0)</f>
        <v>5</v>
      </c>
      <c r="H68" s="282">
        <f>VLOOKUP(tabParametros[[#This Row],[Código do Posto]],tabPostos[],8,0)</f>
        <v>0</v>
      </c>
      <c r="I68" s="232">
        <f>VLOOKUP(tabParametros[[#This Row],[Código do Posto]],tabPostos[],9,0)</f>
        <v>2316.2296840668359</v>
      </c>
      <c r="J68" s="232">
        <f>IF(ISNUMBER(SEARCH("Eletricista",tabParametros[[#This Row],[Função]],1)),0.3*tabParametros[[#This Row],[Salário Base]],0)</f>
        <v>0</v>
      </c>
      <c r="K6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8" s="232">
        <f>IF(AND(ISNUMBER(SEARCH("Noturno",tabParametros[[#This Row],[Função]],1)),tabParametros[[#This Row],[Comarca]]&lt;&gt;"Juiz de Fora"),tabParametros[[#This Row],[Salário Base]]/210*0.39*7*15.5,IF(ISNUMBER(SEARCH("Noturno",tabParametros[[#This Row],[Função]],1)),tabParametros[[#This Row],[Salário Base]]/210*0.2*8*15.5,0))</f>
        <v>0</v>
      </c>
      <c r="M68" s="232">
        <f>IF(ISNUMBER(SEARCH("Motorista II",tabParametros[[#This Row],[Função]],1)),0.3022*tabParametros[[#This Row],[Salário Base]],0)</f>
        <v>0</v>
      </c>
      <c r="N68" s="254">
        <v>0</v>
      </c>
      <c r="O68" s="254">
        <f>IF(ISNUMBER(SEARCH("TECNOLOGIA DA INFORMACAO",tabParametros[[#This Row],[Função]],1)),0.056*tabParametros[[#This Row],[Salário Base]],0)</f>
        <v>0</v>
      </c>
      <c r="P68" s="232">
        <f>IF(tabParametros[[#This Row],[Função]]="Operador de Midia Audiovisual - 150 h",tabParametros[[#This Row],[Salário Base]]/150*50*30%,IF(tabParametros[[#This Row],[Função]]="Supervisor de Manutencao de Veiculos II - 220 h",12%*tabParametros[[#This Row],[Salário Base]],0))</f>
        <v>0</v>
      </c>
      <c r="Q68" s="233">
        <f>VLOOKUP(tabParametros[[#Headers],[INSS]],tabImpostosNacionais[],2,0)</f>
        <v>0.2</v>
      </c>
      <c r="R68" s="233">
        <f>VLOOKUP(tabParametros[[#Headers],[SESI OU SESC]],tabImpostosNacionais[],2,0)</f>
        <v>1.4999999999999999E-2</v>
      </c>
      <c r="S68" s="233">
        <f>VLOOKUP(tabParametros[[#Headers],[SENAI OU SENAC]],tabImpostosNacionais[],2,0)</f>
        <v>0.01</v>
      </c>
      <c r="T68" s="233">
        <f>VLOOKUP(tabParametros[[#Headers],[INCRA]],tabImpostosNacionais[],2,0)</f>
        <v>2E-3</v>
      </c>
      <c r="U68" s="233">
        <f>VLOOKUP(tabParametros[[#Headers],[Salário Educação]],tabImpostosNacionais[],2,0)</f>
        <v>2.5000000000000001E-2</v>
      </c>
      <c r="V68" s="233">
        <f>VLOOKUP(tabParametros[[#Headers],[FGTS]],tabImpostosNacionais[],2,0)</f>
        <v>0.08</v>
      </c>
      <c r="W68" s="233">
        <f>VLOOKUP(tabParametros[[#Headers],[RAT Ajustado]],tabImpostosNacionais[],2,0)</f>
        <v>0.04</v>
      </c>
      <c r="X68" s="233">
        <f>VLOOKUP(tabParametros[[#Headers],[SEBRAE]],tabImpostosNacionais[],2,0)</f>
        <v>6.0000000000000001E-3</v>
      </c>
      <c r="Y68" s="233">
        <f t="shared" ref="Y68:Y131" si="11">1/12</f>
        <v>8.3333333333333329E-2</v>
      </c>
      <c r="Z68" s="233">
        <f t="shared" ref="Z68:Z131" si="12">1/12+1/12/3</f>
        <v>0.1111111111111111</v>
      </c>
      <c r="AA68" s="232">
        <f>VLOOKUP(tabParametros[[#This Row],[Comarca]],tabComarca[],5,0)</f>
        <v>11.25</v>
      </c>
      <c r="AB68" s="232">
        <f>VLOOKUP(tabParametros[[#This Row],[CCT DA CATEGORIA]],tabSindicatos[],6,0)</f>
        <v>29.15</v>
      </c>
      <c r="AC68" s="232">
        <f>VLOOKUP(tabParametros[[#This Row],[CCT DA CATEGORIA]],tabSindicatos[],7,0)</f>
        <v>0</v>
      </c>
      <c r="AD68" s="232" cm="1">
        <f t="array" ref="AD6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68" s="232">
        <f>VLOOKUP(tabParametros[[#This Row],[CCT DA CATEGORIA]],tabSindicatos[],9,0)</f>
        <v>0</v>
      </c>
      <c r="AF68" s="232">
        <f>VLOOKUP(tabParametros[[#This Row],[CCT DA CATEGORIA]],tabSindicatos[],10,0)</f>
        <v>0</v>
      </c>
      <c r="AG68" s="234">
        <f>VLOOKUP(tabParametros[[#Headers],[Seguro de Vida]],tabOutrosCustos[],3,0)</f>
        <v>3.36</v>
      </c>
      <c r="AH68" s="234">
        <f>IF(ISNUMBER(SEARCH("MOTORISTA",tabParametros[[#This Row],[Função]],1)),VLOOKUP("MOTORISTAS",tabDiarias[],2,0),IF(tabParametros[[#This Row],[Comarca]]="Belo Horizonte",VLOOKUP("APOIO",tabDiarias[],2,0),0))</f>
        <v>202.08</v>
      </c>
      <c r="AI68" s="233">
        <f t="shared" ref="AI68:AI131" si="13">(1/12*7%)+((1+1+1/3)*1/12)*(7%/12)+((1/12*0.05)+((1+1+1/3)*1/12)*(7%/12))/30*3*5/60</f>
        <v>7.011766975308642E-3</v>
      </c>
      <c r="AJ68" s="235">
        <f>tabParametros[[#This Row],[FGTS]]*tabParametros[[#This Row],[Aviso Prévio Indenizado (API) e Reflexo do Aviso Prévio Indenizado]]</f>
        <v>5.609413580246914E-4</v>
      </c>
      <c r="AK68" s="235">
        <f>tabParametros[[#This Row],[FGTS]]*tabParametros[[#This Row],[Aviso Prévio Indenizado (API) e Reflexo do Aviso Prévio Indenizado]]*40%</f>
        <v>2.2437654320987658E-4</v>
      </c>
      <c r="AL68" s="233">
        <f t="shared" ref="AL68:AL131" si="14">((1/30*7)*0.9)/60</f>
        <v>3.5000000000000005E-3</v>
      </c>
      <c r="AM68" s="233">
        <f>tabParametros[[#This Row],[Aviso Prévio Trabalhado - APT]]*SUM(tabParametros[[#This Row],[INSS]:[SEBRAE]])</f>
        <v>1.3230000000000004E-3</v>
      </c>
      <c r="AN68" s="233">
        <f t="shared" ref="AN68:AN131" si="15">0.4*0.08*0.8*(1+1/12+1/12+1/3/12)</f>
        <v>3.0577777777777773E-2</v>
      </c>
      <c r="AO68" s="233">
        <f t="shared" ref="AO68:AO131" si="16">(1*1%)/12</f>
        <v>8.3333333333333339E-4</v>
      </c>
      <c r="AP68" s="233">
        <f t="shared" ref="AP68:AP131" si="17">1/30*3.04/12</f>
        <v>8.4444444444444437E-3</v>
      </c>
      <c r="AQ68" s="233">
        <f t="shared" ref="AQ68:AQ131" si="18">0.73/30/12</f>
        <v>2.0277777777777777E-3</v>
      </c>
      <c r="AR68" s="233">
        <f t="shared" ref="AR68:AR131" si="19">5/30/12*1.23%</f>
        <v>1.7083333333333333E-4</v>
      </c>
      <c r="AS68" s="233">
        <f t="shared" ref="AS68:AS131" si="20">1/30*15*0.5%/12</f>
        <v>2.0833333333333335E-4</v>
      </c>
      <c r="AT68" s="233">
        <f t="shared" ref="AT68:AT131" si="21">((1/12+1/12+1/3/12)*4/12)*2%</f>
        <v>1.2962962962962963E-3</v>
      </c>
      <c r="AU68" s="235">
        <f>SUM(tabParametros[[#This Row],[Ausência por Doença]:[Férias, Adicional de Férias e 13º  com empregada em gozo de Licença Maternidade]])*SUM(tabParametros[[#This Row],[INSS]:[SEBRAE]])</f>
        <v>4.5918250000000008E-3</v>
      </c>
      <c r="AV68" s="254">
        <f>IF(tabParametros[[#This Row],[Função]]="Porteiro - 220 h",SUM(tabParametros[[#This Row],[Salário Base]:[Adicional de Acúmulo de função]])/220*20*1.5,IF(ISNUMBER(SEARCH("12 x 36",tabParametros[[#This Row],[Função]],1)),SUM(tabParametros[[#This Row],[Salário Base]:[Adicional de Acúmulo de função]])/210*15.5*1.5,0))</f>
        <v>0</v>
      </c>
      <c r="AW68" s="232">
        <f>IF(tabParametros[[#This Row],[Vagas contratadas]]&gt;0,(SUM(tabParametros[[#This Row],[Salário Base]:[Adicional de Acúmulo de função]])*30%+SUM(tabParametros[[#This Row],[Vale - Alimentação]:[Seguro de Vida]]))/tabParametros[[#This Row],[Vagas contratadas]]*tabParametros[[#This Row],[Vagas suspensas]],0)</f>
        <v>0</v>
      </c>
      <c r="AX68" s="232">
        <f>SUMIF(tabUniformes[Cargo],tabParametros[[#This Row],[Função]],tabUniformes[Valor unit. Mensal])</f>
        <v>56.642978962543395</v>
      </c>
      <c r="AY6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8" s="232">
        <v>0</v>
      </c>
      <c r="BC68" s="234" t="e">
        <f ca="1">VLOOKUP(tabParametros[[#Headers],[Custos Indiretos]],tabOutrosCustos[],3,0)</f>
        <v>#NAME?</v>
      </c>
      <c r="BD68" s="234" t="e">
        <f ca="1">VLOOKUP(tabParametros[[#Headers],[Lucro]],tabOutrosCustos[],3,0)</f>
        <v>#NAME?</v>
      </c>
      <c r="BE68" s="233">
        <f>VLOOKUP(tabParametros[[#Headers],[COFINS]],tabImpostosNacionais[],2,0)</f>
        <v>7.5999999999999998E-2</v>
      </c>
      <c r="BF68" s="233">
        <f>VLOOKUP(tabParametros[[#Headers],[PIS]],tabImpostosNacionais[],2,0)</f>
        <v>1.6500000000000001E-2</v>
      </c>
      <c r="BG68" s="233">
        <f>VLOOKUP(tabParametros[[#This Row],[Comarca]],tabComarca[],4,0)</f>
        <v>0.05</v>
      </c>
      <c r="BH68" s="236">
        <f>VLOOKUP(tabParametros[[#This Row],[CCT DA CATEGORIA]],tabSindicatos[],11,0)</f>
        <v>45658</v>
      </c>
      <c r="BI68" s="282" t="str">
        <f>VLOOKUP(tabParametros[[#This Row],[CCT DA CATEGORIA]],tabSindicatos[],12,0)</f>
        <v>-</v>
      </c>
      <c r="BJ68" s="285" t="str">
        <f>VLOOKUP(tabParametros[[#This Row],[CCT DA CATEGORIA]],tabSindicatos[],13,0)</f>
        <v>-</v>
      </c>
    </row>
    <row r="69" spans="1:62">
      <c r="A69" s="231" t="s">
        <v>1445</v>
      </c>
      <c r="B69" s="197" t="s">
        <v>1103</v>
      </c>
      <c r="C69" s="197" t="s">
        <v>324</v>
      </c>
      <c r="D69" s="197" t="str">
        <f>VLOOKUP(tabParametros[[#This Row],[Código do Posto]],tabPostos[],4,0)</f>
        <v>SEAC/SINDEAC</v>
      </c>
      <c r="E69" s="282" t="str">
        <f>VLOOKUP(tabParametros[[#This Row],[Código do Posto]],tabPostos[],5,0)</f>
        <v>Apoio</v>
      </c>
      <c r="F69" s="282" t="str">
        <f>VLOOKUP(tabParametros[[#This Row],[Código do Posto]],tabPostos[],6,0)</f>
        <v>PGJ</v>
      </c>
      <c r="G69" s="282">
        <f>VLOOKUP(tabParametros[[#This Row],[Código do Posto]],tabPostos[],7,0)</f>
        <v>146</v>
      </c>
      <c r="H69" s="282">
        <f>VLOOKUP(tabParametros[[#This Row],[Código do Posto]],tabPostos[],8,0)</f>
        <v>0</v>
      </c>
      <c r="I69" s="232">
        <f>VLOOKUP(tabParametros[[#This Row],[Código do Posto]],tabPostos[],9,0)</f>
        <v>3397.1306016921476</v>
      </c>
      <c r="J69" s="232">
        <f>IF(ISNUMBER(SEARCH("Eletricista",tabParametros[[#This Row],[Função]],1)),0.3*tabParametros[[#This Row],[Salário Base]],0)</f>
        <v>0</v>
      </c>
      <c r="K6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69" s="232">
        <f>IF(AND(ISNUMBER(SEARCH("Noturno",tabParametros[[#This Row],[Função]],1)),tabParametros[[#This Row],[Comarca]]&lt;&gt;"Juiz de Fora"),tabParametros[[#This Row],[Salário Base]]/210*0.39*7*15.5,IF(ISNUMBER(SEARCH("Noturno",tabParametros[[#This Row],[Função]],1)),tabParametros[[#This Row],[Salário Base]]/210*0.2*8*15.5,0))</f>
        <v>0</v>
      </c>
      <c r="M69" s="232">
        <f>IF(ISNUMBER(SEARCH("Motorista II",tabParametros[[#This Row],[Função]],1)),0.3022*tabParametros[[#This Row],[Salário Base]],0)</f>
        <v>0</v>
      </c>
      <c r="N69" s="254">
        <v>0</v>
      </c>
      <c r="O69" s="254">
        <f>IF(ISNUMBER(SEARCH("TECNOLOGIA DA INFORMACAO",tabParametros[[#This Row],[Função]],1)),0.056*tabParametros[[#This Row],[Salário Base]],0)</f>
        <v>0</v>
      </c>
      <c r="P69" s="232">
        <f>IF(tabParametros[[#This Row],[Função]]="Operador de Midia Audiovisual - 150 h",tabParametros[[#This Row],[Salário Base]]/150*50*30%,IF(tabParametros[[#This Row],[Função]]="Supervisor de Manutencao de Veiculos II - 220 h",12%*tabParametros[[#This Row],[Salário Base]],0))</f>
        <v>0</v>
      </c>
      <c r="Q69" s="233">
        <f>VLOOKUP(tabParametros[[#Headers],[INSS]],tabImpostosNacionais[],2,0)</f>
        <v>0.2</v>
      </c>
      <c r="R69" s="233">
        <f>VLOOKUP(tabParametros[[#Headers],[SESI OU SESC]],tabImpostosNacionais[],2,0)</f>
        <v>1.4999999999999999E-2</v>
      </c>
      <c r="S69" s="233">
        <f>VLOOKUP(tabParametros[[#Headers],[SENAI OU SENAC]],tabImpostosNacionais[],2,0)</f>
        <v>0.01</v>
      </c>
      <c r="T69" s="233">
        <f>VLOOKUP(tabParametros[[#Headers],[INCRA]],tabImpostosNacionais[],2,0)</f>
        <v>2E-3</v>
      </c>
      <c r="U69" s="233">
        <f>VLOOKUP(tabParametros[[#Headers],[Salário Educação]],tabImpostosNacionais[],2,0)</f>
        <v>2.5000000000000001E-2</v>
      </c>
      <c r="V69" s="233">
        <f>VLOOKUP(tabParametros[[#Headers],[FGTS]],tabImpostosNacionais[],2,0)</f>
        <v>0.08</v>
      </c>
      <c r="W69" s="233">
        <f>VLOOKUP(tabParametros[[#Headers],[RAT Ajustado]],tabImpostosNacionais[],2,0)</f>
        <v>0.04</v>
      </c>
      <c r="X69" s="233">
        <f>VLOOKUP(tabParametros[[#Headers],[SEBRAE]],tabImpostosNacionais[],2,0)</f>
        <v>6.0000000000000001E-3</v>
      </c>
      <c r="Y69" s="233">
        <f t="shared" si="11"/>
        <v>8.3333333333333329E-2</v>
      </c>
      <c r="Z69" s="233">
        <f t="shared" si="12"/>
        <v>0.1111111111111111</v>
      </c>
      <c r="AA69" s="232">
        <f>VLOOKUP(tabParametros[[#This Row],[Comarca]],tabComarca[],5,0)</f>
        <v>11.25</v>
      </c>
      <c r="AB69" s="232">
        <f>VLOOKUP(tabParametros[[#This Row],[CCT DA CATEGORIA]],tabSindicatos[],6,0)</f>
        <v>29.15</v>
      </c>
      <c r="AC69" s="232">
        <f>VLOOKUP(tabParametros[[#This Row],[CCT DA CATEGORIA]],tabSindicatos[],7,0)</f>
        <v>0</v>
      </c>
      <c r="AD69" s="232" cm="1">
        <f t="array" ref="AD6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69" s="232">
        <f>VLOOKUP(tabParametros[[#This Row],[CCT DA CATEGORIA]],tabSindicatos[],9,0)</f>
        <v>0</v>
      </c>
      <c r="AF69" s="232">
        <f>VLOOKUP(tabParametros[[#This Row],[CCT DA CATEGORIA]],tabSindicatos[],10,0)</f>
        <v>0</v>
      </c>
      <c r="AG69" s="234">
        <f>VLOOKUP(tabParametros[[#Headers],[Seguro de Vida]],tabOutrosCustos[],3,0)</f>
        <v>3.36</v>
      </c>
      <c r="AH69" s="234">
        <f>IF(ISNUMBER(SEARCH("MOTORISTA",tabParametros[[#This Row],[Função]],1)),VLOOKUP("MOTORISTAS",tabDiarias[],2,0),IF(tabParametros[[#This Row],[Comarca]]="Belo Horizonte",VLOOKUP("APOIO",tabDiarias[],2,0),0))</f>
        <v>202.08</v>
      </c>
      <c r="AI69" s="233">
        <f t="shared" si="13"/>
        <v>7.011766975308642E-3</v>
      </c>
      <c r="AJ69" s="235">
        <f>tabParametros[[#This Row],[FGTS]]*tabParametros[[#This Row],[Aviso Prévio Indenizado (API) e Reflexo do Aviso Prévio Indenizado]]</f>
        <v>5.609413580246914E-4</v>
      </c>
      <c r="AK69" s="235">
        <f>tabParametros[[#This Row],[FGTS]]*tabParametros[[#This Row],[Aviso Prévio Indenizado (API) e Reflexo do Aviso Prévio Indenizado]]*40%</f>
        <v>2.2437654320987658E-4</v>
      </c>
      <c r="AL69" s="233">
        <f t="shared" si="14"/>
        <v>3.5000000000000005E-3</v>
      </c>
      <c r="AM69" s="233">
        <f>tabParametros[[#This Row],[Aviso Prévio Trabalhado - APT]]*SUM(tabParametros[[#This Row],[INSS]:[SEBRAE]])</f>
        <v>1.3230000000000004E-3</v>
      </c>
      <c r="AN69" s="233">
        <f t="shared" si="15"/>
        <v>3.0577777777777773E-2</v>
      </c>
      <c r="AO69" s="233">
        <f t="shared" si="16"/>
        <v>8.3333333333333339E-4</v>
      </c>
      <c r="AP69" s="233">
        <f t="shared" si="17"/>
        <v>8.4444444444444437E-3</v>
      </c>
      <c r="AQ69" s="233">
        <f t="shared" si="18"/>
        <v>2.0277777777777777E-3</v>
      </c>
      <c r="AR69" s="233">
        <f t="shared" si="19"/>
        <v>1.7083333333333333E-4</v>
      </c>
      <c r="AS69" s="233">
        <f t="shared" si="20"/>
        <v>2.0833333333333335E-4</v>
      </c>
      <c r="AT69" s="233">
        <f t="shared" si="21"/>
        <v>1.2962962962962963E-3</v>
      </c>
      <c r="AU69" s="235">
        <f>SUM(tabParametros[[#This Row],[Ausência por Doença]:[Férias, Adicional de Férias e 13º  com empregada em gozo de Licença Maternidade]])*SUM(tabParametros[[#This Row],[INSS]:[SEBRAE]])</f>
        <v>4.5918250000000008E-3</v>
      </c>
      <c r="AV69" s="254">
        <f>IF(tabParametros[[#This Row],[Função]]="Porteiro - 220 h",SUM(tabParametros[[#This Row],[Salário Base]:[Adicional de Acúmulo de função]])/220*20*1.5,IF(ISNUMBER(SEARCH("12 x 36",tabParametros[[#This Row],[Função]],1)),SUM(tabParametros[[#This Row],[Salário Base]:[Adicional de Acúmulo de função]])/210*15.5*1.5,0))</f>
        <v>0</v>
      </c>
      <c r="AW69" s="232">
        <f>IF(tabParametros[[#This Row],[Vagas contratadas]]&gt;0,(SUM(tabParametros[[#This Row],[Salário Base]:[Adicional de Acúmulo de função]])*30%+SUM(tabParametros[[#This Row],[Vale - Alimentação]:[Seguro de Vida]]))/tabParametros[[#This Row],[Vagas contratadas]]*tabParametros[[#This Row],[Vagas suspensas]],0)</f>
        <v>0</v>
      </c>
      <c r="AX69" s="232">
        <f>SUMIF(tabUniformes[Cargo],tabParametros[[#This Row],[Função]],tabUniformes[Valor unit. Mensal])</f>
        <v>56.642978962543395</v>
      </c>
      <c r="AY6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6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6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69" s="232">
        <v>0</v>
      </c>
      <c r="BC69" s="234" t="e">
        <f ca="1">VLOOKUP(tabParametros[[#Headers],[Custos Indiretos]],tabOutrosCustos[],3,0)</f>
        <v>#NAME?</v>
      </c>
      <c r="BD69" s="234" t="e">
        <f ca="1">VLOOKUP(tabParametros[[#Headers],[Lucro]],tabOutrosCustos[],3,0)</f>
        <v>#NAME?</v>
      </c>
      <c r="BE69" s="233">
        <f>VLOOKUP(tabParametros[[#Headers],[COFINS]],tabImpostosNacionais[],2,0)</f>
        <v>7.5999999999999998E-2</v>
      </c>
      <c r="BF69" s="233">
        <f>VLOOKUP(tabParametros[[#Headers],[PIS]],tabImpostosNacionais[],2,0)</f>
        <v>1.6500000000000001E-2</v>
      </c>
      <c r="BG69" s="233">
        <f>VLOOKUP(tabParametros[[#This Row],[Comarca]],tabComarca[],4,0)</f>
        <v>0.05</v>
      </c>
      <c r="BH69" s="236">
        <f>VLOOKUP(tabParametros[[#This Row],[CCT DA CATEGORIA]],tabSindicatos[],11,0)</f>
        <v>45658</v>
      </c>
      <c r="BI69" s="282" t="str">
        <f>VLOOKUP(tabParametros[[#This Row],[CCT DA CATEGORIA]],tabSindicatos[],12,0)</f>
        <v>-</v>
      </c>
      <c r="BJ69" s="285" t="str">
        <f>VLOOKUP(tabParametros[[#This Row],[CCT DA CATEGORIA]],tabSindicatos[],13,0)</f>
        <v>-</v>
      </c>
    </row>
    <row r="70" spans="1:62">
      <c r="A70" s="231" t="s">
        <v>1550</v>
      </c>
      <c r="B70" s="197" t="s">
        <v>1103</v>
      </c>
      <c r="C70" s="197" t="s">
        <v>324</v>
      </c>
      <c r="D70" s="197" t="str">
        <f>VLOOKUP(tabParametros[[#This Row],[Código do Posto]],tabPostos[],4,0)</f>
        <v>SEAC/SINDEAC</v>
      </c>
      <c r="E70" s="282" t="str">
        <f>VLOOKUP(tabParametros[[#This Row],[Código do Posto]],tabPostos[],5,0)</f>
        <v>Apoio</v>
      </c>
      <c r="F70" s="282" t="str">
        <f>VLOOKUP(tabParametros[[#This Row],[Código do Posto]],tabPostos[],6,0)</f>
        <v>FEPDC</v>
      </c>
      <c r="G70" s="282">
        <f>VLOOKUP(tabParametros[[#This Row],[Código do Posto]],tabPostos[],7,0)</f>
        <v>10</v>
      </c>
      <c r="H70" s="282">
        <f>VLOOKUP(tabParametros[[#This Row],[Código do Posto]],tabPostos[],8,0)</f>
        <v>0</v>
      </c>
      <c r="I70" s="232">
        <f>VLOOKUP(tabParametros[[#This Row],[Código do Posto]],tabPostos[],9,0)</f>
        <v>3397.1306016921476</v>
      </c>
      <c r="J70" s="232">
        <f>IF(ISNUMBER(SEARCH("Eletricista",tabParametros[[#This Row],[Função]],1)),0.3*tabParametros[[#This Row],[Salário Base]],0)</f>
        <v>0</v>
      </c>
      <c r="K7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0" s="232">
        <f>IF(AND(ISNUMBER(SEARCH("Noturno",tabParametros[[#This Row],[Função]],1)),tabParametros[[#This Row],[Comarca]]&lt;&gt;"Juiz de Fora"),tabParametros[[#This Row],[Salário Base]]/210*0.39*7*15.5,IF(ISNUMBER(SEARCH("Noturno",tabParametros[[#This Row],[Função]],1)),tabParametros[[#This Row],[Salário Base]]/210*0.2*8*15.5,0))</f>
        <v>0</v>
      </c>
      <c r="M70" s="232">
        <f>IF(ISNUMBER(SEARCH("Motorista II",tabParametros[[#This Row],[Função]],1)),0.3022*tabParametros[[#This Row],[Salário Base]],0)</f>
        <v>0</v>
      </c>
      <c r="N70" s="254">
        <v>0</v>
      </c>
      <c r="O70" s="254">
        <f>IF(ISNUMBER(SEARCH("TECNOLOGIA DA INFORMACAO",tabParametros[[#This Row],[Função]],1)),0.056*tabParametros[[#This Row],[Salário Base]],0)</f>
        <v>0</v>
      </c>
      <c r="P70" s="232">
        <f>IF(tabParametros[[#This Row],[Função]]="Operador de Midia Audiovisual - 150 h",tabParametros[[#This Row],[Salário Base]]/150*50*30%,IF(tabParametros[[#This Row],[Função]]="Supervisor de Manutencao de Veiculos II - 220 h",12%*tabParametros[[#This Row],[Salário Base]],0))</f>
        <v>0</v>
      </c>
      <c r="Q70" s="233">
        <f>VLOOKUP(tabParametros[[#Headers],[INSS]],tabImpostosNacionais[],2,0)</f>
        <v>0.2</v>
      </c>
      <c r="R70" s="233">
        <f>VLOOKUP(tabParametros[[#Headers],[SESI OU SESC]],tabImpostosNacionais[],2,0)</f>
        <v>1.4999999999999999E-2</v>
      </c>
      <c r="S70" s="233">
        <f>VLOOKUP(tabParametros[[#Headers],[SENAI OU SENAC]],tabImpostosNacionais[],2,0)</f>
        <v>0.01</v>
      </c>
      <c r="T70" s="233">
        <f>VLOOKUP(tabParametros[[#Headers],[INCRA]],tabImpostosNacionais[],2,0)</f>
        <v>2E-3</v>
      </c>
      <c r="U70" s="233">
        <f>VLOOKUP(tabParametros[[#Headers],[Salário Educação]],tabImpostosNacionais[],2,0)</f>
        <v>2.5000000000000001E-2</v>
      </c>
      <c r="V70" s="233">
        <f>VLOOKUP(tabParametros[[#Headers],[FGTS]],tabImpostosNacionais[],2,0)</f>
        <v>0.08</v>
      </c>
      <c r="W70" s="233">
        <f>VLOOKUP(tabParametros[[#Headers],[RAT Ajustado]],tabImpostosNacionais[],2,0)</f>
        <v>0.04</v>
      </c>
      <c r="X70" s="233">
        <f>VLOOKUP(tabParametros[[#Headers],[SEBRAE]],tabImpostosNacionais[],2,0)</f>
        <v>6.0000000000000001E-3</v>
      </c>
      <c r="Y70" s="233">
        <f t="shared" si="11"/>
        <v>8.3333333333333329E-2</v>
      </c>
      <c r="Z70" s="233">
        <f t="shared" si="12"/>
        <v>0.1111111111111111</v>
      </c>
      <c r="AA70" s="232">
        <f>VLOOKUP(tabParametros[[#This Row],[Comarca]],tabComarca[],5,0)</f>
        <v>11.25</v>
      </c>
      <c r="AB70" s="232">
        <f>VLOOKUP(tabParametros[[#This Row],[CCT DA CATEGORIA]],tabSindicatos[],6,0)</f>
        <v>29.15</v>
      </c>
      <c r="AC70" s="232">
        <f>VLOOKUP(tabParametros[[#This Row],[CCT DA CATEGORIA]],tabSindicatos[],7,0)</f>
        <v>0</v>
      </c>
      <c r="AD70" s="232" cm="1">
        <f t="array" ref="AD7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70" s="232">
        <f>VLOOKUP(tabParametros[[#This Row],[CCT DA CATEGORIA]],tabSindicatos[],9,0)</f>
        <v>0</v>
      </c>
      <c r="AF70" s="232">
        <f>VLOOKUP(tabParametros[[#This Row],[CCT DA CATEGORIA]],tabSindicatos[],10,0)</f>
        <v>0</v>
      </c>
      <c r="AG70" s="234">
        <f>VLOOKUP(tabParametros[[#Headers],[Seguro de Vida]],tabOutrosCustos[],3,0)</f>
        <v>3.36</v>
      </c>
      <c r="AH70" s="234">
        <f>IF(ISNUMBER(SEARCH("MOTORISTA",tabParametros[[#This Row],[Função]],1)),VLOOKUP("MOTORISTAS",tabDiarias[],2,0),IF(tabParametros[[#This Row],[Comarca]]="Belo Horizonte",VLOOKUP("APOIO",tabDiarias[],2,0),0))</f>
        <v>202.08</v>
      </c>
      <c r="AI70" s="233">
        <f t="shared" si="13"/>
        <v>7.011766975308642E-3</v>
      </c>
      <c r="AJ70" s="235">
        <f>tabParametros[[#This Row],[FGTS]]*tabParametros[[#This Row],[Aviso Prévio Indenizado (API) e Reflexo do Aviso Prévio Indenizado]]</f>
        <v>5.609413580246914E-4</v>
      </c>
      <c r="AK70" s="235">
        <f>tabParametros[[#This Row],[FGTS]]*tabParametros[[#This Row],[Aviso Prévio Indenizado (API) e Reflexo do Aviso Prévio Indenizado]]*40%</f>
        <v>2.2437654320987658E-4</v>
      </c>
      <c r="AL70" s="233">
        <f t="shared" si="14"/>
        <v>3.5000000000000005E-3</v>
      </c>
      <c r="AM70" s="233">
        <f>tabParametros[[#This Row],[Aviso Prévio Trabalhado - APT]]*SUM(tabParametros[[#This Row],[INSS]:[SEBRAE]])</f>
        <v>1.3230000000000004E-3</v>
      </c>
      <c r="AN70" s="233">
        <f t="shared" si="15"/>
        <v>3.0577777777777773E-2</v>
      </c>
      <c r="AO70" s="233">
        <f t="shared" si="16"/>
        <v>8.3333333333333339E-4</v>
      </c>
      <c r="AP70" s="233">
        <f t="shared" si="17"/>
        <v>8.4444444444444437E-3</v>
      </c>
      <c r="AQ70" s="233">
        <f t="shared" si="18"/>
        <v>2.0277777777777777E-3</v>
      </c>
      <c r="AR70" s="233">
        <f t="shared" si="19"/>
        <v>1.7083333333333333E-4</v>
      </c>
      <c r="AS70" s="233">
        <f t="shared" si="20"/>
        <v>2.0833333333333335E-4</v>
      </c>
      <c r="AT70" s="233">
        <f t="shared" si="21"/>
        <v>1.2962962962962963E-3</v>
      </c>
      <c r="AU70" s="235">
        <f>SUM(tabParametros[[#This Row],[Ausência por Doença]:[Férias, Adicional de Férias e 13º  com empregada em gozo de Licença Maternidade]])*SUM(tabParametros[[#This Row],[INSS]:[SEBRAE]])</f>
        <v>4.5918250000000008E-3</v>
      </c>
      <c r="AV70" s="254">
        <f>IF(tabParametros[[#This Row],[Função]]="Porteiro - 220 h",SUM(tabParametros[[#This Row],[Salário Base]:[Adicional de Acúmulo de função]])/220*20*1.5,IF(ISNUMBER(SEARCH("12 x 36",tabParametros[[#This Row],[Função]],1)),SUM(tabParametros[[#This Row],[Salário Base]:[Adicional de Acúmulo de função]])/210*15.5*1.5,0))</f>
        <v>0</v>
      </c>
      <c r="AW70" s="232">
        <f>IF(tabParametros[[#This Row],[Vagas contratadas]]&gt;0,(SUM(tabParametros[[#This Row],[Salário Base]:[Adicional de Acúmulo de função]])*30%+SUM(tabParametros[[#This Row],[Vale - Alimentação]:[Seguro de Vida]]))/tabParametros[[#This Row],[Vagas contratadas]]*tabParametros[[#This Row],[Vagas suspensas]],0)</f>
        <v>0</v>
      </c>
      <c r="AX70" s="232">
        <f>SUMIF(tabUniformes[Cargo],tabParametros[[#This Row],[Função]],tabUniformes[Valor unit. Mensal])</f>
        <v>56.642978962543395</v>
      </c>
      <c r="AY7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0" s="232">
        <v>0</v>
      </c>
      <c r="BC70" s="234" t="e">
        <f ca="1">VLOOKUP(tabParametros[[#Headers],[Custos Indiretos]],tabOutrosCustos[],3,0)</f>
        <v>#NAME?</v>
      </c>
      <c r="BD70" s="234" t="e">
        <f ca="1">VLOOKUP(tabParametros[[#Headers],[Lucro]],tabOutrosCustos[],3,0)</f>
        <v>#NAME?</v>
      </c>
      <c r="BE70" s="233">
        <f>VLOOKUP(tabParametros[[#Headers],[COFINS]],tabImpostosNacionais[],2,0)</f>
        <v>7.5999999999999998E-2</v>
      </c>
      <c r="BF70" s="233">
        <f>VLOOKUP(tabParametros[[#Headers],[PIS]],tabImpostosNacionais[],2,0)</f>
        <v>1.6500000000000001E-2</v>
      </c>
      <c r="BG70" s="233">
        <f>VLOOKUP(tabParametros[[#This Row],[Comarca]],tabComarca[],4,0)</f>
        <v>0.05</v>
      </c>
      <c r="BH70" s="236">
        <f>VLOOKUP(tabParametros[[#This Row],[CCT DA CATEGORIA]],tabSindicatos[],11,0)</f>
        <v>45658</v>
      </c>
      <c r="BI70" s="282" t="str">
        <f>VLOOKUP(tabParametros[[#This Row],[CCT DA CATEGORIA]],tabSindicatos[],12,0)</f>
        <v>-</v>
      </c>
      <c r="BJ70" s="285" t="str">
        <f>VLOOKUP(tabParametros[[#This Row],[CCT DA CATEGORIA]],tabSindicatos[],13,0)</f>
        <v>-</v>
      </c>
    </row>
    <row r="71" spans="1:62">
      <c r="A71" s="231" t="s">
        <v>1447</v>
      </c>
      <c r="B71" s="197" t="s">
        <v>1103</v>
      </c>
      <c r="C71" s="197" t="s">
        <v>329</v>
      </c>
      <c r="D71" s="197" t="str">
        <f>VLOOKUP(tabParametros[[#This Row],[Código do Posto]],tabPostos[],4,0)</f>
        <v>SEAC/SINDEAC</v>
      </c>
      <c r="E71" s="282" t="str">
        <f>VLOOKUP(tabParametros[[#This Row],[Código do Posto]],tabPostos[],5,0)</f>
        <v>Apoio</v>
      </c>
      <c r="F71" s="282" t="str">
        <f>VLOOKUP(tabParametros[[#This Row],[Código do Posto]],tabPostos[],6,0)</f>
        <v>PGJ</v>
      </c>
      <c r="G71" s="282">
        <f>VLOOKUP(tabParametros[[#This Row],[Código do Posto]],tabPostos[],7,0)</f>
        <v>4</v>
      </c>
      <c r="H71" s="282">
        <f>VLOOKUP(tabParametros[[#This Row],[Código do Posto]],tabPostos[],8,0)</f>
        <v>0</v>
      </c>
      <c r="I71" s="232">
        <f>VLOOKUP(tabParametros[[#This Row],[Código do Posto]],tabPostos[],9,0)</f>
        <v>4451.1943581506512</v>
      </c>
      <c r="J71" s="232">
        <f>IF(ISNUMBER(SEARCH("Eletricista",tabParametros[[#This Row],[Função]],1)),0.3*tabParametros[[#This Row],[Salário Base]],0)</f>
        <v>0</v>
      </c>
      <c r="K7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1" s="232">
        <f>IF(AND(ISNUMBER(SEARCH("Noturno",tabParametros[[#This Row],[Função]],1)),tabParametros[[#This Row],[Comarca]]&lt;&gt;"Juiz de Fora"),tabParametros[[#This Row],[Salário Base]]/210*0.39*7*15.5,IF(ISNUMBER(SEARCH("Noturno",tabParametros[[#This Row],[Função]],1)),tabParametros[[#This Row],[Salário Base]]/210*0.2*8*15.5,0))</f>
        <v>0</v>
      </c>
      <c r="M71" s="232">
        <f>IF(ISNUMBER(SEARCH("Motorista II",tabParametros[[#This Row],[Função]],1)),0.3022*tabParametros[[#This Row],[Salário Base]],0)</f>
        <v>0</v>
      </c>
      <c r="N71" s="254">
        <v>0</v>
      </c>
      <c r="O71" s="254">
        <f>IF(ISNUMBER(SEARCH("TECNOLOGIA DA INFORMACAO",tabParametros[[#This Row],[Função]],1)),0.056*tabParametros[[#This Row],[Salário Base]],0)</f>
        <v>0</v>
      </c>
      <c r="P71" s="232">
        <f>IF(tabParametros[[#This Row],[Função]]="Operador de Midia Audiovisual - 150 h",tabParametros[[#This Row],[Salário Base]]/150*50*30%,IF(tabParametros[[#This Row],[Função]]="Supervisor de Manutencao de Veiculos II - 220 h",12%*tabParametros[[#This Row],[Salário Base]],0))</f>
        <v>0</v>
      </c>
      <c r="Q71" s="233">
        <f>VLOOKUP(tabParametros[[#Headers],[INSS]],tabImpostosNacionais[],2,0)</f>
        <v>0.2</v>
      </c>
      <c r="R71" s="233">
        <f>VLOOKUP(tabParametros[[#Headers],[SESI OU SESC]],tabImpostosNacionais[],2,0)</f>
        <v>1.4999999999999999E-2</v>
      </c>
      <c r="S71" s="233">
        <f>VLOOKUP(tabParametros[[#Headers],[SENAI OU SENAC]],tabImpostosNacionais[],2,0)</f>
        <v>0.01</v>
      </c>
      <c r="T71" s="233">
        <f>VLOOKUP(tabParametros[[#Headers],[INCRA]],tabImpostosNacionais[],2,0)</f>
        <v>2E-3</v>
      </c>
      <c r="U71" s="233">
        <f>VLOOKUP(tabParametros[[#Headers],[Salário Educação]],tabImpostosNacionais[],2,0)</f>
        <v>2.5000000000000001E-2</v>
      </c>
      <c r="V71" s="233">
        <f>VLOOKUP(tabParametros[[#Headers],[FGTS]],tabImpostosNacionais[],2,0)</f>
        <v>0.08</v>
      </c>
      <c r="W71" s="233">
        <f>VLOOKUP(tabParametros[[#Headers],[RAT Ajustado]],tabImpostosNacionais[],2,0)</f>
        <v>0.04</v>
      </c>
      <c r="X71" s="233">
        <f>VLOOKUP(tabParametros[[#Headers],[SEBRAE]],tabImpostosNacionais[],2,0)</f>
        <v>6.0000000000000001E-3</v>
      </c>
      <c r="Y71" s="233">
        <f t="shared" si="11"/>
        <v>8.3333333333333329E-2</v>
      </c>
      <c r="Z71" s="233">
        <f t="shared" si="12"/>
        <v>0.1111111111111111</v>
      </c>
      <c r="AA71" s="232">
        <f>VLOOKUP(tabParametros[[#This Row],[Comarca]],tabComarca[],5,0)</f>
        <v>11.25</v>
      </c>
      <c r="AB71" s="232">
        <f>VLOOKUP(tabParametros[[#This Row],[CCT DA CATEGORIA]],tabSindicatos[],6,0)</f>
        <v>29.15</v>
      </c>
      <c r="AC71" s="232">
        <f>VLOOKUP(tabParametros[[#This Row],[CCT DA CATEGORIA]],tabSindicatos[],7,0)</f>
        <v>0</v>
      </c>
      <c r="AD71" s="232" cm="1">
        <f t="array" ref="AD7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71" s="232">
        <f>VLOOKUP(tabParametros[[#This Row],[CCT DA CATEGORIA]],tabSindicatos[],9,0)</f>
        <v>0</v>
      </c>
      <c r="AF71" s="232">
        <f>VLOOKUP(tabParametros[[#This Row],[CCT DA CATEGORIA]],tabSindicatos[],10,0)</f>
        <v>0</v>
      </c>
      <c r="AG71" s="234">
        <f>VLOOKUP(tabParametros[[#Headers],[Seguro de Vida]],tabOutrosCustos[],3,0)</f>
        <v>3.36</v>
      </c>
      <c r="AH71" s="234">
        <f>IF(ISNUMBER(SEARCH("MOTORISTA",tabParametros[[#This Row],[Função]],1)),VLOOKUP("MOTORISTAS",tabDiarias[],2,0),IF(tabParametros[[#This Row],[Comarca]]="Belo Horizonte",VLOOKUP("APOIO",tabDiarias[],2,0),0))</f>
        <v>202.08</v>
      </c>
      <c r="AI71" s="233">
        <f t="shared" si="13"/>
        <v>7.011766975308642E-3</v>
      </c>
      <c r="AJ71" s="235">
        <f>tabParametros[[#This Row],[FGTS]]*tabParametros[[#This Row],[Aviso Prévio Indenizado (API) e Reflexo do Aviso Prévio Indenizado]]</f>
        <v>5.609413580246914E-4</v>
      </c>
      <c r="AK71" s="235">
        <f>tabParametros[[#This Row],[FGTS]]*tabParametros[[#This Row],[Aviso Prévio Indenizado (API) e Reflexo do Aviso Prévio Indenizado]]*40%</f>
        <v>2.2437654320987658E-4</v>
      </c>
      <c r="AL71" s="233">
        <f t="shared" si="14"/>
        <v>3.5000000000000005E-3</v>
      </c>
      <c r="AM71" s="233">
        <f>tabParametros[[#This Row],[Aviso Prévio Trabalhado - APT]]*SUM(tabParametros[[#This Row],[INSS]:[SEBRAE]])</f>
        <v>1.3230000000000004E-3</v>
      </c>
      <c r="AN71" s="233">
        <f t="shared" si="15"/>
        <v>3.0577777777777773E-2</v>
      </c>
      <c r="AO71" s="233">
        <f t="shared" si="16"/>
        <v>8.3333333333333339E-4</v>
      </c>
      <c r="AP71" s="233">
        <f t="shared" si="17"/>
        <v>8.4444444444444437E-3</v>
      </c>
      <c r="AQ71" s="233">
        <f t="shared" si="18"/>
        <v>2.0277777777777777E-3</v>
      </c>
      <c r="AR71" s="233">
        <f t="shared" si="19"/>
        <v>1.7083333333333333E-4</v>
      </c>
      <c r="AS71" s="233">
        <f t="shared" si="20"/>
        <v>2.0833333333333335E-4</v>
      </c>
      <c r="AT71" s="233">
        <f t="shared" si="21"/>
        <v>1.2962962962962963E-3</v>
      </c>
      <c r="AU71" s="235">
        <f>SUM(tabParametros[[#This Row],[Ausência por Doença]:[Férias, Adicional de Férias e 13º  com empregada em gozo de Licença Maternidade]])*SUM(tabParametros[[#This Row],[INSS]:[SEBRAE]])</f>
        <v>4.5918250000000008E-3</v>
      </c>
      <c r="AV71" s="254">
        <f>IF(tabParametros[[#This Row],[Função]]="Porteiro - 220 h",SUM(tabParametros[[#This Row],[Salário Base]:[Adicional de Acúmulo de função]])/220*20*1.5,IF(ISNUMBER(SEARCH("12 x 36",tabParametros[[#This Row],[Função]],1)),SUM(tabParametros[[#This Row],[Salário Base]:[Adicional de Acúmulo de função]])/210*15.5*1.5,0))</f>
        <v>0</v>
      </c>
      <c r="AW71" s="232">
        <f>IF(tabParametros[[#This Row],[Vagas contratadas]]&gt;0,(SUM(tabParametros[[#This Row],[Salário Base]:[Adicional de Acúmulo de função]])*30%+SUM(tabParametros[[#This Row],[Vale - Alimentação]:[Seguro de Vida]]))/tabParametros[[#This Row],[Vagas contratadas]]*tabParametros[[#This Row],[Vagas suspensas]],0)</f>
        <v>0</v>
      </c>
      <c r="AX71" s="232">
        <f>SUMIF(tabUniformes[Cargo],tabParametros[[#This Row],[Função]],tabUniformes[Valor unit. Mensal])</f>
        <v>90.784679782039703</v>
      </c>
      <c r="AY7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1" s="232">
        <v>0</v>
      </c>
      <c r="BC71" s="234" t="e">
        <f ca="1">VLOOKUP(tabParametros[[#Headers],[Custos Indiretos]],tabOutrosCustos[],3,0)</f>
        <v>#NAME?</v>
      </c>
      <c r="BD71" s="234" t="e">
        <f ca="1">VLOOKUP(tabParametros[[#Headers],[Lucro]],tabOutrosCustos[],3,0)</f>
        <v>#NAME?</v>
      </c>
      <c r="BE71" s="233">
        <f>VLOOKUP(tabParametros[[#Headers],[COFINS]],tabImpostosNacionais[],2,0)</f>
        <v>7.5999999999999998E-2</v>
      </c>
      <c r="BF71" s="233">
        <f>VLOOKUP(tabParametros[[#Headers],[PIS]],tabImpostosNacionais[],2,0)</f>
        <v>1.6500000000000001E-2</v>
      </c>
      <c r="BG71" s="233">
        <f>VLOOKUP(tabParametros[[#This Row],[Comarca]],tabComarca[],4,0)</f>
        <v>0.05</v>
      </c>
      <c r="BH71" s="236">
        <f>VLOOKUP(tabParametros[[#This Row],[CCT DA CATEGORIA]],tabSindicatos[],11,0)</f>
        <v>45658</v>
      </c>
      <c r="BI71" s="282" t="str">
        <f>VLOOKUP(tabParametros[[#This Row],[CCT DA CATEGORIA]],tabSindicatos[],12,0)</f>
        <v>-</v>
      </c>
      <c r="BJ71" s="285" t="str">
        <f>VLOOKUP(tabParametros[[#This Row],[CCT DA CATEGORIA]],tabSindicatos[],13,0)</f>
        <v>-</v>
      </c>
    </row>
    <row r="72" spans="1:62">
      <c r="A72" s="231" t="s">
        <v>1448</v>
      </c>
      <c r="B72" s="197" t="s">
        <v>1103</v>
      </c>
      <c r="C72" s="197" t="s">
        <v>334</v>
      </c>
      <c r="D72" s="197" t="str">
        <f>VLOOKUP(tabParametros[[#This Row],[Código do Posto]],tabPostos[],4,0)</f>
        <v>SEAC/SINDEAC</v>
      </c>
      <c r="E72" s="282" t="str">
        <f>VLOOKUP(tabParametros[[#This Row],[Código do Posto]],tabPostos[],5,0)</f>
        <v>Apoio</v>
      </c>
      <c r="F72" s="282" t="str">
        <f>VLOOKUP(tabParametros[[#This Row],[Código do Posto]],tabPostos[],6,0)</f>
        <v>PGJ</v>
      </c>
      <c r="G72" s="282">
        <f>VLOOKUP(tabParametros[[#This Row],[Código do Posto]],tabPostos[],7,0)</f>
        <v>4</v>
      </c>
      <c r="H72" s="282">
        <f>VLOOKUP(tabParametros[[#This Row],[Código do Posto]],tabPostos[],8,0)</f>
        <v>0</v>
      </c>
      <c r="I72" s="232">
        <f>VLOOKUP(tabParametros[[#This Row],[Código do Posto]],tabPostos[],9,0)</f>
        <v>4451.1943581506512</v>
      </c>
      <c r="J72" s="232">
        <f>IF(ISNUMBER(SEARCH("Eletricista",tabParametros[[#This Row],[Função]],1)),0.3*tabParametros[[#This Row],[Salário Base]],0)</f>
        <v>0</v>
      </c>
      <c r="K7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2" s="232">
        <f>IF(AND(ISNUMBER(SEARCH("Noturno",tabParametros[[#This Row],[Função]],1)),tabParametros[[#This Row],[Comarca]]&lt;&gt;"Juiz de Fora"),tabParametros[[#This Row],[Salário Base]]/210*0.39*7*15.5,IF(ISNUMBER(SEARCH("Noturno",tabParametros[[#This Row],[Função]],1)),tabParametros[[#This Row],[Salário Base]]/210*0.2*8*15.5,0))</f>
        <v>0</v>
      </c>
      <c r="M72" s="232">
        <f>IF(ISNUMBER(SEARCH("Motorista II",tabParametros[[#This Row],[Função]],1)),0.3022*tabParametros[[#This Row],[Salário Base]],0)</f>
        <v>0</v>
      </c>
      <c r="N72" s="254">
        <v>0</v>
      </c>
      <c r="O72" s="254">
        <f>IF(ISNUMBER(SEARCH("TECNOLOGIA DA INFORMACAO",tabParametros[[#This Row],[Função]],1)),0.056*tabParametros[[#This Row],[Salário Base]],0)</f>
        <v>0</v>
      </c>
      <c r="P72" s="232">
        <f>IF(tabParametros[[#This Row],[Função]]="Operador de Midia Audiovisual - 150 h",tabParametros[[#This Row],[Salário Base]]/150*50*30%,IF(tabParametros[[#This Row],[Função]]="Supervisor de Manutencao de Veiculos II - 220 h",12%*tabParametros[[#This Row],[Salário Base]],0))</f>
        <v>534.14332297807812</v>
      </c>
      <c r="Q72" s="233">
        <f>VLOOKUP(tabParametros[[#Headers],[INSS]],tabImpostosNacionais[],2,0)</f>
        <v>0.2</v>
      </c>
      <c r="R72" s="233">
        <f>VLOOKUP(tabParametros[[#Headers],[SESI OU SESC]],tabImpostosNacionais[],2,0)</f>
        <v>1.4999999999999999E-2</v>
      </c>
      <c r="S72" s="233">
        <f>VLOOKUP(tabParametros[[#Headers],[SENAI OU SENAC]],tabImpostosNacionais[],2,0)</f>
        <v>0.01</v>
      </c>
      <c r="T72" s="233">
        <f>VLOOKUP(tabParametros[[#Headers],[INCRA]],tabImpostosNacionais[],2,0)</f>
        <v>2E-3</v>
      </c>
      <c r="U72" s="233">
        <f>VLOOKUP(tabParametros[[#Headers],[Salário Educação]],tabImpostosNacionais[],2,0)</f>
        <v>2.5000000000000001E-2</v>
      </c>
      <c r="V72" s="233">
        <f>VLOOKUP(tabParametros[[#Headers],[FGTS]],tabImpostosNacionais[],2,0)</f>
        <v>0.08</v>
      </c>
      <c r="W72" s="233">
        <f>VLOOKUP(tabParametros[[#Headers],[RAT Ajustado]],tabImpostosNacionais[],2,0)</f>
        <v>0.04</v>
      </c>
      <c r="X72" s="233">
        <f>VLOOKUP(tabParametros[[#Headers],[SEBRAE]],tabImpostosNacionais[],2,0)</f>
        <v>6.0000000000000001E-3</v>
      </c>
      <c r="Y72" s="233">
        <f t="shared" si="11"/>
        <v>8.3333333333333329E-2</v>
      </c>
      <c r="Z72" s="233">
        <f t="shared" si="12"/>
        <v>0.1111111111111111</v>
      </c>
      <c r="AA72" s="232">
        <f>VLOOKUP(tabParametros[[#This Row],[Comarca]],tabComarca[],5,0)</f>
        <v>11.25</v>
      </c>
      <c r="AB72" s="232">
        <f>VLOOKUP(tabParametros[[#This Row],[CCT DA CATEGORIA]],tabSindicatos[],6,0)</f>
        <v>29.15</v>
      </c>
      <c r="AC72" s="232">
        <f>VLOOKUP(tabParametros[[#This Row],[CCT DA CATEGORIA]],tabSindicatos[],7,0)</f>
        <v>0</v>
      </c>
      <c r="AD72" s="232" cm="1">
        <f t="array" ref="AD7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72" s="232">
        <f>VLOOKUP(tabParametros[[#This Row],[CCT DA CATEGORIA]],tabSindicatos[],9,0)</f>
        <v>0</v>
      </c>
      <c r="AF72" s="232">
        <f>VLOOKUP(tabParametros[[#This Row],[CCT DA CATEGORIA]],tabSindicatos[],10,0)</f>
        <v>0</v>
      </c>
      <c r="AG72" s="234">
        <f>VLOOKUP(tabParametros[[#Headers],[Seguro de Vida]],tabOutrosCustos[],3,0)</f>
        <v>3.36</v>
      </c>
      <c r="AH72" s="234">
        <f>IF(ISNUMBER(SEARCH("MOTORISTA",tabParametros[[#This Row],[Função]],1)),VLOOKUP("MOTORISTAS",tabDiarias[],2,0),IF(tabParametros[[#This Row],[Comarca]]="Belo Horizonte",VLOOKUP("APOIO",tabDiarias[],2,0),0))</f>
        <v>202.08</v>
      </c>
      <c r="AI72" s="233">
        <f t="shared" si="13"/>
        <v>7.011766975308642E-3</v>
      </c>
      <c r="AJ72" s="235">
        <f>tabParametros[[#This Row],[FGTS]]*tabParametros[[#This Row],[Aviso Prévio Indenizado (API) e Reflexo do Aviso Prévio Indenizado]]</f>
        <v>5.609413580246914E-4</v>
      </c>
      <c r="AK72" s="235">
        <f>tabParametros[[#This Row],[FGTS]]*tabParametros[[#This Row],[Aviso Prévio Indenizado (API) e Reflexo do Aviso Prévio Indenizado]]*40%</f>
        <v>2.2437654320987658E-4</v>
      </c>
      <c r="AL72" s="233">
        <f t="shared" si="14"/>
        <v>3.5000000000000005E-3</v>
      </c>
      <c r="AM72" s="233">
        <f>tabParametros[[#This Row],[Aviso Prévio Trabalhado - APT]]*SUM(tabParametros[[#This Row],[INSS]:[SEBRAE]])</f>
        <v>1.3230000000000004E-3</v>
      </c>
      <c r="AN72" s="233">
        <f t="shared" si="15"/>
        <v>3.0577777777777773E-2</v>
      </c>
      <c r="AO72" s="233">
        <f t="shared" si="16"/>
        <v>8.3333333333333339E-4</v>
      </c>
      <c r="AP72" s="233">
        <f t="shared" si="17"/>
        <v>8.4444444444444437E-3</v>
      </c>
      <c r="AQ72" s="233">
        <f t="shared" si="18"/>
        <v>2.0277777777777777E-3</v>
      </c>
      <c r="AR72" s="233">
        <f t="shared" si="19"/>
        <v>1.7083333333333333E-4</v>
      </c>
      <c r="AS72" s="233">
        <f t="shared" si="20"/>
        <v>2.0833333333333335E-4</v>
      </c>
      <c r="AT72" s="233">
        <f t="shared" si="21"/>
        <v>1.2962962962962963E-3</v>
      </c>
      <c r="AU72" s="235">
        <f>SUM(tabParametros[[#This Row],[Ausência por Doença]:[Férias, Adicional de Férias e 13º  com empregada em gozo de Licença Maternidade]])*SUM(tabParametros[[#This Row],[INSS]:[SEBRAE]])</f>
        <v>4.5918250000000008E-3</v>
      </c>
      <c r="AV72" s="254">
        <f>IF(tabParametros[[#This Row],[Função]]="Porteiro - 220 h",SUM(tabParametros[[#This Row],[Salário Base]:[Adicional de Acúmulo de função]])/220*20*1.5,IF(ISNUMBER(SEARCH("12 x 36",tabParametros[[#This Row],[Função]],1)),SUM(tabParametros[[#This Row],[Salário Base]:[Adicional de Acúmulo de função]])/210*15.5*1.5,0))</f>
        <v>0</v>
      </c>
      <c r="AW72" s="232">
        <f>IF(tabParametros[[#This Row],[Vagas contratadas]]&gt;0,(SUM(tabParametros[[#This Row],[Salário Base]:[Adicional de Acúmulo de função]])*30%+SUM(tabParametros[[#This Row],[Vale - Alimentação]:[Seguro de Vida]]))/tabParametros[[#This Row],[Vagas contratadas]]*tabParametros[[#This Row],[Vagas suspensas]],0)</f>
        <v>0</v>
      </c>
      <c r="AX72" s="232">
        <f>SUMIF(tabUniformes[Cargo],tabParametros[[#This Row],[Função]],tabUniformes[Valor unit. Mensal])</f>
        <v>90.784679782039703</v>
      </c>
      <c r="AY7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2" s="232">
        <v>0</v>
      </c>
      <c r="BC72" s="234" t="e">
        <f ca="1">VLOOKUP(tabParametros[[#Headers],[Custos Indiretos]],tabOutrosCustos[],3,0)</f>
        <v>#NAME?</v>
      </c>
      <c r="BD72" s="234" t="e">
        <f ca="1">VLOOKUP(tabParametros[[#Headers],[Lucro]],tabOutrosCustos[],3,0)</f>
        <v>#NAME?</v>
      </c>
      <c r="BE72" s="233">
        <f>VLOOKUP(tabParametros[[#Headers],[COFINS]],tabImpostosNacionais[],2,0)</f>
        <v>7.5999999999999998E-2</v>
      </c>
      <c r="BF72" s="233">
        <f>VLOOKUP(tabParametros[[#Headers],[PIS]],tabImpostosNacionais[],2,0)</f>
        <v>1.6500000000000001E-2</v>
      </c>
      <c r="BG72" s="233">
        <f>VLOOKUP(tabParametros[[#This Row],[Comarca]],tabComarca[],4,0)</f>
        <v>0.05</v>
      </c>
      <c r="BH72" s="236">
        <f>VLOOKUP(tabParametros[[#This Row],[CCT DA CATEGORIA]],tabSindicatos[],11,0)</f>
        <v>45658</v>
      </c>
      <c r="BI72" s="282" t="str">
        <f>VLOOKUP(tabParametros[[#This Row],[CCT DA CATEGORIA]],tabSindicatos[],12,0)</f>
        <v>-</v>
      </c>
      <c r="BJ72" s="285" t="str">
        <f>VLOOKUP(tabParametros[[#This Row],[CCT DA CATEGORIA]],tabSindicatos[],13,0)</f>
        <v>-</v>
      </c>
    </row>
    <row r="73" spans="1:62">
      <c r="A73" s="231" t="s">
        <v>1438</v>
      </c>
      <c r="B73" s="197" t="s">
        <v>1103</v>
      </c>
      <c r="C73" s="197" t="s">
        <v>289</v>
      </c>
      <c r="D73" s="197" t="str">
        <f>VLOOKUP(tabParametros[[#This Row],[Código do Posto]],tabPostos[],4,0)</f>
        <v>SINTERT</v>
      </c>
      <c r="E73" s="282" t="str">
        <f>VLOOKUP(tabParametros[[#This Row],[Código do Posto]],tabPostos[],5,0)</f>
        <v>Apoio</v>
      </c>
      <c r="F73" s="282" t="str">
        <f>VLOOKUP(tabParametros[[#This Row],[Código do Posto]],tabPostos[],6,0)</f>
        <v>PGJ</v>
      </c>
      <c r="G73" s="282">
        <f>VLOOKUP(tabParametros[[#This Row],[Código do Posto]],tabPostos[],7,0)</f>
        <v>17</v>
      </c>
      <c r="H73" s="282">
        <f>VLOOKUP(tabParametros[[#This Row],[Código do Posto]],tabPostos[],8,0)</f>
        <v>0</v>
      </c>
      <c r="I73" s="232">
        <f>VLOOKUP(tabParametros[[#This Row],[Código do Posto]],tabPostos[],9,0)</f>
        <v>3275.86</v>
      </c>
      <c r="J73" s="232">
        <f>IF(ISNUMBER(SEARCH("Eletricista",tabParametros[[#This Row],[Função]],1)),0.3*tabParametros[[#This Row],[Salário Base]],0)</f>
        <v>0</v>
      </c>
      <c r="K7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3" s="232">
        <f>IF(AND(ISNUMBER(SEARCH("Noturno",tabParametros[[#This Row],[Função]],1)),tabParametros[[#This Row],[Comarca]]&lt;&gt;"Juiz de Fora"),tabParametros[[#This Row],[Salário Base]]/210*0.39*7*15.5,IF(ISNUMBER(SEARCH("Noturno",tabParametros[[#This Row],[Função]],1)),tabParametros[[#This Row],[Salário Base]]/210*0.2*8*15.5,0))</f>
        <v>0</v>
      </c>
      <c r="M73" s="232">
        <f>IF(ISNUMBER(SEARCH("Motorista II",tabParametros[[#This Row],[Função]],1)),0.3022*tabParametros[[#This Row],[Salário Base]],0)</f>
        <v>0</v>
      </c>
      <c r="N73" s="254">
        <v>0</v>
      </c>
      <c r="O73" s="254">
        <f>IF(ISNUMBER(SEARCH("TECNOLOGIA DA INFORMACAO",tabParametros[[#This Row],[Função]],1)),0.056*tabParametros[[#This Row],[Salário Base]],0)</f>
        <v>0</v>
      </c>
      <c r="P73" s="232">
        <f>IF(tabParametros[[#This Row],[Função]]="Operador de Midia Audiovisual - 150 h",tabParametros[[#This Row],[Salário Base]]/150*50*30%,IF(tabParametros[[#This Row],[Função]]="Supervisor de Manutencao de Veiculos II - 220 h",12%*tabParametros[[#This Row],[Salário Base]],0))</f>
        <v>327.58600000000001</v>
      </c>
      <c r="Q73" s="233">
        <f>VLOOKUP(tabParametros[[#Headers],[INSS]],tabImpostosNacionais[],2,0)</f>
        <v>0.2</v>
      </c>
      <c r="R73" s="233">
        <f>VLOOKUP(tabParametros[[#Headers],[SESI OU SESC]],tabImpostosNacionais[],2,0)</f>
        <v>1.4999999999999999E-2</v>
      </c>
      <c r="S73" s="233">
        <f>VLOOKUP(tabParametros[[#Headers],[SENAI OU SENAC]],tabImpostosNacionais[],2,0)</f>
        <v>0.01</v>
      </c>
      <c r="T73" s="233">
        <f>VLOOKUP(tabParametros[[#Headers],[INCRA]],tabImpostosNacionais[],2,0)</f>
        <v>2E-3</v>
      </c>
      <c r="U73" s="233">
        <f>VLOOKUP(tabParametros[[#Headers],[Salário Educação]],tabImpostosNacionais[],2,0)</f>
        <v>2.5000000000000001E-2</v>
      </c>
      <c r="V73" s="233">
        <f>VLOOKUP(tabParametros[[#Headers],[FGTS]],tabImpostosNacionais[],2,0)</f>
        <v>0.08</v>
      </c>
      <c r="W73" s="233">
        <f>VLOOKUP(tabParametros[[#Headers],[RAT Ajustado]],tabImpostosNacionais[],2,0)</f>
        <v>0.04</v>
      </c>
      <c r="X73" s="233">
        <f>VLOOKUP(tabParametros[[#Headers],[SEBRAE]],tabImpostosNacionais[],2,0)</f>
        <v>6.0000000000000001E-3</v>
      </c>
      <c r="Y73" s="233">
        <f t="shared" si="11"/>
        <v>8.3333333333333329E-2</v>
      </c>
      <c r="Z73" s="233">
        <f t="shared" si="12"/>
        <v>0.1111111111111111</v>
      </c>
      <c r="AA73" s="232">
        <f>VLOOKUP(tabParametros[[#This Row],[Comarca]],tabComarca[],5,0)</f>
        <v>11.25</v>
      </c>
      <c r="AB73" s="232">
        <f>VLOOKUP(tabParametros[[#This Row],[CCT DA CATEGORIA]],tabSindicatos[],6,0)</f>
        <v>29.15</v>
      </c>
      <c r="AC73" s="232">
        <f>VLOOKUP(tabParametros[[#This Row],[CCT DA CATEGORIA]],tabSindicatos[],7,0)</f>
        <v>0</v>
      </c>
      <c r="AD73" s="232" cm="1">
        <f t="array" ref="AD7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73" s="232">
        <f>VLOOKUP(tabParametros[[#This Row],[CCT DA CATEGORIA]],tabSindicatos[],9,0)</f>
        <v>0</v>
      </c>
      <c r="AF73" s="232">
        <f>VLOOKUP(tabParametros[[#This Row],[CCT DA CATEGORIA]],tabSindicatos[],10,0)</f>
        <v>0</v>
      </c>
      <c r="AG73" s="234">
        <f>VLOOKUP(tabParametros[[#Headers],[Seguro de Vida]],tabOutrosCustos[],3,0)</f>
        <v>3.36</v>
      </c>
      <c r="AH73" s="234">
        <f>IF(ISNUMBER(SEARCH("MOTORISTA",tabParametros[[#This Row],[Função]],1)),VLOOKUP("MOTORISTAS",tabDiarias[],2,0),IF(tabParametros[[#This Row],[Comarca]]="Belo Horizonte",VLOOKUP("APOIO",tabDiarias[],2,0),0))</f>
        <v>202.08</v>
      </c>
      <c r="AI73" s="233">
        <f t="shared" si="13"/>
        <v>7.011766975308642E-3</v>
      </c>
      <c r="AJ73" s="235">
        <f>tabParametros[[#This Row],[FGTS]]*tabParametros[[#This Row],[Aviso Prévio Indenizado (API) e Reflexo do Aviso Prévio Indenizado]]</f>
        <v>5.609413580246914E-4</v>
      </c>
      <c r="AK73" s="235">
        <f>tabParametros[[#This Row],[FGTS]]*tabParametros[[#This Row],[Aviso Prévio Indenizado (API) e Reflexo do Aviso Prévio Indenizado]]*40%</f>
        <v>2.2437654320987658E-4</v>
      </c>
      <c r="AL73" s="233">
        <f t="shared" si="14"/>
        <v>3.5000000000000005E-3</v>
      </c>
      <c r="AM73" s="233">
        <f>tabParametros[[#This Row],[Aviso Prévio Trabalhado - APT]]*SUM(tabParametros[[#This Row],[INSS]:[SEBRAE]])</f>
        <v>1.3230000000000004E-3</v>
      </c>
      <c r="AN73" s="233">
        <f t="shared" si="15"/>
        <v>3.0577777777777773E-2</v>
      </c>
      <c r="AO73" s="233">
        <f t="shared" si="16"/>
        <v>8.3333333333333339E-4</v>
      </c>
      <c r="AP73" s="233">
        <f t="shared" si="17"/>
        <v>8.4444444444444437E-3</v>
      </c>
      <c r="AQ73" s="233">
        <f t="shared" si="18"/>
        <v>2.0277777777777777E-3</v>
      </c>
      <c r="AR73" s="233">
        <f t="shared" si="19"/>
        <v>1.7083333333333333E-4</v>
      </c>
      <c r="AS73" s="233">
        <f t="shared" si="20"/>
        <v>2.0833333333333335E-4</v>
      </c>
      <c r="AT73" s="233">
        <f t="shared" si="21"/>
        <v>1.2962962962962963E-3</v>
      </c>
      <c r="AU73" s="235">
        <f>SUM(tabParametros[[#This Row],[Ausência por Doença]:[Férias, Adicional de Férias e 13º  com empregada em gozo de Licença Maternidade]])*SUM(tabParametros[[#This Row],[INSS]:[SEBRAE]])</f>
        <v>4.5918250000000008E-3</v>
      </c>
      <c r="AV73" s="254">
        <f>IF(tabParametros[[#This Row],[Função]]="Porteiro - 220 h",SUM(tabParametros[[#This Row],[Salário Base]:[Adicional de Acúmulo de função]])/220*20*1.5,IF(ISNUMBER(SEARCH("12 x 36",tabParametros[[#This Row],[Função]],1)),SUM(tabParametros[[#This Row],[Salário Base]:[Adicional de Acúmulo de função]])/210*15.5*1.5,0))</f>
        <v>0</v>
      </c>
      <c r="AW73" s="232">
        <f>IF(tabParametros[[#This Row],[Vagas contratadas]]&gt;0,(SUM(tabParametros[[#This Row],[Salário Base]:[Adicional de Acúmulo de função]])*30%+SUM(tabParametros[[#This Row],[Vale - Alimentação]:[Seguro de Vida]]))/tabParametros[[#This Row],[Vagas contratadas]]*tabParametros[[#This Row],[Vagas suspensas]],0)</f>
        <v>0</v>
      </c>
      <c r="AX73" s="232">
        <f>SUMIF(tabUniformes[Cargo],tabParametros[[#This Row],[Função]],tabUniformes[Valor unit. Mensal])</f>
        <v>120.61653005534812</v>
      </c>
      <c r="AY7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3" s="232">
        <v>0</v>
      </c>
      <c r="BC73" s="234" t="e">
        <f ca="1">VLOOKUP(tabParametros[[#Headers],[Custos Indiretos]],tabOutrosCustos[],3,0)</f>
        <v>#NAME?</v>
      </c>
      <c r="BD73" s="234" t="e">
        <f ca="1">VLOOKUP(tabParametros[[#Headers],[Lucro]],tabOutrosCustos[],3,0)</f>
        <v>#NAME?</v>
      </c>
      <c r="BE73" s="233">
        <f>VLOOKUP(tabParametros[[#Headers],[COFINS]],tabImpostosNacionais[],2,0)</f>
        <v>7.5999999999999998E-2</v>
      </c>
      <c r="BF73" s="233">
        <f>VLOOKUP(tabParametros[[#Headers],[PIS]],tabImpostosNacionais[],2,0)</f>
        <v>1.6500000000000001E-2</v>
      </c>
      <c r="BG73" s="233">
        <f>VLOOKUP(tabParametros[[#This Row],[Comarca]],tabComarca[],4,0)</f>
        <v>0.05</v>
      </c>
      <c r="BH73" s="236">
        <f>VLOOKUP(tabParametros[[#This Row],[CCT DA CATEGORIA]],tabSindicatos[],11,0)</f>
        <v>45658</v>
      </c>
      <c r="BI73" s="282" t="str">
        <f>VLOOKUP(tabParametros[[#This Row],[CCT DA CATEGORIA]],tabSindicatos[],12,0)</f>
        <v>-</v>
      </c>
      <c r="BJ73" s="285" t="str">
        <f>VLOOKUP(tabParametros[[#This Row],[CCT DA CATEGORIA]],tabSindicatos[],13,0)</f>
        <v>-</v>
      </c>
    </row>
    <row r="74" spans="1:62">
      <c r="A74" s="231" t="s">
        <v>1449</v>
      </c>
      <c r="B74" s="197" t="s">
        <v>1103</v>
      </c>
      <c r="C74" s="197" t="s">
        <v>351</v>
      </c>
      <c r="D74" s="197" t="str">
        <f>VLOOKUP(tabParametros[[#This Row],[Código do Posto]],tabPostos[],4,0)</f>
        <v>SETTASPOC</v>
      </c>
      <c r="E74" s="282" t="str">
        <f>VLOOKUP(tabParametros[[#This Row],[Código do Posto]],tabPostos[],5,0)</f>
        <v>Apoio</v>
      </c>
      <c r="F74" s="282" t="str">
        <f>VLOOKUP(tabParametros[[#This Row],[Código do Posto]],tabPostos[],6,0)</f>
        <v>PGJ</v>
      </c>
      <c r="G74" s="282">
        <f>VLOOKUP(tabParametros[[#This Row],[Código do Posto]],tabPostos[],7,0)</f>
        <v>1</v>
      </c>
      <c r="H74" s="282">
        <f>VLOOKUP(tabParametros[[#This Row],[Código do Posto]],tabPostos[],8,0)</f>
        <v>0</v>
      </c>
      <c r="I74" s="232">
        <f>VLOOKUP(tabParametros[[#This Row],[Código do Posto]],tabPostos[],9,0)</f>
        <v>4673.5827708855413</v>
      </c>
      <c r="J74" s="232">
        <f>IF(ISNUMBER(SEARCH("Eletricista",tabParametros[[#This Row],[Função]],1)),0.3*tabParametros[[#This Row],[Salário Base]],0)</f>
        <v>0</v>
      </c>
      <c r="K7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4" s="232">
        <f>IF(AND(ISNUMBER(SEARCH("Noturno",tabParametros[[#This Row],[Função]],1)),tabParametros[[#This Row],[Comarca]]&lt;&gt;"Juiz de Fora"),tabParametros[[#This Row],[Salário Base]]/210*0.39*7*15.5,IF(ISNUMBER(SEARCH("Noturno",tabParametros[[#This Row],[Função]],1)),tabParametros[[#This Row],[Salário Base]]/210*0.2*8*15.5,0))</f>
        <v>0</v>
      </c>
      <c r="M74" s="232">
        <f>IF(ISNUMBER(SEARCH("Motorista II",tabParametros[[#This Row],[Função]],1)),0.3022*tabParametros[[#This Row],[Salário Base]],0)</f>
        <v>0</v>
      </c>
      <c r="N74" s="254">
        <v>0</v>
      </c>
      <c r="O74" s="254">
        <f>IF(ISNUMBER(SEARCH("TECNOLOGIA DA INFORMACAO",tabParametros[[#This Row],[Função]],1)),0.056*tabParametros[[#This Row],[Salário Base]],0)</f>
        <v>0</v>
      </c>
      <c r="P74" s="232">
        <f>IF(tabParametros[[#This Row],[Função]]="Operador de Midia Audiovisual - 150 h",tabParametros[[#This Row],[Salário Base]]/150*50*30%,IF(tabParametros[[#This Row],[Função]]="Supervisor de Manutencao de Veiculos II - 220 h",12%*tabParametros[[#This Row],[Salário Base]],0))</f>
        <v>0</v>
      </c>
      <c r="Q74" s="233">
        <f>VLOOKUP(tabParametros[[#Headers],[INSS]],tabImpostosNacionais[],2,0)</f>
        <v>0.2</v>
      </c>
      <c r="R74" s="233">
        <f>VLOOKUP(tabParametros[[#Headers],[SESI OU SESC]],tabImpostosNacionais[],2,0)</f>
        <v>1.4999999999999999E-2</v>
      </c>
      <c r="S74" s="233">
        <f>VLOOKUP(tabParametros[[#Headers],[SENAI OU SENAC]],tabImpostosNacionais[],2,0)</f>
        <v>0.01</v>
      </c>
      <c r="T74" s="233">
        <f>VLOOKUP(tabParametros[[#Headers],[INCRA]],tabImpostosNacionais[],2,0)</f>
        <v>2E-3</v>
      </c>
      <c r="U74" s="233">
        <f>VLOOKUP(tabParametros[[#Headers],[Salário Educação]],tabImpostosNacionais[],2,0)</f>
        <v>2.5000000000000001E-2</v>
      </c>
      <c r="V74" s="233">
        <f>VLOOKUP(tabParametros[[#Headers],[FGTS]],tabImpostosNacionais[],2,0)</f>
        <v>0.08</v>
      </c>
      <c r="W74" s="233">
        <f>VLOOKUP(tabParametros[[#Headers],[RAT Ajustado]],tabImpostosNacionais[],2,0)</f>
        <v>0.04</v>
      </c>
      <c r="X74" s="233">
        <f>VLOOKUP(tabParametros[[#Headers],[SEBRAE]],tabImpostosNacionais[],2,0)</f>
        <v>6.0000000000000001E-3</v>
      </c>
      <c r="Y74" s="233">
        <f t="shared" si="11"/>
        <v>8.3333333333333329E-2</v>
      </c>
      <c r="Z74" s="233">
        <f t="shared" si="12"/>
        <v>0.1111111111111111</v>
      </c>
      <c r="AA74" s="232">
        <f>VLOOKUP(tabParametros[[#This Row],[Comarca]],tabComarca[],5,0)</f>
        <v>11.25</v>
      </c>
      <c r="AB74" s="232">
        <f>VLOOKUP(tabParametros[[#This Row],[CCT DA CATEGORIA]],tabSindicatos[],6,0)</f>
        <v>29.14</v>
      </c>
      <c r="AC74" s="232">
        <f>VLOOKUP(tabParametros[[#This Row],[CCT DA CATEGORIA]],tabSindicatos[],7,0)</f>
        <v>0</v>
      </c>
      <c r="AD74" s="232" cm="1">
        <f t="array" ref="AD7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74" s="232">
        <f>VLOOKUP(tabParametros[[#This Row],[CCT DA CATEGORIA]],tabSindicatos[],9,0)</f>
        <v>0</v>
      </c>
      <c r="AF74" s="232">
        <f>VLOOKUP(tabParametros[[#This Row],[CCT DA CATEGORIA]],tabSindicatos[],10,0)</f>
        <v>0</v>
      </c>
      <c r="AG74" s="234">
        <f>VLOOKUP(tabParametros[[#Headers],[Seguro de Vida]],tabOutrosCustos[],3,0)</f>
        <v>3.36</v>
      </c>
      <c r="AH74" s="234">
        <f>IF(ISNUMBER(SEARCH("MOTORISTA",tabParametros[[#This Row],[Função]],1)),VLOOKUP("MOTORISTAS",tabDiarias[],2,0),IF(tabParametros[[#This Row],[Comarca]]="Belo Horizonte",VLOOKUP("APOIO",tabDiarias[],2,0),0))</f>
        <v>202.08</v>
      </c>
      <c r="AI74" s="233">
        <f t="shared" si="13"/>
        <v>7.011766975308642E-3</v>
      </c>
      <c r="AJ74" s="235">
        <f>tabParametros[[#This Row],[FGTS]]*tabParametros[[#This Row],[Aviso Prévio Indenizado (API) e Reflexo do Aviso Prévio Indenizado]]</f>
        <v>5.609413580246914E-4</v>
      </c>
      <c r="AK74" s="235">
        <f>tabParametros[[#This Row],[FGTS]]*tabParametros[[#This Row],[Aviso Prévio Indenizado (API) e Reflexo do Aviso Prévio Indenizado]]*40%</f>
        <v>2.2437654320987658E-4</v>
      </c>
      <c r="AL74" s="233">
        <f t="shared" si="14"/>
        <v>3.5000000000000005E-3</v>
      </c>
      <c r="AM74" s="233">
        <f>tabParametros[[#This Row],[Aviso Prévio Trabalhado - APT]]*SUM(tabParametros[[#This Row],[INSS]:[SEBRAE]])</f>
        <v>1.3230000000000004E-3</v>
      </c>
      <c r="AN74" s="233">
        <f t="shared" si="15"/>
        <v>3.0577777777777773E-2</v>
      </c>
      <c r="AO74" s="233">
        <f t="shared" si="16"/>
        <v>8.3333333333333339E-4</v>
      </c>
      <c r="AP74" s="233">
        <f t="shared" si="17"/>
        <v>8.4444444444444437E-3</v>
      </c>
      <c r="AQ74" s="233">
        <f t="shared" si="18"/>
        <v>2.0277777777777777E-3</v>
      </c>
      <c r="AR74" s="233">
        <f t="shared" si="19"/>
        <v>1.7083333333333333E-4</v>
      </c>
      <c r="AS74" s="233">
        <f t="shared" si="20"/>
        <v>2.0833333333333335E-4</v>
      </c>
      <c r="AT74" s="233">
        <f t="shared" si="21"/>
        <v>1.2962962962962963E-3</v>
      </c>
      <c r="AU74" s="235">
        <f>SUM(tabParametros[[#This Row],[Ausência por Doença]:[Férias, Adicional de Férias e 13º  com empregada em gozo de Licença Maternidade]])*SUM(tabParametros[[#This Row],[INSS]:[SEBRAE]])</f>
        <v>4.5918250000000008E-3</v>
      </c>
      <c r="AV74" s="254">
        <f>IF(tabParametros[[#This Row],[Função]]="Porteiro - 220 h",SUM(tabParametros[[#This Row],[Salário Base]:[Adicional de Acúmulo de função]])/220*20*1.5,IF(ISNUMBER(SEARCH("12 x 36",tabParametros[[#This Row],[Função]],1)),SUM(tabParametros[[#This Row],[Salário Base]:[Adicional de Acúmulo de função]])/210*15.5*1.5,0))</f>
        <v>0</v>
      </c>
      <c r="AW74" s="232">
        <f>IF(tabParametros[[#This Row],[Vagas contratadas]]&gt;0,(SUM(tabParametros[[#This Row],[Salário Base]:[Adicional de Acúmulo de função]])*30%+SUM(tabParametros[[#This Row],[Vale - Alimentação]:[Seguro de Vida]]))/tabParametros[[#This Row],[Vagas contratadas]]*tabParametros[[#This Row],[Vagas suspensas]],0)</f>
        <v>0</v>
      </c>
      <c r="AX74" s="232">
        <f>SUMIF(tabUniformes[Cargo],tabParametros[[#This Row],[Função]],tabUniformes[Valor unit. Mensal])</f>
        <v>90.784679782039703</v>
      </c>
      <c r="AY7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4" s="232">
        <v>0</v>
      </c>
      <c r="BC74" s="234" t="e">
        <f ca="1">VLOOKUP(tabParametros[[#Headers],[Custos Indiretos]],tabOutrosCustos[],3,0)</f>
        <v>#NAME?</v>
      </c>
      <c r="BD74" s="234" t="e">
        <f ca="1">VLOOKUP(tabParametros[[#Headers],[Lucro]],tabOutrosCustos[],3,0)</f>
        <v>#NAME?</v>
      </c>
      <c r="BE74" s="233">
        <f>VLOOKUP(tabParametros[[#Headers],[COFINS]],tabImpostosNacionais[],2,0)</f>
        <v>7.5999999999999998E-2</v>
      </c>
      <c r="BF74" s="233">
        <f>VLOOKUP(tabParametros[[#Headers],[PIS]],tabImpostosNacionais[],2,0)</f>
        <v>1.6500000000000001E-2</v>
      </c>
      <c r="BG74" s="233">
        <f>VLOOKUP(tabParametros[[#This Row],[Comarca]],tabComarca[],4,0)</f>
        <v>0.05</v>
      </c>
      <c r="BH74" s="236">
        <f>VLOOKUP(tabParametros[[#This Row],[CCT DA CATEGORIA]],tabSindicatos[],11,0)</f>
        <v>45658</v>
      </c>
      <c r="BI74" s="282" t="str">
        <f>VLOOKUP(tabParametros[[#This Row],[CCT DA CATEGORIA]],tabSindicatos[],12,0)</f>
        <v>-</v>
      </c>
      <c r="BJ74" s="285" t="str">
        <f>VLOOKUP(tabParametros[[#This Row],[CCT DA CATEGORIA]],tabSindicatos[],13,0)</f>
        <v>-</v>
      </c>
    </row>
    <row r="75" spans="1:62">
      <c r="A75" s="231" t="s">
        <v>1450</v>
      </c>
      <c r="B75" s="197" t="s">
        <v>1103</v>
      </c>
      <c r="C75" s="197" t="s">
        <v>356</v>
      </c>
      <c r="D75" s="197" t="str">
        <f>VLOOKUP(tabParametros[[#This Row],[Código do Posto]],tabPostos[],4,0)</f>
        <v>SETTASPOC</v>
      </c>
      <c r="E75" s="282" t="str">
        <f>VLOOKUP(tabParametros[[#This Row],[Código do Posto]],tabPostos[],5,0)</f>
        <v>Apoio</v>
      </c>
      <c r="F75" s="282" t="str">
        <f>VLOOKUP(tabParametros[[#This Row],[Código do Posto]],tabPostos[],6,0)</f>
        <v>PGJ</v>
      </c>
      <c r="G75" s="282">
        <f>VLOOKUP(tabParametros[[#This Row],[Código do Posto]],tabPostos[],7,0)</f>
        <v>2</v>
      </c>
      <c r="H75" s="282">
        <f>VLOOKUP(tabParametros[[#This Row],[Código do Posto]],tabPostos[],8,0)</f>
        <v>0</v>
      </c>
      <c r="I75" s="232">
        <f>VLOOKUP(tabParametros[[#This Row],[Código do Posto]],tabPostos[],9,0)</f>
        <v>5140.9424496046104</v>
      </c>
      <c r="J75" s="232">
        <f>IF(ISNUMBER(SEARCH("Eletricista",tabParametros[[#This Row],[Função]],1)),0.3*tabParametros[[#This Row],[Salário Base]],0)</f>
        <v>0</v>
      </c>
      <c r="K7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5" s="232">
        <f>IF(AND(ISNUMBER(SEARCH("Noturno",tabParametros[[#This Row],[Função]],1)),tabParametros[[#This Row],[Comarca]]&lt;&gt;"Juiz de Fora"),tabParametros[[#This Row],[Salário Base]]/210*0.39*7*15.5,IF(ISNUMBER(SEARCH("Noturno",tabParametros[[#This Row],[Função]],1)),tabParametros[[#This Row],[Salário Base]]/210*0.2*8*15.5,0))</f>
        <v>0</v>
      </c>
      <c r="M75" s="232">
        <f>IF(ISNUMBER(SEARCH("Motorista II",tabParametros[[#This Row],[Função]],1)),0.3022*tabParametros[[#This Row],[Salário Base]],0)</f>
        <v>0</v>
      </c>
      <c r="N75" s="254">
        <v>0</v>
      </c>
      <c r="O75" s="254">
        <f>IF(ISNUMBER(SEARCH("TECNOLOGIA DA INFORMACAO",tabParametros[[#This Row],[Função]],1)),0.056*tabParametros[[#This Row],[Salário Base]],0)</f>
        <v>0</v>
      </c>
      <c r="P75" s="232">
        <f>IF(tabParametros[[#This Row],[Função]]="Operador de Midia Audiovisual - 150 h",tabParametros[[#This Row],[Salário Base]]/150*50*30%,IF(tabParametros[[#This Row],[Função]]="Supervisor de Manutencao de Veiculos II - 220 h",12%*tabParametros[[#This Row],[Salário Base]],0))</f>
        <v>0</v>
      </c>
      <c r="Q75" s="233">
        <f>VLOOKUP(tabParametros[[#Headers],[INSS]],tabImpostosNacionais[],2,0)</f>
        <v>0.2</v>
      </c>
      <c r="R75" s="233">
        <f>VLOOKUP(tabParametros[[#Headers],[SESI OU SESC]],tabImpostosNacionais[],2,0)</f>
        <v>1.4999999999999999E-2</v>
      </c>
      <c r="S75" s="233">
        <f>VLOOKUP(tabParametros[[#Headers],[SENAI OU SENAC]],tabImpostosNacionais[],2,0)</f>
        <v>0.01</v>
      </c>
      <c r="T75" s="233">
        <f>VLOOKUP(tabParametros[[#Headers],[INCRA]],tabImpostosNacionais[],2,0)</f>
        <v>2E-3</v>
      </c>
      <c r="U75" s="233">
        <f>VLOOKUP(tabParametros[[#Headers],[Salário Educação]],tabImpostosNacionais[],2,0)</f>
        <v>2.5000000000000001E-2</v>
      </c>
      <c r="V75" s="233">
        <f>VLOOKUP(tabParametros[[#Headers],[FGTS]],tabImpostosNacionais[],2,0)</f>
        <v>0.08</v>
      </c>
      <c r="W75" s="233">
        <f>VLOOKUP(tabParametros[[#Headers],[RAT Ajustado]],tabImpostosNacionais[],2,0)</f>
        <v>0.04</v>
      </c>
      <c r="X75" s="233">
        <f>VLOOKUP(tabParametros[[#Headers],[SEBRAE]],tabImpostosNacionais[],2,0)</f>
        <v>6.0000000000000001E-3</v>
      </c>
      <c r="Y75" s="233">
        <f t="shared" si="11"/>
        <v>8.3333333333333329E-2</v>
      </c>
      <c r="Z75" s="233">
        <f t="shared" si="12"/>
        <v>0.1111111111111111</v>
      </c>
      <c r="AA75" s="232">
        <f>VLOOKUP(tabParametros[[#This Row],[Comarca]],tabComarca[],5,0)</f>
        <v>11.25</v>
      </c>
      <c r="AB75" s="232">
        <f>VLOOKUP(tabParametros[[#This Row],[CCT DA CATEGORIA]],tabSindicatos[],6,0)</f>
        <v>29.14</v>
      </c>
      <c r="AC75" s="232">
        <f>VLOOKUP(tabParametros[[#This Row],[CCT DA CATEGORIA]],tabSindicatos[],7,0)</f>
        <v>0</v>
      </c>
      <c r="AD75" s="232" cm="1">
        <f t="array" ref="AD7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75" s="232">
        <f>VLOOKUP(tabParametros[[#This Row],[CCT DA CATEGORIA]],tabSindicatos[],9,0)</f>
        <v>0</v>
      </c>
      <c r="AF75" s="232">
        <f>VLOOKUP(tabParametros[[#This Row],[CCT DA CATEGORIA]],tabSindicatos[],10,0)</f>
        <v>0</v>
      </c>
      <c r="AG75" s="234">
        <f>VLOOKUP(tabParametros[[#Headers],[Seguro de Vida]],tabOutrosCustos[],3,0)</f>
        <v>3.36</v>
      </c>
      <c r="AH75" s="234">
        <f>IF(ISNUMBER(SEARCH("MOTORISTA",tabParametros[[#This Row],[Função]],1)),VLOOKUP("MOTORISTAS",tabDiarias[],2,0),IF(tabParametros[[#This Row],[Comarca]]="Belo Horizonte",VLOOKUP("APOIO",tabDiarias[],2,0),0))</f>
        <v>202.08</v>
      </c>
      <c r="AI75" s="233">
        <f t="shared" si="13"/>
        <v>7.011766975308642E-3</v>
      </c>
      <c r="AJ75" s="235">
        <f>tabParametros[[#This Row],[FGTS]]*tabParametros[[#This Row],[Aviso Prévio Indenizado (API) e Reflexo do Aviso Prévio Indenizado]]</f>
        <v>5.609413580246914E-4</v>
      </c>
      <c r="AK75" s="235">
        <f>tabParametros[[#This Row],[FGTS]]*tabParametros[[#This Row],[Aviso Prévio Indenizado (API) e Reflexo do Aviso Prévio Indenizado]]*40%</f>
        <v>2.2437654320987658E-4</v>
      </c>
      <c r="AL75" s="233">
        <f t="shared" si="14"/>
        <v>3.5000000000000005E-3</v>
      </c>
      <c r="AM75" s="233">
        <f>tabParametros[[#This Row],[Aviso Prévio Trabalhado - APT]]*SUM(tabParametros[[#This Row],[INSS]:[SEBRAE]])</f>
        <v>1.3230000000000004E-3</v>
      </c>
      <c r="AN75" s="233">
        <f t="shared" si="15"/>
        <v>3.0577777777777773E-2</v>
      </c>
      <c r="AO75" s="233">
        <f t="shared" si="16"/>
        <v>8.3333333333333339E-4</v>
      </c>
      <c r="AP75" s="233">
        <f t="shared" si="17"/>
        <v>8.4444444444444437E-3</v>
      </c>
      <c r="AQ75" s="233">
        <f t="shared" si="18"/>
        <v>2.0277777777777777E-3</v>
      </c>
      <c r="AR75" s="233">
        <f t="shared" si="19"/>
        <v>1.7083333333333333E-4</v>
      </c>
      <c r="AS75" s="233">
        <f t="shared" si="20"/>
        <v>2.0833333333333335E-4</v>
      </c>
      <c r="AT75" s="233">
        <f t="shared" si="21"/>
        <v>1.2962962962962963E-3</v>
      </c>
      <c r="AU75" s="235">
        <f>SUM(tabParametros[[#This Row],[Ausência por Doença]:[Férias, Adicional de Férias e 13º  com empregada em gozo de Licença Maternidade]])*SUM(tabParametros[[#This Row],[INSS]:[SEBRAE]])</f>
        <v>4.5918250000000008E-3</v>
      </c>
      <c r="AV75" s="254">
        <f>IF(tabParametros[[#This Row],[Função]]="Porteiro - 220 h",SUM(tabParametros[[#This Row],[Salário Base]:[Adicional de Acúmulo de função]])/220*20*1.5,IF(ISNUMBER(SEARCH("12 x 36",tabParametros[[#This Row],[Função]],1)),SUM(tabParametros[[#This Row],[Salário Base]:[Adicional de Acúmulo de função]])/210*15.5*1.5,0))</f>
        <v>0</v>
      </c>
      <c r="AW75" s="232">
        <f>IF(tabParametros[[#This Row],[Vagas contratadas]]&gt;0,(SUM(tabParametros[[#This Row],[Salário Base]:[Adicional de Acúmulo de função]])*30%+SUM(tabParametros[[#This Row],[Vale - Alimentação]:[Seguro de Vida]]))/tabParametros[[#This Row],[Vagas contratadas]]*tabParametros[[#This Row],[Vagas suspensas]],0)</f>
        <v>0</v>
      </c>
      <c r="AX75" s="232">
        <f>SUMIF(tabUniformes[Cargo],tabParametros[[#This Row],[Função]],tabUniformes[Valor unit. Mensal])</f>
        <v>90.784679782039703</v>
      </c>
      <c r="AY7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5" s="232">
        <v>0</v>
      </c>
      <c r="BC75" s="234" t="e">
        <f ca="1">VLOOKUP(tabParametros[[#Headers],[Custos Indiretos]],tabOutrosCustos[],3,0)</f>
        <v>#NAME?</v>
      </c>
      <c r="BD75" s="234" t="e">
        <f ca="1">VLOOKUP(tabParametros[[#Headers],[Lucro]],tabOutrosCustos[],3,0)</f>
        <v>#NAME?</v>
      </c>
      <c r="BE75" s="233">
        <f>VLOOKUP(tabParametros[[#Headers],[COFINS]],tabImpostosNacionais[],2,0)</f>
        <v>7.5999999999999998E-2</v>
      </c>
      <c r="BF75" s="233">
        <f>VLOOKUP(tabParametros[[#Headers],[PIS]],tabImpostosNacionais[],2,0)</f>
        <v>1.6500000000000001E-2</v>
      </c>
      <c r="BG75" s="233">
        <f>VLOOKUP(tabParametros[[#This Row],[Comarca]],tabComarca[],4,0)</f>
        <v>0.05</v>
      </c>
      <c r="BH75" s="236">
        <f>VLOOKUP(tabParametros[[#This Row],[CCT DA CATEGORIA]],tabSindicatos[],11,0)</f>
        <v>45658</v>
      </c>
      <c r="BI75" s="282" t="str">
        <f>VLOOKUP(tabParametros[[#This Row],[CCT DA CATEGORIA]],tabSindicatos[],12,0)</f>
        <v>-</v>
      </c>
      <c r="BJ75" s="285" t="str">
        <f>VLOOKUP(tabParametros[[#This Row],[CCT DA CATEGORIA]],tabSindicatos[],13,0)</f>
        <v>-</v>
      </c>
    </row>
    <row r="76" spans="1:62">
      <c r="A76" s="231" t="s">
        <v>1451</v>
      </c>
      <c r="B76" s="197" t="s">
        <v>1103</v>
      </c>
      <c r="C76" s="197" t="s">
        <v>361</v>
      </c>
      <c r="D76" s="197" t="str">
        <f>VLOOKUP(tabParametros[[#This Row],[Código do Posto]],tabPostos[],4,0)</f>
        <v>SETTASPOC</v>
      </c>
      <c r="E76" s="282" t="str">
        <f>VLOOKUP(tabParametros[[#This Row],[Código do Posto]],tabPostos[],5,0)</f>
        <v>Apoio</v>
      </c>
      <c r="F76" s="282" t="str">
        <f>VLOOKUP(tabParametros[[#This Row],[Código do Posto]],tabPostos[],6,0)</f>
        <v>PGJ</v>
      </c>
      <c r="G76" s="282">
        <f>VLOOKUP(tabParametros[[#This Row],[Código do Posto]],tabPostos[],7,0)</f>
        <v>8</v>
      </c>
      <c r="H76" s="282">
        <f>VLOOKUP(tabParametros[[#This Row],[Código do Posto]],tabPostos[],8,0)</f>
        <v>0</v>
      </c>
      <c r="I76" s="232">
        <f>VLOOKUP(tabParametros[[#This Row],[Código do Posto]],tabPostos[],9,0)</f>
        <v>6075.2132852781424</v>
      </c>
      <c r="J76" s="232">
        <f>IF(ISNUMBER(SEARCH("Eletricista",tabParametros[[#This Row],[Função]],1)),0.3*tabParametros[[#This Row],[Salário Base]],0)</f>
        <v>0</v>
      </c>
      <c r="K7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6" s="232">
        <f>IF(AND(ISNUMBER(SEARCH("Noturno",tabParametros[[#This Row],[Função]],1)),tabParametros[[#This Row],[Comarca]]&lt;&gt;"Juiz de Fora"),tabParametros[[#This Row],[Salário Base]]/210*0.39*7*15.5,IF(ISNUMBER(SEARCH("Noturno",tabParametros[[#This Row],[Função]],1)),tabParametros[[#This Row],[Salário Base]]/210*0.2*8*15.5,0))</f>
        <v>0</v>
      </c>
      <c r="M76" s="232">
        <f>IF(ISNUMBER(SEARCH("Motorista II",tabParametros[[#This Row],[Função]],1)),0.3022*tabParametros[[#This Row],[Salário Base]],0)</f>
        <v>0</v>
      </c>
      <c r="N76" s="254">
        <v>0</v>
      </c>
      <c r="O76" s="254">
        <f>IF(ISNUMBER(SEARCH("TECNOLOGIA DA INFORMACAO",tabParametros[[#This Row],[Função]],1)),0.056*tabParametros[[#This Row],[Salário Base]],0)</f>
        <v>0</v>
      </c>
      <c r="P76" s="232">
        <f>IF(tabParametros[[#This Row],[Função]]="Operador de Midia Audiovisual - 150 h",tabParametros[[#This Row],[Salário Base]]/150*50*30%,IF(tabParametros[[#This Row],[Função]]="Supervisor de Manutencao de Veiculos II - 220 h",12%*tabParametros[[#This Row],[Salário Base]],0))</f>
        <v>0</v>
      </c>
      <c r="Q76" s="233">
        <f>VLOOKUP(tabParametros[[#Headers],[INSS]],tabImpostosNacionais[],2,0)</f>
        <v>0.2</v>
      </c>
      <c r="R76" s="233">
        <f>VLOOKUP(tabParametros[[#Headers],[SESI OU SESC]],tabImpostosNacionais[],2,0)</f>
        <v>1.4999999999999999E-2</v>
      </c>
      <c r="S76" s="233">
        <f>VLOOKUP(tabParametros[[#Headers],[SENAI OU SENAC]],tabImpostosNacionais[],2,0)</f>
        <v>0.01</v>
      </c>
      <c r="T76" s="233">
        <f>VLOOKUP(tabParametros[[#Headers],[INCRA]],tabImpostosNacionais[],2,0)</f>
        <v>2E-3</v>
      </c>
      <c r="U76" s="233">
        <f>VLOOKUP(tabParametros[[#Headers],[Salário Educação]],tabImpostosNacionais[],2,0)</f>
        <v>2.5000000000000001E-2</v>
      </c>
      <c r="V76" s="233">
        <f>VLOOKUP(tabParametros[[#Headers],[FGTS]],tabImpostosNacionais[],2,0)</f>
        <v>0.08</v>
      </c>
      <c r="W76" s="233">
        <f>VLOOKUP(tabParametros[[#Headers],[RAT Ajustado]],tabImpostosNacionais[],2,0)</f>
        <v>0.04</v>
      </c>
      <c r="X76" s="233">
        <f>VLOOKUP(tabParametros[[#Headers],[SEBRAE]],tabImpostosNacionais[],2,0)</f>
        <v>6.0000000000000001E-3</v>
      </c>
      <c r="Y76" s="233">
        <f t="shared" si="11"/>
        <v>8.3333333333333329E-2</v>
      </c>
      <c r="Z76" s="233">
        <f t="shared" si="12"/>
        <v>0.1111111111111111</v>
      </c>
      <c r="AA76" s="232">
        <f>VLOOKUP(tabParametros[[#This Row],[Comarca]],tabComarca[],5,0)</f>
        <v>11.25</v>
      </c>
      <c r="AB76" s="232">
        <f>VLOOKUP(tabParametros[[#This Row],[CCT DA CATEGORIA]],tabSindicatos[],6,0)</f>
        <v>29.14</v>
      </c>
      <c r="AC76" s="232">
        <f>VLOOKUP(tabParametros[[#This Row],[CCT DA CATEGORIA]],tabSindicatos[],7,0)</f>
        <v>0</v>
      </c>
      <c r="AD76" s="232" cm="1">
        <f t="array" ref="AD7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76" s="232">
        <f>VLOOKUP(tabParametros[[#This Row],[CCT DA CATEGORIA]],tabSindicatos[],9,0)</f>
        <v>0</v>
      </c>
      <c r="AF76" s="232">
        <f>VLOOKUP(tabParametros[[#This Row],[CCT DA CATEGORIA]],tabSindicatos[],10,0)</f>
        <v>0</v>
      </c>
      <c r="AG76" s="234">
        <f>VLOOKUP(tabParametros[[#Headers],[Seguro de Vida]],tabOutrosCustos[],3,0)</f>
        <v>3.36</v>
      </c>
      <c r="AH76" s="234">
        <f>IF(ISNUMBER(SEARCH("MOTORISTA",tabParametros[[#This Row],[Função]],1)),VLOOKUP("MOTORISTAS",tabDiarias[],2,0),IF(tabParametros[[#This Row],[Comarca]]="Belo Horizonte",VLOOKUP("APOIO",tabDiarias[],2,0),0))</f>
        <v>202.08</v>
      </c>
      <c r="AI76" s="233">
        <f t="shared" si="13"/>
        <v>7.011766975308642E-3</v>
      </c>
      <c r="AJ76" s="235">
        <f>tabParametros[[#This Row],[FGTS]]*tabParametros[[#This Row],[Aviso Prévio Indenizado (API) e Reflexo do Aviso Prévio Indenizado]]</f>
        <v>5.609413580246914E-4</v>
      </c>
      <c r="AK76" s="235">
        <f>tabParametros[[#This Row],[FGTS]]*tabParametros[[#This Row],[Aviso Prévio Indenizado (API) e Reflexo do Aviso Prévio Indenizado]]*40%</f>
        <v>2.2437654320987658E-4</v>
      </c>
      <c r="AL76" s="233">
        <f t="shared" si="14"/>
        <v>3.5000000000000005E-3</v>
      </c>
      <c r="AM76" s="233">
        <f>tabParametros[[#This Row],[Aviso Prévio Trabalhado - APT]]*SUM(tabParametros[[#This Row],[INSS]:[SEBRAE]])</f>
        <v>1.3230000000000004E-3</v>
      </c>
      <c r="AN76" s="233">
        <f t="shared" si="15"/>
        <v>3.0577777777777773E-2</v>
      </c>
      <c r="AO76" s="233">
        <f t="shared" si="16"/>
        <v>8.3333333333333339E-4</v>
      </c>
      <c r="AP76" s="233">
        <f t="shared" si="17"/>
        <v>8.4444444444444437E-3</v>
      </c>
      <c r="AQ76" s="233">
        <f t="shared" si="18"/>
        <v>2.0277777777777777E-3</v>
      </c>
      <c r="AR76" s="233">
        <f t="shared" si="19"/>
        <v>1.7083333333333333E-4</v>
      </c>
      <c r="AS76" s="233">
        <f t="shared" si="20"/>
        <v>2.0833333333333335E-4</v>
      </c>
      <c r="AT76" s="233">
        <f t="shared" si="21"/>
        <v>1.2962962962962963E-3</v>
      </c>
      <c r="AU76" s="235">
        <f>SUM(tabParametros[[#This Row],[Ausência por Doença]:[Férias, Adicional de Férias e 13º  com empregada em gozo de Licença Maternidade]])*SUM(tabParametros[[#This Row],[INSS]:[SEBRAE]])</f>
        <v>4.5918250000000008E-3</v>
      </c>
      <c r="AV76" s="254">
        <f>IF(tabParametros[[#This Row],[Função]]="Porteiro - 220 h",SUM(tabParametros[[#This Row],[Salário Base]:[Adicional de Acúmulo de função]])/220*20*1.5,IF(ISNUMBER(SEARCH("12 x 36",tabParametros[[#This Row],[Função]],1)),SUM(tabParametros[[#This Row],[Salário Base]:[Adicional de Acúmulo de função]])/210*15.5*1.5,0))</f>
        <v>0</v>
      </c>
      <c r="AW76" s="232">
        <f>IF(tabParametros[[#This Row],[Vagas contratadas]]&gt;0,(SUM(tabParametros[[#This Row],[Salário Base]:[Adicional de Acúmulo de função]])*30%+SUM(tabParametros[[#This Row],[Vale - Alimentação]:[Seguro de Vida]]))/tabParametros[[#This Row],[Vagas contratadas]]*tabParametros[[#This Row],[Vagas suspensas]],0)</f>
        <v>0</v>
      </c>
      <c r="AX76" s="232">
        <f>SUMIF(tabUniformes[Cargo],tabParametros[[#This Row],[Função]],tabUniformes[Valor unit. Mensal])</f>
        <v>90.784679782039703</v>
      </c>
      <c r="AY7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6" s="232">
        <v>0</v>
      </c>
      <c r="BC76" s="234" t="e">
        <f ca="1">VLOOKUP(tabParametros[[#Headers],[Custos Indiretos]],tabOutrosCustos[],3,0)</f>
        <v>#NAME?</v>
      </c>
      <c r="BD76" s="234" t="e">
        <f ca="1">VLOOKUP(tabParametros[[#Headers],[Lucro]],tabOutrosCustos[],3,0)</f>
        <v>#NAME?</v>
      </c>
      <c r="BE76" s="233">
        <f>VLOOKUP(tabParametros[[#Headers],[COFINS]],tabImpostosNacionais[],2,0)</f>
        <v>7.5999999999999998E-2</v>
      </c>
      <c r="BF76" s="233">
        <f>VLOOKUP(tabParametros[[#Headers],[PIS]],tabImpostosNacionais[],2,0)</f>
        <v>1.6500000000000001E-2</v>
      </c>
      <c r="BG76" s="233">
        <f>VLOOKUP(tabParametros[[#This Row],[Comarca]],tabComarca[],4,0)</f>
        <v>0.05</v>
      </c>
      <c r="BH76" s="236">
        <f>VLOOKUP(tabParametros[[#This Row],[CCT DA CATEGORIA]],tabSindicatos[],11,0)</f>
        <v>45658</v>
      </c>
      <c r="BI76" s="282" t="str">
        <f>VLOOKUP(tabParametros[[#This Row],[CCT DA CATEGORIA]],tabSindicatos[],12,0)</f>
        <v>-</v>
      </c>
      <c r="BJ76" s="285" t="str">
        <f>VLOOKUP(tabParametros[[#This Row],[CCT DA CATEGORIA]],tabSindicatos[],13,0)</f>
        <v>-</v>
      </c>
    </row>
    <row r="77" spans="1:62">
      <c r="A77" s="231" t="s">
        <v>1452</v>
      </c>
      <c r="B77" s="197" t="s">
        <v>1103</v>
      </c>
      <c r="C77" s="197" t="s">
        <v>366</v>
      </c>
      <c r="D77" s="197" t="str">
        <f>VLOOKUP(tabParametros[[#This Row],[Código do Posto]],tabPostos[],4,0)</f>
        <v>SEAC/SINDEAC</v>
      </c>
      <c r="E77" s="282" t="str">
        <f>VLOOKUP(tabParametros[[#This Row],[Código do Posto]],tabPostos[],5,0)</f>
        <v>Apoio</v>
      </c>
      <c r="F77" s="282" t="str">
        <f>VLOOKUP(tabParametros[[#This Row],[Código do Posto]],tabPostos[],6,0)</f>
        <v>PGJ</v>
      </c>
      <c r="G77" s="282">
        <f>VLOOKUP(tabParametros[[#This Row],[Código do Posto]],tabPostos[],7,0)</f>
        <v>23</v>
      </c>
      <c r="H77" s="282">
        <f>VLOOKUP(tabParametros[[#This Row],[Código do Posto]],tabPostos[],8,0)</f>
        <v>0</v>
      </c>
      <c r="I77" s="232">
        <f>VLOOKUP(tabParametros[[#This Row],[Código do Posto]],tabPostos[],9,0)</f>
        <v>7303</v>
      </c>
      <c r="J77" s="232">
        <f>IF(ISNUMBER(SEARCH("Eletricista",tabParametros[[#This Row],[Função]],1)),0.3*tabParametros[[#This Row],[Salário Base]],0)</f>
        <v>0</v>
      </c>
      <c r="K7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7" s="232">
        <f>IF(AND(ISNUMBER(SEARCH("Noturno",tabParametros[[#This Row],[Função]],1)),tabParametros[[#This Row],[Comarca]]&lt;&gt;"Juiz de Fora"),tabParametros[[#This Row],[Salário Base]]/210*0.39*7*15.5,IF(ISNUMBER(SEARCH("Noturno",tabParametros[[#This Row],[Função]],1)),tabParametros[[#This Row],[Salário Base]]/210*0.2*8*15.5,0))</f>
        <v>0</v>
      </c>
      <c r="M77" s="232">
        <f>IF(ISNUMBER(SEARCH("Motorista II",tabParametros[[#This Row],[Função]],1)),0.3022*tabParametros[[#This Row],[Salário Base]],0)</f>
        <v>0</v>
      </c>
      <c r="N77" s="254">
        <v>0</v>
      </c>
      <c r="O77" s="254">
        <f>IF(ISNUMBER(SEARCH("TECNOLOGIA DA INFORMACAO",tabParametros[[#This Row],[Função]],1)),0.056*tabParametros[[#This Row],[Salário Base]],0)</f>
        <v>0</v>
      </c>
      <c r="P77" s="232">
        <f>IF(tabParametros[[#This Row],[Função]]="Operador de Midia Audiovisual - 150 h",tabParametros[[#This Row],[Salário Base]]/150*50*30%,IF(tabParametros[[#This Row],[Função]]="Supervisor de Manutencao de Veiculos II - 220 h",12%*tabParametros[[#This Row],[Salário Base]],0))</f>
        <v>0</v>
      </c>
      <c r="Q77" s="233">
        <f>VLOOKUP(tabParametros[[#Headers],[INSS]],tabImpostosNacionais[],2,0)</f>
        <v>0.2</v>
      </c>
      <c r="R77" s="233">
        <f>VLOOKUP(tabParametros[[#Headers],[SESI OU SESC]],tabImpostosNacionais[],2,0)</f>
        <v>1.4999999999999999E-2</v>
      </c>
      <c r="S77" s="233">
        <f>VLOOKUP(tabParametros[[#Headers],[SENAI OU SENAC]],tabImpostosNacionais[],2,0)</f>
        <v>0.01</v>
      </c>
      <c r="T77" s="233">
        <f>VLOOKUP(tabParametros[[#Headers],[INCRA]],tabImpostosNacionais[],2,0)</f>
        <v>2E-3</v>
      </c>
      <c r="U77" s="233">
        <f>VLOOKUP(tabParametros[[#Headers],[Salário Educação]],tabImpostosNacionais[],2,0)</f>
        <v>2.5000000000000001E-2</v>
      </c>
      <c r="V77" s="233">
        <f>VLOOKUP(tabParametros[[#Headers],[FGTS]],tabImpostosNacionais[],2,0)</f>
        <v>0.08</v>
      </c>
      <c r="W77" s="233">
        <f>VLOOKUP(tabParametros[[#Headers],[RAT Ajustado]],tabImpostosNacionais[],2,0)</f>
        <v>0.04</v>
      </c>
      <c r="X77" s="233">
        <f>VLOOKUP(tabParametros[[#Headers],[SEBRAE]],tabImpostosNacionais[],2,0)</f>
        <v>6.0000000000000001E-3</v>
      </c>
      <c r="Y77" s="233">
        <f t="shared" si="11"/>
        <v>8.3333333333333329E-2</v>
      </c>
      <c r="Z77" s="233">
        <f t="shared" si="12"/>
        <v>0.1111111111111111</v>
      </c>
      <c r="AA77" s="232">
        <f>VLOOKUP(tabParametros[[#This Row],[Comarca]],tabComarca[],5,0)</f>
        <v>11.25</v>
      </c>
      <c r="AB77" s="232">
        <f>VLOOKUP(tabParametros[[#This Row],[CCT DA CATEGORIA]],tabSindicatos[],6,0)</f>
        <v>29.15</v>
      </c>
      <c r="AC77" s="232">
        <f>VLOOKUP(tabParametros[[#This Row],[CCT DA CATEGORIA]],tabSindicatos[],7,0)</f>
        <v>0</v>
      </c>
      <c r="AD77" s="232" cm="1">
        <f t="array" ref="AD7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77" s="232">
        <f>VLOOKUP(tabParametros[[#This Row],[CCT DA CATEGORIA]],tabSindicatos[],9,0)</f>
        <v>0</v>
      </c>
      <c r="AF77" s="232">
        <f>VLOOKUP(tabParametros[[#This Row],[CCT DA CATEGORIA]],tabSindicatos[],10,0)</f>
        <v>0</v>
      </c>
      <c r="AG77" s="234">
        <f>VLOOKUP(tabParametros[[#Headers],[Seguro de Vida]],tabOutrosCustos[],3,0)</f>
        <v>3.36</v>
      </c>
      <c r="AH77" s="234">
        <f>IF(ISNUMBER(SEARCH("MOTORISTA",tabParametros[[#This Row],[Função]],1)),VLOOKUP("MOTORISTAS",tabDiarias[],2,0),IF(tabParametros[[#This Row],[Comarca]]="Belo Horizonte",VLOOKUP("APOIO",tabDiarias[],2,0),0))</f>
        <v>202.08</v>
      </c>
      <c r="AI77" s="233">
        <f t="shared" si="13"/>
        <v>7.011766975308642E-3</v>
      </c>
      <c r="AJ77" s="235">
        <f>tabParametros[[#This Row],[FGTS]]*tabParametros[[#This Row],[Aviso Prévio Indenizado (API) e Reflexo do Aviso Prévio Indenizado]]</f>
        <v>5.609413580246914E-4</v>
      </c>
      <c r="AK77" s="235">
        <f>tabParametros[[#This Row],[FGTS]]*tabParametros[[#This Row],[Aviso Prévio Indenizado (API) e Reflexo do Aviso Prévio Indenizado]]*40%</f>
        <v>2.2437654320987658E-4</v>
      </c>
      <c r="AL77" s="233">
        <f t="shared" si="14"/>
        <v>3.5000000000000005E-3</v>
      </c>
      <c r="AM77" s="233">
        <f>tabParametros[[#This Row],[Aviso Prévio Trabalhado - APT]]*SUM(tabParametros[[#This Row],[INSS]:[SEBRAE]])</f>
        <v>1.3230000000000004E-3</v>
      </c>
      <c r="AN77" s="233">
        <f t="shared" si="15"/>
        <v>3.0577777777777773E-2</v>
      </c>
      <c r="AO77" s="233">
        <f t="shared" si="16"/>
        <v>8.3333333333333339E-4</v>
      </c>
      <c r="AP77" s="233">
        <f t="shared" si="17"/>
        <v>8.4444444444444437E-3</v>
      </c>
      <c r="AQ77" s="233">
        <f t="shared" si="18"/>
        <v>2.0277777777777777E-3</v>
      </c>
      <c r="AR77" s="233">
        <f t="shared" si="19"/>
        <v>1.7083333333333333E-4</v>
      </c>
      <c r="AS77" s="233">
        <f t="shared" si="20"/>
        <v>2.0833333333333335E-4</v>
      </c>
      <c r="AT77" s="233">
        <f t="shared" si="21"/>
        <v>1.2962962962962963E-3</v>
      </c>
      <c r="AU77" s="235">
        <f>SUM(tabParametros[[#This Row],[Ausência por Doença]:[Férias, Adicional de Férias e 13º  com empregada em gozo de Licença Maternidade]])*SUM(tabParametros[[#This Row],[INSS]:[SEBRAE]])</f>
        <v>4.5918250000000008E-3</v>
      </c>
      <c r="AV77" s="254">
        <f>IF(tabParametros[[#This Row],[Função]]="Porteiro - 220 h",SUM(tabParametros[[#This Row],[Salário Base]:[Adicional de Acúmulo de função]])/220*20*1.5,IF(ISNUMBER(SEARCH("12 x 36",tabParametros[[#This Row],[Função]],1)),SUM(tabParametros[[#This Row],[Salário Base]:[Adicional de Acúmulo de função]])/210*15.5*1.5,0))</f>
        <v>0</v>
      </c>
      <c r="AW77" s="232">
        <f>IF(tabParametros[[#This Row],[Vagas contratadas]]&gt;0,(SUM(tabParametros[[#This Row],[Salário Base]:[Adicional de Acúmulo de função]])*30%+SUM(tabParametros[[#This Row],[Vale - Alimentação]:[Seguro de Vida]]))/tabParametros[[#This Row],[Vagas contratadas]]*tabParametros[[#This Row],[Vagas suspensas]],0)</f>
        <v>0</v>
      </c>
      <c r="AX77" s="232">
        <f>SUMIF(tabUniformes[Cargo],tabParametros[[#This Row],[Função]],tabUniformes[Valor unit. Mensal])</f>
        <v>178.37884644870635</v>
      </c>
      <c r="AY7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7" s="232">
        <v>0</v>
      </c>
      <c r="BC77" s="234" t="e">
        <f ca="1">VLOOKUP(tabParametros[[#Headers],[Custos Indiretos]],tabOutrosCustos[],3,0)</f>
        <v>#NAME?</v>
      </c>
      <c r="BD77" s="234" t="e">
        <f ca="1">VLOOKUP(tabParametros[[#Headers],[Lucro]],tabOutrosCustos[],3,0)</f>
        <v>#NAME?</v>
      </c>
      <c r="BE77" s="233">
        <f>VLOOKUP(tabParametros[[#Headers],[COFINS]],tabImpostosNacionais[],2,0)</f>
        <v>7.5999999999999998E-2</v>
      </c>
      <c r="BF77" s="233">
        <f>VLOOKUP(tabParametros[[#Headers],[PIS]],tabImpostosNacionais[],2,0)</f>
        <v>1.6500000000000001E-2</v>
      </c>
      <c r="BG77" s="233">
        <f>VLOOKUP(tabParametros[[#This Row],[Comarca]],tabComarca[],4,0)</f>
        <v>0.05</v>
      </c>
      <c r="BH77" s="236">
        <f>VLOOKUP(tabParametros[[#This Row],[CCT DA CATEGORIA]],tabSindicatos[],11,0)</f>
        <v>45658</v>
      </c>
      <c r="BI77" s="282" t="str">
        <f>VLOOKUP(tabParametros[[#This Row],[CCT DA CATEGORIA]],tabSindicatos[],12,0)</f>
        <v>-</v>
      </c>
      <c r="BJ77" s="285" t="str">
        <f>VLOOKUP(tabParametros[[#This Row],[CCT DA CATEGORIA]],tabSindicatos[],13,0)</f>
        <v>-</v>
      </c>
    </row>
    <row r="78" spans="1:62">
      <c r="A78" s="231" t="s">
        <v>1453</v>
      </c>
      <c r="B78" s="197" t="s">
        <v>1103</v>
      </c>
      <c r="C78" s="197" t="s">
        <v>371</v>
      </c>
      <c r="D78" s="197" t="str">
        <f>VLOOKUP(tabParametros[[#This Row],[Código do Posto]],tabPostos[],4,0)</f>
        <v>SEAC/SINDEAC</v>
      </c>
      <c r="E78" s="282" t="str">
        <f>VLOOKUP(tabParametros[[#This Row],[Código do Posto]],tabPostos[],5,0)</f>
        <v>Apoio</v>
      </c>
      <c r="F78" s="282" t="str">
        <f>VLOOKUP(tabParametros[[#This Row],[Código do Posto]],tabPostos[],6,0)</f>
        <v>PGJ</v>
      </c>
      <c r="G78" s="282">
        <f>VLOOKUP(tabParametros[[#This Row],[Código do Posto]],tabPostos[],7,0)</f>
        <v>6</v>
      </c>
      <c r="H78" s="282">
        <f>VLOOKUP(tabParametros[[#This Row],[Código do Posto]],tabPostos[],8,0)</f>
        <v>0</v>
      </c>
      <c r="I78" s="232">
        <f>VLOOKUP(tabParametros[[#This Row],[Código do Posto]],tabPostos[],9,0)</f>
        <v>7303</v>
      </c>
      <c r="J78" s="232">
        <f>IF(ISNUMBER(SEARCH("Eletricista",tabParametros[[#This Row],[Função]],1)),0.3*tabParametros[[#This Row],[Salário Base]],0)</f>
        <v>0</v>
      </c>
      <c r="K7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8" s="232">
        <f>IF(AND(ISNUMBER(SEARCH("Noturno",tabParametros[[#This Row],[Função]],1)),tabParametros[[#This Row],[Comarca]]&lt;&gt;"Juiz de Fora"),tabParametros[[#This Row],[Salário Base]]/210*0.39*7*15.5,IF(ISNUMBER(SEARCH("Noturno",tabParametros[[#This Row],[Função]],1)),tabParametros[[#This Row],[Salário Base]]/210*0.2*8*15.5,0))</f>
        <v>0</v>
      </c>
      <c r="M78" s="232">
        <f>IF(ISNUMBER(SEARCH("Motorista II",tabParametros[[#This Row],[Função]],1)),0.3022*tabParametros[[#This Row],[Salário Base]],0)</f>
        <v>0</v>
      </c>
      <c r="N78" s="254">
        <v>0</v>
      </c>
      <c r="O78" s="254">
        <f>IF(ISNUMBER(SEARCH("TECNOLOGIA DA INFORMACAO",tabParametros[[#This Row],[Função]],1)),0.056*tabParametros[[#This Row],[Salário Base]],0)</f>
        <v>0</v>
      </c>
      <c r="P78" s="232">
        <f>IF(tabParametros[[#This Row],[Função]]="Operador de Midia Audiovisual - 150 h",tabParametros[[#This Row],[Salário Base]]/150*50*30%,IF(tabParametros[[#This Row],[Função]]="Supervisor de Manutencao de Veiculos II - 220 h",12%*tabParametros[[#This Row],[Salário Base]],0))</f>
        <v>0</v>
      </c>
      <c r="Q78" s="233">
        <f>VLOOKUP(tabParametros[[#Headers],[INSS]],tabImpostosNacionais[],2,0)</f>
        <v>0.2</v>
      </c>
      <c r="R78" s="233">
        <f>VLOOKUP(tabParametros[[#Headers],[SESI OU SESC]],tabImpostosNacionais[],2,0)</f>
        <v>1.4999999999999999E-2</v>
      </c>
      <c r="S78" s="233">
        <f>VLOOKUP(tabParametros[[#Headers],[SENAI OU SENAC]],tabImpostosNacionais[],2,0)</f>
        <v>0.01</v>
      </c>
      <c r="T78" s="233">
        <f>VLOOKUP(tabParametros[[#Headers],[INCRA]],tabImpostosNacionais[],2,0)</f>
        <v>2E-3</v>
      </c>
      <c r="U78" s="233">
        <f>VLOOKUP(tabParametros[[#Headers],[Salário Educação]],tabImpostosNacionais[],2,0)</f>
        <v>2.5000000000000001E-2</v>
      </c>
      <c r="V78" s="233">
        <f>VLOOKUP(tabParametros[[#Headers],[FGTS]],tabImpostosNacionais[],2,0)</f>
        <v>0.08</v>
      </c>
      <c r="W78" s="233">
        <f>VLOOKUP(tabParametros[[#Headers],[RAT Ajustado]],tabImpostosNacionais[],2,0)</f>
        <v>0.04</v>
      </c>
      <c r="X78" s="233">
        <f>VLOOKUP(tabParametros[[#Headers],[SEBRAE]],tabImpostosNacionais[],2,0)</f>
        <v>6.0000000000000001E-3</v>
      </c>
      <c r="Y78" s="233">
        <f t="shared" si="11"/>
        <v>8.3333333333333329E-2</v>
      </c>
      <c r="Z78" s="233">
        <f t="shared" si="12"/>
        <v>0.1111111111111111</v>
      </c>
      <c r="AA78" s="232">
        <f>VLOOKUP(tabParametros[[#This Row],[Comarca]],tabComarca[],5,0)</f>
        <v>11.25</v>
      </c>
      <c r="AB78" s="232">
        <f>VLOOKUP(tabParametros[[#This Row],[CCT DA CATEGORIA]],tabSindicatos[],6,0)</f>
        <v>29.15</v>
      </c>
      <c r="AC78" s="232">
        <f>VLOOKUP(tabParametros[[#This Row],[CCT DA CATEGORIA]],tabSindicatos[],7,0)</f>
        <v>0</v>
      </c>
      <c r="AD78" s="232" cm="1">
        <f t="array" ref="AD7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78" s="232">
        <f>VLOOKUP(tabParametros[[#This Row],[CCT DA CATEGORIA]],tabSindicatos[],9,0)</f>
        <v>0</v>
      </c>
      <c r="AF78" s="232">
        <f>VLOOKUP(tabParametros[[#This Row],[CCT DA CATEGORIA]],tabSindicatos[],10,0)</f>
        <v>0</v>
      </c>
      <c r="AG78" s="234">
        <f>VLOOKUP(tabParametros[[#Headers],[Seguro de Vida]],tabOutrosCustos[],3,0)</f>
        <v>3.36</v>
      </c>
      <c r="AH78" s="234">
        <f>IF(ISNUMBER(SEARCH("MOTORISTA",tabParametros[[#This Row],[Função]],1)),VLOOKUP("MOTORISTAS",tabDiarias[],2,0),IF(tabParametros[[#This Row],[Comarca]]="Belo Horizonte",VLOOKUP("APOIO",tabDiarias[],2,0),0))</f>
        <v>202.08</v>
      </c>
      <c r="AI78" s="233">
        <f t="shared" si="13"/>
        <v>7.011766975308642E-3</v>
      </c>
      <c r="AJ78" s="235">
        <f>tabParametros[[#This Row],[FGTS]]*tabParametros[[#This Row],[Aviso Prévio Indenizado (API) e Reflexo do Aviso Prévio Indenizado]]</f>
        <v>5.609413580246914E-4</v>
      </c>
      <c r="AK78" s="235">
        <f>tabParametros[[#This Row],[FGTS]]*tabParametros[[#This Row],[Aviso Prévio Indenizado (API) e Reflexo do Aviso Prévio Indenizado]]*40%</f>
        <v>2.2437654320987658E-4</v>
      </c>
      <c r="AL78" s="233">
        <f t="shared" si="14"/>
        <v>3.5000000000000005E-3</v>
      </c>
      <c r="AM78" s="233">
        <f>tabParametros[[#This Row],[Aviso Prévio Trabalhado - APT]]*SUM(tabParametros[[#This Row],[INSS]:[SEBRAE]])</f>
        <v>1.3230000000000004E-3</v>
      </c>
      <c r="AN78" s="233">
        <f t="shared" si="15"/>
        <v>3.0577777777777773E-2</v>
      </c>
      <c r="AO78" s="233">
        <f t="shared" si="16"/>
        <v>8.3333333333333339E-4</v>
      </c>
      <c r="AP78" s="233">
        <f t="shared" si="17"/>
        <v>8.4444444444444437E-3</v>
      </c>
      <c r="AQ78" s="233">
        <f t="shared" si="18"/>
        <v>2.0277777777777777E-3</v>
      </c>
      <c r="AR78" s="233">
        <f t="shared" si="19"/>
        <v>1.7083333333333333E-4</v>
      </c>
      <c r="AS78" s="233">
        <f t="shared" si="20"/>
        <v>2.0833333333333335E-4</v>
      </c>
      <c r="AT78" s="233">
        <f t="shared" si="21"/>
        <v>1.2962962962962963E-3</v>
      </c>
      <c r="AU78" s="235">
        <f>SUM(tabParametros[[#This Row],[Ausência por Doença]:[Férias, Adicional de Férias e 13º  com empregada em gozo de Licença Maternidade]])*SUM(tabParametros[[#This Row],[INSS]:[SEBRAE]])</f>
        <v>4.5918250000000008E-3</v>
      </c>
      <c r="AV78" s="254">
        <f>IF(tabParametros[[#This Row],[Função]]="Porteiro - 220 h",SUM(tabParametros[[#This Row],[Salário Base]:[Adicional de Acúmulo de função]])/220*20*1.5,IF(ISNUMBER(SEARCH("12 x 36",tabParametros[[#This Row],[Função]],1)),SUM(tabParametros[[#This Row],[Salário Base]:[Adicional de Acúmulo de função]])/210*15.5*1.5,0))</f>
        <v>0</v>
      </c>
      <c r="AW78" s="232">
        <f>IF(tabParametros[[#This Row],[Vagas contratadas]]&gt;0,(SUM(tabParametros[[#This Row],[Salário Base]:[Adicional de Acúmulo de função]])*30%+SUM(tabParametros[[#This Row],[Vale - Alimentação]:[Seguro de Vida]]))/tabParametros[[#This Row],[Vagas contratadas]]*tabParametros[[#This Row],[Vagas suspensas]],0)</f>
        <v>0</v>
      </c>
      <c r="AX78" s="232">
        <f>SUMIF(tabUniformes[Cargo],tabParametros[[#This Row],[Função]],tabUniformes[Valor unit. Mensal])</f>
        <v>175.38717978203971</v>
      </c>
      <c r="AY7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8" s="232">
        <v>0</v>
      </c>
      <c r="BC78" s="234" t="e">
        <f ca="1">VLOOKUP(tabParametros[[#Headers],[Custos Indiretos]],tabOutrosCustos[],3,0)</f>
        <v>#NAME?</v>
      </c>
      <c r="BD78" s="234" t="e">
        <f ca="1">VLOOKUP(tabParametros[[#Headers],[Lucro]],tabOutrosCustos[],3,0)</f>
        <v>#NAME?</v>
      </c>
      <c r="BE78" s="233">
        <f>VLOOKUP(tabParametros[[#Headers],[COFINS]],tabImpostosNacionais[],2,0)</f>
        <v>7.5999999999999998E-2</v>
      </c>
      <c r="BF78" s="233">
        <f>VLOOKUP(tabParametros[[#Headers],[PIS]],tabImpostosNacionais[],2,0)</f>
        <v>1.6500000000000001E-2</v>
      </c>
      <c r="BG78" s="233">
        <f>VLOOKUP(tabParametros[[#This Row],[Comarca]],tabComarca[],4,0)</f>
        <v>0.05</v>
      </c>
      <c r="BH78" s="236">
        <f>VLOOKUP(tabParametros[[#This Row],[CCT DA CATEGORIA]],tabSindicatos[],11,0)</f>
        <v>45658</v>
      </c>
      <c r="BI78" s="282" t="str">
        <f>VLOOKUP(tabParametros[[#This Row],[CCT DA CATEGORIA]],tabSindicatos[],12,0)</f>
        <v>-</v>
      </c>
      <c r="BJ78" s="285" t="str">
        <f>VLOOKUP(tabParametros[[#This Row],[CCT DA CATEGORIA]],tabSindicatos[],13,0)</f>
        <v>-</v>
      </c>
    </row>
    <row r="79" spans="1:62">
      <c r="A79" s="231" t="s">
        <v>1454</v>
      </c>
      <c r="B79" s="197" t="s">
        <v>1103</v>
      </c>
      <c r="C79" s="197" t="s">
        <v>1369</v>
      </c>
      <c r="D79" s="197" t="str">
        <f>VLOOKUP(tabParametros[[#This Row],[Código do Posto]],tabPostos[],4,0)</f>
        <v>SEAC/SINDEAC</v>
      </c>
      <c r="E79" s="282" t="str">
        <f>VLOOKUP(tabParametros[[#This Row],[Código do Posto]],tabPostos[],5,0)</f>
        <v>Apoio</v>
      </c>
      <c r="F79" s="282" t="str">
        <f>VLOOKUP(tabParametros[[#This Row],[Código do Posto]],tabPostos[],6,0)</f>
        <v>PGJ</v>
      </c>
      <c r="G79" s="282">
        <f>VLOOKUP(tabParametros[[#This Row],[Código do Posto]],tabPostos[],7,0)</f>
        <v>2</v>
      </c>
      <c r="H79" s="282">
        <f>VLOOKUP(tabParametros[[#This Row],[Código do Posto]],tabPostos[],8,0)</f>
        <v>0</v>
      </c>
      <c r="I79" s="232">
        <f>VLOOKUP(tabParametros[[#This Row],[Código do Posto]],tabPostos[],9,0)</f>
        <v>4768.66</v>
      </c>
      <c r="J79" s="232">
        <f>IF(ISNUMBER(SEARCH("Eletricista",tabParametros[[#This Row],[Função]],1)),0.3*tabParametros[[#This Row],[Salário Base]],0)</f>
        <v>0</v>
      </c>
      <c r="K7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79" s="232">
        <f>IF(AND(ISNUMBER(SEARCH("Noturno",tabParametros[[#This Row],[Função]],1)),tabParametros[[#This Row],[Comarca]]&lt;&gt;"Juiz de Fora"),tabParametros[[#This Row],[Salário Base]]/210*0.39*7*15.5,IF(ISNUMBER(SEARCH("Noturno",tabParametros[[#This Row],[Função]],1)),tabParametros[[#This Row],[Salário Base]]/210*0.2*8*15.5,0))</f>
        <v>0</v>
      </c>
      <c r="M79" s="232">
        <f>IF(ISNUMBER(SEARCH("Motorista II",tabParametros[[#This Row],[Função]],1)),0.3022*tabParametros[[#This Row],[Salário Base]],0)</f>
        <v>0</v>
      </c>
      <c r="N79" s="254">
        <v>0</v>
      </c>
      <c r="O79" s="254">
        <f>IF(ISNUMBER(SEARCH("TECNOLOGIA DA INFORMACAO",tabParametros[[#This Row],[Função]],1)),0.056*tabParametros[[#This Row],[Salário Base]],0)</f>
        <v>0</v>
      </c>
      <c r="P79" s="232">
        <f>IF(tabParametros[[#This Row],[Função]]="Operador de Midia Audiovisual - 150 h",tabParametros[[#This Row],[Salário Base]]/150*50*30%,IF(tabParametros[[#This Row],[Função]]="Supervisor de Manutencao de Veiculos II - 220 h",12%*tabParametros[[#This Row],[Salário Base]],0))</f>
        <v>0</v>
      </c>
      <c r="Q79" s="233">
        <f>VLOOKUP(tabParametros[[#Headers],[INSS]],tabImpostosNacionais[],2,0)</f>
        <v>0.2</v>
      </c>
      <c r="R79" s="233">
        <f>VLOOKUP(tabParametros[[#Headers],[SESI OU SESC]],tabImpostosNacionais[],2,0)</f>
        <v>1.4999999999999999E-2</v>
      </c>
      <c r="S79" s="233">
        <f>VLOOKUP(tabParametros[[#Headers],[SENAI OU SENAC]],tabImpostosNacionais[],2,0)</f>
        <v>0.01</v>
      </c>
      <c r="T79" s="233">
        <f>VLOOKUP(tabParametros[[#Headers],[INCRA]],tabImpostosNacionais[],2,0)</f>
        <v>2E-3</v>
      </c>
      <c r="U79" s="233">
        <f>VLOOKUP(tabParametros[[#Headers],[Salário Educação]],tabImpostosNacionais[],2,0)</f>
        <v>2.5000000000000001E-2</v>
      </c>
      <c r="V79" s="233">
        <f>VLOOKUP(tabParametros[[#Headers],[FGTS]],tabImpostosNacionais[],2,0)</f>
        <v>0.08</v>
      </c>
      <c r="W79" s="233">
        <f>VLOOKUP(tabParametros[[#Headers],[RAT Ajustado]],tabImpostosNacionais[],2,0)</f>
        <v>0.04</v>
      </c>
      <c r="X79" s="233">
        <f>VLOOKUP(tabParametros[[#Headers],[SEBRAE]],tabImpostosNacionais[],2,0)</f>
        <v>6.0000000000000001E-3</v>
      </c>
      <c r="Y79" s="233">
        <f t="shared" si="11"/>
        <v>8.3333333333333329E-2</v>
      </c>
      <c r="Z79" s="233">
        <f t="shared" si="12"/>
        <v>0.1111111111111111</v>
      </c>
      <c r="AA79" s="232">
        <f>VLOOKUP(tabParametros[[#This Row],[Comarca]],tabComarca[],5,0)</f>
        <v>11.25</v>
      </c>
      <c r="AB79" s="232">
        <f>VLOOKUP(tabParametros[[#This Row],[CCT DA CATEGORIA]],tabSindicatos[],6,0)</f>
        <v>29.15</v>
      </c>
      <c r="AC79" s="232">
        <f>VLOOKUP(tabParametros[[#This Row],[CCT DA CATEGORIA]],tabSindicatos[],7,0)</f>
        <v>0</v>
      </c>
      <c r="AD79" s="232" cm="1">
        <f t="array" ref="AD7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79" s="232">
        <f>VLOOKUP(tabParametros[[#This Row],[CCT DA CATEGORIA]],tabSindicatos[],9,0)</f>
        <v>0</v>
      </c>
      <c r="AF79" s="232">
        <f>VLOOKUP(tabParametros[[#This Row],[CCT DA CATEGORIA]],tabSindicatos[],10,0)</f>
        <v>0</v>
      </c>
      <c r="AG79" s="234">
        <f>VLOOKUP(tabParametros[[#Headers],[Seguro de Vida]],tabOutrosCustos[],3,0)</f>
        <v>3.36</v>
      </c>
      <c r="AH79" s="234">
        <f>IF(ISNUMBER(SEARCH("MOTORISTA",tabParametros[[#This Row],[Função]],1)),VLOOKUP("MOTORISTAS",tabDiarias[],2,0),IF(tabParametros[[#This Row],[Comarca]]="Belo Horizonte",VLOOKUP("APOIO",tabDiarias[],2,0),0))</f>
        <v>202.08</v>
      </c>
      <c r="AI79" s="233">
        <f t="shared" si="13"/>
        <v>7.011766975308642E-3</v>
      </c>
      <c r="AJ79" s="235">
        <f>tabParametros[[#This Row],[FGTS]]*tabParametros[[#This Row],[Aviso Prévio Indenizado (API) e Reflexo do Aviso Prévio Indenizado]]</f>
        <v>5.609413580246914E-4</v>
      </c>
      <c r="AK79" s="235">
        <f>tabParametros[[#This Row],[FGTS]]*tabParametros[[#This Row],[Aviso Prévio Indenizado (API) e Reflexo do Aviso Prévio Indenizado]]*40%</f>
        <v>2.2437654320987658E-4</v>
      </c>
      <c r="AL79" s="233">
        <f t="shared" si="14"/>
        <v>3.5000000000000005E-3</v>
      </c>
      <c r="AM79" s="233">
        <f>tabParametros[[#This Row],[Aviso Prévio Trabalhado - APT]]*SUM(tabParametros[[#This Row],[INSS]:[SEBRAE]])</f>
        <v>1.3230000000000004E-3</v>
      </c>
      <c r="AN79" s="233">
        <f t="shared" si="15"/>
        <v>3.0577777777777773E-2</v>
      </c>
      <c r="AO79" s="233">
        <f t="shared" si="16"/>
        <v>8.3333333333333339E-4</v>
      </c>
      <c r="AP79" s="233">
        <f t="shared" si="17"/>
        <v>8.4444444444444437E-3</v>
      </c>
      <c r="AQ79" s="233">
        <f t="shared" si="18"/>
        <v>2.0277777777777777E-3</v>
      </c>
      <c r="AR79" s="233">
        <f t="shared" si="19"/>
        <v>1.7083333333333333E-4</v>
      </c>
      <c r="AS79" s="233">
        <f t="shared" si="20"/>
        <v>2.0833333333333335E-4</v>
      </c>
      <c r="AT79" s="233">
        <f t="shared" si="21"/>
        <v>1.2962962962962963E-3</v>
      </c>
      <c r="AU79" s="235">
        <f>SUM(tabParametros[[#This Row],[Ausência por Doença]:[Férias, Adicional de Férias e 13º  com empregada em gozo de Licença Maternidade]])*SUM(tabParametros[[#This Row],[INSS]:[SEBRAE]])</f>
        <v>4.5918250000000008E-3</v>
      </c>
      <c r="AV79" s="254">
        <f>IF(tabParametros[[#This Row],[Função]]="Porteiro - 220 h",SUM(tabParametros[[#This Row],[Salário Base]:[Adicional de Acúmulo de função]])/220*20*1.5,IF(ISNUMBER(SEARCH("12 x 36",tabParametros[[#This Row],[Função]],1)),SUM(tabParametros[[#This Row],[Salário Base]:[Adicional de Acúmulo de função]])/210*15.5*1.5,0))</f>
        <v>527.95878571428568</v>
      </c>
      <c r="AW79" s="232">
        <f>IF(tabParametros[[#This Row],[Vagas contratadas]]&gt;0,(SUM(tabParametros[[#This Row],[Salário Base]:[Adicional de Acúmulo de função]])*30%+SUM(tabParametros[[#This Row],[Vale - Alimentação]:[Seguro de Vida]]))/tabParametros[[#This Row],[Vagas contratadas]]*tabParametros[[#This Row],[Vagas suspensas]],0)</f>
        <v>0</v>
      </c>
      <c r="AX79" s="232">
        <f>SUMIF(tabUniformes[Cargo],tabParametros[[#This Row],[Função]],tabUniformes[Valor unit. Mensal])</f>
        <v>90.784679782039703</v>
      </c>
      <c r="AY7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7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7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79" s="232">
        <v>0</v>
      </c>
      <c r="BC79" s="234" t="e">
        <f ca="1">VLOOKUP(tabParametros[[#Headers],[Custos Indiretos]],tabOutrosCustos[],3,0)</f>
        <v>#NAME?</v>
      </c>
      <c r="BD79" s="234" t="e">
        <f ca="1">VLOOKUP(tabParametros[[#Headers],[Lucro]],tabOutrosCustos[],3,0)</f>
        <v>#NAME?</v>
      </c>
      <c r="BE79" s="233">
        <f>VLOOKUP(tabParametros[[#Headers],[COFINS]],tabImpostosNacionais[],2,0)</f>
        <v>7.5999999999999998E-2</v>
      </c>
      <c r="BF79" s="233">
        <f>VLOOKUP(tabParametros[[#Headers],[PIS]],tabImpostosNacionais[],2,0)</f>
        <v>1.6500000000000001E-2</v>
      </c>
      <c r="BG79" s="233">
        <f>VLOOKUP(tabParametros[[#This Row],[Comarca]],tabComarca[],4,0)</f>
        <v>0.05</v>
      </c>
      <c r="BH79" s="236">
        <f>VLOOKUP(tabParametros[[#This Row],[CCT DA CATEGORIA]],tabSindicatos[],11,0)</f>
        <v>45658</v>
      </c>
      <c r="BI79" s="282" t="str">
        <f>VLOOKUP(tabParametros[[#This Row],[CCT DA CATEGORIA]],tabSindicatos[],12,0)</f>
        <v>-</v>
      </c>
      <c r="BJ79" s="285" t="str">
        <f>VLOOKUP(tabParametros[[#This Row],[CCT DA CATEGORIA]],tabSindicatos[],13,0)</f>
        <v>-</v>
      </c>
    </row>
    <row r="80" spans="1:62">
      <c r="A80" s="231" t="s">
        <v>1455</v>
      </c>
      <c r="B80" s="197" t="s">
        <v>1103</v>
      </c>
      <c r="C80" s="197" t="s">
        <v>1523</v>
      </c>
      <c r="D80" s="197" t="str">
        <f>VLOOKUP(tabParametros[[#This Row],[Código do Posto]],tabPostos[],4,0)</f>
        <v>SEAC/SINDEAC</v>
      </c>
      <c r="E80" s="282" t="str">
        <f>VLOOKUP(tabParametros[[#This Row],[Código do Posto]],tabPostos[],5,0)</f>
        <v>Apoio</v>
      </c>
      <c r="F80" s="282" t="str">
        <f>VLOOKUP(tabParametros[[#This Row],[Código do Posto]],tabPostos[],6,0)</f>
        <v>PGJ</v>
      </c>
      <c r="G80" s="282">
        <f>VLOOKUP(tabParametros[[#This Row],[Código do Posto]],tabPostos[],7,0)</f>
        <v>2</v>
      </c>
      <c r="H80" s="282">
        <f>VLOOKUP(tabParametros[[#This Row],[Código do Posto]],tabPostos[],8,0)</f>
        <v>0</v>
      </c>
      <c r="I80" s="232">
        <f>VLOOKUP(tabParametros[[#This Row],[Código do Posto]],tabPostos[],9,0)</f>
        <v>4768.66</v>
      </c>
      <c r="J80" s="232">
        <f>IF(ISNUMBER(SEARCH("Eletricista",tabParametros[[#This Row],[Função]],1)),0.3*tabParametros[[#This Row],[Salário Base]],0)</f>
        <v>0</v>
      </c>
      <c r="K8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0" s="232">
        <f>IF(AND(ISNUMBER(SEARCH("Noturno",tabParametros[[#This Row],[Função]],1)),tabParametros[[#This Row],[Comarca]]&lt;&gt;"Juiz de Fora"),tabParametros[[#This Row],[Salário Base]]/210*0.39*7*15.5,IF(ISNUMBER(SEARCH("Noturno",tabParametros[[#This Row],[Função]],1)),tabParametros[[#This Row],[Salário Base]]/210*0.2*8*15.5,0))</f>
        <v>960.8849899999999</v>
      </c>
      <c r="M80" s="232">
        <f>IF(ISNUMBER(SEARCH("Motorista II",tabParametros[[#This Row],[Função]],1)),0.3022*tabParametros[[#This Row],[Salário Base]],0)</f>
        <v>0</v>
      </c>
      <c r="N80" s="254">
        <v>0</v>
      </c>
      <c r="O80" s="254">
        <f>IF(ISNUMBER(SEARCH("TECNOLOGIA DA INFORMACAO",tabParametros[[#This Row],[Função]],1)),0.056*tabParametros[[#This Row],[Salário Base]],0)</f>
        <v>0</v>
      </c>
      <c r="P80" s="232">
        <f>IF(tabParametros[[#This Row],[Função]]="Operador de Midia Audiovisual - 150 h",tabParametros[[#This Row],[Salário Base]]/150*50*30%,IF(tabParametros[[#This Row],[Função]]="Supervisor de Manutencao de Veiculos II - 220 h",12%*tabParametros[[#This Row],[Salário Base]],0))</f>
        <v>0</v>
      </c>
      <c r="Q80" s="233">
        <f>VLOOKUP(tabParametros[[#Headers],[INSS]],tabImpostosNacionais[],2,0)</f>
        <v>0.2</v>
      </c>
      <c r="R80" s="233">
        <f>VLOOKUP(tabParametros[[#Headers],[SESI OU SESC]],tabImpostosNacionais[],2,0)</f>
        <v>1.4999999999999999E-2</v>
      </c>
      <c r="S80" s="233">
        <f>VLOOKUP(tabParametros[[#Headers],[SENAI OU SENAC]],tabImpostosNacionais[],2,0)</f>
        <v>0.01</v>
      </c>
      <c r="T80" s="233">
        <f>VLOOKUP(tabParametros[[#Headers],[INCRA]],tabImpostosNacionais[],2,0)</f>
        <v>2E-3</v>
      </c>
      <c r="U80" s="233">
        <f>VLOOKUP(tabParametros[[#Headers],[Salário Educação]],tabImpostosNacionais[],2,0)</f>
        <v>2.5000000000000001E-2</v>
      </c>
      <c r="V80" s="233">
        <f>VLOOKUP(tabParametros[[#Headers],[FGTS]],tabImpostosNacionais[],2,0)</f>
        <v>0.08</v>
      </c>
      <c r="W80" s="233">
        <f>VLOOKUP(tabParametros[[#Headers],[RAT Ajustado]],tabImpostosNacionais[],2,0)</f>
        <v>0.04</v>
      </c>
      <c r="X80" s="233">
        <f>VLOOKUP(tabParametros[[#Headers],[SEBRAE]],tabImpostosNacionais[],2,0)</f>
        <v>6.0000000000000001E-3</v>
      </c>
      <c r="Y80" s="233">
        <f t="shared" si="11"/>
        <v>8.3333333333333329E-2</v>
      </c>
      <c r="Z80" s="233">
        <f t="shared" si="12"/>
        <v>0.1111111111111111</v>
      </c>
      <c r="AA80" s="232">
        <f>VLOOKUP(tabParametros[[#This Row],[Comarca]],tabComarca[],5,0)</f>
        <v>11.25</v>
      </c>
      <c r="AB80" s="232">
        <f>VLOOKUP(tabParametros[[#This Row],[CCT DA CATEGORIA]],tabSindicatos[],6,0)</f>
        <v>29.15</v>
      </c>
      <c r="AC80" s="232">
        <f>VLOOKUP(tabParametros[[#This Row],[CCT DA CATEGORIA]],tabSindicatos[],7,0)</f>
        <v>0</v>
      </c>
      <c r="AD80" s="232" cm="1">
        <f t="array" ref="AD8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80" s="232">
        <f>VLOOKUP(tabParametros[[#This Row],[CCT DA CATEGORIA]],tabSindicatos[],9,0)</f>
        <v>0</v>
      </c>
      <c r="AF80" s="232">
        <f>VLOOKUP(tabParametros[[#This Row],[CCT DA CATEGORIA]],tabSindicatos[],10,0)</f>
        <v>0</v>
      </c>
      <c r="AG80" s="234">
        <f>VLOOKUP(tabParametros[[#Headers],[Seguro de Vida]],tabOutrosCustos[],3,0)</f>
        <v>3.36</v>
      </c>
      <c r="AH80" s="234">
        <f>IF(ISNUMBER(SEARCH("MOTORISTA",tabParametros[[#This Row],[Função]],1)),VLOOKUP("MOTORISTAS",tabDiarias[],2,0),IF(tabParametros[[#This Row],[Comarca]]="Belo Horizonte",VLOOKUP("APOIO",tabDiarias[],2,0),0))</f>
        <v>202.08</v>
      </c>
      <c r="AI80" s="233">
        <f t="shared" si="13"/>
        <v>7.011766975308642E-3</v>
      </c>
      <c r="AJ80" s="235">
        <f>tabParametros[[#This Row],[FGTS]]*tabParametros[[#This Row],[Aviso Prévio Indenizado (API) e Reflexo do Aviso Prévio Indenizado]]</f>
        <v>5.609413580246914E-4</v>
      </c>
      <c r="AK80" s="235">
        <f>tabParametros[[#This Row],[FGTS]]*tabParametros[[#This Row],[Aviso Prévio Indenizado (API) e Reflexo do Aviso Prévio Indenizado]]*40%</f>
        <v>2.2437654320987658E-4</v>
      </c>
      <c r="AL80" s="233">
        <f t="shared" si="14"/>
        <v>3.5000000000000005E-3</v>
      </c>
      <c r="AM80" s="233">
        <f>tabParametros[[#This Row],[Aviso Prévio Trabalhado - APT]]*SUM(tabParametros[[#This Row],[INSS]:[SEBRAE]])</f>
        <v>1.3230000000000004E-3</v>
      </c>
      <c r="AN80" s="233">
        <f t="shared" si="15"/>
        <v>3.0577777777777773E-2</v>
      </c>
      <c r="AO80" s="233">
        <f t="shared" si="16"/>
        <v>8.3333333333333339E-4</v>
      </c>
      <c r="AP80" s="233">
        <f t="shared" si="17"/>
        <v>8.4444444444444437E-3</v>
      </c>
      <c r="AQ80" s="233">
        <f t="shared" si="18"/>
        <v>2.0277777777777777E-3</v>
      </c>
      <c r="AR80" s="233">
        <f t="shared" si="19"/>
        <v>1.7083333333333333E-4</v>
      </c>
      <c r="AS80" s="233">
        <f t="shared" si="20"/>
        <v>2.0833333333333335E-4</v>
      </c>
      <c r="AT80" s="233">
        <f t="shared" si="21"/>
        <v>1.2962962962962963E-3</v>
      </c>
      <c r="AU80" s="235">
        <f>SUM(tabParametros[[#This Row],[Ausência por Doença]:[Férias, Adicional de Férias e 13º  com empregada em gozo de Licença Maternidade]])*SUM(tabParametros[[#This Row],[INSS]:[SEBRAE]])</f>
        <v>4.5918250000000008E-3</v>
      </c>
      <c r="AV80" s="254">
        <f>IF(tabParametros[[#This Row],[Função]]="Porteiro - 220 h",SUM(tabParametros[[#This Row],[Salário Base]:[Adicional de Acúmulo de função]])/220*20*1.5,IF(ISNUMBER(SEARCH("12 x 36",tabParametros[[#This Row],[Função]],1)),SUM(tabParametros[[#This Row],[Salário Base]:[Adicional de Acúmulo de função]])/210*15.5*1.5,0))</f>
        <v>634.34248103571417</v>
      </c>
      <c r="AW80" s="232">
        <f>IF(tabParametros[[#This Row],[Vagas contratadas]]&gt;0,(SUM(tabParametros[[#This Row],[Salário Base]:[Adicional de Acúmulo de função]])*30%+SUM(tabParametros[[#This Row],[Vale - Alimentação]:[Seguro de Vida]]))/tabParametros[[#This Row],[Vagas contratadas]]*tabParametros[[#This Row],[Vagas suspensas]],0)</f>
        <v>0</v>
      </c>
      <c r="AX80" s="232">
        <f>SUMIF(tabUniformes[Cargo],tabParametros[[#This Row],[Função]],tabUniformes[Valor unit. Mensal])</f>
        <v>90.784679782039703</v>
      </c>
      <c r="AY8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0" s="232">
        <v>0</v>
      </c>
      <c r="BC80" s="234" t="e">
        <f ca="1">VLOOKUP(tabParametros[[#Headers],[Custos Indiretos]],tabOutrosCustos[],3,0)</f>
        <v>#NAME?</v>
      </c>
      <c r="BD80" s="234" t="e">
        <f ca="1">VLOOKUP(tabParametros[[#Headers],[Lucro]],tabOutrosCustos[],3,0)</f>
        <v>#NAME?</v>
      </c>
      <c r="BE80" s="233">
        <f>VLOOKUP(tabParametros[[#Headers],[COFINS]],tabImpostosNacionais[],2,0)</f>
        <v>7.5999999999999998E-2</v>
      </c>
      <c r="BF80" s="233">
        <f>VLOOKUP(tabParametros[[#Headers],[PIS]],tabImpostosNacionais[],2,0)</f>
        <v>1.6500000000000001E-2</v>
      </c>
      <c r="BG80" s="233">
        <f>VLOOKUP(tabParametros[[#This Row],[Comarca]],tabComarca[],4,0)</f>
        <v>0.05</v>
      </c>
      <c r="BH80" s="236">
        <f>VLOOKUP(tabParametros[[#This Row],[CCT DA CATEGORIA]],tabSindicatos[],11,0)</f>
        <v>45658</v>
      </c>
      <c r="BI80" s="282" t="str">
        <f>VLOOKUP(tabParametros[[#This Row],[CCT DA CATEGORIA]],tabSindicatos[],12,0)</f>
        <v>-</v>
      </c>
      <c r="BJ80" s="285" t="str">
        <f>VLOOKUP(tabParametros[[#This Row],[CCT DA CATEGORIA]],tabSindicatos[],13,0)</f>
        <v>-</v>
      </c>
    </row>
    <row r="81" spans="1:62">
      <c r="A81" s="231" t="s">
        <v>1456</v>
      </c>
      <c r="B81" s="197" t="s">
        <v>1103</v>
      </c>
      <c r="C81" s="197" t="s">
        <v>1370</v>
      </c>
      <c r="D81" s="197" t="str">
        <f>VLOOKUP(tabParametros[[#This Row],[Código do Posto]],tabPostos[],4,0)</f>
        <v>SEAC/SINDEAC</v>
      </c>
      <c r="E81" s="282" t="str">
        <f>VLOOKUP(tabParametros[[#This Row],[Código do Posto]],tabPostos[],5,0)</f>
        <v>Apoio</v>
      </c>
      <c r="F81" s="282" t="str">
        <f>VLOOKUP(tabParametros[[#This Row],[Código do Posto]],tabPostos[],6,0)</f>
        <v>PGJ</v>
      </c>
      <c r="G81" s="282">
        <f>VLOOKUP(tabParametros[[#This Row],[Código do Posto]],tabPostos[],7,0)</f>
        <v>30</v>
      </c>
      <c r="H81" s="282">
        <f>VLOOKUP(tabParametros[[#This Row],[Código do Posto]],tabPostos[],8,0)</f>
        <v>0</v>
      </c>
      <c r="I81" s="232">
        <f>VLOOKUP(tabParametros[[#This Row],[Código do Posto]],tabPostos[],9,0)</f>
        <v>4768.66</v>
      </c>
      <c r="J81" s="232">
        <f>IF(ISNUMBER(SEARCH("Eletricista",tabParametros[[#This Row],[Função]],1)),0.3*tabParametros[[#This Row],[Salário Base]],0)</f>
        <v>0</v>
      </c>
      <c r="K8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1" s="232">
        <f>IF(AND(ISNUMBER(SEARCH("Noturno",tabParametros[[#This Row],[Função]],1)),tabParametros[[#This Row],[Comarca]]&lt;&gt;"Juiz de Fora"),tabParametros[[#This Row],[Salário Base]]/210*0.39*7*15.5,IF(ISNUMBER(SEARCH("Noturno",tabParametros[[#This Row],[Função]],1)),tabParametros[[#This Row],[Salário Base]]/210*0.2*8*15.5,0))</f>
        <v>0</v>
      </c>
      <c r="M81" s="232">
        <f>IF(ISNUMBER(SEARCH("Motorista II",tabParametros[[#This Row],[Função]],1)),0.3022*tabParametros[[#This Row],[Salário Base]],0)</f>
        <v>0</v>
      </c>
      <c r="N81" s="254">
        <v>0</v>
      </c>
      <c r="O81" s="254">
        <f>IF(ISNUMBER(SEARCH("TECNOLOGIA DA INFORMACAO",tabParametros[[#This Row],[Função]],1)),0.056*tabParametros[[#This Row],[Salário Base]],0)</f>
        <v>0</v>
      </c>
      <c r="P81" s="232">
        <f>IF(tabParametros[[#This Row],[Função]]="Operador de Midia Audiovisual - 150 h",tabParametros[[#This Row],[Salário Base]]/150*50*30%,IF(tabParametros[[#This Row],[Função]]="Supervisor de Manutencao de Veiculos II - 220 h",12%*tabParametros[[#This Row],[Salário Base]],0))</f>
        <v>0</v>
      </c>
      <c r="Q81" s="233">
        <f>VLOOKUP(tabParametros[[#Headers],[INSS]],tabImpostosNacionais[],2,0)</f>
        <v>0.2</v>
      </c>
      <c r="R81" s="233">
        <f>VLOOKUP(tabParametros[[#Headers],[SESI OU SESC]],tabImpostosNacionais[],2,0)</f>
        <v>1.4999999999999999E-2</v>
      </c>
      <c r="S81" s="233">
        <f>VLOOKUP(tabParametros[[#Headers],[SENAI OU SENAC]],tabImpostosNacionais[],2,0)</f>
        <v>0.01</v>
      </c>
      <c r="T81" s="233">
        <f>VLOOKUP(tabParametros[[#Headers],[INCRA]],tabImpostosNacionais[],2,0)</f>
        <v>2E-3</v>
      </c>
      <c r="U81" s="233">
        <f>VLOOKUP(tabParametros[[#Headers],[Salário Educação]],tabImpostosNacionais[],2,0)</f>
        <v>2.5000000000000001E-2</v>
      </c>
      <c r="V81" s="233">
        <f>VLOOKUP(tabParametros[[#Headers],[FGTS]],tabImpostosNacionais[],2,0)</f>
        <v>0.08</v>
      </c>
      <c r="W81" s="233">
        <f>VLOOKUP(tabParametros[[#Headers],[RAT Ajustado]],tabImpostosNacionais[],2,0)</f>
        <v>0.04</v>
      </c>
      <c r="X81" s="233">
        <f>VLOOKUP(tabParametros[[#Headers],[SEBRAE]],tabImpostosNacionais[],2,0)</f>
        <v>6.0000000000000001E-3</v>
      </c>
      <c r="Y81" s="233">
        <f t="shared" si="11"/>
        <v>8.3333333333333329E-2</v>
      </c>
      <c r="Z81" s="233">
        <f t="shared" si="12"/>
        <v>0.1111111111111111</v>
      </c>
      <c r="AA81" s="232">
        <f>VLOOKUP(tabParametros[[#This Row],[Comarca]],tabComarca[],5,0)</f>
        <v>11.25</v>
      </c>
      <c r="AB81" s="232">
        <f>VLOOKUP(tabParametros[[#This Row],[CCT DA CATEGORIA]],tabSindicatos[],6,0)</f>
        <v>29.15</v>
      </c>
      <c r="AC81" s="232">
        <f>VLOOKUP(tabParametros[[#This Row],[CCT DA CATEGORIA]],tabSindicatos[],7,0)</f>
        <v>0</v>
      </c>
      <c r="AD81" s="232" cm="1">
        <f t="array" ref="AD8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81" s="232">
        <f>VLOOKUP(tabParametros[[#This Row],[CCT DA CATEGORIA]],tabSindicatos[],9,0)</f>
        <v>0</v>
      </c>
      <c r="AF81" s="232">
        <f>VLOOKUP(tabParametros[[#This Row],[CCT DA CATEGORIA]],tabSindicatos[],10,0)</f>
        <v>0</v>
      </c>
      <c r="AG81" s="234">
        <f>VLOOKUP(tabParametros[[#Headers],[Seguro de Vida]],tabOutrosCustos[],3,0)</f>
        <v>3.36</v>
      </c>
      <c r="AH81" s="234">
        <f>IF(ISNUMBER(SEARCH("MOTORISTA",tabParametros[[#This Row],[Função]],1)),VLOOKUP("MOTORISTAS",tabDiarias[],2,0),IF(tabParametros[[#This Row],[Comarca]]="Belo Horizonte",VLOOKUP("APOIO",tabDiarias[],2,0),0))</f>
        <v>202.08</v>
      </c>
      <c r="AI81" s="233">
        <f t="shared" si="13"/>
        <v>7.011766975308642E-3</v>
      </c>
      <c r="AJ81" s="235">
        <f>tabParametros[[#This Row],[FGTS]]*tabParametros[[#This Row],[Aviso Prévio Indenizado (API) e Reflexo do Aviso Prévio Indenizado]]</f>
        <v>5.609413580246914E-4</v>
      </c>
      <c r="AK81" s="235">
        <f>tabParametros[[#This Row],[FGTS]]*tabParametros[[#This Row],[Aviso Prévio Indenizado (API) e Reflexo do Aviso Prévio Indenizado]]*40%</f>
        <v>2.2437654320987658E-4</v>
      </c>
      <c r="AL81" s="233">
        <f t="shared" si="14"/>
        <v>3.5000000000000005E-3</v>
      </c>
      <c r="AM81" s="233">
        <f>tabParametros[[#This Row],[Aviso Prévio Trabalhado - APT]]*SUM(tabParametros[[#This Row],[INSS]:[SEBRAE]])</f>
        <v>1.3230000000000004E-3</v>
      </c>
      <c r="AN81" s="233">
        <f t="shared" si="15"/>
        <v>3.0577777777777773E-2</v>
      </c>
      <c r="AO81" s="233">
        <f t="shared" si="16"/>
        <v>8.3333333333333339E-4</v>
      </c>
      <c r="AP81" s="233">
        <f t="shared" si="17"/>
        <v>8.4444444444444437E-3</v>
      </c>
      <c r="AQ81" s="233">
        <f t="shared" si="18"/>
        <v>2.0277777777777777E-3</v>
      </c>
      <c r="AR81" s="233">
        <f t="shared" si="19"/>
        <v>1.7083333333333333E-4</v>
      </c>
      <c r="AS81" s="233">
        <f t="shared" si="20"/>
        <v>2.0833333333333335E-4</v>
      </c>
      <c r="AT81" s="233">
        <f t="shared" si="21"/>
        <v>1.2962962962962963E-3</v>
      </c>
      <c r="AU81" s="235">
        <f>SUM(tabParametros[[#This Row],[Ausência por Doença]:[Férias, Adicional de Férias e 13º  com empregada em gozo de Licença Maternidade]])*SUM(tabParametros[[#This Row],[INSS]:[SEBRAE]])</f>
        <v>4.5918250000000008E-3</v>
      </c>
      <c r="AV81" s="254">
        <f>IF(tabParametros[[#This Row],[Função]]="Porteiro - 220 h",SUM(tabParametros[[#This Row],[Salário Base]:[Adicional de Acúmulo de função]])/220*20*1.5,IF(ISNUMBER(SEARCH("12 x 36",tabParametros[[#This Row],[Função]],1)),SUM(tabParametros[[#This Row],[Salário Base]:[Adicional de Acúmulo de função]])/210*15.5*1.5,0))</f>
        <v>0</v>
      </c>
      <c r="AW81" s="232">
        <f>IF(tabParametros[[#This Row],[Vagas contratadas]]&gt;0,(SUM(tabParametros[[#This Row],[Salário Base]:[Adicional de Acúmulo de função]])*30%+SUM(tabParametros[[#This Row],[Vale - Alimentação]:[Seguro de Vida]]))/tabParametros[[#This Row],[Vagas contratadas]]*tabParametros[[#This Row],[Vagas suspensas]],0)</f>
        <v>0</v>
      </c>
      <c r="AX81" s="232">
        <f>SUMIF(tabUniformes[Cargo],tabParametros[[#This Row],[Função]],tabUniformes[Valor unit. Mensal])</f>
        <v>90.784679782039703</v>
      </c>
      <c r="AY8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1" s="232">
        <v>0</v>
      </c>
      <c r="BC81" s="234" t="e">
        <f ca="1">VLOOKUP(tabParametros[[#Headers],[Custos Indiretos]],tabOutrosCustos[],3,0)</f>
        <v>#NAME?</v>
      </c>
      <c r="BD81" s="234" t="e">
        <f ca="1">VLOOKUP(tabParametros[[#Headers],[Lucro]],tabOutrosCustos[],3,0)</f>
        <v>#NAME?</v>
      </c>
      <c r="BE81" s="233">
        <f>VLOOKUP(tabParametros[[#Headers],[COFINS]],tabImpostosNacionais[],2,0)</f>
        <v>7.5999999999999998E-2</v>
      </c>
      <c r="BF81" s="233">
        <f>VLOOKUP(tabParametros[[#Headers],[PIS]],tabImpostosNacionais[],2,0)</f>
        <v>1.6500000000000001E-2</v>
      </c>
      <c r="BG81" s="233">
        <f>VLOOKUP(tabParametros[[#This Row],[Comarca]],tabComarca[],4,0)</f>
        <v>0.05</v>
      </c>
      <c r="BH81" s="236">
        <f>VLOOKUP(tabParametros[[#This Row],[CCT DA CATEGORIA]],tabSindicatos[],11,0)</f>
        <v>45658</v>
      </c>
      <c r="BI81" s="282" t="str">
        <f>VLOOKUP(tabParametros[[#This Row],[CCT DA CATEGORIA]],tabSindicatos[],12,0)</f>
        <v>-</v>
      </c>
      <c r="BJ81" s="285" t="str">
        <f>VLOOKUP(tabParametros[[#This Row],[CCT DA CATEGORIA]],tabSindicatos[],13,0)</f>
        <v>-</v>
      </c>
    </row>
    <row r="82" spans="1:62">
      <c r="A82" s="231" t="s">
        <v>1457</v>
      </c>
      <c r="B82" s="197" t="s">
        <v>1103</v>
      </c>
      <c r="C82" s="197" t="s">
        <v>375</v>
      </c>
      <c r="D82" s="197" t="str">
        <f>VLOOKUP(tabParametros[[#This Row],[Código do Posto]],tabPostos[],4,0)</f>
        <v>SEAC/SINDEAC</v>
      </c>
      <c r="E82" s="282" t="str">
        <f>VLOOKUP(tabParametros[[#This Row],[Código do Posto]],tabPostos[],5,0)</f>
        <v>Apoio</v>
      </c>
      <c r="F82" s="282" t="str">
        <f>VLOOKUP(tabParametros[[#This Row],[Código do Posto]],tabPostos[],6,0)</f>
        <v>PGJ</v>
      </c>
      <c r="G82" s="282">
        <f>VLOOKUP(tabParametros[[#This Row],[Código do Posto]],tabPostos[],7,0)</f>
        <v>5</v>
      </c>
      <c r="H82" s="282">
        <f>VLOOKUP(tabParametros[[#This Row],[Código do Posto]],tabPostos[],8,0)</f>
        <v>0</v>
      </c>
      <c r="I82" s="232">
        <f>VLOOKUP(tabParametros[[#This Row],[Código do Posto]],tabPostos[],9,0)</f>
        <v>7303</v>
      </c>
      <c r="J82" s="232">
        <f>IF(ISNUMBER(SEARCH("Eletricista",tabParametros[[#This Row],[Função]],1)),0.3*tabParametros[[#This Row],[Salário Base]],0)</f>
        <v>0</v>
      </c>
      <c r="K8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2" s="232">
        <f>IF(AND(ISNUMBER(SEARCH("Noturno",tabParametros[[#This Row],[Função]],1)),tabParametros[[#This Row],[Comarca]]&lt;&gt;"Juiz de Fora"),tabParametros[[#This Row],[Salário Base]]/210*0.39*7*15.5,IF(ISNUMBER(SEARCH("Noturno",tabParametros[[#This Row],[Função]],1)),tabParametros[[#This Row],[Salário Base]]/210*0.2*8*15.5,0))</f>
        <v>0</v>
      </c>
      <c r="M82" s="232">
        <f>IF(ISNUMBER(SEARCH("Motorista II",tabParametros[[#This Row],[Função]],1)),0.3022*tabParametros[[#This Row],[Salário Base]],0)</f>
        <v>0</v>
      </c>
      <c r="N82" s="254">
        <v>0</v>
      </c>
      <c r="O82" s="254">
        <f>IF(ISNUMBER(SEARCH("TECNOLOGIA DA INFORMACAO",tabParametros[[#This Row],[Função]],1)),0.056*tabParametros[[#This Row],[Salário Base]],0)</f>
        <v>0</v>
      </c>
      <c r="P82" s="232">
        <f>IF(tabParametros[[#This Row],[Função]]="Operador de Midia Audiovisual - 150 h",tabParametros[[#This Row],[Salário Base]]/150*50*30%,IF(tabParametros[[#This Row],[Função]]="Supervisor de Manutencao de Veiculos II - 220 h",12%*tabParametros[[#This Row],[Salário Base]],0))</f>
        <v>0</v>
      </c>
      <c r="Q82" s="233">
        <f>VLOOKUP(tabParametros[[#Headers],[INSS]],tabImpostosNacionais[],2,0)</f>
        <v>0.2</v>
      </c>
      <c r="R82" s="233">
        <f>VLOOKUP(tabParametros[[#Headers],[SESI OU SESC]],tabImpostosNacionais[],2,0)</f>
        <v>1.4999999999999999E-2</v>
      </c>
      <c r="S82" s="233">
        <f>VLOOKUP(tabParametros[[#Headers],[SENAI OU SENAC]],tabImpostosNacionais[],2,0)</f>
        <v>0.01</v>
      </c>
      <c r="T82" s="233">
        <f>VLOOKUP(tabParametros[[#Headers],[INCRA]],tabImpostosNacionais[],2,0)</f>
        <v>2E-3</v>
      </c>
      <c r="U82" s="233">
        <f>VLOOKUP(tabParametros[[#Headers],[Salário Educação]],tabImpostosNacionais[],2,0)</f>
        <v>2.5000000000000001E-2</v>
      </c>
      <c r="V82" s="233">
        <f>VLOOKUP(tabParametros[[#Headers],[FGTS]],tabImpostosNacionais[],2,0)</f>
        <v>0.08</v>
      </c>
      <c r="W82" s="233">
        <f>VLOOKUP(tabParametros[[#Headers],[RAT Ajustado]],tabImpostosNacionais[],2,0)</f>
        <v>0.04</v>
      </c>
      <c r="X82" s="233">
        <f>VLOOKUP(tabParametros[[#Headers],[SEBRAE]],tabImpostosNacionais[],2,0)</f>
        <v>6.0000000000000001E-3</v>
      </c>
      <c r="Y82" s="233">
        <f t="shared" si="11"/>
        <v>8.3333333333333329E-2</v>
      </c>
      <c r="Z82" s="233">
        <f t="shared" si="12"/>
        <v>0.1111111111111111</v>
      </c>
      <c r="AA82" s="232">
        <f>VLOOKUP(tabParametros[[#This Row],[Comarca]],tabComarca[],5,0)</f>
        <v>11.25</v>
      </c>
      <c r="AB82" s="232">
        <f>VLOOKUP(tabParametros[[#This Row],[CCT DA CATEGORIA]],tabSindicatos[],6,0)</f>
        <v>29.15</v>
      </c>
      <c r="AC82" s="232">
        <f>VLOOKUP(tabParametros[[#This Row],[CCT DA CATEGORIA]],tabSindicatos[],7,0)</f>
        <v>0</v>
      </c>
      <c r="AD82" s="232" cm="1">
        <f t="array" ref="AD8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95.9</v>
      </c>
      <c r="AE82" s="232">
        <f>VLOOKUP(tabParametros[[#This Row],[CCT DA CATEGORIA]],tabSindicatos[],9,0)</f>
        <v>0</v>
      </c>
      <c r="AF82" s="232">
        <f>VLOOKUP(tabParametros[[#This Row],[CCT DA CATEGORIA]],tabSindicatos[],10,0)</f>
        <v>0</v>
      </c>
      <c r="AG82" s="234">
        <f>VLOOKUP(tabParametros[[#Headers],[Seguro de Vida]],tabOutrosCustos[],3,0)</f>
        <v>3.36</v>
      </c>
      <c r="AH82" s="234">
        <f>IF(ISNUMBER(SEARCH("MOTORISTA",tabParametros[[#This Row],[Função]],1)),VLOOKUP("MOTORISTAS",tabDiarias[],2,0),IF(tabParametros[[#This Row],[Comarca]]="Belo Horizonte",VLOOKUP("APOIO",tabDiarias[],2,0),0))</f>
        <v>202.08</v>
      </c>
      <c r="AI82" s="233">
        <f t="shared" si="13"/>
        <v>7.011766975308642E-3</v>
      </c>
      <c r="AJ82" s="235">
        <f>tabParametros[[#This Row],[FGTS]]*tabParametros[[#This Row],[Aviso Prévio Indenizado (API) e Reflexo do Aviso Prévio Indenizado]]</f>
        <v>5.609413580246914E-4</v>
      </c>
      <c r="AK82" s="235">
        <f>tabParametros[[#This Row],[FGTS]]*tabParametros[[#This Row],[Aviso Prévio Indenizado (API) e Reflexo do Aviso Prévio Indenizado]]*40%</f>
        <v>2.2437654320987658E-4</v>
      </c>
      <c r="AL82" s="233">
        <f t="shared" si="14"/>
        <v>3.5000000000000005E-3</v>
      </c>
      <c r="AM82" s="233">
        <f>tabParametros[[#This Row],[Aviso Prévio Trabalhado - APT]]*SUM(tabParametros[[#This Row],[INSS]:[SEBRAE]])</f>
        <v>1.3230000000000004E-3</v>
      </c>
      <c r="AN82" s="233">
        <f t="shared" si="15"/>
        <v>3.0577777777777773E-2</v>
      </c>
      <c r="AO82" s="233">
        <f t="shared" si="16"/>
        <v>8.3333333333333339E-4</v>
      </c>
      <c r="AP82" s="233">
        <f t="shared" si="17"/>
        <v>8.4444444444444437E-3</v>
      </c>
      <c r="AQ82" s="233">
        <f t="shared" si="18"/>
        <v>2.0277777777777777E-3</v>
      </c>
      <c r="AR82" s="233">
        <f t="shared" si="19"/>
        <v>1.7083333333333333E-4</v>
      </c>
      <c r="AS82" s="233">
        <f t="shared" si="20"/>
        <v>2.0833333333333335E-4</v>
      </c>
      <c r="AT82" s="233">
        <f t="shared" si="21"/>
        <v>1.2962962962962963E-3</v>
      </c>
      <c r="AU82" s="235">
        <f>SUM(tabParametros[[#This Row],[Ausência por Doença]:[Férias, Adicional de Férias e 13º  com empregada em gozo de Licença Maternidade]])*SUM(tabParametros[[#This Row],[INSS]:[SEBRAE]])</f>
        <v>4.5918250000000008E-3</v>
      </c>
      <c r="AV82" s="254">
        <f>IF(tabParametros[[#This Row],[Função]]="Porteiro - 220 h",SUM(tabParametros[[#This Row],[Salário Base]:[Adicional de Acúmulo de função]])/220*20*1.5,IF(ISNUMBER(SEARCH("12 x 36",tabParametros[[#This Row],[Função]],1)),SUM(tabParametros[[#This Row],[Salário Base]:[Adicional de Acúmulo de função]])/210*15.5*1.5,0))</f>
        <v>0</v>
      </c>
      <c r="AW82" s="232">
        <f>IF(tabParametros[[#This Row],[Vagas contratadas]]&gt;0,(SUM(tabParametros[[#This Row],[Salário Base]:[Adicional de Acúmulo de função]])*30%+SUM(tabParametros[[#This Row],[Vale - Alimentação]:[Seguro de Vida]]))/tabParametros[[#This Row],[Vagas contratadas]]*tabParametros[[#This Row],[Vagas suspensas]],0)</f>
        <v>0</v>
      </c>
      <c r="AX82" s="232">
        <f>SUMIF(tabUniformes[Cargo],tabParametros[[#This Row],[Função]],tabUniformes[Valor unit. Mensal])</f>
        <v>175.38717978203965</v>
      </c>
      <c r="AY8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2" s="232">
        <v>0</v>
      </c>
      <c r="BC82" s="234" t="e">
        <f ca="1">VLOOKUP(tabParametros[[#Headers],[Custos Indiretos]],tabOutrosCustos[],3,0)</f>
        <v>#NAME?</v>
      </c>
      <c r="BD82" s="234" t="e">
        <f ca="1">VLOOKUP(tabParametros[[#Headers],[Lucro]],tabOutrosCustos[],3,0)</f>
        <v>#NAME?</v>
      </c>
      <c r="BE82" s="233">
        <f>VLOOKUP(tabParametros[[#Headers],[COFINS]],tabImpostosNacionais[],2,0)</f>
        <v>7.5999999999999998E-2</v>
      </c>
      <c r="BF82" s="233">
        <f>VLOOKUP(tabParametros[[#Headers],[PIS]],tabImpostosNacionais[],2,0)</f>
        <v>1.6500000000000001E-2</v>
      </c>
      <c r="BG82" s="233">
        <f>VLOOKUP(tabParametros[[#This Row],[Comarca]],tabComarca[],4,0)</f>
        <v>0.05</v>
      </c>
      <c r="BH82" s="236">
        <f>VLOOKUP(tabParametros[[#This Row],[CCT DA CATEGORIA]],tabSindicatos[],11,0)</f>
        <v>45658</v>
      </c>
      <c r="BI82" s="282" t="str">
        <f>VLOOKUP(tabParametros[[#This Row],[CCT DA CATEGORIA]],tabSindicatos[],12,0)</f>
        <v>-</v>
      </c>
      <c r="BJ82" s="285" t="str">
        <f>VLOOKUP(tabParametros[[#This Row],[CCT DA CATEGORIA]],tabSindicatos[],13,0)</f>
        <v>-</v>
      </c>
    </row>
    <row r="83" spans="1:62">
      <c r="A83" s="231" t="s">
        <v>1458</v>
      </c>
      <c r="B83" s="197" t="s">
        <v>1103</v>
      </c>
      <c r="C83" s="197" t="s">
        <v>379</v>
      </c>
      <c r="D83" s="197" t="str">
        <f>VLOOKUP(tabParametros[[#This Row],[Código do Posto]],tabPostos[],4,0)</f>
        <v>SETTASPOC</v>
      </c>
      <c r="E83" s="282" t="str">
        <f>VLOOKUP(tabParametros[[#This Row],[Código do Posto]],tabPostos[],5,0)</f>
        <v>Apoio</v>
      </c>
      <c r="F83" s="282" t="str">
        <f>VLOOKUP(tabParametros[[#This Row],[Código do Posto]],tabPostos[],6,0)</f>
        <v>PGJ</v>
      </c>
      <c r="G83" s="282">
        <f>VLOOKUP(tabParametros[[#This Row],[Código do Posto]],tabPostos[],7,0)</f>
        <v>30</v>
      </c>
      <c r="H83" s="282">
        <f>VLOOKUP(tabParametros[[#This Row],[Código do Posto]],tabPostos[],8,0)</f>
        <v>0</v>
      </c>
      <c r="I83" s="232">
        <f>VLOOKUP(tabParametros[[#This Row],[Código do Posto]],tabPostos[],9,0)</f>
        <v>4804.62</v>
      </c>
      <c r="J83" s="232">
        <f>IF(ISNUMBER(SEARCH("Eletricista",tabParametros[[#This Row],[Função]],1)),0.3*tabParametros[[#This Row],[Salário Base]],0)</f>
        <v>0</v>
      </c>
      <c r="K8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3" s="232">
        <f>IF(AND(ISNUMBER(SEARCH("Noturno",tabParametros[[#This Row],[Função]],1)),tabParametros[[#This Row],[Comarca]]&lt;&gt;"Juiz de Fora"),tabParametros[[#This Row],[Salário Base]]/210*0.39*7*15.5,IF(ISNUMBER(SEARCH("Noturno",tabParametros[[#This Row],[Função]],1)),tabParametros[[#This Row],[Salário Base]]/210*0.2*8*15.5,0))</f>
        <v>0</v>
      </c>
      <c r="M83" s="232">
        <f>IF(ISNUMBER(SEARCH("Motorista II",tabParametros[[#This Row],[Função]],1)),0.3022*tabParametros[[#This Row],[Salário Base]],0)</f>
        <v>0</v>
      </c>
      <c r="N83" s="254">
        <v>0</v>
      </c>
      <c r="O83" s="254">
        <f>IF(ISNUMBER(SEARCH("TECNOLOGIA DA INFORMACAO",tabParametros[[#This Row],[Função]],1)),0.056*tabParametros[[#This Row],[Salário Base]],0)</f>
        <v>269.05871999999999</v>
      </c>
      <c r="P83" s="232">
        <f>IF(tabParametros[[#This Row],[Função]]="Operador de Midia Audiovisual - 150 h",tabParametros[[#This Row],[Salário Base]]/150*50*30%,IF(tabParametros[[#This Row],[Função]]="Supervisor de Manutencao de Veiculos II - 220 h",12%*tabParametros[[#This Row],[Salário Base]],0))</f>
        <v>0</v>
      </c>
      <c r="Q83" s="233">
        <f>VLOOKUP(tabParametros[[#Headers],[INSS]],tabImpostosNacionais[],2,0)</f>
        <v>0.2</v>
      </c>
      <c r="R83" s="233">
        <f>VLOOKUP(tabParametros[[#Headers],[SESI OU SESC]],tabImpostosNacionais[],2,0)</f>
        <v>1.4999999999999999E-2</v>
      </c>
      <c r="S83" s="233">
        <f>VLOOKUP(tabParametros[[#Headers],[SENAI OU SENAC]],tabImpostosNacionais[],2,0)</f>
        <v>0.01</v>
      </c>
      <c r="T83" s="233">
        <f>VLOOKUP(tabParametros[[#Headers],[INCRA]],tabImpostosNacionais[],2,0)</f>
        <v>2E-3</v>
      </c>
      <c r="U83" s="233">
        <f>VLOOKUP(tabParametros[[#Headers],[Salário Educação]],tabImpostosNacionais[],2,0)</f>
        <v>2.5000000000000001E-2</v>
      </c>
      <c r="V83" s="233">
        <f>VLOOKUP(tabParametros[[#Headers],[FGTS]],tabImpostosNacionais[],2,0)</f>
        <v>0.08</v>
      </c>
      <c r="W83" s="233">
        <f>VLOOKUP(tabParametros[[#Headers],[RAT Ajustado]],tabImpostosNacionais[],2,0)</f>
        <v>0.04</v>
      </c>
      <c r="X83" s="233">
        <f>VLOOKUP(tabParametros[[#Headers],[SEBRAE]],tabImpostosNacionais[],2,0)</f>
        <v>6.0000000000000001E-3</v>
      </c>
      <c r="Y83" s="233">
        <f t="shared" si="11"/>
        <v>8.3333333333333329E-2</v>
      </c>
      <c r="Z83" s="233">
        <f t="shared" si="12"/>
        <v>0.1111111111111111</v>
      </c>
      <c r="AA83" s="232">
        <f>VLOOKUP(tabParametros[[#This Row],[Comarca]],tabComarca[],5,0)</f>
        <v>11.25</v>
      </c>
      <c r="AB83" s="232">
        <f>VLOOKUP(tabParametros[[#This Row],[CCT DA CATEGORIA]],tabSindicatos[],6,0)</f>
        <v>29.14</v>
      </c>
      <c r="AC83" s="232">
        <f>VLOOKUP(tabParametros[[#This Row],[CCT DA CATEGORIA]],tabSindicatos[],7,0)</f>
        <v>0</v>
      </c>
      <c r="AD83" s="232" cm="1">
        <f t="array" ref="AD8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83" s="232">
        <f>VLOOKUP(tabParametros[[#This Row],[CCT DA CATEGORIA]],tabSindicatos[],9,0)</f>
        <v>0</v>
      </c>
      <c r="AF83" s="232">
        <f>VLOOKUP(tabParametros[[#This Row],[CCT DA CATEGORIA]],tabSindicatos[],10,0)</f>
        <v>0</v>
      </c>
      <c r="AG83" s="234">
        <f>VLOOKUP(tabParametros[[#Headers],[Seguro de Vida]],tabOutrosCustos[],3,0)</f>
        <v>3.36</v>
      </c>
      <c r="AH83" s="234">
        <f>IF(ISNUMBER(SEARCH("MOTORISTA",tabParametros[[#This Row],[Função]],1)),VLOOKUP("MOTORISTAS",tabDiarias[],2,0),IF(tabParametros[[#This Row],[Comarca]]="Belo Horizonte",VLOOKUP("APOIO",tabDiarias[],2,0),0))</f>
        <v>202.08</v>
      </c>
      <c r="AI83" s="233">
        <f t="shared" si="13"/>
        <v>7.011766975308642E-3</v>
      </c>
      <c r="AJ83" s="235">
        <f>tabParametros[[#This Row],[FGTS]]*tabParametros[[#This Row],[Aviso Prévio Indenizado (API) e Reflexo do Aviso Prévio Indenizado]]</f>
        <v>5.609413580246914E-4</v>
      </c>
      <c r="AK83" s="235">
        <f>tabParametros[[#This Row],[FGTS]]*tabParametros[[#This Row],[Aviso Prévio Indenizado (API) e Reflexo do Aviso Prévio Indenizado]]*40%</f>
        <v>2.2437654320987658E-4</v>
      </c>
      <c r="AL83" s="233">
        <f t="shared" si="14"/>
        <v>3.5000000000000005E-3</v>
      </c>
      <c r="AM83" s="233">
        <f>tabParametros[[#This Row],[Aviso Prévio Trabalhado - APT]]*SUM(tabParametros[[#This Row],[INSS]:[SEBRAE]])</f>
        <v>1.3230000000000004E-3</v>
      </c>
      <c r="AN83" s="233">
        <f t="shared" si="15"/>
        <v>3.0577777777777773E-2</v>
      </c>
      <c r="AO83" s="233">
        <f t="shared" si="16"/>
        <v>8.3333333333333339E-4</v>
      </c>
      <c r="AP83" s="233">
        <f t="shared" si="17"/>
        <v>8.4444444444444437E-3</v>
      </c>
      <c r="AQ83" s="233">
        <f t="shared" si="18"/>
        <v>2.0277777777777777E-3</v>
      </c>
      <c r="AR83" s="233">
        <f t="shared" si="19"/>
        <v>1.7083333333333333E-4</v>
      </c>
      <c r="AS83" s="233">
        <f t="shared" si="20"/>
        <v>2.0833333333333335E-4</v>
      </c>
      <c r="AT83" s="233">
        <f t="shared" si="21"/>
        <v>1.2962962962962963E-3</v>
      </c>
      <c r="AU83" s="235">
        <f>SUM(tabParametros[[#This Row],[Ausência por Doença]:[Férias, Adicional de Férias e 13º  com empregada em gozo de Licença Maternidade]])*SUM(tabParametros[[#This Row],[INSS]:[SEBRAE]])</f>
        <v>4.5918250000000008E-3</v>
      </c>
      <c r="AV83" s="254">
        <f>IF(tabParametros[[#This Row],[Função]]="Porteiro - 220 h",SUM(tabParametros[[#This Row],[Salário Base]:[Adicional de Acúmulo de função]])/220*20*1.5,IF(ISNUMBER(SEARCH("12 x 36",tabParametros[[#This Row],[Função]],1)),SUM(tabParametros[[#This Row],[Salário Base]:[Adicional de Acúmulo de função]])/210*15.5*1.5,0))</f>
        <v>0</v>
      </c>
      <c r="AW83" s="232">
        <f>IF(tabParametros[[#This Row],[Vagas contratadas]]&gt;0,(SUM(tabParametros[[#This Row],[Salário Base]:[Adicional de Acúmulo de função]])*30%+SUM(tabParametros[[#This Row],[Vale - Alimentação]:[Seguro de Vida]]))/tabParametros[[#This Row],[Vagas contratadas]]*tabParametros[[#This Row],[Vagas suspensas]],0)</f>
        <v>0</v>
      </c>
      <c r="AX83" s="232">
        <f>SUMIF(tabUniformes[Cargo],tabParametros[[#This Row],[Função]],tabUniformes[Valor unit. Mensal])</f>
        <v>90.784679782039689</v>
      </c>
      <c r="AY8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3" s="232">
        <v>0</v>
      </c>
      <c r="BC83" s="234" t="e">
        <f ca="1">VLOOKUP(tabParametros[[#Headers],[Custos Indiretos]],tabOutrosCustos[],3,0)</f>
        <v>#NAME?</v>
      </c>
      <c r="BD83" s="234" t="e">
        <f ca="1">VLOOKUP(tabParametros[[#Headers],[Lucro]],tabOutrosCustos[],3,0)</f>
        <v>#NAME?</v>
      </c>
      <c r="BE83" s="233">
        <f>VLOOKUP(tabParametros[[#Headers],[COFINS]],tabImpostosNacionais[],2,0)</f>
        <v>7.5999999999999998E-2</v>
      </c>
      <c r="BF83" s="233">
        <f>VLOOKUP(tabParametros[[#Headers],[PIS]],tabImpostosNacionais[],2,0)</f>
        <v>1.6500000000000001E-2</v>
      </c>
      <c r="BG83" s="233">
        <f>VLOOKUP(tabParametros[[#This Row],[Comarca]],tabComarca[],4,0)</f>
        <v>0.05</v>
      </c>
      <c r="BH83" s="236">
        <f>VLOOKUP(tabParametros[[#This Row],[CCT DA CATEGORIA]],tabSindicatos[],11,0)</f>
        <v>45658</v>
      </c>
      <c r="BI83" s="282" t="str">
        <f>VLOOKUP(tabParametros[[#This Row],[CCT DA CATEGORIA]],tabSindicatos[],12,0)</f>
        <v>-</v>
      </c>
      <c r="BJ83" s="285" t="str">
        <f>VLOOKUP(tabParametros[[#This Row],[CCT DA CATEGORIA]],tabSindicatos[],13,0)</f>
        <v>-</v>
      </c>
    </row>
    <row r="84" spans="1:62">
      <c r="A84" s="231" t="s">
        <v>1551</v>
      </c>
      <c r="B84" s="197" t="s">
        <v>1103</v>
      </c>
      <c r="C84" s="197" t="s">
        <v>383</v>
      </c>
      <c r="D84" s="197" t="str">
        <f>VLOOKUP(tabParametros[[#This Row],[Código do Posto]],tabPostos[],4,0)</f>
        <v>SETTASPOC</v>
      </c>
      <c r="E84" s="282" t="str">
        <f>VLOOKUP(tabParametros[[#This Row],[Código do Posto]],tabPostos[],5,0)</f>
        <v>Apoio</v>
      </c>
      <c r="F84" s="282" t="str">
        <f>VLOOKUP(tabParametros[[#This Row],[Código do Posto]],tabPostos[],6,0)</f>
        <v>PGJ</v>
      </c>
      <c r="G84" s="282">
        <f>VLOOKUP(tabParametros[[#This Row],[Código do Posto]],tabPostos[],7,0)</f>
        <v>30</v>
      </c>
      <c r="H84" s="282">
        <f>VLOOKUP(tabParametros[[#This Row],[Código do Posto]],tabPostos[],8,0)</f>
        <v>0</v>
      </c>
      <c r="I84" s="232">
        <f>VLOOKUP(tabParametros[[#This Row],[Código do Posto]],tabPostos[],9,0)</f>
        <v>5677.77</v>
      </c>
      <c r="J84" s="232">
        <f>IF(ISNUMBER(SEARCH("Eletricista",tabParametros[[#This Row],[Função]],1)),0.3*tabParametros[[#This Row],[Salário Base]],0)</f>
        <v>0</v>
      </c>
      <c r="K8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4" s="232">
        <f>IF(AND(ISNUMBER(SEARCH("Noturno",tabParametros[[#This Row],[Função]],1)),tabParametros[[#This Row],[Comarca]]&lt;&gt;"Juiz de Fora"),tabParametros[[#This Row],[Salário Base]]/210*0.39*7*15.5,IF(ISNUMBER(SEARCH("Noturno",tabParametros[[#This Row],[Função]],1)),tabParametros[[#This Row],[Salário Base]]/210*0.2*8*15.5,0))</f>
        <v>0</v>
      </c>
      <c r="M84" s="232">
        <f>IF(ISNUMBER(SEARCH("Motorista II",tabParametros[[#This Row],[Função]],1)),0.3022*tabParametros[[#This Row],[Salário Base]],0)</f>
        <v>0</v>
      </c>
      <c r="N84" s="254">
        <v>0</v>
      </c>
      <c r="O84" s="254">
        <f>IF(ISNUMBER(SEARCH("TECNOLOGIA DA INFORMACAO",tabParametros[[#This Row],[Função]],1)),0.056*tabParametros[[#This Row],[Salário Base]],0)</f>
        <v>317.95512000000002</v>
      </c>
      <c r="P84" s="232">
        <f>IF(tabParametros[[#This Row],[Função]]="Operador de Midia Audiovisual - 150 h",tabParametros[[#This Row],[Salário Base]]/150*50*30%,IF(tabParametros[[#This Row],[Função]]="Supervisor de Manutencao de Veiculos II - 220 h",12%*tabParametros[[#This Row],[Salário Base]],0))</f>
        <v>0</v>
      </c>
      <c r="Q84" s="233">
        <f>VLOOKUP(tabParametros[[#Headers],[INSS]],tabImpostosNacionais[],2,0)</f>
        <v>0.2</v>
      </c>
      <c r="R84" s="233">
        <f>VLOOKUP(tabParametros[[#Headers],[SESI OU SESC]],tabImpostosNacionais[],2,0)</f>
        <v>1.4999999999999999E-2</v>
      </c>
      <c r="S84" s="233">
        <f>VLOOKUP(tabParametros[[#Headers],[SENAI OU SENAC]],tabImpostosNacionais[],2,0)</f>
        <v>0.01</v>
      </c>
      <c r="T84" s="233">
        <f>VLOOKUP(tabParametros[[#Headers],[INCRA]],tabImpostosNacionais[],2,0)</f>
        <v>2E-3</v>
      </c>
      <c r="U84" s="233">
        <f>VLOOKUP(tabParametros[[#Headers],[Salário Educação]],tabImpostosNacionais[],2,0)</f>
        <v>2.5000000000000001E-2</v>
      </c>
      <c r="V84" s="233">
        <f>VLOOKUP(tabParametros[[#Headers],[FGTS]],tabImpostosNacionais[],2,0)</f>
        <v>0.08</v>
      </c>
      <c r="W84" s="233">
        <f>VLOOKUP(tabParametros[[#Headers],[RAT Ajustado]],tabImpostosNacionais[],2,0)</f>
        <v>0.04</v>
      </c>
      <c r="X84" s="233">
        <f>VLOOKUP(tabParametros[[#Headers],[SEBRAE]],tabImpostosNacionais[],2,0)</f>
        <v>6.0000000000000001E-3</v>
      </c>
      <c r="Y84" s="233">
        <f t="shared" si="11"/>
        <v>8.3333333333333329E-2</v>
      </c>
      <c r="Z84" s="233">
        <f t="shared" si="12"/>
        <v>0.1111111111111111</v>
      </c>
      <c r="AA84" s="232">
        <f>VLOOKUP(tabParametros[[#This Row],[Comarca]],tabComarca[],5,0)</f>
        <v>11.25</v>
      </c>
      <c r="AB84" s="232">
        <f>VLOOKUP(tabParametros[[#This Row],[CCT DA CATEGORIA]],tabSindicatos[],6,0)</f>
        <v>29.14</v>
      </c>
      <c r="AC84" s="232">
        <f>VLOOKUP(tabParametros[[#This Row],[CCT DA CATEGORIA]],tabSindicatos[],7,0)</f>
        <v>0</v>
      </c>
      <c r="AD84" s="232" cm="1">
        <f t="array" ref="AD8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84" s="232">
        <f>VLOOKUP(tabParametros[[#This Row],[CCT DA CATEGORIA]],tabSindicatos[],9,0)</f>
        <v>0</v>
      </c>
      <c r="AF84" s="232">
        <f>VLOOKUP(tabParametros[[#This Row],[CCT DA CATEGORIA]],tabSindicatos[],10,0)</f>
        <v>0</v>
      </c>
      <c r="AG84" s="234">
        <f>VLOOKUP(tabParametros[[#Headers],[Seguro de Vida]],tabOutrosCustos[],3,0)</f>
        <v>3.36</v>
      </c>
      <c r="AH84" s="234">
        <f>IF(ISNUMBER(SEARCH("MOTORISTA",tabParametros[[#This Row],[Função]],1)),VLOOKUP("MOTORISTAS",tabDiarias[],2,0),IF(tabParametros[[#This Row],[Comarca]]="Belo Horizonte",VLOOKUP("APOIO",tabDiarias[],2,0),0))</f>
        <v>202.08</v>
      </c>
      <c r="AI84" s="233">
        <f t="shared" si="13"/>
        <v>7.011766975308642E-3</v>
      </c>
      <c r="AJ84" s="235">
        <f>tabParametros[[#This Row],[FGTS]]*tabParametros[[#This Row],[Aviso Prévio Indenizado (API) e Reflexo do Aviso Prévio Indenizado]]</f>
        <v>5.609413580246914E-4</v>
      </c>
      <c r="AK84" s="235">
        <f>tabParametros[[#This Row],[FGTS]]*tabParametros[[#This Row],[Aviso Prévio Indenizado (API) e Reflexo do Aviso Prévio Indenizado]]*40%</f>
        <v>2.2437654320987658E-4</v>
      </c>
      <c r="AL84" s="233">
        <f t="shared" si="14"/>
        <v>3.5000000000000005E-3</v>
      </c>
      <c r="AM84" s="233">
        <f>tabParametros[[#This Row],[Aviso Prévio Trabalhado - APT]]*SUM(tabParametros[[#This Row],[INSS]:[SEBRAE]])</f>
        <v>1.3230000000000004E-3</v>
      </c>
      <c r="AN84" s="233">
        <f t="shared" si="15"/>
        <v>3.0577777777777773E-2</v>
      </c>
      <c r="AO84" s="233">
        <f t="shared" si="16"/>
        <v>8.3333333333333339E-4</v>
      </c>
      <c r="AP84" s="233">
        <f t="shared" si="17"/>
        <v>8.4444444444444437E-3</v>
      </c>
      <c r="AQ84" s="233">
        <f t="shared" si="18"/>
        <v>2.0277777777777777E-3</v>
      </c>
      <c r="AR84" s="233">
        <f t="shared" si="19"/>
        <v>1.7083333333333333E-4</v>
      </c>
      <c r="AS84" s="233">
        <f t="shared" si="20"/>
        <v>2.0833333333333335E-4</v>
      </c>
      <c r="AT84" s="233">
        <f t="shared" si="21"/>
        <v>1.2962962962962963E-3</v>
      </c>
      <c r="AU84" s="235">
        <f>SUM(tabParametros[[#This Row],[Ausência por Doença]:[Férias, Adicional de Férias e 13º  com empregada em gozo de Licença Maternidade]])*SUM(tabParametros[[#This Row],[INSS]:[SEBRAE]])</f>
        <v>4.5918250000000008E-3</v>
      </c>
      <c r="AV84" s="254">
        <f>IF(tabParametros[[#This Row],[Função]]="Porteiro - 220 h",SUM(tabParametros[[#This Row],[Salário Base]:[Adicional de Acúmulo de função]])/220*20*1.5,IF(ISNUMBER(SEARCH("12 x 36",tabParametros[[#This Row],[Função]],1)),SUM(tabParametros[[#This Row],[Salário Base]:[Adicional de Acúmulo de função]])/210*15.5*1.5,0))</f>
        <v>0</v>
      </c>
      <c r="AW84" s="232">
        <f>IF(tabParametros[[#This Row],[Vagas contratadas]]&gt;0,(SUM(tabParametros[[#This Row],[Salário Base]:[Adicional de Acúmulo de função]])*30%+SUM(tabParametros[[#This Row],[Vale - Alimentação]:[Seguro de Vida]]))/tabParametros[[#This Row],[Vagas contratadas]]*tabParametros[[#This Row],[Vagas suspensas]],0)</f>
        <v>0</v>
      </c>
      <c r="AX84" s="232">
        <f>SUMIF(tabUniformes[Cargo],tabParametros[[#This Row],[Função]],tabUniformes[Valor unit. Mensal])</f>
        <v>90.784679782039689</v>
      </c>
      <c r="AY8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4" s="232">
        <v>0</v>
      </c>
      <c r="BC84" s="234" t="e">
        <f ca="1">VLOOKUP(tabParametros[[#Headers],[Custos Indiretos]],tabOutrosCustos[],3,0)</f>
        <v>#NAME?</v>
      </c>
      <c r="BD84" s="234" t="e">
        <f ca="1">VLOOKUP(tabParametros[[#Headers],[Lucro]],tabOutrosCustos[],3,0)</f>
        <v>#NAME?</v>
      </c>
      <c r="BE84" s="233">
        <f>VLOOKUP(tabParametros[[#Headers],[COFINS]],tabImpostosNacionais[],2,0)</f>
        <v>7.5999999999999998E-2</v>
      </c>
      <c r="BF84" s="233">
        <f>VLOOKUP(tabParametros[[#Headers],[PIS]],tabImpostosNacionais[],2,0)</f>
        <v>1.6500000000000001E-2</v>
      </c>
      <c r="BG84" s="233">
        <f>VLOOKUP(tabParametros[[#This Row],[Comarca]],tabComarca[],4,0)</f>
        <v>0.05</v>
      </c>
      <c r="BH84" s="236">
        <f>VLOOKUP(tabParametros[[#This Row],[CCT DA CATEGORIA]],tabSindicatos[],11,0)</f>
        <v>45658</v>
      </c>
      <c r="BI84" s="282" t="str">
        <f>VLOOKUP(tabParametros[[#This Row],[CCT DA CATEGORIA]],tabSindicatos[],12,0)</f>
        <v>-</v>
      </c>
      <c r="BJ84" s="285" t="str">
        <f>VLOOKUP(tabParametros[[#This Row],[CCT DA CATEGORIA]],tabSindicatos[],13,0)</f>
        <v>-</v>
      </c>
    </row>
    <row r="85" spans="1:62">
      <c r="A85" s="231" t="s">
        <v>1552</v>
      </c>
      <c r="B85" s="197" t="s">
        <v>1103</v>
      </c>
      <c r="C85" s="197" t="s">
        <v>387</v>
      </c>
      <c r="D85" s="197" t="str">
        <f>VLOOKUP(tabParametros[[#This Row],[Código do Posto]],tabPostos[],4,0)</f>
        <v>SETTASPOC</v>
      </c>
      <c r="E85" s="282" t="str">
        <f>VLOOKUP(tabParametros[[#This Row],[Código do Posto]],tabPostos[],5,0)</f>
        <v>Apoio</v>
      </c>
      <c r="F85" s="282" t="str">
        <f>VLOOKUP(tabParametros[[#This Row],[Código do Posto]],tabPostos[],6,0)</f>
        <v>PGJ</v>
      </c>
      <c r="G85" s="282">
        <f>VLOOKUP(tabParametros[[#This Row],[Código do Posto]],tabPostos[],7,0)</f>
        <v>24</v>
      </c>
      <c r="H85" s="282">
        <f>VLOOKUP(tabParametros[[#This Row],[Código do Posto]],tabPostos[],8,0)</f>
        <v>0</v>
      </c>
      <c r="I85" s="232">
        <f>VLOOKUP(tabParametros[[#This Row],[Código do Posto]],tabPostos[],9,0)</f>
        <v>6836.7</v>
      </c>
      <c r="J85" s="232">
        <f>IF(ISNUMBER(SEARCH("Eletricista",tabParametros[[#This Row],[Função]],1)),0.3*tabParametros[[#This Row],[Salário Base]],0)</f>
        <v>0</v>
      </c>
      <c r="K8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5" s="232">
        <f>IF(AND(ISNUMBER(SEARCH("Noturno",tabParametros[[#This Row],[Função]],1)),tabParametros[[#This Row],[Comarca]]&lt;&gt;"Juiz de Fora"),tabParametros[[#This Row],[Salário Base]]/210*0.39*7*15.5,IF(ISNUMBER(SEARCH("Noturno",tabParametros[[#This Row],[Função]],1)),tabParametros[[#This Row],[Salário Base]]/210*0.2*8*15.5,0))</f>
        <v>0</v>
      </c>
      <c r="M85" s="232">
        <f>IF(ISNUMBER(SEARCH("Motorista II",tabParametros[[#This Row],[Função]],1)),0.3022*tabParametros[[#This Row],[Salário Base]],0)</f>
        <v>0</v>
      </c>
      <c r="N85" s="254">
        <v>0</v>
      </c>
      <c r="O85" s="254">
        <f>IF(ISNUMBER(SEARCH("TECNOLOGIA DA INFORMACAO",tabParametros[[#This Row],[Função]],1)),0.056*tabParametros[[#This Row],[Salário Base]],0)</f>
        <v>382.85520000000002</v>
      </c>
      <c r="P85" s="232">
        <f>IF(tabParametros[[#This Row],[Função]]="Operador de Midia Audiovisual - 150 h",tabParametros[[#This Row],[Salário Base]]/150*50*30%,IF(tabParametros[[#This Row],[Função]]="Supervisor de Manutencao de Veiculos II - 220 h",12%*tabParametros[[#This Row],[Salário Base]],0))</f>
        <v>0</v>
      </c>
      <c r="Q85" s="233">
        <f>VLOOKUP(tabParametros[[#Headers],[INSS]],tabImpostosNacionais[],2,0)</f>
        <v>0.2</v>
      </c>
      <c r="R85" s="233">
        <f>VLOOKUP(tabParametros[[#Headers],[SESI OU SESC]],tabImpostosNacionais[],2,0)</f>
        <v>1.4999999999999999E-2</v>
      </c>
      <c r="S85" s="233">
        <f>VLOOKUP(tabParametros[[#Headers],[SENAI OU SENAC]],tabImpostosNacionais[],2,0)</f>
        <v>0.01</v>
      </c>
      <c r="T85" s="233">
        <f>VLOOKUP(tabParametros[[#Headers],[INCRA]],tabImpostosNacionais[],2,0)</f>
        <v>2E-3</v>
      </c>
      <c r="U85" s="233">
        <f>VLOOKUP(tabParametros[[#Headers],[Salário Educação]],tabImpostosNacionais[],2,0)</f>
        <v>2.5000000000000001E-2</v>
      </c>
      <c r="V85" s="233">
        <f>VLOOKUP(tabParametros[[#Headers],[FGTS]],tabImpostosNacionais[],2,0)</f>
        <v>0.08</v>
      </c>
      <c r="W85" s="233">
        <f>VLOOKUP(tabParametros[[#Headers],[RAT Ajustado]],tabImpostosNacionais[],2,0)</f>
        <v>0.04</v>
      </c>
      <c r="X85" s="233">
        <f>VLOOKUP(tabParametros[[#Headers],[SEBRAE]],tabImpostosNacionais[],2,0)</f>
        <v>6.0000000000000001E-3</v>
      </c>
      <c r="Y85" s="233">
        <f t="shared" si="11"/>
        <v>8.3333333333333329E-2</v>
      </c>
      <c r="Z85" s="233">
        <f t="shared" si="12"/>
        <v>0.1111111111111111</v>
      </c>
      <c r="AA85" s="232">
        <f>VLOOKUP(tabParametros[[#This Row],[Comarca]],tabComarca[],5,0)</f>
        <v>11.25</v>
      </c>
      <c r="AB85" s="232">
        <f>VLOOKUP(tabParametros[[#This Row],[CCT DA CATEGORIA]],tabSindicatos[],6,0)</f>
        <v>29.14</v>
      </c>
      <c r="AC85" s="232">
        <f>VLOOKUP(tabParametros[[#This Row],[CCT DA CATEGORIA]],tabSindicatos[],7,0)</f>
        <v>0</v>
      </c>
      <c r="AD85" s="232" cm="1">
        <f t="array" ref="AD8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85" s="232">
        <f>VLOOKUP(tabParametros[[#This Row],[CCT DA CATEGORIA]],tabSindicatos[],9,0)</f>
        <v>0</v>
      </c>
      <c r="AF85" s="232">
        <f>VLOOKUP(tabParametros[[#This Row],[CCT DA CATEGORIA]],tabSindicatos[],10,0)</f>
        <v>0</v>
      </c>
      <c r="AG85" s="234">
        <f>VLOOKUP(tabParametros[[#Headers],[Seguro de Vida]],tabOutrosCustos[],3,0)</f>
        <v>3.36</v>
      </c>
      <c r="AH85" s="234">
        <f>IF(ISNUMBER(SEARCH("MOTORISTA",tabParametros[[#This Row],[Função]],1)),VLOOKUP("MOTORISTAS",tabDiarias[],2,0),IF(tabParametros[[#This Row],[Comarca]]="Belo Horizonte",VLOOKUP("APOIO",tabDiarias[],2,0),0))</f>
        <v>202.08</v>
      </c>
      <c r="AI85" s="233">
        <f t="shared" si="13"/>
        <v>7.011766975308642E-3</v>
      </c>
      <c r="AJ85" s="235">
        <f>tabParametros[[#This Row],[FGTS]]*tabParametros[[#This Row],[Aviso Prévio Indenizado (API) e Reflexo do Aviso Prévio Indenizado]]</f>
        <v>5.609413580246914E-4</v>
      </c>
      <c r="AK85" s="235">
        <f>tabParametros[[#This Row],[FGTS]]*tabParametros[[#This Row],[Aviso Prévio Indenizado (API) e Reflexo do Aviso Prévio Indenizado]]*40%</f>
        <v>2.2437654320987658E-4</v>
      </c>
      <c r="AL85" s="233">
        <f t="shared" si="14"/>
        <v>3.5000000000000005E-3</v>
      </c>
      <c r="AM85" s="233">
        <f>tabParametros[[#This Row],[Aviso Prévio Trabalhado - APT]]*SUM(tabParametros[[#This Row],[INSS]:[SEBRAE]])</f>
        <v>1.3230000000000004E-3</v>
      </c>
      <c r="AN85" s="233">
        <f t="shared" si="15"/>
        <v>3.0577777777777773E-2</v>
      </c>
      <c r="AO85" s="233">
        <f t="shared" si="16"/>
        <v>8.3333333333333339E-4</v>
      </c>
      <c r="AP85" s="233">
        <f t="shared" si="17"/>
        <v>8.4444444444444437E-3</v>
      </c>
      <c r="AQ85" s="233">
        <f t="shared" si="18"/>
        <v>2.0277777777777777E-3</v>
      </c>
      <c r="AR85" s="233">
        <f t="shared" si="19"/>
        <v>1.7083333333333333E-4</v>
      </c>
      <c r="AS85" s="233">
        <f t="shared" si="20"/>
        <v>2.0833333333333335E-4</v>
      </c>
      <c r="AT85" s="233">
        <f t="shared" si="21"/>
        <v>1.2962962962962963E-3</v>
      </c>
      <c r="AU85" s="235">
        <f>SUM(tabParametros[[#This Row],[Ausência por Doença]:[Férias, Adicional de Férias e 13º  com empregada em gozo de Licença Maternidade]])*SUM(tabParametros[[#This Row],[INSS]:[SEBRAE]])</f>
        <v>4.5918250000000008E-3</v>
      </c>
      <c r="AV85" s="254">
        <f>IF(tabParametros[[#This Row],[Função]]="Porteiro - 220 h",SUM(tabParametros[[#This Row],[Salário Base]:[Adicional de Acúmulo de função]])/220*20*1.5,IF(ISNUMBER(SEARCH("12 x 36",tabParametros[[#This Row],[Função]],1)),SUM(tabParametros[[#This Row],[Salário Base]:[Adicional de Acúmulo de função]])/210*15.5*1.5,0))</f>
        <v>0</v>
      </c>
      <c r="AW85" s="232">
        <f>IF(tabParametros[[#This Row],[Vagas contratadas]]&gt;0,(SUM(tabParametros[[#This Row],[Salário Base]:[Adicional de Acúmulo de função]])*30%+SUM(tabParametros[[#This Row],[Vale - Alimentação]:[Seguro de Vida]]))/tabParametros[[#This Row],[Vagas contratadas]]*tabParametros[[#This Row],[Vagas suspensas]],0)</f>
        <v>0</v>
      </c>
      <c r="AX85" s="232">
        <f>SUMIF(tabUniformes[Cargo],tabParametros[[#This Row],[Função]],tabUniformes[Valor unit. Mensal])</f>
        <v>90.784679782039703</v>
      </c>
      <c r="AY8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5" s="232">
        <v>0</v>
      </c>
      <c r="BC85" s="234" t="e">
        <f ca="1">VLOOKUP(tabParametros[[#Headers],[Custos Indiretos]],tabOutrosCustos[],3,0)</f>
        <v>#NAME?</v>
      </c>
      <c r="BD85" s="234" t="e">
        <f ca="1">VLOOKUP(tabParametros[[#Headers],[Lucro]],tabOutrosCustos[],3,0)</f>
        <v>#NAME?</v>
      </c>
      <c r="BE85" s="233">
        <f>VLOOKUP(tabParametros[[#Headers],[COFINS]],tabImpostosNacionais[],2,0)</f>
        <v>7.5999999999999998E-2</v>
      </c>
      <c r="BF85" s="233">
        <f>VLOOKUP(tabParametros[[#Headers],[PIS]],tabImpostosNacionais[],2,0)</f>
        <v>1.6500000000000001E-2</v>
      </c>
      <c r="BG85" s="233">
        <f>VLOOKUP(tabParametros[[#This Row],[Comarca]],tabComarca[],4,0)</f>
        <v>0.05</v>
      </c>
      <c r="BH85" s="236">
        <f>VLOOKUP(tabParametros[[#This Row],[CCT DA CATEGORIA]],tabSindicatos[],11,0)</f>
        <v>45658</v>
      </c>
      <c r="BI85" s="282" t="str">
        <f>VLOOKUP(tabParametros[[#This Row],[CCT DA CATEGORIA]],tabSindicatos[],12,0)</f>
        <v>-</v>
      </c>
      <c r="BJ85" s="285" t="str">
        <f>VLOOKUP(tabParametros[[#This Row],[CCT DA CATEGORIA]],tabSindicatos[],13,0)</f>
        <v>-</v>
      </c>
    </row>
    <row r="86" spans="1:62">
      <c r="A86" s="231" t="s">
        <v>1553</v>
      </c>
      <c r="B86" s="197" t="s">
        <v>1103</v>
      </c>
      <c r="C86" s="197" t="s">
        <v>394</v>
      </c>
      <c r="D86" s="197" t="str">
        <f>VLOOKUP(tabParametros[[#This Row],[Código do Posto]],tabPostos[],4,0)</f>
        <v>Sinttel</v>
      </c>
      <c r="E86" s="282" t="str">
        <f>VLOOKUP(tabParametros[[#This Row],[Código do Posto]],tabPostos[],5,0)</f>
        <v>Apoio</v>
      </c>
      <c r="F86" s="282" t="str">
        <f>VLOOKUP(tabParametros[[#This Row],[Código do Posto]],tabPostos[],6,0)</f>
        <v>PGJ</v>
      </c>
      <c r="G86" s="282">
        <f>VLOOKUP(tabParametros[[#This Row],[Código do Posto]],tabPostos[],7,0)</f>
        <v>3</v>
      </c>
      <c r="H86" s="282">
        <f>VLOOKUP(tabParametros[[#This Row],[Código do Posto]],tabPostos[],8,0)</f>
        <v>0</v>
      </c>
      <c r="I86" s="232">
        <f>VLOOKUP(tabParametros[[#This Row],[Código do Posto]],tabPostos[],9,0)</f>
        <v>2404.7340385572315</v>
      </c>
      <c r="J86" s="232">
        <f>IF(ISNUMBER(SEARCH("Eletricista",tabParametros[[#This Row],[Função]],1)),0.3*tabParametros[[#This Row],[Salário Base]],0)</f>
        <v>0</v>
      </c>
      <c r="K8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6" s="232">
        <f>IF(AND(ISNUMBER(SEARCH("Noturno",tabParametros[[#This Row],[Função]],1)),tabParametros[[#This Row],[Comarca]]&lt;&gt;"Juiz de Fora"),tabParametros[[#This Row],[Salário Base]]/210*0.39*7*15.5,IF(ISNUMBER(SEARCH("Noturno",tabParametros[[#This Row],[Função]],1)),tabParametros[[#This Row],[Salário Base]]/210*0.2*8*15.5,0))</f>
        <v>0</v>
      </c>
      <c r="M86" s="232">
        <f>IF(ISNUMBER(SEARCH("Motorista II",tabParametros[[#This Row],[Função]],1)),0.3022*tabParametros[[#This Row],[Salário Base]],0)</f>
        <v>0</v>
      </c>
      <c r="N86" s="254">
        <v>0</v>
      </c>
      <c r="O86" s="254">
        <f>IF(ISNUMBER(SEARCH("TECNOLOGIA DA INFORMACAO",tabParametros[[#This Row],[Função]],1)),0.056*tabParametros[[#This Row],[Salário Base]],0)</f>
        <v>0</v>
      </c>
      <c r="P86" s="232">
        <f>IF(tabParametros[[#This Row],[Função]]="Operador de Midia Audiovisual - 150 h",tabParametros[[#This Row],[Salário Base]]/150*50*30%,IF(tabParametros[[#This Row],[Função]]="Supervisor de Manutencao de Veiculos II - 220 h",12%*tabParametros[[#This Row],[Salário Base]],0))</f>
        <v>0</v>
      </c>
      <c r="Q86" s="233">
        <f>VLOOKUP(tabParametros[[#Headers],[INSS]],tabImpostosNacionais[],2,0)</f>
        <v>0.2</v>
      </c>
      <c r="R86" s="233">
        <f>VLOOKUP(tabParametros[[#Headers],[SESI OU SESC]],tabImpostosNacionais[],2,0)</f>
        <v>1.4999999999999999E-2</v>
      </c>
      <c r="S86" s="233">
        <f>VLOOKUP(tabParametros[[#Headers],[SENAI OU SENAC]],tabImpostosNacionais[],2,0)</f>
        <v>0.01</v>
      </c>
      <c r="T86" s="233">
        <f>VLOOKUP(tabParametros[[#Headers],[INCRA]],tabImpostosNacionais[],2,0)</f>
        <v>2E-3</v>
      </c>
      <c r="U86" s="233">
        <f>VLOOKUP(tabParametros[[#Headers],[Salário Educação]],tabImpostosNacionais[],2,0)</f>
        <v>2.5000000000000001E-2</v>
      </c>
      <c r="V86" s="233">
        <f>VLOOKUP(tabParametros[[#Headers],[FGTS]],tabImpostosNacionais[],2,0)</f>
        <v>0.08</v>
      </c>
      <c r="W86" s="233">
        <f>VLOOKUP(tabParametros[[#Headers],[RAT Ajustado]],tabImpostosNacionais[],2,0)</f>
        <v>0.04</v>
      </c>
      <c r="X86" s="233">
        <f>VLOOKUP(tabParametros[[#Headers],[SEBRAE]],tabImpostosNacionais[],2,0)</f>
        <v>6.0000000000000001E-3</v>
      </c>
      <c r="Y86" s="233">
        <f t="shared" si="11"/>
        <v>8.3333333333333329E-2</v>
      </c>
      <c r="Z86" s="233">
        <f t="shared" si="12"/>
        <v>0.1111111111111111</v>
      </c>
      <c r="AA86" s="232">
        <f>VLOOKUP(tabParametros[[#This Row],[Comarca]],tabComarca[],5,0)</f>
        <v>11.25</v>
      </c>
      <c r="AB86" s="232">
        <f>VLOOKUP(tabParametros[[#This Row],[CCT DA CATEGORIA]],tabSindicatos[],6,0)</f>
        <v>25.15</v>
      </c>
      <c r="AC86" s="232">
        <f>VLOOKUP(tabParametros[[#This Row],[CCT DA CATEGORIA]],tabSindicatos[],7,0)</f>
        <v>0</v>
      </c>
      <c r="AD86" s="232" cm="1">
        <f t="array" ref="AD8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86" s="232">
        <f>VLOOKUP(tabParametros[[#This Row],[CCT DA CATEGORIA]],tabSindicatos[],9,0)</f>
        <v>0</v>
      </c>
      <c r="AF86" s="232">
        <f>VLOOKUP(tabParametros[[#This Row],[CCT DA CATEGORIA]],tabSindicatos[],10,0)</f>
        <v>0</v>
      </c>
      <c r="AG86" s="234">
        <f>VLOOKUP(tabParametros[[#Headers],[Seguro de Vida]],tabOutrosCustos[],3,0)</f>
        <v>3.36</v>
      </c>
      <c r="AH86" s="234">
        <f>IF(ISNUMBER(SEARCH("MOTORISTA",tabParametros[[#This Row],[Função]],1)),VLOOKUP("MOTORISTAS",tabDiarias[],2,0),IF(tabParametros[[#This Row],[Comarca]]="Belo Horizonte",VLOOKUP("APOIO",tabDiarias[],2,0),0))</f>
        <v>202.08</v>
      </c>
      <c r="AI86" s="233">
        <f t="shared" si="13"/>
        <v>7.011766975308642E-3</v>
      </c>
      <c r="AJ86" s="235">
        <f>tabParametros[[#This Row],[FGTS]]*tabParametros[[#This Row],[Aviso Prévio Indenizado (API) e Reflexo do Aviso Prévio Indenizado]]</f>
        <v>5.609413580246914E-4</v>
      </c>
      <c r="AK86" s="235">
        <f>tabParametros[[#This Row],[FGTS]]*tabParametros[[#This Row],[Aviso Prévio Indenizado (API) e Reflexo do Aviso Prévio Indenizado]]*40%</f>
        <v>2.2437654320987658E-4</v>
      </c>
      <c r="AL86" s="233">
        <f t="shared" si="14"/>
        <v>3.5000000000000005E-3</v>
      </c>
      <c r="AM86" s="233">
        <f>tabParametros[[#This Row],[Aviso Prévio Trabalhado - APT]]*SUM(tabParametros[[#This Row],[INSS]:[SEBRAE]])</f>
        <v>1.3230000000000004E-3</v>
      </c>
      <c r="AN86" s="233">
        <f t="shared" si="15"/>
        <v>3.0577777777777773E-2</v>
      </c>
      <c r="AO86" s="233">
        <f t="shared" si="16"/>
        <v>8.3333333333333339E-4</v>
      </c>
      <c r="AP86" s="233">
        <f t="shared" si="17"/>
        <v>8.4444444444444437E-3</v>
      </c>
      <c r="AQ86" s="233">
        <f t="shared" si="18"/>
        <v>2.0277777777777777E-3</v>
      </c>
      <c r="AR86" s="233">
        <f t="shared" si="19"/>
        <v>1.7083333333333333E-4</v>
      </c>
      <c r="AS86" s="233">
        <f t="shared" si="20"/>
        <v>2.0833333333333335E-4</v>
      </c>
      <c r="AT86" s="233">
        <f t="shared" si="21"/>
        <v>1.2962962962962963E-3</v>
      </c>
      <c r="AU86" s="235">
        <f>SUM(tabParametros[[#This Row],[Ausência por Doença]:[Férias, Adicional de Férias e 13º  com empregada em gozo de Licença Maternidade]])*SUM(tabParametros[[#This Row],[INSS]:[SEBRAE]])</f>
        <v>4.5918250000000008E-3</v>
      </c>
      <c r="AV86" s="254">
        <f>IF(tabParametros[[#This Row],[Função]]="Porteiro - 220 h",SUM(tabParametros[[#This Row],[Salário Base]:[Adicional de Acúmulo de função]])/220*20*1.5,IF(ISNUMBER(SEARCH("12 x 36",tabParametros[[#This Row],[Função]],1)),SUM(tabParametros[[#This Row],[Salário Base]:[Adicional de Acúmulo de função]])/210*15.5*1.5,0))</f>
        <v>0</v>
      </c>
      <c r="AW86" s="232">
        <f>IF(tabParametros[[#This Row],[Vagas contratadas]]&gt;0,(SUM(tabParametros[[#This Row],[Salário Base]:[Adicional de Acúmulo de função]])*30%+SUM(tabParametros[[#This Row],[Vale - Alimentação]:[Seguro de Vida]]))/tabParametros[[#This Row],[Vagas contratadas]]*tabParametros[[#This Row],[Vagas suspensas]],0)</f>
        <v>0</v>
      </c>
      <c r="AX86" s="232">
        <f>SUMIF(tabUniformes[Cargo],tabParametros[[#This Row],[Função]],tabUniformes[Valor unit. Mensal])</f>
        <v>42.607550547045918</v>
      </c>
      <c r="AY8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6" s="232">
        <v>0</v>
      </c>
      <c r="BC86" s="234" t="e">
        <f ca="1">VLOOKUP(tabParametros[[#Headers],[Custos Indiretos]],tabOutrosCustos[],3,0)</f>
        <v>#NAME?</v>
      </c>
      <c r="BD86" s="234" t="e">
        <f ca="1">VLOOKUP(tabParametros[[#Headers],[Lucro]],tabOutrosCustos[],3,0)</f>
        <v>#NAME?</v>
      </c>
      <c r="BE86" s="233">
        <f>VLOOKUP(tabParametros[[#Headers],[COFINS]],tabImpostosNacionais[],2,0)</f>
        <v>7.5999999999999998E-2</v>
      </c>
      <c r="BF86" s="233">
        <f>VLOOKUP(tabParametros[[#Headers],[PIS]],tabImpostosNacionais[],2,0)</f>
        <v>1.6500000000000001E-2</v>
      </c>
      <c r="BG86" s="233">
        <f>VLOOKUP(tabParametros[[#This Row],[Comarca]],tabComarca[],4,0)</f>
        <v>0.05</v>
      </c>
      <c r="BH86" s="236">
        <f>VLOOKUP(tabParametros[[#This Row],[CCT DA CATEGORIA]],tabSindicatos[],11,0)</f>
        <v>45292</v>
      </c>
      <c r="BI86" s="282" t="str">
        <f>VLOOKUP(tabParametros[[#This Row],[CCT DA CATEGORIA]],tabSindicatos[],12,0)</f>
        <v>-</v>
      </c>
      <c r="BJ86" s="285" t="str">
        <f>VLOOKUP(tabParametros[[#This Row],[CCT DA CATEGORIA]],tabSindicatos[],13,0)</f>
        <v>-</v>
      </c>
    </row>
    <row r="87" spans="1:62">
      <c r="A87" s="231" t="s">
        <v>1459</v>
      </c>
      <c r="B87" s="197" t="s">
        <v>1104</v>
      </c>
      <c r="C87" s="197" t="s">
        <v>200</v>
      </c>
      <c r="D87" s="197" t="str">
        <f>VLOOKUP(tabParametros[[#This Row],[Código do Posto]],tabPostos[],4,0)</f>
        <v>Sind - Asseio</v>
      </c>
      <c r="E87" s="282" t="str">
        <f>VLOOKUP(tabParametros[[#This Row],[Código do Posto]],tabPostos[],5,0)</f>
        <v>Apoio</v>
      </c>
      <c r="F87" s="282" t="str">
        <f>VLOOKUP(tabParametros[[#This Row],[Código do Posto]],tabPostos[],6,0)</f>
        <v>PGJ</v>
      </c>
      <c r="G87" s="282">
        <f>VLOOKUP(tabParametros[[#This Row],[Código do Posto]],tabPostos[],7,0)</f>
        <v>2</v>
      </c>
      <c r="H87" s="282">
        <f>VLOOKUP(tabParametros[[#This Row],[Código do Posto]],tabPostos[],8,0)</f>
        <v>0</v>
      </c>
      <c r="I87" s="232">
        <f>VLOOKUP(tabParametros[[#This Row],[Código do Posto]],tabPostos[],9,0)</f>
        <v>1649.1153464738998</v>
      </c>
      <c r="J87" s="232">
        <f>IF(ISNUMBER(SEARCH("Eletricista",tabParametros[[#This Row],[Função]],1)),0.3*tabParametros[[#This Row],[Salário Base]],0)</f>
        <v>0</v>
      </c>
      <c r="K8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7" s="232">
        <f>IF(AND(ISNUMBER(SEARCH("Noturno",tabParametros[[#This Row],[Função]],1)),tabParametros[[#This Row],[Comarca]]&lt;&gt;"Juiz de Fora"),tabParametros[[#This Row],[Salário Base]]/210*0.39*7*15.5,IF(ISNUMBER(SEARCH("Noturno",tabParametros[[#This Row],[Função]],1)),tabParametros[[#This Row],[Salário Base]]/210*0.2*8*15.5,0))</f>
        <v>0</v>
      </c>
      <c r="M87" s="232">
        <f>IF(ISNUMBER(SEARCH("Motorista II",tabParametros[[#This Row],[Função]],1)),0.3022*tabParametros[[#This Row],[Salário Base]],0)</f>
        <v>0</v>
      </c>
      <c r="N87" s="254">
        <v>0</v>
      </c>
      <c r="O87" s="254">
        <f>IF(ISNUMBER(SEARCH("TECNOLOGIA DA INFORMACAO",tabParametros[[#This Row],[Função]],1)),0.056*tabParametros[[#This Row],[Salário Base]],0)</f>
        <v>0</v>
      </c>
      <c r="P87" s="232">
        <f>IF(tabParametros[[#This Row],[Função]]="Operador de Midia Audiovisual - 150 h",tabParametros[[#This Row],[Salário Base]]/150*50*30%,IF(tabParametros[[#This Row],[Função]]="Supervisor de Manutencao de Veiculos II - 220 h",12%*tabParametros[[#This Row],[Salário Base]],0))</f>
        <v>0</v>
      </c>
      <c r="Q87" s="233">
        <f>VLOOKUP(tabParametros[[#Headers],[INSS]],tabImpostosNacionais[],2,0)</f>
        <v>0.2</v>
      </c>
      <c r="R87" s="233">
        <f>VLOOKUP(tabParametros[[#Headers],[SESI OU SESC]],tabImpostosNacionais[],2,0)</f>
        <v>1.4999999999999999E-2</v>
      </c>
      <c r="S87" s="233">
        <f>VLOOKUP(tabParametros[[#Headers],[SENAI OU SENAC]],tabImpostosNacionais[],2,0)</f>
        <v>0.01</v>
      </c>
      <c r="T87" s="233">
        <f>VLOOKUP(tabParametros[[#Headers],[INCRA]],tabImpostosNacionais[],2,0)</f>
        <v>2E-3</v>
      </c>
      <c r="U87" s="233">
        <f>VLOOKUP(tabParametros[[#Headers],[Salário Educação]],tabImpostosNacionais[],2,0)</f>
        <v>2.5000000000000001E-2</v>
      </c>
      <c r="V87" s="233">
        <f>VLOOKUP(tabParametros[[#Headers],[FGTS]],tabImpostosNacionais[],2,0)</f>
        <v>0.08</v>
      </c>
      <c r="W87" s="233">
        <f>VLOOKUP(tabParametros[[#Headers],[RAT Ajustado]],tabImpostosNacionais[],2,0)</f>
        <v>0.04</v>
      </c>
      <c r="X87" s="233">
        <f>VLOOKUP(tabParametros[[#Headers],[SEBRAE]],tabImpostosNacionais[],2,0)</f>
        <v>6.0000000000000001E-3</v>
      </c>
      <c r="Y87" s="233">
        <f t="shared" si="11"/>
        <v>8.3333333333333329E-2</v>
      </c>
      <c r="Z87" s="233">
        <f t="shared" si="12"/>
        <v>0.1111111111111111</v>
      </c>
      <c r="AA87" s="232">
        <f>VLOOKUP(tabParametros[[#This Row],[Comarca]],tabComarca[],5,0)</f>
        <v>6.4</v>
      </c>
      <c r="AB87" s="232">
        <f>VLOOKUP(tabParametros[[#This Row],[CCT DA CATEGORIA]],tabSindicatos[],6,0)</f>
        <v>29.15</v>
      </c>
      <c r="AC87" s="232">
        <f>VLOOKUP(tabParametros[[#This Row],[CCT DA CATEGORIA]],tabSindicatos[],7,0)</f>
        <v>0</v>
      </c>
      <c r="AD87" s="232" cm="1">
        <f t="array" ref="AD8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87" s="232">
        <f>VLOOKUP(tabParametros[[#This Row],[CCT DA CATEGORIA]],tabSindicatos[],9,0)</f>
        <v>0</v>
      </c>
      <c r="AF87" s="232">
        <f>VLOOKUP(tabParametros[[#This Row],[CCT DA CATEGORIA]],tabSindicatos[],10,0)</f>
        <v>0</v>
      </c>
      <c r="AG87" s="234">
        <f>VLOOKUP(tabParametros[[#Headers],[Seguro de Vida]],tabOutrosCustos[],3,0)</f>
        <v>3.36</v>
      </c>
      <c r="AH87" s="234">
        <f>IF(ISNUMBER(SEARCH("MOTORISTA",tabParametros[[#This Row],[Função]],1)),VLOOKUP("MOTORISTAS",tabDiarias[],2,0),IF(tabParametros[[#This Row],[Comarca]]="Belo Horizonte",VLOOKUP("APOIO",tabDiarias[],2,0),0))</f>
        <v>0</v>
      </c>
      <c r="AI87" s="233">
        <f t="shared" si="13"/>
        <v>7.011766975308642E-3</v>
      </c>
      <c r="AJ87" s="235">
        <f>tabParametros[[#This Row],[FGTS]]*tabParametros[[#This Row],[Aviso Prévio Indenizado (API) e Reflexo do Aviso Prévio Indenizado]]</f>
        <v>5.609413580246914E-4</v>
      </c>
      <c r="AK87" s="235">
        <f>tabParametros[[#This Row],[FGTS]]*tabParametros[[#This Row],[Aviso Prévio Indenizado (API) e Reflexo do Aviso Prévio Indenizado]]*40%</f>
        <v>2.2437654320987658E-4</v>
      </c>
      <c r="AL87" s="233">
        <f t="shared" si="14"/>
        <v>3.5000000000000005E-3</v>
      </c>
      <c r="AM87" s="233">
        <f>tabParametros[[#This Row],[Aviso Prévio Trabalhado - APT]]*SUM(tabParametros[[#This Row],[INSS]:[SEBRAE]])</f>
        <v>1.3230000000000004E-3</v>
      </c>
      <c r="AN87" s="233">
        <f t="shared" si="15"/>
        <v>3.0577777777777773E-2</v>
      </c>
      <c r="AO87" s="233">
        <f t="shared" si="16"/>
        <v>8.3333333333333339E-4</v>
      </c>
      <c r="AP87" s="233">
        <f t="shared" si="17"/>
        <v>8.4444444444444437E-3</v>
      </c>
      <c r="AQ87" s="233">
        <f t="shared" si="18"/>
        <v>2.0277777777777777E-3</v>
      </c>
      <c r="AR87" s="233">
        <f t="shared" si="19"/>
        <v>1.7083333333333333E-4</v>
      </c>
      <c r="AS87" s="233">
        <f t="shared" si="20"/>
        <v>2.0833333333333335E-4</v>
      </c>
      <c r="AT87" s="233">
        <f t="shared" si="21"/>
        <v>1.2962962962962963E-3</v>
      </c>
      <c r="AU87" s="235">
        <f>SUM(tabParametros[[#This Row],[Ausência por Doença]:[Férias, Adicional de Férias e 13º  com empregada em gozo de Licença Maternidade]])*SUM(tabParametros[[#This Row],[INSS]:[SEBRAE]])</f>
        <v>4.5918250000000008E-3</v>
      </c>
      <c r="AV87" s="254">
        <f>IF(tabParametros[[#This Row],[Função]]="Porteiro - 220 h",SUM(tabParametros[[#This Row],[Salário Base]:[Adicional de Acúmulo de função]])/220*20*1.5,IF(ISNUMBER(SEARCH("12 x 36",tabParametros[[#This Row],[Função]],1)),SUM(tabParametros[[#This Row],[Salário Base]:[Adicional de Acúmulo de função]])/210*15.5*1.5,0))</f>
        <v>0</v>
      </c>
      <c r="AW87" s="232">
        <f>IF(tabParametros[[#This Row],[Vagas contratadas]]&gt;0,(SUM(tabParametros[[#This Row],[Salário Base]:[Adicional de Acúmulo de função]])*30%+SUM(tabParametros[[#This Row],[Vale - Alimentação]:[Seguro de Vida]]))/tabParametros[[#This Row],[Vagas contratadas]]*tabParametros[[#This Row],[Vagas suspensas]],0)</f>
        <v>0</v>
      </c>
      <c r="AX87" s="232">
        <f>SUMIF(tabUniformes[Cargo],tabParametros[[#This Row],[Função]],tabUniformes[Valor unit. Mensal])</f>
        <v>56.141713661989918</v>
      </c>
      <c r="AY8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7" s="232">
        <v>0</v>
      </c>
      <c r="BC87" s="234" t="e">
        <f ca="1">VLOOKUP(tabParametros[[#Headers],[Custos Indiretos]],tabOutrosCustos[],3,0)</f>
        <v>#NAME?</v>
      </c>
      <c r="BD87" s="234" t="e">
        <f ca="1">VLOOKUP(tabParametros[[#Headers],[Lucro]],tabOutrosCustos[],3,0)</f>
        <v>#NAME?</v>
      </c>
      <c r="BE87" s="233">
        <f>VLOOKUP(tabParametros[[#Headers],[COFINS]],tabImpostosNacionais[],2,0)</f>
        <v>7.5999999999999998E-2</v>
      </c>
      <c r="BF87" s="233">
        <f>VLOOKUP(tabParametros[[#Headers],[PIS]],tabImpostosNacionais[],2,0)</f>
        <v>1.6500000000000001E-2</v>
      </c>
      <c r="BG87" s="233">
        <f>VLOOKUP(tabParametros[[#This Row],[Comarca]],tabComarca[],4,0)</f>
        <v>3.7999999999999999E-2</v>
      </c>
      <c r="BH87" s="236">
        <f>VLOOKUP(tabParametros[[#This Row],[CCT DA CATEGORIA]],tabSindicatos[],11,0)</f>
        <v>45658</v>
      </c>
      <c r="BI87" s="282" t="str">
        <f>VLOOKUP(tabParametros[[#This Row],[CCT DA CATEGORIA]],tabSindicatos[],12,0)</f>
        <v>-</v>
      </c>
      <c r="BJ87" s="285" t="str">
        <f>VLOOKUP(tabParametros[[#This Row],[CCT DA CATEGORIA]],tabSindicatos[],13,0)</f>
        <v>-</v>
      </c>
    </row>
    <row r="88" spans="1:62">
      <c r="A88" s="231" t="s">
        <v>1460</v>
      </c>
      <c r="B88" s="197" t="s">
        <v>1104</v>
      </c>
      <c r="C88" s="197" t="s">
        <v>1371</v>
      </c>
      <c r="D88" s="197" t="str">
        <f>VLOOKUP(tabParametros[[#This Row],[Código do Posto]],tabPostos[],4,0)</f>
        <v>Sind - Asseio</v>
      </c>
      <c r="E88" s="282" t="str">
        <f>VLOOKUP(tabParametros[[#This Row],[Código do Posto]],tabPostos[],5,0)</f>
        <v>Apoio</v>
      </c>
      <c r="F88" s="282" t="str">
        <f>VLOOKUP(tabParametros[[#This Row],[Código do Posto]],tabPostos[],6,0)</f>
        <v>PGJ</v>
      </c>
      <c r="G88" s="282">
        <f>VLOOKUP(tabParametros[[#This Row],[Código do Posto]],tabPostos[],7,0)</f>
        <v>1</v>
      </c>
      <c r="H88" s="282">
        <f>VLOOKUP(tabParametros[[#This Row],[Código do Posto]],tabPostos[],8,0)</f>
        <v>0</v>
      </c>
      <c r="I88" s="232">
        <f>VLOOKUP(tabParametros[[#This Row],[Código do Posto]],tabPostos[],9,0)</f>
        <v>6454.87</v>
      </c>
      <c r="J88" s="232">
        <f>IF(ISNUMBER(SEARCH("Eletricista",tabParametros[[#This Row],[Função]],1)),0.3*tabParametros[[#This Row],[Salário Base]],0)</f>
        <v>0</v>
      </c>
      <c r="K8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8" s="232">
        <f>IF(AND(ISNUMBER(SEARCH("Noturno",tabParametros[[#This Row],[Função]],1)),tabParametros[[#This Row],[Comarca]]&lt;&gt;"Juiz de Fora"),tabParametros[[#This Row],[Salário Base]]/210*0.39*7*15.5,IF(ISNUMBER(SEARCH("Noturno",tabParametros[[#This Row],[Função]],1)),tabParametros[[#This Row],[Salário Base]]/210*0.2*8*15.5,0))</f>
        <v>0</v>
      </c>
      <c r="M88" s="232">
        <f>IF(ISNUMBER(SEARCH("Motorista II",tabParametros[[#This Row],[Função]],1)),0.3022*tabParametros[[#This Row],[Salário Base]],0)</f>
        <v>0</v>
      </c>
      <c r="N88" s="254">
        <v>0</v>
      </c>
      <c r="O88" s="254">
        <f>IF(ISNUMBER(SEARCH("TECNOLOGIA DA INFORMACAO",tabParametros[[#This Row],[Função]],1)),0.056*tabParametros[[#This Row],[Salário Base]],0)</f>
        <v>0</v>
      </c>
      <c r="P88" s="232">
        <f>IF(tabParametros[[#This Row],[Função]]="Operador de Midia Audiovisual - 150 h",tabParametros[[#This Row],[Salário Base]]/150*50*30%,IF(tabParametros[[#This Row],[Função]]="Supervisor de Manutencao de Veiculos II - 220 h",12%*tabParametros[[#This Row],[Salário Base]],0))</f>
        <v>0</v>
      </c>
      <c r="Q88" s="233">
        <f>VLOOKUP(tabParametros[[#Headers],[INSS]],tabImpostosNacionais[],2,0)</f>
        <v>0.2</v>
      </c>
      <c r="R88" s="233">
        <f>VLOOKUP(tabParametros[[#Headers],[SESI OU SESC]],tabImpostosNacionais[],2,0)</f>
        <v>1.4999999999999999E-2</v>
      </c>
      <c r="S88" s="233">
        <f>VLOOKUP(tabParametros[[#Headers],[SENAI OU SENAC]],tabImpostosNacionais[],2,0)</f>
        <v>0.01</v>
      </c>
      <c r="T88" s="233">
        <f>VLOOKUP(tabParametros[[#Headers],[INCRA]],tabImpostosNacionais[],2,0)</f>
        <v>2E-3</v>
      </c>
      <c r="U88" s="233">
        <f>VLOOKUP(tabParametros[[#Headers],[Salário Educação]],tabImpostosNacionais[],2,0)</f>
        <v>2.5000000000000001E-2</v>
      </c>
      <c r="V88" s="233">
        <f>VLOOKUP(tabParametros[[#Headers],[FGTS]],tabImpostosNacionais[],2,0)</f>
        <v>0.08</v>
      </c>
      <c r="W88" s="233">
        <f>VLOOKUP(tabParametros[[#Headers],[RAT Ajustado]],tabImpostosNacionais[],2,0)</f>
        <v>0.04</v>
      </c>
      <c r="X88" s="233">
        <f>VLOOKUP(tabParametros[[#Headers],[SEBRAE]],tabImpostosNacionais[],2,0)</f>
        <v>6.0000000000000001E-3</v>
      </c>
      <c r="Y88" s="233">
        <f t="shared" si="11"/>
        <v>8.3333333333333329E-2</v>
      </c>
      <c r="Z88" s="233">
        <f t="shared" si="12"/>
        <v>0.1111111111111111</v>
      </c>
      <c r="AA88" s="232">
        <f>VLOOKUP(tabParametros[[#This Row],[Comarca]],tabComarca[],5,0)</f>
        <v>6.4</v>
      </c>
      <c r="AB88" s="232">
        <f>VLOOKUP(tabParametros[[#This Row],[CCT DA CATEGORIA]],tabSindicatos[],6,0)</f>
        <v>29.15</v>
      </c>
      <c r="AC88" s="232">
        <f>VLOOKUP(tabParametros[[#This Row],[CCT DA CATEGORIA]],tabSindicatos[],7,0)</f>
        <v>0</v>
      </c>
      <c r="AD88" s="232" cm="1">
        <f t="array" ref="AD8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88" s="232">
        <f>VLOOKUP(tabParametros[[#This Row],[CCT DA CATEGORIA]],tabSindicatos[],9,0)</f>
        <v>0</v>
      </c>
      <c r="AF88" s="232">
        <f>VLOOKUP(tabParametros[[#This Row],[CCT DA CATEGORIA]],tabSindicatos[],10,0)</f>
        <v>0</v>
      </c>
      <c r="AG88" s="234">
        <f>VLOOKUP(tabParametros[[#Headers],[Seguro de Vida]],tabOutrosCustos[],3,0)</f>
        <v>3.36</v>
      </c>
      <c r="AH88" s="234">
        <f>IF(ISNUMBER(SEARCH("MOTORISTA",tabParametros[[#This Row],[Função]],1)),VLOOKUP("MOTORISTAS",tabDiarias[],2,0),IF(tabParametros[[#This Row],[Comarca]]="Belo Horizonte",VLOOKUP("APOIO",tabDiarias[],2,0),0))</f>
        <v>0</v>
      </c>
      <c r="AI88" s="233">
        <f t="shared" si="13"/>
        <v>7.011766975308642E-3</v>
      </c>
      <c r="AJ88" s="235">
        <f>tabParametros[[#This Row],[FGTS]]*tabParametros[[#This Row],[Aviso Prévio Indenizado (API) e Reflexo do Aviso Prévio Indenizado]]</f>
        <v>5.609413580246914E-4</v>
      </c>
      <c r="AK88" s="235">
        <f>tabParametros[[#This Row],[FGTS]]*tabParametros[[#This Row],[Aviso Prévio Indenizado (API) e Reflexo do Aviso Prévio Indenizado]]*40%</f>
        <v>2.2437654320987658E-4</v>
      </c>
      <c r="AL88" s="233">
        <f t="shared" si="14"/>
        <v>3.5000000000000005E-3</v>
      </c>
      <c r="AM88" s="233">
        <f>tabParametros[[#This Row],[Aviso Prévio Trabalhado - APT]]*SUM(tabParametros[[#This Row],[INSS]:[SEBRAE]])</f>
        <v>1.3230000000000004E-3</v>
      </c>
      <c r="AN88" s="233">
        <f t="shared" si="15"/>
        <v>3.0577777777777773E-2</v>
      </c>
      <c r="AO88" s="233">
        <f t="shared" si="16"/>
        <v>8.3333333333333339E-4</v>
      </c>
      <c r="AP88" s="233">
        <f t="shared" si="17"/>
        <v>8.4444444444444437E-3</v>
      </c>
      <c r="AQ88" s="233">
        <f t="shared" si="18"/>
        <v>2.0277777777777777E-3</v>
      </c>
      <c r="AR88" s="233">
        <f t="shared" si="19"/>
        <v>1.7083333333333333E-4</v>
      </c>
      <c r="AS88" s="233">
        <f t="shared" si="20"/>
        <v>2.0833333333333335E-4</v>
      </c>
      <c r="AT88" s="233">
        <f t="shared" si="21"/>
        <v>1.2962962962962963E-3</v>
      </c>
      <c r="AU88" s="235">
        <f>SUM(tabParametros[[#This Row],[Ausência por Doença]:[Férias, Adicional de Férias e 13º  com empregada em gozo de Licença Maternidade]])*SUM(tabParametros[[#This Row],[INSS]:[SEBRAE]])</f>
        <v>4.5918250000000008E-3</v>
      </c>
      <c r="AV88" s="254">
        <f>IF(tabParametros[[#This Row],[Função]]="Porteiro - 220 h",SUM(tabParametros[[#This Row],[Salário Base]:[Adicional de Acúmulo de função]])/220*20*1.5,IF(ISNUMBER(SEARCH("12 x 36",tabParametros[[#This Row],[Função]],1)),SUM(tabParametros[[#This Row],[Salário Base]:[Adicional de Acúmulo de função]])/210*15.5*1.5,0))</f>
        <v>0</v>
      </c>
      <c r="AW88" s="232">
        <f>IF(tabParametros[[#This Row],[Vagas contratadas]]&gt;0,(SUM(tabParametros[[#This Row],[Salário Base]:[Adicional de Acúmulo de função]])*30%+SUM(tabParametros[[#This Row],[Vale - Alimentação]:[Seguro de Vida]]))/tabParametros[[#This Row],[Vagas contratadas]]*tabParametros[[#This Row],[Vagas suspensas]],0)</f>
        <v>0</v>
      </c>
      <c r="AX88" s="232">
        <f>SUMIF(tabUniformes[Cargo],tabParametros[[#This Row],[Função]],tabUniformes[Valor unit. Mensal])</f>
        <v>90.784679782039703</v>
      </c>
      <c r="AY8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8" s="232">
        <v>0</v>
      </c>
      <c r="BC88" s="234" t="e">
        <f ca="1">VLOOKUP(tabParametros[[#Headers],[Custos Indiretos]],tabOutrosCustos[],3,0)</f>
        <v>#NAME?</v>
      </c>
      <c r="BD88" s="234" t="e">
        <f ca="1">VLOOKUP(tabParametros[[#Headers],[Lucro]],tabOutrosCustos[],3,0)</f>
        <v>#NAME?</v>
      </c>
      <c r="BE88" s="233">
        <f>VLOOKUP(tabParametros[[#Headers],[COFINS]],tabImpostosNacionais[],2,0)</f>
        <v>7.5999999999999998E-2</v>
      </c>
      <c r="BF88" s="233">
        <f>VLOOKUP(tabParametros[[#Headers],[PIS]],tabImpostosNacionais[],2,0)</f>
        <v>1.6500000000000001E-2</v>
      </c>
      <c r="BG88" s="233">
        <f>VLOOKUP(tabParametros[[#This Row],[Comarca]],tabComarca[],4,0)</f>
        <v>3.7999999999999999E-2</v>
      </c>
      <c r="BH88" s="236">
        <f>VLOOKUP(tabParametros[[#This Row],[CCT DA CATEGORIA]],tabSindicatos[],11,0)</f>
        <v>45658</v>
      </c>
      <c r="BI88" s="282" t="str">
        <f>VLOOKUP(tabParametros[[#This Row],[CCT DA CATEGORIA]],tabSindicatos[],12,0)</f>
        <v>-</v>
      </c>
      <c r="BJ88" s="285" t="str">
        <f>VLOOKUP(tabParametros[[#This Row],[CCT DA CATEGORIA]],tabSindicatos[],13,0)</f>
        <v>-</v>
      </c>
    </row>
    <row r="89" spans="1:62">
      <c r="A89" s="231" t="s">
        <v>1554</v>
      </c>
      <c r="B89" s="197" t="s">
        <v>1104</v>
      </c>
      <c r="C89" s="197" t="s">
        <v>274</v>
      </c>
      <c r="D89" s="197" t="str">
        <f>VLOOKUP(tabParametros[[#This Row],[Código do Posto]],tabPostos[],4,0)</f>
        <v>Rodoviarios de Betim + SEAC-MG</v>
      </c>
      <c r="E89" s="282" t="str">
        <f>VLOOKUP(tabParametros[[#This Row],[Código do Posto]],tabPostos[],5,0)</f>
        <v>Apoio</v>
      </c>
      <c r="F89" s="282" t="str">
        <f>VLOOKUP(tabParametros[[#This Row],[Código do Posto]],tabPostos[],6,0)</f>
        <v>PGJ</v>
      </c>
      <c r="G89" s="282">
        <f>VLOOKUP(tabParametros[[#This Row],[Código do Posto]],tabPostos[],7,0)</f>
        <v>2</v>
      </c>
      <c r="H89" s="282">
        <f>VLOOKUP(tabParametros[[#This Row],[Código do Posto]],tabPostos[],8,0)</f>
        <v>0</v>
      </c>
      <c r="I89" s="232">
        <f>VLOOKUP(tabParametros[[#This Row],[Código do Posto]],tabPostos[],9,0)</f>
        <v>4341.0199946317061</v>
      </c>
      <c r="J89" s="232">
        <f>IF(ISNUMBER(SEARCH("Eletricista",tabParametros[[#This Row],[Função]],1)),0.3*tabParametros[[#This Row],[Salário Base]],0)</f>
        <v>0</v>
      </c>
      <c r="K8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89" s="232">
        <f>IF(AND(ISNUMBER(SEARCH("Noturno",tabParametros[[#This Row],[Função]],1)),tabParametros[[#This Row],[Comarca]]&lt;&gt;"Juiz de Fora"),tabParametros[[#This Row],[Salário Base]]/210*0.39*7*15.5,IF(ISNUMBER(SEARCH("Noturno",tabParametros[[#This Row],[Função]],1)),tabParametros[[#This Row],[Salário Base]]/210*0.2*8*15.5,0))</f>
        <v>0</v>
      </c>
      <c r="M89" s="232">
        <f>IF(ISNUMBER(SEARCH("Motorista II",tabParametros[[#This Row],[Função]],1)),0.3022*tabParametros[[#This Row],[Salário Base]],0)</f>
        <v>0</v>
      </c>
      <c r="N89" s="254">
        <v>0</v>
      </c>
      <c r="O89" s="254">
        <f>IF(ISNUMBER(SEARCH("TECNOLOGIA DA INFORMACAO",tabParametros[[#This Row],[Função]],1)),0.056*tabParametros[[#This Row],[Salário Base]],0)</f>
        <v>0</v>
      </c>
      <c r="P89" s="232">
        <f>IF(tabParametros[[#This Row],[Função]]="Operador de Midia Audiovisual - 150 h",tabParametros[[#This Row],[Salário Base]]/150*50*30%,IF(tabParametros[[#This Row],[Função]]="Supervisor de Manutencao de Veiculos II - 220 h",12%*tabParametros[[#This Row],[Salário Base]],0))</f>
        <v>0</v>
      </c>
      <c r="Q89" s="233">
        <f>VLOOKUP(tabParametros[[#Headers],[INSS]],tabImpostosNacionais[],2,0)</f>
        <v>0.2</v>
      </c>
      <c r="R89" s="233">
        <f>VLOOKUP(tabParametros[[#Headers],[SESI OU SESC]],tabImpostosNacionais[],2,0)</f>
        <v>1.4999999999999999E-2</v>
      </c>
      <c r="S89" s="233">
        <f>VLOOKUP(tabParametros[[#Headers],[SENAI OU SENAC]],tabImpostosNacionais[],2,0)</f>
        <v>0.01</v>
      </c>
      <c r="T89" s="233">
        <f>VLOOKUP(tabParametros[[#Headers],[INCRA]],tabImpostosNacionais[],2,0)</f>
        <v>2E-3</v>
      </c>
      <c r="U89" s="233">
        <f>VLOOKUP(tabParametros[[#Headers],[Salário Educação]],tabImpostosNacionais[],2,0)</f>
        <v>2.5000000000000001E-2</v>
      </c>
      <c r="V89" s="233">
        <f>VLOOKUP(tabParametros[[#Headers],[FGTS]],tabImpostosNacionais[],2,0)</f>
        <v>0.08</v>
      </c>
      <c r="W89" s="233">
        <f>VLOOKUP(tabParametros[[#Headers],[RAT Ajustado]],tabImpostosNacionais[],2,0)</f>
        <v>0.04</v>
      </c>
      <c r="X89" s="233">
        <f>VLOOKUP(tabParametros[[#Headers],[SEBRAE]],tabImpostosNacionais[],2,0)</f>
        <v>6.0000000000000001E-3</v>
      </c>
      <c r="Y89" s="233">
        <f t="shared" si="11"/>
        <v>8.3333333333333329E-2</v>
      </c>
      <c r="Z89" s="233">
        <f t="shared" si="12"/>
        <v>0.1111111111111111</v>
      </c>
      <c r="AA89" s="232">
        <f>VLOOKUP(tabParametros[[#This Row],[Comarca]],tabComarca[],5,0)</f>
        <v>6.4</v>
      </c>
      <c r="AB89" s="232">
        <f>VLOOKUP(tabParametros[[#This Row],[CCT DA CATEGORIA]],tabSindicatos[],6,0)</f>
        <v>28.97</v>
      </c>
      <c r="AC89" s="232">
        <f>VLOOKUP(tabParametros[[#This Row],[CCT DA CATEGORIA]],tabSindicatos[],7,0)</f>
        <v>0</v>
      </c>
      <c r="AD89" s="232" cm="1">
        <f t="array" ref="AD8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89" s="232">
        <f>VLOOKUP(tabParametros[[#This Row],[CCT DA CATEGORIA]],tabSindicatos[],9,0)</f>
        <v>0</v>
      </c>
      <c r="AF89" s="232">
        <f>VLOOKUP(tabParametros[[#This Row],[CCT DA CATEGORIA]],tabSindicatos[],10,0)</f>
        <v>0</v>
      </c>
      <c r="AG89" s="234">
        <f>VLOOKUP(tabParametros[[#Headers],[Seguro de Vida]],tabOutrosCustos[],3,0)</f>
        <v>3.36</v>
      </c>
      <c r="AH89" s="234">
        <f>IF(ISNUMBER(SEARCH("MOTORISTA",tabParametros[[#This Row],[Função]],1)),VLOOKUP("MOTORISTAS",tabDiarias[],2,0),IF(tabParametros[[#This Row],[Comarca]]="Belo Horizonte",VLOOKUP("APOIO",tabDiarias[],2,0),0))</f>
        <v>662.42</v>
      </c>
      <c r="AI89" s="233">
        <f t="shared" si="13"/>
        <v>7.011766975308642E-3</v>
      </c>
      <c r="AJ89" s="235">
        <f>tabParametros[[#This Row],[FGTS]]*tabParametros[[#This Row],[Aviso Prévio Indenizado (API) e Reflexo do Aviso Prévio Indenizado]]</f>
        <v>5.609413580246914E-4</v>
      </c>
      <c r="AK89" s="235">
        <f>tabParametros[[#This Row],[FGTS]]*tabParametros[[#This Row],[Aviso Prévio Indenizado (API) e Reflexo do Aviso Prévio Indenizado]]*40%</f>
        <v>2.2437654320987658E-4</v>
      </c>
      <c r="AL89" s="233">
        <f t="shared" si="14"/>
        <v>3.5000000000000005E-3</v>
      </c>
      <c r="AM89" s="233">
        <f>tabParametros[[#This Row],[Aviso Prévio Trabalhado - APT]]*SUM(tabParametros[[#This Row],[INSS]:[SEBRAE]])</f>
        <v>1.3230000000000004E-3</v>
      </c>
      <c r="AN89" s="233">
        <f t="shared" si="15"/>
        <v>3.0577777777777773E-2</v>
      </c>
      <c r="AO89" s="233">
        <f t="shared" si="16"/>
        <v>8.3333333333333339E-4</v>
      </c>
      <c r="AP89" s="233">
        <f t="shared" si="17"/>
        <v>8.4444444444444437E-3</v>
      </c>
      <c r="AQ89" s="233">
        <f t="shared" si="18"/>
        <v>2.0277777777777777E-3</v>
      </c>
      <c r="AR89" s="233">
        <f t="shared" si="19"/>
        <v>1.7083333333333333E-4</v>
      </c>
      <c r="AS89" s="233">
        <f t="shared" si="20"/>
        <v>2.0833333333333335E-4</v>
      </c>
      <c r="AT89" s="233">
        <f t="shared" si="21"/>
        <v>1.2962962962962963E-3</v>
      </c>
      <c r="AU89" s="235">
        <f>SUM(tabParametros[[#This Row],[Ausência por Doença]:[Férias, Adicional de Férias e 13º  com empregada em gozo de Licença Maternidade]])*SUM(tabParametros[[#This Row],[INSS]:[SEBRAE]])</f>
        <v>4.5918250000000008E-3</v>
      </c>
      <c r="AV89" s="254">
        <f>IF(tabParametros[[#This Row],[Função]]="Porteiro - 220 h",SUM(tabParametros[[#This Row],[Salário Base]:[Adicional de Acúmulo de função]])/220*20*1.5,IF(ISNUMBER(SEARCH("12 x 36",tabParametros[[#This Row],[Função]],1)),SUM(tabParametros[[#This Row],[Salário Base]:[Adicional de Acúmulo de função]])/210*15.5*1.5,0))</f>
        <v>0</v>
      </c>
      <c r="AW89" s="232">
        <f>IF(tabParametros[[#This Row],[Vagas contratadas]]&gt;0,(SUM(tabParametros[[#This Row],[Salário Base]:[Adicional de Acúmulo de função]])*30%+SUM(tabParametros[[#This Row],[Vale - Alimentação]:[Seguro de Vida]]))/tabParametros[[#This Row],[Vagas contratadas]]*tabParametros[[#This Row],[Vagas suspensas]],0)</f>
        <v>0</v>
      </c>
      <c r="AX89" s="232">
        <f>SUMIF(tabUniformes[Cargo],tabParametros[[#This Row],[Função]],tabUniformes[Valor unit. Mensal])</f>
        <v>92.100763771570698</v>
      </c>
      <c r="AY8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8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8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89" s="232">
        <v>0</v>
      </c>
      <c r="BC89" s="234" t="e">
        <f ca="1">VLOOKUP(tabParametros[[#Headers],[Custos Indiretos]],tabOutrosCustos[],3,0)</f>
        <v>#NAME?</v>
      </c>
      <c r="BD89" s="234" t="e">
        <f ca="1">VLOOKUP(tabParametros[[#Headers],[Lucro]],tabOutrosCustos[],3,0)</f>
        <v>#NAME?</v>
      </c>
      <c r="BE89" s="233">
        <f>VLOOKUP(tabParametros[[#Headers],[COFINS]],tabImpostosNacionais[],2,0)</f>
        <v>7.5999999999999998E-2</v>
      </c>
      <c r="BF89" s="233">
        <f>VLOOKUP(tabParametros[[#Headers],[PIS]],tabImpostosNacionais[],2,0)</f>
        <v>1.6500000000000001E-2</v>
      </c>
      <c r="BG89" s="233">
        <f>VLOOKUP(tabParametros[[#This Row],[Comarca]],tabComarca[],4,0)</f>
        <v>3.7999999999999999E-2</v>
      </c>
      <c r="BH89" s="236">
        <f>VLOOKUP(tabParametros[[#This Row],[CCT DA CATEGORIA]],tabSindicatos[],11,0)</f>
        <v>45658</v>
      </c>
      <c r="BI89" s="282" t="str">
        <f>VLOOKUP(tabParametros[[#This Row],[CCT DA CATEGORIA]],tabSindicatos[],12,0)</f>
        <v>-</v>
      </c>
      <c r="BJ89" s="285" t="str">
        <f>VLOOKUP(tabParametros[[#This Row],[CCT DA CATEGORIA]],tabSindicatos[],13,0)</f>
        <v>-</v>
      </c>
    </row>
    <row r="90" spans="1:62">
      <c r="A90" s="231" t="s">
        <v>1555</v>
      </c>
      <c r="B90" s="197" t="s">
        <v>1104</v>
      </c>
      <c r="C90" s="197" t="s">
        <v>319</v>
      </c>
      <c r="D90" s="197" t="str">
        <f>VLOOKUP(tabParametros[[#This Row],[Código do Posto]],tabPostos[],4,0)</f>
        <v>Sind - Asseio</v>
      </c>
      <c r="E90" s="282" t="str">
        <f>VLOOKUP(tabParametros[[#This Row],[Código do Posto]],tabPostos[],5,0)</f>
        <v>Apoio</v>
      </c>
      <c r="F90" s="282" t="str">
        <f>VLOOKUP(tabParametros[[#This Row],[Código do Posto]],tabPostos[],6,0)</f>
        <v>PGJ</v>
      </c>
      <c r="G90" s="282">
        <f>VLOOKUP(tabParametros[[#This Row],[Código do Posto]],tabPostos[],7,0)</f>
        <v>1</v>
      </c>
      <c r="H90" s="282">
        <f>VLOOKUP(tabParametros[[#This Row],[Código do Posto]],tabPostos[],8,0)</f>
        <v>0</v>
      </c>
      <c r="I90" s="232">
        <f>VLOOKUP(tabParametros[[#This Row],[Código do Posto]],tabPostos[],9,0)</f>
        <v>2316.2296840668359</v>
      </c>
      <c r="J90" s="232">
        <f>IF(ISNUMBER(SEARCH("Eletricista",tabParametros[[#This Row],[Função]],1)),0.3*tabParametros[[#This Row],[Salário Base]],0)</f>
        <v>0</v>
      </c>
      <c r="K9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0" s="232">
        <f>IF(AND(ISNUMBER(SEARCH("Noturno",tabParametros[[#This Row],[Função]],1)),tabParametros[[#This Row],[Comarca]]&lt;&gt;"Juiz de Fora"),tabParametros[[#This Row],[Salário Base]]/210*0.39*7*15.5,IF(ISNUMBER(SEARCH("Noturno",tabParametros[[#This Row],[Função]],1)),tabParametros[[#This Row],[Salário Base]]/210*0.2*8*15.5,0))</f>
        <v>0</v>
      </c>
      <c r="M90" s="232">
        <f>IF(ISNUMBER(SEARCH("Motorista II",tabParametros[[#This Row],[Função]],1)),0.3022*tabParametros[[#This Row],[Salário Base]],0)</f>
        <v>0</v>
      </c>
      <c r="N90" s="254">
        <v>0</v>
      </c>
      <c r="O90" s="254">
        <f>IF(ISNUMBER(SEARCH("TECNOLOGIA DA INFORMACAO",tabParametros[[#This Row],[Função]],1)),0.056*tabParametros[[#This Row],[Salário Base]],0)</f>
        <v>0</v>
      </c>
      <c r="P90" s="232">
        <f>IF(tabParametros[[#This Row],[Função]]="Operador de Midia Audiovisual - 150 h",tabParametros[[#This Row],[Salário Base]]/150*50*30%,IF(tabParametros[[#This Row],[Função]]="Supervisor de Manutencao de Veiculos II - 220 h",12%*tabParametros[[#This Row],[Salário Base]],0))</f>
        <v>0</v>
      </c>
      <c r="Q90" s="233">
        <f>VLOOKUP(tabParametros[[#Headers],[INSS]],tabImpostosNacionais[],2,0)</f>
        <v>0.2</v>
      </c>
      <c r="R90" s="233">
        <f>VLOOKUP(tabParametros[[#Headers],[SESI OU SESC]],tabImpostosNacionais[],2,0)</f>
        <v>1.4999999999999999E-2</v>
      </c>
      <c r="S90" s="233">
        <f>VLOOKUP(tabParametros[[#Headers],[SENAI OU SENAC]],tabImpostosNacionais[],2,0)</f>
        <v>0.01</v>
      </c>
      <c r="T90" s="233">
        <f>VLOOKUP(tabParametros[[#Headers],[INCRA]],tabImpostosNacionais[],2,0)</f>
        <v>2E-3</v>
      </c>
      <c r="U90" s="233">
        <f>VLOOKUP(tabParametros[[#Headers],[Salário Educação]],tabImpostosNacionais[],2,0)</f>
        <v>2.5000000000000001E-2</v>
      </c>
      <c r="V90" s="233">
        <f>VLOOKUP(tabParametros[[#Headers],[FGTS]],tabImpostosNacionais[],2,0)</f>
        <v>0.08</v>
      </c>
      <c r="W90" s="233">
        <f>VLOOKUP(tabParametros[[#Headers],[RAT Ajustado]],tabImpostosNacionais[],2,0)</f>
        <v>0.04</v>
      </c>
      <c r="X90" s="233">
        <f>VLOOKUP(tabParametros[[#Headers],[SEBRAE]],tabImpostosNacionais[],2,0)</f>
        <v>6.0000000000000001E-3</v>
      </c>
      <c r="Y90" s="233">
        <f t="shared" si="11"/>
        <v>8.3333333333333329E-2</v>
      </c>
      <c r="Z90" s="233">
        <f t="shared" si="12"/>
        <v>0.1111111111111111</v>
      </c>
      <c r="AA90" s="232">
        <f>VLOOKUP(tabParametros[[#This Row],[Comarca]],tabComarca[],5,0)</f>
        <v>6.4</v>
      </c>
      <c r="AB90" s="232">
        <f>VLOOKUP(tabParametros[[#This Row],[CCT DA CATEGORIA]],tabSindicatos[],6,0)</f>
        <v>29.15</v>
      </c>
      <c r="AC90" s="232">
        <f>VLOOKUP(tabParametros[[#This Row],[CCT DA CATEGORIA]],tabSindicatos[],7,0)</f>
        <v>0</v>
      </c>
      <c r="AD90" s="232" cm="1">
        <f t="array" ref="AD9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90" s="232">
        <f>VLOOKUP(tabParametros[[#This Row],[CCT DA CATEGORIA]],tabSindicatos[],9,0)</f>
        <v>0</v>
      </c>
      <c r="AF90" s="232">
        <f>VLOOKUP(tabParametros[[#This Row],[CCT DA CATEGORIA]],tabSindicatos[],10,0)</f>
        <v>0</v>
      </c>
      <c r="AG90" s="234">
        <f>VLOOKUP(tabParametros[[#Headers],[Seguro de Vida]],tabOutrosCustos[],3,0)</f>
        <v>3.36</v>
      </c>
      <c r="AH90" s="234">
        <f>IF(ISNUMBER(SEARCH("MOTORISTA",tabParametros[[#This Row],[Função]],1)),VLOOKUP("MOTORISTAS",tabDiarias[],2,0),IF(tabParametros[[#This Row],[Comarca]]="Belo Horizonte",VLOOKUP("APOIO",tabDiarias[],2,0),0))</f>
        <v>0</v>
      </c>
      <c r="AI90" s="233">
        <f t="shared" si="13"/>
        <v>7.011766975308642E-3</v>
      </c>
      <c r="AJ90" s="235">
        <f>tabParametros[[#This Row],[FGTS]]*tabParametros[[#This Row],[Aviso Prévio Indenizado (API) e Reflexo do Aviso Prévio Indenizado]]</f>
        <v>5.609413580246914E-4</v>
      </c>
      <c r="AK90" s="235">
        <f>tabParametros[[#This Row],[FGTS]]*tabParametros[[#This Row],[Aviso Prévio Indenizado (API) e Reflexo do Aviso Prévio Indenizado]]*40%</f>
        <v>2.2437654320987658E-4</v>
      </c>
      <c r="AL90" s="233">
        <f t="shared" si="14"/>
        <v>3.5000000000000005E-3</v>
      </c>
      <c r="AM90" s="233">
        <f>tabParametros[[#This Row],[Aviso Prévio Trabalhado - APT]]*SUM(tabParametros[[#This Row],[INSS]:[SEBRAE]])</f>
        <v>1.3230000000000004E-3</v>
      </c>
      <c r="AN90" s="233">
        <f t="shared" si="15"/>
        <v>3.0577777777777773E-2</v>
      </c>
      <c r="AO90" s="233">
        <f t="shared" si="16"/>
        <v>8.3333333333333339E-4</v>
      </c>
      <c r="AP90" s="233">
        <f t="shared" si="17"/>
        <v>8.4444444444444437E-3</v>
      </c>
      <c r="AQ90" s="233">
        <f t="shared" si="18"/>
        <v>2.0277777777777777E-3</v>
      </c>
      <c r="AR90" s="233">
        <f t="shared" si="19"/>
        <v>1.7083333333333333E-4</v>
      </c>
      <c r="AS90" s="233">
        <f t="shared" si="20"/>
        <v>2.0833333333333335E-4</v>
      </c>
      <c r="AT90" s="233">
        <f t="shared" si="21"/>
        <v>1.2962962962962963E-3</v>
      </c>
      <c r="AU90" s="235">
        <f>SUM(tabParametros[[#This Row],[Ausência por Doença]:[Férias, Adicional de Férias e 13º  com empregada em gozo de Licença Maternidade]])*SUM(tabParametros[[#This Row],[INSS]:[SEBRAE]])</f>
        <v>4.5918250000000008E-3</v>
      </c>
      <c r="AV90" s="254">
        <f>IF(tabParametros[[#This Row],[Função]]="Porteiro - 220 h",SUM(tabParametros[[#This Row],[Salário Base]:[Adicional de Acúmulo de função]])/220*20*1.5,IF(ISNUMBER(SEARCH("12 x 36",tabParametros[[#This Row],[Função]],1)),SUM(tabParametros[[#This Row],[Salário Base]:[Adicional de Acúmulo de função]])/210*15.5*1.5,0))</f>
        <v>0</v>
      </c>
      <c r="AW90" s="232">
        <f>IF(tabParametros[[#This Row],[Vagas contratadas]]&gt;0,(SUM(tabParametros[[#This Row],[Salário Base]:[Adicional de Acúmulo de função]])*30%+SUM(tabParametros[[#This Row],[Vale - Alimentação]:[Seguro de Vida]]))/tabParametros[[#This Row],[Vagas contratadas]]*tabParametros[[#This Row],[Vagas suspensas]],0)</f>
        <v>0</v>
      </c>
      <c r="AX90" s="232">
        <f>SUMIF(tabUniformes[Cargo],tabParametros[[#This Row],[Função]],tabUniformes[Valor unit. Mensal])</f>
        <v>56.642978962543395</v>
      </c>
      <c r="AY9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0" s="232">
        <v>0</v>
      </c>
      <c r="BC90" s="234" t="e">
        <f ca="1">VLOOKUP(tabParametros[[#Headers],[Custos Indiretos]],tabOutrosCustos[],3,0)</f>
        <v>#NAME?</v>
      </c>
      <c r="BD90" s="234" t="e">
        <f ca="1">VLOOKUP(tabParametros[[#Headers],[Lucro]],tabOutrosCustos[],3,0)</f>
        <v>#NAME?</v>
      </c>
      <c r="BE90" s="233">
        <f>VLOOKUP(tabParametros[[#Headers],[COFINS]],tabImpostosNacionais[],2,0)</f>
        <v>7.5999999999999998E-2</v>
      </c>
      <c r="BF90" s="233">
        <f>VLOOKUP(tabParametros[[#Headers],[PIS]],tabImpostosNacionais[],2,0)</f>
        <v>1.6500000000000001E-2</v>
      </c>
      <c r="BG90" s="233">
        <f>VLOOKUP(tabParametros[[#This Row],[Comarca]],tabComarca[],4,0)</f>
        <v>3.7999999999999999E-2</v>
      </c>
      <c r="BH90" s="236">
        <f>VLOOKUP(tabParametros[[#This Row],[CCT DA CATEGORIA]],tabSindicatos[],11,0)</f>
        <v>45658</v>
      </c>
      <c r="BI90" s="282" t="str">
        <f>VLOOKUP(tabParametros[[#This Row],[CCT DA CATEGORIA]],tabSindicatos[],12,0)</f>
        <v>-</v>
      </c>
      <c r="BJ90" s="285" t="str">
        <f>VLOOKUP(tabParametros[[#This Row],[CCT DA CATEGORIA]],tabSindicatos[],13,0)</f>
        <v>-</v>
      </c>
    </row>
    <row r="91" spans="1:62">
      <c r="A91" s="231" t="s">
        <v>1556</v>
      </c>
      <c r="B91" s="197" t="s">
        <v>1104</v>
      </c>
      <c r="C91" s="197" t="s">
        <v>324</v>
      </c>
      <c r="D91" s="197" t="str">
        <f>VLOOKUP(tabParametros[[#This Row],[Código do Posto]],tabPostos[],4,0)</f>
        <v>Sind - Asseio</v>
      </c>
      <c r="E91" s="282" t="str">
        <f>VLOOKUP(tabParametros[[#This Row],[Código do Posto]],tabPostos[],5,0)</f>
        <v>Apoio</v>
      </c>
      <c r="F91" s="282" t="str">
        <f>VLOOKUP(tabParametros[[#This Row],[Código do Posto]],tabPostos[],6,0)</f>
        <v>PGJ</v>
      </c>
      <c r="G91" s="282">
        <f>VLOOKUP(tabParametros[[#This Row],[Código do Posto]],tabPostos[],7,0)</f>
        <v>1</v>
      </c>
      <c r="H91" s="282">
        <f>VLOOKUP(tabParametros[[#This Row],[Código do Posto]],tabPostos[],8,0)</f>
        <v>0</v>
      </c>
      <c r="I91" s="232">
        <f>VLOOKUP(tabParametros[[#This Row],[Código do Posto]],tabPostos[],9,0)</f>
        <v>3397.1306016921476</v>
      </c>
      <c r="J91" s="232">
        <f>IF(ISNUMBER(SEARCH("Eletricista",tabParametros[[#This Row],[Função]],1)),0.3*tabParametros[[#This Row],[Salário Base]],0)</f>
        <v>0</v>
      </c>
      <c r="K9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1" s="232">
        <f>IF(AND(ISNUMBER(SEARCH("Noturno",tabParametros[[#This Row],[Função]],1)),tabParametros[[#This Row],[Comarca]]&lt;&gt;"Juiz de Fora"),tabParametros[[#This Row],[Salário Base]]/210*0.39*7*15.5,IF(ISNUMBER(SEARCH("Noturno",tabParametros[[#This Row],[Função]],1)),tabParametros[[#This Row],[Salário Base]]/210*0.2*8*15.5,0))</f>
        <v>0</v>
      </c>
      <c r="M91" s="232">
        <f>IF(ISNUMBER(SEARCH("Motorista II",tabParametros[[#This Row],[Função]],1)),0.3022*tabParametros[[#This Row],[Salário Base]],0)</f>
        <v>0</v>
      </c>
      <c r="N91" s="254">
        <v>0</v>
      </c>
      <c r="O91" s="254">
        <f>IF(ISNUMBER(SEARCH("TECNOLOGIA DA INFORMACAO",tabParametros[[#This Row],[Função]],1)),0.056*tabParametros[[#This Row],[Salário Base]],0)</f>
        <v>0</v>
      </c>
      <c r="P91" s="232">
        <f>IF(tabParametros[[#This Row],[Função]]="Operador de Midia Audiovisual - 150 h",tabParametros[[#This Row],[Salário Base]]/150*50*30%,IF(tabParametros[[#This Row],[Função]]="Supervisor de Manutencao de Veiculos II - 220 h",12%*tabParametros[[#This Row],[Salário Base]],0))</f>
        <v>0</v>
      </c>
      <c r="Q91" s="233">
        <f>VLOOKUP(tabParametros[[#Headers],[INSS]],tabImpostosNacionais[],2,0)</f>
        <v>0.2</v>
      </c>
      <c r="R91" s="233">
        <f>VLOOKUP(tabParametros[[#Headers],[SESI OU SESC]],tabImpostosNacionais[],2,0)</f>
        <v>1.4999999999999999E-2</v>
      </c>
      <c r="S91" s="233">
        <f>VLOOKUP(tabParametros[[#Headers],[SENAI OU SENAC]],tabImpostosNacionais[],2,0)</f>
        <v>0.01</v>
      </c>
      <c r="T91" s="233">
        <f>VLOOKUP(tabParametros[[#Headers],[INCRA]],tabImpostosNacionais[],2,0)</f>
        <v>2E-3</v>
      </c>
      <c r="U91" s="233">
        <f>VLOOKUP(tabParametros[[#Headers],[Salário Educação]],tabImpostosNacionais[],2,0)</f>
        <v>2.5000000000000001E-2</v>
      </c>
      <c r="V91" s="233">
        <f>VLOOKUP(tabParametros[[#Headers],[FGTS]],tabImpostosNacionais[],2,0)</f>
        <v>0.08</v>
      </c>
      <c r="W91" s="233">
        <f>VLOOKUP(tabParametros[[#Headers],[RAT Ajustado]],tabImpostosNacionais[],2,0)</f>
        <v>0.04</v>
      </c>
      <c r="X91" s="233">
        <f>VLOOKUP(tabParametros[[#Headers],[SEBRAE]],tabImpostosNacionais[],2,0)</f>
        <v>6.0000000000000001E-3</v>
      </c>
      <c r="Y91" s="233">
        <f t="shared" si="11"/>
        <v>8.3333333333333329E-2</v>
      </c>
      <c r="Z91" s="233">
        <f t="shared" si="12"/>
        <v>0.1111111111111111</v>
      </c>
      <c r="AA91" s="232">
        <f>VLOOKUP(tabParametros[[#This Row],[Comarca]],tabComarca[],5,0)</f>
        <v>6.4</v>
      </c>
      <c r="AB91" s="232">
        <f>VLOOKUP(tabParametros[[#This Row],[CCT DA CATEGORIA]],tabSindicatos[],6,0)</f>
        <v>29.15</v>
      </c>
      <c r="AC91" s="232">
        <f>VLOOKUP(tabParametros[[#This Row],[CCT DA CATEGORIA]],tabSindicatos[],7,0)</f>
        <v>0</v>
      </c>
      <c r="AD91" s="232" cm="1">
        <f t="array" ref="AD9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91" s="232">
        <f>VLOOKUP(tabParametros[[#This Row],[CCT DA CATEGORIA]],tabSindicatos[],9,0)</f>
        <v>0</v>
      </c>
      <c r="AF91" s="232">
        <f>VLOOKUP(tabParametros[[#This Row],[CCT DA CATEGORIA]],tabSindicatos[],10,0)</f>
        <v>0</v>
      </c>
      <c r="AG91" s="234">
        <f>VLOOKUP(tabParametros[[#Headers],[Seguro de Vida]],tabOutrosCustos[],3,0)</f>
        <v>3.36</v>
      </c>
      <c r="AH91" s="234">
        <f>IF(ISNUMBER(SEARCH("MOTORISTA",tabParametros[[#This Row],[Função]],1)),VLOOKUP("MOTORISTAS",tabDiarias[],2,0),IF(tabParametros[[#This Row],[Comarca]]="Belo Horizonte",VLOOKUP("APOIO",tabDiarias[],2,0),0))</f>
        <v>0</v>
      </c>
      <c r="AI91" s="233">
        <f t="shared" si="13"/>
        <v>7.011766975308642E-3</v>
      </c>
      <c r="AJ91" s="235">
        <f>tabParametros[[#This Row],[FGTS]]*tabParametros[[#This Row],[Aviso Prévio Indenizado (API) e Reflexo do Aviso Prévio Indenizado]]</f>
        <v>5.609413580246914E-4</v>
      </c>
      <c r="AK91" s="235">
        <f>tabParametros[[#This Row],[FGTS]]*tabParametros[[#This Row],[Aviso Prévio Indenizado (API) e Reflexo do Aviso Prévio Indenizado]]*40%</f>
        <v>2.2437654320987658E-4</v>
      </c>
      <c r="AL91" s="233">
        <f t="shared" si="14"/>
        <v>3.5000000000000005E-3</v>
      </c>
      <c r="AM91" s="233">
        <f>tabParametros[[#This Row],[Aviso Prévio Trabalhado - APT]]*SUM(tabParametros[[#This Row],[INSS]:[SEBRAE]])</f>
        <v>1.3230000000000004E-3</v>
      </c>
      <c r="AN91" s="233">
        <f t="shared" si="15"/>
        <v>3.0577777777777773E-2</v>
      </c>
      <c r="AO91" s="233">
        <f t="shared" si="16"/>
        <v>8.3333333333333339E-4</v>
      </c>
      <c r="AP91" s="233">
        <f t="shared" si="17"/>
        <v>8.4444444444444437E-3</v>
      </c>
      <c r="AQ91" s="233">
        <f t="shared" si="18"/>
        <v>2.0277777777777777E-3</v>
      </c>
      <c r="AR91" s="233">
        <f t="shared" si="19"/>
        <v>1.7083333333333333E-4</v>
      </c>
      <c r="AS91" s="233">
        <f t="shared" si="20"/>
        <v>2.0833333333333335E-4</v>
      </c>
      <c r="AT91" s="233">
        <f t="shared" si="21"/>
        <v>1.2962962962962963E-3</v>
      </c>
      <c r="AU91" s="235">
        <f>SUM(tabParametros[[#This Row],[Ausência por Doença]:[Férias, Adicional de Férias e 13º  com empregada em gozo de Licença Maternidade]])*SUM(tabParametros[[#This Row],[INSS]:[SEBRAE]])</f>
        <v>4.5918250000000008E-3</v>
      </c>
      <c r="AV91" s="254">
        <f>IF(tabParametros[[#This Row],[Função]]="Porteiro - 220 h",SUM(tabParametros[[#This Row],[Salário Base]:[Adicional de Acúmulo de função]])/220*20*1.5,IF(ISNUMBER(SEARCH("12 x 36",tabParametros[[#This Row],[Função]],1)),SUM(tabParametros[[#This Row],[Salário Base]:[Adicional de Acúmulo de função]])/210*15.5*1.5,0))</f>
        <v>0</v>
      </c>
      <c r="AW91" s="232">
        <f>IF(tabParametros[[#This Row],[Vagas contratadas]]&gt;0,(SUM(tabParametros[[#This Row],[Salário Base]:[Adicional de Acúmulo de função]])*30%+SUM(tabParametros[[#This Row],[Vale - Alimentação]:[Seguro de Vida]]))/tabParametros[[#This Row],[Vagas contratadas]]*tabParametros[[#This Row],[Vagas suspensas]],0)</f>
        <v>0</v>
      </c>
      <c r="AX91" s="232">
        <f>SUMIF(tabUniformes[Cargo],tabParametros[[#This Row],[Função]],tabUniformes[Valor unit. Mensal])</f>
        <v>56.642978962543395</v>
      </c>
      <c r="AY9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1" s="232">
        <v>0</v>
      </c>
      <c r="BC91" s="234" t="e">
        <f ca="1">VLOOKUP(tabParametros[[#Headers],[Custos Indiretos]],tabOutrosCustos[],3,0)</f>
        <v>#NAME?</v>
      </c>
      <c r="BD91" s="234" t="e">
        <f ca="1">VLOOKUP(tabParametros[[#Headers],[Lucro]],tabOutrosCustos[],3,0)</f>
        <v>#NAME?</v>
      </c>
      <c r="BE91" s="233">
        <f>VLOOKUP(tabParametros[[#Headers],[COFINS]],tabImpostosNacionais[],2,0)</f>
        <v>7.5999999999999998E-2</v>
      </c>
      <c r="BF91" s="233">
        <f>VLOOKUP(tabParametros[[#Headers],[PIS]],tabImpostosNacionais[],2,0)</f>
        <v>1.6500000000000001E-2</v>
      </c>
      <c r="BG91" s="233">
        <f>VLOOKUP(tabParametros[[#This Row],[Comarca]],tabComarca[],4,0)</f>
        <v>3.7999999999999999E-2</v>
      </c>
      <c r="BH91" s="236">
        <f>VLOOKUP(tabParametros[[#This Row],[CCT DA CATEGORIA]],tabSindicatos[],11,0)</f>
        <v>45658</v>
      </c>
      <c r="BI91" s="282" t="str">
        <f>VLOOKUP(tabParametros[[#This Row],[CCT DA CATEGORIA]],tabSindicatos[],12,0)</f>
        <v>-</v>
      </c>
      <c r="BJ91" s="285" t="str">
        <f>VLOOKUP(tabParametros[[#This Row],[CCT DA CATEGORIA]],tabSindicatos[],13,0)</f>
        <v>-</v>
      </c>
    </row>
    <row r="92" spans="1:62">
      <c r="A92" s="231" t="s">
        <v>1557</v>
      </c>
      <c r="B92" s="197" t="s">
        <v>1104</v>
      </c>
      <c r="C92" s="197" t="s">
        <v>1370</v>
      </c>
      <c r="D92" s="197" t="str">
        <f>VLOOKUP(tabParametros[[#This Row],[Código do Posto]],tabPostos[],4,0)</f>
        <v>Sind - Asseio</v>
      </c>
      <c r="E92" s="282" t="str">
        <f>VLOOKUP(tabParametros[[#This Row],[Código do Posto]],tabPostos[],5,0)</f>
        <v>Apoio</v>
      </c>
      <c r="F92" s="282" t="str">
        <f>VLOOKUP(tabParametros[[#This Row],[Código do Posto]],tabPostos[],6,0)</f>
        <v>PGJ</v>
      </c>
      <c r="G92" s="282">
        <f>VLOOKUP(tabParametros[[#This Row],[Código do Posto]],tabPostos[],7,0)</f>
        <v>3</v>
      </c>
      <c r="H92" s="282">
        <f>VLOOKUP(tabParametros[[#This Row],[Código do Posto]],tabPostos[],8,0)</f>
        <v>0</v>
      </c>
      <c r="I92" s="232">
        <f>VLOOKUP(tabParametros[[#This Row],[Código do Posto]],tabPostos[],9,0)</f>
        <v>4768.659975857111</v>
      </c>
      <c r="J92" s="232">
        <f>IF(ISNUMBER(SEARCH("Eletricista",tabParametros[[#This Row],[Função]],1)),0.3*tabParametros[[#This Row],[Salário Base]],0)</f>
        <v>0</v>
      </c>
      <c r="K9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2" s="232">
        <f>IF(AND(ISNUMBER(SEARCH("Noturno",tabParametros[[#This Row],[Função]],1)),tabParametros[[#This Row],[Comarca]]&lt;&gt;"Juiz de Fora"),tabParametros[[#This Row],[Salário Base]]/210*0.39*7*15.5,IF(ISNUMBER(SEARCH("Noturno",tabParametros[[#This Row],[Função]],1)),tabParametros[[#This Row],[Salário Base]]/210*0.2*8*15.5,0))</f>
        <v>0</v>
      </c>
      <c r="M92" s="232">
        <f>IF(ISNUMBER(SEARCH("Motorista II",tabParametros[[#This Row],[Função]],1)),0.3022*tabParametros[[#This Row],[Salário Base]],0)</f>
        <v>0</v>
      </c>
      <c r="N92" s="254">
        <v>0</v>
      </c>
      <c r="O92" s="254">
        <f>IF(ISNUMBER(SEARCH("TECNOLOGIA DA INFORMACAO",tabParametros[[#This Row],[Função]],1)),0.056*tabParametros[[#This Row],[Salário Base]],0)</f>
        <v>0</v>
      </c>
      <c r="P92" s="232">
        <f>IF(tabParametros[[#This Row],[Função]]="Operador de Midia Audiovisual - 150 h",tabParametros[[#This Row],[Salário Base]]/150*50*30%,IF(tabParametros[[#This Row],[Função]]="Supervisor de Manutencao de Veiculos II - 220 h",12%*tabParametros[[#This Row],[Salário Base]],0))</f>
        <v>0</v>
      </c>
      <c r="Q92" s="233">
        <f>VLOOKUP(tabParametros[[#Headers],[INSS]],tabImpostosNacionais[],2,0)</f>
        <v>0.2</v>
      </c>
      <c r="R92" s="233">
        <f>VLOOKUP(tabParametros[[#Headers],[SESI OU SESC]],tabImpostosNacionais[],2,0)</f>
        <v>1.4999999999999999E-2</v>
      </c>
      <c r="S92" s="233">
        <f>VLOOKUP(tabParametros[[#Headers],[SENAI OU SENAC]],tabImpostosNacionais[],2,0)</f>
        <v>0.01</v>
      </c>
      <c r="T92" s="233">
        <f>VLOOKUP(tabParametros[[#Headers],[INCRA]],tabImpostosNacionais[],2,0)</f>
        <v>2E-3</v>
      </c>
      <c r="U92" s="233">
        <f>VLOOKUP(tabParametros[[#Headers],[Salário Educação]],tabImpostosNacionais[],2,0)</f>
        <v>2.5000000000000001E-2</v>
      </c>
      <c r="V92" s="233">
        <f>VLOOKUP(tabParametros[[#Headers],[FGTS]],tabImpostosNacionais[],2,0)</f>
        <v>0.08</v>
      </c>
      <c r="W92" s="233">
        <f>VLOOKUP(tabParametros[[#Headers],[RAT Ajustado]],tabImpostosNacionais[],2,0)</f>
        <v>0.04</v>
      </c>
      <c r="X92" s="233">
        <f>VLOOKUP(tabParametros[[#Headers],[SEBRAE]],tabImpostosNacionais[],2,0)</f>
        <v>6.0000000000000001E-3</v>
      </c>
      <c r="Y92" s="233">
        <f t="shared" si="11"/>
        <v>8.3333333333333329E-2</v>
      </c>
      <c r="Z92" s="233">
        <f t="shared" si="12"/>
        <v>0.1111111111111111</v>
      </c>
      <c r="AA92" s="232">
        <f>VLOOKUP(tabParametros[[#This Row],[Comarca]],tabComarca[],5,0)</f>
        <v>6.4</v>
      </c>
      <c r="AB92" s="232">
        <f>VLOOKUP(tabParametros[[#This Row],[CCT DA CATEGORIA]],tabSindicatos[],6,0)</f>
        <v>29.15</v>
      </c>
      <c r="AC92" s="232">
        <f>VLOOKUP(tabParametros[[#This Row],[CCT DA CATEGORIA]],tabSindicatos[],7,0)</f>
        <v>0</v>
      </c>
      <c r="AD92" s="232" cm="1">
        <f t="array" ref="AD9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92" s="232">
        <f>VLOOKUP(tabParametros[[#This Row],[CCT DA CATEGORIA]],tabSindicatos[],9,0)</f>
        <v>0</v>
      </c>
      <c r="AF92" s="232">
        <f>VLOOKUP(tabParametros[[#This Row],[CCT DA CATEGORIA]],tabSindicatos[],10,0)</f>
        <v>0</v>
      </c>
      <c r="AG92" s="234">
        <f>VLOOKUP(tabParametros[[#Headers],[Seguro de Vida]],tabOutrosCustos[],3,0)</f>
        <v>3.36</v>
      </c>
      <c r="AH92" s="234">
        <f>IF(ISNUMBER(SEARCH("MOTORISTA",tabParametros[[#This Row],[Função]],1)),VLOOKUP("MOTORISTAS",tabDiarias[],2,0),IF(tabParametros[[#This Row],[Comarca]]="Belo Horizonte",VLOOKUP("APOIO",tabDiarias[],2,0),0))</f>
        <v>0</v>
      </c>
      <c r="AI92" s="233">
        <f t="shared" si="13"/>
        <v>7.011766975308642E-3</v>
      </c>
      <c r="AJ92" s="235">
        <f>tabParametros[[#This Row],[FGTS]]*tabParametros[[#This Row],[Aviso Prévio Indenizado (API) e Reflexo do Aviso Prévio Indenizado]]</f>
        <v>5.609413580246914E-4</v>
      </c>
      <c r="AK92" s="235">
        <f>tabParametros[[#This Row],[FGTS]]*tabParametros[[#This Row],[Aviso Prévio Indenizado (API) e Reflexo do Aviso Prévio Indenizado]]*40%</f>
        <v>2.2437654320987658E-4</v>
      </c>
      <c r="AL92" s="233">
        <f t="shared" si="14"/>
        <v>3.5000000000000005E-3</v>
      </c>
      <c r="AM92" s="233">
        <f>tabParametros[[#This Row],[Aviso Prévio Trabalhado - APT]]*SUM(tabParametros[[#This Row],[INSS]:[SEBRAE]])</f>
        <v>1.3230000000000004E-3</v>
      </c>
      <c r="AN92" s="233">
        <f t="shared" si="15"/>
        <v>3.0577777777777773E-2</v>
      </c>
      <c r="AO92" s="233">
        <f t="shared" si="16"/>
        <v>8.3333333333333339E-4</v>
      </c>
      <c r="AP92" s="233">
        <f t="shared" si="17"/>
        <v>8.4444444444444437E-3</v>
      </c>
      <c r="AQ92" s="233">
        <f t="shared" si="18"/>
        <v>2.0277777777777777E-3</v>
      </c>
      <c r="AR92" s="233">
        <f t="shared" si="19"/>
        <v>1.7083333333333333E-4</v>
      </c>
      <c r="AS92" s="233">
        <f t="shared" si="20"/>
        <v>2.0833333333333335E-4</v>
      </c>
      <c r="AT92" s="233">
        <f t="shared" si="21"/>
        <v>1.2962962962962963E-3</v>
      </c>
      <c r="AU92" s="235">
        <f>SUM(tabParametros[[#This Row],[Ausência por Doença]:[Férias, Adicional de Férias e 13º  com empregada em gozo de Licença Maternidade]])*SUM(tabParametros[[#This Row],[INSS]:[SEBRAE]])</f>
        <v>4.5918250000000008E-3</v>
      </c>
      <c r="AV92" s="254">
        <f>IF(tabParametros[[#This Row],[Função]]="Porteiro - 220 h",SUM(tabParametros[[#This Row],[Salário Base]:[Adicional de Acúmulo de função]])/220*20*1.5,IF(ISNUMBER(SEARCH("12 x 36",tabParametros[[#This Row],[Função]],1)),SUM(tabParametros[[#This Row],[Salário Base]:[Adicional de Acúmulo de função]])/210*15.5*1.5,0))</f>
        <v>0</v>
      </c>
      <c r="AW92" s="232">
        <f>IF(tabParametros[[#This Row],[Vagas contratadas]]&gt;0,(SUM(tabParametros[[#This Row],[Salário Base]:[Adicional de Acúmulo de função]])*30%+SUM(tabParametros[[#This Row],[Vale - Alimentação]:[Seguro de Vida]]))/tabParametros[[#This Row],[Vagas contratadas]]*tabParametros[[#This Row],[Vagas suspensas]],0)</f>
        <v>0</v>
      </c>
      <c r="AX92" s="232">
        <f>SUMIF(tabUniformes[Cargo],tabParametros[[#This Row],[Função]],tabUniformes[Valor unit. Mensal])</f>
        <v>90.784679782039703</v>
      </c>
      <c r="AY9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2" s="232">
        <v>0</v>
      </c>
      <c r="BC92" s="234" t="e">
        <f ca="1">VLOOKUP(tabParametros[[#Headers],[Custos Indiretos]],tabOutrosCustos[],3,0)</f>
        <v>#NAME?</v>
      </c>
      <c r="BD92" s="234" t="e">
        <f ca="1">VLOOKUP(tabParametros[[#Headers],[Lucro]],tabOutrosCustos[],3,0)</f>
        <v>#NAME?</v>
      </c>
      <c r="BE92" s="233">
        <f>VLOOKUP(tabParametros[[#Headers],[COFINS]],tabImpostosNacionais[],2,0)</f>
        <v>7.5999999999999998E-2</v>
      </c>
      <c r="BF92" s="233">
        <f>VLOOKUP(tabParametros[[#Headers],[PIS]],tabImpostosNacionais[],2,0)</f>
        <v>1.6500000000000001E-2</v>
      </c>
      <c r="BG92" s="233">
        <f>VLOOKUP(tabParametros[[#This Row],[Comarca]],tabComarca[],4,0)</f>
        <v>3.7999999999999999E-2</v>
      </c>
      <c r="BH92" s="236">
        <f>VLOOKUP(tabParametros[[#This Row],[CCT DA CATEGORIA]],tabSindicatos[],11,0)</f>
        <v>45658</v>
      </c>
      <c r="BI92" s="282" t="str">
        <f>VLOOKUP(tabParametros[[#This Row],[CCT DA CATEGORIA]],tabSindicatos[],12,0)</f>
        <v>-</v>
      </c>
      <c r="BJ92" s="285" t="str">
        <f>VLOOKUP(tabParametros[[#This Row],[CCT DA CATEGORIA]],tabSindicatos[],13,0)</f>
        <v>-</v>
      </c>
    </row>
    <row r="93" spans="1:62">
      <c r="A93" s="231" t="s">
        <v>1461</v>
      </c>
      <c r="B93" s="197" t="s">
        <v>1105</v>
      </c>
      <c r="C93" s="197" t="s">
        <v>200</v>
      </c>
      <c r="D93" s="197" t="str">
        <f>VLOOKUP(tabParametros[[#This Row],[Código do Posto]],tabPostos[],4,0)</f>
        <v>Regiao de Sao Lourenco</v>
      </c>
      <c r="E93" s="282" t="str">
        <f>VLOOKUP(tabParametros[[#This Row],[Código do Posto]],tabPostos[],5,0)</f>
        <v>Apoio</v>
      </c>
      <c r="F93" s="282" t="str">
        <f>VLOOKUP(tabParametros[[#This Row],[Código do Posto]],tabPostos[],6,0)</f>
        <v>PGJ</v>
      </c>
      <c r="G93" s="282">
        <f>VLOOKUP(tabParametros[[#This Row],[Código do Posto]],tabPostos[],7,0)</f>
        <v>1</v>
      </c>
      <c r="H93" s="282">
        <f>VLOOKUP(tabParametros[[#This Row],[Código do Posto]],tabPostos[],8,0)</f>
        <v>0</v>
      </c>
      <c r="I93" s="232">
        <f>VLOOKUP(tabParametros[[#This Row],[Código do Posto]],tabPostos[],9,0)</f>
        <v>1596.273808921236</v>
      </c>
      <c r="J93" s="232">
        <f>IF(ISNUMBER(SEARCH("Eletricista",tabParametros[[#This Row],[Função]],1)),0.3*tabParametros[[#This Row],[Salário Base]],0)</f>
        <v>0</v>
      </c>
      <c r="K9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3" s="232">
        <f>IF(AND(ISNUMBER(SEARCH("Noturno",tabParametros[[#This Row],[Função]],1)),tabParametros[[#This Row],[Comarca]]&lt;&gt;"Juiz de Fora"),tabParametros[[#This Row],[Salário Base]]/210*0.39*7*15.5,IF(ISNUMBER(SEARCH("Noturno",tabParametros[[#This Row],[Função]],1)),tabParametros[[#This Row],[Salário Base]]/210*0.2*8*15.5,0))</f>
        <v>0</v>
      </c>
      <c r="M93" s="232">
        <f>IF(ISNUMBER(SEARCH("Motorista II",tabParametros[[#This Row],[Função]],1)),0.3022*tabParametros[[#This Row],[Salário Base]],0)</f>
        <v>0</v>
      </c>
      <c r="N93" s="254">
        <v>0</v>
      </c>
      <c r="O93" s="254">
        <f>IF(ISNUMBER(SEARCH("TECNOLOGIA DA INFORMACAO",tabParametros[[#This Row],[Função]],1)),0.056*tabParametros[[#This Row],[Salário Base]],0)</f>
        <v>0</v>
      </c>
      <c r="P93" s="232">
        <f>IF(tabParametros[[#This Row],[Função]]="Operador de Midia Audiovisual - 150 h",tabParametros[[#This Row],[Salário Base]]/150*50*30%,IF(tabParametros[[#This Row],[Função]]="Supervisor de Manutencao de Veiculos II - 220 h",12%*tabParametros[[#This Row],[Salário Base]],0))</f>
        <v>0</v>
      </c>
      <c r="Q93" s="233">
        <f>VLOOKUP(tabParametros[[#Headers],[INSS]],tabImpostosNacionais[],2,0)</f>
        <v>0.2</v>
      </c>
      <c r="R93" s="233">
        <f>VLOOKUP(tabParametros[[#Headers],[SESI OU SESC]],tabImpostosNacionais[],2,0)</f>
        <v>1.4999999999999999E-2</v>
      </c>
      <c r="S93" s="233">
        <f>VLOOKUP(tabParametros[[#Headers],[SENAI OU SENAC]],tabImpostosNacionais[],2,0)</f>
        <v>0.01</v>
      </c>
      <c r="T93" s="233">
        <f>VLOOKUP(tabParametros[[#Headers],[INCRA]],tabImpostosNacionais[],2,0)</f>
        <v>2E-3</v>
      </c>
      <c r="U93" s="233">
        <f>VLOOKUP(tabParametros[[#Headers],[Salário Educação]],tabImpostosNacionais[],2,0)</f>
        <v>2.5000000000000001E-2</v>
      </c>
      <c r="V93" s="233">
        <f>VLOOKUP(tabParametros[[#Headers],[FGTS]],tabImpostosNacionais[],2,0)</f>
        <v>0.08</v>
      </c>
      <c r="W93" s="233">
        <f>VLOOKUP(tabParametros[[#Headers],[RAT Ajustado]],tabImpostosNacionais[],2,0)</f>
        <v>0.04</v>
      </c>
      <c r="X93" s="233">
        <f>VLOOKUP(tabParametros[[#Headers],[SEBRAE]],tabImpostosNacionais[],2,0)</f>
        <v>6.0000000000000001E-3</v>
      </c>
      <c r="Y93" s="233">
        <f t="shared" si="11"/>
        <v>8.3333333333333329E-2</v>
      </c>
      <c r="Z93" s="233">
        <f t="shared" si="12"/>
        <v>0.1111111111111111</v>
      </c>
      <c r="AA93" s="232">
        <f>VLOOKUP(tabParametros[[#This Row],[Comarca]],tabComarca[],5,0)</f>
        <v>6.4</v>
      </c>
      <c r="AB93" s="232">
        <f>VLOOKUP(tabParametros[[#This Row],[CCT DA CATEGORIA]],tabSindicatos[],6,0)</f>
        <v>29.15</v>
      </c>
      <c r="AC93" s="232">
        <f>VLOOKUP(tabParametros[[#This Row],[CCT DA CATEGORIA]],tabSindicatos[],7,0)</f>
        <v>0</v>
      </c>
      <c r="AD93" s="232" cm="1">
        <f t="array" ref="AD9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93" s="232">
        <f>VLOOKUP(tabParametros[[#This Row],[CCT DA CATEGORIA]],tabSindicatos[],9,0)</f>
        <v>0</v>
      </c>
      <c r="AF93" s="232">
        <f>VLOOKUP(tabParametros[[#This Row],[CCT DA CATEGORIA]],tabSindicatos[],10,0)</f>
        <v>0</v>
      </c>
      <c r="AG93" s="234">
        <f>VLOOKUP(tabParametros[[#Headers],[Seguro de Vida]],tabOutrosCustos[],3,0)</f>
        <v>3.36</v>
      </c>
      <c r="AH93" s="234">
        <f>IF(ISNUMBER(SEARCH("MOTORISTA",tabParametros[[#This Row],[Função]],1)),VLOOKUP("MOTORISTAS",tabDiarias[],2,0),IF(tabParametros[[#This Row],[Comarca]]="Belo Horizonte",VLOOKUP("APOIO",tabDiarias[],2,0),0))</f>
        <v>0</v>
      </c>
      <c r="AI93" s="233">
        <f t="shared" si="13"/>
        <v>7.011766975308642E-3</v>
      </c>
      <c r="AJ93" s="235">
        <f>tabParametros[[#This Row],[FGTS]]*tabParametros[[#This Row],[Aviso Prévio Indenizado (API) e Reflexo do Aviso Prévio Indenizado]]</f>
        <v>5.609413580246914E-4</v>
      </c>
      <c r="AK93" s="235">
        <f>tabParametros[[#This Row],[FGTS]]*tabParametros[[#This Row],[Aviso Prévio Indenizado (API) e Reflexo do Aviso Prévio Indenizado]]*40%</f>
        <v>2.2437654320987658E-4</v>
      </c>
      <c r="AL93" s="233">
        <f t="shared" si="14"/>
        <v>3.5000000000000005E-3</v>
      </c>
      <c r="AM93" s="233">
        <f>tabParametros[[#This Row],[Aviso Prévio Trabalhado - APT]]*SUM(tabParametros[[#This Row],[INSS]:[SEBRAE]])</f>
        <v>1.3230000000000004E-3</v>
      </c>
      <c r="AN93" s="233">
        <f t="shared" si="15"/>
        <v>3.0577777777777773E-2</v>
      </c>
      <c r="AO93" s="233">
        <f t="shared" si="16"/>
        <v>8.3333333333333339E-4</v>
      </c>
      <c r="AP93" s="233">
        <f t="shared" si="17"/>
        <v>8.4444444444444437E-3</v>
      </c>
      <c r="AQ93" s="233">
        <f t="shared" si="18"/>
        <v>2.0277777777777777E-3</v>
      </c>
      <c r="AR93" s="233">
        <f t="shared" si="19"/>
        <v>1.7083333333333333E-4</v>
      </c>
      <c r="AS93" s="233">
        <f t="shared" si="20"/>
        <v>2.0833333333333335E-4</v>
      </c>
      <c r="AT93" s="233">
        <f t="shared" si="21"/>
        <v>1.2962962962962963E-3</v>
      </c>
      <c r="AU93" s="235">
        <f>SUM(tabParametros[[#This Row],[Ausência por Doença]:[Férias, Adicional de Férias e 13º  com empregada em gozo de Licença Maternidade]])*SUM(tabParametros[[#This Row],[INSS]:[SEBRAE]])</f>
        <v>4.5918250000000008E-3</v>
      </c>
      <c r="AV93" s="254">
        <f>IF(tabParametros[[#This Row],[Função]]="Porteiro - 220 h",SUM(tabParametros[[#This Row],[Salário Base]:[Adicional de Acúmulo de função]])/220*20*1.5,IF(ISNUMBER(SEARCH("12 x 36",tabParametros[[#This Row],[Função]],1)),SUM(tabParametros[[#This Row],[Salário Base]:[Adicional de Acúmulo de função]])/210*15.5*1.5,0))</f>
        <v>0</v>
      </c>
      <c r="AW93" s="232">
        <f>IF(tabParametros[[#This Row],[Vagas contratadas]]&gt;0,(SUM(tabParametros[[#This Row],[Salário Base]:[Adicional de Acúmulo de função]])*30%+SUM(tabParametros[[#This Row],[Vale - Alimentação]:[Seguro de Vida]]))/tabParametros[[#This Row],[Vagas contratadas]]*tabParametros[[#This Row],[Vagas suspensas]],0)</f>
        <v>0</v>
      </c>
      <c r="AX93" s="232">
        <f>SUMIF(tabUniformes[Cargo],tabParametros[[#This Row],[Função]],tabUniformes[Valor unit. Mensal])</f>
        <v>56.141713661989918</v>
      </c>
      <c r="AY9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3" s="232">
        <v>0</v>
      </c>
      <c r="BC93" s="234" t="e">
        <f ca="1">VLOOKUP(tabParametros[[#Headers],[Custos Indiretos]],tabOutrosCustos[],3,0)</f>
        <v>#NAME?</v>
      </c>
      <c r="BD93" s="234" t="e">
        <f ca="1">VLOOKUP(tabParametros[[#Headers],[Lucro]],tabOutrosCustos[],3,0)</f>
        <v>#NAME?</v>
      </c>
      <c r="BE93" s="233">
        <f>VLOOKUP(tabParametros[[#Headers],[COFINS]],tabImpostosNacionais[],2,0)</f>
        <v>7.5999999999999998E-2</v>
      </c>
      <c r="BF93" s="233">
        <f>VLOOKUP(tabParametros[[#Headers],[PIS]],tabImpostosNacionais[],2,0)</f>
        <v>1.6500000000000001E-2</v>
      </c>
      <c r="BG93" s="233">
        <f>VLOOKUP(tabParametros[[#This Row],[Comarca]],tabComarca[],4,0)</f>
        <v>0.03</v>
      </c>
      <c r="BH93" s="236">
        <f>VLOOKUP(tabParametros[[#This Row],[CCT DA CATEGORIA]],tabSindicatos[],11,0)</f>
        <v>45658</v>
      </c>
      <c r="BI93" s="282" t="str">
        <f>VLOOKUP(tabParametros[[#This Row],[CCT DA CATEGORIA]],tabSindicatos[],12,0)</f>
        <v>-</v>
      </c>
      <c r="BJ93" s="285" t="str">
        <f>VLOOKUP(tabParametros[[#This Row],[CCT DA CATEGORIA]],tabSindicatos[],13,0)</f>
        <v>-</v>
      </c>
    </row>
    <row r="94" spans="1:62">
      <c r="A94" s="231" t="s">
        <v>1558</v>
      </c>
      <c r="B94" s="197" t="s">
        <v>1106</v>
      </c>
      <c r="C94" s="197" t="s">
        <v>324</v>
      </c>
      <c r="D94" s="197" t="str">
        <f>VLOOKUP(tabParametros[[#This Row],[Código do Posto]],tabPostos[],4,0)</f>
        <v>Sethac Norte de Minas</v>
      </c>
      <c r="E94" s="282" t="str">
        <f>VLOOKUP(tabParametros[[#This Row],[Código do Posto]],tabPostos[],5,0)</f>
        <v>Apoio</v>
      </c>
      <c r="F94" s="282" t="str">
        <f>VLOOKUP(tabParametros[[#This Row],[Código do Posto]],tabPostos[],6,0)</f>
        <v>PGJ</v>
      </c>
      <c r="G94" s="282">
        <f>VLOOKUP(tabParametros[[#This Row],[Código do Posto]],tabPostos[],7,0)</f>
        <v>1</v>
      </c>
      <c r="H94" s="282">
        <f>VLOOKUP(tabParametros[[#This Row],[Código do Posto]],tabPostos[],8,0)</f>
        <v>0</v>
      </c>
      <c r="I94" s="232">
        <f>VLOOKUP(tabParametros[[#This Row],[Código do Posto]],tabPostos[],9,0)</f>
        <v>3397.1306016921476</v>
      </c>
      <c r="J94" s="232">
        <f>IF(ISNUMBER(SEARCH("Eletricista",tabParametros[[#This Row],[Função]],1)),0.3*tabParametros[[#This Row],[Salário Base]],0)</f>
        <v>0</v>
      </c>
      <c r="K9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4" s="232">
        <f>IF(AND(ISNUMBER(SEARCH("Noturno",tabParametros[[#This Row],[Função]],1)),tabParametros[[#This Row],[Comarca]]&lt;&gt;"Juiz de Fora"),tabParametros[[#This Row],[Salário Base]]/210*0.39*7*15.5,IF(ISNUMBER(SEARCH("Noturno",tabParametros[[#This Row],[Função]],1)),tabParametros[[#This Row],[Salário Base]]/210*0.2*8*15.5,0))</f>
        <v>0</v>
      </c>
      <c r="M94" s="232">
        <f>IF(ISNUMBER(SEARCH("Motorista II",tabParametros[[#This Row],[Função]],1)),0.3022*tabParametros[[#This Row],[Salário Base]],0)</f>
        <v>0</v>
      </c>
      <c r="N94" s="254">
        <v>0</v>
      </c>
      <c r="O94" s="254">
        <f>IF(ISNUMBER(SEARCH("TECNOLOGIA DA INFORMACAO",tabParametros[[#This Row],[Função]],1)),0.056*tabParametros[[#This Row],[Salário Base]],0)</f>
        <v>0</v>
      </c>
      <c r="P94" s="232">
        <f>IF(tabParametros[[#This Row],[Função]]="Operador de Midia Audiovisual - 150 h",tabParametros[[#This Row],[Salário Base]]/150*50*30%,IF(tabParametros[[#This Row],[Função]]="Supervisor de Manutencao de Veiculos II - 220 h",12%*tabParametros[[#This Row],[Salário Base]],0))</f>
        <v>0</v>
      </c>
      <c r="Q94" s="233">
        <f>VLOOKUP(tabParametros[[#Headers],[INSS]],tabImpostosNacionais[],2,0)</f>
        <v>0.2</v>
      </c>
      <c r="R94" s="233">
        <f>VLOOKUP(tabParametros[[#Headers],[SESI OU SESC]],tabImpostosNacionais[],2,0)</f>
        <v>1.4999999999999999E-2</v>
      </c>
      <c r="S94" s="233">
        <f>VLOOKUP(tabParametros[[#Headers],[SENAI OU SENAC]],tabImpostosNacionais[],2,0)</f>
        <v>0.01</v>
      </c>
      <c r="T94" s="233">
        <f>VLOOKUP(tabParametros[[#Headers],[INCRA]],tabImpostosNacionais[],2,0)</f>
        <v>2E-3</v>
      </c>
      <c r="U94" s="233">
        <f>VLOOKUP(tabParametros[[#Headers],[Salário Educação]],tabImpostosNacionais[],2,0)</f>
        <v>2.5000000000000001E-2</v>
      </c>
      <c r="V94" s="233">
        <f>VLOOKUP(tabParametros[[#Headers],[FGTS]],tabImpostosNacionais[],2,0)</f>
        <v>0.08</v>
      </c>
      <c r="W94" s="233">
        <f>VLOOKUP(tabParametros[[#Headers],[RAT Ajustado]],tabImpostosNacionais[],2,0)</f>
        <v>0.04</v>
      </c>
      <c r="X94" s="233">
        <f>VLOOKUP(tabParametros[[#Headers],[SEBRAE]],tabImpostosNacionais[],2,0)</f>
        <v>6.0000000000000001E-3</v>
      </c>
      <c r="Y94" s="233">
        <f t="shared" si="11"/>
        <v>8.3333333333333329E-2</v>
      </c>
      <c r="Z94" s="233">
        <f t="shared" si="12"/>
        <v>0.1111111111111111</v>
      </c>
      <c r="AA94" s="232">
        <f>VLOOKUP(tabParametros[[#This Row],[Comarca]],tabComarca[],5,0)</f>
        <v>6.4</v>
      </c>
      <c r="AB94" s="232">
        <f>VLOOKUP(tabParametros[[#This Row],[CCT DA CATEGORIA]],tabSindicatos[],6,0)</f>
        <v>29.15</v>
      </c>
      <c r="AC94" s="232">
        <f>VLOOKUP(tabParametros[[#This Row],[CCT DA CATEGORIA]],tabSindicatos[],7,0)</f>
        <v>0</v>
      </c>
      <c r="AD94" s="232" cm="1">
        <f t="array" ref="AD9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94" s="232">
        <f>VLOOKUP(tabParametros[[#This Row],[CCT DA CATEGORIA]],tabSindicatos[],9,0)</f>
        <v>0</v>
      </c>
      <c r="AF94" s="232">
        <f>VLOOKUP(tabParametros[[#This Row],[CCT DA CATEGORIA]],tabSindicatos[],10,0)</f>
        <v>0</v>
      </c>
      <c r="AG94" s="234">
        <f>VLOOKUP(tabParametros[[#Headers],[Seguro de Vida]],tabOutrosCustos[],3,0)</f>
        <v>3.36</v>
      </c>
      <c r="AH94" s="234">
        <f>IF(ISNUMBER(SEARCH("MOTORISTA",tabParametros[[#This Row],[Função]],1)),VLOOKUP("MOTORISTAS",tabDiarias[],2,0),IF(tabParametros[[#This Row],[Comarca]]="Belo Horizonte",VLOOKUP("APOIO",tabDiarias[],2,0),0))</f>
        <v>0</v>
      </c>
      <c r="AI94" s="233">
        <f t="shared" si="13"/>
        <v>7.011766975308642E-3</v>
      </c>
      <c r="AJ94" s="235">
        <f>tabParametros[[#This Row],[FGTS]]*tabParametros[[#This Row],[Aviso Prévio Indenizado (API) e Reflexo do Aviso Prévio Indenizado]]</f>
        <v>5.609413580246914E-4</v>
      </c>
      <c r="AK94" s="235">
        <f>tabParametros[[#This Row],[FGTS]]*tabParametros[[#This Row],[Aviso Prévio Indenizado (API) e Reflexo do Aviso Prévio Indenizado]]*40%</f>
        <v>2.2437654320987658E-4</v>
      </c>
      <c r="AL94" s="233">
        <f t="shared" si="14"/>
        <v>3.5000000000000005E-3</v>
      </c>
      <c r="AM94" s="233">
        <f>tabParametros[[#This Row],[Aviso Prévio Trabalhado - APT]]*SUM(tabParametros[[#This Row],[INSS]:[SEBRAE]])</f>
        <v>1.3230000000000004E-3</v>
      </c>
      <c r="AN94" s="233">
        <f t="shared" si="15"/>
        <v>3.0577777777777773E-2</v>
      </c>
      <c r="AO94" s="233">
        <f t="shared" si="16"/>
        <v>8.3333333333333339E-4</v>
      </c>
      <c r="AP94" s="233">
        <f t="shared" si="17"/>
        <v>8.4444444444444437E-3</v>
      </c>
      <c r="AQ94" s="233">
        <f t="shared" si="18"/>
        <v>2.0277777777777777E-3</v>
      </c>
      <c r="AR94" s="233">
        <f t="shared" si="19"/>
        <v>1.7083333333333333E-4</v>
      </c>
      <c r="AS94" s="233">
        <f t="shared" si="20"/>
        <v>2.0833333333333335E-4</v>
      </c>
      <c r="AT94" s="233">
        <f t="shared" si="21"/>
        <v>1.2962962962962963E-3</v>
      </c>
      <c r="AU94" s="235">
        <f>SUM(tabParametros[[#This Row],[Ausência por Doença]:[Férias, Adicional de Férias e 13º  com empregada em gozo de Licença Maternidade]])*SUM(tabParametros[[#This Row],[INSS]:[SEBRAE]])</f>
        <v>4.5918250000000008E-3</v>
      </c>
      <c r="AV94" s="254">
        <f>IF(tabParametros[[#This Row],[Função]]="Porteiro - 220 h",SUM(tabParametros[[#This Row],[Salário Base]:[Adicional de Acúmulo de função]])/220*20*1.5,IF(ISNUMBER(SEARCH("12 x 36",tabParametros[[#This Row],[Função]],1)),SUM(tabParametros[[#This Row],[Salário Base]:[Adicional de Acúmulo de função]])/210*15.5*1.5,0))</f>
        <v>0</v>
      </c>
      <c r="AW94" s="232">
        <f>IF(tabParametros[[#This Row],[Vagas contratadas]]&gt;0,(SUM(tabParametros[[#This Row],[Salário Base]:[Adicional de Acúmulo de função]])*30%+SUM(tabParametros[[#This Row],[Vale - Alimentação]:[Seguro de Vida]]))/tabParametros[[#This Row],[Vagas contratadas]]*tabParametros[[#This Row],[Vagas suspensas]],0)</f>
        <v>0</v>
      </c>
      <c r="AX94" s="232">
        <f>SUMIF(tabUniformes[Cargo],tabParametros[[#This Row],[Função]],tabUniformes[Valor unit. Mensal])</f>
        <v>56.642978962543395</v>
      </c>
      <c r="AY9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4" s="232">
        <v>0</v>
      </c>
      <c r="BC94" s="234" t="e">
        <f ca="1">VLOOKUP(tabParametros[[#Headers],[Custos Indiretos]],tabOutrosCustos[],3,0)</f>
        <v>#NAME?</v>
      </c>
      <c r="BD94" s="234" t="e">
        <f ca="1">VLOOKUP(tabParametros[[#Headers],[Lucro]],tabOutrosCustos[],3,0)</f>
        <v>#NAME?</v>
      </c>
      <c r="BE94" s="233">
        <f>VLOOKUP(tabParametros[[#Headers],[COFINS]],tabImpostosNacionais[],2,0)</f>
        <v>7.5999999999999998E-2</v>
      </c>
      <c r="BF94" s="233">
        <f>VLOOKUP(tabParametros[[#Headers],[PIS]],tabImpostosNacionais[],2,0)</f>
        <v>1.6500000000000001E-2</v>
      </c>
      <c r="BG94" s="233">
        <f>VLOOKUP(tabParametros[[#This Row],[Comarca]],tabComarca[],4,0)</f>
        <v>0.03</v>
      </c>
      <c r="BH94" s="236">
        <f>VLOOKUP(tabParametros[[#This Row],[CCT DA CATEGORIA]],tabSindicatos[],11,0)</f>
        <v>45658</v>
      </c>
      <c r="BI94" s="282" t="str">
        <f>VLOOKUP(tabParametros[[#This Row],[CCT DA CATEGORIA]],tabSindicatos[],12,0)</f>
        <v>-</v>
      </c>
      <c r="BJ94" s="285" t="str">
        <f>VLOOKUP(tabParametros[[#This Row],[CCT DA CATEGORIA]],tabSindicatos[],13,0)</f>
        <v>-</v>
      </c>
    </row>
    <row r="95" spans="1:62">
      <c r="A95" s="231" t="s">
        <v>1559</v>
      </c>
      <c r="B95" s="197" t="s">
        <v>1107</v>
      </c>
      <c r="C95" s="197" t="s">
        <v>314</v>
      </c>
      <c r="D95" s="197" t="str">
        <f>VLOOKUP(tabParametros[[#This Row],[Código do Posto]],tabPostos[],4,0)</f>
        <v>Fethemg Interior</v>
      </c>
      <c r="E95" s="282" t="str">
        <f>VLOOKUP(tabParametros[[#This Row],[Código do Posto]],tabPostos[],5,0)</f>
        <v>Apoio</v>
      </c>
      <c r="F95" s="282" t="str">
        <f>VLOOKUP(tabParametros[[#This Row],[Código do Posto]],tabPostos[],6,0)</f>
        <v>PGJ</v>
      </c>
      <c r="G95" s="282">
        <f>VLOOKUP(tabParametros[[#This Row],[Código do Posto]],tabPostos[],7,0)</f>
        <v>1</v>
      </c>
      <c r="H95" s="282">
        <f>VLOOKUP(tabParametros[[#This Row],[Código do Posto]],tabPostos[],8,0)</f>
        <v>0</v>
      </c>
      <c r="I95" s="232">
        <f>VLOOKUP(tabParametros[[#This Row],[Código do Posto]],tabPostos[],9,0)</f>
        <v>1963.4110092077037</v>
      </c>
      <c r="J95" s="232">
        <f>IF(ISNUMBER(SEARCH("Eletricista",tabParametros[[#This Row],[Função]],1)),0.3*tabParametros[[#This Row],[Salário Base]],0)</f>
        <v>0</v>
      </c>
      <c r="K9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5" s="232">
        <f>IF(AND(ISNUMBER(SEARCH("Noturno",tabParametros[[#This Row],[Função]],1)),tabParametros[[#This Row],[Comarca]]&lt;&gt;"Juiz de Fora"),tabParametros[[#This Row],[Salário Base]]/210*0.39*7*15.5,IF(ISNUMBER(SEARCH("Noturno",tabParametros[[#This Row],[Função]],1)),tabParametros[[#This Row],[Salário Base]]/210*0.2*8*15.5,0))</f>
        <v>0</v>
      </c>
      <c r="M95" s="232">
        <f>IF(ISNUMBER(SEARCH("Motorista II",tabParametros[[#This Row],[Função]],1)),0.3022*tabParametros[[#This Row],[Salário Base]],0)</f>
        <v>0</v>
      </c>
      <c r="N95" s="254">
        <v>0</v>
      </c>
      <c r="O95" s="254">
        <f>IF(ISNUMBER(SEARCH("TECNOLOGIA DA INFORMACAO",tabParametros[[#This Row],[Função]],1)),0.056*tabParametros[[#This Row],[Salário Base]],0)</f>
        <v>0</v>
      </c>
      <c r="P95" s="232">
        <f>IF(tabParametros[[#This Row],[Função]]="Operador de Midia Audiovisual - 150 h",tabParametros[[#This Row],[Salário Base]]/150*50*30%,IF(tabParametros[[#This Row],[Função]]="Supervisor de Manutencao de Veiculos II - 220 h",12%*tabParametros[[#This Row],[Salário Base]],0))</f>
        <v>0</v>
      </c>
      <c r="Q95" s="233">
        <f>VLOOKUP(tabParametros[[#Headers],[INSS]],tabImpostosNacionais[],2,0)</f>
        <v>0.2</v>
      </c>
      <c r="R95" s="233">
        <f>VLOOKUP(tabParametros[[#Headers],[SESI OU SESC]],tabImpostosNacionais[],2,0)</f>
        <v>1.4999999999999999E-2</v>
      </c>
      <c r="S95" s="233">
        <f>VLOOKUP(tabParametros[[#Headers],[SENAI OU SENAC]],tabImpostosNacionais[],2,0)</f>
        <v>0.01</v>
      </c>
      <c r="T95" s="233">
        <f>VLOOKUP(tabParametros[[#Headers],[INCRA]],tabImpostosNacionais[],2,0)</f>
        <v>2E-3</v>
      </c>
      <c r="U95" s="233">
        <f>VLOOKUP(tabParametros[[#Headers],[Salário Educação]],tabImpostosNacionais[],2,0)</f>
        <v>2.5000000000000001E-2</v>
      </c>
      <c r="V95" s="233">
        <f>VLOOKUP(tabParametros[[#Headers],[FGTS]],tabImpostosNacionais[],2,0)</f>
        <v>0.08</v>
      </c>
      <c r="W95" s="233">
        <f>VLOOKUP(tabParametros[[#Headers],[RAT Ajustado]],tabImpostosNacionais[],2,0)</f>
        <v>0.04</v>
      </c>
      <c r="X95" s="233">
        <f>VLOOKUP(tabParametros[[#Headers],[SEBRAE]],tabImpostosNacionais[],2,0)</f>
        <v>6.0000000000000001E-3</v>
      </c>
      <c r="Y95" s="233">
        <f t="shared" si="11"/>
        <v>8.3333333333333329E-2</v>
      </c>
      <c r="Z95" s="233">
        <f t="shared" si="12"/>
        <v>0.1111111111111111</v>
      </c>
      <c r="AA95" s="232">
        <f>VLOOKUP(tabParametros[[#This Row],[Comarca]],tabComarca[],5,0)</f>
        <v>6.4</v>
      </c>
      <c r="AB95" s="232">
        <f>VLOOKUP(tabParametros[[#This Row],[CCT DA CATEGORIA]],tabSindicatos[],6,0)</f>
        <v>29.15</v>
      </c>
      <c r="AC95" s="232">
        <f>VLOOKUP(tabParametros[[#This Row],[CCT DA CATEGORIA]],tabSindicatos[],7,0)</f>
        <v>0</v>
      </c>
      <c r="AD95" s="232" cm="1">
        <f t="array" ref="AD9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95" s="232">
        <f>VLOOKUP(tabParametros[[#This Row],[CCT DA CATEGORIA]],tabSindicatos[],9,0)</f>
        <v>15.07</v>
      </c>
      <c r="AF95" s="232">
        <f>VLOOKUP(tabParametros[[#This Row],[CCT DA CATEGORIA]],tabSindicatos[],10,0)</f>
        <v>0</v>
      </c>
      <c r="AG95" s="234">
        <f>VLOOKUP(tabParametros[[#Headers],[Seguro de Vida]],tabOutrosCustos[],3,0)</f>
        <v>3.36</v>
      </c>
      <c r="AH95" s="234">
        <f>IF(ISNUMBER(SEARCH("MOTORISTA",tabParametros[[#This Row],[Função]],1)),VLOOKUP("MOTORISTAS",tabDiarias[],2,0),IF(tabParametros[[#This Row],[Comarca]]="Belo Horizonte",VLOOKUP("APOIO",tabDiarias[],2,0),0))</f>
        <v>0</v>
      </c>
      <c r="AI95" s="233">
        <f t="shared" si="13"/>
        <v>7.011766975308642E-3</v>
      </c>
      <c r="AJ95" s="235">
        <f>tabParametros[[#This Row],[FGTS]]*tabParametros[[#This Row],[Aviso Prévio Indenizado (API) e Reflexo do Aviso Prévio Indenizado]]</f>
        <v>5.609413580246914E-4</v>
      </c>
      <c r="AK95" s="235">
        <f>tabParametros[[#This Row],[FGTS]]*tabParametros[[#This Row],[Aviso Prévio Indenizado (API) e Reflexo do Aviso Prévio Indenizado]]*40%</f>
        <v>2.2437654320987658E-4</v>
      </c>
      <c r="AL95" s="233">
        <f t="shared" si="14"/>
        <v>3.5000000000000005E-3</v>
      </c>
      <c r="AM95" s="233">
        <f>tabParametros[[#This Row],[Aviso Prévio Trabalhado - APT]]*SUM(tabParametros[[#This Row],[INSS]:[SEBRAE]])</f>
        <v>1.3230000000000004E-3</v>
      </c>
      <c r="AN95" s="233">
        <f t="shared" si="15"/>
        <v>3.0577777777777773E-2</v>
      </c>
      <c r="AO95" s="233">
        <f t="shared" si="16"/>
        <v>8.3333333333333339E-4</v>
      </c>
      <c r="AP95" s="233">
        <f t="shared" si="17"/>
        <v>8.4444444444444437E-3</v>
      </c>
      <c r="AQ95" s="233">
        <f t="shared" si="18"/>
        <v>2.0277777777777777E-3</v>
      </c>
      <c r="AR95" s="233">
        <f t="shared" si="19"/>
        <v>1.7083333333333333E-4</v>
      </c>
      <c r="AS95" s="233">
        <f t="shared" si="20"/>
        <v>2.0833333333333335E-4</v>
      </c>
      <c r="AT95" s="233">
        <f t="shared" si="21"/>
        <v>1.2962962962962963E-3</v>
      </c>
      <c r="AU95" s="235">
        <f>SUM(tabParametros[[#This Row],[Ausência por Doença]:[Férias, Adicional de Férias e 13º  com empregada em gozo de Licença Maternidade]])*SUM(tabParametros[[#This Row],[INSS]:[SEBRAE]])</f>
        <v>4.5918250000000008E-3</v>
      </c>
      <c r="AV95"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95" s="232">
        <f>IF(tabParametros[[#This Row],[Vagas contratadas]]&gt;0,(SUM(tabParametros[[#This Row],[Salário Base]:[Adicional de Acúmulo de função]])*30%+SUM(tabParametros[[#This Row],[Vale - Alimentação]:[Seguro de Vida]]))/tabParametros[[#This Row],[Vagas contratadas]]*tabParametros[[#This Row],[Vagas suspensas]],0)</f>
        <v>0</v>
      </c>
      <c r="AX95" s="232">
        <f>SUMIF(tabUniformes[Cargo],tabParametros[[#This Row],[Função]],tabUniformes[Valor unit. Mensal])</f>
        <v>56.642978962543395</v>
      </c>
      <c r="AY9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5" s="232">
        <v>0</v>
      </c>
      <c r="BC95" s="234" t="e">
        <f ca="1">VLOOKUP(tabParametros[[#Headers],[Custos Indiretos]],tabOutrosCustos[],3,0)</f>
        <v>#NAME?</v>
      </c>
      <c r="BD95" s="234" t="e">
        <f ca="1">VLOOKUP(tabParametros[[#Headers],[Lucro]],tabOutrosCustos[],3,0)</f>
        <v>#NAME?</v>
      </c>
      <c r="BE95" s="233">
        <f>VLOOKUP(tabParametros[[#Headers],[COFINS]],tabImpostosNacionais[],2,0)</f>
        <v>7.5999999999999998E-2</v>
      </c>
      <c r="BF95" s="233">
        <f>VLOOKUP(tabParametros[[#Headers],[PIS]],tabImpostosNacionais[],2,0)</f>
        <v>1.6500000000000001E-2</v>
      </c>
      <c r="BG95" s="233">
        <f>VLOOKUP(tabParametros[[#This Row],[Comarca]],tabComarca[],4,0)</f>
        <v>0.03</v>
      </c>
      <c r="BH95" s="236">
        <f>VLOOKUP(tabParametros[[#This Row],[CCT DA CATEGORIA]],tabSindicatos[],11,0)</f>
        <v>45658</v>
      </c>
      <c r="BI95" s="282" t="str">
        <f>VLOOKUP(tabParametros[[#This Row],[CCT DA CATEGORIA]],tabSindicatos[],12,0)</f>
        <v>-</v>
      </c>
      <c r="BJ95" s="285" t="str">
        <f>VLOOKUP(tabParametros[[#This Row],[CCT DA CATEGORIA]],tabSindicatos[],13,0)</f>
        <v>-</v>
      </c>
    </row>
    <row r="96" spans="1:62">
      <c r="A96" s="231" t="s">
        <v>1560</v>
      </c>
      <c r="B96" s="197" t="s">
        <v>1108</v>
      </c>
      <c r="C96" s="197" t="s">
        <v>324</v>
      </c>
      <c r="D96" s="197" t="str">
        <f>VLOOKUP(tabParametros[[#This Row],[Código do Posto]],tabPostos[],4,0)</f>
        <v>Regiao de Sao Lourenco</v>
      </c>
      <c r="E96" s="282" t="str">
        <f>VLOOKUP(tabParametros[[#This Row],[Código do Posto]],tabPostos[],5,0)</f>
        <v>Apoio</v>
      </c>
      <c r="F96" s="282" t="str">
        <f>VLOOKUP(tabParametros[[#This Row],[Código do Posto]],tabPostos[],6,0)</f>
        <v>PGJ</v>
      </c>
      <c r="G96" s="282">
        <f>VLOOKUP(tabParametros[[#This Row],[Código do Posto]],tabPostos[],7,0)</f>
        <v>1</v>
      </c>
      <c r="H96" s="282">
        <f>VLOOKUP(tabParametros[[#This Row],[Código do Posto]],tabPostos[],8,0)</f>
        <v>0</v>
      </c>
      <c r="I96" s="232">
        <f>VLOOKUP(tabParametros[[#This Row],[Código do Posto]],tabPostos[],9,0)</f>
        <v>3397.1306016921476</v>
      </c>
      <c r="J96" s="232">
        <f>IF(ISNUMBER(SEARCH("Eletricista",tabParametros[[#This Row],[Função]],1)),0.3*tabParametros[[#This Row],[Salário Base]],0)</f>
        <v>0</v>
      </c>
      <c r="K9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6" s="232">
        <f>IF(AND(ISNUMBER(SEARCH("Noturno",tabParametros[[#This Row],[Função]],1)),tabParametros[[#This Row],[Comarca]]&lt;&gt;"Juiz de Fora"),tabParametros[[#This Row],[Salário Base]]/210*0.39*7*15.5,IF(ISNUMBER(SEARCH("Noturno",tabParametros[[#This Row],[Função]],1)),tabParametros[[#This Row],[Salário Base]]/210*0.2*8*15.5,0))</f>
        <v>0</v>
      </c>
      <c r="M96" s="232">
        <f>IF(ISNUMBER(SEARCH("Motorista II",tabParametros[[#This Row],[Função]],1)),0.3022*tabParametros[[#This Row],[Salário Base]],0)</f>
        <v>0</v>
      </c>
      <c r="N96" s="254">
        <v>0</v>
      </c>
      <c r="O96" s="254">
        <f>IF(ISNUMBER(SEARCH("TECNOLOGIA DA INFORMACAO",tabParametros[[#This Row],[Função]],1)),0.056*tabParametros[[#This Row],[Salário Base]],0)</f>
        <v>0</v>
      </c>
      <c r="P96" s="232">
        <f>IF(tabParametros[[#This Row],[Função]]="Operador de Midia Audiovisual - 150 h",tabParametros[[#This Row],[Salário Base]]/150*50*30%,IF(tabParametros[[#This Row],[Função]]="Supervisor de Manutencao de Veiculos II - 220 h",12%*tabParametros[[#This Row],[Salário Base]],0))</f>
        <v>0</v>
      </c>
      <c r="Q96" s="233">
        <f>VLOOKUP(tabParametros[[#Headers],[INSS]],tabImpostosNacionais[],2,0)</f>
        <v>0.2</v>
      </c>
      <c r="R96" s="233">
        <f>VLOOKUP(tabParametros[[#Headers],[SESI OU SESC]],tabImpostosNacionais[],2,0)</f>
        <v>1.4999999999999999E-2</v>
      </c>
      <c r="S96" s="233">
        <f>VLOOKUP(tabParametros[[#Headers],[SENAI OU SENAC]],tabImpostosNacionais[],2,0)</f>
        <v>0.01</v>
      </c>
      <c r="T96" s="233">
        <f>VLOOKUP(tabParametros[[#Headers],[INCRA]],tabImpostosNacionais[],2,0)</f>
        <v>2E-3</v>
      </c>
      <c r="U96" s="233">
        <f>VLOOKUP(tabParametros[[#Headers],[Salário Educação]],tabImpostosNacionais[],2,0)</f>
        <v>2.5000000000000001E-2</v>
      </c>
      <c r="V96" s="233">
        <f>VLOOKUP(tabParametros[[#Headers],[FGTS]],tabImpostosNacionais[],2,0)</f>
        <v>0.08</v>
      </c>
      <c r="W96" s="233">
        <f>VLOOKUP(tabParametros[[#Headers],[RAT Ajustado]],tabImpostosNacionais[],2,0)</f>
        <v>0.04</v>
      </c>
      <c r="X96" s="233">
        <f>VLOOKUP(tabParametros[[#Headers],[SEBRAE]],tabImpostosNacionais[],2,0)</f>
        <v>6.0000000000000001E-3</v>
      </c>
      <c r="Y96" s="233">
        <f t="shared" si="11"/>
        <v>8.3333333333333329E-2</v>
      </c>
      <c r="Z96" s="233">
        <f t="shared" si="12"/>
        <v>0.1111111111111111</v>
      </c>
      <c r="AA96" s="232">
        <f>VLOOKUP(tabParametros[[#This Row],[Comarca]],tabComarca[],5,0)</f>
        <v>6.4</v>
      </c>
      <c r="AB96" s="232">
        <f>VLOOKUP(tabParametros[[#This Row],[CCT DA CATEGORIA]],tabSindicatos[],6,0)</f>
        <v>29.15</v>
      </c>
      <c r="AC96" s="232">
        <f>VLOOKUP(tabParametros[[#This Row],[CCT DA CATEGORIA]],tabSindicatos[],7,0)</f>
        <v>0</v>
      </c>
      <c r="AD96" s="232" cm="1">
        <f t="array" ref="AD9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96" s="232">
        <f>VLOOKUP(tabParametros[[#This Row],[CCT DA CATEGORIA]],tabSindicatos[],9,0)</f>
        <v>0</v>
      </c>
      <c r="AF96" s="232">
        <f>VLOOKUP(tabParametros[[#This Row],[CCT DA CATEGORIA]],tabSindicatos[],10,0)</f>
        <v>0</v>
      </c>
      <c r="AG96" s="234">
        <f>VLOOKUP(tabParametros[[#Headers],[Seguro de Vida]],tabOutrosCustos[],3,0)</f>
        <v>3.36</v>
      </c>
      <c r="AH96" s="234">
        <f>IF(ISNUMBER(SEARCH("MOTORISTA",tabParametros[[#This Row],[Função]],1)),VLOOKUP("MOTORISTAS",tabDiarias[],2,0),IF(tabParametros[[#This Row],[Comarca]]="Belo Horizonte",VLOOKUP("APOIO",tabDiarias[],2,0),0))</f>
        <v>0</v>
      </c>
      <c r="AI96" s="233">
        <f t="shared" si="13"/>
        <v>7.011766975308642E-3</v>
      </c>
      <c r="AJ96" s="235">
        <f>tabParametros[[#This Row],[FGTS]]*tabParametros[[#This Row],[Aviso Prévio Indenizado (API) e Reflexo do Aviso Prévio Indenizado]]</f>
        <v>5.609413580246914E-4</v>
      </c>
      <c r="AK96" s="235">
        <f>tabParametros[[#This Row],[FGTS]]*tabParametros[[#This Row],[Aviso Prévio Indenizado (API) e Reflexo do Aviso Prévio Indenizado]]*40%</f>
        <v>2.2437654320987658E-4</v>
      </c>
      <c r="AL96" s="233">
        <f t="shared" si="14"/>
        <v>3.5000000000000005E-3</v>
      </c>
      <c r="AM96" s="233">
        <f>tabParametros[[#This Row],[Aviso Prévio Trabalhado - APT]]*SUM(tabParametros[[#This Row],[INSS]:[SEBRAE]])</f>
        <v>1.3230000000000004E-3</v>
      </c>
      <c r="AN96" s="233">
        <f t="shared" si="15"/>
        <v>3.0577777777777773E-2</v>
      </c>
      <c r="AO96" s="233">
        <f t="shared" si="16"/>
        <v>8.3333333333333339E-4</v>
      </c>
      <c r="AP96" s="233">
        <f t="shared" si="17"/>
        <v>8.4444444444444437E-3</v>
      </c>
      <c r="AQ96" s="233">
        <f t="shared" si="18"/>
        <v>2.0277777777777777E-3</v>
      </c>
      <c r="AR96" s="233">
        <f t="shared" si="19"/>
        <v>1.7083333333333333E-4</v>
      </c>
      <c r="AS96" s="233">
        <f t="shared" si="20"/>
        <v>2.0833333333333335E-4</v>
      </c>
      <c r="AT96" s="233">
        <f t="shared" si="21"/>
        <v>1.2962962962962963E-3</v>
      </c>
      <c r="AU96" s="235">
        <f>SUM(tabParametros[[#This Row],[Ausência por Doença]:[Férias, Adicional de Férias e 13º  com empregada em gozo de Licença Maternidade]])*SUM(tabParametros[[#This Row],[INSS]:[SEBRAE]])</f>
        <v>4.5918250000000008E-3</v>
      </c>
      <c r="AV96" s="254">
        <f>IF(tabParametros[[#This Row],[Função]]="Porteiro - 220 h",SUM(tabParametros[[#This Row],[Salário Base]:[Adicional de Acúmulo de função]])/220*20*1.5,IF(ISNUMBER(SEARCH("12 x 36",tabParametros[[#This Row],[Função]],1)),SUM(tabParametros[[#This Row],[Salário Base]:[Adicional de Acúmulo de função]])/210*15.5*1.5,0))</f>
        <v>0</v>
      </c>
      <c r="AW96" s="232">
        <f>IF(tabParametros[[#This Row],[Vagas contratadas]]&gt;0,(SUM(tabParametros[[#This Row],[Salário Base]:[Adicional de Acúmulo de função]])*30%+SUM(tabParametros[[#This Row],[Vale - Alimentação]:[Seguro de Vida]]))/tabParametros[[#This Row],[Vagas contratadas]]*tabParametros[[#This Row],[Vagas suspensas]],0)</f>
        <v>0</v>
      </c>
      <c r="AX96" s="232">
        <f>SUMIF(tabUniformes[Cargo],tabParametros[[#This Row],[Função]],tabUniformes[Valor unit. Mensal])</f>
        <v>56.642978962543395</v>
      </c>
      <c r="AY9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6" s="232">
        <v>0</v>
      </c>
      <c r="BC96" s="234" t="e">
        <f ca="1">VLOOKUP(tabParametros[[#Headers],[Custos Indiretos]],tabOutrosCustos[],3,0)</f>
        <v>#NAME?</v>
      </c>
      <c r="BD96" s="234" t="e">
        <f ca="1">VLOOKUP(tabParametros[[#Headers],[Lucro]],tabOutrosCustos[],3,0)</f>
        <v>#NAME?</v>
      </c>
      <c r="BE96" s="233">
        <f>VLOOKUP(tabParametros[[#Headers],[COFINS]],tabImpostosNacionais[],2,0)</f>
        <v>7.5999999999999998E-2</v>
      </c>
      <c r="BF96" s="233">
        <f>VLOOKUP(tabParametros[[#Headers],[PIS]],tabImpostosNacionais[],2,0)</f>
        <v>1.6500000000000001E-2</v>
      </c>
      <c r="BG96" s="233">
        <f>VLOOKUP(tabParametros[[#This Row],[Comarca]],tabComarca[],4,0)</f>
        <v>0.03</v>
      </c>
      <c r="BH96" s="236">
        <f>VLOOKUP(tabParametros[[#This Row],[CCT DA CATEGORIA]],tabSindicatos[],11,0)</f>
        <v>45658</v>
      </c>
      <c r="BI96" s="282" t="str">
        <f>VLOOKUP(tabParametros[[#This Row],[CCT DA CATEGORIA]],tabSindicatos[],12,0)</f>
        <v>-</v>
      </c>
      <c r="BJ96" s="285" t="str">
        <f>VLOOKUP(tabParametros[[#This Row],[CCT DA CATEGORIA]],tabSindicatos[],13,0)</f>
        <v>-</v>
      </c>
    </row>
    <row r="97" spans="1:62">
      <c r="A97" s="231" t="s">
        <v>1561</v>
      </c>
      <c r="B97" s="197" t="s">
        <v>1109</v>
      </c>
      <c r="C97" s="197" t="s">
        <v>314</v>
      </c>
      <c r="D97" s="197" t="str">
        <f>VLOOKUP(tabParametros[[#This Row],[Código do Posto]],tabPostos[],4,0)</f>
        <v>Sethac Norte de Minas</v>
      </c>
      <c r="E97" s="282" t="str">
        <f>VLOOKUP(tabParametros[[#This Row],[Código do Posto]],tabPostos[],5,0)</f>
        <v>Apoio</v>
      </c>
      <c r="F97" s="282" t="str">
        <f>VLOOKUP(tabParametros[[#This Row],[Código do Posto]],tabPostos[],6,0)</f>
        <v>PGJ</v>
      </c>
      <c r="G97" s="282">
        <f>VLOOKUP(tabParametros[[#This Row],[Código do Posto]],tabPostos[],7,0)</f>
        <v>1</v>
      </c>
      <c r="H97" s="282">
        <f>VLOOKUP(tabParametros[[#This Row],[Código do Posto]],tabPostos[],8,0)</f>
        <v>0</v>
      </c>
      <c r="I97" s="232">
        <f>VLOOKUP(tabParametros[[#This Row],[Código do Posto]],tabPostos[],9,0)</f>
        <v>1963.4110092077037</v>
      </c>
      <c r="J97" s="232">
        <f>IF(ISNUMBER(SEARCH("Eletricista",tabParametros[[#This Row],[Função]],1)),0.3*tabParametros[[#This Row],[Salário Base]],0)</f>
        <v>0</v>
      </c>
      <c r="K9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7" s="232">
        <f>IF(AND(ISNUMBER(SEARCH("Noturno",tabParametros[[#This Row],[Função]],1)),tabParametros[[#This Row],[Comarca]]&lt;&gt;"Juiz de Fora"),tabParametros[[#This Row],[Salário Base]]/210*0.39*7*15.5,IF(ISNUMBER(SEARCH("Noturno",tabParametros[[#This Row],[Função]],1)),tabParametros[[#This Row],[Salário Base]]/210*0.2*8*15.5,0))</f>
        <v>0</v>
      </c>
      <c r="M97" s="232">
        <f>IF(ISNUMBER(SEARCH("Motorista II",tabParametros[[#This Row],[Função]],1)),0.3022*tabParametros[[#This Row],[Salário Base]],0)</f>
        <v>0</v>
      </c>
      <c r="N97" s="254">
        <v>0</v>
      </c>
      <c r="O97" s="254">
        <f>IF(ISNUMBER(SEARCH("TECNOLOGIA DA INFORMACAO",tabParametros[[#This Row],[Função]],1)),0.056*tabParametros[[#This Row],[Salário Base]],0)</f>
        <v>0</v>
      </c>
      <c r="P97" s="232">
        <f>IF(tabParametros[[#This Row],[Função]]="Operador de Midia Audiovisual - 150 h",tabParametros[[#This Row],[Salário Base]]/150*50*30%,IF(tabParametros[[#This Row],[Função]]="Supervisor de Manutencao de Veiculos II - 220 h",12%*tabParametros[[#This Row],[Salário Base]],0))</f>
        <v>0</v>
      </c>
      <c r="Q97" s="233">
        <f>VLOOKUP(tabParametros[[#Headers],[INSS]],tabImpostosNacionais[],2,0)</f>
        <v>0.2</v>
      </c>
      <c r="R97" s="233">
        <f>VLOOKUP(tabParametros[[#Headers],[SESI OU SESC]],tabImpostosNacionais[],2,0)</f>
        <v>1.4999999999999999E-2</v>
      </c>
      <c r="S97" s="233">
        <f>VLOOKUP(tabParametros[[#Headers],[SENAI OU SENAC]],tabImpostosNacionais[],2,0)</f>
        <v>0.01</v>
      </c>
      <c r="T97" s="233">
        <f>VLOOKUP(tabParametros[[#Headers],[INCRA]],tabImpostosNacionais[],2,0)</f>
        <v>2E-3</v>
      </c>
      <c r="U97" s="233">
        <f>VLOOKUP(tabParametros[[#Headers],[Salário Educação]],tabImpostosNacionais[],2,0)</f>
        <v>2.5000000000000001E-2</v>
      </c>
      <c r="V97" s="233">
        <f>VLOOKUP(tabParametros[[#Headers],[FGTS]],tabImpostosNacionais[],2,0)</f>
        <v>0.08</v>
      </c>
      <c r="W97" s="233">
        <f>VLOOKUP(tabParametros[[#Headers],[RAT Ajustado]],tabImpostosNacionais[],2,0)</f>
        <v>0.04</v>
      </c>
      <c r="X97" s="233">
        <f>VLOOKUP(tabParametros[[#Headers],[SEBRAE]],tabImpostosNacionais[],2,0)</f>
        <v>6.0000000000000001E-3</v>
      </c>
      <c r="Y97" s="233">
        <f t="shared" si="11"/>
        <v>8.3333333333333329E-2</v>
      </c>
      <c r="Z97" s="233">
        <f t="shared" si="12"/>
        <v>0.1111111111111111</v>
      </c>
      <c r="AA97" s="232">
        <f>VLOOKUP(tabParametros[[#This Row],[Comarca]],tabComarca[],5,0)</f>
        <v>6.4</v>
      </c>
      <c r="AB97" s="232">
        <f>VLOOKUP(tabParametros[[#This Row],[CCT DA CATEGORIA]],tabSindicatos[],6,0)</f>
        <v>29.15</v>
      </c>
      <c r="AC97" s="232">
        <f>VLOOKUP(tabParametros[[#This Row],[CCT DA CATEGORIA]],tabSindicatos[],7,0)</f>
        <v>0</v>
      </c>
      <c r="AD97" s="232" cm="1">
        <f t="array" ref="AD9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97" s="232">
        <f>VLOOKUP(tabParametros[[#This Row],[CCT DA CATEGORIA]],tabSindicatos[],9,0)</f>
        <v>0</v>
      </c>
      <c r="AF97" s="232">
        <f>VLOOKUP(tabParametros[[#This Row],[CCT DA CATEGORIA]],tabSindicatos[],10,0)</f>
        <v>0</v>
      </c>
      <c r="AG97" s="234">
        <f>VLOOKUP(tabParametros[[#Headers],[Seguro de Vida]],tabOutrosCustos[],3,0)</f>
        <v>3.36</v>
      </c>
      <c r="AH97" s="234">
        <f>IF(ISNUMBER(SEARCH("MOTORISTA",tabParametros[[#This Row],[Função]],1)),VLOOKUP("MOTORISTAS",tabDiarias[],2,0),IF(tabParametros[[#This Row],[Comarca]]="Belo Horizonte",VLOOKUP("APOIO",tabDiarias[],2,0),0))</f>
        <v>0</v>
      </c>
      <c r="AI97" s="233">
        <f t="shared" si="13"/>
        <v>7.011766975308642E-3</v>
      </c>
      <c r="AJ97" s="235">
        <f>tabParametros[[#This Row],[FGTS]]*tabParametros[[#This Row],[Aviso Prévio Indenizado (API) e Reflexo do Aviso Prévio Indenizado]]</f>
        <v>5.609413580246914E-4</v>
      </c>
      <c r="AK97" s="235">
        <f>tabParametros[[#This Row],[FGTS]]*tabParametros[[#This Row],[Aviso Prévio Indenizado (API) e Reflexo do Aviso Prévio Indenizado]]*40%</f>
        <v>2.2437654320987658E-4</v>
      </c>
      <c r="AL97" s="233">
        <f t="shared" si="14"/>
        <v>3.5000000000000005E-3</v>
      </c>
      <c r="AM97" s="233">
        <f>tabParametros[[#This Row],[Aviso Prévio Trabalhado - APT]]*SUM(tabParametros[[#This Row],[INSS]:[SEBRAE]])</f>
        <v>1.3230000000000004E-3</v>
      </c>
      <c r="AN97" s="233">
        <f t="shared" si="15"/>
        <v>3.0577777777777773E-2</v>
      </c>
      <c r="AO97" s="233">
        <f t="shared" si="16"/>
        <v>8.3333333333333339E-4</v>
      </c>
      <c r="AP97" s="233">
        <f t="shared" si="17"/>
        <v>8.4444444444444437E-3</v>
      </c>
      <c r="AQ97" s="233">
        <f t="shared" si="18"/>
        <v>2.0277777777777777E-3</v>
      </c>
      <c r="AR97" s="233">
        <f t="shared" si="19"/>
        <v>1.7083333333333333E-4</v>
      </c>
      <c r="AS97" s="233">
        <f t="shared" si="20"/>
        <v>2.0833333333333335E-4</v>
      </c>
      <c r="AT97" s="233">
        <f t="shared" si="21"/>
        <v>1.2962962962962963E-3</v>
      </c>
      <c r="AU97" s="235">
        <f>SUM(tabParametros[[#This Row],[Ausência por Doença]:[Férias, Adicional de Férias e 13º  com empregada em gozo de Licença Maternidade]])*SUM(tabParametros[[#This Row],[INSS]:[SEBRAE]])</f>
        <v>4.5918250000000008E-3</v>
      </c>
      <c r="AV97"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97" s="232">
        <f>IF(tabParametros[[#This Row],[Vagas contratadas]]&gt;0,(SUM(tabParametros[[#This Row],[Salário Base]:[Adicional de Acúmulo de função]])*30%+SUM(tabParametros[[#This Row],[Vale - Alimentação]:[Seguro de Vida]]))/tabParametros[[#This Row],[Vagas contratadas]]*tabParametros[[#This Row],[Vagas suspensas]],0)</f>
        <v>0</v>
      </c>
      <c r="AX97" s="232">
        <f>SUMIF(tabUniformes[Cargo],tabParametros[[#This Row],[Função]],tabUniformes[Valor unit. Mensal])</f>
        <v>56.642978962543395</v>
      </c>
      <c r="AY9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7" s="232">
        <v>0</v>
      </c>
      <c r="BC97" s="234" t="e">
        <f ca="1">VLOOKUP(tabParametros[[#Headers],[Custos Indiretos]],tabOutrosCustos[],3,0)</f>
        <v>#NAME?</v>
      </c>
      <c r="BD97" s="234" t="e">
        <f ca="1">VLOOKUP(tabParametros[[#Headers],[Lucro]],tabOutrosCustos[],3,0)</f>
        <v>#NAME?</v>
      </c>
      <c r="BE97" s="233">
        <f>VLOOKUP(tabParametros[[#Headers],[COFINS]],tabImpostosNacionais[],2,0)</f>
        <v>7.5999999999999998E-2</v>
      </c>
      <c r="BF97" s="233">
        <f>VLOOKUP(tabParametros[[#Headers],[PIS]],tabImpostosNacionais[],2,0)</f>
        <v>1.6500000000000001E-2</v>
      </c>
      <c r="BG97" s="233">
        <f>VLOOKUP(tabParametros[[#This Row],[Comarca]],tabComarca[],4,0)</f>
        <v>0.03</v>
      </c>
      <c r="BH97" s="236">
        <f>VLOOKUP(tabParametros[[#This Row],[CCT DA CATEGORIA]],tabSindicatos[],11,0)</f>
        <v>45658</v>
      </c>
      <c r="BI97" s="282" t="str">
        <f>VLOOKUP(tabParametros[[#This Row],[CCT DA CATEGORIA]],tabSindicatos[],12,0)</f>
        <v>-</v>
      </c>
      <c r="BJ97" s="285" t="str">
        <f>VLOOKUP(tabParametros[[#This Row],[CCT DA CATEGORIA]],tabSindicatos[],13,0)</f>
        <v>-</v>
      </c>
    </row>
    <row r="98" spans="1:62">
      <c r="A98" s="231" t="s">
        <v>1562</v>
      </c>
      <c r="B98" s="197" t="s">
        <v>1110</v>
      </c>
      <c r="C98" s="197" t="s">
        <v>324</v>
      </c>
      <c r="D98" s="197" t="str">
        <f>VLOOKUP(tabParametros[[#This Row],[Código do Posto]],tabPostos[],4,0)</f>
        <v>Sind - Asseio</v>
      </c>
      <c r="E98" s="282" t="str">
        <f>VLOOKUP(tabParametros[[#This Row],[Código do Posto]],tabPostos[],5,0)</f>
        <v>Apoio</v>
      </c>
      <c r="F98" s="282" t="str">
        <f>VLOOKUP(tabParametros[[#This Row],[Código do Posto]],tabPostos[],6,0)</f>
        <v>PGJ</v>
      </c>
      <c r="G98" s="282">
        <f>VLOOKUP(tabParametros[[#This Row],[Código do Posto]],tabPostos[],7,0)</f>
        <v>1</v>
      </c>
      <c r="H98" s="282">
        <f>VLOOKUP(tabParametros[[#This Row],[Código do Posto]],tabPostos[],8,0)</f>
        <v>0</v>
      </c>
      <c r="I98" s="232">
        <f>VLOOKUP(tabParametros[[#This Row],[Código do Posto]],tabPostos[],9,0)</f>
        <v>3397.1306016921476</v>
      </c>
      <c r="J98" s="232">
        <f>IF(ISNUMBER(SEARCH("Eletricista",tabParametros[[#This Row],[Função]],1)),0.3*tabParametros[[#This Row],[Salário Base]],0)</f>
        <v>0</v>
      </c>
      <c r="K9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8" s="232">
        <f>IF(AND(ISNUMBER(SEARCH("Noturno",tabParametros[[#This Row],[Função]],1)),tabParametros[[#This Row],[Comarca]]&lt;&gt;"Juiz de Fora"),tabParametros[[#This Row],[Salário Base]]/210*0.39*7*15.5,IF(ISNUMBER(SEARCH("Noturno",tabParametros[[#This Row],[Função]],1)),tabParametros[[#This Row],[Salário Base]]/210*0.2*8*15.5,0))</f>
        <v>0</v>
      </c>
      <c r="M98" s="232">
        <f>IF(ISNUMBER(SEARCH("Motorista II",tabParametros[[#This Row],[Função]],1)),0.3022*tabParametros[[#This Row],[Salário Base]],0)</f>
        <v>0</v>
      </c>
      <c r="N98" s="254">
        <v>0</v>
      </c>
      <c r="O98" s="254">
        <f>IF(ISNUMBER(SEARCH("TECNOLOGIA DA INFORMACAO",tabParametros[[#This Row],[Função]],1)),0.056*tabParametros[[#This Row],[Salário Base]],0)</f>
        <v>0</v>
      </c>
      <c r="P98" s="232">
        <f>IF(tabParametros[[#This Row],[Função]]="Operador de Midia Audiovisual - 150 h",tabParametros[[#This Row],[Salário Base]]/150*50*30%,IF(tabParametros[[#This Row],[Função]]="Supervisor de Manutencao de Veiculos II - 220 h",12%*tabParametros[[#This Row],[Salário Base]],0))</f>
        <v>0</v>
      </c>
      <c r="Q98" s="233">
        <f>VLOOKUP(tabParametros[[#Headers],[INSS]],tabImpostosNacionais[],2,0)</f>
        <v>0.2</v>
      </c>
      <c r="R98" s="233">
        <f>VLOOKUP(tabParametros[[#Headers],[SESI OU SESC]],tabImpostosNacionais[],2,0)</f>
        <v>1.4999999999999999E-2</v>
      </c>
      <c r="S98" s="233">
        <f>VLOOKUP(tabParametros[[#Headers],[SENAI OU SENAC]],tabImpostosNacionais[],2,0)</f>
        <v>0.01</v>
      </c>
      <c r="T98" s="233">
        <f>VLOOKUP(tabParametros[[#Headers],[INCRA]],tabImpostosNacionais[],2,0)</f>
        <v>2E-3</v>
      </c>
      <c r="U98" s="233">
        <f>VLOOKUP(tabParametros[[#Headers],[Salário Educação]],tabImpostosNacionais[],2,0)</f>
        <v>2.5000000000000001E-2</v>
      </c>
      <c r="V98" s="233">
        <f>VLOOKUP(tabParametros[[#Headers],[FGTS]],tabImpostosNacionais[],2,0)</f>
        <v>0.08</v>
      </c>
      <c r="W98" s="233">
        <f>VLOOKUP(tabParametros[[#Headers],[RAT Ajustado]],tabImpostosNacionais[],2,0)</f>
        <v>0.04</v>
      </c>
      <c r="X98" s="233">
        <f>VLOOKUP(tabParametros[[#Headers],[SEBRAE]],tabImpostosNacionais[],2,0)</f>
        <v>6.0000000000000001E-3</v>
      </c>
      <c r="Y98" s="233">
        <f t="shared" si="11"/>
        <v>8.3333333333333329E-2</v>
      </c>
      <c r="Z98" s="233">
        <f t="shared" si="12"/>
        <v>0.1111111111111111</v>
      </c>
      <c r="AA98" s="232">
        <f>VLOOKUP(tabParametros[[#This Row],[Comarca]],tabComarca[],5,0)</f>
        <v>6.4</v>
      </c>
      <c r="AB98" s="232">
        <f>VLOOKUP(tabParametros[[#This Row],[CCT DA CATEGORIA]],tabSindicatos[],6,0)</f>
        <v>29.15</v>
      </c>
      <c r="AC98" s="232">
        <f>VLOOKUP(tabParametros[[#This Row],[CCT DA CATEGORIA]],tabSindicatos[],7,0)</f>
        <v>0</v>
      </c>
      <c r="AD98" s="232" cm="1">
        <f t="array" ref="AD9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98" s="232">
        <f>VLOOKUP(tabParametros[[#This Row],[CCT DA CATEGORIA]],tabSindicatos[],9,0)</f>
        <v>0</v>
      </c>
      <c r="AF98" s="232">
        <f>VLOOKUP(tabParametros[[#This Row],[CCT DA CATEGORIA]],tabSindicatos[],10,0)</f>
        <v>0</v>
      </c>
      <c r="AG98" s="234">
        <f>VLOOKUP(tabParametros[[#Headers],[Seguro de Vida]],tabOutrosCustos[],3,0)</f>
        <v>3.36</v>
      </c>
      <c r="AH98" s="234">
        <f>IF(ISNUMBER(SEARCH("MOTORISTA",tabParametros[[#This Row],[Função]],1)),VLOOKUP("MOTORISTAS",tabDiarias[],2,0),IF(tabParametros[[#This Row],[Comarca]]="Belo Horizonte",VLOOKUP("APOIO",tabDiarias[],2,0),0))</f>
        <v>0</v>
      </c>
      <c r="AI98" s="233">
        <f t="shared" si="13"/>
        <v>7.011766975308642E-3</v>
      </c>
      <c r="AJ98" s="235">
        <f>tabParametros[[#This Row],[FGTS]]*tabParametros[[#This Row],[Aviso Prévio Indenizado (API) e Reflexo do Aviso Prévio Indenizado]]</f>
        <v>5.609413580246914E-4</v>
      </c>
      <c r="AK98" s="235">
        <f>tabParametros[[#This Row],[FGTS]]*tabParametros[[#This Row],[Aviso Prévio Indenizado (API) e Reflexo do Aviso Prévio Indenizado]]*40%</f>
        <v>2.2437654320987658E-4</v>
      </c>
      <c r="AL98" s="233">
        <f t="shared" si="14"/>
        <v>3.5000000000000005E-3</v>
      </c>
      <c r="AM98" s="233">
        <f>tabParametros[[#This Row],[Aviso Prévio Trabalhado - APT]]*SUM(tabParametros[[#This Row],[INSS]:[SEBRAE]])</f>
        <v>1.3230000000000004E-3</v>
      </c>
      <c r="AN98" s="233">
        <f t="shared" si="15"/>
        <v>3.0577777777777773E-2</v>
      </c>
      <c r="AO98" s="233">
        <f t="shared" si="16"/>
        <v>8.3333333333333339E-4</v>
      </c>
      <c r="AP98" s="233">
        <f t="shared" si="17"/>
        <v>8.4444444444444437E-3</v>
      </c>
      <c r="AQ98" s="233">
        <f t="shared" si="18"/>
        <v>2.0277777777777777E-3</v>
      </c>
      <c r="AR98" s="233">
        <f t="shared" si="19"/>
        <v>1.7083333333333333E-4</v>
      </c>
      <c r="AS98" s="233">
        <f t="shared" si="20"/>
        <v>2.0833333333333335E-4</v>
      </c>
      <c r="AT98" s="233">
        <f t="shared" si="21"/>
        <v>1.2962962962962963E-3</v>
      </c>
      <c r="AU98" s="235">
        <f>SUM(tabParametros[[#This Row],[Ausência por Doença]:[Férias, Adicional de Férias e 13º  com empregada em gozo de Licença Maternidade]])*SUM(tabParametros[[#This Row],[INSS]:[SEBRAE]])</f>
        <v>4.5918250000000008E-3</v>
      </c>
      <c r="AV98" s="254">
        <f>IF(tabParametros[[#This Row],[Função]]="Porteiro - 220 h",SUM(tabParametros[[#This Row],[Salário Base]:[Adicional de Acúmulo de função]])/220*20*1.5,IF(ISNUMBER(SEARCH("12 x 36",tabParametros[[#This Row],[Função]],1)),SUM(tabParametros[[#This Row],[Salário Base]:[Adicional de Acúmulo de função]])/210*15.5*1.5,0))</f>
        <v>0</v>
      </c>
      <c r="AW98" s="232">
        <f>IF(tabParametros[[#This Row],[Vagas contratadas]]&gt;0,(SUM(tabParametros[[#This Row],[Salário Base]:[Adicional de Acúmulo de função]])*30%+SUM(tabParametros[[#This Row],[Vale - Alimentação]:[Seguro de Vida]]))/tabParametros[[#This Row],[Vagas contratadas]]*tabParametros[[#This Row],[Vagas suspensas]],0)</f>
        <v>0</v>
      </c>
      <c r="AX98" s="232">
        <f>SUMIF(tabUniformes[Cargo],tabParametros[[#This Row],[Função]],tabUniformes[Valor unit. Mensal])</f>
        <v>56.642978962543395</v>
      </c>
      <c r="AY9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8" s="232">
        <v>0</v>
      </c>
      <c r="BC98" s="234" t="e">
        <f ca="1">VLOOKUP(tabParametros[[#Headers],[Custos Indiretos]],tabOutrosCustos[],3,0)</f>
        <v>#NAME?</v>
      </c>
      <c r="BD98" s="234" t="e">
        <f ca="1">VLOOKUP(tabParametros[[#Headers],[Lucro]],tabOutrosCustos[],3,0)</f>
        <v>#NAME?</v>
      </c>
      <c r="BE98" s="233">
        <f>VLOOKUP(tabParametros[[#Headers],[COFINS]],tabImpostosNacionais[],2,0)</f>
        <v>7.5999999999999998E-2</v>
      </c>
      <c r="BF98" s="233">
        <f>VLOOKUP(tabParametros[[#Headers],[PIS]],tabImpostosNacionais[],2,0)</f>
        <v>1.6500000000000001E-2</v>
      </c>
      <c r="BG98" s="233">
        <f>VLOOKUP(tabParametros[[#This Row],[Comarca]],tabComarca[],4,0)</f>
        <v>0.05</v>
      </c>
      <c r="BH98" s="236">
        <f>VLOOKUP(tabParametros[[#This Row],[CCT DA CATEGORIA]],tabSindicatos[],11,0)</f>
        <v>45658</v>
      </c>
      <c r="BI98" s="282" t="str">
        <f>VLOOKUP(tabParametros[[#This Row],[CCT DA CATEGORIA]],tabSindicatos[],12,0)</f>
        <v>-</v>
      </c>
      <c r="BJ98" s="285" t="str">
        <f>VLOOKUP(tabParametros[[#This Row],[CCT DA CATEGORIA]],tabSindicatos[],13,0)</f>
        <v>-</v>
      </c>
    </row>
    <row r="99" spans="1:62">
      <c r="A99" s="231" t="s">
        <v>1563</v>
      </c>
      <c r="B99" s="197" t="s">
        <v>1111</v>
      </c>
      <c r="C99" s="197" t="s">
        <v>314</v>
      </c>
      <c r="D99" s="197" t="str">
        <f>VLOOKUP(tabParametros[[#This Row],[Código do Posto]],tabPostos[],4,0)</f>
        <v>Fethemg Interior</v>
      </c>
      <c r="E99" s="282" t="str">
        <f>VLOOKUP(tabParametros[[#This Row],[Código do Posto]],tabPostos[],5,0)</f>
        <v>Apoio</v>
      </c>
      <c r="F99" s="282" t="str">
        <f>VLOOKUP(tabParametros[[#This Row],[Código do Posto]],tabPostos[],6,0)</f>
        <v>PGJ</v>
      </c>
      <c r="G99" s="282">
        <f>VLOOKUP(tabParametros[[#This Row],[Código do Posto]],tabPostos[],7,0)</f>
        <v>1</v>
      </c>
      <c r="H99" s="282">
        <f>VLOOKUP(tabParametros[[#This Row],[Código do Posto]],tabPostos[],8,0)</f>
        <v>0</v>
      </c>
      <c r="I99" s="232">
        <f>VLOOKUP(tabParametros[[#This Row],[Código do Posto]],tabPostos[],9,0)</f>
        <v>1963.4110092077037</v>
      </c>
      <c r="J99" s="232">
        <f>IF(ISNUMBER(SEARCH("Eletricista",tabParametros[[#This Row],[Função]],1)),0.3*tabParametros[[#This Row],[Salário Base]],0)</f>
        <v>0</v>
      </c>
      <c r="K9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99" s="232">
        <f>IF(AND(ISNUMBER(SEARCH("Noturno",tabParametros[[#This Row],[Função]],1)),tabParametros[[#This Row],[Comarca]]&lt;&gt;"Juiz de Fora"),tabParametros[[#This Row],[Salário Base]]/210*0.39*7*15.5,IF(ISNUMBER(SEARCH("Noturno",tabParametros[[#This Row],[Função]],1)),tabParametros[[#This Row],[Salário Base]]/210*0.2*8*15.5,0))</f>
        <v>0</v>
      </c>
      <c r="M99" s="232">
        <f>IF(ISNUMBER(SEARCH("Motorista II",tabParametros[[#This Row],[Função]],1)),0.3022*tabParametros[[#This Row],[Salário Base]],0)</f>
        <v>0</v>
      </c>
      <c r="N99" s="254">
        <v>0</v>
      </c>
      <c r="O99" s="254">
        <f>IF(ISNUMBER(SEARCH("TECNOLOGIA DA INFORMACAO",tabParametros[[#This Row],[Função]],1)),0.056*tabParametros[[#This Row],[Salário Base]],0)</f>
        <v>0</v>
      </c>
      <c r="P99" s="232">
        <f>IF(tabParametros[[#This Row],[Função]]="Operador de Midia Audiovisual - 150 h",tabParametros[[#This Row],[Salário Base]]/150*50*30%,IF(tabParametros[[#This Row],[Função]]="Supervisor de Manutencao de Veiculos II - 220 h",12%*tabParametros[[#This Row],[Salário Base]],0))</f>
        <v>0</v>
      </c>
      <c r="Q99" s="233">
        <f>VLOOKUP(tabParametros[[#Headers],[INSS]],tabImpostosNacionais[],2,0)</f>
        <v>0.2</v>
      </c>
      <c r="R99" s="233">
        <f>VLOOKUP(tabParametros[[#Headers],[SESI OU SESC]],tabImpostosNacionais[],2,0)</f>
        <v>1.4999999999999999E-2</v>
      </c>
      <c r="S99" s="233">
        <f>VLOOKUP(tabParametros[[#Headers],[SENAI OU SENAC]],tabImpostosNacionais[],2,0)</f>
        <v>0.01</v>
      </c>
      <c r="T99" s="233">
        <f>VLOOKUP(tabParametros[[#Headers],[INCRA]],tabImpostosNacionais[],2,0)</f>
        <v>2E-3</v>
      </c>
      <c r="U99" s="233">
        <f>VLOOKUP(tabParametros[[#Headers],[Salário Educação]],tabImpostosNacionais[],2,0)</f>
        <v>2.5000000000000001E-2</v>
      </c>
      <c r="V99" s="233">
        <f>VLOOKUP(tabParametros[[#Headers],[FGTS]],tabImpostosNacionais[],2,0)</f>
        <v>0.08</v>
      </c>
      <c r="W99" s="233">
        <f>VLOOKUP(tabParametros[[#Headers],[RAT Ajustado]],tabImpostosNacionais[],2,0)</f>
        <v>0.04</v>
      </c>
      <c r="X99" s="233">
        <f>VLOOKUP(tabParametros[[#Headers],[SEBRAE]],tabImpostosNacionais[],2,0)</f>
        <v>6.0000000000000001E-3</v>
      </c>
      <c r="Y99" s="233">
        <f t="shared" si="11"/>
        <v>8.3333333333333329E-2</v>
      </c>
      <c r="Z99" s="233">
        <f t="shared" si="12"/>
        <v>0.1111111111111111</v>
      </c>
      <c r="AA99" s="232">
        <f>VLOOKUP(tabParametros[[#This Row],[Comarca]],tabComarca[],5,0)</f>
        <v>6.4</v>
      </c>
      <c r="AB99" s="232">
        <f>VLOOKUP(tabParametros[[#This Row],[CCT DA CATEGORIA]],tabSindicatos[],6,0)</f>
        <v>29.15</v>
      </c>
      <c r="AC99" s="232">
        <f>VLOOKUP(tabParametros[[#This Row],[CCT DA CATEGORIA]],tabSindicatos[],7,0)</f>
        <v>0</v>
      </c>
      <c r="AD99" s="232" cm="1">
        <f t="array" ref="AD9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99" s="232">
        <f>VLOOKUP(tabParametros[[#This Row],[CCT DA CATEGORIA]],tabSindicatos[],9,0)</f>
        <v>15.07</v>
      </c>
      <c r="AF99" s="232">
        <f>VLOOKUP(tabParametros[[#This Row],[CCT DA CATEGORIA]],tabSindicatos[],10,0)</f>
        <v>0</v>
      </c>
      <c r="AG99" s="234">
        <f>VLOOKUP(tabParametros[[#Headers],[Seguro de Vida]],tabOutrosCustos[],3,0)</f>
        <v>3.36</v>
      </c>
      <c r="AH99" s="234">
        <f>IF(ISNUMBER(SEARCH("MOTORISTA",tabParametros[[#This Row],[Função]],1)),VLOOKUP("MOTORISTAS",tabDiarias[],2,0),IF(tabParametros[[#This Row],[Comarca]]="Belo Horizonte",VLOOKUP("APOIO",tabDiarias[],2,0),0))</f>
        <v>0</v>
      </c>
      <c r="AI99" s="233">
        <f t="shared" si="13"/>
        <v>7.011766975308642E-3</v>
      </c>
      <c r="AJ99" s="235">
        <f>tabParametros[[#This Row],[FGTS]]*tabParametros[[#This Row],[Aviso Prévio Indenizado (API) e Reflexo do Aviso Prévio Indenizado]]</f>
        <v>5.609413580246914E-4</v>
      </c>
      <c r="AK99" s="235">
        <f>tabParametros[[#This Row],[FGTS]]*tabParametros[[#This Row],[Aviso Prévio Indenizado (API) e Reflexo do Aviso Prévio Indenizado]]*40%</f>
        <v>2.2437654320987658E-4</v>
      </c>
      <c r="AL99" s="233">
        <f t="shared" si="14"/>
        <v>3.5000000000000005E-3</v>
      </c>
      <c r="AM99" s="233">
        <f>tabParametros[[#This Row],[Aviso Prévio Trabalhado - APT]]*SUM(tabParametros[[#This Row],[INSS]:[SEBRAE]])</f>
        <v>1.3230000000000004E-3</v>
      </c>
      <c r="AN99" s="233">
        <f t="shared" si="15"/>
        <v>3.0577777777777773E-2</v>
      </c>
      <c r="AO99" s="233">
        <f t="shared" si="16"/>
        <v>8.3333333333333339E-4</v>
      </c>
      <c r="AP99" s="233">
        <f t="shared" si="17"/>
        <v>8.4444444444444437E-3</v>
      </c>
      <c r="AQ99" s="233">
        <f t="shared" si="18"/>
        <v>2.0277777777777777E-3</v>
      </c>
      <c r="AR99" s="233">
        <f t="shared" si="19"/>
        <v>1.7083333333333333E-4</v>
      </c>
      <c r="AS99" s="233">
        <f t="shared" si="20"/>
        <v>2.0833333333333335E-4</v>
      </c>
      <c r="AT99" s="233">
        <f t="shared" si="21"/>
        <v>1.2962962962962963E-3</v>
      </c>
      <c r="AU99" s="235">
        <f>SUM(tabParametros[[#This Row],[Ausência por Doença]:[Férias, Adicional de Férias e 13º  com empregada em gozo de Licença Maternidade]])*SUM(tabParametros[[#This Row],[INSS]:[SEBRAE]])</f>
        <v>4.5918250000000008E-3</v>
      </c>
      <c r="AV99"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99" s="232">
        <f>IF(tabParametros[[#This Row],[Vagas contratadas]]&gt;0,(SUM(tabParametros[[#This Row],[Salário Base]:[Adicional de Acúmulo de função]])*30%+SUM(tabParametros[[#This Row],[Vale - Alimentação]:[Seguro de Vida]]))/tabParametros[[#This Row],[Vagas contratadas]]*tabParametros[[#This Row],[Vagas suspensas]],0)</f>
        <v>0</v>
      </c>
      <c r="AX99" s="232">
        <f>SUMIF(tabUniformes[Cargo],tabParametros[[#This Row],[Função]],tabUniformes[Valor unit. Mensal])</f>
        <v>56.642978962543395</v>
      </c>
      <c r="AY9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9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9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99" s="232">
        <v>0</v>
      </c>
      <c r="BC99" s="234" t="e">
        <f ca="1">VLOOKUP(tabParametros[[#Headers],[Custos Indiretos]],tabOutrosCustos[],3,0)</f>
        <v>#NAME?</v>
      </c>
      <c r="BD99" s="234" t="e">
        <f ca="1">VLOOKUP(tabParametros[[#Headers],[Lucro]],tabOutrosCustos[],3,0)</f>
        <v>#NAME?</v>
      </c>
      <c r="BE99" s="233">
        <f>VLOOKUP(tabParametros[[#Headers],[COFINS]],tabImpostosNacionais[],2,0)</f>
        <v>7.5999999999999998E-2</v>
      </c>
      <c r="BF99" s="233">
        <f>VLOOKUP(tabParametros[[#Headers],[PIS]],tabImpostosNacionais[],2,0)</f>
        <v>1.6500000000000001E-2</v>
      </c>
      <c r="BG99" s="233">
        <f>VLOOKUP(tabParametros[[#This Row],[Comarca]],tabComarca[],4,0)</f>
        <v>0.02</v>
      </c>
      <c r="BH99" s="236">
        <f>VLOOKUP(tabParametros[[#This Row],[CCT DA CATEGORIA]],tabSindicatos[],11,0)</f>
        <v>45658</v>
      </c>
      <c r="BI99" s="282" t="str">
        <f>VLOOKUP(tabParametros[[#This Row],[CCT DA CATEGORIA]],tabSindicatos[],12,0)</f>
        <v>-</v>
      </c>
      <c r="BJ99" s="285" t="str">
        <f>VLOOKUP(tabParametros[[#This Row],[CCT DA CATEGORIA]],tabSindicatos[],13,0)</f>
        <v>-</v>
      </c>
    </row>
    <row r="100" spans="1:62">
      <c r="A100" s="231" t="s">
        <v>1564</v>
      </c>
      <c r="B100" s="197" t="s">
        <v>1112</v>
      </c>
      <c r="C100" s="197" t="s">
        <v>324</v>
      </c>
      <c r="D100" s="197" t="str">
        <f>VLOOKUP(tabParametros[[#This Row],[Código do Posto]],tabPostos[],4,0)</f>
        <v>Fethemg RM</v>
      </c>
      <c r="E100" s="282" t="str">
        <f>VLOOKUP(tabParametros[[#This Row],[Código do Posto]],tabPostos[],5,0)</f>
        <v>Apoio</v>
      </c>
      <c r="F100" s="282" t="str">
        <f>VLOOKUP(tabParametros[[#This Row],[Código do Posto]],tabPostos[],6,0)</f>
        <v>PGJ</v>
      </c>
      <c r="G100" s="282">
        <f>VLOOKUP(tabParametros[[#This Row],[Código do Posto]],tabPostos[],7,0)</f>
        <v>1</v>
      </c>
      <c r="H100" s="282">
        <f>VLOOKUP(tabParametros[[#This Row],[Código do Posto]],tabPostos[],8,0)</f>
        <v>0</v>
      </c>
      <c r="I100" s="232">
        <f>VLOOKUP(tabParametros[[#This Row],[Código do Posto]],tabPostos[],9,0)</f>
        <v>3397.1306016921476</v>
      </c>
      <c r="J100" s="232">
        <f>IF(ISNUMBER(SEARCH("Eletricista",tabParametros[[#This Row],[Função]],1)),0.3*tabParametros[[#This Row],[Salário Base]],0)</f>
        <v>0</v>
      </c>
      <c r="K10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0" s="232">
        <f>IF(AND(ISNUMBER(SEARCH("Noturno",tabParametros[[#This Row],[Função]],1)),tabParametros[[#This Row],[Comarca]]&lt;&gt;"Juiz de Fora"),tabParametros[[#This Row],[Salário Base]]/210*0.39*7*15.5,IF(ISNUMBER(SEARCH("Noturno",tabParametros[[#This Row],[Função]],1)),tabParametros[[#This Row],[Salário Base]]/210*0.2*8*15.5,0))</f>
        <v>0</v>
      </c>
      <c r="M100" s="232">
        <f>IF(ISNUMBER(SEARCH("Motorista II",tabParametros[[#This Row],[Função]],1)),0.3022*tabParametros[[#This Row],[Salário Base]],0)</f>
        <v>0</v>
      </c>
      <c r="N100" s="254">
        <v>0</v>
      </c>
      <c r="O100" s="254">
        <f>IF(ISNUMBER(SEARCH("TECNOLOGIA DA INFORMACAO",tabParametros[[#This Row],[Função]],1)),0.056*tabParametros[[#This Row],[Salário Base]],0)</f>
        <v>0</v>
      </c>
      <c r="P100" s="232">
        <f>IF(tabParametros[[#This Row],[Função]]="Operador de Midia Audiovisual - 150 h",tabParametros[[#This Row],[Salário Base]]/150*50*30%,IF(tabParametros[[#This Row],[Função]]="Supervisor de Manutencao de Veiculos II - 220 h",12%*tabParametros[[#This Row],[Salário Base]],0))</f>
        <v>0</v>
      </c>
      <c r="Q100" s="233">
        <f>VLOOKUP(tabParametros[[#Headers],[INSS]],tabImpostosNacionais[],2,0)</f>
        <v>0.2</v>
      </c>
      <c r="R100" s="233">
        <f>VLOOKUP(tabParametros[[#Headers],[SESI OU SESC]],tabImpostosNacionais[],2,0)</f>
        <v>1.4999999999999999E-2</v>
      </c>
      <c r="S100" s="233">
        <f>VLOOKUP(tabParametros[[#Headers],[SENAI OU SENAC]],tabImpostosNacionais[],2,0)</f>
        <v>0.01</v>
      </c>
      <c r="T100" s="233">
        <f>VLOOKUP(tabParametros[[#Headers],[INCRA]],tabImpostosNacionais[],2,0)</f>
        <v>2E-3</v>
      </c>
      <c r="U100" s="233">
        <f>VLOOKUP(tabParametros[[#Headers],[Salário Educação]],tabImpostosNacionais[],2,0)</f>
        <v>2.5000000000000001E-2</v>
      </c>
      <c r="V100" s="233">
        <f>VLOOKUP(tabParametros[[#Headers],[FGTS]],tabImpostosNacionais[],2,0)</f>
        <v>0.08</v>
      </c>
      <c r="W100" s="233">
        <f>VLOOKUP(tabParametros[[#Headers],[RAT Ajustado]],tabImpostosNacionais[],2,0)</f>
        <v>0.04</v>
      </c>
      <c r="X100" s="233">
        <f>VLOOKUP(tabParametros[[#Headers],[SEBRAE]],tabImpostosNacionais[],2,0)</f>
        <v>6.0000000000000001E-3</v>
      </c>
      <c r="Y100" s="233">
        <f t="shared" si="11"/>
        <v>8.3333333333333329E-2</v>
      </c>
      <c r="Z100" s="233">
        <f t="shared" si="12"/>
        <v>0.1111111111111111</v>
      </c>
      <c r="AA100" s="232">
        <f>VLOOKUP(tabParametros[[#This Row],[Comarca]],tabComarca[],5,0)</f>
        <v>6.4</v>
      </c>
      <c r="AB100" s="232">
        <f>VLOOKUP(tabParametros[[#This Row],[CCT DA CATEGORIA]],tabSindicatos[],6,0)</f>
        <v>29.15</v>
      </c>
      <c r="AC100" s="232">
        <f>VLOOKUP(tabParametros[[#This Row],[CCT DA CATEGORIA]],tabSindicatos[],7,0)</f>
        <v>0</v>
      </c>
      <c r="AD100" s="232" cm="1">
        <f t="array" ref="AD10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00" s="232">
        <f>VLOOKUP(tabParametros[[#This Row],[CCT DA CATEGORIA]],tabSindicatos[],9,0)</f>
        <v>15.07</v>
      </c>
      <c r="AF100" s="232">
        <f>VLOOKUP(tabParametros[[#This Row],[CCT DA CATEGORIA]],tabSindicatos[],10,0)</f>
        <v>0</v>
      </c>
      <c r="AG100" s="234">
        <f>VLOOKUP(tabParametros[[#Headers],[Seguro de Vida]],tabOutrosCustos[],3,0)</f>
        <v>3.36</v>
      </c>
      <c r="AH100" s="234">
        <f>IF(ISNUMBER(SEARCH("MOTORISTA",tabParametros[[#This Row],[Função]],1)),VLOOKUP("MOTORISTAS",tabDiarias[],2,0),IF(tabParametros[[#This Row],[Comarca]]="Belo Horizonte",VLOOKUP("APOIO",tabDiarias[],2,0),0))</f>
        <v>0</v>
      </c>
      <c r="AI100" s="233">
        <f t="shared" si="13"/>
        <v>7.011766975308642E-3</v>
      </c>
      <c r="AJ100" s="235">
        <f>tabParametros[[#This Row],[FGTS]]*tabParametros[[#This Row],[Aviso Prévio Indenizado (API) e Reflexo do Aviso Prévio Indenizado]]</f>
        <v>5.609413580246914E-4</v>
      </c>
      <c r="AK100" s="235">
        <f>tabParametros[[#This Row],[FGTS]]*tabParametros[[#This Row],[Aviso Prévio Indenizado (API) e Reflexo do Aviso Prévio Indenizado]]*40%</f>
        <v>2.2437654320987658E-4</v>
      </c>
      <c r="AL100" s="233">
        <f t="shared" si="14"/>
        <v>3.5000000000000005E-3</v>
      </c>
      <c r="AM100" s="233">
        <f>tabParametros[[#This Row],[Aviso Prévio Trabalhado - APT]]*SUM(tabParametros[[#This Row],[INSS]:[SEBRAE]])</f>
        <v>1.3230000000000004E-3</v>
      </c>
      <c r="AN100" s="233">
        <f t="shared" si="15"/>
        <v>3.0577777777777773E-2</v>
      </c>
      <c r="AO100" s="233">
        <f t="shared" si="16"/>
        <v>8.3333333333333339E-4</v>
      </c>
      <c r="AP100" s="233">
        <f t="shared" si="17"/>
        <v>8.4444444444444437E-3</v>
      </c>
      <c r="AQ100" s="233">
        <f t="shared" si="18"/>
        <v>2.0277777777777777E-3</v>
      </c>
      <c r="AR100" s="233">
        <f t="shared" si="19"/>
        <v>1.7083333333333333E-4</v>
      </c>
      <c r="AS100" s="233">
        <f t="shared" si="20"/>
        <v>2.0833333333333335E-4</v>
      </c>
      <c r="AT100" s="233">
        <f t="shared" si="21"/>
        <v>1.2962962962962963E-3</v>
      </c>
      <c r="AU100" s="235">
        <f>SUM(tabParametros[[#This Row],[Ausência por Doença]:[Férias, Adicional de Férias e 13º  com empregada em gozo de Licença Maternidade]])*SUM(tabParametros[[#This Row],[INSS]:[SEBRAE]])</f>
        <v>4.5918250000000008E-3</v>
      </c>
      <c r="AV100" s="254">
        <f>IF(tabParametros[[#This Row],[Função]]="Porteiro - 220 h",SUM(tabParametros[[#This Row],[Salário Base]:[Adicional de Acúmulo de função]])/220*20*1.5,IF(ISNUMBER(SEARCH("12 x 36",tabParametros[[#This Row],[Função]],1)),SUM(tabParametros[[#This Row],[Salário Base]:[Adicional de Acúmulo de função]])/210*15.5*1.5,0))</f>
        <v>0</v>
      </c>
      <c r="AW100" s="232">
        <f>IF(tabParametros[[#This Row],[Vagas contratadas]]&gt;0,(SUM(tabParametros[[#This Row],[Salário Base]:[Adicional de Acúmulo de função]])*30%+SUM(tabParametros[[#This Row],[Vale - Alimentação]:[Seguro de Vida]]))/tabParametros[[#This Row],[Vagas contratadas]]*tabParametros[[#This Row],[Vagas suspensas]],0)</f>
        <v>0</v>
      </c>
      <c r="AX100" s="232">
        <f>SUMIF(tabUniformes[Cargo],tabParametros[[#This Row],[Função]],tabUniformes[Valor unit. Mensal])</f>
        <v>56.642978962543395</v>
      </c>
      <c r="AY10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0" s="232">
        <v>0</v>
      </c>
      <c r="BC100" s="234" t="e">
        <f ca="1">VLOOKUP(tabParametros[[#Headers],[Custos Indiretos]],tabOutrosCustos[],3,0)</f>
        <v>#NAME?</v>
      </c>
      <c r="BD100" s="234" t="e">
        <f ca="1">VLOOKUP(tabParametros[[#Headers],[Lucro]],tabOutrosCustos[],3,0)</f>
        <v>#NAME?</v>
      </c>
      <c r="BE100" s="233">
        <f>VLOOKUP(tabParametros[[#Headers],[COFINS]],tabImpostosNacionais[],2,0)</f>
        <v>7.5999999999999998E-2</v>
      </c>
      <c r="BF100" s="233">
        <f>VLOOKUP(tabParametros[[#Headers],[PIS]],tabImpostosNacionais[],2,0)</f>
        <v>1.6500000000000001E-2</v>
      </c>
      <c r="BG100" s="233">
        <f>VLOOKUP(tabParametros[[#This Row],[Comarca]],tabComarca[],4,0)</f>
        <v>0.03</v>
      </c>
      <c r="BH100" s="236">
        <f>VLOOKUP(tabParametros[[#This Row],[CCT DA CATEGORIA]],tabSindicatos[],11,0)</f>
        <v>45658</v>
      </c>
      <c r="BI100" s="282" t="str">
        <f>VLOOKUP(tabParametros[[#This Row],[CCT DA CATEGORIA]],tabSindicatos[],12,0)</f>
        <v>-</v>
      </c>
      <c r="BJ100" s="285" t="str">
        <f>VLOOKUP(tabParametros[[#This Row],[CCT DA CATEGORIA]],tabSindicatos[],13,0)</f>
        <v>-</v>
      </c>
    </row>
    <row r="101" spans="1:62">
      <c r="A101" s="231" t="s">
        <v>1565</v>
      </c>
      <c r="B101" s="197" t="s">
        <v>1113</v>
      </c>
      <c r="C101" s="197" t="s">
        <v>314</v>
      </c>
      <c r="D101" s="197" t="str">
        <f>VLOOKUP(tabParametros[[#This Row],[Código do Posto]],tabPostos[],4,0)</f>
        <v>Fethemg Interior</v>
      </c>
      <c r="E101" s="282" t="str">
        <f>VLOOKUP(tabParametros[[#This Row],[Código do Posto]],tabPostos[],5,0)</f>
        <v>Apoio</v>
      </c>
      <c r="F101" s="282" t="str">
        <f>VLOOKUP(tabParametros[[#This Row],[Código do Posto]],tabPostos[],6,0)</f>
        <v>PGJ</v>
      </c>
      <c r="G101" s="282">
        <f>VLOOKUP(tabParametros[[#This Row],[Código do Posto]],tabPostos[],7,0)</f>
        <v>1</v>
      </c>
      <c r="H101" s="282">
        <f>VLOOKUP(tabParametros[[#This Row],[Código do Posto]],tabPostos[],8,0)</f>
        <v>0</v>
      </c>
      <c r="I101" s="232">
        <f>VLOOKUP(tabParametros[[#This Row],[Código do Posto]],tabPostos[],9,0)</f>
        <v>1963.4110092077037</v>
      </c>
      <c r="J101" s="232">
        <f>IF(ISNUMBER(SEARCH("Eletricista",tabParametros[[#This Row],[Função]],1)),0.3*tabParametros[[#This Row],[Salário Base]],0)</f>
        <v>0</v>
      </c>
      <c r="K10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1" s="232">
        <f>IF(AND(ISNUMBER(SEARCH("Noturno",tabParametros[[#This Row],[Função]],1)),tabParametros[[#This Row],[Comarca]]&lt;&gt;"Juiz de Fora"),tabParametros[[#This Row],[Salário Base]]/210*0.39*7*15.5,IF(ISNUMBER(SEARCH("Noturno",tabParametros[[#This Row],[Função]],1)),tabParametros[[#This Row],[Salário Base]]/210*0.2*8*15.5,0))</f>
        <v>0</v>
      </c>
      <c r="M101" s="232">
        <f>IF(ISNUMBER(SEARCH("Motorista II",tabParametros[[#This Row],[Função]],1)),0.3022*tabParametros[[#This Row],[Salário Base]],0)</f>
        <v>0</v>
      </c>
      <c r="N101" s="254">
        <v>0</v>
      </c>
      <c r="O101" s="254">
        <f>IF(ISNUMBER(SEARCH("TECNOLOGIA DA INFORMACAO",tabParametros[[#This Row],[Função]],1)),0.056*tabParametros[[#This Row],[Salário Base]],0)</f>
        <v>0</v>
      </c>
      <c r="P101" s="232">
        <f>IF(tabParametros[[#This Row],[Função]]="Operador de Midia Audiovisual - 150 h",tabParametros[[#This Row],[Salário Base]]/150*50*30%,IF(tabParametros[[#This Row],[Função]]="Supervisor de Manutencao de Veiculos II - 220 h",12%*tabParametros[[#This Row],[Salário Base]],0))</f>
        <v>0</v>
      </c>
      <c r="Q101" s="233">
        <f>VLOOKUP(tabParametros[[#Headers],[INSS]],tabImpostosNacionais[],2,0)</f>
        <v>0.2</v>
      </c>
      <c r="R101" s="233">
        <f>VLOOKUP(tabParametros[[#Headers],[SESI OU SESC]],tabImpostosNacionais[],2,0)</f>
        <v>1.4999999999999999E-2</v>
      </c>
      <c r="S101" s="233">
        <f>VLOOKUP(tabParametros[[#Headers],[SENAI OU SENAC]],tabImpostosNacionais[],2,0)</f>
        <v>0.01</v>
      </c>
      <c r="T101" s="233">
        <f>VLOOKUP(tabParametros[[#Headers],[INCRA]],tabImpostosNacionais[],2,0)</f>
        <v>2E-3</v>
      </c>
      <c r="U101" s="233">
        <f>VLOOKUP(tabParametros[[#Headers],[Salário Educação]],tabImpostosNacionais[],2,0)</f>
        <v>2.5000000000000001E-2</v>
      </c>
      <c r="V101" s="233">
        <f>VLOOKUP(tabParametros[[#Headers],[FGTS]],tabImpostosNacionais[],2,0)</f>
        <v>0.08</v>
      </c>
      <c r="W101" s="233">
        <f>VLOOKUP(tabParametros[[#Headers],[RAT Ajustado]],tabImpostosNacionais[],2,0)</f>
        <v>0.04</v>
      </c>
      <c r="X101" s="233">
        <f>VLOOKUP(tabParametros[[#Headers],[SEBRAE]],tabImpostosNacionais[],2,0)</f>
        <v>6.0000000000000001E-3</v>
      </c>
      <c r="Y101" s="233">
        <f t="shared" si="11"/>
        <v>8.3333333333333329E-2</v>
      </c>
      <c r="Z101" s="233">
        <f t="shared" si="12"/>
        <v>0.1111111111111111</v>
      </c>
      <c r="AA101" s="232">
        <f>VLOOKUP(tabParametros[[#This Row],[Comarca]],tabComarca[],5,0)</f>
        <v>6.4</v>
      </c>
      <c r="AB101" s="232">
        <f>VLOOKUP(tabParametros[[#This Row],[CCT DA CATEGORIA]],tabSindicatos[],6,0)</f>
        <v>29.15</v>
      </c>
      <c r="AC101" s="232">
        <f>VLOOKUP(tabParametros[[#This Row],[CCT DA CATEGORIA]],tabSindicatos[],7,0)</f>
        <v>0</v>
      </c>
      <c r="AD101" s="232" cm="1">
        <f t="array" ref="AD10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01" s="232">
        <f>VLOOKUP(tabParametros[[#This Row],[CCT DA CATEGORIA]],tabSindicatos[],9,0)</f>
        <v>15.07</v>
      </c>
      <c r="AF101" s="232">
        <f>VLOOKUP(tabParametros[[#This Row],[CCT DA CATEGORIA]],tabSindicatos[],10,0)</f>
        <v>0</v>
      </c>
      <c r="AG101" s="234">
        <f>VLOOKUP(tabParametros[[#Headers],[Seguro de Vida]],tabOutrosCustos[],3,0)</f>
        <v>3.36</v>
      </c>
      <c r="AH101" s="234">
        <f>IF(ISNUMBER(SEARCH("MOTORISTA",tabParametros[[#This Row],[Função]],1)),VLOOKUP("MOTORISTAS",tabDiarias[],2,0),IF(tabParametros[[#This Row],[Comarca]]="Belo Horizonte",VLOOKUP("APOIO",tabDiarias[],2,0),0))</f>
        <v>0</v>
      </c>
      <c r="AI101" s="233">
        <f t="shared" si="13"/>
        <v>7.011766975308642E-3</v>
      </c>
      <c r="AJ101" s="235">
        <f>tabParametros[[#This Row],[FGTS]]*tabParametros[[#This Row],[Aviso Prévio Indenizado (API) e Reflexo do Aviso Prévio Indenizado]]</f>
        <v>5.609413580246914E-4</v>
      </c>
      <c r="AK101" s="235">
        <f>tabParametros[[#This Row],[FGTS]]*tabParametros[[#This Row],[Aviso Prévio Indenizado (API) e Reflexo do Aviso Prévio Indenizado]]*40%</f>
        <v>2.2437654320987658E-4</v>
      </c>
      <c r="AL101" s="233">
        <f t="shared" si="14"/>
        <v>3.5000000000000005E-3</v>
      </c>
      <c r="AM101" s="233">
        <f>tabParametros[[#This Row],[Aviso Prévio Trabalhado - APT]]*SUM(tabParametros[[#This Row],[INSS]:[SEBRAE]])</f>
        <v>1.3230000000000004E-3</v>
      </c>
      <c r="AN101" s="233">
        <f t="shared" si="15"/>
        <v>3.0577777777777773E-2</v>
      </c>
      <c r="AO101" s="233">
        <f t="shared" si="16"/>
        <v>8.3333333333333339E-4</v>
      </c>
      <c r="AP101" s="233">
        <f t="shared" si="17"/>
        <v>8.4444444444444437E-3</v>
      </c>
      <c r="AQ101" s="233">
        <f t="shared" si="18"/>
        <v>2.0277777777777777E-3</v>
      </c>
      <c r="AR101" s="233">
        <f t="shared" si="19"/>
        <v>1.7083333333333333E-4</v>
      </c>
      <c r="AS101" s="233">
        <f t="shared" si="20"/>
        <v>2.0833333333333335E-4</v>
      </c>
      <c r="AT101" s="233">
        <f t="shared" si="21"/>
        <v>1.2962962962962963E-3</v>
      </c>
      <c r="AU101" s="235">
        <f>SUM(tabParametros[[#This Row],[Ausência por Doença]:[Férias, Adicional de Férias e 13º  com empregada em gozo de Licença Maternidade]])*SUM(tabParametros[[#This Row],[INSS]:[SEBRAE]])</f>
        <v>4.5918250000000008E-3</v>
      </c>
      <c r="AV101"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01" s="232">
        <f>IF(tabParametros[[#This Row],[Vagas contratadas]]&gt;0,(SUM(tabParametros[[#This Row],[Salário Base]:[Adicional de Acúmulo de função]])*30%+SUM(tabParametros[[#This Row],[Vale - Alimentação]:[Seguro de Vida]]))/tabParametros[[#This Row],[Vagas contratadas]]*tabParametros[[#This Row],[Vagas suspensas]],0)</f>
        <v>0</v>
      </c>
      <c r="AX101" s="232">
        <f>SUMIF(tabUniformes[Cargo],tabParametros[[#This Row],[Função]],tabUniformes[Valor unit. Mensal])</f>
        <v>56.642978962543395</v>
      </c>
      <c r="AY10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1" s="232">
        <v>0</v>
      </c>
      <c r="BC101" s="234" t="e">
        <f ca="1">VLOOKUP(tabParametros[[#Headers],[Custos Indiretos]],tabOutrosCustos[],3,0)</f>
        <v>#NAME?</v>
      </c>
      <c r="BD101" s="234" t="e">
        <f ca="1">VLOOKUP(tabParametros[[#Headers],[Lucro]],tabOutrosCustos[],3,0)</f>
        <v>#NAME?</v>
      </c>
      <c r="BE101" s="233">
        <f>VLOOKUP(tabParametros[[#Headers],[COFINS]],tabImpostosNacionais[],2,0)</f>
        <v>7.5999999999999998E-2</v>
      </c>
      <c r="BF101" s="233">
        <f>VLOOKUP(tabParametros[[#Headers],[PIS]],tabImpostosNacionais[],2,0)</f>
        <v>1.6500000000000001E-2</v>
      </c>
      <c r="BG101" s="233">
        <f>VLOOKUP(tabParametros[[#This Row],[Comarca]],tabComarca[],4,0)</f>
        <v>0.02</v>
      </c>
      <c r="BH101" s="236">
        <f>VLOOKUP(tabParametros[[#This Row],[CCT DA CATEGORIA]],tabSindicatos[],11,0)</f>
        <v>45658</v>
      </c>
      <c r="BI101" s="282" t="str">
        <f>VLOOKUP(tabParametros[[#This Row],[CCT DA CATEGORIA]],tabSindicatos[],12,0)</f>
        <v>-</v>
      </c>
      <c r="BJ101" s="285" t="str">
        <f>VLOOKUP(tabParametros[[#This Row],[CCT DA CATEGORIA]],tabSindicatos[],13,0)</f>
        <v>-</v>
      </c>
    </row>
    <row r="102" spans="1:62">
      <c r="A102" s="231" t="s">
        <v>1566</v>
      </c>
      <c r="B102" s="197" t="s">
        <v>1114</v>
      </c>
      <c r="C102" s="197" t="s">
        <v>314</v>
      </c>
      <c r="D102" s="197" t="str">
        <f>VLOOKUP(tabParametros[[#This Row],[Código do Posto]],tabPostos[],4,0)</f>
        <v>Fethemg Interior</v>
      </c>
      <c r="E102" s="282" t="str">
        <f>VLOOKUP(tabParametros[[#This Row],[Código do Posto]],tabPostos[],5,0)</f>
        <v>Apoio</v>
      </c>
      <c r="F102" s="282" t="str">
        <f>VLOOKUP(tabParametros[[#This Row],[Código do Posto]],tabPostos[],6,0)</f>
        <v>PGJ</v>
      </c>
      <c r="G102" s="282">
        <f>VLOOKUP(tabParametros[[#This Row],[Código do Posto]],tabPostos[],7,0)</f>
        <v>1</v>
      </c>
      <c r="H102" s="282">
        <f>VLOOKUP(tabParametros[[#This Row],[Código do Posto]],tabPostos[],8,0)</f>
        <v>0</v>
      </c>
      <c r="I102" s="232">
        <f>VLOOKUP(tabParametros[[#This Row],[Código do Posto]],tabPostos[],9,0)</f>
        <v>1963.4110092077037</v>
      </c>
      <c r="J102" s="232">
        <f>IF(ISNUMBER(SEARCH("Eletricista",tabParametros[[#This Row],[Função]],1)),0.3*tabParametros[[#This Row],[Salário Base]],0)</f>
        <v>0</v>
      </c>
      <c r="K10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2" s="232">
        <f>IF(AND(ISNUMBER(SEARCH("Noturno",tabParametros[[#This Row],[Função]],1)),tabParametros[[#This Row],[Comarca]]&lt;&gt;"Juiz de Fora"),tabParametros[[#This Row],[Salário Base]]/210*0.39*7*15.5,IF(ISNUMBER(SEARCH("Noturno",tabParametros[[#This Row],[Função]],1)),tabParametros[[#This Row],[Salário Base]]/210*0.2*8*15.5,0))</f>
        <v>0</v>
      </c>
      <c r="M102" s="232">
        <f>IF(ISNUMBER(SEARCH("Motorista II",tabParametros[[#This Row],[Função]],1)),0.3022*tabParametros[[#This Row],[Salário Base]],0)</f>
        <v>0</v>
      </c>
      <c r="N102" s="254">
        <v>0</v>
      </c>
      <c r="O102" s="254">
        <f>IF(ISNUMBER(SEARCH("TECNOLOGIA DA INFORMACAO",tabParametros[[#This Row],[Função]],1)),0.056*tabParametros[[#This Row],[Salário Base]],0)</f>
        <v>0</v>
      </c>
      <c r="P102" s="232">
        <f>IF(tabParametros[[#This Row],[Função]]="Operador de Midia Audiovisual - 150 h",tabParametros[[#This Row],[Salário Base]]/150*50*30%,IF(tabParametros[[#This Row],[Função]]="Supervisor de Manutencao de Veiculos II - 220 h",12%*tabParametros[[#This Row],[Salário Base]],0))</f>
        <v>0</v>
      </c>
      <c r="Q102" s="233">
        <f>VLOOKUP(tabParametros[[#Headers],[INSS]],tabImpostosNacionais[],2,0)</f>
        <v>0.2</v>
      </c>
      <c r="R102" s="233">
        <f>VLOOKUP(tabParametros[[#Headers],[SESI OU SESC]],tabImpostosNacionais[],2,0)</f>
        <v>1.4999999999999999E-2</v>
      </c>
      <c r="S102" s="233">
        <f>VLOOKUP(tabParametros[[#Headers],[SENAI OU SENAC]],tabImpostosNacionais[],2,0)</f>
        <v>0.01</v>
      </c>
      <c r="T102" s="233">
        <f>VLOOKUP(tabParametros[[#Headers],[INCRA]],tabImpostosNacionais[],2,0)</f>
        <v>2E-3</v>
      </c>
      <c r="U102" s="233">
        <f>VLOOKUP(tabParametros[[#Headers],[Salário Educação]],tabImpostosNacionais[],2,0)</f>
        <v>2.5000000000000001E-2</v>
      </c>
      <c r="V102" s="233">
        <f>VLOOKUP(tabParametros[[#Headers],[FGTS]],tabImpostosNacionais[],2,0)</f>
        <v>0.08</v>
      </c>
      <c r="W102" s="233">
        <f>VLOOKUP(tabParametros[[#Headers],[RAT Ajustado]],tabImpostosNacionais[],2,0)</f>
        <v>0.04</v>
      </c>
      <c r="X102" s="233">
        <f>VLOOKUP(tabParametros[[#Headers],[SEBRAE]],tabImpostosNacionais[],2,0)</f>
        <v>6.0000000000000001E-3</v>
      </c>
      <c r="Y102" s="233">
        <f t="shared" si="11"/>
        <v>8.3333333333333329E-2</v>
      </c>
      <c r="Z102" s="233">
        <f t="shared" si="12"/>
        <v>0.1111111111111111</v>
      </c>
      <c r="AA102" s="232">
        <f>VLOOKUP(tabParametros[[#This Row],[Comarca]],tabComarca[],5,0)</f>
        <v>6.4</v>
      </c>
      <c r="AB102" s="232">
        <f>VLOOKUP(tabParametros[[#This Row],[CCT DA CATEGORIA]],tabSindicatos[],6,0)</f>
        <v>29.15</v>
      </c>
      <c r="AC102" s="232">
        <f>VLOOKUP(tabParametros[[#This Row],[CCT DA CATEGORIA]],tabSindicatos[],7,0)</f>
        <v>0</v>
      </c>
      <c r="AD102" s="232" cm="1">
        <f t="array" ref="AD10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02" s="232">
        <f>VLOOKUP(tabParametros[[#This Row],[CCT DA CATEGORIA]],tabSindicatos[],9,0)</f>
        <v>15.07</v>
      </c>
      <c r="AF102" s="232">
        <f>VLOOKUP(tabParametros[[#This Row],[CCT DA CATEGORIA]],tabSindicatos[],10,0)</f>
        <v>0</v>
      </c>
      <c r="AG102" s="234">
        <f>VLOOKUP(tabParametros[[#Headers],[Seguro de Vida]],tabOutrosCustos[],3,0)</f>
        <v>3.36</v>
      </c>
      <c r="AH102" s="234">
        <f>IF(ISNUMBER(SEARCH("MOTORISTA",tabParametros[[#This Row],[Função]],1)),VLOOKUP("MOTORISTAS",tabDiarias[],2,0),IF(tabParametros[[#This Row],[Comarca]]="Belo Horizonte",VLOOKUP("APOIO",tabDiarias[],2,0),0))</f>
        <v>0</v>
      </c>
      <c r="AI102" s="233">
        <f t="shared" si="13"/>
        <v>7.011766975308642E-3</v>
      </c>
      <c r="AJ102" s="235">
        <f>tabParametros[[#This Row],[FGTS]]*tabParametros[[#This Row],[Aviso Prévio Indenizado (API) e Reflexo do Aviso Prévio Indenizado]]</f>
        <v>5.609413580246914E-4</v>
      </c>
      <c r="AK102" s="235">
        <f>tabParametros[[#This Row],[FGTS]]*tabParametros[[#This Row],[Aviso Prévio Indenizado (API) e Reflexo do Aviso Prévio Indenizado]]*40%</f>
        <v>2.2437654320987658E-4</v>
      </c>
      <c r="AL102" s="233">
        <f t="shared" si="14"/>
        <v>3.5000000000000005E-3</v>
      </c>
      <c r="AM102" s="233">
        <f>tabParametros[[#This Row],[Aviso Prévio Trabalhado - APT]]*SUM(tabParametros[[#This Row],[INSS]:[SEBRAE]])</f>
        <v>1.3230000000000004E-3</v>
      </c>
      <c r="AN102" s="233">
        <f t="shared" si="15"/>
        <v>3.0577777777777773E-2</v>
      </c>
      <c r="AO102" s="233">
        <f t="shared" si="16"/>
        <v>8.3333333333333339E-4</v>
      </c>
      <c r="AP102" s="233">
        <f t="shared" si="17"/>
        <v>8.4444444444444437E-3</v>
      </c>
      <c r="AQ102" s="233">
        <f t="shared" si="18"/>
        <v>2.0277777777777777E-3</v>
      </c>
      <c r="AR102" s="233">
        <f t="shared" si="19"/>
        <v>1.7083333333333333E-4</v>
      </c>
      <c r="AS102" s="233">
        <f t="shared" si="20"/>
        <v>2.0833333333333335E-4</v>
      </c>
      <c r="AT102" s="233">
        <f t="shared" si="21"/>
        <v>1.2962962962962963E-3</v>
      </c>
      <c r="AU102" s="235">
        <f>SUM(tabParametros[[#This Row],[Ausência por Doença]:[Férias, Adicional de Férias e 13º  com empregada em gozo de Licença Maternidade]])*SUM(tabParametros[[#This Row],[INSS]:[SEBRAE]])</f>
        <v>4.5918250000000008E-3</v>
      </c>
      <c r="AV102"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02" s="232">
        <f>IF(tabParametros[[#This Row],[Vagas contratadas]]&gt;0,(SUM(tabParametros[[#This Row],[Salário Base]:[Adicional de Acúmulo de função]])*30%+SUM(tabParametros[[#This Row],[Vale - Alimentação]:[Seguro de Vida]]))/tabParametros[[#This Row],[Vagas contratadas]]*tabParametros[[#This Row],[Vagas suspensas]],0)</f>
        <v>0</v>
      </c>
      <c r="AX102" s="232">
        <f>SUMIF(tabUniformes[Cargo],tabParametros[[#This Row],[Função]],tabUniformes[Valor unit. Mensal])</f>
        <v>56.642978962543395</v>
      </c>
      <c r="AY10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2" s="232">
        <v>0</v>
      </c>
      <c r="BC102" s="234" t="e">
        <f ca="1">VLOOKUP(tabParametros[[#Headers],[Custos Indiretos]],tabOutrosCustos[],3,0)</f>
        <v>#NAME?</v>
      </c>
      <c r="BD102" s="234" t="e">
        <f ca="1">VLOOKUP(tabParametros[[#Headers],[Lucro]],tabOutrosCustos[],3,0)</f>
        <v>#NAME?</v>
      </c>
      <c r="BE102" s="233">
        <f>VLOOKUP(tabParametros[[#Headers],[COFINS]],tabImpostosNacionais[],2,0)</f>
        <v>7.5999999999999998E-2</v>
      </c>
      <c r="BF102" s="233">
        <f>VLOOKUP(tabParametros[[#Headers],[PIS]],tabImpostosNacionais[],2,0)</f>
        <v>1.6500000000000001E-2</v>
      </c>
      <c r="BG102" s="233">
        <f>VLOOKUP(tabParametros[[#This Row],[Comarca]],tabComarca[],4,0)</f>
        <v>0.02</v>
      </c>
      <c r="BH102" s="236">
        <f>VLOOKUP(tabParametros[[#This Row],[CCT DA CATEGORIA]],tabSindicatos[],11,0)</f>
        <v>45658</v>
      </c>
      <c r="BI102" s="282" t="str">
        <f>VLOOKUP(tabParametros[[#This Row],[CCT DA CATEGORIA]],tabSindicatos[],12,0)</f>
        <v>-</v>
      </c>
      <c r="BJ102" s="285" t="str">
        <f>VLOOKUP(tabParametros[[#This Row],[CCT DA CATEGORIA]],tabSindicatos[],13,0)</f>
        <v>-</v>
      </c>
    </row>
    <row r="103" spans="1:62">
      <c r="A103" s="231" t="s">
        <v>1567</v>
      </c>
      <c r="B103" s="197" t="s">
        <v>1115</v>
      </c>
      <c r="C103" s="197" t="s">
        <v>274</v>
      </c>
      <c r="D103" s="197" t="str">
        <f>VLOOKUP(tabParametros[[#This Row],[Código do Posto]],tabPostos[],4,0)</f>
        <v>Rodoviarios de Lavras + SEAC-MG</v>
      </c>
      <c r="E103" s="282" t="str">
        <f>VLOOKUP(tabParametros[[#This Row],[Código do Posto]],tabPostos[],5,0)</f>
        <v>Apoio</v>
      </c>
      <c r="F103" s="282" t="str">
        <f>VLOOKUP(tabParametros[[#This Row],[Código do Posto]],tabPostos[],6,0)</f>
        <v>FEPDC</v>
      </c>
      <c r="G103" s="282">
        <f>VLOOKUP(tabParametros[[#This Row],[Código do Posto]],tabPostos[],7,0)</f>
        <v>1</v>
      </c>
      <c r="H103" s="282">
        <f>VLOOKUP(tabParametros[[#This Row],[Código do Posto]],tabPostos[],8,0)</f>
        <v>0</v>
      </c>
      <c r="I103" s="232">
        <f>VLOOKUP(tabParametros[[#This Row],[Código do Posto]],tabPostos[],9,0)</f>
        <v>4599.5983837776375</v>
      </c>
      <c r="J103" s="232">
        <f>IF(ISNUMBER(SEARCH("Eletricista",tabParametros[[#This Row],[Função]],1)),0.3*tabParametros[[#This Row],[Salário Base]],0)</f>
        <v>0</v>
      </c>
      <c r="K10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3" s="232">
        <f>IF(AND(ISNUMBER(SEARCH("Noturno",tabParametros[[#This Row],[Função]],1)),tabParametros[[#This Row],[Comarca]]&lt;&gt;"Juiz de Fora"),tabParametros[[#This Row],[Salário Base]]/210*0.39*7*15.5,IF(ISNUMBER(SEARCH("Noturno",tabParametros[[#This Row],[Função]],1)),tabParametros[[#This Row],[Salário Base]]/210*0.2*8*15.5,0))</f>
        <v>0</v>
      </c>
      <c r="M103" s="232">
        <f>IF(ISNUMBER(SEARCH("Motorista II",tabParametros[[#This Row],[Função]],1)),0.3022*tabParametros[[#This Row],[Salário Base]],0)</f>
        <v>0</v>
      </c>
      <c r="N103" s="254">
        <v>0</v>
      </c>
      <c r="O103" s="254">
        <f>IF(ISNUMBER(SEARCH("TECNOLOGIA DA INFORMACAO",tabParametros[[#This Row],[Função]],1)),0.056*tabParametros[[#This Row],[Salário Base]],0)</f>
        <v>0</v>
      </c>
      <c r="P103" s="232">
        <f>IF(tabParametros[[#This Row],[Função]]="Operador de Midia Audiovisual - 150 h",tabParametros[[#This Row],[Salário Base]]/150*50*30%,IF(tabParametros[[#This Row],[Função]]="Supervisor de Manutencao de Veiculos II - 220 h",12%*tabParametros[[#This Row],[Salário Base]],0))</f>
        <v>0</v>
      </c>
      <c r="Q103" s="233">
        <f>VLOOKUP(tabParametros[[#Headers],[INSS]],tabImpostosNacionais[],2,0)</f>
        <v>0.2</v>
      </c>
      <c r="R103" s="233">
        <f>VLOOKUP(tabParametros[[#Headers],[SESI OU SESC]],tabImpostosNacionais[],2,0)</f>
        <v>1.4999999999999999E-2</v>
      </c>
      <c r="S103" s="233">
        <f>VLOOKUP(tabParametros[[#Headers],[SENAI OU SENAC]],tabImpostosNacionais[],2,0)</f>
        <v>0.01</v>
      </c>
      <c r="T103" s="233">
        <f>VLOOKUP(tabParametros[[#Headers],[INCRA]],tabImpostosNacionais[],2,0)</f>
        <v>2E-3</v>
      </c>
      <c r="U103" s="233">
        <f>VLOOKUP(tabParametros[[#Headers],[Salário Educação]],tabImpostosNacionais[],2,0)</f>
        <v>2.5000000000000001E-2</v>
      </c>
      <c r="V103" s="233">
        <f>VLOOKUP(tabParametros[[#Headers],[FGTS]],tabImpostosNacionais[],2,0)</f>
        <v>0.08</v>
      </c>
      <c r="W103" s="233">
        <f>VLOOKUP(tabParametros[[#Headers],[RAT Ajustado]],tabImpostosNacionais[],2,0)</f>
        <v>0.04</v>
      </c>
      <c r="X103" s="233">
        <f>VLOOKUP(tabParametros[[#Headers],[SEBRAE]],tabImpostosNacionais[],2,0)</f>
        <v>6.0000000000000001E-3</v>
      </c>
      <c r="Y103" s="233">
        <f t="shared" si="11"/>
        <v>8.3333333333333329E-2</v>
      </c>
      <c r="Z103" s="233">
        <f t="shared" si="12"/>
        <v>0.1111111111111111</v>
      </c>
      <c r="AA103" s="232">
        <f>VLOOKUP(tabParametros[[#This Row],[Comarca]],tabComarca[],5,0)</f>
        <v>6.4</v>
      </c>
      <c r="AB103" s="232">
        <f>VLOOKUP(tabParametros[[#This Row],[CCT DA CATEGORIA]],tabSindicatos[],6,0)</f>
        <v>28.97</v>
      </c>
      <c r="AC103" s="232">
        <f>VLOOKUP(tabParametros[[#This Row],[CCT DA CATEGORIA]],tabSindicatos[],7,0)</f>
        <v>0</v>
      </c>
      <c r="AD103" s="232" cm="1">
        <f t="array" ref="AD10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03" s="232">
        <f>VLOOKUP(tabParametros[[#This Row],[CCT DA CATEGORIA]],tabSindicatos[],9,0)</f>
        <v>0</v>
      </c>
      <c r="AF103" s="232">
        <f>VLOOKUP(tabParametros[[#This Row],[CCT DA CATEGORIA]],tabSindicatos[],10,0)</f>
        <v>0</v>
      </c>
      <c r="AG103" s="234">
        <f>VLOOKUP(tabParametros[[#Headers],[Seguro de Vida]],tabOutrosCustos[],3,0)</f>
        <v>3.36</v>
      </c>
      <c r="AH103" s="234">
        <f>IF(ISNUMBER(SEARCH("MOTORISTA",tabParametros[[#This Row],[Função]],1)),VLOOKUP("MOTORISTAS",tabDiarias[],2,0),IF(tabParametros[[#This Row],[Comarca]]="Belo Horizonte",VLOOKUP("APOIO",tabDiarias[],2,0),0))</f>
        <v>662.42</v>
      </c>
      <c r="AI103" s="233">
        <f t="shared" si="13"/>
        <v>7.011766975308642E-3</v>
      </c>
      <c r="AJ103" s="235">
        <f>tabParametros[[#This Row],[FGTS]]*tabParametros[[#This Row],[Aviso Prévio Indenizado (API) e Reflexo do Aviso Prévio Indenizado]]</f>
        <v>5.609413580246914E-4</v>
      </c>
      <c r="AK103" s="235">
        <f>tabParametros[[#This Row],[FGTS]]*tabParametros[[#This Row],[Aviso Prévio Indenizado (API) e Reflexo do Aviso Prévio Indenizado]]*40%</f>
        <v>2.2437654320987658E-4</v>
      </c>
      <c r="AL103" s="233">
        <f t="shared" si="14"/>
        <v>3.5000000000000005E-3</v>
      </c>
      <c r="AM103" s="233">
        <f>tabParametros[[#This Row],[Aviso Prévio Trabalhado - APT]]*SUM(tabParametros[[#This Row],[INSS]:[SEBRAE]])</f>
        <v>1.3230000000000004E-3</v>
      </c>
      <c r="AN103" s="233">
        <f t="shared" si="15"/>
        <v>3.0577777777777773E-2</v>
      </c>
      <c r="AO103" s="233">
        <f t="shared" si="16"/>
        <v>8.3333333333333339E-4</v>
      </c>
      <c r="AP103" s="233">
        <f t="shared" si="17"/>
        <v>8.4444444444444437E-3</v>
      </c>
      <c r="AQ103" s="233">
        <f t="shared" si="18"/>
        <v>2.0277777777777777E-3</v>
      </c>
      <c r="AR103" s="233">
        <f t="shared" si="19"/>
        <v>1.7083333333333333E-4</v>
      </c>
      <c r="AS103" s="233">
        <f t="shared" si="20"/>
        <v>2.0833333333333335E-4</v>
      </c>
      <c r="AT103" s="233">
        <f t="shared" si="21"/>
        <v>1.2962962962962963E-3</v>
      </c>
      <c r="AU103" s="235">
        <f>SUM(tabParametros[[#This Row],[Ausência por Doença]:[Férias, Adicional de Férias e 13º  com empregada em gozo de Licença Maternidade]])*SUM(tabParametros[[#This Row],[INSS]:[SEBRAE]])</f>
        <v>4.5918250000000008E-3</v>
      </c>
      <c r="AV103" s="254">
        <f>IF(tabParametros[[#This Row],[Função]]="Porteiro - 220 h",SUM(tabParametros[[#This Row],[Salário Base]:[Adicional de Acúmulo de função]])/220*20*1.5,IF(ISNUMBER(SEARCH("12 x 36",tabParametros[[#This Row],[Função]],1)),SUM(tabParametros[[#This Row],[Salário Base]:[Adicional de Acúmulo de função]])/210*15.5*1.5,0))</f>
        <v>0</v>
      </c>
      <c r="AW103" s="232">
        <f>IF(tabParametros[[#This Row],[Vagas contratadas]]&gt;0,(SUM(tabParametros[[#This Row],[Salário Base]:[Adicional de Acúmulo de função]])*30%+SUM(tabParametros[[#This Row],[Vale - Alimentação]:[Seguro de Vida]]))/tabParametros[[#This Row],[Vagas contratadas]]*tabParametros[[#This Row],[Vagas suspensas]],0)</f>
        <v>0</v>
      </c>
      <c r="AX103" s="232">
        <f>SUMIF(tabUniformes[Cargo],tabParametros[[#This Row],[Função]],tabUniformes[Valor unit. Mensal])</f>
        <v>92.100763771570698</v>
      </c>
      <c r="AY10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3" s="232">
        <v>0</v>
      </c>
      <c r="BC103" s="234" t="e">
        <f ca="1">VLOOKUP(tabParametros[[#Headers],[Custos Indiretos]],tabOutrosCustos[],3,0)</f>
        <v>#NAME?</v>
      </c>
      <c r="BD103" s="234" t="e">
        <f ca="1">VLOOKUP(tabParametros[[#Headers],[Lucro]],tabOutrosCustos[],3,0)</f>
        <v>#NAME?</v>
      </c>
      <c r="BE103" s="233">
        <f>VLOOKUP(tabParametros[[#Headers],[COFINS]],tabImpostosNacionais[],2,0)</f>
        <v>7.5999999999999998E-2</v>
      </c>
      <c r="BF103" s="233">
        <f>VLOOKUP(tabParametros[[#Headers],[PIS]],tabImpostosNacionais[],2,0)</f>
        <v>1.6500000000000001E-2</v>
      </c>
      <c r="BG103" s="233">
        <f>VLOOKUP(tabParametros[[#This Row],[Comarca]],tabComarca[],4,0)</f>
        <v>0.03</v>
      </c>
      <c r="BH103" s="236">
        <f>VLOOKUP(tabParametros[[#This Row],[CCT DA CATEGORIA]],tabSindicatos[],11,0)</f>
        <v>45658</v>
      </c>
      <c r="BI103" s="282" t="str">
        <f>VLOOKUP(tabParametros[[#This Row],[CCT DA CATEGORIA]],tabSindicatos[],12,0)</f>
        <v>-</v>
      </c>
      <c r="BJ103" s="285" t="str">
        <f>VLOOKUP(tabParametros[[#This Row],[CCT DA CATEGORIA]],tabSindicatos[],13,0)</f>
        <v>-</v>
      </c>
    </row>
    <row r="104" spans="1:62">
      <c r="A104" s="231" t="s">
        <v>1568</v>
      </c>
      <c r="B104" s="197" t="s">
        <v>1115</v>
      </c>
      <c r="C104" s="197" t="s">
        <v>319</v>
      </c>
      <c r="D104" s="197" t="str">
        <f>VLOOKUP(tabParametros[[#This Row],[Código do Posto]],tabPostos[],4,0)</f>
        <v>Regiao de Sao Lourenco</v>
      </c>
      <c r="E104" s="282" t="str">
        <f>VLOOKUP(tabParametros[[#This Row],[Código do Posto]],tabPostos[],5,0)</f>
        <v>Apoio</v>
      </c>
      <c r="F104" s="282" t="str">
        <f>VLOOKUP(tabParametros[[#This Row],[Código do Posto]],tabPostos[],6,0)</f>
        <v>PGJ</v>
      </c>
      <c r="G104" s="282">
        <f>VLOOKUP(tabParametros[[#This Row],[Código do Posto]],tabPostos[],7,0)</f>
        <v>1</v>
      </c>
      <c r="H104" s="282">
        <f>VLOOKUP(tabParametros[[#This Row],[Código do Posto]],tabPostos[],8,0)</f>
        <v>0</v>
      </c>
      <c r="I104" s="232">
        <f>VLOOKUP(tabParametros[[#This Row],[Código do Posto]],tabPostos[],9,0)</f>
        <v>2316.2253186627422</v>
      </c>
      <c r="J104" s="232">
        <f>IF(ISNUMBER(SEARCH("Eletricista",tabParametros[[#This Row],[Função]],1)),0.3*tabParametros[[#This Row],[Salário Base]],0)</f>
        <v>0</v>
      </c>
      <c r="K10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4" s="232">
        <f>IF(AND(ISNUMBER(SEARCH("Noturno",tabParametros[[#This Row],[Função]],1)),tabParametros[[#This Row],[Comarca]]&lt;&gt;"Juiz de Fora"),tabParametros[[#This Row],[Salário Base]]/210*0.39*7*15.5,IF(ISNUMBER(SEARCH("Noturno",tabParametros[[#This Row],[Função]],1)),tabParametros[[#This Row],[Salário Base]]/210*0.2*8*15.5,0))</f>
        <v>0</v>
      </c>
      <c r="M104" s="232">
        <f>IF(ISNUMBER(SEARCH("Motorista II",tabParametros[[#This Row],[Função]],1)),0.3022*tabParametros[[#This Row],[Salário Base]],0)</f>
        <v>0</v>
      </c>
      <c r="N104" s="254">
        <v>0</v>
      </c>
      <c r="O104" s="254">
        <f>IF(ISNUMBER(SEARCH("TECNOLOGIA DA INFORMACAO",tabParametros[[#This Row],[Função]],1)),0.056*tabParametros[[#This Row],[Salário Base]],0)</f>
        <v>0</v>
      </c>
      <c r="P104" s="232">
        <f>IF(tabParametros[[#This Row],[Função]]="Operador de Midia Audiovisual - 150 h",tabParametros[[#This Row],[Salário Base]]/150*50*30%,IF(tabParametros[[#This Row],[Função]]="Supervisor de Manutencao de Veiculos II - 220 h",12%*tabParametros[[#This Row],[Salário Base]],0))</f>
        <v>0</v>
      </c>
      <c r="Q104" s="233">
        <f>VLOOKUP(tabParametros[[#Headers],[INSS]],tabImpostosNacionais[],2,0)</f>
        <v>0.2</v>
      </c>
      <c r="R104" s="233">
        <f>VLOOKUP(tabParametros[[#Headers],[SESI OU SESC]],tabImpostosNacionais[],2,0)</f>
        <v>1.4999999999999999E-2</v>
      </c>
      <c r="S104" s="233">
        <f>VLOOKUP(tabParametros[[#Headers],[SENAI OU SENAC]],tabImpostosNacionais[],2,0)</f>
        <v>0.01</v>
      </c>
      <c r="T104" s="233">
        <f>VLOOKUP(tabParametros[[#Headers],[INCRA]],tabImpostosNacionais[],2,0)</f>
        <v>2E-3</v>
      </c>
      <c r="U104" s="233">
        <f>VLOOKUP(tabParametros[[#Headers],[Salário Educação]],tabImpostosNacionais[],2,0)</f>
        <v>2.5000000000000001E-2</v>
      </c>
      <c r="V104" s="233">
        <f>VLOOKUP(tabParametros[[#Headers],[FGTS]],tabImpostosNacionais[],2,0)</f>
        <v>0.08</v>
      </c>
      <c r="W104" s="233">
        <f>VLOOKUP(tabParametros[[#Headers],[RAT Ajustado]],tabImpostosNacionais[],2,0)</f>
        <v>0.04</v>
      </c>
      <c r="X104" s="233">
        <f>VLOOKUP(tabParametros[[#Headers],[SEBRAE]],tabImpostosNacionais[],2,0)</f>
        <v>6.0000000000000001E-3</v>
      </c>
      <c r="Y104" s="233">
        <f t="shared" si="11"/>
        <v>8.3333333333333329E-2</v>
      </c>
      <c r="Z104" s="233">
        <f t="shared" si="12"/>
        <v>0.1111111111111111</v>
      </c>
      <c r="AA104" s="232">
        <f>VLOOKUP(tabParametros[[#This Row],[Comarca]],tabComarca[],5,0)</f>
        <v>6.4</v>
      </c>
      <c r="AB104" s="232">
        <f>VLOOKUP(tabParametros[[#This Row],[CCT DA CATEGORIA]],tabSindicatos[],6,0)</f>
        <v>29.15</v>
      </c>
      <c r="AC104" s="232">
        <f>VLOOKUP(tabParametros[[#This Row],[CCT DA CATEGORIA]],tabSindicatos[],7,0)</f>
        <v>0</v>
      </c>
      <c r="AD104" s="232" cm="1">
        <f t="array" ref="AD10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04" s="232">
        <f>VLOOKUP(tabParametros[[#This Row],[CCT DA CATEGORIA]],tabSindicatos[],9,0)</f>
        <v>0</v>
      </c>
      <c r="AF104" s="232">
        <f>VLOOKUP(tabParametros[[#This Row],[CCT DA CATEGORIA]],tabSindicatos[],10,0)</f>
        <v>0</v>
      </c>
      <c r="AG104" s="234">
        <f>VLOOKUP(tabParametros[[#Headers],[Seguro de Vida]],tabOutrosCustos[],3,0)</f>
        <v>3.36</v>
      </c>
      <c r="AH104" s="234">
        <f>IF(ISNUMBER(SEARCH("MOTORISTA",tabParametros[[#This Row],[Função]],1)),VLOOKUP("MOTORISTAS",tabDiarias[],2,0),IF(tabParametros[[#This Row],[Comarca]]="Belo Horizonte",VLOOKUP("APOIO",tabDiarias[],2,0),0))</f>
        <v>0</v>
      </c>
      <c r="AI104" s="233">
        <f t="shared" si="13"/>
        <v>7.011766975308642E-3</v>
      </c>
      <c r="AJ104" s="235">
        <f>tabParametros[[#This Row],[FGTS]]*tabParametros[[#This Row],[Aviso Prévio Indenizado (API) e Reflexo do Aviso Prévio Indenizado]]</f>
        <v>5.609413580246914E-4</v>
      </c>
      <c r="AK104" s="235">
        <f>tabParametros[[#This Row],[FGTS]]*tabParametros[[#This Row],[Aviso Prévio Indenizado (API) e Reflexo do Aviso Prévio Indenizado]]*40%</f>
        <v>2.2437654320987658E-4</v>
      </c>
      <c r="AL104" s="233">
        <f t="shared" si="14"/>
        <v>3.5000000000000005E-3</v>
      </c>
      <c r="AM104" s="233">
        <f>tabParametros[[#This Row],[Aviso Prévio Trabalhado - APT]]*SUM(tabParametros[[#This Row],[INSS]:[SEBRAE]])</f>
        <v>1.3230000000000004E-3</v>
      </c>
      <c r="AN104" s="233">
        <f t="shared" si="15"/>
        <v>3.0577777777777773E-2</v>
      </c>
      <c r="AO104" s="233">
        <f t="shared" si="16"/>
        <v>8.3333333333333339E-4</v>
      </c>
      <c r="AP104" s="233">
        <f t="shared" si="17"/>
        <v>8.4444444444444437E-3</v>
      </c>
      <c r="AQ104" s="233">
        <f t="shared" si="18"/>
        <v>2.0277777777777777E-3</v>
      </c>
      <c r="AR104" s="233">
        <f t="shared" si="19"/>
        <v>1.7083333333333333E-4</v>
      </c>
      <c r="AS104" s="233">
        <f t="shared" si="20"/>
        <v>2.0833333333333335E-4</v>
      </c>
      <c r="AT104" s="233">
        <f t="shared" si="21"/>
        <v>1.2962962962962963E-3</v>
      </c>
      <c r="AU104" s="235">
        <f>SUM(tabParametros[[#This Row],[Ausência por Doença]:[Férias, Adicional de Férias e 13º  com empregada em gozo de Licença Maternidade]])*SUM(tabParametros[[#This Row],[INSS]:[SEBRAE]])</f>
        <v>4.5918250000000008E-3</v>
      </c>
      <c r="AV104" s="254">
        <f>IF(tabParametros[[#This Row],[Função]]="Porteiro - 220 h",SUM(tabParametros[[#This Row],[Salário Base]:[Adicional de Acúmulo de função]])/220*20*1.5,IF(ISNUMBER(SEARCH("12 x 36",tabParametros[[#This Row],[Função]],1)),SUM(tabParametros[[#This Row],[Salário Base]:[Adicional de Acúmulo de função]])/210*15.5*1.5,0))</f>
        <v>0</v>
      </c>
      <c r="AW104" s="232">
        <f>IF(tabParametros[[#This Row],[Vagas contratadas]]&gt;0,(SUM(tabParametros[[#This Row],[Salário Base]:[Adicional de Acúmulo de função]])*30%+SUM(tabParametros[[#This Row],[Vale - Alimentação]:[Seguro de Vida]]))/tabParametros[[#This Row],[Vagas contratadas]]*tabParametros[[#This Row],[Vagas suspensas]],0)</f>
        <v>0</v>
      </c>
      <c r="AX104" s="232">
        <f>SUMIF(tabUniformes[Cargo],tabParametros[[#This Row],[Função]],tabUniformes[Valor unit. Mensal])</f>
        <v>56.642978962543395</v>
      </c>
      <c r="AY10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4" s="232">
        <v>0</v>
      </c>
      <c r="BC104" s="234" t="e">
        <f ca="1">VLOOKUP(tabParametros[[#Headers],[Custos Indiretos]],tabOutrosCustos[],3,0)</f>
        <v>#NAME?</v>
      </c>
      <c r="BD104" s="234" t="e">
        <f ca="1">VLOOKUP(tabParametros[[#Headers],[Lucro]],tabOutrosCustos[],3,0)</f>
        <v>#NAME?</v>
      </c>
      <c r="BE104" s="233">
        <f>VLOOKUP(tabParametros[[#Headers],[COFINS]],tabImpostosNacionais[],2,0)</f>
        <v>7.5999999999999998E-2</v>
      </c>
      <c r="BF104" s="233">
        <f>VLOOKUP(tabParametros[[#Headers],[PIS]],tabImpostosNacionais[],2,0)</f>
        <v>1.6500000000000001E-2</v>
      </c>
      <c r="BG104" s="233">
        <f>VLOOKUP(tabParametros[[#This Row],[Comarca]],tabComarca[],4,0)</f>
        <v>0.03</v>
      </c>
      <c r="BH104" s="236">
        <f>VLOOKUP(tabParametros[[#This Row],[CCT DA CATEGORIA]],tabSindicatos[],11,0)</f>
        <v>45658</v>
      </c>
      <c r="BI104" s="282" t="str">
        <f>VLOOKUP(tabParametros[[#This Row],[CCT DA CATEGORIA]],tabSindicatos[],12,0)</f>
        <v>-</v>
      </c>
      <c r="BJ104" s="285" t="str">
        <f>VLOOKUP(tabParametros[[#This Row],[CCT DA CATEGORIA]],tabSindicatos[],13,0)</f>
        <v>-</v>
      </c>
    </row>
    <row r="105" spans="1:62">
      <c r="A105" s="231" t="s">
        <v>1569</v>
      </c>
      <c r="B105" s="197" t="s">
        <v>1116</v>
      </c>
      <c r="C105" s="197" t="s">
        <v>319</v>
      </c>
      <c r="D105" s="197" t="str">
        <f>VLOOKUP(tabParametros[[#This Row],[Código do Posto]],tabPostos[],4,0)</f>
        <v>Alto Paranaiba</v>
      </c>
      <c r="E105" s="282" t="str">
        <f>VLOOKUP(tabParametros[[#This Row],[Código do Posto]],tabPostos[],5,0)</f>
        <v>Apoio</v>
      </c>
      <c r="F105" s="282" t="str">
        <f>VLOOKUP(tabParametros[[#This Row],[Código do Posto]],tabPostos[],6,0)</f>
        <v>PGJ</v>
      </c>
      <c r="G105" s="282">
        <f>VLOOKUP(tabParametros[[#This Row],[Código do Posto]],tabPostos[],7,0)</f>
        <v>1</v>
      </c>
      <c r="H105" s="282">
        <f>VLOOKUP(tabParametros[[#This Row],[Código do Posto]],tabPostos[],8,0)</f>
        <v>0</v>
      </c>
      <c r="I105" s="232">
        <f>VLOOKUP(tabParametros[[#This Row],[Código do Posto]],tabPostos[],9,0)</f>
        <v>2316.2253186627422</v>
      </c>
      <c r="J105" s="232">
        <f>IF(ISNUMBER(SEARCH("Eletricista",tabParametros[[#This Row],[Função]],1)),0.3*tabParametros[[#This Row],[Salário Base]],0)</f>
        <v>0</v>
      </c>
      <c r="K10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5" s="232">
        <f>IF(AND(ISNUMBER(SEARCH("Noturno",tabParametros[[#This Row],[Função]],1)),tabParametros[[#This Row],[Comarca]]&lt;&gt;"Juiz de Fora"),tabParametros[[#This Row],[Salário Base]]/210*0.39*7*15.5,IF(ISNUMBER(SEARCH("Noturno",tabParametros[[#This Row],[Função]],1)),tabParametros[[#This Row],[Salário Base]]/210*0.2*8*15.5,0))</f>
        <v>0</v>
      </c>
      <c r="M105" s="232">
        <f>IF(ISNUMBER(SEARCH("Motorista II",tabParametros[[#This Row],[Função]],1)),0.3022*tabParametros[[#This Row],[Salário Base]],0)</f>
        <v>0</v>
      </c>
      <c r="N105" s="254">
        <v>0</v>
      </c>
      <c r="O105" s="254">
        <f>IF(ISNUMBER(SEARCH("TECNOLOGIA DA INFORMACAO",tabParametros[[#This Row],[Função]],1)),0.056*tabParametros[[#This Row],[Salário Base]],0)</f>
        <v>0</v>
      </c>
      <c r="P105" s="232">
        <f>IF(tabParametros[[#This Row],[Função]]="Operador de Midia Audiovisual - 150 h",tabParametros[[#This Row],[Salário Base]]/150*50*30%,IF(tabParametros[[#This Row],[Função]]="Supervisor de Manutencao de Veiculos II - 220 h",12%*tabParametros[[#This Row],[Salário Base]],0))</f>
        <v>0</v>
      </c>
      <c r="Q105" s="233">
        <f>VLOOKUP(tabParametros[[#Headers],[INSS]],tabImpostosNacionais[],2,0)</f>
        <v>0.2</v>
      </c>
      <c r="R105" s="233">
        <f>VLOOKUP(tabParametros[[#Headers],[SESI OU SESC]],tabImpostosNacionais[],2,0)</f>
        <v>1.4999999999999999E-2</v>
      </c>
      <c r="S105" s="233">
        <f>VLOOKUP(tabParametros[[#Headers],[SENAI OU SENAC]],tabImpostosNacionais[],2,0)</f>
        <v>0.01</v>
      </c>
      <c r="T105" s="233">
        <f>VLOOKUP(tabParametros[[#Headers],[INCRA]],tabImpostosNacionais[],2,0)</f>
        <v>2E-3</v>
      </c>
      <c r="U105" s="233">
        <f>VLOOKUP(tabParametros[[#Headers],[Salário Educação]],tabImpostosNacionais[],2,0)</f>
        <v>2.5000000000000001E-2</v>
      </c>
      <c r="V105" s="233">
        <f>VLOOKUP(tabParametros[[#Headers],[FGTS]],tabImpostosNacionais[],2,0)</f>
        <v>0.08</v>
      </c>
      <c r="W105" s="233">
        <f>VLOOKUP(tabParametros[[#Headers],[RAT Ajustado]],tabImpostosNacionais[],2,0)</f>
        <v>0.04</v>
      </c>
      <c r="X105" s="233">
        <f>VLOOKUP(tabParametros[[#Headers],[SEBRAE]],tabImpostosNacionais[],2,0)</f>
        <v>6.0000000000000001E-3</v>
      </c>
      <c r="Y105" s="233">
        <f t="shared" si="11"/>
        <v>8.3333333333333329E-2</v>
      </c>
      <c r="Z105" s="233">
        <f t="shared" si="12"/>
        <v>0.1111111111111111</v>
      </c>
      <c r="AA105" s="232">
        <f>VLOOKUP(tabParametros[[#This Row],[Comarca]],tabComarca[],5,0)</f>
        <v>6.4</v>
      </c>
      <c r="AB105" s="232">
        <f>VLOOKUP(tabParametros[[#This Row],[CCT DA CATEGORIA]],tabSindicatos[],6,0)</f>
        <v>0</v>
      </c>
      <c r="AC105" s="232">
        <f>VLOOKUP(tabParametros[[#This Row],[CCT DA CATEGORIA]],tabSindicatos[],7,0)</f>
        <v>387.79</v>
      </c>
      <c r="AD105" s="232" cm="1">
        <f t="array" ref="AD10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105" s="232">
        <f>VLOOKUP(tabParametros[[#This Row],[CCT DA CATEGORIA]],tabSindicatos[],9,0)</f>
        <v>0</v>
      </c>
      <c r="AF105" s="232">
        <f>VLOOKUP(tabParametros[[#This Row],[CCT DA CATEGORIA]],tabSindicatos[],10,0)</f>
        <v>0</v>
      </c>
      <c r="AG105" s="234">
        <f>VLOOKUP(tabParametros[[#Headers],[Seguro de Vida]],tabOutrosCustos[],3,0)</f>
        <v>3.36</v>
      </c>
      <c r="AH105" s="234">
        <f>IF(ISNUMBER(SEARCH("MOTORISTA",tabParametros[[#This Row],[Função]],1)),VLOOKUP("MOTORISTAS",tabDiarias[],2,0),IF(tabParametros[[#This Row],[Comarca]]="Belo Horizonte",VLOOKUP("APOIO",tabDiarias[],2,0),0))</f>
        <v>0</v>
      </c>
      <c r="AI105" s="233">
        <f t="shared" si="13"/>
        <v>7.011766975308642E-3</v>
      </c>
      <c r="AJ105" s="235">
        <f>tabParametros[[#This Row],[FGTS]]*tabParametros[[#This Row],[Aviso Prévio Indenizado (API) e Reflexo do Aviso Prévio Indenizado]]</f>
        <v>5.609413580246914E-4</v>
      </c>
      <c r="AK105" s="235">
        <f>tabParametros[[#This Row],[FGTS]]*tabParametros[[#This Row],[Aviso Prévio Indenizado (API) e Reflexo do Aviso Prévio Indenizado]]*40%</f>
        <v>2.2437654320987658E-4</v>
      </c>
      <c r="AL105" s="233">
        <f t="shared" si="14"/>
        <v>3.5000000000000005E-3</v>
      </c>
      <c r="AM105" s="233">
        <f>tabParametros[[#This Row],[Aviso Prévio Trabalhado - APT]]*SUM(tabParametros[[#This Row],[INSS]:[SEBRAE]])</f>
        <v>1.3230000000000004E-3</v>
      </c>
      <c r="AN105" s="233">
        <f t="shared" si="15"/>
        <v>3.0577777777777773E-2</v>
      </c>
      <c r="AO105" s="233">
        <f t="shared" si="16"/>
        <v>8.3333333333333339E-4</v>
      </c>
      <c r="AP105" s="233">
        <f t="shared" si="17"/>
        <v>8.4444444444444437E-3</v>
      </c>
      <c r="AQ105" s="233">
        <f t="shared" si="18"/>
        <v>2.0277777777777777E-3</v>
      </c>
      <c r="AR105" s="233">
        <f t="shared" si="19"/>
        <v>1.7083333333333333E-4</v>
      </c>
      <c r="AS105" s="233">
        <f t="shared" si="20"/>
        <v>2.0833333333333335E-4</v>
      </c>
      <c r="AT105" s="233">
        <f t="shared" si="21"/>
        <v>1.2962962962962963E-3</v>
      </c>
      <c r="AU105" s="235">
        <f>SUM(tabParametros[[#This Row],[Ausência por Doença]:[Férias, Adicional de Férias e 13º  com empregada em gozo de Licença Maternidade]])*SUM(tabParametros[[#This Row],[INSS]:[SEBRAE]])</f>
        <v>4.5918250000000008E-3</v>
      </c>
      <c r="AV105" s="254">
        <f>IF(tabParametros[[#This Row],[Função]]="Porteiro - 220 h",SUM(tabParametros[[#This Row],[Salário Base]:[Adicional de Acúmulo de função]])/220*20*1.5,IF(ISNUMBER(SEARCH("12 x 36",tabParametros[[#This Row],[Função]],1)),SUM(tabParametros[[#This Row],[Salário Base]:[Adicional de Acúmulo de função]])/210*15.5*1.5,0))</f>
        <v>0</v>
      </c>
      <c r="AW105" s="232">
        <f>IF(tabParametros[[#This Row],[Vagas contratadas]]&gt;0,(SUM(tabParametros[[#This Row],[Salário Base]:[Adicional de Acúmulo de função]])*30%+SUM(tabParametros[[#This Row],[Vale - Alimentação]:[Seguro de Vida]]))/tabParametros[[#This Row],[Vagas contratadas]]*tabParametros[[#This Row],[Vagas suspensas]],0)</f>
        <v>0</v>
      </c>
      <c r="AX105" s="232">
        <f>SUMIF(tabUniformes[Cargo],tabParametros[[#This Row],[Função]],tabUniformes[Valor unit. Mensal])</f>
        <v>56.642978962543395</v>
      </c>
      <c r="AY10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5" s="232">
        <v>0</v>
      </c>
      <c r="BC105" s="234" t="e">
        <f ca="1">VLOOKUP(tabParametros[[#Headers],[Custos Indiretos]],tabOutrosCustos[],3,0)</f>
        <v>#NAME?</v>
      </c>
      <c r="BD105" s="234" t="e">
        <f ca="1">VLOOKUP(tabParametros[[#Headers],[Lucro]],tabOutrosCustos[],3,0)</f>
        <v>#NAME?</v>
      </c>
      <c r="BE105" s="233">
        <f>VLOOKUP(tabParametros[[#Headers],[COFINS]],tabImpostosNacionais[],2,0)</f>
        <v>7.5999999999999998E-2</v>
      </c>
      <c r="BF105" s="233">
        <f>VLOOKUP(tabParametros[[#Headers],[PIS]],tabImpostosNacionais[],2,0)</f>
        <v>1.6500000000000001E-2</v>
      </c>
      <c r="BG105" s="233">
        <f>VLOOKUP(tabParametros[[#This Row],[Comarca]],tabComarca[],4,0)</f>
        <v>0.03</v>
      </c>
      <c r="BH105" s="236">
        <f>VLOOKUP(tabParametros[[#This Row],[CCT DA CATEGORIA]],tabSindicatos[],11,0)</f>
        <v>45658</v>
      </c>
      <c r="BI105" s="282" t="str">
        <f>VLOOKUP(tabParametros[[#This Row],[CCT DA CATEGORIA]],tabSindicatos[],12,0)</f>
        <v>-</v>
      </c>
      <c r="BJ105" s="285" t="str">
        <f>VLOOKUP(tabParametros[[#This Row],[CCT DA CATEGORIA]],tabSindicatos[],13,0)</f>
        <v>-</v>
      </c>
    </row>
    <row r="106" spans="1:62">
      <c r="A106" s="231" t="s">
        <v>1462</v>
      </c>
      <c r="B106" s="197" t="s">
        <v>1117</v>
      </c>
      <c r="C106" s="197" t="s">
        <v>200</v>
      </c>
      <c r="D106" s="197" t="str">
        <f>VLOOKUP(tabParametros[[#This Row],[Código do Posto]],tabPostos[],4,0)</f>
        <v>Regiao de Sao Lourenco</v>
      </c>
      <c r="E106" s="282" t="str">
        <f>VLOOKUP(tabParametros[[#This Row],[Código do Posto]],tabPostos[],5,0)</f>
        <v>Apoio</v>
      </c>
      <c r="F106" s="282" t="str">
        <f>VLOOKUP(tabParametros[[#This Row],[Código do Posto]],tabPostos[],6,0)</f>
        <v>PGJ</v>
      </c>
      <c r="G106" s="282">
        <f>VLOOKUP(tabParametros[[#This Row],[Código do Posto]],tabPostos[],7,0)</f>
        <v>1</v>
      </c>
      <c r="H106" s="282">
        <f>VLOOKUP(tabParametros[[#This Row],[Código do Posto]],tabPostos[],8,0)</f>
        <v>0</v>
      </c>
      <c r="I106" s="232">
        <f>VLOOKUP(tabParametros[[#This Row],[Código do Posto]],tabPostos[],9,0)</f>
        <v>1596.273808921236</v>
      </c>
      <c r="J106" s="232">
        <f>IF(ISNUMBER(SEARCH("Eletricista",tabParametros[[#This Row],[Função]],1)),0.3*tabParametros[[#This Row],[Salário Base]],0)</f>
        <v>0</v>
      </c>
      <c r="K10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6" s="232">
        <f>IF(AND(ISNUMBER(SEARCH("Noturno",tabParametros[[#This Row],[Função]],1)),tabParametros[[#This Row],[Comarca]]&lt;&gt;"Juiz de Fora"),tabParametros[[#This Row],[Salário Base]]/210*0.39*7*15.5,IF(ISNUMBER(SEARCH("Noturno",tabParametros[[#This Row],[Função]],1)),tabParametros[[#This Row],[Salário Base]]/210*0.2*8*15.5,0))</f>
        <v>0</v>
      </c>
      <c r="M106" s="232">
        <f>IF(ISNUMBER(SEARCH("Motorista II",tabParametros[[#This Row],[Função]],1)),0.3022*tabParametros[[#This Row],[Salário Base]],0)</f>
        <v>0</v>
      </c>
      <c r="N106" s="254">
        <v>0</v>
      </c>
      <c r="O106" s="254">
        <f>IF(ISNUMBER(SEARCH("TECNOLOGIA DA INFORMACAO",tabParametros[[#This Row],[Função]],1)),0.056*tabParametros[[#This Row],[Salário Base]],0)</f>
        <v>0</v>
      </c>
      <c r="P106" s="232">
        <f>IF(tabParametros[[#This Row],[Função]]="Operador de Midia Audiovisual - 150 h",tabParametros[[#This Row],[Salário Base]]/150*50*30%,IF(tabParametros[[#This Row],[Função]]="Supervisor de Manutencao de Veiculos II - 220 h",12%*tabParametros[[#This Row],[Salário Base]],0))</f>
        <v>0</v>
      </c>
      <c r="Q106" s="233">
        <f>VLOOKUP(tabParametros[[#Headers],[INSS]],tabImpostosNacionais[],2,0)</f>
        <v>0.2</v>
      </c>
      <c r="R106" s="233">
        <f>VLOOKUP(tabParametros[[#Headers],[SESI OU SESC]],tabImpostosNacionais[],2,0)</f>
        <v>1.4999999999999999E-2</v>
      </c>
      <c r="S106" s="233">
        <f>VLOOKUP(tabParametros[[#Headers],[SENAI OU SENAC]],tabImpostosNacionais[],2,0)</f>
        <v>0.01</v>
      </c>
      <c r="T106" s="233">
        <f>VLOOKUP(tabParametros[[#Headers],[INCRA]],tabImpostosNacionais[],2,0)</f>
        <v>2E-3</v>
      </c>
      <c r="U106" s="233">
        <f>VLOOKUP(tabParametros[[#Headers],[Salário Educação]],tabImpostosNacionais[],2,0)</f>
        <v>2.5000000000000001E-2</v>
      </c>
      <c r="V106" s="233">
        <f>VLOOKUP(tabParametros[[#Headers],[FGTS]],tabImpostosNacionais[],2,0)</f>
        <v>0.08</v>
      </c>
      <c r="W106" s="233">
        <f>VLOOKUP(tabParametros[[#Headers],[RAT Ajustado]],tabImpostosNacionais[],2,0)</f>
        <v>0.04</v>
      </c>
      <c r="X106" s="233">
        <f>VLOOKUP(tabParametros[[#Headers],[SEBRAE]],tabImpostosNacionais[],2,0)</f>
        <v>6.0000000000000001E-3</v>
      </c>
      <c r="Y106" s="233">
        <f t="shared" si="11"/>
        <v>8.3333333333333329E-2</v>
      </c>
      <c r="Z106" s="233">
        <f t="shared" si="12"/>
        <v>0.1111111111111111</v>
      </c>
      <c r="AA106" s="232">
        <f>VLOOKUP(tabParametros[[#This Row],[Comarca]],tabComarca[],5,0)</f>
        <v>6.4</v>
      </c>
      <c r="AB106" s="232">
        <f>VLOOKUP(tabParametros[[#This Row],[CCT DA CATEGORIA]],tabSindicatos[],6,0)</f>
        <v>29.15</v>
      </c>
      <c r="AC106" s="232">
        <f>VLOOKUP(tabParametros[[#This Row],[CCT DA CATEGORIA]],tabSindicatos[],7,0)</f>
        <v>0</v>
      </c>
      <c r="AD106" s="232" cm="1">
        <f t="array" ref="AD10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06" s="232">
        <f>VLOOKUP(tabParametros[[#This Row],[CCT DA CATEGORIA]],tabSindicatos[],9,0)</f>
        <v>0</v>
      </c>
      <c r="AF106" s="232">
        <f>VLOOKUP(tabParametros[[#This Row],[CCT DA CATEGORIA]],tabSindicatos[],10,0)</f>
        <v>0</v>
      </c>
      <c r="AG106" s="234">
        <f>VLOOKUP(tabParametros[[#Headers],[Seguro de Vida]],tabOutrosCustos[],3,0)</f>
        <v>3.36</v>
      </c>
      <c r="AH106" s="234">
        <f>IF(ISNUMBER(SEARCH("MOTORISTA",tabParametros[[#This Row],[Função]],1)),VLOOKUP("MOTORISTAS",tabDiarias[],2,0),IF(tabParametros[[#This Row],[Comarca]]="Belo Horizonte",VLOOKUP("APOIO",tabDiarias[],2,0),0))</f>
        <v>0</v>
      </c>
      <c r="AI106" s="233">
        <f t="shared" si="13"/>
        <v>7.011766975308642E-3</v>
      </c>
      <c r="AJ106" s="235">
        <f>tabParametros[[#This Row],[FGTS]]*tabParametros[[#This Row],[Aviso Prévio Indenizado (API) e Reflexo do Aviso Prévio Indenizado]]</f>
        <v>5.609413580246914E-4</v>
      </c>
      <c r="AK106" s="235">
        <f>tabParametros[[#This Row],[FGTS]]*tabParametros[[#This Row],[Aviso Prévio Indenizado (API) e Reflexo do Aviso Prévio Indenizado]]*40%</f>
        <v>2.2437654320987658E-4</v>
      </c>
      <c r="AL106" s="233">
        <f t="shared" si="14"/>
        <v>3.5000000000000005E-3</v>
      </c>
      <c r="AM106" s="233">
        <f>tabParametros[[#This Row],[Aviso Prévio Trabalhado - APT]]*SUM(tabParametros[[#This Row],[INSS]:[SEBRAE]])</f>
        <v>1.3230000000000004E-3</v>
      </c>
      <c r="AN106" s="233">
        <f t="shared" si="15"/>
        <v>3.0577777777777773E-2</v>
      </c>
      <c r="AO106" s="233">
        <f t="shared" si="16"/>
        <v>8.3333333333333339E-4</v>
      </c>
      <c r="AP106" s="233">
        <f t="shared" si="17"/>
        <v>8.4444444444444437E-3</v>
      </c>
      <c r="AQ106" s="233">
        <f t="shared" si="18"/>
        <v>2.0277777777777777E-3</v>
      </c>
      <c r="AR106" s="233">
        <f t="shared" si="19"/>
        <v>1.7083333333333333E-4</v>
      </c>
      <c r="AS106" s="233">
        <f t="shared" si="20"/>
        <v>2.0833333333333335E-4</v>
      </c>
      <c r="AT106" s="233">
        <f t="shared" si="21"/>
        <v>1.2962962962962963E-3</v>
      </c>
      <c r="AU106" s="235">
        <f>SUM(tabParametros[[#This Row],[Ausência por Doença]:[Férias, Adicional de Férias e 13º  com empregada em gozo de Licença Maternidade]])*SUM(tabParametros[[#This Row],[INSS]:[SEBRAE]])</f>
        <v>4.5918250000000008E-3</v>
      </c>
      <c r="AV106" s="254">
        <f>IF(tabParametros[[#This Row],[Função]]="Porteiro - 220 h",SUM(tabParametros[[#This Row],[Salário Base]:[Adicional de Acúmulo de função]])/220*20*1.5,IF(ISNUMBER(SEARCH("12 x 36",tabParametros[[#This Row],[Função]],1)),SUM(tabParametros[[#This Row],[Salário Base]:[Adicional de Acúmulo de função]])/210*15.5*1.5,0))</f>
        <v>0</v>
      </c>
      <c r="AW106" s="232">
        <f>IF(tabParametros[[#This Row],[Vagas contratadas]]&gt;0,(SUM(tabParametros[[#This Row],[Salário Base]:[Adicional de Acúmulo de função]])*30%+SUM(tabParametros[[#This Row],[Vale - Alimentação]:[Seguro de Vida]]))/tabParametros[[#This Row],[Vagas contratadas]]*tabParametros[[#This Row],[Vagas suspensas]],0)</f>
        <v>0</v>
      </c>
      <c r="AX106" s="232">
        <f>SUMIF(tabUniformes[Cargo],tabParametros[[#This Row],[Função]],tabUniformes[Valor unit. Mensal])</f>
        <v>56.141713661989918</v>
      </c>
      <c r="AY10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6" s="232">
        <v>0</v>
      </c>
      <c r="BC106" s="234" t="e">
        <f ca="1">VLOOKUP(tabParametros[[#Headers],[Custos Indiretos]],tabOutrosCustos[],3,0)</f>
        <v>#NAME?</v>
      </c>
      <c r="BD106" s="234" t="e">
        <f ca="1">VLOOKUP(tabParametros[[#Headers],[Lucro]],tabOutrosCustos[],3,0)</f>
        <v>#NAME?</v>
      </c>
      <c r="BE106" s="233">
        <f>VLOOKUP(tabParametros[[#Headers],[COFINS]],tabImpostosNacionais[],2,0)</f>
        <v>7.5999999999999998E-2</v>
      </c>
      <c r="BF106" s="233">
        <f>VLOOKUP(tabParametros[[#Headers],[PIS]],tabImpostosNacionais[],2,0)</f>
        <v>1.6500000000000001E-2</v>
      </c>
      <c r="BG106" s="233">
        <f>VLOOKUP(tabParametros[[#This Row],[Comarca]],tabComarca[],4,0)</f>
        <v>0.03</v>
      </c>
      <c r="BH106" s="236">
        <f>VLOOKUP(tabParametros[[#This Row],[CCT DA CATEGORIA]],tabSindicatos[],11,0)</f>
        <v>45658</v>
      </c>
      <c r="BI106" s="282" t="str">
        <f>VLOOKUP(tabParametros[[#This Row],[CCT DA CATEGORIA]],tabSindicatos[],12,0)</f>
        <v>-</v>
      </c>
      <c r="BJ106" s="285" t="str">
        <f>VLOOKUP(tabParametros[[#This Row],[CCT DA CATEGORIA]],tabSindicatos[],13,0)</f>
        <v>-</v>
      </c>
    </row>
    <row r="107" spans="1:62">
      <c r="A107" s="231" t="s">
        <v>1463</v>
      </c>
      <c r="B107" s="197" t="s">
        <v>1118</v>
      </c>
      <c r="C107" s="197" t="s">
        <v>200</v>
      </c>
      <c r="D107" s="197" t="str">
        <f>VLOOKUP(tabParametros[[#This Row],[Código do Posto]],tabPostos[],4,0)</f>
        <v>Alto Paranaiba</v>
      </c>
      <c r="E107" s="282" t="str">
        <f>VLOOKUP(tabParametros[[#This Row],[Código do Posto]],tabPostos[],5,0)</f>
        <v>Apoio</v>
      </c>
      <c r="F107" s="282" t="str">
        <f>VLOOKUP(tabParametros[[#This Row],[Código do Posto]],tabPostos[],6,0)</f>
        <v>PGJ</v>
      </c>
      <c r="G107" s="282">
        <f>VLOOKUP(tabParametros[[#This Row],[Código do Posto]],tabPostos[],7,0)</f>
        <v>1</v>
      </c>
      <c r="H107" s="282">
        <f>VLOOKUP(tabParametros[[#This Row],[Código do Posto]],tabPostos[],8,0)</f>
        <v>0</v>
      </c>
      <c r="I107" s="232">
        <f>VLOOKUP(tabParametros[[#This Row],[Código do Posto]],tabPostos[],9,0)</f>
        <v>1596.273808921236</v>
      </c>
      <c r="J107" s="232">
        <f>IF(ISNUMBER(SEARCH("Eletricista",tabParametros[[#This Row],[Função]],1)),0.3*tabParametros[[#This Row],[Salário Base]],0)</f>
        <v>0</v>
      </c>
      <c r="K10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7" s="232">
        <f>IF(AND(ISNUMBER(SEARCH("Noturno",tabParametros[[#This Row],[Função]],1)),tabParametros[[#This Row],[Comarca]]&lt;&gt;"Juiz de Fora"),tabParametros[[#This Row],[Salário Base]]/210*0.39*7*15.5,IF(ISNUMBER(SEARCH("Noturno",tabParametros[[#This Row],[Função]],1)),tabParametros[[#This Row],[Salário Base]]/210*0.2*8*15.5,0))</f>
        <v>0</v>
      </c>
      <c r="M107" s="232">
        <f>IF(ISNUMBER(SEARCH("Motorista II",tabParametros[[#This Row],[Função]],1)),0.3022*tabParametros[[#This Row],[Salário Base]],0)</f>
        <v>0</v>
      </c>
      <c r="N107" s="254">
        <v>0</v>
      </c>
      <c r="O107" s="254">
        <f>IF(ISNUMBER(SEARCH("TECNOLOGIA DA INFORMACAO",tabParametros[[#This Row],[Função]],1)),0.056*tabParametros[[#This Row],[Salário Base]],0)</f>
        <v>0</v>
      </c>
      <c r="P107" s="232">
        <f>IF(tabParametros[[#This Row],[Função]]="Operador de Midia Audiovisual - 150 h",tabParametros[[#This Row],[Salário Base]]/150*50*30%,IF(tabParametros[[#This Row],[Função]]="Supervisor de Manutencao de Veiculos II - 220 h",12%*tabParametros[[#This Row],[Salário Base]],0))</f>
        <v>0</v>
      </c>
      <c r="Q107" s="233">
        <f>VLOOKUP(tabParametros[[#Headers],[INSS]],tabImpostosNacionais[],2,0)</f>
        <v>0.2</v>
      </c>
      <c r="R107" s="233">
        <f>VLOOKUP(tabParametros[[#Headers],[SESI OU SESC]],tabImpostosNacionais[],2,0)</f>
        <v>1.4999999999999999E-2</v>
      </c>
      <c r="S107" s="233">
        <f>VLOOKUP(tabParametros[[#Headers],[SENAI OU SENAC]],tabImpostosNacionais[],2,0)</f>
        <v>0.01</v>
      </c>
      <c r="T107" s="233">
        <f>VLOOKUP(tabParametros[[#Headers],[INCRA]],tabImpostosNacionais[],2,0)</f>
        <v>2E-3</v>
      </c>
      <c r="U107" s="233">
        <f>VLOOKUP(tabParametros[[#Headers],[Salário Educação]],tabImpostosNacionais[],2,0)</f>
        <v>2.5000000000000001E-2</v>
      </c>
      <c r="V107" s="233">
        <f>VLOOKUP(tabParametros[[#Headers],[FGTS]],tabImpostosNacionais[],2,0)</f>
        <v>0.08</v>
      </c>
      <c r="W107" s="233">
        <f>VLOOKUP(tabParametros[[#Headers],[RAT Ajustado]],tabImpostosNacionais[],2,0)</f>
        <v>0.04</v>
      </c>
      <c r="X107" s="233">
        <f>VLOOKUP(tabParametros[[#Headers],[SEBRAE]],tabImpostosNacionais[],2,0)</f>
        <v>6.0000000000000001E-3</v>
      </c>
      <c r="Y107" s="233">
        <f t="shared" si="11"/>
        <v>8.3333333333333329E-2</v>
      </c>
      <c r="Z107" s="233">
        <f t="shared" si="12"/>
        <v>0.1111111111111111</v>
      </c>
      <c r="AA107" s="232">
        <f>VLOOKUP(tabParametros[[#This Row],[Comarca]],tabComarca[],5,0)</f>
        <v>6.4</v>
      </c>
      <c r="AB107" s="232">
        <f>VLOOKUP(tabParametros[[#This Row],[CCT DA CATEGORIA]],tabSindicatos[],6,0)</f>
        <v>0</v>
      </c>
      <c r="AC107" s="232">
        <f>VLOOKUP(tabParametros[[#This Row],[CCT DA CATEGORIA]],tabSindicatos[],7,0)</f>
        <v>387.79</v>
      </c>
      <c r="AD107" s="232" cm="1">
        <f t="array" ref="AD10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107" s="232">
        <f>VLOOKUP(tabParametros[[#This Row],[CCT DA CATEGORIA]],tabSindicatos[],9,0)</f>
        <v>0</v>
      </c>
      <c r="AF107" s="232">
        <f>VLOOKUP(tabParametros[[#This Row],[CCT DA CATEGORIA]],tabSindicatos[],10,0)</f>
        <v>0</v>
      </c>
      <c r="AG107" s="234">
        <f>VLOOKUP(tabParametros[[#Headers],[Seguro de Vida]],tabOutrosCustos[],3,0)</f>
        <v>3.36</v>
      </c>
      <c r="AH107" s="234">
        <f>IF(ISNUMBER(SEARCH("MOTORISTA",tabParametros[[#This Row],[Função]],1)),VLOOKUP("MOTORISTAS",tabDiarias[],2,0),IF(tabParametros[[#This Row],[Comarca]]="Belo Horizonte",VLOOKUP("APOIO",tabDiarias[],2,0),0))</f>
        <v>0</v>
      </c>
      <c r="AI107" s="233">
        <f t="shared" si="13"/>
        <v>7.011766975308642E-3</v>
      </c>
      <c r="AJ107" s="235">
        <f>tabParametros[[#This Row],[FGTS]]*tabParametros[[#This Row],[Aviso Prévio Indenizado (API) e Reflexo do Aviso Prévio Indenizado]]</f>
        <v>5.609413580246914E-4</v>
      </c>
      <c r="AK107" s="235">
        <f>tabParametros[[#This Row],[FGTS]]*tabParametros[[#This Row],[Aviso Prévio Indenizado (API) e Reflexo do Aviso Prévio Indenizado]]*40%</f>
        <v>2.2437654320987658E-4</v>
      </c>
      <c r="AL107" s="233">
        <f t="shared" si="14"/>
        <v>3.5000000000000005E-3</v>
      </c>
      <c r="AM107" s="233">
        <f>tabParametros[[#This Row],[Aviso Prévio Trabalhado - APT]]*SUM(tabParametros[[#This Row],[INSS]:[SEBRAE]])</f>
        <v>1.3230000000000004E-3</v>
      </c>
      <c r="AN107" s="233">
        <f t="shared" si="15"/>
        <v>3.0577777777777773E-2</v>
      </c>
      <c r="AO107" s="233">
        <f t="shared" si="16"/>
        <v>8.3333333333333339E-4</v>
      </c>
      <c r="AP107" s="233">
        <f t="shared" si="17"/>
        <v>8.4444444444444437E-3</v>
      </c>
      <c r="AQ107" s="233">
        <f t="shared" si="18"/>
        <v>2.0277777777777777E-3</v>
      </c>
      <c r="AR107" s="233">
        <f t="shared" si="19"/>
        <v>1.7083333333333333E-4</v>
      </c>
      <c r="AS107" s="233">
        <f t="shared" si="20"/>
        <v>2.0833333333333335E-4</v>
      </c>
      <c r="AT107" s="233">
        <f t="shared" si="21"/>
        <v>1.2962962962962963E-3</v>
      </c>
      <c r="AU107" s="235">
        <f>SUM(tabParametros[[#This Row],[Ausência por Doença]:[Férias, Adicional de Férias e 13º  com empregada em gozo de Licença Maternidade]])*SUM(tabParametros[[#This Row],[INSS]:[SEBRAE]])</f>
        <v>4.5918250000000008E-3</v>
      </c>
      <c r="AV107" s="254">
        <f>IF(tabParametros[[#This Row],[Função]]="Porteiro - 220 h",SUM(tabParametros[[#This Row],[Salário Base]:[Adicional de Acúmulo de função]])/220*20*1.5,IF(ISNUMBER(SEARCH("12 x 36",tabParametros[[#This Row],[Função]],1)),SUM(tabParametros[[#This Row],[Salário Base]:[Adicional de Acúmulo de função]])/210*15.5*1.5,0))</f>
        <v>0</v>
      </c>
      <c r="AW107" s="232">
        <f>IF(tabParametros[[#This Row],[Vagas contratadas]]&gt;0,(SUM(tabParametros[[#This Row],[Salário Base]:[Adicional de Acúmulo de função]])*30%+SUM(tabParametros[[#This Row],[Vale - Alimentação]:[Seguro de Vida]]))/tabParametros[[#This Row],[Vagas contratadas]]*tabParametros[[#This Row],[Vagas suspensas]],0)</f>
        <v>0</v>
      </c>
      <c r="AX107" s="232">
        <f>SUMIF(tabUniformes[Cargo],tabParametros[[#This Row],[Função]],tabUniformes[Valor unit. Mensal])</f>
        <v>56.141713661989918</v>
      </c>
      <c r="AY10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7" s="232">
        <v>0</v>
      </c>
      <c r="BC107" s="234" t="e">
        <f ca="1">VLOOKUP(tabParametros[[#Headers],[Custos Indiretos]],tabOutrosCustos[],3,0)</f>
        <v>#NAME?</v>
      </c>
      <c r="BD107" s="234" t="e">
        <f ca="1">VLOOKUP(tabParametros[[#Headers],[Lucro]],tabOutrosCustos[],3,0)</f>
        <v>#NAME?</v>
      </c>
      <c r="BE107" s="233">
        <f>VLOOKUP(tabParametros[[#Headers],[COFINS]],tabImpostosNacionais[],2,0)</f>
        <v>7.5999999999999998E-2</v>
      </c>
      <c r="BF107" s="233">
        <f>VLOOKUP(tabParametros[[#Headers],[PIS]],tabImpostosNacionais[],2,0)</f>
        <v>1.6500000000000001E-2</v>
      </c>
      <c r="BG107" s="233">
        <f>VLOOKUP(tabParametros[[#This Row],[Comarca]],tabComarca[],4,0)</f>
        <v>0.02</v>
      </c>
      <c r="BH107" s="236">
        <f>VLOOKUP(tabParametros[[#This Row],[CCT DA CATEGORIA]],tabSindicatos[],11,0)</f>
        <v>45658</v>
      </c>
      <c r="BI107" s="282" t="str">
        <f>VLOOKUP(tabParametros[[#This Row],[CCT DA CATEGORIA]],tabSindicatos[],12,0)</f>
        <v>-</v>
      </c>
      <c r="BJ107" s="285" t="str">
        <f>VLOOKUP(tabParametros[[#This Row],[CCT DA CATEGORIA]],tabSindicatos[],13,0)</f>
        <v>-</v>
      </c>
    </row>
    <row r="108" spans="1:62">
      <c r="A108" s="231" t="s">
        <v>1570</v>
      </c>
      <c r="B108" s="197" t="s">
        <v>1119</v>
      </c>
      <c r="C108" s="197" t="s">
        <v>314</v>
      </c>
      <c r="D108" s="197" t="str">
        <f>VLOOKUP(tabParametros[[#This Row],[Código do Posto]],tabPostos[],4,0)</f>
        <v>Regiao de Sao Lourenco</v>
      </c>
      <c r="E108" s="282" t="str">
        <f>VLOOKUP(tabParametros[[#This Row],[Código do Posto]],tabPostos[],5,0)</f>
        <v>Apoio</v>
      </c>
      <c r="F108" s="282" t="str">
        <f>VLOOKUP(tabParametros[[#This Row],[Código do Posto]],tabPostos[],6,0)</f>
        <v>PGJ</v>
      </c>
      <c r="G108" s="282">
        <f>VLOOKUP(tabParametros[[#This Row],[Código do Posto]],tabPostos[],7,0)</f>
        <v>1</v>
      </c>
      <c r="H108" s="282">
        <f>VLOOKUP(tabParametros[[#This Row],[Código do Posto]],tabPostos[],8,0)</f>
        <v>0</v>
      </c>
      <c r="I108" s="232">
        <f>VLOOKUP(tabParametros[[#This Row],[Código do Posto]],tabPostos[],9,0)</f>
        <v>1963.4050319620983</v>
      </c>
      <c r="J108" s="232">
        <f>IF(ISNUMBER(SEARCH("Eletricista",tabParametros[[#This Row],[Função]],1)),0.3*tabParametros[[#This Row],[Salário Base]],0)</f>
        <v>0</v>
      </c>
      <c r="K10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8" s="232">
        <f>IF(AND(ISNUMBER(SEARCH("Noturno",tabParametros[[#This Row],[Função]],1)),tabParametros[[#This Row],[Comarca]]&lt;&gt;"Juiz de Fora"),tabParametros[[#This Row],[Salário Base]]/210*0.39*7*15.5,IF(ISNUMBER(SEARCH("Noturno",tabParametros[[#This Row],[Função]],1)),tabParametros[[#This Row],[Salário Base]]/210*0.2*8*15.5,0))</f>
        <v>0</v>
      </c>
      <c r="M108" s="232">
        <f>IF(ISNUMBER(SEARCH("Motorista II",tabParametros[[#This Row],[Função]],1)),0.3022*tabParametros[[#This Row],[Salário Base]],0)</f>
        <v>0</v>
      </c>
      <c r="N108" s="254">
        <v>0</v>
      </c>
      <c r="O108" s="254">
        <f>IF(ISNUMBER(SEARCH("TECNOLOGIA DA INFORMACAO",tabParametros[[#This Row],[Função]],1)),0.056*tabParametros[[#This Row],[Salário Base]],0)</f>
        <v>0</v>
      </c>
      <c r="P108" s="232">
        <f>IF(tabParametros[[#This Row],[Função]]="Operador de Midia Audiovisual - 150 h",tabParametros[[#This Row],[Salário Base]]/150*50*30%,IF(tabParametros[[#This Row],[Função]]="Supervisor de Manutencao de Veiculos II - 220 h",12%*tabParametros[[#This Row],[Salário Base]],0))</f>
        <v>0</v>
      </c>
      <c r="Q108" s="233">
        <f>VLOOKUP(tabParametros[[#Headers],[INSS]],tabImpostosNacionais[],2,0)</f>
        <v>0.2</v>
      </c>
      <c r="R108" s="233">
        <f>VLOOKUP(tabParametros[[#Headers],[SESI OU SESC]],tabImpostosNacionais[],2,0)</f>
        <v>1.4999999999999999E-2</v>
      </c>
      <c r="S108" s="233">
        <f>VLOOKUP(tabParametros[[#Headers],[SENAI OU SENAC]],tabImpostosNacionais[],2,0)</f>
        <v>0.01</v>
      </c>
      <c r="T108" s="233">
        <f>VLOOKUP(tabParametros[[#Headers],[INCRA]],tabImpostosNacionais[],2,0)</f>
        <v>2E-3</v>
      </c>
      <c r="U108" s="233">
        <f>VLOOKUP(tabParametros[[#Headers],[Salário Educação]],tabImpostosNacionais[],2,0)</f>
        <v>2.5000000000000001E-2</v>
      </c>
      <c r="V108" s="233">
        <f>VLOOKUP(tabParametros[[#Headers],[FGTS]],tabImpostosNacionais[],2,0)</f>
        <v>0.08</v>
      </c>
      <c r="W108" s="233">
        <f>VLOOKUP(tabParametros[[#Headers],[RAT Ajustado]],tabImpostosNacionais[],2,0)</f>
        <v>0.04</v>
      </c>
      <c r="X108" s="233">
        <f>VLOOKUP(tabParametros[[#Headers],[SEBRAE]],tabImpostosNacionais[],2,0)</f>
        <v>6.0000000000000001E-3</v>
      </c>
      <c r="Y108" s="233">
        <f t="shared" si="11"/>
        <v>8.3333333333333329E-2</v>
      </c>
      <c r="Z108" s="233">
        <f t="shared" si="12"/>
        <v>0.1111111111111111</v>
      </c>
      <c r="AA108" s="232">
        <f>VLOOKUP(tabParametros[[#This Row],[Comarca]],tabComarca[],5,0)</f>
        <v>6.4</v>
      </c>
      <c r="AB108" s="232">
        <f>VLOOKUP(tabParametros[[#This Row],[CCT DA CATEGORIA]],tabSindicatos[],6,0)</f>
        <v>29.15</v>
      </c>
      <c r="AC108" s="232">
        <f>VLOOKUP(tabParametros[[#This Row],[CCT DA CATEGORIA]],tabSindicatos[],7,0)</f>
        <v>0</v>
      </c>
      <c r="AD108" s="232" cm="1">
        <f t="array" ref="AD10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08" s="232">
        <f>VLOOKUP(tabParametros[[#This Row],[CCT DA CATEGORIA]],tabSindicatos[],9,0)</f>
        <v>0</v>
      </c>
      <c r="AF108" s="232">
        <f>VLOOKUP(tabParametros[[#This Row],[CCT DA CATEGORIA]],tabSindicatos[],10,0)</f>
        <v>0</v>
      </c>
      <c r="AG108" s="234">
        <f>VLOOKUP(tabParametros[[#Headers],[Seguro de Vida]],tabOutrosCustos[],3,0)</f>
        <v>3.36</v>
      </c>
      <c r="AH108" s="234">
        <f>IF(ISNUMBER(SEARCH("MOTORISTA",tabParametros[[#This Row],[Função]],1)),VLOOKUP("MOTORISTAS",tabDiarias[],2,0),IF(tabParametros[[#This Row],[Comarca]]="Belo Horizonte",VLOOKUP("APOIO",tabDiarias[],2,0),0))</f>
        <v>0</v>
      </c>
      <c r="AI108" s="233">
        <f t="shared" si="13"/>
        <v>7.011766975308642E-3</v>
      </c>
      <c r="AJ108" s="235">
        <f>tabParametros[[#This Row],[FGTS]]*tabParametros[[#This Row],[Aviso Prévio Indenizado (API) e Reflexo do Aviso Prévio Indenizado]]</f>
        <v>5.609413580246914E-4</v>
      </c>
      <c r="AK108" s="235">
        <f>tabParametros[[#This Row],[FGTS]]*tabParametros[[#This Row],[Aviso Prévio Indenizado (API) e Reflexo do Aviso Prévio Indenizado]]*40%</f>
        <v>2.2437654320987658E-4</v>
      </c>
      <c r="AL108" s="233">
        <f t="shared" si="14"/>
        <v>3.5000000000000005E-3</v>
      </c>
      <c r="AM108" s="233">
        <f>tabParametros[[#This Row],[Aviso Prévio Trabalhado - APT]]*SUM(tabParametros[[#This Row],[INSS]:[SEBRAE]])</f>
        <v>1.3230000000000004E-3</v>
      </c>
      <c r="AN108" s="233">
        <f t="shared" si="15"/>
        <v>3.0577777777777773E-2</v>
      </c>
      <c r="AO108" s="233">
        <f t="shared" si="16"/>
        <v>8.3333333333333339E-4</v>
      </c>
      <c r="AP108" s="233">
        <f t="shared" si="17"/>
        <v>8.4444444444444437E-3</v>
      </c>
      <c r="AQ108" s="233">
        <f t="shared" si="18"/>
        <v>2.0277777777777777E-3</v>
      </c>
      <c r="AR108" s="233">
        <f t="shared" si="19"/>
        <v>1.7083333333333333E-4</v>
      </c>
      <c r="AS108" s="233">
        <f t="shared" si="20"/>
        <v>2.0833333333333335E-4</v>
      </c>
      <c r="AT108" s="233">
        <f t="shared" si="21"/>
        <v>1.2962962962962963E-3</v>
      </c>
      <c r="AU108" s="235">
        <f>SUM(tabParametros[[#This Row],[Ausência por Doença]:[Férias, Adicional de Férias e 13º  com empregada em gozo de Licença Maternidade]])*SUM(tabParametros[[#This Row],[INSS]:[SEBRAE]])</f>
        <v>4.5918250000000008E-3</v>
      </c>
      <c r="AV108"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108" s="232">
        <f>IF(tabParametros[[#This Row],[Vagas contratadas]]&gt;0,(SUM(tabParametros[[#This Row],[Salário Base]:[Adicional de Acúmulo de função]])*30%+SUM(tabParametros[[#This Row],[Vale - Alimentação]:[Seguro de Vida]]))/tabParametros[[#This Row],[Vagas contratadas]]*tabParametros[[#This Row],[Vagas suspensas]],0)</f>
        <v>0</v>
      </c>
      <c r="AX108" s="232">
        <f>SUMIF(tabUniformes[Cargo],tabParametros[[#This Row],[Função]],tabUniformes[Valor unit. Mensal])</f>
        <v>56.642978962543395</v>
      </c>
      <c r="AY10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8" s="232">
        <v>0</v>
      </c>
      <c r="BC108" s="234" t="e">
        <f ca="1">VLOOKUP(tabParametros[[#Headers],[Custos Indiretos]],tabOutrosCustos[],3,0)</f>
        <v>#NAME?</v>
      </c>
      <c r="BD108" s="234" t="e">
        <f ca="1">VLOOKUP(tabParametros[[#Headers],[Lucro]],tabOutrosCustos[],3,0)</f>
        <v>#NAME?</v>
      </c>
      <c r="BE108" s="233">
        <f>VLOOKUP(tabParametros[[#Headers],[COFINS]],tabImpostosNacionais[],2,0)</f>
        <v>7.5999999999999998E-2</v>
      </c>
      <c r="BF108" s="233">
        <f>VLOOKUP(tabParametros[[#Headers],[PIS]],tabImpostosNacionais[],2,0)</f>
        <v>1.6500000000000001E-2</v>
      </c>
      <c r="BG108" s="233">
        <f>VLOOKUP(tabParametros[[#This Row],[Comarca]],tabComarca[],4,0)</f>
        <v>0.03</v>
      </c>
      <c r="BH108" s="236">
        <f>VLOOKUP(tabParametros[[#This Row],[CCT DA CATEGORIA]],tabSindicatos[],11,0)</f>
        <v>45658</v>
      </c>
      <c r="BI108" s="282" t="str">
        <f>VLOOKUP(tabParametros[[#This Row],[CCT DA CATEGORIA]],tabSindicatos[],12,0)</f>
        <v>-</v>
      </c>
      <c r="BJ108" s="285" t="str">
        <f>VLOOKUP(tabParametros[[#This Row],[CCT DA CATEGORIA]],tabSindicatos[],13,0)</f>
        <v>-</v>
      </c>
    </row>
    <row r="109" spans="1:62">
      <c r="A109" s="231" t="s">
        <v>1464</v>
      </c>
      <c r="B109" s="197" t="s">
        <v>1120</v>
      </c>
      <c r="C109" s="197" t="s">
        <v>200</v>
      </c>
      <c r="D109" s="197" t="str">
        <f>VLOOKUP(tabParametros[[#This Row],[Código do Posto]],tabPostos[],4,0)</f>
        <v>Regiao de Teofilo Otoni</v>
      </c>
      <c r="E109" s="282" t="str">
        <f>VLOOKUP(tabParametros[[#This Row],[Código do Posto]],tabPostos[],5,0)</f>
        <v>Apoio</v>
      </c>
      <c r="F109" s="282" t="str">
        <f>VLOOKUP(tabParametros[[#This Row],[Código do Posto]],tabPostos[],6,0)</f>
        <v>PGJ</v>
      </c>
      <c r="G109" s="282">
        <f>VLOOKUP(tabParametros[[#This Row],[Código do Posto]],tabPostos[],7,0)</f>
        <v>1</v>
      </c>
      <c r="H109" s="282">
        <f>VLOOKUP(tabParametros[[#This Row],[Código do Posto]],tabPostos[],8,0)</f>
        <v>0</v>
      </c>
      <c r="I109" s="232">
        <f>VLOOKUP(tabParametros[[#This Row],[Código do Posto]],tabPostos[],9,0)</f>
        <v>1596.273808921236</v>
      </c>
      <c r="J109" s="232">
        <f>IF(ISNUMBER(SEARCH("Eletricista",tabParametros[[#This Row],[Função]],1)),0.3*tabParametros[[#This Row],[Salário Base]],0)</f>
        <v>0</v>
      </c>
      <c r="K10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09" s="232">
        <f>IF(AND(ISNUMBER(SEARCH("Noturno",tabParametros[[#This Row],[Função]],1)),tabParametros[[#This Row],[Comarca]]&lt;&gt;"Juiz de Fora"),tabParametros[[#This Row],[Salário Base]]/210*0.39*7*15.5,IF(ISNUMBER(SEARCH("Noturno",tabParametros[[#This Row],[Função]],1)),tabParametros[[#This Row],[Salário Base]]/210*0.2*8*15.5,0))</f>
        <v>0</v>
      </c>
      <c r="M109" s="232">
        <f>IF(ISNUMBER(SEARCH("Motorista II",tabParametros[[#This Row],[Função]],1)),0.3022*tabParametros[[#This Row],[Salário Base]],0)</f>
        <v>0</v>
      </c>
      <c r="N109" s="254">
        <v>0</v>
      </c>
      <c r="O109" s="254">
        <f>IF(ISNUMBER(SEARCH("TECNOLOGIA DA INFORMACAO",tabParametros[[#This Row],[Função]],1)),0.056*tabParametros[[#This Row],[Salário Base]],0)</f>
        <v>0</v>
      </c>
      <c r="P109" s="232">
        <f>IF(tabParametros[[#This Row],[Função]]="Operador de Midia Audiovisual - 150 h",tabParametros[[#This Row],[Salário Base]]/150*50*30%,IF(tabParametros[[#This Row],[Função]]="Supervisor de Manutencao de Veiculos II - 220 h",12%*tabParametros[[#This Row],[Salário Base]],0))</f>
        <v>0</v>
      </c>
      <c r="Q109" s="233">
        <f>VLOOKUP(tabParametros[[#Headers],[INSS]],tabImpostosNacionais[],2,0)</f>
        <v>0.2</v>
      </c>
      <c r="R109" s="233">
        <f>VLOOKUP(tabParametros[[#Headers],[SESI OU SESC]],tabImpostosNacionais[],2,0)</f>
        <v>1.4999999999999999E-2</v>
      </c>
      <c r="S109" s="233">
        <f>VLOOKUP(tabParametros[[#Headers],[SENAI OU SENAC]],tabImpostosNacionais[],2,0)</f>
        <v>0.01</v>
      </c>
      <c r="T109" s="233">
        <f>VLOOKUP(tabParametros[[#Headers],[INCRA]],tabImpostosNacionais[],2,0)</f>
        <v>2E-3</v>
      </c>
      <c r="U109" s="233">
        <f>VLOOKUP(tabParametros[[#Headers],[Salário Educação]],tabImpostosNacionais[],2,0)</f>
        <v>2.5000000000000001E-2</v>
      </c>
      <c r="V109" s="233">
        <f>VLOOKUP(tabParametros[[#Headers],[FGTS]],tabImpostosNacionais[],2,0)</f>
        <v>0.08</v>
      </c>
      <c r="W109" s="233">
        <f>VLOOKUP(tabParametros[[#Headers],[RAT Ajustado]],tabImpostosNacionais[],2,0)</f>
        <v>0.04</v>
      </c>
      <c r="X109" s="233">
        <f>VLOOKUP(tabParametros[[#Headers],[SEBRAE]],tabImpostosNacionais[],2,0)</f>
        <v>6.0000000000000001E-3</v>
      </c>
      <c r="Y109" s="233">
        <f t="shared" si="11"/>
        <v>8.3333333333333329E-2</v>
      </c>
      <c r="Z109" s="233">
        <f t="shared" si="12"/>
        <v>0.1111111111111111</v>
      </c>
      <c r="AA109" s="232">
        <f>VLOOKUP(tabParametros[[#This Row],[Comarca]],tabComarca[],5,0)</f>
        <v>6.4</v>
      </c>
      <c r="AB109" s="232">
        <f>VLOOKUP(tabParametros[[#This Row],[CCT DA CATEGORIA]],tabSindicatos[],6,0)</f>
        <v>29.15</v>
      </c>
      <c r="AC109" s="232">
        <f>VLOOKUP(tabParametros[[#This Row],[CCT DA CATEGORIA]],tabSindicatos[],7,0)</f>
        <v>0</v>
      </c>
      <c r="AD109" s="232" cm="1">
        <f t="array" ref="AD10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09" s="232">
        <f>VLOOKUP(tabParametros[[#This Row],[CCT DA CATEGORIA]],tabSindicatos[],9,0)</f>
        <v>15.07</v>
      </c>
      <c r="AF109" s="232">
        <f>VLOOKUP(tabParametros[[#This Row],[CCT DA CATEGORIA]],tabSindicatos[],10,0)</f>
        <v>0</v>
      </c>
      <c r="AG109" s="234">
        <f>VLOOKUP(tabParametros[[#Headers],[Seguro de Vida]],tabOutrosCustos[],3,0)</f>
        <v>3.36</v>
      </c>
      <c r="AH109" s="234">
        <f>IF(ISNUMBER(SEARCH("MOTORISTA",tabParametros[[#This Row],[Função]],1)),VLOOKUP("MOTORISTAS",tabDiarias[],2,0),IF(tabParametros[[#This Row],[Comarca]]="Belo Horizonte",VLOOKUP("APOIO",tabDiarias[],2,0),0))</f>
        <v>0</v>
      </c>
      <c r="AI109" s="233">
        <f t="shared" si="13"/>
        <v>7.011766975308642E-3</v>
      </c>
      <c r="AJ109" s="235">
        <f>tabParametros[[#This Row],[FGTS]]*tabParametros[[#This Row],[Aviso Prévio Indenizado (API) e Reflexo do Aviso Prévio Indenizado]]</f>
        <v>5.609413580246914E-4</v>
      </c>
      <c r="AK109" s="235">
        <f>tabParametros[[#This Row],[FGTS]]*tabParametros[[#This Row],[Aviso Prévio Indenizado (API) e Reflexo do Aviso Prévio Indenizado]]*40%</f>
        <v>2.2437654320987658E-4</v>
      </c>
      <c r="AL109" s="233">
        <f t="shared" si="14"/>
        <v>3.5000000000000005E-3</v>
      </c>
      <c r="AM109" s="233">
        <f>tabParametros[[#This Row],[Aviso Prévio Trabalhado - APT]]*SUM(tabParametros[[#This Row],[INSS]:[SEBRAE]])</f>
        <v>1.3230000000000004E-3</v>
      </c>
      <c r="AN109" s="233">
        <f t="shared" si="15"/>
        <v>3.0577777777777773E-2</v>
      </c>
      <c r="AO109" s="233">
        <f t="shared" si="16"/>
        <v>8.3333333333333339E-4</v>
      </c>
      <c r="AP109" s="233">
        <f t="shared" si="17"/>
        <v>8.4444444444444437E-3</v>
      </c>
      <c r="AQ109" s="233">
        <f t="shared" si="18"/>
        <v>2.0277777777777777E-3</v>
      </c>
      <c r="AR109" s="233">
        <f t="shared" si="19"/>
        <v>1.7083333333333333E-4</v>
      </c>
      <c r="AS109" s="233">
        <f t="shared" si="20"/>
        <v>2.0833333333333335E-4</v>
      </c>
      <c r="AT109" s="233">
        <f t="shared" si="21"/>
        <v>1.2962962962962963E-3</v>
      </c>
      <c r="AU109" s="235">
        <f>SUM(tabParametros[[#This Row],[Ausência por Doença]:[Férias, Adicional de Férias e 13º  com empregada em gozo de Licença Maternidade]])*SUM(tabParametros[[#This Row],[INSS]:[SEBRAE]])</f>
        <v>4.5918250000000008E-3</v>
      </c>
      <c r="AV109" s="254">
        <f>IF(tabParametros[[#This Row],[Função]]="Porteiro - 220 h",SUM(tabParametros[[#This Row],[Salário Base]:[Adicional de Acúmulo de função]])/220*20*1.5,IF(ISNUMBER(SEARCH("12 x 36",tabParametros[[#This Row],[Função]],1)),SUM(tabParametros[[#This Row],[Salário Base]:[Adicional de Acúmulo de função]])/210*15.5*1.5,0))</f>
        <v>0</v>
      </c>
      <c r="AW109" s="232">
        <f>IF(tabParametros[[#This Row],[Vagas contratadas]]&gt;0,(SUM(tabParametros[[#This Row],[Salário Base]:[Adicional de Acúmulo de função]])*30%+SUM(tabParametros[[#This Row],[Vale - Alimentação]:[Seguro de Vida]]))/tabParametros[[#This Row],[Vagas contratadas]]*tabParametros[[#This Row],[Vagas suspensas]],0)</f>
        <v>0</v>
      </c>
      <c r="AX109" s="232">
        <f>SUMIF(tabUniformes[Cargo],tabParametros[[#This Row],[Função]],tabUniformes[Valor unit. Mensal])</f>
        <v>56.141713661989918</v>
      </c>
      <c r="AY10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0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0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09" s="232">
        <v>0</v>
      </c>
      <c r="BC109" s="234" t="e">
        <f ca="1">VLOOKUP(tabParametros[[#Headers],[Custos Indiretos]],tabOutrosCustos[],3,0)</f>
        <v>#NAME?</v>
      </c>
      <c r="BD109" s="234" t="e">
        <f ca="1">VLOOKUP(tabParametros[[#Headers],[Lucro]],tabOutrosCustos[],3,0)</f>
        <v>#NAME?</v>
      </c>
      <c r="BE109" s="233">
        <f>VLOOKUP(tabParametros[[#Headers],[COFINS]],tabImpostosNacionais[],2,0)</f>
        <v>7.5999999999999998E-2</v>
      </c>
      <c r="BF109" s="233">
        <f>VLOOKUP(tabParametros[[#Headers],[PIS]],tabImpostosNacionais[],2,0)</f>
        <v>1.6500000000000001E-2</v>
      </c>
      <c r="BG109" s="233">
        <f>VLOOKUP(tabParametros[[#This Row],[Comarca]],tabComarca[],4,0)</f>
        <v>0.03</v>
      </c>
      <c r="BH109" s="236">
        <f>VLOOKUP(tabParametros[[#This Row],[CCT DA CATEGORIA]],tabSindicatos[],11,0)</f>
        <v>45658</v>
      </c>
      <c r="BI109" s="282" t="str">
        <f>VLOOKUP(tabParametros[[#This Row],[CCT DA CATEGORIA]],tabSindicatos[],12,0)</f>
        <v>-</v>
      </c>
      <c r="BJ109" s="285" t="str">
        <f>VLOOKUP(tabParametros[[#This Row],[CCT DA CATEGORIA]],tabSindicatos[],13,0)</f>
        <v>-</v>
      </c>
    </row>
    <row r="110" spans="1:62">
      <c r="A110" s="231" t="s">
        <v>1571</v>
      </c>
      <c r="B110" s="197" t="s">
        <v>1121</v>
      </c>
      <c r="C110" s="197" t="s">
        <v>319</v>
      </c>
      <c r="D110" s="197" t="str">
        <f>VLOOKUP(tabParametros[[#This Row],[Código do Posto]],tabPostos[],4,0)</f>
        <v>Fethemg Interior</v>
      </c>
      <c r="E110" s="282" t="str">
        <f>VLOOKUP(tabParametros[[#This Row],[Código do Posto]],tabPostos[],5,0)</f>
        <v>Apoio</v>
      </c>
      <c r="F110" s="282" t="str">
        <f>VLOOKUP(tabParametros[[#This Row],[Código do Posto]],tabPostos[],6,0)</f>
        <v>PGJ</v>
      </c>
      <c r="G110" s="282">
        <f>VLOOKUP(tabParametros[[#This Row],[Código do Posto]],tabPostos[],7,0)</f>
        <v>1</v>
      </c>
      <c r="H110" s="282">
        <f>VLOOKUP(tabParametros[[#This Row],[Código do Posto]],tabPostos[],8,0)</f>
        <v>0</v>
      </c>
      <c r="I110" s="232">
        <f>VLOOKUP(tabParametros[[#This Row],[Código do Posto]],tabPostos[],9,0)</f>
        <v>2316.2296840668359</v>
      </c>
      <c r="J110" s="232">
        <f>IF(ISNUMBER(SEARCH("Eletricista",tabParametros[[#This Row],[Função]],1)),0.3*tabParametros[[#This Row],[Salário Base]],0)</f>
        <v>0</v>
      </c>
      <c r="K11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10" s="232">
        <f>IF(AND(ISNUMBER(SEARCH("Noturno",tabParametros[[#This Row],[Função]],1)),tabParametros[[#This Row],[Comarca]]&lt;&gt;"Juiz de Fora"),tabParametros[[#This Row],[Salário Base]]/210*0.39*7*15.5,IF(ISNUMBER(SEARCH("Noturno",tabParametros[[#This Row],[Função]],1)),tabParametros[[#This Row],[Salário Base]]/210*0.2*8*15.5,0))</f>
        <v>0</v>
      </c>
      <c r="M110" s="232">
        <f>IF(ISNUMBER(SEARCH("Motorista II",tabParametros[[#This Row],[Função]],1)),0.3022*tabParametros[[#This Row],[Salário Base]],0)</f>
        <v>0</v>
      </c>
      <c r="N110" s="254">
        <v>0</v>
      </c>
      <c r="O110" s="254">
        <f>IF(ISNUMBER(SEARCH("TECNOLOGIA DA INFORMACAO",tabParametros[[#This Row],[Função]],1)),0.056*tabParametros[[#This Row],[Salário Base]],0)</f>
        <v>0</v>
      </c>
      <c r="P110" s="232">
        <f>IF(tabParametros[[#This Row],[Função]]="Operador de Midia Audiovisual - 150 h",tabParametros[[#This Row],[Salário Base]]/150*50*30%,IF(tabParametros[[#This Row],[Função]]="Supervisor de Manutencao de Veiculos II - 220 h",12%*tabParametros[[#This Row],[Salário Base]],0))</f>
        <v>0</v>
      </c>
      <c r="Q110" s="233">
        <f>VLOOKUP(tabParametros[[#Headers],[INSS]],tabImpostosNacionais[],2,0)</f>
        <v>0.2</v>
      </c>
      <c r="R110" s="233">
        <f>VLOOKUP(tabParametros[[#Headers],[SESI OU SESC]],tabImpostosNacionais[],2,0)</f>
        <v>1.4999999999999999E-2</v>
      </c>
      <c r="S110" s="233">
        <f>VLOOKUP(tabParametros[[#Headers],[SENAI OU SENAC]],tabImpostosNacionais[],2,0)</f>
        <v>0.01</v>
      </c>
      <c r="T110" s="233">
        <f>VLOOKUP(tabParametros[[#Headers],[INCRA]],tabImpostosNacionais[],2,0)</f>
        <v>2E-3</v>
      </c>
      <c r="U110" s="233">
        <f>VLOOKUP(tabParametros[[#Headers],[Salário Educação]],tabImpostosNacionais[],2,0)</f>
        <v>2.5000000000000001E-2</v>
      </c>
      <c r="V110" s="233">
        <f>VLOOKUP(tabParametros[[#Headers],[FGTS]],tabImpostosNacionais[],2,0)</f>
        <v>0.08</v>
      </c>
      <c r="W110" s="233">
        <f>VLOOKUP(tabParametros[[#Headers],[RAT Ajustado]],tabImpostosNacionais[],2,0)</f>
        <v>0.04</v>
      </c>
      <c r="X110" s="233">
        <f>VLOOKUP(tabParametros[[#Headers],[SEBRAE]],tabImpostosNacionais[],2,0)</f>
        <v>6.0000000000000001E-3</v>
      </c>
      <c r="Y110" s="233">
        <f t="shared" si="11"/>
        <v>8.3333333333333329E-2</v>
      </c>
      <c r="Z110" s="233">
        <f t="shared" si="12"/>
        <v>0.1111111111111111</v>
      </c>
      <c r="AA110" s="232">
        <f>VLOOKUP(tabParametros[[#This Row],[Comarca]],tabComarca[],5,0)</f>
        <v>6.4</v>
      </c>
      <c r="AB110" s="232">
        <f>VLOOKUP(tabParametros[[#This Row],[CCT DA CATEGORIA]],tabSindicatos[],6,0)</f>
        <v>29.15</v>
      </c>
      <c r="AC110" s="232">
        <f>VLOOKUP(tabParametros[[#This Row],[CCT DA CATEGORIA]],tabSindicatos[],7,0)</f>
        <v>0</v>
      </c>
      <c r="AD110" s="232" cm="1">
        <f t="array" ref="AD11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10" s="232">
        <f>VLOOKUP(tabParametros[[#This Row],[CCT DA CATEGORIA]],tabSindicatos[],9,0)</f>
        <v>15.07</v>
      </c>
      <c r="AF110" s="232">
        <f>VLOOKUP(tabParametros[[#This Row],[CCT DA CATEGORIA]],tabSindicatos[],10,0)</f>
        <v>0</v>
      </c>
      <c r="AG110" s="234">
        <f>VLOOKUP(tabParametros[[#Headers],[Seguro de Vida]],tabOutrosCustos[],3,0)</f>
        <v>3.36</v>
      </c>
      <c r="AH110" s="234">
        <f>IF(ISNUMBER(SEARCH("MOTORISTA",tabParametros[[#This Row],[Função]],1)),VLOOKUP("MOTORISTAS",tabDiarias[],2,0),IF(tabParametros[[#This Row],[Comarca]]="Belo Horizonte",VLOOKUP("APOIO",tabDiarias[],2,0),0))</f>
        <v>0</v>
      </c>
      <c r="AI110" s="233">
        <f t="shared" si="13"/>
        <v>7.011766975308642E-3</v>
      </c>
      <c r="AJ110" s="235">
        <f>tabParametros[[#This Row],[FGTS]]*tabParametros[[#This Row],[Aviso Prévio Indenizado (API) e Reflexo do Aviso Prévio Indenizado]]</f>
        <v>5.609413580246914E-4</v>
      </c>
      <c r="AK110" s="235">
        <f>tabParametros[[#This Row],[FGTS]]*tabParametros[[#This Row],[Aviso Prévio Indenizado (API) e Reflexo do Aviso Prévio Indenizado]]*40%</f>
        <v>2.2437654320987658E-4</v>
      </c>
      <c r="AL110" s="233">
        <f t="shared" si="14"/>
        <v>3.5000000000000005E-3</v>
      </c>
      <c r="AM110" s="233">
        <f>tabParametros[[#This Row],[Aviso Prévio Trabalhado - APT]]*SUM(tabParametros[[#This Row],[INSS]:[SEBRAE]])</f>
        <v>1.3230000000000004E-3</v>
      </c>
      <c r="AN110" s="233">
        <f t="shared" si="15"/>
        <v>3.0577777777777773E-2</v>
      </c>
      <c r="AO110" s="233">
        <f t="shared" si="16"/>
        <v>8.3333333333333339E-4</v>
      </c>
      <c r="AP110" s="233">
        <f t="shared" si="17"/>
        <v>8.4444444444444437E-3</v>
      </c>
      <c r="AQ110" s="233">
        <f t="shared" si="18"/>
        <v>2.0277777777777777E-3</v>
      </c>
      <c r="AR110" s="233">
        <f t="shared" si="19"/>
        <v>1.7083333333333333E-4</v>
      </c>
      <c r="AS110" s="233">
        <f t="shared" si="20"/>
        <v>2.0833333333333335E-4</v>
      </c>
      <c r="AT110" s="233">
        <f t="shared" si="21"/>
        <v>1.2962962962962963E-3</v>
      </c>
      <c r="AU110" s="235">
        <f>SUM(tabParametros[[#This Row],[Ausência por Doença]:[Férias, Adicional de Férias e 13º  com empregada em gozo de Licença Maternidade]])*SUM(tabParametros[[#This Row],[INSS]:[SEBRAE]])</f>
        <v>4.5918250000000008E-3</v>
      </c>
      <c r="AV110" s="254">
        <f>IF(tabParametros[[#This Row],[Função]]="Porteiro - 220 h",SUM(tabParametros[[#This Row],[Salário Base]:[Adicional de Acúmulo de função]])/220*20*1.5,IF(ISNUMBER(SEARCH("12 x 36",tabParametros[[#This Row],[Função]],1)),SUM(tabParametros[[#This Row],[Salário Base]:[Adicional de Acúmulo de função]])/210*15.5*1.5,0))</f>
        <v>0</v>
      </c>
      <c r="AW110" s="232">
        <f>IF(tabParametros[[#This Row],[Vagas contratadas]]&gt;0,(SUM(tabParametros[[#This Row],[Salário Base]:[Adicional de Acúmulo de função]])*30%+SUM(tabParametros[[#This Row],[Vale - Alimentação]:[Seguro de Vida]]))/tabParametros[[#This Row],[Vagas contratadas]]*tabParametros[[#This Row],[Vagas suspensas]],0)</f>
        <v>0</v>
      </c>
      <c r="AX110" s="232">
        <f>SUMIF(tabUniformes[Cargo],tabParametros[[#This Row],[Função]],tabUniformes[Valor unit. Mensal])</f>
        <v>56.642978962543395</v>
      </c>
      <c r="AY11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1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1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0" s="232">
        <v>0</v>
      </c>
      <c r="BC110" s="234" t="e">
        <f ca="1">VLOOKUP(tabParametros[[#Headers],[Custos Indiretos]],tabOutrosCustos[],3,0)</f>
        <v>#NAME?</v>
      </c>
      <c r="BD110" s="234" t="e">
        <f ca="1">VLOOKUP(tabParametros[[#Headers],[Lucro]],tabOutrosCustos[],3,0)</f>
        <v>#NAME?</v>
      </c>
      <c r="BE110" s="233">
        <f>VLOOKUP(tabParametros[[#Headers],[COFINS]],tabImpostosNacionais[],2,0)</f>
        <v>7.5999999999999998E-2</v>
      </c>
      <c r="BF110" s="233">
        <f>VLOOKUP(tabParametros[[#Headers],[PIS]],tabImpostosNacionais[],2,0)</f>
        <v>1.6500000000000001E-2</v>
      </c>
      <c r="BG110" s="233">
        <f>VLOOKUP(tabParametros[[#This Row],[Comarca]],tabComarca[],4,0)</f>
        <v>0.05</v>
      </c>
      <c r="BH110" s="236">
        <f>VLOOKUP(tabParametros[[#This Row],[CCT DA CATEGORIA]],tabSindicatos[],11,0)</f>
        <v>45658</v>
      </c>
      <c r="BI110" s="282" t="str">
        <f>VLOOKUP(tabParametros[[#This Row],[CCT DA CATEGORIA]],tabSindicatos[],12,0)</f>
        <v>-</v>
      </c>
      <c r="BJ110" s="285" t="str">
        <f>VLOOKUP(tabParametros[[#This Row],[CCT DA CATEGORIA]],tabSindicatos[],13,0)</f>
        <v>-</v>
      </c>
    </row>
    <row r="111" spans="1:62">
      <c r="A111" s="231" t="s">
        <v>1465</v>
      </c>
      <c r="B111" s="197" t="s">
        <v>1122</v>
      </c>
      <c r="C111" s="197" t="s">
        <v>200</v>
      </c>
      <c r="D111" s="197" t="str">
        <f>VLOOKUP(tabParametros[[#This Row],[Código do Posto]],tabPostos[],4,0)</f>
        <v>Regiao de Juiz de Fora</v>
      </c>
      <c r="E111" s="282" t="str">
        <f>VLOOKUP(tabParametros[[#This Row],[Código do Posto]],tabPostos[],5,0)</f>
        <v>Apoio</v>
      </c>
      <c r="F111" s="282" t="str">
        <f>VLOOKUP(tabParametros[[#This Row],[Código do Posto]],tabPostos[],6,0)</f>
        <v>PGJ</v>
      </c>
      <c r="G111" s="282">
        <f>VLOOKUP(tabParametros[[#This Row],[Código do Posto]],tabPostos[],7,0)</f>
        <v>1</v>
      </c>
      <c r="H111" s="282">
        <f>VLOOKUP(tabParametros[[#This Row],[Código do Posto]],tabPostos[],8,0)</f>
        <v>0</v>
      </c>
      <c r="I111" s="232">
        <f>VLOOKUP(tabParametros[[#This Row],[Código do Posto]],tabPostos[],9,0)</f>
        <v>1596.273808921236</v>
      </c>
      <c r="J111" s="232">
        <f>IF(ISNUMBER(SEARCH("Eletricista",tabParametros[[#This Row],[Função]],1)),0.3*tabParametros[[#This Row],[Salário Base]],0)</f>
        <v>0</v>
      </c>
      <c r="K11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11" s="232">
        <f>IF(AND(ISNUMBER(SEARCH("Noturno",tabParametros[[#This Row],[Função]],1)),tabParametros[[#This Row],[Comarca]]&lt;&gt;"Juiz de Fora"),tabParametros[[#This Row],[Salário Base]]/210*0.39*7*15.5,IF(ISNUMBER(SEARCH("Noturno",tabParametros[[#This Row],[Função]],1)),tabParametros[[#This Row],[Salário Base]]/210*0.2*8*15.5,0))</f>
        <v>0</v>
      </c>
      <c r="M111" s="232">
        <f>IF(ISNUMBER(SEARCH("Motorista II",tabParametros[[#This Row],[Função]],1)),0.3022*tabParametros[[#This Row],[Salário Base]],0)</f>
        <v>0</v>
      </c>
      <c r="N111" s="254">
        <v>0</v>
      </c>
      <c r="O111" s="254">
        <f>IF(ISNUMBER(SEARCH("TECNOLOGIA DA INFORMACAO",tabParametros[[#This Row],[Função]],1)),0.056*tabParametros[[#This Row],[Salário Base]],0)</f>
        <v>0</v>
      </c>
      <c r="P111" s="232">
        <f>IF(tabParametros[[#This Row],[Função]]="Operador de Midia Audiovisual - 150 h",tabParametros[[#This Row],[Salário Base]]/150*50*30%,IF(tabParametros[[#This Row],[Função]]="Supervisor de Manutencao de Veiculos II - 220 h",12%*tabParametros[[#This Row],[Salário Base]],0))</f>
        <v>0</v>
      </c>
      <c r="Q111" s="233">
        <f>VLOOKUP(tabParametros[[#Headers],[INSS]],tabImpostosNacionais[],2,0)</f>
        <v>0.2</v>
      </c>
      <c r="R111" s="233">
        <f>VLOOKUP(tabParametros[[#Headers],[SESI OU SESC]],tabImpostosNacionais[],2,0)</f>
        <v>1.4999999999999999E-2</v>
      </c>
      <c r="S111" s="233">
        <f>VLOOKUP(tabParametros[[#Headers],[SENAI OU SENAC]],tabImpostosNacionais[],2,0)</f>
        <v>0.01</v>
      </c>
      <c r="T111" s="233">
        <f>VLOOKUP(tabParametros[[#Headers],[INCRA]],tabImpostosNacionais[],2,0)</f>
        <v>2E-3</v>
      </c>
      <c r="U111" s="233">
        <f>VLOOKUP(tabParametros[[#Headers],[Salário Educação]],tabImpostosNacionais[],2,0)</f>
        <v>2.5000000000000001E-2</v>
      </c>
      <c r="V111" s="233">
        <f>VLOOKUP(tabParametros[[#Headers],[FGTS]],tabImpostosNacionais[],2,0)</f>
        <v>0.08</v>
      </c>
      <c r="W111" s="233">
        <f>VLOOKUP(tabParametros[[#Headers],[RAT Ajustado]],tabImpostosNacionais[],2,0)</f>
        <v>0.04</v>
      </c>
      <c r="X111" s="233">
        <f>VLOOKUP(tabParametros[[#Headers],[SEBRAE]],tabImpostosNacionais[],2,0)</f>
        <v>6.0000000000000001E-3</v>
      </c>
      <c r="Y111" s="233">
        <f t="shared" si="11"/>
        <v>8.3333333333333329E-2</v>
      </c>
      <c r="Z111" s="233">
        <f t="shared" si="12"/>
        <v>0.1111111111111111</v>
      </c>
      <c r="AA111" s="232">
        <f>VLOOKUP(tabParametros[[#This Row],[Comarca]],tabComarca[],5,0)</f>
        <v>6.4</v>
      </c>
      <c r="AB111" s="232">
        <f>VLOOKUP(tabParametros[[#This Row],[CCT DA CATEGORIA]],tabSindicatos[],6,0)</f>
        <v>29.15</v>
      </c>
      <c r="AC111" s="232">
        <f>VLOOKUP(tabParametros[[#This Row],[CCT DA CATEGORIA]],tabSindicatos[],7,0)</f>
        <v>0</v>
      </c>
      <c r="AD111" s="232" cm="1">
        <f t="array" ref="AD11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11" s="232">
        <f>VLOOKUP(tabParametros[[#This Row],[CCT DA CATEGORIA]],tabSindicatos[],9,0)</f>
        <v>0</v>
      </c>
      <c r="AF111" s="232">
        <f>VLOOKUP(tabParametros[[#This Row],[CCT DA CATEGORIA]],tabSindicatos[],10,0)</f>
        <v>0</v>
      </c>
      <c r="AG111" s="234">
        <f>VLOOKUP(tabParametros[[#Headers],[Seguro de Vida]],tabOutrosCustos[],3,0)</f>
        <v>3.36</v>
      </c>
      <c r="AH111" s="234">
        <f>IF(ISNUMBER(SEARCH("MOTORISTA",tabParametros[[#This Row],[Função]],1)),VLOOKUP("MOTORISTAS",tabDiarias[],2,0),IF(tabParametros[[#This Row],[Comarca]]="Belo Horizonte",VLOOKUP("APOIO",tabDiarias[],2,0),0))</f>
        <v>0</v>
      </c>
      <c r="AI111" s="233">
        <f t="shared" si="13"/>
        <v>7.011766975308642E-3</v>
      </c>
      <c r="AJ111" s="235">
        <f>tabParametros[[#This Row],[FGTS]]*tabParametros[[#This Row],[Aviso Prévio Indenizado (API) e Reflexo do Aviso Prévio Indenizado]]</f>
        <v>5.609413580246914E-4</v>
      </c>
      <c r="AK111" s="235">
        <f>tabParametros[[#This Row],[FGTS]]*tabParametros[[#This Row],[Aviso Prévio Indenizado (API) e Reflexo do Aviso Prévio Indenizado]]*40%</f>
        <v>2.2437654320987658E-4</v>
      </c>
      <c r="AL111" s="233">
        <f t="shared" si="14"/>
        <v>3.5000000000000005E-3</v>
      </c>
      <c r="AM111" s="233">
        <f>tabParametros[[#This Row],[Aviso Prévio Trabalhado - APT]]*SUM(tabParametros[[#This Row],[INSS]:[SEBRAE]])</f>
        <v>1.3230000000000004E-3</v>
      </c>
      <c r="AN111" s="233">
        <f t="shared" si="15"/>
        <v>3.0577777777777773E-2</v>
      </c>
      <c r="AO111" s="233">
        <f t="shared" si="16"/>
        <v>8.3333333333333339E-4</v>
      </c>
      <c r="AP111" s="233">
        <f t="shared" si="17"/>
        <v>8.4444444444444437E-3</v>
      </c>
      <c r="AQ111" s="233">
        <f t="shared" si="18"/>
        <v>2.0277777777777777E-3</v>
      </c>
      <c r="AR111" s="233">
        <f t="shared" si="19"/>
        <v>1.7083333333333333E-4</v>
      </c>
      <c r="AS111" s="233">
        <f t="shared" si="20"/>
        <v>2.0833333333333335E-4</v>
      </c>
      <c r="AT111" s="233">
        <f t="shared" si="21"/>
        <v>1.2962962962962963E-3</v>
      </c>
      <c r="AU111" s="235">
        <f>SUM(tabParametros[[#This Row],[Ausência por Doença]:[Férias, Adicional de Férias e 13º  com empregada em gozo de Licença Maternidade]])*SUM(tabParametros[[#This Row],[INSS]:[SEBRAE]])</f>
        <v>4.5918250000000008E-3</v>
      </c>
      <c r="AV111" s="254">
        <f>IF(tabParametros[[#This Row],[Função]]="Porteiro - 220 h",SUM(tabParametros[[#This Row],[Salário Base]:[Adicional de Acúmulo de função]])/220*20*1.5,IF(ISNUMBER(SEARCH("12 x 36",tabParametros[[#This Row],[Função]],1)),SUM(tabParametros[[#This Row],[Salário Base]:[Adicional de Acúmulo de função]])/210*15.5*1.5,0))</f>
        <v>0</v>
      </c>
      <c r="AW111" s="232">
        <f>IF(tabParametros[[#This Row],[Vagas contratadas]]&gt;0,(SUM(tabParametros[[#This Row],[Salário Base]:[Adicional de Acúmulo de função]])*30%+SUM(tabParametros[[#This Row],[Vale - Alimentação]:[Seguro de Vida]]))/tabParametros[[#This Row],[Vagas contratadas]]*tabParametros[[#This Row],[Vagas suspensas]],0)</f>
        <v>0</v>
      </c>
      <c r="AX111" s="232">
        <f>SUMIF(tabUniformes[Cargo],tabParametros[[#This Row],[Função]],tabUniformes[Valor unit. Mensal])</f>
        <v>56.141713661989918</v>
      </c>
      <c r="AY11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1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1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1" s="232">
        <v>0</v>
      </c>
      <c r="BC111" s="234" t="e">
        <f ca="1">VLOOKUP(tabParametros[[#Headers],[Custos Indiretos]],tabOutrosCustos[],3,0)</f>
        <v>#NAME?</v>
      </c>
      <c r="BD111" s="234" t="e">
        <f ca="1">VLOOKUP(tabParametros[[#Headers],[Lucro]],tabOutrosCustos[],3,0)</f>
        <v>#NAME?</v>
      </c>
      <c r="BE111" s="233">
        <f>VLOOKUP(tabParametros[[#Headers],[COFINS]],tabImpostosNacionais[],2,0)</f>
        <v>7.5999999999999998E-2</v>
      </c>
      <c r="BF111" s="233">
        <f>VLOOKUP(tabParametros[[#Headers],[PIS]],tabImpostosNacionais[],2,0)</f>
        <v>1.6500000000000001E-2</v>
      </c>
      <c r="BG111" s="233">
        <f>VLOOKUP(tabParametros[[#This Row],[Comarca]],tabComarca[],4,0)</f>
        <v>0.05</v>
      </c>
      <c r="BH111" s="236">
        <f>VLOOKUP(tabParametros[[#This Row],[CCT DA CATEGORIA]],tabSindicatos[],11,0)</f>
        <v>45658</v>
      </c>
      <c r="BI111" s="282" t="str">
        <f>VLOOKUP(tabParametros[[#This Row],[CCT DA CATEGORIA]],tabSindicatos[],12,0)</f>
        <v>-</v>
      </c>
      <c r="BJ111" s="285" t="str">
        <f>VLOOKUP(tabParametros[[#This Row],[CCT DA CATEGORIA]],tabSindicatos[],13,0)</f>
        <v>-</v>
      </c>
    </row>
    <row r="112" spans="1:62">
      <c r="A112" s="231" t="s">
        <v>1572</v>
      </c>
      <c r="B112" s="197" t="s">
        <v>1122</v>
      </c>
      <c r="C112" s="197" t="s">
        <v>1367</v>
      </c>
      <c r="D112" s="197" t="str">
        <f>VLOOKUP(tabParametros[[#This Row],[Código do Posto]],tabPostos[],4,0)</f>
        <v>Regiao de Juiz de Fora</v>
      </c>
      <c r="E112" s="282" t="str">
        <f>VLOOKUP(tabParametros[[#This Row],[Código do Posto]],tabPostos[],5,0)</f>
        <v>Apoio</v>
      </c>
      <c r="F112" s="282" t="str">
        <f>VLOOKUP(tabParametros[[#This Row],[Código do Posto]],tabPostos[],6,0)</f>
        <v>PGJ</v>
      </c>
      <c r="G112" s="282">
        <f>VLOOKUP(tabParametros[[#This Row],[Código do Posto]],tabPostos[],7,0)</f>
        <v>1</v>
      </c>
      <c r="H112" s="282">
        <f>VLOOKUP(tabParametros[[#This Row],[Código do Posto]],tabPostos[],8,0)</f>
        <v>0</v>
      </c>
      <c r="I112" s="232">
        <f>VLOOKUP(tabParametros[[#This Row],[Código do Posto]],tabPostos[],9,0)</f>
        <v>2087.4324447827344</v>
      </c>
      <c r="J112" s="232">
        <f>IF(ISNUMBER(SEARCH("Eletricista",tabParametros[[#This Row],[Função]],1)),0.3*tabParametros[[#This Row],[Salário Base]],0)</f>
        <v>0</v>
      </c>
      <c r="K11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12" s="232">
        <f>IF(AND(ISNUMBER(SEARCH("Noturno",tabParametros[[#This Row],[Função]],1)),tabParametros[[#This Row],[Comarca]]&lt;&gt;"Juiz de Fora"),tabParametros[[#This Row],[Salário Base]]/210*0.39*7*15.5,IF(ISNUMBER(SEARCH("Noturno",tabParametros[[#This Row],[Função]],1)),tabParametros[[#This Row],[Salário Base]]/210*0.2*8*15.5,0))</f>
        <v>0</v>
      </c>
      <c r="M112" s="232">
        <f>IF(ISNUMBER(SEARCH("Motorista II",tabParametros[[#This Row],[Função]],1)),0.3022*tabParametros[[#This Row],[Salário Base]],0)</f>
        <v>0</v>
      </c>
      <c r="N112" s="254">
        <v>0</v>
      </c>
      <c r="O112" s="254">
        <f>IF(ISNUMBER(SEARCH("TECNOLOGIA DA INFORMACAO",tabParametros[[#This Row],[Função]],1)),0.056*tabParametros[[#This Row],[Salário Base]],0)</f>
        <v>0</v>
      </c>
      <c r="P112" s="232">
        <f>IF(tabParametros[[#This Row],[Função]]="Operador de Midia Audiovisual - 150 h",tabParametros[[#This Row],[Salário Base]]/150*50*30%,IF(tabParametros[[#This Row],[Função]]="Supervisor de Manutencao de Veiculos II - 220 h",12%*tabParametros[[#This Row],[Salário Base]],0))</f>
        <v>0</v>
      </c>
      <c r="Q112" s="233">
        <f>VLOOKUP(tabParametros[[#Headers],[INSS]],tabImpostosNacionais[],2,0)</f>
        <v>0.2</v>
      </c>
      <c r="R112" s="233">
        <f>VLOOKUP(tabParametros[[#Headers],[SESI OU SESC]],tabImpostosNacionais[],2,0)</f>
        <v>1.4999999999999999E-2</v>
      </c>
      <c r="S112" s="233">
        <f>VLOOKUP(tabParametros[[#Headers],[SENAI OU SENAC]],tabImpostosNacionais[],2,0)</f>
        <v>0.01</v>
      </c>
      <c r="T112" s="233">
        <f>VLOOKUP(tabParametros[[#Headers],[INCRA]],tabImpostosNacionais[],2,0)</f>
        <v>2E-3</v>
      </c>
      <c r="U112" s="233">
        <f>VLOOKUP(tabParametros[[#Headers],[Salário Educação]],tabImpostosNacionais[],2,0)</f>
        <v>2.5000000000000001E-2</v>
      </c>
      <c r="V112" s="233">
        <f>VLOOKUP(tabParametros[[#Headers],[FGTS]],tabImpostosNacionais[],2,0)</f>
        <v>0.08</v>
      </c>
      <c r="W112" s="233">
        <f>VLOOKUP(tabParametros[[#Headers],[RAT Ajustado]],tabImpostosNacionais[],2,0)</f>
        <v>0.04</v>
      </c>
      <c r="X112" s="233">
        <f>VLOOKUP(tabParametros[[#Headers],[SEBRAE]],tabImpostosNacionais[],2,0)</f>
        <v>6.0000000000000001E-3</v>
      </c>
      <c r="Y112" s="233">
        <f t="shared" si="11"/>
        <v>8.3333333333333329E-2</v>
      </c>
      <c r="Z112" s="233">
        <f t="shared" si="12"/>
        <v>0.1111111111111111</v>
      </c>
      <c r="AA112" s="232">
        <f>VLOOKUP(tabParametros[[#This Row],[Comarca]],tabComarca[],5,0)</f>
        <v>6.4</v>
      </c>
      <c r="AB112" s="232">
        <f>VLOOKUP(tabParametros[[#This Row],[CCT DA CATEGORIA]],tabSindicatos[],6,0)</f>
        <v>29.15</v>
      </c>
      <c r="AC112" s="232">
        <f>VLOOKUP(tabParametros[[#This Row],[CCT DA CATEGORIA]],tabSindicatos[],7,0)</f>
        <v>0</v>
      </c>
      <c r="AD112" s="232" cm="1">
        <f t="array" ref="AD11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12" s="232">
        <f>VLOOKUP(tabParametros[[#This Row],[CCT DA CATEGORIA]],tabSindicatos[],9,0)</f>
        <v>0</v>
      </c>
      <c r="AF112" s="232">
        <f>VLOOKUP(tabParametros[[#This Row],[CCT DA CATEGORIA]],tabSindicatos[],10,0)</f>
        <v>0</v>
      </c>
      <c r="AG112" s="234">
        <f>VLOOKUP(tabParametros[[#Headers],[Seguro de Vida]],tabOutrosCustos[],3,0)</f>
        <v>3.36</v>
      </c>
      <c r="AH112" s="234">
        <f>IF(ISNUMBER(SEARCH("MOTORISTA",tabParametros[[#This Row],[Função]],1)),VLOOKUP("MOTORISTAS",tabDiarias[],2,0),IF(tabParametros[[#This Row],[Comarca]]="Belo Horizonte",VLOOKUP("APOIO",tabDiarias[],2,0),0))</f>
        <v>0</v>
      </c>
      <c r="AI112" s="233">
        <f t="shared" si="13"/>
        <v>7.011766975308642E-3</v>
      </c>
      <c r="AJ112" s="235">
        <f>tabParametros[[#This Row],[FGTS]]*tabParametros[[#This Row],[Aviso Prévio Indenizado (API) e Reflexo do Aviso Prévio Indenizado]]</f>
        <v>5.609413580246914E-4</v>
      </c>
      <c r="AK112" s="235">
        <f>tabParametros[[#This Row],[FGTS]]*tabParametros[[#This Row],[Aviso Prévio Indenizado (API) e Reflexo do Aviso Prévio Indenizado]]*40%</f>
        <v>2.2437654320987658E-4</v>
      </c>
      <c r="AL112" s="233">
        <f t="shared" si="14"/>
        <v>3.5000000000000005E-3</v>
      </c>
      <c r="AM112" s="233">
        <f>tabParametros[[#This Row],[Aviso Prévio Trabalhado - APT]]*SUM(tabParametros[[#This Row],[INSS]:[SEBRAE]])</f>
        <v>1.3230000000000004E-3</v>
      </c>
      <c r="AN112" s="233">
        <f t="shared" si="15"/>
        <v>3.0577777777777773E-2</v>
      </c>
      <c r="AO112" s="233">
        <f t="shared" si="16"/>
        <v>8.3333333333333339E-4</v>
      </c>
      <c r="AP112" s="233">
        <f t="shared" si="17"/>
        <v>8.4444444444444437E-3</v>
      </c>
      <c r="AQ112" s="233">
        <f t="shared" si="18"/>
        <v>2.0277777777777777E-3</v>
      </c>
      <c r="AR112" s="233">
        <f t="shared" si="19"/>
        <v>1.7083333333333333E-4</v>
      </c>
      <c r="AS112" s="233">
        <f t="shared" si="20"/>
        <v>2.0833333333333335E-4</v>
      </c>
      <c r="AT112" s="233">
        <f t="shared" si="21"/>
        <v>1.2962962962962963E-3</v>
      </c>
      <c r="AU112" s="235">
        <f>SUM(tabParametros[[#This Row],[Ausência por Doença]:[Férias, Adicional de Férias e 13º  com empregada em gozo de Licença Maternidade]])*SUM(tabParametros[[#This Row],[INSS]:[SEBRAE]])</f>
        <v>4.5918250000000008E-3</v>
      </c>
      <c r="AV112" s="254">
        <f>IF(tabParametros[[#This Row],[Função]]="Porteiro - 220 h",SUM(tabParametros[[#This Row],[Salário Base]:[Adicional de Acúmulo de função]])/220*20*1.5,IF(ISNUMBER(SEARCH("12 x 36",tabParametros[[#This Row],[Função]],1)),SUM(tabParametros[[#This Row],[Salário Base]:[Adicional de Acúmulo de função]])/210*15.5*1.5,0))</f>
        <v>0</v>
      </c>
      <c r="AW112" s="232">
        <f>IF(tabParametros[[#This Row],[Vagas contratadas]]&gt;0,(SUM(tabParametros[[#This Row],[Salário Base]:[Adicional de Acúmulo de função]])*30%+SUM(tabParametros[[#This Row],[Vale - Alimentação]:[Seguro de Vida]]))/tabParametros[[#This Row],[Vagas contratadas]]*tabParametros[[#This Row],[Vagas suspensas]],0)</f>
        <v>0</v>
      </c>
      <c r="AX112" s="232">
        <f>SUMIF(tabUniformes[Cargo],tabParametros[[#This Row],[Função]],tabUniformes[Valor unit. Mensal])</f>
        <v>253.83572732312174</v>
      </c>
      <c r="AY11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1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1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2" s="232">
        <v>0</v>
      </c>
      <c r="BC112" s="234" t="e">
        <f ca="1">VLOOKUP(tabParametros[[#Headers],[Custos Indiretos]],tabOutrosCustos[],3,0)</f>
        <v>#NAME?</v>
      </c>
      <c r="BD112" s="234" t="e">
        <f ca="1">VLOOKUP(tabParametros[[#Headers],[Lucro]],tabOutrosCustos[],3,0)</f>
        <v>#NAME?</v>
      </c>
      <c r="BE112" s="233">
        <f>VLOOKUP(tabParametros[[#Headers],[COFINS]],tabImpostosNacionais[],2,0)</f>
        <v>7.5999999999999998E-2</v>
      </c>
      <c r="BF112" s="233">
        <f>VLOOKUP(tabParametros[[#Headers],[PIS]],tabImpostosNacionais[],2,0)</f>
        <v>1.6500000000000001E-2</v>
      </c>
      <c r="BG112" s="233">
        <f>VLOOKUP(tabParametros[[#This Row],[Comarca]],tabComarca[],4,0)</f>
        <v>0.05</v>
      </c>
      <c r="BH112" s="236">
        <f>VLOOKUP(tabParametros[[#This Row],[CCT DA CATEGORIA]],tabSindicatos[],11,0)</f>
        <v>45658</v>
      </c>
      <c r="BI112" s="282" t="str">
        <f>VLOOKUP(tabParametros[[#This Row],[CCT DA CATEGORIA]],tabSindicatos[],12,0)</f>
        <v>-</v>
      </c>
      <c r="BJ112" s="285" t="str">
        <f>VLOOKUP(tabParametros[[#This Row],[CCT DA CATEGORIA]],tabSindicatos[],13,0)</f>
        <v>-</v>
      </c>
    </row>
    <row r="113" spans="1:62">
      <c r="A113" s="231" t="s">
        <v>1573</v>
      </c>
      <c r="B113" s="197" t="s">
        <v>1122</v>
      </c>
      <c r="C113" s="197" t="s">
        <v>314</v>
      </c>
      <c r="D113" s="197" t="str">
        <f>VLOOKUP(tabParametros[[#This Row],[Código do Posto]],tabPostos[],4,0)</f>
        <v>Regiao de Juiz de Fora</v>
      </c>
      <c r="E113" s="282" t="str">
        <f>VLOOKUP(tabParametros[[#This Row],[Código do Posto]],tabPostos[],5,0)</f>
        <v>Apoio</v>
      </c>
      <c r="F113" s="282" t="str">
        <f>VLOOKUP(tabParametros[[#This Row],[Código do Posto]],tabPostos[],6,0)</f>
        <v>PGJ</v>
      </c>
      <c r="G113" s="282">
        <f>VLOOKUP(tabParametros[[#This Row],[Código do Posto]],tabPostos[],7,0)</f>
        <v>1</v>
      </c>
      <c r="H113" s="282">
        <f>VLOOKUP(tabParametros[[#This Row],[Código do Posto]],tabPostos[],8,0)</f>
        <v>0</v>
      </c>
      <c r="I113" s="232">
        <f>VLOOKUP(tabParametros[[#This Row],[Código do Posto]],tabPostos[],9,0)</f>
        <v>1963.4110092077037</v>
      </c>
      <c r="J113" s="232">
        <f>IF(ISNUMBER(SEARCH("Eletricista",tabParametros[[#This Row],[Função]],1)),0.3*tabParametros[[#This Row],[Salário Base]],0)</f>
        <v>0</v>
      </c>
      <c r="K11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13" s="232">
        <f>IF(AND(ISNUMBER(SEARCH("Noturno",tabParametros[[#This Row],[Função]],1)),tabParametros[[#This Row],[Comarca]]&lt;&gt;"Juiz de Fora"),tabParametros[[#This Row],[Salário Base]]/210*0.39*7*15.5,IF(ISNUMBER(SEARCH("Noturno",tabParametros[[#This Row],[Função]],1)),tabParametros[[#This Row],[Salário Base]]/210*0.2*8*15.5,0))</f>
        <v>0</v>
      </c>
      <c r="M113" s="232">
        <f>IF(ISNUMBER(SEARCH("Motorista II",tabParametros[[#This Row],[Função]],1)),0.3022*tabParametros[[#This Row],[Salário Base]],0)</f>
        <v>0</v>
      </c>
      <c r="N113" s="254">
        <v>0</v>
      </c>
      <c r="O113" s="254">
        <f>IF(ISNUMBER(SEARCH("TECNOLOGIA DA INFORMACAO",tabParametros[[#This Row],[Função]],1)),0.056*tabParametros[[#This Row],[Salário Base]],0)</f>
        <v>0</v>
      </c>
      <c r="P113" s="232">
        <f>IF(tabParametros[[#This Row],[Função]]="Operador de Midia Audiovisual - 150 h",tabParametros[[#This Row],[Salário Base]]/150*50*30%,IF(tabParametros[[#This Row],[Função]]="Supervisor de Manutencao de Veiculos II - 220 h",12%*tabParametros[[#This Row],[Salário Base]],0))</f>
        <v>0</v>
      </c>
      <c r="Q113" s="233">
        <f>VLOOKUP(tabParametros[[#Headers],[INSS]],tabImpostosNacionais[],2,0)</f>
        <v>0.2</v>
      </c>
      <c r="R113" s="233">
        <f>VLOOKUP(tabParametros[[#Headers],[SESI OU SESC]],tabImpostosNacionais[],2,0)</f>
        <v>1.4999999999999999E-2</v>
      </c>
      <c r="S113" s="233">
        <f>VLOOKUP(tabParametros[[#Headers],[SENAI OU SENAC]],tabImpostosNacionais[],2,0)</f>
        <v>0.01</v>
      </c>
      <c r="T113" s="233">
        <f>VLOOKUP(tabParametros[[#Headers],[INCRA]],tabImpostosNacionais[],2,0)</f>
        <v>2E-3</v>
      </c>
      <c r="U113" s="233">
        <f>VLOOKUP(tabParametros[[#Headers],[Salário Educação]],tabImpostosNacionais[],2,0)</f>
        <v>2.5000000000000001E-2</v>
      </c>
      <c r="V113" s="233">
        <f>VLOOKUP(tabParametros[[#Headers],[FGTS]],tabImpostosNacionais[],2,0)</f>
        <v>0.08</v>
      </c>
      <c r="W113" s="233">
        <f>VLOOKUP(tabParametros[[#Headers],[RAT Ajustado]],tabImpostosNacionais[],2,0)</f>
        <v>0.04</v>
      </c>
      <c r="X113" s="233">
        <f>VLOOKUP(tabParametros[[#Headers],[SEBRAE]],tabImpostosNacionais[],2,0)</f>
        <v>6.0000000000000001E-3</v>
      </c>
      <c r="Y113" s="233">
        <f t="shared" si="11"/>
        <v>8.3333333333333329E-2</v>
      </c>
      <c r="Z113" s="233">
        <f t="shared" si="12"/>
        <v>0.1111111111111111</v>
      </c>
      <c r="AA113" s="232">
        <f>VLOOKUP(tabParametros[[#This Row],[Comarca]],tabComarca[],5,0)</f>
        <v>6.4</v>
      </c>
      <c r="AB113" s="232">
        <f>VLOOKUP(tabParametros[[#This Row],[CCT DA CATEGORIA]],tabSindicatos[],6,0)</f>
        <v>29.15</v>
      </c>
      <c r="AC113" s="232">
        <f>VLOOKUP(tabParametros[[#This Row],[CCT DA CATEGORIA]],tabSindicatos[],7,0)</f>
        <v>0</v>
      </c>
      <c r="AD113" s="232" cm="1">
        <f t="array" ref="AD11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13" s="232">
        <f>VLOOKUP(tabParametros[[#This Row],[CCT DA CATEGORIA]],tabSindicatos[],9,0)</f>
        <v>0</v>
      </c>
      <c r="AF113" s="232">
        <f>VLOOKUP(tabParametros[[#This Row],[CCT DA CATEGORIA]],tabSindicatos[],10,0)</f>
        <v>0</v>
      </c>
      <c r="AG113" s="234">
        <f>VLOOKUP(tabParametros[[#Headers],[Seguro de Vida]],tabOutrosCustos[],3,0)</f>
        <v>3.36</v>
      </c>
      <c r="AH113" s="234">
        <f>IF(ISNUMBER(SEARCH("MOTORISTA",tabParametros[[#This Row],[Função]],1)),VLOOKUP("MOTORISTAS",tabDiarias[],2,0),IF(tabParametros[[#This Row],[Comarca]]="Belo Horizonte",VLOOKUP("APOIO",tabDiarias[],2,0),0))</f>
        <v>0</v>
      </c>
      <c r="AI113" s="233">
        <f t="shared" si="13"/>
        <v>7.011766975308642E-3</v>
      </c>
      <c r="AJ113" s="235">
        <f>tabParametros[[#This Row],[FGTS]]*tabParametros[[#This Row],[Aviso Prévio Indenizado (API) e Reflexo do Aviso Prévio Indenizado]]</f>
        <v>5.609413580246914E-4</v>
      </c>
      <c r="AK113" s="235">
        <f>tabParametros[[#This Row],[FGTS]]*tabParametros[[#This Row],[Aviso Prévio Indenizado (API) e Reflexo do Aviso Prévio Indenizado]]*40%</f>
        <v>2.2437654320987658E-4</v>
      </c>
      <c r="AL113" s="233">
        <f t="shared" si="14"/>
        <v>3.5000000000000005E-3</v>
      </c>
      <c r="AM113" s="233">
        <f>tabParametros[[#This Row],[Aviso Prévio Trabalhado - APT]]*SUM(tabParametros[[#This Row],[INSS]:[SEBRAE]])</f>
        <v>1.3230000000000004E-3</v>
      </c>
      <c r="AN113" s="233">
        <f t="shared" si="15"/>
        <v>3.0577777777777773E-2</v>
      </c>
      <c r="AO113" s="233">
        <f t="shared" si="16"/>
        <v>8.3333333333333339E-4</v>
      </c>
      <c r="AP113" s="233">
        <f t="shared" si="17"/>
        <v>8.4444444444444437E-3</v>
      </c>
      <c r="AQ113" s="233">
        <f t="shared" si="18"/>
        <v>2.0277777777777777E-3</v>
      </c>
      <c r="AR113" s="233">
        <f t="shared" si="19"/>
        <v>1.7083333333333333E-4</v>
      </c>
      <c r="AS113" s="233">
        <f t="shared" si="20"/>
        <v>2.0833333333333335E-4</v>
      </c>
      <c r="AT113" s="233">
        <f t="shared" si="21"/>
        <v>1.2962962962962963E-3</v>
      </c>
      <c r="AU113" s="235">
        <f>SUM(tabParametros[[#This Row],[Ausência por Doença]:[Férias, Adicional de Férias e 13º  com empregada em gozo de Licença Maternidade]])*SUM(tabParametros[[#This Row],[INSS]:[SEBRAE]])</f>
        <v>4.5918250000000008E-3</v>
      </c>
      <c r="AV113"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13" s="232">
        <f>IF(tabParametros[[#This Row],[Vagas contratadas]]&gt;0,(SUM(tabParametros[[#This Row],[Salário Base]:[Adicional de Acúmulo de função]])*30%+SUM(tabParametros[[#This Row],[Vale - Alimentação]:[Seguro de Vida]]))/tabParametros[[#This Row],[Vagas contratadas]]*tabParametros[[#This Row],[Vagas suspensas]],0)</f>
        <v>0</v>
      </c>
      <c r="AX113" s="232">
        <f>SUMIF(tabUniformes[Cargo],tabParametros[[#This Row],[Função]],tabUniformes[Valor unit. Mensal])</f>
        <v>56.642978962543395</v>
      </c>
      <c r="AY11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1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1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3" s="232">
        <v>0</v>
      </c>
      <c r="BC113" s="234" t="e">
        <f ca="1">VLOOKUP(tabParametros[[#Headers],[Custos Indiretos]],tabOutrosCustos[],3,0)</f>
        <v>#NAME?</v>
      </c>
      <c r="BD113" s="234" t="e">
        <f ca="1">VLOOKUP(tabParametros[[#Headers],[Lucro]],tabOutrosCustos[],3,0)</f>
        <v>#NAME?</v>
      </c>
      <c r="BE113" s="233">
        <f>VLOOKUP(tabParametros[[#Headers],[COFINS]],tabImpostosNacionais[],2,0)</f>
        <v>7.5999999999999998E-2</v>
      </c>
      <c r="BF113" s="233">
        <f>VLOOKUP(tabParametros[[#Headers],[PIS]],tabImpostosNacionais[],2,0)</f>
        <v>1.6500000000000001E-2</v>
      </c>
      <c r="BG113" s="233">
        <f>VLOOKUP(tabParametros[[#This Row],[Comarca]],tabComarca[],4,0)</f>
        <v>0.05</v>
      </c>
      <c r="BH113" s="236">
        <f>VLOOKUP(tabParametros[[#This Row],[CCT DA CATEGORIA]],tabSindicatos[],11,0)</f>
        <v>45658</v>
      </c>
      <c r="BI113" s="282" t="str">
        <f>VLOOKUP(tabParametros[[#This Row],[CCT DA CATEGORIA]],tabSindicatos[],12,0)</f>
        <v>-</v>
      </c>
      <c r="BJ113" s="285" t="str">
        <f>VLOOKUP(tabParametros[[#This Row],[CCT DA CATEGORIA]],tabSindicatos[],13,0)</f>
        <v>-</v>
      </c>
    </row>
    <row r="114" spans="1:62">
      <c r="A114" s="231" t="s">
        <v>1466</v>
      </c>
      <c r="B114" s="197" t="s">
        <v>1123</v>
      </c>
      <c r="C114" s="197" t="s">
        <v>200</v>
      </c>
      <c r="D114" s="197" t="str">
        <f>VLOOKUP(tabParametros[[#This Row],[Código do Posto]],tabPostos[],4,0)</f>
        <v>Seethur</v>
      </c>
      <c r="E114" s="282" t="str">
        <f>VLOOKUP(tabParametros[[#This Row],[Código do Posto]],tabPostos[],5,0)</f>
        <v>Apoio</v>
      </c>
      <c r="F114" s="282" t="str">
        <f>VLOOKUP(tabParametros[[#This Row],[Código do Posto]],tabPostos[],6,0)</f>
        <v>PGJ</v>
      </c>
      <c r="G114" s="282">
        <f>VLOOKUP(tabParametros[[#This Row],[Código do Posto]],tabPostos[],7,0)</f>
        <v>3</v>
      </c>
      <c r="H114" s="282">
        <f>VLOOKUP(tabParametros[[#This Row],[Código do Posto]],tabPostos[],8,0)</f>
        <v>0</v>
      </c>
      <c r="I114" s="232">
        <f>VLOOKUP(tabParametros[[#This Row],[Código do Posto]],tabPostos[],9,0)</f>
        <v>1596.273808921236</v>
      </c>
      <c r="J114" s="232">
        <f>IF(ISNUMBER(SEARCH("Eletricista",tabParametros[[#This Row],[Função]],1)),0.3*tabParametros[[#This Row],[Salário Base]],0)</f>
        <v>0</v>
      </c>
      <c r="K11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14" s="232">
        <f>IF(AND(ISNUMBER(SEARCH("Noturno",tabParametros[[#This Row],[Função]],1)),tabParametros[[#This Row],[Comarca]]&lt;&gt;"Juiz de Fora"),tabParametros[[#This Row],[Salário Base]]/210*0.39*7*15.5,IF(ISNUMBER(SEARCH("Noturno",tabParametros[[#This Row],[Função]],1)),tabParametros[[#This Row],[Salário Base]]/210*0.2*8*15.5,0))</f>
        <v>0</v>
      </c>
      <c r="M114" s="232">
        <f>IF(ISNUMBER(SEARCH("Motorista II",tabParametros[[#This Row],[Função]],1)),0.3022*tabParametros[[#This Row],[Salário Base]],0)</f>
        <v>0</v>
      </c>
      <c r="N114" s="254">
        <v>0</v>
      </c>
      <c r="O114" s="254">
        <f>IF(ISNUMBER(SEARCH("TECNOLOGIA DA INFORMACAO",tabParametros[[#This Row],[Função]],1)),0.056*tabParametros[[#This Row],[Salário Base]],0)</f>
        <v>0</v>
      </c>
      <c r="P114" s="232">
        <f>IF(tabParametros[[#This Row],[Função]]="Operador de Midia Audiovisual - 150 h",tabParametros[[#This Row],[Salário Base]]/150*50*30%,IF(tabParametros[[#This Row],[Função]]="Supervisor de Manutencao de Veiculos II - 220 h",12%*tabParametros[[#This Row],[Salário Base]],0))</f>
        <v>0</v>
      </c>
      <c r="Q114" s="233">
        <f>VLOOKUP(tabParametros[[#Headers],[INSS]],tabImpostosNacionais[],2,0)</f>
        <v>0.2</v>
      </c>
      <c r="R114" s="233">
        <f>VLOOKUP(tabParametros[[#Headers],[SESI OU SESC]],tabImpostosNacionais[],2,0)</f>
        <v>1.4999999999999999E-2</v>
      </c>
      <c r="S114" s="233">
        <f>VLOOKUP(tabParametros[[#Headers],[SENAI OU SENAC]],tabImpostosNacionais[],2,0)</f>
        <v>0.01</v>
      </c>
      <c r="T114" s="233">
        <f>VLOOKUP(tabParametros[[#Headers],[INCRA]],tabImpostosNacionais[],2,0)</f>
        <v>2E-3</v>
      </c>
      <c r="U114" s="233">
        <f>VLOOKUP(tabParametros[[#Headers],[Salário Educação]],tabImpostosNacionais[],2,0)</f>
        <v>2.5000000000000001E-2</v>
      </c>
      <c r="V114" s="233">
        <f>VLOOKUP(tabParametros[[#Headers],[FGTS]],tabImpostosNacionais[],2,0)</f>
        <v>0.08</v>
      </c>
      <c r="W114" s="233">
        <f>VLOOKUP(tabParametros[[#Headers],[RAT Ajustado]],tabImpostosNacionais[],2,0)</f>
        <v>0.04</v>
      </c>
      <c r="X114" s="233">
        <f>VLOOKUP(tabParametros[[#Headers],[SEBRAE]],tabImpostosNacionais[],2,0)</f>
        <v>6.0000000000000001E-3</v>
      </c>
      <c r="Y114" s="233">
        <f t="shared" si="11"/>
        <v>8.3333333333333329E-2</v>
      </c>
      <c r="Z114" s="233">
        <f t="shared" si="12"/>
        <v>0.1111111111111111</v>
      </c>
      <c r="AA114" s="232">
        <f>VLOOKUP(tabParametros[[#This Row],[Comarca]],tabComarca[],5,0)</f>
        <v>6.4</v>
      </c>
      <c r="AB114" s="232">
        <f>VLOOKUP(tabParametros[[#This Row],[CCT DA CATEGORIA]],tabSindicatos[],6,0)</f>
        <v>29.15</v>
      </c>
      <c r="AC114" s="232">
        <f>VLOOKUP(tabParametros[[#This Row],[CCT DA CATEGORIA]],tabSindicatos[],7,0)</f>
        <v>0</v>
      </c>
      <c r="AD114" s="232" cm="1">
        <f t="array" ref="AD11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14" s="232">
        <f>VLOOKUP(tabParametros[[#This Row],[CCT DA CATEGORIA]],tabSindicatos[],9,0)</f>
        <v>0</v>
      </c>
      <c r="AF114" s="232">
        <f>VLOOKUP(tabParametros[[#This Row],[CCT DA CATEGORIA]],tabSindicatos[],10,0)</f>
        <v>0</v>
      </c>
      <c r="AG114" s="234">
        <f>VLOOKUP(tabParametros[[#Headers],[Seguro de Vida]],tabOutrosCustos[],3,0)</f>
        <v>3.36</v>
      </c>
      <c r="AH114" s="234">
        <f>IF(ISNUMBER(SEARCH("MOTORISTA",tabParametros[[#This Row],[Função]],1)),VLOOKUP("MOTORISTAS",tabDiarias[],2,0),IF(tabParametros[[#This Row],[Comarca]]="Belo Horizonte",VLOOKUP("APOIO",tabDiarias[],2,0),0))</f>
        <v>0</v>
      </c>
      <c r="AI114" s="233">
        <f t="shared" si="13"/>
        <v>7.011766975308642E-3</v>
      </c>
      <c r="AJ114" s="235">
        <f>tabParametros[[#This Row],[FGTS]]*tabParametros[[#This Row],[Aviso Prévio Indenizado (API) e Reflexo do Aviso Prévio Indenizado]]</f>
        <v>5.609413580246914E-4</v>
      </c>
      <c r="AK114" s="235">
        <f>tabParametros[[#This Row],[FGTS]]*tabParametros[[#This Row],[Aviso Prévio Indenizado (API) e Reflexo do Aviso Prévio Indenizado]]*40%</f>
        <v>2.2437654320987658E-4</v>
      </c>
      <c r="AL114" s="233">
        <f t="shared" si="14"/>
        <v>3.5000000000000005E-3</v>
      </c>
      <c r="AM114" s="233">
        <f>tabParametros[[#This Row],[Aviso Prévio Trabalhado - APT]]*SUM(tabParametros[[#This Row],[INSS]:[SEBRAE]])</f>
        <v>1.3230000000000004E-3</v>
      </c>
      <c r="AN114" s="233">
        <f t="shared" si="15"/>
        <v>3.0577777777777773E-2</v>
      </c>
      <c r="AO114" s="233">
        <f t="shared" si="16"/>
        <v>8.3333333333333339E-4</v>
      </c>
      <c r="AP114" s="233">
        <f t="shared" si="17"/>
        <v>8.4444444444444437E-3</v>
      </c>
      <c r="AQ114" s="233">
        <f t="shared" si="18"/>
        <v>2.0277777777777777E-3</v>
      </c>
      <c r="AR114" s="233">
        <f t="shared" si="19"/>
        <v>1.7083333333333333E-4</v>
      </c>
      <c r="AS114" s="233">
        <f t="shared" si="20"/>
        <v>2.0833333333333335E-4</v>
      </c>
      <c r="AT114" s="233">
        <f t="shared" si="21"/>
        <v>1.2962962962962963E-3</v>
      </c>
      <c r="AU114" s="235">
        <f>SUM(tabParametros[[#This Row],[Ausência por Doença]:[Férias, Adicional de Férias e 13º  com empregada em gozo de Licença Maternidade]])*SUM(tabParametros[[#This Row],[INSS]:[SEBRAE]])</f>
        <v>4.5918250000000008E-3</v>
      </c>
      <c r="AV114" s="254">
        <f>IF(tabParametros[[#This Row],[Função]]="Porteiro - 220 h",SUM(tabParametros[[#This Row],[Salário Base]:[Adicional de Acúmulo de função]])/220*20*1.5,IF(ISNUMBER(SEARCH("12 x 36",tabParametros[[#This Row],[Função]],1)),SUM(tabParametros[[#This Row],[Salário Base]:[Adicional de Acúmulo de função]])/210*15.5*1.5,0))</f>
        <v>0</v>
      </c>
      <c r="AW114" s="232">
        <f>IF(tabParametros[[#This Row],[Vagas contratadas]]&gt;0,(SUM(tabParametros[[#This Row],[Salário Base]:[Adicional de Acúmulo de função]])*30%+SUM(tabParametros[[#This Row],[Vale - Alimentação]:[Seguro de Vida]]))/tabParametros[[#This Row],[Vagas contratadas]]*tabParametros[[#This Row],[Vagas suspensas]],0)</f>
        <v>0</v>
      </c>
      <c r="AX114" s="232">
        <f>SUMIF(tabUniformes[Cargo],tabParametros[[#This Row],[Função]],tabUniformes[Valor unit. Mensal])</f>
        <v>56.141713661989918</v>
      </c>
      <c r="AY11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1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1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4" s="232">
        <v>0</v>
      </c>
      <c r="BC114" s="234" t="e">
        <f ca="1">VLOOKUP(tabParametros[[#Headers],[Custos Indiretos]],tabOutrosCustos[],3,0)</f>
        <v>#NAME?</v>
      </c>
      <c r="BD114" s="234" t="e">
        <f ca="1">VLOOKUP(tabParametros[[#Headers],[Lucro]],tabOutrosCustos[],3,0)</f>
        <v>#NAME?</v>
      </c>
      <c r="BE114" s="233">
        <f>VLOOKUP(tabParametros[[#Headers],[COFINS]],tabImpostosNacionais[],2,0)</f>
        <v>7.5999999999999998E-2</v>
      </c>
      <c r="BF114" s="233">
        <f>VLOOKUP(tabParametros[[#Headers],[PIS]],tabImpostosNacionais[],2,0)</f>
        <v>1.6500000000000001E-2</v>
      </c>
      <c r="BG114" s="233">
        <f>VLOOKUP(tabParametros[[#This Row],[Comarca]],tabComarca[],4,0)</f>
        <v>0.03</v>
      </c>
      <c r="BH114" s="236">
        <f>VLOOKUP(tabParametros[[#This Row],[CCT DA CATEGORIA]],tabSindicatos[],11,0)</f>
        <v>45658</v>
      </c>
      <c r="BI114" s="282" t="str">
        <f>VLOOKUP(tabParametros[[#This Row],[CCT DA CATEGORIA]],tabSindicatos[],12,0)</f>
        <v>-</v>
      </c>
      <c r="BJ114" s="285" t="str">
        <f>VLOOKUP(tabParametros[[#This Row],[CCT DA CATEGORIA]],tabSindicatos[],13,0)</f>
        <v>-</v>
      </c>
    </row>
    <row r="115" spans="1:62">
      <c r="A115" s="231" t="s">
        <v>1574</v>
      </c>
      <c r="B115" s="197" t="s">
        <v>1123</v>
      </c>
      <c r="C115" s="197" t="s">
        <v>324</v>
      </c>
      <c r="D115" s="197" t="str">
        <f>VLOOKUP(tabParametros[[#This Row],[Código do Posto]],tabPostos[],4,0)</f>
        <v>Seethur</v>
      </c>
      <c r="E115" s="282" t="str">
        <f>VLOOKUP(tabParametros[[#This Row],[Código do Posto]],tabPostos[],5,0)</f>
        <v>Apoio</v>
      </c>
      <c r="F115" s="282" t="str">
        <f>VLOOKUP(tabParametros[[#This Row],[Código do Posto]],tabPostos[],6,0)</f>
        <v>PGJ</v>
      </c>
      <c r="G115" s="282">
        <f>VLOOKUP(tabParametros[[#This Row],[Código do Posto]],tabPostos[],7,0)</f>
        <v>1</v>
      </c>
      <c r="H115" s="282">
        <f>VLOOKUP(tabParametros[[#This Row],[Código do Posto]],tabPostos[],8,0)</f>
        <v>0</v>
      </c>
      <c r="I115" s="232">
        <f>VLOOKUP(tabParametros[[#This Row],[Código do Posto]],tabPostos[],9,0)</f>
        <v>3397.1306016921476</v>
      </c>
      <c r="J115" s="232">
        <f>IF(ISNUMBER(SEARCH("Eletricista",tabParametros[[#This Row],[Função]],1)),0.3*tabParametros[[#This Row],[Salário Base]],0)</f>
        <v>0</v>
      </c>
      <c r="K11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15" s="232">
        <f>IF(AND(ISNUMBER(SEARCH("Noturno",tabParametros[[#This Row],[Função]],1)),tabParametros[[#This Row],[Comarca]]&lt;&gt;"Juiz de Fora"),tabParametros[[#This Row],[Salário Base]]/210*0.39*7*15.5,IF(ISNUMBER(SEARCH("Noturno",tabParametros[[#This Row],[Função]],1)),tabParametros[[#This Row],[Salário Base]]/210*0.2*8*15.5,0))</f>
        <v>0</v>
      </c>
      <c r="M115" s="232">
        <f>IF(ISNUMBER(SEARCH("Motorista II",tabParametros[[#This Row],[Função]],1)),0.3022*tabParametros[[#This Row],[Salário Base]],0)</f>
        <v>0</v>
      </c>
      <c r="N115" s="254">
        <v>0</v>
      </c>
      <c r="O115" s="254">
        <f>IF(ISNUMBER(SEARCH("TECNOLOGIA DA INFORMACAO",tabParametros[[#This Row],[Função]],1)),0.056*tabParametros[[#This Row],[Salário Base]],0)</f>
        <v>0</v>
      </c>
      <c r="P115" s="232">
        <f>IF(tabParametros[[#This Row],[Função]]="Operador de Midia Audiovisual - 150 h",tabParametros[[#This Row],[Salário Base]]/150*50*30%,IF(tabParametros[[#This Row],[Função]]="Supervisor de Manutencao de Veiculos II - 220 h",12%*tabParametros[[#This Row],[Salário Base]],0))</f>
        <v>0</v>
      </c>
      <c r="Q115" s="233">
        <f>VLOOKUP(tabParametros[[#Headers],[INSS]],tabImpostosNacionais[],2,0)</f>
        <v>0.2</v>
      </c>
      <c r="R115" s="233">
        <f>VLOOKUP(tabParametros[[#Headers],[SESI OU SESC]],tabImpostosNacionais[],2,0)</f>
        <v>1.4999999999999999E-2</v>
      </c>
      <c r="S115" s="233">
        <f>VLOOKUP(tabParametros[[#Headers],[SENAI OU SENAC]],tabImpostosNacionais[],2,0)</f>
        <v>0.01</v>
      </c>
      <c r="T115" s="233">
        <f>VLOOKUP(tabParametros[[#Headers],[INCRA]],tabImpostosNacionais[],2,0)</f>
        <v>2E-3</v>
      </c>
      <c r="U115" s="233">
        <f>VLOOKUP(tabParametros[[#Headers],[Salário Educação]],tabImpostosNacionais[],2,0)</f>
        <v>2.5000000000000001E-2</v>
      </c>
      <c r="V115" s="233">
        <f>VLOOKUP(tabParametros[[#Headers],[FGTS]],tabImpostosNacionais[],2,0)</f>
        <v>0.08</v>
      </c>
      <c r="W115" s="233">
        <f>VLOOKUP(tabParametros[[#Headers],[RAT Ajustado]],tabImpostosNacionais[],2,0)</f>
        <v>0.04</v>
      </c>
      <c r="X115" s="233">
        <f>VLOOKUP(tabParametros[[#Headers],[SEBRAE]],tabImpostosNacionais[],2,0)</f>
        <v>6.0000000000000001E-3</v>
      </c>
      <c r="Y115" s="233">
        <f t="shared" si="11"/>
        <v>8.3333333333333329E-2</v>
      </c>
      <c r="Z115" s="233">
        <f t="shared" si="12"/>
        <v>0.1111111111111111</v>
      </c>
      <c r="AA115" s="232">
        <f>VLOOKUP(tabParametros[[#This Row],[Comarca]],tabComarca[],5,0)</f>
        <v>6.4</v>
      </c>
      <c r="AB115" s="232">
        <f>VLOOKUP(tabParametros[[#This Row],[CCT DA CATEGORIA]],tabSindicatos[],6,0)</f>
        <v>29.15</v>
      </c>
      <c r="AC115" s="232">
        <f>VLOOKUP(tabParametros[[#This Row],[CCT DA CATEGORIA]],tabSindicatos[],7,0)</f>
        <v>0</v>
      </c>
      <c r="AD115" s="232" cm="1">
        <f t="array" ref="AD11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15" s="232">
        <f>VLOOKUP(tabParametros[[#This Row],[CCT DA CATEGORIA]],tabSindicatos[],9,0)</f>
        <v>0</v>
      </c>
      <c r="AF115" s="232">
        <f>VLOOKUP(tabParametros[[#This Row],[CCT DA CATEGORIA]],tabSindicatos[],10,0)</f>
        <v>0</v>
      </c>
      <c r="AG115" s="234">
        <f>VLOOKUP(tabParametros[[#Headers],[Seguro de Vida]],tabOutrosCustos[],3,0)</f>
        <v>3.36</v>
      </c>
      <c r="AH115" s="234">
        <f>IF(ISNUMBER(SEARCH("MOTORISTA",tabParametros[[#This Row],[Função]],1)),VLOOKUP("MOTORISTAS",tabDiarias[],2,0),IF(tabParametros[[#This Row],[Comarca]]="Belo Horizonte",VLOOKUP("APOIO",tabDiarias[],2,0),0))</f>
        <v>0</v>
      </c>
      <c r="AI115" s="233">
        <f t="shared" si="13"/>
        <v>7.011766975308642E-3</v>
      </c>
      <c r="AJ115" s="235">
        <f>tabParametros[[#This Row],[FGTS]]*tabParametros[[#This Row],[Aviso Prévio Indenizado (API) e Reflexo do Aviso Prévio Indenizado]]</f>
        <v>5.609413580246914E-4</v>
      </c>
      <c r="AK115" s="235">
        <f>tabParametros[[#This Row],[FGTS]]*tabParametros[[#This Row],[Aviso Prévio Indenizado (API) e Reflexo do Aviso Prévio Indenizado]]*40%</f>
        <v>2.2437654320987658E-4</v>
      </c>
      <c r="AL115" s="233">
        <f t="shared" si="14"/>
        <v>3.5000000000000005E-3</v>
      </c>
      <c r="AM115" s="233">
        <f>tabParametros[[#This Row],[Aviso Prévio Trabalhado - APT]]*SUM(tabParametros[[#This Row],[INSS]:[SEBRAE]])</f>
        <v>1.3230000000000004E-3</v>
      </c>
      <c r="AN115" s="233">
        <f t="shared" si="15"/>
        <v>3.0577777777777773E-2</v>
      </c>
      <c r="AO115" s="233">
        <f t="shared" si="16"/>
        <v>8.3333333333333339E-4</v>
      </c>
      <c r="AP115" s="233">
        <f t="shared" si="17"/>
        <v>8.4444444444444437E-3</v>
      </c>
      <c r="AQ115" s="233">
        <f t="shared" si="18"/>
        <v>2.0277777777777777E-3</v>
      </c>
      <c r="AR115" s="233">
        <f t="shared" si="19"/>
        <v>1.7083333333333333E-4</v>
      </c>
      <c r="AS115" s="233">
        <f t="shared" si="20"/>
        <v>2.0833333333333335E-4</v>
      </c>
      <c r="AT115" s="233">
        <f t="shared" si="21"/>
        <v>1.2962962962962963E-3</v>
      </c>
      <c r="AU115" s="235">
        <f>SUM(tabParametros[[#This Row],[Ausência por Doença]:[Férias, Adicional de Férias e 13º  com empregada em gozo de Licença Maternidade]])*SUM(tabParametros[[#This Row],[INSS]:[SEBRAE]])</f>
        <v>4.5918250000000008E-3</v>
      </c>
      <c r="AV115" s="254">
        <f>IF(tabParametros[[#This Row],[Função]]="Porteiro - 220 h",SUM(tabParametros[[#This Row],[Salário Base]:[Adicional de Acúmulo de função]])/220*20*1.5,IF(ISNUMBER(SEARCH("12 x 36",tabParametros[[#This Row],[Função]],1)),SUM(tabParametros[[#This Row],[Salário Base]:[Adicional de Acúmulo de função]])/210*15.5*1.5,0))</f>
        <v>0</v>
      </c>
      <c r="AW115" s="232">
        <f>IF(tabParametros[[#This Row],[Vagas contratadas]]&gt;0,(SUM(tabParametros[[#This Row],[Salário Base]:[Adicional de Acúmulo de função]])*30%+SUM(tabParametros[[#This Row],[Vale - Alimentação]:[Seguro de Vida]]))/tabParametros[[#This Row],[Vagas contratadas]]*tabParametros[[#This Row],[Vagas suspensas]],0)</f>
        <v>0</v>
      </c>
      <c r="AX115" s="232">
        <f>SUMIF(tabUniformes[Cargo],tabParametros[[#This Row],[Função]],tabUniformes[Valor unit. Mensal])</f>
        <v>56.642978962543395</v>
      </c>
      <c r="AY11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1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1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5" s="232">
        <v>0</v>
      </c>
      <c r="BC115" s="234" t="e">
        <f ca="1">VLOOKUP(tabParametros[[#Headers],[Custos Indiretos]],tabOutrosCustos[],3,0)</f>
        <v>#NAME?</v>
      </c>
      <c r="BD115" s="234" t="e">
        <f ca="1">VLOOKUP(tabParametros[[#Headers],[Lucro]],tabOutrosCustos[],3,0)</f>
        <v>#NAME?</v>
      </c>
      <c r="BE115" s="233">
        <f>VLOOKUP(tabParametros[[#Headers],[COFINS]],tabImpostosNacionais[],2,0)</f>
        <v>7.5999999999999998E-2</v>
      </c>
      <c r="BF115" s="233">
        <f>VLOOKUP(tabParametros[[#Headers],[PIS]],tabImpostosNacionais[],2,0)</f>
        <v>1.6500000000000001E-2</v>
      </c>
      <c r="BG115" s="233">
        <f>VLOOKUP(tabParametros[[#This Row],[Comarca]],tabComarca[],4,0)</f>
        <v>0.03</v>
      </c>
      <c r="BH115" s="236">
        <f>VLOOKUP(tabParametros[[#This Row],[CCT DA CATEGORIA]],tabSindicatos[],11,0)</f>
        <v>45658</v>
      </c>
      <c r="BI115" s="282" t="str">
        <f>VLOOKUP(tabParametros[[#This Row],[CCT DA CATEGORIA]],tabSindicatos[],12,0)</f>
        <v>-</v>
      </c>
      <c r="BJ115" s="285" t="str">
        <f>VLOOKUP(tabParametros[[#This Row],[CCT DA CATEGORIA]],tabSindicatos[],13,0)</f>
        <v>-</v>
      </c>
    </row>
    <row r="116" spans="1:62">
      <c r="A116" s="231" t="s">
        <v>1575</v>
      </c>
      <c r="B116" s="197" t="s">
        <v>1123</v>
      </c>
      <c r="C116" s="197" t="s">
        <v>274</v>
      </c>
      <c r="D116" s="197" t="str">
        <f>VLOOKUP(tabParametros[[#This Row],[Código do Posto]],tabPostos[],4,0)</f>
        <v>Rodoviarios de Coronel Fabriciano + SEAC-MG</v>
      </c>
      <c r="E116" s="282" t="str">
        <f>VLOOKUP(tabParametros[[#This Row],[Código do Posto]],tabPostos[],5,0)</f>
        <v>Apoio</v>
      </c>
      <c r="F116" s="282" t="str">
        <f>VLOOKUP(tabParametros[[#This Row],[Código do Posto]],tabPostos[],6,0)</f>
        <v>PGJ</v>
      </c>
      <c r="G116" s="282">
        <f>VLOOKUP(tabParametros[[#This Row],[Código do Posto]],tabPostos[],7,0)</f>
        <v>1</v>
      </c>
      <c r="H116" s="282">
        <f>VLOOKUP(tabParametros[[#This Row],[Código do Posto]],tabPostos[],8,0)</f>
        <v>0</v>
      </c>
      <c r="I116" s="232">
        <f>VLOOKUP(tabParametros[[#This Row],[Código do Posto]],tabPostos[],9,0)</f>
        <v>4599.5952808034681</v>
      </c>
      <c r="J116" s="232">
        <f>IF(ISNUMBER(SEARCH("Eletricista",tabParametros[[#This Row],[Função]],1)),0.3*tabParametros[[#This Row],[Salário Base]],0)</f>
        <v>0</v>
      </c>
      <c r="K11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16" s="232">
        <f>IF(AND(ISNUMBER(SEARCH("Noturno",tabParametros[[#This Row],[Função]],1)),tabParametros[[#This Row],[Comarca]]&lt;&gt;"Juiz de Fora"),tabParametros[[#This Row],[Salário Base]]/210*0.39*7*15.5,IF(ISNUMBER(SEARCH("Noturno",tabParametros[[#This Row],[Função]],1)),tabParametros[[#This Row],[Salário Base]]/210*0.2*8*15.5,0))</f>
        <v>0</v>
      </c>
      <c r="M116" s="232">
        <f>IF(ISNUMBER(SEARCH("Motorista II",tabParametros[[#This Row],[Função]],1)),0.3022*tabParametros[[#This Row],[Salário Base]],0)</f>
        <v>0</v>
      </c>
      <c r="N116" s="254">
        <v>0</v>
      </c>
      <c r="O116" s="254">
        <f>IF(ISNUMBER(SEARCH("TECNOLOGIA DA INFORMACAO",tabParametros[[#This Row],[Função]],1)),0.056*tabParametros[[#This Row],[Salário Base]],0)</f>
        <v>0</v>
      </c>
      <c r="P116" s="232">
        <f>IF(tabParametros[[#This Row],[Função]]="Operador de Midia Audiovisual - 150 h",tabParametros[[#This Row],[Salário Base]]/150*50*30%,IF(tabParametros[[#This Row],[Função]]="Supervisor de Manutencao de Veiculos II - 220 h",12%*tabParametros[[#This Row],[Salário Base]],0))</f>
        <v>0</v>
      </c>
      <c r="Q116" s="233">
        <f>VLOOKUP(tabParametros[[#Headers],[INSS]],tabImpostosNacionais[],2,0)</f>
        <v>0.2</v>
      </c>
      <c r="R116" s="233">
        <f>VLOOKUP(tabParametros[[#Headers],[SESI OU SESC]],tabImpostosNacionais[],2,0)</f>
        <v>1.4999999999999999E-2</v>
      </c>
      <c r="S116" s="233">
        <f>VLOOKUP(tabParametros[[#Headers],[SENAI OU SENAC]],tabImpostosNacionais[],2,0)</f>
        <v>0.01</v>
      </c>
      <c r="T116" s="233">
        <f>VLOOKUP(tabParametros[[#Headers],[INCRA]],tabImpostosNacionais[],2,0)</f>
        <v>2E-3</v>
      </c>
      <c r="U116" s="233">
        <f>VLOOKUP(tabParametros[[#Headers],[Salário Educação]],tabImpostosNacionais[],2,0)</f>
        <v>2.5000000000000001E-2</v>
      </c>
      <c r="V116" s="233">
        <f>VLOOKUP(tabParametros[[#Headers],[FGTS]],tabImpostosNacionais[],2,0)</f>
        <v>0.08</v>
      </c>
      <c r="W116" s="233">
        <f>VLOOKUP(tabParametros[[#Headers],[RAT Ajustado]],tabImpostosNacionais[],2,0)</f>
        <v>0.04</v>
      </c>
      <c r="X116" s="233">
        <f>VLOOKUP(tabParametros[[#Headers],[SEBRAE]],tabImpostosNacionais[],2,0)</f>
        <v>6.0000000000000001E-3</v>
      </c>
      <c r="Y116" s="233">
        <f t="shared" si="11"/>
        <v>8.3333333333333329E-2</v>
      </c>
      <c r="Z116" s="233">
        <f t="shared" si="12"/>
        <v>0.1111111111111111</v>
      </c>
      <c r="AA116" s="232">
        <f>VLOOKUP(tabParametros[[#This Row],[Comarca]],tabComarca[],5,0)</f>
        <v>6.4</v>
      </c>
      <c r="AB116" s="232">
        <f>VLOOKUP(tabParametros[[#This Row],[CCT DA CATEGORIA]],tabSindicatos[],6,0)</f>
        <v>28.97</v>
      </c>
      <c r="AC116" s="232">
        <f>VLOOKUP(tabParametros[[#This Row],[CCT DA CATEGORIA]],tabSindicatos[],7,0)</f>
        <v>0</v>
      </c>
      <c r="AD116" s="232" cm="1">
        <f t="array" ref="AD11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16" s="232">
        <f>VLOOKUP(tabParametros[[#This Row],[CCT DA CATEGORIA]],tabSindicatos[],9,0)</f>
        <v>0</v>
      </c>
      <c r="AF116" s="232">
        <f>VLOOKUP(tabParametros[[#This Row],[CCT DA CATEGORIA]],tabSindicatos[],10,0)</f>
        <v>0</v>
      </c>
      <c r="AG116" s="234">
        <f>VLOOKUP(tabParametros[[#Headers],[Seguro de Vida]],tabOutrosCustos[],3,0)</f>
        <v>3.36</v>
      </c>
      <c r="AH116" s="234">
        <f>IF(ISNUMBER(SEARCH("MOTORISTA",tabParametros[[#This Row],[Função]],1)),VLOOKUP("MOTORISTAS",tabDiarias[],2,0),IF(tabParametros[[#This Row],[Comarca]]="Belo Horizonte",VLOOKUP("APOIO",tabDiarias[],2,0),0))</f>
        <v>662.42</v>
      </c>
      <c r="AI116" s="233">
        <f t="shared" si="13"/>
        <v>7.011766975308642E-3</v>
      </c>
      <c r="AJ116" s="235">
        <f>tabParametros[[#This Row],[FGTS]]*tabParametros[[#This Row],[Aviso Prévio Indenizado (API) e Reflexo do Aviso Prévio Indenizado]]</f>
        <v>5.609413580246914E-4</v>
      </c>
      <c r="AK116" s="235">
        <f>tabParametros[[#This Row],[FGTS]]*tabParametros[[#This Row],[Aviso Prévio Indenizado (API) e Reflexo do Aviso Prévio Indenizado]]*40%</f>
        <v>2.2437654320987658E-4</v>
      </c>
      <c r="AL116" s="233">
        <f t="shared" si="14"/>
        <v>3.5000000000000005E-3</v>
      </c>
      <c r="AM116" s="233">
        <f>tabParametros[[#This Row],[Aviso Prévio Trabalhado - APT]]*SUM(tabParametros[[#This Row],[INSS]:[SEBRAE]])</f>
        <v>1.3230000000000004E-3</v>
      </c>
      <c r="AN116" s="233">
        <f t="shared" si="15"/>
        <v>3.0577777777777773E-2</v>
      </c>
      <c r="AO116" s="233">
        <f t="shared" si="16"/>
        <v>8.3333333333333339E-4</v>
      </c>
      <c r="AP116" s="233">
        <f t="shared" si="17"/>
        <v>8.4444444444444437E-3</v>
      </c>
      <c r="AQ116" s="233">
        <f t="shared" si="18"/>
        <v>2.0277777777777777E-3</v>
      </c>
      <c r="AR116" s="233">
        <f t="shared" si="19"/>
        <v>1.7083333333333333E-4</v>
      </c>
      <c r="AS116" s="233">
        <f t="shared" si="20"/>
        <v>2.0833333333333335E-4</v>
      </c>
      <c r="AT116" s="233">
        <f t="shared" si="21"/>
        <v>1.2962962962962963E-3</v>
      </c>
      <c r="AU116" s="235">
        <f>SUM(tabParametros[[#This Row],[Ausência por Doença]:[Férias, Adicional de Férias e 13º  com empregada em gozo de Licença Maternidade]])*SUM(tabParametros[[#This Row],[INSS]:[SEBRAE]])</f>
        <v>4.5918250000000008E-3</v>
      </c>
      <c r="AV116" s="254">
        <f>IF(tabParametros[[#This Row],[Função]]="Porteiro - 220 h",SUM(tabParametros[[#This Row],[Salário Base]:[Adicional de Acúmulo de função]])/220*20*1.5,IF(ISNUMBER(SEARCH("12 x 36",tabParametros[[#This Row],[Função]],1)),SUM(tabParametros[[#This Row],[Salário Base]:[Adicional de Acúmulo de função]])/210*15.5*1.5,0))</f>
        <v>0</v>
      </c>
      <c r="AW116" s="232">
        <f>IF(tabParametros[[#This Row],[Vagas contratadas]]&gt;0,(SUM(tabParametros[[#This Row],[Salário Base]:[Adicional de Acúmulo de função]])*30%+SUM(tabParametros[[#This Row],[Vale - Alimentação]:[Seguro de Vida]]))/tabParametros[[#This Row],[Vagas contratadas]]*tabParametros[[#This Row],[Vagas suspensas]],0)</f>
        <v>0</v>
      </c>
      <c r="AX116" s="232">
        <f>SUMIF(tabUniformes[Cargo],tabParametros[[#This Row],[Função]],tabUniformes[Valor unit. Mensal])</f>
        <v>92.100763771570698</v>
      </c>
      <c r="AY11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1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1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6" s="232">
        <v>0</v>
      </c>
      <c r="BC116" s="234" t="e">
        <f ca="1">VLOOKUP(tabParametros[[#Headers],[Custos Indiretos]],tabOutrosCustos[],3,0)</f>
        <v>#NAME?</v>
      </c>
      <c r="BD116" s="234" t="e">
        <f ca="1">VLOOKUP(tabParametros[[#Headers],[Lucro]],tabOutrosCustos[],3,0)</f>
        <v>#NAME?</v>
      </c>
      <c r="BE116" s="233">
        <f>VLOOKUP(tabParametros[[#Headers],[COFINS]],tabImpostosNacionais[],2,0)</f>
        <v>7.5999999999999998E-2</v>
      </c>
      <c r="BF116" s="233">
        <f>VLOOKUP(tabParametros[[#Headers],[PIS]],tabImpostosNacionais[],2,0)</f>
        <v>1.6500000000000001E-2</v>
      </c>
      <c r="BG116" s="233">
        <f>VLOOKUP(tabParametros[[#This Row],[Comarca]],tabComarca[],4,0)</f>
        <v>0.03</v>
      </c>
      <c r="BH116" s="236">
        <f>VLOOKUP(tabParametros[[#This Row],[CCT DA CATEGORIA]],tabSindicatos[],11,0)</f>
        <v>45658</v>
      </c>
      <c r="BI116" s="282" t="str">
        <f>VLOOKUP(tabParametros[[#This Row],[CCT DA CATEGORIA]],tabSindicatos[],12,0)</f>
        <v>-</v>
      </c>
      <c r="BJ116" s="285" t="str">
        <f>VLOOKUP(tabParametros[[#This Row],[CCT DA CATEGORIA]],tabSindicatos[],13,0)</f>
        <v>-</v>
      </c>
    </row>
    <row r="117" spans="1:62">
      <c r="A117" s="231" t="s">
        <v>1576</v>
      </c>
      <c r="B117" s="197" t="s">
        <v>1124</v>
      </c>
      <c r="C117" s="197" t="s">
        <v>319</v>
      </c>
      <c r="D117" s="197" t="str">
        <f>VLOOKUP(tabParametros[[#This Row],[Código do Posto]],tabPostos[],4,0)</f>
        <v>Regiao de Sao Lourenco</v>
      </c>
      <c r="E117" s="282" t="str">
        <f>VLOOKUP(tabParametros[[#This Row],[Código do Posto]],tabPostos[],5,0)</f>
        <v>Apoio</v>
      </c>
      <c r="F117" s="282" t="str">
        <f>VLOOKUP(tabParametros[[#This Row],[Código do Posto]],tabPostos[],6,0)</f>
        <v>PGJ</v>
      </c>
      <c r="G117" s="282">
        <f>VLOOKUP(tabParametros[[#This Row],[Código do Posto]],tabPostos[],7,0)</f>
        <v>1</v>
      </c>
      <c r="H117" s="282">
        <f>VLOOKUP(tabParametros[[#This Row],[Código do Posto]],tabPostos[],8,0)</f>
        <v>0</v>
      </c>
      <c r="I117" s="232">
        <f>VLOOKUP(tabParametros[[#This Row],[Código do Posto]],tabPostos[],9,0)</f>
        <v>2316.2253186627422</v>
      </c>
      <c r="J117" s="232">
        <f>IF(ISNUMBER(SEARCH("Eletricista",tabParametros[[#This Row],[Função]],1)),0.3*tabParametros[[#This Row],[Salário Base]],0)</f>
        <v>0</v>
      </c>
      <c r="K11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17" s="232">
        <f>IF(AND(ISNUMBER(SEARCH("Noturno",tabParametros[[#This Row],[Função]],1)),tabParametros[[#This Row],[Comarca]]&lt;&gt;"Juiz de Fora"),tabParametros[[#This Row],[Salário Base]]/210*0.39*7*15.5,IF(ISNUMBER(SEARCH("Noturno",tabParametros[[#This Row],[Função]],1)),tabParametros[[#This Row],[Salário Base]]/210*0.2*8*15.5,0))</f>
        <v>0</v>
      </c>
      <c r="M117" s="232">
        <f>IF(ISNUMBER(SEARCH("Motorista II",tabParametros[[#This Row],[Função]],1)),0.3022*tabParametros[[#This Row],[Salário Base]],0)</f>
        <v>0</v>
      </c>
      <c r="N117" s="254">
        <v>0</v>
      </c>
      <c r="O117" s="254">
        <f>IF(ISNUMBER(SEARCH("TECNOLOGIA DA INFORMACAO",tabParametros[[#This Row],[Função]],1)),0.056*tabParametros[[#This Row],[Salário Base]],0)</f>
        <v>0</v>
      </c>
      <c r="P117" s="232">
        <f>IF(tabParametros[[#This Row],[Função]]="Operador de Midia Audiovisual - 150 h",tabParametros[[#This Row],[Salário Base]]/150*50*30%,IF(tabParametros[[#This Row],[Função]]="Supervisor de Manutencao de Veiculos II - 220 h",12%*tabParametros[[#This Row],[Salário Base]],0))</f>
        <v>0</v>
      </c>
      <c r="Q117" s="233">
        <f>VLOOKUP(tabParametros[[#Headers],[INSS]],tabImpostosNacionais[],2,0)</f>
        <v>0.2</v>
      </c>
      <c r="R117" s="233">
        <f>VLOOKUP(tabParametros[[#Headers],[SESI OU SESC]],tabImpostosNacionais[],2,0)</f>
        <v>1.4999999999999999E-2</v>
      </c>
      <c r="S117" s="233">
        <f>VLOOKUP(tabParametros[[#Headers],[SENAI OU SENAC]],tabImpostosNacionais[],2,0)</f>
        <v>0.01</v>
      </c>
      <c r="T117" s="233">
        <f>VLOOKUP(tabParametros[[#Headers],[INCRA]],tabImpostosNacionais[],2,0)</f>
        <v>2E-3</v>
      </c>
      <c r="U117" s="233">
        <f>VLOOKUP(tabParametros[[#Headers],[Salário Educação]],tabImpostosNacionais[],2,0)</f>
        <v>2.5000000000000001E-2</v>
      </c>
      <c r="V117" s="233">
        <f>VLOOKUP(tabParametros[[#Headers],[FGTS]],tabImpostosNacionais[],2,0)</f>
        <v>0.08</v>
      </c>
      <c r="W117" s="233">
        <f>VLOOKUP(tabParametros[[#Headers],[RAT Ajustado]],tabImpostosNacionais[],2,0)</f>
        <v>0.04</v>
      </c>
      <c r="X117" s="233">
        <f>VLOOKUP(tabParametros[[#Headers],[SEBRAE]],tabImpostosNacionais[],2,0)</f>
        <v>6.0000000000000001E-3</v>
      </c>
      <c r="Y117" s="233">
        <f t="shared" si="11"/>
        <v>8.3333333333333329E-2</v>
      </c>
      <c r="Z117" s="233">
        <f t="shared" si="12"/>
        <v>0.1111111111111111</v>
      </c>
      <c r="AA117" s="232">
        <f>VLOOKUP(tabParametros[[#This Row],[Comarca]],tabComarca[],5,0)</f>
        <v>6.4</v>
      </c>
      <c r="AB117" s="232">
        <f>VLOOKUP(tabParametros[[#This Row],[CCT DA CATEGORIA]],tabSindicatos[],6,0)</f>
        <v>29.15</v>
      </c>
      <c r="AC117" s="232">
        <f>VLOOKUP(tabParametros[[#This Row],[CCT DA CATEGORIA]],tabSindicatos[],7,0)</f>
        <v>0</v>
      </c>
      <c r="AD117" s="232" cm="1">
        <f t="array" ref="AD11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17" s="232">
        <f>VLOOKUP(tabParametros[[#This Row],[CCT DA CATEGORIA]],tabSindicatos[],9,0)</f>
        <v>0</v>
      </c>
      <c r="AF117" s="232">
        <f>VLOOKUP(tabParametros[[#This Row],[CCT DA CATEGORIA]],tabSindicatos[],10,0)</f>
        <v>0</v>
      </c>
      <c r="AG117" s="234">
        <f>VLOOKUP(tabParametros[[#Headers],[Seguro de Vida]],tabOutrosCustos[],3,0)</f>
        <v>3.36</v>
      </c>
      <c r="AH117" s="234">
        <f>IF(ISNUMBER(SEARCH("MOTORISTA",tabParametros[[#This Row],[Função]],1)),VLOOKUP("MOTORISTAS",tabDiarias[],2,0),IF(tabParametros[[#This Row],[Comarca]]="Belo Horizonte",VLOOKUP("APOIO",tabDiarias[],2,0),0))</f>
        <v>0</v>
      </c>
      <c r="AI117" s="233">
        <f t="shared" si="13"/>
        <v>7.011766975308642E-3</v>
      </c>
      <c r="AJ117" s="235">
        <f>tabParametros[[#This Row],[FGTS]]*tabParametros[[#This Row],[Aviso Prévio Indenizado (API) e Reflexo do Aviso Prévio Indenizado]]</f>
        <v>5.609413580246914E-4</v>
      </c>
      <c r="AK117" s="235">
        <f>tabParametros[[#This Row],[FGTS]]*tabParametros[[#This Row],[Aviso Prévio Indenizado (API) e Reflexo do Aviso Prévio Indenizado]]*40%</f>
        <v>2.2437654320987658E-4</v>
      </c>
      <c r="AL117" s="233">
        <f t="shared" si="14"/>
        <v>3.5000000000000005E-3</v>
      </c>
      <c r="AM117" s="233">
        <f>tabParametros[[#This Row],[Aviso Prévio Trabalhado - APT]]*SUM(tabParametros[[#This Row],[INSS]:[SEBRAE]])</f>
        <v>1.3230000000000004E-3</v>
      </c>
      <c r="AN117" s="233">
        <f t="shared" si="15"/>
        <v>3.0577777777777773E-2</v>
      </c>
      <c r="AO117" s="233">
        <f t="shared" si="16"/>
        <v>8.3333333333333339E-4</v>
      </c>
      <c r="AP117" s="233">
        <f t="shared" si="17"/>
        <v>8.4444444444444437E-3</v>
      </c>
      <c r="AQ117" s="233">
        <f t="shared" si="18"/>
        <v>2.0277777777777777E-3</v>
      </c>
      <c r="AR117" s="233">
        <f t="shared" si="19"/>
        <v>1.7083333333333333E-4</v>
      </c>
      <c r="AS117" s="233">
        <f t="shared" si="20"/>
        <v>2.0833333333333335E-4</v>
      </c>
      <c r="AT117" s="233">
        <f t="shared" si="21"/>
        <v>1.2962962962962963E-3</v>
      </c>
      <c r="AU117" s="235">
        <f>SUM(tabParametros[[#This Row],[Ausência por Doença]:[Férias, Adicional de Férias e 13º  com empregada em gozo de Licença Maternidade]])*SUM(tabParametros[[#This Row],[INSS]:[SEBRAE]])</f>
        <v>4.5918250000000008E-3</v>
      </c>
      <c r="AV117" s="254">
        <f>IF(tabParametros[[#This Row],[Função]]="Porteiro - 220 h",SUM(tabParametros[[#This Row],[Salário Base]:[Adicional de Acúmulo de função]])/220*20*1.5,IF(ISNUMBER(SEARCH("12 x 36",tabParametros[[#This Row],[Função]],1)),SUM(tabParametros[[#This Row],[Salário Base]:[Adicional de Acúmulo de função]])/210*15.5*1.5,0))</f>
        <v>0</v>
      </c>
      <c r="AW117" s="232">
        <f>IF(tabParametros[[#This Row],[Vagas contratadas]]&gt;0,(SUM(tabParametros[[#This Row],[Salário Base]:[Adicional de Acúmulo de função]])*30%+SUM(tabParametros[[#This Row],[Vale - Alimentação]:[Seguro de Vida]]))/tabParametros[[#This Row],[Vagas contratadas]]*tabParametros[[#This Row],[Vagas suspensas]],0)</f>
        <v>0</v>
      </c>
      <c r="AX117" s="232">
        <f>SUMIF(tabUniformes[Cargo],tabParametros[[#This Row],[Função]],tabUniformes[Valor unit. Mensal])</f>
        <v>56.642978962543395</v>
      </c>
      <c r="AY11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1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1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7" s="232">
        <v>0</v>
      </c>
      <c r="BC117" s="234" t="e">
        <f ca="1">VLOOKUP(tabParametros[[#Headers],[Custos Indiretos]],tabOutrosCustos[],3,0)</f>
        <v>#NAME?</v>
      </c>
      <c r="BD117" s="234" t="e">
        <f ca="1">VLOOKUP(tabParametros[[#Headers],[Lucro]],tabOutrosCustos[],3,0)</f>
        <v>#NAME?</v>
      </c>
      <c r="BE117" s="233">
        <f>VLOOKUP(tabParametros[[#Headers],[COFINS]],tabImpostosNacionais[],2,0)</f>
        <v>7.5999999999999998E-2</v>
      </c>
      <c r="BF117" s="233">
        <f>VLOOKUP(tabParametros[[#Headers],[PIS]],tabImpostosNacionais[],2,0)</f>
        <v>1.6500000000000001E-2</v>
      </c>
      <c r="BG117" s="233">
        <f>VLOOKUP(tabParametros[[#This Row],[Comarca]],tabComarca[],4,0)</f>
        <v>0.02</v>
      </c>
      <c r="BH117" s="236">
        <f>VLOOKUP(tabParametros[[#This Row],[CCT DA CATEGORIA]],tabSindicatos[],11,0)</f>
        <v>45658</v>
      </c>
      <c r="BI117" s="282" t="str">
        <f>VLOOKUP(tabParametros[[#This Row],[CCT DA CATEGORIA]],tabSindicatos[],12,0)</f>
        <v>-</v>
      </c>
      <c r="BJ117" s="285" t="str">
        <f>VLOOKUP(tabParametros[[#This Row],[CCT DA CATEGORIA]],tabSindicatos[],13,0)</f>
        <v>-</v>
      </c>
    </row>
    <row r="118" spans="1:62">
      <c r="A118" s="231" t="s">
        <v>1467</v>
      </c>
      <c r="B118" s="197" t="s">
        <v>905</v>
      </c>
      <c r="C118" s="197" t="s">
        <v>1367</v>
      </c>
      <c r="D118" s="197" t="str">
        <f>VLOOKUP(tabParametros[[#This Row],[Código do Posto]],tabPostos[],4,0)</f>
        <v>Cataguases</v>
      </c>
      <c r="E118" s="282" t="str">
        <f>VLOOKUP(tabParametros[[#This Row],[Código do Posto]],tabPostos[],5,0)</f>
        <v>Apoio</v>
      </c>
      <c r="F118" s="282" t="str">
        <f>VLOOKUP(tabParametros[[#This Row],[Código do Posto]],tabPostos[],6,0)</f>
        <v>PGJ</v>
      </c>
      <c r="G118" s="282">
        <f>VLOOKUP(tabParametros[[#This Row],[Código do Posto]],tabPostos[],7,0)</f>
        <v>1</v>
      </c>
      <c r="H118" s="282">
        <f>VLOOKUP(tabParametros[[#This Row],[Código do Posto]],tabPostos[],8,0)</f>
        <v>0</v>
      </c>
      <c r="I118" s="232">
        <f>VLOOKUP(tabParametros[[#This Row],[Código do Posto]],tabPostos[],9,0)</f>
        <v>2087.4324447827344</v>
      </c>
      <c r="J118" s="232">
        <f>IF(ISNUMBER(SEARCH("Eletricista",tabParametros[[#This Row],[Função]],1)),0.3*tabParametros[[#This Row],[Salário Base]],0)</f>
        <v>0</v>
      </c>
      <c r="K11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18" s="232">
        <f>IF(AND(ISNUMBER(SEARCH("Noturno",tabParametros[[#This Row],[Função]],1)),tabParametros[[#This Row],[Comarca]]&lt;&gt;"Juiz de Fora"),tabParametros[[#This Row],[Salário Base]]/210*0.39*7*15.5,IF(ISNUMBER(SEARCH("Noturno",tabParametros[[#This Row],[Função]],1)),tabParametros[[#This Row],[Salário Base]]/210*0.2*8*15.5,0))</f>
        <v>0</v>
      </c>
      <c r="M118" s="232">
        <f>IF(ISNUMBER(SEARCH("Motorista II",tabParametros[[#This Row],[Função]],1)),0.3022*tabParametros[[#This Row],[Salário Base]],0)</f>
        <v>0</v>
      </c>
      <c r="N118" s="254">
        <v>0</v>
      </c>
      <c r="O118" s="254">
        <f>IF(ISNUMBER(SEARCH("TECNOLOGIA DA INFORMACAO",tabParametros[[#This Row],[Função]],1)),0.056*tabParametros[[#This Row],[Salário Base]],0)</f>
        <v>0</v>
      </c>
      <c r="P118" s="232">
        <f>IF(tabParametros[[#This Row],[Função]]="Operador de Midia Audiovisual - 150 h",tabParametros[[#This Row],[Salário Base]]/150*50*30%,IF(tabParametros[[#This Row],[Função]]="Supervisor de Manutencao de Veiculos II - 220 h",12%*tabParametros[[#This Row],[Salário Base]],0))</f>
        <v>0</v>
      </c>
      <c r="Q118" s="233">
        <f>VLOOKUP(tabParametros[[#Headers],[INSS]],tabImpostosNacionais[],2,0)</f>
        <v>0.2</v>
      </c>
      <c r="R118" s="233">
        <f>VLOOKUP(tabParametros[[#Headers],[SESI OU SESC]],tabImpostosNacionais[],2,0)</f>
        <v>1.4999999999999999E-2</v>
      </c>
      <c r="S118" s="233">
        <f>VLOOKUP(tabParametros[[#Headers],[SENAI OU SENAC]],tabImpostosNacionais[],2,0)</f>
        <v>0.01</v>
      </c>
      <c r="T118" s="233">
        <f>VLOOKUP(tabParametros[[#Headers],[INCRA]],tabImpostosNacionais[],2,0)</f>
        <v>2E-3</v>
      </c>
      <c r="U118" s="233">
        <f>VLOOKUP(tabParametros[[#Headers],[Salário Educação]],tabImpostosNacionais[],2,0)</f>
        <v>2.5000000000000001E-2</v>
      </c>
      <c r="V118" s="233">
        <f>VLOOKUP(tabParametros[[#Headers],[FGTS]],tabImpostosNacionais[],2,0)</f>
        <v>0.08</v>
      </c>
      <c r="W118" s="233">
        <f>VLOOKUP(tabParametros[[#Headers],[RAT Ajustado]],tabImpostosNacionais[],2,0)</f>
        <v>0.04</v>
      </c>
      <c r="X118" s="233">
        <f>VLOOKUP(tabParametros[[#Headers],[SEBRAE]],tabImpostosNacionais[],2,0)</f>
        <v>6.0000000000000001E-3</v>
      </c>
      <c r="Y118" s="233">
        <f t="shared" si="11"/>
        <v>8.3333333333333329E-2</v>
      </c>
      <c r="Z118" s="233">
        <f t="shared" si="12"/>
        <v>0.1111111111111111</v>
      </c>
      <c r="AA118" s="232">
        <f>VLOOKUP(tabParametros[[#This Row],[Comarca]],tabComarca[],5,0)</f>
        <v>6.4</v>
      </c>
      <c r="AB118" s="232">
        <f>VLOOKUP(tabParametros[[#This Row],[CCT DA CATEGORIA]],tabSindicatos[],6,0)</f>
        <v>29.15</v>
      </c>
      <c r="AC118" s="232">
        <f>VLOOKUP(tabParametros[[#This Row],[CCT DA CATEGORIA]],tabSindicatos[],7,0)</f>
        <v>0</v>
      </c>
      <c r="AD118" s="232" cm="1">
        <f t="array" ref="AD11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118" s="232">
        <f>VLOOKUP(tabParametros[[#This Row],[CCT DA CATEGORIA]],tabSindicatos[],9,0)</f>
        <v>0</v>
      </c>
      <c r="AF118" s="232">
        <f>VLOOKUP(tabParametros[[#This Row],[CCT DA CATEGORIA]],tabSindicatos[],10,0)</f>
        <v>0</v>
      </c>
      <c r="AG118" s="234">
        <f>VLOOKUP(tabParametros[[#Headers],[Seguro de Vida]],tabOutrosCustos[],3,0)</f>
        <v>3.36</v>
      </c>
      <c r="AH118" s="234">
        <f>IF(ISNUMBER(SEARCH("MOTORISTA",tabParametros[[#This Row],[Função]],1)),VLOOKUP("MOTORISTAS",tabDiarias[],2,0),IF(tabParametros[[#This Row],[Comarca]]="Belo Horizonte",VLOOKUP("APOIO",tabDiarias[],2,0),0))</f>
        <v>0</v>
      </c>
      <c r="AI118" s="233">
        <f t="shared" si="13"/>
        <v>7.011766975308642E-3</v>
      </c>
      <c r="AJ118" s="235">
        <f>tabParametros[[#This Row],[FGTS]]*tabParametros[[#This Row],[Aviso Prévio Indenizado (API) e Reflexo do Aviso Prévio Indenizado]]</f>
        <v>5.609413580246914E-4</v>
      </c>
      <c r="AK118" s="235">
        <f>tabParametros[[#This Row],[FGTS]]*tabParametros[[#This Row],[Aviso Prévio Indenizado (API) e Reflexo do Aviso Prévio Indenizado]]*40%</f>
        <v>2.2437654320987658E-4</v>
      </c>
      <c r="AL118" s="233">
        <f t="shared" si="14"/>
        <v>3.5000000000000005E-3</v>
      </c>
      <c r="AM118" s="233">
        <f>tabParametros[[#This Row],[Aviso Prévio Trabalhado - APT]]*SUM(tabParametros[[#This Row],[INSS]:[SEBRAE]])</f>
        <v>1.3230000000000004E-3</v>
      </c>
      <c r="AN118" s="233">
        <f t="shared" si="15"/>
        <v>3.0577777777777773E-2</v>
      </c>
      <c r="AO118" s="233">
        <f t="shared" si="16"/>
        <v>8.3333333333333339E-4</v>
      </c>
      <c r="AP118" s="233">
        <f t="shared" si="17"/>
        <v>8.4444444444444437E-3</v>
      </c>
      <c r="AQ118" s="233">
        <f t="shared" si="18"/>
        <v>2.0277777777777777E-3</v>
      </c>
      <c r="AR118" s="233">
        <f t="shared" si="19"/>
        <v>1.7083333333333333E-4</v>
      </c>
      <c r="AS118" s="233">
        <f t="shared" si="20"/>
        <v>2.0833333333333335E-4</v>
      </c>
      <c r="AT118" s="233">
        <f t="shared" si="21"/>
        <v>1.2962962962962963E-3</v>
      </c>
      <c r="AU118" s="235">
        <f>SUM(tabParametros[[#This Row],[Ausência por Doença]:[Férias, Adicional de Férias e 13º  com empregada em gozo de Licença Maternidade]])*SUM(tabParametros[[#This Row],[INSS]:[SEBRAE]])</f>
        <v>4.5918250000000008E-3</v>
      </c>
      <c r="AV118" s="254">
        <f>IF(tabParametros[[#This Row],[Função]]="Porteiro - 220 h",SUM(tabParametros[[#This Row],[Salário Base]:[Adicional de Acúmulo de função]])/220*20*1.5,IF(ISNUMBER(SEARCH("12 x 36",tabParametros[[#This Row],[Função]],1)),SUM(tabParametros[[#This Row],[Salário Base]:[Adicional de Acúmulo de função]])/210*15.5*1.5,0))</f>
        <v>0</v>
      </c>
      <c r="AW118" s="232">
        <f>IF(tabParametros[[#This Row],[Vagas contratadas]]&gt;0,(SUM(tabParametros[[#This Row],[Salário Base]:[Adicional de Acúmulo de função]])*30%+SUM(tabParametros[[#This Row],[Vale - Alimentação]:[Seguro de Vida]]))/tabParametros[[#This Row],[Vagas contratadas]]*tabParametros[[#This Row],[Vagas suspensas]],0)</f>
        <v>0</v>
      </c>
      <c r="AX118" s="232">
        <f>SUMIF(tabUniformes[Cargo],tabParametros[[#This Row],[Função]],tabUniformes[Valor unit. Mensal])</f>
        <v>253.83572732312174</v>
      </c>
      <c r="AY11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1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1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8" s="232">
        <v>0</v>
      </c>
      <c r="BC118" s="234" t="e">
        <f ca="1">VLOOKUP(tabParametros[[#Headers],[Custos Indiretos]],tabOutrosCustos[],3,0)</f>
        <v>#NAME?</v>
      </c>
      <c r="BD118" s="234" t="e">
        <f ca="1">VLOOKUP(tabParametros[[#Headers],[Lucro]],tabOutrosCustos[],3,0)</f>
        <v>#NAME?</v>
      </c>
      <c r="BE118" s="233">
        <f>VLOOKUP(tabParametros[[#Headers],[COFINS]],tabImpostosNacionais[],2,0)</f>
        <v>7.5999999999999998E-2</v>
      </c>
      <c r="BF118" s="233">
        <f>VLOOKUP(tabParametros[[#Headers],[PIS]],tabImpostosNacionais[],2,0)</f>
        <v>1.6500000000000001E-2</v>
      </c>
      <c r="BG118" s="233">
        <f>VLOOKUP(tabParametros[[#This Row],[Comarca]],tabComarca[],4,0)</f>
        <v>0.05</v>
      </c>
      <c r="BH118" s="236">
        <f>VLOOKUP(tabParametros[[#This Row],[CCT DA CATEGORIA]],tabSindicatos[],11,0)</f>
        <v>45658</v>
      </c>
      <c r="BI118" s="282" t="str">
        <f>VLOOKUP(tabParametros[[#This Row],[CCT DA CATEGORIA]],tabSindicatos[],12,0)</f>
        <v>-</v>
      </c>
      <c r="BJ118" s="285" t="str">
        <f>VLOOKUP(tabParametros[[#This Row],[CCT DA CATEGORIA]],tabSindicatos[],13,0)</f>
        <v>-</v>
      </c>
    </row>
    <row r="119" spans="1:62">
      <c r="A119" s="231" t="s">
        <v>1577</v>
      </c>
      <c r="B119" s="197" t="s">
        <v>905</v>
      </c>
      <c r="C119" s="197" t="s">
        <v>1368</v>
      </c>
      <c r="D119" s="197" t="str">
        <f>VLOOKUP(tabParametros[[#This Row],[Código do Posto]],tabPostos[],4,0)</f>
        <v>Cataguases</v>
      </c>
      <c r="E119" s="282" t="str">
        <f>VLOOKUP(tabParametros[[#This Row],[Código do Posto]],tabPostos[],5,0)</f>
        <v>Apoio</v>
      </c>
      <c r="F119" s="282" t="str">
        <f>VLOOKUP(tabParametros[[#This Row],[Código do Posto]],tabPostos[],6,0)</f>
        <v>PGJ</v>
      </c>
      <c r="G119" s="282">
        <f>VLOOKUP(tabParametros[[#This Row],[Código do Posto]],tabPostos[],7,0)</f>
        <v>1</v>
      </c>
      <c r="H119" s="282">
        <f>VLOOKUP(tabParametros[[#This Row],[Código do Posto]],tabPostos[],8,0)</f>
        <v>0</v>
      </c>
      <c r="I119" s="232">
        <f>VLOOKUP(tabParametros[[#This Row],[Código do Posto]],tabPostos[],9,0)</f>
        <v>2296.1756892610078</v>
      </c>
      <c r="J119" s="232">
        <f>IF(ISNUMBER(SEARCH("Eletricista",tabParametros[[#This Row],[Função]],1)),0.3*tabParametros[[#This Row],[Salário Base]],0)</f>
        <v>0</v>
      </c>
      <c r="K11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19" s="232">
        <f>IF(AND(ISNUMBER(SEARCH("Noturno",tabParametros[[#This Row],[Função]],1)),tabParametros[[#This Row],[Comarca]]&lt;&gt;"Juiz de Fora"),tabParametros[[#This Row],[Salário Base]]/210*0.39*7*15.5,IF(ISNUMBER(SEARCH("Noturno",tabParametros[[#This Row],[Função]],1)),tabParametros[[#This Row],[Salário Base]]/210*0.2*8*15.5,0))</f>
        <v>0</v>
      </c>
      <c r="M119" s="232">
        <f>IF(ISNUMBER(SEARCH("Motorista II",tabParametros[[#This Row],[Função]],1)),0.3022*tabParametros[[#This Row],[Salário Base]],0)</f>
        <v>0</v>
      </c>
      <c r="N119" s="254">
        <v>0</v>
      </c>
      <c r="O119" s="254">
        <f>IF(ISNUMBER(SEARCH("TECNOLOGIA DA INFORMACAO",tabParametros[[#This Row],[Função]],1)),0.056*tabParametros[[#This Row],[Salário Base]],0)</f>
        <v>0</v>
      </c>
      <c r="P119" s="232">
        <f>IF(tabParametros[[#This Row],[Função]]="Operador de Midia Audiovisual - 150 h",tabParametros[[#This Row],[Salário Base]]/150*50*30%,IF(tabParametros[[#This Row],[Função]]="Supervisor de Manutencao de Veiculos II - 220 h",12%*tabParametros[[#This Row],[Salário Base]],0))</f>
        <v>0</v>
      </c>
      <c r="Q119" s="233">
        <f>VLOOKUP(tabParametros[[#Headers],[INSS]],tabImpostosNacionais[],2,0)</f>
        <v>0.2</v>
      </c>
      <c r="R119" s="233">
        <f>VLOOKUP(tabParametros[[#Headers],[SESI OU SESC]],tabImpostosNacionais[],2,0)</f>
        <v>1.4999999999999999E-2</v>
      </c>
      <c r="S119" s="233">
        <f>VLOOKUP(tabParametros[[#Headers],[SENAI OU SENAC]],tabImpostosNacionais[],2,0)</f>
        <v>0.01</v>
      </c>
      <c r="T119" s="233">
        <f>VLOOKUP(tabParametros[[#Headers],[INCRA]],tabImpostosNacionais[],2,0)</f>
        <v>2E-3</v>
      </c>
      <c r="U119" s="233">
        <f>VLOOKUP(tabParametros[[#Headers],[Salário Educação]],tabImpostosNacionais[],2,0)</f>
        <v>2.5000000000000001E-2</v>
      </c>
      <c r="V119" s="233">
        <f>VLOOKUP(tabParametros[[#Headers],[FGTS]],tabImpostosNacionais[],2,0)</f>
        <v>0.08</v>
      </c>
      <c r="W119" s="233">
        <f>VLOOKUP(tabParametros[[#Headers],[RAT Ajustado]],tabImpostosNacionais[],2,0)</f>
        <v>0.04</v>
      </c>
      <c r="X119" s="233">
        <f>VLOOKUP(tabParametros[[#Headers],[SEBRAE]],tabImpostosNacionais[],2,0)</f>
        <v>6.0000000000000001E-3</v>
      </c>
      <c r="Y119" s="233">
        <f t="shared" si="11"/>
        <v>8.3333333333333329E-2</v>
      </c>
      <c r="Z119" s="233">
        <f t="shared" si="12"/>
        <v>0.1111111111111111</v>
      </c>
      <c r="AA119" s="232">
        <f>VLOOKUP(tabParametros[[#This Row],[Comarca]],tabComarca[],5,0)</f>
        <v>6.4</v>
      </c>
      <c r="AB119" s="232">
        <f>VLOOKUP(tabParametros[[#This Row],[CCT DA CATEGORIA]],tabSindicatos[],6,0)</f>
        <v>29.15</v>
      </c>
      <c r="AC119" s="232">
        <f>VLOOKUP(tabParametros[[#This Row],[CCT DA CATEGORIA]],tabSindicatos[],7,0)</f>
        <v>0</v>
      </c>
      <c r="AD119" s="232" cm="1">
        <f t="array" ref="AD11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119" s="232">
        <f>VLOOKUP(tabParametros[[#This Row],[CCT DA CATEGORIA]],tabSindicatos[],9,0)</f>
        <v>0</v>
      </c>
      <c r="AF119" s="232">
        <f>VLOOKUP(tabParametros[[#This Row],[CCT DA CATEGORIA]],tabSindicatos[],10,0)</f>
        <v>0</v>
      </c>
      <c r="AG119" s="234">
        <f>VLOOKUP(tabParametros[[#Headers],[Seguro de Vida]],tabOutrosCustos[],3,0)</f>
        <v>3.36</v>
      </c>
      <c r="AH119" s="234">
        <f>IF(ISNUMBER(SEARCH("MOTORISTA",tabParametros[[#This Row],[Função]],1)),VLOOKUP("MOTORISTAS",tabDiarias[],2,0),IF(tabParametros[[#This Row],[Comarca]]="Belo Horizonte",VLOOKUP("APOIO",tabDiarias[],2,0),0))</f>
        <v>0</v>
      </c>
      <c r="AI119" s="233">
        <f t="shared" si="13"/>
        <v>7.011766975308642E-3</v>
      </c>
      <c r="AJ119" s="235">
        <f>tabParametros[[#This Row],[FGTS]]*tabParametros[[#This Row],[Aviso Prévio Indenizado (API) e Reflexo do Aviso Prévio Indenizado]]</f>
        <v>5.609413580246914E-4</v>
      </c>
      <c r="AK119" s="235">
        <f>tabParametros[[#This Row],[FGTS]]*tabParametros[[#This Row],[Aviso Prévio Indenizado (API) e Reflexo do Aviso Prévio Indenizado]]*40%</f>
        <v>2.2437654320987658E-4</v>
      </c>
      <c r="AL119" s="233">
        <f t="shared" si="14"/>
        <v>3.5000000000000005E-3</v>
      </c>
      <c r="AM119" s="233">
        <f>tabParametros[[#This Row],[Aviso Prévio Trabalhado - APT]]*SUM(tabParametros[[#This Row],[INSS]:[SEBRAE]])</f>
        <v>1.3230000000000004E-3</v>
      </c>
      <c r="AN119" s="233">
        <f t="shared" si="15"/>
        <v>3.0577777777777773E-2</v>
      </c>
      <c r="AO119" s="233">
        <f t="shared" si="16"/>
        <v>8.3333333333333339E-4</v>
      </c>
      <c r="AP119" s="233">
        <f t="shared" si="17"/>
        <v>8.4444444444444437E-3</v>
      </c>
      <c r="AQ119" s="233">
        <f t="shared" si="18"/>
        <v>2.0277777777777777E-3</v>
      </c>
      <c r="AR119" s="233">
        <f t="shared" si="19"/>
        <v>1.7083333333333333E-4</v>
      </c>
      <c r="AS119" s="233">
        <f t="shared" si="20"/>
        <v>2.0833333333333335E-4</v>
      </c>
      <c r="AT119" s="233">
        <f t="shared" si="21"/>
        <v>1.2962962962962963E-3</v>
      </c>
      <c r="AU119" s="235">
        <f>SUM(tabParametros[[#This Row],[Ausência por Doença]:[Férias, Adicional de Férias e 13º  com empregada em gozo de Licença Maternidade]])*SUM(tabParametros[[#This Row],[INSS]:[SEBRAE]])</f>
        <v>4.5918250000000008E-3</v>
      </c>
      <c r="AV119" s="254">
        <f>IF(tabParametros[[#This Row],[Função]]="Porteiro - 220 h",SUM(tabParametros[[#This Row],[Salário Base]:[Adicional de Acúmulo de função]])/220*20*1.5,IF(ISNUMBER(SEARCH("12 x 36",tabParametros[[#This Row],[Função]],1)),SUM(tabParametros[[#This Row],[Salário Base]:[Adicional de Acúmulo de função]])/210*15.5*1.5,0))</f>
        <v>0</v>
      </c>
      <c r="AW119" s="232">
        <f>IF(tabParametros[[#This Row],[Vagas contratadas]]&gt;0,(SUM(tabParametros[[#This Row],[Salário Base]:[Adicional de Acúmulo de função]])*30%+SUM(tabParametros[[#This Row],[Vale - Alimentação]:[Seguro de Vida]]))/tabParametros[[#This Row],[Vagas contratadas]]*tabParametros[[#This Row],[Vagas suspensas]],0)</f>
        <v>0</v>
      </c>
      <c r="AX119" s="232">
        <f>SUMIF(tabUniformes[Cargo],tabParametros[[#This Row],[Função]],tabUniformes[Valor unit. Mensal])</f>
        <v>196.62072732312174</v>
      </c>
      <c r="AY11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1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1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19" s="232">
        <v>0</v>
      </c>
      <c r="BC119" s="234" t="e">
        <f ca="1">VLOOKUP(tabParametros[[#Headers],[Custos Indiretos]],tabOutrosCustos[],3,0)</f>
        <v>#NAME?</v>
      </c>
      <c r="BD119" s="234" t="e">
        <f ca="1">VLOOKUP(tabParametros[[#Headers],[Lucro]],tabOutrosCustos[],3,0)</f>
        <v>#NAME?</v>
      </c>
      <c r="BE119" s="233">
        <f>VLOOKUP(tabParametros[[#Headers],[COFINS]],tabImpostosNacionais[],2,0)</f>
        <v>7.5999999999999998E-2</v>
      </c>
      <c r="BF119" s="233">
        <f>VLOOKUP(tabParametros[[#Headers],[PIS]],tabImpostosNacionais[],2,0)</f>
        <v>1.6500000000000001E-2</v>
      </c>
      <c r="BG119" s="233">
        <f>VLOOKUP(tabParametros[[#This Row],[Comarca]],tabComarca[],4,0)</f>
        <v>0.05</v>
      </c>
      <c r="BH119" s="236">
        <f>VLOOKUP(tabParametros[[#This Row],[CCT DA CATEGORIA]],tabSindicatos[],11,0)</f>
        <v>45658</v>
      </c>
      <c r="BI119" s="282" t="str">
        <f>VLOOKUP(tabParametros[[#This Row],[CCT DA CATEGORIA]],tabSindicatos[],12,0)</f>
        <v>-</v>
      </c>
      <c r="BJ119" s="285" t="str">
        <f>VLOOKUP(tabParametros[[#This Row],[CCT DA CATEGORIA]],tabSindicatos[],13,0)</f>
        <v>-</v>
      </c>
    </row>
    <row r="120" spans="1:62">
      <c r="A120" s="231" t="s">
        <v>1578</v>
      </c>
      <c r="B120" s="197" t="s">
        <v>905</v>
      </c>
      <c r="C120" s="197" t="s">
        <v>324</v>
      </c>
      <c r="D120" s="197" t="str">
        <f>VLOOKUP(tabParametros[[#This Row],[Código do Posto]],tabPostos[],4,0)</f>
        <v>Cataguases</v>
      </c>
      <c r="E120" s="282" t="str">
        <f>VLOOKUP(tabParametros[[#This Row],[Código do Posto]],tabPostos[],5,0)</f>
        <v>Apoio</v>
      </c>
      <c r="F120" s="282" t="str">
        <f>VLOOKUP(tabParametros[[#This Row],[Código do Posto]],tabPostos[],6,0)</f>
        <v>PGJ</v>
      </c>
      <c r="G120" s="282">
        <f>VLOOKUP(tabParametros[[#This Row],[Código do Posto]],tabPostos[],7,0)</f>
        <v>1</v>
      </c>
      <c r="H120" s="282">
        <f>VLOOKUP(tabParametros[[#This Row],[Código do Posto]],tabPostos[],8,0)</f>
        <v>0</v>
      </c>
      <c r="I120" s="232">
        <f>VLOOKUP(tabParametros[[#This Row],[Código do Posto]],tabPostos[],9,0)</f>
        <v>3397.1306016921476</v>
      </c>
      <c r="J120" s="232">
        <f>IF(ISNUMBER(SEARCH("Eletricista",tabParametros[[#This Row],[Função]],1)),0.3*tabParametros[[#This Row],[Salário Base]],0)</f>
        <v>0</v>
      </c>
      <c r="K12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0" s="232">
        <f>IF(AND(ISNUMBER(SEARCH("Noturno",tabParametros[[#This Row],[Função]],1)),tabParametros[[#This Row],[Comarca]]&lt;&gt;"Juiz de Fora"),tabParametros[[#This Row],[Salário Base]]/210*0.39*7*15.5,IF(ISNUMBER(SEARCH("Noturno",tabParametros[[#This Row],[Função]],1)),tabParametros[[#This Row],[Salário Base]]/210*0.2*8*15.5,0))</f>
        <v>0</v>
      </c>
      <c r="M120" s="232">
        <f>IF(ISNUMBER(SEARCH("Motorista II",tabParametros[[#This Row],[Função]],1)),0.3022*tabParametros[[#This Row],[Salário Base]],0)</f>
        <v>0</v>
      </c>
      <c r="N120" s="254">
        <v>0</v>
      </c>
      <c r="O120" s="254">
        <f>IF(ISNUMBER(SEARCH("TECNOLOGIA DA INFORMACAO",tabParametros[[#This Row],[Função]],1)),0.056*tabParametros[[#This Row],[Salário Base]],0)</f>
        <v>0</v>
      </c>
      <c r="P120" s="232">
        <f>IF(tabParametros[[#This Row],[Função]]="Operador de Midia Audiovisual - 150 h",tabParametros[[#This Row],[Salário Base]]/150*50*30%,IF(tabParametros[[#This Row],[Função]]="Supervisor de Manutencao de Veiculos II - 220 h",12%*tabParametros[[#This Row],[Salário Base]],0))</f>
        <v>0</v>
      </c>
      <c r="Q120" s="233">
        <f>VLOOKUP(tabParametros[[#Headers],[INSS]],tabImpostosNacionais[],2,0)</f>
        <v>0.2</v>
      </c>
      <c r="R120" s="233">
        <f>VLOOKUP(tabParametros[[#Headers],[SESI OU SESC]],tabImpostosNacionais[],2,0)</f>
        <v>1.4999999999999999E-2</v>
      </c>
      <c r="S120" s="233">
        <f>VLOOKUP(tabParametros[[#Headers],[SENAI OU SENAC]],tabImpostosNacionais[],2,0)</f>
        <v>0.01</v>
      </c>
      <c r="T120" s="233">
        <f>VLOOKUP(tabParametros[[#Headers],[INCRA]],tabImpostosNacionais[],2,0)</f>
        <v>2E-3</v>
      </c>
      <c r="U120" s="233">
        <f>VLOOKUP(tabParametros[[#Headers],[Salário Educação]],tabImpostosNacionais[],2,0)</f>
        <v>2.5000000000000001E-2</v>
      </c>
      <c r="V120" s="233">
        <f>VLOOKUP(tabParametros[[#Headers],[FGTS]],tabImpostosNacionais[],2,0)</f>
        <v>0.08</v>
      </c>
      <c r="W120" s="233">
        <f>VLOOKUP(tabParametros[[#Headers],[RAT Ajustado]],tabImpostosNacionais[],2,0)</f>
        <v>0.04</v>
      </c>
      <c r="X120" s="233">
        <f>VLOOKUP(tabParametros[[#Headers],[SEBRAE]],tabImpostosNacionais[],2,0)</f>
        <v>6.0000000000000001E-3</v>
      </c>
      <c r="Y120" s="233">
        <f t="shared" si="11"/>
        <v>8.3333333333333329E-2</v>
      </c>
      <c r="Z120" s="233">
        <f t="shared" si="12"/>
        <v>0.1111111111111111</v>
      </c>
      <c r="AA120" s="232">
        <f>VLOOKUP(tabParametros[[#This Row],[Comarca]],tabComarca[],5,0)</f>
        <v>6.4</v>
      </c>
      <c r="AB120" s="232">
        <f>VLOOKUP(tabParametros[[#This Row],[CCT DA CATEGORIA]],tabSindicatos[],6,0)</f>
        <v>29.15</v>
      </c>
      <c r="AC120" s="232">
        <f>VLOOKUP(tabParametros[[#This Row],[CCT DA CATEGORIA]],tabSindicatos[],7,0)</f>
        <v>0</v>
      </c>
      <c r="AD120" s="232" cm="1">
        <f t="array" ref="AD12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120" s="232">
        <f>VLOOKUP(tabParametros[[#This Row],[CCT DA CATEGORIA]],tabSindicatos[],9,0)</f>
        <v>0</v>
      </c>
      <c r="AF120" s="232">
        <f>VLOOKUP(tabParametros[[#This Row],[CCT DA CATEGORIA]],tabSindicatos[],10,0)</f>
        <v>0</v>
      </c>
      <c r="AG120" s="234">
        <f>VLOOKUP(tabParametros[[#Headers],[Seguro de Vida]],tabOutrosCustos[],3,0)</f>
        <v>3.36</v>
      </c>
      <c r="AH120" s="234">
        <f>IF(ISNUMBER(SEARCH("MOTORISTA",tabParametros[[#This Row],[Função]],1)),VLOOKUP("MOTORISTAS",tabDiarias[],2,0),IF(tabParametros[[#This Row],[Comarca]]="Belo Horizonte",VLOOKUP("APOIO",tabDiarias[],2,0),0))</f>
        <v>0</v>
      </c>
      <c r="AI120" s="233">
        <f t="shared" si="13"/>
        <v>7.011766975308642E-3</v>
      </c>
      <c r="AJ120" s="235">
        <f>tabParametros[[#This Row],[FGTS]]*tabParametros[[#This Row],[Aviso Prévio Indenizado (API) e Reflexo do Aviso Prévio Indenizado]]</f>
        <v>5.609413580246914E-4</v>
      </c>
      <c r="AK120" s="235">
        <f>tabParametros[[#This Row],[FGTS]]*tabParametros[[#This Row],[Aviso Prévio Indenizado (API) e Reflexo do Aviso Prévio Indenizado]]*40%</f>
        <v>2.2437654320987658E-4</v>
      </c>
      <c r="AL120" s="233">
        <f t="shared" si="14"/>
        <v>3.5000000000000005E-3</v>
      </c>
      <c r="AM120" s="233">
        <f>tabParametros[[#This Row],[Aviso Prévio Trabalhado - APT]]*SUM(tabParametros[[#This Row],[INSS]:[SEBRAE]])</f>
        <v>1.3230000000000004E-3</v>
      </c>
      <c r="AN120" s="233">
        <f t="shared" si="15"/>
        <v>3.0577777777777773E-2</v>
      </c>
      <c r="AO120" s="233">
        <f t="shared" si="16"/>
        <v>8.3333333333333339E-4</v>
      </c>
      <c r="AP120" s="233">
        <f t="shared" si="17"/>
        <v>8.4444444444444437E-3</v>
      </c>
      <c r="AQ120" s="233">
        <f t="shared" si="18"/>
        <v>2.0277777777777777E-3</v>
      </c>
      <c r="AR120" s="233">
        <f t="shared" si="19"/>
        <v>1.7083333333333333E-4</v>
      </c>
      <c r="AS120" s="233">
        <f t="shared" si="20"/>
        <v>2.0833333333333335E-4</v>
      </c>
      <c r="AT120" s="233">
        <f t="shared" si="21"/>
        <v>1.2962962962962963E-3</v>
      </c>
      <c r="AU120" s="235">
        <f>SUM(tabParametros[[#This Row],[Ausência por Doença]:[Férias, Adicional de Férias e 13º  com empregada em gozo de Licença Maternidade]])*SUM(tabParametros[[#This Row],[INSS]:[SEBRAE]])</f>
        <v>4.5918250000000008E-3</v>
      </c>
      <c r="AV120" s="254">
        <f>IF(tabParametros[[#This Row],[Função]]="Porteiro - 220 h",SUM(tabParametros[[#This Row],[Salário Base]:[Adicional de Acúmulo de função]])/220*20*1.5,IF(ISNUMBER(SEARCH("12 x 36",tabParametros[[#This Row],[Função]],1)),SUM(tabParametros[[#This Row],[Salário Base]:[Adicional de Acúmulo de função]])/210*15.5*1.5,0))</f>
        <v>0</v>
      </c>
      <c r="AW120" s="232">
        <f>IF(tabParametros[[#This Row],[Vagas contratadas]]&gt;0,(SUM(tabParametros[[#This Row],[Salário Base]:[Adicional de Acúmulo de função]])*30%+SUM(tabParametros[[#This Row],[Vale - Alimentação]:[Seguro de Vida]]))/tabParametros[[#This Row],[Vagas contratadas]]*tabParametros[[#This Row],[Vagas suspensas]],0)</f>
        <v>0</v>
      </c>
      <c r="AX120" s="232">
        <f>SUMIF(tabUniformes[Cargo],tabParametros[[#This Row],[Função]],tabUniformes[Valor unit. Mensal])</f>
        <v>56.642978962543395</v>
      </c>
      <c r="AY12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0" s="232">
        <v>0</v>
      </c>
      <c r="BC120" s="234" t="e">
        <f ca="1">VLOOKUP(tabParametros[[#Headers],[Custos Indiretos]],tabOutrosCustos[],3,0)</f>
        <v>#NAME?</v>
      </c>
      <c r="BD120" s="234" t="e">
        <f ca="1">VLOOKUP(tabParametros[[#Headers],[Lucro]],tabOutrosCustos[],3,0)</f>
        <v>#NAME?</v>
      </c>
      <c r="BE120" s="233">
        <f>VLOOKUP(tabParametros[[#Headers],[COFINS]],tabImpostosNacionais[],2,0)</f>
        <v>7.5999999999999998E-2</v>
      </c>
      <c r="BF120" s="233">
        <f>VLOOKUP(tabParametros[[#Headers],[PIS]],tabImpostosNacionais[],2,0)</f>
        <v>1.6500000000000001E-2</v>
      </c>
      <c r="BG120" s="233">
        <f>VLOOKUP(tabParametros[[#This Row],[Comarca]],tabComarca[],4,0)</f>
        <v>0.05</v>
      </c>
      <c r="BH120" s="236">
        <f>VLOOKUP(tabParametros[[#This Row],[CCT DA CATEGORIA]],tabSindicatos[],11,0)</f>
        <v>45658</v>
      </c>
      <c r="BI120" s="282" t="str">
        <f>VLOOKUP(tabParametros[[#This Row],[CCT DA CATEGORIA]],tabSindicatos[],12,0)</f>
        <v>-</v>
      </c>
      <c r="BJ120" s="285" t="str">
        <f>VLOOKUP(tabParametros[[#This Row],[CCT DA CATEGORIA]],tabSindicatos[],13,0)</f>
        <v>-</v>
      </c>
    </row>
    <row r="121" spans="1:62">
      <c r="A121" s="231" t="s">
        <v>1579</v>
      </c>
      <c r="B121" s="197" t="s">
        <v>1125</v>
      </c>
      <c r="C121" s="197" t="s">
        <v>309</v>
      </c>
      <c r="D121" s="197" t="str">
        <f>VLOOKUP(tabParametros[[#This Row],[Código do Posto]],tabPostos[],4,0)</f>
        <v>Regiao de Ouro Preto</v>
      </c>
      <c r="E121" s="282" t="str">
        <f>VLOOKUP(tabParametros[[#This Row],[Código do Posto]],tabPostos[],5,0)</f>
        <v>Apoio</v>
      </c>
      <c r="F121" s="282" t="str">
        <f>VLOOKUP(tabParametros[[#This Row],[Código do Posto]],tabPostos[],6,0)</f>
        <v>PGJ</v>
      </c>
      <c r="G121" s="282">
        <f>VLOOKUP(tabParametros[[#This Row],[Código do Posto]],tabPostos[],7,0)</f>
        <v>2</v>
      </c>
      <c r="H121" s="282">
        <f>VLOOKUP(tabParametros[[#This Row],[Código do Posto]],tabPostos[],8,0)</f>
        <v>0</v>
      </c>
      <c r="I121" s="232">
        <f>VLOOKUP(tabParametros[[#This Row],[Código do Posto]],tabPostos[],9,0)</f>
        <v>1963.4110092077037</v>
      </c>
      <c r="J121" s="232">
        <f>IF(ISNUMBER(SEARCH("Eletricista",tabParametros[[#This Row],[Função]],1)),0.3*tabParametros[[#This Row],[Salário Base]],0)</f>
        <v>0</v>
      </c>
      <c r="K12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1" s="232">
        <f>IF(AND(ISNUMBER(SEARCH("Noturno",tabParametros[[#This Row],[Função]],1)),tabParametros[[#This Row],[Comarca]]&lt;&gt;"Juiz de Fora"),tabParametros[[#This Row],[Salário Base]]/210*0.39*7*15.5,IF(ISNUMBER(SEARCH("Noturno",tabParametros[[#This Row],[Função]],1)),tabParametros[[#This Row],[Salário Base]]/210*0.2*8*15.5,0))</f>
        <v>395.62731835535232</v>
      </c>
      <c r="M121" s="232">
        <f>IF(ISNUMBER(SEARCH("Motorista II",tabParametros[[#This Row],[Função]],1)),0.3022*tabParametros[[#This Row],[Salário Base]],0)</f>
        <v>0</v>
      </c>
      <c r="N121" s="254">
        <v>0</v>
      </c>
      <c r="O121" s="254">
        <f>IF(ISNUMBER(SEARCH("TECNOLOGIA DA INFORMACAO",tabParametros[[#This Row],[Função]],1)),0.056*tabParametros[[#This Row],[Salário Base]],0)</f>
        <v>0</v>
      </c>
      <c r="P121" s="232">
        <f>IF(tabParametros[[#This Row],[Função]]="Operador de Midia Audiovisual - 150 h",tabParametros[[#This Row],[Salário Base]]/150*50*30%,IF(tabParametros[[#This Row],[Função]]="Supervisor de Manutencao de Veiculos II - 220 h",12%*tabParametros[[#This Row],[Salário Base]],0))</f>
        <v>0</v>
      </c>
      <c r="Q121" s="233">
        <f>VLOOKUP(tabParametros[[#Headers],[INSS]],tabImpostosNacionais[],2,0)</f>
        <v>0.2</v>
      </c>
      <c r="R121" s="233">
        <f>VLOOKUP(tabParametros[[#Headers],[SESI OU SESC]],tabImpostosNacionais[],2,0)</f>
        <v>1.4999999999999999E-2</v>
      </c>
      <c r="S121" s="233">
        <f>VLOOKUP(tabParametros[[#Headers],[SENAI OU SENAC]],tabImpostosNacionais[],2,0)</f>
        <v>0.01</v>
      </c>
      <c r="T121" s="233">
        <f>VLOOKUP(tabParametros[[#Headers],[INCRA]],tabImpostosNacionais[],2,0)</f>
        <v>2E-3</v>
      </c>
      <c r="U121" s="233">
        <f>VLOOKUP(tabParametros[[#Headers],[Salário Educação]],tabImpostosNacionais[],2,0)</f>
        <v>2.5000000000000001E-2</v>
      </c>
      <c r="V121" s="233">
        <f>VLOOKUP(tabParametros[[#Headers],[FGTS]],tabImpostosNacionais[],2,0)</f>
        <v>0.08</v>
      </c>
      <c r="W121" s="233">
        <f>VLOOKUP(tabParametros[[#Headers],[RAT Ajustado]],tabImpostosNacionais[],2,0)</f>
        <v>0.04</v>
      </c>
      <c r="X121" s="233">
        <f>VLOOKUP(tabParametros[[#Headers],[SEBRAE]],tabImpostosNacionais[],2,0)</f>
        <v>6.0000000000000001E-3</v>
      </c>
      <c r="Y121" s="233">
        <f t="shared" si="11"/>
        <v>8.3333333333333329E-2</v>
      </c>
      <c r="Z121" s="233">
        <f t="shared" si="12"/>
        <v>0.1111111111111111</v>
      </c>
      <c r="AA121" s="232">
        <f>VLOOKUP(tabParametros[[#This Row],[Comarca]],tabComarca[],5,0)</f>
        <v>6.4</v>
      </c>
      <c r="AB121" s="232">
        <f>VLOOKUP(tabParametros[[#This Row],[CCT DA CATEGORIA]],tabSindicatos[],6,0)</f>
        <v>29.15</v>
      </c>
      <c r="AC121" s="232">
        <f>VLOOKUP(tabParametros[[#This Row],[CCT DA CATEGORIA]],tabSindicatos[],7,0)</f>
        <v>0</v>
      </c>
      <c r="AD121" s="232" cm="1">
        <f t="array" ref="AD12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51.87</v>
      </c>
      <c r="AE121" s="232">
        <f>VLOOKUP(tabParametros[[#This Row],[CCT DA CATEGORIA]],tabSindicatos[],9,0)</f>
        <v>0</v>
      </c>
      <c r="AF121" s="232">
        <f>VLOOKUP(tabParametros[[#This Row],[CCT DA CATEGORIA]],tabSindicatos[],10,0)</f>
        <v>0</v>
      </c>
      <c r="AG121" s="234">
        <f>VLOOKUP(tabParametros[[#Headers],[Seguro de Vida]],tabOutrosCustos[],3,0)</f>
        <v>3.36</v>
      </c>
      <c r="AH121" s="234">
        <f>IF(ISNUMBER(SEARCH("MOTORISTA",tabParametros[[#This Row],[Função]],1)),VLOOKUP("MOTORISTAS",tabDiarias[],2,0),IF(tabParametros[[#This Row],[Comarca]]="Belo Horizonte",VLOOKUP("APOIO",tabDiarias[],2,0),0))</f>
        <v>0</v>
      </c>
      <c r="AI121" s="233">
        <f t="shared" si="13"/>
        <v>7.011766975308642E-3</v>
      </c>
      <c r="AJ121" s="235">
        <f>tabParametros[[#This Row],[FGTS]]*tabParametros[[#This Row],[Aviso Prévio Indenizado (API) e Reflexo do Aviso Prévio Indenizado]]</f>
        <v>5.609413580246914E-4</v>
      </c>
      <c r="AK121" s="235">
        <f>tabParametros[[#This Row],[FGTS]]*tabParametros[[#This Row],[Aviso Prévio Indenizado (API) e Reflexo do Aviso Prévio Indenizado]]*40%</f>
        <v>2.2437654320987658E-4</v>
      </c>
      <c r="AL121" s="233">
        <f t="shared" si="14"/>
        <v>3.5000000000000005E-3</v>
      </c>
      <c r="AM121" s="233">
        <f>tabParametros[[#This Row],[Aviso Prévio Trabalhado - APT]]*SUM(tabParametros[[#This Row],[INSS]:[SEBRAE]])</f>
        <v>1.3230000000000004E-3</v>
      </c>
      <c r="AN121" s="233">
        <f t="shared" si="15"/>
        <v>3.0577777777777773E-2</v>
      </c>
      <c r="AO121" s="233">
        <f t="shared" si="16"/>
        <v>8.3333333333333339E-4</v>
      </c>
      <c r="AP121" s="233">
        <f t="shared" si="17"/>
        <v>8.4444444444444437E-3</v>
      </c>
      <c r="AQ121" s="233">
        <f t="shared" si="18"/>
        <v>2.0277777777777777E-3</v>
      </c>
      <c r="AR121" s="233">
        <f t="shared" si="19"/>
        <v>1.7083333333333333E-4</v>
      </c>
      <c r="AS121" s="233">
        <f t="shared" si="20"/>
        <v>2.0833333333333335E-4</v>
      </c>
      <c r="AT121" s="233">
        <f t="shared" si="21"/>
        <v>1.2962962962962963E-3</v>
      </c>
      <c r="AU121" s="235">
        <f>SUM(tabParametros[[#This Row],[Ausência por Doença]:[Férias, Adicional de Férias e 13º  com empregada em gozo de Licença Maternidade]])*SUM(tabParametros[[#This Row],[INSS]:[SEBRAE]])</f>
        <v>4.5918250000000008E-3</v>
      </c>
      <c r="AV121" s="254">
        <f>IF(tabParametros[[#This Row],[Função]]="Porteiro - 220 h",SUM(tabParametros[[#This Row],[Salário Base]:[Adicional de Acúmulo de função]])/220*20*1.5,IF(ISNUMBER(SEARCH("12 x 36",tabParametros[[#This Row],[Função]],1)),SUM(tabParametros[[#This Row],[Salário Base]:[Adicional de Acúmulo de função]])/210*15.5*1.5,0))</f>
        <v>261.17924340876692</v>
      </c>
      <c r="AW121" s="232">
        <f>IF(tabParametros[[#This Row],[Vagas contratadas]]&gt;0,(SUM(tabParametros[[#This Row],[Salário Base]:[Adicional de Acúmulo de função]])*30%+SUM(tabParametros[[#This Row],[Vale - Alimentação]:[Seguro de Vida]]))/tabParametros[[#This Row],[Vagas contratadas]]*tabParametros[[#This Row],[Vagas suspensas]],0)</f>
        <v>0</v>
      </c>
      <c r="AX121" s="232">
        <f>SUMIF(tabUniformes[Cargo],tabParametros[[#This Row],[Função]],tabUniformes[Valor unit. Mensal])</f>
        <v>56.642978962543395</v>
      </c>
      <c r="AY12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1" s="232">
        <v>0</v>
      </c>
      <c r="BC121" s="234" t="e">
        <f ca="1">VLOOKUP(tabParametros[[#Headers],[Custos Indiretos]],tabOutrosCustos[],3,0)</f>
        <v>#NAME?</v>
      </c>
      <c r="BD121" s="234" t="e">
        <f ca="1">VLOOKUP(tabParametros[[#Headers],[Lucro]],tabOutrosCustos[],3,0)</f>
        <v>#NAME?</v>
      </c>
      <c r="BE121" s="233">
        <f>VLOOKUP(tabParametros[[#Headers],[COFINS]],tabImpostosNacionais[],2,0)</f>
        <v>7.5999999999999998E-2</v>
      </c>
      <c r="BF121" s="233">
        <f>VLOOKUP(tabParametros[[#Headers],[PIS]],tabImpostosNacionais[],2,0)</f>
        <v>1.6500000000000001E-2</v>
      </c>
      <c r="BG121" s="233">
        <f>VLOOKUP(tabParametros[[#This Row],[Comarca]],tabComarca[],4,0)</f>
        <v>0.02</v>
      </c>
      <c r="BH121" s="236">
        <f>VLOOKUP(tabParametros[[#This Row],[CCT DA CATEGORIA]],tabSindicatos[],11,0)</f>
        <v>45658</v>
      </c>
      <c r="BI121" s="282" t="str">
        <f>VLOOKUP(tabParametros[[#This Row],[CCT DA CATEGORIA]],tabSindicatos[],12,0)</f>
        <v>-</v>
      </c>
      <c r="BJ121" s="285" t="str">
        <f>VLOOKUP(tabParametros[[#This Row],[CCT DA CATEGORIA]],tabSindicatos[],13,0)</f>
        <v>-</v>
      </c>
    </row>
    <row r="122" spans="1:62">
      <c r="A122" s="231" t="s">
        <v>1580</v>
      </c>
      <c r="B122" s="197" t="s">
        <v>1125</v>
      </c>
      <c r="C122" s="197" t="s">
        <v>314</v>
      </c>
      <c r="D122" s="197" t="str">
        <f>VLOOKUP(tabParametros[[#This Row],[Código do Posto]],tabPostos[],4,0)</f>
        <v>Regiao de Ouro Preto</v>
      </c>
      <c r="E122" s="282" t="str">
        <f>VLOOKUP(tabParametros[[#This Row],[Código do Posto]],tabPostos[],5,0)</f>
        <v>Apoio</v>
      </c>
      <c r="F122" s="282" t="str">
        <f>VLOOKUP(tabParametros[[#This Row],[Código do Posto]],tabPostos[],6,0)</f>
        <v>PGJ</v>
      </c>
      <c r="G122" s="282">
        <f>VLOOKUP(tabParametros[[#This Row],[Código do Posto]],tabPostos[],7,0)</f>
        <v>1</v>
      </c>
      <c r="H122" s="282">
        <f>VLOOKUP(tabParametros[[#This Row],[Código do Posto]],tabPostos[],8,0)</f>
        <v>0</v>
      </c>
      <c r="I122" s="232">
        <f>VLOOKUP(tabParametros[[#This Row],[Código do Posto]],tabPostos[],9,0)</f>
        <v>1963.4110092077037</v>
      </c>
      <c r="J122" s="232">
        <f>IF(ISNUMBER(SEARCH("Eletricista",tabParametros[[#This Row],[Função]],1)),0.3*tabParametros[[#This Row],[Salário Base]],0)</f>
        <v>0</v>
      </c>
      <c r="K12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2" s="232">
        <f>IF(AND(ISNUMBER(SEARCH("Noturno",tabParametros[[#This Row],[Função]],1)),tabParametros[[#This Row],[Comarca]]&lt;&gt;"Juiz de Fora"),tabParametros[[#This Row],[Salário Base]]/210*0.39*7*15.5,IF(ISNUMBER(SEARCH("Noturno",tabParametros[[#This Row],[Função]],1)),tabParametros[[#This Row],[Salário Base]]/210*0.2*8*15.5,0))</f>
        <v>0</v>
      </c>
      <c r="M122" s="232">
        <f>IF(ISNUMBER(SEARCH("Motorista II",tabParametros[[#This Row],[Função]],1)),0.3022*tabParametros[[#This Row],[Salário Base]],0)</f>
        <v>0</v>
      </c>
      <c r="N122" s="254">
        <v>0</v>
      </c>
      <c r="O122" s="254">
        <f>IF(ISNUMBER(SEARCH("TECNOLOGIA DA INFORMACAO",tabParametros[[#This Row],[Função]],1)),0.056*tabParametros[[#This Row],[Salário Base]],0)</f>
        <v>0</v>
      </c>
      <c r="P122" s="232">
        <f>IF(tabParametros[[#This Row],[Função]]="Operador de Midia Audiovisual - 150 h",tabParametros[[#This Row],[Salário Base]]/150*50*30%,IF(tabParametros[[#This Row],[Função]]="Supervisor de Manutencao de Veiculos II - 220 h",12%*tabParametros[[#This Row],[Salário Base]],0))</f>
        <v>0</v>
      </c>
      <c r="Q122" s="233">
        <f>VLOOKUP(tabParametros[[#Headers],[INSS]],tabImpostosNacionais[],2,0)</f>
        <v>0.2</v>
      </c>
      <c r="R122" s="233">
        <f>VLOOKUP(tabParametros[[#Headers],[SESI OU SESC]],tabImpostosNacionais[],2,0)</f>
        <v>1.4999999999999999E-2</v>
      </c>
      <c r="S122" s="233">
        <f>VLOOKUP(tabParametros[[#Headers],[SENAI OU SENAC]],tabImpostosNacionais[],2,0)</f>
        <v>0.01</v>
      </c>
      <c r="T122" s="233">
        <f>VLOOKUP(tabParametros[[#Headers],[INCRA]],tabImpostosNacionais[],2,0)</f>
        <v>2E-3</v>
      </c>
      <c r="U122" s="233">
        <f>VLOOKUP(tabParametros[[#Headers],[Salário Educação]],tabImpostosNacionais[],2,0)</f>
        <v>2.5000000000000001E-2</v>
      </c>
      <c r="V122" s="233">
        <f>VLOOKUP(tabParametros[[#Headers],[FGTS]],tabImpostosNacionais[],2,0)</f>
        <v>0.08</v>
      </c>
      <c r="W122" s="233">
        <f>VLOOKUP(tabParametros[[#Headers],[RAT Ajustado]],tabImpostosNacionais[],2,0)</f>
        <v>0.04</v>
      </c>
      <c r="X122" s="233">
        <f>VLOOKUP(tabParametros[[#Headers],[SEBRAE]],tabImpostosNacionais[],2,0)</f>
        <v>6.0000000000000001E-3</v>
      </c>
      <c r="Y122" s="233">
        <f t="shared" si="11"/>
        <v>8.3333333333333329E-2</v>
      </c>
      <c r="Z122" s="233">
        <f t="shared" si="12"/>
        <v>0.1111111111111111</v>
      </c>
      <c r="AA122" s="232">
        <f>VLOOKUP(tabParametros[[#This Row],[Comarca]],tabComarca[],5,0)</f>
        <v>6.4</v>
      </c>
      <c r="AB122" s="232">
        <f>VLOOKUP(tabParametros[[#This Row],[CCT DA CATEGORIA]],tabSindicatos[],6,0)</f>
        <v>29.15</v>
      </c>
      <c r="AC122" s="232">
        <f>VLOOKUP(tabParametros[[#This Row],[CCT DA CATEGORIA]],tabSindicatos[],7,0)</f>
        <v>0</v>
      </c>
      <c r="AD122" s="232" cm="1">
        <f t="array" ref="AD12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51.87</v>
      </c>
      <c r="AE122" s="232">
        <f>VLOOKUP(tabParametros[[#This Row],[CCT DA CATEGORIA]],tabSindicatos[],9,0)</f>
        <v>0</v>
      </c>
      <c r="AF122" s="232">
        <f>VLOOKUP(tabParametros[[#This Row],[CCT DA CATEGORIA]],tabSindicatos[],10,0)</f>
        <v>0</v>
      </c>
      <c r="AG122" s="234">
        <f>VLOOKUP(tabParametros[[#Headers],[Seguro de Vida]],tabOutrosCustos[],3,0)</f>
        <v>3.36</v>
      </c>
      <c r="AH122" s="234">
        <f>IF(ISNUMBER(SEARCH("MOTORISTA",tabParametros[[#This Row],[Função]],1)),VLOOKUP("MOTORISTAS",tabDiarias[],2,0),IF(tabParametros[[#This Row],[Comarca]]="Belo Horizonte",VLOOKUP("APOIO",tabDiarias[],2,0),0))</f>
        <v>0</v>
      </c>
      <c r="AI122" s="233">
        <f t="shared" si="13"/>
        <v>7.011766975308642E-3</v>
      </c>
      <c r="AJ122" s="235">
        <f>tabParametros[[#This Row],[FGTS]]*tabParametros[[#This Row],[Aviso Prévio Indenizado (API) e Reflexo do Aviso Prévio Indenizado]]</f>
        <v>5.609413580246914E-4</v>
      </c>
      <c r="AK122" s="235">
        <f>tabParametros[[#This Row],[FGTS]]*tabParametros[[#This Row],[Aviso Prévio Indenizado (API) e Reflexo do Aviso Prévio Indenizado]]*40%</f>
        <v>2.2437654320987658E-4</v>
      </c>
      <c r="AL122" s="233">
        <f t="shared" si="14"/>
        <v>3.5000000000000005E-3</v>
      </c>
      <c r="AM122" s="233">
        <f>tabParametros[[#This Row],[Aviso Prévio Trabalhado - APT]]*SUM(tabParametros[[#This Row],[INSS]:[SEBRAE]])</f>
        <v>1.3230000000000004E-3</v>
      </c>
      <c r="AN122" s="233">
        <f t="shared" si="15"/>
        <v>3.0577777777777773E-2</v>
      </c>
      <c r="AO122" s="233">
        <f t="shared" si="16"/>
        <v>8.3333333333333339E-4</v>
      </c>
      <c r="AP122" s="233">
        <f t="shared" si="17"/>
        <v>8.4444444444444437E-3</v>
      </c>
      <c r="AQ122" s="233">
        <f t="shared" si="18"/>
        <v>2.0277777777777777E-3</v>
      </c>
      <c r="AR122" s="233">
        <f t="shared" si="19"/>
        <v>1.7083333333333333E-4</v>
      </c>
      <c r="AS122" s="233">
        <f t="shared" si="20"/>
        <v>2.0833333333333335E-4</v>
      </c>
      <c r="AT122" s="233">
        <f t="shared" si="21"/>
        <v>1.2962962962962963E-3</v>
      </c>
      <c r="AU122" s="235">
        <f>SUM(tabParametros[[#This Row],[Ausência por Doença]:[Férias, Adicional de Férias e 13º  com empregada em gozo de Licença Maternidade]])*SUM(tabParametros[[#This Row],[INSS]:[SEBRAE]])</f>
        <v>4.5918250000000008E-3</v>
      </c>
      <c r="AV122"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22" s="232">
        <f>IF(tabParametros[[#This Row],[Vagas contratadas]]&gt;0,(SUM(tabParametros[[#This Row],[Salário Base]:[Adicional de Acúmulo de função]])*30%+SUM(tabParametros[[#This Row],[Vale - Alimentação]:[Seguro de Vida]]))/tabParametros[[#This Row],[Vagas contratadas]]*tabParametros[[#This Row],[Vagas suspensas]],0)</f>
        <v>0</v>
      </c>
      <c r="AX122" s="232">
        <f>SUMIF(tabUniformes[Cargo],tabParametros[[#This Row],[Função]],tabUniformes[Valor unit. Mensal])</f>
        <v>56.642978962543395</v>
      </c>
      <c r="AY12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2" s="232">
        <v>0</v>
      </c>
      <c r="BC122" s="234" t="e">
        <f ca="1">VLOOKUP(tabParametros[[#Headers],[Custos Indiretos]],tabOutrosCustos[],3,0)</f>
        <v>#NAME?</v>
      </c>
      <c r="BD122" s="234" t="e">
        <f ca="1">VLOOKUP(tabParametros[[#Headers],[Lucro]],tabOutrosCustos[],3,0)</f>
        <v>#NAME?</v>
      </c>
      <c r="BE122" s="233">
        <f>VLOOKUP(tabParametros[[#Headers],[COFINS]],tabImpostosNacionais[],2,0)</f>
        <v>7.5999999999999998E-2</v>
      </c>
      <c r="BF122" s="233">
        <f>VLOOKUP(tabParametros[[#Headers],[PIS]],tabImpostosNacionais[],2,0)</f>
        <v>1.6500000000000001E-2</v>
      </c>
      <c r="BG122" s="233">
        <f>VLOOKUP(tabParametros[[#This Row],[Comarca]],tabComarca[],4,0)</f>
        <v>0.02</v>
      </c>
      <c r="BH122" s="236">
        <f>VLOOKUP(tabParametros[[#This Row],[CCT DA CATEGORIA]],tabSindicatos[],11,0)</f>
        <v>45658</v>
      </c>
      <c r="BI122" s="282" t="str">
        <f>VLOOKUP(tabParametros[[#This Row],[CCT DA CATEGORIA]],tabSindicatos[],12,0)</f>
        <v>-</v>
      </c>
      <c r="BJ122" s="285" t="str">
        <f>VLOOKUP(tabParametros[[#This Row],[CCT DA CATEGORIA]],tabSindicatos[],13,0)</f>
        <v>-</v>
      </c>
    </row>
    <row r="123" spans="1:62">
      <c r="A123" s="231" t="s">
        <v>1468</v>
      </c>
      <c r="B123" s="197" t="s">
        <v>1126</v>
      </c>
      <c r="C123" s="197" t="s">
        <v>200</v>
      </c>
      <c r="D123" s="197" t="str">
        <f>VLOOKUP(tabParametros[[#This Row],[Código do Posto]],tabPostos[],4,0)</f>
        <v>Regiao de Ouro Preto</v>
      </c>
      <c r="E123" s="282" t="str">
        <f>VLOOKUP(tabParametros[[#This Row],[Código do Posto]],tabPostos[],5,0)</f>
        <v>Apoio</v>
      </c>
      <c r="F123" s="282" t="str">
        <f>VLOOKUP(tabParametros[[#This Row],[Código do Posto]],tabPostos[],6,0)</f>
        <v>PGJ</v>
      </c>
      <c r="G123" s="282">
        <f>VLOOKUP(tabParametros[[#This Row],[Código do Posto]],tabPostos[],7,0)</f>
        <v>1</v>
      </c>
      <c r="H123" s="282">
        <f>VLOOKUP(tabParametros[[#This Row],[Código do Posto]],tabPostos[],8,0)</f>
        <v>0</v>
      </c>
      <c r="I123" s="232">
        <f>VLOOKUP(tabParametros[[#This Row],[Código do Posto]],tabPostos[],9,0)</f>
        <v>1596.273808921236</v>
      </c>
      <c r="J123" s="232">
        <f>IF(ISNUMBER(SEARCH("Eletricista",tabParametros[[#This Row],[Função]],1)),0.3*tabParametros[[#This Row],[Salário Base]],0)</f>
        <v>0</v>
      </c>
      <c r="K12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3" s="232">
        <f>IF(AND(ISNUMBER(SEARCH("Noturno",tabParametros[[#This Row],[Função]],1)),tabParametros[[#This Row],[Comarca]]&lt;&gt;"Juiz de Fora"),tabParametros[[#This Row],[Salário Base]]/210*0.39*7*15.5,IF(ISNUMBER(SEARCH("Noturno",tabParametros[[#This Row],[Função]],1)),tabParametros[[#This Row],[Salário Base]]/210*0.2*8*15.5,0))</f>
        <v>0</v>
      </c>
      <c r="M123" s="232">
        <f>IF(ISNUMBER(SEARCH("Motorista II",tabParametros[[#This Row],[Função]],1)),0.3022*tabParametros[[#This Row],[Salário Base]],0)</f>
        <v>0</v>
      </c>
      <c r="N123" s="254">
        <v>0</v>
      </c>
      <c r="O123" s="254">
        <f>IF(ISNUMBER(SEARCH("TECNOLOGIA DA INFORMACAO",tabParametros[[#This Row],[Função]],1)),0.056*tabParametros[[#This Row],[Salário Base]],0)</f>
        <v>0</v>
      </c>
      <c r="P123" s="232">
        <f>IF(tabParametros[[#This Row],[Função]]="Operador de Midia Audiovisual - 150 h",tabParametros[[#This Row],[Salário Base]]/150*50*30%,IF(tabParametros[[#This Row],[Função]]="Supervisor de Manutencao de Veiculos II - 220 h",12%*tabParametros[[#This Row],[Salário Base]],0))</f>
        <v>0</v>
      </c>
      <c r="Q123" s="233">
        <f>VLOOKUP(tabParametros[[#Headers],[INSS]],tabImpostosNacionais[],2,0)</f>
        <v>0.2</v>
      </c>
      <c r="R123" s="233">
        <f>VLOOKUP(tabParametros[[#Headers],[SESI OU SESC]],tabImpostosNacionais[],2,0)</f>
        <v>1.4999999999999999E-2</v>
      </c>
      <c r="S123" s="233">
        <f>VLOOKUP(tabParametros[[#Headers],[SENAI OU SENAC]],tabImpostosNacionais[],2,0)</f>
        <v>0.01</v>
      </c>
      <c r="T123" s="233">
        <f>VLOOKUP(tabParametros[[#Headers],[INCRA]],tabImpostosNacionais[],2,0)</f>
        <v>2E-3</v>
      </c>
      <c r="U123" s="233">
        <f>VLOOKUP(tabParametros[[#Headers],[Salário Educação]],tabImpostosNacionais[],2,0)</f>
        <v>2.5000000000000001E-2</v>
      </c>
      <c r="V123" s="233">
        <f>VLOOKUP(tabParametros[[#Headers],[FGTS]],tabImpostosNacionais[],2,0)</f>
        <v>0.08</v>
      </c>
      <c r="W123" s="233">
        <f>VLOOKUP(tabParametros[[#Headers],[RAT Ajustado]],tabImpostosNacionais[],2,0)</f>
        <v>0.04</v>
      </c>
      <c r="X123" s="233">
        <f>VLOOKUP(tabParametros[[#Headers],[SEBRAE]],tabImpostosNacionais[],2,0)</f>
        <v>6.0000000000000001E-3</v>
      </c>
      <c r="Y123" s="233">
        <f t="shared" si="11"/>
        <v>8.3333333333333329E-2</v>
      </c>
      <c r="Z123" s="233">
        <f t="shared" si="12"/>
        <v>0.1111111111111111</v>
      </c>
      <c r="AA123" s="232">
        <f>VLOOKUP(tabParametros[[#This Row],[Comarca]],tabComarca[],5,0)</f>
        <v>6.4</v>
      </c>
      <c r="AB123" s="232">
        <f>VLOOKUP(tabParametros[[#This Row],[CCT DA CATEGORIA]],tabSindicatos[],6,0)</f>
        <v>29.15</v>
      </c>
      <c r="AC123" s="232">
        <f>VLOOKUP(tabParametros[[#This Row],[CCT DA CATEGORIA]],tabSindicatos[],7,0)</f>
        <v>0</v>
      </c>
      <c r="AD123" s="232" cm="1">
        <f t="array" ref="AD12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23" s="232">
        <f>VLOOKUP(tabParametros[[#This Row],[CCT DA CATEGORIA]],tabSindicatos[],9,0)</f>
        <v>0</v>
      </c>
      <c r="AF123" s="232">
        <f>VLOOKUP(tabParametros[[#This Row],[CCT DA CATEGORIA]],tabSindicatos[],10,0)</f>
        <v>0</v>
      </c>
      <c r="AG123" s="234">
        <f>VLOOKUP(tabParametros[[#Headers],[Seguro de Vida]],tabOutrosCustos[],3,0)</f>
        <v>3.36</v>
      </c>
      <c r="AH123" s="234">
        <f>IF(ISNUMBER(SEARCH("MOTORISTA",tabParametros[[#This Row],[Função]],1)),VLOOKUP("MOTORISTAS",tabDiarias[],2,0),IF(tabParametros[[#This Row],[Comarca]]="Belo Horizonte",VLOOKUP("APOIO",tabDiarias[],2,0),0))</f>
        <v>0</v>
      </c>
      <c r="AI123" s="233">
        <f t="shared" si="13"/>
        <v>7.011766975308642E-3</v>
      </c>
      <c r="AJ123" s="235">
        <f>tabParametros[[#This Row],[FGTS]]*tabParametros[[#This Row],[Aviso Prévio Indenizado (API) e Reflexo do Aviso Prévio Indenizado]]</f>
        <v>5.609413580246914E-4</v>
      </c>
      <c r="AK123" s="235">
        <f>tabParametros[[#This Row],[FGTS]]*tabParametros[[#This Row],[Aviso Prévio Indenizado (API) e Reflexo do Aviso Prévio Indenizado]]*40%</f>
        <v>2.2437654320987658E-4</v>
      </c>
      <c r="AL123" s="233">
        <f t="shared" si="14"/>
        <v>3.5000000000000005E-3</v>
      </c>
      <c r="AM123" s="233">
        <f>tabParametros[[#This Row],[Aviso Prévio Trabalhado - APT]]*SUM(tabParametros[[#This Row],[INSS]:[SEBRAE]])</f>
        <v>1.3230000000000004E-3</v>
      </c>
      <c r="AN123" s="233">
        <f t="shared" si="15"/>
        <v>3.0577777777777773E-2</v>
      </c>
      <c r="AO123" s="233">
        <f t="shared" si="16"/>
        <v>8.3333333333333339E-4</v>
      </c>
      <c r="AP123" s="233">
        <f t="shared" si="17"/>
        <v>8.4444444444444437E-3</v>
      </c>
      <c r="AQ123" s="233">
        <f t="shared" si="18"/>
        <v>2.0277777777777777E-3</v>
      </c>
      <c r="AR123" s="233">
        <f t="shared" si="19"/>
        <v>1.7083333333333333E-4</v>
      </c>
      <c r="AS123" s="233">
        <f t="shared" si="20"/>
        <v>2.0833333333333335E-4</v>
      </c>
      <c r="AT123" s="233">
        <f t="shared" si="21"/>
        <v>1.2962962962962963E-3</v>
      </c>
      <c r="AU123" s="235">
        <f>SUM(tabParametros[[#This Row],[Ausência por Doença]:[Férias, Adicional de Férias e 13º  com empregada em gozo de Licença Maternidade]])*SUM(tabParametros[[#This Row],[INSS]:[SEBRAE]])</f>
        <v>4.5918250000000008E-3</v>
      </c>
      <c r="AV123" s="254">
        <f>IF(tabParametros[[#This Row],[Função]]="Porteiro - 220 h",SUM(tabParametros[[#This Row],[Salário Base]:[Adicional de Acúmulo de função]])/220*20*1.5,IF(ISNUMBER(SEARCH("12 x 36",tabParametros[[#This Row],[Função]],1)),SUM(tabParametros[[#This Row],[Salário Base]:[Adicional de Acúmulo de função]])/210*15.5*1.5,0))</f>
        <v>0</v>
      </c>
      <c r="AW123" s="232">
        <f>IF(tabParametros[[#This Row],[Vagas contratadas]]&gt;0,(SUM(tabParametros[[#This Row],[Salário Base]:[Adicional de Acúmulo de função]])*30%+SUM(tabParametros[[#This Row],[Vale - Alimentação]:[Seguro de Vida]]))/tabParametros[[#This Row],[Vagas contratadas]]*tabParametros[[#This Row],[Vagas suspensas]],0)</f>
        <v>0</v>
      </c>
      <c r="AX123" s="232">
        <f>SUMIF(tabUniformes[Cargo],tabParametros[[#This Row],[Função]],tabUniformes[Valor unit. Mensal])</f>
        <v>56.141713661989918</v>
      </c>
      <c r="AY12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3" s="232">
        <v>0</v>
      </c>
      <c r="BC123" s="234" t="e">
        <f ca="1">VLOOKUP(tabParametros[[#Headers],[Custos Indiretos]],tabOutrosCustos[],3,0)</f>
        <v>#NAME?</v>
      </c>
      <c r="BD123" s="234" t="e">
        <f ca="1">VLOOKUP(tabParametros[[#Headers],[Lucro]],tabOutrosCustos[],3,0)</f>
        <v>#NAME?</v>
      </c>
      <c r="BE123" s="233">
        <f>VLOOKUP(tabParametros[[#Headers],[COFINS]],tabImpostosNacionais[],2,0)</f>
        <v>7.5999999999999998E-2</v>
      </c>
      <c r="BF123" s="233">
        <f>VLOOKUP(tabParametros[[#Headers],[PIS]],tabImpostosNacionais[],2,0)</f>
        <v>1.6500000000000001E-2</v>
      </c>
      <c r="BG123" s="233">
        <f>VLOOKUP(tabParametros[[#This Row],[Comarca]],tabComarca[],4,0)</f>
        <v>0.04</v>
      </c>
      <c r="BH123" s="236">
        <f>VLOOKUP(tabParametros[[#This Row],[CCT DA CATEGORIA]],tabSindicatos[],11,0)</f>
        <v>45658</v>
      </c>
      <c r="BI123" s="282" t="str">
        <f>VLOOKUP(tabParametros[[#This Row],[CCT DA CATEGORIA]],tabSindicatos[],12,0)</f>
        <v>-</v>
      </c>
      <c r="BJ123" s="285" t="str">
        <f>VLOOKUP(tabParametros[[#This Row],[CCT DA CATEGORIA]],tabSindicatos[],13,0)</f>
        <v>-</v>
      </c>
    </row>
    <row r="124" spans="1:62">
      <c r="A124" s="231" t="s">
        <v>1581</v>
      </c>
      <c r="B124" s="197" t="s">
        <v>1126</v>
      </c>
      <c r="C124" s="197" t="s">
        <v>274</v>
      </c>
      <c r="D124" s="197" t="str">
        <f>VLOOKUP(tabParametros[[#This Row],[Código do Posto]],tabPostos[],4,0)</f>
        <v>Rodoviarios de Conselheiro Lafaiete + SEAC-MG</v>
      </c>
      <c r="E124" s="282" t="str">
        <f>VLOOKUP(tabParametros[[#This Row],[Código do Posto]],tabPostos[],5,0)</f>
        <v>Apoio</v>
      </c>
      <c r="F124" s="282" t="str">
        <f>VLOOKUP(tabParametros[[#This Row],[Código do Posto]],tabPostos[],6,0)</f>
        <v>PGJ</v>
      </c>
      <c r="G124" s="282">
        <f>VLOOKUP(tabParametros[[#This Row],[Código do Posto]],tabPostos[],7,0)</f>
        <v>1</v>
      </c>
      <c r="H124" s="282">
        <f>VLOOKUP(tabParametros[[#This Row],[Código do Posto]],tabPostos[],8,0)</f>
        <v>0</v>
      </c>
      <c r="I124" s="232">
        <f>VLOOKUP(tabParametros[[#This Row],[Código do Posto]],tabPostos[],9,0)</f>
        <v>4558.0709943632919</v>
      </c>
      <c r="J124" s="232">
        <f>IF(ISNUMBER(SEARCH("Eletricista",tabParametros[[#This Row],[Função]],1)),0.3*tabParametros[[#This Row],[Salário Base]],0)</f>
        <v>0</v>
      </c>
      <c r="K12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4" s="232">
        <f>IF(AND(ISNUMBER(SEARCH("Noturno",tabParametros[[#This Row],[Função]],1)),tabParametros[[#This Row],[Comarca]]&lt;&gt;"Juiz de Fora"),tabParametros[[#This Row],[Salário Base]]/210*0.39*7*15.5,IF(ISNUMBER(SEARCH("Noturno",tabParametros[[#This Row],[Função]],1)),tabParametros[[#This Row],[Salário Base]]/210*0.2*8*15.5,0))</f>
        <v>0</v>
      </c>
      <c r="M124" s="232">
        <f>IF(ISNUMBER(SEARCH("Motorista II",tabParametros[[#This Row],[Função]],1)),0.3022*tabParametros[[#This Row],[Salário Base]],0)</f>
        <v>0</v>
      </c>
      <c r="N124" s="254">
        <v>0</v>
      </c>
      <c r="O124" s="254">
        <f>IF(ISNUMBER(SEARCH("TECNOLOGIA DA INFORMACAO",tabParametros[[#This Row],[Função]],1)),0.056*tabParametros[[#This Row],[Salário Base]],0)</f>
        <v>0</v>
      </c>
      <c r="P124" s="232">
        <f>IF(tabParametros[[#This Row],[Função]]="Operador de Midia Audiovisual - 150 h",tabParametros[[#This Row],[Salário Base]]/150*50*30%,IF(tabParametros[[#This Row],[Função]]="Supervisor de Manutencao de Veiculos II - 220 h",12%*tabParametros[[#This Row],[Salário Base]],0))</f>
        <v>0</v>
      </c>
      <c r="Q124" s="233">
        <f>VLOOKUP(tabParametros[[#Headers],[INSS]],tabImpostosNacionais[],2,0)</f>
        <v>0.2</v>
      </c>
      <c r="R124" s="233">
        <f>VLOOKUP(tabParametros[[#Headers],[SESI OU SESC]],tabImpostosNacionais[],2,0)</f>
        <v>1.4999999999999999E-2</v>
      </c>
      <c r="S124" s="233">
        <f>VLOOKUP(tabParametros[[#Headers],[SENAI OU SENAC]],tabImpostosNacionais[],2,0)</f>
        <v>0.01</v>
      </c>
      <c r="T124" s="233">
        <f>VLOOKUP(tabParametros[[#Headers],[INCRA]],tabImpostosNacionais[],2,0)</f>
        <v>2E-3</v>
      </c>
      <c r="U124" s="233">
        <f>VLOOKUP(tabParametros[[#Headers],[Salário Educação]],tabImpostosNacionais[],2,0)</f>
        <v>2.5000000000000001E-2</v>
      </c>
      <c r="V124" s="233">
        <f>VLOOKUP(tabParametros[[#Headers],[FGTS]],tabImpostosNacionais[],2,0)</f>
        <v>0.08</v>
      </c>
      <c r="W124" s="233">
        <f>VLOOKUP(tabParametros[[#Headers],[RAT Ajustado]],tabImpostosNacionais[],2,0)</f>
        <v>0.04</v>
      </c>
      <c r="X124" s="233">
        <f>VLOOKUP(tabParametros[[#Headers],[SEBRAE]],tabImpostosNacionais[],2,0)</f>
        <v>6.0000000000000001E-3</v>
      </c>
      <c r="Y124" s="233">
        <f t="shared" si="11"/>
        <v>8.3333333333333329E-2</v>
      </c>
      <c r="Z124" s="233">
        <f t="shared" si="12"/>
        <v>0.1111111111111111</v>
      </c>
      <c r="AA124" s="232">
        <f>VLOOKUP(tabParametros[[#This Row],[Comarca]],tabComarca[],5,0)</f>
        <v>6.4</v>
      </c>
      <c r="AB124" s="232">
        <f>VLOOKUP(tabParametros[[#This Row],[CCT DA CATEGORIA]],tabSindicatos[],6,0)</f>
        <v>28.97</v>
      </c>
      <c r="AC124" s="232">
        <f>VLOOKUP(tabParametros[[#This Row],[CCT DA CATEGORIA]],tabSindicatos[],7,0)</f>
        <v>0</v>
      </c>
      <c r="AD124" s="232" cm="1">
        <f t="array" ref="AD12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124" s="232">
        <f>VLOOKUP(tabParametros[[#This Row],[CCT DA CATEGORIA]],tabSindicatos[],9,0)</f>
        <v>0</v>
      </c>
      <c r="AF124" s="232">
        <f>VLOOKUP(tabParametros[[#This Row],[CCT DA CATEGORIA]],tabSindicatos[],10,0)</f>
        <v>0</v>
      </c>
      <c r="AG124" s="234">
        <f>VLOOKUP(tabParametros[[#Headers],[Seguro de Vida]],tabOutrosCustos[],3,0)</f>
        <v>3.36</v>
      </c>
      <c r="AH124" s="234">
        <f>IF(ISNUMBER(SEARCH("MOTORISTA",tabParametros[[#This Row],[Função]],1)),VLOOKUP("MOTORISTAS",tabDiarias[],2,0),IF(tabParametros[[#This Row],[Comarca]]="Belo Horizonte",VLOOKUP("APOIO",tabDiarias[],2,0),0))</f>
        <v>662.42</v>
      </c>
      <c r="AI124" s="233">
        <f t="shared" si="13"/>
        <v>7.011766975308642E-3</v>
      </c>
      <c r="AJ124" s="235">
        <f>tabParametros[[#This Row],[FGTS]]*tabParametros[[#This Row],[Aviso Prévio Indenizado (API) e Reflexo do Aviso Prévio Indenizado]]</f>
        <v>5.609413580246914E-4</v>
      </c>
      <c r="AK124" s="235">
        <f>tabParametros[[#This Row],[FGTS]]*tabParametros[[#This Row],[Aviso Prévio Indenizado (API) e Reflexo do Aviso Prévio Indenizado]]*40%</f>
        <v>2.2437654320987658E-4</v>
      </c>
      <c r="AL124" s="233">
        <f t="shared" si="14"/>
        <v>3.5000000000000005E-3</v>
      </c>
      <c r="AM124" s="233">
        <f>tabParametros[[#This Row],[Aviso Prévio Trabalhado - APT]]*SUM(tabParametros[[#This Row],[INSS]:[SEBRAE]])</f>
        <v>1.3230000000000004E-3</v>
      </c>
      <c r="AN124" s="233">
        <f t="shared" si="15"/>
        <v>3.0577777777777773E-2</v>
      </c>
      <c r="AO124" s="233">
        <f t="shared" si="16"/>
        <v>8.3333333333333339E-4</v>
      </c>
      <c r="AP124" s="233">
        <f t="shared" si="17"/>
        <v>8.4444444444444437E-3</v>
      </c>
      <c r="AQ124" s="233">
        <f t="shared" si="18"/>
        <v>2.0277777777777777E-3</v>
      </c>
      <c r="AR124" s="233">
        <f t="shared" si="19"/>
        <v>1.7083333333333333E-4</v>
      </c>
      <c r="AS124" s="233">
        <f t="shared" si="20"/>
        <v>2.0833333333333335E-4</v>
      </c>
      <c r="AT124" s="233">
        <f t="shared" si="21"/>
        <v>1.2962962962962963E-3</v>
      </c>
      <c r="AU124" s="235">
        <f>SUM(tabParametros[[#This Row],[Ausência por Doença]:[Férias, Adicional de Férias e 13º  com empregada em gozo de Licença Maternidade]])*SUM(tabParametros[[#This Row],[INSS]:[SEBRAE]])</f>
        <v>4.5918250000000008E-3</v>
      </c>
      <c r="AV124" s="254">
        <f>IF(tabParametros[[#This Row],[Função]]="Porteiro - 220 h",SUM(tabParametros[[#This Row],[Salário Base]:[Adicional de Acúmulo de função]])/220*20*1.5,IF(ISNUMBER(SEARCH("12 x 36",tabParametros[[#This Row],[Função]],1)),SUM(tabParametros[[#This Row],[Salário Base]:[Adicional de Acúmulo de função]])/210*15.5*1.5,0))</f>
        <v>0</v>
      </c>
      <c r="AW124" s="232">
        <f>IF(tabParametros[[#This Row],[Vagas contratadas]]&gt;0,(SUM(tabParametros[[#This Row],[Salário Base]:[Adicional de Acúmulo de função]])*30%+SUM(tabParametros[[#This Row],[Vale - Alimentação]:[Seguro de Vida]]))/tabParametros[[#This Row],[Vagas contratadas]]*tabParametros[[#This Row],[Vagas suspensas]],0)</f>
        <v>0</v>
      </c>
      <c r="AX124" s="232">
        <f>SUMIF(tabUniformes[Cargo],tabParametros[[#This Row],[Função]],tabUniformes[Valor unit. Mensal])</f>
        <v>92.100763771570698</v>
      </c>
      <c r="AY12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4" s="232">
        <v>0</v>
      </c>
      <c r="BC124" s="234" t="e">
        <f ca="1">VLOOKUP(tabParametros[[#Headers],[Custos Indiretos]],tabOutrosCustos[],3,0)</f>
        <v>#NAME?</v>
      </c>
      <c r="BD124" s="234" t="e">
        <f ca="1">VLOOKUP(tabParametros[[#Headers],[Lucro]],tabOutrosCustos[],3,0)</f>
        <v>#NAME?</v>
      </c>
      <c r="BE124" s="233">
        <f>VLOOKUP(tabParametros[[#Headers],[COFINS]],tabImpostosNacionais[],2,0)</f>
        <v>7.5999999999999998E-2</v>
      </c>
      <c r="BF124" s="233">
        <f>VLOOKUP(tabParametros[[#Headers],[PIS]],tabImpostosNacionais[],2,0)</f>
        <v>1.6500000000000001E-2</v>
      </c>
      <c r="BG124" s="233">
        <f>VLOOKUP(tabParametros[[#This Row],[Comarca]],tabComarca[],4,0)</f>
        <v>0.04</v>
      </c>
      <c r="BH124" s="236">
        <f>VLOOKUP(tabParametros[[#This Row],[CCT DA CATEGORIA]],tabSindicatos[],11,0)</f>
        <v>45658</v>
      </c>
      <c r="BI124" s="282" t="str">
        <f>VLOOKUP(tabParametros[[#This Row],[CCT DA CATEGORIA]],tabSindicatos[],12,0)</f>
        <v>-</v>
      </c>
      <c r="BJ124" s="285" t="str">
        <f>VLOOKUP(tabParametros[[#This Row],[CCT DA CATEGORIA]],tabSindicatos[],13,0)</f>
        <v>-</v>
      </c>
    </row>
    <row r="125" spans="1:62">
      <c r="A125" s="231" t="s">
        <v>1469</v>
      </c>
      <c r="B125" s="197" t="s">
        <v>1126</v>
      </c>
      <c r="C125" s="197" t="s">
        <v>314</v>
      </c>
      <c r="D125" s="197" t="str">
        <f>VLOOKUP(tabParametros[[#This Row],[Código do Posto]],tabPostos[],4,0)</f>
        <v>Regiao de Ouro Preto</v>
      </c>
      <c r="E125" s="282" t="str">
        <f>VLOOKUP(tabParametros[[#This Row],[Código do Posto]],tabPostos[],5,0)</f>
        <v>Apoio</v>
      </c>
      <c r="F125" s="282" t="str">
        <f>VLOOKUP(tabParametros[[#This Row],[Código do Posto]],tabPostos[],6,0)</f>
        <v>PGJ</v>
      </c>
      <c r="G125" s="282">
        <f>VLOOKUP(tabParametros[[#This Row],[Código do Posto]],tabPostos[],7,0)</f>
        <v>1</v>
      </c>
      <c r="H125" s="282">
        <f>VLOOKUP(tabParametros[[#This Row],[Código do Posto]],tabPostos[],8,0)</f>
        <v>0</v>
      </c>
      <c r="I125" s="232">
        <f>VLOOKUP(tabParametros[[#This Row],[Código do Posto]],tabPostos[],9,0)</f>
        <v>1963.4110092077037</v>
      </c>
      <c r="J125" s="232">
        <f>IF(ISNUMBER(SEARCH("Eletricista",tabParametros[[#This Row],[Função]],1)),0.3*tabParametros[[#This Row],[Salário Base]],0)</f>
        <v>0</v>
      </c>
      <c r="K12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5" s="232">
        <f>IF(AND(ISNUMBER(SEARCH("Noturno",tabParametros[[#This Row],[Função]],1)),tabParametros[[#This Row],[Comarca]]&lt;&gt;"Juiz de Fora"),tabParametros[[#This Row],[Salário Base]]/210*0.39*7*15.5,IF(ISNUMBER(SEARCH("Noturno",tabParametros[[#This Row],[Função]],1)),tabParametros[[#This Row],[Salário Base]]/210*0.2*8*15.5,0))</f>
        <v>0</v>
      </c>
      <c r="M125" s="232">
        <f>IF(ISNUMBER(SEARCH("Motorista II",tabParametros[[#This Row],[Função]],1)),0.3022*tabParametros[[#This Row],[Salário Base]],0)</f>
        <v>0</v>
      </c>
      <c r="N125" s="254">
        <v>0</v>
      </c>
      <c r="O125" s="254">
        <f>IF(ISNUMBER(SEARCH("TECNOLOGIA DA INFORMACAO",tabParametros[[#This Row],[Função]],1)),0.056*tabParametros[[#This Row],[Salário Base]],0)</f>
        <v>0</v>
      </c>
      <c r="P125" s="232">
        <f>IF(tabParametros[[#This Row],[Função]]="Operador de Midia Audiovisual - 150 h",tabParametros[[#This Row],[Salário Base]]/150*50*30%,IF(tabParametros[[#This Row],[Função]]="Supervisor de Manutencao de Veiculos II - 220 h",12%*tabParametros[[#This Row],[Salário Base]],0))</f>
        <v>0</v>
      </c>
      <c r="Q125" s="233">
        <f>VLOOKUP(tabParametros[[#Headers],[INSS]],tabImpostosNacionais[],2,0)</f>
        <v>0.2</v>
      </c>
      <c r="R125" s="233">
        <f>VLOOKUP(tabParametros[[#Headers],[SESI OU SESC]],tabImpostosNacionais[],2,0)</f>
        <v>1.4999999999999999E-2</v>
      </c>
      <c r="S125" s="233">
        <f>VLOOKUP(tabParametros[[#Headers],[SENAI OU SENAC]],tabImpostosNacionais[],2,0)</f>
        <v>0.01</v>
      </c>
      <c r="T125" s="233">
        <f>VLOOKUP(tabParametros[[#Headers],[INCRA]],tabImpostosNacionais[],2,0)</f>
        <v>2E-3</v>
      </c>
      <c r="U125" s="233">
        <f>VLOOKUP(tabParametros[[#Headers],[Salário Educação]],tabImpostosNacionais[],2,0)</f>
        <v>2.5000000000000001E-2</v>
      </c>
      <c r="V125" s="233">
        <f>VLOOKUP(tabParametros[[#Headers],[FGTS]],tabImpostosNacionais[],2,0)</f>
        <v>0.08</v>
      </c>
      <c r="W125" s="233">
        <f>VLOOKUP(tabParametros[[#Headers],[RAT Ajustado]],tabImpostosNacionais[],2,0)</f>
        <v>0.04</v>
      </c>
      <c r="X125" s="233">
        <f>VLOOKUP(tabParametros[[#Headers],[SEBRAE]],tabImpostosNacionais[],2,0)</f>
        <v>6.0000000000000001E-3</v>
      </c>
      <c r="Y125" s="233">
        <f t="shared" si="11"/>
        <v>8.3333333333333329E-2</v>
      </c>
      <c r="Z125" s="233">
        <f t="shared" si="12"/>
        <v>0.1111111111111111</v>
      </c>
      <c r="AA125" s="232">
        <f>VLOOKUP(tabParametros[[#This Row],[Comarca]],tabComarca[],5,0)</f>
        <v>6.4</v>
      </c>
      <c r="AB125" s="232">
        <f>VLOOKUP(tabParametros[[#This Row],[CCT DA CATEGORIA]],tabSindicatos[],6,0)</f>
        <v>29.15</v>
      </c>
      <c r="AC125" s="232">
        <f>VLOOKUP(tabParametros[[#This Row],[CCT DA CATEGORIA]],tabSindicatos[],7,0)</f>
        <v>0</v>
      </c>
      <c r="AD125" s="232" cm="1">
        <f t="array" ref="AD12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25" s="232">
        <f>VLOOKUP(tabParametros[[#This Row],[CCT DA CATEGORIA]],tabSindicatos[],9,0)</f>
        <v>0</v>
      </c>
      <c r="AF125" s="232">
        <f>VLOOKUP(tabParametros[[#This Row],[CCT DA CATEGORIA]],tabSindicatos[],10,0)</f>
        <v>0</v>
      </c>
      <c r="AG125" s="234">
        <f>VLOOKUP(tabParametros[[#Headers],[Seguro de Vida]],tabOutrosCustos[],3,0)</f>
        <v>3.36</v>
      </c>
      <c r="AH125" s="234">
        <f>IF(ISNUMBER(SEARCH("MOTORISTA",tabParametros[[#This Row],[Função]],1)),VLOOKUP("MOTORISTAS",tabDiarias[],2,0),IF(tabParametros[[#This Row],[Comarca]]="Belo Horizonte",VLOOKUP("APOIO",tabDiarias[],2,0),0))</f>
        <v>0</v>
      </c>
      <c r="AI125" s="233">
        <f t="shared" si="13"/>
        <v>7.011766975308642E-3</v>
      </c>
      <c r="AJ125" s="235">
        <f>tabParametros[[#This Row],[FGTS]]*tabParametros[[#This Row],[Aviso Prévio Indenizado (API) e Reflexo do Aviso Prévio Indenizado]]</f>
        <v>5.609413580246914E-4</v>
      </c>
      <c r="AK125" s="235">
        <f>tabParametros[[#This Row],[FGTS]]*tabParametros[[#This Row],[Aviso Prévio Indenizado (API) e Reflexo do Aviso Prévio Indenizado]]*40%</f>
        <v>2.2437654320987658E-4</v>
      </c>
      <c r="AL125" s="233">
        <f t="shared" si="14"/>
        <v>3.5000000000000005E-3</v>
      </c>
      <c r="AM125" s="233">
        <f>tabParametros[[#This Row],[Aviso Prévio Trabalhado - APT]]*SUM(tabParametros[[#This Row],[INSS]:[SEBRAE]])</f>
        <v>1.3230000000000004E-3</v>
      </c>
      <c r="AN125" s="233">
        <f t="shared" si="15"/>
        <v>3.0577777777777773E-2</v>
      </c>
      <c r="AO125" s="233">
        <f t="shared" si="16"/>
        <v>8.3333333333333339E-4</v>
      </c>
      <c r="AP125" s="233">
        <f t="shared" si="17"/>
        <v>8.4444444444444437E-3</v>
      </c>
      <c r="AQ125" s="233">
        <f t="shared" si="18"/>
        <v>2.0277777777777777E-3</v>
      </c>
      <c r="AR125" s="233">
        <f t="shared" si="19"/>
        <v>1.7083333333333333E-4</v>
      </c>
      <c r="AS125" s="233">
        <f t="shared" si="20"/>
        <v>2.0833333333333335E-4</v>
      </c>
      <c r="AT125" s="233">
        <f t="shared" si="21"/>
        <v>1.2962962962962963E-3</v>
      </c>
      <c r="AU125" s="235">
        <f>SUM(tabParametros[[#This Row],[Ausência por Doença]:[Férias, Adicional de Férias e 13º  com empregada em gozo de Licença Maternidade]])*SUM(tabParametros[[#This Row],[INSS]:[SEBRAE]])</f>
        <v>4.5918250000000008E-3</v>
      </c>
      <c r="AV125"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25" s="232">
        <f>IF(tabParametros[[#This Row],[Vagas contratadas]]&gt;0,(SUM(tabParametros[[#This Row],[Salário Base]:[Adicional de Acúmulo de função]])*30%+SUM(tabParametros[[#This Row],[Vale - Alimentação]:[Seguro de Vida]]))/tabParametros[[#This Row],[Vagas contratadas]]*tabParametros[[#This Row],[Vagas suspensas]],0)</f>
        <v>0</v>
      </c>
      <c r="AX125" s="232">
        <f>SUMIF(tabUniformes[Cargo],tabParametros[[#This Row],[Função]],tabUniformes[Valor unit. Mensal])</f>
        <v>56.642978962543395</v>
      </c>
      <c r="AY12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5" s="232">
        <v>0</v>
      </c>
      <c r="BC125" s="234" t="e">
        <f ca="1">VLOOKUP(tabParametros[[#Headers],[Custos Indiretos]],tabOutrosCustos[],3,0)</f>
        <v>#NAME?</v>
      </c>
      <c r="BD125" s="234" t="e">
        <f ca="1">VLOOKUP(tabParametros[[#Headers],[Lucro]],tabOutrosCustos[],3,0)</f>
        <v>#NAME?</v>
      </c>
      <c r="BE125" s="233">
        <f>VLOOKUP(tabParametros[[#Headers],[COFINS]],tabImpostosNacionais[],2,0)</f>
        <v>7.5999999999999998E-2</v>
      </c>
      <c r="BF125" s="233">
        <f>VLOOKUP(tabParametros[[#Headers],[PIS]],tabImpostosNacionais[],2,0)</f>
        <v>1.6500000000000001E-2</v>
      </c>
      <c r="BG125" s="233">
        <f>VLOOKUP(tabParametros[[#This Row],[Comarca]],tabComarca[],4,0)</f>
        <v>0.04</v>
      </c>
      <c r="BH125" s="236">
        <f>VLOOKUP(tabParametros[[#This Row],[CCT DA CATEGORIA]],tabSindicatos[],11,0)</f>
        <v>45658</v>
      </c>
      <c r="BI125" s="282" t="str">
        <f>VLOOKUP(tabParametros[[#This Row],[CCT DA CATEGORIA]],tabSindicatos[],12,0)</f>
        <v>-</v>
      </c>
      <c r="BJ125" s="285" t="str">
        <f>VLOOKUP(tabParametros[[#This Row],[CCT DA CATEGORIA]],tabSindicatos[],13,0)</f>
        <v>-</v>
      </c>
    </row>
    <row r="126" spans="1:62">
      <c r="A126" s="231" t="s">
        <v>1582</v>
      </c>
      <c r="B126" s="197" t="s">
        <v>1126</v>
      </c>
      <c r="C126" s="197" t="s">
        <v>324</v>
      </c>
      <c r="D126" s="197" t="str">
        <f>VLOOKUP(tabParametros[[#This Row],[Código do Posto]],tabPostos[],4,0)</f>
        <v>Regiao de Ouro Preto</v>
      </c>
      <c r="E126" s="282" t="str">
        <f>VLOOKUP(tabParametros[[#This Row],[Código do Posto]],tabPostos[],5,0)</f>
        <v>Apoio</v>
      </c>
      <c r="F126" s="282" t="str">
        <f>VLOOKUP(tabParametros[[#This Row],[Código do Posto]],tabPostos[],6,0)</f>
        <v>PGJ</v>
      </c>
      <c r="G126" s="282">
        <f>VLOOKUP(tabParametros[[#This Row],[Código do Posto]],tabPostos[],7,0)</f>
        <v>1</v>
      </c>
      <c r="H126" s="282">
        <f>VLOOKUP(tabParametros[[#This Row],[Código do Posto]],tabPostos[],8,0)</f>
        <v>0</v>
      </c>
      <c r="I126" s="232">
        <f>VLOOKUP(tabParametros[[#This Row],[Código do Posto]],tabPostos[],9,0)</f>
        <v>3397.1306016921476</v>
      </c>
      <c r="J126" s="232">
        <f>IF(ISNUMBER(SEARCH("Eletricista",tabParametros[[#This Row],[Função]],1)),0.3*tabParametros[[#This Row],[Salário Base]],0)</f>
        <v>0</v>
      </c>
      <c r="K12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6" s="232">
        <f>IF(AND(ISNUMBER(SEARCH("Noturno",tabParametros[[#This Row],[Função]],1)),tabParametros[[#This Row],[Comarca]]&lt;&gt;"Juiz de Fora"),tabParametros[[#This Row],[Salário Base]]/210*0.39*7*15.5,IF(ISNUMBER(SEARCH("Noturno",tabParametros[[#This Row],[Função]],1)),tabParametros[[#This Row],[Salário Base]]/210*0.2*8*15.5,0))</f>
        <v>0</v>
      </c>
      <c r="M126" s="232">
        <f>IF(ISNUMBER(SEARCH("Motorista II",tabParametros[[#This Row],[Função]],1)),0.3022*tabParametros[[#This Row],[Salário Base]],0)</f>
        <v>0</v>
      </c>
      <c r="N126" s="254">
        <v>0</v>
      </c>
      <c r="O126" s="254">
        <f>IF(ISNUMBER(SEARCH("TECNOLOGIA DA INFORMACAO",tabParametros[[#This Row],[Função]],1)),0.056*tabParametros[[#This Row],[Salário Base]],0)</f>
        <v>0</v>
      </c>
      <c r="P126" s="232">
        <f>IF(tabParametros[[#This Row],[Função]]="Operador de Midia Audiovisual - 150 h",tabParametros[[#This Row],[Salário Base]]/150*50*30%,IF(tabParametros[[#This Row],[Função]]="Supervisor de Manutencao de Veiculos II - 220 h",12%*tabParametros[[#This Row],[Salário Base]],0))</f>
        <v>0</v>
      </c>
      <c r="Q126" s="233">
        <f>VLOOKUP(tabParametros[[#Headers],[INSS]],tabImpostosNacionais[],2,0)</f>
        <v>0.2</v>
      </c>
      <c r="R126" s="233">
        <f>VLOOKUP(tabParametros[[#Headers],[SESI OU SESC]],tabImpostosNacionais[],2,0)</f>
        <v>1.4999999999999999E-2</v>
      </c>
      <c r="S126" s="233">
        <f>VLOOKUP(tabParametros[[#Headers],[SENAI OU SENAC]],tabImpostosNacionais[],2,0)</f>
        <v>0.01</v>
      </c>
      <c r="T126" s="233">
        <f>VLOOKUP(tabParametros[[#Headers],[INCRA]],tabImpostosNacionais[],2,0)</f>
        <v>2E-3</v>
      </c>
      <c r="U126" s="233">
        <f>VLOOKUP(tabParametros[[#Headers],[Salário Educação]],tabImpostosNacionais[],2,0)</f>
        <v>2.5000000000000001E-2</v>
      </c>
      <c r="V126" s="233">
        <f>VLOOKUP(tabParametros[[#Headers],[FGTS]],tabImpostosNacionais[],2,0)</f>
        <v>0.08</v>
      </c>
      <c r="W126" s="233">
        <f>VLOOKUP(tabParametros[[#Headers],[RAT Ajustado]],tabImpostosNacionais[],2,0)</f>
        <v>0.04</v>
      </c>
      <c r="X126" s="233">
        <f>VLOOKUP(tabParametros[[#Headers],[SEBRAE]],tabImpostosNacionais[],2,0)</f>
        <v>6.0000000000000001E-3</v>
      </c>
      <c r="Y126" s="233">
        <f t="shared" si="11"/>
        <v>8.3333333333333329E-2</v>
      </c>
      <c r="Z126" s="233">
        <f t="shared" si="12"/>
        <v>0.1111111111111111</v>
      </c>
      <c r="AA126" s="232">
        <f>VLOOKUP(tabParametros[[#This Row],[Comarca]],tabComarca[],5,0)</f>
        <v>6.4</v>
      </c>
      <c r="AB126" s="232">
        <f>VLOOKUP(tabParametros[[#This Row],[CCT DA CATEGORIA]],tabSindicatos[],6,0)</f>
        <v>29.15</v>
      </c>
      <c r="AC126" s="232">
        <f>VLOOKUP(tabParametros[[#This Row],[CCT DA CATEGORIA]],tabSindicatos[],7,0)</f>
        <v>0</v>
      </c>
      <c r="AD126" s="232" cm="1">
        <f t="array" ref="AD12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26" s="232">
        <f>VLOOKUP(tabParametros[[#This Row],[CCT DA CATEGORIA]],tabSindicatos[],9,0)</f>
        <v>0</v>
      </c>
      <c r="AF126" s="232">
        <f>VLOOKUP(tabParametros[[#This Row],[CCT DA CATEGORIA]],tabSindicatos[],10,0)</f>
        <v>0</v>
      </c>
      <c r="AG126" s="234">
        <f>VLOOKUP(tabParametros[[#Headers],[Seguro de Vida]],tabOutrosCustos[],3,0)</f>
        <v>3.36</v>
      </c>
      <c r="AH126" s="234">
        <f>IF(ISNUMBER(SEARCH("MOTORISTA",tabParametros[[#This Row],[Função]],1)),VLOOKUP("MOTORISTAS",tabDiarias[],2,0),IF(tabParametros[[#This Row],[Comarca]]="Belo Horizonte",VLOOKUP("APOIO",tabDiarias[],2,0),0))</f>
        <v>0</v>
      </c>
      <c r="AI126" s="233">
        <f t="shared" si="13"/>
        <v>7.011766975308642E-3</v>
      </c>
      <c r="AJ126" s="235">
        <f>tabParametros[[#This Row],[FGTS]]*tabParametros[[#This Row],[Aviso Prévio Indenizado (API) e Reflexo do Aviso Prévio Indenizado]]</f>
        <v>5.609413580246914E-4</v>
      </c>
      <c r="AK126" s="235">
        <f>tabParametros[[#This Row],[FGTS]]*tabParametros[[#This Row],[Aviso Prévio Indenizado (API) e Reflexo do Aviso Prévio Indenizado]]*40%</f>
        <v>2.2437654320987658E-4</v>
      </c>
      <c r="AL126" s="233">
        <f t="shared" si="14"/>
        <v>3.5000000000000005E-3</v>
      </c>
      <c r="AM126" s="233">
        <f>tabParametros[[#This Row],[Aviso Prévio Trabalhado - APT]]*SUM(tabParametros[[#This Row],[INSS]:[SEBRAE]])</f>
        <v>1.3230000000000004E-3</v>
      </c>
      <c r="AN126" s="233">
        <f t="shared" si="15"/>
        <v>3.0577777777777773E-2</v>
      </c>
      <c r="AO126" s="233">
        <f t="shared" si="16"/>
        <v>8.3333333333333339E-4</v>
      </c>
      <c r="AP126" s="233">
        <f t="shared" si="17"/>
        <v>8.4444444444444437E-3</v>
      </c>
      <c r="AQ126" s="233">
        <f t="shared" si="18"/>
        <v>2.0277777777777777E-3</v>
      </c>
      <c r="AR126" s="233">
        <f t="shared" si="19"/>
        <v>1.7083333333333333E-4</v>
      </c>
      <c r="AS126" s="233">
        <f t="shared" si="20"/>
        <v>2.0833333333333335E-4</v>
      </c>
      <c r="AT126" s="233">
        <f t="shared" si="21"/>
        <v>1.2962962962962963E-3</v>
      </c>
      <c r="AU126" s="235">
        <f>SUM(tabParametros[[#This Row],[Ausência por Doença]:[Férias, Adicional de Férias e 13º  com empregada em gozo de Licença Maternidade]])*SUM(tabParametros[[#This Row],[INSS]:[SEBRAE]])</f>
        <v>4.5918250000000008E-3</v>
      </c>
      <c r="AV126" s="254">
        <f>IF(tabParametros[[#This Row],[Função]]="Porteiro - 220 h",SUM(tabParametros[[#This Row],[Salário Base]:[Adicional de Acúmulo de função]])/220*20*1.5,IF(ISNUMBER(SEARCH("12 x 36",tabParametros[[#This Row],[Função]],1)),SUM(tabParametros[[#This Row],[Salário Base]:[Adicional de Acúmulo de função]])/210*15.5*1.5,0))</f>
        <v>0</v>
      </c>
      <c r="AW126" s="232">
        <f>IF(tabParametros[[#This Row],[Vagas contratadas]]&gt;0,(SUM(tabParametros[[#This Row],[Salário Base]:[Adicional de Acúmulo de função]])*30%+SUM(tabParametros[[#This Row],[Vale - Alimentação]:[Seguro de Vida]]))/tabParametros[[#This Row],[Vagas contratadas]]*tabParametros[[#This Row],[Vagas suspensas]],0)</f>
        <v>0</v>
      </c>
      <c r="AX126" s="232">
        <f>SUMIF(tabUniformes[Cargo],tabParametros[[#This Row],[Função]],tabUniformes[Valor unit. Mensal])</f>
        <v>56.642978962543395</v>
      </c>
      <c r="AY12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6" s="232">
        <v>0</v>
      </c>
      <c r="BC126" s="234" t="e">
        <f ca="1">VLOOKUP(tabParametros[[#Headers],[Custos Indiretos]],tabOutrosCustos[],3,0)</f>
        <v>#NAME?</v>
      </c>
      <c r="BD126" s="234" t="e">
        <f ca="1">VLOOKUP(tabParametros[[#Headers],[Lucro]],tabOutrosCustos[],3,0)</f>
        <v>#NAME?</v>
      </c>
      <c r="BE126" s="233">
        <f>VLOOKUP(tabParametros[[#Headers],[COFINS]],tabImpostosNacionais[],2,0)</f>
        <v>7.5999999999999998E-2</v>
      </c>
      <c r="BF126" s="233">
        <f>VLOOKUP(tabParametros[[#Headers],[PIS]],tabImpostosNacionais[],2,0)</f>
        <v>1.6500000000000001E-2</v>
      </c>
      <c r="BG126" s="233">
        <f>VLOOKUP(tabParametros[[#This Row],[Comarca]],tabComarca[],4,0)</f>
        <v>0.04</v>
      </c>
      <c r="BH126" s="236">
        <f>VLOOKUP(tabParametros[[#This Row],[CCT DA CATEGORIA]],tabSindicatos[],11,0)</f>
        <v>45658</v>
      </c>
      <c r="BI126" s="282" t="str">
        <f>VLOOKUP(tabParametros[[#This Row],[CCT DA CATEGORIA]],tabSindicatos[],12,0)</f>
        <v>-</v>
      </c>
      <c r="BJ126" s="285" t="str">
        <f>VLOOKUP(tabParametros[[#This Row],[CCT DA CATEGORIA]],tabSindicatos[],13,0)</f>
        <v>-</v>
      </c>
    </row>
    <row r="127" spans="1:62">
      <c r="A127" s="231" t="s">
        <v>1583</v>
      </c>
      <c r="B127" s="197" t="s">
        <v>1127</v>
      </c>
      <c r="C127" s="197" t="s">
        <v>314</v>
      </c>
      <c r="D127" s="197" t="str">
        <f>VLOOKUP(tabParametros[[#This Row],[Código do Posto]],tabPostos[],4,0)</f>
        <v>Fethemg Interior</v>
      </c>
      <c r="E127" s="282" t="str">
        <f>VLOOKUP(tabParametros[[#This Row],[Código do Posto]],tabPostos[],5,0)</f>
        <v>Apoio</v>
      </c>
      <c r="F127" s="282" t="str">
        <f>VLOOKUP(tabParametros[[#This Row],[Código do Posto]],tabPostos[],6,0)</f>
        <v>PGJ</v>
      </c>
      <c r="G127" s="282">
        <f>VLOOKUP(tabParametros[[#This Row],[Código do Posto]],tabPostos[],7,0)</f>
        <v>1</v>
      </c>
      <c r="H127" s="282">
        <f>VLOOKUP(tabParametros[[#This Row],[Código do Posto]],tabPostos[],8,0)</f>
        <v>0</v>
      </c>
      <c r="I127" s="232">
        <f>VLOOKUP(tabParametros[[#This Row],[Código do Posto]],tabPostos[],9,0)</f>
        <v>1963.4110092077037</v>
      </c>
      <c r="J127" s="232">
        <f>IF(ISNUMBER(SEARCH("Eletricista",tabParametros[[#This Row],[Função]],1)),0.3*tabParametros[[#This Row],[Salário Base]],0)</f>
        <v>0</v>
      </c>
      <c r="K12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7" s="232">
        <f>IF(AND(ISNUMBER(SEARCH("Noturno",tabParametros[[#This Row],[Função]],1)),tabParametros[[#This Row],[Comarca]]&lt;&gt;"Juiz de Fora"),tabParametros[[#This Row],[Salário Base]]/210*0.39*7*15.5,IF(ISNUMBER(SEARCH("Noturno",tabParametros[[#This Row],[Função]],1)),tabParametros[[#This Row],[Salário Base]]/210*0.2*8*15.5,0))</f>
        <v>0</v>
      </c>
      <c r="M127" s="232">
        <f>IF(ISNUMBER(SEARCH("Motorista II",tabParametros[[#This Row],[Função]],1)),0.3022*tabParametros[[#This Row],[Salário Base]],0)</f>
        <v>0</v>
      </c>
      <c r="N127" s="254">
        <v>0</v>
      </c>
      <c r="O127" s="254">
        <f>IF(ISNUMBER(SEARCH("TECNOLOGIA DA INFORMACAO",tabParametros[[#This Row],[Função]],1)),0.056*tabParametros[[#This Row],[Salário Base]],0)</f>
        <v>0</v>
      </c>
      <c r="P127" s="232">
        <f>IF(tabParametros[[#This Row],[Função]]="Operador de Midia Audiovisual - 150 h",tabParametros[[#This Row],[Salário Base]]/150*50*30%,IF(tabParametros[[#This Row],[Função]]="Supervisor de Manutencao de Veiculos II - 220 h",12%*tabParametros[[#This Row],[Salário Base]],0))</f>
        <v>0</v>
      </c>
      <c r="Q127" s="233">
        <f>VLOOKUP(tabParametros[[#Headers],[INSS]],tabImpostosNacionais[],2,0)</f>
        <v>0.2</v>
      </c>
      <c r="R127" s="233">
        <f>VLOOKUP(tabParametros[[#Headers],[SESI OU SESC]],tabImpostosNacionais[],2,0)</f>
        <v>1.4999999999999999E-2</v>
      </c>
      <c r="S127" s="233">
        <f>VLOOKUP(tabParametros[[#Headers],[SENAI OU SENAC]],tabImpostosNacionais[],2,0)</f>
        <v>0.01</v>
      </c>
      <c r="T127" s="233">
        <f>VLOOKUP(tabParametros[[#Headers],[INCRA]],tabImpostosNacionais[],2,0)</f>
        <v>2E-3</v>
      </c>
      <c r="U127" s="233">
        <f>VLOOKUP(tabParametros[[#Headers],[Salário Educação]],tabImpostosNacionais[],2,0)</f>
        <v>2.5000000000000001E-2</v>
      </c>
      <c r="V127" s="233">
        <f>VLOOKUP(tabParametros[[#Headers],[FGTS]],tabImpostosNacionais[],2,0)</f>
        <v>0.08</v>
      </c>
      <c r="W127" s="233">
        <f>VLOOKUP(tabParametros[[#Headers],[RAT Ajustado]],tabImpostosNacionais[],2,0)</f>
        <v>0.04</v>
      </c>
      <c r="X127" s="233">
        <f>VLOOKUP(tabParametros[[#Headers],[SEBRAE]],tabImpostosNacionais[],2,0)</f>
        <v>6.0000000000000001E-3</v>
      </c>
      <c r="Y127" s="233">
        <f t="shared" si="11"/>
        <v>8.3333333333333329E-2</v>
      </c>
      <c r="Z127" s="233">
        <f t="shared" si="12"/>
        <v>0.1111111111111111</v>
      </c>
      <c r="AA127" s="232">
        <f>VLOOKUP(tabParametros[[#This Row],[Comarca]],tabComarca[],5,0)</f>
        <v>6.4</v>
      </c>
      <c r="AB127" s="232">
        <f>VLOOKUP(tabParametros[[#This Row],[CCT DA CATEGORIA]],tabSindicatos[],6,0)</f>
        <v>29.15</v>
      </c>
      <c r="AC127" s="232">
        <f>VLOOKUP(tabParametros[[#This Row],[CCT DA CATEGORIA]],tabSindicatos[],7,0)</f>
        <v>0</v>
      </c>
      <c r="AD127" s="232" cm="1">
        <f t="array" ref="AD12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27" s="232">
        <f>VLOOKUP(tabParametros[[#This Row],[CCT DA CATEGORIA]],tabSindicatos[],9,0)</f>
        <v>15.07</v>
      </c>
      <c r="AF127" s="232">
        <f>VLOOKUP(tabParametros[[#This Row],[CCT DA CATEGORIA]],tabSindicatos[],10,0)</f>
        <v>0</v>
      </c>
      <c r="AG127" s="234">
        <f>VLOOKUP(tabParametros[[#Headers],[Seguro de Vida]],tabOutrosCustos[],3,0)</f>
        <v>3.36</v>
      </c>
      <c r="AH127" s="234">
        <f>IF(ISNUMBER(SEARCH("MOTORISTA",tabParametros[[#This Row],[Função]],1)),VLOOKUP("MOTORISTAS",tabDiarias[],2,0),IF(tabParametros[[#This Row],[Comarca]]="Belo Horizonte",VLOOKUP("APOIO",tabDiarias[],2,0),0))</f>
        <v>0</v>
      </c>
      <c r="AI127" s="233">
        <f t="shared" si="13"/>
        <v>7.011766975308642E-3</v>
      </c>
      <c r="AJ127" s="235">
        <f>tabParametros[[#This Row],[FGTS]]*tabParametros[[#This Row],[Aviso Prévio Indenizado (API) e Reflexo do Aviso Prévio Indenizado]]</f>
        <v>5.609413580246914E-4</v>
      </c>
      <c r="AK127" s="235">
        <f>tabParametros[[#This Row],[FGTS]]*tabParametros[[#This Row],[Aviso Prévio Indenizado (API) e Reflexo do Aviso Prévio Indenizado]]*40%</f>
        <v>2.2437654320987658E-4</v>
      </c>
      <c r="AL127" s="233">
        <f t="shared" si="14"/>
        <v>3.5000000000000005E-3</v>
      </c>
      <c r="AM127" s="233">
        <f>tabParametros[[#This Row],[Aviso Prévio Trabalhado - APT]]*SUM(tabParametros[[#This Row],[INSS]:[SEBRAE]])</f>
        <v>1.3230000000000004E-3</v>
      </c>
      <c r="AN127" s="233">
        <f t="shared" si="15"/>
        <v>3.0577777777777773E-2</v>
      </c>
      <c r="AO127" s="233">
        <f t="shared" si="16"/>
        <v>8.3333333333333339E-4</v>
      </c>
      <c r="AP127" s="233">
        <f t="shared" si="17"/>
        <v>8.4444444444444437E-3</v>
      </c>
      <c r="AQ127" s="233">
        <f t="shared" si="18"/>
        <v>2.0277777777777777E-3</v>
      </c>
      <c r="AR127" s="233">
        <f t="shared" si="19"/>
        <v>1.7083333333333333E-4</v>
      </c>
      <c r="AS127" s="233">
        <f t="shared" si="20"/>
        <v>2.0833333333333335E-4</v>
      </c>
      <c r="AT127" s="233">
        <f t="shared" si="21"/>
        <v>1.2962962962962963E-3</v>
      </c>
      <c r="AU127" s="235">
        <f>SUM(tabParametros[[#This Row],[Ausência por Doença]:[Férias, Adicional de Férias e 13º  com empregada em gozo de Licença Maternidade]])*SUM(tabParametros[[#This Row],[INSS]:[SEBRAE]])</f>
        <v>4.5918250000000008E-3</v>
      </c>
      <c r="AV127"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27" s="232">
        <f>IF(tabParametros[[#This Row],[Vagas contratadas]]&gt;0,(SUM(tabParametros[[#This Row],[Salário Base]:[Adicional de Acúmulo de função]])*30%+SUM(tabParametros[[#This Row],[Vale - Alimentação]:[Seguro de Vida]]))/tabParametros[[#This Row],[Vagas contratadas]]*tabParametros[[#This Row],[Vagas suspensas]],0)</f>
        <v>0</v>
      </c>
      <c r="AX127" s="232">
        <f>SUMIF(tabUniformes[Cargo],tabParametros[[#This Row],[Função]],tabUniformes[Valor unit. Mensal])</f>
        <v>56.642978962543395</v>
      </c>
      <c r="AY12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7" s="232">
        <v>0</v>
      </c>
      <c r="BC127" s="234" t="e">
        <f ca="1">VLOOKUP(tabParametros[[#Headers],[Custos Indiretos]],tabOutrosCustos[],3,0)</f>
        <v>#NAME?</v>
      </c>
      <c r="BD127" s="234" t="e">
        <f ca="1">VLOOKUP(tabParametros[[#Headers],[Lucro]],tabOutrosCustos[],3,0)</f>
        <v>#NAME?</v>
      </c>
      <c r="BE127" s="233">
        <f>VLOOKUP(tabParametros[[#Headers],[COFINS]],tabImpostosNacionais[],2,0)</f>
        <v>7.5999999999999998E-2</v>
      </c>
      <c r="BF127" s="233">
        <f>VLOOKUP(tabParametros[[#Headers],[PIS]],tabImpostosNacionais[],2,0)</f>
        <v>1.6500000000000001E-2</v>
      </c>
      <c r="BG127" s="233">
        <f>VLOOKUP(tabParametros[[#This Row],[Comarca]],tabComarca[],4,0)</f>
        <v>0.03</v>
      </c>
      <c r="BH127" s="236">
        <f>VLOOKUP(tabParametros[[#This Row],[CCT DA CATEGORIA]],tabSindicatos[],11,0)</f>
        <v>45658</v>
      </c>
      <c r="BI127" s="282" t="str">
        <f>VLOOKUP(tabParametros[[#This Row],[CCT DA CATEGORIA]],tabSindicatos[],12,0)</f>
        <v>-</v>
      </c>
      <c r="BJ127" s="285" t="str">
        <f>VLOOKUP(tabParametros[[#This Row],[CCT DA CATEGORIA]],tabSindicatos[],13,0)</f>
        <v>-</v>
      </c>
    </row>
    <row r="128" spans="1:62">
      <c r="A128" s="231" t="s">
        <v>1584</v>
      </c>
      <c r="B128" s="197" t="s">
        <v>1128</v>
      </c>
      <c r="C128" s="197" t="s">
        <v>1371</v>
      </c>
      <c r="D128" s="197" t="str">
        <f>VLOOKUP(tabParametros[[#This Row],[Código do Posto]],tabPostos[],4,0)</f>
        <v>Sind - Asseio</v>
      </c>
      <c r="E128" s="282" t="str">
        <f>VLOOKUP(tabParametros[[#This Row],[Código do Posto]],tabPostos[],5,0)</f>
        <v>Apoio</v>
      </c>
      <c r="F128" s="282" t="str">
        <f>VLOOKUP(tabParametros[[#This Row],[Código do Posto]],tabPostos[],6,0)</f>
        <v>PGJ</v>
      </c>
      <c r="G128" s="282">
        <f>VLOOKUP(tabParametros[[#This Row],[Código do Posto]],tabPostos[],7,0)</f>
        <v>1</v>
      </c>
      <c r="H128" s="282">
        <f>VLOOKUP(tabParametros[[#This Row],[Código do Posto]],tabPostos[],8,0)</f>
        <v>0</v>
      </c>
      <c r="I128" s="232">
        <f>VLOOKUP(tabParametros[[#This Row],[Código do Posto]],tabPostos[],9,0)</f>
        <v>6454.87</v>
      </c>
      <c r="J128" s="232">
        <f>IF(ISNUMBER(SEARCH("Eletricista",tabParametros[[#This Row],[Função]],1)),0.3*tabParametros[[#This Row],[Salário Base]],0)</f>
        <v>0</v>
      </c>
      <c r="K12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8" s="232">
        <f>IF(AND(ISNUMBER(SEARCH("Noturno",tabParametros[[#This Row],[Função]],1)),tabParametros[[#This Row],[Comarca]]&lt;&gt;"Juiz de Fora"),tabParametros[[#This Row],[Salário Base]]/210*0.39*7*15.5,IF(ISNUMBER(SEARCH("Noturno",tabParametros[[#This Row],[Função]],1)),tabParametros[[#This Row],[Salário Base]]/210*0.2*8*15.5,0))</f>
        <v>0</v>
      </c>
      <c r="M128" s="232">
        <f>IF(ISNUMBER(SEARCH("Motorista II",tabParametros[[#This Row],[Função]],1)),0.3022*tabParametros[[#This Row],[Salário Base]],0)</f>
        <v>0</v>
      </c>
      <c r="N128" s="254">
        <v>0</v>
      </c>
      <c r="O128" s="254">
        <f>IF(ISNUMBER(SEARCH("TECNOLOGIA DA INFORMACAO",tabParametros[[#This Row],[Função]],1)),0.056*tabParametros[[#This Row],[Salário Base]],0)</f>
        <v>0</v>
      </c>
      <c r="P128" s="232">
        <f>IF(tabParametros[[#This Row],[Função]]="Operador de Midia Audiovisual - 150 h",tabParametros[[#This Row],[Salário Base]]/150*50*30%,IF(tabParametros[[#This Row],[Função]]="Supervisor de Manutencao de Veiculos II - 220 h",12%*tabParametros[[#This Row],[Salário Base]],0))</f>
        <v>0</v>
      </c>
      <c r="Q128" s="233">
        <f>VLOOKUP(tabParametros[[#Headers],[INSS]],tabImpostosNacionais[],2,0)</f>
        <v>0.2</v>
      </c>
      <c r="R128" s="233">
        <f>VLOOKUP(tabParametros[[#Headers],[SESI OU SESC]],tabImpostosNacionais[],2,0)</f>
        <v>1.4999999999999999E-2</v>
      </c>
      <c r="S128" s="233">
        <f>VLOOKUP(tabParametros[[#Headers],[SENAI OU SENAC]],tabImpostosNacionais[],2,0)</f>
        <v>0.01</v>
      </c>
      <c r="T128" s="233">
        <f>VLOOKUP(tabParametros[[#Headers],[INCRA]],tabImpostosNacionais[],2,0)</f>
        <v>2E-3</v>
      </c>
      <c r="U128" s="233">
        <f>VLOOKUP(tabParametros[[#Headers],[Salário Educação]],tabImpostosNacionais[],2,0)</f>
        <v>2.5000000000000001E-2</v>
      </c>
      <c r="V128" s="233">
        <f>VLOOKUP(tabParametros[[#Headers],[FGTS]],tabImpostosNacionais[],2,0)</f>
        <v>0.08</v>
      </c>
      <c r="W128" s="233">
        <f>VLOOKUP(tabParametros[[#Headers],[RAT Ajustado]],tabImpostosNacionais[],2,0)</f>
        <v>0.04</v>
      </c>
      <c r="X128" s="233">
        <f>VLOOKUP(tabParametros[[#Headers],[SEBRAE]],tabImpostosNacionais[],2,0)</f>
        <v>6.0000000000000001E-3</v>
      </c>
      <c r="Y128" s="233">
        <f t="shared" si="11"/>
        <v>8.3333333333333329E-2</v>
      </c>
      <c r="Z128" s="233">
        <f t="shared" si="12"/>
        <v>0.1111111111111111</v>
      </c>
      <c r="AA128" s="232">
        <f>VLOOKUP(tabParametros[[#This Row],[Comarca]],tabComarca[],5,0)</f>
        <v>6.4</v>
      </c>
      <c r="AB128" s="232">
        <f>VLOOKUP(tabParametros[[#This Row],[CCT DA CATEGORIA]],tabSindicatos[],6,0)</f>
        <v>29.15</v>
      </c>
      <c r="AC128" s="232">
        <f>VLOOKUP(tabParametros[[#This Row],[CCT DA CATEGORIA]],tabSindicatos[],7,0)</f>
        <v>0</v>
      </c>
      <c r="AD128" s="232" cm="1">
        <f t="array" ref="AD12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128" s="232">
        <f>VLOOKUP(tabParametros[[#This Row],[CCT DA CATEGORIA]],tabSindicatos[],9,0)</f>
        <v>0</v>
      </c>
      <c r="AF128" s="232">
        <f>VLOOKUP(tabParametros[[#This Row],[CCT DA CATEGORIA]],tabSindicatos[],10,0)</f>
        <v>0</v>
      </c>
      <c r="AG128" s="234">
        <f>VLOOKUP(tabParametros[[#Headers],[Seguro de Vida]],tabOutrosCustos[],3,0)</f>
        <v>3.36</v>
      </c>
      <c r="AH128" s="234">
        <f>IF(ISNUMBER(SEARCH("MOTORISTA",tabParametros[[#This Row],[Função]],1)),VLOOKUP("MOTORISTAS",tabDiarias[],2,0),IF(tabParametros[[#This Row],[Comarca]]="Belo Horizonte",VLOOKUP("APOIO",tabDiarias[],2,0),0))</f>
        <v>0</v>
      </c>
      <c r="AI128" s="233">
        <f t="shared" si="13"/>
        <v>7.011766975308642E-3</v>
      </c>
      <c r="AJ128" s="235">
        <f>tabParametros[[#This Row],[FGTS]]*tabParametros[[#This Row],[Aviso Prévio Indenizado (API) e Reflexo do Aviso Prévio Indenizado]]</f>
        <v>5.609413580246914E-4</v>
      </c>
      <c r="AK128" s="235">
        <f>tabParametros[[#This Row],[FGTS]]*tabParametros[[#This Row],[Aviso Prévio Indenizado (API) e Reflexo do Aviso Prévio Indenizado]]*40%</f>
        <v>2.2437654320987658E-4</v>
      </c>
      <c r="AL128" s="233">
        <f t="shared" si="14"/>
        <v>3.5000000000000005E-3</v>
      </c>
      <c r="AM128" s="233">
        <f>tabParametros[[#This Row],[Aviso Prévio Trabalhado - APT]]*SUM(tabParametros[[#This Row],[INSS]:[SEBRAE]])</f>
        <v>1.3230000000000004E-3</v>
      </c>
      <c r="AN128" s="233">
        <f t="shared" si="15"/>
        <v>3.0577777777777773E-2</v>
      </c>
      <c r="AO128" s="233">
        <f t="shared" si="16"/>
        <v>8.3333333333333339E-4</v>
      </c>
      <c r="AP128" s="233">
        <f t="shared" si="17"/>
        <v>8.4444444444444437E-3</v>
      </c>
      <c r="AQ128" s="233">
        <f t="shared" si="18"/>
        <v>2.0277777777777777E-3</v>
      </c>
      <c r="AR128" s="233">
        <f t="shared" si="19"/>
        <v>1.7083333333333333E-4</v>
      </c>
      <c r="AS128" s="233">
        <f t="shared" si="20"/>
        <v>2.0833333333333335E-4</v>
      </c>
      <c r="AT128" s="233">
        <f t="shared" si="21"/>
        <v>1.2962962962962963E-3</v>
      </c>
      <c r="AU128" s="235">
        <f>SUM(tabParametros[[#This Row],[Ausência por Doença]:[Férias, Adicional de Férias e 13º  com empregada em gozo de Licença Maternidade]])*SUM(tabParametros[[#This Row],[INSS]:[SEBRAE]])</f>
        <v>4.5918250000000008E-3</v>
      </c>
      <c r="AV128" s="254">
        <f>IF(tabParametros[[#This Row],[Função]]="Porteiro - 220 h",SUM(tabParametros[[#This Row],[Salário Base]:[Adicional de Acúmulo de função]])/220*20*1.5,IF(ISNUMBER(SEARCH("12 x 36",tabParametros[[#This Row],[Função]],1)),SUM(tabParametros[[#This Row],[Salário Base]:[Adicional de Acúmulo de função]])/210*15.5*1.5,0))</f>
        <v>0</v>
      </c>
      <c r="AW128" s="232">
        <f>IF(tabParametros[[#This Row],[Vagas contratadas]]&gt;0,(SUM(tabParametros[[#This Row],[Salário Base]:[Adicional de Acúmulo de função]])*30%+SUM(tabParametros[[#This Row],[Vale - Alimentação]:[Seguro de Vida]]))/tabParametros[[#This Row],[Vagas contratadas]]*tabParametros[[#This Row],[Vagas suspensas]],0)</f>
        <v>0</v>
      </c>
      <c r="AX128" s="232">
        <f>SUMIF(tabUniformes[Cargo],tabParametros[[#This Row],[Função]],tabUniformes[Valor unit. Mensal])</f>
        <v>90.784679782039703</v>
      </c>
      <c r="AY12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8" s="232">
        <v>0</v>
      </c>
      <c r="BC128" s="234" t="e">
        <f ca="1">VLOOKUP(tabParametros[[#Headers],[Custos Indiretos]],tabOutrosCustos[],3,0)</f>
        <v>#NAME?</v>
      </c>
      <c r="BD128" s="234" t="e">
        <f ca="1">VLOOKUP(tabParametros[[#Headers],[Lucro]],tabOutrosCustos[],3,0)</f>
        <v>#NAME?</v>
      </c>
      <c r="BE128" s="233">
        <f>VLOOKUP(tabParametros[[#Headers],[COFINS]],tabImpostosNacionais[],2,0)</f>
        <v>7.5999999999999998E-2</v>
      </c>
      <c r="BF128" s="233">
        <f>VLOOKUP(tabParametros[[#Headers],[PIS]],tabImpostosNacionais[],2,0)</f>
        <v>1.6500000000000001E-2</v>
      </c>
      <c r="BG128" s="233">
        <f>VLOOKUP(tabParametros[[#This Row],[Comarca]],tabComarca[],4,0)</f>
        <v>0.03</v>
      </c>
      <c r="BH128" s="236">
        <f>VLOOKUP(tabParametros[[#This Row],[CCT DA CATEGORIA]],tabSindicatos[],11,0)</f>
        <v>45658</v>
      </c>
      <c r="BI128" s="282" t="str">
        <f>VLOOKUP(tabParametros[[#This Row],[CCT DA CATEGORIA]],tabSindicatos[],12,0)</f>
        <v>-</v>
      </c>
      <c r="BJ128" s="285" t="str">
        <f>VLOOKUP(tabParametros[[#This Row],[CCT DA CATEGORIA]],tabSindicatos[],13,0)</f>
        <v>-</v>
      </c>
    </row>
    <row r="129" spans="1:62">
      <c r="A129" s="231" t="s">
        <v>1470</v>
      </c>
      <c r="B129" s="197" t="s">
        <v>1128</v>
      </c>
      <c r="C129" s="197" t="s">
        <v>205</v>
      </c>
      <c r="D129" s="197" t="str">
        <f>VLOOKUP(tabParametros[[#This Row],[Código do Posto]],tabPostos[],4,0)</f>
        <v>Sind - Asseio</v>
      </c>
      <c r="E129" s="282" t="str">
        <f>VLOOKUP(tabParametros[[#This Row],[Código do Posto]],tabPostos[],5,0)</f>
        <v>Apoio</v>
      </c>
      <c r="F129" s="282" t="str">
        <f>VLOOKUP(tabParametros[[#This Row],[Código do Posto]],tabPostos[],6,0)</f>
        <v>PGJ</v>
      </c>
      <c r="G129" s="282">
        <f>VLOOKUP(tabParametros[[#This Row],[Código do Posto]],tabPostos[],7,0)</f>
        <v>1</v>
      </c>
      <c r="H129" s="282">
        <f>VLOOKUP(tabParametros[[#This Row],[Código do Posto]],tabPostos[],8,0)</f>
        <v>0</v>
      </c>
      <c r="I129" s="232">
        <f>VLOOKUP(tabParametros[[#This Row],[Código do Posto]],tabPostos[],9,0)</f>
        <v>1649.1153464738998</v>
      </c>
      <c r="J129" s="232">
        <f>IF(ISNUMBER(SEARCH("Eletricista",tabParametros[[#This Row],[Função]],1)),0.3*tabParametros[[#This Row],[Salário Base]],0)</f>
        <v>0</v>
      </c>
      <c r="K12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29" s="232">
        <f>IF(AND(ISNUMBER(SEARCH("Noturno",tabParametros[[#This Row],[Função]],1)),tabParametros[[#This Row],[Comarca]]&lt;&gt;"Juiz de Fora"),tabParametros[[#This Row],[Salário Base]]/210*0.39*7*15.5,IF(ISNUMBER(SEARCH("Noturno",tabParametros[[#This Row],[Função]],1)),tabParametros[[#This Row],[Salário Base]]/210*0.2*8*15.5,0))</f>
        <v>0</v>
      </c>
      <c r="M129" s="232">
        <f>IF(ISNUMBER(SEARCH("Motorista II",tabParametros[[#This Row],[Função]],1)),0.3022*tabParametros[[#This Row],[Salário Base]],0)</f>
        <v>0</v>
      </c>
      <c r="N129" s="254">
        <v>0</v>
      </c>
      <c r="O129" s="254">
        <f>IF(ISNUMBER(SEARCH("TECNOLOGIA DA INFORMACAO",tabParametros[[#This Row],[Função]],1)),0.056*tabParametros[[#This Row],[Salário Base]],0)</f>
        <v>0</v>
      </c>
      <c r="P129" s="232">
        <f>IF(tabParametros[[#This Row],[Função]]="Operador de Midia Audiovisual - 150 h",tabParametros[[#This Row],[Salário Base]]/150*50*30%,IF(tabParametros[[#This Row],[Função]]="Supervisor de Manutencao de Veiculos II - 220 h",12%*tabParametros[[#This Row],[Salário Base]],0))</f>
        <v>0</v>
      </c>
      <c r="Q129" s="233">
        <f>VLOOKUP(tabParametros[[#Headers],[INSS]],tabImpostosNacionais[],2,0)</f>
        <v>0.2</v>
      </c>
      <c r="R129" s="233">
        <f>VLOOKUP(tabParametros[[#Headers],[SESI OU SESC]],tabImpostosNacionais[],2,0)</f>
        <v>1.4999999999999999E-2</v>
      </c>
      <c r="S129" s="233">
        <f>VLOOKUP(tabParametros[[#Headers],[SENAI OU SENAC]],tabImpostosNacionais[],2,0)</f>
        <v>0.01</v>
      </c>
      <c r="T129" s="233">
        <f>VLOOKUP(tabParametros[[#Headers],[INCRA]],tabImpostosNacionais[],2,0)</f>
        <v>2E-3</v>
      </c>
      <c r="U129" s="233">
        <f>VLOOKUP(tabParametros[[#Headers],[Salário Educação]],tabImpostosNacionais[],2,0)</f>
        <v>2.5000000000000001E-2</v>
      </c>
      <c r="V129" s="233">
        <f>VLOOKUP(tabParametros[[#Headers],[FGTS]],tabImpostosNacionais[],2,0)</f>
        <v>0.08</v>
      </c>
      <c r="W129" s="233">
        <f>VLOOKUP(tabParametros[[#Headers],[RAT Ajustado]],tabImpostosNacionais[],2,0)</f>
        <v>0.04</v>
      </c>
      <c r="X129" s="233">
        <f>VLOOKUP(tabParametros[[#Headers],[SEBRAE]],tabImpostosNacionais[],2,0)</f>
        <v>6.0000000000000001E-3</v>
      </c>
      <c r="Y129" s="233">
        <f t="shared" si="11"/>
        <v>8.3333333333333329E-2</v>
      </c>
      <c r="Z129" s="233">
        <f t="shared" si="12"/>
        <v>0.1111111111111111</v>
      </c>
      <c r="AA129" s="232">
        <f>VLOOKUP(tabParametros[[#This Row],[Comarca]],tabComarca[],5,0)</f>
        <v>6.4</v>
      </c>
      <c r="AB129" s="232">
        <f>VLOOKUP(tabParametros[[#This Row],[CCT DA CATEGORIA]],tabSindicatos[],6,0)</f>
        <v>29.15</v>
      </c>
      <c r="AC129" s="232">
        <f>VLOOKUP(tabParametros[[#This Row],[CCT DA CATEGORIA]],tabSindicatos[],7,0)</f>
        <v>0</v>
      </c>
      <c r="AD129" s="232" cm="1">
        <f t="array" ref="AD12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129" s="232">
        <f>VLOOKUP(tabParametros[[#This Row],[CCT DA CATEGORIA]],tabSindicatos[],9,0)</f>
        <v>0</v>
      </c>
      <c r="AF129" s="232">
        <f>VLOOKUP(tabParametros[[#This Row],[CCT DA CATEGORIA]],tabSindicatos[],10,0)</f>
        <v>0</v>
      </c>
      <c r="AG129" s="234">
        <f>VLOOKUP(tabParametros[[#Headers],[Seguro de Vida]],tabOutrosCustos[],3,0)</f>
        <v>3.36</v>
      </c>
      <c r="AH129" s="234">
        <f>IF(ISNUMBER(SEARCH("MOTORISTA",tabParametros[[#This Row],[Função]],1)),VLOOKUP("MOTORISTAS",tabDiarias[],2,0),IF(tabParametros[[#This Row],[Comarca]]="Belo Horizonte",VLOOKUP("APOIO",tabDiarias[],2,0),0))</f>
        <v>0</v>
      </c>
      <c r="AI129" s="233">
        <f t="shared" si="13"/>
        <v>7.011766975308642E-3</v>
      </c>
      <c r="AJ129" s="235">
        <f>tabParametros[[#This Row],[FGTS]]*tabParametros[[#This Row],[Aviso Prévio Indenizado (API) e Reflexo do Aviso Prévio Indenizado]]</f>
        <v>5.609413580246914E-4</v>
      </c>
      <c r="AK129" s="235">
        <f>tabParametros[[#This Row],[FGTS]]*tabParametros[[#This Row],[Aviso Prévio Indenizado (API) e Reflexo do Aviso Prévio Indenizado]]*40%</f>
        <v>2.2437654320987658E-4</v>
      </c>
      <c r="AL129" s="233">
        <f t="shared" si="14"/>
        <v>3.5000000000000005E-3</v>
      </c>
      <c r="AM129" s="233">
        <f>tabParametros[[#This Row],[Aviso Prévio Trabalhado - APT]]*SUM(tabParametros[[#This Row],[INSS]:[SEBRAE]])</f>
        <v>1.3230000000000004E-3</v>
      </c>
      <c r="AN129" s="233">
        <f t="shared" si="15"/>
        <v>3.0577777777777773E-2</v>
      </c>
      <c r="AO129" s="233">
        <f t="shared" si="16"/>
        <v>8.3333333333333339E-4</v>
      </c>
      <c r="AP129" s="233">
        <f t="shared" si="17"/>
        <v>8.4444444444444437E-3</v>
      </c>
      <c r="AQ129" s="233">
        <f t="shared" si="18"/>
        <v>2.0277777777777777E-3</v>
      </c>
      <c r="AR129" s="233">
        <f t="shared" si="19"/>
        <v>1.7083333333333333E-4</v>
      </c>
      <c r="AS129" s="233">
        <f t="shared" si="20"/>
        <v>2.0833333333333335E-4</v>
      </c>
      <c r="AT129" s="233">
        <f t="shared" si="21"/>
        <v>1.2962962962962963E-3</v>
      </c>
      <c r="AU129" s="235">
        <f>SUM(tabParametros[[#This Row],[Ausência por Doença]:[Férias, Adicional de Férias e 13º  com empregada em gozo de Licença Maternidade]])*SUM(tabParametros[[#This Row],[INSS]:[SEBRAE]])</f>
        <v>4.5918250000000008E-3</v>
      </c>
      <c r="AV129" s="254">
        <f>IF(tabParametros[[#This Row],[Função]]="Porteiro - 220 h",SUM(tabParametros[[#This Row],[Salário Base]:[Adicional de Acúmulo de função]])/220*20*1.5,IF(ISNUMBER(SEARCH("12 x 36",tabParametros[[#This Row],[Função]],1)),SUM(tabParametros[[#This Row],[Salário Base]:[Adicional de Acúmulo de função]])/210*15.5*1.5,0))</f>
        <v>0</v>
      </c>
      <c r="AW129" s="232">
        <f>IF(tabParametros[[#This Row],[Vagas contratadas]]&gt;0,(SUM(tabParametros[[#This Row],[Salário Base]:[Adicional de Acúmulo de função]])*30%+SUM(tabParametros[[#This Row],[Vale - Alimentação]:[Seguro de Vida]]))/tabParametros[[#This Row],[Vagas contratadas]]*tabParametros[[#This Row],[Vagas suspensas]],0)</f>
        <v>0</v>
      </c>
      <c r="AX129" s="232">
        <f>SUMIF(tabUniformes[Cargo],tabParametros[[#This Row],[Função]],tabUniformes[Valor unit. Mensal])</f>
        <v>107.69869344317156</v>
      </c>
      <c r="AY12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2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2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29" s="232">
        <v>0</v>
      </c>
      <c r="BC129" s="234" t="e">
        <f ca="1">VLOOKUP(tabParametros[[#Headers],[Custos Indiretos]],tabOutrosCustos[],3,0)</f>
        <v>#NAME?</v>
      </c>
      <c r="BD129" s="234" t="e">
        <f ca="1">VLOOKUP(tabParametros[[#Headers],[Lucro]],tabOutrosCustos[],3,0)</f>
        <v>#NAME?</v>
      </c>
      <c r="BE129" s="233">
        <f>VLOOKUP(tabParametros[[#Headers],[COFINS]],tabImpostosNacionais[],2,0)</f>
        <v>7.5999999999999998E-2</v>
      </c>
      <c r="BF129" s="233">
        <f>VLOOKUP(tabParametros[[#Headers],[PIS]],tabImpostosNacionais[],2,0)</f>
        <v>1.6500000000000001E-2</v>
      </c>
      <c r="BG129" s="233">
        <f>VLOOKUP(tabParametros[[#This Row],[Comarca]],tabComarca[],4,0)</f>
        <v>0.03</v>
      </c>
      <c r="BH129" s="236">
        <f>VLOOKUP(tabParametros[[#This Row],[CCT DA CATEGORIA]],tabSindicatos[],11,0)</f>
        <v>45658</v>
      </c>
      <c r="BI129" s="282" t="str">
        <f>VLOOKUP(tabParametros[[#This Row],[CCT DA CATEGORIA]],tabSindicatos[],12,0)</f>
        <v>-</v>
      </c>
      <c r="BJ129" s="285" t="str">
        <f>VLOOKUP(tabParametros[[#This Row],[CCT DA CATEGORIA]],tabSindicatos[],13,0)</f>
        <v>-</v>
      </c>
    </row>
    <row r="130" spans="1:62">
      <c r="A130" s="231" t="s">
        <v>1585</v>
      </c>
      <c r="B130" s="197" t="s">
        <v>1128</v>
      </c>
      <c r="C130" s="197" t="s">
        <v>274</v>
      </c>
      <c r="D130" s="197" t="str">
        <f>VLOOKUP(tabParametros[[#This Row],[Código do Posto]],tabPostos[],4,0)</f>
        <v>Rodoviarios de Contagem + SEAC-MG</v>
      </c>
      <c r="E130" s="282" t="str">
        <f>VLOOKUP(tabParametros[[#This Row],[Código do Posto]],tabPostos[],5,0)</f>
        <v>Apoio</v>
      </c>
      <c r="F130" s="282" t="str">
        <f>VLOOKUP(tabParametros[[#This Row],[Código do Posto]],tabPostos[],6,0)</f>
        <v>PGJ</v>
      </c>
      <c r="G130" s="282">
        <f>VLOOKUP(tabParametros[[#This Row],[Código do Posto]],tabPostos[],7,0)</f>
        <v>3</v>
      </c>
      <c r="H130" s="282">
        <f>VLOOKUP(tabParametros[[#This Row],[Código do Posto]],tabPostos[],8,0)</f>
        <v>0</v>
      </c>
      <c r="I130" s="232">
        <f>VLOOKUP(tabParametros[[#This Row],[Código do Posto]],tabPostos[],9,0)</f>
        <v>4380.5669340985405</v>
      </c>
      <c r="J130" s="232">
        <f>IF(ISNUMBER(SEARCH("Eletricista",tabParametros[[#This Row],[Função]],1)),0.3*tabParametros[[#This Row],[Salário Base]],0)</f>
        <v>0</v>
      </c>
      <c r="K13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0" s="232">
        <f>IF(AND(ISNUMBER(SEARCH("Noturno",tabParametros[[#This Row],[Função]],1)),tabParametros[[#This Row],[Comarca]]&lt;&gt;"Juiz de Fora"),tabParametros[[#This Row],[Salário Base]]/210*0.39*7*15.5,IF(ISNUMBER(SEARCH("Noturno",tabParametros[[#This Row],[Função]],1)),tabParametros[[#This Row],[Salário Base]]/210*0.2*8*15.5,0))</f>
        <v>0</v>
      </c>
      <c r="M130" s="232">
        <f>IF(ISNUMBER(SEARCH("Motorista II",tabParametros[[#This Row],[Função]],1)),0.3022*tabParametros[[#This Row],[Salário Base]],0)</f>
        <v>0</v>
      </c>
      <c r="N130" s="254">
        <v>0</v>
      </c>
      <c r="O130" s="254">
        <f>IF(ISNUMBER(SEARCH("TECNOLOGIA DA INFORMACAO",tabParametros[[#This Row],[Função]],1)),0.056*tabParametros[[#This Row],[Salário Base]],0)</f>
        <v>0</v>
      </c>
      <c r="P130" s="232">
        <f>IF(tabParametros[[#This Row],[Função]]="Operador de Midia Audiovisual - 150 h",tabParametros[[#This Row],[Salário Base]]/150*50*30%,IF(tabParametros[[#This Row],[Função]]="Supervisor de Manutencao de Veiculos II - 220 h",12%*tabParametros[[#This Row],[Salário Base]],0))</f>
        <v>0</v>
      </c>
      <c r="Q130" s="233">
        <f>VLOOKUP(tabParametros[[#Headers],[INSS]],tabImpostosNacionais[],2,0)</f>
        <v>0.2</v>
      </c>
      <c r="R130" s="233">
        <f>VLOOKUP(tabParametros[[#Headers],[SESI OU SESC]],tabImpostosNacionais[],2,0)</f>
        <v>1.4999999999999999E-2</v>
      </c>
      <c r="S130" s="233">
        <f>VLOOKUP(tabParametros[[#Headers],[SENAI OU SENAC]],tabImpostosNacionais[],2,0)</f>
        <v>0.01</v>
      </c>
      <c r="T130" s="233">
        <f>VLOOKUP(tabParametros[[#Headers],[INCRA]],tabImpostosNacionais[],2,0)</f>
        <v>2E-3</v>
      </c>
      <c r="U130" s="233">
        <f>VLOOKUP(tabParametros[[#Headers],[Salário Educação]],tabImpostosNacionais[],2,0)</f>
        <v>2.5000000000000001E-2</v>
      </c>
      <c r="V130" s="233">
        <f>VLOOKUP(tabParametros[[#Headers],[FGTS]],tabImpostosNacionais[],2,0)</f>
        <v>0.08</v>
      </c>
      <c r="W130" s="233">
        <f>VLOOKUP(tabParametros[[#Headers],[RAT Ajustado]],tabImpostosNacionais[],2,0)</f>
        <v>0.04</v>
      </c>
      <c r="X130" s="233">
        <f>VLOOKUP(tabParametros[[#Headers],[SEBRAE]],tabImpostosNacionais[],2,0)</f>
        <v>6.0000000000000001E-3</v>
      </c>
      <c r="Y130" s="233">
        <f t="shared" si="11"/>
        <v>8.3333333333333329E-2</v>
      </c>
      <c r="Z130" s="233">
        <f t="shared" si="12"/>
        <v>0.1111111111111111</v>
      </c>
      <c r="AA130" s="232">
        <f>VLOOKUP(tabParametros[[#This Row],[Comarca]],tabComarca[],5,0)</f>
        <v>6.4</v>
      </c>
      <c r="AB130" s="232">
        <f>VLOOKUP(tabParametros[[#This Row],[CCT DA CATEGORIA]],tabSindicatos[],6,0)</f>
        <v>28.97</v>
      </c>
      <c r="AC130" s="232">
        <f>VLOOKUP(tabParametros[[#This Row],[CCT DA CATEGORIA]],tabSindicatos[],7,0)</f>
        <v>0</v>
      </c>
      <c r="AD130" s="232" cm="1">
        <f t="array" ref="AD13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30" s="232">
        <f>VLOOKUP(tabParametros[[#This Row],[CCT DA CATEGORIA]],tabSindicatos[],9,0)</f>
        <v>0</v>
      </c>
      <c r="AF130" s="232">
        <f>VLOOKUP(tabParametros[[#This Row],[CCT DA CATEGORIA]],tabSindicatos[],10,0)</f>
        <v>0</v>
      </c>
      <c r="AG130" s="234">
        <f>VLOOKUP(tabParametros[[#Headers],[Seguro de Vida]],tabOutrosCustos[],3,0)</f>
        <v>3.36</v>
      </c>
      <c r="AH130" s="234">
        <f>IF(ISNUMBER(SEARCH("MOTORISTA",tabParametros[[#This Row],[Função]],1)),VLOOKUP("MOTORISTAS",tabDiarias[],2,0),IF(tabParametros[[#This Row],[Comarca]]="Belo Horizonte",VLOOKUP("APOIO",tabDiarias[],2,0),0))</f>
        <v>662.42</v>
      </c>
      <c r="AI130" s="233">
        <f t="shared" si="13"/>
        <v>7.011766975308642E-3</v>
      </c>
      <c r="AJ130" s="235">
        <f>tabParametros[[#This Row],[FGTS]]*tabParametros[[#This Row],[Aviso Prévio Indenizado (API) e Reflexo do Aviso Prévio Indenizado]]</f>
        <v>5.609413580246914E-4</v>
      </c>
      <c r="AK130" s="235">
        <f>tabParametros[[#This Row],[FGTS]]*tabParametros[[#This Row],[Aviso Prévio Indenizado (API) e Reflexo do Aviso Prévio Indenizado]]*40%</f>
        <v>2.2437654320987658E-4</v>
      </c>
      <c r="AL130" s="233">
        <f t="shared" si="14"/>
        <v>3.5000000000000005E-3</v>
      </c>
      <c r="AM130" s="233">
        <f>tabParametros[[#This Row],[Aviso Prévio Trabalhado - APT]]*SUM(tabParametros[[#This Row],[INSS]:[SEBRAE]])</f>
        <v>1.3230000000000004E-3</v>
      </c>
      <c r="AN130" s="233">
        <f t="shared" si="15"/>
        <v>3.0577777777777773E-2</v>
      </c>
      <c r="AO130" s="233">
        <f t="shared" si="16"/>
        <v>8.3333333333333339E-4</v>
      </c>
      <c r="AP130" s="233">
        <f t="shared" si="17"/>
        <v>8.4444444444444437E-3</v>
      </c>
      <c r="AQ130" s="233">
        <f t="shared" si="18"/>
        <v>2.0277777777777777E-3</v>
      </c>
      <c r="AR130" s="233">
        <f t="shared" si="19"/>
        <v>1.7083333333333333E-4</v>
      </c>
      <c r="AS130" s="233">
        <f t="shared" si="20"/>
        <v>2.0833333333333335E-4</v>
      </c>
      <c r="AT130" s="233">
        <f t="shared" si="21"/>
        <v>1.2962962962962963E-3</v>
      </c>
      <c r="AU130" s="235">
        <f>SUM(tabParametros[[#This Row],[Ausência por Doença]:[Férias, Adicional de Férias e 13º  com empregada em gozo de Licença Maternidade]])*SUM(tabParametros[[#This Row],[INSS]:[SEBRAE]])</f>
        <v>4.5918250000000008E-3</v>
      </c>
      <c r="AV130" s="254">
        <f>IF(tabParametros[[#This Row],[Função]]="Porteiro - 220 h",SUM(tabParametros[[#This Row],[Salário Base]:[Adicional de Acúmulo de função]])/220*20*1.5,IF(ISNUMBER(SEARCH("12 x 36",tabParametros[[#This Row],[Função]],1)),SUM(tabParametros[[#This Row],[Salário Base]:[Adicional de Acúmulo de função]])/210*15.5*1.5,0))</f>
        <v>0</v>
      </c>
      <c r="AW130" s="232">
        <f>IF(tabParametros[[#This Row],[Vagas contratadas]]&gt;0,(SUM(tabParametros[[#This Row],[Salário Base]:[Adicional de Acúmulo de função]])*30%+SUM(tabParametros[[#This Row],[Vale - Alimentação]:[Seguro de Vida]]))/tabParametros[[#This Row],[Vagas contratadas]]*tabParametros[[#This Row],[Vagas suspensas]],0)</f>
        <v>0</v>
      </c>
      <c r="AX130" s="232">
        <f>SUMIF(tabUniformes[Cargo],tabParametros[[#This Row],[Função]],tabUniformes[Valor unit. Mensal])</f>
        <v>92.100763771570698</v>
      </c>
      <c r="AY13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0" s="232">
        <v>0</v>
      </c>
      <c r="BC130" s="234" t="e">
        <f ca="1">VLOOKUP(tabParametros[[#Headers],[Custos Indiretos]],tabOutrosCustos[],3,0)</f>
        <v>#NAME?</v>
      </c>
      <c r="BD130" s="234" t="e">
        <f ca="1">VLOOKUP(tabParametros[[#Headers],[Lucro]],tabOutrosCustos[],3,0)</f>
        <v>#NAME?</v>
      </c>
      <c r="BE130" s="233">
        <f>VLOOKUP(tabParametros[[#Headers],[COFINS]],tabImpostosNacionais[],2,0)</f>
        <v>7.5999999999999998E-2</v>
      </c>
      <c r="BF130" s="233">
        <f>VLOOKUP(tabParametros[[#Headers],[PIS]],tabImpostosNacionais[],2,0)</f>
        <v>1.6500000000000001E-2</v>
      </c>
      <c r="BG130" s="233">
        <f>VLOOKUP(tabParametros[[#This Row],[Comarca]],tabComarca[],4,0)</f>
        <v>0.03</v>
      </c>
      <c r="BH130" s="236">
        <f>VLOOKUP(tabParametros[[#This Row],[CCT DA CATEGORIA]],tabSindicatos[],11,0)</f>
        <v>45658</v>
      </c>
      <c r="BI130" s="282" t="str">
        <f>VLOOKUP(tabParametros[[#This Row],[CCT DA CATEGORIA]],tabSindicatos[],12,0)</f>
        <v>-</v>
      </c>
      <c r="BJ130" s="285" t="str">
        <f>VLOOKUP(tabParametros[[#This Row],[CCT DA CATEGORIA]],tabSindicatos[],13,0)</f>
        <v>-</v>
      </c>
    </row>
    <row r="131" spans="1:62">
      <c r="A131" s="231" t="s">
        <v>1586</v>
      </c>
      <c r="B131" s="197" t="s">
        <v>1128</v>
      </c>
      <c r="C131" s="197" t="s">
        <v>274</v>
      </c>
      <c r="D131" s="197" t="str">
        <f>VLOOKUP(tabParametros[[#This Row],[Código do Posto]],tabPostos[],4,0)</f>
        <v>Rodoviarios de Contagem + SEAC-MG</v>
      </c>
      <c r="E131" s="282" t="str">
        <f>VLOOKUP(tabParametros[[#This Row],[Código do Posto]],tabPostos[],5,0)</f>
        <v>Apoio</v>
      </c>
      <c r="F131" s="282" t="str">
        <f>VLOOKUP(tabParametros[[#This Row],[Código do Posto]],tabPostos[],6,0)</f>
        <v>FEPDC</v>
      </c>
      <c r="G131" s="282">
        <f>VLOOKUP(tabParametros[[#This Row],[Código do Posto]],tabPostos[],7,0)</f>
        <v>1</v>
      </c>
      <c r="H131" s="282">
        <f>VLOOKUP(tabParametros[[#This Row],[Código do Posto]],tabPostos[],8,0)</f>
        <v>0</v>
      </c>
      <c r="I131" s="232">
        <f>VLOOKUP(tabParametros[[#This Row],[Código do Posto]],tabPostos[],9,0)</f>
        <v>4380.5669340985405</v>
      </c>
      <c r="J131" s="232">
        <f>IF(ISNUMBER(SEARCH("Eletricista",tabParametros[[#This Row],[Função]],1)),0.3*tabParametros[[#This Row],[Salário Base]],0)</f>
        <v>0</v>
      </c>
      <c r="K13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1" s="232">
        <f>IF(AND(ISNUMBER(SEARCH("Noturno",tabParametros[[#This Row],[Função]],1)),tabParametros[[#This Row],[Comarca]]&lt;&gt;"Juiz de Fora"),tabParametros[[#This Row],[Salário Base]]/210*0.39*7*15.5,IF(ISNUMBER(SEARCH("Noturno",tabParametros[[#This Row],[Função]],1)),tabParametros[[#This Row],[Salário Base]]/210*0.2*8*15.5,0))</f>
        <v>0</v>
      </c>
      <c r="M131" s="232">
        <f>IF(ISNUMBER(SEARCH("Motorista II",tabParametros[[#This Row],[Função]],1)),0.3022*tabParametros[[#This Row],[Salário Base]],0)</f>
        <v>0</v>
      </c>
      <c r="N131" s="254">
        <v>0</v>
      </c>
      <c r="O131" s="254">
        <f>IF(ISNUMBER(SEARCH("TECNOLOGIA DA INFORMACAO",tabParametros[[#This Row],[Função]],1)),0.056*tabParametros[[#This Row],[Salário Base]],0)</f>
        <v>0</v>
      </c>
      <c r="P131" s="232">
        <f>IF(tabParametros[[#This Row],[Função]]="Operador de Midia Audiovisual - 150 h",tabParametros[[#This Row],[Salário Base]]/150*50*30%,IF(tabParametros[[#This Row],[Função]]="Supervisor de Manutencao de Veiculos II - 220 h",12%*tabParametros[[#This Row],[Salário Base]],0))</f>
        <v>0</v>
      </c>
      <c r="Q131" s="233">
        <f>VLOOKUP(tabParametros[[#Headers],[INSS]],tabImpostosNacionais[],2,0)</f>
        <v>0.2</v>
      </c>
      <c r="R131" s="233">
        <f>VLOOKUP(tabParametros[[#Headers],[SESI OU SESC]],tabImpostosNacionais[],2,0)</f>
        <v>1.4999999999999999E-2</v>
      </c>
      <c r="S131" s="233">
        <f>VLOOKUP(tabParametros[[#Headers],[SENAI OU SENAC]],tabImpostosNacionais[],2,0)</f>
        <v>0.01</v>
      </c>
      <c r="T131" s="233">
        <f>VLOOKUP(tabParametros[[#Headers],[INCRA]],tabImpostosNacionais[],2,0)</f>
        <v>2E-3</v>
      </c>
      <c r="U131" s="233">
        <f>VLOOKUP(tabParametros[[#Headers],[Salário Educação]],tabImpostosNacionais[],2,0)</f>
        <v>2.5000000000000001E-2</v>
      </c>
      <c r="V131" s="233">
        <f>VLOOKUP(tabParametros[[#Headers],[FGTS]],tabImpostosNacionais[],2,0)</f>
        <v>0.08</v>
      </c>
      <c r="W131" s="233">
        <f>VLOOKUP(tabParametros[[#Headers],[RAT Ajustado]],tabImpostosNacionais[],2,0)</f>
        <v>0.04</v>
      </c>
      <c r="X131" s="233">
        <f>VLOOKUP(tabParametros[[#Headers],[SEBRAE]],tabImpostosNacionais[],2,0)</f>
        <v>6.0000000000000001E-3</v>
      </c>
      <c r="Y131" s="233">
        <f t="shared" si="11"/>
        <v>8.3333333333333329E-2</v>
      </c>
      <c r="Z131" s="233">
        <f t="shared" si="12"/>
        <v>0.1111111111111111</v>
      </c>
      <c r="AA131" s="232">
        <f>VLOOKUP(tabParametros[[#This Row],[Comarca]],tabComarca[],5,0)</f>
        <v>6.4</v>
      </c>
      <c r="AB131" s="232">
        <f>VLOOKUP(tabParametros[[#This Row],[CCT DA CATEGORIA]],tabSindicatos[],6,0)</f>
        <v>28.97</v>
      </c>
      <c r="AC131" s="232">
        <f>VLOOKUP(tabParametros[[#This Row],[CCT DA CATEGORIA]],tabSindicatos[],7,0)</f>
        <v>0</v>
      </c>
      <c r="AD131" s="232" cm="1">
        <f t="array" ref="AD13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31" s="232">
        <f>VLOOKUP(tabParametros[[#This Row],[CCT DA CATEGORIA]],tabSindicatos[],9,0)</f>
        <v>0</v>
      </c>
      <c r="AF131" s="232">
        <f>VLOOKUP(tabParametros[[#This Row],[CCT DA CATEGORIA]],tabSindicatos[],10,0)</f>
        <v>0</v>
      </c>
      <c r="AG131" s="234">
        <f>VLOOKUP(tabParametros[[#Headers],[Seguro de Vida]],tabOutrosCustos[],3,0)</f>
        <v>3.36</v>
      </c>
      <c r="AH131" s="234">
        <f>IF(ISNUMBER(SEARCH("MOTORISTA",tabParametros[[#This Row],[Função]],1)),VLOOKUP("MOTORISTAS",tabDiarias[],2,0),IF(tabParametros[[#This Row],[Comarca]]="Belo Horizonte",VLOOKUP("APOIO",tabDiarias[],2,0),0))</f>
        <v>662.42</v>
      </c>
      <c r="AI131" s="233">
        <f t="shared" si="13"/>
        <v>7.011766975308642E-3</v>
      </c>
      <c r="AJ131" s="235">
        <f>tabParametros[[#This Row],[FGTS]]*tabParametros[[#This Row],[Aviso Prévio Indenizado (API) e Reflexo do Aviso Prévio Indenizado]]</f>
        <v>5.609413580246914E-4</v>
      </c>
      <c r="AK131" s="235">
        <f>tabParametros[[#This Row],[FGTS]]*tabParametros[[#This Row],[Aviso Prévio Indenizado (API) e Reflexo do Aviso Prévio Indenizado]]*40%</f>
        <v>2.2437654320987658E-4</v>
      </c>
      <c r="AL131" s="233">
        <f t="shared" si="14"/>
        <v>3.5000000000000005E-3</v>
      </c>
      <c r="AM131" s="233">
        <f>tabParametros[[#This Row],[Aviso Prévio Trabalhado - APT]]*SUM(tabParametros[[#This Row],[INSS]:[SEBRAE]])</f>
        <v>1.3230000000000004E-3</v>
      </c>
      <c r="AN131" s="233">
        <f t="shared" si="15"/>
        <v>3.0577777777777773E-2</v>
      </c>
      <c r="AO131" s="233">
        <f t="shared" si="16"/>
        <v>8.3333333333333339E-4</v>
      </c>
      <c r="AP131" s="233">
        <f t="shared" si="17"/>
        <v>8.4444444444444437E-3</v>
      </c>
      <c r="AQ131" s="233">
        <f t="shared" si="18"/>
        <v>2.0277777777777777E-3</v>
      </c>
      <c r="AR131" s="233">
        <f t="shared" si="19"/>
        <v>1.7083333333333333E-4</v>
      </c>
      <c r="AS131" s="233">
        <f t="shared" si="20"/>
        <v>2.0833333333333335E-4</v>
      </c>
      <c r="AT131" s="233">
        <f t="shared" si="21"/>
        <v>1.2962962962962963E-3</v>
      </c>
      <c r="AU131" s="235">
        <f>SUM(tabParametros[[#This Row],[Ausência por Doença]:[Férias, Adicional de Férias e 13º  com empregada em gozo de Licença Maternidade]])*SUM(tabParametros[[#This Row],[INSS]:[SEBRAE]])</f>
        <v>4.5918250000000008E-3</v>
      </c>
      <c r="AV131" s="254">
        <f>IF(tabParametros[[#This Row],[Função]]="Porteiro - 220 h",SUM(tabParametros[[#This Row],[Salário Base]:[Adicional de Acúmulo de função]])/220*20*1.5,IF(ISNUMBER(SEARCH("12 x 36",tabParametros[[#This Row],[Função]],1)),SUM(tabParametros[[#This Row],[Salário Base]:[Adicional de Acúmulo de função]])/210*15.5*1.5,0))</f>
        <v>0</v>
      </c>
      <c r="AW131" s="232">
        <f>IF(tabParametros[[#This Row],[Vagas contratadas]]&gt;0,(SUM(tabParametros[[#This Row],[Salário Base]:[Adicional de Acúmulo de função]])*30%+SUM(tabParametros[[#This Row],[Vale - Alimentação]:[Seguro de Vida]]))/tabParametros[[#This Row],[Vagas contratadas]]*tabParametros[[#This Row],[Vagas suspensas]],0)</f>
        <v>0</v>
      </c>
      <c r="AX131" s="232">
        <f>SUMIF(tabUniformes[Cargo],tabParametros[[#This Row],[Função]],tabUniformes[Valor unit. Mensal])</f>
        <v>92.100763771570698</v>
      </c>
      <c r="AY13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1" s="232">
        <v>0</v>
      </c>
      <c r="BC131" s="234" t="e">
        <f ca="1">VLOOKUP(tabParametros[[#Headers],[Custos Indiretos]],tabOutrosCustos[],3,0)</f>
        <v>#NAME?</v>
      </c>
      <c r="BD131" s="234" t="e">
        <f ca="1">VLOOKUP(tabParametros[[#Headers],[Lucro]],tabOutrosCustos[],3,0)</f>
        <v>#NAME?</v>
      </c>
      <c r="BE131" s="233">
        <f>VLOOKUP(tabParametros[[#Headers],[COFINS]],tabImpostosNacionais[],2,0)</f>
        <v>7.5999999999999998E-2</v>
      </c>
      <c r="BF131" s="233">
        <f>VLOOKUP(tabParametros[[#Headers],[PIS]],tabImpostosNacionais[],2,0)</f>
        <v>1.6500000000000001E-2</v>
      </c>
      <c r="BG131" s="233">
        <f>VLOOKUP(tabParametros[[#This Row],[Comarca]],tabComarca[],4,0)</f>
        <v>0.03</v>
      </c>
      <c r="BH131" s="236">
        <f>VLOOKUP(tabParametros[[#This Row],[CCT DA CATEGORIA]],tabSindicatos[],11,0)</f>
        <v>45658</v>
      </c>
      <c r="BI131" s="282" t="str">
        <f>VLOOKUP(tabParametros[[#This Row],[CCT DA CATEGORIA]],tabSindicatos[],12,0)</f>
        <v>-</v>
      </c>
      <c r="BJ131" s="285" t="str">
        <f>VLOOKUP(tabParametros[[#This Row],[CCT DA CATEGORIA]],tabSindicatos[],13,0)</f>
        <v>-</v>
      </c>
    </row>
    <row r="132" spans="1:62">
      <c r="A132" s="231" t="s">
        <v>1587</v>
      </c>
      <c r="B132" s="197" t="s">
        <v>1128</v>
      </c>
      <c r="C132" s="197" t="s">
        <v>324</v>
      </c>
      <c r="D132" s="197" t="str">
        <f>VLOOKUP(tabParametros[[#This Row],[Código do Posto]],tabPostos[],4,0)</f>
        <v>Sind - Asseio</v>
      </c>
      <c r="E132" s="282" t="str">
        <f>VLOOKUP(tabParametros[[#This Row],[Código do Posto]],tabPostos[],5,0)</f>
        <v>Apoio</v>
      </c>
      <c r="F132" s="282" t="str">
        <f>VLOOKUP(tabParametros[[#This Row],[Código do Posto]],tabPostos[],6,0)</f>
        <v>PGJ</v>
      </c>
      <c r="G132" s="282">
        <f>VLOOKUP(tabParametros[[#This Row],[Código do Posto]],tabPostos[],7,0)</f>
        <v>3</v>
      </c>
      <c r="H132" s="282">
        <f>VLOOKUP(tabParametros[[#This Row],[Código do Posto]],tabPostos[],8,0)</f>
        <v>0</v>
      </c>
      <c r="I132" s="232">
        <f>VLOOKUP(tabParametros[[#This Row],[Código do Posto]],tabPostos[],9,0)</f>
        <v>3397.1306016921476</v>
      </c>
      <c r="J132" s="232">
        <f>IF(ISNUMBER(SEARCH("Eletricista",tabParametros[[#This Row],[Função]],1)),0.3*tabParametros[[#This Row],[Salário Base]],0)</f>
        <v>0</v>
      </c>
      <c r="K13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2" s="232">
        <f>IF(AND(ISNUMBER(SEARCH("Noturno",tabParametros[[#This Row],[Função]],1)),tabParametros[[#This Row],[Comarca]]&lt;&gt;"Juiz de Fora"),tabParametros[[#This Row],[Salário Base]]/210*0.39*7*15.5,IF(ISNUMBER(SEARCH("Noturno",tabParametros[[#This Row],[Função]],1)),tabParametros[[#This Row],[Salário Base]]/210*0.2*8*15.5,0))</f>
        <v>0</v>
      </c>
      <c r="M132" s="232">
        <f>IF(ISNUMBER(SEARCH("Motorista II",tabParametros[[#This Row],[Função]],1)),0.3022*tabParametros[[#This Row],[Salário Base]],0)</f>
        <v>0</v>
      </c>
      <c r="N132" s="254">
        <v>0</v>
      </c>
      <c r="O132" s="254">
        <f>IF(ISNUMBER(SEARCH("TECNOLOGIA DA INFORMACAO",tabParametros[[#This Row],[Função]],1)),0.056*tabParametros[[#This Row],[Salário Base]],0)</f>
        <v>0</v>
      </c>
      <c r="P132" s="232">
        <f>IF(tabParametros[[#This Row],[Função]]="Operador de Midia Audiovisual - 150 h",tabParametros[[#This Row],[Salário Base]]/150*50*30%,IF(tabParametros[[#This Row],[Função]]="Supervisor de Manutencao de Veiculos II - 220 h",12%*tabParametros[[#This Row],[Salário Base]],0))</f>
        <v>0</v>
      </c>
      <c r="Q132" s="233">
        <f>VLOOKUP(tabParametros[[#Headers],[INSS]],tabImpostosNacionais[],2,0)</f>
        <v>0.2</v>
      </c>
      <c r="R132" s="233">
        <f>VLOOKUP(tabParametros[[#Headers],[SESI OU SESC]],tabImpostosNacionais[],2,0)</f>
        <v>1.4999999999999999E-2</v>
      </c>
      <c r="S132" s="233">
        <f>VLOOKUP(tabParametros[[#Headers],[SENAI OU SENAC]],tabImpostosNacionais[],2,0)</f>
        <v>0.01</v>
      </c>
      <c r="T132" s="233">
        <f>VLOOKUP(tabParametros[[#Headers],[INCRA]],tabImpostosNacionais[],2,0)</f>
        <v>2E-3</v>
      </c>
      <c r="U132" s="233">
        <f>VLOOKUP(tabParametros[[#Headers],[Salário Educação]],tabImpostosNacionais[],2,0)</f>
        <v>2.5000000000000001E-2</v>
      </c>
      <c r="V132" s="233">
        <f>VLOOKUP(tabParametros[[#Headers],[FGTS]],tabImpostosNacionais[],2,0)</f>
        <v>0.08</v>
      </c>
      <c r="W132" s="233">
        <f>VLOOKUP(tabParametros[[#Headers],[RAT Ajustado]],tabImpostosNacionais[],2,0)</f>
        <v>0.04</v>
      </c>
      <c r="X132" s="233">
        <f>VLOOKUP(tabParametros[[#Headers],[SEBRAE]],tabImpostosNacionais[],2,0)</f>
        <v>6.0000000000000001E-3</v>
      </c>
      <c r="Y132" s="233">
        <f t="shared" ref="Y132:Y195" si="22">1/12</f>
        <v>8.3333333333333329E-2</v>
      </c>
      <c r="Z132" s="233">
        <f t="shared" ref="Z132:Z195" si="23">1/12+1/12/3</f>
        <v>0.1111111111111111</v>
      </c>
      <c r="AA132" s="232">
        <f>VLOOKUP(tabParametros[[#This Row],[Comarca]],tabComarca[],5,0)</f>
        <v>6.4</v>
      </c>
      <c r="AB132" s="232">
        <f>VLOOKUP(tabParametros[[#This Row],[CCT DA CATEGORIA]],tabSindicatos[],6,0)</f>
        <v>29.15</v>
      </c>
      <c r="AC132" s="232">
        <f>VLOOKUP(tabParametros[[#This Row],[CCT DA CATEGORIA]],tabSindicatos[],7,0)</f>
        <v>0</v>
      </c>
      <c r="AD132" s="232" cm="1">
        <f t="array" ref="AD13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132" s="232">
        <f>VLOOKUP(tabParametros[[#This Row],[CCT DA CATEGORIA]],tabSindicatos[],9,0)</f>
        <v>0</v>
      </c>
      <c r="AF132" s="232">
        <f>VLOOKUP(tabParametros[[#This Row],[CCT DA CATEGORIA]],tabSindicatos[],10,0)</f>
        <v>0</v>
      </c>
      <c r="AG132" s="234">
        <f>VLOOKUP(tabParametros[[#Headers],[Seguro de Vida]],tabOutrosCustos[],3,0)</f>
        <v>3.36</v>
      </c>
      <c r="AH132" s="234">
        <f>IF(ISNUMBER(SEARCH("MOTORISTA",tabParametros[[#This Row],[Função]],1)),VLOOKUP("MOTORISTAS",tabDiarias[],2,0),IF(tabParametros[[#This Row],[Comarca]]="Belo Horizonte",VLOOKUP("APOIO",tabDiarias[],2,0),0))</f>
        <v>0</v>
      </c>
      <c r="AI132" s="233">
        <f t="shared" ref="AI132:AI195" si="24">(1/12*7%)+((1+1+1/3)*1/12)*(7%/12)+((1/12*0.05)+((1+1+1/3)*1/12)*(7%/12))/30*3*5/60</f>
        <v>7.011766975308642E-3</v>
      </c>
      <c r="AJ132" s="235">
        <f>tabParametros[[#This Row],[FGTS]]*tabParametros[[#This Row],[Aviso Prévio Indenizado (API) e Reflexo do Aviso Prévio Indenizado]]</f>
        <v>5.609413580246914E-4</v>
      </c>
      <c r="AK132" s="235">
        <f>tabParametros[[#This Row],[FGTS]]*tabParametros[[#This Row],[Aviso Prévio Indenizado (API) e Reflexo do Aviso Prévio Indenizado]]*40%</f>
        <v>2.2437654320987658E-4</v>
      </c>
      <c r="AL132" s="233">
        <f t="shared" ref="AL132:AL195" si="25">((1/30*7)*0.9)/60</f>
        <v>3.5000000000000005E-3</v>
      </c>
      <c r="AM132" s="233">
        <f>tabParametros[[#This Row],[Aviso Prévio Trabalhado - APT]]*SUM(tabParametros[[#This Row],[INSS]:[SEBRAE]])</f>
        <v>1.3230000000000004E-3</v>
      </c>
      <c r="AN132" s="233">
        <f t="shared" ref="AN132:AN195" si="26">0.4*0.08*0.8*(1+1/12+1/12+1/3/12)</f>
        <v>3.0577777777777773E-2</v>
      </c>
      <c r="AO132" s="233">
        <f t="shared" ref="AO132:AO195" si="27">(1*1%)/12</f>
        <v>8.3333333333333339E-4</v>
      </c>
      <c r="AP132" s="233">
        <f t="shared" ref="AP132:AP195" si="28">1/30*3.04/12</f>
        <v>8.4444444444444437E-3</v>
      </c>
      <c r="AQ132" s="233">
        <f t="shared" ref="AQ132:AQ195" si="29">0.73/30/12</f>
        <v>2.0277777777777777E-3</v>
      </c>
      <c r="AR132" s="233">
        <f t="shared" ref="AR132:AR195" si="30">5/30/12*1.23%</f>
        <v>1.7083333333333333E-4</v>
      </c>
      <c r="AS132" s="233">
        <f t="shared" ref="AS132:AS195" si="31">1/30*15*0.5%/12</f>
        <v>2.0833333333333335E-4</v>
      </c>
      <c r="AT132" s="233">
        <f t="shared" ref="AT132:AT195" si="32">((1/12+1/12+1/3/12)*4/12)*2%</f>
        <v>1.2962962962962963E-3</v>
      </c>
      <c r="AU132" s="235">
        <f>SUM(tabParametros[[#This Row],[Ausência por Doença]:[Férias, Adicional de Férias e 13º  com empregada em gozo de Licença Maternidade]])*SUM(tabParametros[[#This Row],[INSS]:[SEBRAE]])</f>
        <v>4.5918250000000008E-3</v>
      </c>
      <c r="AV132" s="254">
        <f>IF(tabParametros[[#This Row],[Função]]="Porteiro - 220 h",SUM(tabParametros[[#This Row],[Salário Base]:[Adicional de Acúmulo de função]])/220*20*1.5,IF(ISNUMBER(SEARCH("12 x 36",tabParametros[[#This Row],[Função]],1)),SUM(tabParametros[[#This Row],[Salário Base]:[Adicional de Acúmulo de função]])/210*15.5*1.5,0))</f>
        <v>0</v>
      </c>
      <c r="AW132" s="232">
        <f>IF(tabParametros[[#This Row],[Vagas contratadas]]&gt;0,(SUM(tabParametros[[#This Row],[Salário Base]:[Adicional de Acúmulo de função]])*30%+SUM(tabParametros[[#This Row],[Vale - Alimentação]:[Seguro de Vida]]))/tabParametros[[#This Row],[Vagas contratadas]]*tabParametros[[#This Row],[Vagas suspensas]],0)</f>
        <v>0</v>
      </c>
      <c r="AX132" s="232">
        <f>SUMIF(tabUniformes[Cargo],tabParametros[[#This Row],[Função]],tabUniformes[Valor unit. Mensal])</f>
        <v>56.642978962543395</v>
      </c>
      <c r="AY13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2" s="232">
        <v>0</v>
      </c>
      <c r="BC132" s="234" t="e">
        <f ca="1">VLOOKUP(tabParametros[[#Headers],[Custos Indiretos]],tabOutrosCustos[],3,0)</f>
        <v>#NAME?</v>
      </c>
      <c r="BD132" s="234" t="e">
        <f ca="1">VLOOKUP(tabParametros[[#Headers],[Lucro]],tabOutrosCustos[],3,0)</f>
        <v>#NAME?</v>
      </c>
      <c r="BE132" s="233">
        <f>VLOOKUP(tabParametros[[#Headers],[COFINS]],tabImpostosNacionais[],2,0)</f>
        <v>7.5999999999999998E-2</v>
      </c>
      <c r="BF132" s="233">
        <f>VLOOKUP(tabParametros[[#Headers],[PIS]],tabImpostosNacionais[],2,0)</f>
        <v>1.6500000000000001E-2</v>
      </c>
      <c r="BG132" s="233">
        <f>VLOOKUP(tabParametros[[#This Row],[Comarca]],tabComarca[],4,0)</f>
        <v>0.03</v>
      </c>
      <c r="BH132" s="236">
        <f>VLOOKUP(tabParametros[[#This Row],[CCT DA CATEGORIA]],tabSindicatos[],11,0)</f>
        <v>45658</v>
      </c>
      <c r="BI132" s="282" t="str">
        <f>VLOOKUP(tabParametros[[#This Row],[CCT DA CATEGORIA]],tabSindicatos[],12,0)</f>
        <v>-</v>
      </c>
      <c r="BJ132" s="285" t="str">
        <f>VLOOKUP(tabParametros[[#This Row],[CCT DA CATEGORIA]],tabSindicatos[],13,0)</f>
        <v>-</v>
      </c>
    </row>
    <row r="133" spans="1:62">
      <c r="A133" s="231" t="s">
        <v>1588</v>
      </c>
      <c r="B133" s="197" t="s">
        <v>1128</v>
      </c>
      <c r="C133" s="197" t="s">
        <v>1370</v>
      </c>
      <c r="D133" s="197" t="str">
        <f>VLOOKUP(tabParametros[[#This Row],[Código do Posto]],tabPostos[],4,0)</f>
        <v>Sind - Asseio</v>
      </c>
      <c r="E133" s="282" t="str">
        <f>VLOOKUP(tabParametros[[#This Row],[Código do Posto]],tabPostos[],5,0)</f>
        <v>Apoio</v>
      </c>
      <c r="F133" s="282" t="str">
        <f>VLOOKUP(tabParametros[[#This Row],[Código do Posto]],tabPostos[],6,0)</f>
        <v>PGJ</v>
      </c>
      <c r="G133" s="282">
        <f>VLOOKUP(tabParametros[[#This Row],[Código do Posto]],tabPostos[],7,0)</f>
        <v>1</v>
      </c>
      <c r="H133" s="282">
        <f>VLOOKUP(tabParametros[[#This Row],[Código do Posto]],tabPostos[],8,0)</f>
        <v>0</v>
      </c>
      <c r="I133" s="232">
        <f>VLOOKUP(tabParametros[[#This Row],[Código do Posto]],tabPostos[],9,0)</f>
        <v>4768.659975857111</v>
      </c>
      <c r="J133" s="232">
        <f>IF(ISNUMBER(SEARCH("Eletricista",tabParametros[[#This Row],[Função]],1)),0.3*tabParametros[[#This Row],[Salário Base]],0)</f>
        <v>0</v>
      </c>
      <c r="K13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3" s="232">
        <f>IF(AND(ISNUMBER(SEARCH("Noturno",tabParametros[[#This Row],[Função]],1)),tabParametros[[#This Row],[Comarca]]&lt;&gt;"Juiz de Fora"),tabParametros[[#This Row],[Salário Base]]/210*0.39*7*15.5,IF(ISNUMBER(SEARCH("Noturno",tabParametros[[#This Row],[Função]],1)),tabParametros[[#This Row],[Salário Base]]/210*0.2*8*15.5,0))</f>
        <v>0</v>
      </c>
      <c r="M133" s="232">
        <f>IF(ISNUMBER(SEARCH("Motorista II",tabParametros[[#This Row],[Função]],1)),0.3022*tabParametros[[#This Row],[Salário Base]],0)</f>
        <v>0</v>
      </c>
      <c r="N133" s="254">
        <v>0</v>
      </c>
      <c r="O133" s="254">
        <f>IF(ISNUMBER(SEARCH("TECNOLOGIA DA INFORMACAO",tabParametros[[#This Row],[Função]],1)),0.056*tabParametros[[#This Row],[Salário Base]],0)</f>
        <v>0</v>
      </c>
      <c r="P133" s="232">
        <f>IF(tabParametros[[#This Row],[Função]]="Operador de Midia Audiovisual - 150 h",tabParametros[[#This Row],[Salário Base]]/150*50*30%,IF(tabParametros[[#This Row],[Função]]="Supervisor de Manutencao de Veiculos II - 220 h",12%*tabParametros[[#This Row],[Salário Base]],0))</f>
        <v>0</v>
      </c>
      <c r="Q133" s="233">
        <f>VLOOKUP(tabParametros[[#Headers],[INSS]],tabImpostosNacionais[],2,0)</f>
        <v>0.2</v>
      </c>
      <c r="R133" s="233">
        <f>VLOOKUP(tabParametros[[#Headers],[SESI OU SESC]],tabImpostosNacionais[],2,0)</f>
        <v>1.4999999999999999E-2</v>
      </c>
      <c r="S133" s="233">
        <f>VLOOKUP(tabParametros[[#Headers],[SENAI OU SENAC]],tabImpostosNacionais[],2,0)</f>
        <v>0.01</v>
      </c>
      <c r="T133" s="233">
        <f>VLOOKUP(tabParametros[[#Headers],[INCRA]],tabImpostosNacionais[],2,0)</f>
        <v>2E-3</v>
      </c>
      <c r="U133" s="233">
        <f>VLOOKUP(tabParametros[[#Headers],[Salário Educação]],tabImpostosNacionais[],2,0)</f>
        <v>2.5000000000000001E-2</v>
      </c>
      <c r="V133" s="233">
        <f>VLOOKUP(tabParametros[[#Headers],[FGTS]],tabImpostosNacionais[],2,0)</f>
        <v>0.08</v>
      </c>
      <c r="W133" s="233">
        <f>VLOOKUP(tabParametros[[#Headers],[RAT Ajustado]],tabImpostosNacionais[],2,0)</f>
        <v>0.04</v>
      </c>
      <c r="X133" s="233">
        <f>VLOOKUP(tabParametros[[#Headers],[SEBRAE]],tabImpostosNacionais[],2,0)</f>
        <v>6.0000000000000001E-3</v>
      </c>
      <c r="Y133" s="233">
        <f t="shared" si="22"/>
        <v>8.3333333333333329E-2</v>
      </c>
      <c r="Z133" s="233">
        <f t="shared" si="23"/>
        <v>0.1111111111111111</v>
      </c>
      <c r="AA133" s="232">
        <f>VLOOKUP(tabParametros[[#This Row],[Comarca]],tabComarca[],5,0)</f>
        <v>6.4</v>
      </c>
      <c r="AB133" s="232">
        <f>VLOOKUP(tabParametros[[#This Row],[CCT DA CATEGORIA]],tabSindicatos[],6,0)</f>
        <v>29.15</v>
      </c>
      <c r="AC133" s="232">
        <f>VLOOKUP(tabParametros[[#This Row],[CCT DA CATEGORIA]],tabSindicatos[],7,0)</f>
        <v>0</v>
      </c>
      <c r="AD133" s="232" cm="1">
        <f t="array" ref="AD13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133" s="232">
        <f>VLOOKUP(tabParametros[[#This Row],[CCT DA CATEGORIA]],tabSindicatos[],9,0)</f>
        <v>0</v>
      </c>
      <c r="AF133" s="232">
        <f>VLOOKUP(tabParametros[[#This Row],[CCT DA CATEGORIA]],tabSindicatos[],10,0)</f>
        <v>0</v>
      </c>
      <c r="AG133" s="234">
        <f>VLOOKUP(tabParametros[[#Headers],[Seguro de Vida]],tabOutrosCustos[],3,0)</f>
        <v>3.36</v>
      </c>
      <c r="AH133" s="234">
        <f>IF(ISNUMBER(SEARCH("MOTORISTA",tabParametros[[#This Row],[Função]],1)),VLOOKUP("MOTORISTAS",tabDiarias[],2,0),IF(tabParametros[[#This Row],[Comarca]]="Belo Horizonte",VLOOKUP("APOIO",tabDiarias[],2,0),0))</f>
        <v>0</v>
      </c>
      <c r="AI133" s="233">
        <f t="shared" si="24"/>
        <v>7.011766975308642E-3</v>
      </c>
      <c r="AJ133" s="235">
        <f>tabParametros[[#This Row],[FGTS]]*tabParametros[[#This Row],[Aviso Prévio Indenizado (API) e Reflexo do Aviso Prévio Indenizado]]</f>
        <v>5.609413580246914E-4</v>
      </c>
      <c r="AK133" s="235">
        <f>tabParametros[[#This Row],[FGTS]]*tabParametros[[#This Row],[Aviso Prévio Indenizado (API) e Reflexo do Aviso Prévio Indenizado]]*40%</f>
        <v>2.2437654320987658E-4</v>
      </c>
      <c r="AL133" s="233">
        <f t="shared" si="25"/>
        <v>3.5000000000000005E-3</v>
      </c>
      <c r="AM133" s="233">
        <f>tabParametros[[#This Row],[Aviso Prévio Trabalhado - APT]]*SUM(tabParametros[[#This Row],[INSS]:[SEBRAE]])</f>
        <v>1.3230000000000004E-3</v>
      </c>
      <c r="AN133" s="233">
        <f t="shared" si="26"/>
        <v>3.0577777777777773E-2</v>
      </c>
      <c r="AO133" s="233">
        <f t="shared" si="27"/>
        <v>8.3333333333333339E-4</v>
      </c>
      <c r="AP133" s="233">
        <f t="shared" si="28"/>
        <v>8.4444444444444437E-3</v>
      </c>
      <c r="AQ133" s="233">
        <f t="shared" si="29"/>
        <v>2.0277777777777777E-3</v>
      </c>
      <c r="AR133" s="233">
        <f t="shared" si="30"/>
        <v>1.7083333333333333E-4</v>
      </c>
      <c r="AS133" s="233">
        <f t="shared" si="31"/>
        <v>2.0833333333333335E-4</v>
      </c>
      <c r="AT133" s="233">
        <f t="shared" si="32"/>
        <v>1.2962962962962963E-3</v>
      </c>
      <c r="AU133" s="235">
        <f>SUM(tabParametros[[#This Row],[Ausência por Doença]:[Férias, Adicional de Férias e 13º  com empregada em gozo de Licença Maternidade]])*SUM(tabParametros[[#This Row],[INSS]:[SEBRAE]])</f>
        <v>4.5918250000000008E-3</v>
      </c>
      <c r="AV133" s="254">
        <f>IF(tabParametros[[#This Row],[Função]]="Porteiro - 220 h",SUM(tabParametros[[#This Row],[Salário Base]:[Adicional de Acúmulo de função]])/220*20*1.5,IF(ISNUMBER(SEARCH("12 x 36",tabParametros[[#This Row],[Função]],1)),SUM(tabParametros[[#This Row],[Salário Base]:[Adicional de Acúmulo de função]])/210*15.5*1.5,0))</f>
        <v>0</v>
      </c>
      <c r="AW133" s="232">
        <f>IF(tabParametros[[#This Row],[Vagas contratadas]]&gt;0,(SUM(tabParametros[[#This Row],[Salário Base]:[Adicional de Acúmulo de função]])*30%+SUM(tabParametros[[#This Row],[Vale - Alimentação]:[Seguro de Vida]]))/tabParametros[[#This Row],[Vagas contratadas]]*tabParametros[[#This Row],[Vagas suspensas]],0)</f>
        <v>0</v>
      </c>
      <c r="AX133" s="232">
        <f>SUMIF(tabUniformes[Cargo],tabParametros[[#This Row],[Função]],tabUniformes[Valor unit. Mensal])</f>
        <v>90.784679782039703</v>
      </c>
      <c r="AY13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3" s="232">
        <v>0</v>
      </c>
      <c r="BC133" s="234" t="e">
        <f ca="1">VLOOKUP(tabParametros[[#Headers],[Custos Indiretos]],tabOutrosCustos[],3,0)</f>
        <v>#NAME?</v>
      </c>
      <c r="BD133" s="234" t="e">
        <f ca="1">VLOOKUP(tabParametros[[#Headers],[Lucro]],tabOutrosCustos[],3,0)</f>
        <v>#NAME?</v>
      </c>
      <c r="BE133" s="233">
        <f>VLOOKUP(tabParametros[[#Headers],[COFINS]],tabImpostosNacionais[],2,0)</f>
        <v>7.5999999999999998E-2</v>
      </c>
      <c r="BF133" s="233">
        <f>VLOOKUP(tabParametros[[#Headers],[PIS]],tabImpostosNacionais[],2,0)</f>
        <v>1.6500000000000001E-2</v>
      </c>
      <c r="BG133" s="233">
        <f>VLOOKUP(tabParametros[[#This Row],[Comarca]],tabComarca[],4,0)</f>
        <v>0.03</v>
      </c>
      <c r="BH133" s="236">
        <f>VLOOKUP(tabParametros[[#This Row],[CCT DA CATEGORIA]],tabSindicatos[],11,0)</f>
        <v>45658</v>
      </c>
      <c r="BI133" s="282" t="str">
        <f>VLOOKUP(tabParametros[[#This Row],[CCT DA CATEGORIA]],tabSindicatos[],12,0)</f>
        <v>-</v>
      </c>
      <c r="BJ133" s="285" t="str">
        <f>VLOOKUP(tabParametros[[#This Row],[CCT DA CATEGORIA]],tabSindicatos[],13,0)</f>
        <v>-</v>
      </c>
    </row>
    <row r="134" spans="1:62">
      <c r="A134" s="231" t="s">
        <v>1589</v>
      </c>
      <c r="B134" s="197" t="s">
        <v>1129</v>
      </c>
      <c r="C134" s="197" t="s">
        <v>314</v>
      </c>
      <c r="D134" s="197" t="str">
        <f>VLOOKUP(tabParametros[[#This Row],[Código do Posto]],tabPostos[],4,0)</f>
        <v>Sethac Norte de Minas</v>
      </c>
      <c r="E134" s="282" t="str">
        <f>VLOOKUP(tabParametros[[#This Row],[Código do Posto]],tabPostos[],5,0)</f>
        <v>Apoio</v>
      </c>
      <c r="F134" s="282" t="str">
        <f>VLOOKUP(tabParametros[[#This Row],[Código do Posto]],tabPostos[],6,0)</f>
        <v>PGJ</v>
      </c>
      <c r="G134" s="282">
        <f>VLOOKUP(tabParametros[[#This Row],[Código do Posto]],tabPostos[],7,0)</f>
        <v>1</v>
      </c>
      <c r="H134" s="282">
        <f>VLOOKUP(tabParametros[[#This Row],[Código do Posto]],tabPostos[],8,0)</f>
        <v>0</v>
      </c>
      <c r="I134" s="232">
        <f>VLOOKUP(tabParametros[[#This Row],[Código do Posto]],tabPostos[],9,0)</f>
        <v>1963.4110092077037</v>
      </c>
      <c r="J134" s="232">
        <f>IF(ISNUMBER(SEARCH("Eletricista",tabParametros[[#This Row],[Função]],1)),0.3*tabParametros[[#This Row],[Salário Base]],0)</f>
        <v>0</v>
      </c>
      <c r="K13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4" s="232">
        <f>IF(AND(ISNUMBER(SEARCH("Noturno",tabParametros[[#This Row],[Função]],1)),tabParametros[[#This Row],[Comarca]]&lt;&gt;"Juiz de Fora"),tabParametros[[#This Row],[Salário Base]]/210*0.39*7*15.5,IF(ISNUMBER(SEARCH("Noturno",tabParametros[[#This Row],[Função]],1)),tabParametros[[#This Row],[Salário Base]]/210*0.2*8*15.5,0))</f>
        <v>0</v>
      </c>
      <c r="M134" s="232">
        <f>IF(ISNUMBER(SEARCH("Motorista II",tabParametros[[#This Row],[Função]],1)),0.3022*tabParametros[[#This Row],[Salário Base]],0)</f>
        <v>0</v>
      </c>
      <c r="N134" s="254">
        <v>0</v>
      </c>
      <c r="O134" s="254">
        <f>IF(ISNUMBER(SEARCH("TECNOLOGIA DA INFORMACAO",tabParametros[[#This Row],[Função]],1)),0.056*tabParametros[[#This Row],[Salário Base]],0)</f>
        <v>0</v>
      </c>
      <c r="P134" s="232">
        <f>IF(tabParametros[[#This Row],[Função]]="Operador de Midia Audiovisual - 150 h",tabParametros[[#This Row],[Salário Base]]/150*50*30%,IF(tabParametros[[#This Row],[Função]]="Supervisor de Manutencao de Veiculos II - 220 h",12%*tabParametros[[#This Row],[Salário Base]],0))</f>
        <v>0</v>
      </c>
      <c r="Q134" s="233">
        <f>VLOOKUP(tabParametros[[#Headers],[INSS]],tabImpostosNacionais[],2,0)</f>
        <v>0.2</v>
      </c>
      <c r="R134" s="233">
        <f>VLOOKUP(tabParametros[[#Headers],[SESI OU SESC]],tabImpostosNacionais[],2,0)</f>
        <v>1.4999999999999999E-2</v>
      </c>
      <c r="S134" s="233">
        <f>VLOOKUP(tabParametros[[#Headers],[SENAI OU SENAC]],tabImpostosNacionais[],2,0)</f>
        <v>0.01</v>
      </c>
      <c r="T134" s="233">
        <f>VLOOKUP(tabParametros[[#Headers],[INCRA]],tabImpostosNacionais[],2,0)</f>
        <v>2E-3</v>
      </c>
      <c r="U134" s="233">
        <f>VLOOKUP(tabParametros[[#Headers],[Salário Educação]],tabImpostosNacionais[],2,0)</f>
        <v>2.5000000000000001E-2</v>
      </c>
      <c r="V134" s="233">
        <f>VLOOKUP(tabParametros[[#Headers],[FGTS]],tabImpostosNacionais[],2,0)</f>
        <v>0.08</v>
      </c>
      <c r="W134" s="233">
        <f>VLOOKUP(tabParametros[[#Headers],[RAT Ajustado]],tabImpostosNacionais[],2,0)</f>
        <v>0.04</v>
      </c>
      <c r="X134" s="233">
        <f>VLOOKUP(tabParametros[[#Headers],[SEBRAE]],tabImpostosNacionais[],2,0)</f>
        <v>6.0000000000000001E-3</v>
      </c>
      <c r="Y134" s="233">
        <f t="shared" si="22"/>
        <v>8.3333333333333329E-2</v>
      </c>
      <c r="Z134" s="233">
        <f t="shared" si="23"/>
        <v>0.1111111111111111</v>
      </c>
      <c r="AA134" s="232">
        <f>VLOOKUP(tabParametros[[#This Row],[Comarca]],tabComarca[],5,0)</f>
        <v>6.4</v>
      </c>
      <c r="AB134" s="232">
        <f>VLOOKUP(tabParametros[[#This Row],[CCT DA CATEGORIA]],tabSindicatos[],6,0)</f>
        <v>29.15</v>
      </c>
      <c r="AC134" s="232">
        <f>VLOOKUP(tabParametros[[#This Row],[CCT DA CATEGORIA]],tabSindicatos[],7,0)</f>
        <v>0</v>
      </c>
      <c r="AD134" s="232" cm="1">
        <f t="array" ref="AD13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34" s="232">
        <f>VLOOKUP(tabParametros[[#This Row],[CCT DA CATEGORIA]],tabSindicatos[],9,0)</f>
        <v>0</v>
      </c>
      <c r="AF134" s="232">
        <f>VLOOKUP(tabParametros[[#This Row],[CCT DA CATEGORIA]],tabSindicatos[],10,0)</f>
        <v>0</v>
      </c>
      <c r="AG134" s="234">
        <f>VLOOKUP(tabParametros[[#Headers],[Seguro de Vida]],tabOutrosCustos[],3,0)</f>
        <v>3.36</v>
      </c>
      <c r="AH134" s="234">
        <f>IF(ISNUMBER(SEARCH("MOTORISTA",tabParametros[[#This Row],[Função]],1)),VLOOKUP("MOTORISTAS",tabDiarias[],2,0),IF(tabParametros[[#This Row],[Comarca]]="Belo Horizonte",VLOOKUP("APOIO",tabDiarias[],2,0),0))</f>
        <v>0</v>
      </c>
      <c r="AI134" s="233">
        <f t="shared" si="24"/>
        <v>7.011766975308642E-3</v>
      </c>
      <c r="AJ134" s="235">
        <f>tabParametros[[#This Row],[FGTS]]*tabParametros[[#This Row],[Aviso Prévio Indenizado (API) e Reflexo do Aviso Prévio Indenizado]]</f>
        <v>5.609413580246914E-4</v>
      </c>
      <c r="AK134" s="235">
        <f>tabParametros[[#This Row],[FGTS]]*tabParametros[[#This Row],[Aviso Prévio Indenizado (API) e Reflexo do Aviso Prévio Indenizado]]*40%</f>
        <v>2.2437654320987658E-4</v>
      </c>
      <c r="AL134" s="233">
        <f t="shared" si="25"/>
        <v>3.5000000000000005E-3</v>
      </c>
      <c r="AM134" s="233">
        <f>tabParametros[[#This Row],[Aviso Prévio Trabalhado - APT]]*SUM(tabParametros[[#This Row],[INSS]:[SEBRAE]])</f>
        <v>1.3230000000000004E-3</v>
      </c>
      <c r="AN134" s="233">
        <f t="shared" si="26"/>
        <v>3.0577777777777773E-2</v>
      </c>
      <c r="AO134" s="233">
        <f t="shared" si="27"/>
        <v>8.3333333333333339E-4</v>
      </c>
      <c r="AP134" s="233">
        <f t="shared" si="28"/>
        <v>8.4444444444444437E-3</v>
      </c>
      <c r="AQ134" s="233">
        <f t="shared" si="29"/>
        <v>2.0277777777777777E-3</v>
      </c>
      <c r="AR134" s="233">
        <f t="shared" si="30"/>
        <v>1.7083333333333333E-4</v>
      </c>
      <c r="AS134" s="233">
        <f t="shared" si="31"/>
        <v>2.0833333333333335E-4</v>
      </c>
      <c r="AT134" s="233">
        <f t="shared" si="32"/>
        <v>1.2962962962962963E-3</v>
      </c>
      <c r="AU134" s="235">
        <f>SUM(tabParametros[[#This Row],[Ausência por Doença]:[Férias, Adicional de Férias e 13º  com empregada em gozo de Licença Maternidade]])*SUM(tabParametros[[#This Row],[INSS]:[SEBRAE]])</f>
        <v>4.5918250000000008E-3</v>
      </c>
      <c r="AV134"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34" s="232">
        <f>IF(tabParametros[[#This Row],[Vagas contratadas]]&gt;0,(SUM(tabParametros[[#This Row],[Salário Base]:[Adicional de Acúmulo de função]])*30%+SUM(tabParametros[[#This Row],[Vale - Alimentação]:[Seguro de Vida]]))/tabParametros[[#This Row],[Vagas contratadas]]*tabParametros[[#This Row],[Vagas suspensas]],0)</f>
        <v>0</v>
      </c>
      <c r="AX134" s="232">
        <f>SUMIF(tabUniformes[Cargo],tabParametros[[#This Row],[Função]],tabUniformes[Valor unit. Mensal])</f>
        <v>56.642978962543395</v>
      </c>
      <c r="AY13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4" s="232">
        <v>0</v>
      </c>
      <c r="BC134" s="234" t="e">
        <f ca="1">VLOOKUP(tabParametros[[#Headers],[Custos Indiretos]],tabOutrosCustos[],3,0)</f>
        <v>#NAME?</v>
      </c>
      <c r="BD134" s="234" t="e">
        <f ca="1">VLOOKUP(tabParametros[[#Headers],[Lucro]],tabOutrosCustos[],3,0)</f>
        <v>#NAME?</v>
      </c>
      <c r="BE134" s="233">
        <f>VLOOKUP(tabParametros[[#Headers],[COFINS]],tabImpostosNacionais[],2,0)</f>
        <v>7.5999999999999998E-2</v>
      </c>
      <c r="BF134" s="233">
        <f>VLOOKUP(tabParametros[[#Headers],[PIS]],tabImpostosNacionais[],2,0)</f>
        <v>1.6500000000000001E-2</v>
      </c>
      <c r="BG134" s="233">
        <f>VLOOKUP(tabParametros[[#This Row],[Comarca]],tabComarca[],4,0)</f>
        <v>0.03</v>
      </c>
      <c r="BH134" s="236">
        <f>VLOOKUP(tabParametros[[#This Row],[CCT DA CATEGORIA]],tabSindicatos[],11,0)</f>
        <v>45658</v>
      </c>
      <c r="BI134" s="282" t="str">
        <f>VLOOKUP(tabParametros[[#This Row],[CCT DA CATEGORIA]],tabSindicatos[],12,0)</f>
        <v>-</v>
      </c>
      <c r="BJ134" s="285" t="str">
        <f>VLOOKUP(tabParametros[[#This Row],[CCT DA CATEGORIA]],tabSindicatos[],13,0)</f>
        <v>-</v>
      </c>
    </row>
    <row r="135" spans="1:62">
      <c r="A135" s="231" t="s">
        <v>1590</v>
      </c>
      <c r="B135" s="197" t="s">
        <v>1130</v>
      </c>
      <c r="C135" s="197" t="s">
        <v>319</v>
      </c>
      <c r="D135" s="197" t="str">
        <f>VLOOKUP(tabParametros[[#This Row],[Código do Posto]],tabPostos[],4,0)</f>
        <v>Alto Paranaiba</v>
      </c>
      <c r="E135" s="282" t="str">
        <f>VLOOKUP(tabParametros[[#This Row],[Código do Posto]],tabPostos[],5,0)</f>
        <v>Apoio</v>
      </c>
      <c r="F135" s="282" t="str">
        <f>VLOOKUP(tabParametros[[#This Row],[Código do Posto]],tabPostos[],6,0)</f>
        <v>PGJ</v>
      </c>
      <c r="G135" s="282">
        <f>VLOOKUP(tabParametros[[#This Row],[Código do Posto]],tabPostos[],7,0)</f>
        <v>1</v>
      </c>
      <c r="H135" s="282">
        <f>VLOOKUP(tabParametros[[#This Row],[Código do Posto]],tabPostos[],8,0)</f>
        <v>0</v>
      </c>
      <c r="I135" s="232">
        <f>VLOOKUP(tabParametros[[#This Row],[Código do Posto]],tabPostos[],9,0)</f>
        <v>2316.2253186627422</v>
      </c>
      <c r="J135" s="232">
        <f>IF(ISNUMBER(SEARCH("Eletricista",tabParametros[[#This Row],[Função]],1)),0.3*tabParametros[[#This Row],[Salário Base]],0)</f>
        <v>0</v>
      </c>
      <c r="K13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5" s="232">
        <f>IF(AND(ISNUMBER(SEARCH("Noturno",tabParametros[[#This Row],[Função]],1)),tabParametros[[#This Row],[Comarca]]&lt;&gt;"Juiz de Fora"),tabParametros[[#This Row],[Salário Base]]/210*0.39*7*15.5,IF(ISNUMBER(SEARCH("Noturno",tabParametros[[#This Row],[Função]],1)),tabParametros[[#This Row],[Salário Base]]/210*0.2*8*15.5,0))</f>
        <v>0</v>
      </c>
      <c r="M135" s="232">
        <f>IF(ISNUMBER(SEARCH("Motorista II",tabParametros[[#This Row],[Função]],1)),0.3022*tabParametros[[#This Row],[Salário Base]],0)</f>
        <v>0</v>
      </c>
      <c r="N135" s="254">
        <v>0</v>
      </c>
      <c r="O135" s="254">
        <f>IF(ISNUMBER(SEARCH("TECNOLOGIA DA INFORMACAO",tabParametros[[#This Row],[Função]],1)),0.056*tabParametros[[#This Row],[Salário Base]],0)</f>
        <v>0</v>
      </c>
      <c r="P135" s="232">
        <f>IF(tabParametros[[#This Row],[Função]]="Operador de Midia Audiovisual - 150 h",tabParametros[[#This Row],[Salário Base]]/150*50*30%,IF(tabParametros[[#This Row],[Função]]="Supervisor de Manutencao de Veiculos II - 220 h",12%*tabParametros[[#This Row],[Salário Base]],0))</f>
        <v>0</v>
      </c>
      <c r="Q135" s="233">
        <f>VLOOKUP(tabParametros[[#Headers],[INSS]],tabImpostosNacionais[],2,0)</f>
        <v>0.2</v>
      </c>
      <c r="R135" s="233">
        <f>VLOOKUP(tabParametros[[#Headers],[SESI OU SESC]],tabImpostosNacionais[],2,0)</f>
        <v>1.4999999999999999E-2</v>
      </c>
      <c r="S135" s="233">
        <f>VLOOKUP(tabParametros[[#Headers],[SENAI OU SENAC]],tabImpostosNacionais[],2,0)</f>
        <v>0.01</v>
      </c>
      <c r="T135" s="233">
        <f>VLOOKUP(tabParametros[[#Headers],[INCRA]],tabImpostosNacionais[],2,0)</f>
        <v>2E-3</v>
      </c>
      <c r="U135" s="233">
        <f>VLOOKUP(tabParametros[[#Headers],[Salário Educação]],tabImpostosNacionais[],2,0)</f>
        <v>2.5000000000000001E-2</v>
      </c>
      <c r="V135" s="233">
        <f>VLOOKUP(tabParametros[[#Headers],[FGTS]],tabImpostosNacionais[],2,0)</f>
        <v>0.08</v>
      </c>
      <c r="W135" s="233">
        <f>VLOOKUP(tabParametros[[#Headers],[RAT Ajustado]],tabImpostosNacionais[],2,0)</f>
        <v>0.04</v>
      </c>
      <c r="X135" s="233">
        <f>VLOOKUP(tabParametros[[#Headers],[SEBRAE]],tabImpostosNacionais[],2,0)</f>
        <v>6.0000000000000001E-3</v>
      </c>
      <c r="Y135" s="233">
        <f t="shared" si="22"/>
        <v>8.3333333333333329E-2</v>
      </c>
      <c r="Z135" s="233">
        <f t="shared" si="23"/>
        <v>0.1111111111111111</v>
      </c>
      <c r="AA135" s="232">
        <f>VLOOKUP(tabParametros[[#This Row],[Comarca]],tabComarca[],5,0)</f>
        <v>6.4</v>
      </c>
      <c r="AB135" s="232">
        <f>VLOOKUP(tabParametros[[#This Row],[CCT DA CATEGORIA]],tabSindicatos[],6,0)</f>
        <v>0</v>
      </c>
      <c r="AC135" s="232">
        <f>VLOOKUP(tabParametros[[#This Row],[CCT DA CATEGORIA]],tabSindicatos[],7,0)</f>
        <v>387.79</v>
      </c>
      <c r="AD135" s="232" cm="1">
        <f t="array" ref="AD13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135" s="232">
        <f>VLOOKUP(tabParametros[[#This Row],[CCT DA CATEGORIA]],tabSindicatos[],9,0)</f>
        <v>0</v>
      </c>
      <c r="AF135" s="232">
        <f>VLOOKUP(tabParametros[[#This Row],[CCT DA CATEGORIA]],tabSindicatos[],10,0)</f>
        <v>0</v>
      </c>
      <c r="AG135" s="234">
        <f>VLOOKUP(tabParametros[[#Headers],[Seguro de Vida]],tabOutrosCustos[],3,0)</f>
        <v>3.36</v>
      </c>
      <c r="AH135" s="234">
        <f>IF(ISNUMBER(SEARCH("MOTORISTA",tabParametros[[#This Row],[Função]],1)),VLOOKUP("MOTORISTAS",tabDiarias[],2,0),IF(tabParametros[[#This Row],[Comarca]]="Belo Horizonte",VLOOKUP("APOIO",tabDiarias[],2,0),0))</f>
        <v>0</v>
      </c>
      <c r="AI135" s="233">
        <f t="shared" si="24"/>
        <v>7.011766975308642E-3</v>
      </c>
      <c r="AJ135" s="235">
        <f>tabParametros[[#This Row],[FGTS]]*tabParametros[[#This Row],[Aviso Prévio Indenizado (API) e Reflexo do Aviso Prévio Indenizado]]</f>
        <v>5.609413580246914E-4</v>
      </c>
      <c r="AK135" s="235">
        <f>tabParametros[[#This Row],[FGTS]]*tabParametros[[#This Row],[Aviso Prévio Indenizado (API) e Reflexo do Aviso Prévio Indenizado]]*40%</f>
        <v>2.2437654320987658E-4</v>
      </c>
      <c r="AL135" s="233">
        <f t="shared" si="25"/>
        <v>3.5000000000000005E-3</v>
      </c>
      <c r="AM135" s="233">
        <f>tabParametros[[#This Row],[Aviso Prévio Trabalhado - APT]]*SUM(tabParametros[[#This Row],[INSS]:[SEBRAE]])</f>
        <v>1.3230000000000004E-3</v>
      </c>
      <c r="AN135" s="233">
        <f t="shared" si="26"/>
        <v>3.0577777777777773E-2</v>
      </c>
      <c r="AO135" s="233">
        <f t="shared" si="27"/>
        <v>8.3333333333333339E-4</v>
      </c>
      <c r="AP135" s="233">
        <f t="shared" si="28"/>
        <v>8.4444444444444437E-3</v>
      </c>
      <c r="AQ135" s="233">
        <f t="shared" si="29"/>
        <v>2.0277777777777777E-3</v>
      </c>
      <c r="AR135" s="233">
        <f t="shared" si="30"/>
        <v>1.7083333333333333E-4</v>
      </c>
      <c r="AS135" s="233">
        <f t="shared" si="31"/>
        <v>2.0833333333333335E-4</v>
      </c>
      <c r="AT135" s="233">
        <f t="shared" si="32"/>
        <v>1.2962962962962963E-3</v>
      </c>
      <c r="AU135" s="235">
        <f>SUM(tabParametros[[#This Row],[Ausência por Doença]:[Férias, Adicional de Férias e 13º  com empregada em gozo de Licença Maternidade]])*SUM(tabParametros[[#This Row],[INSS]:[SEBRAE]])</f>
        <v>4.5918250000000008E-3</v>
      </c>
      <c r="AV135" s="254">
        <f>IF(tabParametros[[#This Row],[Função]]="Porteiro - 220 h",SUM(tabParametros[[#This Row],[Salário Base]:[Adicional de Acúmulo de função]])/220*20*1.5,IF(ISNUMBER(SEARCH("12 x 36",tabParametros[[#This Row],[Função]],1)),SUM(tabParametros[[#This Row],[Salário Base]:[Adicional de Acúmulo de função]])/210*15.5*1.5,0))</f>
        <v>0</v>
      </c>
      <c r="AW135" s="232">
        <f>IF(tabParametros[[#This Row],[Vagas contratadas]]&gt;0,(SUM(tabParametros[[#This Row],[Salário Base]:[Adicional de Acúmulo de função]])*30%+SUM(tabParametros[[#This Row],[Vale - Alimentação]:[Seguro de Vida]]))/tabParametros[[#This Row],[Vagas contratadas]]*tabParametros[[#This Row],[Vagas suspensas]],0)</f>
        <v>0</v>
      </c>
      <c r="AX135" s="232">
        <f>SUMIF(tabUniformes[Cargo],tabParametros[[#This Row],[Função]],tabUniformes[Valor unit. Mensal])</f>
        <v>56.642978962543395</v>
      </c>
      <c r="AY13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5" s="232">
        <v>0</v>
      </c>
      <c r="BC135" s="234" t="e">
        <f ca="1">VLOOKUP(tabParametros[[#Headers],[Custos Indiretos]],tabOutrosCustos[],3,0)</f>
        <v>#NAME?</v>
      </c>
      <c r="BD135" s="234" t="e">
        <f ca="1">VLOOKUP(tabParametros[[#Headers],[Lucro]],tabOutrosCustos[],3,0)</f>
        <v>#NAME?</v>
      </c>
      <c r="BE135" s="233">
        <f>VLOOKUP(tabParametros[[#Headers],[COFINS]],tabImpostosNacionais[],2,0)</f>
        <v>7.5999999999999998E-2</v>
      </c>
      <c r="BF135" s="233">
        <f>VLOOKUP(tabParametros[[#Headers],[PIS]],tabImpostosNacionais[],2,0)</f>
        <v>1.6500000000000001E-2</v>
      </c>
      <c r="BG135" s="233">
        <f>VLOOKUP(tabParametros[[#This Row],[Comarca]],tabComarca[],4,0)</f>
        <v>0.03</v>
      </c>
      <c r="BH135" s="236">
        <f>VLOOKUP(tabParametros[[#This Row],[CCT DA CATEGORIA]],tabSindicatos[],11,0)</f>
        <v>45658</v>
      </c>
      <c r="BI135" s="282" t="str">
        <f>VLOOKUP(tabParametros[[#This Row],[CCT DA CATEGORIA]],tabSindicatos[],12,0)</f>
        <v>-</v>
      </c>
      <c r="BJ135" s="285" t="str">
        <f>VLOOKUP(tabParametros[[#This Row],[CCT DA CATEGORIA]],tabSindicatos[],13,0)</f>
        <v>-</v>
      </c>
    </row>
    <row r="136" spans="1:62">
      <c r="A136" s="231" t="s">
        <v>1471</v>
      </c>
      <c r="B136" s="197" t="s">
        <v>1131</v>
      </c>
      <c r="C136" s="197" t="s">
        <v>200</v>
      </c>
      <c r="D136" s="197" t="str">
        <f>VLOOKUP(tabParametros[[#This Row],[Código do Posto]],tabPostos[],4,0)</f>
        <v>Seethur</v>
      </c>
      <c r="E136" s="282" t="str">
        <f>VLOOKUP(tabParametros[[#This Row],[Código do Posto]],tabPostos[],5,0)</f>
        <v>Apoio</v>
      </c>
      <c r="F136" s="282" t="str">
        <f>VLOOKUP(tabParametros[[#This Row],[Código do Posto]],tabPostos[],6,0)</f>
        <v>PGJ</v>
      </c>
      <c r="G136" s="282">
        <f>VLOOKUP(tabParametros[[#This Row],[Código do Posto]],tabPostos[],7,0)</f>
        <v>1</v>
      </c>
      <c r="H136" s="282">
        <f>VLOOKUP(tabParametros[[#This Row],[Código do Posto]],tabPostos[],8,0)</f>
        <v>0</v>
      </c>
      <c r="I136" s="232">
        <f>VLOOKUP(tabParametros[[#This Row],[Código do Posto]],tabPostos[],9,0)</f>
        <v>1596.273808921236</v>
      </c>
      <c r="J136" s="232">
        <f>IF(ISNUMBER(SEARCH("Eletricista",tabParametros[[#This Row],[Função]],1)),0.3*tabParametros[[#This Row],[Salário Base]],0)</f>
        <v>0</v>
      </c>
      <c r="K13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6" s="232">
        <f>IF(AND(ISNUMBER(SEARCH("Noturno",tabParametros[[#This Row],[Função]],1)),tabParametros[[#This Row],[Comarca]]&lt;&gt;"Juiz de Fora"),tabParametros[[#This Row],[Salário Base]]/210*0.39*7*15.5,IF(ISNUMBER(SEARCH("Noturno",tabParametros[[#This Row],[Função]],1)),tabParametros[[#This Row],[Salário Base]]/210*0.2*8*15.5,0))</f>
        <v>0</v>
      </c>
      <c r="M136" s="232">
        <f>IF(ISNUMBER(SEARCH("Motorista II",tabParametros[[#This Row],[Função]],1)),0.3022*tabParametros[[#This Row],[Salário Base]],0)</f>
        <v>0</v>
      </c>
      <c r="N136" s="254">
        <v>0</v>
      </c>
      <c r="O136" s="254">
        <f>IF(ISNUMBER(SEARCH("TECNOLOGIA DA INFORMACAO",tabParametros[[#This Row],[Função]],1)),0.056*tabParametros[[#This Row],[Salário Base]],0)</f>
        <v>0</v>
      </c>
      <c r="P136" s="232">
        <f>IF(tabParametros[[#This Row],[Função]]="Operador de Midia Audiovisual - 150 h",tabParametros[[#This Row],[Salário Base]]/150*50*30%,IF(tabParametros[[#This Row],[Função]]="Supervisor de Manutencao de Veiculos II - 220 h",12%*tabParametros[[#This Row],[Salário Base]],0))</f>
        <v>0</v>
      </c>
      <c r="Q136" s="233">
        <f>VLOOKUP(tabParametros[[#Headers],[INSS]],tabImpostosNacionais[],2,0)</f>
        <v>0.2</v>
      </c>
      <c r="R136" s="233">
        <f>VLOOKUP(tabParametros[[#Headers],[SESI OU SESC]],tabImpostosNacionais[],2,0)</f>
        <v>1.4999999999999999E-2</v>
      </c>
      <c r="S136" s="233">
        <f>VLOOKUP(tabParametros[[#Headers],[SENAI OU SENAC]],tabImpostosNacionais[],2,0)</f>
        <v>0.01</v>
      </c>
      <c r="T136" s="233">
        <f>VLOOKUP(tabParametros[[#Headers],[INCRA]],tabImpostosNacionais[],2,0)</f>
        <v>2E-3</v>
      </c>
      <c r="U136" s="233">
        <f>VLOOKUP(tabParametros[[#Headers],[Salário Educação]],tabImpostosNacionais[],2,0)</f>
        <v>2.5000000000000001E-2</v>
      </c>
      <c r="V136" s="233">
        <f>VLOOKUP(tabParametros[[#Headers],[FGTS]],tabImpostosNacionais[],2,0)</f>
        <v>0.08</v>
      </c>
      <c r="W136" s="233">
        <f>VLOOKUP(tabParametros[[#Headers],[RAT Ajustado]],tabImpostosNacionais[],2,0)</f>
        <v>0.04</v>
      </c>
      <c r="X136" s="233">
        <f>VLOOKUP(tabParametros[[#Headers],[SEBRAE]],tabImpostosNacionais[],2,0)</f>
        <v>6.0000000000000001E-3</v>
      </c>
      <c r="Y136" s="233">
        <f t="shared" si="22"/>
        <v>8.3333333333333329E-2</v>
      </c>
      <c r="Z136" s="233">
        <f t="shared" si="23"/>
        <v>0.1111111111111111</v>
      </c>
      <c r="AA136" s="232">
        <f>VLOOKUP(tabParametros[[#This Row],[Comarca]],tabComarca[],5,0)</f>
        <v>6.4</v>
      </c>
      <c r="AB136" s="232">
        <f>VLOOKUP(tabParametros[[#This Row],[CCT DA CATEGORIA]],tabSindicatos[],6,0)</f>
        <v>29.15</v>
      </c>
      <c r="AC136" s="232">
        <f>VLOOKUP(tabParametros[[#This Row],[CCT DA CATEGORIA]],tabSindicatos[],7,0)</f>
        <v>0</v>
      </c>
      <c r="AD136" s="232" cm="1">
        <f t="array" ref="AD13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36" s="232">
        <f>VLOOKUP(tabParametros[[#This Row],[CCT DA CATEGORIA]],tabSindicatos[],9,0)</f>
        <v>0</v>
      </c>
      <c r="AF136" s="232">
        <f>VLOOKUP(tabParametros[[#This Row],[CCT DA CATEGORIA]],tabSindicatos[],10,0)</f>
        <v>0</v>
      </c>
      <c r="AG136" s="234">
        <f>VLOOKUP(tabParametros[[#Headers],[Seguro de Vida]],tabOutrosCustos[],3,0)</f>
        <v>3.36</v>
      </c>
      <c r="AH136" s="234">
        <f>IF(ISNUMBER(SEARCH("MOTORISTA",tabParametros[[#This Row],[Função]],1)),VLOOKUP("MOTORISTAS",tabDiarias[],2,0),IF(tabParametros[[#This Row],[Comarca]]="Belo Horizonte",VLOOKUP("APOIO",tabDiarias[],2,0),0))</f>
        <v>0</v>
      </c>
      <c r="AI136" s="233">
        <f t="shared" si="24"/>
        <v>7.011766975308642E-3</v>
      </c>
      <c r="AJ136" s="235">
        <f>tabParametros[[#This Row],[FGTS]]*tabParametros[[#This Row],[Aviso Prévio Indenizado (API) e Reflexo do Aviso Prévio Indenizado]]</f>
        <v>5.609413580246914E-4</v>
      </c>
      <c r="AK136" s="235">
        <f>tabParametros[[#This Row],[FGTS]]*tabParametros[[#This Row],[Aviso Prévio Indenizado (API) e Reflexo do Aviso Prévio Indenizado]]*40%</f>
        <v>2.2437654320987658E-4</v>
      </c>
      <c r="AL136" s="233">
        <f t="shared" si="25"/>
        <v>3.5000000000000005E-3</v>
      </c>
      <c r="AM136" s="233">
        <f>tabParametros[[#This Row],[Aviso Prévio Trabalhado - APT]]*SUM(tabParametros[[#This Row],[INSS]:[SEBRAE]])</f>
        <v>1.3230000000000004E-3</v>
      </c>
      <c r="AN136" s="233">
        <f t="shared" si="26"/>
        <v>3.0577777777777773E-2</v>
      </c>
      <c r="AO136" s="233">
        <f t="shared" si="27"/>
        <v>8.3333333333333339E-4</v>
      </c>
      <c r="AP136" s="233">
        <f t="shared" si="28"/>
        <v>8.4444444444444437E-3</v>
      </c>
      <c r="AQ136" s="233">
        <f t="shared" si="29"/>
        <v>2.0277777777777777E-3</v>
      </c>
      <c r="AR136" s="233">
        <f t="shared" si="30"/>
        <v>1.7083333333333333E-4</v>
      </c>
      <c r="AS136" s="233">
        <f t="shared" si="31"/>
        <v>2.0833333333333335E-4</v>
      </c>
      <c r="AT136" s="233">
        <f t="shared" si="32"/>
        <v>1.2962962962962963E-3</v>
      </c>
      <c r="AU136" s="235">
        <f>SUM(tabParametros[[#This Row],[Ausência por Doença]:[Férias, Adicional de Férias e 13º  com empregada em gozo de Licença Maternidade]])*SUM(tabParametros[[#This Row],[INSS]:[SEBRAE]])</f>
        <v>4.5918250000000008E-3</v>
      </c>
      <c r="AV136" s="254">
        <f>IF(tabParametros[[#This Row],[Função]]="Porteiro - 220 h",SUM(tabParametros[[#This Row],[Salário Base]:[Adicional de Acúmulo de função]])/220*20*1.5,IF(ISNUMBER(SEARCH("12 x 36",tabParametros[[#This Row],[Função]],1)),SUM(tabParametros[[#This Row],[Salário Base]:[Adicional de Acúmulo de função]])/210*15.5*1.5,0))</f>
        <v>0</v>
      </c>
      <c r="AW136" s="232">
        <f>IF(tabParametros[[#This Row],[Vagas contratadas]]&gt;0,(SUM(tabParametros[[#This Row],[Salário Base]:[Adicional de Acúmulo de função]])*30%+SUM(tabParametros[[#This Row],[Vale - Alimentação]:[Seguro de Vida]]))/tabParametros[[#This Row],[Vagas contratadas]]*tabParametros[[#This Row],[Vagas suspensas]],0)</f>
        <v>0</v>
      </c>
      <c r="AX136" s="232">
        <f>SUMIF(tabUniformes[Cargo],tabParametros[[#This Row],[Função]],tabUniformes[Valor unit. Mensal])</f>
        <v>56.141713661989918</v>
      </c>
      <c r="AY13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6" s="232">
        <v>0</v>
      </c>
      <c r="BC136" s="234" t="e">
        <f ca="1">VLOOKUP(tabParametros[[#Headers],[Custos Indiretos]],tabOutrosCustos[],3,0)</f>
        <v>#NAME?</v>
      </c>
      <c r="BD136" s="234" t="e">
        <f ca="1">VLOOKUP(tabParametros[[#Headers],[Lucro]],tabOutrosCustos[],3,0)</f>
        <v>#NAME?</v>
      </c>
      <c r="BE136" s="233">
        <f>VLOOKUP(tabParametros[[#Headers],[COFINS]],tabImpostosNacionais[],2,0)</f>
        <v>7.5999999999999998E-2</v>
      </c>
      <c r="BF136" s="233">
        <f>VLOOKUP(tabParametros[[#Headers],[PIS]],tabImpostosNacionais[],2,0)</f>
        <v>1.6500000000000001E-2</v>
      </c>
      <c r="BG136" s="233">
        <f>VLOOKUP(tabParametros[[#This Row],[Comarca]],tabComarca[],4,0)</f>
        <v>0.05</v>
      </c>
      <c r="BH136" s="236">
        <f>VLOOKUP(tabParametros[[#This Row],[CCT DA CATEGORIA]],tabSindicatos[],11,0)</f>
        <v>45658</v>
      </c>
      <c r="BI136" s="282" t="str">
        <f>VLOOKUP(tabParametros[[#This Row],[CCT DA CATEGORIA]],tabSindicatos[],12,0)</f>
        <v>-</v>
      </c>
      <c r="BJ136" s="285" t="str">
        <f>VLOOKUP(tabParametros[[#This Row],[CCT DA CATEGORIA]],tabSindicatos[],13,0)</f>
        <v>-</v>
      </c>
    </row>
    <row r="137" spans="1:62">
      <c r="A137" s="231" t="s">
        <v>1591</v>
      </c>
      <c r="B137" s="197" t="s">
        <v>1131</v>
      </c>
      <c r="C137" s="197" t="s">
        <v>324</v>
      </c>
      <c r="D137" s="197" t="str">
        <f>VLOOKUP(tabParametros[[#This Row],[Código do Posto]],tabPostos[],4,0)</f>
        <v>Seethur</v>
      </c>
      <c r="E137" s="282" t="str">
        <f>VLOOKUP(tabParametros[[#This Row],[Código do Posto]],tabPostos[],5,0)</f>
        <v>Apoio</v>
      </c>
      <c r="F137" s="282" t="str">
        <f>VLOOKUP(tabParametros[[#This Row],[Código do Posto]],tabPostos[],6,0)</f>
        <v>PGJ</v>
      </c>
      <c r="G137" s="282">
        <f>VLOOKUP(tabParametros[[#This Row],[Código do Posto]],tabPostos[],7,0)</f>
        <v>1</v>
      </c>
      <c r="H137" s="282">
        <f>VLOOKUP(tabParametros[[#This Row],[Código do Posto]],tabPostos[],8,0)</f>
        <v>0</v>
      </c>
      <c r="I137" s="232">
        <f>VLOOKUP(tabParametros[[#This Row],[Código do Posto]],tabPostos[],9,0)</f>
        <v>3397.1306016921476</v>
      </c>
      <c r="J137" s="232">
        <f>IF(ISNUMBER(SEARCH("Eletricista",tabParametros[[#This Row],[Função]],1)),0.3*tabParametros[[#This Row],[Salário Base]],0)</f>
        <v>0</v>
      </c>
      <c r="K13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7" s="232">
        <f>IF(AND(ISNUMBER(SEARCH("Noturno",tabParametros[[#This Row],[Função]],1)),tabParametros[[#This Row],[Comarca]]&lt;&gt;"Juiz de Fora"),tabParametros[[#This Row],[Salário Base]]/210*0.39*7*15.5,IF(ISNUMBER(SEARCH("Noturno",tabParametros[[#This Row],[Função]],1)),tabParametros[[#This Row],[Salário Base]]/210*0.2*8*15.5,0))</f>
        <v>0</v>
      </c>
      <c r="M137" s="232">
        <f>IF(ISNUMBER(SEARCH("Motorista II",tabParametros[[#This Row],[Função]],1)),0.3022*tabParametros[[#This Row],[Salário Base]],0)</f>
        <v>0</v>
      </c>
      <c r="N137" s="254">
        <v>0</v>
      </c>
      <c r="O137" s="254">
        <f>IF(ISNUMBER(SEARCH("TECNOLOGIA DA INFORMACAO",tabParametros[[#This Row],[Função]],1)),0.056*tabParametros[[#This Row],[Salário Base]],0)</f>
        <v>0</v>
      </c>
      <c r="P137" s="232">
        <f>IF(tabParametros[[#This Row],[Função]]="Operador de Midia Audiovisual - 150 h",tabParametros[[#This Row],[Salário Base]]/150*50*30%,IF(tabParametros[[#This Row],[Função]]="Supervisor de Manutencao de Veiculos II - 220 h",12%*tabParametros[[#This Row],[Salário Base]],0))</f>
        <v>0</v>
      </c>
      <c r="Q137" s="233">
        <f>VLOOKUP(tabParametros[[#Headers],[INSS]],tabImpostosNacionais[],2,0)</f>
        <v>0.2</v>
      </c>
      <c r="R137" s="233">
        <f>VLOOKUP(tabParametros[[#Headers],[SESI OU SESC]],tabImpostosNacionais[],2,0)</f>
        <v>1.4999999999999999E-2</v>
      </c>
      <c r="S137" s="233">
        <f>VLOOKUP(tabParametros[[#Headers],[SENAI OU SENAC]],tabImpostosNacionais[],2,0)</f>
        <v>0.01</v>
      </c>
      <c r="T137" s="233">
        <f>VLOOKUP(tabParametros[[#Headers],[INCRA]],tabImpostosNacionais[],2,0)</f>
        <v>2E-3</v>
      </c>
      <c r="U137" s="233">
        <f>VLOOKUP(tabParametros[[#Headers],[Salário Educação]],tabImpostosNacionais[],2,0)</f>
        <v>2.5000000000000001E-2</v>
      </c>
      <c r="V137" s="233">
        <f>VLOOKUP(tabParametros[[#Headers],[FGTS]],tabImpostosNacionais[],2,0)</f>
        <v>0.08</v>
      </c>
      <c r="W137" s="233">
        <f>VLOOKUP(tabParametros[[#Headers],[RAT Ajustado]],tabImpostosNacionais[],2,0)</f>
        <v>0.04</v>
      </c>
      <c r="X137" s="233">
        <f>VLOOKUP(tabParametros[[#Headers],[SEBRAE]],tabImpostosNacionais[],2,0)</f>
        <v>6.0000000000000001E-3</v>
      </c>
      <c r="Y137" s="233">
        <f t="shared" si="22"/>
        <v>8.3333333333333329E-2</v>
      </c>
      <c r="Z137" s="233">
        <f t="shared" si="23"/>
        <v>0.1111111111111111</v>
      </c>
      <c r="AA137" s="232">
        <f>VLOOKUP(tabParametros[[#This Row],[Comarca]],tabComarca[],5,0)</f>
        <v>6.4</v>
      </c>
      <c r="AB137" s="232">
        <f>VLOOKUP(tabParametros[[#This Row],[CCT DA CATEGORIA]],tabSindicatos[],6,0)</f>
        <v>29.15</v>
      </c>
      <c r="AC137" s="232">
        <f>VLOOKUP(tabParametros[[#This Row],[CCT DA CATEGORIA]],tabSindicatos[],7,0)</f>
        <v>0</v>
      </c>
      <c r="AD137" s="232" cm="1">
        <f t="array" ref="AD13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37" s="232">
        <f>VLOOKUP(tabParametros[[#This Row],[CCT DA CATEGORIA]],tabSindicatos[],9,0)</f>
        <v>0</v>
      </c>
      <c r="AF137" s="232">
        <f>VLOOKUP(tabParametros[[#This Row],[CCT DA CATEGORIA]],tabSindicatos[],10,0)</f>
        <v>0</v>
      </c>
      <c r="AG137" s="234">
        <f>VLOOKUP(tabParametros[[#Headers],[Seguro de Vida]],tabOutrosCustos[],3,0)</f>
        <v>3.36</v>
      </c>
      <c r="AH137" s="234">
        <f>IF(ISNUMBER(SEARCH("MOTORISTA",tabParametros[[#This Row],[Função]],1)),VLOOKUP("MOTORISTAS",tabDiarias[],2,0),IF(tabParametros[[#This Row],[Comarca]]="Belo Horizonte",VLOOKUP("APOIO",tabDiarias[],2,0),0))</f>
        <v>0</v>
      </c>
      <c r="AI137" s="233">
        <f t="shared" si="24"/>
        <v>7.011766975308642E-3</v>
      </c>
      <c r="AJ137" s="235">
        <f>tabParametros[[#This Row],[FGTS]]*tabParametros[[#This Row],[Aviso Prévio Indenizado (API) e Reflexo do Aviso Prévio Indenizado]]</f>
        <v>5.609413580246914E-4</v>
      </c>
      <c r="AK137" s="235">
        <f>tabParametros[[#This Row],[FGTS]]*tabParametros[[#This Row],[Aviso Prévio Indenizado (API) e Reflexo do Aviso Prévio Indenizado]]*40%</f>
        <v>2.2437654320987658E-4</v>
      </c>
      <c r="AL137" s="233">
        <f t="shared" si="25"/>
        <v>3.5000000000000005E-3</v>
      </c>
      <c r="AM137" s="233">
        <f>tabParametros[[#This Row],[Aviso Prévio Trabalhado - APT]]*SUM(tabParametros[[#This Row],[INSS]:[SEBRAE]])</f>
        <v>1.3230000000000004E-3</v>
      </c>
      <c r="AN137" s="233">
        <f t="shared" si="26"/>
        <v>3.0577777777777773E-2</v>
      </c>
      <c r="AO137" s="233">
        <f t="shared" si="27"/>
        <v>8.3333333333333339E-4</v>
      </c>
      <c r="AP137" s="233">
        <f t="shared" si="28"/>
        <v>8.4444444444444437E-3</v>
      </c>
      <c r="AQ137" s="233">
        <f t="shared" si="29"/>
        <v>2.0277777777777777E-3</v>
      </c>
      <c r="AR137" s="233">
        <f t="shared" si="30"/>
        <v>1.7083333333333333E-4</v>
      </c>
      <c r="AS137" s="233">
        <f t="shared" si="31"/>
        <v>2.0833333333333335E-4</v>
      </c>
      <c r="AT137" s="233">
        <f t="shared" si="32"/>
        <v>1.2962962962962963E-3</v>
      </c>
      <c r="AU137" s="235">
        <f>SUM(tabParametros[[#This Row],[Ausência por Doença]:[Férias, Adicional de Férias e 13º  com empregada em gozo de Licença Maternidade]])*SUM(tabParametros[[#This Row],[INSS]:[SEBRAE]])</f>
        <v>4.5918250000000008E-3</v>
      </c>
      <c r="AV137" s="254">
        <f>IF(tabParametros[[#This Row],[Função]]="Porteiro - 220 h",SUM(tabParametros[[#This Row],[Salário Base]:[Adicional de Acúmulo de função]])/220*20*1.5,IF(ISNUMBER(SEARCH("12 x 36",tabParametros[[#This Row],[Função]],1)),SUM(tabParametros[[#This Row],[Salário Base]:[Adicional de Acúmulo de função]])/210*15.5*1.5,0))</f>
        <v>0</v>
      </c>
      <c r="AW137" s="232">
        <f>IF(tabParametros[[#This Row],[Vagas contratadas]]&gt;0,(SUM(tabParametros[[#This Row],[Salário Base]:[Adicional de Acúmulo de função]])*30%+SUM(tabParametros[[#This Row],[Vale - Alimentação]:[Seguro de Vida]]))/tabParametros[[#This Row],[Vagas contratadas]]*tabParametros[[#This Row],[Vagas suspensas]],0)</f>
        <v>0</v>
      </c>
      <c r="AX137" s="232">
        <f>SUMIF(tabUniformes[Cargo],tabParametros[[#This Row],[Função]],tabUniformes[Valor unit. Mensal])</f>
        <v>56.642978962543395</v>
      </c>
      <c r="AY13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7" s="232">
        <v>0</v>
      </c>
      <c r="BC137" s="234" t="e">
        <f ca="1">VLOOKUP(tabParametros[[#Headers],[Custos Indiretos]],tabOutrosCustos[],3,0)</f>
        <v>#NAME?</v>
      </c>
      <c r="BD137" s="234" t="e">
        <f ca="1">VLOOKUP(tabParametros[[#Headers],[Lucro]],tabOutrosCustos[],3,0)</f>
        <v>#NAME?</v>
      </c>
      <c r="BE137" s="233">
        <f>VLOOKUP(tabParametros[[#Headers],[COFINS]],tabImpostosNacionais[],2,0)</f>
        <v>7.5999999999999998E-2</v>
      </c>
      <c r="BF137" s="233">
        <f>VLOOKUP(tabParametros[[#Headers],[PIS]],tabImpostosNacionais[],2,0)</f>
        <v>1.6500000000000001E-2</v>
      </c>
      <c r="BG137" s="233">
        <f>VLOOKUP(tabParametros[[#This Row],[Comarca]],tabComarca[],4,0)</f>
        <v>0.05</v>
      </c>
      <c r="BH137" s="236">
        <f>VLOOKUP(tabParametros[[#This Row],[CCT DA CATEGORIA]],tabSindicatos[],11,0)</f>
        <v>45658</v>
      </c>
      <c r="BI137" s="282" t="str">
        <f>VLOOKUP(tabParametros[[#This Row],[CCT DA CATEGORIA]],tabSindicatos[],12,0)</f>
        <v>-</v>
      </c>
      <c r="BJ137" s="285" t="str">
        <f>VLOOKUP(tabParametros[[#This Row],[CCT DA CATEGORIA]],tabSindicatos[],13,0)</f>
        <v>-</v>
      </c>
    </row>
    <row r="138" spans="1:62">
      <c r="A138" s="231" t="s">
        <v>1592</v>
      </c>
      <c r="B138" s="197" t="s">
        <v>911</v>
      </c>
      <c r="C138" s="197" t="s">
        <v>324</v>
      </c>
      <c r="D138" s="197" t="str">
        <f>VLOOKUP(tabParametros[[#This Row],[Código do Posto]],tabPostos[],4,0)</f>
        <v>Curvelo</v>
      </c>
      <c r="E138" s="282" t="str">
        <f>VLOOKUP(tabParametros[[#This Row],[Código do Posto]],tabPostos[],5,0)</f>
        <v>Apoio</v>
      </c>
      <c r="F138" s="282" t="str">
        <f>VLOOKUP(tabParametros[[#This Row],[Código do Posto]],tabPostos[],6,0)</f>
        <v>PGJ</v>
      </c>
      <c r="G138" s="282">
        <f>VLOOKUP(tabParametros[[#This Row],[Código do Posto]],tabPostos[],7,0)</f>
        <v>1</v>
      </c>
      <c r="H138" s="282">
        <f>VLOOKUP(tabParametros[[#This Row],[Código do Posto]],tabPostos[],8,0)</f>
        <v>0</v>
      </c>
      <c r="I138" s="232">
        <f>VLOOKUP(tabParametros[[#This Row],[Código do Posto]],tabPostos[],9,0)</f>
        <v>3397.1306016921476</v>
      </c>
      <c r="J138" s="232">
        <f>IF(ISNUMBER(SEARCH("Eletricista",tabParametros[[#This Row],[Função]],1)),0.3*tabParametros[[#This Row],[Salário Base]],0)</f>
        <v>0</v>
      </c>
      <c r="K13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8" s="232">
        <f>IF(AND(ISNUMBER(SEARCH("Noturno",tabParametros[[#This Row],[Função]],1)),tabParametros[[#This Row],[Comarca]]&lt;&gt;"Juiz de Fora"),tabParametros[[#This Row],[Salário Base]]/210*0.39*7*15.5,IF(ISNUMBER(SEARCH("Noturno",tabParametros[[#This Row],[Função]],1)),tabParametros[[#This Row],[Salário Base]]/210*0.2*8*15.5,0))</f>
        <v>0</v>
      </c>
      <c r="M138" s="232">
        <f>IF(ISNUMBER(SEARCH("Motorista II",tabParametros[[#This Row],[Função]],1)),0.3022*tabParametros[[#This Row],[Salário Base]],0)</f>
        <v>0</v>
      </c>
      <c r="N138" s="254">
        <v>0</v>
      </c>
      <c r="O138" s="254">
        <f>IF(ISNUMBER(SEARCH("TECNOLOGIA DA INFORMACAO",tabParametros[[#This Row],[Função]],1)),0.056*tabParametros[[#This Row],[Salário Base]],0)</f>
        <v>0</v>
      </c>
      <c r="P138" s="232">
        <f>IF(tabParametros[[#This Row],[Função]]="Operador de Midia Audiovisual - 150 h",tabParametros[[#This Row],[Salário Base]]/150*50*30%,IF(tabParametros[[#This Row],[Função]]="Supervisor de Manutencao de Veiculos II - 220 h",12%*tabParametros[[#This Row],[Salário Base]],0))</f>
        <v>0</v>
      </c>
      <c r="Q138" s="233">
        <f>VLOOKUP(tabParametros[[#Headers],[INSS]],tabImpostosNacionais[],2,0)</f>
        <v>0.2</v>
      </c>
      <c r="R138" s="233">
        <f>VLOOKUP(tabParametros[[#Headers],[SESI OU SESC]],tabImpostosNacionais[],2,0)</f>
        <v>1.4999999999999999E-2</v>
      </c>
      <c r="S138" s="233">
        <f>VLOOKUP(tabParametros[[#Headers],[SENAI OU SENAC]],tabImpostosNacionais[],2,0)</f>
        <v>0.01</v>
      </c>
      <c r="T138" s="233">
        <f>VLOOKUP(tabParametros[[#Headers],[INCRA]],tabImpostosNacionais[],2,0)</f>
        <v>2E-3</v>
      </c>
      <c r="U138" s="233">
        <f>VLOOKUP(tabParametros[[#Headers],[Salário Educação]],tabImpostosNacionais[],2,0)</f>
        <v>2.5000000000000001E-2</v>
      </c>
      <c r="V138" s="233">
        <f>VLOOKUP(tabParametros[[#Headers],[FGTS]],tabImpostosNacionais[],2,0)</f>
        <v>0.08</v>
      </c>
      <c r="W138" s="233">
        <f>VLOOKUP(tabParametros[[#Headers],[RAT Ajustado]],tabImpostosNacionais[],2,0)</f>
        <v>0.04</v>
      </c>
      <c r="X138" s="233">
        <f>VLOOKUP(tabParametros[[#Headers],[SEBRAE]],tabImpostosNacionais[],2,0)</f>
        <v>6.0000000000000001E-3</v>
      </c>
      <c r="Y138" s="233">
        <f t="shared" si="22"/>
        <v>8.3333333333333329E-2</v>
      </c>
      <c r="Z138" s="233">
        <f t="shared" si="23"/>
        <v>0.1111111111111111</v>
      </c>
      <c r="AA138" s="232">
        <f>VLOOKUP(tabParametros[[#This Row],[Comarca]],tabComarca[],5,0)</f>
        <v>6.4</v>
      </c>
      <c r="AB138" s="232">
        <f>VLOOKUP(tabParametros[[#This Row],[CCT DA CATEGORIA]],tabSindicatos[],6,0)</f>
        <v>29.15</v>
      </c>
      <c r="AC138" s="232">
        <f>VLOOKUP(tabParametros[[#This Row],[CCT DA CATEGORIA]],tabSindicatos[],7,0)</f>
        <v>0</v>
      </c>
      <c r="AD138" s="232" cm="1">
        <f t="array" ref="AD13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51.74</v>
      </c>
      <c r="AE138" s="232">
        <f>VLOOKUP(tabParametros[[#This Row],[CCT DA CATEGORIA]],tabSindicatos[],9,0)</f>
        <v>0</v>
      </c>
      <c r="AF138" s="232">
        <f>VLOOKUP(tabParametros[[#This Row],[CCT DA CATEGORIA]],tabSindicatos[],10,0)</f>
        <v>0</v>
      </c>
      <c r="AG138" s="234">
        <f>VLOOKUP(tabParametros[[#Headers],[Seguro de Vida]],tabOutrosCustos[],3,0)</f>
        <v>3.36</v>
      </c>
      <c r="AH138" s="234">
        <f>IF(ISNUMBER(SEARCH("MOTORISTA",tabParametros[[#This Row],[Função]],1)),VLOOKUP("MOTORISTAS",tabDiarias[],2,0),IF(tabParametros[[#This Row],[Comarca]]="Belo Horizonte",VLOOKUP("APOIO",tabDiarias[],2,0),0))</f>
        <v>0</v>
      </c>
      <c r="AI138" s="233">
        <f t="shared" si="24"/>
        <v>7.011766975308642E-3</v>
      </c>
      <c r="AJ138" s="235">
        <f>tabParametros[[#This Row],[FGTS]]*tabParametros[[#This Row],[Aviso Prévio Indenizado (API) e Reflexo do Aviso Prévio Indenizado]]</f>
        <v>5.609413580246914E-4</v>
      </c>
      <c r="AK138" s="235">
        <f>tabParametros[[#This Row],[FGTS]]*tabParametros[[#This Row],[Aviso Prévio Indenizado (API) e Reflexo do Aviso Prévio Indenizado]]*40%</f>
        <v>2.2437654320987658E-4</v>
      </c>
      <c r="AL138" s="233">
        <f t="shared" si="25"/>
        <v>3.5000000000000005E-3</v>
      </c>
      <c r="AM138" s="233">
        <f>tabParametros[[#This Row],[Aviso Prévio Trabalhado - APT]]*SUM(tabParametros[[#This Row],[INSS]:[SEBRAE]])</f>
        <v>1.3230000000000004E-3</v>
      </c>
      <c r="AN138" s="233">
        <f t="shared" si="26"/>
        <v>3.0577777777777773E-2</v>
      </c>
      <c r="AO138" s="233">
        <f t="shared" si="27"/>
        <v>8.3333333333333339E-4</v>
      </c>
      <c r="AP138" s="233">
        <f t="shared" si="28"/>
        <v>8.4444444444444437E-3</v>
      </c>
      <c r="AQ138" s="233">
        <f t="shared" si="29"/>
        <v>2.0277777777777777E-3</v>
      </c>
      <c r="AR138" s="233">
        <f t="shared" si="30"/>
        <v>1.7083333333333333E-4</v>
      </c>
      <c r="AS138" s="233">
        <f t="shared" si="31"/>
        <v>2.0833333333333335E-4</v>
      </c>
      <c r="AT138" s="233">
        <f t="shared" si="32"/>
        <v>1.2962962962962963E-3</v>
      </c>
      <c r="AU138" s="235">
        <f>SUM(tabParametros[[#This Row],[Ausência por Doença]:[Férias, Adicional de Férias e 13º  com empregada em gozo de Licença Maternidade]])*SUM(tabParametros[[#This Row],[INSS]:[SEBRAE]])</f>
        <v>4.5918250000000008E-3</v>
      </c>
      <c r="AV138" s="254">
        <f>IF(tabParametros[[#This Row],[Função]]="Porteiro - 220 h",SUM(tabParametros[[#This Row],[Salário Base]:[Adicional de Acúmulo de função]])/220*20*1.5,IF(ISNUMBER(SEARCH("12 x 36",tabParametros[[#This Row],[Função]],1)),SUM(tabParametros[[#This Row],[Salário Base]:[Adicional de Acúmulo de função]])/210*15.5*1.5,0))</f>
        <v>0</v>
      </c>
      <c r="AW138" s="232">
        <f>IF(tabParametros[[#This Row],[Vagas contratadas]]&gt;0,(SUM(tabParametros[[#This Row],[Salário Base]:[Adicional de Acúmulo de função]])*30%+SUM(tabParametros[[#This Row],[Vale - Alimentação]:[Seguro de Vida]]))/tabParametros[[#This Row],[Vagas contratadas]]*tabParametros[[#This Row],[Vagas suspensas]],0)</f>
        <v>0</v>
      </c>
      <c r="AX138" s="232">
        <f>SUMIF(tabUniformes[Cargo],tabParametros[[#This Row],[Função]],tabUniformes[Valor unit. Mensal])</f>
        <v>56.642978962543395</v>
      </c>
      <c r="AY13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8" s="232">
        <v>0</v>
      </c>
      <c r="BC138" s="234" t="e">
        <f ca="1">VLOOKUP(tabParametros[[#Headers],[Custos Indiretos]],tabOutrosCustos[],3,0)</f>
        <v>#NAME?</v>
      </c>
      <c r="BD138" s="234" t="e">
        <f ca="1">VLOOKUP(tabParametros[[#Headers],[Lucro]],tabOutrosCustos[],3,0)</f>
        <v>#NAME?</v>
      </c>
      <c r="BE138" s="233">
        <f>VLOOKUP(tabParametros[[#Headers],[COFINS]],tabImpostosNacionais[],2,0)</f>
        <v>7.5999999999999998E-2</v>
      </c>
      <c r="BF138" s="233">
        <f>VLOOKUP(tabParametros[[#Headers],[PIS]],tabImpostosNacionais[],2,0)</f>
        <v>1.6500000000000001E-2</v>
      </c>
      <c r="BG138" s="233">
        <f>VLOOKUP(tabParametros[[#This Row],[Comarca]],tabComarca[],4,0)</f>
        <v>0.03</v>
      </c>
      <c r="BH138" s="236">
        <f>VLOOKUP(tabParametros[[#This Row],[CCT DA CATEGORIA]],tabSindicatos[],11,0)</f>
        <v>45658</v>
      </c>
      <c r="BI138" s="282" t="str">
        <f>VLOOKUP(tabParametros[[#This Row],[CCT DA CATEGORIA]],tabSindicatos[],12,0)</f>
        <v>-</v>
      </c>
      <c r="BJ138" s="285" t="str">
        <f>VLOOKUP(tabParametros[[#This Row],[CCT DA CATEGORIA]],tabSindicatos[],13,0)</f>
        <v>-</v>
      </c>
    </row>
    <row r="139" spans="1:62">
      <c r="A139" s="231" t="s">
        <v>1593</v>
      </c>
      <c r="B139" s="197" t="s">
        <v>1132</v>
      </c>
      <c r="C139" s="197" t="s">
        <v>274</v>
      </c>
      <c r="D139" s="197" t="str">
        <f>VLOOKUP(tabParametros[[#This Row],[Código do Posto]],tabPostos[],4,0)</f>
        <v>Rodoviarios de Curvelo + SEAC-MG</v>
      </c>
      <c r="E139" s="282" t="str">
        <f>VLOOKUP(tabParametros[[#This Row],[Código do Posto]],tabPostos[],5,0)</f>
        <v>Apoio</v>
      </c>
      <c r="F139" s="282" t="str">
        <f>VLOOKUP(tabParametros[[#This Row],[Código do Posto]],tabPostos[],6,0)</f>
        <v>PGJ</v>
      </c>
      <c r="G139" s="282">
        <f>VLOOKUP(tabParametros[[#This Row],[Código do Posto]],tabPostos[],7,0)</f>
        <v>1</v>
      </c>
      <c r="H139" s="282">
        <f>VLOOKUP(tabParametros[[#This Row],[Código do Posto]],tabPostos[],8,0)</f>
        <v>0</v>
      </c>
      <c r="I139" s="232">
        <f>VLOOKUP(tabParametros[[#This Row],[Código do Posto]],tabPostos[],9,0)</f>
        <v>4380.5669340985405</v>
      </c>
      <c r="J139" s="232">
        <f>IF(ISNUMBER(SEARCH("Eletricista",tabParametros[[#This Row],[Função]],1)),0.3*tabParametros[[#This Row],[Salário Base]],0)</f>
        <v>0</v>
      </c>
      <c r="K13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39" s="232">
        <f>IF(AND(ISNUMBER(SEARCH("Noturno",tabParametros[[#This Row],[Função]],1)),tabParametros[[#This Row],[Comarca]]&lt;&gt;"Juiz de Fora"),tabParametros[[#This Row],[Salário Base]]/210*0.39*7*15.5,IF(ISNUMBER(SEARCH("Noturno",tabParametros[[#This Row],[Função]],1)),tabParametros[[#This Row],[Salário Base]]/210*0.2*8*15.5,0))</f>
        <v>0</v>
      </c>
      <c r="M139" s="232">
        <f>IF(ISNUMBER(SEARCH("Motorista II",tabParametros[[#This Row],[Função]],1)),0.3022*tabParametros[[#This Row],[Salário Base]],0)</f>
        <v>0</v>
      </c>
      <c r="N139" s="254">
        <v>0</v>
      </c>
      <c r="O139" s="254">
        <f>IF(ISNUMBER(SEARCH("TECNOLOGIA DA INFORMACAO",tabParametros[[#This Row],[Função]],1)),0.056*tabParametros[[#This Row],[Salário Base]],0)</f>
        <v>0</v>
      </c>
      <c r="P139" s="232">
        <f>IF(tabParametros[[#This Row],[Função]]="Operador de Midia Audiovisual - 150 h",tabParametros[[#This Row],[Salário Base]]/150*50*30%,IF(tabParametros[[#This Row],[Função]]="Supervisor de Manutencao de Veiculos II - 220 h",12%*tabParametros[[#This Row],[Salário Base]],0))</f>
        <v>0</v>
      </c>
      <c r="Q139" s="233">
        <f>VLOOKUP(tabParametros[[#Headers],[INSS]],tabImpostosNacionais[],2,0)</f>
        <v>0.2</v>
      </c>
      <c r="R139" s="233">
        <f>VLOOKUP(tabParametros[[#Headers],[SESI OU SESC]],tabImpostosNacionais[],2,0)</f>
        <v>1.4999999999999999E-2</v>
      </c>
      <c r="S139" s="233">
        <f>VLOOKUP(tabParametros[[#Headers],[SENAI OU SENAC]],tabImpostosNacionais[],2,0)</f>
        <v>0.01</v>
      </c>
      <c r="T139" s="233">
        <f>VLOOKUP(tabParametros[[#Headers],[INCRA]],tabImpostosNacionais[],2,0)</f>
        <v>2E-3</v>
      </c>
      <c r="U139" s="233">
        <f>VLOOKUP(tabParametros[[#Headers],[Salário Educação]],tabImpostosNacionais[],2,0)</f>
        <v>2.5000000000000001E-2</v>
      </c>
      <c r="V139" s="233">
        <f>VLOOKUP(tabParametros[[#Headers],[FGTS]],tabImpostosNacionais[],2,0)</f>
        <v>0.08</v>
      </c>
      <c r="W139" s="233">
        <f>VLOOKUP(tabParametros[[#Headers],[RAT Ajustado]],tabImpostosNacionais[],2,0)</f>
        <v>0.04</v>
      </c>
      <c r="X139" s="233">
        <f>VLOOKUP(tabParametros[[#Headers],[SEBRAE]],tabImpostosNacionais[],2,0)</f>
        <v>6.0000000000000001E-3</v>
      </c>
      <c r="Y139" s="233">
        <f t="shared" si="22"/>
        <v>8.3333333333333329E-2</v>
      </c>
      <c r="Z139" s="233">
        <f t="shared" si="23"/>
        <v>0.1111111111111111</v>
      </c>
      <c r="AA139" s="232">
        <f>VLOOKUP(tabParametros[[#This Row],[Comarca]],tabComarca[],5,0)</f>
        <v>6.4</v>
      </c>
      <c r="AB139" s="232">
        <f>VLOOKUP(tabParametros[[#This Row],[CCT DA CATEGORIA]],tabSindicatos[],6,0)</f>
        <v>28.97</v>
      </c>
      <c r="AC139" s="232">
        <f>VLOOKUP(tabParametros[[#This Row],[CCT DA CATEGORIA]],tabSindicatos[],7,0)</f>
        <v>0</v>
      </c>
      <c r="AD139" s="232" cm="1">
        <f t="array" ref="AD13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39" s="232">
        <f>VLOOKUP(tabParametros[[#This Row],[CCT DA CATEGORIA]],tabSindicatos[],9,0)</f>
        <v>0</v>
      </c>
      <c r="AF139" s="232">
        <f>VLOOKUP(tabParametros[[#This Row],[CCT DA CATEGORIA]],tabSindicatos[],10,0)</f>
        <v>0</v>
      </c>
      <c r="AG139" s="234">
        <f>VLOOKUP(tabParametros[[#Headers],[Seguro de Vida]],tabOutrosCustos[],3,0)</f>
        <v>3.36</v>
      </c>
      <c r="AH139" s="234">
        <f>IF(ISNUMBER(SEARCH("MOTORISTA",tabParametros[[#This Row],[Função]],1)),VLOOKUP("MOTORISTAS",tabDiarias[],2,0),IF(tabParametros[[#This Row],[Comarca]]="Belo Horizonte",VLOOKUP("APOIO",tabDiarias[],2,0),0))</f>
        <v>662.42</v>
      </c>
      <c r="AI139" s="233">
        <f t="shared" si="24"/>
        <v>7.011766975308642E-3</v>
      </c>
      <c r="AJ139" s="235">
        <f>tabParametros[[#This Row],[FGTS]]*tabParametros[[#This Row],[Aviso Prévio Indenizado (API) e Reflexo do Aviso Prévio Indenizado]]</f>
        <v>5.609413580246914E-4</v>
      </c>
      <c r="AK139" s="235">
        <f>tabParametros[[#This Row],[FGTS]]*tabParametros[[#This Row],[Aviso Prévio Indenizado (API) e Reflexo do Aviso Prévio Indenizado]]*40%</f>
        <v>2.2437654320987658E-4</v>
      </c>
      <c r="AL139" s="233">
        <f t="shared" si="25"/>
        <v>3.5000000000000005E-3</v>
      </c>
      <c r="AM139" s="233">
        <f>tabParametros[[#This Row],[Aviso Prévio Trabalhado - APT]]*SUM(tabParametros[[#This Row],[INSS]:[SEBRAE]])</f>
        <v>1.3230000000000004E-3</v>
      </c>
      <c r="AN139" s="233">
        <f t="shared" si="26"/>
        <v>3.0577777777777773E-2</v>
      </c>
      <c r="AO139" s="233">
        <f t="shared" si="27"/>
        <v>8.3333333333333339E-4</v>
      </c>
      <c r="AP139" s="233">
        <f t="shared" si="28"/>
        <v>8.4444444444444437E-3</v>
      </c>
      <c r="AQ139" s="233">
        <f t="shared" si="29"/>
        <v>2.0277777777777777E-3</v>
      </c>
      <c r="AR139" s="233">
        <f t="shared" si="30"/>
        <v>1.7083333333333333E-4</v>
      </c>
      <c r="AS139" s="233">
        <f t="shared" si="31"/>
        <v>2.0833333333333335E-4</v>
      </c>
      <c r="AT139" s="233">
        <f t="shared" si="32"/>
        <v>1.2962962962962963E-3</v>
      </c>
      <c r="AU139" s="235">
        <f>SUM(tabParametros[[#This Row],[Ausência por Doença]:[Férias, Adicional de Férias e 13º  com empregada em gozo de Licença Maternidade]])*SUM(tabParametros[[#This Row],[INSS]:[SEBRAE]])</f>
        <v>4.5918250000000008E-3</v>
      </c>
      <c r="AV139" s="254">
        <f>IF(tabParametros[[#This Row],[Função]]="Porteiro - 220 h",SUM(tabParametros[[#This Row],[Salário Base]:[Adicional de Acúmulo de função]])/220*20*1.5,IF(ISNUMBER(SEARCH("12 x 36",tabParametros[[#This Row],[Função]],1)),SUM(tabParametros[[#This Row],[Salário Base]:[Adicional de Acúmulo de função]])/210*15.5*1.5,0))</f>
        <v>0</v>
      </c>
      <c r="AW139" s="232">
        <f>IF(tabParametros[[#This Row],[Vagas contratadas]]&gt;0,(SUM(tabParametros[[#This Row],[Salário Base]:[Adicional de Acúmulo de função]])*30%+SUM(tabParametros[[#This Row],[Vale - Alimentação]:[Seguro de Vida]]))/tabParametros[[#This Row],[Vagas contratadas]]*tabParametros[[#This Row],[Vagas suspensas]],0)</f>
        <v>0</v>
      </c>
      <c r="AX139" s="232">
        <f>SUMIF(tabUniformes[Cargo],tabParametros[[#This Row],[Função]],tabUniformes[Valor unit. Mensal])</f>
        <v>92.100763771570698</v>
      </c>
      <c r="AY13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3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3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39" s="232">
        <v>0</v>
      </c>
      <c r="BC139" s="234" t="e">
        <f ca="1">VLOOKUP(tabParametros[[#Headers],[Custos Indiretos]],tabOutrosCustos[],3,0)</f>
        <v>#NAME?</v>
      </c>
      <c r="BD139" s="234" t="e">
        <f ca="1">VLOOKUP(tabParametros[[#Headers],[Lucro]],tabOutrosCustos[],3,0)</f>
        <v>#NAME?</v>
      </c>
      <c r="BE139" s="233">
        <f>VLOOKUP(tabParametros[[#Headers],[COFINS]],tabImpostosNacionais[],2,0)</f>
        <v>7.5999999999999998E-2</v>
      </c>
      <c r="BF139" s="233">
        <f>VLOOKUP(tabParametros[[#Headers],[PIS]],tabImpostosNacionais[],2,0)</f>
        <v>1.6500000000000001E-2</v>
      </c>
      <c r="BG139" s="233">
        <f>VLOOKUP(tabParametros[[#This Row],[Comarca]],tabComarca[],4,0)</f>
        <v>0.05</v>
      </c>
      <c r="BH139" s="236">
        <f>VLOOKUP(tabParametros[[#This Row],[CCT DA CATEGORIA]],tabSindicatos[],11,0)</f>
        <v>45658</v>
      </c>
      <c r="BI139" s="282" t="str">
        <f>VLOOKUP(tabParametros[[#This Row],[CCT DA CATEGORIA]],tabSindicatos[],12,0)</f>
        <v>-</v>
      </c>
      <c r="BJ139" s="285" t="str">
        <f>VLOOKUP(tabParametros[[#This Row],[CCT DA CATEGORIA]],tabSindicatos[],13,0)</f>
        <v>-</v>
      </c>
    </row>
    <row r="140" spans="1:62">
      <c r="A140" s="231" t="s">
        <v>1594</v>
      </c>
      <c r="B140" s="197" t="s">
        <v>1132</v>
      </c>
      <c r="C140" s="197" t="s">
        <v>304</v>
      </c>
      <c r="D140" s="197" t="str">
        <f>VLOOKUP(tabParametros[[#This Row],[Código do Posto]],tabPostos[],4,0)</f>
        <v>Curvelo</v>
      </c>
      <c r="E140" s="282" t="str">
        <f>VLOOKUP(tabParametros[[#This Row],[Código do Posto]],tabPostos[],5,0)</f>
        <v>Apoio</v>
      </c>
      <c r="F140" s="282" t="str">
        <f>VLOOKUP(tabParametros[[#This Row],[Código do Posto]],tabPostos[],6,0)</f>
        <v>PGJ</v>
      </c>
      <c r="G140" s="282">
        <f>VLOOKUP(tabParametros[[#This Row],[Código do Posto]],tabPostos[],7,0)</f>
        <v>2</v>
      </c>
      <c r="H140" s="282">
        <f>VLOOKUP(tabParametros[[#This Row],[Código do Posto]],tabPostos[],8,0)</f>
        <v>0</v>
      </c>
      <c r="I140" s="232">
        <f>VLOOKUP(tabParametros[[#This Row],[Código do Posto]],tabPostos[],9,0)</f>
        <v>1963.4110092077037</v>
      </c>
      <c r="J140" s="232">
        <f>IF(ISNUMBER(SEARCH("Eletricista",tabParametros[[#This Row],[Função]],1)),0.3*tabParametros[[#This Row],[Salário Base]],0)</f>
        <v>0</v>
      </c>
      <c r="K14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40" s="232">
        <f>IF(AND(ISNUMBER(SEARCH("Noturno",tabParametros[[#This Row],[Função]],1)),tabParametros[[#This Row],[Comarca]]&lt;&gt;"Juiz de Fora"),tabParametros[[#This Row],[Salário Base]]/210*0.39*7*15.5,IF(ISNUMBER(SEARCH("Noturno",tabParametros[[#This Row],[Função]],1)),tabParametros[[#This Row],[Salário Base]]/210*0.2*8*15.5,0))</f>
        <v>0</v>
      </c>
      <c r="M140" s="232">
        <f>IF(ISNUMBER(SEARCH("Motorista II",tabParametros[[#This Row],[Função]],1)),0.3022*tabParametros[[#This Row],[Salário Base]],0)</f>
        <v>0</v>
      </c>
      <c r="N140" s="254">
        <v>0</v>
      </c>
      <c r="O140" s="254">
        <f>IF(ISNUMBER(SEARCH("TECNOLOGIA DA INFORMACAO",tabParametros[[#This Row],[Função]],1)),0.056*tabParametros[[#This Row],[Salário Base]],0)</f>
        <v>0</v>
      </c>
      <c r="P140" s="232">
        <f>IF(tabParametros[[#This Row],[Função]]="Operador de Midia Audiovisual - 150 h",tabParametros[[#This Row],[Salário Base]]/150*50*30%,IF(tabParametros[[#This Row],[Função]]="Supervisor de Manutencao de Veiculos II - 220 h",12%*tabParametros[[#This Row],[Salário Base]],0))</f>
        <v>0</v>
      </c>
      <c r="Q140" s="233">
        <f>VLOOKUP(tabParametros[[#Headers],[INSS]],tabImpostosNacionais[],2,0)</f>
        <v>0.2</v>
      </c>
      <c r="R140" s="233">
        <f>VLOOKUP(tabParametros[[#Headers],[SESI OU SESC]],tabImpostosNacionais[],2,0)</f>
        <v>1.4999999999999999E-2</v>
      </c>
      <c r="S140" s="233">
        <f>VLOOKUP(tabParametros[[#Headers],[SENAI OU SENAC]],tabImpostosNacionais[],2,0)</f>
        <v>0.01</v>
      </c>
      <c r="T140" s="233">
        <f>VLOOKUP(tabParametros[[#Headers],[INCRA]],tabImpostosNacionais[],2,0)</f>
        <v>2E-3</v>
      </c>
      <c r="U140" s="233">
        <f>VLOOKUP(tabParametros[[#Headers],[Salário Educação]],tabImpostosNacionais[],2,0)</f>
        <v>2.5000000000000001E-2</v>
      </c>
      <c r="V140" s="233">
        <f>VLOOKUP(tabParametros[[#Headers],[FGTS]],tabImpostosNacionais[],2,0)</f>
        <v>0.08</v>
      </c>
      <c r="W140" s="233">
        <f>VLOOKUP(tabParametros[[#Headers],[RAT Ajustado]],tabImpostosNacionais[],2,0)</f>
        <v>0.04</v>
      </c>
      <c r="X140" s="233">
        <f>VLOOKUP(tabParametros[[#Headers],[SEBRAE]],tabImpostosNacionais[],2,0)</f>
        <v>6.0000000000000001E-3</v>
      </c>
      <c r="Y140" s="233">
        <f t="shared" si="22"/>
        <v>8.3333333333333329E-2</v>
      </c>
      <c r="Z140" s="233">
        <f t="shared" si="23"/>
        <v>0.1111111111111111</v>
      </c>
      <c r="AA140" s="232">
        <f>VLOOKUP(tabParametros[[#This Row],[Comarca]],tabComarca[],5,0)</f>
        <v>6.4</v>
      </c>
      <c r="AB140" s="232">
        <f>VLOOKUP(tabParametros[[#This Row],[CCT DA CATEGORIA]],tabSindicatos[],6,0)</f>
        <v>29.15</v>
      </c>
      <c r="AC140" s="232">
        <f>VLOOKUP(tabParametros[[#This Row],[CCT DA CATEGORIA]],tabSindicatos[],7,0)</f>
        <v>0</v>
      </c>
      <c r="AD140" s="232" cm="1">
        <f t="array" ref="AD14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51.74</v>
      </c>
      <c r="AE140" s="232">
        <f>VLOOKUP(tabParametros[[#This Row],[CCT DA CATEGORIA]],tabSindicatos[],9,0)</f>
        <v>0</v>
      </c>
      <c r="AF140" s="232">
        <f>VLOOKUP(tabParametros[[#This Row],[CCT DA CATEGORIA]],tabSindicatos[],10,0)</f>
        <v>0</v>
      </c>
      <c r="AG140" s="234">
        <f>VLOOKUP(tabParametros[[#Headers],[Seguro de Vida]],tabOutrosCustos[],3,0)</f>
        <v>3.36</v>
      </c>
      <c r="AH140" s="234">
        <f>IF(ISNUMBER(SEARCH("MOTORISTA",tabParametros[[#This Row],[Função]],1)),VLOOKUP("MOTORISTAS",tabDiarias[],2,0),IF(tabParametros[[#This Row],[Comarca]]="Belo Horizonte",VLOOKUP("APOIO",tabDiarias[],2,0),0))</f>
        <v>0</v>
      </c>
      <c r="AI140" s="233">
        <f t="shared" si="24"/>
        <v>7.011766975308642E-3</v>
      </c>
      <c r="AJ140" s="235">
        <f>tabParametros[[#This Row],[FGTS]]*tabParametros[[#This Row],[Aviso Prévio Indenizado (API) e Reflexo do Aviso Prévio Indenizado]]</f>
        <v>5.609413580246914E-4</v>
      </c>
      <c r="AK140" s="235">
        <f>tabParametros[[#This Row],[FGTS]]*tabParametros[[#This Row],[Aviso Prévio Indenizado (API) e Reflexo do Aviso Prévio Indenizado]]*40%</f>
        <v>2.2437654320987658E-4</v>
      </c>
      <c r="AL140" s="233">
        <f t="shared" si="25"/>
        <v>3.5000000000000005E-3</v>
      </c>
      <c r="AM140" s="233">
        <f>tabParametros[[#This Row],[Aviso Prévio Trabalhado - APT]]*SUM(tabParametros[[#This Row],[INSS]:[SEBRAE]])</f>
        <v>1.3230000000000004E-3</v>
      </c>
      <c r="AN140" s="233">
        <f t="shared" si="26"/>
        <v>3.0577777777777773E-2</v>
      </c>
      <c r="AO140" s="233">
        <f t="shared" si="27"/>
        <v>8.3333333333333339E-4</v>
      </c>
      <c r="AP140" s="233">
        <f t="shared" si="28"/>
        <v>8.4444444444444437E-3</v>
      </c>
      <c r="AQ140" s="233">
        <f t="shared" si="29"/>
        <v>2.0277777777777777E-3</v>
      </c>
      <c r="AR140" s="233">
        <f t="shared" si="30"/>
        <v>1.7083333333333333E-4</v>
      </c>
      <c r="AS140" s="233">
        <f t="shared" si="31"/>
        <v>2.0833333333333335E-4</v>
      </c>
      <c r="AT140" s="233">
        <f t="shared" si="32"/>
        <v>1.2962962962962963E-3</v>
      </c>
      <c r="AU140" s="235">
        <f>SUM(tabParametros[[#This Row],[Ausência por Doença]:[Férias, Adicional de Férias e 13º  com empregada em gozo de Licença Maternidade]])*SUM(tabParametros[[#This Row],[INSS]:[SEBRAE]])</f>
        <v>4.5918250000000008E-3</v>
      </c>
      <c r="AV140" s="254">
        <f>IF(tabParametros[[#This Row],[Função]]="Porteiro - 220 h",SUM(tabParametros[[#This Row],[Salário Base]:[Adicional de Acúmulo de função]])/220*20*1.5,IF(ISNUMBER(SEARCH("12 x 36",tabParametros[[#This Row],[Função]],1)),SUM(tabParametros[[#This Row],[Salário Base]:[Adicional de Acúmulo de função]])/210*15.5*1.5,0))</f>
        <v>217.37764744799577</v>
      </c>
      <c r="AW140" s="232">
        <f>IF(tabParametros[[#This Row],[Vagas contratadas]]&gt;0,(SUM(tabParametros[[#This Row],[Salário Base]:[Adicional de Acúmulo de função]])*30%+SUM(tabParametros[[#This Row],[Vale - Alimentação]:[Seguro de Vida]]))/tabParametros[[#This Row],[Vagas contratadas]]*tabParametros[[#This Row],[Vagas suspensas]],0)</f>
        <v>0</v>
      </c>
      <c r="AX140" s="232">
        <f>SUMIF(tabUniformes[Cargo],tabParametros[[#This Row],[Função]],tabUniformes[Valor unit. Mensal])</f>
        <v>56.642978962543395</v>
      </c>
      <c r="AY14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4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4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0" s="232">
        <v>0</v>
      </c>
      <c r="BC140" s="234" t="e">
        <f ca="1">VLOOKUP(tabParametros[[#Headers],[Custos Indiretos]],tabOutrosCustos[],3,0)</f>
        <v>#NAME?</v>
      </c>
      <c r="BD140" s="234" t="e">
        <f ca="1">VLOOKUP(tabParametros[[#Headers],[Lucro]],tabOutrosCustos[],3,0)</f>
        <v>#NAME?</v>
      </c>
      <c r="BE140" s="233">
        <f>VLOOKUP(tabParametros[[#Headers],[COFINS]],tabImpostosNacionais[],2,0)</f>
        <v>7.5999999999999998E-2</v>
      </c>
      <c r="BF140" s="233">
        <f>VLOOKUP(tabParametros[[#Headers],[PIS]],tabImpostosNacionais[],2,0)</f>
        <v>1.6500000000000001E-2</v>
      </c>
      <c r="BG140" s="233">
        <f>VLOOKUP(tabParametros[[#This Row],[Comarca]],tabComarca[],4,0)</f>
        <v>0.05</v>
      </c>
      <c r="BH140" s="236">
        <f>VLOOKUP(tabParametros[[#This Row],[CCT DA CATEGORIA]],tabSindicatos[],11,0)</f>
        <v>45658</v>
      </c>
      <c r="BI140" s="282" t="str">
        <f>VLOOKUP(tabParametros[[#This Row],[CCT DA CATEGORIA]],tabSindicatos[],12,0)</f>
        <v>-</v>
      </c>
      <c r="BJ140" s="285" t="str">
        <f>VLOOKUP(tabParametros[[#This Row],[CCT DA CATEGORIA]],tabSindicatos[],13,0)</f>
        <v>-</v>
      </c>
    </row>
    <row r="141" spans="1:62">
      <c r="A141" s="231" t="s">
        <v>1595</v>
      </c>
      <c r="B141" s="197" t="s">
        <v>1132</v>
      </c>
      <c r="C141" s="197" t="s">
        <v>324</v>
      </c>
      <c r="D141" s="197" t="str">
        <f>VLOOKUP(tabParametros[[#This Row],[Código do Posto]],tabPostos[],4,0)</f>
        <v>Curvelo</v>
      </c>
      <c r="E141" s="282" t="str">
        <f>VLOOKUP(tabParametros[[#This Row],[Código do Posto]],tabPostos[],5,0)</f>
        <v>Apoio</v>
      </c>
      <c r="F141" s="282" t="str">
        <f>VLOOKUP(tabParametros[[#This Row],[Código do Posto]],tabPostos[],6,0)</f>
        <v>PGJ</v>
      </c>
      <c r="G141" s="282">
        <f>VLOOKUP(tabParametros[[#This Row],[Código do Posto]],tabPostos[],7,0)</f>
        <v>1</v>
      </c>
      <c r="H141" s="282">
        <f>VLOOKUP(tabParametros[[#This Row],[Código do Posto]],tabPostos[],8,0)</f>
        <v>0</v>
      </c>
      <c r="I141" s="232">
        <f>VLOOKUP(tabParametros[[#This Row],[Código do Posto]],tabPostos[],9,0)</f>
        <v>3397.1306016921476</v>
      </c>
      <c r="J141" s="232">
        <f>IF(ISNUMBER(SEARCH("Eletricista",tabParametros[[#This Row],[Função]],1)),0.3*tabParametros[[#This Row],[Salário Base]],0)</f>
        <v>0</v>
      </c>
      <c r="K14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41" s="232">
        <f>IF(AND(ISNUMBER(SEARCH("Noturno",tabParametros[[#This Row],[Função]],1)),tabParametros[[#This Row],[Comarca]]&lt;&gt;"Juiz de Fora"),tabParametros[[#This Row],[Salário Base]]/210*0.39*7*15.5,IF(ISNUMBER(SEARCH("Noturno",tabParametros[[#This Row],[Função]],1)),tabParametros[[#This Row],[Salário Base]]/210*0.2*8*15.5,0))</f>
        <v>0</v>
      </c>
      <c r="M141" s="232">
        <f>IF(ISNUMBER(SEARCH("Motorista II",tabParametros[[#This Row],[Função]],1)),0.3022*tabParametros[[#This Row],[Salário Base]],0)</f>
        <v>0</v>
      </c>
      <c r="N141" s="254">
        <v>0</v>
      </c>
      <c r="O141" s="254">
        <f>IF(ISNUMBER(SEARCH("TECNOLOGIA DA INFORMACAO",tabParametros[[#This Row],[Função]],1)),0.056*tabParametros[[#This Row],[Salário Base]],0)</f>
        <v>0</v>
      </c>
      <c r="P141" s="232">
        <f>IF(tabParametros[[#This Row],[Função]]="Operador de Midia Audiovisual - 150 h",tabParametros[[#This Row],[Salário Base]]/150*50*30%,IF(tabParametros[[#This Row],[Função]]="Supervisor de Manutencao de Veiculos II - 220 h",12%*tabParametros[[#This Row],[Salário Base]],0))</f>
        <v>0</v>
      </c>
      <c r="Q141" s="233">
        <f>VLOOKUP(tabParametros[[#Headers],[INSS]],tabImpostosNacionais[],2,0)</f>
        <v>0.2</v>
      </c>
      <c r="R141" s="233">
        <f>VLOOKUP(tabParametros[[#Headers],[SESI OU SESC]],tabImpostosNacionais[],2,0)</f>
        <v>1.4999999999999999E-2</v>
      </c>
      <c r="S141" s="233">
        <f>VLOOKUP(tabParametros[[#Headers],[SENAI OU SENAC]],tabImpostosNacionais[],2,0)</f>
        <v>0.01</v>
      </c>
      <c r="T141" s="233">
        <f>VLOOKUP(tabParametros[[#Headers],[INCRA]],tabImpostosNacionais[],2,0)</f>
        <v>2E-3</v>
      </c>
      <c r="U141" s="233">
        <f>VLOOKUP(tabParametros[[#Headers],[Salário Educação]],tabImpostosNacionais[],2,0)</f>
        <v>2.5000000000000001E-2</v>
      </c>
      <c r="V141" s="233">
        <f>VLOOKUP(tabParametros[[#Headers],[FGTS]],tabImpostosNacionais[],2,0)</f>
        <v>0.08</v>
      </c>
      <c r="W141" s="233">
        <f>VLOOKUP(tabParametros[[#Headers],[RAT Ajustado]],tabImpostosNacionais[],2,0)</f>
        <v>0.04</v>
      </c>
      <c r="X141" s="233">
        <f>VLOOKUP(tabParametros[[#Headers],[SEBRAE]],tabImpostosNacionais[],2,0)</f>
        <v>6.0000000000000001E-3</v>
      </c>
      <c r="Y141" s="233">
        <f t="shared" si="22"/>
        <v>8.3333333333333329E-2</v>
      </c>
      <c r="Z141" s="233">
        <f t="shared" si="23"/>
        <v>0.1111111111111111</v>
      </c>
      <c r="AA141" s="232">
        <f>VLOOKUP(tabParametros[[#This Row],[Comarca]],tabComarca[],5,0)</f>
        <v>6.4</v>
      </c>
      <c r="AB141" s="232">
        <f>VLOOKUP(tabParametros[[#This Row],[CCT DA CATEGORIA]],tabSindicatos[],6,0)</f>
        <v>29.15</v>
      </c>
      <c r="AC141" s="232">
        <f>VLOOKUP(tabParametros[[#This Row],[CCT DA CATEGORIA]],tabSindicatos[],7,0)</f>
        <v>0</v>
      </c>
      <c r="AD141" s="232" cm="1">
        <f t="array" ref="AD14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51.74</v>
      </c>
      <c r="AE141" s="232">
        <f>VLOOKUP(tabParametros[[#This Row],[CCT DA CATEGORIA]],tabSindicatos[],9,0)</f>
        <v>0</v>
      </c>
      <c r="AF141" s="232">
        <f>VLOOKUP(tabParametros[[#This Row],[CCT DA CATEGORIA]],tabSindicatos[],10,0)</f>
        <v>0</v>
      </c>
      <c r="AG141" s="234">
        <f>VLOOKUP(tabParametros[[#Headers],[Seguro de Vida]],tabOutrosCustos[],3,0)</f>
        <v>3.36</v>
      </c>
      <c r="AH141" s="234">
        <f>IF(ISNUMBER(SEARCH("MOTORISTA",tabParametros[[#This Row],[Função]],1)),VLOOKUP("MOTORISTAS",tabDiarias[],2,0),IF(tabParametros[[#This Row],[Comarca]]="Belo Horizonte",VLOOKUP("APOIO",tabDiarias[],2,0),0))</f>
        <v>0</v>
      </c>
      <c r="AI141" s="233">
        <f t="shared" si="24"/>
        <v>7.011766975308642E-3</v>
      </c>
      <c r="AJ141" s="235">
        <f>tabParametros[[#This Row],[FGTS]]*tabParametros[[#This Row],[Aviso Prévio Indenizado (API) e Reflexo do Aviso Prévio Indenizado]]</f>
        <v>5.609413580246914E-4</v>
      </c>
      <c r="AK141" s="235">
        <f>tabParametros[[#This Row],[FGTS]]*tabParametros[[#This Row],[Aviso Prévio Indenizado (API) e Reflexo do Aviso Prévio Indenizado]]*40%</f>
        <v>2.2437654320987658E-4</v>
      </c>
      <c r="AL141" s="233">
        <f t="shared" si="25"/>
        <v>3.5000000000000005E-3</v>
      </c>
      <c r="AM141" s="233">
        <f>tabParametros[[#This Row],[Aviso Prévio Trabalhado - APT]]*SUM(tabParametros[[#This Row],[INSS]:[SEBRAE]])</f>
        <v>1.3230000000000004E-3</v>
      </c>
      <c r="AN141" s="233">
        <f t="shared" si="26"/>
        <v>3.0577777777777773E-2</v>
      </c>
      <c r="AO141" s="233">
        <f t="shared" si="27"/>
        <v>8.3333333333333339E-4</v>
      </c>
      <c r="AP141" s="233">
        <f t="shared" si="28"/>
        <v>8.4444444444444437E-3</v>
      </c>
      <c r="AQ141" s="233">
        <f t="shared" si="29"/>
        <v>2.0277777777777777E-3</v>
      </c>
      <c r="AR141" s="233">
        <f t="shared" si="30"/>
        <v>1.7083333333333333E-4</v>
      </c>
      <c r="AS141" s="233">
        <f t="shared" si="31"/>
        <v>2.0833333333333335E-4</v>
      </c>
      <c r="AT141" s="233">
        <f t="shared" si="32"/>
        <v>1.2962962962962963E-3</v>
      </c>
      <c r="AU141" s="235">
        <f>SUM(tabParametros[[#This Row],[Ausência por Doença]:[Férias, Adicional de Férias e 13º  com empregada em gozo de Licença Maternidade]])*SUM(tabParametros[[#This Row],[INSS]:[SEBRAE]])</f>
        <v>4.5918250000000008E-3</v>
      </c>
      <c r="AV141" s="254">
        <f>IF(tabParametros[[#This Row],[Função]]="Porteiro - 220 h",SUM(tabParametros[[#This Row],[Salário Base]:[Adicional de Acúmulo de função]])/220*20*1.5,IF(ISNUMBER(SEARCH("12 x 36",tabParametros[[#This Row],[Função]],1)),SUM(tabParametros[[#This Row],[Salário Base]:[Adicional de Acúmulo de função]])/210*15.5*1.5,0))</f>
        <v>0</v>
      </c>
      <c r="AW141" s="232">
        <f>IF(tabParametros[[#This Row],[Vagas contratadas]]&gt;0,(SUM(tabParametros[[#This Row],[Salário Base]:[Adicional de Acúmulo de função]])*30%+SUM(tabParametros[[#This Row],[Vale - Alimentação]:[Seguro de Vida]]))/tabParametros[[#This Row],[Vagas contratadas]]*tabParametros[[#This Row],[Vagas suspensas]],0)</f>
        <v>0</v>
      </c>
      <c r="AX141" s="232">
        <f>SUMIF(tabUniformes[Cargo],tabParametros[[#This Row],[Função]],tabUniformes[Valor unit. Mensal])</f>
        <v>56.642978962543395</v>
      </c>
      <c r="AY14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4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4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1" s="232">
        <v>0</v>
      </c>
      <c r="BC141" s="234" t="e">
        <f ca="1">VLOOKUP(tabParametros[[#Headers],[Custos Indiretos]],tabOutrosCustos[],3,0)</f>
        <v>#NAME?</v>
      </c>
      <c r="BD141" s="234" t="e">
        <f ca="1">VLOOKUP(tabParametros[[#Headers],[Lucro]],tabOutrosCustos[],3,0)</f>
        <v>#NAME?</v>
      </c>
      <c r="BE141" s="233">
        <f>VLOOKUP(tabParametros[[#Headers],[COFINS]],tabImpostosNacionais[],2,0)</f>
        <v>7.5999999999999998E-2</v>
      </c>
      <c r="BF141" s="233">
        <f>VLOOKUP(tabParametros[[#Headers],[PIS]],tabImpostosNacionais[],2,0)</f>
        <v>1.6500000000000001E-2</v>
      </c>
      <c r="BG141" s="233">
        <f>VLOOKUP(tabParametros[[#This Row],[Comarca]],tabComarca[],4,0)</f>
        <v>0.05</v>
      </c>
      <c r="BH141" s="236">
        <f>VLOOKUP(tabParametros[[#This Row],[CCT DA CATEGORIA]],tabSindicatos[],11,0)</f>
        <v>45658</v>
      </c>
      <c r="BI141" s="282" t="str">
        <f>VLOOKUP(tabParametros[[#This Row],[CCT DA CATEGORIA]],tabSindicatos[],12,0)</f>
        <v>-</v>
      </c>
      <c r="BJ141" s="285" t="str">
        <f>VLOOKUP(tabParametros[[#This Row],[CCT DA CATEGORIA]],tabSindicatos[],13,0)</f>
        <v>-</v>
      </c>
    </row>
    <row r="142" spans="1:62">
      <c r="A142" s="231" t="s">
        <v>1596</v>
      </c>
      <c r="B142" s="197" t="s">
        <v>1133</v>
      </c>
      <c r="C142" s="197" t="s">
        <v>1366</v>
      </c>
      <c r="D142" s="197" t="str">
        <f>VLOOKUP(tabParametros[[#This Row],[Código do Posto]],tabPostos[],4,0)</f>
        <v>Seethur</v>
      </c>
      <c r="E142" s="282" t="str">
        <f>VLOOKUP(tabParametros[[#This Row],[Código do Posto]],tabPostos[],5,0)</f>
        <v>Apoio</v>
      </c>
      <c r="F142" s="282" t="str">
        <f>VLOOKUP(tabParametros[[#This Row],[Código do Posto]],tabPostos[],6,0)</f>
        <v>PGJ</v>
      </c>
      <c r="G142" s="282">
        <f>VLOOKUP(tabParametros[[#This Row],[Código do Posto]],tabPostos[],7,0)</f>
        <v>1</v>
      </c>
      <c r="H142" s="282">
        <f>VLOOKUP(tabParametros[[#This Row],[Código do Posto]],tabPostos[],8,0)</f>
        <v>0</v>
      </c>
      <c r="I142" s="232">
        <f>VLOOKUP(tabParametros[[#This Row],[Código do Posto]],tabPostos[],9,0)</f>
        <v>1043.7162223913672</v>
      </c>
      <c r="J142" s="232">
        <f>IF(ISNUMBER(SEARCH("Eletricista",tabParametros[[#This Row],[Função]],1)),0.3*tabParametros[[#This Row],[Salário Base]],0)</f>
        <v>0</v>
      </c>
      <c r="K14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42" s="232">
        <f>IF(AND(ISNUMBER(SEARCH("Noturno",tabParametros[[#This Row],[Função]],1)),tabParametros[[#This Row],[Comarca]]&lt;&gt;"Juiz de Fora"),tabParametros[[#This Row],[Salário Base]]/210*0.39*7*15.5,IF(ISNUMBER(SEARCH("Noturno",tabParametros[[#This Row],[Função]],1)),tabParametros[[#This Row],[Salário Base]]/210*0.2*8*15.5,0))</f>
        <v>0</v>
      </c>
      <c r="M142" s="232">
        <f>IF(ISNUMBER(SEARCH("Motorista II",tabParametros[[#This Row],[Função]],1)),0.3022*tabParametros[[#This Row],[Salário Base]],0)</f>
        <v>0</v>
      </c>
      <c r="N142" s="254">
        <v>0</v>
      </c>
      <c r="O142" s="254">
        <f>IF(ISNUMBER(SEARCH("TECNOLOGIA DA INFORMACAO",tabParametros[[#This Row],[Função]],1)),0.056*tabParametros[[#This Row],[Salário Base]],0)</f>
        <v>0</v>
      </c>
      <c r="P142" s="232">
        <f>IF(tabParametros[[#This Row],[Função]]="Operador de Midia Audiovisual - 150 h",tabParametros[[#This Row],[Salário Base]]/150*50*30%,IF(tabParametros[[#This Row],[Função]]="Supervisor de Manutencao de Veiculos II - 220 h",12%*tabParametros[[#This Row],[Salário Base]],0))</f>
        <v>0</v>
      </c>
      <c r="Q142" s="233">
        <f>VLOOKUP(tabParametros[[#Headers],[INSS]],tabImpostosNacionais[],2,0)</f>
        <v>0.2</v>
      </c>
      <c r="R142" s="233">
        <f>VLOOKUP(tabParametros[[#Headers],[SESI OU SESC]],tabImpostosNacionais[],2,0)</f>
        <v>1.4999999999999999E-2</v>
      </c>
      <c r="S142" s="233">
        <f>VLOOKUP(tabParametros[[#Headers],[SENAI OU SENAC]],tabImpostosNacionais[],2,0)</f>
        <v>0.01</v>
      </c>
      <c r="T142" s="233">
        <f>VLOOKUP(tabParametros[[#Headers],[INCRA]],tabImpostosNacionais[],2,0)</f>
        <v>2E-3</v>
      </c>
      <c r="U142" s="233">
        <f>VLOOKUP(tabParametros[[#Headers],[Salário Educação]],tabImpostosNacionais[],2,0)</f>
        <v>2.5000000000000001E-2</v>
      </c>
      <c r="V142" s="233">
        <f>VLOOKUP(tabParametros[[#Headers],[FGTS]],tabImpostosNacionais[],2,0)</f>
        <v>0.08</v>
      </c>
      <c r="W142" s="233">
        <f>VLOOKUP(tabParametros[[#Headers],[RAT Ajustado]],tabImpostosNacionais[],2,0)</f>
        <v>0.04</v>
      </c>
      <c r="X142" s="233">
        <f>VLOOKUP(tabParametros[[#Headers],[SEBRAE]],tabImpostosNacionais[],2,0)</f>
        <v>6.0000000000000001E-3</v>
      </c>
      <c r="Y142" s="233">
        <f t="shared" si="22"/>
        <v>8.3333333333333329E-2</v>
      </c>
      <c r="Z142" s="233">
        <f t="shared" si="23"/>
        <v>0.1111111111111111</v>
      </c>
      <c r="AA142" s="232">
        <f>VLOOKUP(tabParametros[[#This Row],[Comarca]],tabComarca[],5,0)</f>
        <v>6.4</v>
      </c>
      <c r="AB142" s="232">
        <f>VLOOKUP(tabParametros[[#This Row],[CCT DA CATEGORIA]],tabSindicatos[],6,0)</f>
        <v>29.15</v>
      </c>
      <c r="AC142" s="232">
        <f>VLOOKUP(tabParametros[[#This Row],[CCT DA CATEGORIA]],tabSindicatos[],7,0)</f>
        <v>0</v>
      </c>
      <c r="AD142" s="232" cm="1">
        <f t="array" ref="AD14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42" s="232">
        <f>VLOOKUP(tabParametros[[#This Row],[CCT DA CATEGORIA]],tabSindicatos[],9,0)</f>
        <v>0</v>
      </c>
      <c r="AF142" s="232">
        <f>VLOOKUP(tabParametros[[#This Row],[CCT DA CATEGORIA]],tabSindicatos[],10,0)</f>
        <v>0</v>
      </c>
      <c r="AG142" s="234">
        <f>VLOOKUP(tabParametros[[#Headers],[Seguro de Vida]],tabOutrosCustos[],3,0)</f>
        <v>3.36</v>
      </c>
      <c r="AH142" s="234">
        <f>IF(ISNUMBER(SEARCH("MOTORISTA",tabParametros[[#This Row],[Função]],1)),VLOOKUP("MOTORISTAS",tabDiarias[],2,0),IF(tabParametros[[#This Row],[Comarca]]="Belo Horizonte",VLOOKUP("APOIO",tabDiarias[],2,0),0))</f>
        <v>0</v>
      </c>
      <c r="AI142" s="233">
        <f t="shared" si="24"/>
        <v>7.011766975308642E-3</v>
      </c>
      <c r="AJ142" s="235">
        <f>tabParametros[[#This Row],[FGTS]]*tabParametros[[#This Row],[Aviso Prévio Indenizado (API) e Reflexo do Aviso Prévio Indenizado]]</f>
        <v>5.609413580246914E-4</v>
      </c>
      <c r="AK142" s="235">
        <f>tabParametros[[#This Row],[FGTS]]*tabParametros[[#This Row],[Aviso Prévio Indenizado (API) e Reflexo do Aviso Prévio Indenizado]]*40%</f>
        <v>2.2437654320987658E-4</v>
      </c>
      <c r="AL142" s="233">
        <f t="shared" si="25"/>
        <v>3.5000000000000005E-3</v>
      </c>
      <c r="AM142" s="233">
        <f>tabParametros[[#This Row],[Aviso Prévio Trabalhado - APT]]*SUM(tabParametros[[#This Row],[INSS]:[SEBRAE]])</f>
        <v>1.3230000000000004E-3</v>
      </c>
      <c r="AN142" s="233">
        <f t="shared" si="26"/>
        <v>3.0577777777777773E-2</v>
      </c>
      <c r="AO142" s="233">
        <f t="shared" si="27"/>
        <v>8.3333333333333339E-4</v>
      </c>
      <c r="AP142" s="233">
        <f t="shared" si="28"/>
        <v>8.4444444444444437E-3</v>
      </c>
      <c r="AQ142" s="233">
        <f t="shared" si="29"/>
        <v>2.0277777777777777E-3</v>
      </c>
      <c r="AR142" s="233">
        <f t="shared" si="30"/>
        <v>1.7083333333333333E-4</v>
      </c>
      <c r="AS142" s="233">
        <f t="shared" si="31"/>
        <v>2.0833333333333335E-4</v>
      </c>
      <c r="AT142" s="233">
        <f t="shared" si="32"/>
        <v>1.2962962962962963E-3</v>
      </c>
      <c r="AU142" s="235">
        <f>SUM(tabParametros[[#This Row],[Ausência por Doença]:[Férias, Adicional de Férias e 13º  com empregada em gozo de Licença Maternidade]])*SUM(tabParametros[[#This Row],[INSS]:[SEBRAE]])</f>
        <v>4.5918250000000008E-3</v>
      </c>
      <c r="AV142" s="254">
        <f>IF(tabParametros[[#This Row],[Função]]="Porteiro - 220 h",SUM(tabParametros[[#This Row],[Salário Base]:[Adicional de Acúmulo de função]])/220*20*1.5,IF(ISNUMBER(SEARCH("12 x 36",tabParametros[[#This Row],[Função]],1)),SUM(tabParametros[[#This Row],[Salário Base]:[Adicional de Acúmulo de função]])/210*15.5*1.5,0))</f>
        <v>0</v>
      </c>
      <c r="AW142" s="232">
        <f>IF(tabParametros[[#This Row],[Vagas contratadas]]&gt;0,(SUM(tabParametros[[#This Row],[Salário Base]:[Adicional de Acúmulo de função]])*30%+SUM(tabParametros[[#This Row],[Vale - Alimentação]:[Seguro de Vida]]))/tabParametros[[#This Row],[Vagas contratadas]]*tabParametros[[#This Row],[Vagas suspensas]],0)</f>
        <v>0</v>
      </c>
      <c r="AX142" s="232">
        <f>SUMIF(tabUniformes[Cargo],tabParametros[[#This Row],[Função]],tabUniformes[Valor unit. Mensal])</f>
        <v>196.62072732312174</v>
      </c>
      <c r="AY14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4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4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2" s="232">
        <v>0</v>
      </c>
      <c r="BC142" s="234" t="e">
        <f ca="1">VLOOKUP(tabParametros[[#Headers],[Custos Indiretos]],tabOutrosCustos[],3,0)</f>
        <v>#NAME?</v>
      </c>
      <c r="BD142" s="234" t="e">
        <f ca="1">VLOOKUP(tabParametros[[#Headers],[Lucro]],tabOutrosCustos[],3,0)</f>
        <v>#NAME?</v>
      </c>
      <c r="BE142" s="233">
        <f>VLOOKUP(tabParametros[[#Headers],[COFINS]],tabImpostosNacionais[],2,0)</f>
        <v>7.5999999999999998E-2</v>
      </c>
      <c r="BF142" s="233">
        <f>VLOOKUP(tabParametros[[#Headers],[PIS]],tabImpostosNacionais[],2,0)</f>
        <v>1.6500000000000001E-2</v>
      </c>
      <c r="BG142" s="233">
        <f>VLOOKUP(tabParametros[[#This Row],[Comarca]],tabComarca[],4,0)</f>
        <v>0.03</v>
      </c>
      <c r="BH142" s="236">
        <f>VLOOKUP(tabParametros[[#This Row],[CCT DA CATEGORIA]],tabSindicatos[],11,0)</f>
        <v>45658</v>
      </c>
      <c r="BI142" s="282" t="str">
        <f>VLOOKUP(tabParametros[[#This Row],[CCT DA CATEGORIA]],tabSindicatos[],12,0)</f>
        <v>-</v>
      </c>
      <c r="BJ142" s="285" t="str">
        <f>VLOOKUP(tabParametros[[#This Row],[CCT DA CATEGORIA]],tabSindicatos[],13,0)</f>
        <v>-</v>
      </c>
    </row>
    <row r="143" spans="1:62">
      <c r="A143" s="231" t="s">
        <v>1597</v>
      </c>
      <c r="B143" s="197" t="s">
        <v>1133</v>
      </c>
      <c r="C143" s="197" t="s">
        <v>1368</v>
      </c>
      <c r="D143" s="197" t="str">
        <f>VLOOKUP(tabParametros[[#This Row],[Código do Posto]],tabPostos[],4,0)</f>
        <v>Seethur</v>
      </c>
      <c r="E143" s="282" t="str">
        <f>VLOOKUP(tabParametros[[#This Row],[Código do Posto]],tabPostos[],5,0)</f>
        <v>Apoio</v>
      </c>
      <c r="F143" s="282" t="str">
        <f>VLOOKUP(tabParametros[[#This Row],[Código do Posto]],tabPostos[],6,0)</f>
        <v>PGJ</v>
      </c>
      <c r="G143" s="282">
        <f>VLOOKUP(tabParametros[[#This Row],[Código do Posto]],tabPostos[],7,0)</f>
        <v>1</v>
      </c>
      <c r="H143" s="282">
        <f>VLOOKUP(tabParametros[[#This Row],[Código do Posto]],tabPostos[],8,0)</f>
        <v>0</v>
      </c>
      <c r="I143" s="232">
        <f>VLOOKUP(tabParametros[[#This Row],[Código do Posto]],tabPostos[],9,0)</f>
        <v>2296.1756892610078</v>
      </c>
      <c r="J143" s="232">
        <f>IF(ISNUMBER(SEARCH("Eletricista",tabParametros[[#This Row],[Função]],1)),0.3*tabParametros[[#This Row],[Salário Base]],0)</f>
        <v>0</v>
      </c>
      <c r="K14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43" s="232">
        <f>IF(AND(ISNUMBER(SEARCH("Noturno",tabParametros[[#This Row],[Função]],1)),tabParametros[[#This Row],[Comarca]]&lt;&gt;"Juiz de Fora"),tabParametros[[#This Row],[Salário Base]]/210*0.39*7*15.5,IF(ISNUMBER(SEARCH("Noturno",tabParametros[[#This Row],[Função]],1)),tabParametros[[#This Row],[Salário Base]]/210*0.2*8*15.5,0))</f>
        <v>0</v>
      </c>
      <c r="M143" s="232">
        <f>IF(ISNUMBER(SEARCH("Motorista II",tabParametros[[#This Row],[Função]],1)),0.3022*tabParametros[[#This Row],[Salário Base]],0)</f>
        <v>0</v>
      </c>
      <c r="N143" s="254">
        <v>0</v>
      </c>
      <c r="O143" s="254">
        <f>IF(ISNUMBER(SEARCH("TECNOLOGIA DA INFORMACAO",tabParametros[[#This Row],[Função]],1)),0.056*tabParametros[[#This Row],[Salário Base]],0)</f>
        <v>0</v>
      </c>
      <c r="P143" s="232">
        <f>IF(tabParametros[[#This Row],[Função]]="Operador de Midia Audiovisual - 150 h",tabParametros[[#This Row],[Salário Base]]/150*50*30%,IF(tabParametros[[#This Row],[Função]]="Supervisor de Manutencao de Veiculos II - 220 h",12%*tabParametros[[#This Row],[Salário Base]],0))</f>
        <v>0</v>
      </c>
      <c r="Q143" s="233">
        <f>VLOOKUP(tabParametros[[#Headers],[INSS]],tabImpostosNacionais[],2,0)</f>
        <v>0.2</v>
      </c>
      <c r="R143" s="233">
        <f>VLOOKUP(tabParametros[[#Headers],[SESI OU SESC]],tabImpostosNacionais[],2,0)</f>
        <v>1.4999999999999999E-2</v>
      </c>
      <c r="S143" s="233">
        <f>VLOOKUP(tabParametros[[#Headers],[SENAI OU SENAC]],tabImpostosNacionais[],2,0)</f>
        <v>0.01</v>
      </c>
      <c r="T143" s="233">
        <f>VLOOKUP(tabParametros[[#Headers],[INCRA]],tabImpostosNacionais[],2,0)</f>
        <v>2E-3</v>
      </c>
      <c r="U143" s="233">
        <f>VLOOKUP(tabParametros[[#Headers],[Salário Educação]],tabImpostosNacionais[],2,0)</f>
        <v>2.5000000000000001E-2</v>
      </c>
      <c r="V143" s="233">
        <f>VLOOKUP(tabParametros[[#Headers],[FGTS]],tabImpostosNacionais[],2,0)</f>
        <v>0.08</v>
      </c>
      <c r="W143" s="233">
        <f>VLOOKUP(tabParametros[[#Headers],[RAT Ajustado]],tabImpostosNacionais[],2,0)</f>
        <v>0.04</v>
      </c>
      <c r="X143" s="233">
        <f>VLOOKUP(tabParametros[[#Headers],[SEBRAE]],tabImpostosNacionais[],2,0)</f>
        <v>6.0000000000000001E-3</v>
      </c>
      <c r="Y143" s="233">
        <f t="shared" si="22"/>
        <v>8.3333333333333329E-2</v>
      </c>
      <c r="Z143" s="233">
        <f t="shared" si="23"/>
        <v>0.1111111111111111</v>
      </c>
      <c r="AA143" s="232">
        <f>VLOOKUP(tabParametros[[#This Row],[Comarca]],tabComarca[],5,0)</f>
        <v>6.4</v>
      </c>
      <c r="AB143" s="232">
        <f>VLOOKUP(tabParametros[[#This Row],[CCT DA CATEGORIA]],tabSindicatos[],6,0)</f>
        <v>29.15</v>
      </c>
      <c r="AC143" s="232">
        <f>VLOOKUP(tabParametros[[#This Row],[CCT DA CATEGORIA]],tabSindicatos[],7,0)</f>
        <v>0</v>
      </c>
      <c r="AD143" s="232" cm="1">
        <f t="array" ref="AD14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43" s="232">
        <f>VLOOKUP(tabParametros[[#This Row],[CCT DA CATEGORIA]],tabSindicatos[],9,0)</f>
        <v>0</v>
      </c>
      <c r="AF143" s="232">
        <f>VLOOKUP(tabParametros[[#This Row],[CCT DA CATEGORIA]],tabSindicatos[],10,0)</f>
        <v>0</v>
      </c>
      <c r="AG143" s="234">
        <f>VLOOKUP(tabParametros[[#Headers],[Seguro de Vida]],tabOutrosCustos[],3,0)</f>
        <v>3.36</v>
      </c>
      <c r="AH143" s="234">
        <f>IF(ISNUMBER(SEARCH("MOTORISTA",tabParametros[[#This Row],[Função]],1)),VLOOKUP("MOTORISTAS",tabDiarias[],2,0),IF(tabParametros[[#This Row],[Comarca]]="Belo Horizonte",VLOOKUP("APOIO",tabDiarias[],2,0),0))</f>
        <v>0</v>
      </c>
      <c r="AI143" s="233">
        <f t="shared" si="24"/>
        <v>7.011766975308642E-3</v>
      </c>
      <c r="AJ143" s="235">
        <f>tabParametros[[#This Row],[FGTS]]*tabParametros[[#This Row],[Aviso Prévio Indenizado (API) e Reflexo do Aviso Prévio Indenizado]]</f>
        <v>5.609413580246914E-4</v>
      </c>
      <c r="AK143" s="235">
        <f>tabParametros[[#This Row],[FGTS]]*tabParametros[[#This Row],[Aviso Prévio Indenizado (API) e Reflexo do Aviso Prévio Indenizado]]*40%</f>
        <v>2.2437654320987658E-4</v>
      </c>
      <c r="AL143" s="233">
        <f t="shared" si="25"/>
        <v>3.5000000000000005E-3</v>
      </c>
      <c r="AM143" s="233">
        <f>tabParametros[[#This Row],[Aviso Prévio Trabalhado - APT]]*SUM(tabParametros[[#This Row],[INSS]:[SEBRAE]])</f>
        <v>1.3230000000000004E-3</v>
      </c>
      <c r="AN143" s="233">
        <f t="shared" si="26"/>
        <v>3.0577777777777773E-2</v>
      </c>
      <c r="AO143" s="233">
        <f t="shared" si="27"/>
        <v>8.3333333333333339E-4</v>
      </c>
      <c r="AP143" s="233">
        <f t="shared" si="28"/>
        <v>8.4444444444444437E-3</v>
      </c>
      <c r="AQ143" s="233">
        <f t="shared" si="29"/>
        <v>2.0277777777777777E-3</v>
      </c>
      <c r="AR143" s="233">
        <f t="shared" si="30"/>
        <v>1.7083333333333333E-4</v>
      </c>
      <c r="AS143" s="233">
        <f t="shared" si="31"/>
        <v>2.0833333333333335E-4</v>
      </c>
      <c r="AT143" s="233">
        <f t="shared" si="32"/>
        <v>1.2962962962962963E-3</v>
      </c>
      <c r="AU143" s="235">
        <f>SUM(tabParametros[[#This Row],[Ausência por Doença]:[Férias, Adicional de Férias e 13º  com empregada em gozo de Licença Maternidade]])*SUM(tabParametros[[#This Row],[INSS]:[SEBRAE]])</f>
        <v>4.5918250000000008E-3</v>
      </c>
      <c r="AV143" s="254">
        <f>IF(tabParametros[[#This Row],[Função]]="Porteiro - 220 h",SUM(tabParametros[[#This Row],[Salário Base]:[Adicional de Acúmulo de função]])/220*20*1.5,IF(ISNUMBER(SEARCH("12 x 36",tabParametros[[#This Row],[Função]],1)),SUM(tabParametros[[#This Row],[Salário Base]:[Adicional de Acúmulo de função]])/210*15.5*1.5,0))</f>
        <v>0</v>
      </c>
      <c r="AW143" s="232">
        <f>IF(tabParametros[[#This Row],[Vagas contratadas]]&gt;0,(SUM(tabParametros[[#This Row],[Salário Base]:[Adicional de Acúmulo de função]])*30%+SUM(tabParametros[[#This Row],[Vale - Alimentação]:[Seguro de Vida]]))/tabParametros[[#This Row],[Vagas contratadas]]*tabParametros[[#This Row],[Vagas suspensas]],0)</f>
        <v>0</v>
      </c>
      <c r="AX143" s="232">
        <f>SUMIF(tabUniformes[Cargo],tabParametros[[#This Row],[Função]],tabUniformes[Valor unit. Mensal])</f>
        <v>196.62072732312174</v>
      </c>
      <c r="AY14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4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4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3" s="232">
        <v>0</v>
      </c>
      <c r="BC143" s="234" t="e">
        <f ca="1">VLOOKUP(tabParametros[[#Headers],[Custos Indiretos]],tabOutrosCustos[],3,0)</f>
        <v>#NAME?</v>
      </c>
      <c r="BD143" s="234" t="e">
        <f ca="1">VLOOKUP(tabParametros[[#Headers],[Lucro]],tabOutrosCustos[],3,0)</f>
        <v>#NAME?</v>
      </c>
      <c r="BE143" s="233">
        <f>VLOOKUP(tabParametros[[#Headers],[COFINS]],tabImpostosNacionais[],2,0)</f>
        <v>7.5999999999999998E-2</v>
      </c>
      <c r="BF143" s="233">
        <f>VLOOKUP(tabParametros[[#Headers],[PIS]],tabImpostosNacionais[],2,0)</f>
        <v>1.6500000000000001E-2</v>
      </c>
      <c r="BG143" s="233">
        <f>VLOOKUP(tabParametros[[#This Row],[Comarca]],tabComarca[],4,0)</f>
        <v>0.03</v>
      </c>
      <c r="BH143" s="236">
        <f>VLOOKUP(tabParametros[[#This Row],[CCT DA CATEGORIA]],tabSindicatos[],11,0)</f>
        <v>45658</v>
      </c>
      <c r="BI143" s="282" t="str">
        <f>VLOOKUP(tabParametros[[#This Row],[CCT DA CATEGORIA]],tabSindicatos[],12,0)</f>
        <v>-</v>
      </c>
      <c r="BJ143" s="285" t="str">
        <f>VLOOKUP(tabParametros[[#This Row],[CCT DA CATEGORIA]],tabSindicatos[],13,0)</f>
        <v>-</v>
      </c>
    </row>
    <row r="144" spans="1:62">
      <c r="A144" s="231" t="s">
        <v>1598</v>
      </c>
      <c r="B144" s="197" t="s">
        <v>1133</v>
      </c>
      <c r="C144" s="197" t="s">
        <v>314</v>
      </c>
      <c r="D144" s="197" t="str">
        <f>VLOOKUP(tabParametros[[#This Row],[Código do Posto]],tabPostos[],4,0)</f>
        <v>Seethur</v>
      </c>
      <c r="E144" s="282" t="str">
        <f>VLOOKUP(tabParametros[[#This Row],[Código do Posto]],tabPostos[],5,0)</f>
        <v>Apoio</v>
      </c>
      <c r="F144" s="282" t="str">
        <f>VLOOKUP(tabParametros[[#This Row],[Código do Posto]],tabPostos[],6,0)</f>
        <v>PGJ</v>
      </c>
      <c r="G144" s="282">
        <f>VLOOKUP(tabParametros[[#This Row],[Código do Posto]],tabPostos[],7,0)</f>
        <v>1</v>
      </c>
      <c r="H144" s="282">
        <f>VLOOKUP(tabParametros[[#This Row],[Código do Posto]],tabPostos[],8,0)</f>
        <v>0</v>
      </c>
      <c r="I144" s="232">
        <f>VLOOKUP(tabParametros[[#This Row],[Código do Posto]],tabPostos[],9,0)</f>
        <v>1963.4110092077037</v>
      </c>
      <c r="J144" s="232">
        <f>IF(ISNUMBER(SEARCH("Eletricista",tabParametros[[#This Row],[Função]],1)),0.3*tabParametros[[#This Row],[Salário Base]],0)</f>
        <v>0</v>
      </c>
      <c r="K14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44" s="232">
        <f>IF(AND(ISNUMBER(SEARCH("Noturno",tabParametros[[#This Row],[Função]],1)),tabParametros[[#This Row],[Comarca]]&lt;&gt;"Juiz de Fora"),tabParametros[[#This Row],[Salário Base]]/210*0.39*7*15.5,IF(ISNUMBER(SEARCH("Noturno",tabParametros[[#This Row],[Função]],1)),tabParametros[[#This Row],[Salário Base]]/210*0.2*8*15.5,0))</f>
        <v>0</v>
      </c>
      <c r="M144" s="232">
        <f>IF(ISNUMBER(SEARCH("Motorista II",tabParametros[[#This Row],[Função]],1)),0.3022*tabParametros[[#This Row],[Salário Base]],0)</f>
        <v>0</v>
      </c>
      <c r="N144" s="254">
        <v>0</v>
      </c>
      <c r="O144" s="254">
        <f>IF(ISNUMBER(SEARCH("TECNOLOGIA DA INFORMACAO",tabParametros[[#This Row],[Função]],1)),0.056*tabParametros[[#This Row],[Salário Base]],0)</f>
        <v>0</v>
      </c>
      <c r="P144" s="232">
        <f>IF(tabParametros[[#This Row],[Função]]="Operador de Midia Audiovisual - 150 h",tabParametros[[#This Row],[Salário Base]]/150*50*30%,IF(tabParametros[[#This Row],[Função]]="Supervisor de Manutencao de Veiculos II - 220 h",12%*tabParametros[[#This Row],[Salário Base]],0))</f>
        <v>0</v>
      </c>
      <c r="Q144" s="233">
        <f>VLOOKUP(tabParametros[[#Headers],[INSS]],tabImpostosNacionais[],2,0)</f>
        <v>0.2</v>
      </c>
      <c r="R144" s="233">
        <f>VLOOKUP(tabParametros[[#Headers],[SESI OU SESC]],tabImpostosNacionais[],2,0)</f>
        <v>1.4999999999999999E-2</v>
      </c>
      <c r="S144" s="233">
        <f>VLOOKUP(tabParametros[[#Headers],[SENAI OU SENAC]],tabImpostosNacionais[],2,0)</f>
        <v>0.01</v>
      </c>
      <c r="T144" s="233">
        <f>VLOOKUP(tabParametros[[#Headers],[INCRA]],tabImpostosNacionais[],2,0)</f>
        <v>2E-3</v>
      </c>
      <c r="U144" s="233">
        <f>VLOOKUP(tabParametros[[#Headers],[Salário Educação]],tabImpostosNacionais[],2,0)</f>
        <v>2.5000000000000001E-2</v>
      </c>
      <c r="V144" s="233">
        <f>VLOOKUP(tabParametros[[#Headers],[FGTS]],tabImpostosNacionais[],2,0)</f>
        <v>0.08</v>
      </c>
      <c r="W144" s="233">
        <f>VLOOKUP(tabParametros[[#Headers],[RAT Ajustado]],tabImpostosNacionais[],2,0)</f>
        <v>0.04</v>
      </c>
      <c r="X144" s="233">
        <f>VLOOKUP(tabParametros[[#Headers],[SEBRAE]],tabImpostosNacionais[],2,0)</f>
        <v>6.0000000000000001E-3</v>
      </c>
      <c r="Y144" s="233">
        <f t="shared" si="22"/>
        <v>8.3333333333333329E-2</v>
      </c>
      <c r="Z144" s="233">
        <f t="shared" si="23"/>
        <v>0.1111111111111111</v>
      </c>
      <c r="AA144" s="232">
        <f>VLOOKUP(tabParametros[[#This Row],[Comarca]],tabComarca[],5,0)</f>
        <v>6.4</v>
      </c>
      <c r="AB144" s="232">
        <f>VLOOKUP(tabParametros[[#This Row],[CCT DA CATEGORIA]],tabSindicatos[],6,0)</f>
        <v>29.15</v>
      </c>
      <c r="AC144" s="232">
        <f>VLOOKUP(tabParametros[[#This Row],[CCT DA CATEGORIA]],tabSindicatos[],7,0)</f>
        <v>0</v>
      </c>
      <c r="AD144" s="232" cm="1">
        <f t="array" ref="AD14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44" s="232">
        <f>VLOOKUP(tabParametros[[#This Row],[CCT DA CATEGORIA]],tabSindicatos[],9,0)</f>
        <v>0</v>
      </c>
      <c r="AF144" s="232">
        <f>VLOOKUP(tabParametros[[#This Row],[CCT DA CATEGORIA]],tabSindicatos[],10,0)</f>
        <v>0</v>
      </c>
      <c r="AG144" s="234">
        <f>VLOOKUP(tabParametros[[#Headers],[Seguro de Vida]],tabOutrosCustos[],3,0)</f>
        <v>3.36</v>
      </c>
      <c r="AH144" s="234">
        <f>IF(ISNUMBER(SEARCH("MOTORISTA",tabParametros[[#This Row],[Função]],1)),VLOOKUP("MOTORISTAS",tabDiarias[],2,0),IF(tabParametros[[#This Row],[Comarca]]="Belo Horizonte",VLOOKUP("APOIO",tabDiarias[],2,0),0))</f>
        <v>0</v>
      </c>
      <c r="AI144" s="233">
        <f t="shared" si="24"/>
        <v>7.011766975308642E-3</v>
      </c>
      <c r="AJ144" s="235">
        <f>tabParametros[[#This Row],[FGTS]]*tabParametros[[#This Row],[Aviso Prévio Indenizado (API) e Reflexo do Aviso Prévio Indenizado]]</f>
        <v>5.609413580246914E-4</v>
      </c>
      <c r="AK144" s="235">
        <f>tabParametros[[#This Row],[FGTS]]*tabParametros[[#This Row],[Aviso Prévio Indenizado (API) e Reflexo do Aviso Prévio Indenizado]]*40%</f>
        <v>2.2437654320987658E-4</v>
      </c>
      <c r="AL144" s="233">
        <f t="shared" si="25"/>
        <v>3.5000000000000005E-3</v>
      </c>
      <c r="AM144" s="233">
        <f>tabParametros[[#This Row],[Aviso Prévio Trabalhado - APT]]*SUM(tabParametros[[#This Row],[INSS]:[SEBRAE]])</f>
        <v>1.3230000000000004E-3</v>
      </c>
      <c r="AN144" s="233">
        <f t="shared" si="26"/>
        <v>3.0577777777777773E-2</v>
      </c>
      <c r="AO144" s="233">
        <f t="shared" si="27"/>
        <v>8.3333333333333339E-4</v>
      </c>
      <c r="AP144" s="233">
        <f t="shared" si="28"/>
        <v>8.4444444444444437E-3</v>
      </c>
      <c r="AQ144" s="233">
        <f t="shared" si="29"/>
        <v>2.0277777777777777E-3</v>
      </c>
      <c r="AR144" s="233">
        <f t="shared" si="30"/>
        <v>1.7083333333333333E-4</v>
      </c>
      <c r="AS144" s="233">
        <f t="shared" si="31"/>
        <v>2.0833333333333335E-4</v>
      </c>
      <c r="AT144" s="233">
        <f t="shared" si="32"/>
        <v>1.2962962962962963E-3</v>
      </c>
      <c r="AU144" s="235">
        <f>SUM(tabParametros[[#This Row],[Ausência por Doença]:[Férias, Adicional de Férias e 13º  com empregada em gozo de Licença Maternidade]])*SUM(tabParametros[[#This Row],[INSS]:[SEBRAE]])</f>
        <v>4.5918250000000008E-3</v>
      </c>
      <c r="AV144"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44" s="232">
        <f>IF(tabParametros[[#This Row],[Vagas contratadas]]&gt;0,(SUM(tabParametros[[#This Row],[Salário Base]:[Adicional de Acúmulo de função]])*30%+SUM(tabParametros[[#This Row],[Vale - Alimentação]:[Seguro de Vida]]))/tabParametros[[#This Row],[Vagas contratadas]]*tabParametros[[#This Row],[Vagas suspensas]],0)</f>
        <v>0</v>
      </c>
      <c r="AX144" s="232">
        <f>SUMIF(tabUniformes[Cargo],tabParametros[[#This Row],[Função]],tabUniformes[Valor unit. Mensal])</f>
        <v>56.642978962543395</v>
      </c>
      <c r="AY14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4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4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4" s="232">
        <v>0</v>
      </c>
      <c r="BC144" s="234" t="e">
        <f ca="1">VLOOKUP(tabParametros[[#Headers],[Custos Indiretos]],tabOutrosCustos[],3,0)</f>
        <v>#NAME?</v>
      </c>
      <c r="BD144" s="234" t="e">
        <f ca="1">VLOOKUP(tabParametros[[#Headers],[Lucro]],tabOutrosCustos[],3,0)</f>
        <v>#NAME?</v>
      </c>
      <c r="BE144" s="233">
        <f>VLOOKUP(tabParametros[[#Headers],[COFINS]],tabImpostosNacionais[],2,0)</f>
        <v>7.5999999999999998E-2</v>
      </c>
      <c r="BF144" s="233">
        <f>VLOOKUP(tabParametros[[#Headers],[PIS]],tabImpostosNacionais[],2,0)</f>
        <v>1.6500000000000001E-2</v>
      </c>
      <c r="BG144" s="233">
        <f>VLOOKUP(tabParametros[[#This Row],[Comarca]],tabComarca[],4,0)</f>
        <v>0.03</v>
      </c>
      <c r="BH144" s="236">
        <f>VLOOKUP(tabParametros[[#This Row],[CCT DA CATEGORIA]],tabSindicatos[],11,0)</f>
        <v>45658</v>
      </c>
      <c r="BI144" s="282" t="str">
        <f>VLOOKUP(tabParametros[[#This Row],[CCT DA CATEGORIA]],tabSindicatos[],12,0)</f>
        <v>-</v>
      </c>
      <c r="BJ144" s="285" t="str">
        <f>VLOOKUP(tabParametros[[#This Row],[CCT DA CATEGORIA]],tabSindicatos[],13,0)</f>
        <v>-</v>
      </c>
    </row>
    <row r="145" spans="1:62">
      <c r="A145" s="231" t="s">
        <v>1599</v>
      </c>
      <c r="B145" s="197" t="s">
        <v>915</v>
      </c>
      <c r="C145" s="197" t="s">
        <v>274</v>
      </c>
      <c r="D145" s="197" t="str">
        <f>VLOOKUP(tabParametros[[#This Row],[Código do Posto]],tabPostos[],4,0)</f>
        <v>Rodoviarios de Divinopolis + SEAC-MG</v>
      </c>
      <c r="E145" s="282" t="str">
        <f>VLOOKUP(tabParametros[[#This Row],[Código do Posto]],tabPostos[],5,0)</f>
        <v>Apoio</v>
      </c>
      <c r="F145" s="282" t="str">
        <f>VLOOKUP(tabParametros[[#This Row],[Código do Posto]],tabPostos[],6,0)</f>
        <v>PGJ</v>
      </c>
      <c r="G145" s="282">
        <f>VLOOKUP(tabParametros[[#This Row],[Código do Posto]],tabPostos[],7,0)</f>
        <v>2</v>
      </c>
      <c r="H145" s="282">
        <f>VLOOKUP(tabParametros[[#This Row],[Código do Posto]],tabPostos[],8,0)</f>
        <v>0</v>
      </c>
      <c r="I145" s="232">
        <f>VLOOKUP(tabParametros[[#This Row],[Código do Posto]],tabPostos[],9,0)</f>
        <v>4380.5669340985405</v>
      </c>
      <c r="J145" s="232">
        <f>IF(ISNUMBER(SEARCH("Eletricista",tabParametros[[#This Row],[Função]],1)),0.3*tabParametros[[#This Row],[Salário Base]],0)</f>
        <v>0</v>
      </c>
      <c r="K14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45" s="232">
        <f>IF(AND(ISNUMBER(SEARCH("Noturno",tabParametros[[#This Row],[Função]],1)),tabParametros[[#This Row],[Comarca]]&lt;&gt;"Juiz de Fora"),tabParametros[[#This Row],[Salário Base]]/210*0.39*7*15.5,IF(ISNUMBER(SEARCH("Noturno",tabParametros[[#This Row],[Função]],1)),tabParametros[[#This Row],[Salário Base]]/210*0.2*8*15.5,0))</f>
        <v>0</v>
      </c>
      <c r="M145" s="232">
        <f>IF(ISNUMBER(SEARCH("Motorista II",tabParametros[[#This Row],[Função]],1)),0.3022*tabParametros[[#This Row],[Salário Base]],0)</f>
        <v>0</v>
      </c>
      <c r="N145" s="254">
        <v>0</v>
      </c>
      <c r="O145" s="254">
        <f>IF(ISNUMBER(SEARCH("TECNOLOGIA DA INFORMACAO",tabParametros[[#This Row],[Função]],1)),0.056*tabParametros[[#This Row],[Salário Base]],0)</f>
        <v>0</v>
      </c>
      <c r="P145" s="232">
        <f>IF(tabParametros[[#This Row],[Função]]="Operador de Midia Audiovisual - 150 h",tabParametros[[#This Row],[Salário Base]]/150*50*30%,IF(tabParametros[[#This Row],[Função]]="Supervisor de Manutencao de Veiculos II - 220 h",12%*tabParametros[[#This Row],[Salário Base]],0))</f>
        <v>0</v>
      </c>
      <c r="Q145" s="233">
        <f>VLOOKUP(tabParametros[[#Headers],[INSS]],tabImpostosNacionais[],2,0)</f>
        <v>0.2</v>
      </c>
      <c r="R145" s="233">
        <f>VLOOKUP(tabParametros[[#Headers],[SESI OU SESC]],tabImpostosNacionais[],2,0)</f>
        <v>1.4999999999999999E-2</v>
      </c>
      <c r="S145" s="233">
        <f>VLOOKUP(tabParametros[[#Headers],[SENAI OU SENAC]],tabImpostosNacionais[],2,0)</f>
        <v>0.01</v>
      </c>
      <c r="T145" s="233">
        <f>VLOOKUP(tabParametros[[#Headers],[INCRA]],tabImpostosNacionais[],2,0)</f>
        <v>2E-3</v>
      </c>
      <c r="U145" s="233">
        <f>VLOOKUP(tabParametros[[#Headers],[Salário Educação]],tabImpostosNacionais[],2,0)</f>
        <v>2.5000000000000001E-2</v>
      </c>
      <c r="V145" s="233">
        <f>VLOOKUP(tabParametros[[#Headers],[FGTS]],tabImpostosNacionais[],2,0)</f>
        <v>0.08</v>
      </c>
      <c r="W145" s="233">
        <f>VLOOKUP(tabParametros[[#Headers],[RAT Ajustado]],tabImpostosNacionais[],2,0)</f>
        <v>0.04</v>
      </c>
      <c r="X145" s="233">
        <f>VLOOKUP(tabParametros[[#Headers],[SEBRAE]],tabImpostosNacionais[],2,0)</f>
        <v>6.0000000000000001E-3</v>
      </c>
      <c r="Y145" s="233">
        <f t="shared" si="22"/>
        <v>8.3333333333333329E-2</v>
      </c>
      <c r="Z145" s="233">
        <f t="shared" si="23"/>
        <v>0.1111111111111111</v>
      </c>
      <c r="AA145" s="232">
        <f>VLOOKUP(tabParametros[[#This Row],[Comarca]],tabComarca[],5,0)</f>
        <v>6.4</v>
      </c>
      <c r="AB145" s="232">
        <f>VLOOKUP(tabParametros[[#This Row],[CCT DA CATEGORIA]],tabSindicatos[],6,0)</f>
        <v>28.97</v>
      </c>
      <c r="AC145" s="232">
        <f>VLOOKUP(tabParametros[[#This Row],[CCT DA CATEGORIA]],tabSindicatos[],7,0)</f>
        <v>0</v>
      </c>
      <c r="AD145" s="232" cm="1">
        <f t="array" ref="AD14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45" s="232">
        <f>VLOOKUP(tabParametros[[#This Row],[CCT DA CATEGORIA]],tabSindicatos[],9,0)</f>
        <v>0</v>
      </c>
      <c r="AF145" s="232">
        <f>VLOOKUP(tabParametros[[#This Row],[CCT DA CATEGORIA]],tabSindicatos[],10,0)</f>
        <v>0</v>
      </c>
      <c r="AG145" s="234">
        <f>VLOOKUP(tabParametros[[#Headers],[Seguro de Vida]],tabOutrosCustos[],3,0)</f>
        <v>3.36</v>
      </c>
      <c r="AH145" s="234">
        <f>IF(ISNUMBER(SEARCH("MOTORISTA",tabParametros[[#This Row],[Função]],1)),VLOOKUP("MOTORISTAS",tabDiarias[],2,0),IF(tabParametros[[#This Row],[Comarca]]="Belo Horizonte",VLOOKUP("APOIO",tabDiarias[],2,0),0))</f>
        <v>662.42</v>
      </c>
      <c r="AI145" s="233">
        <f t="shared" si="24"/>
        <v>7.011766975308642E-3</v>
      </c>
      <c r="AJ145" s="235">
        <f>tabParametros[[#This Row],[FGTS]]*tabParametros[[#This Row],[Aviso Prévio Indenizado (API) e Reflexo do Aviso Prévio Indenizado]]</f>
        <v>5.609413580246914E-4</v>
      </c>
      <c r="AK145" s="235">
        <f>tabParametros[[#This Row],[FGTS]]*tabParametros[[#This Row],[Aviso Prévio Indenizado (API) e Reflexo do Aviso Prévio Indenizado]]*40%</f>
        <v>2.2437654320987658E-4</v>
      </c>
      <c r="AL145" s="233">
        <f t="shared" si="25"/>
        <v>3.5000000000000005E-3</v>
      </c>
      <c r="AM145" s="233">
        <f>tabParametros[[#This Row],[Aviso Prévio Trabalhado - APT]]*SUM(tabParametros[[#This Row],[INSS]:[SEBRAE]])</f>
        <v>1.3230000000000004E-3</v>
      </c>
      <c r="AN145" s="233">
        <f t="shared" si="26"/>
        <v>3.0577777777777773E-2</v>
      </c>
      <c r="AO145" s="233">
        <f t="shared" si="27"/>
        <v>8.3333333333333339E-4</v>
      </c>
      <c r="AP145" s="233">
        <f t="shared" si="28"/>
        <v>8.4444444444444437E-3</v>
      </c>
      <c r="AQ145" s="233">
        <f t="shared" si="29"/>
        <v>2.0277777777777777E-3</v>
      </c>
      <c r="AR145" s="233">
        <f t="shared" si="30"/>
        <v>1.7083333333333333E-4</v>
      </c>
      <c r="AS145" s="233">
        <f t="shared" si="31"/>
        <v>2.0833333333333335E-4</v>
      </c>
      <c r="AT145" s="233">
        <f t="shared" si="32"/>
        <v>1.2962962962962963E-3</v>
      </c>
      <c r="AU145" s="235">
        <f>SUM(tabParametros[[#This Row],[Ausência por Doença]:[Férias, Adicional de Férias e 13º  com empregada em gozo de Licença Maternidade]])*SUM(tabParametros[[#This Row],[INSS]:[SEBRAE]])</f>
        <v>4.5918250000000008E-3</v>
      </c>
      <c r="AV145" s="254">
        <f>IF(tabParametros[[#This Row],[Função]]="Porteiro - 220 h",SUM(tabParametros[[#This Row],[Salário Base]:[Adicional de Acúmulo de função]])/220*20*1.5,IF(ISNUMBER(SEARCH("12 x 36",tabParametros[[#This Row],[Função]],1)),SUM(tabParametros[[#This Row],[Salário Base]:[Adicional de Acúmulo de função]])/210*15.5*1.5,0))</f>
        <v>0</v>
      </c>
      <c r="AW145" s="232">
        <f>IF(tabParametros[[#This Row],[Vagas contratadas]]&gt;0,(SUM(tabParametros[[#This Row],[Salário Base]:[Adicional de Acúmulo de função]])*30%+SUM(tabParametros[[#This Row],[Vale - Alimentação]:[Seguro de Vida]]))/tabParametros[[#This Row],[Vagas contratadas]]*tabParametros[[#This Row],[Vagas suspensas]],0)</f>
        <v>0</v>
      </c>
      <c r="AX145" s="232">
        <f>SUMIF(tabUniformes[Cargo],tabParametros[[#This Row],[Função]],tabUniformes[Valor unit. Mensal])</f>
        <v>92.100763771570698</v>
      </c>
      <c r="AY14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4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4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5" s="232">
        <v>0</v>
      </c>
      <c r="BC145" s="234" t="e">
        <f ca="1">VLOOKUP(tabParametros[[#Headers],[Custos Indiretos]],tabOutrosCustos[],3,0)</f>
        <v>#NAME?</v>
      </c>
      <c r="BD145" s="234" t="e">
        <f ca="1">VLOOKUP(tabParametros[[#Headers],[Lucro]],tabOutrosCustos[],3,0)</f>
        <v>#NAME?</v>
      </c>
      <c r="BE145" s="233">
        <f>VLOOKUP(tabParametros[[#Headers],[COFINS]],tabImpostosNacionais[],2,0)</f>
        <v>7.5999999999999998E-2</v>
      </c>
      <c r="BF145" s="233">
        <f>VLOOKUP(tabParametros[[#Headers],[PIS]],tabImpostosNacionais[],2,0)</f>
        <v>1.6500000000000001E-2</v>
      </c>
      <c r="BG145" s="233">
        <f>VLOOKUP(tabParametros[[#This Row],[Comarca]],tabComarca[],4,0)</f>
        <v>0.02</v>
      </c>
      <c r="BH145" s="236">
        <f>VLOOKUP(tabParametros[[#This Row],[CCT DA CATEGORIA]],tabSindicatos[],11,0)</f>
        <v>45658</v>
      </c>
      <c r="BI145" s="282" t="str">
        <f>VLOOKUP(tabParametros[[#This Row],[CCT DA CATEGORIA]],tabSindicatos[],12,0)</f>
        <v>-</v>
      </c>
      <c r="BJ145" s="285" t="str">
        <f>VLOOKUP(tabParametros[[#This Row],[CCT DA CATEGORIA]],tabSindicatos[],13,0)</f>
        <v>-</v>
      </c>
    </row>
    <row r="146" spans="1:62">
      <c r="A146" s="231" t="s">
        <v>1600</v>
      </c>
      <c r="B146" s="197" t="s">
        <v>915</v>
      </c>
      <c r="C146" s="197" t="s">
        <v>274</v>
      </c>
      <c r="D146" s="197" t="str">
        <f>VLOOKUP(tabParametros[[#This Row],[Código do Posto]],tabPostos[],4,0)</f>
        <v>Rodoviarios de Divinopolis + SEAC-MG</v>
      </c>
      <c r="E146" s="282" t="str">
        <f>VLOOKUP(tabParametros[[#This Row],[Código do Posto]],tabPostos[],5,0)</f>
        <v>Apoio</v>
      </c>
      <c r="F146" s="282" t="str">
        <f>VLOOKUP(tabParametros[[#This Row],[Código do Posto]],tabPostos[],6,0)</f>
        <v>FEPDC</v>
      </c>
      <c r="G146" s="282">
        <f>VLOOKUP(tabParametros[[#This Row],[Código do Posto]],tabPostos[],7,0)</f>
        <v>1</v>
      </c>
      <c r="H146" s="282">
        <f>VLOOKUP(tabParametros[[#This Row],[Código do Posto]],tabPostos[],8,0)</f>
        <v>0</v>
      </c>
      <c r="I146" s="232">
        <f>VLOOKUP(tabParametros[[#This Row],[Código do Posto]],tabPostos[],9,0)</f>
        <v>4380.5669340985405</v>
      </c>
      <c r="J146" s="232">
        <f>IF(ISNUMBER(SEARCH("Eletricista",tabParametros[[#This Row],[Função]],1)),0.3*tabParametros[[#This Row],[Salário Base]],0)</f>
        <v>0</v>
      </c>
      <c r="K14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46" s="232">
        <f>IF(AND(ISNUMBER(SEARCH("Noturno",tabParametros[[#This Row],[Função]],1)),tabParametros[[#This Row],[Comarca]]&lt;&gt;"Juiz de Fora"),tabParametros[[#This Row],[Salário Base]]/210*0.39*7*15.5,IF(ISNUMBER(SEARCH("Noturno",tabParametros[[#This Row],[Função]],1)),tabParametros[[#This Row],[Salário Base]]/210*0.2*8*15.5,0))</f>
        <v>0</v>
      </c>
      <c r="M146" s="232">
        <f>IF(ISNUMBER(SEARCH("Motorista II",tabParametros[[#This Row],[Função]],1)),0.3022*tabParametros[[#This Row],[Salário Base]],0)</f>
        <v>0</v>
      </c>
      <c r="N146" s="254">
        <v>0</v>
      </c>
      <c r="O146" s="254">
        <f>IF(ISNUMBER(SEARCH("TECNOLOGIA DA INFORMACAO",tabParametros[[#This Row],[Função]],1)),0.056*tabParametros[[#This Row],[Salário Base]],0)</f>
        <v>0</v>
      </c>
      <c r="P146" s="232">
        <f>IF(tabParametros[[#This Row],[Função]]="Operador de Midia Audiovisual - 150 h",tabParametros[[#This Row],[Salário Base]]/150*50*30%,IF(tabParametros[[#This Row],[Função]]="Supervisor de Manutencao de Veiculos II - 220 h",12%*tabParametros[[#This Row],[Salário Base]],0))</f>
        <v>0</v>
      </c>
      <c r="Q146" s="233">
        <f>VLOOKUP(tabParametros[[#Headers],[INSS]],tabImpostosNacionais[],2,0)</f>
        <v>0.2</v>
      </c>
      <c r="R146" s="233">
        <f>VLOOKUP(tabParametros[[#Headers],[SESI OU SESC]],tabImpostosNacionais[],2,0)</f>
        <v>1.4999999999999999E-2</v>
      </c>
      <c r="S146" s="233">
        <f>VLOOKUP(tabParametros[[#Headers],[SENAI OU SENAC]],tabImpostosNacionais[],2,0)</f>
        <v>0.01</v>
      </c>
      <c r="T146" s="233">
        <f>VLOOKUP(tabParametros[[#Headers],[INCRA]],tabImpostosNacionais[],2,0)</f>
        <v>2E-3</v>
      </c>
      <c r="U146" s="233">
        <f>VLOOKUP(tabParametros[[#Headers],[Salário Educação]],tabImpostosNacionais[],2,0)</f>
        <v>2.5000000000000001E-2</v>
      </c>
      <c r="V146" s="233">
        <f>VLOOKUP(tabParametros[[#Headers],[FGTS]],tabImpostosNacionais[],2,0)</f>
        <v>0.08</v>
      </c>
      <c r="W146" s="233">
        <f>VLOOKUP(tabParametros[[#Headers],[RAT Ajustado]],tabImpostosNacionais[],2,0)</f>
        <v>0.04</v>
      </c>
      <c r="X146" s="233">
        <f>VLOOKUP(tabParametros[[#Headers],[SEBRAE]],tabImpostosNacionais[],2,0)</f>
        <v>6.0000000000000001E-3</v>
      </c>
      <c r="Y146" s="233">
        <f t="shared" si="22"/>
        <v>8.3333333333333329E-2</v>
      </c>
      <c r="Z146" s="233">
        <f t="shared" si="23"/>
        <v>0.1111111111111111</v>
      </c>
      <c r="AA146" s="232">
        <f>VLOOKUP(tabParametros[[#This Row],[Comarca]],tabComarca[],5,0)</f>
        <v>6.4</v>
      </c>
      <c r="AB146" s="232">
        <f>VLOOKUP(tabParametros[[#This Row],[CCT DA CATEGORIA]],tabSindicatos[],6,0)</f>
        <v>28.97</v>
      </c>
      <c r="AC146" s="232">
        <f>VLOOKUP(tabParametros[[#This Row],[CCT DA CATEGORIA]],tabSindicatos[],7,0)</f>
        <v>0</v>
      </c>
      <c r="AD146" s="232" cm="1">
        <f t="array" ref="AD14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46" s="232">
        <f>VLOOKUP(tabParametros[[#This Row],[CCT DA CATEGORIA]],tabSindicatos[],9,0)</f>
        <v>0</v>
      </c>
      <c r="AF146" s="232">
        <f>VLOOKUP(tabParametros[[#This Row],[CCT DA CATEGORIA]],tabSindicatos[],10,0)</f>
        <v>0</v>
      </c>
      <c r="AG146" s="234">
        <f>VLOOKUP(tabParametros[[#Headers],[Seguro de Vida]],tabOutrosCustos[],3,0)</f>
        <v>3.36</v>
      </c>
      <c r="AH146" s="234">
        <f>IF(ISNUMBER(SEARCH("MOTORISTA",tabParametros[[#This Row],[Função]],1)),VLOOKUP("MOTORISTAS",tabDiarias[],2,0),IF(tabParametros[[#This Row],[Comarca]]="Belo Horizonte",VLOOKUP("APOIO",tabDiarias[],2,0),0))</f>
        <v>662.42</v>
      </c>
      <c r="AI146" s="233">
        <f t="shared" si="24"/>
        <v>7.011766975308642E-3</v>
      </c>
      <c r="AJ146" s="235">
        <f>tabParametros[[#This Row],[FGTS]]*tabParametros[[#This Row],[Aviso Prévio Indenizado (API) e Reflexo do Aviso Prévio Indenizado]]</f>
        <v>5.609413580246914E-4</v>
      </c>
      <c r="AK146" s="235">
        <f>tabParametros[[#This Row],[FGTS]]*tabParametros[[#This Row],[Aviso Prévio Indenizado (API) e Reflexo do Aviso Prévio Indenizado]]*40%</f>
        <v>2.2437654320987658E-4</v>
      </c>
      <c r="AL146" s="233">
        <f t="shared" si="25"/>
        <v>3.5000000000000005E-3</v>
      </c>
      <c r="AM146" s="233">
        <f>tabParametros[[#This Row],[Aviso Prévio Trabalhado - APT]]*SUM(tabParametros[[#This Row],[INSS]:[SEBRAE]])</f>
        <v>1.3230000000000004E-3</v>
      </c>
      <c r="AN146" s="233">
        <f t="shared" si="26"/>
        <v>3.0577777777777773E-2</v>
      </c>
      <c r="AO146" s="233">
        <f t="shared" si="27"/>
        <v>8.3333333333333339E-4</v>
      </c>
      <c r="AP146" s="233">
        <f t="shared" si="28"/>
        <v>8.4444444444444437E-3</v>
      </c>
      <c r="AQ146" s="233">
        <f t="shared" si="29"/>
        <v>2.0277777777777777E-3</v>
      </c>
      <c r="AR146" s="233">
        <f t="shared" si="30"/>
        <v>1.7083333333333333E-4</v>
      </c>
      <c r="AS146" s="233">
        <f t="shared" si="31"/>
        <v>2.0833333333333335E-4</v>
      </c>
      <c r="AT146" s="233">
        <f t="shared" si="32"/>
        <v>1.2962962962962963E-3</v>
      </c>
      <c r="AU146" s="235">
        <f>SUM(tabParametros[[#This Row],[Ausência por Doença]:[Férias, Adicional de Férias e 13º  com empregada em gozo de Licença Maternidade]])*SUM(tabParametros[[#This Row],[INSS]:[SEBRAE]])</f>
        <v>4.5918250000000008E-3</v>
      </c>
      <c r="AV146" s="254">
        <f>IF(tabParametros[[#This Row],[Função]]="Porteiro - 220 h",SUM(tabParametros[[#This Row],[Salário Base]:[Adicional de Acúmulo de função]])/220*20*1.5,IF(ISNUMBER(SEARCH("12 x 36",tabParametros[[#This Row],[Função]],1)),SUM(tabParametros[[#This Row],[Salário Base]:[Adicional de Acúmulo de função]])/210*15.5*1.5,0))</f>
        <v>0</v>
      </c>
      <c r="AW146" s="232">
        <f>IF(tabParametros[[#This Row],[Vagas contratadas]]&gt;0,(SUM(tabParametros[[#This Row],[Salário Base]:[Adicional de Acúmulo de função]])*30%+SUM(tabParametros[[#This Row],[Vale - Alimentação]:[Seguro de Vida]]))/tabParametros[[#This Row],[Vagas contratadas]]*tabParametros[[#This Row],[Vagas suspensas]],0)</f>
        <v>0</v>
      </c>
      <c r="AX146" s="232">
        <f>SUMIF(tabUniformes[Cargo],tabParametros[[#This Row],[Função]],tabUniformes[Valor unit. Mensal])</f>
        <v>92.100763771570698</v>
      </c>
      <c r="AY14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4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4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6" s="232">
        <v>0</v>
      </c>
      <c r="BC146" s="234" t="e">
        <f ca="1">VLOOKUP(tabParametros[[#Headers],[Custos Indiretos]],tabOutrosCustos[],3,0)</f>
        <v>#NAME?</v>
      </c>
      <c r="BD146" s="234" t="e">
        <f ca="1">VLOOKUP(tabParametros[[#Headers],[Lucro]],tabOutrosCustos[],3,0)</f>
        <v>#NAME?</v>
      </c>
      <c r="BE146" s="233">
        <f>VLOOKUP(tabParametros[[#Headers],[COFINS]],tabImpostosNacionais[],2,0)</f>
        <v>7.5999999999999998E-2</v>
      </c>
      <c r="BF146" s="233">
        <f>VLOOKUP(tabParametros[[#Headers],[PIS]],tabImpostosNacionais[],2,0)</f>
        <v>1.6500000000000001E-2</v>
      </c>
      <c r="BG146" s="233">
        <f>VLOOKUP(tabParametros[[#This Row],[Comarca]],tabComarca[],4,0)</f>
        <v>0.02</v>
      </c>
      <c r="BH146" s="236">
        <f>VLOOKUP(tabParametros[[#This Row],[CCT DA CATEGORIA]],tabSindicatos[],11,0)</f>
        <v>45658</v>
      </c>
      <c r="BI146" s="282" t="str">
        <f>VLOOKUP(tabParametros[[#This Row],[CCT DA CATEGORIA]],tabSindicatos[],12,0)</f>
        <v>-</v>
      </c>
      <c r="BJ146" s="285" t="str">
        <f>VLOOKUP(tabParametros[[#This Row],[CCT DA CATEGORIA]],tabSindicatos[],13,0)</f>
        <v>-</v>
      </c>
    </row>
    <row r="147" spans="1:62">
      <c r="A147" s="231" t="s">
        <v>1601</v>
      </c>
      <c r="B147" s="197" t="s">
        <v>915</v>
      </c>
      <c r="C147" s="197" t="s">
        <v>319</v>
      </c>
      <c r="D147" s="197" t="str">
        <f>VLOOKUP(tabParametros[[#This Row],[Código do Posto]],tabPostos[],4,0)</f>
        <v>Divinopolis</v>
      </c>
      <c r="E147" s="282" t="str">
        <f>VLOOKUP(tabParametros[[#This Row],[Código do Posto]],tabPostos[],5,0)</f>
        <v>Apoio</v>
      </c>
      <c r="F147" s="282" t="str">
        <f>VLOOKUP(tabParametros[[#This Row],[Código do Posto]],tabPostos[],6,0)</f>
        <v>PGJ</v>
      </c>
      <c r="G147" s="282">
        <f>VLOOKUP(tabParametros[[#This Row],[Código do Posto]],tabPostos[],7,0)</f>
        <v>1</v>
      </c>
      <c r="H147" s="282">
        <f>VLOOKUP(tabParametros[[#This Row],[Código do Posto]],tabPostos[],8,0)</f>
        <v>0</v>
      </c>
      <c r="I147" s="232">
        <f>VLOOKUP(tabParametros[[#This Row],[Código do Posto]],tabPostos[],9,0)</f>
        <v>2316.2253186627422</v>
      </c>
      <c r="J147" s="232">
        <f>IF(ISNUMBER(SEARCH("Eletricista",tabParametros[[#This Row],[Função]],1)),0.3*tabParametros[[#This Row],[Salário Base]],0)</f>
        <v>0</v>
      </c>
      <c r="K14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47" s="232">
        <f>IF(AND(ISNUMBER(SEARCH("Noturno",tabParametros[[#This Row],[Função]],1)),tabParametros[[#This Row],[Comarca]]&lt;&gt;"Juiz de Fora"),tabParametros[[#This Row],[Salário Base]]/210*0.39*7*15.5,IF(ISNUMBER(SEARCH("Noturno",tabParametros[[#This Row],[Função]],1)),tabParametros[[#This Row],[Salário Base]]/210*0.2*8*15.5,0))</f>
        <v>0</v>
      </c>
      <c r="M147" s="232">
        <f>IF(ISNUMBER(SEARCH("Motorista II",tabParametros[[#This Row],[Função]],1)),0.3022*tabParametros[[#This Row],[Salário Base]],0)</f>
        <v>0</v>
      </c>
      <c r="N147" s="254">
        <v>0</v>
      </c>
      <c r="O147" s="254">
        <f>IF(ISNUMBER(SEARCH("TECNOLOGIA DA INFORMACAO",tabParametros[[#This Row],[Função]],1)),0.056*tabParametros[[#This Row],[Salário Base]],0)</f>
        <v>0</v>
      </c>
      <c r="P147" s="232">
        <f>IF(tabParametros[[#This Row],[Função]]="Operador de Midia Audiovisual - 150 h",tabParametros[[#This Row],[Salário Base]]/150*50*30%,IF(tabParametros[[#This Row],[Função]]="Supervisor de Manutencao de Veiculos II - 220 h",12%*tabParametros[[#This Row],[Salário Base]],0))</f>
        <v>0</v>
      </c>
      <c r="Q147" s="233">
        <f>VLOOKUP(tabParametros[[#Headers],[INSS]],tabImpostosNacionais[],2,0)</f>
        <v>0.2</v>
      </c>
      <c r="R147" s="233">
        <f>VLOOKUP(tabParametros[[#Headers],[SESI OU SESC]],tabImpostosNacionais[],2,0)</f>
        <v>1.4999999999999999E-2</v>
      </c>
      <c r="S147" s="233">
        <f>VLOOKUP(tabParametros[[#Headers],[SENAI OU SENAC]],tabImpostosNacionais[],2,0)</f>
        <v>0.01</v>
      </c>
      <c r="T147" s="233">
        <f>VLOOKUP(tabParametros[[#Headers],[INCRA]],tabImpostosNacionais[],2,0)</f>
        <v>2E-3</v>
      </c>
      <c r="U147" s="233">
        <f>VLOOKUP(tabParametros[[#Headers],[Salário Educação]],tabImpostosNacionais[],2,0)</f>
        <v>2.5000000000000001E-2</v>
      </c>
      <c r="V147" s="233">
        <f>VLOOKUP(tabParametros[[#Headers],[FGTS]],tabImpostosNacionais[],2,0)</f>
        <v>0.08</v>
      </c>
      <c r="W147" s="233">
        <f>VLOOKUP(tabParametros[[#Headers],[RAT Ajustado]],tabImpostosNacionais[],2,0)</f>
        <v>0.04</v>
      </c>
      <c r="X147" s="233">
        <f>VLOOKUP(tabParametros[[#Headers],[SEBRAE]],tabImpostosNacionais[],2,0)</f>
        <v>6.0000000000000001E-3</v>
      </c>
      <c r="Y147" s="233">
        <f t="shared" si="22"/>
        <v>8.3333333333333329E-2</v>
      </c>
      <c r="Z147" s="233">
        <f t="shared" si="23"/>
        <v>0.1111111111111111</v>
      </c>
      <c r="AA147" s="232">
        <f>VLOOKUP(tabParametros[[#This Row],[Comarca]],tabComarca[],5,0)</f>
        <v>6.4</v>
      </c>
      <c r="AB147" s="232">
        <f>VLOOKUP(tabParametros[[#This Row],[CCT DA CATEGORIA]],tabSindicatos[],6,0)</f>
        <v>29.15</v>
      </c>
      <c r="AC147" s="232">
        <f>VLOOKUP(tabParametros[[#This Row],[CCT DA CATEGORIA]],tabSindicatos[],7,0)</f>
        <v>0</v>
      </c>
      <c r="AD147" s="232" cm="1">
        <f t="array" ref="AD14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47" s="232">
        <f>VLOOKUP(tabParametros[[#This Row],[CCT DA CATEGORIA]],tabSindicatos[],9,0)</f>
        <v>0</v>
      </c>
      <c r="AF147" s="232">
        <f>VLOOKUP(tabParametros[[#This Row],[CCT DA CATEGORIA]],tabSindicatos[],10,0)</f>
        <v>0</v>
      </c>
      <c r="AG147" s="234">
        <f>VLOOKUP(tabParametros[[#Headers],[Seguro de Vida]],tabOutrosCustos[],3,0)</f>
        <v>3.36</v>
      </c>
      <c r="AH147" s="234">
        <f>IF(ISNUMBER(SEARCH("MOTORISTA",tabParametros[[#This Row],[Função]],1)),VLOOKUP("MOTORISTAS",tabDiarias[],2,0),IF(tabParametros[[#This Row],[Comarca]]="Belo Horizonte",VLOOKUP("APOIO",tabDiarias[],2,0),0))</f>
        <v>0</v>
      </c>
      <c r="AI147" s="233">
        <f t="shared" si="24"/>
        <v>7.011766975308642E-3</v>
      </c>
      <c r="AJ147" s="235">
        <f>tabParametros[[#This Row],[FGTS]]*tabParametros[[#This Row],[Aviso Prévio Indenizado (API) e Reflexo do Aviso Prévio Indenizado]]</f>
        <v>5.609413580246914E-4</v>
      </c>
      <c r="AK147" s="235">
        <f>tabParametros[[#This Row],[FGTS]]*tabParametros[[#This Row],[Aviso Prévio Indenizado (API) e Reflexo do Aviso Prévio Indenizado]]*40%</f>
        <v>2.2437654320987658E-4</v>
      </c>
      <c r="AL147" s="233">
        <f t="shared" si="25"/>
        <v>3.5000000000000005E-3</v>
      </c>
      <c r="AM147" s="233">
        <f>tabParametros[[#This Row],[Aviso Prévio Trabalhado - APT]]*SUM(tabParametros[[#This Row],[INSS]:[SEBRAE]])</f>
        <v>1.3230000000000004E-3</v>
      </c>
      <c r="AN147" s="233">
        <f t="shared" si="26"/>
        <v>3.0577777777777773E-2</v>
      </c>
      <c r="AO147" s="233">
        <f t="shared" si="27"/>
        <v>8.3333333333333339E-4</v>
      </c>
      <c r="AP147" s="233">
        <f t="shared" si="28"/>
        <v>8.4444444444444437E-3</v>
      </c>
      <c r="AQ147" s="233">
        <f t="shared" si="29"/>
        <v>2.0277777777777777E-3</v>
      </c>
      <c r="AR147" s="233">
        <f t="shared" si="30"/>
        <v>1.7083333333333333E-4</v>
      </c>
      <c r="AS147" s="233">
        <f t="shared" si="31"/>
        <v>2.0833333333333335E-4</v>
      </c>
      <c r="AT147" s="233">
        <f t="shared" si="32"/>
        <v>1.2962962962962963E-3</v>
      </c>
      <c r="AU147" s="235">
        <f>SUM(tabParametros[[#This Row],[Ausência por Doença]:[Férias, Adicional de Férias e 13º  com empregada em gozo de Licença Maternidade]])*SUM(tabParametros[[#This Row],[INSS]:[SEBRAE]])</f>
        <v>4.5918250000000008E-3</v>
      </c>
      <c r="AV147" s="254">
        <f>IF(tabParametros[[#This Row],[Função]]="Porteiro - 220 h",SUM(tabParametros[[#This Row],[Salário Base]:[Adicional de Acúmulo de função]])/220*20*1.5,IF(ISNUMBER(SEARCH("12 x 36",tabParametros[[#This Row],[Função]],1)),SUM(tabParametros[[#This Row],[Salário Base]:[Adicional de Acúmulo de função]])/210*15.5*1.5,0))</f>
        <v>0</v>
      </c>
      <c r="AW147" s="232">
        <f>IF(tabParametros[[#This Row],[Vagas contratadas]]&gt;0,(SUM(tabParametros[[#This Row],[Salário Base]:[Adicional de Acúmulo de função]])*30%+SUM(tabParametros[[#This Row],[Vale - Alimentação]:[Seguro de Vida]]))/tabParametros[[#This Row],[Vagas contratadas]]*tabParametros[[#This Row],[Vagas suspensas]],0)</f>
        <v>0</v>
      </c>
      <c r="AX147" s="232">
        <f>SUMIF(tabUniformes[Cargo],tabParametros[[#This Row],[Função]],tabUniformes[Valor unit. Mensal])</f>
        <v>56.642978962543395</v>
      </c>
      <c r="AY14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4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4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7" s="232">
        <v>0</v>
      </c>
      <c r="BC147" s="234" t="e">
        <f ca="1">VLOOKUP(tabParametros[[#Headers],[Custos Indiretos]],tabOutrosCustos[],3,0)</f>
        <v>#NAME?</v>
      </c>
      <c r="BD147" s="234" t="e">
        <f ca="1">VLOOKUP(tabParametros[[#Headers],[Lucro]],tabOutrosCustos[],3,0)</f>
        <v>#NAME?</v>
      </c>
      <c r="BE147" s="233">
        <f>VLOOKUP(tabParametros[[#Headers],[COFINS]],tabImpostosNacionais[],2,0)</f>
        <v>7.5999999999999998E-2</v>
      </c>
      <c r="BF147" s="233">
        <f>VLOOKUP(tabParametros[[#Headers],[PIS]],tabImpostosNacionais[],2,0)</f>
        <v>1.6500000000000001E-2</v>
      </c>
      <c r="BG147" s="233">
        <f>VLOOKUP(tabParametros[[#This Row],[Comarca]],tabComarca[],4,0)</f>
        <v>0.02</v>
      </c>
      <c r="BH147" s="236">
        <f>VLOOKUP(tabParametros[[#This Row],[CCT DA CATEGORIA]],tabSindicatos[],11,0)</f>
        <v>45658</v>
      </c>
      <c r="BI147" s="282" t="str">
        <f>VLOOKUP(tabParametros[[#This Row],[CCT DA CATEGORIA]],tabSindicatos[],12,0)</f>
        <v>-</v>
      </c>
      <c r="BJ147" s="285" t="str">
        <f>VLOOKUP(tabParametros[[#This Row],[CCT DA CATEGORIA]],tabSindicatos[],13,0)</f>
        <v>-</v>
      </c>
    </row>
    <row r="148" spans="1:62">
      <c r="A148" s="231" t="s">
        <v>1602</v>
      </c>
      <c r="B148" s="197" t="s">
        <v>915</v>
      </c>
      <c r="C148" s="197" t="s">
        <v>324</v>
      </c>
      <c r="D148" s="197" t="str">
        <f>VLOOKUP(tabParametros[[#This Row],[Código do Posto]],tabPostos[],4,0)</f>
        <v>Divinopolis</v>
      </c>
      <c r="E148" s="282" t="str">
        <f>VLOOKUP(tabParametros[[#This Row],[Código do Posto]],tabPostos[],5,0)</f>
        <v>Apoio</v>
      </c>
      <c r="F148" s="282" t="str">
        <f>VLOOKUP(tabParametros[[#This Row],[Código do Posto]],tabPostos[],6,0)</f>
        <v>PGJ</v>
      </c>
      <c r="G148" s="282">
        <f>VLOOKUP(tabParametros[[#This Row],[Código do Posto]],tabPostos[],7,0)</f>
        <v>1</v>
      </c>
      <c r="H148" s="282">
        <f>VLOOKUP(tabParametros[[#This Row],[Código do Posto]],tabPostos[],8,0)</f>
        <v>0</v>
      </c>
      <c r="I148" s="232">
        <f>VLOOKUP(tabParametros[[#This Row],[Código do Posto]],tabPostos[],9,0)</f>
        <v>3397.130467372021</v>
      </c>
      <c r="J148" s="232">
        <f>IF(ISNUMBER(SEARCH("Eletricista",tabParametros[[#This Row],[Função]],1)),0.3*tabParametros[[#This Row],[Salário Base]],0)</f>
        <v>0</v>
      </c>
      <c r="K14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48" s="232">
        <f>IF(AND(ISNUMBER(SEARCH("Noturno",tabParametros[[#This Row],[Função]],1)),tabParametros[[#This Row],[Comarca]]&lt;&gt;"Juiz de Fora"),tabParametros[[#This Row],[Salário Base]]/210*0.39*7*15.5,IF(ISNUMBER(SEARCH("Noturno",tabParametros[[#This Row],[Função]],1)),tabParametros[[#This Row],[Salário Base]]/210*0.2*8*15.5,0))</f>
        <v>0</v>
      </c>
      <c r="M148" s="232">
        <f>IF(ISNUMBER(SEARCH("Motorista II",tabParametros[[#This Row],[Função]],1)),0.3022*tabParametros[[#This Row],[Salário Base]],0)</f>
        <v>0</v>
      </c>
      <c r="N148" s="254">
        <v>0</v>
      </c>
      <c r="O148" s="254">
        <f>IF(ISNUMBER(SEARCH("TECNOLOGIA DA INFORMACAO",tabParametros[[#This Row],[Função]],1)),0.056*tabParametros[[#This Row],[Salário Base]],0)</f>
        <v>0</v>
      </c>
      <c r="P148" s="232">
        <f>IF(tabParametros[[#This Row],[Função]]="Operador de Midia Audiovisual - 150 h",tabParametros[[#This Row],[Salário Base]]/150*50*30%,IF(tabParametros[[#This Row],[Função]]="Supervisor de Manutencao de Veiculos II - 220 h",12%*tabParametros[[#This Row],[Salário Base]],0))</f>
        <v>0</v>
      </c>
      <c r="Q148" s="233">
        <f>VLOOKUP(tabParametros[[#Headers],[INSS]],tabImpostosNacionais[],2,0)</f>
        <v>0.2</v>
      </c>
      <c r="R148" s="233">
        <f>VLOOKUP(tabParametros[[#Headers],[SESI OU SESC]],tabImpostosNacionais[],2,0)</f>
        <v>1.4999999999999999E-2</v>
      </c>
      <c r="S148" s="233">
        <f>VLOOKUP(tabParametros[[#Headers],[SENAI OU SENAC]],tabImpostosNacionais[],2,0)</f>
        <v>0.01</v>
      </c>
      <c r="T148" s="233">
        <f>VLOOKUP(tabParametros[[#Headers],[INCRA]],tabImpostosNacionais[],2,0)</f>
        <v>2E-3</v>
      </c>
      <c r="U148" s="233">
        <f>VLOOKUP(tabParametros[[#Headers],[Salário Educação]],tabImpostosNacionais[],2,0)</f>
        <v>2.5000000000000001E-2</v>
      </c>
      <c r="V148" s="233">
        <f>VLOOKUP(tabParametros[[#Headers],[FGTS]],tabImpostosNacionais[],2,0)</f>
        <v>0.08</v>
      </c>
      <c r="W148" s="233">
        <f>VLOOKUP(tabParametros[[#Headers],[RAT Ajustado]],tabImpostosNacionais[],2,0)</f>
        <v>0.04</v>
      </c>
      <c r="X148" s="233">
        <f>VLOOKUP(tabParametros[[#Headers],[SEBRAE]],tabImpostosNacionais[],2,0)</f>
        <v>6.0000000000000001E-3</v>
      </c>
      <c r="Y148" s="233">
        <f t="shared" si="22"/>
        <v>8.3333333333333329E-2</v>
      </c>
      <c r="Z148" s="233">
        <f t="shared" si="23"/>
        <v>0.1111111111111111</v>
      </c>
      <c r="AA148" s="232">
        <f>VLOOKUP(tabParametros[[#This Row],[Comarca]],tabComarca[],5,0)</f>
        <v>6.4</v>
      </c>
      <c r="AB148" s="232">
        <f>VLOOKUP(tabParametros[[#This Row],[CCT DA CATEGORIA]],tabSindicatos[],6,0)</f>
        <v>29.15</v>
      </c>
      <c r="AC148" s="232">
        <f>VLOOKUP(tabParametros[[#This Row],[CCT DA CATEGORIA]],tabSindicatos[],7,0)</f>
        <v>0</v>
      </c>
      <c r="AD148" s="232" cm="1">
        <f t="array" ref="AD14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48" s="232">
        <f>VLOOKUP(tabParametros[[#This Row],[CCT DA CATEGORIA]],tabSindicatos[],9,0)</f>
        <v>0</v>
      </c>
      <c r="AF148" s="232">
        <f>VLOOKUP(tabParametros[[#This Row],[CCT DA CATEGORIA]],tabSindicatos[],10,0)</f>
        <v>0</v>
      </c>
      <c r="AG148" s="234">
        <f>VLOOKUP(tabParametros[[#Headers],[Seguro de Vida]],tabOutrosCustos[],3,0)</f>
        <v>3.36</v>
      </c>
      <c r="AH148" s="234">
        <f>IF(ISNUMBER(SEARCH("MOTORISTA",tabParametros[[#This Row],[Função]],1)),VLOOKUP("MOTORISTAS",tabDiarias[],2,0),IF(tabParametros[[#This Row],[Comarca]]="Belo Horizonte",VLOOKUP("APOIO",tabDiarias[],2,0),0))</f>
        <v>0</v>
      </c>
      <c r="AI148" s="233">
        <f t="shared" si="24"/>
        <v>7.011766975308642E-3</v>
      </c>
      <c r="AJ148" s="235">
        <f>tabParametros[[#This Row],[FGTS]]*tabParametros[[#This Row],[Aviso Prévio Indenizado (API) e Reflexo do Aviso Prévio Indenizado]]</f>
        <v>5.609413580246914E-4</v>
      </c>
      <c r="AK148" s="235">
        <f>tabParametros[[#This Row],[FGTS]]*tabParametros[[#This Row],[Aviso Prévio Indenizado (API) e Reflexo do Aviso Prévio Indenizado]]*40%</f>
        <v>2.2437654320987658E-4</v>
      </c>
      <c r="AL148" s="233">
        <f t="shared" si="25"/>
        <v>3.5000000000000005E-3</v>
      </c>
      <c r="AM148" s="233">
        <f>tabParametros[[#This Row],[Aviso Prévio Trabalhado - APT]]*SUM(tabParametros[[#This Row],[INSS]:[SEBRAE]])</f>
        <v>1.3230000000000004E-3</v>
      </c>
      <c r="AN148" s="233">
        <f t="shared" si="26"/>
        <v>3.0577777777777773E-2</v>
      </c>
      <c r="AO148" s="233">
        <f t="shared" si="27"/>
        <v>8.3333333333333339E-4</v>
      </c>
      <c r="AP148" s="233">
        <f t="shared" si="28"/>
        <v>8.4444444444444437E-3</v>
      </c>
      <c r="AQ148" s="233">
        <f t="shared" si="29"/>
        <v>2.0277777777777777E-3</v>
      </c>
      <c r="AR148" s="233">
        <f t="shared" si="30"/>
        <v>1.7083333333333333E-4</v>
      </c>
      <c r="AS148" s="233">
        <f t="shared" si="31"/>
        <v>2.0833333333333335E-4</v>
      </c>
      <c r="AT148" s="233">
        <f t="shared" si="32"/>
        <v>1.2962962962962963E-3</v>
      </c>
      <c r="AU148" s="235">
        <f>SUM(tabParametros[[#This Row],[Ausência por Doença]:[Férias, Adicional de Férias e 13º  com empregada em gozo de Licença Maternidade]])*SUM(tabParametros[[#This Row],[INSS]:[SEBRAE]])</f>
        <v>4.5918250000000008E-3</v>
      </c>
      <c r="AV148" s="254">
        <f>IF(tabParametros[[#This Row],[Função]]="Porteiro - 220 h",SUM(tabParametros[[#This Row],[Salário Base]:[Adicional de Acúmulo de função]])/220*20*1.5,IF(ISNUMBER(SEARCH("12 x 36",tabParametros[[#This Row],[Função]],1)),SUM(tabParametros[[#This Row],[Salário Base]:[Adicional de Acúmulo de função]])/210*15.5*1.5,0))</f>
        <v>0</v>
      </c>
      <c r="AW148" s="232">
        <f>IF(tabParametros[[#This Row],[Vagas contratadas]]&gt;0,(SUM(tabParametros[[#This Row],[Salário Base]:[Adicional de Acúmulo de função]])*30%+SUM(tabParametros[[#This Row],[Vale - Alimentação]:[Seguro de Vida]]))/tabParametros[[#This Row],[Vagas contratadas]]*tabParametros[[#This Row],[Vagas suspensas]],0)</f>
        <v>0</v>
      </c>
      <c r="AX148" s="232">
        <f>SUMIF(tabUniformes[Cargo],tabParametros[[#This Row],[Função]],tabUniformes[Valor unit. Mensal])</f>
        <v>56.642978962543395</v>
      </c>
      <c r="AY14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4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4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8" s="232">
        <v>0</v>
      </c>
      <c r="BC148" s="234" t="e">
        <f ca="1">VLOOKUP(tabParametros[[#Headers],[Custos Indiretos]],tabOutrosCustos[],3,0)</f>
        <v>#NAME?</v>
      </c>
      <c r="BD148" s="234" t="e">
        <f ca="1">VLOOKUP(tabParametros[[#Headers],[Lucro]],tabOutrosCustos[],3,0)</f>
        <v>#NAME?</v>
      </c>
      <c r="BE148" s="233">
        <f>VLOOKUP(tabParametros[[#Headers],[COFINS]],tabImpostosNacionais[],2,0)</f>
        <v>7.5999999999999998E-2</v>
      </c>
      <c r="BF148" s="233">
        <f>VLOOKUP(tabParametros[[#Headers],[PIS]],tabImpostosNacionais[],2,0)</f>
        <v>1.6500000000000001E-2</v>
      </c>
      <c r="BG148" s="233">
        <f>VLOOKUP(tabParametros[[#This Row],[Comarca]],tabComarca[],4,0)</f>
        <v>0.02</v>
      </c>
      <c r="BH148" s="236">
        <f>VLOOKUP(tabParametros[[#This Row],[CCT DA CATEGORIA]],tabSindicatos[],11,0)</f>
        <v>45658</v>
      </c>
      <c r="BI148" s="282" t="str">
        <f>VLOOKUP(tabParametros[[#This Row],[CCT DA CATEGORIA]],tabSindicatos[],12,0)</f>
        <v>-</v>
      </c>
      <c r="BJ148" s="285" t="str">
        <f>VLOOKUP(tabParametros[[#This Row],[CCT DA CATEGORIA]],tabSindicatos[],13,0)</f>
        <v>-</v>
      </c>
    </row>
    <row r="149" spans="1:62">
      <c r="A149" s="231" t="s">
        <v>1603</v>
      </c>
      <c r="B149" s="197" t="s">
        <v>1134</v>
      </c>
      <c r="C149" s="197" t="s">
        <v>314</v>
      </c>
      <c r="D149" s="197" t="str">
        <f>VLOOKUP(tabParametros[[#This Row],[Código do Posto]],tabPostos[],4,0)</f>
        <v>Regiao de Sao Lourenco</v>
      </c>
      <c r="E149" s="282" t="str">
        <f>VLOOKUP(tabParametros[[#This Row],[Código do Posto]],tabPostos[],5,0)</f>
        <v>Apoio</v>
      </c>
      <c r="F149" s="282" t="str">
        <f>VLOOKUP(tabParametros[[#This Row],[Código do Posto]],tabPostos[],6,0)</f>
        <v>PGJ</v>
      </c>
      <c r="G149" s="282">
        <f>VLOOKUP(tabParametros[[#This Row],[Código do Posto]],tabPostos[],7,0)</f>
        <v>1</v>
      </c>
      <c r="H149" s="282">
        <f>VLOOKUP(tabParametros[[#This Row],[Código do Posto]],tabPostos[],8,0)</f>
        <v>0</v>
      </c>
      <c r="I149" s="232">
        <f>VLOOKUP(tabParametros[[#This Row],[Código do Posto]],tabPostos[],9,0)</f>
        <v>1963.4050319620983</v>
      </c>
      <c r="J149" s="232">
        <f>IF(ISNUMBER(SEARCH("Eletricista",tabParametros[[#This Row],[Função]],1)),0.3*tabParametros[[#This Row],[Salário Base]],0)</f>
        <v>0</v>
      </c>
      <c r="K14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49" s="232">
        <f>IF(AND(ISNUMBER(SEARCH("Noturno",tabParametros[[#This Row],[Função]],1)),tabParametros[[#This Row],[Comarca]]&lt;&gt;"Juiz de Fora"),tabParametros[[#This Row],[Salário Base]]/210*0.39*7*15.5,IF(ISNUMBER(SEARCH("Noturno",tabParametros[[#This Row],[Função]],1)),tabParametros[[#This Row],[Salário Base]]/210*0.2*8*15.5,0))</f>
        <v>0</v>
      </c>
      <c r="M149" s="232">
        <f>IF(ISNUMBER(SEARCH("Motorista II",tabParametros[[#This Row],[Função]],1)),0.3022*tabParametros[[#This Row],[Salário Base]],0)</f>
        <v>0</v>
      </c>
      <c r="N149" s="254">
        <v>0</v>
      </c>
      <c r="O149" s="254">
        <f>IF(ISNUMBER(SEARCH("TECNOLOGIA DA INFORMACAO",tabParametros[[#This Row],[Função]],1)),0.056*tabParametros[[#This Row],[Salário Base]],0)</f>
        <v>0</v>
      </c>
      <c r="P149" s="232">
        <f>IF(tabParametros[[#This Row],[Função]]="Operador de Midia Audiovisual - 150 h",tabParametros[[#This Row],[Salário Base]]/150*50*30%,IF(tabParametros[[#This Row],[Função]]="Supervisor de Manutencao de Veiculos II - 220 h",12%*tabParametros[[#This Row],[Salário Base]],0))</f>
        <v>0</v>
      </c>
      <c r="Q149" s="233">
        <f>VLOOKUP(tabParametros[[#Headers],[INSS]],tabImpostosNacionais[],2,0)</f>
        <v>0.2</v>
      </c>
      <c r="R149" s="233">
        <f>VLOOKUP(tabParametros[[#Headers],[SESI OU SESC]],tabImpostosNacionais[],2,0)</f>
        <v>1.4999999999999999E-2</v>
      </c>
      <c r="S149" s="233">
        <f>VLOOKUP(tabParametros[[#Headers],[SENAI OU SENAC]],tabImpostosNacionais[],2,0)</f>
        <v>0.01</v>
      </c>
      <c r="T149" s="233">
        <f>VLOOKUP(tabParametros[[#Headers],[INCRA]],tabImpostosNacionais[],2,0)</f>
        <v>2E-3</v>
      </c>
      <c r="U149" s="233">
        <f>VLOOKUP(tabParametros[[#Headers],[Salário Educação]],tabImpostosNacionais[],2,0)</f>
        <v>2.5000000000000001E-2</v>
      </c>
      <c r="V149" s="233">
        <f>VLOOKUP(tabParametros[[#Headers],[FGTS]],tabImpostosNacionais[],2,0)</f>
        <v>0.08</v>
      </c>
      <c r="W149" s="233">
        <f>VLOOKUP(tabParametros[[#Headers],[RAT Ajustado]],tabImpostosNacionais[],2,0)</f>
        <v>0.04</v>
      </c>
      <c r="X149" s="233">
        <f>VLOOKUP(tabParametros[[#Headers],[SEBRAE]],tabImpostosNacionais[],2,0)</f>
        <v>6.0000000000000001E-3</v>
      </c>
      <c r="Y149" s="233">
        <f t="shared" si="22"/>
        <v>8.3333333333333329E-2</v>
      </c>
      <c r="Z149" s="233">
        <f t="shared" si="23"/>
        <v>0.1111111111111111</v>
      </c>
      <c r="AA149" s="232">
        <f>VLOOKUP(tabParametros[[#This Row],[Comarca]],tabComarca[],5,0)</f>
        <v>6.4</v>
      </c>
      <c r="AB149" s="232">
        <f>VLOOKUP(tabParametros[[#This Row],[CCT DA CATEGORIA]],tabSindicatos[],6,0)</f>
        <v>29.15</v>
      </c>
      <c r="AC149" s="232">
        <f>VLOOKUP(tabParametros[[#This Row],[CCT DA CATEGORIA]],tabSindicatos[],7,0)</f>
        <v>0</v>
      </c>
      <c r="AD149" s="232" cm="1">
        <f t="array" ref="AD14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49" s="232">
        <f>VLOOKUP(tabParametros[[#This Row],[CCT DA CATEGORIA]],tabSindicatos[],9,0)</f>
        <v>0</v>
      </c>
      <c r="AF149" s="232">
        <f>VLOOKUP(tabParametros[[#This Row],[CCT DA CATEGORIA]],tabSindicatos[],10,0)</f>
        <v>0</v>
      </c>
      <c r="AG149" s="234">
        <f>VLOOKUP(tabParametros[[#Headers],[Seguro de Vida]],tabOutrosCustos[],3,0)</f>
        <v>3.36</v>
      </c>
      <c r="AH149" s="234">
        <f>IF(ISNUMBER(SEARCH("MOTORISTA",tabParametros[[#This Row],[Função]],1)),VLOOKUP("MOTORISTAS",tabDiarias[],2,0),IF(tabParametros[[#This Row],[Comarca]]="Belo Horizonte",VLOOKUP("APOIO",tabDiarias[],2,0),0))</f>
        <v>0</v>
      </c>
      <c r="AI149" s="233">
        <f t="shared" si="24"/>
        <v>7.011766975308642E-3</v>
      </c>
      <c r="AJ149" s="235">
        <f>tabParametros[[#This Row],[FGTS]]*tabParametros[[#This Row],[Aviso Prévio Indenizado (API) e Reflexo do Aviso Prévio Indenizado]]</f>
        <v>5.609413580246914E-4</v>
      </c>
      <c r="AK149" s="235">
        <f>tabParametros[[#This Row],[FGTS]]*tabParametros[[#This Row],[Aviso Prévio Indenizado (API) e Reflexo do Aviso Prévio Indenizado]]*40%</f>
        <v>2.2437654320987658E-4</v>
      </c>
      <c r="AL149" s="233">
        <f t="shared" si="25"/>
        <v>3.5000000000000005E-3</v>
      </c>
      <c r="AM149" s="233">
        <f>tabParametros[[#This Row],[Aviso Prévio Trabalhado - APT]]*SUM(tabParametros[[#This Row],[INSS]:[SEBRAE]])</f>
        <v>1.3230000000000004E-3</v>
      </c>
      <c r="AN149" s="233">
        <f t="shared" si="26"/>
        <v>3.0577777777777773E-2</v>
      </c>
      <c r="AO149" s="233">
        <f t="shared" si="27"/>
        <v>8.3333333333333339E-4</v>
      </c>
      <c r="AP149" s="233">
        <f t="shared" si="28"/>
        <v>8.4444444444444437E-3</v>
      </c>
      <c r="AQ149" s="233">
        <f t="shared" si="29"/>
        <v>2.0277777777777777E-3</v>
      </c>
      <c r="AR149" s="233">
        <f t="shared" si="30"/>
        <v>1.7083333333333333E-4</v>
      </c>
      <c r="AS149" s="233">
        <f t="shared" si="31"/>
        <v>2.0833333333333335E-4</v>
      </c>
      <c r="AT149" s="233">
        <f t="shared" si="32"/>
        <v>1.2962962962962963E-3</v>
      </c>
      <c r="AU149" s="235">
        <f>SUM(tabParametros[[#This Row],[Ausência por Doença]:[Férias, Adicional de Férias e 13º  com empregada em gozo de Licença Maternidade]])*SUM(tabParametros[[#This Row],[INSS]:[SEBRAE]])</f>
        <v>4.5918250000000008E-3</v>
      </c>
      <c r="AV149"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149" s="232">
        <f>IF(tabParametros[[#This Row],[Vagas contratadas]]&gt;0,(SUM(tabParametros[[#This Row],[Salário Base]:[Adicional de Acúmulo de função]])*30%+SUM(tabParametros[[#This Row],[Vale - Alimentação]:[Seguro de Vida]]))/tabParametros[[#This Row],[Vagas contratadas]]*tabParametros[[#This Row],[Vagas suspensas]],0)</f>
        <v>0</v>
      </c>
      <c r="AX149" s="232">
        <f>SUMIF(tabUniformes[Cargo],tabParametros[[#This Row],[Função]],tabUniformes[Valor unit. Mensal])</f>
        <v>56.642978962543395</v>
      </c>
      <c r="AY14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4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4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49" s="232">
        <v>0</v>
      </c>
      <c r="BC149" s="234" t="e">
        <f ca="1">VLOOKUP(tabParametros[[#Headers],[Custos Indiretos]],tabOutrosCustos[],3,0)</f>
        <v>#NAME?</v>
      </c>
      <c r="BD149" s="234" t="e">
        <f ca="1">VLOOKUP(tabParametros[[#Headers],[Lucro]],tabOutrosCustos[],3,0)</f>
        <v>#NAME?</v>
      </c>
      <c r="BE149" s="233">
        <f>VLOOKUP(tabParametros[[#Headers],[COFINS]],tabImpostosNacionais[],2,0)</f>
        <v>7.5999999999999998E-2</v>
      </c>
      <c r="BF149" s="233">
        <f>VLOOKUP(tabParametros[[#Headers],[PIS]],tabImpostosNacionais[],2,0)</f>
        <v>1.6500000000000001E-2</v>
      </c>
      <c r="BG149" s="233">
        <f>VLOOKUP(tabParametros[[#This Row],[Comarca]],tabComarca[],4,0)</f>
        <v>0.03</v>
      </c>
      <c r="BH149" s="236">
        <f>VLOOKUP(tabParametros[[#This Row],[CCT DA CATEGORIA]],tabSindicatos[],11,0)</f>
        <v>45658</v>
      </c>
      <c r="BI149" s="282" t="str">
        <f>VLOOKUP(tabParametros[[#This Row],[CCT DA CATEGORIA]],tabSindicatos[],12,0)</f>
        <v>-</v>
      </c>
      <c r="BJ149" s="285" t="str">
        <f>VLOOKUP(tabParametros[[#This Row],[CCT DA CATEGORIA]],tabSindicatos[],13,0)</f>
        <v>-</v>
      </c>
    </row>
    <row r="150" spans="1:62">
      <c r="A150" s="231" t="s">
        <v>1472</v>
      </c>
      <c r="B150" s="197" t="s">
        <v>1135</v>
      </c>
      <c r="C150" s="197" t="s">
        <v>314</v>
      </c>
      <c r="D150" s="197" t="str">
        <f>VLOOKUP(tabParametros[[#This Row],[Código do Posto]],tabPostos[],4,0)</f>
        <v>Fethemg RM</v>
      </c>
      <c r="E150" s="282" t="str">
        <f>VLOOKUP(tabParametros[[#This Row],[Código do Posto]],tabPostos[],5,0)</f>
        <v>Apoio</v>
      </c>
      <c r="F150" s="282" t="str">
        <f>VLOOKUP(tabParametros[[#This Row],[Código do Posto]],tabPostos[],6,0)</f>
        <v>PGJ</v>
      </c>
      <c r="G150" s="282">
        <f>VLOOKUP(tabParametros[[#This Row],[Código do Posto]],tabPostos[],7,0)</f>
        <v>1</v>
      </c>
      <c r="H150" s="282">
        <f>VLOOKUP(tabParametros[[#This Row],[Código do Posto]],tabPostos[],8,0)</f>
        <v>0</v>
      </c>
      <c r="I150" s="232">
        <f>VLOOKUP(tabParametros[[#This Row],[Código do Posto]],tabPostos[],9,0)</f>
        <v>1963.4110092077037</v>
      </c>
      <c r="J150" s="232">
        <f>IF(ISNUMBER(SEARCH("Eletricista",tabParametros[[#This Row],[Função]],1)),0.3*tabParametros[[#This Row],[Salário Base]],0)</f>
        <v>0</v>
      </c>
      <c r="K15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50" s="232">
        <f>IF(AND(ISNUMBER(SEARCH("Noturno",tabParametros[[#This Row],[Função]],1)),tabParametros[[#This Row],[Comarca]]&lt;&gt;"Juiz de Fora"),tabParametros[[#This Row],[Salário Base]]/210*0.39*7*15.5,IF(ISNUMBER(SEARCH("Noturno",tabParametros[[#This Row],[Função]],1)),tabParametros[[#This Row],[Salário Base]]/210*0.2*8*15.5,0))</f>
        <v>0</v>
      </c>
      <c r="M150" s="232">
        <f>IF(ISNUMBER(SEARCH("Motorista II",tabParametros[[#This Row],[Função]],1)),0.3022*tabParametros[[#This Row],[Salário Base]],0)</f>
        <v>0</v>
      </c>
      <c r="N150" s="254">
        <v>0</v>
      </c>
      <c r="O150" s="254">
        <f>IF(ISNUMBER(SEARCH("TECNOLOGIA DA INFORMACAO",tabParametros[[#This Row],[Função]],1)),0.056*tabParametros[[#This Row],[Salário Base]],0)</f>
        <v>0</v>
      </c>
      <c r="P150" s="232">
        <f>IF(tabParametros[[#This Row],[Função]]="Operador de Midia Audiovisual - 150 h",tabParametros[[#This Row],[Salário Base]]/150*50*30%,IF(tabParametros[[#This Row],[Função]]="Supervisor de Manutencao de Veiculos II - 220 h",12%*tabParametros[[#This Row],[Salário Base]],0))</f>
        <v>0</v>
      </c>
      <c r="Q150" s="233">
        <f>VLOOKUP(tabParametros[[#Headers],[INSS]],tabImpostosNacionais[],2,0)</f>
        <v>0.2</v>
      </c>
      <c r="R150" s="233">
        <f>VLOOKUP(tabParametros[[#Headers],[SESI OU SESC]],tabImpostosNacionais[],2,0)</f>
        <v>1.4999999999999999E-2</v>
      </c>
      <c r="S150" s="233">
        <f>VLOOKUP(tabParametros[[#Headers],[SENAI OU SENAC]],tabImpostosNacionais[],2,0)</f>
        <v>0.01</v>
      </c>
      <c r="T150" s="233">
        <f>VLOOKUP(tabParametros[[#Headers],[INCRA]],tabImpostosNacionais[],2,0)</f>
        <v>2E-3</v>
      </c>
      <c r="U150" s="233">
        <f>VLOOKUP(tabParametros[[#Headers],[Salário Educação]],tabImpostosNacionais[],2,0)</f>
        <v>2.5000000000000001E-2</v>
      </c>
      <c r="V150" s="233">
        <f>VLOOKUP(tabParametros[[#Headers],[FGTS]],tabImpostosNacionais[],2,0)</f>
        <v>0.08</v>
      </c>
      <c r="W150" s="233">
        <f>VLOOKUP(tabParametros[[#Headers],[RAT Ajustado]],tabImpostosNacionais[],2,0)</f>
        <v>0.04</v>
      </c>
      <c r="X150" s="233">
        <f>VLOOKUP(tabParametros[[#Headers],[SEBRAE]],tabImpostosNacionais[],2,0)</f>
        <v>6.0000000000000001E-3</v>
      </c>
      <c r="Y150" s="233">
        <f t="shared" si="22"/>
        <v>8.3333333333333329E-2</v>
      </c>
      <c r="Z150" s="233">
        <f t="shared" si="23"/>
        <v>0.1111111111111111</v>
      </c>
      <c r="AA150" s="232">
        <f>VLOOKUP(tabParametros[[#This Row],[Comarca]],tabComarca[],5,0)</f>
        <v>6.4</v>
      </c>
      <c r="AB150" s="232">
        <f>VLOOKUP(tabParametros[[#This Row],[CCT DA CATEGORIA]],tabSindicatos[],6,0)</f>
        <v>29.15</v>
      </c>
      <c r="AC150" s="232">
        <f>VLOOKUP(tabParametros[[#This Row],[CCT DA CATEGORIA]],tabSindicatos[],7,0)</f>
        <v>0</v>
      </c>
      <c r="AD150" s="232" cm="1">
        <f t="array" ref="AD15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50" s="232">
        <f>VLOOKUP(tabParametros[[#This Row],[CCT DA CATEGORIA]],tabSindicatos[],9,0)</f>
        <v>15.07</v>
      </c>
      <c r="AF150" s="232">
        <f>VLOOKUP(tabParametros[[#This Row],[CCT DA CATEGORIA]],tabSindicatos[],10,0)</f>
        <v>0</v>
      </c>
      <c r="AG150" s="234">
        <f>VLOOKUP(tabParametros[[#Headers],[Seguro de Vida]],tabOutrosCustos[],3,0)</f>
        <v>3.36</v>
      </c>
      <c r="AH150" s="234">
        <f>IF(ISNUMBER(SEARCH("MOTORISTA",tabParametros[[#This Row],[Função]],1)),VLOOKUP("MOTORISTAS",tabDiarias[],2,0),IF(tabParametros[[#This Row],[Comarca]]="Belo Horizonte",VLOOKUP("APOIO",tabDiarias[],2,0),0))</f>
        <v>0</v>
      </c>
      <c r="AI150" s="233">
        <f t="shared" si="24"/>
        <v>7.011766975308642E-3</v>
      </c>
      <c r="AJ150" s="235">
        <f>tabParametros[[#This Row],[FGTS]]*tabParametros[[#This Row],[Aviso Prévio Indenizado (API) e Reflexo do Aviso Prévio Indenizado]]</f>
        <v>5.609413580246914E-4</v>
      </c>
      <c r="AK150" s="235">
        <f>tabParametros[[#This Row],[FGTS]]*tabParametros[[#This Row],[Aviso Prévio Indenizado (API) e Reflexo do Aviso Prévio Indenizado]]*40%</f>
        <v>2.2437654320987658E-4</v>
      </c>
      <c r="AL150" s="233">
        <f t="shared" si="25"/>
        <v>3.5000000000000005E-3</v>
      </c>
      <c r="AM150" s="233">
        <f>tabParametros[[#This Row],[Aviso Prévio Trabalhado - APT]]*SUM(tabParametros[[#This Row],[INSS]:[SEBRAE]])</f>
        <v>1.3230000000000004E-3</v>
      </c>
      <c r="AN150" s="233">
        <f t="shared" si="26"/>
        <v>3.0577777777777773E-2</v>
      </c>
      <c r="AO150" s="233">
        <f t="shared" si="27"/>
        <v>8.3333333333333339E-4</v>
      </c>
      <c r="AP150" s="233">
        <f t="shared" si="28"/>
        <v>8.4444444444444437E-3</v>
      </c>
      <c r="AQ150" s="233">
        <f t="shared" si="29"/>
        <v>2.0277777777777777E-3</v>
      </c>
      <c r="AR150" s="233">
        <f t="shared" si="30"/>
        <v>1.7083333333333333E-4</v>
      </c>
      <c r="AS150" s="233">
        <f t="shared" si="31"/>
        <v>2.0833333333333335E-4</v>
      </c>
      <c r="AT150" s="233">
        <f t="shared" si="32"/>
        <v>1.2962962962962963E-3</v>
      </c>
      <c r="AU150" s="235">
        <f>SUM(tabParametros[[#This Row],[Ausência por Doença]:[Férias, Adicional de Férias e 13º  com empregada em gozo de Licença Maternidade]])*SUM(tabParametros[[#This Row],[INSS]:[SEBRAE]])</f>
        <v>4.5918250000000008E-3</v>
      </c>
      <c r="AV150"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50" s="232">
        <f>IF(tabParametros[[#This Row],[Vagas contratadas]]&gt;0,(SUM(tabParametros[[#This Row],[Salário Base]:[Adicional de Acúmulo de função]])*30%+SUM(tabParametros[[#This Row],[Vale - Alimentação]:[Seguro de Vida]]))/tabParametros[[#This Row],[Vagas contratadas]]*tabParametros[[#This Row],[Vagas suspensas]],0)</f>
        <v>0</v>
      </c>
      <c r="AX150" s="232">
        <f>SUMIF(tabUniformes[Cargo],tabParametros[[#This Row],[Função]],tabUniformes[Valor unit. Mensal])</f>
        <v>56.642978962543395</v>
      </c>
      <c r="AY15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5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5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0" s="232">
        <v>0</v>
      </c>
      <c r="BC150" s="234" t="e">
        <f ca="1">VLOOKUP(tabParametros[[#Headers],[Custos Indiretos]],tabOutrosCustos[],3,0)</f>
        <v>#NAME?</v>
      </c>
      <c r="BD150" s="234" t="e">
        <f ca="1">VLOOKUP(tabParametros[[#Headers],[Lucro]],tabOutrosCustos[],3,0)</f>
        <v>#NAME?</v>
      </c>
      <c r="BE150" s="233">
        <f>VLOOKUP(tabParametros[[#Headers],[COFINS]],tabImpostosNacionais[],2,0)</f>
        <v>7.5999999999999998E-2</v>
      </c>
      <c r="BF150" s="233">
        <f>VLOOKUP(tabParametros[[#Headers],[PIS]],tabImpostosNacionais[],2,0)</f>
        <v>1.6500000000000001E-2</v>
      </c>
      <c r="BG150" s="233">
        <f>VLOOKUP(tabParametros[[#This Row],[Comarca]],tabComarca[],4,0)</f>
        <v>0.02</v>
      </c>
      <c r="BH150" s="236">
        <f>VLOOKUP(tabParametros[[#This Row],[CCT DA CATEGORIA]],tabSindicatos[],11,0)</f>
        <v>45658</v>
      </c>
      <c r="BI150" s="282" t="str">
        <f>VLOOKUP(tabParametros[[#This Row],[CCT DA CATEGORIA]],tabSindicatos[],12,0)</f>
        <v>-</v>
      </c>
      <c r="BJ150" s="285" t="str">
        <f>VLOOKUP(tabParametros[[#This Row],[CCT DA CATEGORIA]],tabSindicatos[],13,0)</f>
        <v>-</v>
      </c>
    </row>
    <row r="151" spans="1:62">
      <c r="A151" s="231" t="s">
        <v>1604</v>
      </c>
      <c r="B151" s="197" t="s">
        <v>1135</v>
      </c>
      <c r="C151" s="197" t="s">
        <v>324</v>
      </c>
      <c r="D151" s="197" t="str">
        <f>VLOOKUP(tabParametros[[#This Row],[Código do Posto]],tabPostos[],4,0)</f>
        <v>Fethemg RM</v>
      </c>
      <c r="E151" s="282" t="str">
        <f>VLOOKUP(tabParametros[[#This Row],[Código do Posto]],tabPostos[],5,0)</f>
        <v>Apoio</v>
      </c>
      <c r="F151" s="282" t="str">
        <f>VLOOKUP(tabParametros[[#This Row],[Código do Posto]],tabPostos[],6,0)</f>
        <v>PGJ</v>
      </c>
      <c r="G151" s="282">
        <f>VLOOKUP(tabParametros[[#This Row],[Código do Posto]],tabPostos[],7,0)</f>
        <v>1</v>
      </c>
      <c r="H151" s="282">
        <f>VLOOKUP(tabParametros[[#This Row],[Código do Posto]],tabPostos[],8,0)</f>
        <v>0</v>
      </c>
      <c r="I151" s="232">
        <f>VLOOKUP(tabParametros[[#This Row],[Código do Posto]],tabPostos[],9,0)</f>
        <v>3397.130467372021</v>
      </c>
      <c r="J151" s="232">
        <f>IF(ISNUMBER(SEARCH("Eletricista",tabParametros[[#This Row],[Função]],1)),0.3*tabParametros[[#This Row],[Salário Base]],0)</f>
        <v>0</v>
      </c>
      <c r="K15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51" s="232">
        <f>IF(AND(ISNUMBER(SEARCH("Noturno",tabParametros[[#This Row],[Função]],1)),tabParametros[[#This Row],[Comarca]]&lt;&gt;"Juiz de Fora"),tabParametros[[#This Row],[Salário Base]]/210*0.39*7*15.5,IF(ISNUMBER(SEARCH("Noturno",tabParametros[[#This Row],[Função]],1)),tabParametros[[#This Row],[Salário Base]]/210*0.2*8*15.5,0))</f>
        <v>0</v>
      </c>
      <c r="M151" s="232">
        <f>IF(ISNUMBER(SEARCH("Motorista II",tabParametros[[#This Row],[Função]],1)),0.3022*tabParametros[[#This Row],[Salário Base]],0)</f>
        <v>0</v>
      </c>
      <c r="N151" s="254">
        <v>0</v>
      </c>
      <c r="O151" s="254">
        <f>IF(ISNUMBER(SEARCH("TECNOLOGIA DA INFORMACAO",tabParametros[[#This Row],[Função]],1)),0.056*tabParametros[[#This Row],[Salário Base]],0)</f>
        <v>0</v>
      </c>
      <c r="P151" s="232">
        <f>IF(tabParametros[[#This Row],[Função]]="Operador de Midia Audiovisual - 150 h",tabParametros[[#This Row],[Salário Base]]/150*50*30%,IF(tabParametros[[#This Row],[Função]]="Supervisor de Manutencao de Veiculos II - 220 h",12%*tabParametros[[#This Row],[Salário Base]],0))</f>
        <v>0</v>
      </c>
      <c r="Q151" s="233">
        <f>VLOOKUP(tabParametros[[#Headers],[INSS]],tabImpostosNacionais[],2,0)</f>
        <v>0.2</v>
      </c>
      <c r="R151" s="233">
        <f>VLOOKUP(tabParametros[[#Headers],[SESI OU SESC]],tabImpostosNacionais[],2,0)</f>
        <v>1.4999999999999999E-2</v>
      </c>
      <c r="S151" s="233">
        <f>VLOOKUP(tabParametros[[#Headers],[SENAI OU SENAC]],tabImpostosNacionais[],2,0)</f>
        <v>0.01</v>
      </c>
      <c r="T151" s="233">
        <f>VLOOKUP(tabParametros[[#Headers],[INCRA]],tabImpostosNacionais[],2,0)</f>
        <v>2E-3</v>
      </c>
      <c r="U151" s="233">
        <f>VLOOKUP(tabParametros[[#Headers],[Salário Educação]],tabImpostosNacionais[],2,0)</f>
        <v>2.5000000000000001E-2</v>
      </c>
      <c r="V151" s="233">
        <f>VLOOKUP(tabParametros[[#Headers],[FGTS]],tabImpostosNacionais[],2,0)</f>
        <v>0.08</v>
      </c>
      <c r="W151" s="233">
        <f>VLOOKUP(tabParametros[[#Headers],[RAT Ajustado]],tabImpostosNacionais[],2,0)</f>
        <v>0.04</v>
      </c>
      <c r="X151" s="233">
        <f>VLOOKUP(tabParametros[[#Headers],[SEBRAE]],tabImpostosNacionais[],2,0)</f>
        <v>6.0000000000000001E-3</v>
      </c>
      <c r="Y151" s="233">
        <f t="shared" si="22"/>
        <v>8.3333333333333329E-2</v>
      </c>
      <c r="Z151" s="233">
        <f t="shared" si="23"/>
        <v>0.1111111111111111</v>
      </c>
      <c r="AA151" s="232">
        <f>VLOOKUP(tabParametros[[#This Row],[Comarca]],tabComarca[],5,0)</f>
        <v>6.4</v>
      </c>
      <c r="AB151" s="232">
        <f>VLOOKUP(tabParametros[[#This Row],[CCT DA CATEGORIA]],tabSindicatos[],6,0)</f>
        <v>29.15</v>
      </c>
      <c r="AC151" s="232">
        <f>VLOOKUP(tabParametros[[#This Row],[CCT DA CATEGORIA]],tabSindicatos[],7,0)</f>
        <v>0</v>
      </c>
      <c r="AD151" s="232" cm="1">
        <f t="array" ref="AD15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51" s="232">
        <f>VLOOKUP(tabParametros[[#This Row],[CCT DA CATEGORIA]],tabSindicatos[],9,0)</f>
        <v>15.07</v>
      </c>
      <c r="AF151" s="232">
        <f>VLOOKUP(tabParametros[[#This Row],[CCT DA CATEGORIA]],tabSindicatos[],10,0)</f>
        <v>0</v>
      </c>
      <c r="AG151" s="234">
        <f>VLOOKUP(tabParametros[[#Headers],[Seguro de Vida]],tabOutrosCustos[],3,0)</f>
        <v>3.36</v>
      </c>
      <c r="AH151" s="234">
        <f>IF(ISNUMBER(SEARCH("MOTORISTA",tabParametros[[#This Row],[Função]],1)),VLOOKUP("MOTORISTAS",tabDiarias[],2,0),IF(tabParametros[[#This Row],[Comarca]]="Belo Horizonte",VLOOKUP("APOIO",tabDiarias[],2,0),0))</f>
        <v>0</v>
      </c>
      <c r="AI151" s="233">
        <f t="shared" si="24"/>
        <v>7.011766975308642E-3</v>
      </c>
      <c r="AJ151" s="235">
        <f>tabParametros[[#This Row],[FGTS]]*tabParametros[[#This Row],[Aviso Prévio Indenizado (API) e Reflexo do Aviso Prévio Indenizado]]</f>
        <v>5.609413580246914E-4</v>
      </c>
      <c r="AK151" s="235">
        <f>tabParametros[[#This Row],[FGTS]]*tabParametros[[#This Row],[Aviso Prévio Indenizado (API) e Reflexo do Aviso Prévio Indenizado]]*40%</f>
        <v>2.2437654320987658E-4</v>
      </c>
      <c r="AL151" s="233">
        <f t="shared" si="25"/>
        <v>3.5000000000000005E-3</v>
      </c>
      <c r="AM151" s="233">
        <f>tabParametros[[#This Row],[Aviso Prévio Trabalhado - APT]]*SUM(tabParametros[[#This Row],[INSS]:[SEBRAE]])</f>
        <v>1.3230000000000004E-3</v>
      </c>
      <c r="AN151" s="233">
        <f t="shared" si="26"/>
        <v>3.0577777777777773E-2</v>
      </c>
      <c r="AO151" s="233">
        <f t="shared" si="27"/>
        <v>8.3333333333333339E-4</v>
      </c>
      <c r="AP151" s="233">
        <f t="shared" si="28"/>
        <v>8.4444444444444437E-3</v>
      </c>
      <c r="AQ151" s="233">
        <f t="shared" si="29"/>
        <v>2.0277777777777777E-3</v>
      </c>
      <c r="AR151" s="233">
        <f t="shared" si="30"/>
        <v>1.7083333333333333E-4</v>
      </c>
      <c r="AS151" s="233">
        <f t="shared" si="31"/>
        <v>2.0833333333333335E-4</v>
      </c>
      <c r="AT151" s="233">
        <f t="shared" si="32"/>
        <v>1.2962962962962963E-3</v>
      </c>
      <c r="AU151" s="235">
        <f>SUM(tabParametros[[#This Row],[Ausência por Doença]:[Férias, Adicional de Férias e 13º  com empregada em gozo de Licença Maternidade]])*SUM(tabParametros[[#This Row],[INSS]:[SEBRAE]])</f>
        <v>4.5918250000000008E-3</v>
      </c>
      <c r="AV151" s="254">
        <f>IF(tabParametros[[#This Row],[Função]]="Porteiro - 220 h",SUM(tabParametros[[#This Row],[Salário Base]:[Adicional de Acúmulo de função]])/220*20*1.5,IF(ISNUMBER(SEARCH("12 x 36",tabParametros[[#This Row],[Função]],1)),SUM(tabParametros[[#This Row],[Salário Base]:[Adicional de Acúmulo de função]])/210*15.5*1.5,0))</f>
        <v>0</v>
      </c>
      <c r="AW151" s="232">
        <f>IF(tabParametros[[#This Row],[Vagas contratadas]]&gt;0,(SUM(tabParametros[[#This Row],[Salário Base]:[Adicional de Acúmulo de função]])*30%+SUM(tabParametros[[#This Row],[Vale - Alimentação]:[Seguro de Vida]]))/tabParametros[[#This Row],[Vagas contratadas]]*tabParametros[[#This Row],[Vagas suspensas]],0)</f>
        <v>0</v>
      </c>
      <c r="AX151" s="232">
        <f>SUMIF(tabUniformes[Cargo],tabParametros[[#This Row],[Função]],tabUniformes[Valor unit. Mensal])</f>
        <v>56.642978962543395</v>
      </c>
      <c r="AY15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5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5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1" s="232">
        <v>0</v>
      </c>
      <c r="BC151" s="234" t="e">
        <f ca="1">VLOOKUP(tabParametros[[#Headers],[Custos Indiretos]],tabOutrosCustos[],3,0)</f>
        <v>#NAME?</v>
      </c>
      <c r="BD151" s="234" t="e">
        <f ca="1">VLOOKUP(tabParametros[[#Headers],[Lucro]],tabOutrosCustos[],3,0)</f>
        <v>#NAME?</v>
      </c>
      <c r="BE151" s="233">
        <f>VLOOKUP(tabParametros[[#Headers],[COFINS]],tabImpostosNacionais[],2,0)</f>
        <v>7.5999999999999998E-2</v>
      </c>
      <c r="BF151" s="233">
        <f>VLOOKUP(tabParametros[[#Headers],[PIS]],tabImpostosNacionais[],2,0)</f>
        <v>1.6500000000000001E-2</v>
      </c>
      <c r="BG151" s="233">
        <f>VLOOKUP(tabParametros[[#This Row],[Comarca]],tabComarca[],4,0)</f>
        <v>0.02</v>
      </c>
      <c r="BH151" s="236">
        <f>VLOOKUP(tabParametros[[#This Row],[CCT DA CATEGORIA]],tabSindicatos[],11,0)</f>
        <v>45658</v>
      </c>
      <c r="BI151" s="282" t="str">
        <f>VLOOKUP(tabParametros[[#This Row],[CCT DA CATEGORIA]],tabSindicatos[],12,0)</f>
        <v>-</v>
      </c>
      <c r="BJ151" s="285" t="str">
        <f>VLOOKUP(tabParametros[[#This Row],[CCT DA CATEGORIA]],tabSindicatos[],13,0)</f>
        <v>-</v>
      </c>
    </row>
    <row r="152" spans="1:62">
      <c r="A152" s="231" t="s">
        <v>1473</v>
      </c>
      <c r="B152" s="197" t="s">
        <v>1136</v>
      </c>
      <c r="C152" s="197" t="s">
        <v>200</v>
      </c>
      <c r="D152" s="197" t="str">
        <f>VLOOKUP(tabParametros[[#This Row],[Código do Posto]],tabPostos[],4,0)</f>
        <v>Regiao de Juiz de Fora</v>
      </c>
      <c r="E152" s="282" t="str">
        <f>VLOOKUP(tabParametros[[#This Row],[Código do Posto]],tabPostos[],5,0)</f>
        <v>Apoio</v>
      </c>
      <c r="F152" s="282" t="str">
        <f>VLOOKUP(tabParametros[[#This Row],[Código do Posto]],tabPostos[],6,0)</f>
        <v>PGJ</v>
      </c>
      <c r="G152" s="282">
        <f>VLOOKUP(tabParametros[[#This Row],[Código do Posto]],tabPostos[],7,0)</f>
        <v>1</v>
      </c>
      <c r="H152" s="282">
        <f>VLOOKUP(tabParametros[[#This Row],[Código do Posto]],tabPostos[],8,0)</f>
        <v>0</v>
      </c>
      <c r="I152" s="232">
        <f>VLOOKUP(tabParametros[[#This Row],[Código do Posto]],tabPostos[],9,0)</f>
        <v>1596.273808921236</v>
      </c>
      <c r="J152" s="232">
        <f>IF(ISNUMBER(SEARCH("Eletricista",tabParametros[[#This Row],[Função]],1)),0.3*tabParametros[[#This Row],[Salário Base]],0)</f>
        <v>0</v>
      </c>
      <c r="K15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52" s="232">
        <f>IF(AND(ISNUMBER(SEARCH("Noturno",tabParametros[[#This Row],[Função]],1)),tabParametros[[#This Row],[Comarca]]&lt;&gt;"Juiz de Fora"),tabParametros[[#This Row],[Salário Base]]/210*0.39*7*15.5,IF(ISNUMBER(SEARCH("Noturno",tabParametros[[#This Row],[Função]],1)),tabParametros[[#This Row],[Salário Base]]/210*0.2*8*15.5,0))</f>
        <v>0</v>
      </c>
      <c r="M152" s="232">
        <f>IF(ISNUMBER(SEARCH("Motorista II",tabParametros[[#This Row],[Função]],1)),0.3022*tabParametros[[#This Row],[Salário Base]],0)</f>
        <v>0</v>
      </c>
      <c r="N152" s="254">
        <v>0</v>
      </c>
      <c r="O152" s="254">
        <f>IF(ISNUMBER(SEARCH("TECNOLOGIA DA INFORMACAO",tabParametros[[#This Row],[Função]],1)),0.056*tabParametros[[#This Row],[Salário Base]],0)</f>
        <v>0</v>
      </c>
      <c r="P152" s="232">
        <f>IF(tabParametros[[#This Row],[Função]]="Operador de Midia Audiovisual - 150 h",tabParametros[[#This Row],[Salário Base]]/150*50*30%,IF(tabParametros[[#This Row],[Função]]="Supervisor de Manutencao de Veiculos II - 220 h",12%*tabParametros[[#This Row],[Salário Base]],0))</f>
        <v>0</v>
      </c>
      <c r="Q152" s="233">
        <f>VLOOKUP(tabParametros[[#Headers],[INSS]],tabImpostosNacionais[],2,0)</f>
        <v>0.2</v>
      </c>
      <c r="R152" s="233">
        <f>VLOOKUP(tabParametros[[#Headers],[SESI OU SESC]],tabImpostosNacionais[],2,0)</f>
        <v>1.4999999999999999E-2</v>
      </c>
      <c r="S152" s="233">
        <f>VLOOKUP(tabParametros[[#Headers],[SENAI OU SENAC]],tabImpostosNacionais[],2,0)</f>
        <v>0.01</v>
      </c>
      <c r="T152" s="233">
        <f>VLOOKUP(tabParametros[[#Headers],[INCRA]],tabImpostosNacionais[],2,0)</f>
        <v>2E-3</v>
      </c>
      <c r="U152" s="233">
        <f>VLOOKUP(tabParametros[[#Headers],[Salário Educação]],tabImpostosNacionais[],2,0)</f>
        <v>2.5000000000000001E-2</v>
      </c>
      <c r="V152" s="233">
        <f>VLOOKUP(tabParametros[[#Headers],[FGTS]],tabImpostosNacionais[],2,0)</f>
        <v>0.08</v>
      </c>
      <c r="W152" s="233">
        <f>VLOOKUP(tabParametros[[#Headers],[RAT Ajustado]],tabImpostosNacionais[],2,0)</f>
        <v>0.04</v>
      </c>
      <c r="X152" s="233">
        <f>VLOOKUP(tabParametros[[#Headers],[SEBRAE]],tabImpostosNacionais[],2,0)</f>
        <v>6.0000000000000001E-3</v>
      </c>
      <c r="Y152" s="233">
        <f t="shared" si="22"/>
        <v>8.3333333333333329E-2</v>
      </c>
      <c r="Z152" s="233">
        <f t="shared" si="23"/>
        <v>0.1111111111111111</v>
      </c>
      <c r="AA152" s="232">
        <f>VLOOKUP(tabParametros[[#This Row],[Comarca]],tabComarca[],5,0)</f>
        <v>6.4</v>
      </c>
      <c r="AB152" s="232">
        <f>VLOOKUP(tabParametros[[#This Row],[CCT DA CATEGORIA]],tabSindicatos[],6,0)</f>
        <v>29.15</v>
      </c>
      <c r="AC152" s="232">
        <f>VLOOKUP(tabParametros[[#This Row],[CCT DA CATEGORIA]],tabSindicatos[],7,0)</f>
        <v>0</v>
      </c>
      <c r="AD152" s="232" cm="1">
        <f t="array" ref="AD15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52" s="232">
        <f>VLOOKUP(tabParametros[[#This Row],[CCT DA CATEGORIA]],tabSindicatos[],9,0)</f>
        <v>0</v>
      </c>
      <c r="AF152" s="232">
        <f>VLOOKUP(tabParametros[[#This Row],[CCT DA CATEGORIA]],tabSindicatos[],10,0)</f>
        <v>0</v>
      </c>
      <c r="AG152" s="234">
        <f>VLOOKUP(tabParametros[[#Headers],[Seguro de Vida]],tabOutrosCustos[],3,0)</f>
        <v>3.36</v>
      </c>
      <c r="AH152" s="234">
        <f>IF(ISNUMBER(SEARCH("MOTORISTA",tabParametros[[#This Row],[Função]],1)),VLOOKUP("MOTORISTAS",tabDiarias[],2,0),IF(tabParametros[[#This Row],[Comarca]]="Belo Horizonte",VLOOKUP("APOIO",tabDiarias[],2,0),0))</f>
        <v>0</v>
      </c>
      <c r="AI152" s="233">
        <f t="shared" si="24"/>
        <v>7.011766975308642E-3</v>
      </c>
      <c r="AJ152" s="235">
        <f>tabParametros[[#This Row],[FGTS]]*tabParametros[[#This Row],[Aviso Prévio Indenizado (API) e Reflexo do Aviso Prévio Indenizado]]</f>
        <v>5.609413580246914E-4</v>
      </c>
      <c r="AK152" s="235">
        <f>tabParametros[[#This Row],[FGTS]]*tabParametros[[#This Row],[Aviso Prévio Indenizado (API) e Reflexo do Aviso Prévio Indenizado]]*40%</f>
        <v>2.2437654320987658E-4</v>
      </c>
      <c r="AL152" s="233">
        <f t="shared" si="25"/>
        <v>3.5000000000000005E-3</v>
      </c>
      <c r="AM152" s="233">
        <f>tabParametros[[#This Row],[Aviso Prévio Trabalhado - APT]]*SUM(tabParametros[[#This Row],[INSS]:[SEBRAE]])</f>
        <v>1.3230000000000004E-3</v>
      </c>
      <c r="AN152" s="233">
        <f t="shared" si="26"/>
        <v>3.0577777777777773E-2</v>
      </c>
      <c r="AO152" s="233">
        <f t="shared" si="27"/>
        <v>8.3333333333333339E-4</v>
      </c>
      <c r="AP152" s="233">
        <f t="shared" si="28"/>
        <v>8.4444444444444437E-3</v>
      </c>
      <c r="AQ152" s="233">
        <f t="shared" si="29"/>
        <v>2.0277777777777777E-3</v>
      </c>
      <c r="AR152" s="233">
        <f t="shared" si="30"/>
        <v>1.7083333333333333E-4</v>
      </c>
      <c r="AS152" s="233">
        <f t="shared" si="31"/>
        <v>2.0833333333333335E-4</v>
      </c>
      <c r="AT152" s="233">
        <f t="shared" si="32"/>
        <v>1.2962962962962963E-3</v>
      </c>
      <c r="AU152" s="235">
        <f>SUM(tabParametros[[#This Row],[Ausência por Doença]:[Férias, Adicional de Férias e 13º  com empregada em gozo de Licença Maternidade]])*SUM(tabParametros[[#This Row],[INSS]:[SEBRAE]])</f>
        <v>4.5918250000000008E-3</v>
      </c>
      <c r="AV152" s="254">
        <f>IF(tabParametros[[#This Row],[Função]]="Porteiro - 220 h",SUM(tabParametros[[#This Row],[Salário Base]:[Adicional de Acúmulo de função]])/220*20*1.5,IF(ISNUMBER(SEARCH("12 x 36",tabParametros[[#This Row],[Função]],1)),SUM(tabParametros[[#This Row],[Salário Base]:[Adicional de Acúmulo de função]])/210*15.5*1.5,0))</f>
        <v>0</v>
      </c>
      <c r="AW152" s="232">
        <f>IF(tabParametros[[#This Row],[Vagas contratadas]]&gt;0,(SUM(tabParametros[[#This Row],[Salário Base]:[Adicional de Acúmulo de função]])*30%+SUM(tabParametros[[#This Row],[Vale - Alimentação]:[Seguro de Vida]]))/tabParametros[[#This Row],[Vagas contratadas]]*tabParametros[[#This Row],[Vagas suspensas]],0)</f>
        <v>0</v>
      </c>
      <c r="AX152" s="232">
        <f>SUMIF(tabUniformes[Cargo],tabParametros[[#This Row],[Função]],tabUniformes[Valor unit. Mensal])</f>
        <v>56.141713661989918</v>
      </c>
      <c r="AY15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5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5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2" s="232">
        <v>0</v>
      </c>
      <c r="BC152" s="234" t="e">
        <f ca="1">VLOOKUP(tabParametros[[#Headers],[Custos Indiretos]],tabOutrosCustos[],3,0)</f>
        <v>#NAME?</v>
      </c>
      <c r="BD152" s="234" t="e">
        <f ca="1">VLOOKUP(tabParametros[[#Headers],[Lucro]],tabOutrosCustos[],3,0)</f>
        <v>#NAME?</v>
      </c>
      <c r="BE152" s="233">
        <f>VLOOKUP(tabParametros[[#Headers],[COFINS]],tabImpostosNacionais[],2,0)</f>
        <v>7.5999999999999998E-2</v>
      </c>
      <c r="BF152" s="233">
        <f>VLOOKUP(tabParametros[[#Headers],[PIS]],tabImpostosNacionais[],2,0)</f>
        <v>1.6500000000000001E-2</v>
      </c>
      <c r="BG152" s="233">
        <f>VLOOKUP(tabParametros[[#This Row],[Comarca]],tabComarca[],4,0)</f>
        <v>0.03</v>
      </c>
      <c r="BH152" s="236">
        <f>VLOOKUP(tabParametros[[#This Row],[CCT DA CATEGORIA]],tabSindicatos[],11,0)</f>
        <v>45658</v>
      </c>
      <c r="BI152" s="282" t="str">
        <f>VLOOKUP(tabParametros[[#This Row],[CCT DA CATEGORIA]],tabSindicatos[],12,0)</f>
        <v>-</v>
      </c>
      <c r="BJ152" s="285" t="str">
        <f>VLOOKUP(tabParametros[[#This Row],[CCT DA CATEGORIA]],tabSindicatos[],13,0)</f>
        <v>-</v>
      </c>
    </row>
    <row r="153" spans="1:62">
      <c r="A153" s="231" t="s">
        <v>1605</v>
      </c>
      <c r="B153" s="197" t="s">
        <v>1137</v>
      </c>
      <c r="C153" s="197" t="s">
        <v>324</v>
      </c>
      <c r="D153" s="197" t="str">
        <f>VLOOKUP(tabParametros[[#This Row],[Código do Posto]],tabPostos[],4,0)</f>
        <v>Regiao de Sao Lourenco</v>
      </c>
      <c r="E153" s="282" t="str">
        <f>VLOOKUP(tabParametros[[#This Row],[Código do Posto]],tabPostos[],5,0)</f>
        <v>Apoio</v>
      </c>
      <c r="F153" s="282" t="str">
        <f>VLOOKUP(tabParametros[[#This Row],[Código do Posto]],tabPostos[],6,0)</f>
        <v>PGJ</v>
      </c>
      <c r="G153" s="282">
        <f>VLOOKUP(tabParametros[[#This Row],[Código do Posto]],tabPostos[],7,0)</f>
        <v>1</v>
      </c>
      <c r="H153" s="282">
        <f>VLOOKUP(tabParametros[[#This Row],[Código do Posto]],tabPostos[],8,0)</f>
        <v>0</v>
      </c>
      <c r="I153" s="232">
        <f>VLOOKUP(tabParametros[[#This Row],[Código do Posto]],tabPostos[],9,0)</f>
        <v>3397.130467372021</v>
      </c>
      <c r="J153" s="232">
        <f>IF(ISNUMBER(SEARCH("Eletricista",tabParametros[[#This Row],[Função]],1)),0.3*tabParametros[[#This Row],[Salário Base]],0)</f>
        <v>0</v>
      </c>
      <c r="K15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53" s="232">
        <f>IF(AND(ISNUMBER(SEARCH("Noturno",tabParametros[[#This Row],[Função]],1)),tabParametros[[#This Row],[Comarca]]&lt;&gt;"Juiz de Fora"),tabParametros[[#This Row],[Salário Base]]/210*0.39*7*15.5,IF(ISNUMBER(SEARCH("Noturno",tabParametros[[#This Row],[Função]],1)),tabParametros[[#This Row],[Salário Base]]/210*0.2*8*15.5,0))</f>
        <v>0</v>
      </c>
      <c r="M153" s="232">
        <f>IF(ISNUMBER(SEARCH("Motorista II",tabParametros[[#This Row],[Função]],1)),0.3022*tabParametros[[#This Row],[Salário Base]],0)</f>
        <v>0</v>
      </c>
      <c r="N153" s="254">
        <v>0</v>
      </c>
      <c r="O153" s="254">
        <f>IF(ISNUMBER(SEARCH("TECNOLOGIA DA INFORMACAO",tabParametros[[#This Row],[Função]],1)),0.056*tabParametros[[#This Row],[Salário Base]],0)</f>
        <v>0</v>
      </c>
      <c r="P153" s="232">
        <f>IF(tabParametros[[#This Row],[Função]]="Operador de Midia Audiovisual - 150 h",tabParametros[[#This Row],[Salário Base]]/150*50*30%,IF(tabParametros[[#This Row],[Função]]="Supervisor de Manutencao de Veiculos II - 220 h",12%*tabParametros[[#This Row],[Salário Base]],0))</f>
        <v>0</v>
      </c>
      <c r="Q153" s="233">
        <f>VLOOKUP(tabParametros[[#Headers],[INSS]],tabImpostosNacionais[],2,0)</f>
        <v>0.2</v>
      </c>
      <c r="R153" s="233">
        <f>VLOOKUP(tabParametros[[#Headers],[SESI OU SESC]],tabImpostosNacionais[],2,0)</f>
        <v>1.4999999999999999E-2</v>
      </c>
      <c r="S153" s="233">
        <f>VLOOKUP(tabParametros[[#Headers],[SENAI OU SENAC]],tabImpostosNacionais[],2,0)</f>
        <v>0.01</v>
      </c>
      <c r="T153" s="233">
        <f>VLOOKUP(tabParametros[[#Headers],[INCRA]],tabImpostosNacionais[],2,0)</f>
        <v>2E-3</v>
      </c>
      <c r="U153" s="233">
        <f>VLOOKUP(tabParametros[[#Headers],[Salário Educação]],tabImpostosNacionais[],2,0)</f>
        <v>2.5000000000000001E-2</v>
      </c>
      <c r="V153" s="233">
        <f>VLOOKUP(tabParametros[[#Headers],[FGTS]],tabImpostosNacionais[],2,0)</f>
        <v>0.08</v>
      </c>
      <c r="W153" s="233">
        <f>VLOOKUP(tabParametros[[#Headers],[RAT Ajustado]],tabImpostosNacionais[],2,0)</f>
        <v>0.04</v>
      </c>
      <c r="X153" s="233">
        <f>VLOOKUP(tabParametros[[#Headers],[SEBRAE]],tabImpostosNacionais[],2,0)</f>
        <v>6.0000000000000001E-3</v>
      </c>
      <c r="Y153" s="233">
        <f t="shared" si="22"/>
        <v>8.3333333333333329E-2</v>
      </c>
      <c r="Z153" s="233">
        <f t="shared" si="23"/>
        <v>0.1111111111111111</v>
      </c>
      <c r="AA153" s="232">
        <f>VLOOKUP(tabParametros[[#This Row],[Comarca]],tabComarca[],5,0)</f>
        <v>6.4</v>
      </c>
      <c r="AB153" s="232">
        <f>VLOOKUP(tabParametros[[#This Row],[CCT DA CATEGORIA]],tabSindicatos[],6,0)</f>
        <v>29.15</v>
      </c>
      <c r="AC153" s="232">
        <f>VLOOKUP(tabParametros[[#This Row],[CCT DA CATEGORIA]],tabSindicatos[],7,0)</f>
        <v>0</v>
      </c>
      <c r="AD153" s="232" cm="1">
        <f t="array" ref="AD15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53" s="232">
        <f>VLOOKUP(tabParametros[[#This Row],[CCT DA CATEGORIA]],tabSindicatos[],9,0)</f>
        <v>0</v>
      </c>
      <c r="AF153" s="232">
        <f>VLOOKUP(tabParametros[[#This Row],[CCT DA CATEGORIA]],tabSindicatos[],10,0)</f>
        <v>0</v>
      </c>
      <c r="AG153" s="234">
        <f>VLOOKUP(tabParametros[[#Headers],[Seguro de Vida]],tabOutrosCustos[],3,0)</f>
        <v>3.36</v>
      </c>
      <c r="AH153" s="234">
        <f>IF(ISNUMBER(SEARCH("MOTORISTA",tabParametros[[#This Row],[Função]],1)),VLOOKUP("MOTORISTAS",tabDiarias[],2,0),IF(tabParametros[[#This Row],[Comarca]]="Belo Horizonte",VLOOKUP("APOIO",tabDiarias[],2,0),0))</f>
        <v>0</v>
      </c>
      <c r="AI153" s="233">
        <f t="shared" si="24"/>
        <v>7.011766975308642E-3</v>
      </c>
      <c r="AJ153" s="235">
        <f>tabParametros[[#This Row],[FGTS]]*tabParametros[[#This Row],[Aviso Prévio Indenizado (API) e Reflexo do Aviso Prévio Indenizado]]</f>
        <v>5.609413580246914E-4</v>
      </c>
      <c r="AK153" s="235">
        <f>tabParametros[[#This Row],[FGTS]]*tabParametros[[#This Row],[Aviso Prévio Indenizado (API) e Reflexo do Aviso Prévio Indenizado]]*40%</f>
        <v>2.2437654320987658E-4</v>
      </c>
      <c r="AL153" s="233">
        <f t="shared" si="25"/>
        <v>3.5000000000000005E-3</v>
      </c>
      <c r="AM153" s="233">
        <f>tabParametros[[#This Row],[Aviso Prévio Trabalhado - APT]]*SUM(tabParametros[[#This Row],[INSS]:[SEBRAE]])</f>
        <v>1.3230000000000004E-3</v>
      </c>
      <c r="AN153" s="233">
        <f t="shared" si="26"/>
        <v>3.0577777777777773E-2</v>
      </c>
      <c r="AO153" s="233">
        <f t="shared" si="27"/>
        <v>8.3333333333333339E-4</v>
      </c>
      <c r="AP153" s="233">
        <f t="shared" si="28"/>
        <v>8.4444444444444437E-3</v>
      </c>
      <c r="AQ153" s="233">
        <f t="shared" si="29"/>
        <v>2.0277777777777777E-3</v>
      </c>
      <c r="AR153" s="233">
        <f t="shared" si="30"/>
        <v>1.7083333333333333E-4</v>
      </c>
      <c r="AS153" s="233">
        <f t="shared" si="31"/>
        <v>2.0833333333333335E-4</v>
      </c>
      <c r="AT153" s="233">
        <f t="shared" si="32"/>
        <v>1.2962962962962963E-3</v>
      </c>
      <c r="AU153" s="235">
        <f>SUM(tabParametros[[#This Row],[Ausência por Doença]:[Férias, Adicional de Férias e 13º  com empregada em gozo de Licença Maternidade]])*SUM(tabParametros[[#This Row],[INSS]:[SEBRAE]])</f>
        <v>4.5918250000000008E-3</v>
      </c>
      <c r="AV153" s="254">
        <f>IF(tabParametros[[#This Row],[Função]]="Porteiro - 220 h",SUM(tabParametros[[#This Row],[Salário Base]:[Adicional de Acúmulo de função]])/220*20*1.5,IF(ISNUMBER(SEARCH("12 x 36",tabParametros[[#This Row],[Função]],1)),SUM(tabParametros[[#This Row],[Salário Base]:[Adicional de Acúmulo de função]])/210*15.5*1.5,0))</f>
        <v>0</v>
      </c>
      <c r="AW153" s="232">
        <f>IF(tabParametros[[#This Row],[Vagas contratadas]]&gt;0,(SUM(tabParametros[[#This Row],[Salário Base]:[Adicional de Acúmulo de função]])*30%+SUM(tabParametros[[#This Row],[Vale - Alimentação]:[Seguro de Vida]]))/tabParametros[[#This Row],[Vagas contratadas]]*tabParametros[[#This Row],[Vagas suspensas]],0)</f>
        <v>0</v>
      </c>
      <c r="AX153" s="232">
        <f>SUMIF(tabUniformes[Cargo],tabParametros[[#This Row],[Função]],tabUniformes[Valor unit. Mensal])</f>
        <v>56.642978962543395</v>
      </c>
      <c r="AY15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5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5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3" s="232">
        <v>0</v>
      </c>
      <c r="BC153" s="234" t="e">
        <f ca="1">VLOOKUP(tabParametros[[#Headers],[Custos Indiretos]],tabOutrosCustos[],3,0)</f>
        <v>#NAME?</v>
      </c>
      <c r="BD153" s="234" t="e">
        <f ca="1">VLOOKUP(tabParametros[[#Headers],[Lucro]],tabOutrosCustos[],3,0)</f>
        <v>#NAME?</v>
      </c>
      <c r="BE153" s="233">
        <f>VLOOKUP(tabParametros[[#Headers],[COFINS]],tabImpostosNacionais[],2,0)</f>
        <v>7.5999999999999998E-2</v>
      </c>
      <c r="BF153" s="233">
        <f>VLOOKUP(tabParametros[[#Headers],[PIS]],tabImpostosNacionais[],2,0)</f>
        <v>1.6500000000000001E-2</v>
      </c>
      <c r="BG153" s="233">
        <f>VLOOKUP(tabParametros[[#This Row],[Comarca]],tabComarca[],4,0)</f>
        <v>0.02</v>
      </c>
      <c r="BH153" s="236">
        <f>VLOOKUP(tabParametros[[#This Row],[CCT DA CATEGORIA]],tabSindicatos[],11,0)</f>
        <v>45658</v>
      </c>
      <c r="BI153" s="282" t="str">
        <f>VLOOKUP(tabParametros[[#This Row],[CCT DA CATEGORIA]],tabSindicatos[],12,0)</f>
        <v>-</v>
      </c>
      <c r="BJ153" s="285" t="str">
        <f>VLOOKUP(tabParametros[[#This Row],[CCT DA CATEGORIA]],tabSindicatos[],13,0)</f>
        <v>-</v>
      </c>
    </row>
    <row r="154" spans="1:62">
      <c r="A154" s="231" t="s">
        <v>1606</v>
      </c>
      <c r="B154" s="197" t="s">
        <v>1138</v>
      </c>
      <c r="C154" s="197" t="s">
        <v>319</v>
      </c>
      <c r="D154" s="197" t="str">
        <f>VLOOKUP(tabParametros[[#This Row],[Código do Posto]],tabPostos[],4,0)</f>
        <v>Regiao de Sao Lourenco</v>
      </c>
      <c r="E154" s="282" t="str">
        <f>VLOOKUP(tabParametros[[#This Row],[Código do Posto]],tabPostos[],5,0)</f>
        <v>Apoio</v>
      </c>
      <c r="F154" s="282" t="str">
        <f>VLOOKUP(tabParametros[[#This Row],[Código do Posto]],tabPostos[],6,0)</f>
        <v>PGJ</v>
      </c>
      <c r="G154" s="282">
        <f>VLOOKUP(tabParametros[[#This Row],[Código do Posto]],tabPostos[],7,0)</f>
        <v>1</v>
      </c>
      <c r="H154" s="282">
        <f>VLOOKUP(tabParametros[[#This Row],[Código do Posto]],tabPostos[],8,0)</f>
        <v>0</v>
      </c>
      <c r="I154" s="232">
        <f>VLOOKUP(tabParametros[[#This Row],[Código do Posto]],tabPostos[],9,0)</f>
        <v>2316.2253186627422</v>
      </c>
      <c r="J154" s="232">
        <f>IF(ISNUMBER(SEARCH("Eletricista",tabParametros[[#This Row],[Função]],1)),0.3*tabParametros[[#This Row],[Salário Base]],0)</f>
        <v>0</v>
      </c>
      <c r="K15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54" s="232">
        <f>IF(AND(ISNUMBER(SEARCH("Noturno",tabParametros[[#This Row],[Função]],1)),tabParametros[[#This Row],[Comarca]]&lt;&gt;"Juiz de Fora"),tabParametros[[#This Row],[Salário Base]]/210*0.39*7*15.5,IF(ISNUMBER(SEARCH("Noturno",tabParametros[[#This Row],[Função]],1)),tabParametros[[#This Row],[Salário Base]]/210*0.2*8*15.5,0))</f>
        <v>0</v>
      </c>
      <c r="M154" s="232">
        <f>IF(ISNUMBER(SEARCH("Motorista II",tabParametros[[#This Row],[Função]],1)),0.3022*tabParametros[[#This Row],[Salário Base]],0)</f>
        <v>0</v>
      </c>
      <c r="N154" s="254">
        <v>0</v>
      </c>
      <c r="O154" s="254">
        <f>IF(ISNUMBER(SEARCH("TECNOLOGIA DA INFORMACAO",tabParametros[[#This Row],[Função]],1)),0.056*tabParametros[[#This Row],[Salário Base]],0)</f>
        <v>0</v>
      </c>
      <c r="P154" s="232">
        <f>IF(tabParametros[[#This Row],[Função]]="Operador de Midia Audiovisual - 150 h",tabParametros[[#This Row],[Salário Base]]/150*50*30%,IF(tabParametros[[#This Row],[Função]]="Supervisor de Manutencao de Veiculos II - 220 h",12%*tabParametros[[#This Row],[Salário Base]],0))</f>
        <v>0</v>
      </c>
      <c r="Q154" s="233">
        <f>VLOOKUP(tabParametros[[#Headers],[INSS]],tabImpostosNacionais[],2,0)</f>
        <v>0.2</v>
      </c>
      <c r="R154" s="233">
        <f>VLOOKUP(tabParametros[[#Headers],[SESI OU SESC]],tabImpostosNacionais[],2,0)</f>
        <v>1.4999999999999999E-2</v>
      </c>
      <c r="S154" s="233">
        <f>VLOOKUP(tabParametros[[#Headers],[SENAI OU SENAC]],tabImpostosNacionais[],2,0)</f>
        <v>0.01</v>
      </c>
      <c r="T154" s="233">
        <f>VLOOKUP(tabParametros[[#Headers],[INCRA]],tabImpostosNacionais[],2,0)</f>
        <v>2E-3</v>
      </c>
      <c r="U154" s="233">
        <f>VLOOKUP(tabParametros[[#Headers],[Salário Educação]],tabImpostosNacionais[],2,0)</f>
        <v>2.5000000000000001E-2</v>
      </c>
      <c r="V154" s="233">
        <f>VLOOKUP(tabParametros[[#Headers],[FGTS]],tabImpostosNacionais[],2,0)</f>
        <v>0.08</v>
      </c>
      <c r="W154" s="233">
        <f>VLOOKUP(tabParametros[[#Headers],[RAT Ajustado]],tabImpostosNacionais[],2,0)</f>
        <v>0.04</v>
      </c>
      <c r="X154" s="233">
        <f>VLOOKUP(tabParametros[[#Headers],[SEBRAE]],tabImpostosNacionais[],2,0)</f>
        <v>6.0000000000000001E-3</v>
      </c>
      <c r="Y154" s="233">
        <f t="shared" si="22"/>
        <v>8.3333333333333329E-2</v>
      </c>
      <c r="Z154" s="233">
        <f t="shared" si="23"/>
        <v>0.1111111111111111</v>
      </c>
      <c r="AA154" s="232">
        <f>VLOOKUP(tabParametros[[#This Row],[Comarca]],tabComarca[],5,0)</f>
        <v>6.4</v>
      </c>
      <c r="AB154" s="232">
        <f>VLOOKUP(tabParametros[[#This Row],[CCT DA CATEGORIA]],tabSindicatos[],6,0)</f>
        <v>29.15</v>
      </c>
      <c r="AC154" s="232">
        <f>VLOOKUP(tabParametros[[#This Row],[CCT DA CATEGORIA]],tabSindicatos[],7,0)</f>
        <v>0</v>
      </c>
      <c r="AD154" s="232" cm="1">
        <f t="array" ref="AD15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54" s="232">
        <f>VLOOKUP(tabParametros[[#This Row],[CCT DA CATEGORIA]],tabSindicatos[],9,0)</f>
        <v>0</v>
      </c>
      <c r="AF154" s="232">
        <f>VLOOKUP(tabParametros[[#This Row],[CCT DA CATEGORIA]],tabSindicatos[],10,0)</f>
        <v>0</v>
      </c>
      <c r="AG154" s="234">
        <f>VLOOKUP(tabParametros[[#Headers],[Seguro de Vida]],tabOutrosCustos[],3,0)</f>
        <v>3.36</v>
      </c>
      <c r="AH154" s="234">
        <f>IF(ISNUMBER(SEARCH("MOTORISTA",tabParametros[[#This Row],[Função]],1)),VLOOKUP("MOTORISTAS",tabDiarias[],2,0),IF(tabParametros[[#This Row],[Comarca]]="Belo Horizonte",VLOOKUP("APOIO",tabDiarias[],2,0),0))</f>
        <v>0</v>
      </c>
      <c r="AI154" s="233">
        <f t="shared" si="24"/>
        <v>7.011766975308642E-3</v>
      </c>
      <c r="AJ154" s="235">
        <f>tabParametros[[#This Row],[FGTS]]*tabParametros[[#This Row],[Aviso Prévio Indenizado (API) e Reflexo do Aviso Prévio Indenizado]]</f>
        <v>5.609413580246914E-4</v>
      </c>
      <c r="AK154" s="235">
        <f>tabParametros[[#This Row],[FGTS]]*tabParametros[[#This Row],[Aviso Prévio Indenizado (API) e Reflexo do Aviso Prévio Indenizado]]*40%</f>
        <v>2.2437654320987658E-4</v>
      </c>
      <c r="AL154" s="233">
        <f t="shared" si="25"/>
        <v>3.5000000000000005E-3</v>
      </c>
      <c r="AM154" s="233">
        <f>tabParametros[[#This Row],[Aviso Prévio Trabalhado - APT]]*SUM(tabParametros[[#This Row],[INSS]:[SEBRAE]])</f>
        <v>1.3230000000000004E-3</v>
      </c>
      <c r="AN154" s="233">
        <f t="shared" si="26"/>
        <v>3.0577777777777773E-2</v>
      </c>
      <c r="AO154" s="233">
        <f t="shared" si="27"/>
        <v>8.3333333333333339E-4</v>
      </c>
      <c r="AP154" s="233">
        <f t="shared" si="28"/>
        <v>8.4444444444444437E-3</v>
      </c>
      <c r="AQ154" s="233">
        <f t="shared" si="29"/>
        <v>2.0277777777777777E-3</v>
      </c>
      <c r="AR154" s="233">
        <f t="shared" si="30"/>
        <v>1.7083333333333333E-4</v>
      </c>
      <c r="AS154" s="233">
        <f t="shared" si="31"/>
        <v>2.0833333333333335E-4</v>
      </c>
      <c r="AT154" s="233">
        <f t="shared" si="32"/>
        <v>1.2962962962962963E-3</v>
      </c>
      <c r="AU154" s="235">
        <f>SUM(tabParametros[[#This Row],[Ausência por Doença]:[Férias, Adicional de Férias e 13º  com empregada em gozo de Licença Maternidade]])*SUM(tabParametros[[#This Row],[INSS]:[SEBRAE]])</f>
        <v>4.5918250000000008E-3</v>
      </c>
      <c r="AV154" s="254">
        <f>IF(tabParametros[[#This Row],[Função]]="Porteiro - 220 h",SUM(tabParametros[[#This Row],[Salário Base]:[Adicional de Acúmulo de função]])/220*20*1.5,IF(ISNUMBER(SEARCH("12 x 36",tabParametros[[#This Row],[Função]],1)),SUM(tabParametros[[#This Row],[Salário Base]:[Adicional de Acúmulo de função]])/210*15.5*1.5,0))</f>
        <v>0</v>
      </c>
      <c r="AW154" s="232">
        <f>IF(tabParametros[[#This Row],[Vagas contratadas]]&gt;0,(SUM(tabParametros[[#This Row],[Salário Base]:[Adicional de Acúmulo de função]])*30%+SUM(tabParametros[[#This Row],[Vale - Alimentação]:[Seguro de Vida]]))/tabParametros[[#This Row],[Vagas contratadas]]*tabParametros[[#This Row],[Vagas suspensas]],0)</f>
        <v>0</v>
      </c>
      <c r="AX154" s="232">
        <f>SUMIF(tabUniformes[Cargo],tabParametros[[#This Row],[Função]],tabUniformes[Valor unit. Mensal])</f>
        <v>56.642978962543395</v>
      </c>
      <c r="AY15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5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5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4" s="232">
        <v>0</v>
      </c>
      <c r="BC154" s="234" t="e">
        <f ca="1">VLOOKUP(tabParametros[[#Headers],[Custos Indiretos]],tabOutrosCustos[],3,0)</f>
        <v>#NAME?</v>
      </c>
      <c r="BD154" s="234" t="e">
        <f ca="1">VLOOKUP(tabParametros[[#Headers],[Lucro]],tabOutrosCustos[],3,0)</f>
        <v>#NAME?</v>
      </c>
      <c r="BE154" s="233">
        <f>VLOOKUP(tabParametros[[#Headers],[COFINS]],tabImpostosNacionais[],2,0)</f>
        <v>7.5999999999999998E-2</v>
      </c>
      <c r="BF154" s="233">
        <f>VLOOKUP(tabParametros[[#Headers],[PIS]],tabImpostosNacionais[],2,0)</f>
        <v>1.6500000000000001E-2</v>
      </c>
      <c r="BG154" s="233">
        <f>VLOOKUP(tabParametros[[#This Row],[Comarca]],tabComarca[],4,0)</f>
        <v>0.02</v>
      </c>
      <c r="BH154" s="236">
        <f>VLOOKUP(tabParametros[[#This Row],[CCT DA CATEGORIA]],tabSindicatos[],11,0)</f>
        <v>45658</v>
      </c>
      <c r="BI154" s="282" t="str">
        <f>VLOOKUP(tabParametros[[#This Row],[CCT DA CATEGORIA]],tabSindicatos[],12,0)</f>
        <v>-</v>
      </c>
      <c r="BJ154" s="285" t="str">
        <f>VLOOKUP(tabParametros[[#This Row],[CCT DA CATEGORIA]],tabSindicatos[],13,0)</f>
        <v>-</v>
      </c>
    </row>
    <row r="155" spans="1:62">
      <c r="A155" s="231" t="s">
        <v>1607</v>
      </c>
      <c r="B155" s="197" t="s">
        <v>1139</v>
      </c>
      <c r="C155" s="197" t="s">
        <v>314</v>
      </c>
      <c r="D155" s="197" t="str">
        <f>VLOOKUP(tabParametros[[#This Row],[Código do Posto]],tabPostos[],4,0)</f>
        <v>Sethac Norte de Minas</v>
      </c>
      <c r="E155" s="282" t="str">
        <f>VLOOKUP(tabParametros[[#This Row],[Código do Posto]],tabPostos[],5,0)</f>
        <v>Apoio</v>
      </c>
      <c r="F155" s="282" t="str">
        <f>VLOOKUP(tabParametros[[#This Row],[Código do Posto]],tabPostos[],6,0)</f>
        <v>PGJ</v>
      </c>
      <c r="G155" s="282">
        <f>VLOOKUP(tabParametros[[#This Row],[Código do Posto]],tabPostos[],7,0)</f>
        <v>1</v>
      </c>
      <c r="H155" s="282">
        <f>VLOOKUP(tabParametros[[#This Row],[Código do Posto]],tabPostos[],8,0)</f>
        <v>0</v>
      </c>
      <c r="I155" s="232">
        <f>VLOOKUP(tabParametros[[#This Row],[Código do Posto]],tabPostos[],9,0)</f>
        <v>1963.4110092077037</v>
      </c>
      <c r="J155" s="232">
        <f>IF(ISNUMBER(SEARCH("Eletricista",tabParametros[[#This Row],[Função]],1)),0.3*tabParametros[[#This Row],[Salário Base]],0)</f>
        <v>0</v>
      </c>
      <c r="K15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55" s="232">
        <f>IF(AND(ISNUMBER(SEARCH("Noturno",tabParametros[[#This Row],[Função]],1)),tabParametros[[#This Row],[Comarca]]&lt;&gt;"Juiz de Fora"),tabParametros[[#This Row],[Salário Base]]/210*0.39*7*15.5,IF(ISNUMBER(SEARCH("Noturno",tabParametros[[#This Row],[Função]],1)),tabParametros[[#This Row],[Salário Base]]/210*0.2*8*15.5,0))</f>
        <v>0</v>
      </c>
      <c r="M155" s="232">
        <f>IF(ISNUMBER(SEARCH("Motorista II",tabParametros[[#This Row],[Função]],1)),0.3022*tabParametros[[#This Row],[Salário Base]],0)</f>
        <v>0</v>
      </c>
      <c r="N155" s="254">
        <v>0</v>
      </c>
      <c r="O155" s="254">
        <f>IF(ISNUMBER(SEARCH("TECNOLOGIA DA INFORMACAO",tabParametros[[#This Row],[Função]],1)),0.056*tabParametros[[#This Row],[Salário Base]],0)</f>
        <v>0</v>
      </c>
      <c r="P155" s="232">
        <f>IF(tabParametros[[#This Row],[Função]]="Operador de Midia Audiovisual - 150 h",tabParametros[[#This Row],[Salário Base]]/150*50*30%,IF(tabParametros[[#This Row],[Função]]="Supervisor de Manutencao de Veiculos II - 220 h",12%*tabParametros[[#This Row],[Salário Base]],0))</f>
        <v>0</v>
      </c>
      <c r="Q155" s="233">
        <f>VLOOKUP(tabParametros[[#Headers],[INSS]],tabImpostosNacionais[],2,0)</f>
        <v>0.2</v>
      </c>
      <c r="R155" s="233">
        <f>VLOOKUP(tabParametros[[#Headers],[SESI OU SESC]],tabImpostosNacionais[],2,0)</f>
        <v>1.4999999999999999E-2</v>
      </c>
      <c r="S155" s="233">
        <f>VLOOKUP(tabParametros[[#Headers],[SENAI OU SENAC]],tabImpostosNacionais[],2,0)</f>
        <v>0.01</v>
      </c>
      <c r="T155" s="233">
        <f>VLOOKUP(tabParametros[[#Headers],[INCRA]],tabImpostosNacionais[],2,0)</f>
        <v>2E-3</v>
      </c>
      <c r="U155" s="233">
        <f>VLOOKUP(tabParametros[[#Headers],[Salário Educação]],tabImpostosNacionais[],2,0)</f>
        <v>2.5000000000000001E-2</v>
      </c>
      <c r="V155" s="233">
        <f>VLOOKUP(tabParametros[[#Headers],[FGTS]],tabImpostosNacionais[],2,0)</f>
        <v>0.08</v>
      </c>
      <c r="W155" s="233">
        <f>VLOOKUP(tabParametros[[#Headers],[RAT Ajustado]],tabImpostosNacionais[],2,0)</f>
        <v>0.04</v>
      </c>
      <c r="X155" s="233">
        <f>VLOOKUP(tabParametros[[#Headers],[SEBRAE]],tabImpostosNacionais[],2,0)</f>
        <v>6.0000000000000001E-3</v>
      </c>
      <c r="Y155" s="233">
        <f t="shared" si="22"/>
        <v>8.3333333333333329E-2</v>
      </c>
      <c r="Z155" s="233">
        <f t="shared" si="23"/>
        <v>0.1111111111111111</v>
      </c>
      <c r="AA155" s="232">
        <f>VLOOKUP(tabParametros[[#This Row],[Comarca]],tabComarca[],5,0)</f>
        <v>6.4</v>
      </c>
      <c r="AB155" s="232">
        <f>VLOOKUP(tabParametros[[#This Row],[CCT DA CATEGORIA]],tabSindicatos[],6,0)</f>
        <v>29.15</v>
      </c>
      <c r="AC155" s="232">
        <f>VLOOKUP(tabParametros[[#This Row],[CCT DA CATEGORIA]],tabSindicatos[],7,0)</f>
        <v>0</v>
      </c>
      <c r="AD155" s="232" cm="1">
        <f t="array" ref="AD15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55" s="232">
        <f>VLOOKUP(tabParametros[[#This Row],[CCT DA CATEGORIA]],tabSindicatos[],9,0)</f>
        <v>0</v>
      </c>
      <c r="AF155" s="232">
        <f>VLOOKUP(tabParametros[[#This Row],[CCT DA CATEGORIA]],tabSindicatos[],10,0)</f>
        <v>0</v>
      </c>
      <c r="AG155" s="234">
        <f>VLOOKUP(tabParametros[[#Headers],[Seguro de Vida]],tabOutrosCustos[],3,0)</f>
        <v>3.36</v>
      </c>
      <c r="AH155" s="234">
        <f>IF(ISNUMBER(SEARCH("MOTORISTA",tabParametros[[#This Row],[Função]],1)),VLOOKUP("MOTORISTAS",tabDiarias[],2,0),IF(tabParametros[[#This Row],[Comarca]]="Belo Horizonte",VLOOKUP("APOIO",tabDiarias[],2,0),0))</f>
        <v>0</v>
      </c>
      <c r="AI155" s="233">
        <f t="shared" si="24"/>
        <v>7.011766975308642E-3</v>
      </c>
      <c r="AJ155" s="235">
        <f>tabParametros[[#This Row],[FGTS]]*tabParametros[[#This Row],[Aviso Prévio Indenizado (API) e Reflexo do Aviso Prévio Indenizado]]</f>
        <v>5.609413580246914E-4</v>
      </c>
      <c r="AK155" s="235">
        <f>tabParametros[[#This Row],[FGTS]]*tabParametros[[#This Row],[Aviso Prévio Indenizado (API) e Reflexo do Aviso Prévio Indenizado]]*40%</f>
        <v>2.2437654320987658E-4</v>
      </c>
      <c r="AL155" s="233">
        <f t="shared" si="25"/>
        <v>3.5000000000000005E-3</v>
      </c>
      <c r="AM155" s="233">
        <f>tabParametros[[#This Row],[Aviso Prévio Trabalhado - APT]]*SUM(tabParametros[[#This Row],[INSS]:[SEBRAE]])</f>
        <v>1.3230000000000004E-3</v>
      </c>
      <c r="AN155" s="233">
        <f t="shared" si="26"/>
        <v>3.0577777777777773E-2</v>
      </c>
      <c r="AO155" s="233">
        <f t="shared" si="27"/>
        <v>8.3333333333333339E-4</v>
      </c>
      <c r="AP155" s="233">
        <f t="shared" si="28"/>
        <v>8.4444444444444437E-3</v>
      </c>
      <c r="AQ155" s="233">
        <f t="shared" si="29"/>
        <v>2.0277777777777777E-3</v>
      </c>
      <c r="AR155" s="233">
        <f t="shared" si="30"/>
        <v>1.7083333333333333E-4</v>
      </c>
      <c r="AS155" s="233">
        <f t="shared" si="31"/>
        <v>2.0833333333333335E-4</v>
      </c>
      <c r="AT155" s="233">
        <f t="shared" si="32"/>
        <v>1.2962962962962963E-3</v>
      </c>
      <c r="AU155" s="235">
        <f>SUM(tabParametros[[#This Row],[Ausência por Doença]:[Férias, Adicional de Férias e 13º  com empregada em gozo de Licença Maternidade]])*SUM(tabParametros[[#This Row],[INSS]:[SEBRAE]])</f>
        <v>4.5918250000000008E-3</v>
      </c>
      <c r="AV155"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55" s="232">
        <f>IF(tabParametros[[#This Row],[Vagas contratadas]]&gt;0,(SUM(tabParametros[[#This Row],[Salário Base]:[Adicional de Acúmulo de função]])*30%+SUM(tabParametros[[#This Row],[Vale - Alimentação]:[Seguro de Vida]]))/tabParametros[[#This Row],[Vagas contratadas]]*tabParametros[[#This Row],[Vagas suspensas]],0)</f>
        <v>0</v>
      </c>
      <c r="AX155" s="232">
        <f>SUMIF(tabUniformes[Cargo],tabParametros[[#This Row],[Função]],tabUniformes[Valor unit. Mensal])</f>
        <v>56.642978962543395</v>
      </c>
      <c r="AY15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5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5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5" s="232">
        <v>0</v>
      </c>
      <c r="BC155" s="234" t="e">
        <f ca="1">VLOOKUP(tabParametros[[#Headers],[Custos Indiretos]],tabOutrosCustos[],3,0)</f>
        <v>#NAME?</v>
      </c>
      <c r="BD155" s="234" t="e">
        <f ca="1">VLOOKUP(tabParametros[[#Headers],[Lucro]],tabOutrosCustos[],3,0)</f>
        <v>#NAME?</v>
      </c>
      <c r="BE155" s="233">
        <f>VLOOKUP(tabParametros[[#Headers],[COFINS]],tabImpostosNacionais[],2,0)</f>
        <v>7.5999999999999998E-2</v>
      </c>
      <c r="BF155" s="233">
        <f>VLOOKUP(tabParametros[[#Headers],[PIS]],tabImpostosNacionais[],2,0)</f>
        <v>1.6500000000000001E-2</v>
      </c>
      <c r="BG155" s="233">
        <f>VLOOKUP(tabParametros[[#This Row],[Comarca]],tabComarca[],4,0)</f>
        <v>0.04</v>
      </c>
      <c r="BH155" s="236">
        <f>VLOOKUP(tabParametros[[#This Row],[CCT DA CATEGORIA]],tabSindicatos[],11,0)</f>
        <v>45658</v>
      </c>
      <c r="BI155" s="282" t="str">
        <f>VLOOKUP(tabParametros[[#This Row],[CCT DA CATEGORIA]],tabSindicatos[],12,0)</f>
        <v>-</v>
      </c>
      <c r="BJ155" s="285" t="str">
        <f>VLOOKUP(tabParametros[[#This Row],[CCT DA CATEGORIA]],tabSindicatos[],13,0)</f>
        <v>-</v>
      </c>
    </row>
    <row r="156" spans="1:62">
      <c r="A156" s="231" t="s">
        <v>1608</v>
      </c>
      <c r="B156" s="197" t="s">
        <v>1140</v>
      </c>
      <c r="C156" s="197" t="s">
        <v>314</v>
      </c>
      <c r="D156" s="197" t="str">
        <f>VLOOKUP(tabParametros[[#This Row],[Código do Posto]],tabPostos[],4,0)</f>
        <v>Regiao Uberaba</v>
      </c>
      <c r="E156" s="282" t="str">
        <f>VLOOKUP(tabParametros[[#This Row],[Código do Posto]],tabPostos[],5,0)</f>
        <v>Apoio</v>
      </c>
      <c r="F156" s="282" t="str">
        <f>VLOOKUP(tabParametros[[#This Row],[Código do Posto]],tabPostos[],6,0)</f>
        <v>PGJ</v>
      </c>
      <c r="G156" s="282">
        <f>VLOOKUP(tabParametros[[#This Row],[Código do Posto]],tabPostos[],7,0)</f>
        <v>1</v>
      </c>
      <c r="H156" s="282">
        <f>VLOOKUP(tabParametros[[#This Row],[Código do Posto]],tabPostos[],8,0)</f>
        <v>0</v>
      </c>
      <c r="I156" s="232">
        <f>VLOOKUP(tabParametros[[#This Row],[Código do Posto]],tabPostos[],9,0)</f>
        <v>2134.8041615332936</v>
      </c>
      <c r="J156" s="232">
        <f>IF(ISNUMBER(SEARCH("Eletricista",tabParametros[[#This Row],[Função]],1)),0.3*tabParametros[[#This Row],[Salário Base]],0)</f>
        <v>0</v>
      </c>
      <c r="K15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56" s="232">
        <f>IF(AND(ISNUMBER(SEARCH("Noturno",tabParametros[[#This Row],[Função]],1)),tabParametros[[#This Row],[Comarca]]&lt;&gt;"Juiz de Fora"),tabParametros[[#This Row],[Salário Base]]/210*0.39*7*15.5,IF(ISNUMBER(SEARCH("Noturno",tabParametros[[#This Row],[Função]],1)),tabParametros[[#This Row],[Salário Base]]/210*0.2*8*15.5,0))</f>
        <v>0</v>
      </c>
      <c r="M156" s="232">
        <f>IF(ISNUMBER(SEARCH("Motorista II",tabParametros[[#This Row],[Função]],1)),0.3022*tabParametros[[#This Row],[Salário Base]],0)</f>
        <v>0</v>
      </c>
      <c r="N156" s="254">
        <v>0</v>
      </c>
      <c r="O156" s="254">
        <f>IF(ISNUMBER(SEARCH("TECNOLOGIA DA INFORMACAO",tabParametros[[#This Row],[Função]],1)),0.056*tabParametros[[#This Row],[Salário Base]],0)</f>
        <v>0</v>
      </c>
      <c r="P156" s="232">
        <f>IF(tabParametros[[#This Row],[Função]]="Operador de Midia Audiovisual - 150 h",tabParametros[[#This Row],[Salário Base]]/150*50*30%,IF(tabParametros[[#This Row],[Função]]="Supervisor de Manutencao de Veiculos II - 220 h",12%*tabParametros[[#This Row],[Salário Base]],0))</f>
        <v>0</v>
      </c>
      <c r="Q156" s="233">
        <f>VLOOKUP(tabParametros[[#Headers],[INSS]],tabImpostosNacionais[],2,0)</f>
        <v>0.2</v>
      </c>
      <c r="R156" s="233">
        <f>VLOOKUP(tabParametros[[#Headers],[SESI OU SESC]],tabImpostosNacionais[],2,0)</f>
        <v>1.4999999999999999E-2</v>
      </c>
      <c r="S156" s="233">
        <f>VLOOKUP(tabParametros[[#Headers],[SENAI OU SENAC]],tabImpostosNacionais[],2,0)</f>
        <v>0.01</v>
      </c>
      <c r="T156" s="233">
        <f>VLOOKUP(tabParametros[[#Headers],[INCRA]],tabImpostosNacionais[],2,0)</f>
        <v>2E-3</v>
      </c>
      <c r="U156" s="233">
        <f>VLOOKUP(tabParametros[[#Headers],[Salário Educação]],tabImpostosNacionais[],2,0)</f>
        <v>2.5000000000000001E-2</v>
      </c>
      <c r="V156" s="233">
        <f>VLOOKUP(tabParametros[[#Headers],[FGTS]],tabImpostosNacionais[],2,0)</f>
        <v>0.08</v>
      </c>
      <c r="W156" s="233">
        <f>VLOOKUP(tabParametros[[#Headers],[RAT Ajustado]],tabImpostosNacionais[],2,0)</f>
        <v>0.04</v>
      </c>
      <c r="X156" s="233">
        <f>VLOOKUP(tabParametros[[#Headers],[SEBRAE]],tabImpostosNacionais[],2,0)</f>
        <v>6.0000000000000001E-3</v>
      </c>
      <c r="Y156" s="233">
        <f t="shared" si="22"/>
        <v>8.3333333333333329E-2</v>
      </c>
      <c r="Z156" s="233">
        <f t="shared" si="23"/>
        <v>0.1111111111111111</v>
      </c>
      <c r="AA156" s="232">
        <f>VLOOKUP(tabParametros[[#This Row],[Comarca]],tabComarca[],5,0)</f>
        <v>6.4</v>
      </c>
      <c r="AB156" s="232">
        <f>VLOOKUP(tabParametros[[#This Row],[CCT DA CATEGORIA]],tabSindicatos[],6,0)</f>
        <v>29.15</v>
      </c>
      <c r="AC156" s="232">
        <f>VLOOKUP(tabParametros[[#This Row],[CCT DA CATEGORIA]],tabSindicatos[],7,0)</f>
        <v>0</v>
      </c>
      <c r="AD156" s="232" cm="1">
        <f t="array" ref="AD15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56" s="232">
        <f>VLOOKUP(tabParametros[[#This Row],[CCT DA CATEGORIA]],tabSindicatos[],9,0)</f>
        <v>0</v>
      </c>
      <c r="AF156" s="232">
        <f>VLOOKUP(tabParametros[[#This Row],[CCT DA CATEGORIA]],tabSindicatos[],10,0)</f>
        <v>0</v>
      </c>
      <c r="AG156" s="234">
        <f>VLOOKUP(tabParametros[[#Headers],[Seguro de Vida]],tabOutrosCustos[],3,0)</f>
        <v>3.36</v>
      </c>
      <c r="AH156" s="234">
        <f>IF(ISNUMBER(SEARCH("MOTORISTA",tabParametros[[#This Row],[Função]],1)),VLOOKUP("MOTORISTAS",tabDiarias[],2,0),IF(tabParametros[[#This Row],[Comarca]]="Belo Horizonte",VLOOKUP("APOIO",tabDiarias[],2,0),0))</f>
        <v>0</v>
      </c>
      <c r="AI156" s="233">
        <f t="shared" si="24"/>
        <v>7.011766975308642E-3</v>
      </c>
      <c r="AJ156" s="235">
        <f>tabParametros[[#This Row],[FGTS]]*tabParametros[[#This Row],[Aviso Prévio Indenizado (API) e Reflexo do Aviso Prévio Indenizado]]</f>
        <v>5.609413580246914E-4</v>
      </c>
      <c r="AK156" s="235">
        <f>tabParametros[[#This Row],[FGTS]]*tabParametros[[#This Row],[Aviso Prévio Indenizado (API) e Reflexo do Aviso Prévio Indenizado]]*40%</f>
        <v>2.2437654320987658E-4</v>
      </c>
      <c r="AL156" s="233">
        <f t="shared" si="25"/>
        <v>3.5000000000000005E-3</v>
      </c>
      <c r="AM156" s="233">
        <f>tabParametros[[#This Row],[Aviso Prévio Trabalhado - APT]]*SUM(tabParametros[[#This Row],[INSS]:[SEBRAE]])</f>
        <v>1.3230000000000004E-3</v>
      </c>
      <c r="AN156" s="233">
        <f t="shared" si="26"/>
        <v>3.0577777777777773E-2</v>
      </c>
      <c r="AO156" s="233">
        <f t="shared" si="27"/>
        <v>8.3333333333333339E-4</v>
      </c>
      <c r="AP156" s="233">
        <f t="shared" si="28"/>
        <v>8.4444444444444437E-3</v>
      </c>
      <c r="AQ156" s="233">
        <f t="shared" si="29"/>
        <v>2.0277777777777777E-3</v>
      </c>
      <c r="AR156" s="233">
        <f t="shared" si="30"/>
        <v>1.7083333333333333E-4</v>
      </c>
      <c r="AS156" s="233">
        <f t="shared" si="31"/>
        <v>2.0833333333333335E-4</v>
      </c>
      <c r="AT156" s="233">
        <f t="shared" si="32"/>
        <v>1.2962962962962963E-3</v>
      </c>
      <c r="AU156" s="235">
        <f>SUM(tabParametros[[#This Row],[Ausência por Doença]:[Férias, Adicional de Férias e 13º  com empregada em gozo de Licença Maternidade]])*SUM(tabParametros[[#This Row],[INSS]:[SEBRAE]])</f>
        <v>4.5918250000000008E-3</v>
      </c>
      <c r="AV156" s="254">
        <f>IF(tabParametros[[#This Row],[Função]]="Porteiro - 220 h",SUM(tabParametros[[#This Row],[Salário Base]:[Adicional de Acúmulo de função]])/220*20*1.5,IF(ISNUMBER(SEARCH("12 x 36",tabParametros[[#This Row],[Função]],1)),SUM(tabParametros[[#This Row],[Salário Base]:[Adicional de Acúmulo de função]])/210*15.5*1.5,0))</f>
        <v>291.10965839090369</v>
      </c>
      <c r="AW156" s="232">
        <f>IF(tabParametros[[#This Row],[Vagas contratadas]]&gt;0,(SUM(tabParametros[[#This Row],[Salário Base]:[Adicional de Acúmulo de função]])*30%+SUM(tabParametros[[#This Row],[Vale - Alimentação]:[Seguro de Vida]]))/tabParametros[[#This Row],[Vagas contratadas]]*tabParametros[[#This Row],[Vagas suspensas]],0)</f>
        <v>0</v>
      </c>
      <c r="AX156" s="232">
        <f>SUMIF(tabUniformes[Cargo],tabParametros[[#This Row],[Função]],tabUniformes[Valor unit. Mensal])</f>
        <v>56.642978962543395</v>
      </c>
      <c r="AY15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5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5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6" s="232">
        <v>0</v>
      </c>
      <c r="BC156" s="234" t="e">
        <f ca="1">VLOOKUP(tabParametros[[#Headers],[Custos Indiretos]],tabOutrosCustos[],3,0)</f>
        <v>#NAME?</v>
      </c>
      <c r="BD156" s="234" t="e">
        <f ca="1">VLOOKUP(tabParametros[[#Headers],[Lucro]],tabOutrosCustos[],3,0)</f>
        <v>#NAME?</v>
      </c>
      <c r="BE156" s="233">
        <f>VLOOKUP(tabParametros[[#Headers],[COFINS]],tabImpostosNacionais[],2,0)</f>
        <v>7.5999999999999998E-2</v>
      </c>
      <c r="BF156" s="233">
        <f>VLOOKUP(tabParametros[[#Headers],[PIS]],tabImpostosNacionais[],2,0)</f>
        <v>1.6500000000000001E-2</v>
      </c>
      <c r="BG156" s="233">
        <f>VLOOKUP(tabParametros[[#This Row],[Comarca]],tabComarca[],4,0)</f>
        <v>0.02</v>
      </c>
      <c r="BH156" s="236">
        <f>VLOOKUP(tabParametros[[#This Row],[CCT DA CATEGORIA]],tabSindicatos[],11,0)</f>
        <v>45658</v>
      </c>
      <c r="BI156" s="282" t="str">
        <f>VLOOKUP(tabParametros[[#This Row],[CCT DA CATEGORIA]],tabSindicatos[],12,0)</f>
        <v>-</v>
      </c>
      <c r="BJ156" s="285" t="str">
        <f>VLOOKUP(tabParametros[[#This Row],[CCT DA CATEGORIA]],tabSindicatos[],13,0)</f>
        <v>-</v>
      </c>
    </row>
    <row r="157" spans="1:62">
      <c r="A157" s="231" t="s">
        <v>1474</v>
      </c>
      <c r="B157" s="197" t="s">
        <v>1141</v>
      </c>
      <c r="C157" s="197" t="s">
        <v>1367</v>
      </c>
      <c r="D157" s="197" t="str">
        <f>VLOOKUP(tabParametros[[#This Row],[Código do Posto]],tabPostos[],4,0)</f>
        <v>Gov. Valadares</v>
      </c>
      <c r="E157" s="282" t="str">
        <f>VLOOKUP(tabParametros[[#This Row],[Código do Posto]],tabPostos[],5,0)</f>
        <v>Apoio</v>
      </c>
      <c r="F157" s="282" t="str">
        <f>VLOOKUP(tabParametros[[#This Row],[Código do Posto]],tabPostos[],6,0)</f>
        <v>PGJ</v>
      </c>
      <c r="G157" s="282">
        <f>VLOOKUP(tabParametros[[#This Row],[Código do Posto]],tabPostos[],7,0)</f>
        <v>1</v>
      </c>
      <c r="H157" s="282">
        <f>VLOOKUP(tabParametros[[#This Row],[Código do Posto]],tabPostos[],8,0)</f>
        <v>0</v>
      </c>
      <c r="I157" s="232">
        <f>VLOOKUP(tabParametros[[#This Row],[Código do Posto]],tabPostos[],9,0)</f>
        <v>2233.5527159175258</v>
      </c>
      <c r="J157" s="232">
        <f>IF(ISNUMBER(SEARCH("Eletricista",tabParametros[[#This Row],[Função]],1)),0.3*tabParametros[[#This Row],[Salário Base]],0)</f>
        <v>0</v>
      </c>
      <c r="K15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57" s="232">
        <f>IF(AND(ISNUMBER(SEARCH("Noturno",tabParametros[[#This Row],[Função]],1)),tabParametros[[#This Row],[Comarca]]&lt;&gt;"Juiz de Fora"),tabParametros[[#This Row],[Salário Base]]/210*0.39*7*15.5,IF(ISNUMBER(SEARCH("Noturno",tabParametros[[#This Row],[Função]],1)),tabParametros[[#This Row],[Salário Base]]/210*0.2*8*15.5,0))</f>
        <v>0</v>
      </c>
      <c r="M157" s="232">
        <f>IF(ISNUMBER(SEARCH("Motorista II",tabParametros[[#This Row],[Função]],1)),0.3022*tabParametros[[#This Row],[Salário Base]],0)</f>
        <v>0</v>
      </c>
      <c r="N157" s="254">
        <v>0</v>
      </c>
      <c r="O157" s="254">
        <f>IF(ISNUMBER(SEARCH("TECNOLOGIA DA INFORMACAO",tabParametros[[#This Row],[Função]],1)),0.056*tabParametros[[#This Row],[Salário Base]],0)</f>
        <v>0</v>
      </c>
      <c r="P157" s="232">
        <f>IF(tabParametros[[#This Row],[Função]]="Operador de Midia Audiovisual - 150 h",tabParametros[[#This Row],[Salário Base]]/150*50*30%,IF(tabParametros[[#This Row],[Função]]="Supervisor de Manutencao de Veiculos II - 220 h",12%*tabParametros[[#This Row],[Salário Base]],0))</f>
        <v>0</v>
      </c>
      <c r="Q157" s="233">
        <f>VLOOKUP(tabParametros[[#Headers],[INSS]],tabImpostosNacionais[],2,0)</f>
        <v>0.2</v>
      </c>
      <c r="R157" s="233">
        <f>VLOOKUP(tabParametros[[#Headers],[SESI OU SESC]],tabImpostosNacionais[],2,0)</f>
        <v>1.4999999999999999E-2</v>
      </c>
      <c r="S157" s="233">
        <f>VLOOKUP(tabParametros[[#Headers],[SENAI OU SENAC]],tabImpostosNacionais[],2,0)</f>
        <v>0.01</v>
      </c>
      <c r="T157" s="233">
        <f>VLOOKUP(tabParametros[[#Headers],[INCRA]],tabImpostosNacionais[],2,0)</f>
        <v>2E-3</v>
      </c>
      <c r="U157" s="233">
        <f>VLOOKUP(tabParametros[[#Headers],[Salário Educação]],tabImpostosNacionais[],2,0)</f>
        <v>2.5000000000000001E-2</v>
      </c>
      <c r="V157" s="233">
        <f>VLOOKUP(tabParametros[[#Headers],[FGTS]],tabImpostosNacionais[],2,0)</f>
        <v>0.08</v>
      </c>
      <c r="W157" s="233">
        <f>VLOOKUP(tabParametros[[#Headers],[RAT Ajustado]],tabImpostosNacionais[],2,0)</f>
        <v>0.04</v>
      </c>
      <c r="X157" s="233">
        <f>VLOOKUP(tabParametros[[#Headers],[SEBRAE]],tabImpostosNacionais[],2,0)</f>
        <v>6.0000000000000001E-3</v>
      </c>
      <c r="Y157" s="233">
        <f t="shared" si="22"/>
        <v>8.3333333333333329E-2</v>
      </c>
      <c r="Z157" s="233">
        <f t="shared" si="23"/>
        <v>0.1111111111111111</v>
      </c>
      <c r="AA157" s="232">
        <f>VLOOKUP(tabParametros[[#This Row],[Comarca]],tabComarca[],5,0)</f>
        <v>6.4</v>
      </c>
      <c r="AB157" s="232">
        <f>VLOOKUP(tabParametros[[#This Row],[CCT DA CATEGORIA]],tabSindicatos[],6,0)</f>
        <v>29.15</v>
      </c>
      <c r="AC157" s="232">
        <f>VLOOKUP(tabParametros[[#This Row],[CCT DA CATEGORIA]],tabSindicatos[],7,0)</f>
        <v>0</v>
      </c>
      <c r="AD157" s="232" cm="1">
        <f t="array" ref="AD15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57" s="232">
        <f>VLOOKUP(tabParametros[[#This Row],[CCT DA CATEGORIA]],tabSindicatos[],9,0)</f>
        <v>0</v>
      </c>
      <c r="AF157" s="232">
        <f>VLOOKUP(tabParametros[[#This Row],[CCT DA CATEGORIA]],tabSindicatos[],10,0)</f>
        <v>0</v>
      </c>
      <c r="AG157" s="234">
        <f>VLOOKUP(tabParametros[[#Headers],[Seguro de Vida]],tabOutrosCustos[],3,0)</f>
        <v>3.36</v>
      </c>
      <c r="AH157" s="234">
        <f>IF(ISNUMBER(SEARCH("MOTORISTA",tabParametros[[#This Row],[Função]],1)),VLOOKUP("MOTORISTAS",tabDiarias[],2,0),IF(tabParametros[[#This Row],[Comarca]]="Belo Horizonte",VLOOKUP("APOIO",tabDiarias[],2,0),0))</f>
        <v>0</v>
      </c>
      <c r="AI157" s="233">
        <f t="shared" si="24"/>
        <v>7.011766975308642E-3</v>
      </c>
      <c r="AJ157" s="235">
        <f>tabParametros[[#This Row],[FGTS]]*tabParametros[[#This Row],[Aviso Prévio Indenizado (API) e Reflexo do Aviso Prévio Indenizado]]</f>
        <v>5.609413580246914E-4</v>
      </c>
      <c r="AK157" s="235">
        <f>tabParametros[[#This Row],[FGTS]]*tabParametros[[#This Row],[Aviso Prévio Indenizado (API) e Reflexo do Aviso Prévio Indenizado]]*40%</f>
        <v>2.2437654320987658E-4</v>
      </c>
      <c r="AL157" s="233">
        <f t="shared" si="25"/>
        <v>3.5000000000000005E-3</v>
      </c>
      <c r="AM157" s="233">
        <f>tabParametros[[#This Row],[Aviso Prévio Trabalhado - APT]]*SUM(tabParametros[[#This Row],[INSS]:[SEBRAE]])</f>
        <v>1.3230000000000004E-3</v>
      </c>
      <c r="AN157" s="233">
        <f t="shared" si="26"/>
        <v>3.0577777777777773E-2</v>
      </c>
      <c r="AO157" s="233">
        <f t="shared" si="27"/>
        <v>8.3333333333333339E-4</v>
      </c>
      <c r="AP157" s="233">
        <f t="shared" si="28"/>
        <v>8.4444444444444437E-3</v>
      </c>
      <c r="AQ157" s="233">
        <f t="shared" si="29"/>
        <v>2.0277777777777777E-3</v>
      </c>
      <c r="AR157" s="233">
        <f t="shared" si="30"/>
        <v>1.7083333333333333E-4</v>
      </c>
      <c r="AS157" s="233">
        <f t="shared" si="31"/>
        <v>2.0833333333333335E-4</v>
      </c>
      <c r="AT157" s="233">
        <f t="shared" si="32"/>
        <v>1.2962962962962963E-3</v>
      </c>
      <c r="AU157" s="235">
        <f>SUM(tabParametros[[#This Row],[Ausência por Doença]:[Férias, Adicional de Férias e 13º  com empregada em gozo de Licença Maternidade]])*SUM(tabParametros[[#This Row],[INSS]:[SEBRAE]])</f>
        <v>4.5918250000000008E-3</v>
      </c>
      <c r="AV157" s="254">
        <f>IF(tabParametros[[#This Row],[Função]]="Porteiro - 220 h",SUM(tabParametros[[#This Row],[Salário Base]:[Adicional de Acúmulo de função]])/220*20*1.5,IF(ISNUMBER(SEARCH("12 x 36",tabParametros[[#This Row],[Função]],1)),SUM(tabParametros[[#This Row],[Salário Base]:[Adicional de Acúmulo de função]])/210*15.5*1.5,0))</f>
        <v>0</v>
      </c>
      <c r="AW157" s="232">
        <f>IF(tabParametros[[#This Row],[Vagas contratadas]]&gt;0,(SUM(tabParametros[[#This Row],[Salário Base]:[Adicional de Acúmulo de função]])*30%+SUM(tabParametros[[#This Row],[Vale - Alimentação]:[Seguro de Vida]]))/tabParametros[[#This Row],[Vagas contratadas]]*tabParametros[[#This Row],[Vagas suspensas]],0)</f>
        <v>0</v>
      </c>
      <c r="AX157" s="232">
        <f>SUMIF(tabUniformes[Cargo],tabParametros[[#This Row],[Função]],tabUniformes[Valor unit. Mensal])</f>
        <v>253.83572732312174</v>
      </c>
      <c r="AY15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5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5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7" s="232">
        <v>0</v>
      </c>
      <c r="BC157" s="234" t="e">
        <f ca="1">VLOOKUP(tabParametros[[#Headers],[Custos Indiretos]],tabOutrosCustos[],3,0)</f>
        <v>#NAME?</v>
      </c>
      <c r="BD157" s="234" t="e">
        <f ca="1">VLOOKUP(tabParametros[[#Headers],[Lucro]],tabOutrosCustos[],3,0)</f>
        <v>#NAME?</v>
      </c>
      <c r="BE157" s="233">
        <f>VLOOKUP(tabParametros[[#Headers],[COFINS]],tabImpostosNacionais[],2,0)</f>
        <v>7.5999999999999998E-2</v>
      </c>
      <c r="BF157" s="233">
        <f>VLOOKUP(tabParametros[[#Headers],[PIS]],tabImpostosNacionais[],2,0)</f>
        <v>1.6500000000000001E-2</v>
      </c>
      <c r="BG157" s="233">
        <f>VLOOKUP(tabParametros[[#This Row],[Comarca]],tabComarca[],4,0)</f>
        <v>0.05</v>
      </c>
      <c r="BH157" s="236">
        <f>VLOOKUP(tabParametros[[#This Row],[CCT DA CATEGORIA]],tabSindicatos[],11,0)</f>
        <v>45658</v>
      </c>
      <c r="BI157" s="282" t="str">
        <f>VLOOKUP(tabParametros[[#This Row],[CCT DA CATEGORIA]],tabSindicatos[],12,0)</f>
        <v>-</v>
      </c>
      <c r="BJ157" s="285" t="str">
        <f>VLOOKUP(tabParametros[[#This Row],[CCT DA CATEGORIA]],tabSindicatos[],13,0)</f>
        <v>-</v>
      </c>
    </row>
    <row r="158" spans="1:62">
      <c r="A158" s="231" t="s">
        <v>1609</v>
      </c>
      <c r="B158" s="197" t="s">
        <v>1141</v>
      </c>
      <c r="C158" s="197" t="s">
        <v>1368</v>
      </c>
      <c r="D158" s="197" t="str">
        <f>VLOOKUP(tabParametros[[#This Row],[Código do Posto]],tabPostos[],4,0)</f>
        <v>Gov. Valadares</v>
      </c>
      <c r="E158" s="282" t="str">
        <f>VLOOKUP(tabParametros[[#This Row],[Código do Posto]],tabPostos[],5,0)</f>
        <v>Apoio</v>
      </c>
      <c r="F158" s="282" t="str">
        <f>VLOOKUP(tabParametros[[#This Row],[Código do Posto]],tabPostos[],6,0)</f>
        <v>PGJ</v>
      </c>
      <c r="G158" s="282">
        <f>VLOOKUP(tabParametros[[#This Row],[Código do Posto]],tabPostos[],7,0)</f>
        <v>1</v>
      </c>
      <c r="H158" s="282">
        <f>VLOOKUP(tabParametros[[#This Row],[Código do Posto]],tabPostos[],8,0)</f>
        <v>0</v>
      </c>
      <c r="I158" s="232">
        <f>VLOOKUP(tabParametros[[#This Row],[Código do Posto]],tabPostos[],9,0)</f>
        <v>2456.9079875092784</v>
      </c>
      <c r="J158" s="232">
        <f>IF(ISNUMBER(SEARCH("Eletricista",tabParametros[[#This Row],[Função]],1)),0.3*tabParametros[[#This Row],[Salário Base]],0)</f>
        <v>0</v>
      </c>
      <c r="K15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58" s="232">
        <f>IF(AND(ISNUMBER(SEARCH("Noturno",tabParametros[[#This Row],[Função]],1)),tabParametros[[#This Row],[Comarca]]&lt;&gt;"Juiz de Fora"),tabParametros[[#This Row],[Salário Base]]/210*0.39*7*15.5,IF(ISNUMBER(SEARCH("Noturno",tabParametros[[#This Row],[Função]],1)),tabParametros[[#This Row],[Salário Base]]/210*0.2*8*15.5,0))</f>
        <v>0</v>
      </c>
      <c r="M158" s="232">
        <f>IF(ISNUMBER(SEARCH("Motorista II",tabParametros[[#This Row],[Função]],1)),0.3022*tabParametros[[#This Row],[Salário Base]],0)</f>
        <v>0</v>
      </c>
      <c r="N158" s="254">
        <v>0</v>
      </c>
      <c r="O158" s="254">
        <f>IF(ISNUMBER(SEARCH("TECNOLOGIA DA INFORMACAO",tabParametros[[#This Row],[Função]],1)),0.056*tabParametros[[#This Row],[Salário Base]],0)</f>
        <v>0</v>
      </c>
      <c r="P158" s="232">
        <f>IF(tabParametros[[#This Row],[Função]]="Operador de Midia Audiovisual - 150 h",tabParametros[[#This Row],[Salário Base]]/150*50*30%,IF(tabParametros[[#This Row],[Função]]="Supervisor de Manutencao de Veiculos II - 220 h",12%*tabParametros[[#This Row],[Salário Base]],0))</f>
        <v>0</v>
      </c>
      <c r="Q158" s="233">
        <f>VLOOKUP(tabParametros[[#Headers],[INSS]],tabImpostosNacionais[],2,0)</f>
        <v>0.2</v>
      </c>
      <c r="R158" s="233">
        <f>VLOOKUP(tabParametros[[#Headers],[SESI OU SESC]],tabImpostosNacionais[],2,0)</f>
        <v>1.4999999999999999E-2</v>
      </c>
      <c r="S158" s="233">
        <f>VLOOKUP(tabParametros[[#Headers],[SENAI OU SENAC]],tabImpostosNacionais[],2,0)</f>
        <v>0.01</v>
      </c>
      <c r="T158" s="233">
        <f>VLOOKUP(tabParametros[[#Headers],[INCRA]],tabImpostosNacionais[],2,0)</f>
        <v>2E-3</v>
      </c>
      <c r="U158" s="233">
        <f>VLOOKUP(tabParametros[[#Headers],[Salário Educação]],tabImpostosNacionais[],2,0)</f>
        <v>2.5000000000000001E-2</v>
      </c>
      <c r="V158" s="233">
        <f>VLOOKUP(tabParametros[[#Headers],[FGTS]],tabImpostosNacionais[],2,0)</f>
        <v>0.08</v>
      </c>
      <c r="W158" s="233">
        <f>VLOOKUP(tabParametros[[#Headers],[RAT Ajustado]],tabImpostosNacionais[],2,0)</f>
        <v>0.04</v>
      </c>
      <c r="X158" s="233">
        <f>VLOOKUP(tabParametros[[#Headers],[SEBRAE]],tabImpostosNacionais[],2,0)</f>
        <v>6.0000000000000001E-3</v>
      </c>
      <c r="Y158" s="233">
        <f t="shared" si="22"/>
        <v>8.3333333333333329E-2</v>
      </c>
      <c r="Z158" s="233">
        <f t="shared" si="23"/>
        <v>0.1111111111111111</v>
      </c>
      <c r="AA158" s="232">
        <f>VLOOKUP(tabParametros[[#This Row],[Comarca]],tabComarca[],5,0)</f>
        <v>6.4</v>
      </c>
      <c r="AB158" s="232">
        <f>VLOOKUP(tabParametros[[#This Row],[CCT DA CATEGORIA]],tabSindicatos[],6,0)</f>
        <v>29.15</v>
      </c>
      <c r="AC158" s="232">
        <f>VLOOKUP(tabParametros[[#This Row],[CCT DA CATEGORIA]],tabSindicatos[],7,0)</f>
        <v>0</v>
      </c>
      <c r="AD158" s="232" cm="1">
        <f t="array" ref="AD15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58" s="232">
        <f>VLOOKUP(tabParametros[[#This Row],[CCT DA CATEGORIA]],tabSindicatos[],9,0)</f>
        <v>0</v>
      </c>
      <c r="AF158" s="232">
        <f>VLOOKUP(tabParametros[[#This Row],[CCT DA CATEGORIA]],tabSindicatos[],10,0)</f>
        <v>0</v>
      </c>
      <c r="AG158" s="234">
        <f>VLOOKUP(tabParametros[[#Headers],[Seguro de Vida]],tabOutrosCustos[],3,0)</f>
        <v>3.36</v>
      </c>
      <c r="AH158" s="234">
        <f>IF(ISNUMBER(SEARCH("MOTORISTA",tabParametros[[#This Row],[Função]],1)),VLOOKUP("MOTORISTAS",tabDiarias[],2,0),IF(tabParametros[[#This Row],[Comarca]]="Belo Horizonte",VLOOKUP("APOIO",tabDiarias[],2,0),0))</f>
        <v>0</v>
      </c>
      <c r="AI158" s="233">
        <f t="shared" si="24"/>
        <v>7.011766975308642E-3</v>
      </c>
      <c r="AJ158" s="235">
        <f>tabParametros[[#This Row],[FGTS]]*tabParametros[[#This Row],[Aviso Prévio Indenizado (API) e Reflexo do Aviso Prévio Indenizado]]</f>
        <v>5.609413580246914E-4</v>
      </c>
      <c r="AK158" s="235">
        <f>tabParametros[[#This Row],[FGTS]]*tabParametros[[#This Row],[Aviso Prévio Indenizado (API) e Reflexo do Aviso Prévio Indenizado]]*40%</f>
        <v>2.2437654320987658E-4</v>
      </c>
      <c r="AL158" s="233">
        <f t="shared" si="25"/>
        <v>3.5000000000000005E-3</v>
      </c>
      <c r="AM158" s="233">
        <f>tabParametros[[#This Row],[Aviso Prévio Trabalhado - APT]]*SUM(tabParametros[[#This Row],[INSS]:[SEBRAE]])</f>
        <v>1.3230000000000004E-3</v>
      </c>
      <c r="AN158" s="233">
        <f t="shared" si="26"/>
        <v>3.0577777777777773E-2</v>
      </c>
      <c r="AO158" s="233">
        <f t="shared" si="27"/>
        <v>8.3333333333333339E-4</v>
      </c>
      <c r="AP158" s="233">
        <f t="shared" si="28"/>
        <v>8.4444444444444437E-3</v>
      </c>
      <c r="AQ158" s="233">
        <f t="shared" si="29"/>
        <v>2.0277777777777777E-3</v>
      </c>
      <c r="AR158" s="233">
        <f t="shared" si="30"/>
        <v>1.7083333333333333E-4</v>
      </c>
      <c r="AS158" s="233">
        <f t="shared" si="31"/>
        <v>2.0833333333333335E-4</v>
      </c>
      <c r="AT158" s="233">
        <f t="shared" si="32"/>
        <v>1.2962962962962963E-3</v>
      </c>
      <c r="AU158" s="235">
        <f>SUM(tabParametros[[#This Row],[Ausência por Doença]:[Férias, Adicional de Férias e 13º  com empregada em gozo de Licença Maternidade]])*SUM(tabParametros[[#This Row],[INSS]:[SEBRAE]])</f>
        <v>4.5918250000000008E-3</v>
      </c>
      <c r="AV158" s="254">
        <f>IF(tabParametros[[#This Row],[Função]]="Porteiro - 220 h",SUM(tabParametros[[#This Row],[Salário Base]:[Adicional de Acúmulo de função]])/220*20*1.5,IF(ISNUMBER(SEARCH("12 x 36",tabParametros[[#This Row],[Função]],1)),SUM(tabParametros[[#This Row],[Salário Base]:[Adicional de Acúmulo de função]])/210*15.5*1.5,0))</f>
        <v>0</v>
      </c>
      <c r="AW158" s="232">
        <f>IF(tabParametros[[#This Row],[Vagas contratadas]]&gt;0,(SUM(tabParametros[[#This Row],[Salário Base]:[Adicional de Acúmulo de função]])*30%+SUM(tabParametros[[#This Row],[Vale - Alimentação]:[Seguro de Vida]]))/tabParametros[[#This Row],[Vagas contratadas]]*tabParametros[[#This Row],[Vagas suspensas]],0)</f>
        <v>0</v>
      </c>
      <c r="AX158" s="232">
        <f>SUMIF(tabUniformes[Cargo],tabParametros[[#This Row],[Função]],tabUniformes[Valor unit. Mensal])</f>
        <v>196.62072732312174</v>
      </c>
      <c r="AY15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5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5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8" s="232">
        <v>0</v>
      </c>
      <c r="BC158" s="234" t="e">
        <f ca="1">VLOOKUP(tabParametros[[#Headers],[Custos Indiretos]],tabOutrosCustos[],3,0)</f>
        <v>#NAME?</v>
      </c>
      <c r="BD158" s="234" t="e">
        <f ca="1">VLOOKUP(tabParametros[[#Headers],[Lucro]],tabOutrosCustos[],3,0)</f>
        <v>#NAME?</v>
      </c>
      <c r="BE158" s="233">
        <f>VLOOKUP(tabParametros[[#Headers],[COFINS]],tabImpostosNacionais[],2,0)</f>
        <v>7.5999999999999998E-2</v>
      </c>
      <c r="BF158" s="233">
        <f>VLOOKUP(tabParametros[[#Headers],[PIS]],tabImpostosNacionais[],2,0)</f>
        <v>1.6500000000000001E-2</v>
      </c>
      <c r="BG158" s="233">
        <f>VLOOKUP(tabParametros[[#This Row],[Comarca]],tabComarca[],4,0)</f>
        <v>0.05</v>
      </c>
      <c r="BH158" s="236">
        <f>VLOOKUP(tabParametros[[#This Row],[CCT DA CATEGORIA]],tabSindicatos[],11,0)</f>
        <v>45658</v>
      </c>
      <c r="BI158" s="282" t="str">
        <f>VLOOKUP(tabParametros[[#This Row],[CCT DA CATEGORIA]],tabSindicatos[],12,0)</f>
        <v>-</v>
      </c>
      <c r="BJ158" s="285" t="str">
        <f>VLOOKUP(tabParametros[[#This Row],[CCT DA CATEGORIA]],tabSindicatos[],13,0)</f>
        <v>-</v>
      </c>
    </row>
    <row r="159" spans="1:62">
      <c r="A159" s="231" t="s">
        <v>1610</v>
      </c>
      <c r="B159" s="197" t="s">
        <v>1141</v>
      </c>
      <c r="C159" s="197" t="s">
        <v>274</v>
      </c>
      <c r="D159" s="197" t="str">
        <f>VLOOKUP(tabParametros[[#This Row],[Código do Posto]],tabPostos[],4,0)</f>
        <v>Rodoviarios de Governador Valadares + SEAC-MG</v>
      </c>
      <c r="E159" s="282" t="str">
        <f>VLOOKUP(tabParametros[[#This Row],[Código do Posto]],tabPostos[],5,0)</f>
        <v>Apoio</v>
      </c>
      <c r="F159" s="282" t="str">
        <f>VLOOKUP(tabParametros[[#This Row],[Código do Posto]],tabPostos[],6,0)</f>
        <v>PGJ</v>
      </c>
      <c r="G159" s="282">
        <f>VLOOKUP(tabParametros[[#This Row],[Código do Posto]],tabPostos[],7,0)</f>
        <v>3</v>
      </c>
      <c r="H159" s="282">
        <f>VLOOKUP(tabParametros[[#This Row],[Código do Posto]],tabPostos[],8,0)</f>
        <v>0</v>
      </c>
      <c r="I159" s="232">
        <f>VLOOKUP(tabParametros[[#This Row],[Código do Posto]],tabPostos[],9,0)</f>
        <v>4380.5669340985405</v>
      </c>
      <c r="J159" s="232">
        <f>IF(ISNUMBER(SEARCH("Eletricista",tabParametros[[#This Row],[Função]],1)),0.3*tabParametros[[#This Row],[Salário Base]],0)</f>
        <v>0</v>
      </c>
      <c r="K15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59" s="232">
        <f>IF(AND(ISNUMBER(SEARCH("Noturno",tabParametros[[#This Row],[Função]],1)),tabParametros[[#This Row],[Comarca]]&lt;&gt;"Juiz de Fora"),tabParametros[[#This Row],[Salário Base]]/210*0.39*7*15.5,IF(ISNUMBER(SEARCH("Noturno",tabParametros[[#This Row],[Função]],1)),tabParametros[[#This Row],[Salário Base]]/210*0.2*8*15.5,0))</f>
        <v>0</v>
      </c>
      <c r="M159" s="232">
        <f>IF(ISNUMBER(SEARCH("Motorista II",tabParametros[[#This Row],[Função]],1)),0.3022*tabParametros[[#This Row],[Salário Base]],0)</f>
        <v>0</v>
      </c>
      <c r="N159" s="254">
        <v>0</v>
      </c>
      <c r="O159" s="254">
        <f>IF(ISNUMBER(SEARCH("TECNOLOGIA DA INFORMACAO",tabParametros[[#This Row],[Função]],1)),0.056*tabParametros[[#This Row],[Salário Base]],0)</f>
        <v>0</v>
      </c>
      <c r="P159" s="232">
        <f>IF(tabParametros[[#This Row],[Função]]="Operador de Midia Audiovisual - 150 h",tabParametros[[#This Row],[Salário Base]]/150*50*30%,IF(tabParametros[[#This Row],[Função]]="Supervisor de Manutencao de Veiculos II - 220 h",12%*tabParametros[[#This Row],[Salário Base]],0))</f>
        <v>0</v>
      </c>
      <c r="Q159" s="233">
        <f>VLOOKUP(tabParametros[[#Headers],[INSS]],tabImpostosNacionais[],2,0)</f>
        <v>0.2</v>
      </c>
      <c r="R159" s="233">
        <f>VLOOKUP(tabParametros[[#Headers],[SESI OU SESC]],tabImpostosNacionais[],2,0)</f>
        <v>1.4999999999999999E-2</v>
      </c>
      <c r="S159" s="233">
        <f>VLOOKUP(tabParametros[[#Headers],[SENAI OU SENAC]],tabImpostosNacionais[],2,0)</f>
        <v>0.01</v>
      </c>
      <c r="T159" s="233">
        <f>VLOOKUP(tabParametros[[#Headers],[INCRA]],tabImpostosNacionais[],2,0)</f>
        <v>2E-3</v>
      </c>
      <c r="U159" s="233">
        <f>VLOOKUP(tabParametros[[#Headers],[Salário Educação]],tabImpostosNacionais[],2,0)</f>
        <v>2.5000000000000001E-2</v>
      </c>
      <c r="V159" s="233">
        <f>VLOOKUP(tabParametros[[#Headers],[FGTS]],tabImpostosNacionais[],2,0)</f>
        <v>0.08</v>
      </c>
      <c r="W159" s="233">
        <f>VLOOKUP(tabParametros[[#Headers],[RAT Ajustado]],tabImpostosNacionais[],2,0)</f>
        <v>0.04</v>
      </c>
      <c r="X159" s="233">
        <f>VLOOKUP(tabParametros[[#Headers],[SEBRAE]],tabImpostosNacionais[],2,0)</f>
        <v>6.0000000000000001E-3</v>
      </c>
      <c r="Y159" s="233">
        <f t="shared" si="22"/>
        <v>8.3333333333333329E-2</v>
      </c>
      <c r="Z159" s="233">
        <f t="shared" si="23"/>
        <v>0.1111111111111111</v>
      </c>
      <c r="AA159" s="232">
        <f>VLOOKUP(tabParametros[[#This Row],[Comarca]],tabComarca[],5,0)</f>
        <v>6.4</v>
      </c>
      <c r="AB159" s="232">
        <f>VLOOKUP(tabParametros[[#This Row],[CCT DA CATEGORIA]],tabSindicatos[],6,0)</f>
        <v>28.97</v>
      </c>
      <c r="AC159" s="232">
        <f>VLOOKUP(tabParametros[[#This Row],[CCT DA CATEGORIA]],tabSindicatos[],7,0)</f>
        <v>0</v>
      </c>
      <c r="AD159" s="232" cm="1">
        <f t="array" ref="AD15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59" s="232">
        <f>VLOOKUP(tabParametros[[#This Row],[CCT DA CATEGORIA]],tabSindicatos[],9,0)</f>
        <v>0</v>
      </c>
      <c r="AF159" s="232">
        <f>VLOOKUP(tabParametros[[#This Row],[CCT DA CATEGORIA]],tabSindicatos[],10,0)</f>
        <v>0</v>
      </c>
      <c r="AG159" s="234">
        <f>VLOOKUP(tabParametros[[#Headers],[Seguro de Vida]],tabOutrosCustos[],3,0)</f>
        <v>3.36</v>
      </c>
      <c r="AH159" s="234">
        <f>IF(ISNUMBER(SEARCH("MOTORISTA",tabParametros[[#This Row],[Função]],1)),VLOOKUP("MOTORISTAS",tabDiarias[],2,0),IF(tabParametros[[#This Row],[Comarca]]="Belo Horizonte",VLOOKUP("APOIO",tabDiarias[],2,0),0))</f>
        <v>662.42</v>
      </c>
      <c r="AI159" s="233">
        <f t="shared" si="24"/>
        <v>7.011766975308642E-3</v>
      </c>
      <c r="AJ159" s="235">
        <f>tabParametros[[#This Row],[FGTS]]*tabParametros[[#This Row],[Aviso Prévio Indenizado (API) e Reflexo do Aviso Prévio Indenizado]]</f>
        <v>5.609413580246914E-4</v>
      </c>
      <c r="AK159" s="235">
        <f>tabParametros[[#This Row],[FGTS]]*tabParametros[[#This Row],[Aviso Prévio Indenizado (API) e Reflexo do Aviso Prévio Indenizado]]*40%</f>
        <v>2.2437654320987658E-4</v>
      </c>
      <c r="AL159" s="233">
        <f t="shared" si="25"/>
        <v>3.5000000000000005E-3</v>
      </c>
      <c r="AM159" s="233">
        <f>tabParametros[[#This Row],[Aviso Prévio Trabalhado - APT]]*SUM(tabParametros[[#This Row],[INSS]:[SEBRAE]])</f>
        <v>1.3230000000000004E-3</v>
      </c>
      <c r="AN159" s="233">
        <f t="shared" si="26"/>
        <v>3.0577777777777773E-2</v>
      </c>
      <c r="AO159" s="233">
        <f t="shared" si="27"/>
        <v>8.3333333333333339E-4</v>
      </c>
      <c r="AP159" s="233">
        <f t="shared" si="28"/>
        <v>8.4444444444444437E-3</v>
      </c>
      <c r="AQ159" s="233">
        <f t="shared" si="29"/>
        <v>2.0277777777777777E-3</v>
      </c>
      <c r="AR159" s="233">
        <f t="shared" si="30"/>
        <v>1.7083333333333333E-4</v>
      </c>
      <c r="AS159" s="233">
        <f t="shared" si="31"/>
        <v>2.0833333333333335E-4</v>
      </c>
      <c r="AT159" s="233">
        <f t="shared" si="32"/>
        <v>1.2962962962962963E-3</v>
      </c>
      <c r="AU159" s="235">
        <f>SUM(tabParametros[[#This Row],[Ausência por Doença]:[Férias, Adicional de Férias e 13º  com empregada em gozo de Licença Maternidade]])*SUM(tabParametros[[#This Row],[INSS]:[SEBRAE]])</f>
        <v>4.5918250000000008E-3</v>
      </c>
      <c r="AV159" s="254">
        <f>IF(tabParametros[[#This Row],[Função]]="Porteiro - 220 h",SUM(tabParametros[[#This Row],[Salário Base]:[Adicional de Acúmulo de função]])/220*20*1.5,IF(ISNUMBER(SEARCH("12 x 36",tabParametros[[#This Row],[Função]],1)),SUM(tabParametros[[#This Row],[Salário Base]:[Adicional de Acúmulo de função]])/210*15.5*1.5,0))</f>
        <v>0</v>
      </c>
      <c r="AW159" s="232">
        <f>IF(tabParametros[[#This Row],[Vagas contratadas]]&gt;0,(SUM(tabParametros[[#This Row],[Salário Base]:[Adicional de Acúmulo de função]])*30%+SUM(tabParametros[[#This Row],[Vale - Alimentação]:[Seguro de Vida]]))/tabParametros[[#This Row],[Vagas contratadas]]*tabParametros[[#This Row],[Vagas suspensas]],0)</f>
        <v>0</v>
      </c>
      <c r="AX159" s="232">
        <f>SUMIF(tabUniformes[Cargo],tabParametros[[#This Row],[Função]],tabUniformes[Valor unit. Mensal])</f>
        <v>92.100763771570698</v>
      </c>
      <c r="AY15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5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5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59" s="232">
        <v>0</v>
      </c>
      <c r="BC159" s="234" t="e">
        <f ca="1">VLOOKUP(tabParametros[[#Headers],[Custos Indiretos]],tabOutrosCustos[],3,0)</f>
        <v>#NAME?</v>
      </c>
      <c r="BD159" s="234" t="e">
        <f ca="1">VLOOKUP(tabParametros[[#Headers],[Lucro]],tabOutrosCustos[],3,0)</f>
        <v>#NAME?</v>
      </c>
      <c r="BE159" s="233">
        <f>VLOOKUP(tabParametros[[#Headers],[COFINS]],tabImpostosNacionais[],2,0)</f>
        <v>7.5999999999999998E-2</v>
      </c>
      <c r="BF159" s="233">
        <f>VLOOKUP(tabParametros[[#Headers],[PIS]],tabImpostosNacionais[],2,0)</f>
        <v>1.6500000000000001E-2</v>
      </c>
      <c r="BG159" s="233">
        <f>VLOOKUP(tabParametros[[#This Row],[Comarca]],tabComarca[],4,0)</f>
        <v>0.05</v>
      </c>
      <c r="BH159" s="236">
        <f>VLOOKUP(tabParametros[[#This Row],[CCT DA CATEGORIA]],tabSindicatos[],11,0)</f>
        <v>45658</v>
      </c>
      <c r="BI159" s="282" t="str">
        <f>VLOOKUP(tabParametros[[#This Row],[CCT DA CATEGORIA]],tabSindicatos[],12,0)</f>
        <v>-</v>
      </c>
      <c r="BJ159" s="285" t="str">
        <f>VLOOKUP(tabParametros[[#This Row],[CCT DA CATEGORIA]],tabSindicatos[],13,0)</f>
        <v>-</v>
      </c>
    </row>
    <row r="160" spans="1:62">
      <c r="A160" s="231" t="s">
        <v>1475</v>
      </c>
      <c r="B160" s="197" t="s">
        <v>1141</v>
      </c>
      <c r="C160" s="197" t="s">
        <v>314</v>
      </c>
      <c r="D160" s="197" t="str">
        <f>VLOOKUP(tabParametros[[#This Row],[Código do Posto]],tabPostos[],4,0)</f>
        <v>Gov. Valadares</v>
      </c>
      <c r="E160" s="282" t="str">
        <f>VLOOKUP(tabParametros[[#This Row],[Código do Posto]],tabPostos[],5,0)</f>
        <v>Apoio</v>
      </c>
      <c r="F160" s="282" t="str">
        <f>VLOOKUP(tabParametros[[#This Row],[Código do Posto]],tabPostos[],6,0)</f>
        <v>PGJ</v>
      </c>
      <c r="G160" s="282">
        <f>VLOOKUP(tabParametros[[#This Row],[Código do Posto]],tabPostos[],7,0)</f>
        <v>3</v>
      </c>
      <c r="H160" s="282">
        <f>VLOOKUP(tabParametros[[#This Row],[Código do Posto]],tabPostos[],8,0)</f>
        <v>0</v>
      </c>
      <c r="I160" s="232">
        <f>VLOOKUP(tabParametros[[#This Row],[Código do Posto]],tabPostos[],9,0)</f>
        <v>2134.8041615332936</v>
      </c>
      <c r="J160" s="232">
        <f>IF(ISNUMBER(SEARCH("Eletricista",tabParametros[[#This Row],[Função]],1)),0.3*tabParametros[[#This Row],[Salário Base]],0)</f>
        <v>0</v>
      </c>
      <c r="K16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0" s="232">
        <f>IF(AND(ISNUMBER(SEARCH("Noturno",tabParametros[[#This Row],[Função]],1)),tabParametros[[#This Row],[Comarca]]&lt;&gt;"Juiz de Fora"),tabParametros[[#This Row],[Salário Base]]/210*0.39*7*15.5,IF(ISNUMBER(SEARCH("Noturno",tabParametros[[#This Row],[Função]],1)),tabParametros[[#This Row],[Salário Base]]/210*0.2*8*15.5,0))</f>
        <v>0</v>
      </c>
      <c r="M160" s="232">
        <f>IF(ISNUMBER(SEARCH("Motorista II",tabParametros[[#This Row],[Função]],1)),0.3022*tabParametros[[#This Row],[Salário Base]],0)</f>
        <v>0</v>
      </c>
      <c r="N160" s="254">
        <v>0</v>
      </c>
      <c r="O160" s="254">
        <f>IF(ISNUMBER(SEARCH("TECNOLOGIA DA INFORMACAO",tabParametros[[#This Row],[Função]],1)),0.056*tabParametros[[#This Row],[Salário Base]],0)</f>
        <v>0</v>
      </c>
      <c r="P160" s="232">
        <f>IF(tabParametros[[#This Row],[Função]]="Operador de Midia Audiovisual - 150 h",tabParametros[[#This Row],[Salário Base]]/150*50*30%,IF(tabParametros[[#This Row],[Função]]="Supervisor de Manutencao de Veiculos II - 220 h",12%*tabParametros[[#This Row],[Salário Base]],0))</f>
        <v>0</v>
      </c>
      <c r="Q160" s="233">
        <f>VLOOKUP(tabParametros[[#Headers],[INSS]],tabImpostosNacionais[],2,0)</f>
        <v>0.2</v>
      </c>
      <c r="R160" s="233">
        <f>VLOOKUP(tabParametros[[#Headers],[SESI OU SESC]],tabImpostosNacionais[],2,0)</f>
        <v>1.4999999999999999E-2</v>
      </c>
      <c r="S160" s="233">
        <f>VLOOKUP(tabParametros[[#Headers],[SENAI OU SENAC]],tabImpostosNacionais[],2,0)</f>
        <v>0.01</v>
      </c>
      <c r="T160" s="233">
        <f>VLOOKUP(tabParametros[[#Headers],[INCRA]],tabImpostosNacionais[],2,0)</f>
        <v>2E-3</v>
      </c>
      <c r="U160" s="233">
        <f>VLOOKUP(tabParametros[[#Headers],[Salário Educação]],tabImpostosNacionais[],2,0)</f>
        <v>2.5000000000000001E-2</v>
      </c>
      <c r="V160" s="233">
        <f>VLOOKUP(tabParametros[[#Headers],[FGTS]],tabImpostosNacionais[],2,0)</f>
        <v>0.08</v>
      </c>
      <c r="W160" s="233">
        <f>VLOOKUP(tabParametros[[#Headers],[RAT Ajustado]],tabImpostosNacionais[],2,0)</f>
        <v>0.04</v>
      </c>
      <c r="X160" s="233">
        <f>VLOOKUP(tabParametros[[#Headers],[SEBRAE]],tabImpostosNacionais[],2,0)</f>
        <v>6.0000000000000001E-3</v>
      </c>
      <c r="Y160" s="233">
        <f t="shared" si="22"/>
        <v>8.3333333333333329E-2</v>
      </c>
      <c r="Z160" s="233">
        <f t="shared" si="23"/>
        <v>0.1111111111111111</v>
      </c>
      <c r="AA160" s="232">
        <f>VLOOKUP(tabParametros[[#This Row],[Comarca]],tabComarca[],5,0)</f>
        <v>6.4</v>
      </c>
      <c r="AB160" s="232">
        <f>VLOOKUP(tabParametros[[#This Row],[CCT DA CATEGORIA]],tabSindicatos[],6,0)</f>
        <v>29.15</v>
      </c>
      <c r="AC160" s="232">
        <f>VLOOKUP(tabParametros[[#This Row],[CCT DA CATEGORIA]],tabSindicatos[],7,0)</f>
        <v>0</v>
      </c>
      <c r="AD160" s="232" cm="1">
        <f t="array" ref="AD16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60" s="232">
        <f>VLOOKUP(tabParametros[[#This Row],[CCT DA CATEGORIA]],tabSindicatos[],9,0)</f>
        <v>0</v>
      </c>
      <c r="AF160" s="232">
        <f>VLOOKUP(tabParametros[[#This Row],[CCT DA CATEGORIA]],tabSindicatos[],10,0)</f>
        <v>0</v>
      </c>
      <c r="AG160" s="234">
        <f>VLOOKUP(tabParametros[[#Headers],[Seguro de Vida]],tabOutrosCustos[],3,0)</f>
        <v>3.36</v>
      </c>
      <c r="AH160" s="234">
        <f>IF(ISNUMBER(SEARCH("MOTORISTA",tabParametros[[#This Row],[Função]],1)),VLOOKUP("MOTORISTAS",tabDiarias[],2,0),IF(tabParametros[[#This Row],[Comarca]]="Belo Horizonte",VLOOKUP("APOIO",tabDiarias[],2,0),0))</f>
        <v>0</v>
      </c>
      <c r="AI160" s="233">
        <f t="shared" si="24"/>
        <v>7.011766975308642E-3</v>
      </c>
      <c r="AJ160" s="235">
        <f>tabParametros[[#This Row],[FGTS]]*tabParametros[[#This Row],[Aviso Prévio Indenizado (API) e Reflexo do Aviso Prévio Indenizado]]</f>
        <v>5.609413580246914E-4</v>
      </c>
      <c r="AK160" s="235">
        <f>tabParametros[[#This Row],[FGTS]]*tabParametros[[#This Row],[Aviso Prévio Indenizado (API) e Reflexo do Aviso Prévio Indenizado]]*40%</f>
        <v>2.2437654320987658E-4</v>
      </c>
      <c r="AL160" s="233">
        <f t="shared" si="25"/>
        <v>3.5000000000000005E-3</v>
      </c>
      <c r="AM160" s="233">
        <f>tabParametros[[#This Row],[Aviso Prévio Trabalhado - APT]]*SUM(tabParametros[[#This Row],[INSS]:[SEBRAE]])</f>
        <v>1.3230000000000004E-3</v>
      </c>
      <c r="AN160" s="233">
        <f t="shared" si="26"/>
        <v>3.0577777777777773E-2</v>
      </c>
      <c r="AO160" s="233">
        <f t="shared" si="27"/>
        <v>8.3333333333333339E-4</v>
      </c>
      <c r="AP160" s="233">
        <f t="shared" si="28"/>
        <v>8.4444444444444437E-3</v>
      </c>
      <c r="AQ160" s="233">
        <f t="shared" si="29"/>
        <v>2.0277777777777777E-3</v>
      </c>
      <c r="AR160" s="233">
        <f t="shared" si="30"/>
        <v>1.7083333333333333E-4</v>
      </c>
      <c r="AS160" s="233">
        <f t="shared" si="31"/>
        <v>2.0833333333333335E-4</v>
      </c>
      <c r="AT160" s="233">
        <f t="shared" si="32"/>
        <v>1.2962962962962963E-3</v>
      </c>
      <c r="AU160" s="235">
        <f>SUM(tabParametros[[#This Row],[Ausência por Doença]:[Férias, Adicional de Férias e 13º  com empregada em gozo de Licença Maternidade]])*SUM(tabParametros[[#This Row],[INSS]:[SEBRAE]])</f>
        <v>4.5918250000000008E-3</v>
      </c>
      <c r="AV160" s="254">
        <f>IF(tabParametros[[#This Row],[Função]]="Porteiro - 220 h",SUM(tabParametros[[#This Row],[Salário Base]:[Adicional de Acúmulo de função]])/220*20*1.5,IF(ISNUMBER(SEARCH("12 x 36",tabParametros[[#This Row],[Função]],1)),SUM(tabParametros[[#This Row],[Salário Base]:[Adicional de Acúmulo de função]])/210*15.5*1.5,0))</f>
        <v>291.10965839090369</v>
      </c>
      <c r="AW160" s="232">
        <f>IF(tabParametros[[#This Row],[Vagas contratadas]]&gt;0,(SUM(tabParametros[[#This Row],[Salário Base]:[Adicional de Acúmulo de função]])*30%+SUM(tabParametros[[#This Row],[Vale - Alimentação]:[Seguro de Vida]]))/tabParametros[[#This Row],[Vagas contratadas]]*tabParametros[[#This Row],[Vagas suspensas]],0)</f>
        <v>0</v>
      </c>
      <c r="AX160" s="232">
        <f>SUMIF(tabUniformes[Cargo],tabParametros[[#This Row],[Função]],tabUniformes[Valor unit. Mensal])</f>
        <v>56.642978962543395</v>
      </c>
      <c r="AY16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0" s="232">
        <v>0</v>
      </c>
      <c r="BC160" s="234" t="e">
        <f ca="1">VLOOKUP(tabParametros[[#Headers],[Custos Indiretos]],tabOutrosCustos[],3,0)</f>
        <v>#NAME?</v>
      </c>
      <c r="BD160" s="234" t="e">
        <f ca="1">VLOOKUP(tabParametros[[#Headers],[Lucro]],tabOutrosCustos[],3,0)</f>
        <v>#NAME?</v>
      </c>
      <c r="BE160" s="233">
        <f>VLOOKUP(tabParametros[[#Headers],[COFINS]],tabImpostosNacionais[],2,0)</f>
        <v>7.5999999999999998E-2</v>
      </c>
      <c r="BF160" s="233">
        <f>VLOOKUP(tabParametros[[#Headers],[PIS]],tabImpostosNacionais[],2,0)</f>
        <v>1.6500000000000001E-2</v>
      </c>
      <c r="BG160" s="233">
        <f>VLOOKUP(tabParametros[[#This Row],[Comarca]],tabComarca[],4,0)</f>
        <v>0.05</v>
      </c>
      <c r="BH160" s="236">
        <f>VLOOKUP(tabParametros[[#This Row],[CCT DA CATEGORIA]],tabSindicatos[],11,0)</f>
        <v>45658</v>
      </c>
      <c r="BI160" s="282" t="str">
        <f>VLOOKUP(tabParametros[[#This Row],[CCT DA CATEGORIA]],tabSindicatos[],12,0)</f>
        <v>-</v>
      </c>
      <c r="BJ160" s="285" t="str">
        <f>VLOOKUP(tabParametros[[#This Row],[CCT DA CATEGORIA]],tabSindicatos[],13,0)</f>
        <v>-</v>
      </c>
    </row>
    <row r="161" spans="1:62">
      <c r="A161" s="231" t="s">
        <v>1611</v>
      </c>
      <c r="B161" s="197" t="s">
        <v>1141</v>
      </c>
      <c r="C161" s="197" t="s">
        <v>324</v>
      </c>
      <c r="D161" s="197" t="str">
        <f>VLOOKUP(tabParametros[[#This Row],[Código do Posto]],tabPostos[],4,0)</f>
        <v>Gov. Valadares</v>
      </c>
      <c r="E161" s="282" t="str">
        <f>VLOOKUP(tabParametros[[#This Row],[Código do Posto]],tabPostos[],5,0)</f>
        <v>Apoio</v>
      </c>
      <c r="F161" s="282" t="str">
        <f>VLOOKUP(tabParametros[[#This Row],[Código do Posto]],tabPostos[],6,0)</f>
        <v>PGJ</v>
      </c>
      <c r="G161" s="282">
        <f>VLOOKUP(tabParametros[[#This Row],[Código do Posto]],tabPostos[],7,0)</f>
        <v>1</v>
      </c>
      <c r="H161" s="282">
        <f>VLOOKUP(tabParametros[[#This Row],[Código do Posto]],tabPostos[],8,0)</f>
        <v>0</v>
      </c>
      <c r="I161" s="232">
        <f>VLOOKUP(tabParametros[[#This Row],[Código do Posto]],tabPostos[],9,0)</f>
        <v>3397.130467372021</v>
      </c>
      <c r="J161" s="232">
        <f>IF(ISNUMBER(SEARCH("Eletricista",tabParametros[[#This Row],[Função]],1)),0.3*tabParametros[[#This Row],[Salário Base]],0)</f>
        <v>0</v>
      </c>
      <c r="K16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1" s="232">
        <f>IF(AND(ISNUMBER(SEARCH("Noturno",tabParametros[[#This Row],[Função]],1)),tabParametros[[#This Row],[Comarca]]&lt;&gt;"Juiz de Fora"),tabParametros[[#This Row],[Salário Base]]/210*0.39*7*15.5,IF(ISNUMBER(SEARCH("Noturno",tabParametros[[#This Row],[Função]],1)),tabParametros[[#This Row],[Salário Base]]/210*0.2*8*15.5,0))</f>
        <v>0</v>
      </c>
      <c r="M161" s="232">
        <f>IF(ISNUMBER(SEARCH("Motorista II",tabParametros[[#This Row],[Função]],1)),0.3022*tabParametros[[#This Row],[Salário Base]],0)</f>
        <v>0</v>
      </c>
      <c r="N161" s="254">
        <v>0</v>
      </c>
      <c r="O161" s="254">
        <f>IF(ISNUMBER(SEARCH("TECNOLOGIA DA INFORMACAO",tabParametros[[#This Row],[Função]],1)),0.056*tabParametros[[#This Row],[Salário Base]],0)</f>
        <v>0</v>
      </c>
      <c r="P161" s="232">
        <f>IF(tabParametros[[#This Row],[Função]]="Operador de Midia Audiovisual - 150 h",tabParametros[[#This Row],[Salário Base]]/150*50*30%,IF(tabParametros[[#This Row],[Função]]="Supervisor de Manutencao de Veiculos II - 220 h",12%*tabParametros[[#This Row],[Salário Base]],0))</f>
        <v>0</v>
      </c>
      <c r="Q161" s="233">
        <f>VLOOKUP(tabParametros[[#Headers],[INSS]],tabImpostosNacionais[],2,0)</f>
        <v>0.2</v>
      </c>
      <c r="R161" s="233">
        <f>VLOOKUP(tabParametros[[#Headers],[SESI OU SESC]],tabImpostosNacionais[],2,0)</f>
        <v>1.4999999999999999E-2</v>
      </c>
      <c r="S161" s="233">
        <f>VLOOKUP(tabParametros[[#Headers],[SENAI OU SENAC]],tabImpostosNacionais[],2,0)</f>
        <v>0.01</v>
      </c>
      <c r="T161" s="233">
        <f>VLOOKUP(tabParametros[[#Headers],[INCRA]],tabImpostosNacionais[],2,0)</f>
        <v>2E-3</v>
      </c>
      <c r="U161" s="233">
        <f>VLOOKUP(tabParametros[[#Headers],[Salário Educação]],tabImpostosNacionais[],2,0)</f>
        <v>2.5000000000000001E-2</v>
      </c>
      <c r="V161" s="233">
        <f>VLOOKUP(tabParametros[[#Headers],[FGTS]],tabImpostosNacionais[],2,0)</f>
        <v>0.08</v>
      </c>
      <c r="W161" s="233">
        <f>VLOOKUP(tabParametros[[#Headers],[RAT Ajustado]],tabImpostosNacionais[],2,0)</f>
        <v>0.04</v>
      </c>
      <c r="X161" s="233">
        <f>VLOOKUP(tabParametros[[#Headers],[SEBRAE]],tabImpostosNacionais[],2,0)</f>
        <v>6.0000000000000001E-3</v>
      </c>
      <c r="Y161" s="233">
        <f t="shared" si="22"/>
        <v>8.3333333333333329E-2</v>
      </c>
      <c r="Z161" s="233">
        <f t="shared" si="23"/>
        <v>0.1111111111111111</v>
      </c>
      <c r="AA161" s="232">
        <f>VLOOKUP(tabParametros[[#This Row],[Comarca]],tabComarca[],5,0)</f>
        <v>6.4</v>
      </c>
      <c r="AB161" s="232">
        <f>VLOOKUP(tabParametros[[#This Row],[CCT DA CATEGORIA]],tabSindicatos[],6,0)</f>
        <v>29.15</v>
      </c>
      <c r="AC161" s="232">
        <f>VLOOKUP(tabParametros[[#This Row],[CCT DA CATEGORIA]],tabSindicatos[],7,0)</f>
        <v>0</v>
      </c>
      <c r="AD161" s="232" cm="1">
        <f t="array" ref="AD16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61" s="232">
        <f>VLOOKUP(tabParametros[[#This Row],[CCT DA CATEGORIA]],tabSindicatos[],9,0)</f>
        <v>0</v>
      </c>
      <c r="AF161" s="232">
        <f>VLOOKUP(tabParametros[[#This Row],[CCT DA CATEGORIA]],tabSindicatos[],10,0)</f>
        <v>0</v>
      </c>
      <c r="AG161" s="234">
        <f>VLOOKUP(tabParametros[[#Headers],[Seguro de Vida]],tabOutrosCustos[],3,0)</f>
        <v>3.36</v>
      </c>
      <c r="AH161" s="234">
        <f>IF(ISNUMBER(SEARCH("MOTORISTA",tabParametros[[#This Row],[Função]],1)),VLOOKUP("MOTORISTAS",tabDiarias[],2,0),IF(tabParametros[[#This Row],[Comarca]]="Belo Horizonte",VLOOKUP("APOIO",tabDiarias[],2,0),0))</f>
        <v>0</v>
      </c>
      <c r="AI161" s="233">
        <f t="shared" si="24"/>
        <v>7.011766975308642E-3</v>
      </c>
      <c r="AJ161" s="235">
        <f>tabParametros[[#This Row],[FGTS]]*tabParametros[[#This Row],[Aviso Prévio Indenizado (API) e Reflexo do Aviso Prévio Indenizado]]</f>
        <v>5.609413580246914E-4</v>
      </c>
      <c r="AK161" s="235">
        <f>tabParametros[[#This Row],[FGTS]]*tabParametros[[#This Row],[Aviso Prévio Indenizado (API) e Reflexo do Aviso Prévio Indenizado]]*40%</f>
        <v>2.2437654320987658E-4</v>
      </c>
      <c r="AL161" s="233">
        <f t="shared" si="25"/>
        <v>3.5000000000000005E-3</v>
      </c>
      <c r="AM161" s="233">
        <f>tabParametros[[#This Row],[Aviso Prévio Trabalhado - APT]]*SUM(tabParametros[[#This Row],[INSS]:[SEBRAE]])</f>
        <v>1.3230000000000004E-3</v>
      </c>
      <c r="AN161" s="233">
        <f t="shared" si="26"/>
        <v>3.0577777777777773E-2</v>
      </c>
      <c r="AO161" s="233">
        <f t="shared" si="27"/>
        <v>8.3333333333333339E-4</v>
      </c>
      <c r="AP161" s="233">
        <f t="shared" si="28"/>
        <v>8.4444444444444437E-3</v>
      </c>
      <c r="AQ161" s="233">
        <f t="shared" si="29"/>
        <v>2.0277777777777777E-3</v>
      </c>
      <c r="AR161" s="233">
        <f t="shared" si="30"/>
        <v>1.7083333333333333E-4</v>
      </c>
      <c r="AS161" s="233">
        <f t="shared" si="31"/>
        <v>2.0833333333333335E-4</v>
      </c>
      <c r="AT161" s="233">
        <f t="shared" si="32"/>
        <v>1.2962962962962963E-3</v>
      </c>
      <c r="AU161" s="235">
        <f>SUM(tabParametros[[#This Row],[Ausência por Doença]:[Férias, Adicional de Férias e 13º  com empregada em gozo de Licença Maternidade]])*SUM(tabParametros[[#This Row],[INSS]:[SEBRAE]])</f>
        <v>4.5918250000000008E-3</v>
      </c>
      <c r="AV161" s="254">
        <f>IF(tabParametros[[#This Row],[Função]]="Porteiro - 220 h",SUM(tabParametros[[#This Row],[Salário Base]:[Adicional de Acúmulo de função]])/220*20*1.5,IF(ISNUMBER(SEARCH("12 x 36",tabParametros[[#This Row],[Função]],1)),SUM(tabParametros[[#This Row],[Salário Base]:[Adicional de Acúmulo de função]])/210*15.5*1.5,0))</f>
        <v>0</v>
      </c>
      <c r="AW161" s="232">
        <f>IF(tabParametros[[#This Row],[Vagas contratadas]]&gt;0,(SUM(tabParametros[[#This Row],[Salário Base]:[Adicional de Acúmulo de função]])*30%+SUM(tabParametros[[#This Row],[Vale - Alimentação]:[Seguro de Vida]]))/tabParametros[[#This Row],[Vagas contratadas]]*tabParametros[[#This Row],[Vagas suspensas]],0)</f>
        <v>0</v>
      </c>
      <c r="AX161" s="232">
        <f>SUMIF(tabUniformes[Cargo],tabParametros[[#This Row],[Função]],tabUniformes[Valor unit. Mensal])</f>
        <v>56.642978962543395</v>
      </c>
      <c r="AY16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1" s="232">
        <v>0</v>
      </c>
      <c r="BC161" s="234" t="e">
        <f ca="1">VLOOKUP(tabParametros[[#Headers],[Custos Indiretos]],tabOutrosCustos[],3,0)</f>
        <v>#NAME?</v>
      </c>
      <c r="BD161" s="234" t="e">
        <f ca="1">VLOOKUP(tabParametros[[#Headers],[Lucro]],tabOutrosCustos[],3,0)</f>
        <v>#NAME?</v>
      </c>
      <c r="BE161" s="233">
        <f>VLOOKUP(tabParametros[[#Headers],[COFINS]],tabImpostosNacionais[],2,0)</f>
        <v>7.5999999999999998E-2</v>
      </c>
      <c r="BF161" s="233">
        <f>VLOOKUP(tabParametros[[#Headers],[PIS]],tabImpostosNacionais[],2,0)</f>
        <v>1.6500000000000001E-2</v>
      </c>
      <c r="BG161" s="233">
        <f>VLOOKUP(tabParametros[[#This Row],[Comarca]],tabComarca[],4,0)</f>
        <v>0.05</v>
      </c>
      <c r="BH161" s="236">
        <f>VLOOKUP(tabParametros[[#This Row],[CCT DA CATEGORIA]],tabSindicatos[],11,0)</f>
        <v>45658</v>
      </c>
      <c r="BI161" s="282" t="str">
        <f>VLOOKUP(tabParametros[[#This Row],[CCT DA CATEGORIA]],tabSindicatos[],12,0)</f>
        <v>-</v>
      </c>
      <c r="BJ161" s="285" t="str">
        <f>VLOOKUP(tabParametros[[#This Row],[CCT DA CATEGORIA]],tabSindicatos[],13,0)</f>
        <v>-</v>
      </c>
    </row>
    <row r="162" spans="1:62">
      <c r="A162" s="231" t="s">
        <v>1612</v>
      </c>
      <c r="B162" s="197" t="s">
        <v>1142</v>
      </c>
      <c r="C162" s="197" t="s">
        <v>314</v>
      </c>
      <c r="D162" s="197" t="str">
        <f>VLOOKUP(tabParametros[[#This Row],[Código do Posto]],tabPostos[],4,0)</f>
        <v>Alto Paranaiba</v>
      </c>
      <c r="E162" s="282" t="str">
        <f>VLOOKUP(tabParametros[[#This Row],[Código do Posto]],tabPostos[],5,0)</f>
        <v>Apoio</v>
      </c>
      <c r="F162" s="282" t="str">
        <f>VLOOKUP(tabParametros[[#This Row],[Código do Posto]],tabPostos[],6,0)</f>
        <v>PGJ</v>
      </c>
      <c r="G162" s="282">
        <f>VLOOKUP(tabParametros[[#This Row],[Código do Posto]],tabPostos[],7,0)</f>
        <v>1</v>
      </c>
      <c r="H162" s="282">
        <f>VLOOKUP(tabParametros[[#This Row],[Código do Posto]],tabPostos[],8,0)</f>
        <v>0</v>
      </c>
      <c r="I162" s="232">
        <f>VLOOKUP(tabParametros[[#This Row],[Código do Posto]],tabPostos[],9,0)</f>
        <v>1963.4050319620983</v>
      </c>
      <c r="J162" s="232">
        <f>IF(ISNUMBER(SEARCH("Eletricista",tabParametros[[#This Row],[Função]],1)),0.3*tabParametros[[#This Row],[Salário Base]],0)</f>
        <v>0</v>
      </c>
      <c r="K16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2" s="232">
        <f>IF(AND(ISNUMBER(SEARCH("Noturno",tabParametros[[#This Row],[Função]],1)),tabParametros[[#This Row],[Comarca]]&lt;&gt;"Juiz de Fora"),tabParametros[[#This Row],[Salário Base]]/210*0.39*7*15.5,IF(ISNUMBER(SEARCH("Noturno",tabParametros[[#This Row],[Função]],1)),tabParametros[[#This Row],[Salário Base]]/210*0.2*8*15.5,0))</f>
        <v>0</v>
      </c>
      <c r="M162" s="232">
        <f>IF(ISNUMBER(SEARCH("Motorista II",tabParametros[[#This Row],[Função]],1)),0.3022*tabParametros[[#This Row],[Salário Base]],0)</f>
        <v>0</v>
      </c>
      <c r="N162" s="254">
        <v>0</v>
      </c>
      <c r="O162" s="254">
        <f>IF(ISNUMBER(SEARCH("TECNOLOGIA DA INFORMACAO",tabParametros[[#This Row],[Função]],1)),0.056*tabParametros[[#This Row],[Salário Base]],0)</f>
        <v>0</v>
      </c>
      <c r="P162" s="232">
        <f>IF(tabParametros[[#This Row],[Função]]="Operador de Midia Audiovisual - 150 h",tabParametros[[#This Row],[Salário Base]]/150*50*30%,IF(tabParametros[[#This Row],[Função]]="Supervisor de Manutencao de Veiculos II - 220 h",12%*tabParametros[[#This Row],[Salário Base]],0))</f>
        <v>0</v>
      </c>
      <c r="Q162" s="233">
        <f>VLOOKUP(tabParametros[[#Headers],[INSS]],tabImpostosNacionais[],2,0)</f>
        <v>0.2</v>
      </c>
      <c r="R162" s="233">
        <f>VLOOKUP(tabParametros[[#Headers],[SESI OU SESC]],tabImpostosNacionais[],2,0)</f>
        <v>1.4999999999999999E-2</v>
      </c>
      <c r="S162" s="233">
        <f>VLOOKUP(tabParametros[[#Headers],[SENAI OU SENAC]],tabImpostosNacionais[],2,0)</f>
        <v>0.01</v>
      </c>
      <c r="T162" s="233">
        <f>VLOOKUP(tabParametros[[#Headers],[INCRA]],tabImpostosNacionais[],2,0)</f>
        <v>2E-3</v>
      </c>
      <c r="U162" s="233">
        <f>VLOOKUP(tabParametros[[#Headers],[Salário Educação]],tabImpostosNacionais[],2,0)</f>
        <v>2.5000000000000001E-2</v>
      </c>
      <c r="V162" s="233">
        <f>VLOOKUP(tabParametros[[#Headers],[FGTS]],tabImpostosNacionais[],2,0)</f>
        <v>0.08</v>
      </c>
      <c r="W162" s="233">
        <f>VLOOKUP(tabParametros[[#Headers],[RAT Ajustado]],tabImpostosNacionais[],2,0)</f>
        <v>0.04</v>
      </c>
      <c r="X162" s="233">
        <f>VLOOKUP(tabParametros[[#Headers],[SEBRAE]],tabImpostosNacionais[],2,0)</f>
        <v>6.0000000000000001E-3</v>
      </c>
      <c r="Y162" s="233">
        <f t="shared" si="22"/>
        <v>8.3333333333333329E-2</v>
      </c>
      <c r="Z162" s="233">
        <f t="shared" si="23"/>
        <v>0.1111111111111111</v>
      </c>
      <c r="AA162" s="232">
        <f>VLOOKUP(tabParametros[[#This Row],[Comarca]],tabComarca[],5,0)</f>
        <v>6.4</v>
      </c>
      <c r="AB162" s="232">
        <f>VLOOKUP(tabParametros[[#This Row],[CCT DA CATEGORIA]],tabSindicatos[],6,0)</f>
        <v>0</v>
      </c>
      <c r="AC162" s="232">
        <f>VLOOKUP(tabParametros[[#This Row],[CCT DA CATEGORIA]],tabSindicatos[],7,0)</f>
        <v>387.79</v>
      </c>
      <c r="AD162" s="232" cm="1">
        <f t="array" ref="AD16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162" s="232">
        <f>VLOOKUP(tabParametros[[#This Row],[CCT DA CATEGORIA]],tabSindicatos[],9,0)</f>
        <v>0</v>
      </c>
      <c r="AF162" s="232">
        <f>VLOOKUP(tabParametros[[#This Row],[CCT DA CATEGORIA]],tabSindicatos[],10,0)</f>
        <v>0</v>
      </c>
      <c r="AG162" s="234">
        <f>VLOOKUP(tabParametros[[#Headers],[Seguro de Vida]],tabOutrosCustos[],3,0)</f>
        <v>3.36</v>
      </c>
      <c r="AH162" s="234">
        <f>IF(ISNUMBER(SEARCH("MOTORISTA",tabParametros[[#This Row],[Função]],1)),VLOOKUP("MOTORISTAS",tabDiarias[],2,0),IF(tabParametros[[#This Row],[Comarca]]="Belo Horizonte",VLOOKUP("APOIO",tabDiarias[],2,0),0))</f>
        <v>0</v>
      </c>
      <c r="AI162" s="233">
        <f t="shared" si="24"/>
        <v>7.011766975308642E-3</v>
      </c>
      <c r="AJ162" s="235">
        <f>tabParametros[[#This Row],[FGTS]]*tabParametros[[#This Row],[Aviso Prévio Indenizado (API) e Reflexo do Aviso Prévio Indenizado]]</f>
        <v>5.609413580246914E-4</v>
      </c>
      <c r="AK162" s="235">
        <f>tabParametros[[#This Row],[FGTS]]*tabParametros[[#This Row],[Aviso Prévio Indenizado (API) e Reflexo do Aviso Prévio Indenizado]]*40%</f>
        <v>2.2437654320987658E-4</v>
      </c>
      <c r="AL162" s="233">
        <f t="shared" si="25"/>
        <v>3.5000000000000005E-3</v>
      </c>
      <c r="AM162" s="233">
        <f>tabParametros[[#This Row],[Aviso Prévio Trabalhado - APT]]*SUM(tabParametros[[#This Row],[INSS]:[SEBRAE]])</f>
        <v>1.3230000000000004E-3</v>
      </c>
      <c r="AN162" s="233">
        <f t="shared" si="26"/>
        <v>3.0577777777777773E-2</v>
      </c>
      <c r="AO162" s="233">
        <f t="shared" si="27"/>
        <v>8.3333333333333339E-4</v>
      </c>
      <c r="AP162" s="233">
        <f t="shared" si="28"/>
        <v>8.4444444444444437E-3</v>
      </c>
      <c r="AQ162" s="233">
        <f t="shared" si="29"/>
        <v>2.0277777777777777E-3</v>
      </c>
      <c r="AR162" s="233">
        <f t="shared" si="30"/>
        <v>1.7083333333333333E-4</v>
      </c>
      <c r="AS162" s="233">
        <f t="shared" si="31"/>
        <v>2.0833333333333335E-4</v>
      </c>
      <c r="AT162" s="233">
        <f t="shared" si="32"/>
        <v>1.2962962962962963E-3</v>
      </c>
      <c r="AU162" s="235">
        <f>SUM(tabParametros[[#This Row],[Ausência por Doença]:[Férias, Adicional de Férias e 13º  com empregada em gozo de Licença Maternidade]])*SUM(tabParametros[[#This Row],[INSS]:[SEBRAE]])</f>
        <v>4.5918250000000008E-3</v>
      </c>
      <c r="AV162"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162" s="232">
        <f>IF(tabParametros[[#This Row],[Vagas contratadas]]&gt;0,(SUM(tabParametros[[#This Row],[Salário Base]:[Adicional de Acúmulo de função]])*30%+SUM(tabParametros[[#This Row],[Vale - Alimentação]:[Seguro de Vida]]))/tabParametros[[#This Row],[Vagas contratadas]]*tabParametros[[#This Row],[Vagas suspensas]],0)</f>
        <v>0</v>
      </c>
      <c r="AX162" s="232">
        <f>SUMIF(tabUniformes[Cargo],tabParametros[[#This Row],[Função]],tabUniformes[Valor unit. Mensal])</f>
        <v>56.642978962543395</v>
      </c>
      <c r="AY16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2" s="232">
        <v>0</v>
      </c>
      <c r="BC162" s="234" t="e">
        <f ca="1">VLOOKUP(tabParametros[[#Headers],[Custos Indiretos]],tabOutrosCustos[],3,0)</f>
        <v>#NAME?</v>
      </c>
      <c r="BD162" s="234" t="e">
        <f ca="1">VLOOKUP(tabParametros[[#Headers],[Lucro]],tabOutrosCustos[],3,0)</f>
        <v>#NAME?</v>
      </c>
      <c r="BE162" s="233">
        <f>VLOOKUP(tabParametros[[#Headers],[COFINS]],tabImpostosNacionais[],2,0)</f>
        <v>7.5999999999999998E-2</v>
      </c>
      <c r="BF162" s="233">
        <f>VLOOKUP(tabParametros[[#Headers],[PIS]],tabImpostosNacionais[],2,0)</f>
        <v>1.6500000000000001E-2</v>
      </c>
      <c r="BG162" s="233">
        <f>VLOOKUP(tabParametros[[#This Row],[Comarca]],tabComarca[],4,0)</f>
        <v>0.02</v>
      </c>
      <c r="BH162" s="236">
        <f>VLOOKUP(tabParametros[[#This Row],[CCT DA CATEGORIA]],tabSindicatos[],11,0)</f>
        <v>45658</v>
      </c>
      <c r="BI162" s="282" t="str">
        <f>VLOOKUP(tabParametros[[#This Row],[CCT DA CATEGORIA]],tabSindicatos[],12,0)</f>
        <v>-</v>
      </c>
      <c r="BJ162" s="285" t="str">
        <f>VLOOKUP(tabParametros[[#This Row],[CCT DA CATEGORIA]],tabSindicatos[],13,0)</f>
        <v>-</v>
      </c>
    </row>
    <row r="163" spans="1:62">
      <c r="A163" s="231" t="s">
        <v>1613</v>
      </c>
      <c r="B163" s="197" t="s">
        <v>1143</v>
      </c>
      <c r="C163" s="197" t="s">
        <v>304</v>
      </c>
      <c r="D163" s="197" t="str">
        <f>VLOOKUP(tabParametros[[#This Row],[Código do Posto]],tabPostos[],4,0)</f>
        <v>Sind - Asseio</v>
      </c>
      <c r="E163" s="282" t="str">
        <f>VLOOKUP(tabParametros[[#This Row],[Código do Posto]],tabPostos[],5,0)</f>
        <v>Apoio</v>
      </c>
      <c r="F163" s="282" t="str">
        <f>VLOOKUP(tabParametros[[#This Row],[Código do Posto]],tabPostos[],6,0)</f>
        <v>PGJ</v>
      </c>
      <c r="G163" s="282">
        <f>VLOOKUP(tabParametros[[#This Row],[Código do Posto]],tabPostos[],7,0)</f>
        <v>2</v>
      </c>
      <c r="H163" s="282">
        <f>VLOOKUP(tabParametros[[#This Row],[Código do Posto]],tabPostos[],8,0)</f>
        <v>0</v>
      </c>
      <c r="I163" s="232">
        <f>VLOOKUP(tabParametros[[#This Row],[Código do Posto]],tabPostos[],9,0)</f>
        <v>2134.8034899326635</v>
      </c>
      <c r="J163" s="232">
        <f>IF(ISNUMBER(SEARCH("Eletricista",tabParametros[[#This Row],[Função]],1)),0.3*tabParametros[[#This Row],[Salário Base]],0)</f>
        <v>0</v>
      </c>
      <c r="K16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3" s="232">
        <f>IF(AND(ISNUMBER(SEARCH("Noturno",tabParametros[[#This Row],[Função]],1)),tabParametros[[#This Row],[Comarca]]&lt;&gt;"Juiz de Fora"),tabParametros[[#This Row],[Salário Base]]/210*0.39*7*15.5,IF(ISNUMBER(SEARCH("Noturno",tabParametros[[#This Row],[Função]],1)),tabParametros[[#This Row],[Salário Base]]/210*0.2*8*15.5,0))</f>
        <v>0</v>
      </c>
      <c r="M163" s="232">
        <f>IF(ISNUMBER(SEARCH("Motorista II",tabParametros[[#This Row],[Função]],1)),0.3022*tabParametros[[#This Row],[Salário Base]],0)</f>
        <v>0</v>
      </c>
      <c r="N163" s="254">
        <v>0</v>
      </c>
      <c r="O163" s="254">
        <f>IF(ISNUMBER(SEARCH("TECNOLOGIA DA INFORMACAO",tabParametros[[#This Row],[Função]],1)),0.056*tabParametros[[#This Row],[Salário Base]],0)</f>
        <v>0</v>
      </c>
      <c r="P163" s="232">
        <f>IF(tabParametros[[#This Row],[Função]]="Operador de Midia Audiovisual - 150 h",tabParametros[[#This Row],[Salário Base]]/150*50*30%,IF(tabParametros[[#This Row],[Função]]="Supervisor de Manutencao de Veiculos II - 220 h",12%*tabParametros[[#This Row],[Salário Base]],0))</f>
        <v>0</v>
      </c>
      <c r="Q163" s="233">
        <f>VLOOKUP(tabParametros[[#Headers],[INSS]],tabImpostosNacionais[],2,0)</f>
        <v>0.2</v>
      </c>
      <c r="R163" s="233">
        <f>VLOOKUP(tabParametros[[#Headers],[SESI OU SESC]],tabImpostosNacionais[],2,0)</f>
        <v>1.4999999999999999E-2</v>
      </c>
      <c r="S163" s="233">
        <f>VLOOKUP(tabParametros[[#Headers],[SENAI OU SENAC]],tabImpostosNacionais[],2,0)</f>
        <v>0.01</v>
      </c>
      <c r="T163" s="233">
        <f>VLOOKUP(tabParametros[[#Headers],[INCRA]],tabImpostosNacionais[],2,0)</f>
        <v>2E-3</v>
      </c>
      <c r="U163" s="233">
        <f>VLOOKUP(tabParametros[[#Headers],[Salário Educação]],tabImpostosNacionais[],2,0)</f>
        <v>2.5000000000000001E-2</v>
      </c>
      <c r="V163" s="233">
        <f>VLOOKUP(tabParametros[[#Headers],[FGTS]],tabImpostosNacionais[],2,0)</f>
        <v>0.08</v>
      </c>
      <c r="W163" s="233">
        <f>VLOOKUP(tabParametros[[#Headers],[RAT Ajustado]],tabImpostosNacionais[],2,0)</f>
        <v>0.04</v>
      </c>
      <c r="X163" s="233">
        <f>VLOOKUP(tabParametros[[#Headers],[SEBRAE]],tabImpostosNacionais[],2,0)</f>
        <v>6.0000000000000001E-3</v>
      </c>
      <c r="Y163" s="233">
        <f t="shared" si="22"/>
        <v>8.3333333333333329E-2</v>
      </c>
      <c r="Z163" s="233">
        <f t="shared" si="23"/>
        <v>0.1111111111111111</v>
      </c>
      <c r="AA163" s="232">
        <f>VLOOKUP(tabParametros[[#This Row],[Comarca]],tabComarca[],5,0)</f>
        <v>6.4</v>
      </c>
      <c r="AB163" s="232">
        <f>VLOOKUP(tabParametros[[#This Row],[CCT DA CATEGORIA]],tabSindicatos[],6,0)</f>
        <v>29.15</v>
      </c>
      <c r="AC163" s="232">
        <f>VLOOKUP(tabParametros[[#This Row],[CCT DA CATEGORIA]],tabSindicatos[],7,0)</f>
        <v>0</v>
      </c>
      <c r="AD163" s="232" cm="1">
        <f t="array" ref="AD16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163" s="232">
        <f>VLOOKUP(tabParametros[[#This Row],[CCT DA CATEGORIA]],tabSindicatos[],9,0)</f>
        <v>0</v>
      </c>
      <c r="AF163" s="232">
        <f>VLOOKUP(tabParametros[[#This Row],[CCT DA CATEGORIA]],tabSindicatos[],10,0)</f>
        <v>0</v>
      </c>
      <c r="AG163" s="234">
        <f>VLOOKUP(tabParametros[[#Headers],[Seguro de Vida]],tabOutrosCustos[],3,0)</f>
        <v>3.36</v>
      </c>
      <c r="AH163" s="234">
        <f>IF(ISNUMBER(SEARCH("MOTORISTA",tabParametros[[#This Row],[Função]],1)),VLOOKUP("MOTORISTAS",tabDiarias[],2,0),IF(tabParametros[[#This Row],[Comarca]]="Belo Horizonte",VLOOKUP("APOIO",tabDiarias[],2,0),0))</f>
        <v>0</v>
      </c>
      <c r="AI163" s="233">
        <f t="shared" si="24"/>
        <v>7.011766975308642E-3</v>
      </c>
      <c r="AJ163" s="235">
        <f>tabParametros[[#This Row],[FGTS]]*tabParametros[[#This Row],[Aviso Prévio Indenizado (API) e Reflexo do Aviso Prévio Indenizado]]</f>
        <v>5.609413580246914E-4</v>
      </c>
      <c r="AK163" s="235">
        <f>tabParametros[[#This Row],[FGTS]]*tabParametros[[#This Row],[Aviso Prévio Indenizado (API) e Reflexo do Aviso Prévio Indenizado]]*40%</f>
        <v>2.2437654320987658E-4</v>
      </c>
      <c r="AL163" s="233">
        <f t="shared" si="25"/>
        <v>3.5000000000000005E-3</v>
      </c>
      <c r="AM163" s="233">
        <f>tabParametros[[#This Row],[Aviso Prévio Trabalhado - APT]]*SUM(tabParametros[[#This Row],[INSS]:[SEBRAE]])</f>
        <v>1.3230000000000004E-3</v>
      </c>
      <c r="AN163" s="233">
        <f t="shared" si="26"/>
        <v>3.0577777777777773E-2</v>
      </c>
      <c r="AO163" s="233">
        <f t="shared" si="27"/>
        <v>8.3333333333333339E-4</v>
      </c>
      <c r="AP163" s="233">
        <f t="shared" si="28"/>
        <v>8.4444444444444437E-3</v>
      </c>
      <c r="AQ163" s="233">
        <f t="shared" si="29"/>
        <v>2.0277777777777777E-3</v>
      </c>
      <c r="AR163" s="233">
        <f t="shared" si="30"/>
        <v>1.7083333333333333E-4</v>
      </c>
      <c r="AS163" s="233">
        <f t="shared" si="31"/>
        <v>2.0833333333333335E-4</v>
      </c>
      <c r="AT163" s="233">
        <f t="shared" si="32"/>
        <v>1.2962962962962963E-3</v>
      </c>
      <c r="AU163" s="235">
        <f>SUM(tabParametros[[#This Row],[Ausência por Doença]:[Férias, Adicional de Férias e 13º  com empregada em gozo de Licença Maternidade]])*SUM(tabParametros[[#This Row],[INSS]:[SEBRAE]])</f>
        <v>4.5918250000000008E-3</v>
      </c>
      <c r="AV163" s="254">
        <f>IF(tabParametros[[#This Row],[Função]]="Porteiro - 220 h",SUM(tabParametros[[#This Row],[Salário Base]:[Adicional de Acúmulo de função]])/220*20*1.5,IF(ISNUMBER(SEARCH("12 x 36",tabParametros[[#This Row],[Função]],1)),SUM(tabParametros[[#This Row],[Salário Base]:[Adicional de Acúmulo de função]])/210*15.5*1.5,0))</f>
        <v>236.35324352825916</v>
      </c>
      <c r="AW163" s="232">
        <f>IF(tabParametros[[#This Row],[Vagas contratadas]]&gt;0,(SUM(tabParametros[[#This Row],[Salário Base]:[Adicional de Acúmulo de função]])*30%+SUM(tabParametros[[#This Row],[Vale - Alimentação]:[Seguro de Vida]]))/tabParametros[[#This Row],[Vagas contratadas]]*tabParametros[[#This Row],[Vagas suspensas]],0)</f>
        <v>0</v>
      </c>
      <c r="AX163" s="232">
        <f>SUMIF(tabUniformes[Cargo],tabParametros[[#This Row],[Função]],tabUniformes[Valor unit. Mensal])</f>
        <v>56.642978962543395</v>
      </c>
      <c r="AY16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3" s="232">
        <v>0</v>
      </c>
      <c r="BC163" s="234" t="e">
        <f ca="1">VLOOKUP(tabParametros[[#Headers],[Custos Indiretos]],tabOutrosCustos[],3,0)</f>
        <v>#NAME?</v>
      </c>
      <c r="BD163" s="234" t="e">
        <f ca="1">VLOOKUP(tabParametros[[#Headers],[Lucro]],tabOutrosCustos[],3,0)</f>
        <v>#NAME?</v>
      </c>
      <c r="BE163" s="233">
        <f>VLOOKUP(tabParametros[[#Headers],[COFINS]],tabImpostosNacionais[],2,0)</f>
        <v>7.5999999999999998E-2</v>
      </c>
      <c r="BF163" s="233">
        <f>VLOOKUP(tabParametros[[#Headers],[PIS]],tabImpostosNacionais[],2,0)</f>
        <v>1.6500000000000001E-2</v>
      </c>
      <c r="BG163" s="233">
        <f>VLOOKUP(tabParametros[[#This Row],[Comarca]],tabComarca[],4,0)</f>
        <v>0.02</v>
      </c>
      <c r="BH163" s="236">
        <f>VLOOKUP(tabParametros[[#This Row],[CCT DA CATEGORIA]],tabSindicatos[],11,0)</f>
        <v>45658</v>
      </c>
      <c r="BI163" s="282" t="str">
        <f>VLOOKUP(tabParametros[[#This Row],[CCT DA CATEGORIA]],tabSindicatos[],12,0)</f>
        <v>-</v>
      </c>
      <c r="BJ163" s="285" t="str">
        <f>VLOOKUP(tabParametros[[#This Row],[CCT DA CATEGORIA]],tabSindicatos[],13,0)</f>
        <v>-</v>
      </c>
    </row>
    <row r="164" spans="1:62">
      <c r="A164" s="231" t="s">
        <v>1614</v>
      </c>
      <c r="B164" s="197" t="s">
        <v>1143</v>
      </c>
      <c r="C164" s="197" t="s">
        <v>309</v>
      </c>
      <c r="D164" s="197" t="str">
        <f>VLOOKUP(tabParametros[[#This Row],[Código do Posto]],tabPostos[],4,0)</f>
        <v>Sind - Asseio</v>
      </c>
      <c r="E164" s="282" t="str">
        <f>VLOOKUP(tabParametros[[#This Row],[Código do Posto]],tabPostos[],5,0)</f>
        <v>Apoio</v>
      </c>
      <c r="F164" s="282" t="str">
        <f>VLOOKUP(tabParametros[[#This Row],[Código do Posto]],tabPostos[],6,0)</f>
        <v>PGJ</v>
      </c>
      <c r="G164" s="282">
        <f>VLOOKUP(tabParametros[[#This Row],[Código do Posto]],tabPostos[],7,0)</f>
        <v>2</v>
      </c>
      <c r="H164" s="282">
        <f>VLOOKUP(tabParametros[[#This Row],[Código do Posto]],tabPostos[],8,0)</f>
        <v>0</v>
      </c>
      <c r="I164" s="232">
        <f>VLOOKUP(tabParametros[[#This Row],[Código do Posto]],tabPostos[],9,0)</f>
        <v>2134.8034899326635</v>
      </c>
      <c r="J164" s="232">
        <f>IF(ISNUMBER(SEARCH("Eletricista",tabParametros[[#This Row],[Função]],1)),0.3*tabParametros[[#This Row],[Salário Base]],0)</f>
        <v>0</v>
      </c>
      <c r="K16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4" s="232">
        <f>IF(AND(ISNUMBER(SEARCH("Noturno",tabParametros[[#This Row],[Função]],1)),tabParametros[[#This Row],[Comarca]]&lt;&gt;"Juiz de Fora"),tabParametros[[#This Row],[Salário Base]]/210*0.39*7*15.5,IF(ISNUMBER(SEARCH("Noturno",tabParametros[[#This Row],[Função]],1)),tabParametros[[#This Row],[Salário Base]]/210*0.2*8*15.5,0))</f>
        <v>430.16290322143169</v>
      </c>
      <c r="M164" s="232">
        <f>IF(ISNUMBER(SEARCH("Motorista II",tabParametros[[#This Row],[Função]],1)),0.3022*tabParametros[[#This Row],[Salário Base]],0)</f>
        <v>0</v>
      </c>
      <c r="N164" s="254">
        <v>0</v>
      </c>
      <c r="O164" s="254">
        <f>IF(ISNUMBER(SEARCH("TECNOLOGIA DA INFORMACAO",tabParametros[[#This Row],[Função]],1)),0.056*tabParametros[[#This Row],[Salário Base]],0)</f>
        <v>0</v>
      </c>
      <c r="P164" s="232">
        <f>IF(tabParametros[[#This Row],[Função]]="Operador de Midia Audiovisual - 150 h",tabParametros[[#This Row],[Salário Base]]/150*50*30%,IF(tabParametros[[#This Row],[Função]]="Supervisor de Manutencao de Veiculos II - 220 h",12%*tabParametros[[#This Row],[Salário Base]],0))</f>
        <v>0</v>
      </c>
      <c r="Q164" s="233">
        <f>VLOOKUP(tabParametros[[#Headers],[INSS]],tabImpostosNacionais[],2,0)</f>
        <v>0.2</v>
      </c>
      <c r="R164" s="233">
        <f>VLOOKUP(tabParametros[[#Headers],[SESI OU SESC]],tabImpostosNacionais[],2,0)</f>
        <v>1.4999999999999999E-2</v>
      </c>
      <c r="S164" s="233">
        <f>VLOOKUP(tabParametros[[#Headers],[SENAI OU SENAC]],tabImpostosNacionais[],2,0)</f>
        <v>0.01</v>
      </c>
      <c r="T164" s="233">
        <f>VLOOKUP(tabParametros[[#Headers],[INCRA]],tabImpostosNacionais[],2,0)</f>
        <v>2E-3</v>
      </c>
      <c r="U164" s="233">
        <f>VLOOKUP(tabParametros[[#Headers],[Salário Educação]],tabImpostosNacionais[],2,0)</f>
        <v>2.5000000000000001E-2</v>
      </c>
      <c r="V164" s="233">
        <f>VLOOKUP(tabParametros[[#Headers],[FGTS]],tabImpostosNacionais[],2,0)</f>
        <v>0.08</v>
      </c>
      <c r="W164" s="233">
        <f>VLOOKUP(tabParametros[[#Headers],[RAT Ajustado]],tabImpostosNacionais[],2,0)</f>
        <v>0.04</v>
      </c>
      <c r="X164" s="233">
        <f>VLOOKUP(tabParametros[[#Headers],[SEBRAE]],tabImpostosNacionais[],2,0)</f>
        <v>6.0000000000000001E-3</v>
      </c>
      <c r="Y164" s="233">
        <f t="shared" si="22"/>
        <v>8.3333333333333329E-2</v>
      </c>
      <c r="Z164" s="233">
        <f t="shared" si="23"/>
        <v>0.1111111111111111</v>
      </c>
      <c r="AA164" s="232">
        <f>VLOOKUP(tabParametros[[#This Row],[Comarca]],tabComarca[],5,0)</f>
        <v>6.4</v>
      </c>
      <c r="AB164" s="232">
        <f>VLOOKUP(tabParametros[[#This Row],[CCT DA CATEGORIA]],tabSindicatos[],6,0)</f>
        <v>29.15</v>
      </c>
      <c r="AC164" s="232">
        <f>VLOOKUP(tabParametros[[#This Row],[CCT DA CATEGORIA]],tabSindicatos[],7,0)</f>
        <v>0</v>
      </c>
      <c r="AD164" s="232" cm="1">
        <f t="array" ref="AD16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164" s="232">
        <f>VLOOKUP(tabParametros[[#This Row],[CCT DA CATEGORIA]],tabSindicatos[],9,0)</f>
        <v>0</v>
      </c>
      <c r="AF164" s="232">
        <f>VLOOKUP(tabParametros[[#This Row],[CCT DA CATEGORIA]],tabSindicatos[],10,0)</f>
        <v>0</v>
      </c>
      <c r="AG164" s="234">
        <f>VLOOKUP(tabParametros[[#Headers],[Seguro de Vida]],tabOutrosCustos[],3,0)</f>
        <v>3.36</v>
      </c>
      <c r="AH164" s="234">
        <f>IF(ISNUMBER(SEARCH("MOTORISTA",tabParametros[[#This Row],[Função]],1)),VLOOKUP("MOTORISTAS",tabDiarias[],2,0),IF(tabParametros[[#This Row],[Comarca]]="Belo Horizonte",VLOOKUP("APOIO",tabDiarias[],2,0),0))</f>
        <v>0</v>
      </c>
      <c r="AI164" s="233">
        <f t="shared" si="24"/>
        <v>7.011766975308642E-3</v>
      </c>
      <c r="AJ164" s="235">
        <f>tabParametros[[#This Row],[FGTS]]*tabParametros[[#This Row],[Aviso Prévio Indenizado (API) e Reflexo do Aviso Prévio Indenizado]]</f>
        <v>5.609413580246914E-4</v>
      </c>
      <c r="AK164" s="235">
        <f>tabParametros[[#This Row],[FGTS]]*tabParametros[[#This Row],[Aviso Prévio Indenizado (API) e Reflexo do Aviso Prévio Indenizado]]*40%</f>
        <v>2.2437654320987658E-4</v>
      </c>
      <c r="AL164" s="233">
        <f t="shared" si="25"/>
        <v>3.5000000000000005E-3</v>
      </c>
      <c r="AM164" s="233">
        <f>tabParametros[[#This Row],[Aviso Prévio Trabalhado - APT]]*SUM(tabParametros[[#This Row],[INSS]:[SEBRAE]])</f>
        <v>1.3230000000000004E-3</v>
      </c>
      <c r="AN164" s="233">
        <f t="shared" si="26"/>
        <v>3.0577777777777773E-2</v>
      </c>
      <c r="AO164" s="233">
        <f t="shared" si="27"/>
        <v>8.3333333333333339E-4</v>
      </c>
      <c r="AP164" s="233">
        <f t="shared" si="28"/>
        <v>8.4444444444444437E-3</v>
      </c>
      <c r="AQ164" s="233">
        <f t="shared" si="29"/>
        <v>2.0277777777777777E-3</v>
      </c>
      <c r="AR164" s="233">
        <f t="shared" si="30"/>
        <v>1.7083333333333333E-4</v>
      </c>
      <c r="AS164" s="233">
        <f t="shared" si="31"/>
        <v>2.0833333333333335E-4</v>
      </c>
      <c r="AT164" s="233">
        <f t="shared" si="32"/>
        <v>1.2962962962962963E-3</v>
      </c>
      <c r="AU164" s="235">
        <f>SUM(tabParametros[[#This Row],[Ausência por Doença]:[Férias, Adicional de Férias e 13º  com empregada em gozo de Licença Maternidade]])*SUM(tabParametros[[#This Row],[INSS]:[SEBRAE]])</f>
        <v>4.5918250000000008E-3</v>
      </c>
      <c r="AV164" s="254">
        <f>IF(tabParametros[[#This Row],[Função]]="Porteiro - 220 h",SUM(tabParametros[[#This Row],[Salário Base]:[Adicional de Acúmulo de função]])/220*20*1.5,IF(ISNUMBER(SEARCH("12 x 36",tabParametros[[#This Row],[Função]],1)),SUM(tabParametros[[#This Row],[Salário Base]:[Adicional de Acúmulo de função]])/210*15.5*1.5,0))</f>
        <v>283.97842209920344</v>
      </c>
      <c r="AW164" s="232">
        <f>IF(tabParametros[[#This Row],[Vagas contratadas]]&gt;0,(SUM(tabParametros[[#This Row],[Salário Base]:[Adicional de Acúmulo de função]])*30%+SUM(tabParametros[[#This Row],[Vale - Alimentação]:[Seguro de Vida]]))/tabParametros[[#This Row],[Vagas contratadas]]*tabParametros[[#This Row],[Vagas suspensas]],0)</f>
        <v>0</v>
      </c>
      <c r="AX164" s="232">
        <f>SUMIF(tabUniformes[Cargo],tabParametros[[#This Row],[Função]],tabUniformes[Valor unit. Mensal])</f>
        <v>56.642978962543395</v>
      </c>
      <c r="AY16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4" s="232">
        <v>0</v>
      </c>
      <c r="BC164" s="234" t="e">
        <f ca="1">VLOOKUP(tabParametros[[#Headers],[Custos Indiretos]],tabOutrosCustos[],3,0)</f>
        <v>#NAME?</v>
      </c>
      <c r="BD164" s="234" t="e">
        <f ca="1">VLOOKUP(tabParametros[[#Headers],[Lucro]],tabOutrosCustos[],3,0)</f>
        <v>#NAME?</v>
      </c>
      <c r="BE164" s="233">
        <f>VLOOKUP(tabParametros[[#Headers],[COFINS]],tabImpostosNacionais[],2,0)</f>
        <v>7.5999999999999998E-2</v>
      </c>
      <c r="BF164" s="233">
        <f>VLOOKUP(tabParametros[[#Headers],[PIS]],tabImpostosNacionais[],2,0)</f>
        <v>1.6500000000000001E-2</v>
      </c>
      <c r="BG164" s="233">
        <f>VLOOKUP(tabParametros[[#This Row],[Comarca]],tabComarca[],4,0)</f>
        <v>0.02</v>
      </c>
      <c r="BH164" s="236">
        <f>VLOOKUP(tabParametros[[#This Row],[CCT DA CATEGORIA]],tabSindicatos[],11,0)</f>
        <v>45658</v>
      </c>
      <c r="BI164" s="282" t="str">
        <f>VLOOKUP(tabParametros[[#This Row],[CCT DA CATEGORIA]],tabSindicatos[],12,0)</f>
        <v>-</v>
      </c>
      <c r="BJ164" s="285" t="str">
        <f>VLOOKUP(tabParametros[[#This Row],[CCT DA CATEGORIA]],tabSindicatos[],13,0)</f>
        <v>-</v>
      </c>
    </row>
    <row r="165" spans="1:62">
      <c r="A165" s="231" t="s">
        <v>1615</v>
      </c>
      <c r="B165" s="197" t="s">
        <v>1143</v>
      </c>
      <c r="C165" s="197" t="s">
        <v>324</v>
      </c>
      <c r="D165" s="197" t="str">
        <f>VLOOKUP(tabParametros[[#This Row],[Código do Posto]],tabPostos[],4,0)</f>
        <v>Sind - Asseio</v>
      </c>
      <c r="E165" s="282" t="str">
        <f>VLOOKUP(tabParametros[[#This Row],[Código do Posto]],tabPostos[],5,0)</f>
        <v>Apoio</v>
      </c>
      <c r="F165" s="282" t="str">
        <f>VLOOKUP(tabParametros[[#This Row],[Código do Posto]],tabPostos[],6,0)</f>
        <v>PGJ</v>
      </c>
      <c r="G165" s="282">
        <f>VLOOKUP(tabParametros[[#This Row],[Código do Posto]],tabPostos[],7,0)</f>
        <v>2</v>
      </c>
      <c r="H165" s="282">
        <f>VLOOKUP(tabParametros[[#This Row],[Código do Posto]],tabPostos[],8,0)</f>
        <v>0</v>
      </c>
      <c r="I165" s="232">
        <f>VLOOKUP(tabParametros[[#This Row],[Código do Posto]],tabPostos[],9,0)</f>
        <v>3397.1306016921476</v>
      </c>
      <c r="J165" s="232">
        <f>IF(ISNUMBER(SEARCH("Eletricista",tabParametros[[#This Row],[Função]],1)),0.3*tabParametros[[#This Row],[Salário Base]],0)</f>
        <v>0</v>
      </c>
      <c r="K16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5" s="232">
        <f>IF(AND(ISNUMBER(SEARCH("Noturno",tabParametros[[#This Row],[Função]],1)),tabParametros[[#This Row],[Comarca]]&lt;&gt;"Juiz de Fora"),tabParametros[[#This Row],[Salário Base]]/210*0.39*7*15.5,IF(ISNUMBER(SEARCH("Noturno",tabParametros[[#This Row],[Função]],1)),tabParametros[[#This Row],[Salário Base]]/210*0.2*8*15.5,0))</f>
        <v>0</v>
      </c>
      <c r="M165" s="232">
        <f>IF(ISNUMBER(SEARCH("Motorista II",tabParametros[[#This Row],[Função]],1)),0.3022*tabParametros[[#This Row],[Salário Base]],0)</f>
        <v>0</v>
      </c>
      <c r="N165" s="254">
        <v>0</v>
      </c>
      <c r="O165" s="254">
        <f>IF(ISNUMBER(SEARCH("TECNOLOGIA DA INFORMACAO",tabParametros[[#This Row],[Função]],1)),0.056*tabParametros[[#This Row],[Salário Base]],0)</f>
        <v>0</v>
      </c>
      <c r="P165" s="232">
        <f>IF(tabParametros[[#This Row],[Função]]="Operador de Midia Audiovisual - 150 h",tabParametros[[#This Row],[Salário Base]]/150*50*30%,IF(tabParametros[[#This Row],[Função]]="Supervisor de Manutencao de Veiculos II - 220 h",12%*tabParametros[[#This Row],[Salário Base]],0))</f>
        <v>0</v>
      </c>
      <c r="Q165" s="233">
        <f>VLOOKUP(tabParametros[[#Headers],[INSS]],tabImpostosNacionais[],2,0)</f>
        <v>0.2</v>
      </c>
      <c r="R165" s="233">
        <f>VLOOKUP(tabParametros[[#Headers],[SESI OU SESC]],tabImpostosNacionais[],2,0)</f>
        <v>1.4999999999999999E-2</v>
      </c>
      <c r="S165" s="233">
        <f>VLOOKUP(tabParametros[[#Headers],[SENAI OU SENAC]],tabImpostosNacionais[],2,0)</f>
        <v>0.01</v>
      </c>
      <c r="T165" s="233">
        <f>VLOOKUP(tabParametros[[#Headers],[INCRA]],tabImpostosNacionais[],2,0)</f>
        <v>2E-3</v>
      </c>
      <c r="U165" s="233">
        <f>VLOOKUP(tabParametros[[#Headers],[Salário Educação]],tabImpostosNacionais[],2,0)</f>
        <v>2.5000000000000001E-2</v>
      </c>
      <c r="V165" s="233">
        <f>VLOOKUP(tabParametros[[#Headers],[FGTS]],tabImpostosNacionais[],2,0)</f>
        <v>0.08</v>
      </c>
      <c r="W165" s="233">
        <f>VLOOKUP(tabParametros[[#Headers],[RAT Ajustado]],tabImpostosNacionais[],2,0)</f>
        <v>0.04</v>
      </c>
      <c r="X165" s="233">
        <f>VLOOKUP(tabParametros[[#Headers],[SEBRAE]],tabImpostosNacionais[],2,0)</f>
        <v>6.0000000000000001E-3</v>
      </c>
      <c r="Y165" s="233">
        <f t="shared" si="22"/>
        <v>8.3333333333333329E-2</v>
      </c>
      <c r="Z165" s="233">
        <f t="shared" si="23"/>
        <v>0.1111111111111111</v>
      </c>
      <c r="AA165" s="232">
        <f>VLOOKUP(tabParametros[[#This Row],[Comarca]],tabComarca[],5,0)</f>
        <v>6.4</v>
      </c>
      <c r="AB165" s="232">
        <f>VLOOKUP(tabParametros[[#This Row],[CCT DA CATEGORIA]],tabSindicatos[],6,0)</f>
        <v>29.15</v>
      </c>
      <c r="AC165" s="232">
        <f>VLOOKUP(tabParametros[[#This Row],[CCT DA CATEGORIA]],tabSindicatos[],7,0)</f>
        <v>0</v>
      </c>
      <c r="AD165" s="232" cm="1">
        <f t="array" ref="AD16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165" s="232">
        <f>VLOOKUP(tabParametros[[#This Row],[CCT DA CATEGORIA]],tabSindicatos[],9,0)</f>
        <v>0</v>
      </c>
      <c r="AF165" s="232">
        <f>VLOOKUP(tabParametros[[#This Row],[CCT DA CATEGORIA]],tabSindicatos[],10,0)</f>
        <v>0</v>
      </c>
      <c r="AG165" s="234">
        <f>VLOOKUP(tabParametros[[#Headers],[Seguro de Vida]],tabOutrosCustos[],3,0)</f>
        <v>3.36</v>
      </c>
      <c r="AH165" s="234">
        <f>IF(ISNUMBER(SEARCH("MOTORISTA",tabParametros[[#This Row],[Função]],1)),VLOOKUP("MOTORISTAS",tabDiarias[],2,0),IF(tabParametros[[#This Row],[Comarca]]="Belo Horizonte",VLOOKUP("APOIO",tabDiarias[],2,0),0))</f>
        <v>0</v>
      </c>
      <c r="AI165" s="233">
        <f t="shared" si="24"/>
        <v>7.011766975308642E-3</v>
      </c>
      <c r="AJ165" s="235">
        <f>tabParametros[[#This Row],[FGTS]]*tabParametros[[#This Row],[Aviso Prévio Indenizado (API) e Reflexo do Aviso Prévio Indenizado]]</f>
        <v>5.609413580246914E-4</v>
      </c>
      <c r="AK165" s="235">
        <f>tabParametros[[#This Row],[FGTS]]*tabParametros[[#This Row],[Aviso Prévio Indenizado (API) e Reflexo do Aviso Prévio Indenizado]]*40%</f>
        <v>2.2437654320987658E-4</v>
      </c>
      <c r="AL165" s="233">
        <f t="shared" si="25"/>
        <v>3.5000000000000005E-3</v>
      </c>
      <c r="AM165" s="233">
        <f>tabParametros[[#This Row],[Aviso Prévio Trabalhado - APT]]*SUM(tabParametros[[#This Row],[INSS]:[SEBRAE]])</f>
        <v>1.3230000000000004E-3</v>
      </c>
      <c r="AN165" s="233">
        <f t="shared" si="26"/>
        <v>3.0577777777777773E-2</v>
      </c>
      <c r="AO165" s="233">
        <f t="shared" si="27"/>
        <v>8.3333333333333339E-4</v>
      </c>
      <c r="AP165" s="233">
        <f t="shared" si="28"/>
        <v>8.4444444444444437E-3</v>
      </c>
      <c r="AQ165" s="233">
        <f t="shared" si="29"/>
        <v>2.0277777777777777E-3</v>
      </c>
      <c r="AR165" s="233">
        <f t="shared" si="30"/>
        <v>1.7083333333333333E-4</v>
      </c>
      <c r="AS165" s="233">
        <f t="shared" si="31"/>
        <v>2.0833333333333335E-4</v>
      </c>
      <c r="AT165" s="233">
        <f t="shared" si="32"/>
        <v>1.2962962962962963E-3</v>
      </c>
      <c r="AU165" s="235">
        <f>SUM(tabParametros[[#This Row],[Ausência por Doença]:[Férias, Adicional de Férias e 13º  com empregada em gozo de Licença Maternidade]])*SUM(tabParametros[[#This Row],[INSS]:[SEBRAE]])</f>
        <v>4.5918250000000008E-3</v>
      </c>
      <c r="AV165" s="254">
        <f>IF(tabParametros[[#This Row],[Função]]="Porteiro - 220 h",SUM(tabParametros[[#This Row],[Salário Base]:[Adicional de Acúmulo de função]])/220*20*1.5,IF(ISNUMBER(SEARCH("12 x 36",tabParametros[[#This Row],[Função]],1)),SUM(tabParametros[[#This Row],[Salário Base]:[Adicional de Acúmulo de função]])/210*15.5*1.5,0))</f>
        <v>0</v>
      </c>
      <c r="AW165" s="232">
        <f>IF(tabParametros[[#This Row],[Vagas contratadas]]&gt;0,(SUM(tabParametros[[#This Row],[Salário Base]:[Adicional de Acúmulo de função]])*30%+SUM(tabParametros[[#This Row],[Vale - Alimentação]:[Seguro de Vida]]))/tabParametros[[#This Row],[Vagas contratadas]]*tabParametros[[#This Row],[Vagas suspensas]],0)</f>
        <v>0</v>
      </c>
      <c r="AX165" s="232">
        <f>SUMIF(tabUniformes[Cargo],tabParametros[[#This Row],[Função]],tabUniformes[Valor unit. Mensal])</f>
        <v>56.642978962543395</v>
      </c>
      <c r="AY16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5" s="232">
        <v>0</v>
      </c>
      <c r="BC165" s="234" t="e">
        <f ca="1">VLOOKUP(tabParametros[[#Headers],[Custos Indiretos]],tabOutrosCustos[],3,0)</f>
        <v>#NAME?</v>
      </c>
      <c r="BD165" s="234" t="e">
        <f ca="1">VLOOKUP(tabParametros[[#Headers],[Lucro]],tabOutrosCustos[],3,0)</f>
        <v>#NAME?</v>
      </c>
      <c r="BE165" s="233">
        <f>VLOOKUP(tabParametros[[#Headers],[COFINS]],tabImpostosNacionais[],2,0)</f>
        <v>7.5999999999999998E-2</v>
      </c>
      <c r="BF165" s="233">
        <f>VLOOKUP(tabParametros[[#Headers],[PIS]],tabImpostosNacionais[],2,0)</f>
        <v>1.6500000000000001E-2</v>
      </c>
      <c r="BG165" s="233">
        <f>VLOOKUP(tabParametros[[#This Row],[Comarca]],tabComarca[],4,0)</f>
        <v>0.02</v>
      </c>
      <c r="BH165" s="236">
        <f>VLOOKUP(tabParametros[[#This Row],[CCT DA CATEGORIA]],tabSindicatos[],11,0)</f>
        <v>45658</v>
      </c>
      <c r="BI165" s="282" t="str">
        <f>VLOOKUP(tabParametros[[#This Row],[CCT DA CATEGORIA]],tabSindicatos[],12,0)</f>
        <v>-</v>
      </c>
      <c r="BJ165" s="285" t="str">
        <f>VLOOKUP(tabParametros[[#This Row],[CCT DA CATEGORIA]],tabSindicatos[],13,0)</f>
        <v>-</v>
      </c>
    </row>
    <row r="166" spans="1:62">
      <c r="A166" s="231" t="s">
        <v>1476</v>
      </c>
      <c r="B166" s="197" t="s">
        <v>1144</v>
      </c>
      <c r="C166" s="197" t="s">
        <v>200</v>
      </c>
      <c r="D166" s="197" t="str">
        <f>VLOOKUP(tabParametros[[#This Row],[Código do Posto]],tabPostos[],4,0)</f>
        <v>Seethur</v>
      </c>
      <c r="E166" s="282" t="str">
        <f>VLOOKUP(tabParametros[[#This Row],[Código do Posto]],tabPostos[],5,0)</f>
        <v>Apoio</v>
      </c>
      <c r="F166" s="282" t="str">
        <f>VLOOKUP(tabParametros[[#This Row],[Código do Posto]],tabPostos[],6,0)</f>
        <v>PGJ</v>
      </c>
      <c r="G166" s="282">
        <f>VLOOKUP(tabParametros[[#This Row],[Código do Posto]],tabPostos[],7,0)</f>
        <v>2</v>
      </c>
      <c r="H166" s="282">
        <f>VLOOKUP(tabParametros[[#This Row],[Código do Posto]],tabPostos[],8,0)</f>
        <v>0</v>
      </c>
      <c r="I166" s="232">
        <f>VLOOKUP(tabParametros[[#This Row],[Código do Posto]],tabPostos[],9,0)</f>
        <v>1596.273808921236</v>
      </c>
      <c r="J166" s="232">
        <f>IF(ISNUMBER(SEARCH("Eletricista",tabParametros[[#This Row],[Função]],1)),0.3*tabParametros[[#This Row],[Salário Base]],0)</f>
        <v>0</v>
      </c>
      <c r="K16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6" s="232">
        <f>IF(AND(ISNUMBER(SEARCH("Noturno",tabParametros[[#This Row],[Função]],1)),tabParametros[[#This Row],[Comarca]]&lt;&gt;"Juiz de Fora"),tabParametros[[#This Row],[Salário Base]]/210*0.39*7*15.5,IF(ISNUMBER(SEARCH("Noturno",tabParametros[[#This Row],[Função]],1)),tabParametros[[#This Row],[Salário Base]]/210*0.2*8*15.5,0))</f>
        <v>0</v>
      </c>
      <c r="M166" s="232">
        <f>IF(ISNUMBER(SEARCH("Motorista II",tabParametros[[#This Row],[Função]],1)),0.3022*tabParametros[[#This Row],[Salário Base]],0)</f>
        <v>0</v>
      </c>
      <c r="N166" s="254">
        <v>0</v>
      </c>
      <c r="O166" s="254">
        <f>IF(ISNUMBER(SEARCH("TECNOLOGIA DA INFORMACAO",tabParametros[[#This Row],[Função]],1)),0.056*tabParametros[[#This Row],[Salário Base]],0)</f>
        <v>0</v>
      </c>
      <c r="P166" s="232">
        <f>IF(tabParametros[[#This Row],[Função]]="Operador de Midia Audiovisual - 150 h",tabParametros[[#This Row],[Salário Base]]/150*50*30%,IF(tabParametros[[#This Row],[Função]]="Supervisor de Manutencao de Veiculos II - 220 h",12%*tabParametros[[#This Row],[Salário Base]],0))</f>
        <v>0</v>
      </c>
      <c r="Q166" s="233">
        <f>VLOOKUP(tabParametros[[#Headers],[INSS]],tabImpostosNacionais[],2,0)</f>
        <v>0.2</v>
      </c>
      <c r="R166" s="233">
        <f>VLOOKUP(tabParametros[[#Headers],[SESI OU SESC]],tabImpostosNacionais[],2,0)</f>
        <v>1.4999999999999999E-2</v>
      </c>
      <c r="S166" s="233">
        <f>VLOOKUP(tabParametros[[#Headers],[SENAI OU SENAC]],tabImpostosNacionais[],2,0)</f>
        <v>0.01</v>
      </c>
      <c r="T166" s="233">
        <f>VLOOKUP(tabParametros[[#Headers],[INCRA]],tabImpostosNacionais[],2,0)</f>
        <v>2E-3</v>
      </c>
      <c r="U166" s="233">
        <f>VLOOKUP(tabParametros[[#Headers],[Salário Educação]],tabImpostosNacionais[],2,0)</f>
        <v>2.5000000000000001E-2</v>
      </c>
      <c r="V166" s="233">
        <f>VLOOKUP(tabParametros[[#Headers],[FGTS]],tabImpostosNacionais[],2,0)</f>
        <v>0.08</v>
      </c>
      <c r="W166" s="233">
        <f>VLOOKUP(tabParametros[[#Headers],[RAT Ajustado]],tabImpostosNacionais[],2,0)</f>
        <v>0.04</v>
      </c>
      <c r="X166" s="233">
        <f>VLOOKUP(tabParametros[[#Headers],[SEBRAE]],tabImpostosNacionais[],2,0)</f>
        <v>6.0000000000000001E-3</v>
      </c>
      <c r="Y166" s="233">
        <f t="shared" si="22"/>
        <v>8.3333333333333329E-2</v>
      </c>
      <c r="Z166" s="233">
        <f t="shared" si="23"/>
        <v>0.1111111111111111</v>
      </c>
      <c r="AA166" s="232">
        <f>VLOOKUP(tabParametros[[#This Row],[Comarca]],tabComarca[],5,0)</f>
        <v>6.4</v>
      </c>
      <c r="AB166" s="232">
        <f>VLOOKUP(tabParametros[[#This Row],[CCT DA CATEGORIA]],tabSindicatos[],6,0)</f>
        <v>29.15</v>
      </c>
      <c r="AC166" s="232">
        <f>VLOOKUP(tabParametros[[#This Row],[CCT DA CATEGORIA]],tabSindicatos[],7,0)</f>
        <v>0</v>
      </c>
      <c r="AD166" s="232" cm="1">
        <f t="array" ref="AD16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66" s="232">
        <f>VLOOKUP(tabParametros[[#This Row],[CCT DA CATEGORIA]],tabSindicatos[],9,0)</f>
        <v>0</v>
      </c>
      <c r="AF166" s="232">
        <f>VLOOKUP(tabParametros[[#This Row],[CCT DA CATEGORIA]],tabSindicatos[],10,0)</f>
        <v>0</v>
      </c>
      <c r="AG166" s="234">
        <f>VLOOKUP(tabParametros[[#Headers],[Seguro de Vida]],tabOutrosCustos[],3,0)</f>
        <v>3.36</v>
      </c>
      <c r="AH166" s="234">
        <f>IF(ISNUMBER(SEARCH("MOTORISTA",tabParametros[[#This Row],[Função]],1)),VLOOKUP("MOTORISTAS",tabDiarias[],2,0),IF(tabParametros[[#This Row],[Comarca]]="Belo Horizonte",VLOOKUP("APOIO",tabDiarias[],2,0),0))</f>
        <v>0</v>
      </c>
      <c r="AI166" s="233">
        <f t="shared" si="24"/>
        <v>7.011766975308642E-3</v>
      </c>
      <c r="AJ166" s="235">
        <f>tabParametros[[#This Row],[FGTS]]*tabParametros[[#This Row],[Aviso Prévio Indenizado (API) e Reflexo do Aviso Prévio Indenizado]]</f>
        <v>5.609413580246914E-4</v>
      </c>
      <c r="AK166" s="235">
        <f>tabParametros[[#This Row],[FGTS]]*tabParametros[[#This Row],[Aviso Prévio Indenizado (API) e Reflexo do Aviso Prévio Indenizado]]*40%</f>
        <v>2.2437654320987658E-4</v>
      </c>
      <c r="AL166" s="233">
        <f t="shared" si="25"/>
        <v>3.5000000000000005E-3</v>
      </c>
      <c r="AM166" s="233">
        <f>tabParametros[[#This Row],[Aviso Prévio Trabalhado - APT]]*SUM(tabParametros[[#This Row],[INSS]:[SEBRAE]])</f>
        <v>1.3230000000000004E-3</v>
      </c>
      <c r="AN166" s="233">
        <f t="shared" si="26"/>
        <v>3.0577777777777773E-2</v>
      </c>
      <c r="AO166" s="233">
        <f t="shared" si="27"/>
        <v>8.3333333333333339E-4</v>
      </c>
      <c r="AP166" s="233">
        <f t="shared" si="28"/>
        <v>8.4444444444444437E-3</v>
      </c>
      <c r="AQ166" s="233">
        <f t="shared" si="29"/>
        <v>2.0277777777777777E-3</v>
      </c>
      <c r="AR166" s="233">
        <f t="shared" si="30"/>
        <v>1.7083333333333333E-4</v>
      </c>
      <c r="AS166" s="233">
        <f t="shared" si="31"/>
        <v>2.0833333333333335E-4</v>
      </c>
      <c r="AT166" s="233">
        <f t="shared" si="32"/>
        <v>1.2962962962962963E-3</v>
      </c>
      <c r="AU166" s="235">
        <f>SUM(tabParametros[[#This Row],[Ausência por Doença]:[Férias, Adicional de Férias e 13º  com empregada em gozo de Licença Maternidade]])*SUM(tabParametros[[#This Row],[INSS]:[SEBRAE]])</f>
        <v>4.5918250000000008E-3</v>
      </c>
      <c r="AV166" s="254">
        <f>IF(tabParametros[[#This Row],[Função]]="Porteiro - 220 h",SUM(tabParametros[[#This Row],[Salário Base]:[Adicional de Acúmulo de função]])/220*20*1.5,IF(ISNUMBER(SEARCH("12 x 36",tabParametros[[#This Row],[Função]],1)),SUM(tabParametros[[#This Row],[Salário Base]:[Adicional de Acúmulo de função]])/210*15.5*1.5,0))</f>
        <v>0</v>
      </c>
      <c r="AW166" s="232">
        <f>IF(tabParametros[[#This Row],[Vagas contratadas]]&gt;0,(SUM(tabParametros[[#This Row],[Salário Base]:[Adicional de Acúmulo de função]])*30%+SUM(tabParametros[[#This Row],[Vale - Alimentação]:[Seguro de Vida]]))/tabParametros[[#This Row],[Vagas contratadas]]*tabParametros[[#This Row],[Vagas suspensas]],0)</f>
        <v>0</v>
      </c>
      <c r="AX166" s="232">
        <f>SUMIF(tabUniformes[Cargo],tabParametros[[#This Row],[Função]],tabUniformes[Valor unit. Mensal])</f>
        <v>56.141713661989918</v>
      </c>
      <c r="AY16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6" s="232">
        <v>0</v>
      </c>
      <c r="BC166" s="234" t="e">
        <f ca="1">VLOOKUP(tabParametros[[#Headers],[Custos Indiretos]],tabOutrosCustos[],3,0)</f>
        <v>#NAME?</v>
      </c>
      <c r="BD166" s="234" t="e">
        <f ca="1">VLOOKUP(tabParametros[[#Headers],[Lucro]],tabOutrosCustos[],3,0)</f>
        <v>#NAME?</v>
      </c>
      <c r="BE166" s="233">
        <f>VLOOKUP(tabParametros[[#Headers],[COFINS]],tabImpostosNacionais[],2,0)</f>
        <v>7.5999999999999998E-2</v>
      </c>
      <c r="BF166" s="233">
        <f>VLOOKUP(tabParametros[[#Headers],[PIS]],tabImpostosNacionais[],2,0)</f>
        <v>1.6500000000000001E-2</v>
      </c>
      <c r="BG166" s="233">
        <f>VLOOKUP(tabParametros[[#This Row],[Comarca]],tabComarca[],4,0)</f>
        <v>0.03</v>
      </c>
      <c r="BH166" s="236">
        <f>VLOOKUP(tabParametros[[#This Row],[CCT DA CATEGORIA]],tabSindicatos[],11,0)</f>
        <v>45658</v>
      </c>
      <c r="BI166" s="282" t="str">
        <f>VLOOKUP(tabParametros[[#This Row],[CCT DA CATEGORIA]],tabSindicatos[],12,0)</f>
        <v>-</v>
      </c>
      <c r="BJ166" s="285" t="str">
        <f>VLOOKUP(tabParametros[[#This Row],[CCT DA CATEGORIA]],tabSindicatos[],13,0)</f>
        <v>-</v>
      </c>
    </row>
    <row r="167" spans="1:62">
      <c r="A167" s="231" t="s">
        <v>1616</v>
      </c>
      <c r="B167" s="197" t="s">
        <v>1144</v>
      </c>
      <c r="C167" s="197" t="s">
        <v>314</v>
      </c>
      <c r="D167" s="197" t="str">
        <f>VLOOKUP(tabParametros[[#This Row],[Código do Posto]],tabPostos[],4,0)</f>
        <v>Seethur</v>
      </c>
      <c r="E167" s="282" t="str">
        <f>VLOOKUP(tabParametros[[#This Row],[Código do Posto]],tabPostos[],5,0)</f>
        <v>Apoio</v>
      </c>
      <c r="F167" s="282" t="str">
        <f>VLOOKUP(tabParametros[[#This Row],[Código do Posto]],tabPostos[],6,0)</f>
        <v>PGJ</v>
      </c>
      <c r="G167" s="282">
        <f>VLOOKUP(tabParametros[[#This Row],[Código do Posto]],tabPostos[],7,0)</f>
        <v>1</v>
      </c>
      <c r="H167" s="282">
        <f>VLOOKUP(tabParametros[[#This Row],[Código do Posto]],tabPostos[],8,0)</f>
        <v>0</v>
      </c>
      <c r="I167" s="232">
        <f>VLOOKUP(tabParametros[[#This Row],[Código do Posto]],tabPostos[],9,0)</f>
        <v>1963.4110092077037</v>
      </c>
      <c r="J167" s="232">
        <f>IF(ISNUMBER(SEARCH("Eletricista",tabParametros[[#This Row],[Função]],1)),0.3*tabParametros[[#This Row],[Salário Base]],0)</f>
        <v>0</v>
      </c>
      <c r="K16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7" s="232">
        <f>IF(AND(ISNUMBER(SEARCH("Noturno",tabParametros[[#This Row],[Função]],1)),tabParametros[[#This Row],[Comarca]]&lt;&gt;"Juiz de Fora"),tabParametros[[#This Row],[Salário Base]]/210*0.39*7*15.5,IF(ISNUMBER(SEARCH("Noturno",tabParametros[[#This Row],[Função]],1)),tabParametros[[#This Row],[Salário Base]]/210*0.2*8*15.5,0))</f>
        <v>0</v>
      </c>
      <c r="M167" s="232">
        <f>IF(ISNUMBER(SEARCH("Motorista II",tabParametros[[#This Row],[Função]],1)),0.3022*tabParametros[[#This Row],[Salário Base]],0)</f>
        <v>0</v>
      </c>
      <c r="N167" s="254">
        <v>0</v>
      </c>
      <c r="O167" s="254">
        <f>IF(ISNUMBER(SEARCH("TECNOLOGIA DA INFORMACAO",tabParametros[[#This Row],[Função]],1)),0.056*tabParametros[[#This Row],[Salário Base]],0)</f>
        <v>0</v>
      </c>
      <c r="P167" s="232">
        <f>IF(tabParametros[[#This Row],[Função]]="Operador de Midia Audiovisual - 150 h",tabParametros[[#This Row],[Salário Base]]/150*50*30%,IF(tabParametros[[#This Row],[Função]]="Supervisor de Manutencao de Veiculos II - 220 h",12%*tabParametros[[#This Row],[Salário Base]],0))</f>
        <v>0</v>
      </c>
      <c r="Q167" s="233">
        <f>VLOOKUP(tabParametros[[#Headers],[INSS]],tabImpostosNacionais[],2,0)</f>
        <v>0.2</v>
      </c>
      <c r="R167" s="233">
        <f>VLOOKUP(tabParametros[[#Headers],[SESI OU SESC]],tabImpostosNacionais[],2,0)</f>
        <v>1.4999999999999999E-2</v>
      </c>
      <c r="S167" s="233">
        <f>VLOOKUP(tabParametros[[#Headers],[SENAI OU SENAC]],tabImpostosNacionais[],2,0)</f>
        <v>0.01</v>
      </c>
      <c r="T167" s="233">
        <f>VLOOKUP(tabParametros[[#Headers],[INCRA]],tabImpostosNacionais[],2,0)</f>
        <v>2E-3</v>
      </c>
      <c r="U167" s="233">
        <f>VLOOKUP(tabParametros[[#Headers],[Salário Educação]],tabImpostosNacionais[],2,0)</f>
        <v>2.5000000000000001E-2</v>
      </c>
      <c r="V167" s="233">
        <f>VLOOKUP(tabParametros[[#Headers],[FGTS]],tabImpostosNacionais[],2,0)</f>
        <v>0.08</v>
      </c>
      <c r="W167" s="233">
        <f>VLOOKUP(tabParametros[[#Headers],[RAT Ajustado]],tabImpostosNacionais[],2,0)</f>
        <v>0.04</v>
      </c>
      <c r="X167" s="233">
        <f>VLOOKUP(tabParametros[[#Headers],[SEBRAE]],tabImpostosNacionais[],2,0)</f>
        <v>6.0000000000000001E-3</v>
      </c>
      <c r="Y167" s="233">
        <f t="shared" si="22"/>
        <v>8.3333333333333329E-2</v>
      </c>
      <c r="Z167" s="233">
        <f t="shared" si="23"/>
        <v>0.1111111111111111</v>
      </c>
      <c r="AA167" s="232">
        <f>VLOOKUP(tabParametros[[#This Row],[Comarca]],tabComarca[],5,0)</f>
        <v>6.4</v>
      </c>
      <c r="AB167" s="232">
        <f>VLOOKUP(tabParametros[[#This Row],[CCT DA CATEGORIA]],tabSindicatos[],6,0)</f>
        <v>29.15</v>
      </c>
      <c r="AC167" s="232">
        <f>VLOOKUP(tabParametros[[#This Row],[CCT DA CATEGORIA]],tabSindicatos[],7,0)</f>
        <v>0</v>
      </c>
      <c r="AD167" s="232" cm="1">
        <f t="array" ref="AD16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67" s="232">
        <f>VLOOKUP(tabParametros[[#This Row],[CCT DA CATEGORIA]],tabSindicatos[],9,0)</f>
        <v>0</v>
      </c>
      <c r="AF167" s="232">
        <f>VLOOKUP(tabParametros[[#This Row],[CCT DA CATEGORIA]],tabSindicatos[],10,0)</f>
        <v>0</v>
      </c>
      <c r="AG167" s="234">
        <f>VLOOKUP(tabParametros[[#Headers],[Seguro de Vida]],tabOutrosCustos[],3,0)</f>
        <v>3.36</v>
      </c>
      <c r="AH167" s="234">
        <f>IF(ISNUMBER(SEARCH("MOTORISTA",tabParametros[[#This Row],[Função]],1)),VLOOKUP("MOTORISTAS",tabDiarias[],2,0),IF(tabParametros[[#This Row],[Comarca]]="Belo Horizonte",VLOOKUP("APOIO",tabDiarias[],2,0),0))</f>
        <v>0</v>
      </c>
      <c r="AI167" s="233">
        <f t="shared" si="24"/>
        <v>7.011766975308642E-3</v>
      </c>
      <c r="AJ167" s="235">
        <f>tabParametros[[#This Row],[FGTS]]*tabParametros[[#This Row],[Aviso Prévio Indenizado (API) e Reflexo do Aviso Prévio Indenizado]]</f>
        <v>5.609413580246914E-4</v>
      </c>
      <c r="AK167" s="235">
        <f>tabParametros[[#This Row],[FGTS]]*tabParametros[[#This Row],[Aviso Prévio Indenizado (API) e Reflexo do Aviso Prévio Indenizado]]*40%</f>
        <v>2.2437654320987658E-4</v>
      </c>
      <c r="AL167" s="233">
        <f t="shared" si="25"/>
        <v>3.5000000000000005E-3</v>
      </c>
      <c r="AM167" s="233">
        <f>tabParametros[[#This Row],[Aviso Prévio Trabalhado - APT]]*SUM(tabParametros[[#This Row],[INSS]:[SEBRAE]])</f>
        <v>1.3230000000000004E-3</v>
      </c>
      <c r="AN167" s="233">
        <f t="shared" si="26"/>
        <v>3.0577777777777773E-2</v>
      </c>
      <c r="AO167" s="233">
        <f t="shared" si="27"/>
        <v>8.3333333333333339E-4</v>
      </c>
      <c r="AP167" s="233">
        <f t="shared" si="28"/>
        <v>8.4444444444444437E-3</v>
      </c>
      <c r="AQ167" s="233">
        <f t="shared" si="29"/>
        <v>2.0277777777777777E-3</v>
      </c>
      <c r="AR167" s="233">
        <f t="shared" si="30"/>
        <v>1.7083333333333333E-4</v>
      </c>
      <c r="AS167" s="233">
        <f t="shared" si="31"/>
        <v>2.0833333333333335E-4</v>
      </c>
      <c r="AT167" s="233">
        <f t="shared" si="32"/>
        <v>1.2962962962962963E-3</v>
      </c>
      <c r="AU167" s="235">
        <f>SUM(tabParametros[[#This Row],[Ausência por Doença]:[Férias, Adicional de Férias e 13º  com empregada em gozo de Licença Maternidade]])*SUM(tabParametros[[#This Row],[INSS]:[SEBRAE]])</f>
        <v>4.5918250000000008E-3</v>
      </c>
      <c r="AV167"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67" s="232">
        <f>IF(tabParametros[[#This Row],[Vagas contratadas]]&gt;0,(SUM(tabParametros[[#This Row],[Salário Base]:[Adicional de Acúmulo de função]])*30%+SUM(tabParametros[[#This Row],[Vale - Alimentação]:[Seguro de Vida]]))/tabParametros[[#This Row],[Vagas contratadas]]*tabParametros[[#This Row],[Vagas suspensas]],0)</f>
        <v>0</v>
      </c>
      <c r="AX167" s="232">
        <f>SUMIF(tabUniformes[Cargo],tabParametros[[#This Row],[Função]],tabUniformes[Valor unit. Mensal])</f>
        <v>56.642978962543395</v>
      </c>
      <c r="AY16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7" s="232">
        <v>0</v>
      </c>
      <c r="BC167" s="234" t="e">
        <f ca="1">VLOOKUP(tabParametros[[#Headers],[Custos Indiretos]],tabOutrosCustos[],3,0)</f>
        <v>#NAME?</v>
      </c>
      <c r="BD167" s="234" t="e">
        <f ca="1">VLOOKUP(tabParametros[[#Headers],[Lucro]],tabOutrosCustos[],3,0)</f>
        <v>#NAME?</v>
      </c>
      <c r="BE167" s="233">
        <f>VLOOKUP(tabParametros[[#Headers],[COFINS]],tabImpostosNacionais[],2,0)</f>
        <v>7.5999999999999998E-2</v>
      </c>
      <c r="BF167" s="233">
        <f>VLOOKUP(tabParametros[[#Headers],[PIS]],tabImpostosNacionais[],2,0)</f>
        <v>1.6500000000000001E-2</v>
      </c>
      <c r="BG167" s="233">
        <f>VLOOKUP(tabParametros[[#This Row],[Comarca]],tabComarca[],4,0)</f>
        <v>0.03</v>
      </c>
      <c r="BH167" s="236">
        <f>VLOOKUP(tabParametros[[#This Row],[CCT DA CATEGORIA]],tabSindicatos[],11,0)</f>
        <v>45658</v>
      </c>
      <c r="BI167" s="282" t="str">
        <f>VLOOKUP(tabParametros[[#This Row],[CCT DA CATEGORIA]],tabSindicatos[],12,0)</f>
        <v>-</v>
      </c>
      <c r="BJ167" s="285" t="str">
        <f>VLOOKUP(tabParametros[[#This Row],[CCT DA CATEGORIA]],tabSindicatos[],13,0)</f>
        <v>-</v>
      </c>
    </row>
    <row r="168" spans="1:62">
      <c r="A168" s="231" t="s">
        <v>1477</v>
      </c>
      <c r="B168" s="197" t="s">
        <v>1145</v>
      </c>
      <c r="C168" s="197" t="s">
        <v>200</v>
      </c>
      <c r="D168" s="197" t="str">
        <f>VLOOKUP(tabParametros[[#This Row],[Código do Posto]],tabPostos[],4,0)</f>
        <v>Fethemg Interior</v>
      </c>
      <c r="E168" s="282" t="str">
        <f>VLOOKUP(tabParametros[[#This Row],[Código do Posto]],tabPostos[],5,0)</f>
        <v>Apoio</v>
      </c>
      <c r="F168" s="282" t="str">
        <f>VLOOKUP(tabParametros[[#This Row],[Código do Posto]],tabPostos[],6,0)</f>
        <v>PGJ</v>
      </c>
      <c r="G168" s="282">
        <f>VLOOKUP(tabParametros[[#This Row],[Código do Posto]],tabPostos[],7,0)</f>
        <v>1</v>
      </c>
      <c r="H168" s="282">
        <f>VLOOKUP(tabParametros[[#This Row],[Código do Posto]],tabPostos[],8,0)</f>
        <v>0</v>
      </c>
      <c r="I168" s="232">
        <f>VLOOKUP(tabParametros[[#This Row],[Código do Posto]],tabPostos[],9,0)</f>
        <v>1596.273808921236</v>
      </c>
      <c r="J168" s="232">
        <f>IF(ISNUMBER(SEARCH("Eletricista",tabParametros[[#This Row],[Função]],1)),0.3*tabParametros[[#This Row],[Salário Base]],0)</f>
        <v>0</v>
      </c>
      <c r="K16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68" s="232">
        <f>IF(AND(ISNUMBER(SEARCH("Noturno",tabParametros[[#This Row],[Função]],1)),tabParametros[[#This Row],[Comarca]]&lt;&gt;"Juiz de Fora"),tabParametros[[#This Row],[Salário Base]]/210*0.39*7*15.5,IF(ISNUMBER(SEARCH("Noturno",tabParametros[[#This Row],[Função]],1)),tabParametros[[#This Row],[Salário Base]]/210*0.2*8*15.5,0))</f>
        <v>0</v>
      </c>
      <c r="M168" s="232">
        <f>IF(ISNUMBER(SEARCH("Motorista II",tabParametros[[#This Row],[Função]],1)),0.3022*tabParametros[[#This Row],[Salário Base]],0)</f>
        <v>0</v>
      </c>
      <c r="N168" s="254">
        <v>0</v>
      </c>
      <c r="O168" s="254">
        <f>IF(ISNUMBER(SEARCH("TECNOLOGIA DA INFORMACAO",tabParametros[[#This Row],[Função]],1)),0.056*tabParametros[[#This Row],[Salário Base]],0)</f>
        <v>0</v>
      </c>
      <c r="P168" s="232">
        <f>IF(tabParametros[[#This Row],[Função]]="Operador de Midia Audiovisual - 150 h",tabParametros[[#This Row],[Salário Base]]/150*50*30%,IF(tabParametros[[#This Row],[Função]]="Supervisor de Manutencao de Veiculos II - 220 h",12%*tabParametros[[#This Row],[Salário Base]],0))</f>
        <v>0</v>
      </c>
      <c r="Q168" s="233">
        <f>VLOOKUP(tabParametros[[#Headers],[INSS]],tabImpostosNacionais[],2,0)</f>
        <v>0.2</v>
      </c>
      <c r="R168" s="233">
        <f>VLOOKUP(tabParametros[[#Headers],[SESI OU SESC]],tabImpostosNacionais[],2,0)</f>
        <v>1.4999999999999999E-2</v>
      </c>
      <c r="S168" s="233">
        <f>VLOOKUP(tabParametros[[#Headers],[SENAI OU SENAC]],tabImpostosNacionais[],2,0)</f>
        <v>0.01</v>
      </c>
      <c r="T168" s="233">
        <f>VLOOKUP(tabParametros[[#Headers],[INCRA]],tabImpostosNacionais[],2,0)</f>
        <v>2E-3</v>
      </c>
      <c r="U168" s="233">
        <f>VLOOKUP(tabParametros[[#Headers],[Salário Educação]],tabImpostosNacionais[],2,0)</f>
        <v>2.5000000000000001E-2</v>
      </c>
      <c r="V168" s="233">
        <f>VLOOKUP(tabParametros[[#Headers],[FGTS]],tabImpostosNacionais[],2,0)</f>
        <v>0.08</v>
      </c>
      <c r="W168" s="233">
        <f>VLOOKUP(tabParametros[[#Headers],[RAT Ajustado]],tabImpostosNacionais[],2,0)</f>
        <v>0.04</v>
      </c>
      <c r="X168" s="233">
        <f>VLOOKUP(tabParametros[[#Headers],[SEBRAE]],tabImpostosNacionais[],2,0)</f>
        <v>6.0000000000000001E-3</v>
      </c>
      <c r="Y168" s="233">
        <f t="shared" si="22"/>
        <v>8.3333333333333329E-2</v>
      </c>
      <c r="Z168" s="233">
        <f t="shared" si="23"/>
        <v>0.1111111111111111</v>
      </c>
      <c r="AA168" s="232">
        <f>VLOOKUP(tabParametros[[#This Row],[Comarca]],tabComarca[],5,0)</f>
        <v>6.4</v>
      </c>
      <c r="AB168" s="232">
        <f>VLOOKUP(tabParametros[[#This Row],[CCT DA CATEGORIA]],tabSindicatos[],6,0)</f>
        <v>29.15</v>
      </c>
      <c r="AC168" s="232">
        <f>VLOOKUP(tabParametros[[#This Row],[CCT DA CATEGORIA]],tabSindicatos[],7,0)</f>
        <v>0</v>
      </c>
      <c r="AD168" s="232" cm="1">
        <f t="array" ref="AD16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68" s="232">
        <f>VLOOKUP(tabParametros[[#This Row],[CCT DA CATEGORIA]],tabSindicatos[],9,0)</f>
        <v>15.07</v>
      </c>
      <c r="AF168" s="232">
        <f>VLOOKUP(tabParametros[[#This Row],[CCT DA CATEGORIA]],tabSindicatos[],10,0)</f>
        <v>0</v>
      </c>
      <c r="AG168" s="234">
        <f>VLOOKUP(tabParametros[[#Headers],[Seguro de Vida]],tabOutrosCustos[],3,0)</f>
        <v>3.36</v>
      </c>
      <c r="AH168" s="234">
        <f>IF(ISNUMBER(SEARCH("MOTORISTA",tabParametros[[#This Row],[Função]],1)),VLOOKUP("MOTORISTAS",tabDiarias[],2,0),IF(tabParametros[[#This Row],[Comarca]]="Belo Horizonte",VLOOKUP("APOIO",tabDiarias[],2,0),0))</f>
        <v>0</v>
      </c>
      <c r="AI168" s="233">
        <f t="shared" si="24"/>
        <v>7.011766975308642E-3</v>
      </c>
      <c r="AJ168" s="235">
        <f>tabParametros[[#This Row],[FGTS]]*tabParametros[[#This Row],[Aviso Prévio Indenizado (API) e Reflexo do Aviso Prévio Indenizado]]</f>
        <v>5.609413580246914E-4</v>
      </c>
      <c r="AK168" s="235">
        <f>tabParametros[[#This Row],[FGTS]]*tabParametros[[#This Row],[Aviso Prévio Indenizado (API) e Reflexo do Aviso Prévio Indenizado]]*40%</f>
        <v>2.2437654320987658E-4</v>
      </c>
      <c r="AL168" s="233">
        <f t="shared" si="25"/>
        <v>3.5000000000000005E-3</v>
      </c>
      <c r="AM168" s="233">
        <f>tabParametros[[#This Row],[Aviso Prévio Trabalhado - APT]]*SUM(tabParametros[[#This Row],[INSS]:[SEBRAE]])</f>
        <v>1.3230000000000004E-3</v>
      </c>
      <c r="AN168" s="233">
        <f t="shared" si="26"/>
        <v>3.0577777777777773E-2</v>
      </c>
      <c r="AO168" s="233">
        <f t="shared" si="27"/>
        <v>8.3333333333333339E-4</v>
      </c>
      <c r="AP168" s="233">
        <f t="shared" si="28"/>
        <v>8.4444444444444437E-3</v>
      </c>
      <c r="AQ168" s="233">
        <f t="shared" si="29"/>
        <v>2.0277777777777777E-3</v>
      </c>
      <c r="AR168" s="233">
        <f t="shared" si="30"/>
        <v>1.7083333333333333E-4</v>
      </c>
      <c r="AS168" s="233">
        <f t="shared" si="31"/>
        <v>2.0833333333333335E-4</v>
      </c>
      <c r="AT168" s="233">
        <f t="shared" si="32"/>
        <v>1.2962962962962963E-3</v>
      </c>
      <c r="AU168" s="235">
        <f>SUM(tabParametros[[#This Row],[Ausência por Doença]:[Férias, Adicional de Férias e 13º  com empregada em gozo de Licença Maternidade]])*SUM(tabParametros[[#This Row],[INSS]:[SEBRAE]])</f>
        <v>4.5918250000000008E-3</v>
      </c>
      <c r="AV168" s="254">
        <f>IF(tabParametros[[#This Row],[Função]]="Porteiro - 220 h",SUM(tabParametros[[#This Row],[Salário Base]:[Adicional de Acúmulo de função]])/220*20*1.5,IF(ISNUMBER(SEARCH("12 x 36",tabParametros[[#This Row],[Função]],1)),SUM(tabParametros[[#This Row],[Salário Base]:[Adicional de Acúmulo de função]])/210*15.5*1.5,0))</f>
        <v>0</v>
      </c>
      <c r="AW168" s="232">
        <f>IF(tabParametros[[#This Row],[Vagas contratadas]]&gt;0,(SUM(tabParametros[[#This Row],[Salário Base]:[Adicional de Acúmulo de função]])*30%+SUM(tabParametros[[#This Row],[Vale - Alimentação]:[Seguro de Vida]]))/tabParametros[[#This Row],[Vagas contratadas]]*tabParametros[[#This Row],[Vagas suspensas]],0)</f>
        <v>0</v>
      </c>
      <c r="AX168" s="232">
        <f>SUMIF(tabUniformes[Cargo],tabParametros[[#This Row],[Função]],tabUniformes[Valor unit. Mensal])</f>
        <v>56.141713661989918</v>
      </c>
      <c r="AY16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6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6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8" s="232">
        <v>0</v>
      </c>
      <c r="BC168" s="234" t="e">
        <f ca="1">VLOOKUP(tabParametros[[#Headers],[Custos Indiretos]],tabOutrosCustos[],3,0)</f>
        <v>#NAME?</v>
      </c>
      <c r="BD168" s="234" t="e">
        <f ca="1">VLOOKUP(tabParametros[[#Headers],[Lucro]],tabOutrosCustos[],3,0)</f>
        <v>#NAME?</v>
      </c>
      <c r="BE168" s="233">
        <f>VLOOKUP(tabParametros[[#Headers],[COFINS]],tabImpostosNacionais[],2,0)</f>
        <v>7.5999999999999998E-2</v>
      </c>
      <c r="BF168" s="233">
        <f>VLOOKUP(tabParametros[[#Headers],[PIS]],tabImpostosNacionais[],2,0)</f>
        <v>1.6500000000000001E-2</v>
      </c>
      <c r="BG168" s="233">
        <f>VLOOKUP(tabParametros[[#This Row],[Comarca]],tabComarca[],4,0)</f>
        <v>0.05</v>
      </c>
      <c r="BH168" s="236">
        <f>VLOOKUP(tabParametros[[#This Row],[CCT DA CATEGORIA]],tabSindicatos[],11,0)</f>
        <v>45658</v>
      </c>
      <c r="BI168" s="282" t="str">
        <f>VLOOKUP(tabParametros[[#This Row],[CCT DA CATEGORIA]],tabSindicatos[],12,0)</f>
        <v>-</v>
      </c>
      <c r="BJ168" s="285" t="str">
        <f>VLOOKUP(tabParametros[[#This Row],[CCT DA CATEGORIA]],tabSindicatos[],13,0)</f>
        <v>-</v>
      </c>
    </row>
    <row r="169" spans="1:62">
      <c r="A169" s="231" t="s">
        <v>1478</v>
      </c>
      <c r="B169" s="197" t="s">
        <v>1146</v>
      </c>
      <c r="C169" s="197" t="s">
        <v>1367</v>
      </c>
      <c r="D169" s="197" t="str">
        <f>VLOOKUP(tabParametros[[#This Row],[Código do Posto]],tabPostos[],4,0)</f>
        <v>SECI</v>
      </c>
      <c r="E169" s="282" t="str">
        <f>VLOOKUP(tabParametros[[#This Row],[Código do Posto]],tabPostos[],5,0)</f>
        <v>Apoio</v>
      </c>
      <c r="F169" s="282" t="str">
        <f>VLOOKUP(tabParametros[[#This Row],[Código do Posto]],tabPostos[],6,0)</f>
        <v>PGJ</v>
      </c>
      <c r="G169" s="282">
        <f>VLOOKUP(tabParametros[[#This Row],[Código do Posto]],tabPostos[],7,0)</f>
        <v>1</v>
      </c>
      <c r="H169" s="282">
        <f>VLOOKUP(tabParametros[[#This Row],[Código do Posto]],tabPostos[],8,0)</f>
        <v>0</v>
      </c>
      <c r="I169" s="232">
        <f>VLOOKUP(tabParametros[[#This Row],[Código do Posto]],tabPostos[],9,0)</f>
        <v>2087.4324447827344</v>
      </c>
      <c r="J169" s="232">
        <f>IF(ISNUMBER(SEARCH("Eletricista",tabParametros[[#This Row],[Função]],1)),0.3*tabParametros[[#This Row],[Salário Base]],0)</f>
        <v>0</v>
      </c>
      <c r="K16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69" s="232">
        <f>IF(AND(ISNUMBER(SEARCH("Noturno",tabParametros[[#This Row],[Função]],1)),tabParametros[[#This Row],[Comarca]]&lt;&gt;"Juiz de Fora"),tabParametros[[#This Row],[Salário Base]]/210*0.39*7*15.5,IF(ISNUMBER(SEARCH("Noturno",tabParametros[[#This Row],[Função]],1)),tabParametros[[#This Row],[Salário Base]]/210*0.2*8*15.5,0))</f>
        <v>0</v>
      </c>
      <c r="M169" s="232">
        <f>IF(ISNUMBER(SEARCH("Motorista II",tabParametros[[#This Row],[Função]],1)),0.3022*tabParametros[[#This Row],[Salário Base]],0)</f>
        <v>0</v>
      </c>
      <c r="N169" s="254">
        <v>0</v>
      </c>
      <c r="O169" s="254">
        <f>IF(ISNUMBER(SEARCH("TECNOLOGIA DA INFORMACAO",tabParametros[[#This Row],[Função]],1)),0.056*tabParametros[[#This Row],[Salário Base]],0)</f>
        <v>0</v>
      </c>
      <c r="P169" s="232">
        <f>IF(tabParametros[[#This Row],[Função]]="Operador de Midia Audiovisual - 150 h",tabParametros[[#This Row],[Salário Base]]/150*50*30%,IF(tabParametros[[#This Row],[Função]]="Supervisor de Manutencao de Veiculos II - 220 h",12%*tabParametros[[#This Row],[Salário Base]],0))</f>
        <v>0</v>
      </c>
      <c r="Q169" s="233">
        <f>VLOOKUP(tabParametros[[#Headers],[INSS]],tabImpostosNacionais[],2,0)</f>
        <v>0.2</v>
      </c>
      <c r="R169" s="233">
        <f>VLOOKUP(tabParametros[[#Headers],[SESI OU SESC]],tabImpostosNacionais[],2,0)</f>
        <v>1.4999999999999999E-2</v>
      </c>
      <c r="S169" s="233">
        <f>VLOOKUP(tabParametros[[#Headers],[SENAI OU SENAC]],tabImpostosNacionais[],2,0)</f>
        <v>0.01</v>
      </c>
      <c r="T169" s="233">
        <f>VLOOKUP(tabParametros[[#Headers],[INCRA]],tabImpostosNacionais[],2,0)</f>
        <v>2E-3</v>
      </c>
      <c r="U169" s="233">
        <f>VLOOKUP(tabParametros[[#Headers],[Salário Educação]],tabImpostosNacionais[],2,0)</f>
        <v>2.5000000000000001E-2</v>
      </c>
      <c r="V169" s="233">
        <f>VLOOKUP(tabParametros[[#Headers],[FGTS]],tabImpostosNacionais[],2,0)</f>
        <v>0.08</v>
      </c>
      <c r="W169" s="233">
        <f>VLOOKUP(tabParametros[[#Headers],[RAT Ajustado]],tabImpostosNacionais[],2,0)</f>
        <v>0.04</v>
      </c>
      <c r="X169" s="233">
        <f>VLOOKUP(tabParametros[[#Headers],[SEBRAE]],tabImpostosNacionais[],2,0)</f>
        <v>6.0000000000000001E-3</v>
      </c>
      <c r="Y169" s="233">
        <f t="shared" si="22"/>
        <v>8.3333333333333329E-2</v>
      </c>
      <c r="Z169" s="233">
        <f t="shared" si="23"/>
        <v>0.1111111111111111</v>
      </c>
      <c r="AA169" s="232">
        <f>VLOOKUP(tabParametros[[#This Row],[Comarca]],tabComarca[],5,0)</f>
        <v>6.4</v>
      </c>
      <c r="AB169" s="232">
        <f>VLOOKUP(tabParametros[[#This Row],[CCT DA CATEGORIA]],tabSindicatos[],6,0)</f>
        <v>29.15</v>
      </c>
      <c r="AC169" s="232">
        <f>VLOOKUP(tabParametros[[#This Row],[CCT DA CATEGORIA]],tabSindicatos[],7,0)</f>
        <v>0</v>
      </c>
      <c r="AD169" s="232" cm="1">
        <f t="array" ref="AD16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69" s="232">
        <f>VLOOKUP(tabParametros[[#This Row],[CCT DA CATEGORIA]],tabSindicatos[],9,0)</f>
        <v>0</v>
      </c>
      <c r="AF169" s="232">
        <f>VLOOKUP(tabParametros[[#This Row],[CCT DA CATEGORIA]],tabSindicatos[],10,0)</f>
        <v>0</v>
      </c>
      <c r="AG169" s="234">
        <f>VLOOKUP(tabParametros[[#Headers],[Seguro de Vida]],tabOutrosCustos[],3,0)</f>
        <v>3.36</v>
      </c>
      <c r="AH169" s="234">
        <f>IF(ISNUMBER(SEARCH("MOTORISTA",tabParametros[[#This Row],[Função]],1)),VLOOKUP("MOTORISTAS",tabDiarias[],2,0),IF(tabParametros[[#This Row],[Comarca]]="Belo Horizonte",VLOOKUP("APOIO",tabDiarias[],2,0),0))</f>
        <v>0</v>
      </c>
      <c r="AI169" s="233">
        <f t="shared" si="24"/>
        <v>7.011766975308642E-3</v>
      </c>
      <c r="AJ169" s="235">
        <f>tabParametros[[#This Row],[FGTS]]*tabParametros[[#This Row],[Aviso Prévio Indenizado (API) e Reflexo do Aviso Prévio Indenizado]]</f>
        <v>5.609413580246914E-4</v>
      </c>
      <c r="AK169" s="235">
        <f>tabParametros[[#This Row],[FGTS]]*tabParametros[[#This Row],[Aviso Prévio Indenizado (API) e Reflexo do Aviso Prévio Indenizado]]*40%</f>
        <v>2.2437654320987658E-4</v>
      </c>
      <c r="AL169" s="233">
        <f t="shared" si="25"/>
        <v>3.5000000000000005E-3</v>
      </c>
      <c r="AM169" s="233">
        <f>tabParametros[[#This Row],[Aviso Prévio Trabalhado - APT]]*SUM(tabParametros[[#This Row],[INSS]:[SEBRAE]])</f>
        <v>1.3230000000000004E-3</v>
      </c>
      <c r="AN169" s="233">
        <f t="shared" si="26"/>
        <v>3.0577777777777773E-2</v>
      </c>
      <c r="AO169" s="233">
        <f t="shared" si="27"/>
        <v>8.3333333333333339E-4</v>
      </c>
      <c r="AP169" s="233">
        <f t="shared" si="28"/>
        <v>8.4444444444444437E-3</v>
      </c>
      <c r="AQ169" s="233">
        <f t="shared" si="29"/>
        <v>2.0277777777777777E-3</v>
      </c>
      <c r="AR169" s="233">
        <f t="shared" si="30"/>
        <v>1.7083333333333333E-4</v>
      </c>
      <c r="AS169" s="233">
        <f t="shared" si="31"/>
        <v>2.0833333333333335E-4</v>
      </c>
      <c r="AT169" s="233">
        <f t="shared" si="32"/>
        <v>1.2962962962962963E-3</v>
      </c>
      <c r="AU169" s="235">
        <f>SUM(tabParametros[[#This Row],[Ausência por Doença]:[Férias, Adicional de Férias e 13º  com empregada em gozo de Licença Maternidade]])*SUM(tabParametros[[#This Row],[INSS]:[SEBRAE]])</f>
        <v>4.5918250000000008E-3</v>
      </c>
      <c r="AV169" s="254">
        <f>IF(tabParametros[[#This Row],[Função]]="Porteiro - 220 h",SUM(tabParametros[[#This Row],[Salário Base]:[Adicional de Acúmulo de função]])/220*20*1.5,IF(ISNUMBER(SEARCH("12 x 36",tabParametros[[#This Row],[Função]],1)),SUM(tabParametros[[#This Row],[Salário Base]:[Adicional de Acúmulo de função]])/210*15.5*1.5,0))</f>
        <v>0</v>
      </c>
      <c r="AW169" s="232">
        <f>IF(tabParametros[[#This Row],[Vagas contratadas]]&gt;0,(SUM(tabParametros[[#This Row],[Salário Base]:[Adicional de Acúmulo de função]])*30%+SUM(tabParametros[[#This Row],[Vale - Alimentação]:[Seguro de Vida]]))/tabParametros[[#This Row],[Vagas contratadas]]*tabParametros[[#This Row],[Vagas suspensas]],0)</f>
        <v>0</v>
      </c>
      <c r="AX169" s="232">
        <f>SUMIF(tabUniformes[Cargo],tabParametros[[#This Row],[Função]],tabUniformes[Valor unit. Mensal])</f>
        <v>253.83572732312174</v>
      </c>
      <c r="AY16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6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6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69" s="232">
        <v>0</v>
      </c>
      <c r="BC169" s="234" t="e">
        <f ca="1">VLOOKUP(tabParametros[[#Headers],[Custos Indiretos]],tabOutrosCustos[],3,0)</f>
        <v>#NAME?</v>
      </c>
      <c r="BD169" s="234" t="e">
        <f ca="1">VLOOKUP(tabParametros[[#Headers],[Lucro]],tabOutrosCustos[],3,0)</f>
        <v>#NAME?</v>
      </c>
      <c r="BE169" s="233">
        <f>VLOOKUP(tabParametros[[#Headers],[COFINS]],tabImpostosNacionais[],2,0)</f>
        <v>7.5999999999999998E-2</v>
      </c>
      <c r="BF169" s="233">
        <f>VLOOKUP(tabParametros[[#Headers],[PIS]],tabImpostosNacionais[],2,0)</f>
        <v>1.6500000000000001E-2</v>
      </c>
      <c r="BG169" s="233">
        <f>VLOOKUP(tabParametros[[#This Row],[Comarca]],tabComarca[],4,0)</f>
        <v>0.03</v>
      </c>
      <c r="BH169" s="236">
        <f>VLOOKUP(tabParametros[[#This Row],[CCT DA CATEGORIA]],tabSindicatos[],11,0)</f>
        <v>45658</v>
      </c>
      <c r="BI169" s="282" t="str">
        <f>VLOOKUP(tabParametros[[#This Row],[CCT DA CATEGORIA]],tabSindicatos[],12,0)</f>
        <v>-</v>
      </c>
      <c r="BJ169" s="285" t="str">
        <f>VLOOKUP(tabParametros[[#This Row],[CCT DA CATEGORIA]],tabSindicatos[],13,0)</f>
        <v>-</v>
      </c>
    </row>
    <row r="170" spans="1:62">
      <c r="A170" s="231" t="s">
        <v>1617</v>
      </c>
      <c r="B170" s="197" t="s">
        <v>1146</v>
      </c>
      <c r="C170" s="197" t="s">
        <v>1368</v>
      </c>
      <c r="D170" s="197" t="str">
        <f>VLOOKUP(tabParametros[[#This Row],[Código do Posto]],tabPostos[],4,0)</f>
        <v>SECI</v>
      </c>
      <c r="E170" s="282" t="str">
        <f>VLOOKUP(tabParametros[[#This Row],[Código do Posto]],tabPostos[],5,0)</f>
        <v>Apoio</v>
      </c>
      <c r="F170" s="282" t="str">
        <f>VLOOKUP(tabParametros[[#This Row],[Código do Posto]],tabPostos[],6,0)</f>
        <v>PGJ</v>
      </c>
      <c r="G170" s="282">
        <f>VLOOKUP(tabParametros[[#This Row],[Código do Posto]],tabPostos[],7,0)</f>
        <v>1</v>
      </c>
      <c r="H170" s="282">
        <f>VLOOKUP(tabParametros[[#This Row],[Código do Posto]],tabPostos[],8,0)</f>
        <v>0</v>
      </c>
      <c r="I170" s="232">
        <f>VLOOKUP(tabParametros[[#This Row],[Código do Posto]],tabPostos[],9,0)</f>
        <v>2296.1756892610078</v>
      </c>
      <c r="J170" s="232">
        <f>IF(ISNUMBER(SEARCH("Eletricista",tabParametros[[#This Row],[Função]],1)),0.3*tabParametros[[#This Row],[Salário Base]],0)</f>
        <v>0</v>
      </c>
      <c r="K17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70" s="232">
        <f>IF(AND(ISNUMBER(SEARCH("Noturno",tabParametros[[#This Row],[Função]],1)),tabParametros[[#This Row],[Comarca]]&lt;&gt;"Juiz de Fora"),tabParametros[[#This Row],[Salário Base]]/210*0.39*7*15.5,IF(ISNUMBER(SEARCH("Noturno",tabParametros[[#This Row],[Função]],1)),tabParametros[[#This Row],[Salário Base]]/210*0.2*8*15.5,0))</f>
        <v>0</v>
      </c>
      <c r="M170" s="232">
        <f>IF(ISNUMBER(SEARCH("Motorista II",tabParametros[[#This Row],[Função]],1)),0.3022*tabParametros[[#This Row],[Salário Base]],0)</f>
        <v>0</v>
      </c>
      <c r="N170" s="254">
        <v>0</v>
      </c>
      <c r="O170" s="254">
        <f>IF(ISNUMBER(SEARCH("TECNOLOGIA DA INFORMACAO",tabParametros[[#This Row],[Função]],1)),0.056*tabParametros[[#This Row],[Salário Base]],0)</f>
        <v>0</v>
      </c>
      <c r="P170" s="232">
        <f>IF(tabParametros[[#This Row],[Função]]="Operador de Midia Audiovisual - 150 h",tabParametros[[#This Row],[Salário Base]]/150*50*30%,IF(tabParametros[[#This Row],[Função]]="Supervisor de Manutencao de Veiculos II - 220 h",12%*tabParametros[[#This Row],[Salário Base]],0))</f>
        <v>0</v>
      </c>
      <c r="Q170" s="233">
        <f>VLOOKUP(tabParametros[[#Headers],[INSS]],tabImpostosNacionais[],2,0)</f>
        <v>0.2</v>
      </c>
      <c r="R170" s="233">
        <f>VLOOKUP(tabParametros[[#Headers],[SESI OU SESC]],tabImpostosNacionais[],2,0)</f>
        <v>1.4999999999999999E-2</v>
      </c>
      <c r="S170" s="233">
        <f>VLOOKUP(tabParametros[[#Headers],[SENAI OU SENAC]],tabImpostosNacionais[],2,0)</f>
        <v>0.01</v>
      </c>
      <c r="T170" s="233">
        <f>VLOOKUP(tabParametros[[#Headers],[INCRA]],tabImpostosNacionais[],2,0)</f>
        <v>2E-3</v>
      </c>
      <c r="U170" s="233">
        <f>VLOOKUP(tabParametros[[#Headers],[Salário Educação]],tabImpostosNacionais[],2,0)</f>
        <v>2.5000000000000001E-2</v>
      </c>
      <c r="V170" s="233">
        <f>VLOOKUP(tabParametros[[#Headers],[FGTS]],tabImpostosNacionais[],2,0)</f>
        <v>0.08</v>
      </c>
      <c r="W170" s="233">
        <f>VLOOKUP(tabParametros[[#Headers],[RAT Ajustado]],tabImpostosNacionais[],2,0)</f>
        <v>0.04</v>
      </c>
      <c r="X170" s="233">
        <f>VLOOKUP(tabParametros[[#Headers],[SEBRAE]],tabImpostosNacionais[],2,0)</f>
        <v>6.0000000000000001E-3</v>
      </c>
      <c r="Y170" s="233">
        <f t="shared" si="22"/>
        <v>8.3333333333333329E-2</v>
      </c>
      <c r="Z170" s="233">
        <f t="shared" si="23"/>
        <v>0.1111111111111111</v>
      </c>
      <c r="AA170" s="232">
        <f>VLOOKUP(tabParametros[[#This Row],[Comarca]],tabComarca[],5,0)</f>
        <v>6.4</v>
      </c>
      <c r="AB170" s="232">
        <f>VLOOKUP(tabParametros[[#This Row],[CCT DA CATEGORIA]],tabSindicatos[],6,0)</f>
        <v>29.15</v>
      </c>
      <c r="AC170" s="232">
        <f>VLOOKUP(tabParametros[[#This Row],[CCT DA CATEGORIA]],tabSindicatos[],7,0)</f>
        <v>0</v>
      </c>
      <c r="AD170" s="232" cm="1">
        <f t="array" ref="AD17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70" s="232">
        <f>VLOOKUP(tabParametros[[#This Row],[CCT DA CATEGORIA]],tabSindicatos[],9,0)</f>
        <v>0</v>
      </c>
      <c r="AF170" s="232">
        <f>VLOOKUP(tabParametros[[#This Row],[CCT DA CATEGORIA]],tabSindicatos[],10,0)</f>
        <v>0</v>
      </c>
      <c r="AG170" s="234">
        <f>VLOOKUP(tabParametros[[#Headers],[Seguro de Vida]],tabOutrosCustos[],3,0)</f>
        <v>3.36</v>
      </c>
      <c r="AH170" s="234">
        <f>IF(ISNUMBER(SEARCH("MOTORISTA",tabParametros[[#This Row],[Função]],1)),VLOOKUP("MOTORISTAS",tabDiarias[],2,0),IF(tabParametros[[#This Row],[Comarca]]="Belo Horizonte",VLOOKUP("APOIO",tabDiarias[],2,0),0))</f>
        <v>0</v>
      </c>
      <c r="AI170" s="233">
        <f t="shared" si="24"/>
        <v>7.011766975308642E-3</v>
      </c>
      <c r="AJ170" s="235">
        <f>tabParametros[[#This Row],[FGTS]]*tabParametros[[#This Row],[Aviso Prévio Indenizado (API) e Reflexo do Aviso Prévio Indenizado]]</f>
        <v>5.609413580246914E-4</v>
      </c>
      <c r="AK170" s="235">
        <f>tabParametros[[#This Row],[FGTS]]*tabParametros[[#This Row],[Aviso Prévio Indenizado (API) e Reflexo do Aviso Prévio Indenizado]]*40%</f>
        <v>2.2437654320987658E-4</v>
      </c>
      <c r="AL170" s="233">
        <f t="shared" si="25"/>
        <v>3.5000000000000005E-3</v>
      </c>
      <c r="AM170" s="233">
        <f>tabParametros[[#This Row],[Aviso Prévio Trabalhado - APT]]*SUM(tabParametros[[#This Row],[INSS]:[SEBRAE]])</f>
        <v>1.3230000000000004E-3</v>
      </c>
      <c r="AN170" s="233">
        <f t="shared" si="26"/>
        <v>3.0577777777777773E-2</v>
      </c>
      <c r="AO170" s="233">
        <f t="shared" si="27"/>
        <v>8.3333333333333339E-4</v>
      </c>
      <c r="AP170" s="233">
        <f t="shared" si="28"/>
        <v>8.4444444444444437E-3</v>
      </c>
      <c r="AQ170" s="233">
        <f t="shared" si="29"/>
        <v>2.0277777777777777E-3</v>
      </c>
      <c r="AR170" s="233">
        <f t="shared" si="30"/>
        <v>1.7083333333333333E-4</v>
      </c>
      <c r="AS170" s="233">
        <f t="shared" si="31"/>
        <v>2.0833333333333335E-4</v>
      </c>
      <c r="AT170" s="233">
        <f t="shared" si="32"/>
        <v>1.2962962962962963E-3</v>
      </c>
      <c r="AU170" s="235">
        <f>SUM(tabParametros[[#This Row],[Ausência por Doença]:[Férias, Adicional de Férias e 13º  com empregada em gozo de Licença Maternidade]])*SUM(tabParametros[[#This Row],[INSS]:[SEBRAE]])</f>
        <v>4.5918250000000008E-3</v>
      </c>
      <c r="AV170" s="254">
        <f>IF(tabParametros[[#This Row],[Função]]="Porteiro - 220 h",SUM(tabParametros[[#This Row],[Salário Base]:[Adicional de Acúmulo de função]])/220*20*1.5,IF(ISNUMBER(SEARCH("12 x 36",tabParametros[[#This Row],[Função]],1)),SUM(tabParametros[[#This Row],[Salário Base]:[Adicional de Acúmulo de função]])/210*15.5*1.5,0))</f>
        <v>0</v>
      </c>
      <c r="AW170" s="232">
        <f>IF(tabParametros[[#This Row],[Vagas contratadas]]&gt;0,(SUM(tabParametros[[#This Row],[Salário Base]:[Adicional de Acúmulo de função]])*30%+SUM(tabParametros[[#This Row],[Vale - Alimentação]:[Seguro de Vida]]))/tabParametros[[#This Row],[Vagas contratadas]]*tabParametros[[#This Row],[Vagas suspensas]],0)</f>
        <v>0</v>
      </c>
      <c r="AX170" s="232">
        <f>SUMIF(tabUniformes[Cargo],tabParametros[[#This Row],[Função]],tabUniformes[Valor unit. Mensal])</f>
        <v>196.62072732312174</v>
      </c>
      <c r="AY17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7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7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0" s="232">
        <v>0</v>
      </c>
      <c r="BC170" s="234" t="e">
        <f ca="1">VLOOKUP(tabParametros[[#Headers],[Custos Indiretos]],tabOutrosCustos[],3,0)</f>
        <v>#NAME?</v>
      </c>
      <c r="BD170" s="234" t="e">
        <f ca="1">VLOOKUP(tabParametros[[#Headers],[Lucro]],tabOutrosCustos[],3,0)</f>
        <v>#NAME?</v>
      </c>
      <c r="BE170" s="233">
        <f>VLOOKUP(tabParametros[[#Headers],[COFINS]],tabImpostosNacionais[],2,0)</f>
        <v>7.5999999999999998E-2</v>
      </c>
      <c r="BF170" s="233">
        <f>VLOOKUP(tabParametros[[#Headers],[PIS]],tabImpostosNacionais[],2,0)</f>
        <v>1.6500000000000001E-2</v>
      </c>
      <c r="BG170" s="233">
        <f>VLOOKUP(tabParametros[[#This Row],[Comarca]],tabComarca[],4,0)</f>
        <v>0.03</v>
      </c>
      <c r="BH170" s="236">
        <f>VLOOKUP(tabParametros[[#This Row],[CCT DA CATEGORIA]],tabSindicatos[],11,0)</f>
        <v>45658</v>
      </c>
      <c r="BI170" s="282" t="str">
        <f>VLOOKUP(tabParametros[[#This Row],[CCT DA CATEGORIA]],tabSindicatos[],12,0)</f>
        <v>-</v>
      </c>
      <c r="BJ170" s="285" t="str">
        <f>VLOOKUP(tabParametros[[#This Row],[CCT DA CATEGORIA]],tabSindicatos[],13,0)</f>
        <v>-</v>
      </c>
    </row>
    <row r="171" spans="1:62">
      <c r="A171" s="231" t="s">
        <v>1618</v>
      </c>
      <c r="B171" s="197" t="s">
        <v>1146</v>
      </c>
      <c r="C171" s="197" t="s">
        <v>274</v>
      </c>
      <c r="D171" s="197" t="str">
        <f>VLOOKUP(tabParametros[[#This Row],[Código do Posto]],tabPostos[],4,0)</f>
        <v>Rodoviarios de Coronel Fabriciano + SEAC-MG</v>
      </c>
      <c r="E171" s="282" t="str">
        <f>VLOOKUP(tabParametros[[#This Row],[Código do Posto]],tabPostos[],5,0)</f>
        <v>Apoio</v>
      </c>
      <c r="F171" s="282" t="str">
        <f>VLOOKUP(tabParametros[[#This Row],[Código do Posto]],tabPostos[],6,0)</f>
        <v>PGJ</v>
      </c>
      <c r="G171" s="282">
        <f>VLOOKUP(tabParametros[[#This Row],[Código do Posto]],tabPostos[],7,0)</f>
        <v>1</v>
      </c>
      <c r="H171" s="282">
        <f>VLOOKUP(tabParametros[[#This Row],[Código do Posto]],tabPostos[],8,0)</f>
        <v>0</v>
      </c>
      <c r="I171" s="232">
        <f>VLOOKUP(tabParametros[[#This Row],[Código do Posto]],tabPostos[],9,0)</f>
        <v>4599.5952808034681</v>
      </c>
      <c r="J171" s="232">
        <f>IF(ISNUMBER(SEARCH("Eletricista",tabParametros[[#This Row],[Função]],1)),0.3*tabParametros[[#This Row],[Salário Base]],0)</f>
        <v>0</v>
      </c>
      <c r="K17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1" s="232">
        <f>IF(AND(ISNUMBER(SEARCH("Noturno",tabParametros[[#This Row],[Função]],1)),tabParametros[[#This Row],[Comarca]]&lt;&gt;"Juiz de Fora"),tabParametros[[#This Row],[Salário Base]]/210*0.39*7*15.5,IF(ISNUMBER(SEARCH("Noturno",tabParametros[[#This Row],[Função]],1)),tabParametros[[#This Row],[Salário Base]]/210*0.2*8*15.5,0))</f>
        <v>0</v>
      </c>
      <c r="M171" s="232">
        <f>IF(ISNUMBER(SEARCH("Motorista II",tabParametros[[#This Row],[Função]],1)),0.3022*tabParametros[[#This Row],[Salário Base]],0)</f>
        <v>0</v>
      </c>
      <c r="N171" s="254">
        <v>0</v>
      </c>
      <c r="O171" s="254">
        <f>IF(ISNUMBER(SEARCH("TECNOLOGIA DA INFORMACAO",tabParametros[[#This Row],[Função]],1)),0.056*tabParametros[[#This Row],[Salário Base]],0)</f>
        <v>0</v>
      </c>
      <c r="P171" s="232">
        <f>IF(tabParametros[[#This Row],[Função]]="Operador de Midia Audiovisual - 150 h",tabParametros[[#This Row],[Salário Base]]/150*50*30%,IF(tabParametros[[#This Row],[Função]]="Supervisor de Manutencao de Veiculos II - 220 h",12%*tabParametros[[#This Row],[Salário Base]],0))</f>
        <v>0</v>
      </c>
      <c r="Q171" s="233">
        <f>VLOOKUP(tabParametros[[#Headers],[INSS]],tabImpostosNacionais[],2,0)</f>
        <v>0.2</v>
      </c>
      <c r="R171" s="233">
        <f>VLOOKUP(tabParametros[[#Headers],[SESI OU SESC]],tabImpostosNacionais[],2,0)</f>
        <v>1.4999999999999999E-2</v>
      </c>
      <c r="S171" s="233">
        <f>VLOOKUP(tabParametros[[#Headers],[SENAI OU SENAC]],tabImpostosNacionais[],2,0)</f>
        <v>0.01</v>
      </c>
      <c r="T171" s="233">
        <f>VLOOKUP(tabParametros[[#Headers],[INCRA]],tabImpostosNacionais[],2,0)</f>
        <v>2E-3</v>
      </c>
      <c r="U171" s="233">
        <f>VLOOKUP(tabParametros[[#Headers],[Salário Educação]],tabImpostosNacionais[],2,0)</f>
        <v>2.5000000000000001E-2</v>
      </c>
      <c r="V171" s="233">
        <f>VLOOKUP(tabParametros[[#Headers],[FGTS]],tabImpostosNacionais[],2,0)</f>
        <v>0.08</v>
      </c>
      <c r="W171" s="233">
        <f>VLOOKUP(tabParametros[[#Headers],[RAT Ajustado]],tabImpostosNacionais[],2,0)</f>
        <v>0.04</v>
      </c>
      <c r="X171" s="233">
        <f>VLOOKUP(tabParametros[[#Headers],[SEBRAE]],tabImpostosNacionais[],2,0)</f>
        <v>6.0000000000000001E-3</v>
      </c>
      <c r="Y171" s="233">
        <f t="shared" si="22"/>
        <v>8.3333333333333329E-2</v>
      </c>
      <c r="Z171" s="233">
        <f t="shared" si="23"/>
        <v>0.1111111111111111</v>
      </c>
      <c r="AA171" s="232">
        <f>VLOOKUP(tabParametros[[#This Row],[Comarca]],tabComarca[],5,0)</f>
        <v>6.4</v>
      </c>
      <c r="AB171" s="232">
        <f>VLOOKUP(tabParametros[[#This Row],[CCT DA CATEGORIA]],tabSindicatos[],6,0)</f>
        <v>28.97</v>
      </c>
      <c r="AC171" s="232">
        <f>VLOOKUP(tabParametros[[#This Row],[CCT DA CATEGORIA]],tabSindicatos[],7,0)</f>
        <v>0</v>
      </c>
      <c r="AD171" s="232" cm="1">
        <f t="array" ref="AD17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71" s="232">
        <f>VLOOKUP(tabParametros[[#This Row],[CCT DA CATEGORIA]],tabSindicatos[],9,0)</f>
        <v>0</v>
      </c>
      <c r="AF171" s="232">
        <f>VLOOKUP(tabParametros[[#This Row],[CCT DA CATEGORIA]],tabSindicatos[],10,0)</f>
        <v>0</v>
      </c>
      <c r="AG171" s="234">
        <f>VLOOKUP(tabParametros[[#Headers],[Seguro de Vida]],tabOutrosCustos[],3,0)</f>
        <v>3.36</v>
      </c>
      <c r="AH171" s="234">
        <f>IF(ISNUMBER(SEARCH("MOTORISTA",tabParametros[[#This Row],[Função]],1)),VLOOKUP("MOTORISTAS",tabDiarias[],2,0),IF(tabParametros[[#This Row],[Comarca]]="Belo Horizonte",VLOOKUP("APOIO",tabDiarias[],2,0),0))</f>
        <v>662.42</v>
      </c>
      <c r="AI171" s="233">
        <f t="shared" si="24"/>
        <v>7.011766975308642E-3</v>
      </c>
      <c r="AJ171" s="235">
        <f>tabParametros[[#This Row],[FGTS]]*tabParametros[[#This Row],[Aviso Prévio Indenizado (API) e Reflexo do Aviso Prévio Indenizado]]</f>
        <v>5.609413580246914E-4</v>
      </c>
      <c r="AK171" s="235">
        <f>tabParametros[[#This Row],[FGTS]]*tabParametros[[#This Row],[Aviso Prévio Indenizado (API) e Reflexo do Aviso Prévio Indenizado]]*40%</f>
        <v>2.2437654320987658E-4</v>
      </c>
      <c r="AL171" s="233">
        <f t="shared" si="25"/>
        <v>3.5000000000000005E-3</v>
      </c>
      <c r="AM171" s="233">
        <f>tabParametros[[#This Row],[Aviso Prévio Trabalhado - APT]]*SUM(tabParametros[[#This Row],[INSS]:[SEBRAE]])</f>
        <v>1.3230000000000004E-3</v>
      </c>
      <c r="AN171" s="233">
        <f t="shared" si="26"/>
        <v>3.0577777777777773E-2</v>
      </c>
      <c r="AO171" s="233">
        <f t="shared" si="27"/>
        <v>8.3333333333333339E-4</v>
      </c>
      <c r="AP171" s="233">
        <f t="shared" si="28"/>
        <v>8.4444444444444437E-3</v>
      </c>
      <c r="AQ171" s="233">
        <f t="shared" si="29"/>
        <v>2.0277777777777777E-3</v>
      </c>
      <c r="AR171" s="233">
        <f t="shared" si="30"/>
        <v>1.7083333333333333E-4</v>
      </c>
      <c r="AS171" s="233">
        <f t="shared" si="31"/>
        <v>2.0833333333333335E-4</v>
      </c>
      <c r="AT171" s="233">
        <f t="shared" si="32"/>
        <v>1.2962962962962963E-3</v>
      </c>
      <c r="AU171" s="235">
        <f>SUM(tabParametros[[#This Row],[Ausência por Doença]:[Férias, Adicional de Férias e 13º  com empregada em gozo de Licença Maternidade]])*SUM(tabParametros[[#This Row],[INSS]:[SEBRAE]])</f>
        <v>4.5918250000000008E-3</v>
      </c>
      <c r="AV171" s="254">
        <f>IF(tabParametros[[#This Row],[Função]]="Porteiro - 220 h",SUM(tabParametros[[#This Row],[Salário Base]:[Adicional de Acúmulo de função]])/220*20*1.5,IF(ISNUMBER(SEARCH("12 x 36",tabParametros[[#This Row],[Função]],1)),SUM(tabParametros[[#This Row],[Salário Base]:[Adicional de Acúmulo de função]])/210*15.5*1.5,0))</f>
        <v>0</v>
      </c>
      <c r="AW171" s="232">
        <f>IF(tabParametros[[#This Row],[Vagas contratadas]]&gt;0,(SUM(tabParametros[[#This Row],[Salário Base]:[Adicional de Acúmulo de função]])*30%+SUM(tabParametros[[#This Row],[Vale - Alimentação]:[Seguro de Vida]]))/tabParametros[[#This Row],[Vagas contratadas]]*tabParametros[[#This Row],[Vagas suspensas]],0)</f>
        <v>0</v>
      </c>
      <c r="AX171" s="232">
        <f>SUMIF(tabUniformes[Cargo],tabParametros[[#This Row],[Função]],tabUniformes[Valor unit. Mensal])</f>
        <v>92.100763771570698</v>
      </c>
      <c r="AY17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1" s="232">
        <v>0</v>
      </c>
      <c r="BC171" s="234" t="e">
        <f ca="1">VLOOKUP(tabParametros[[#Headers],[Custos Indiretos]],tabOutrosCustos[],3,0)</f>
        <v>#NAME?</v>
      </c>
      <c r="BD171" s="234" t="e">
        <f ca="1">VLOOKUP(tabParametros[[#Headers],[Lucro]],tabOutrosCustos[],3,0)</f>
        <v>#NAME?</v>
      </c>
      <c r="BE171" s="233">
        <f>VLOOKUP(tabParametros[[#Headers],[COFINS]],tabImpostosNacionais[],2,0)</f>
        <v>7.5999999999999998E-2</v>
      </c>
      <c r="BF171" s="233">
        <f>VLOOKUP(tabParametros[[#Headers],[PIS]],tabImpostosNacionais[],2,0)</f>
        <v>1.6500000000000001E-2</v>
      </c>
      <c r="BG171" s="233">
        <f>VLOOKUP(tabParametros[[#This Row],[Comarca]],tabComarca[],4,0)</f>
        <v>0.03</v>
      </c>
      <c r="BH171" s="236">
        <f>VLOOKUP(tabParametros[[#This Row],[CCT DA CATEGORIA]],tabSindicatos[],11,0)</f>
        <v>45658</v>
      </c>
      <c r="BI171" s="282" t="str">
        <f>VLOOKUP(tabParametros[[#This Row],[CCT DA CATEGORIA]],tabSindicatos[],12,0)</f>
        <v>-</v>
      </c>
      <c r="BJ171" s="285" t="str">
        <f>VLOOKUP(tabParametros[[#This Row],[CCT DA CATEGORIA]],tabSindicatos[],13,0)</f>
        <v>-</v>
      </c>
    </row>
    <row r="172" spans="1:62">
      <c r="A172" s="231" t="s">
        <v>1619</v>
      </c>
      <c r="B172" s="197" t="s">
        <v>1146</v>
      </c>
      <c r="C172" s="197" t="s">
        <v>324</v>
      </c>
      <c r="D172" s="197" t="str">
        <f>VLOOKUP(tabParametros[[#This Row],[Código do Posto]],tabPostos[],4,0)</f>
        <v>SECI</v>
      </c>
      <c r="E172" s="282" t="str">
        <f>VLOOKUP(tabParametros[[#This Row],[Código do Posto]],tabPostos[],5,0)</f>
        <v>Apoio</v>
      </c>
      <c r="F172" s="282" t="str">
        <f>VLOOKUP(tabParametros[[#This Row],[Código do Posto]],tabPostos[],6,0)</f>
        <v>PGJ</v>
      </c>
      <c r="G172" s="282">
        <f>VLOOKUP(tabParametros[[#This Row],[Código do Posto]],tabPostos[],7,0)</f>
        <v>3</v>
      </c>
      <c r="H172" s="282">
        <f>VLOOKUP(tabParametros[[#This Row],[Código do Posto]],tabPostos[],8,0)</f>
        <v>0</v>
      </c>
      <c r="I172" s="232">
        <f>VLOOKUP(tabParametros[[#This Row],[Código do Posto]],tabPostos[],9,0)</f>
        <v>3397.1306016921476</v>
      </c>
      <c r="J172" s="232">
        <f>IF(ISNUMBER(SEARCH("Eletricista",tabParametros[[#This Row],[Função]],1)),0.3*tabParametros[[#This Row],[Salário Base]],0)</f>
        <v>0</v>
      </c>
      <c r="K17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2" s="232">
        <f>IF(AND(ISNUMBER(SEARCH("Noturno",tabParametros[[#This Row],[Função]],1)),tabParametros[[#This Row],[Comarca]]&lt;&gt;"Juiz de Fora"),tabParametros[[#This Row],[Salário Base]]/210*0.39*7*15.5,IF(ISNUMBER(SEARCH("Noturno",tabParametros[[#This Row],[Função]],1)),tabParametros[[#This Row],[Salário Base]]/210*0.2*8*15.5,0))</f>
        <v>0</v>
      </c>
      <c r="M172" s="232">
        <f>IF(ISNUMBER(SEARCH("Motorista II",tabParametros[[#This Row],[Função]],1)),0.3022*tabParametros[[#This Row],[Salário Base]],0)</f>
        <v>0</v>
      </c>
      <c r="N172" s="254">
        <v>0</v>
      </c>
      <c r="O172" s="254">
        <f>IF(ISNUMBER(SEARCH("TECNOLOGIA DA INFORMACAO",tabParametros[[#This Row],[Função]],1)),0.056*tabParametros[[#This Row],[Salário Base]],0)</f>
        <v>0</v>
      </c>
      <c r="P172" s="232">
        <f>IF(tabParametros[[#This Row],[Função]]="Operador de Midia Audiovisual - 150 h",tabParametros[[#This Row],[Salário Base]]/150*50*30%,IF(tabParametros[[#This Row],[Função]]="Supervisor de Manutencao de Veiculos II - 220 h",12%*tabParametros[[#This Row],[Salário Base]],0))</f>
        <v>0</v>
      </c>
      <c r="Q172" s="233">
        <f>VLOOKUP(tabParametros[[#Headers],[INSS]],tabImpostosNacionais[],2,0)</f>
        <v>0.2</v>
      </c>
      <c r="R172" s="233">
        <f>VLOOKUP(tabParametros[[#Headers],[SESI OU SESC]],tabImpostosNacionais[],2,0)</f>
        <v>1.4999999999999999E-2</v>
      </c>
      <c r="S172" s="233">
        <f>VLOOKUP(tabParametros[[#Headers],[SENAI OU SENAC]],tabImpostosNacionais[],2,0)</f>
        <v>0.01</v>
      </c>
      <c r="T172" s="233">
        <f>VLOOKUP(tabParametros[[#Headers],[INCRA]],tabImpostosNacionais[],2,0)</f>
        <v>2E-3</v>
      </c>
      <c r="U172" s="233">
        <f>VLOOKUP(tabParametros[[#Headers],[Salário Educação]],tabImpostosNacionais[],2,0)</f>
        <v>2.5000000000000001E-2</v>
      </c>
      <c r="V172" s="233">
        <f>VLOOKUP(tabParametros[[#Headers],[FGTS]],tabImpostosNacionais[],2,0)</f>
        <v>0.08</v>
      </c>
      <c r="W172" s="233">
        <f>VLOOKUP(tabParametros[[#Headers],[RAT Ajustado]],tabImpostosNacionais[],2,0)</f>
        <v>0.04</v>
      </c>
      <c r="X172" s="233">
        <f>VLOOKUP(tabParametros[[#Headers],[SEBRAE]],tabImpostosNacionais[],2,0)</f>
        <v>6.0000000000000001E-3</v>
      </c>
      <c r="Y172" s="233">
        <f t="shared" si="22"/>
        <v>8.3333333333333329E-2</v>
      </c>
      <c r="Z172" s="233">
        <f t="shared" si="23"/>
        <v>0.1111111111111111</v>
      </c>
      <c r="AA172" s="232">
        <f>VLOOKUP(tabParametros[[#This Row],[Comarca]],tabComarca[],5,0)</f>
        <v>6.4</v>
      </c>
      <c r="AB172" s="232">
        <f>VLOOKUP(tabParametros[[#This Row],[CCT DA CATEGORIA]],tabSindicatos[],6,0)</f>
        <v>29.15</v>
      </c>
      <c r="AC172" s="232">
        <f>VLOOKUP(tabParametros[[#This Row],[CCT DA CATEGORIA]],tabSindicatos[],7,0)</f>
        <v>0</v>
      </c>
      <c r="AD172" s="232" cm="1">
        <f t="array" ref="AD17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72" s="232">
        <f>VLOOKUP(tabParametros[[#This Row],[CCT DA CATEGORIA]],tabSindicatos[],9,0)</f>
        <v>0</v>
      </c>
      <c r="AF172" s="232">
        <f>VLOOKUP(tabParametros[[#This Row],[CCT DA CATEGORIA]],tabSindicatos[],10,0)</f>
        <v>0</v>
      </c>
      <c r="AG172" s="234">
        <f>VLOOKUP(tabParametros[[#Headers],[Seguro de Vida]],tabOutrosCustos[],3,0)</f>
        <v>3.36</v>
      </c>
      <c r="AH172" s="234">
        <f>IF(ISNUMBER(SEARCH("MOTORISTA",tabParametros[[#This Row],[Função]],1)),VLOOKUP("MOTORISTAS",tabDiarias[],2,0),IF(tabParametros[[#This Row],[Comarca]]="Belo Horizonte",VLOOKUP("APOIO",tabDiarias[],2,0),0))</f>
        <v>0</v>
      </c>
      <c r="AI172" s="233">
        <f t="shared" si="24"/>
        <v>7.011766975308642E-3</v>
      </c>
      <c r="AJ172" s="235">
        <f>tabParametros[[#This Row],[FGTS]]*tabParametros[[#This Row],[Aviso Prévio Indenizado (API) e Reflexo do Aviso Prévio Indenizado]]</f>
        <v>5.609413580246914E-4</v>
      </c>
      <c r="AK172" s="235">
        <f>tabParametros[[#This Row],[FGTS]]*tabParametros[[#This Row],[Aviso Prévio Indenizado (API) e Reflexo do Aviso Prévio Indenizado]]*40%</f>
        <v>2.2437654320987658E-4</v>
      </c>
      <c r="AL172" s="233">
        <f t="shared" si="25"/>
        <v>3.5000000000000005E-3</v>
      </c>
      <c r="AM172" s="233">
        <f>tabParametros[[#This Row],[Aviso Prévio Trabalhado - APT]]*SUM(tabParametros[[#This Row],[INSS]:[SEBRAE]])</f>
        <v>1.3230000000000004E-3</v>
      </c>
      <c r="AN172" s="233">
        <f t="shared" si="26"/>
        <v>3.0577777777777773E-2</v>
      </c>
      <c r="AO172" s="233">
        <f t="shared" si="27"/>
        <v>8.3333333333333339E-4</v>
      </c>
      <c r="AP172" s="233">
        <f t="shared" si="28"/>
        <v>8.4444444444444437E-3</v>
      </c>
      <c r="AQ172" s="233">
        <f t="shared" si="29"/>
        <v>2.0277777777777777E-3</v>
      </c>
      <c r="AR172" s="233">
        <f t="shared" si="30"/>
        <v>1.7083333333333333E-4</v>
      </c>
      <c r="AS172" s="233">
        <f t="shared" si="31"/>
        <v>2.0833333333333335E-4</v>
      </c>
      <c r="AT172" s="233">
        <f t="shared" si="32"/>
        <v>1.2962962962962963E-3</v>
      </c>
      <c r="AU172" s="235">
        <f>SUM(tabParametros[[#This Row],[Ausência por Doença]:[Férias, Adicional de Férias e 13º  com empregada em gozo de Licença Maternidade]])*SUM(tabParametros[[#This Row],[INSS]:[SEBRAE]])</f>
        <v>4.5918250000000008E-3</v>
      </c>
      <c r="AV172" s="254">
        <f>IF(tabParametros[[#This Row],[Função]]="Porteiro - 220 h",SUM(tabParametros[[#This Row],[Salário Base]:[Adicional de Acúmulo de função]])/220*20*1.5,IF(ISNUMBER(SEARCH("12 x 36",tabParametros[[#This Row],[Função]],1)),SUM(tabParametros[[#This Row],[Salário Base]:[Adicional de Acúmulo de função]])/210*15.5*1.5,0))</f>
        <v>0</v>
      </c>
      <c r="AW172" s="232">
        <f>IF(tabParametros[[#This Row],[Vagas contratadas]]&gt;0,(SUM(tabParametros[[#This Row],[Salário Base]:[Adicional de Acúmulo de função]])*30%+SUM(tabParametros[[#This Row],[Vale - Alimentação]:[Seguro de Vida]]))/tabParametros[[#This Row],[Vagas contratadas]]*tabParametros[[#This Row],[Vagas suspensas]],0)</f>
        <v>0</v>
      </c>
      <c r="AX172" s="232">
        <f>SUMIF(tabUniformes[Cargo],tabParametros[[#This Row],[Função]],tabUniformes[Valor unit. Mensal])</f>
        <v>56.642978962543395</v>
      </c>
      <c r="AY17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2" s="232">
        <v>0</v>
      </c>
      <c r="BC172" s="234" t="e">
        <f ca="1">VLOOKUP(tabParametros[[#Headers],[Custos Indiretos]],tabOutrosCustos[],3,0)</f>
        <v>#NAME?</v>
      </c>
      <c r="BD172" s="234" t="e">
        <f ca="1">VLOOKUP(tabParametros[[#Headers],[Lucro]],tabOutrosCustos[],3,0)</f>
        <v>#NAME?</v>
      </c>
      <c r="BE172" s="233">
        <f>VLOOKUP(tabParametros[[#Headers],[COFINS]],tabImpostosNacionais[],2,0)</f>
        <v>7.5999999999999998E-2</v>
      </c>
      <c r="BF172" s="233">
        <f>VLOOKUP(tabParametros[[#Headers],[PIS]],tabImpostosNacionais[],2,0)</f>
        <v>1.6500000000000001E-2</v>
      </c>
      <c r="BG172" s="233">
        <f>VLOOKUP(tabParametros[[#This Row],[Comarca]],tabComarca[],4,0)</f>
        <v>0.03</v>
      </c>
      <c r="BH172" s="236">
        <f>VLOOKUP(tabParametros[[#This Row],[CCT DA CATEGORIA]],tabSindicatos[],11,0)</f>
        <v>45658</v>
      </c>
      <c r="BI172" s="282" t="str">
        <f>VLOOKUP(tabParametros[[#This Row],[CCT DA CATEGORIA]],tabSindicatos[],12,0)</f>
        <v>-</v>
      </c>
      <c r="BJ172" s="285" t="str">
        <f>VLOOKUP(tabParametros[[#This Row],[CCT DA CATEGORIA]],tabSindicatos[],13,0)</f>
        <v>-</v>
      </c>
    </row>
    <row r="173" spans="1:62">
      <c r="A173" s="231" t="s">
        <v>1479</v>
      </c>
      <c r="B173" s="197" t="s">
        <v>930</v>
      </c>
      <c r="C173" s="197" t="s">
        <v>200</v>
      </c>
      <c r="D173" s="197" t="str">
        <f>VLOOKUP(tabParametros[[#This Row],[Código do Posto]],tabPostos[],4,0)</f>
        <v>Itabira</v>
      </c>
      <c r="E173" s="282" t="str">
        <f>VLOOKUP(tabParametros[[#This Row],[Código do Posto]],tabPostos[],5,0)</f>
        <v>Apoio</v>
      </c>
      <c r="F173" s="282" t="str">
        <f>VLOOKUP(tabParametros[[#This Row],[Código do Posto]],tabPostos[],6,0)</f>
        <v>PGJ</v>
      </c>
      <c r="G173" s="282">
        <f>VLOOKUP(tabParametros[[#This Row],[Código do Posto]],tabPostos[],7,0)</f>
        <v>1</v>
      </c>
      <c r="H173" s="282">
        <f>VLOOKUP(tabParametros[[#This Row],[Código do Posto]],tabPostos[],8,0)</f>
        <v>0</v>
      </c>
      <c r="I173" s="232">
        <f>VLOOKUP(tabParametros[[#This Row],[Código do Posto]],tabPostos[],9,0)</f>
        <v>1649.1153464738998</v>
      </c>
      <c r="J173" s="232">
        <f>IF(ISNUMBER(SEARCH("Eletricista",tabParametros[[#This Row],[Função]],1)),0.3*tabParametros[[#This Row],[Salário Base]],0)</f>
        <v>0</v>
      </c>
      <c r="K17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3" s="232">
        <f>IF(AND(ISNUMBER(SEARCH("Noturno",tabParametros[[#This Row],[Função]],1)),tabParametros[[#This Row],[Comarca]]&lt;&gt;"Juiz de Fora"),tabParametros[[#This Row],[Salário Base]]/210*0.39*7*15.5,IF(ISNUMBER(SEARCH("Noturno",tabParametros[[#This Row],[Função]],1)),tabParametros[[#This Row],[Salário Base]]/210*0.2*8*15.5,0))</f>
        <v>0</v>
      </c>
      <c r="M173" s="232">
        <f>IF(ISNUMBER(SEARCH("Motorista II",tabParametros[[#This Row],[Função]],1)),0.3022*tabParametros[[#This Row],[Salário Base]],0)</f>
        <v>0</v>
      </c>
      <c r="N173" s="254">
        <v>0</v>
      </c>
      <c r="O173" s="254">
        <f>IF(ISNUMBER(SEARCH("TECNOLOGIA DA INFORMACAO",tabParametros[[#This Row],[Função]],1)),0.056*tabParametros[[#This Row],[Salário Base]],0)</f>
        <v>0</v>
      </c>
      <c r="P173" s="232">
        <f>IF(tabParametros[[#This Row],[Função]]="Operador de Midia Audiovisual - 150 h",tabParametros[[#This Row],[Salário Base]]/150*50*30%,IF(tabParametros[[#This Row],[Função]]="Supervisor de Manutencao de Veiculos II - 220 h",12%*tabParametros[[#This Row],[Salário Base]],0))</f>
        <v>0</v>
      </c>
      <c r="Q173" s="233">
        <f>VLOOKUP(tabParametros[[#Headers],[INSS]],tabImpostosNacionais[],2,0)</f>
        <v>0.2</v>
      </c>
      <c r="R173" s="233">
        <f>VLOOKUP(tabParametros[[#Headers],[SESI OU SESC]],tabImpostosNacionais[],2,0)</f>
        <v>1.4999999999999999E-2</v>
      </c>
      <c r="S173" s="233">
        <f>VLOOKUP(tabParametros[[#Headers],[SENAI OU SENAC]],tabImpostosNacionais[],2,0)</f>
        <v>0.01</v>
      </c>
      <c r="T173" s="233">
        <f>VLOOKUP(tabParametros[[#Headers],[INCRA]],tabImpostosNacionais[],2,0)</f>
        <v>2E-3</v>
      </c>
      <c r="U173" s="233">
        <f>VLOOKUP(tabParametros[[#Headers],[Salário Educação]],tabImpostosNacionais[],2,0)</f>
        <v>2.5000000000000001E-2</v>
      </c>
      <c r="V173" s="233">
        <f>VLOOKUP(tabParametros[[#Headers],[FGTS]],tabImpostosNacionais[],2,0)</f>
        <v>0.08</v>
      </c>
      <c r="W173" s="233">
        <f>VLOOKUP(tabParametros[[#Headers],[RAT Ajustado]],tabImpostosNacionais[],2,0)</f>
        <v>0.04</v>
      </c>
      <c r="X173" s="233">
        <f>VLOOKUP(tabParametros[[#Headers],[SEBRAE]],tabImpostosNacionais[],2,0)</f>
        <v>6.0000000000000001E-3</v>
      </c>
      <c r="Y173" s="233">
        <f t="shared" si="22"/>
        <v>8.3333333333333329E-2</v>
      </c>
      <c r="Z173" s="233">
        <f t="shared" si="23"/>
        <v>0.1111111111111111</v>
      </c>
      <c r="AA173" s="232">
        <f>VLOOKUP(tabParametros[[#This Row],[Comarca]],tabComarca[],5,0)</f>
        <v>6.4</v>
      </c>
      <c r="AB173" s="232">
        <f>VLOOKUP(tabParametros[[#This Row],[CCT DA CATEGORIA]],tabSindicatos[],6,0)</f>
        <v>29.15</v>
      </c>
      <c r="AC173" s="232">
        <f>VLOOKUP(tabParametros[[#This Row],[CCT DA CATEGORIA]],tabSindicatos[],7,0)</f>
        <v>0</v>
      </c>
      <c r="AD173" s="232" cm="1">
        <f t="array" ref="AD17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73" s="232">
        <f>VLOOKUP(tabParametros[[#This Row],[CCT DA CATEGORIA]],tabSindicatos[],9,0)</f>
        <v>0</v>
      </c>
      <c r="AF173" s="232">
        <f>VLOOKUP(tabParametros[[#This Row],[CCT DA CATEGORIA]],tabSindicatos[],10,0)</f>
        <v>0</v>
      </c>
      <c r="AG173" s="234">
        <f>VLOOKUP(tabParametros[[#Headers],[Seguro de Vida]],tabOutrosCustos[],3,0)</f>
        <v>3.36</v>
      </c>
      <c r="AH173" s="234">
        <f>IF(ISNUMBER(SEARCH("MOTORISTA",tabParametros[[#This Row],[Função]],1)),VLOOKUP("MOTORISTAS",tabDiarias[],2,0),IF(tabParametros[[#This Row],[Comarca]]="Belo Horizonte",VLOOKUP("APOIO",tabDiarias[],2,0),0))</f>
        <v>0</v>
      </c>
      <c r="AI173" s="233">
        <f t="shared" si="24"/>
        <v>7.011766975308642E-3</v>
      </c>
      <c r="AJ173" s="235">
        <f>tabParametros[[#This Row],[FGTS]]*tabParametros[[#This Row],[Aviso Prévio Indenizado (API) e Reflexo do Aviso Prévio Indenizado]]</f>
        <v>5.609413580246914E-4</v>
      </c>
      <c r="AK173" s="235">
        <f>tabParametros[[#This Row],[FGTS]]*tabParametros[[#This Row],[Aviso Prévio Indenizado (API) e Reflexo do Aviso Prévio Indenizado]]*40%</f>
        <v>2.2437654320987658E-4</v>
      </c>
      <c r="AL173" s="233">
        <f t="shared" si="25"/>
        <v>3.5000000000000005E-3</v>
      </c>
      <c r="AM173" s="233">
        <f>tabParametros[[#This Row],[Aviso Prévio Trabalhado - APT]]*SUM(tabParametros[[#This Row],[INSS]:[SEBRAE]])</f>
        <v>1.3230000000000004E-3</v>
      </c>
      <c r="AN173" s="233">
        <f t="shared" si="26"/>
        <v>3.0577777777777773E-2</v>
      </c>
      <c r="AO173" s="233">
        <f t="shared" si="27"/>
        <v>8.3333333333333339E-4</v>
      </c>
      <c r="AP173" s="233">
        <f t="shared" si="28"/>
        <v>8.4444444444444437E-3</v>
      </c>
      <c r="AQ173" s="233">
        <f t="shared" si="29"/>
        <v>2.0277777777777777E-3</v>
      </c>
      <c r="AR173" s="233">
        <f t="shared" si="30"/>
        <v>1.7083333333333333E-4</v>
      </c>
      <c r="AS173" s="233">
        <f t="shared" si="31"/>
        <v>2.0833333333333335E-4</v>
      </c>
      <c r="AT173" s="233">
        <f t="shared" si="32"/>
        <v>1.2962962962962963E-3</v>
      </c>
      <c r="AU173" s="235">
        <f>SUM(tabParametros[[#This Row],[Ausência por Doença]:[Férias, Adicional de Férias e 13º  com empregada em gozo de Licença Maternidade]])*SUM(tabParametros[[#This Row],[INSS]:[SEBRAE]])</f>
        <v>4.5918250000000008E-3</v>
      </c>
      <c r="AV173" s="254">
        <f>IF(tabParametros[[#This Row],[Função]]="Porteiro - 220 h",SUM(tabParametros[[#This Row],[Salário Base]:[Adicional de Acúmulo de função]])/220*20*1.5,IF(ISNUMBER(SEARCH("12 x 36",tabParametros[[#This Row],[Função]],1)),SUM(tabParametros[[#This Row],[Salário Base]:[Adicional de Acúmulo de função]])/210*15.5*1.5,0))</f>
        <v>0</v>
      </c>
      <c r="AW173" s="232">
        <f>IF(tabParametros[[#This Row],[Vagas contratadas]]&gt;0,(SUM(tabParametros[[#This Row],[Salário Base]:[Adicional de Acúmulo de função]])*30%+SUM(tabParametros[[#This Row],[Vale - Alimentação]:[Seguro de Vida]]))/tabParametros[[#This Row],[Vagas contratadas]]*tabParametros[[#This Row],[Vagas suspensas]],0)</f>
        <v>0</v>
      </c>
      <c r="AX173" s="232">
        <f>SUMIF(tabUniformes[Cargo],tabParametros[[#This Row],[Função]],tabUniformes[Valor unit. Mensal])</f>
        <v>56.141713661989918</v>
      </c>
      <c r="AY17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3" s="232">
        <v>0</v>
      </c>
      <c r="BC173" s="234" t="e">
        <f ca="1">VLOOKUP(tabParametros[[#Headers],[Custos Indiretos]],tabOutrosCustos[],3,0)</f>
        <v>#NAME?</v>
      </c>
      <c r="BD173" s="234" t="e">
        <f ca="1">VLOOKUP(tabParametros[[#Headers],[Lucro]],tabOutrosCustos[],3,0)</f>
        <v>#NAME?</v>
      </c>
      <c r="BE173" s="233">
        <f>VLOOKUP(tabParametros[[#Headers],[COFINS]],tabImpostosNacionais[],2,0)</f>
        <v>7.5999999999999998E-2</v>
      </c>
      <c r="BF173" s="233">
        <f>VLOOKUP(tabParametros[[#Headers],[PIS]],tabImpostosNacionais[],2,0)</f>
        <v>1.6500000000000001E-2</v>
      </c>
      <c r="BG173" s="233">
        <f>VLOOKUP(tabParametros[[#This Row],[Comarca]],tabComarca[],4,0)</f>
        <v>0.03</v>
      </c>
      <c r="BH173" s="236">
        <f>VLOOKUP(tabParametros[[#This Row],[CCT DA CATEGORIA]],tabSindicatos[],11,0)</f>
        <v>45658</v>
      </c>
      <c r="BI173" s="282" t="str">
        <f>VLOOKUP(tabParametros[[#This Row],[CCT DA CATEGORIA]],tabSindicatos[],12,0)</f>
        <v>-</v>
      </c>
      <c r="BJ173" s="285" t="str">
        <f>VLOOKUP(tabParametros[[#This Row],[CCT DA CATEGORIA]],tabSindicatos[],13,0)</f>
        <v>-</v>
      </c>
    </row>
    <row r="174" spans="1:62">
      <c r="A174" s="231" t="s">
        <v>1620</v>
      </c>
      <c r="B174" s="197" t="s">
        <v>930</v>
      </c>
      <c r="C174" s="197" t="s">
        <v>304</v>
      </c>
      <c r="D174" s="197" t="str">
        <f>VLOOKUP(tabParametros[[#This Row],[Código do Posto]],tabPostos[],4,0)</f>
        <v>Itabira</v>
      </c>
      <c r="E174" s="282" t="str">
        <f>VLOOKUP(tabParametros[[#This Row],[Código do Posto]],tabPostos[],5,0)</f>
        <v>Apoio</v>
      </c>
      <c r="F174" s="282" t="str">
        <f>VLOOKUP(tabParametros[[#This Row],[Código do Posto]],tabPostos[],6,0)</f>
        <v>PGJ</v>
      </c>
      <c r="G174" s="282">
        <f>VLOOKUP(tabParametros[[#This Row],[Código do Posto]],tabPostos[],7,0)</f>
        <v>2</v>
      </c>
      <c r="H174" s="282">
        <f>VLOOKUP(tabParametros[[#This Row],[Código do Posto]],tabPostos[],8,0)</f>
        <v>0</v>
      </c>
      <c r="I174" s="232">
        <f>VLOOKUP(tabParametros[[#This Row],[Código do Posto]],tabPostos[],9,0)</f>
        <v>2134.8034899326635</v>
      </c>
      <c r="J174" s="232">
        <f>IF(ISNUMBER(SEARCH("Eletricista",tabParametros[[#This Row],[Função]],1)),0.3*tabParametros[[#This Row],[Salário Base]],0)</f>
        <v>0</v>
      </c>
      <c r="K17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4" s="232">
        <f>IF(AND(ISNUMBER(SEARCH("Noturno",tabParametros[[#This Row],[Função]],1)),tabParametros[[#This Row],[Comarca]]&lt;&gt;"Juiz de Fora"),tabParametros[[#This Row],[Salário Base]]/210*0.39*7*15.5,IF(ISNUMBER(SEARCH("Noturno",tabParametros[[#This Row],[Função]],1)),tabParametros[[#This Row],[Salário Base]]/210*0.2*8*15.5,0))</f>
        <v>0</v>
      </c>
      <c r="M174" s="232">
        <f>IF(ISNUMBER(SEARCH("Motorista II",tabParametros[[#This Row],[Função]],1)),0.3022*tabParametros[[#This Row],[Salário Base]],0)</f>
        <v>0</v>
      </c>
      <c r="N174" s="254">
        <v>0</v>
      </c>
      <c r="O174" s="254">
        <f>IF(ISNUMBER(SEARCH("TECNOLOGIA DA INFORMACAO",tabParametros[[#This Row],[Função]],1)),0.056*tabParametros[[#This Row],[Salário Base]],0)</f>
        <v>0</v>
      </c>
      <c r="P174" s="232">
        <f>IF(tabParametros[[#This Row],[Função]]="Operador de Midia Audiovisual - 150 h",tabParametros[[#This Row],[Salário Base]]/150*50*30%,IF(tabParametros[[#This Row],[Função]]="Supervisor de Manutencao de Veiculos II - 220 h",12%*tabParametros[[#This Row],[Salário Base]],0))</f>
        <v>0</v>
      </c>
      <c r="Q174" s="233">
        <f>VLOOKUP(tabParametros[[#Headers],[INSS]],tabImpostosNacionais[],2,0)</f>
        <v>0.2</v>
      </c>
      <c r="R174" s="233">
        <f>VLOOKUP(tabParametros[[#Headers],[SESI OU SESC]],tabImpostosNacionais[],2,0)</f>
        <v>1.4999999999999999E-2</v>
      </c>
      <c r="S174" s="233">
        <f>VLOOKUP(tabParametros[[#Headers],[SENAI OU SENAC]],tabImpostosNacionais[],2,0)</f>
        <v>0.01</v>
      </c>
      <c r="T174" s="233">
        <f>VLOOKUP(tabParametros[[#Headers],[INCRA]],tabImpostosNacionais[],2,0)</f>
        <v>2E-3</v>
      </c>
      <c r="U174" s="233">
        <f>VLOOKUP(tabParametros[[#Headers],[Salário Educação]],tabImpostosNacionais[],2,0)</f>
        <v>2.5000000000000001E-2</v>
      </c>
      <c r="V174" s="233">
        <f>VLOOKUP(tabParametros[[#Headers],[FGTS]],tabImpostosNacionais[],2,0)</f>
        <v>0.08</v>
      </c>
      <c r="W174" s="233">
        <f>VLOOKUP(tabParametros[[#Headers],[RAT Ajustado]],tabImpostosNacionais[],2,0)</f>
        <v>0.04</v>
      </c>
      <c r="X174" s="233">
        <f>VLOOKUP(tabParametros[[#Headers],[SEBRAE]],tabImpostosNacionais[],2,0)</f>
        <v>6.0000000000000001E-3</v>
      </c>
      <c r="Y174" s="233">
        <f t="shared" si="22"/>
        <v>8.3333333333333329E-2</v>
      </c>
      <c r="Z174" s="233">
        <f t="shared" si="23"/>
        <v>0.1111111111111111</v>
      </c>
      <c r="AA174" s="232">
        <f>VLOOKUP(tabParametros[[#This Row],[Comarca]],tabComarca[],5,0)</f>
        <v>6.4</v>
      </c>
      <c r="AB174" s="232">
        <f>VLOOKUP(tabParametros[[#This Row],[CCT DA CATEGORIA]],tabSindicatos[],6,0)</f>
        <v>29.15</v>
      </c>
      <c r="AC174" s="232">
        <f>VLOOKUP(tabParametros[[#This Row],[CCT DA CATEGORIA]],tabSindicatos[],7,0)</f>
        <v>0</v>
      </c>
      <c r="AD174" s="232" cm="1">
        <f t="array" ref="AD17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74" s="232">
        <f>VLOOKUP(tabParametros[[#This Row],[CCT DA CATEGORIA]],tabSindicatos[],9,0)</f>
        <v>0</v>
      </c>
      <c r="AF174" s="232">
        <f>VLOOKUP(tabParametros[[#This Row],[CCT DA CATEGORIA]],tabSindicatos[],10,0)</f>
        <v>0</v>
      </c>
      <c r="AG174" s="234">
        <f>VLOOKUP(tabParametros[[#Headers],[Seguro de Vida]],tabOutrosCustos[],3,0)</f>
        <v>3.36</v>
      </c>
      <c r="AH174" s="234">
        <f>IF(ISNUMBER(SEARCH("MOTORISTA",tabParametros[[#This Row],[Função]],1)),VLOOKUP("MOTORISTAS",tabDiarias[],2,0),IF(tabParametros[[#This Row],[Comarca]]="Belo Horizonte",VLOOKUP("APOIO",tabDiarias[],2,0),0))</f>
        <v>0</v>
      </c>
      <c r="AI174" s="233">
        <f t="shared" si="24"/>
        <v>7.011766975308642E-3</v>
      </c>
      <c r="AJ174" s="235">
        <f>tabParametros[[#This Row],[FGTS]]*tabParametros[[#This Row],[Aviso Prévio Indenizado (API) e Reflexo do Aviso Prévio Indenizado]]</f>
        <v>5.609413580246914E-4</v>
      </c>
      <c r="AK174" s="235">
        <f>tabParametros[[#This Row],[FGTS]]*tabParametros[[#This Row],[Aviso Prévio Indenizado (API) e Reflexo do Aviso Prévio Indenizado]]*40%</f>
        <v>2.2437654320987658E-4</v>
      </c>
      <c r="AL174" s="233">
        <f t="shared" si="25"/>
        <v>3.5000000000000005E-3</v>
      </c>
      <c r="AM174" s="233">
        <f>tabParametros[[#This Row],[Aviso Prévio Trabalhado - APT]]*SUM(tabParametros[[#This Row],[INSS]:[SEBRAE]])</f>
        <v>1.3230000000000004E-3</v>
      </c>
      <c r="AN174" s="233">
        <f t="shared" si="26"/>
        <v>3.0577777777777773E-2</v>
      </c>
      <c r="AO174" s="233">
        <f t="shared" si="27"/>
        <v>8.3333333333333339E-4</v>
      </c>
      <c r="AP174" s="233">
        <f t="shared" si="28"/>
        <v>8.4444444444444437E-3</v>
      </c>
      <c r="AQ174" s="233">
        <f t="shared" si="29"/>
        <v>2.0277777777777777E-3</v>
      </c>
      <c r="AR174" s="233">
        <f t="shared" si="30"/>
        <v>1.7083333333333333E-4</v>
      </c>
      <c r="AS174" s="233">
        <f t="shared" si="31"/>
        <v>2.0833333333333335E-4</v>
      </c>
      <c r="AT174" s="233">
        <f t="shared" si="32"/>
        <v>1.2962962962962963E-3</v>
      </c>
      <c r="AU174" s="235">
        <f>SUM(tabParametros[[#This Row],[Ausência por Doença]:[Férias, Adicional de Férias e 13º  com empregada em gozo de Licença Maternidade]])*SUM(tabParametros[[#This Row],[INSS]:[SEBRAE]])</f>
        <v>4.5918250000000008E-3</v>
      </c>
      <c r="AV174" s="254">
        <f>IF(tabParametros[[#This Row],[Função]]="Porteiro - 220 h",SUM(tabParametros[[#This Row],[Salário Base]:[Adicional de Acúmulo de função]])/220*20*1.5,IF(ISNUMBER(SEARCH("12 x 36",tabParametros[[#This Row],[Função]],1)),SUM(tabParametros[[#This Row],[Salário Base]:[Adicional de Acúmulo de função]])/210*15.5*1.5,0))</f>
        <v>236.35324352825916</v>
      </c>
      <c r="AW174" s="232">
        <f>IF(tabParametros[[#This Row],[Vagas contratadas]]&gt;0,(SUM(tabParametros[[#This Row],[Salário Base]:[Adicional de Acúmulo de função]])*30%+SUM(tabParametros[[#This Row],[Vale - Alimentação]:[Seguro de Vida]]))/tabParametros[[#This Row],[Vagas contratadas]]*tabParametros[[#This Row],[Vagas suspensas]],0)</f>
        <v>0</v>
      </c>
      <c r="AX174" s="232">
        <f>SUMIF(tabUniformes[Cargo],tabParametros[[#This Row],[Função]],tabUniformes[Valor unit. Mensal])</f>
        <v>56.642978962543395</v>
      </c>
      <c r="AY17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4" s="232">
        <v>0</v>
      </c>
      <c r="BC174" s="234" t="e">
        <f ca="1">VLOOKUP(tabParametros[[#Headers],[Custos Indiretos]],tabOutrosCustos[],3,0)</f>
        <v>#NAME?</v>
      </c>
      <c r="BD174" s="234" t="e">
        <f ca="1">VLOOKUP(tabParametros[[#Headers],[Lucro]],tabOutrosCustos[],3,0)</f>
        <v>#NAME?</v>
      </c>
      <c r="BE174" s="233">
        <f>VLOOKUP(tabParametros[[#Headers],[COFINS]],tabImpostosNacionais[],2,0)</f>
        <v>7.5999999999999998E-2</v>
      </c>
      <c r="BF174" s="233">
        <f>VLOOKUP(tabParametros[[#Headers],[PIS]],tabImpostosNacionais[],2,0)</f>
        <v>1.6500000000000001E-2</v>
      </c>
      <c r="BG174" s="233">
        <f>VLOOKUP(tabParametros[[#This Row],[Comarca]],tabComarca[],4,0)</f>
        <v>0.03</v>
      </c>
      <c r="BH174" s="236">
        <f>VLOOKUP(tabParametros[[#This Row],[CCT DA CATEGORIA]],tabSindicatos[],11,0)</f>
        <v>45658</v>
      </c>
      <c r="BI174" s="282" t="str">
        <f>VLOOKUP(tabParametros[[#This Row],[CCT DA CATEGORIA]],tabSindicatos[],12,0)</f>
        <v>-</v>
      </c>
      <c r="BJ174" s="285" t="str">
        <f>VLOOKUP(tabParametros[[#This Row],[CCT DA CATEGORIA]],tabSindicatos[],13,0)</f>
        <v>-</v>
      </c>
    </row>
    <row r="175" spans="1:62">
      <c r="A175" s="231" t="s">
        <v>1480</v>
      </c>
      <c r="B175" s="197" t="s">
        <v>930</v>
      </c>
      <c r="C175" s="197" t="s">
        <v>309</v>
      </c>
      <c r="D175" s="197" t="str">
        <f>VLOOKUP(tabParametros[[#This Row],[Código do Posto]],tabPostos[],4,0)</f>
        <v>Itabira</v>
      </c>
      <c r="E175" s="282" t="str">
        <f>VLOOKUP(tabParametros[[#This Row],[Código do Posto]],tabPostos[],5,0)</f>
        <v>Apoio</v>
      </c>
      <c r="F175" s="282" t="str">
        <f>VLOOKUP(tabParametros[[#This Row],[Código do Posto]],tabPostos[],6,0)</f>
        <v>PGJ</v>
      </c>
      <c r="G175" s="282">
        <f>VLOOKUP(tabParametros[[#This Row],[Código do Posto]],tabPostos[],7,0)</f>
        <v>2</v>
      </c>
      <c r="H175" s="282">
        <f>VLOOKUP(tabParametros[[#This Row],[Código do Posto]],tabPostos[],8,0)</f>
        <v>0</v>
      </c>
      <c r="I175" s="232">
        <f>VLOOKUP(tabParametros[[#This Row],[Código do Posto]],tabPostos[],9,0)</f>
        <v>2134.8034899326635</v>
      </c>
      <c r="J175" s="232">
        <f>IF(ISNUMBER(SEARCH("Eletricista",tabParametros[[#This Row],[Função]],1)),0.3*tabParametros[[#This Row],[Salário Base]],0)</f>
        <v>0</v>
      </c>
      <c r="K17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5" s="232">
        <f>IF(AND(ISNUMBER(SEARCH("Noturno",tabParametros[[#This Row],[Função]],1)),tabParametros[[#This Row],[Comarca]]&lt;&gt;"Juiz de Fora"),tabParametros[[#This Row],[Salário Base]]/210*0.39*7*15.5,IF(ISNUMBER(SEARCH("Noturno",tabParametros[[#This Row],[Função]],1)),tabParametros[[#This Row],[Salário Base]]/210*0.2*8*15.5,0))</f>
        <v>430.16290322143169</v>
      </c>
      <c r="M175" s="232">
        <f>IF(ISNUMBER(SEARCH("Motorista II",tabParametros[[#This Row],[Função]],1)),0.3022*tabParametros[[#This Row],[Salário Base]],0)</f>
        <v>0</v>
      </c>
      <c r="N175" s="254">
        <v>0</v>
      </c>
      <c r="O175" s="254">
        <f>IF(ISNUMBER(SEARCH("TECNOLOGIA DA INFORMACAO",tabParametros[[#This Row],[Função]],1)),0.056*tabParametros[[#This Row],[Salário Base]],0)</f>
        <v>0</v>
      </c>
      <c r="P175" s="232">
        <f>IF(tabParametros[[#This Row],[Função]]="Operador de Midia Audiovisual - 150 h",tabParametros[[#This Row],[Salário Base]]/150*50*30%,IF(tabParametros[[#This Row],[Função]]="Supervisor de Manutencao de Veiculos II - 220 h",12%*tabParametros[[#This Row],[Salário Base]],0))</f>
        <v>0</v>
      </c>
      <c r="Q175" s="233">
        <f>VLOOKUP(tabParametros[[#Headers],[INSS]],tabImpostosNacionais[],2,0)</f>
        <v>0.2</v>
      </c>
      <c r="R175" s="233">
        <f>VLOOKUP(tabParametros[[#Headers],[SESI OU SESC]],tabImpostosNacionais[],2,0)</f>
        <v>1.4999999999999999E-2</v>
      </c>
      <c r="S175" s="233">
        <f>VLOOKUP(tabParametros[[#Headers],[SENAI OU SENAC]],tabImpostosNacionais[],2,0)</f>
        <v>0.01</v>
      </c>
      <c r="T175" s="233">
        <f>VLOOKUP(tabParametros[[#Headers],[INCRA]],tabImpostosNacionais[],2,0)</f>
        <v>2E-3</v>
      </c>
      <c r="U175" s="233">
        <f>VLOOKUP(tabParametros[[#Headers],[Salário Educação]],tabImpostosNacionais[],2,0)</f>
        <v>2.5000000000000001E-2</v>
      </c>
      <c r="V175" s="233">
        <f>VLOOKUP(tabParametros[[#Headers],[FGTS]],tabImpostosNacionais[],2,0)</f>
        <v>0.08</v>
      </c>
      <c r="W175" s="233">
        <f>VLOOKUP(tabParametros[[#Headers],[RAT Ajustado]],tabImpostosNacionais[],2,0)</f>
        <v>0.04</v>
      </c>
      <c r="X175" s="233">
        <f>VLOOKUP(tabParametros[[#Headers],[SEBRAE]],tabImpostosNacionais[],2,0)</f>
        <v>6.0000000000000001E-3</v>
      </c>
      <c r="Y175" s="233">
        <f t="shared" si="22"/>
        <v>8.3333333333333329E-2</v>
      </c>
      <c r="Z175" s="233">
        <f t="shared" si="23"/>
        <v>0.1111111111111111</v>
      </c>
      <c r="AA175" s="232">
        <f>VLOOKUP(tabParametros[[#This Row],[Comarca]],tabComarca[],5,0)</f>
        <v>6.4</v>
      </c>
      <c r="AB175" s="232">
        <f>VLOOKUP(tabParametros[[#This Row],[CCT DA CATEGORIA]],tabSindicatos[],6,0)</f>
        <v>29.15</v>
      </c>
      <c r="AC175" s="232">
        <f>VLOOKUP(tabParametros[[#This Row],[CCT DA CATEGORIA]],tabSindicatos[],7,0)</f>
        <v>0</v>
      </c>
      <c r="AD175" s="232" cm="1">
        <f t="array" ref="AD17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75" s="232">
        <f>VLOOKUP(tabParametros[[#This Row],[CCT DA CATEGORIA]],tabSindicatos[],9,0)</f>
        <v>0</v>
      </c>
      <c r="AF175" s="232">
        <f>VLOOKUP(tabParametros[[#This Row],[CCT DA CATEGORIA]],tabSindicatos[],10,0)</f>
        <v>0</v>
      </c>
      <c r="AG175" s="234">
        <f>VLOOKUP(tabParametros[[#Headers],[Seguro de Vida]],tabOutrosCustos[],3,0)</f>
        <v>3.36</v>
      </c>
      <c r="AH175" s="234">
        <f>IF(ISNUMBER(SEARCH("MOTORISTA",tabParametros[[#This Row],[Função]],1)),VLOOKUP("MOTORISTAS",tabDiarias[],2,0),IF(tabParametros[[#This Row],[Comarca]]="Belo Horizonte",VLOOKUP("APOIO",tabDiarias[],2,0),0))</f>
        <v>0</v>
      </c>
      <c r="AI175" s="233">
        <f t="shared" si="24"/>
        <v>7.011766975308642E-3</v>
      </c>
      <c r="AJ175" s="235">
        <f>tabParametros[[#This Row],[FGTS]]*tabParametros[[#This Row],[Aviso Prévio Indenizado (API) e Reflexo do Aviso Prévio Indenizado]]</f>
        <v>5.609413580246914E-4</v>
      </c>
      <c r="AK175" s="235">
        <f>tabParametros[[#This Row],[FGTS]]*tabParametros[[#This Row],[Aviso Prévio Indenizado (API) e Reflexo do Aviso Prévio Indenizado]]*40%</f>
        <v>2.2437654320987658E-4</v>
      </c>
      <c r="AL175" s="233">
        <f t="shared" si="25"/>
        <v>3.5000000000000005E-3</v>
      </c>
      <c r="AM175" s="233">
        <f>tabParametros[[#This Row],[Aviso Prévio Trabalhado - APT]]*SUM(tabParametros[[#This Row],[INSS]:[SEBRAE]])</f>
        <v>1.3230000000000004E-3</v>
      </c>
      <c r="AN175" s="233">
        <f t="shared" si="26"/>
        <v>3.0577777777777773E-2</v>
      </c>
      <c r="AO175" s="233">
        <f t="shared" si="27"/>
        <v>8.3333333333333339E-4</v>
      </c>
      <c r="AP175" s="233">
        <f t="shared" si="28"/>
        <v>8.4444444444444437E-3</v>
      </c>
      <c r="AQ175" s="233">
        <f t="shared" si="29"/>
        <v>2.0277777777777777E-3</v>
      </c>
      <c r="AR175" s="233">
        <f t="shared" si="30"/>
        <v>1.7083333333333333E-4</v>
      </c>
      <c r="AS175" s="233">
        <f t="shared" si="31"/>
        <v>2.0833333333333335E-4</v>
      </c>
      <c r="AT175" s="233">
        <f t="shared" si="32"/>
        <v>1.2962962962962963E-3</v>
      </c>
      <c r="AU175" s="235">
        <f>SUM(tabParametros[[#This Row],[Ausência por Doença]:[Férias, Adicional de Férias e 13º  com empregada em gozo de Licença Maternidade]])*SUM(tabParametros[[#This Row],[INSS]:[SEBRAE]])</f>
        <v>4.5918250000000008E-3</v>
      </c>
      <c r="AV175" s="254">
        <f>IF(tabParametros[[#This Row],[Função]]="Porteiro - 220 h",SUM(tabParametros[[#This Row],[Salário Base]:[Adicional de Acúmulo de função]])/220*20*1.5,IF(ISNUMBER(SEARCH("12 x 36",tabParametros[[#This Row],[Função]],1)),SUM(tabParametros[[#This Row],[Salário Base]:[Adicional de Acúmulo de função]])/210*15.5*1.5,0))</f>
        <v>283.97842209920344</v>
      </c>
      <c r="AW175" s="232">
        <f>IF(tabParametros[[#This Row],[Vagas contratadas]]&gt;0,(SUM(tabParametros[[#This Row],[Salário Base]:[Adicional de Acúmulo de função]])*30%+SUM(tabParametros[[#This Row],[Vale - Alimentação]:[Seguro de Vida]]))/tabParametros[[#This Row],[Vagas contratadas]]*tabParametros[[#This Row],[Vagas suspensas]],0)</f>
        <v>0</v>
      </c>
      <c r="AX175" s="232">
        <f>SUMIF(tabUniformes[Cargo],tabParametros[[#This Row],[Função]],tabUniformes[Valor unit. Mensal])</f>
        <v>56.642978962543395</v>
      </c>
      <c r="AY17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5" s="232">
        <v>0</v>
      </c>
      <c r="BC175" s="234" t="e">
        <f ca="1">VLOOKUP(tabParametros[[#Headers],[Custos Indiretos]],tabOutrosCustos[],3,0)</f>
        <v>#NAME?</v>
      </c>
      <c r="BD175" s="234" t="e">
        <f ca="1">VLOOKUP(tabParametros[[#Headers],[Lucro]],tabOutrosCustos[],3,0)</f>
        <v>#NAME?</v>
      </c>
      <c r="BE175" s="233">
        <f>VLOOKUP(tabParametros[[#Headers],[COFINS]],tabImpostosNacionais[],2,0)</f>
        <v>7.5999999999999998E-2</v>
      </c>
      <c r="BF175" s="233">
        <f>VLOOKUP(tabParametros[[#Headers],[PIS]],tabImpostosNacionais[],2,0)</f>
        <v>1.6500000000000001E-2</v>
      </c>
      <c r="BG175" s="233">
        <f>VLOOKUP(tabParametros[[#This Row],[Comarca]],tabComarca[],4,0)</f>
        <v>0.03</v>
      </c>
      <c r="BH175" s="236">
        <f>VLOOKUP(tabParametros[[#This Row],[CCT DA CATEGORIA]],tabSindicatos[],11,0)</f>
        <v>45658</v>
      </c>
      <c r="BI175" s="282" t="str">
        <f>VLOOKUP(tabParametros[[#This Row],[CCT DA CATEGORIA]],tabSindicatos[],12,0)</f>
        <v>-</v>
      </c>
      <c r="BJ175" s="285" t="str">
        <f>VLOOKUP(tabParametros[[#This Row],[CCT DA CATEGORIA]],tabSindicatos[],13,0)</f>
        <v>-</v>
      </c>
    </row>
    <row r="176" spans="1:62">
      <c r="A176" s="231" t="s">
        <v>1621</v>
      </c>
      <c r="B176" s="197" t="s">
        <v>930</v>
      </c>
      <c r="C176" s="197" t="s">
        <v>319</v>
      </c>
      <c r="D176" s="197" t="str">
        <f>VLOOKUP(tabParametros[[#This Row],[Código do Posto]],tabPostos[],4,0)</f>
        <v>Itabira</v>
      </c>
      <c r="E176" s="282" t="str">
        <f>VLOOKUP(tabParametros[[#This Row],[Código do Posto]],tabPostos[],5,0)</f>
        <v>Apoio</v>
      </c>
      <c r="F176" s="282" t="str">
        <f>VLOOKUP(tabParametros[[#This Row],[Código do Posto]],tabPostos[],6,0)</f>
        <v>PGJ</v>
      </c>
      <c r="G176" s="282">
        <f>VLOOKUP(tabParametros[[#This Row],[Código do Posto]],tabPostos[],7,0)</f>
        <v>1</v>
      </c>
      <c r="H176" s="282">
        <f>VLOOKUP(tabParametros[[#This Row],[Código do Posto]],tabPostos[],8,0)</f>
        <v>0</v>
      </c>
      <c r="I176" s="232">
        <f>VLOOKUP(tabParametros[[#This Row],[Código do Posto]],tabPostos[],9,0)</f>
        <v>2316.2296840668359</v>
      </c>
      <c r="J176" s="232">
        <f>IF(ISNUMBER(SEARCH("Eletricista",tabParametros[[#This Row],[Função]],1)),0.3*tabParametros[[#This Row],[Salário Base]],0)</f>
        <v>0</v>
      </c>
      <c r="K17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6" s="232">
        <f>IF(AND(ISNUMBER(SEARCH("Noturno",tabParametros[[#This Row],[Função]],1)),tabParametros[[#This Row],[Comarca]]&lt;&gt;"Juiz de Fora"),tabParametros[[#This Row],[Salário Base]]/210*0.39*7*15.5,IF(ISNUMBER(SEARCH("Noturno",tabParametros[[#This Row],[Função]],1)),tabParametros[[#This Row],[Salário Base]]/210*0.2*8*15.5,0))</f>
        <v>0</v>
      </c>
      <c r="M176" s="232">
        <f>IF(ISNUMBER(SEARCH("Motorista II",tabParametros[[#This Row],[Função]],1)),0.3022*tabParametros[[#This Row],[Salário Base]],0)</f>
        <v>0</v>
      </c>
      <c r="N176" s="254">
        <v>0</v>
      </c>
      <c r="O176" s="254">
        <f>IF(ISNUMBER(SEARCH("TECNOLOGIA DA INFORMACAO",tabParametros[[#This Row],[Função]],1)),0.056*tabParametros[[#This Row],[Salário Base]],0)</f>
        <v>0</v>
      </c>
      <c r="P176" s="232">
        <f>IF(tabParametros[[#This Row],[Função]]="Operador de Midia Audiovisual - 150 h",tabParametros[[#This Row],[Salário Base]]/150*50*30%,IF(tabParametros[[#This Row],[Função]]="Supervisor de Manutencao de Veiculos II - 220 h",12%*tabParametros[[#This Row],[Salário Base]],0))</f>
        <v>0</v>
      </c>
      <c r="Q176" s="233">
        <f>VLOOKUP(tabParametros[[#Headers],[INSS]],tabImpostosNacionais[],2,0)</f>
        <v>0.2</v>
      </c>
      <c r="R176" s="233">
        <f>VLOOKUP(tabParametros[[#Headers],[SESI OU SESC]],tabImpostosNacionais[],2,0)</f>
        <v>1.4999999999999999E-2</v>
      </c>
      <c r="S176" s="233">
        <f>VLOOKUP(tabParametros[[#Headers],[SENAI OU SENAC]],tabImpostosNacionais[],2,0)</f>
        <v>0.01</v>
      </c>
      <c r="T176" s="233">
        <f>VLOOKUP(tabParametros[[#Headers],[INCRA]],tabImpostosNacionais[],2,0)</f>
        <v>2E-3</v>
      </c>
      <c r="U176" s="233">
        <f>VLOOKUP(tabParametros[[#Headers],[Salário Educação]],tabImpostosNacionais[],2,0)</f>
        <v>2.5000000000000001E-2</v>
      </c>
      <c r="V176" s="233">
        <f>VLOOKUP(tabParametros[[#Headers],[FGTS]],tabImpostosNacionais[],2,0)</f>
        <v>0.08</v>
      </c>
      <c r="W176" s="233">
        <f>VLOOKUP(tabParametros[[#Headers],[RAT Ajustado]],tabImpostosNacionais[],2,0)</f>
        <v>0.04</v>
      </c>
      <c r="X176" s="233">
        <f>VLOOKUP(tabParametros[[#Headers],[SEBRAE]],tabImpostosNacionais[],2,0)</f>
        <v>6.0000000000000001E-3</v>
      </c>
      <c r="Y176" s="233">
        <f t="shared" si="22"/>
        <v>8.3333333333333329E-2</v>
      </c>
      <c r="Z176" s="233">
        <f t="shared" si="23"/>
        <v>0.1111111111111111</v>
      </c>
      <c r="AA176" s="232">
        <f>VLOOKUP(tabParametros[[#This Row],[Comarca]],tabComarca[],5,0)</f>
        <v>6.4</v>
      </c>
      <c r="AB176" s="232">
        <f>VLOOKUP(tabParametros[[#This Row],[CCT DA CATEGORIA]],tabSindicatos[],6,0)</f>
        <v>29.15</v>
      </c>
      <c r="AC176" s="232">
        <f>VLOOKUP(tabParametros[[#This Row],[CCT DA CATEGORIA]],tabSindicatos[],7,0)</f>
        <v>0</v>
      </c>
      <c r="AD176" s="232" cm="1">
        <f t="array" ref="AD17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76" s="232">
        <f>VLOOKUP(tabParametros[[#This Row],[CCT DA CATEGORIA]],tabSindicatos[],9,0)</f>
        <v>0</v>
      </c>
      <c r="AF176" s="232">
        <f>VLOOKUP(tabParametros[[#This Row],[CCT DA CATEGORIA]],tabSindicatos[],10,0)</f>
        <v>0</v>
      </c>
      <c r="AG176" s="234">
        <f>VLOOKUP(tabParametros[[#Headers],[Seguro de Vida]],tabOutrosCustos[],3,0)</f>
        <v>3.36</v>
      </c>
      <c r="AH176" s="234">
        <f>IF(ISNUMBER(SEARCH("MOTORISTA",tabParametros[[#This Row],[Função]],1)),VLOOKUP("MOTORISTAS",tabDiarias[],2,0),IF(tabParametros[[#This Row],[Comarca]]="Belo Horizonte",VLOOKUP("APOIO",tabDiarias[],2,0),0))</f>
        <v>0</v>
      </c>
      <c r="AI176" s="233">
        <f t="shared" si="24"/>
        <v>7.011766975308642E-3</v>
      </c>
      <c r="AJ176" s="235">
        <f>tabParametros[[#This Row],[FGTS]]*tabParametros[[#This Row],[Aviso Prévio Indenizado (API) e Reflexo do Aviso Prévio Indenizado]]</f>
        <v>5.609413580246914E-4</v>
      </c>
      <c r="AK176" s="235">
        <f>tabParametros[[#This Row],[FGTS]]*tabParametros[[#This Row],[Aviso Prévio Indenizado (API) e Reflexo do Aviso Prévio Indenizado]]*40%</f>
        <v>2.2437654320987658E-4</v>
      </c>
      <c r="AL176" s="233">
        <f t="shared" si="25"/>
        <v>3.5000000000000005E-3</v>
      </c>
      <c r="AM176" s="233">
        <f>tabParametros[[#This Row],[Aviso Prévio Trabalhado - APT]]*SUM(tabParametros[[#This Row],[INSS]:[SEBRAE]])</f>
        <v>1.3230000000000004E-3</v>
      </c>
      <c r="AN176" s="233">
        <f t="shared" si="26"/>
        <v>3.0577777777777773E-2</v>
      </c>
      <c r="AO176" s="233">
        <f t="shared" si="27"/>
        <v>8.3333333333333339E-4</v>
      </c>
      <c r="AP176" s="233">
        <f t="shared" si="28"/>
        <v>8.4444444444444437E-3</v>
      </c>
      <c r="AQ176" s="233">
        <f t="shared" si="29"/>
        <v>2.0277777777777777E-3</v>
      </c>
      <c r="AR176" s="233">
        <f t="shared" si="30"/>
        <v>1.7083333333333333E-4</v>
      </c>
      <c r="AS176" s="233">
        <f t="shared" si="31"/>
        <v>2.0833333333333335E-4</v>
      </c>
      <c r="AT176" s="233">
        <f t="shared" si="32"/>
        <v>1.2962962962962963E-3</v>
      </c>
      <c r="AU176" s="235">
        <f>SUM(tabParametros[[#This Row],[Ausência por Doença]:[Férias, Adicional de Férias e 13º  com empregada em gozo de Licença Maternidade]])*SUM(tabParametros[[#This Row],[INSS]:[SEBRAE]])</f>
        <v>4.5918250000000008E-3</v>
      </c>
      <c r="AV176" s="254">
        <f>IF(tabParametros[[#This Row],[Função]]="Porteiro - 220 h",SUM(tabParametros[[#This Row],[Salário Base]:[Adicional de Acúmulo de função]])/220*20*1.5,IF(ISNUMBER(SEARCH("12 x 36",tabParametros[[#This Row],[Função]],1)),SUM(tabParametros[[#This Row],[Salário Base]:[Adicional de Acúmulo de função]])/210*15.5*1.5,0))</f>
        <v>0</v>
      </c>
      <c r="AW176" s="232">
        <f>IF(tabParametros[[#This Row],[Vagas contratadas]]&gt;0,(SUM(tabParametros[[#This Row],[Salário Base]:[Adicional de Acúmulo de função]])*30%+SUM(tabParametros[[#This Row],[Vale - Alimentação]:[Seguro de Vida]]))/tabParametros[[#This Row],[Vagas contratadas]]*tabParametros[[#This Row],[Vagas suspensas]],0)</f>
        <v>0</v>
      </c>
      <c r="AX176" s="232">
        <f>SUMIF(tabUniformes[Cargo],tabParametros[[#This Row],[Função]],tabUniformes[Valor unit. Mensal])</f>
        <v>56.642978962543395</v>
      </c>
      <c r="AY17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6" s="232">
        <v>0</v>
      </c>
      <c r="BC176" s="234" t="e">
        <f ca="1">VLOOKUP(tabParametros[[#Headers],[Custos Indiretos]],tabOutrosCustos[],3,0)</f>
        <v>#NAME?</v>
      </c>
      <c r="BD176" s="234" t="e">
        <f ca="1">VLOOKUP(tabParametros[[#Headers],[Lucro]],tabOutrosCustos[],3,0)</f>
        <v>#NAME?</v>
      </c>
      <c r="BE176" s="233">
        <f>VLOOKUP(tabParametros[[#Headers],[COFINS]],tabImpostosNacionais[],2,0)</f>
        <v>7.5999999999999998E-2</v>
      </c>
      <c r="BF176" s="233">
        <f>VLOOKUP(tabParametros[[#Headers],[PIS]],tabImpostosNacionais[],2,0)</f>
        <v>1.6500000000000001E-2</v>
      </c>
      <c r="BG176" s="233">
        <f>VLOOKUP(tabParametros[[#This Row],[Comarca]],tabComarca[],4,0)</f>
        <v>0.03</v>
      </c>
      <c r="BH176" s="236">
        <f>VLOOKUP(tabParametros[[#This Row],[CCT DA CATEGORIA]],tabSindicatos[],11,0)</f>
        <v>45658</v>
      </c>
      <c r="BI176" s="282" t="str">
        <f>VLOOKUP(tabParametros[[#This Row],[CCT DA CATEGORIA]],tabSindicatos[],12,0)</f>
        <v>-</v>
      </c>
      <c r="BJ176" s="285" t="str">
        <f>VLOOKUP(tabParametros[[#This Row],[CCT DA CATEGORIA]],tabSindicatos[],13,0)</f>
        <v>-</v>
      </c>
    </row>
    <row r="177" spans="1:62">
      <c r="A177" s="231" t="s">
        <v>1622</v>
      </c>
      <c r="B177" s="197" t="s">
        <v>1147</v>
      </c>
      <c r="C177" s="197" t="s">
        <v>314</v>
      </c>
      <c r="D177" s="197" t="str">
        <f>VLOOKUP(tabParametros[[#This Row],[Código do Posto]],tabPostos[],4,0)</f>
        <v>Regiao de Sao Lourenco</v>
      </c>
      <c r="E177" s="282" t="str">
        <f>VLOOKUP(tabParametros[[#This Row],[Código do Posto]],tabPostos[],5,0)</f>
        <v>Apoio</v>
      </c>
      <c r="F177" s="282" t="str">
        <f>VLOOKUP(tabParametros[[#This Row],[Código do Posto]],tabPostos[],6,0)</f>
        <v>PGJ</v>
      </c>
      <c r="G177" s="282">
        <f>VLOOKUP(tabParametros[[#This Row],[Código do Posto]],tabPostos[],7,0)</f>
        <v>1</v>
      </c>
      <c r="H177" s="282">
        <f>VLOOKUP(tabParametros[[#This Row],[Código do Posto]],tabPostos[],8,0)</f>
        <v>0</v>
      </c>
      <c r="I177" s="232">
        <f>VLOOKUP(tabParametros[[#This Row],[Código do Posto]],tabPostos[],9,0)</f>
        <v>1963.4050319620983</v>
      </c>
      <c r="J177" s="232">
        <f>IF(ISNUMBER(SEARCH("Eletricista",tabParametros[[#This Row],[Função]],1)),0.3*tabParametros[[#This Row],[Salário Base]],0)</f>
        <v>0</v>
      </c>
      <c r="K17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7" s="232">
        <f>IF(AND(ISNUMBER(SEARCH("Noturno",tabParametros[[#This Row],[Função]],1)),tabParametros[[#This Row],[Comarca]]&lt;&gt;"Juiz de Fora"),tabParametros[[#This Row],[Salário Base]]/210*0.39*7*15.5,IF(ISNUMBER(SEARCH("Noturno",tabParametros[[#This Row],[Função]],1)),tabParametros[[#This Row],[Salário Base]]/210*0.2*8*15.5,0))</f>
        <v>0</v>
      </c>
      <c r="M177" s="232">
        <f>IF(ISNUMBER(SEARCH("Motorista II",tabParametros[[#This Row],[Função]],1)),0.3022*tabParametros[[#This Row],[Salário Base]],0)</f>
        <v>0</v>
      </c>
      <c r="N177" s="254">
        <v>0</v>
      </c>
      <c r="O177" s="254">
        <f>IF(ISNUMBER(SEARCH("TECNOLOGIA DA INFORMACAO",tabParametros[[#This Row],[Função]],1)),0.056*tabParametros[[#This Row],[Salário Base]],0)</f>
        <v>0</v>
      </c>
      <c r="P177" s="232">
        <f>IF(tabParametros[[#This Row],[Função]]="Operador de Midia Audiovisual - 150 h",tabParametros[[#This Row],[Salário Base]]/150*50*30%,IF(tabParametros[[#This Row],[Função]]="Supervisor de Manutencao de Veiculos II - 220 h",12%*tabParametros[[#This Row],[Salário Base]],0))</f>
        <v>0</v>
      </c>
      <c r="Q177" s="233">
        <f>VLOOKUP(tabParametros[[#Headers],[INSS]],tabImpostosNacionais[],2,0)</f>
        <v>0.2</v>
      </c>
      <c r="R177" s="233">
        <f>VLOOKUP(tabParametros[[#Headers],[SESI OU SESC]],tabImpostosNacionais[],2,0)</f>
        <v>1.4999999999999999E-2</v>
      </c>
      <c r="S177" s="233">
        <f>VLOOKUP(tabParametros[[#Headers],[SENAI OU SENAC]],tabImpostosNacionais[],2,0)</f>
        <v>0.01</v>
      </c>
      <c r="T177" s="233">
        <f>VLOOKUP(tabParametros[[#Headers],[INCRA]],tabImpostosNacionais[],2,0)</f>
        <v>2E-3</v>
      </c>
      <c r="U177" s="233">
        <f>VLOOKUP(tabParametros[[#Headers],[Salário Educação]],tabImpostosNacionais[],2,0)</f>
        <v>2.5000000000000001E-2</v>
      </c>
      <c r="V177" s="233">
        <f>VLOOKUP(tabParametros[[#Headers],[FGTS]],tabImpostosNacionais[],2,0)</f>
        <v>0.08</v>
      </c>
      <c r="W177" s="233">
        <f>VLOOKUP(tabParametros[[#Headers],[RAT Ajustado]],tabImpostosNacionais[],2,0)</f>
        <v>0.04</v>
      </c>
      <c r="X177" s="233">
        <f>VLOOKUP(tabParametros[[#Headers],[SEBRAE]],tabImpostosNacionais[],2,0)</f>
        <v>6.0000000000000001E-3</v>
      </c>
      <c r="Y177" s="233">
        <f t="shared" si="22"/>
        <v>8.3333333333333329E-2</v>
      </c>
      <c r="Z177" s="233">
        <f t="shared" si="23"/>
        <v>0.1111111111111111</v>
      </c>
      <c r="AA177" s="232">
        <f>VLOOKUP(tabParametros[[#This Row],[Comarca]],tabComarca[],5,0)</f>
        <v>6.4</v>
      </c>
      <c r="AB177" s="232">
        <f>VLOOKUP(tabParametros[[#This Row],[CCT DA CATEGORIA]],tabSindicatos[],6,0)</f>
        <v>29.15</v>
      </c>
      <c r="AC177" s="232">
        <f>VLOOKUP(tabParametros[[#This Row],[CCT DA CATEGORIA]],tabSindicatos[],7,0)</f>
        <v>0</v>
      </c>
      <c r="AD177" s="232" cm="1">
        <f t="array" ref="AD17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177" s="232">
        <f>VLOOKUP(tabParametros[[#This Row],[CCT DA CATEGORIA]],tabSindicatos[],9,0)</f>
        <v>0</v>
      </c>
      <c r="AF177" s="232">
        <f>VLOOKUP(tabParametros[[#This Row],[CCT DA CATEGORIA]],tabSindicatos[],10,0)</f>
        <v>0</v>
      </c>
      <c r="AG177" s="234">
        <f>VLOOKUP(tabParametros[[#Headers],[Seguro de Vida]],tabOutrosCustos[],3,0)</f>
        <v>3.36</v>
      </c>
      <c r="AH177" s="234">
        <f>IF(ISNUMBER(SEARCH("MOTORISTA",tabParametros[[#This Row],[Função]],1)),VLOOKUP("MOTORISTAS",tabDiarias[],2,0),IF(tabParametros[[#This Row],[Comarca]]="Belo Horizonte",VLOOKUP("APOIO",tabDiarias[],2,0),0))</f>
        <v>0</v>
      </c>
      <c r="AI177" s="233">
        <f t="shared" si="24"/>
        <v>7.011766975308642E-3</v>
      </c>
      <c r="AJ177" s="235">
        <f>tabParametros[[#This Row],[FGTS]]*tabParametros[[#This Row],[Aviso Prévio Indenizado (API) e Reflexo do Aviso Prévio Indenizado]]</f>
        <v>5.609413580246914E-4</v>
      </c>
      <c r="AK177" s="235">
        <f>tabParametros[[#This Row],[FGTS]]*tabParametros[[#This Row],[Aviso Prévio Indenizado (API) e Reflexo do Aviso Prévio Indenizado]]*40%</f>
        <v>2.2437654320987658E-4</v>
      </c>
      <c r="AL177" s="233">
        <f t="shared" si="25"/>
        <v>3.5000000000000005E-3</v>
      </c>
      <c r="AM177" s="233">
        <f>tabParametros[[#This Row],[Aviso Prévio Trabalhado - APT]]*SUM(tabParametros[[#This Row],[INSS]:[SEBRAE]])</f>
        <v>1.3230000000000004E-3</v>
      </c>
      <c r="AN177" s="233">
        <f t="shared" si="26"/>
        <v>3.0577777777777773E-2</v>
      </c>
      <c r="AO177" s="233">
        <f t="shared" si="27"/>
        <v>8.3333333333333339E-4</v>
      </c>
      <c r="AP177" s="233">
        <f t="shared" si="28"/>
        <v>8.4444444444444437E-3</v>
      </c>
      <c r="AQ177" s="233">
        <f t="shared" si="29"/>
        <v>2.0277777777777777E-3</v>
      </c>
      <c r="AR177" s="233">
        <f t="shared" si="30"/>
        <v>1.7083333333333333E-4</v>
      </c>
      <c r="AS177" s="233">
        <f t="shared" si="31"/>
        <v>2.0833333333333335E-4</v>
      </c>
      <c r="AT177" s="233">
        <f t="shared" si="32"/>
        <v>1.2962962962962963E-3</v>
      </c>
      <c r="AU177" s="235">
        <f>SUM(tabParametros[[#This Row],[Ausência por Doença]:[Férias, Adicional de Férias e 13º  com empregada em gozo de Licença Maternidade]])*SUM(tabParametros[[#This Row],[INSS]:[SEBRAE]])</f>
        <v>4.5918250000000008E-3</v>
      </c>
      <c r="AV177"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177" s="232">
        <f>IF(tabParametros[[#This Row],[Vagas contratadas]]&gt;0,(SUM(tabParametros[[#This Row],[Salário Base]:[Adicional de Acúmulo de função]])*30%+SUM(tabParametros[[#This Row],[Vale - Alimentação]:[Seguro de Vida]]))/tabParametros[[#This Row],[Vagas contratadas]]*tabParametros[[#This Row],[Vagas suspensas]],0)</f>
        <v>0</v>
      </c>
      <c r="AX177" s="232">
        <f>SUMIF(tabUniformes[Cargo],tabParametros[[#This Row],[Função]],tabUniformes[Valor unit. Mensal])</f>
        <v>56.642978962543395</v>
      </c>
      <c r="AY17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7" s="232">
        <v>0</v>
      </c>
      <c r="BC177" s="234" t="e">
        <f ca="1">VLOOKUP(tabParametros[[#Headers],[Custos Indiretos]],tabOutrosCustos[],3,0)</f>
        <v>#NAME?</v>
      </c>
      <c r="BD177" s="234" t="e">
        <f ca="1">VLOOKUP(tabParametros[[#Headers],[Lucro]],tabOutrosCustos[],3,0)</f>
        <v>#NAME?</v>
      </c>
      <c r="BE177" s="233">
        <f>VLOOKUP(tabParametros[[#Headers],[COFINS]],tabImpostosNacionais[],2,0)</f>
        <v>7.5999999999999998E-2</v>
      </c>
      <c r="BF177" s="233">
        <f>VLOOKUP(tabParametros[[#Headers],[PIS]],tabImpostosNacionais[],2,0)</f>
        <v>1.6500000000000001E-2</v>
      </c>
      <c r="BG177" s="233">
        <f>VLOOKUP(tabParametros[[#This Row],[Comarca]],tabComarca[],4,0)</f>
        <v>0.02</v>
      </c>
      <c r="BH177" s="236">
        <f>VLOOKUP(tabParametros[[#This Row],[CCT DA CATEGORIA]],tabSindicatos[],11,0)</f>
        <v>45658</v>
      </c>
      <c r="BI177" s="282" t="str">
        <f>VLOOKUP(tabParametros[[#This Row],[CCT DA CATEGORIA]],tabSindicatos[],12,0)</f>
        <v>-</v>
      </c>
      <c r="BJ177" s="285" t="str">
        <f>VLOOKUP(tabParametros[[#This Row],[CCT DA CATEGORIA]],tabSindicatos[],13,0)</f>
        <v>-</v>
      </c>
    </row>
    <row r="178" spans="1:62">
      <c r="A178" s="231" t="s">
        <v>1481</v>
      </c>
      <c r="B178" s="197" t="s">
        <v>1148</v>
      </c>
      <c r="C178" s="197" t="s">
        <v>200</v>
      </c>
      <c r="D178" s="197" t="str">
        <f>VLOOKUP(tabParametros[[#This Row],[Código do Posto]],tabPostos[],4,0)</f>
        <v>Fethemg Interior</v>
      </c>
      <c r="E178" s="282" t="str">
        <f>VLOOKUP(tabParametros[[#This Row],[Código do Posto]],tabPostos[],5,0)</f>
        <v>Apoio</v>
      </c>
      <c r="F178" s="282" t="str">
        <f>VLOOKUP(tabParametros[[#This Row],[Código do Posto]],tabPostos[],6,0)</f>
        <v>PGJ</v>
      </c>
      <c r="G178" s="282">
        <f>VLOOKUP(tabParametros[[#This Row],[Código do Posto]],tabPostos[],7,0)</f>
        <v>1</v>
      </c>
      <c r="H178" s="282">
        <f>VLOOKUP(tabParametros[[#This Row],[Código do Posto]],tabPostos[],8,0)</f>
        <v>0</v>
      </c>
      <c r="I178" s="232">
        <f>VLOOKUP(tabParametros[[#This Row],[Código do Posto]],tabPostos[],9,0)</f>
        <v>1596.273808921236</v>
      </c>
      <c r="J178" s="232">
        <f>IF(ISNUMBER(SEARCH("Eletricista",tabParametros[[#This Row],[Função]],1)),0.3*tabParametros[[#This Row],[Salário Base]],0)</f>
        <v>0</v>
      </c>
      <c r="K17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8" s="232">
        <f>IF(AND(ISNUMBER(SEARCH("Noturno",tabParametros[[#This Row],[Função]],1)),tabParametros[[#This Row],[Comarca]]&lt;&gt;"Juiz de Fora"),tabParametros[[#This Row],[Salário Base]]/210*0.39*7*15.5,IF(ISNUMBER(SEARCH("Noturno",tabParametros[[#This Row],[Função]],1)),tabParametros[[#This Row],[Salário Base]]/210*0.2*8*15.5,0))</f>
        <v>0</v>
      </c>
      <c r="M178" s="232">
        <f>IF(ISNUMBER(SEARCH("Motorista II",tabParametros[[#This Row],[Função]],1)),0.3022*tabParametros[[#This Row],[Salário Base]],0)</f>
        <v>0</v>
      </c>
      <c r="N178" s="254">
        <v>0</v>
      </c>
      <c r="O178" s="254">
        <f>IF(ISNUMBER(SEARCH("TECNOLOGIA DA INFORMACAO",tabParametros[[#This Row],[Função]],1)),0.056*tabParametros[[#This Row],[Salário Base]],0)</f>
        <v>0</v>
      </c>
      <c r="P178" s="232">
        <f>IF(tabParametros[[#This Row],[Função]]="Operador de Midia Audiovisual - 150 h",tabParametros[[#This Row],[Salário Base]]/150*50*30%,IF(tabParametros[[#This Row],[Função]]="Supervisor de Manutencao de Veiculos II - 220 h",12%*tabParametros[[#This Row],[Salário Base]],0))</f>
        <v>0</v>
      </c>
      <c r="Q178" s="233">
        <f>VLOOKUP(tabParametros[[#Headers],[INSS]],tabImpostosNacionais[],2,0)</f>
        <v>0.2</v>
      </c>
      <c r="R178" s="233">
        <f>VLOOKUP(tabParametros[[#Headers],[SESI OU SESC]],tabImpostosNacionais[],2,0)</f>
        <v>1.4999999999999999E-2</v>
      </c>
      <c r="S178" s="233">
        <f>VLOOKUP(tabParametros[[#Headers],[SENAI OU SENAC]],tabImpostosNacionais[],2,0)</f>
        <v>0.01</v>
      </c>
      <c r="T178" s="233">
        <f>VLOOKUP(tabParametros[[#Headers],[INCRA]],tabImpostosNacionais[],2,0)</f>
        <v>2E-3</v>
      </c>
      <c r="U178" s="233">
        <f>VLOOKUP(tabParametros[[#Headers],[Salário Educação]],tabImpostosNacionais[],2,0)</f>
        <v>2.5000000000000001E-2</v>
      </c>
      <c r="V178" s="233">
        <f>VLOOKUP(tabParametros[[#Headers],[FGTS]],tabImpostosNacionais[],2,0)</f>
        <v>0.08</v>
      </c>
      <c r="W178" s="233">
        <f>VLOOKUP(tabParametros[[#Headers],[RAT Ajustado]],tabImpostosNacionais[],2,0)</f>
        <v>0.04</v>
      </c>
      <c r="X178" s="233">
        <f>VLOOKUP(tabParametros[[#Headers],[SEBRAE]],tabImpostosNacionais[],2,0)</f>
        <v>6.0000000000000001E-3</v>
      </c>
      <c r="Y178" s="233">
        <f t="shared" si="22"/>
        <v>8.3333333333333329E-2</v>
      </c>
      <c r="Z178" s="233">
        <f t="shared" si="23"/>
        <v>0.1111111111111111</v>
      </c>
      <c r="AA178" s="232">
        <f>VLOOKUP(tabParametros[[#This Row],[Comarca]],tabComarca[],5,0)</f>
        <v>6.4</v>
      </c>
      <c r="AB178" s="232">
        <f>VLOOKUP(tabParametros[[#This Row],[CCT DA CATEGORIA]],tabSindicatos[],6,0)</f>
        <v>29.15</v>
      </c>
      <c r="AC178" s="232">
        <f>VLOOKUP(tabParametros[[#This Row],[CCT DA CATEGORIA]],tabSindicatos[],7,0)</f>
        <v>0</v>
      </c>
      <c r="AD178" s="232" cm="1">
        <f t="array" ref="AD17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78" s="232">
        <f>VLOOKUP(tabParametros[[#This Row],[CCT DA CATEGORIA]],tabSindicatos[],9,0)</f>
        <v>15.07</v>
      </c>
      <c r="AF178" s="232">
        <f>VLOOKUP(tabParametros[[#This Row],[CCT DA CATEGORIA]],tabSindicatos[],10,0)</f>
        <v>0</v>
      </c>
      <c r="AG178" s="234">
        <f>VLOOKUP(tabParametros[[#Headers],[Seguro de Vida]],tabOutrosCustos[],3,0)</f>
        <v>3.36</v>
      </c>
      <c r="AH178" s="234">
        <f>IF(ISNUMBER(SEARCH("MOTORISTA",tabParametros[[#This Row],[Função]],1)),VLOOKUP("MOTORISTAS",tabDiarias[],2,0),IF(tabParametros[[#This Row],[Comarca]]="Belo Horizonte",VLOOKUP("APOIO",tabDiarias[],2,0),0))</f>
        <v>0</v>
      </c>
      <c r="AI178" s="233">
        <f t="shared" si="24"/>
        <v>7.011766975308642E-3</v>
      </c>
      <c r="AJ178" s="235">
        <f>tabParametros[[#This Row],[FGTS]]*tabParametros[[#This Row],[Aviso Prévio Indenizado (API) e Reflexo do Aviso Prévio Indenizado]]</f>
        <v>5.609413580246914E-4</v>
      </c>
      <c r="AK178" s="235">
        <f>tabParametros[[#This Row],[FGTS]]*tabParametros[[#This Row],[Aviso Prévio Indenizado (API) e Reflexo do Aviso Prévio Indenizado]]*40%</f>
        <v>2.2437654320987658E-4</v>
      </c>
      <c r="AL178" s="233">
        <f t="shared" si="25"/>
        <v>3.5000000000000005E-3</v>
      </c>
      <c r="AM178" s="233">
        <f>tabParametros[[#This Row],[Aviso Prévio Trabalhado - APT]]*SUM(tabParametros[[#This Row],[INSS]:[SEBRAE]])</f>
        <v>1.3230000000000004E-3</v>
      </c>
      <c r="AN178" s="233">
        <f t="shared" si="26"/>
        <v>3.0577777777777773E-2</v>
      </c>
      <c r="AO178" s="233">
        <f t="shared" si="27"/>
        <v>8.3333333333333339E-4</v>
      </c>
      <c r="AP178" s="233">
        <f t="shared" si="28"/>
        <v>8.4444444444444437E-3</v>
      </c>
      <c r="AQ178" s="233">
        <f t="shared" si="29"/>
        <v>2.0277777777777777E-3</v>
      </c>
      <c r="AR178" s="233">
        <f t="shared" si="30"/>
        <v>1.7083333333333333E-4</v>
      </c>
      <c r="AS178" s="233">
        <f t="shared" si="31"/>
        <v>2.0833333333333335E-4</v>
      </c>
      <c r="AT178" s="233">
        <f t="shared" si="32"/>
        <v>1.2962962962962963E-3</v>
      </c>
      <c r="AU178" s="235">
        <f>SUM(tabParametros[[#This Row],[Ausência por Doença]:[Férias, Adicional de Férias e 13º  com empregada em gozo de Licença Maternidade]])*SUM(tabParametros[[#This Row],[INSS]:[SEBRAE]])</f>
        <v>4.5918250000000008E-3</v>
      </c>
      <c r="AV178" s="254">
        <f>IF(tabParametros[[#This Row],[Função]]="Porteiro - 220 h",SUM(tabParametros[[#This Row],[Salário Base]:[Adicional de Acúmulo de função]])/220*20*1.5,IF(ISNUMBER(SEARCH("12 x 36",tabParametros[[#This Row],[Função]],1)),SUM(tabParametros[[#This Row],[Salário Base]:[Adicional de Acúmulo de função]])/210*15.5*1.5,0))</f>
        <v>0</v>
      </c>
      <c r="AW178" s="232">
        <f>IF(tabParametros[[#This Row],[Vagas contratadas]]&gt;0,(SUM(tabParametros[[#This Row],[Salário Base]:[Adicional de Acúmulo de função]])*30%+SUM(tabParametros[[#This Row],[Vale - Alimentação]:[Seguro de Vida]]))/tabParametros[[#This Row],[Vagas contratadas]]*tabParametros[[#This Row],[Vagas suspensas]],0)</f>
        <v>0</v>
      </c>
      <c r="AX178" s="232">
        <f>SUMIF(tabUniformes[Cargo],tabParametros[[#This Row],[Função]],tabUniformes[Valor unit. Mensal])</f>
        <v>56.141713661989918</v>
      </c>
      <c r="AY17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8" s="232">
        <v>0</v>
      </c>
      <c r="BC178" s="234" t="e">
        <f ca="1">VLOOKUP(tabParametros[[#Headers],[Custos Indiretos]],tabOutrosCustos[],3,0)</f>
        <v>#NAME?</v>
      </c>
      <c r="BD178" s="234" t="e">
        <f ca="1">VLOOKUP(tabParametros[[#Headers],[Lucro]],tabOutrosCustos[],3,0)</f>
        <v>#NAME?</v>
      </c>
      <c r="BE178" s="233">
        <f>VLOOKUP(tabParametros[[#Headers],[COFINS]],tabImpostosNacionais[],2,0)</f>
        <v>7.5999999999999998E-2</v>
      </c>
      <c r="BF178" s="233">
        <f>VLOOKUP(tabParametros[[#Headers],[PIS]],tabImpostosNacionais[],2,0)</f>
        <v>1.6500000000000001E-2</v>
      </c>
      <c r="BG178" s="233">
        <f>VLOOKUP(tabParametros[[#This Row],[Comarca]],tabComarca[],4,0)</f>
        <v>0.05</v>
      </c>
      <c r="BH178" s="236">
        <f>VLOOKUP(tabParametros[[#This Row],[CCT DA CATEGORIA]],tabSindicatos[],11,0)</f>
        <v>45658</v>
      </c>
      <c r="BI178" s="282" t="str">
        <f>VLOOKUP(tabParametros[[#This Row],[CCT DA CATEGORIA]],tabSindicatos[],12,0)</f>
        <v>-</v>
      </c>
      <c r="BJ178" s="285" t="str">
        <f>VLOOKUP(tabParametros[[#This Row],[CCT DA CATEGORIA]],tabSindicatos[],13,0)</f>
        <v>-</v>
      </c>
    </row>
    <row r="179" spans="1:62">
      <c r="A179" s="231" t="s">
        <v>1482</v>
      </c>
      <c r="B179" s="197" t="s">
        <v>1149</v>
      </c>
      <c r="C179" s="197" t="s">
        <v>214</v>
      </c>
      <c r="D179" s="197" t="str">
        <f>VLOOKUP(tabParametros[[#This Row],[Código do Posto]],tabPostos[],4,0)</f>
        <v>SETTASPOC</v>
      </c>
      <c r="E179" s="282" t="str">
        <f>VLOOKUP(tabParametros[[#This Row],[Código do Posto]],tabPostos[],5,0)</f>
        <v>Apoio</v>
      </c>
      <c r="F179" s="282" t="str">
        <f>VLOOKUP(tabParametros[[#This Row],[Código do Posto]],tabPostos[],6,0)</f>
        <v>PGJ</v>
      </c>
      <c r="G179" s="282">
        <f>VLOOKUP(tabParametros[[#This Row],[Código do Posto]],tabPostos[],7,0)</f>
        <v>1</v>
      </c>
      <c r="H179" s="282">
        <f>VLOOKUP(tabParametros[[#This Row],[Código do Posto]],tabPostos[],8,0)</f>
        <v>0</v>
      </c>
      <c r="I179" s="232">
        <f>VLOOKUP(tabParametros[[#This Row],[Código do Posto]],tabPostos[],9,0)</f>
        <v>1836.5985119240554</v>
      </c>
      <c r="J179" s="232">
        <f>IF(ISNUMBER(SEARCH("Eletricista",tabParametros[[#This Row],[Função]],1)),0.3*tabParametros[[#This Row],[Salário Base]],0)</f>
        <v>0</v>
      </c>
      <c r="K17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79" s="232">
        <f>IF(AND(ISNUMBER(SEARCH("Noturno",tabParametros[[#This Row],[Função]],1)),tabParametros[[#This Row],[Comarca]]&lt;&gt;"Juiz de Fora"),tabParametros[[#This Row],[Salário Base]]/210*0.39*7*15.5,IF(ISNUMBER(SEARCH("Noturno",tabParametros[[#This Row],[Função]],1)),tabParametros[[#This Row],[Salário Base]]/210*0.2*8*15.5,0))</f>
        <v>0</v>
      </c>
      <c r="M179" s="232">
        <f>IF(ISNUMBER(SEARCH("Motorista II",tabParametros[[#This Row],[Função]],1)),0.3022*tabParametros[[#This Row],[Salário Base]],0)</f>
        <v>0</v>
      </c>
      <c r="N179" s="254">
        <v>0</v>
      </c>
      <c r="O179" s="254">
        <f>IF(ISNUMBER(SEARCH("TECNOLOGIA DA INFORMACAO",tabParametros[[#This Row],[Função]],1)),0.056*tabParametros[[#This Row],[Salário Base]],0)</f>
        <v>0</v>
      </c>
      <c r="P179" s="232">
        <f>IF(tabParametros[[#This Row],[Função]]="Operador de Midia Audiovisual - 150 h",tabParametros[[#This Row],[Salário Base]]/150*50*30%,IF(tabParametros[[#This Row],[Função]]="Supervisor de Manutencao de Veiculos II - 220 h",12%*tabParametros[[#This Row],[Salário Base]],0))</f>
        <v>0</v>
      </c>
      <c r="Q179" s="233">
        <f>VLOOKUP(tabParametros[[#Headers],[INSS]],tabImpostosNacionais[],2,0)</f>
        <v>0.2</v>
      </c>
      <c r="R179" s="233">
        <f>VLOOKUP(tabParametros[[#Headers],[SESI OU SESC]],tabImpostosNacionais[],2,0)</f>
        <v>1.4999999999999999E-2</v>
      </c>
      <c r="S179" s="233">
        <f>VLOOKUP(tabParametros[[#Headers],[SENAI OU SENAC]],tabImpostosNacionais[],2,0)</f>
        <v>0.01</v>
      </c>
      <c r="T179" s="233">
        <f>VLOOKUP(tabParametros[[#Headers],[INCRA]],tabImpostosNacionais[],2,0)</f>
        <v>2E-3</v>
      </c>
      <c r="U179" s="233">
        <f>VLOOKUP(tabParametros[[#Headers],[Salário Educação]],tabImpostosNacionais[],2,0)</f>
        <v>2.5000000000000001E-2</v>
      </c>
      <c r="V179" s="233">
        <f>VLOOKUP(tabParametros[[#Headers],[FGTS]],tabImpostosNacionais[],2,0)</f>
        <v>0.08</v>
      </c>
      <c r="W179" s="233">
        <f>VLOOKUP(tabParametros[[#Headers],[RAT Ajustado]],tabImpostosNacionais[],2,0)</f>
        <v>0.04</v>
      </c>
      <c r="X179" s="233">
        <f>VLOOKUP(tabParametros[[#Headers],[SEBRAE]],tabImpostosNacionais[],2,0)</f>
        <v>6.0000000000000001E-3</v>
      </c>
      <c r="Y179" s="233">
        <f t="shared" si="22"/>
        <v>8.3333333333333329E-2</v>
      </c>
      <c r="Z179" s="233">
        <f t="shared" si="23"/>
        <v>0.1111111111111111</v>
      </c>
      <c r="AA179" s="232">
        <f>VLOOKUP(tabParametros[[#This Row],[Comarca]],tabComarca[],5,0)</f>
        <v>6.4</v>
      </c>
      <c r="AB179" s="232">
        <f>VLOOKUP(tabParametros[[#This Row],[CCT DA CATEGORIA]],tabSindicatos[],6,0)</f>
        <v>29.14</v>
      </c>
      <c r="AC179" s="232">
        <f>VLOOKUP(tabParametros[[#This Row],[CCT DA CATEGORIA]],tabSindicatos[],7,0)</f>
        <v>0</v>
      </c>
      <c r="AD179" s="232" cm="1">
        <f t="array" ref="AD17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179" s="232">
        <f>VLOOKUP(tabParametros[[#This Row],[CCT DA CATEGORIA]],tabSindicatos[],9,0)</f>
        <v>0</v>
      </c>
      <c r="AF179" s="232">
        <f>VLOOKUP(tabParametros[[#This Row],[CCT DA CATEGORIA]],tabSindicatos[],10,0)</f>
        <v>0</v>
      </c>
      <c r="AG179" s="234">
        <f>VLOOKUP(tabParametros[[#Headers],[Seguro de Vida]],tabOutrosCustos[],3,0)</f>
        <v>3.36</v>
      </c>
      <c r="AH179" s="234">
        <f>IF(ISNUMBER(SEARCH("MOTORISTA",tabParametros[[#This Row],[Função]],1)),VLOOKUP("MOTORISTAS",tabDiarias[],2,0),IF(tabParametros[[#This Row],[Comarca]]="Belo Horizonte",VLOOKUP("APOIO",tabDiarias[],2,0),0))</f>
        <v>0</v>
      </c>
      <c r="AI179" s="233">
        <f t="shared" si="24"/>
        <v>7.011766975308642E-3</v>
      </c>
      <c r="AJ179" s="235">
        <f>tabParametros[[#This Row],[FGTS]]*tabParametros[[#This Row],[Aviso Prévio Indenizado (API) e Reflexo do Aviso Prévio Indenizado]]</f>
        <v>5.609413580246914E-4</v>
      </c>
      <c r="AK179" s="235">
        <f>tabParametros[[#This Row],[FGTS]]*tabParametros[[#This Row],[Aviso Prévio Indenizado (API) e Reflexo do Aviso Prévio Indenizado]]*40%</f>
        <v>2.2437654320987658E-4</v>
      </c>
      <c r="AL179" s="233">
        <f t="shared" si="25"/>
        <v>3.5000000000000005E-3</v>
      </c>
      <c r="AM179" s="233">
        <f>tabParametros[[#This Row],[Aviso Prévio Trabalhado - APT]]*SUM(tabParametros[[#This Row],[INSS]:[SEBRAE]])</f>
        <v>1.3230000000000004E-3</v>
      </c>
      <c r="AN179" s="233">
        <f t="shared" si="26"/>
        <v>3.0577777777777773E-2</v>
      </c>
      <c r="AO179" s="233">
        <f t="shared" si="27"/>
        <v>8.3333333333333339E-4</v>
      </c>
      <c r="AP179" s="233">
        <f t="shared" si="28"/>
        <v>8.4444444444444437E-3</v>
      </c>
      <c r="AQ179" s="233">
        <f t="shared" si="29"/>
        <v>2.0277777777777777E-3</v>
      </c>
      <c r="AR179" s="233">
        <f t="shared" si="30"/>
        <v>1.7083333333333333E-4</v>
      </c>
      <c r="AS179" s="233">
        <f t="shared" si="31"/>
        <v>2.0833333333333335E-4</v>
      </c>
      <c r="AT179" s="233">
        <f t="shared" si="32"/>
        <v>1.2962962962962963E-3</v>
      </c>
      <c r="AU179" s="235">
        <f>SUM(tabParametros[[#This Row],[Ausência por Doença]:[Férias, Adicional de Férias e 13º  com empregada em gozo de Licença Maternidade]])*SUM(tabParametros[[#This Row],[INSS]:[SEBRAE]])</f>
        <v>4.5918250000000008E-3</v>
      </c>
      <c r="AV179" s="254">
        <f>IF(tabParametros[[#This Row],[Função]]="Porteiro - 220 h",SUM(tabParametros[[#This Row],[Salário Base]:[Adicional de Acúmulo de função]])/220*20*1.5,IF(ISNUMBER(SEARCH("12 x 36",tabParametros[[#This Row],[Função]],1)),SUM(tabParametros[[#This Row],[Salário Base]:[Adicional de Acúmulo de função]])/210*15.5*1.5,0))</f>
        <v>0</v>
      </c>
      <c r="AW179" s="232">
        <f>IF(tabParametros[[#This Row],[Vagas contratadas]]&gt;0,(SUM(tabParametros[[#This Row],[Salário Base]:[Adicional de Acúmulo de função]])*30%+SUM(tabParametros[[#This Row],[Vale - Alimentação]:[Seguro de Vida]]))/tabParametros[[#This Row],[Vagas contratadas]]*tabParametros[[#This Row],[Vagas suspensas]],0)</f>
        <v>0</v>
      </c>
      <c r="AX179" s="232">
        <f>SUMIF(tabUniformes[Cargo],tabParametros[[#This Row],[Função]],tabUniformes[Valor unit. Mensal])</f>
        <v>44.111346448706357</v>
      </c>
      <c r="AY17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7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7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79" s="232">
        <v>0</v>
      </c>
      <c r="BC179" s="234" t="e">
        <f ca="1">VLOOKUP(tabParametros[[#Headers],[Custos Indiretos]],tabOutrosCustos[],3,0)</f>
        <v>#NAME?</v>
      </c>
      <c r="BD179" s="234" t="e">
        <f ca="1">VLOOKUP(tabParametros[[#Headers],[Lucro]],tabOutrosCustos[],3,0)</f>
        <v>#NAME?</v>
      </c>
      <c r="BE179" s="233">
        <f>VLOOKUP(tabParametros[[#Headers],[COFINS]],tabImpostosNacionais[],2,0)</f>
        <v>7.5999999999999998E-2</v>
      </c>
      <c r="BF179" s="233">
        <f>VLOOKUP(tabParametros[[#Headers],[PIS]],tabImpostosNacionais[],2,0)</f>
        <v>1.6500000000000001E-2</v>
      </c>
      <c r="BG179" s="233">
        <f>VLOOKUP(tabParametros[[#This Row],[Comarca]],tabComarca[],4,0)</f>
        <v>0.03</v>
      </c>
      <c r="BH179" s="236">
        <f>VLOOKUP(tabParametros[[#This Row],[CCT DA CATEGORIA]],tabSindicatos[],11,0)</f>
        <v>45658</v>
      </c>
      <c r="BI179" s="282" t="str">
        <f>VLOOKUP(tabParametros[[#This Row],[CCT DA CATEGORIA]],tabSindicatos[],12,0)</f>
        <v>-</v>
      </c>
      <c r="BJ179" s="285" t="str">
        <f>VLOOKUP(tabParametros[[#This Row],[CCT DA CATEGORIA]],tabSindicatos[],13,0)</f>
        <v>-</v>
      </c>
    </row>
    <row r="180" spans="1:62">
      <c r="A180" s="231" t="s">
        <v>1623</v>
      </c>
      <c r="B180" s="197" t="s">
        <v>1149</v>
      </c>
      <c r="C180" s="197" t="s">
        <v>319</v>
      </c>
      <c r="D180" s="197" t="str">
        <f>VLOOKUP(tabParametros[[#This Row],[Código do Posto]],tabPostos[],4,0)</f>
        <v>Regiao de Teofilo Otoni</v>
      </c>
      <c r="E180" s="282" t="str">
        <f>VLOOKUP(tabParametros[[#This Row],[Código do Posto]],tabPostos[],5,0)</f>
        <v>Apoio</v>
      </c>
      <c r="F180" s="282" t="str">
        <f>VLOOKUP(tabParametros[[#This Row],[Código do Posto]],tabPostos[],6,0)</f>
        <v>PGJ</v>
      </c>
      <c r="G180" s="282">
        <f>VLOOKUP(tabParametros[[#This Row],[Código do Posto]],tabPostos[],7,0)</f>
        <v>1</v>
      </c>
      <c r="H180" s="282">
        <f>VLOOKUP(tabParametros[[#This Row],[Código do Posto]],tabPostos[],8,0)</f>
        <v>0</v>
      </c>
      <c r="I180" s="232">
        <f>VLOOKUP(tabParametros[[#This Row],[Código do Posto]],tabPostos[],9,0)</f>
        <v>2316.2296840668359</v>
      </c>
      <c r="J180" s="232">
        <f>IF(ISNUMBER(SEARCH("Eletricista",tabParametros[[#This Row],[Função]],1)),0.3*tabParametros[[#This Row],[Salário Base]],0)</f>
        <v>0</v>
      </c>
      <c r="K18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0" s="232">
        <f>IF(AND(ISNUMBER(SEARCH("Noturno",tabParametros[[#This Row],[Função]],1)),tabParametros[[#This Row],[Comarca]]&lt;&gt;"Juiz de Fora"),tabParametros[[#This Row],[Salário Base]]/210*0.39*7*15.5,IF(ISNUMBER(SEARCH("Noturno",tabParametros[[#This Row],[Função]],1)),tabParametros[[#This Row],[Salário Base]]/210*0.2*8*15.5,0))</f>
        <v>0</v>
      </c>
      <c r="M180" s="232">
        <f>IF(ISNUMBER(SEARCH("Motorista II",tabParametros[[#This Row],[Função]],1)),0.3022*tabParametros[[#This Row],[Salário Base]],0)</f>
        <v>0</v>
      </c>
      <c r="N180" s="254">
        <v>0</v>
      </c>
      <c r="O180" s="254">
        <f>IF(ISNUMBER(SEARCH("TECNOLOGIA DA INFORMACAO",tabParametros[[#This Row],[Função]],1)),0.056*tabParametros[[#This Row],[Salário Base]],0)</f>
        <v>0</v>
      </c>
      <c r="P180" s="232">
        <f>IF(tabParametros[[#This Row],[Função]]="Operador de Midia Audiovisual - 150 h",tabParametros[[#This Row],[Salário Base]]/150*50*30%,IF(tabParametros[[#This Row],[Função]]="Supervisor de Manutencao de Veiculos II - 220 h",12%*tabParametros[[#This Row],[Salário Base]],0))</f>
        <v>0</v>
      </c>
      <c r="Q180" s="233">
        <f>VLOOKUP(tabParametros[[#Headers],[INSS]],tabImpostosNacionais[],2,0)</f>
        <v>0.2</v>
      </c>
      <c r="R180" s="233">
        <f>VLOOKUP(tabParametros[[#Headers],[SESI OU SESC]],tabImpostosNacionais[],2,0)</f>
        <v>1.4999999999999999E-2</v>
      </c>
      <c r="S180" s="233">
        <f>VLOOKUP(tabParametros[[#Headers],[SENAI OU SENAC]],tabImpostosNacionais[],2,0)</f>
        <v>0.01</v>
      </c>
      <c r="T180" s="233">
        <f>VLOOKUP(tabParametros[[#Headers],[INCRA]],tabImpostosNacionais[],2,0)</f>
        <v>2E-3</v>
      </c>
      <c r="U180" s="233">
        <f>VLOOKUP(tabParametros[[#Headers],[Salário Educação]],tabImpostosNacionais[],2,0)</f>
        <v>2.5000000000000001E-2</v>
      </c>
      <c r="V180" s="233">
        <f>VLOOKUP(tabParametros[[#Headers],[FGTS]],tabImpostosNacionais[],2,0)</f>
        <v>0.08</v>
      </c>
      <c r="W180" s="233">
        <f>VLOOKUP(tabParametros[[#Headers],[RAT Ajustado]],tabImpostosNacionais[],2,0)</f>
        <v>0.04</v>
      </c>
      <c r="X180" s="233">
        <f>VLOOKUP(tabParametros[[#Headers],[SEBRAE]],tabImpostosNacionais[],2,0)</f>
        <v>6.0000000000000001E-3</v>
      </c>
      <c r="Y180" s="233">
        <f t="shared" si="22"/>
        <v>8.3333333333333329E-2</v>
      </c>
      <c r="Z180" s="233">
        <f t="shared" si="23"/>
        <v>0.1111111111111111</v>
      </c>
      <c r="AA180" s="232">
        <f>VLOOKUP(tabParametros[[#This Row],[Comarca]],tabComarca[],5,0)</f>
        <v>6.4</v>
      </c>
      <c r="AB180" s="232">
        <f>VLOOKUP(tabParametros[[#This Row],[CCT DA CATEGORIA]],tabSindicatos[],6,0)</f>
        <v>29.15</v>
      </c>
      <c r="AC180" s="232">
        <f>VLOOKUP(tabParametros[[#This Row],[CCT DA CATEGORIA]],tabSindicatos[],7,0)</f>
        <v>0</v>
      </c>
      <c r="AD180" s="232" cm="1">
        <f t="array" ref="AD18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80" s="232">
        <f>VLOOKUP(tabParametros[[#This Row],[CCT DA CATEGORIA]],tabSindicatos[],9,0)</f>
        <v>15.07</v>
      </c>
      <c r="AF180" s="232">
        <f>VLOOKUP(tabParametros[[#This Row],[CCT DA CATEGORIA]],tabSindicatos[],10,0)</f>
        <v>0</v>
      </c>
      <c r="AG180" s="234">
        <f>VLOOKUP(tabParametros[[#Headers],[Seguro de Vida]],tabOutrosCustos[],3,0)</f>
        <v>3.36</v>
      </c>
      <c r="AH180" s="234">
        <f>IF(ISNUMBER(SEARCH("MOTORISTA",tabParametros[[#This Row],[Função]],1)),VLOOKUP("MOTORISTAS",tabDiarias[],2,0),IF(tabParametros[[#This Row],[Comarca]]="Belo Horizonte",VLOOKUP("APOIO",tabDiarias[],2,0),0))</f>
        <v>0</v>
      </c>
      <c r="AI180" s="233">
        <f t="shared" si="24"/>
        <v>7.011766975308642E-3</v>
      </c>
      <c r="AJ180" s="235">
        <f>tabParametros[[#This Row],[FGTS]]*tabParametros[[#This Row],[Aviso Prévio Indenizado (API) e Reflexo do Aviso Prévio Indenizado]]</f>
        <v>5.609413580246914E-4</v>
      </c>
      <c r="AK180" s="235">
        <f>tabParametros[[#This Row],[FGTS]]*tabParametros[[#This Row],[Aviso Prévio Indenizado (API) e Reflexo do Aviso Prévio Indenizado]]*40%</f>
        <v>2.2437654320987658E-4</v>
      </c>
      <c r="AL180" s="233">
        <f t="shared" si="25"/>
        <v>3.5000000000000005E-3</v>
      </c>
      <c r="AM180" s="233">
        <f>tabParametros[[#This Row],[Aviso Prévio Trabalhado - APT]]*SUM(tabParametros[[#This Row],[INSS]:[SEBRAE]])</f>
        <v>1.3230000000000004E-3</v>
      </c>
      <c r="AN180" s="233">
        <f t="shared" si="26"/>
        <v>3.0577777777777773E-2</v>
      </c>
      <c r="AO180" s="233">
        <f t="shared" si="27"/>
        <v>8.3333333333333339E-4</v>
      </c>
      <c r="AP180" s="233">
        <f t="shared" si="28"/>
        <v>8.4444444444444437E-3</v>
      </c>
      <c r="AQ180" s="233">
        <f t="shared" si="29"/>
        <v>2.0277777777777777E-3</v>
      </c>
      <c r="AR180" s="233">
        <f t="shared" si="30"/>
        <v>1.7083333333333333E-4</v>
      </c>
      <c r="AS180" s="233">
        <f t="shared" si="31"/>
        <v>2.0833333333333335E-4</v>
      </c>
      <c r="AT180" s="233">
        <f t="shared" si="32"/>
        <v>1.2962962962962963E-3</v>
      </c>
      <c r="AU180" s="235">
        <f>SUM(tabParametros[[#This Row],[Ausência por Doença]:[Férias, Adicional de Férias e 13º  com empregada em gozo de Licença Maternidade]])*SUM(tabParametros[[#This Row],[INSS]:[SEBRAE]])</f>
        <v>4.5918250000000008E-3</v>
      </c>
      <c r="AV180" s="254">
        <f>IF(tabParametros[[#This Row],[Função]]="Porteiro - 220 h",SUM(tabParametros[[#This Row],[Salário Base]:[Adicional de Acúmulo de função]])/220*20*1.5,IF(ISNUMBER(SEARCH("12 x 36",tabParametros[[#This Row],[Função]],1)),SUM(tabParametros[[#This Row],[Salário Base]:[Adicional de Acúmulo de função]])/210*15.5*1.5,0))</f>
        <v>0</v>
      </c>
      <c r="AW180" s="232">
        <f>IF(tabParametros[[#This Row],[Vagas contratadas]]&gt;0,(SUM(tabParametros[[#This Row],[Salário Base]:[Adicional de Acúmulo de função]])*30%+SUM(tabParametros[[#This Row],[Vale - Alimentação]:[Seguro de Vida]]))/tabParametros[[#This Row],[Vagas contratadas]]*tabParametros[[#This Row],[Vagas suspensas]],0)</f>
        <v>0</v>
      </c>
      <c r="AX180" s="232">
        <f>SUMIF(tabUniformes[Cargo],tabParametros[[#This Row],[Função]],tabUniformes[Valor unit. Mensal])</f>
        <v>56.642978962543395</v>
      </c>
      <c r="AY18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0" s="232">
        <v>0</v>
      </c>
      <c r="BC180" s="234" t="e">
        <f ca="1">VLOOKUP(tabParametros[[#Headers],[Custos Indiretos]],tabOutrosCustos[],3,0)</f>
        <v>#NAME?</v>
      </c>
      <c r="BD180" s="234" t="e">
        <f ca="1">VLOOKUP(tabParametros[[#Headers],[Lucro]],tabOutrosCustos[],3,0)</f>
        <v>#NAME?</v>
      </c>
      <c r="BE180" s="233">
        <f>VLOOKUP(tabParametros[[#Headers],[COFINS]],tabImpostosNacionais[],2,0)</f>
        <v>7.5999999999999998E-2</v>
      </c>
      <c r="BF180" s="233">
        <f>VLOOKUP(tabParametros[[#Headers],[PIS]],tabImpostosNacionais[],2,0)</f>
        <v>1.6500000000000001E-2</v>
      </c>
      <c r="BG180" s="233">
        <f>VLOOKUP(tabParametros[[#This Row],[Comarca]],tabComarca[],4,0)</f>
        <v>0.03</v>
      </c>
      <c r="BH180" s="236">
        <f>VLOOKUP(tabParametros[[#This Row],[CCT DA CATEGORIA]],tabSindicatos[],11,0)</f>
        <v>45658</v>
      </c>
      <c r="BI180" s="282" t="str">
        <f>VLOOKUP(tabParametros[[#This Row],[CCT DA CATEGORIA]],tabSindicatos[],12,0)</f>
        <v>-</v>
      </c>
      <c r="BJ180" s="285" t="str">
        <f>VLOOKUP(tabParametros[[#This Row],[CCT DA CATEGORIA]],tabSindicatos[],13,0)</f>
        <v>-</v>
      </c>
    </row>
    <row r="181" spans="1:62">
      <c r="A181" s="231" t="s">
        <v>1483</v>
      </c>
      <c r="B181" s="197" t="s">
        <v>1150</v>
      </c>
      <c r="C181" s="197" t="s">
        <v>200</v>
      </c>
      <c r="D181" s="197" t="str">
        <f>VLOOKUP(tabParametros[[#This Row],[Código do Posto]],tabPostos[],4,0)</f>
        <v>Regiao de Sao Lourenco</v>
      </c>
      <c r="E181" s="282" t="str">
        <f>VLOOKUP(tabParametros[[#This Row],[Código do Posto]],tabPostos[],5,0)</f>
        <v>Apoio</v>
      </c>
      <c r="F181" s="282" t="str">
        <f>VLOOKUP(tabParametros[[#This Row],[Código do Posto]],tabPostos[],6,0)</f>
        <v>PGJ</v>
      </c>
      <c r="G181" s="282">
        <f>VLOOKUP(tabParametros[[#This Row],[Código do Posto]],tabPostos[],7,0)</f>
        <v>1</v>
      </c>
      <c r="H181" s="282">
        <f>VLOOKUP(tabParametros[[#This Row],[Código do Posto]],tabPostos[],8,0)</f>
        <v>0</v>
      </c>
      <c r="I181" s="232">
        <f>VLOOKUP(tabParametros[[#This Row],[Código do Posto]],tabPostos[],9,0)</f>
        <v>1596.273808921236</v>
      </c>
      <c r="J181" s="232">
        <f>IF(ISNUMBER(SEARCH("Eletricista",tabParametros[[#This Row],[Função]],1)),0.3*tabParametros[[#This Row],[Salário Base]],0)</f>
        <v>0</v>
      </c>
      <c r="K18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1" s="232">
        <f>IF(AND(ISNUMBER(SEARCH("Noturno",tabParametros[[#This Row],[Função]],1)),tabParametros[[#This Row],[Comarca]]&lt;&gt;"Juiz de Fora"),tabParametros[[#This Row],[Salário Base]]/210*0.39*7*15.5,IF(ISNUMBER(SEARCH("Noturno",tabParametros[[#This Row],[Função]],1)),tabParametros[[#This Row],[Salário Base]]/210*0.2*8*15.5,0))</f>
        <v>0</v>
      </c>
      <c r="M181" s="232">
        <f>IF(ISNUMBER(SEARCH("Motorista II",tabParametros[[#This Row],[Função]],1)),0.3022*tabParametros[[#This Row],[Salário Base]],0)</f>
        <v>0</v>
      </c>
      <c r="N181" s="254">
        <v>0</v>
      </c>
      <c r="O181" s="254">
        <f>IF(ISNUMBER(SEARCH("TECNOLOGIA DA INFORMACAO",tabParametros[[#This Row],[Função]],1)),0.056*tabParametros[[#This Row],[Salário Base]],0)</f>
        <v>0</v>
      </c>
      <c r="P181" s="232">
        <f>IF(tabParametros[[#This Row],[Função]]="Operador de Midia Audiovisual - 150 h",tabParametros[[#This Row],[Salário Base]]/150*50*30%,IF(tabParametros[[#This Row],[Função]]="Supervisor de Manutencao de Veiculos II - 220 h",12%*tabParametros[[#This Row],[Salário Base]],0))</f>
        <v>0</v>
      </c>
      <c r="Q181" s="233">
        <f>VLOOKUP(tabParametros[[#Headers],[INSS]],tabImpostosNacionais[],2,0)</f>
        <v>0.2</v>
      </c>
      <c r="R181" s="233">
        <f>VLOOKUP(tabParametros[[#Headers],[SESI OU SESC]],tabImpostosNacionais[],2,0)</f>
        <v>1.4999999999999999E-2</v>
      </c>
      <c r="S181" s="233">
        <f>VLOOKUP(tabParametros[[#Headers],[SENAI OU SENAC]],tabImpostosNacionais[],2,0)</f>
        <v>0.01</v>
      </c>
      <c r="T181" s="233">
        <f>VLOOKUP(tabParametros[[#Headers],[INCRA]],tabImpostosNacionais[],2,0)</f>
        <v>2E-3</v>
      </c>
      <c r="U181" s="233">
        <f>VLOOKUP(tabParametros[[#Headers],[Salário Educação]],tabImpostosNacionais[],2,0)</f>
        <v>2.5000000000000001E-2</v>
      </c>
      <c r="V181" s="233">
        <f>VLOOKUP(tabParametros[[#Headers],[FGTS]],tabImpostosNacionais[],2,0)</f>
        <v>0.08</v>
      </c>
      <c r="W181" s="233">
        <f>VLOOKUP(tabParametros[[#Headers],[RAT Ajustado]],tabImpostosNacionais[],2,0)</f>
        <v>0.04</v>
      </c>
      <c r="X181" s="233">
        <f>VLOOKUP(tabParametros[[#Headers],[SEBRAE]],tabImpostosNacionais[],2,0)</f>
        <v>6.0000000000000001E-3</v>
      </c>
      <c r="Y181" s="233">
        <f t="shared" si="22"/>
        <v>8.3333333333333329E-2</v>
      </c>
      <c r="Z181" s="233">
        <f t="shared" si="23"/>
        <v>0.1111111111111111</v>
      </c>
      <c r="AA181" s="232">
        <f>VLOOKUP(tabParametros[[#This Row],[Comarca]],tabComarca[],5,0)</f>
        <v>6.4</v>
      </c>
      <c r="AB181" s="232">
        <f>VLOOKUP(tabParametros[[#This Row],[CCT DA CATEGORIA]],tabSindicatos[],6,0)</f>
        <v>29.15</v>
      </c>
      <c r="AC181" s="232">
        <f>VLOOKUP(tabParametros[[#This Row],[CCT DA CATEGORIA]],tabSindicatos[],7,0)</f>
        <v>0</v>
      </c>
      <c r="AD181" s="232" cm="1">
        <f t="array" ref="AD18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81" s="232">
        <f>VLOOKUP(tabParametros[[#This Row],[CCT DA CATEGORIA]],tabSindicatos[],9,0)</f>
        <v>0</v>
      </c>
      <c r="AF181" s="232">
        <f>VLOOKUP(tabParametros[[#This Row],[CCT DA CATEGORIA]],tabSindicatos[],10,0)</f>
        <v>0</v>
      </c>
      <c r="AG181" s="234">
        <f>VLOOKUP(tabParametros[[#Headers],[Seguro de Vida]],tabOutrosCustos[],3,0)</f>
        <v>3.36</v>
      </c>
      <c r="AH181" s="234">
        <f>IF(ISNUMBER(SEARCH("MOTORISTA",tabParametros[[#This Row],[Função]],1)),VLOOKUP("MOTORISTAS",tabDiarias[],2,0),IF(tabParametros[[#This Row],[Comarca]]="Belo Horizonte",VLOOKUP("APOIO",tabDiarias[],2,0),0))</f>
        <v>0</v>
      </c>
      <c r="AI181" s="233">
        <f t="shared" si="24"/>
        <v>7.011766975308642E-3</v>
      </c>
      <c r="AJ181" s="235">
        <f>tabParametros[[#This Row],[FGTS]]*tabParametros[[#This Row],[Aviso Prévio Indenizado (API) e Reflexo do Aviso Prévio Indenizado]]</f>
        <v>5.609413580246914E-4</v>
      </c>
      <c r="AK181" s="235">
        <f>tabParametros[[#This Row],[FGTS]]*tabParametros[[#This Row],[Aviso Prévio Indenizado (API) e Reflexo do Aviso Prévio Indenizado]]*40%</f>
        <v>2.2437654320987658E-4</v>
      </c>
      <c r="AL181" s="233">
        <f t="shared" si="25"/>
        <v>3.5000000000000005E-3</v>
      </c>
      <c r="AM181" s="233">
        <f>tabParametros[[#This Row],[Aviso Prévio Trabalhado - APT]]*SUM(tabParametros[[#This Row],[INSS]:[SEBRAE]])</f>
        <v>1.3230000000000004E-3</v>
      </c>
      <c r="AN181" s="233">
        <f t="shared" si="26"/>
        <v>3.0577777777777773E-2</v>
      </c>
      <c r="AO181" s="233">
        <f t="shared" si="27"/>
        <v>8.3333333333333339E-4</v>
      </c>
      <c r="AP181" s="233">
        <f t="shared" si="28"/>
        <v>8.4444444444444437E-3</v>
      </c>
      <c r="AQ181" s="233">
        <f t="shared" si="29"/>
        <v>2.0277777777777777E-3</v>
      </c>
      <c r="AR181" s="233">
        <f t="shared" si="30"/>
        <v>1.7083333333333333E-4</v>
      </c>
      <c r="AS181" s="233">
        <f t="shared" si="31"/>
        <v>2.0833333333333335E-4</v>
      </c>
      <c r="AT181" s="233">
        <f t="shared" si="32"/>
        <v>1.2962962962962963E-3</v>
      </c>
      <c r="AU181" s="235">
        <f>SUM(tabParametros[[#This Row],[Ausência por Doença]:[Férias, Adicional de Férias e 13º  com empregada em gozo de Licença Maternidade]])*SUM(tabParametros[[#This Row],[INSS]:[SEBRAE]])</f>
        <v>4.5918250000000008E-3</v>
      </c>
      <c r="AV181" s="254">
        <f>IF(tabParametros[[#This Row],[Função]]="Porteiro - 220 h",SUM(tabParametros[[#This Row],[Salário Base]:[Adicional de Acúmulo de função]])/220*20*1.5,IF(ISNUMBER(SEARCH("12 x 36",tabParametros[[#This Row],[Função]],1)),SUM(tabParametros[[#This Row],[Salário Base]:[Adicional de Acúmulo de função]])/210*15.5*1.5,0))</f>
        <v>0</v>
      </c>
      <c r="AW181" s="232">
        <f>IF(tabParametros[[#This Row],[Vagas contratadas]]&gt;0,(SUM(tabParametros[[#This Row],[Salário Base]:[Adicional de Acúmulo de função]])*30%+SUM(tabParametros[[#This Row],[Vale - Alimentação]:[Seguro de Vida]]))/tabParametros[[#This Row],[Vagas contratadas]]*tabParametros[[#This Row],[Vagas suspensas]],0)</f>
        <v>0</v>
      </c>
      <c r="AX181" s="232">
        <f>SUMIF(tabUniformes[Cargo],tabParametros[[#This Row],[Função]],tabUniformes[Valor unit. Mensal])</f>
        <v>56.141713661989918</v>
      </c>
      <c r="AY18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1" s="232">
        <v>0</v>
      </c>
      <c r="BC181" s="234" t="e">
        <f ca="1">VLOOKUP(tabParametros[[#Headers],[Custos Indiretos]],tabOutrosCustos[],3,0)</f>
        <v>#NAME?</v>
      </c>
      <c r="BD181" s="234" t="e">
        <f ca="1">VLOOKUP(tabParametros[[#Headers],[Lucro]],tabOutrosCustos[],3,0)</f>
        <v>#NAME?</v>
      </c>
      <c r="BE181" s="233">
        <f>VLOOKUP(tabParametros[[#Headers],[COFINS]],tabImpostosNacionais[],2,0)</f>
        <v>7.5999999999999998E-2</v>
      </c>
      <c r="BF181" s="233">
        <f>VLOOKUP(tabParametros[[#Headers],[PIS]],tabImpostosNacionais[],2,0)</f>
        <v>1.6500000000000001E-2</v>
      </c>
      <c r="BG181" s="233">
        <f>VLOOKUP(tabParametros[[#This Row],[Comarca]],tabComarca[],4,0)</f>
        <v>0.03</v>
      </c>
      <c r="BH181" s="236">
        <f>VLOOKUP(tabParametros[[#This Row],[CCT DA CATEGORIA]],tabSindicatos[],11,0)</f>
        <v>45658</v>
      </c>
      <c r="BI181" s="282" t="str">
        <f>VLOOKUP(tabParametros[[#This Row],[CCT DA CATEGORIA]],tabSindicatos[],12,0)</f>
        <v>-</v>
      </c>
      <c r="BJ181" s="285" t="str">
        <f>VLOOKUP(tabParametros[[#This Row],[CCT DA CATEGORIA]],tabSindicatos[],13,0)</f>
        <v>-</v>
      </c>
    </row>
    <row r="182" spans="1:62">
      <c r="A182" s="231" t="s">
        <v>1484</v>
      </c>
      <c r="B182" s="197" t="s">
        <v>1151</v>
      </c>
      <c r="C182" s="197" t="s">
        <v>314</v>
      </c>
      <c r="D182" s="197" t="str">
        <f>VLOOKUP(tabParametros[[#This Row],[Código do Posto]],tabPostos[],4,0)</f>
        <v>Fethemg Interior</v>
      </c>
      <c r="E182" s="282" t="str">
        <f>VLOOKUP(tabParametros[[#This Row],[Código do Posto]],tabPostos[],5,0)</f>
        <v>Apoio</v>
      </c>
      <c r="F182" s="282" t="str">
        <f>VLOOKUP(tabParametros[[#This Row],[Código do Posto]],tabPostos[],6,0)</f>
        <v>PGJ</v>
      </c>
      <c r="G182" s="282">
        <f>VLOOKUP(tabParametros[[#This Row],[Código do Posto]],tabPostos[],7,0)</f>
        <v>1</v>
      </c>
      <c r="H182" s="282">
        <f>VLOOKUP(tabParametros[[#This Row],[Código do Posto]],tabPostos[],8,0)</f>
        <v>0</v>
      </c>
      <c r="I182" s="232">
        <f>VLOOKUP(tabParametros[[#This Row],[Código do Posto]],tabPostos[],9,0)</f>
        <v>1963.4110092077037</v>
      </c>
      <c r="J182" s="232">
        <f>IF(ISNUMBER(SEARCH("Eletricista",tabParametros[[#This Row],[Função]],1)),0.3*tabParametros[[#This Row],[Salário Base]],0)</f>
        <v>0</v>
      </c>
      <c r="K18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2" s="232">
        <f>IF(AND(ISNUMBER(SEARCH("Noturno",tabParametros[[#This Row],[Função]],1)),tabParametros[[#This Row],[Comarca]]&lt;&gt;"Juiz de Fora"),tabParametros[[#This Row],[Salário Base]]/210*0.39*7*15.5,IF(ISNUMBER(SEARCH("Noturno",tabParametros[[#This Row],[Função]],1)),tabParametros[[#This Row],[Salário Base]]/210*0.2*8*15.5,0))</f>
        <v>0</v>
      </c>
      <c r="M182" s="232">
        <f>IF(ISNUMBER(SEARCH("Motorista II",tabParametros[[#This Row],[Função]],1)),0.3022*tabParametros[[#This Row],[Salário Base]],0)</f>
        <v>0</v>
      </c>
      <c r="N182" s="254">
        <v>0</v>
      </c>
      <c r="O182" s="254">
        <f>IF(ISNUMBER(SEARCH("TECNOLOGIA DA INFORMACAO",tabParametros[[#This Row],[Função]],1)),0.056*tabParametros[[#This Row],[Salário Base]],0)</f>
        <v>0</v>
      </c>
      <c r="P182" s="232">
        <f>IF(tabParametros[[#This Row],[Função]]="Operador de Midia Audiovisual - 150 h",tabParametros[[#This Row],[Salário Base]]/150*50*30%,IF(tabParametros[[#This Row],[Função]]="Supervisor de Manutencao de Veiculos II - 220 h",12%*tabParametros[[#This Row],[Salário Base]],0))</f>
        <v>0</v>
      </c>
      <c r="Q182" s="233">
        <f>VLOOKUP(tabParametros[[#Headers],[INSS]],tabImpostosNacionais[],2,0)</f>
        <v>0.2</v>
      </c>
      <c r="R182" s="233">
        <f>VLOOKUP(tabParametros[[#Headers],[SESI OU SESC]],tabImpostosNacionais[],2,0)</f>
        <v>1.4999999999999999E-2</v>
      </c>
      <c r="S182" s="233">
        <f>VLOOKUP(tabParametros[[#Headers],[SENAI OU SENAC]],tabImpostosNacionais[],2,0)</f>
        <v>0.01</v>
      </c>
      <c r="T182" s="233">
        <f>VLOOKUP(tabParametros[[#Headers],[INCRA]],tabImpostosNacionais[],2,0)</f>
        <v>2E-3</v>
      </c>
      <c r="U182" s="233">
        <f>VLOOKUP(tabParametros[[#Headers],[Salário Educação]],tabImpostosNacionais[],2,0)</f>
        <v>2.5000000000000001E-2</v>
      </c>
      <c r="V182" s="233">
        <f>VLOOKUP(tabParametros[[#Headers],[FGTS]],tabImpostosNacionais[],2,0)</f>
        <v>0.08</v>
      </c>
      <c r="W182" s="233">
        <f>VLOOKUP(tabParametros[[#Headers],[RAT Ajustado]],tabImpostosNacionais[],2,0)</f>
        <v>0.04</v>
      </c>
      <c r="X182" s="233">
        <f>VLOOKUP(tabParametros[[#Headers],[SEBRAE]],tabImpostosNacionais[],2,0)</f>
        <v>6.0000000000000001E-3</v>
      </c>
      <c r="Y182" s="233">
        <f t="shared" si="22"/>
        <v>8.3333333333333329E-2</v>
      </c>
      <c r="Z182" s="233">
        <f t="shared" si="23"/>
        <v>0.1111111111111111</v>
      </c>
      <c r="AA182" s="232">
        <f>VLOOKUP(tabParametros[[#This Row],[Comarca]],tabComarca[],5,0)</f>
        <v>6.4</v>
      </c>
      <c r="AB182" s="232">
        <f>VLOOKUP(tabParametros[[#This Row],[CCT DA CATEGORIA]],tabSindicatos[],6,0)</f>
        <v>29.15</v>
      </c>
      <c r="AC182" s="232">
        <f>VLOOKUP(tabParametros[[#This Row],[CCT DA CATEGORIA]],tabSindicatos[],7,0)</f>
        <v>0</v>
      </c>
      <c r="AD182" s="232" cm="1">
        <f t="array" ref="AD18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82" s="232">
        <f>VLOOKUP(tabParametros[[#This Row],[CCT DA CATEGORIA]],tabSindicatos[],9,0)</f>
        <v>15.07</v>
      </c>
      <c r="AF182" s="232">
        <f>VLOOKUP(tabParametros[[#This Row],[CCT DA CATEGORIA]],tabSindicatos[],10,0)</f>
        <v>0</v>
      </c>
      <c r="AG182" s="234">
        <f>VLOOKUP(tabParametros[[#Headers],[Seguro de Vida]],tabOutrosCustos[],3,0)</f>
        <v>3.36</v>
      </c>
      <c r="AH182" s="234">
        <f>IF(ISNUMBER(SEARCH("MOTORISTA",tabParametros[[#This Row],[Função]],1)),VLOOKUP("MOTORISTAS",tabDiarias[],2,0),IF(tabParametros[[#This Row],[Comarca]]="Belo Horizonte",VLOOKUP("APOIO",tabDiarias[],2,0),0))</f>
        <v>0</v>
      </c>
      <c r="AI182" s="233">
        <f t="shared" si="24"/>
        <v>7.011766975308642E-3</v>
      </c>
      <c r="AJ182" s="235">
        <f>tabParametros[[#This Row],[FGTS]]*tabParametros[[#This Row],[Aviso Prévio Indenizado (API) e Reflexo do Aviso Prévio Indenizado]]</f>
        <v>5.609413580246914E-4</v>
      </c>
      <c r="AK182" s="235">
        <f>tabParametros[[#This Row],[FGTS]]*tabParametros[[#This Row],[Aviso Prévio Indenizado (API) e Reflexo do Aviso Prévio Indenizado]]*40%</f>
        <v>2.2437654320987658E-4</v>
      </c>
      <c r="AL182" s="233">
        <f t="shared" si="25"/>
        <v>3.5000000000000005E-3</v>
      </c>
      <c r="AM182" s="233">
        <f>tabParametros[[#This Row],[Aviso Prévio Trabalhado - APT]]*SUM(tabParametros[[#This Row],[INSS]:[SEBRAE]])</f>
        <v>1.3230000000000004E-3</v>
      </c>
      <c r="AN182" s="233">
        <f t="shared" si="26"/>
        <v>3.0577777777777773E-2</v>
      </c>
      <c r="AO182" s="233">
        <f t="shared" si="27"/>
        <v>8.3333333333333339E-4</v>
      </c>
      <c r="AP182" s="233">
        <f t="shared" si="28"/>
        <v>8.4444444444444437E-3</v>
      </c>
      <c r="AQ182" s="233">
        <f t="shared" si="29"/>
        <v>2.0277777777777777E-3</v>
      </c>
      <c r="AR182" s="233">
        <f t="shared" si="30"/>
        <v>1.7083333333333333E-4</v>
      </c>
      <c r="AS182" s="233">
        <f t="shared" si="31"/>
        <v>2.0833333333333335E-4</v>
      </c>
      <c r="AT182" s="233">
        <f t="shared" si="32"/>
        <v>1.2962962962962963E-3</v>
      </c>
      <c r="AU182" s="235">
        <f>SUM(tabParametros[[#This Row],[Ausência por Doença]:[Férias, Adicional de Férias e 13º  com empregada em gozo de Licença Maternidade]])*SUM(tabParametros[[#This Row],[INSS]:[SEBRAE]])</f>
        <v>4.5918250000000008E-3</v>
      </c>
      <c r="AV182"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82" s="232">
        <f>IF(tabParametros[[#This Row],[Vagas contratadas]]&gt;0,(SUM(tabParametros[[#This Row],[Salário Base]:[Adicional de Acúmulo de função]])*30%+SUM(tabParametros[[#This Row],[Vale - Alimentação]:[Seguro de Vida]]))/tabParametros[[#This Row],[Vagas contratadas]]*tabParametros[[#This Row],[Vagas suspensas]],0)</f>
        <v>0</v>
      </c>
      <c r="AX182" s="232">
        <f>SUMIF(tabUniformes[Cargo],tabParametros[[#This Row],[Função]],tabUniformes[Valor unit. Mensal])</f>
        <v>56.642978962543395</v>
      </c>
      <c r="AY18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2" s="232">
        <v>0</v>
      </c>
      <c r="BC182" s="234" t="e">
        <f ca="1">VLOOKUP(tabParametros[[#Headers],[Custos Indiretos]],tabOutrosCustos[],3,0)</f>
        <v>#NAME?</v>
      </c>
      <c r="BD182" s="234" t="e">
        <f ca="1">VLOOKUP(tabParametros[[#Headers],[Lucro]],tabOutrosCustos[],3,0)</f>
        <v>#NAME?</v>
      </c>
      <c r="BE182" s="233">
        <f>VLOOKUP(tabParametros[[#Headers],[COFINS]],tabImpostosNacionais[],2,0)</f>
        <v>7.5999999999999998E-2</v>
      </c>
      <c r="BF182" s="233">
        <f>VLOOKUP(tabParametros[[#Headers],[PIS]],tabImpostosNacionais[],2,0)</f>
        <v>1.6500000000000001E-2</v>
      </c>
      <c r="BG182" s="233">
        <f>VLOOKUP(tabParametros[[#This Row],[Comarca]],tabComarca[],4,0)</f>
        <v>0.02</v>
      </c>
      <c r="BH182" s="236">
        <f>VLOOKUP(tabParametros[[#This Row],[CCT DA CATEGORIA]],tabSindicatos[],11,0)</f>
        <v>45658</v>
      </c>
      <c r="BI182" s="282" t="str">
        <f>VLOOKUP(tabParametros[[#This Row],[CCT DA CATEGORIA]],tabSindicatos[],12,0)</f>
        <v>-</v>
      </c>
      <c r="BJ182" s="285" t="str">
        <f>VLOOKUP(tabParametros[[#This Row],[CCT DA CATEGORIA]],tabSindicatos[],13,0)</f>
        <v>-</v>
      </c>
    </row>
    <row r="183" spans="1:62">
      <c r="A183" s="231" t="s">
        <v>1624</v>
      </c>
      <c r="B183" s="197" t="s">
        <v>1151</v>
      </c>
      <c r="C183" s="197" t="s">
        <v>324</v>
      </c>
      <c r="D183" s="197" t="str">
        <f>VLOOKUP(tabParametros[[#This Row],[Código do Posto]],tabPostos[],4,0)</f>
        <v>Fethemg Interior</v>
      </c>
      <c r="E183" s="282" t="str">
        <f>VLOOKUP(tabParametros[[#This Row],[Código do Posto]],tabPostos[],5,0)</f>
        <v>Apoio</v>
      </c>
      <c r="F183" s="282" t="str">
        <f>VLOOKUP(tabParametros[[#This Row],[Código do Posto]],tabPostos[],6,0)</f>
        <v>PGJ</v>
      </c>
      <c r="G183" s="282">
        <f>VLOOKUP(tabParametros[[#This Row],[Código do Posto]],tabPostos[],7,0)</f>
        <v>1</v>
      </c>
      <c r="H183" s="282">
        <f>VLOOKUP(tabParametros[[#This Row],[Código do Posto]],tabPostos[],8,0)</f>
        <v>0</v>
      </c>
      <c r="I183" s="232">
        <f>VLOOKUP(tabParametros[[#This Row],[Código do Posto]],tabPostos[],9,0)</f>
        <v>3397.1306016921476</v>
      </c>
      <c r="J183" s="232">
        <f>IF(ISNUMBER(SEARCH("Eletricista",tabParametros[[#This Row],[Função]],1)),0.3*tabParametros[[#This Row],[Salário Base]],0)</f>
        <v>0</v>
      </c>
      <c r="K18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3" s="232">
        <f>IF(AND(ISNUMBER(SEARCH("Noturno",tabParametros[[#This Row],[Função]],1)),tabParametros[[#This Row],[Comarca]]&lt;&gt;"Juiz de Fora"),tabParametros[[#This Row],[Salário Base]]/210*0.39*7*15.5,IF(ISNUMBER(SEARCH("Noturno",tabParametros[[#This Row],[Função]],1)),tabParametros[[#This Row],[Salário Base]]/210*0.2*8*15.5,0))</f>
        <v>0</v>
      </c>
      <c r="M183" s="232">
        <f>IF(ISNUMBER(SEARCH("Motorista II",tabParametros[[#This Row],[Função]],1)),0.3022*tabParametros[[#This Row],[Salário Base]],0)</f>
        <v>0</v>
      </c>
      <c r="N183" s="254">
        <v>0</v>
      </c>
      <c r="O183" s="254">
        <f>IF(ISNUMBER(SEARCH("TECNOLOGIA DA INFORMACAO",tabParametros[[#This Row],[Função]],1)),0.056*tabParametros[[#This Row],[Salário Base]],0)</f>
        <v>0</v>
      </c>
      <c r="P183" s="232">
        <f>IF(tabParametros[[#This Row],[Função]]="Operador de Midia Audiovisual - 150 h",tabParametros[[#This Row],[Salário Base]]/150*50*30%,IF(tabParametros[[#This Row],[Função]]="Supervisor de Manutencao de Veiculos II - 220 h",12%*tabParametros[[#This Row],[Salário Base]],0))</f>
        <v>0</v>
      </c>
      <c r="Q183" s="233">
        <f>VLOOKUP(tabParametros[[#Headers],[INSS]],tabImpostosNacionais[],2,0)</f>
        <v>0.2</v>
      </c>
      <c r="R183" s="233">
        <f>VLOOKUP(tabParametros[[#Headers],[SESI OU SESC]],tabImpostosNacionais[],2,0)</f>
        <v>1.4999999999999999E-2</v>
      </c>
      <c r="S183" s="233">
        <f>VLOOKUP(tabParametros[[#Headers],[SENAI OU SENAC]],tabImpostosNacionais[],2,0)</f>
        <v>0.01</v>
      </c>
      <c r="T183" s="233">
        <f>VLOOKUP(tabParametros[[#Headers],[INCRA]],tabImpostosNacionais[],2,0)</f>
        <v>2E-3</v>
      </c>
      <c r="U183" s="233">
        <f>VLOOKUP(tabParametros[[#Headers],[Salário Educação]],tabImpostosNacionais[],2,0)</f>
        <v>2.5000000000000001E-2</v>
      </c>
      <c r="V183" s="233">
        <f>VLOOKUP(tabParametros[[#Headers],[FGTS]],tabImpostosNacionais[],2,0)</f>
        <v>0.08</v>
      </c>
      <c r="W183" s="233">
        <f>VLOOKUP(tabParametros[[#Headers],[RAT Ajustado]],tabImpostosNacionais[],2,0)</f>
        <v>0.04</v>
      </c>
      <c r="X183" s="233">
        <f>VLOOKUP(tabParametros[[#Headers],[SEBRAE]],tabImpostosNacionais[],2,0)</f>
        <v>6.0000000000000001E-3</v>
      </c>
      <c r="Y183" s="233">
        <f t="shared" si="22"/>
        <v>8.3333333333333329E-2</v>
      </c>
      <c r="Z183" s="233">
        <f t="shared" si="23"/>
        <v>0.1111111111111111</v>
      </c>
      <c r="AA183" s="232">
        <f>VLOOKUP(tabParametros[[#This Row],[Comarca]],tabComarca[],5,0)</f>
        <v>6.4</v>
      </c>
      <c r="AB183" s="232">
        <f>VLOOKUP(tabParametros[[#This Row],[CCT DA CATEGORIA]],tabSindicatos[],6,0)</f>
        <v>29.15</v>
      </c>
      <c r="AC183" s="232">
        <f>VLOOKUP(tabParametros[[#This Row],[CCT DA CATEGORIA]],tabSindicatos[],7,0)</f>
        <v>0</v>
      </c>
      <c r="AD183" s="232" cm="1">
        <f t="array" ref="AD18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83" s="232">
        <f>VLOOKUP(tabParametros[[#This Row],[CCT DA CATEGORIA]],tabSindicatos[],9,0)</f>
        <v>15.07</v>
      </c>
      <c r="AF183" s="232">
        <f>VLOOKUP(tabParametros[[#This Row],[CCT DA CATEGORIA]],tabSindicatos[],10,0)</f>
        <v>0</v>
      </c>
      <c r="AG183" s="234">
        <f>VLOOKUP(tabParametros[[#Headers],[Seguro de Vida]],tabOutrosCustos[],3,0)</f>
        <v>3.36</v>
      </c>
      <c r="AH183" s="234">
        <f>IF(ISNUMBER(SEARCH("MOTORISTA",tabParametros[[#This Row],[Função]],1)),VLOOKUP("MOTORISTAS",tabDiarias[],2,0),IF(tabParametros[[#This Row],[Comarca]]="Belo Horizonte",VLOOKUP("APOIO",tabDiarias[],2,0),0))</f>
        <v>0</v>
      </c>
      <c r="AI183" s="233">
        <f t="shared" si="24"/>
        <v>7.011766975308642E-3</v>
      </c>
      <c r="AJ183" s="235">
        <f>tabParametros[[#This Row],[FGTS]]*tabParametros[[#This Row],[Aviso Prévio Indenizado (API) e Reflexo do Aviso Prévio Indenizado]]</f>
        <v>5.609413580246914E-4</v>
      </c>
      <c r="AK183" s="235">
        <f>tabParametros[[#This Row],[FGTS]]*tabParametros[[#This Row],[Aviso Prévio Indenizado (API) e Reflexo do Aviso Prévio Indenizado]]*40%</f>
        <v>2.2437654320987658E-4</v>
      </c>
      <c r="AL183" s="233">
        <f t="shared" si="25"/>
        <v>3.5000000000000005E-3</v>
      </c>
      <c r="AM183" s="233">
        <f>tabParametros[[#This Row],[Aviso Prévio Trabalhado - APT]]*SUM(tabParametros[[#This Row],[INSS]:[SEBRAE]])</f>
        <v>1.3230000000000004E-3</v>
      </c>
      <c r="AN183" s="233">
        <f t="shared" si="26"/>
        <v>3.0577777777777773E-2</v>
      </c>
      <c r="AO183" s="233">
        <f t="shared" si="27"/>
        <v>8.3333333333333339E-4</v>
      </c>
      <c r="AP183" s="233">
        <f t="shared" si="28"/>
        <v>8.4444444444444437E-3</v>
      </c>
      <c r="AQ183" s="233">
        <f t="shared" si="29"/>
        <v>2.0277777777777777E-3</v>
      </c>
      <c r="AR183" s="233">
        <f t="shared" si="30"/>
        <v>1.7083333333333333E-4</v>
      </c>
      <c r="AS183" s="233">
        <f t="shared" si="31"/>
        <v>2.0833333333333335E-4</v>
      </c>
      <c r="AT183" s="233">
        <f t="shared" si="32"/>
        <v>1.2962962962962963E-3</v>
      </c>
      <c r="AU183" s="235">
        <f>SUM(tabParametros[[#This Row],[Ausência por Doença]:[Férias, Adicional de Férias e 13º  com empregada em gozo de Licença Maternidade]])*SUM(tabParametros[[#This Row],[INSS]:[SEBRAE]])</f>
        <v>4.5918250000000008E-3</v>
      </c>
      <c r="AV183" s="254">
        <f>IF(tabParametros[[#This Row],[Função]]="Porteiro - 220 h",SUM(tabParametros[[#This Row],[Salário Base]:[Adicional de Acúmulo de função]])/220*20*1.5,IF(ISNUMBER(SEARCH("12 x 36",tabParametros[[#This Row],[Função]],1)),SUM(tabParametros[[#This Row],[Salário Base]:[Adicional de Acúmulo de função]])/210*15.5*1.5,0))</f>
        <v>0</v>
      </c>
      <c r="AW183" s="232">
        <f>IF(tabParametros[[#This Row],[Vagas contratadas]]&gt;0,(SUM(tabParametros[[#This Row],[Salário Base]:[Adicional de Acúmulo de função]])*30%+SUM(tabParametros[[#This Row],[Vale - Alimentação]:[Seguro de Vida]]))/tabParametros[[#This Row],[Vagas contratadas]]*tabParametros[[#This Row],[Vagas suspensas]],0)</f>
        <v>0</v>
      </c>
      <c r="AX183" s="232">
        <f>SUMIF(tabUniformes[Cargo],tabParametros[[#This Row],[Função]],tabUniformes[Valor unit. Mensal])</f>
        <v>56.642978962543395</v>
      </c>
      <c r="AY18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3" s="232">
        <v>0</v>
      </c>
      <c r="BC183" s="234" t="e">
        <f ca="1">VLOOKUP(tabParametros[[#Headers],[Custos Indiretos]],tabOutrosCustos[],3,0)</f>
        <v>#NAME?</v>
      </c>
      <c r="BD183" s="234" t="e">
        <f ca="1">VLOOKUP(tabParametros[[#Headers],[Lucro]],tabOutrosCustos[],3,0)</f>
        <v>#NAME?</v>
      </c>
      <c r="BE183" s="233">
        <f>VLOOKUP(tabParametros[[#Headers],[COFINS]],tabImpostosNacionais[],2,0)</f>
        <v>7.5999999999999998E-2</v>
      </c>
      <c r="BF183" s="233">
        <f>VLOOKUP(tabParametros[[#Headers],[PIS]],tabImpostosNacionais[],2,0)</f>
        <v>1.6500000000000001E-2</v>
      </c>
      <c r="BG183" s="233">
        <f>VLOOKUP(tabParametros[[#This Row],[Comarca]],tabComarca[],4,0)</f>
        <v>0.02</v>
      </c>
      <c r="BH183" s="236">
        <f>VLOOKUP(tabParametros[[#This Row],[CCT DA CATEGORIA]],tabSindicatos[],11,0)</f>
        <v>45658</v>
      </c>
      <c r="BI183" s="282" t="str">
        <f>VLOOKUP(tabParametros[[#This Row],[CCT DA CATEGORIA]],tabSindicatos[],12,0)</f>
        <v>-</v>
      </c>
      <c r="BJ183" s="285" t="str">
        <f>VLOOKUP(tabParametros[[#This Row],[CCT DA CATEGORIA]],tabSindicatos[],13,0)</f>
        <v>-</v>
      </c>
    </row>
    <row r="184" spans="1:62">
      <c r="A184" s="231" t="s">
        <v>1625</v>
      </c>
      <c r="B184" s="197" t="s">
        <v>1152</v>
      </c>
      <c r="C184" s="197" t="s">
        <v>274</v>
      </c>
      <c r="D184" s="197" t="str">
        <f>VLOOKUP(tabParametros[[#This Row],[Código do Posto]],tabPostos[],4,0)</f>
        <v>Rodoviarios de Ituiutaba + SEAC-MG</v>
      </c>
      <c r="E184" s="282" t="str">
        <f>VLOOKUP(tabParametros[[#This Row],[Código do Posto]],tabPostos[],5,0)</f>
        <v>Apoio</v>
      </c>
      <c r="F184" s="282" t="str">
        <f>VLOOKUP(tabParametros[[#This Row],[Código do Posto]],tabPostos[],6,0)</f>
        <v>PGJ</v>
      </c>
      <c r="G184" s="282">
        <f>VLOOKUP(tabParametros[[#This Row],[Código do Posto]],tabPostos[],7,0)</f>
        <v>1</v>
      </c>
      <c r="H184" s="282">
        <f>VLOOKUP(tabParametros[[#This Row],[Código do Posto]],tabPostos[],8,0)</f>
        <v>0</v>
      </c>
      <c r="I184" s="232">
        <f>VLOOKUP(tabParametros[[#This Row],[Código do Posto]],tabPostos[],9,0)</f>
        <v>4380.5669340985405</v>
      </c>
      <c r="J184" s="232">
        <f>IF(ISNUMBER(SEARCH("Eletricista",tabParametros[[#This Row],[Função]],1)),0.3*tabParametros[[#This Row],[Salário Base]],0)</f>
        <v>0</v>
      </c>
      <c r="K18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4" s="232">
        <f>IF(AND(ISNUMBER(SEARCH("Noturno",tabParametros[[#This Row],[Função]],1)),tabParametros[[#This Row],[Comarca]]&lt;&gt;"Juiz de Fora"),tabParametros[[#This Row],[Salário Base]]/210*0.39*7*15.5,IF(ISNUMBER(SEARCH("Noturno",tabParametros[[#This Row],[Função]],1)),tabParametros[[#This Row],[Salário Base]]/210*0.2*8*15.5,0))</f>
        <v>0</v>
      </c>
      <c r="M184" s="232">
        <f>IF(ISNUMBER(SEARCH("Motorista II",tabParametros[[#This Row],[Função]],1)),0.3022*tabParametros[[#This Row],[Salário Base]],0)</f>
        <v>0</v>
      </c>
      <c r="N184" s="254">
        <v>0</v>
      </c>
      <c r="O184" s="254">
        <f>IF(ISNUMBER(SEARCH("TECNOLOGIA DA INFORMACAO",tabParametros[[#This Row],[Função]],1)),0.056*tabParametros[[#This Row],[Salário Base]],0)</f>
        <v>0</v>
      </c>
      <c r="P184" s="232">
        <f>IF(tabParametros[[#This Row],[Função]]="Operador de Midia Audiovisual - 150 h",tabParametros[[#This Row],[Salário Base]]/150*50*30%,IF(tabParametros[[#This Row],[Função]]="Supervisor de Manutencao de Veiculos II - 220 h",12%*tabParametros[[#This Row],[Salário Base]],0))</f>
        <v>0</v>
      </c>
      <c r="Q184" s="233">
        <f>VLOOKUP(tabParametros[[#Headers],[INSS]],tabImpostosNacionais[],2,0)</f>
        <v>0.2</v>
      </c>
      <c r="R184" s="233">
        <f>VLOOKUP(tabParametros[[#Headers],[SESI OU SESC]],tabImpostosNacionais[],2,0)</f>
        <v>1.4999999999999999E-2</v>
      </c>
      <c r="S184" s="233">
        <f>VLOOKUP(tabParametros[[#Headers],[SENAI OU SENAC]],tabImpostosNacionais[],2,0)</f>
        <v>0.01</v>
      </c>
      <c r="T184" s="233">
        <f>VLOOKUP(tabParametros[[#Headers],[INCRA]],tabImpostosNacionais[],2,0)</f>
        <v>2E-3</v>
      </c>
      <c r="U184" s="233">
        <f>VLOOKUP(tabParametros[[#Headers],[Salário Educação]],tabImpostosNacionais[],2,0)</f>
        <v>2.5000000000000001E-2</v>
      </c>
      <c r="V184" s="233">
        <f>VLOOKUP(tabParametros[[#Headers],[FGTS]],tabImpostosNacionais[],2,0)</f>
        <v>0.08</v>
      </c>
      <c r="W184" s="233">
        <f>VLOOKUP(tabParametros[[#Headers],[RAT Ajustado]],tabImpostosNacionais[],2,0)</f>
        <v>0.04</v>
      </c>
      <c r="X184" s="233">
        <f>VLOOKUP(tabParametros[[#Headers],[SEBRAE]],tabImpostosNacionais[],2,0)</f>
        <v>6.0000000000000001E-3</v>
      </c>
      <c r="Y184" s="233">
        <f t="shared" si="22"/>
        <v>8.3333333333333329E-2</v>
      </c>
      <c r="Z184" s="233">
        <f t="shared" si="23"/>
        <v>0.1111111111111111</v>
      </c>
      <c r="AA184" s="232">
        <f>VLOOKUP(tabParametros[[#This Row],[Comarca]],tabComarca[],5,0)</f>
        <v>6.4</v>
      </c>
      <c r="AB184" s="232">
        <f>VLOOKUP(tabParametros[[#This Row],[CCT DA CATEGORIA]],tabSindicatos[],6,0)</f>
        <v>28.97</v>
      </c>
      <c r="AC184" s="232">
        <f>VLOOKUP(tabParametros[[#This Row],[CCT DA CATEGORIA]],tabSindicatos[],7,0)</f>
        <v>0</v>
      </c>
      <c r="AD184" s="232" cm="1">
        <f t="array" ref="AD18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84" s="232">
        <f>VLOOKUP(tabParametros[[#This Row],[CCT DA CATEGORIA]],tabSindicatos[],9,0)</f>
        <v>0</v>
      </c>
      <c r="AF184" s="232">
        <f>VLOOKUP(tabParametros[[#This Row],[CCT DA CATEGORIA]],tabSindicatos[],10,0)</f>
        <v>0</v>
      </c>
      <c r="AG184" s="234">
        <f>VLOOKUP(tabParametros[[#Headers],[Seguro de Vida]],tabOutrosCustos[],3,0)</f>
        <v>3.36</v>
      </c>
      <c r="AH184" s="234">
        <f>IF(ISNUMBER(SEARCH("MOTORISTA",tabParametros[[#This Row],[Função]],1)),VLOOKUP("MOTORISTAS",tabDiarias[],2,0),IF(tabParametros[[#This Row],[Comarca]]="Belo Horizonte",VLOOKUP("APOIO",tabDiarias[],2,0),0))</f>
        <v>662.42</v>
      </c>
      <c r="AI184" s="233">
        <f t="shared" si="24"/>
        <v>7.011766975308642E-3</v>
      </c>
      <c r="AJ184" s="235">
        <f>tabParametros[[#This Row],[FGTS]]*tabParametros[[#This Row],[Aviso Prévio Indenizado (API) e Reflexo do Aviso Prévio Indenizado]]</f>
        <v>5.609413580246914E-4</v>
      </c>
      <c r="AK184" s="235">
        <f>tabParametros[[#This Row],[FGTS]]*tabParametros[[#This Row],[Aviso Prévio Indenizado (API) e Reflexo do Aviso Prévio Indenizado]]*40%</f>
        <v>2.2437654320987658E-4</v>
      </c>
      <c r="AL184" s="233">
        <f t="shared" si="25"/>
        <v>3.5000000000000005E-3</v>
      </c>
      <c r="AM184" s="233">
        <f>tabParametros[[#This Row],[Aviso Prévio Trabalhado - APT]]*SUM(tabParametros[[#This Row],[INSS]:[SEBRAE]])</f>
        <v>1.3230000000000004E-3</v>
      </c>
      <c r="AN184" s="233">
        <f t="shared" si="26"/>
        <v>3.0577777777777773E-2</v>
      </c>
      <c r="AO184" s="233">
        <f t="shared" si="27"/>
        <v>8.3333333333333339E-4</v>
      </c>
      <c r="AP184" s="233">
        <f t="shared" si="28"/>
        <v>8.4444444444444437E-3</v>
      </c>
      <c r="AQ184" s="233">
        <f t="shared" si="29"/>
        <v>2.0277777777777777E-3</v>
      </c>
      <c r="AR184" s="233">
        <f t="shared" si="30"/>
        <v>1.7083333333333333E-4</v>
      </c>
      <c r="AS184" s="233">
        <f t="shared" si="31"/>
        <v>2.0833333333333335E-4</v>
      </c>
      <c r="AT184" s="233">
        <f t="shared" si="32"/>
        <v>1.2962962962962963E-3</v>
      </c>
      <c r="AU184" s="235">
        <f>SUM(tabParametros[[#This Row],[Ausência por Doença]:[Férias, Adicional de Férias e 13º  com empregada em gozo de Licença Maternidade]])*SUM(tabParametros[[#This Row],[INSS]:[SEBRAE]])</f>
        <v>4.5918250000000008E-3</v>
      </c>
      <c r="AV184" s="254">
        <f>IF(tabParametros[[#This Row],[Função]]="Porteiro - 220 h",SUM(tabParametros[[#This Row],[Salário Base]:[Adicional de Acúmulo de função]])/220*20*1.5,IF(ISNUMBER(SEARCH("12 x 36",tabParametros[[#This Row],[Função]],1)),SUM(tabParametros[[#This Row],[Salário Base]:[Adicional de Acúmulo de função]])/210*15.5*1.5,0))</f>
        <v>0</v>
      </c>
      <c r="AW184" s="232">
        <f>IF(tabParametros[[#This Row],[Vagas contratadas]]&gt;0,(SUM(tabParametros[[#This Row],[Salário Base]:[Adicional de Acúmulo de função]])*30%+SUM(tabParametros[[#This Row],[Vale - Alimentação]:[Seguro de Vida]]))/tabParametros[[#This Row],[Vagas contratadas]]*tabParametros[[#This Row],[Vagas suspensas]],0)</f>
        <v>0</v>
      </c>
      <c r="AX184" s="232">
        <f>SUMIF(tabUniformes[Cargo],tabParametros[[#This Row],[Função]],tabUniformes[Valor unit. Mensal])</f>
        <v>92.100763771570698</v>
      </c>
      <c r="AY18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4" s="232">
        <v>0</v>
      </c>
      <c r="BC184" s="234" t="e">
        <f ca="1">VLOOKUP(tabParametros[[#Headers],[Custos Indiretos]],tabOutrosCustos[],3,0)</f>
        <v>#NAME?</v>
      </c>
      <c r="BD184" s="234" t="e">
        <f ca="1">VLOOKUP(tabParametros[[#Headers],[Lucro]],tabOutrosCustos[],3,0)</f>
        <v>#NAME?</v>
      </c>
      <c r="BE184" s="233">
        <f>VLOOKUP(tabParametros[[#Headers],[COFINS]],tabImpostosNacionais[],2,0)</f>
        <v>7.5999999999999998E-2</v>
      </c>
      <c r="BF184" s="233">
        <f>VLOOKUP(tabParametros[[#Headers],[PIS]],tabImpostosNacionais[],2,0)</f>
        <v>1.6500000000000001E-2</v>
      </c>
      <c r="BG184" s="233">
        <f>VLOOKUP(tabParametros[[#This Row],[Comarca]],tabComarca[],4,0)</f>
        <v>0.04</v>
      </c>
      <c r="BH184" s="236">
        <f>VLOOKUP(tabParametros[[#This Row],[CCT DA CATEGORIA]],tabSindicatos[],11,0)</f>
        <v>45658</v>
      </c>
      <c r="BI184" s="282" t="str">
        <f>VLOOKUP(tabParametros[[#This Row],[CCT DA CATEGORIA]],tabSindicatos[],12,0)</f>
        <v>-</v>
      </c>
      <c r="BJ184" s="285" t="str">
        <f>VLOOKUP(tabParametros[[#This Row],[CCT DA CATEGORIA]],tabSindicatos[],13,0)</f>
        <v>-</v>
      </c>
    </row>
    <row r="185" spans="1:62">
      <c r="A185" s="231" t="s">
        <v>1626</v>
      </c>
      <c r="B185" s="197" t="s">
        <v>1152</v>
      </c>
      <c r="C185" s="197" t="s">
        <v>314</v>
      </c>
      <c r="D185" s="197" t="str">
        <f>VLOOKUP(tabParametros[[#This Row],[Código do Posto]],tabPostos[],4,0)</f>
        <v>Alto Paranaiba</v>
      </c>
      <c r="E185" s="282" t="str">
        <f>VLOOKUP(tabParametros[[#This Row],[Código do Posto]],tabPostos[],5,0)</f>
        <v>Apoio</v>
      </c>
      <c r="F185" s="282" t="str">
        <f>VLOOKUP(tabParametros[[#This Row],[Código do Posto]],tabPostos[],6,0)</f>
        <v>PGJ</v>
      </c>
      <c r="G185" s="282">
        <f>VLOOKUP(tabParametros[[#This Row],[Código do Posto]],tabPostos[],7,0)</f>
        <v>1</v>
      </c>
      <c r="H185" s="282">
        <f>VLOOKUP(tabParametros[[#This Row],[Código do Posto]],tabPostos[],8,0)</f>
        <v>0</v>
      </c>
      <c r="I185" s="232">
        <f>VLOOKUP(tabParametros[[#This Row],[Código do Posto]],tabPostos[],9,0)</f>
        <v>1963.4050319620983</v>
      </c>
      <c r="J185" s="232">
        <f>IF(ISNUMBER(SEARCH("Eletricista",tabParametros[[#This Row],[Função]],1)),0.3*tabParametros[[#This Row],[Salário Base]],0)</f>
        <v>0</v>
      </c>
      <c r="K18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5" s="232">
        <f>IF(AND(ISNUMBER(SEARCH("Noturno",tabParametros[[#This Row],[Função]],1)),tabParametros[[#This Row],[Comarca]]&lt;&gt;"Juiz de Fora"),tabParametros[[#This Row],[Salário Base]]/210*0.39*7*15.5,IF(ISNUMBER(SEARCH("Noturno",tabParametros[[#This Row],[Função]],1)),tabParametros[[#This Row],[Salário Base]]/210*0.2*8*15.5,0))</f>
        <v>0</v>
      </c>
      <c r="M185" s="232">
        <f>IF(ISNUMBER(SEARCH("Motorista II",tabParametros[[#This Row],[Função]],1)),0.3022*tabParametros[[#This Row],[Salário Base]],0)</f>
        <v>0</v>
      </c>
      <c r="N185" s="254">
        <v>0</v>
      </c>
      <c r="O185" s="254">
        <f>IF(ISNUMBER(SEARCH("TECNOLOGIA DA INFORMACAO",tabParametros[[#This Row],[Função]],1)),0.056*tabParametros[[#This Row],[Salário Base]],0)</f>
        <v>0</v>
      </c>
      <c r="P185" s="232">
        <f>IF(tabParametros[[#This Row],[Função]]="Operador de Midia Audiovisual - 150 h",tabParametros[[#This Row],[Salário Base]]/150*50*30%,IF(tabParametros[[#This Row],[Função]]="Supervisor de Manutencao de Veiculos II - 220 h",12%*tabParametros[[#This Row],[Salário Base]],0))</f>
        <v>0</v>
      </c>
      <c r="Q185" s="233">
        <f>VLOOKUP(tabParametros[[#Headers],[INSS]],tabImpostosNacionais[],2,0)</f>
        <v>0.2</v>
      </c>
      <c r="R185" s="233">
        <f>VLOOKUP(tabParametros[[#Headers],[SESI OU SESC]],tabImpostosNacionais[],2,0)</f>
        <v>1.4999999999999999E-2</v>
      </c>
      <c r="S185" s="233">
        <f>VLOOKUP(tabParametros[[#Headers],[SENAI OU SENAC]],tabImpostosNacionais[],2,0)</f>
        <v>0.01</v>
      </c>
      <c r="T185" s="233">
        <f>VLOOKUP(tabParametros[[#Headers],[INCRA]],tabImpostosNacionais[],2,0)</f>
        <v>2E-3</v>
      </c>
      <c r="U185" s="233">
        <f>VLOOKUP(tabParametros[[#Headers],[Salário Educação]],tabImpostosNacionais[],2,0)</f>
        <v>2.5000000000000001E-2</v>
      </c>
      <c r="V185" s="233">
        <f>VLOOKUP(tabParametros[[#Headers],[FGTS]],tabImpostosNacionais[],2,0)</f>
        <v>0.08</v>
      </c>
      <c r="W185" s="233">
        <f>VLOOKUP(tabParametros[[#Headers],[RAT Ajustado]],tabImpostosNacionais[],2,0)</f>
        <v>0.04</v>
      </c>
      <c r="X185" s="233">
        <f>VLOOKUP(tabParametros[[#Headers],[SEBRAE]],tabImpostosNacionais[],2,0)</f>
        <v>6.0000000000000001E-3</v>
      </c>
      <c r="Y185" s="233">
        <f t="shared" si="22"/>
        <v>8.3333333333333329E-2</v>
      </c>
      <c r="Z185" s="233">
        <f t="shared" si="23"/>
        <v>0.1111111111111111</v>
      </c>
      <c r="AA185" s="232">
        <f>VLOOKUP(tabParametros[[#This Row],[Comarca]],tabComarca[],5,0)</f>
        <v>6.4</v>
      </c>
      <c r="AB185" s="232">
        <f>VLOOKUP(tabParametros[[#This Row],[CCT DA CATEGORIA]],tabSindicatos[],6,0)</f>
        <v>0</v>
      </c>
      <c r="AC185" s="232">
        <f>VLOOKUP(tabParametros[[#This Row],[CCT DA CATEGORIA]],tabSindicatos[],7,0)</f>
        <v>387.79</v>
      </c>
      <c r="AD185" s="232" cm="1">
        <f t="array" ref="AD18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185" s="232">
        <f>VLOOKUP(tabParametros[[#This Row],[CCT DA CATEGORIA]],tabSindicatos[],9,0)</f>
        <v>0</v>
      </c>
      <c r="AF185" s="232">
        <f>VLOOKUP(tabParametros[[#This Row],[CCT DA CATEGORIA]],tabSindicatos[],10,0)</f>
        <v>0</v>
      </c>
      <c r="AG185" s="234">
        <f>VLOOKUP(tabParametros[[#Headers],[Seguro de Vida]],tabOutrosCustos[],3,0)</f>
        <v>3.36</v>
      </c>
      <c r="AH185" s="234">
        <f>IF(ISNUMBER(SEARCH("MOTORISTA",tabParametros[[#This Row],[Função]],1)),VLOOKUP("MOTORISTAS",tabDiarias[],2,0),IF(tabParametros[[#This Row],[Comarca]]="Belo Horizonte",VLOOKUP("APOIO",tabDiarias[],2,0),0))</f>
        <v>0</v>
      </c>
      <c r="AI185" s="233">
        <f t="shared" si="24"/>
        <v>7.011766975308642E-3</v>
      </c>
      <c r="AJ185" s="235">
        <f>tabParametros[[#This Row],[FGTS]]*tabParametros[[#This Row],[Aviso Prévio Indenizado (API) e Reflexo do Aviso Prévio Indenizado]]</f>
        <v>5.609413580246914E-4</v>
      </c>
      <c r="AK185" s="235">
        <f>tabParametros[[#This Row],[FGTS]]*tabParametros[[#This Row],[Aviso Prévio Indenizado (API) e Reflexo do Aviso Prévio Indenizado]]*40%</f>
        <v>2.2437654320987658E-4</v>
      </c>
      <c r="AL185" s="233">
        <f t="shared" si="25"/>
        <v>3.5000000000000005E-3</v>
      </c>
      <c r="AM185" s="233">
        <f>tabParametros[[#This Row],[Aviso Prévio Trabalhado - APT]]*SUM(tabParametros[[#This Row],[INSS]:[SEBRAE]])</f>
        <v>1.3230000000000004E-3</v>
      </c>
      <c r="AN185" s="233">
        <f t="shared" si="26"/>
        <v>3.0577777777777773E-2</v>
      </c>
      <c r="AO185" s="233">
        <f t="shared" si="27"/>
        <v>8.3333333333333339E-4</v>
      </c>
      <c r="AP185" s="233">
        <f t="shared" si="28"/>
        <v>8.4444444444444437E-3</v>
      </c>
      <c r="AQ185" s="233">
        <f t="shared" si="29"/>
        <v>2.0277777777777777E-3</v>
      </c>
      <c r="AR185" s="233">
        <f t="shared" si="30"/>
        <v>1.7083333333333333E-4</v>
      </c>
      <c r="AS185" s="233">
        <f t="shared" si="31"/>
        <v>2.0833333333333335E-4</v>
      </c>
      <c r="AT185" s="233">
        <f t="shared" si="32"/>
        <v>1.2962962962962963E-3</v>
      </c>
      <c r="AU185" s="235">
        <f>SUM(tabParametros[[#This Row],[Ausência por Doença]:[Férias, Adicional de Férias e 13º  com empregada em gozo de Licença Maternidade]])*SUM(tabParametros[[#This Row],[INSS]:[SEBRAE]])</f>
        <v>4.5918250000000008E-3</v>
      </c>
      <c r="AV185"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185" s="232">
        <f>IF(tabParametros[[#This Row],[Vagas contratadas]]&gt;0,(SUM(tabParametros[[#This Row],[Salário Base]:[Adicional de Acúmulo de função]])*30%+SUM(tabParametros[[#This Row],[Vale - Alimentação]:[Seguro de Vida]]))/tabParametros[[#This Row],[Vagas contratadas]]*tabParametros[[#This Row],[Vagas suspensas]],0)</f>
        <v>0</v>
      </c>
      <c r="AX185" s="232">
        <f>SUMIF(tabUniformes[Cargo],tabParametros[[#This Row],[Função]],tabUniformes[Valor unit. Mensal])</f>
        <v>56.642978962543395</v>
      </c>
      <c r="AY18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5" s="232">
        <v>0</v>
      </c>
      <c r="BC185" s="234" t="e">
        <f ca="1">VLOOKUP(tabParametros[[#Headers],[Custos Indiretos]],tabOutrosCustos[],3,0)</f>
        <v>#NAME?</v>
      </c>
      <c r="BD185" s="234" t="e">
        <f ca="1">VLOOKUP(tabParametros[[#Headers],[Lucro]],tabOutrosCustos[],3,0)</f>
        <v>#NAME?</v>
      </c>
      <c r="BE185" s="233">
        <f>VLOOKUP(tabParametros[[#Headers],[COFINS]],tabImpostosNacionais[],2,0)</f>
        <v>7.5999999999999998E-2</v>
      </c>
      <c r="BF185" s="233">
        <f>VLOOKUP(tabParametros[[#Headers],[PIS]],tabImpostosNacionais[],2,0)</f>
        <v>1.6500000000000001E-2</v>
      </c>
      <c r="BG185" s="233">
        <f>VLOOKUP(tabParametros[[#This Row],[Comarca]],tabComarca[],4,0)</f>
        <v>0.04</v>
      </c>
      <c r="BH185" s="236">
        <f>VLOOKUP(tabParametros[[#This Row],[CCT DA CATEGORIA]],tabSindicatos[],11,0)</f>
        <v>45658</v>
      </c>
      <c r="BI185" s="282" t="str">
        <f>VLOOKUP(tabParametros[[#This Row],[CCT DA CATEGORIA]],tabSindicatos[],12,0)</f>
        <v>-</v>
      </c>
      <c r="BJ185" s="285" t="str">
        <f>VLOOKUP(tabParametros[[#This Row],[CCT DA CATEGORIA]],tabSindicatos[],13,0)</f>
        <v>-</v>
      </c>
    </row>
    <row r="186" spans="1:62">
      <c r="A186" s="231" t="s">
        <v>1485</v>
      </c>
      <c r="B186" s="197" t="s">
        <v>1153</v>
      </c>
      <c r="C186" s="197" t="s">
        <v>200</v>
      </c>
      <c r="D186" s="197" t="str">
        <f>VLOOKUP(tabParametros[[#This Row],[Código do Posto]],tabPostos[],4,0)</f>
        <v>Alto Paranaiba</v>
      </c>
      <c r="E186" s="282" t="str">
        <f>VLOOKUP(tabParametros[[#This Row],[Código do Posto]],tabPostos[],5,0)</f>
        <v>Apoio</v>
      </c>
      <c r="F186" s="282" t="str">
        <f>VLOOKUP(tabParametros[[#This Row],[Código do Posto]],tabPostos[],6,0)</f>
        <v>PGJ</v>
      </c>
      <c r="G186" s="282">
        <f>VLOOKUP(tabParametros[[#This Row],[Código do Posto]],tabPostos[],7,0)</f>
        <v>1</v>
      </c>
      <c r="H186" s="282">
        <f>VLOOKUP(tabParametros[[#This Row],[Código do Posto]],tabPostos[],8,0)</f>
        <v>0</v>
      </c>
      <c r="I186" s="232">
        <f>VLOOKUP(tabParametros[[#This Row],[Código do Posto]],tabPostos[],9,0)</f>
        <v>1596.273808921236</v>
      </c>
      <c r="J186" s="232">
        <f>IF(ISNUMBER(SEARCH("Eletricista",tabParametros[[#This Row],[Função]],1)),0.3*tabParametros[[#This Row],[Salário Base]],0)</f>
        <v>0</v>
      </c>
      <c r="K18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6" s="232">
        <f>IF(AND(ISNUMBER(SEARCH("Noturno",tabParametros[[#This Row],[Função]],1)),tabParametros[[#This Row],[Comarca]]&lt;&gt;"Juiz de Fora"),tabParametros[[#This Row],[Salário Base]]/210*0.39*7*15.5,IF(ISNUMBER(SEARCH("Noturno",tabParametros[[#This Row],[Função]],1)),tabParametros[[#This Row],[Salário Base]]/210*0.2*8*15.5,0))</f>
        <v>0</v>
      </c>
      <c r="M186" s="232">
        <f>IF(ISNUMBER(SEARCH("Motorista II",tabParametros[[#This Row],[Função]],1)),0.3022*tabParametros[[#This Row],[Salário Base]],0)</f>
        <v>0</v>
      </c>
      <c r="N186" s="254">
        <v>0</v>
      </c>
      <c r="O186" s="254">
        <f>IF(ISNUMBER(SEARCH("TECNOLOGIA DA INFORMACAO",tabParametros[[#This Row],[Função]],1)),0.056*tabParametros[[#This Row],[Salário Base]],0)</f>
        <v>0</v>
      </c>
      <c r="P186" s="232">
        <f>IF(tabParametros[[#This Row],[Função]]="Operador de Midia Audiovisual - 150 h",tabParametros[[#This Row],[Salário Base]]/150*50*30%,IF(tabParametros[[#This Row],[Função]]="Supervisor de Manutencao de Veiculos II - 220 h",12%*tabParametros[[#This Row],[Salário Base]],0))</f>
        <v>0</v>
      </c>
      <c r="Q186" s="233">
        <f>VLOOKUP(tabParametros[[#Headers],[INSS]],tabImpostosNacionais[],2,0)</f>
        <v>0.2</v>
      </c>
      <c r="R186" s="233">
        <f>VLOOKUP(tabParametros[[#Headers],[SESI OU SESC]],tabImpostosNacionais[],2,0)</f>
        <v>1.4999999999999999E-2</v>
      </c>
      <c r="S186" s="233">
        <f>VLOOKUP(tabParametros[[#Headers],[SENAI OU SENAC]],tabImpostosNacionais[],2,0)</f>
        <v>0.01</v>
      </c>
      <c r="T186" s="233">
        <f>VLOOKUP(tabParametros[[#Headers],[INCRA]],tabImpostosNacionais[],2,0)</f>
        <v>2E-3</v>
      </c>
      <c r="U186" s="233">
        <f>VLOOKUP(tabParametros[[#Headers],[Salário Educação]],tabImpostosNacionais[],2,0)</f>
        <v>2.5000000000000001E-2</v>
      </c>
      <c r="V186" s="233">
        <f>VLOOKUP(tabParametros[[#Headers],[FGTS]],tabImpostosNacionais[],2,0)</f>
        <v>0.08</v>
      </c>
      <c r="W186" s="233">
        <f>VLOOKUP(tabParametros[[#Headers],[RAT Ajustado]],tabImpostosNacionais[],2,0)</f>
        <v>0.04</v>
      </c>
      <c r="X186" s="233">
        <f>VLOOKUP(tabParametros[[#Headers],[SEBRAE]],tabImpostosNacionais[],2,0)</f>
        <v>6.0000000000000001E-3</v>
      </c>
      <c r="Y186" s="233">
        <f t="shared" si="22"/>
        <v>8.3333333333333329E-2</v>
      </c>
      <c r="Z186" s="233">
        <f t="shared" si="23"/>
        <v>0.1111111111111111</v>
      </c>
      <c r="AA186" s="232">
        <f>VLOOKUP(tabParametros[[#This Row],[Comarca]],tabComarca[],5,0)</f>
        <v>6.4</v>
      </c>
      <c r="AB186" s="232">
        <f>VLOOKUP(tabParametros[[#This Row],[CCT DA CATEGORIA]],tabSindicatos[],6,0)</f>
        <v>0</v>
      </c>
      <c r="AC186" s="232">
        <f>VLOOKUP(tabParametros[[#This Row],[CCT DA CATEGORIA]],tabSindicatos[],7,0)</f>
        <v>387.79</v>
      </c>
      <c r="AD186" s="232" cm="1">
        <f t="array" ref="AD18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186" s="232">
        <f>VLOOKUP(tabParametros[[#This Row],[CCT DA CATEGORIA]],tabSindicatos[],9,0)</f>
        <v>0</v>
      </c>
      <c r="AF186" s="232">
        <f>VLOOKUP(tabParametros[[#This Row],[CCT DA CATEGORIA]],tabSindicatos[],10,0)</f>
        <v>0</v>
      </c>
      <c r="AG186" s="234">
        <f>VLOOKUP(tabParametros[[#Headers],[Seguro de Vida]],tabOutrosCustos[],3,0)</f>
        <v>3.36</v>
      </c>
      <c r="AH186" s="234">
        <f>IF(ISNUMBER(SEARCH("MOTORISTA",tabParametros[[#This Row],[Função]],1)),VLOOKUP("MOTORISTAS",tabDiarias[],2,0),IF(tabParametros[[#This Row],[Comarca]]="Belo Horizonte",VLOOKUP("APOIO",tabDiarias[],2,0),0))</f>
        <v>0</v>
      </c>
      <c r="AI186" s="233">
        <f t="shared" si="24"/>
        <v>7.011766975308642E-3</v>
      </c>
      <c r="AJ186" s="235">
        <f>tabParametros[[#This Row],[FGTS]]*tabParametros[[#This Row],[Aviso Prévio Indenizado (API) e Reflexo do Aviso Prévio Indenizado]]</f>
        <v>5.609413580246914E-4</v>
      </c>
      <c r="AK186" s="235">
        <f>tabParametros[[#This Row],[FGTS]]*tabParametros[[#This Row],[Aviso Prévio Indenizado (API) e Reflexo do Aviso Prévio Indenizado]]*40%</f>
        <v>2.2437654320987658E-4</v>
      </c>
      <c r="AL186" s="233">
        <f t="shared" si="25"/>
        <v>3.5000000000000005E-3</v>
      </c>
      <c r="AM186" s="233">
        <f>tabParametros[[#This Row],[Aviso Prévio Trabalhado - APT]]*SUM(tabParametros[[#This Row],[INSS]:[SEBRAE]])</f>
        <v>1.3230000000000004E-3</v>
      </c>
      <c r="AN186" s="233">
        <f t="shared" si="26"/>
        <v>3.0577777777777773E-2</v>
      </c>
      <c r="AO186" s="233">
        <f t="shared" si="27"/>
        <v>8.3333333333333339E-4</v>
      </c>
      <c r="AP186" s="233">
        <f t="shared" si="28"/>
        <v>8.4444444444444437E-3</v>
      </c>
      <c r="AQ186" s="233">
        <f t="shared" si="29"/>
        <v>2.0277777777777777E-3</v>
      </c>
      <c r="AR186" s="233">
        <f t="shared" si="30"/>
        <v>1.7083333333333333E-4</v>
      </c>
      <c r="AS186" s="233">
        <f t="shared" si="31"/>
        <v>2.0833333333333335E-4</v>
      </c>
      <c r="AT186" s="233">
        <f t="shared" si="32"/>
        <v>1.2962962962962963E-3</v>
      </c>
      <c r="AU186" s="235">
        <f>SUM(tabParametros[[#This Row],[Ausência por Doença]:[Férias, Adicional de Férias e 13º  com empregada em gozo de Licença Maternidade]])*SUM(tabParametros[[#This Row],[INSS]:[SEBRAE]])</f>
        <v>4.5918250000000008E-3</v>
      </c>
      <c r="AV186" s="254">
        <f>IF(tabParametros[[#This Row],[Função]]="Porteiro - 220 h",SUM(tabParametros[[#This Row],[Salário Base]:[Adicional de Acúmulo de função]])/220*20*1.5,IF(ISNUMBER(SEARCH("12 x 36",tabParametros[[#This Row],[Função]],1)),SUM(tabParametros[[#This Row],[Salário Base]:[Adicional de Acúmulo de função]])/210*15.5*1.5,0))</f>
        <v>0</v>
      </c>
      <c r="AW186" s="232">
        <f>IF(tabParametros[[#This Row],[Vagas contratadas]]&gt;0,(SUM(tabParametros[[#This Row],[Salário Base]:[Adicional de Acúmulo de função]])*30%+SUM(tabParametros[[#This Row],[Vale - Alimentação]:[Seguro de Vida]]))/tabParametros[[#This Row],[Vagas contratadas]]*tabParametros[[#This Row],[Vagas suspensas]],0)</f>
        <v>0</v>
      </c>
      <c r="AX186" s="232">
        <f>SUMIF(tabUniformes[Cargo],tabParametros[[#This Row],[Função]],tabUniformes[Valor unit. Mensal])</f>
        <v>56.141713661989918</v>
      </c>
      <c r="AY18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6" s="232">
        <v>0</v>
      </c>
      <c r="BC186" s="234" t="e">
        <f ca="1">VLOOKUP(tabParametros[[#Headers],[Custos Indiretos]],tabOutrosCustos[],3,0)</f>
        <v>#NAME?</v>
      </c>
      <c r="BD186" s="234" t="e">
        <f ca="1">VLOOKUP(tabParametros[[#Headers],[Lucro]],tabOutrosCustos[],3,0)</f>
        <v>#NAME?</v>
      </c>
      <c r="BE186" s="233">
        <f>VLOOKUP(tabParametros[[#Headers],[COFINS]],tabImpostosNacionais[],2,0)</f>
        <v>7.5999999999999998E-2</v>
      </c>
      <c r="BF186" s="233">
        <f>VLOOKUP(tabParametros[[#Headers],[PIS]],tabImpostosNacionais[],2,0)</f>
        <v>1.6500000000000001E-2</v>
      </c>
      <c r="BG186" s="233">
        <f>VLOOKUP(tabParametros[[#This Row],[Comarca]],tabComarca[],4,0)</f>
        <v>0.03</v>
      </c>
      <c r="BH186" s="236">
        <f>VLOOKUP(tabParametros[[#This Row],[CCT DA CATEGORIA]],tabSindicatos[],11,0)</f>
        <v>45658</v>
      </c>
      <c r="BI186" s="282" t="str">
        <f>VLOOKUP(tabParametros[[#This Row],[CCT DA CATEGORIA]],tabSindicatos[],12,0)</f>
        <v>-</v>
      </c>
      <c r="BJ186" s="285" t="str">
        <f>VLOOKUP(tabParametros[[#This Row],[CCT DA CATEGORIA]],tabSindicatos[],13,0)</f>
        <v>-</v>
      </c>
    </row>
    <row r="187" spans="1:62">
      <c r="A187" s="231" t="s">
        <v>1627</v>
      </c>
      <c r="B187" s="197" t="s">
        <v>1153</v>
      </c>
      <c r="C187" s="197" t="s">
        <v>324</v>
      </c>
      <c r="D187" s="197" t="str">
        <f>VLOOKUP(tabParametros[[#This Row],[Código do Posto]],tabPostos[],4,0)</f>
        <v>Alto Paranaiba</v>
      </c>
      <c r="E187" s="282" t="str">
        <f>VLOOKUP(tabParametros[[#This Row],[Código do Posto]],tabPostos[],5,0)</f>
        <v>Apoio</v>
      </c>
      <c r="F187" s="282" t="str">
        <f>VLOOKUP(tabParametros[[#This Row],[Código do Posto]],tabPostos[],6,0)</f>
        <v>PGJ</v>
      </c>
      <c r="G187" s="282">
        <f>VLOOKUP(tabParametros[[#This Row],[Código do Posto]],tabPostos[],7,0)</f>
        <v>1</v>
      </c>
      <c r="H187" s="282">
        <f>VLOOKUP(tabParametros[[#This Row],[Código do Posto]],tabPostos[],8,0)</f>
        <v>0</v>
      </c>
      <c r="I187" s="232">
        <f>VLOOKUP(tabParametros[[#This Row],[Código do Posto]],tabPostos[],9,0)</f>
        <v>3397.1306016921476</v>
      </c>
      <c r="J187" s="232">
        <f>IF(ISNUMBER(SEARCH("Eletricista",tabParametros[[#This Row],[Função]],1)),0.3*tabParametros[[#This Row],[Salário Base]],0)</f>
        <v>0</v>
      </c>
      <c r="K18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7" s="232">
        <f>IF(AND(ISNUMBER(SEARCH("Noturno",tabParametros[[#This Row],[Função]],1)),tabParametros[[#This Row],[Comarca]]&lt;&gt;"Juiz de Fora"),tabParametros[[#This Row],[Salário Base]]/210*0.39*7*15.5,IF(ISNUMBER(SEARCH("Noturno",tabParametros[[#This Row],[Função]],1)),tabParametros[[#This Row],[Salário Base]]/210*0.2*8*15.5,0))</f>
        <v>0</v>
      </c>
      <c r="M187" s="232">
        <f>IF(ISNUMBER(SEARCH("Motorista II",tabParametros[[#This Row],[Função]],1)),0.3022*tabParametros[[#This Row],[Salário Base]],0)</f>
        <v>0</v>
      </c>
      <c r="N187" s="254">
        <v>0</v>
      </c>
      <c r="O187" s="254">
        <f>IF(ISNUMBER(SEARCH("TECNOLOGIA DA INFORMACAO",tabParametros[[#This Row],[Função]],1)),0.056*tabParametros[[#This Row],[Salário Base]],0)</f>
        <v>0</v>
      </c>
      <c r="P187" s="232">
        <f>IF(tabParametros[[#This Row],[Função]]="Operador de Midia Audiovisual - 150 h",tabParametros[[#This Row],[Salário Base]]/150*50*30%,IF(tabParametros[[#This Row],[Função]]="Supervisor de Manutencao de Veiculos II - 220 h",12%*tabParametros[[#This Row],[Salário Base]],0))</f>
        <v>0</v>
      </c>
      <c r="Q187" s="233">
        <f>VLOOKUP(tabParametros[[#Headers],[INSS]],tabImpostosNacionais[],2,0)</f>
        <v>0.2</v>
      </c>
      <c r="R187" s="233">
        <f>VLOOKUP(tabParametros[[#Headers],[SESI OU SESC]],tabImpostosNacionais[],2,0)</f>
        <v>1.4999999999999999E-2</v>
      </c>
      <c r="S187" s="233">
        <f>VLOOKUP(tabParametros[[#Headers],[SENAI OU SENAC]],tabImpostosNacionais[],2,0)</f>
        <v>0.01</v>
      </c>
      <c r="T187" s="233">
        <f>VLOOKUP(tabParametros[[#Headers],[INCRA]],tabImpostosNacionais[],2,0)</f>
        <v>2E-3</v>
      </c>
      <c r="U187" s="233">
        <f>VLOOKUP(tabParametros[[#Headers],[Salário Educação]],tabImpostosNacionais[],2,0)</f>
        <v>2.5000000000000001E-2</v>
      </c>
      <c r="V187" s="233">
        <f>VLOOKUP(tabParametros[[#Headers],[FGTS]],tabImpostosNacionais[],2,0)</f>
        <v>0.08</v>
      </c>
      <c r="W187" s="233">
        <f>VLOOKUP(tabParametros[[#Headers],[RAT Ajustado]],tabImpostosNacionais[],2,0)</f>
        <v>0.04</v>
      </c>
      <c r="X187" s="233">
        <f>VLOOKUP(tabParametros[[#Headers],[SEBRAE]],tabImpostosNacionais[],2,0)</f>
        <v>6.0000000000000001E-3</v>
      </c>
      <c r="Y187" s="233">
        <f t="shared" si="22"/>
        <v>8.3333333333333329E-2</v>
      </c>
      <c r="Z187" s="233">
        <f t="shared" si="23"/>
        <v>0.1111111111111111</v>
      </c>
      <c r="AA187" s="232">
        <f>VLOOKUP(tabParametros[[#This Row],[Comarca]],tabComarca[],5,0)</f>
        <v>6.4</v>
      </c>
      <c r="AB187" s="232">
        <f>VLOOKUP(tabParametros[[#This Row],[CCT DA CATEGORIA]],tabSindicatos[],6,0)</f>
        <v>0</v>
      </c>
      <c r="AC187" s="232">
        <f>VLOOKUP(tabParametros[[#This Row],[CCT DA CATEGORIA]],tabSindicatos[],7,0)</f>
        <v>387.79</v>
      </c>
      <c r="AD187" s="232" cm="1">
        <f t="array" ref="AD18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187" s="232">
        <f>VLOOKUP(tabParametros[[#This Row],[CCT DA CATEGORIA]],tabSindicatos[],9,0)</f>
        <v>0</v>
      </c>
      <c r="AF187" s="232">
        <f>VLOOKUP(tabParametros[[#This Row],[CCT DA CATEGORIA]],tabSindicatos[],10,0)</f>
        <v>0</v>
      </c>
      <c r="AG187" s="234">
        <f>VLOOKUP(tabParametros[[#Headers],[Seguro de Vida]],tabOutrosCustos[],3,0)</f>
        <v>3.36</v>
      </c>
      <c r="AH187" s="234">
        <f>IF(ISNUMBER(SEARCH("MOTORISTA",tabParametros[[#This Row],[Função]],1)),VLOOKUP("MOTORISTAS",tabDiarias[],2,0),IF(tabParametros[[#This Row],[Comarca]]="Belo Horizonte",VLOOKUP("APOIO",tabDiarias[],2,0),0))</f>
        <v>0</v>
      </c>
      <c r="AI187" s="233">
        <f t="shared" si="24"/>
        <v>7.011766975308642E-3</v>
      </c>
      <c r="AJ187" s="235">
        <f>tabParametros[[#This Row],[FGTS]]*tabParametros[[#This Row],[Aviso Prévio Indenizado (API) e Reflexo do Aviso Prévio Indenizado]]</f>
        <v>5.609413580246914E-4</v>
      </c>
      <c r="AK187" s="235">
        <f>tabParametros[[#This Row],[FGTS]]*tabParametros[[#This Row],[Aviso Prévio Indenizado (API) e Reflexo do Aviso Prévio Indenizado]]*40%</f>
        <v>2.2437654320987658E-4</v>
      </c>
      <c r="AL187" s="233">
        <f t="shared" si="25"/>
        <v>3.5000000000000005E-3</v>
      </c>
      <c r="AM187" s="233">
        <f>tabParametros[[#This Row],[Aviso Prévio Trabalhado - APT]]*SUM(tabParametros[[#This Row],[INSS]:[SEBRAE]])</f>
        <v>1.3230000000000004E-3</v>
      </c>
      <c r="AN187" s="233">
        <f t="shared" si="26"/>
        <v>3.0577777777777773E-2</v>
      </c>
      <c r="AO187" s="233">
        <f t="shared" si="27"/>
        <v>8.3333333333333339E-4</v>
      </c>
      <c r="AP187" s="233">
        <f t="shared" si="28"/>
        <v>8.4444444444444437E-3</v>
      </c>
      <c r="AQ187" s="233">
        <f t="shared" si="29"/>
        <v>2.0277777777777777E-3</v>
      </c>
      <c r="AR187" s="233">
        <f t="shared" si="30"/>
        <v>1.7083333333333333E-4</v>
      </c>
      <c r="AS187" s="233">
        <f t="shared" si="31"/>
        <v>2.0833333333333335E-4</v>
      </c>
      <c r="AT187" s="233">
        <f t="shared" si="32"/>
        <v>1.2962962962962963E-3</v>
      </c>
      <c r="AU187" s="235">
        <f>SUM(tabParametros[[#This Row],[Ausência por Doença]:[Férias, Adicional de Férias e 13º  com empregada em gozo de Licença Maternidade]])*SUM(tabParametros[[#This Row],[INSS]:[SEBRAE]])</f>
        <v>4.5918250000000008E-3</v>
      </c>
      <c r="AV187" s="254">
        <f>IF(tabParametros[[#This Row],[Função]]="Porteiro - 220 h",SUM(tabParametros[[#This Row],[Salário Base]:[Adicional de Acúmulo de função]])/220*20*1.5,IF(ISNUMBER(SEARCH("12 x 36",tabParametros[[#This Row],[Função]],1)),SUM(tabParametros[[#This Row],[Salário Base]:[Adicional de Acúmulo de função]])/210*15.5*1.5,0))</f>
        <v>0</v>
      </c>
      <c r="AW187" s="232">
        <f>IF(tabParametros[[#This Row],[Vagas contratadas]]&gt;0,(SUM(tabParametros[[#This Row],[Salário Base]:[Adicional de Acúmulo de função]])*30%+SUM(tabParametros[[#This Row],[Vale - Alimentação]:[Seguro de Vida]]))/tabParametros[[#This Row],[Vagas contratadas]]*tabParametros[[#This Row],[Vagas suspensas]],0)</f>
        <v>0</v>
      </c>
      <c r="AX187" s="232">
        <f>SUMIF(tabUniformes[Cargo],tabParametros[[#This Row],[Função]],tabUniformes[Valor unit. Mensal])</f>
        <v>56.642978962543395</v>
      </c>
      <c r="AY18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7" s="232">
        <v>0</v>
      </c>
      <c r="BC187" s="234" t="e">
        <f ca="1">VLOOKUP(tabParametros[[#Headers],[Custos Indiretos]],tabOutrosCustos[],3,0)</f>
        <v>#NAME?</v>
      </c>
      <c r="BD187" s="234" t="e">
        <f ca="1">VLOOKUP(tabParametros[[#Headers],[Lucro]],tabOutrosCustos[],3,0)</f>
        <v>#NAME?</v>
      </c>
      <c r="BE187" s="233">
        <f>VLOOKUP(tabParametros[[#Headers],[COFINS]],tabImpostosNacionais[],2,0)</f>
        <v>7.5999999999999998E-2</v>
      </c>
      <c r="BF187" s="233">
        <f>VLOOKUP(tabParametros[[#Headers],[PIS]],tabImpostosNacionais[],2,0)</f>
        <v>1.6500000000000001E-2</v>
      </c>
      <c r="BG187" s="233">
        <f>VLOOKUP(tabParametros[[#This Row],[Comarca]],tabComarca[],4,0)</f>
        <v>0.03</v>
      </c>
      <c r="BH187" s="236">
        <f>VLOOKUP(tabParametros[[#This Row],[CCT DA CATEGORIA]],tabSindicatos[],11,0)</f>
        <v>45658</v>
      </c>
      <c r="BI187" s="282" t="str">
        <f>VLOOKUP(tabParametros[[#This Row],[CCT DA CATEGORIA]],tabSindicatos[],12,0)</f>
        <v>-</v>
      </c>
      <c r="BJ187" s="285" t="str">
        <f>VLOOKUP(tabParametros[[#This Row],[CCT DA CATEGORIA]],tabSindicatos[],13,0)</f>
        <v>-</v>
      </c>
    </row>
    <row r="188" spans="1:62">
      <c r="A188" s="231" t="s">
        <v>1628</v>
      </c>
      <c r="B188" s="197" t="s">
        <v>1154</v>
      </c>
      <c r="C188" s="197" t="s">
        <v>314</v>
      </c>
      <c r="D188" s="197" t="str">
        <f>VLOOKUP(tabParametros[[#This Row],[Código do Posto]],tabPostos[],4,0)</f>
        <v>Fethemg Interior</v>
      </c>
      <c r="E188" s="282" t="str">
        <f>VLOOKUP(tabParametros[[#This Row],[Código do Posto]],tabPostos[],5,0)</f>
        <v>Apoio</v>
      </c>
      <c r="F188" s="282" t="str">
        <f>VLOOKUP(tabParametros[[#This Row],[Código do Posto]],tabPostos[],6,0)</f>
        <v>PGJ</v>
      </c>
      <c r="G188" s="282">
        <f>VLOOKUP(tabParametros[[#This Row],[Código do Posto]],tabPostos[],7,0)</f>
        <v>1</v>
      </c>
      <c r="H188" s="282">
        <f>VLOOKUP(tabParametros[[#This Row],[Código do Posto]],tabPostos[],8,0)</f>
        <v>0</v>
      </c>
      <c r="I188" s="232">
        <f>VLOOKUP(tabParametros[[#This Row],[Código do Posto]],tabPostos[],9,0)</f>
        <v>1963.4110092077037</v>
      </c>
      <c r="J188" s="232">
        <f>IF(ISNUMBER(SEARCH("Eletricista",tabParametros[[#This Row],[Função]],1)),0.3*tabParametros[[#This Row],[Salário Base]],0)</f>
        <v>0</v>
      </c>
      <c r="K18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8" s="232">
        <f>IF(AND(ISNUMBER(SEARCH("Noturno",tabParametros[[#This Row],[Função]],1)),tabParametros[[#This Row],[Comarca]]&lt;&gt;"Juiz de Fora"),tabParametros[[#This Row],[Salário Base]]/210*0.39*7*15.5,IF(ISNUMBER(SEARCH("Noturno",tabParametros[[#This Row],[Função]],1)),tabParametros[[#This Row],[Salário Base]]/210*0.2*8*15.5,0))</f>
        <v>0</v>
      </c>
      <c r="M188" s="232">
        <f>IF(ISNUMBER(SEARCH("Motorista II",tabParametros[[#This Row],[Função]],1)),0.3022*tabParametros[[#This Row],[Salário Base]],0)</f>
        <v>0</v>
      </c>
      <c r="N188" s="254">
        <v>0</v>
      </c>
      <c r="O188" s="254">
        <f>IF(ISNUMBER(SEARCH("TECNOLOGIA DA INFORMACAO",tabParametros[[#This Row],[Função]],1)),0.056*tabParametros[[#This Row],[Salário Base]],0)</f>
        <v>0</v>
      </c>
      <c r="P188" s="232">
        <f>IF(tabParametros[[#This Row],[Função]]="Operador de Midia Audiovisual - 150 h",tabParametros[[#This Row],[Salário Base]]/150*50*30%,IF(tabParametros[[#This Row],[Função]]="Supervisor de Manutencao de Veiculos II - 220 h",12%*tabParametros[[#This Row],[Salário Base]],0))</f>
        <v>0</v>
      </c>
      <c r="Q188" s="233">
        <f>VLOOKUP(tabParametros[[#Headers],[INSS]],tabImpostosNacionais[],2,0)</f>
        <v>0.2</v>
      </c>
      <c r="R188" s="233">
        <f>VLOOKUP(tabParametros[[#Headers],[SESI OU SESC]],tabImpostosNacionais[],2,0)</f>
        <v>1.4999999999999999E-2</v>
      </c>
      <c r="S188" s="233">
        <f>VLOOKUP(tabParametros[[#Headers],[SENAI OU SENAC]],tabImpostosNacionais[],2,0)</f>
        <v>0.01</v>
      </c>
      <c r="T188" s="233">
        <f>VLOOKUP(tabParametros[[#Headers],[INCRA]],tabImpostosNacionais[],2,0)</f>
        <v>2E-3</v>
      </c>
      <c r="U188" s="233">
        <f>VLOOKUP(tabParametros[[#Headers],[Salário Educação]],tabImpostosNacionais[],2,0)</f>
        <v>2.5000000000000001E-2</v>
      </c>
      <c r="V188" s="233">
        <f>VLOOKUP(tabParametros[[#Headers],[FGTS]],tabImpostosNacionais[],2,0)</f>
        <v>0.08</v>
      </c>
      <c r="W188" s="233">
        <f>VLOOKUP(tabParametros[[#Headers],[RAT Ajustado]],tabImpostosNacionais[],2,0)</f>
        <v>0.04</v>
      </c>
      <c r="X188" s="233">
        <f>VLOOKUP(tabParametros[[#Headers],[SEBRAE]],tabImpostosNacionais[],2,0)</f>
        <v>6.0000000000000001E-3</v>
      </c>
      <c r="Y188" s="233">
        <f t="shared" si="22"/>
        <v>8.3333333333333329E-2</v>
      </c>
      <c r="Z188" s="233">
        <f t="shared" si="23"/>
        <v>0.1111111111111111</v>
      </c>
      <c r="AA188" s="232">
        <f>VLOOKUP(tabParametros[[#This Row],[Comarca]],tabComarca[],5,0)</f>
        <v>6.4</v>
      </c>
      <c r="AB188" s="232">
        <f>VLOOKUP(tabParametros[[#This Row],[CCT DA CATEGORIA]],tabSindicatos[],6,0)</f>
        <v>29.15</v>
      </c>
      <c r="AC188" s="232">
        <f>VLOOKUP(tabParametros[[#This Row],[CCT DA CATEGORIA]],tabSindicatos[],7,0)</f>
        <v>0</v>
      </c>
      <c r="AD188" s="232" cm="1">
        <f t="array" ref="AD18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88" s="232">
        <f>VLOOKUP(tabParametros[[#This Row],[CCT DA CATEGORIA]],tabSindicatos[],9,0)</f>
        <v>15.07</v>
      </c>
      <c r="AF188" s="232">
        <f>VLOOKUP(tabParametros[[#This Row],[CCT DA CATEGORIA]],tabSindicatos[],10,0)</f>
        <v>0</v>
      </c>
      <c r="AG188" s="234">
        <f>VLOOKUP(tabParametros[[#Headers],[Seguro de Vida]],tabOutrosCustos[],3,0)</f>
        <v>3.36</v>
      </c>
      <c r="AH188" s="234">
        <f>IF(ISNUMBER(SEARCH("MOTORISTA",tabParametros[[#This Row],[Função]],1)),VLOOKUP("MOTORISTAS",tabDiarias[],2,0),IF(tabParametros[[#This Row],[Comarca]]="Belo Horizonte",VLOOKUP("APOIO",tabDiarias[],2,0),0))</f>
        <v>0</v>
      </c>
      <c r="AI188" s="233">
        <f t="shared" si="24"/>
        <v>7.011766975308642E-3</v>
      </c>
      <c r="AJ188" s="235">
        <f>tabParametros[[#This Row],[FGTS]]*tabParametros[[#This Row],[Aviso Prévio Indenizado (API) e Reflexo do Aviso Prévio Indenizado]]</f>
        <v>5.609413580246914E-4</v>
      </c>
      <c r="AK188" s="235">
        <f>tabParametros[[#This Row],[FGTS]]*tabParametros[[#This Row],[Aviso Prévio Indenizado (API) e Reflexo do Aviso Prévio Indenizado]]*40%</f>
        <v>2.2437654320987658E-4</v>
      </c>
      <c r="AL188" s="233">
        <f t="shared" si="25"/>
        <v>3.5000000000000005E-3</v>
      </c>
      <c r="AM188" s="233">
        <f>tabParametros[[#This Row],[Aviso Prévio Trabalhado - APT]]*SUM(tabParametros[[#This Row],[INSS]:[SEBRAE]])</f>
        <v>1.3230000000000004E-3</v>
      </c>
      <c r="AN188" s="233">
        <f t="shared" si="26"/>
        <v>3.0577777777777773E-2</v>
      </c>
      <c r="AO188" s="233">
        <f t="shared" si="27"/>
        <v>8.3333333333333339E-4</v>
      </c>
      <c r="AP188" s="233">
        <f t="shared" si="28"/>
        <v>8.4444444444444437E-3</v>
      </c>
      <c r="AQ188" s="233">
        <f t="shared" si="29"/>
        <v>2.0277777777777777E-3</v>
      </c>
      <c r="AR188" s="233">
        <f t="shared" si="30"/>
        <v>1.7083333333333333E-4</v>
      </c>
      <c r="AS188" s="233">
        <f t="shared" si="31"/>
        <v>2.0833333333333335E-4</v>
      </c>
      <c r="AT188" s="233">
        <f t="shared" si="32"/>
        <v>1.2962962962962963E-3</v>
      </c>
      <c r="AU188" s="235">
        <f>SUM(tabParametros[[#This Row],[Ausência por Doença]:[Férias, Adicional de Férias e 13º  com empregada em gozo de Licença Maternidade]])*SUM(tabParametros[[#This Row],[INSS]:[SEBRAE]])</f>
        <v>4.5918250000000008E-3</v>
      </c>
      <c r="AV188"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88" s="232">
        <f>IF(tabParametros[[#This Row],[Vagas contratadas]]&gt;0,(SUM(tabParametros[[#This Row],[Salário Base]:[Adicional de Acúmulo de função]])*30%+SUM(tabParametros[[#This Row],[Vale - Alimentação]:[Seguro de Vida]]))/tabParametros[[#This Row],[Vagas contratadas]]*tabParametros[[#This Row],[Vagas suspensas]],0)</f>
        <v>0</v>
      </c>
      <c r="AX188" s="232">
        <f>SUMIF(tabUniformes[Cargo],tabParametros[[#This Row],[Função]],tabUniformes[Valor unit. Mensal])</f>
        <v>56.642978962543395</v>
      </c>
      <c r="AY18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8" s="232">
        <v>0</v>
      </c>
      <c r="BC188" s="234" t="e">
        <f ca="1">VLOOKUP(tabParametros[[#Headers],[Custos Indiretos]],tabOutrosCustos[],3,0)</f>
        <v>#NAME?</v>
      </c>
      <c r="BD188" s="234" t="e">
        <f ca="1">VLOOKUP(tabParametros[[#Headers],[Lucro]],tabOutrosCustos[],3,0)</f>
        <v>#NAME?</v>
      </c>
      <c r="BE188" s="233">
        <f>VLOOKUP(tabParametros[[#Headers],[COFINS]],tabImpostosNacionais[],2,0)</f>
        <v>7.5999999999999998E-2</v>
      </c>
      <c r="BF188" s="233">
        <f>VLOOKUP(tabParametros[[#Headers],[PIS]],tabImpostosNacionais[],2,0)</f>
        <v>1.6500000000000001E-2</v>
      </c>
      <c r="BG188" s="233">
        <f>VLOOKUP(tabParametros[[#This Row],[Comarca]],tabComarca[],4,0)</f>
        <v>0.03</v>
      </c>
      <c r="BH188" s="236">
        <f>VLOOKUP(tabParametros[[#This Row],[CCT DA CATEGORIA]],tabSindicatos[],11,0)</f>
        <v>45658</v>
      </c>
      <c r="BI188" s="282" t="str">
        <f>VLOOKUP(tabParametros[[#This Row],[CCT DA CATEGORIA]],tabSindicatos[],12,0)</f>
        <v>-</v>
      </c>
      <c r="BJ188" s="285" t="str">
        <f>VLOOKUP(tabParametros[[#This Row],[CCT DA CATEGORIA]],tabSindicatos[],13,0)</f>
        <v>-</v>
      </c>
    </row>
    <row r="189" spans="1:62">
      <c r="A189" s="231" t="s">
        <v>1629</v>
      </c>
      <c r="B189" s="197" t="s">
        <v>1155</v>
      </c>
      <c r="C189" s="197" t="s">
        <v>319</v>
      </c>
      <c r="D189" s="197" t="str">
        <f>VLOOKUP(tabParametros[[#This Row],[Código do Posto]],tabPostos[],4,0)</f>
        <v>Fethemg Interior</v>
      </c>
      <c r="E189" s="282" t="str">
        <f>VLOOKUP(tabParametros[[#This Row],[Código do Posto]],tabPostos[],5,0)</f>
        <v>Apoio</v>
      </c>
      <c r="F189" s="282" t="str">
        <f>VLOOKUP(tabParametros[[#This Row],[Código do Posto]],tabPostos[],6,0)</f>
        <v>PGJ</v>
      </c>
      <c r="G189" s="282">
        <f>VLOOKUP(tabParametros[[#This Row],[Código do Posto]],tabPostos[],7,0)</f>
        <v>1</v>
      </c>
      <c r="H189" s="282">
        <f>VLOOKUP(tabParametros[[#This Row],[Código do Posto]],tabPostos[],8,0)</f>
        <v>0</v>
      </c>
      <c r="I189" s="232">
        <f>VLOOKUP(tabParametros[[#This Row],[Código do Posto]],tabPostos[],9,0)</f>
        <v>2316.2296840668359</v>
      </c>
      <c r="J189" s="232">
        <f>IF(ISNUMBER(SEARCH("Eletricista",tabParametros[[#This Row],[Função]],1)),0.3*tabParametros[[#This Row],[Salário Base]],0)</f>
        <v>0</v>
      </c>
      <c r="K18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89" s="232">
        <f>IF(AND(ISNUMBER(SEARCH("Noturno",tabParametros[[#This Row],[Função]],1)),tabParametros[[#This Row],[Comarca]]&lt;&gt;"Juiz de Fora"),tabParametros[[#This Row],[Salário Base]]/210*0.39*7*15.5,IF(ISNUMBER(SEARCH("Noturno",tabParametros[[#This Row],[Função]],1)),tabParametros[[#This Row],[Salário Base]]/210*0.2*8*15.5,0))</f>
        <v>0</v>
      </c>
      <c r="M189" s="232">
        <f>IF(ISNUMBER(SEARCH("Motorista II",tabParametros[[#This Row],[Função]],1)),0.3022*tabParametros[[#This Row],[Salário Base]],0)</f>
        <v>0</v>
      </c>
      <c r="N189" s="254">
        <v>0</v>
      </c>
      <c r="O189" s="254">
        <f>IF(ISNUMBER(SEARCH("TECNOLOGIA DA INFORMACAO",tabParametros[[#This Row],[Função]],1)),0.056*tabParametros[[#This Row],[Salário Base]],0)</f>
        <v>0</v>
      </c>
      <c r="P189" s="232">
        <f>IF(tabParametros[[#This Row],[Função]]="Operador de Midia Audiovisual - 150 h",tabParametros[[#This Row],[Salário Base]]/150*50*30%,IF(tabParametros[[#This Row],[Função]]="Supervisor de Manutencao de Veiculos II - 220 h",12%*tabParametros[[#This Row],[Salário Base]],0))</f>
        <v>0</v>
      </c>
      <c r="Q189" s="233">
        <f>VLOOKUP(tabParametros[[#Headers],[INSS]],tabImpostosNacionais[],2,0)</f>
        <v>0.2</v>
      </c>
      <c r="R189" s="233">
        <f>VLOOKUP(tabParametros[[#Headers],[SESI OU SESC]],tabImpostosNacionais[],2,0)</f>
        <v>1.4999999999999999E-2</v>
      </c>
      <c r="S189" s="233">
        <f>VLOOKUP(tabParametros[[#Headers],[SENAI OU SENAC]],tabImpostosNacionais[],2,0)</f>
        <v>0.01</v>
      </c>
      <c r="T189" s="233">
        <f>VLOOKUP(tabParametros[[#Headers],[INCRA]],tabImpostosNacionais[],2,0)</f>
        <v>2E-3</v>
      </c>
      <c r="U189" s="233">
        <f>VLOOKUP(tabParametros[[#Headers],[Salário Educação]],tabImpostosNacionais[],2,0)</f>
        <v>2.5000000000000001E-2</v>
      </c>
      <c r="V189" s="233">
        <f>VLOOKUP(tabParametros[[#Headers],[FGTS]],tabImpostosNacionais[],2,0)</f>
        <v>0.08</v>
      </c>
      <c r="W189" s="233">
        <f>VLOOKUP(tabParametros[[#Headers],[RAT Ajustado]],tabImpostosNacionais[],2,0)</f>
        <v>0.04</v>
      </c>
      <c r="X189" s="233">
        <f>VLOOKUP(tabParametros[[#Headers],[SEBRAE]],tabImpostosNacionais[],2,0)</f>
        <v>6.0000000000000001E-3</v>
      </c>
      <c r="Y189" s="233">
        <f t="shared" si="22"/>
        <v>8.3333333333333329E-2</v>
      </c>
      <c r="Z189" s="233">
        <f t="shared" si="23"/>
        <v>0.1111111111111111</v>
      </c>
      <c r="AA189" s="232">
        <f>VLOOKUP(tabParametros[[#This Row],[Comarca]],tabComarca[],5,0)</f>
        <v>6.4</v>
      </c>
      <c r="AB189" s="232">
        <f>VLOOKUP(tabParametros[[#This Row],[CCT DA CATEGORIA]],tabSindicatos[],6,0)</f>
        <v>29.15</v>
      </c>
      <c r="AC189" s="232">
        <f>VLOOKUP(tabParametros[[#This Row],[CCT DA CATEGORIA]],tabSindicatos[],7,0)</f>
        <v>0</v>
      </c>
      <c r="AD189" s="232" cm="1">
        <f t="array" ref="AD18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89" s="232">
        <f>VLOOKUP(tabParametros[[#This Row],[CCT DA CATEGORIA]],tabSindicatos[],9,0)</f>
        <v>15.07</v>
      </c>
      <c r="AF189" s="232">
        <f>VLOOKUP(tabParametros[[#This Row],[CCT DA CATEGORIA]],tabSindicatos[],10,0)</f>
        <v>0</v>
      </c>
      <c r="AG189" s="234">
        <f>VLOOKUP(tabParametros[[#Headers],[Seguro de Vida]],tabOutrosCustos[],3,0)</f>
        <v>3.36</v>
      </c>
      <c r="AH189" s="234">
        <f>IF(ISNUMBER(SEARCH("MOTORISTA",tabParametros[[#This Row],[Função]],1)),VLOOKUP("MOTORISTAS",tabDiarias[],2,0),IF(tabParametros[[#This Row],[Comarca]]="Belo Horizonte",VLOOKUP("APOIO",tabDiarias[],2,0),0))</f>
        <v>0</v>
      </c>
      <c r="AI189" s="233">
        <f t="shared" si="24"/>
        <v>7.011766975308642E-3</v>
      </c>
      <c r="AJ189" s="235">
        <f>tabParametros[[#This Row],[FGTS]]*tabParametros[[#This Row],[Aviso Prévio Indenizado (API) e Reflexo do Aviso Prévio Indenizado]]</f>
        <v>5.609413580246914E-4</v>
      </c>
      <c r="AK189" s="235">
        <f>tabParametros[[#This Row],[FGTS]]*tabParametros[[#This Row],[Aviso Prévio Indenizado (API) e Reflexo do Aviso Prévio Indenizado]]*40%</f>
        <v>2.2437654320987658E-4</v>
      </c>
      <c r="AL189" s="233">
        <f t="shared" si="25"/>
        <v>3.5000000000000005E-3</v>
      </c>
      <c r="AM189" s="233">
        <f>tabParametros[[#This Row],[Aviso Prévio Trabalhado - APT]]*SUM(tabParametros[[#This Row],[INSS]:[SEBRAE]])</f>
        <v>1.3230000000000004E-3</v>
      </c>
      <c r="AN189" s="233">
        <f t="shared" si="26"/>
        <v>3.0577777777777773E-2</v>
      </c>
      <c r="AO189" s="233">
        <f t="shared" si="27"/>
        <v>8.3333333333333339E-4</v>
      </c>
      <c r="AP189" s="233">
        <f t="shared" si="28"/>
        <v>8.4444444444444437E-3</v>
      </c>
      <c r="AQ189" s="233">
        <f t="shared" si="29"/>
        <v>2.0277777777777777E-3</v>
      </c>
      <c r="AR189" s="233">
        <f t="shared" si="30"/>
        <v>1.7083333333333333E-4</v>
      </c>
      <c r="AS189" s="233">
        <f t="shared" si="31"/>
        <v>2.0833333333333335E-4</v>
      </c>
      <c r="AT189" s="233">
        <f t="shared" si="32"/>
        <v>1.2962962962962963E-3</v>
      </c>
      <c r="AU189" s="235">
        <f>SUM(tabParametros[[#This Row],[Ausência por Doença]:[Férias, Adicional de Férias e 13º  com empregada em gozo de Licença Maternidade]])*SUM(tabParametros[[#This Row],[INSS]:[SEBRAE]])</f>
        <v>4.5918250000000008E-3</v>
      </c>
      <c r="AV189" s="254">
        <f>IF(tabParametros[[#This Row],[Função]]="Porteiro - 220 h",SUM(tabParametros[[#This Row],[Salário Base]:[Adicional de Acúmulo de função]])/220*20*1.5,IF(ISNUMBER(SEARCH("12 x 36",tabParametros[[#This Row],[Função]],1)),SUM(tabParametros[[#This Row],[Salário Base]:[Adicional de Acúmulo de função]])/210*15.5*1.5,0))</f>
        <v>0</v>
      </c>
      <c r="AW189" s="232">
        <f>IF(tabParametros[[#This Row],[Vagas contratadas]]&gt;0,(SUM(tabParametros[[#This Row],[Salário Base]:[Adicional de Acúmulo de função]])*30%+SUM(tabParametros[[#This Row],[Vale - Alimentação]:[Seguro de Vida]]))/tabParametros[[#This Row],[Vagas contratadas]]*tabParametros[[#This Row],[Vagas suspensas]],0)</f>
        <v>0</v>
      </c>
      <c r="AX189" s="232">
        <f>SUMIF(tabUniformes[Cargo],tabParametros[[#This Row],[Função]],tabUniformes[Valor unit. Mensal])</f>
        <v>56.642978962543395</v>
      </c>
      <c r="AY18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8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8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89" s="232">
        <v>0</v>
      </c>
      <c r="BC189" s="234" t="e">
        <f ca="1">VLOOKUP(tabParametros[[#Headers],[Custos Indiretos]],tabOutrosCustos[],3,0)</f>
        <v>#NAME?</v>
      </c>
      <c r="BD189" s="234" t="e">
        <f ca="1">VLOOKUP(tabParametros[[#Headers],[Lucro]],tabOutrosCustos[],3,0)</f>
        <v>#NAME?</v>
      </c>
      <c r="BE189" s="233">
        <f>VLOOKUP(tabParametros[[#Headers],[COFINS]],tabImpostosNacionais[],2,0)</f>
        <v>7.5999999999999998E-2</v>
      </c>
      <c r="BF189" s="233">
        <f>VLOOKUP(tabParametros[[#Headers],[PIS]],tabImpostosNacionais[],2,0)</f>
        <v>1.6500000000000001E-2</v>
      </c>
      <c r="BG189" s="233">
        <f>VLOOKUP(tabParametros[[#This Row],[Comarca]],tabComarca[],4,0)</f>
        <v>0.03</v>
      </c>
      <c r="BH189" s="236">
        <f>VLOOKUP(tabParametros[[#This Row],[CCT DA CATEGORIA]],tabSindicatos[],11,0)</f>
        <v>45658</v>
      </c>
      <c r="BI189" s="282" t="str">
        <f>VLOOKUP(tabParametros[[#This Row],[CCT DA CATEGORIA]],tabSindicatos[],12,0)</f>
        <v>-</v>
      </c>
      <c r="BJ189" s="285" t="str">
        <f>VLOOKUP(tabParametros[[#This Row],[CCT DA CATEGORIA]],tabSindicatos[],13,0)</f>
        <v>-</v>
      </c>
    </row>
    <row r="190" spans="1:62">
      <c r="A190" s="231" t="s">
        <v>1630</v>
      </c>
      <c r="B190" s="197" t="s">
        <v>1156</v>
      </c>
      <c r="C190" s="197" t="s">
        <v>314</v>
      </c>
      <c r="D190" s="197" t="str">
        <f>VLOOKUP(tabParametros[[#This Row],[Código do Posto]],tabPostos[],4,0)</f>
        <v>Sethac Norte de Minas</v>
      </c>
      <c r="E190" s="282" t="str">
        <f>VLOOKUP(tabParametros[[#This Row],[Código do Posto]],tabPostos[],5,0)</f>
        <v>Apoio</v>
      </c>
      <c r="F190" s="282" t="str">
        <f>VLOOKUP(tabParametros[[#This Row],[Código do Posto]],tabPostos[],6,0)</f>
        <v>PGJ</v>
      </c>
      <c r="G190" s="282">
        <f>VLOOKUP(tabParametros[[#This Row],[Código do Posto]],tabPostos[],7,0)</f>
        <v>1</v>
      </c>
      <c r="H190" s="282">
        <f>VLOOKUP(tabParametros[[#This Row],[Código do Posto]],tabPostos[],8,0)</f>
        <v>0</v>
      </c>
      <c r="I190" s="232">
        <f>VLOOKUP(tabParametros[[#This Row],[Código do Posto]],tabPostos[],9,0)</f>
        <v>1963.4110092077037</v>
      </c>
      <c r="J190" s="232">
        <f>IF(ISNUMBER(SEARCH("Eletricista",tabParametros[[#This Row],[Função]],1)),0.3*tabParametros[[#This Row],[Salário Base]],0)</f>
        <v>0</v>
      </c>
      <c r="K19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90" s="232">
        <f>IF(AND(ISNUMBER(SEARCH("Noturno",tabParametros[[#This Row],[Função]],1)),tabParametros[[#This Row],[Comarca]]&lt;&gt;"Juiz de Fora"),tabParametros[[#This Row],[Salário Base]]/210*0.39*7*15.5,IF(ISNUMBER(SEARCH("Noturno",tabParametros[[#This Row],[Função]],1)),tabParametros[[#This Row],[Salário Base]]/210*0.2*8*15.5,0))</f>
        <v>0</v>
      </c>
      <c r="M190" s="232">
        <f>IF(ISNUMBER(SEARCH("Motorista II",tabParametros[[#This Row],[Função]],1)),0.3022*tabParametros[[#This Row],[Salário Base]],0)</f>
        <v>0</v>
      </c>
      <c r="N190" s="254">
        <v>0</v>
      </c>
      <c r="O190" s="254">
        <f>IF(ISNUMBER(SEARCH("TECNOLOGIA DA INFORMACAO",tabParametros[[#This Row],[Função]],1)),0.056*tabParametros[[#This Row],[Salário Base]],0)</f>
        <v>0</v>
      </c>
      <c r="P190" s="232">
        <f>IF(tabParametros[[#This Row],[Função]]="Operador de Midia Audiovisual - 150 h",tabParametros[[#This Row],[Salário Base]]/150*50*30%,IF(tabParametros[[#This Row],[Função]]="Supervisor de Manutencao de Veiculos II - 220 h",12%*tabParametros[[#This Row],[Salário Base]],0))</f>
        <v>0</v>
      </c>
      <c r="Q190" s="233">
        <f>VLOOKUP(tabParametros[[#Headers],[INSS]],tabImpostosNacionais[],2,0)</f>
        <v>0.2</v>
      </c>
      <c r="R190" s="233">
        <f>VLOOKUP(tabParametros[[#Headers],[SESI OU SESC]],tabImpostosNacionais[],2,0)</f>
        <v>1.4999999999999999E-2</v>
      </c>
      <c r="S190" s="233">
        <f>VLOOKUP(tabParametros[[#Headers],[SENAI OU SENAC]],tabImpostosNacionais[],2,0)</f>
        <v>0.01</v>
      </c>
      <c r="T190" s="233">
        <f>VLOOKUP(tabParametros[[#Headers],[INCRA]],tabImpostosNacionais[],2,0)</f>
        <v>2E-3</v>
      </c>
      <c r="U190" s="233">
        <f>VLOOKUP(tabParametros[[#Headers],[Salário Educação]],tabImpostosNacionais[],2,0)</f>
        <v>2.5000000000000001E-2</v>
      </c>
      <c r="V190" s="233">
        <f>VLOOKUP(tabParametros[[#Headers],[FGTS]],tabImpostosNacionais[],2,0)</f>
        <v>0.08</v>
      </c>
      <c r="W190" s="233">
        <f>VLOOKUP(tabParametros[[#Headers],[RAT Ajustado]],tabImpostosNacionais[],2,0)</f>
        <v>0.04</v>
      </c>
      <c r="X190" s="233">
        <f>VLOOKUP(tabParametros[[#Headers],[SEBRAE]],tabImpostosNacionais[],2,0)</f>
        <v>6.0000000000000001E-3</v>
      </c>
      <c r="Y190" s="233">
        <f t="shared" si="22"/>
        <v>8.3333333333333329E-2</v>
      </c>
      <c r="Z190" s="233">
        <f t="shared" si="23"/>
        <v>0.1111111111111111</v>
      </c>
      <c r="AA190" s="232">
        <f>VLOOKUP(tabParametros[[#This Row],[Comarca]],tabComarca[],5,0)</f>
        <v>6.4</v>
      </c>
      <c r="AB190" s="232">
        <f>VLOOKUP(tabParametros[[#This Row],[CCT DA CATEGORIA]],tabSindicatos[],6,0)</f>
        <v>29.15</v>
      </c>
      <c r="AC190" s="232">
        <f>VLOOKUP(tabParametros[[#This Row],[CCT DA CATEGORIA]],tabSindicatos[],7,0)</f>
        <v>0</v>
      </c>
      <c r="AD190" s="232" cm="1">
        <f t="array" ref="AD19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190" s="232">
        <f>VLOOKUP(tabParametros[[#This Row],[CCT DA CATEGORIA]],tabSindicatos[],9,0)</f>
        <v>0</v>
      </c>
      <c r="AF190" s="232">
        <f>VLOOKUP(tabParametros[[#This Row],[CCT DA CATEGORIA]],tabSindicatos[],10,0)</f>
        <v>0</v>
      </c>
      <c r="AG190" s="234">
        <f>VLOOKUP(tabParametros[[#Headers],[Seguro de Vida]],tabOutrosCustos[],3,0)</f>
        <v>3.36</v>
      </c>
      <c r="AH190" s="234">
        <f>IF(ISNUMBER(SEARCH("MOTORISTA",tabParametros[[#This Row],[Função]],1)),VLOOKUP("MOTORISTAS",tabDiarias[],2,0),IF(tabParametros[[#This Row],[Comarca]]="Belo Horizonte",VLOOKUP("APOIO",tabDiarias[],2,0),0))</f>
        <v>0</v>
      </c>
      <c r="AI190" s="233">
        <f t="shared" si="24"/>
        <v>7.011766975308642E-3</v>
      </c>
      <c r="AJ190" s="235">
        <f>tabParametros[[#This Row],[FGTS]]*tabParametros[[#This Row],[Aviso Prévio Indenizado (API) e Reflexo do Aviso Prévio Indenizado]]</f>
        <v>5.609413580246914E-4</v>
      </c>
      <c r="AK190" s="235">
        <f>tabParametros[[#This Row],[FGTS]]*tabParametros[[#This Row],[Aviso Prévio Indenizado (API) e Reflexo do Aviso Prévio Indenizado]]*40%</f>
        <v>2.2437654320987658E-4</v>
      </c>
      <c r="AL190" s="233">
        <f t="shared" si="25"/>
        <v>3.5000000000000005E-3</v>
      </c>
      <c r="AM190" s="233">
        <f>tabParametros[[#This Row],[Aviso Prévio Trabalhado - APT]]*SUM(tabParametros[[#This Row],[INSS]:[SEBRAE]])</f>
        <v>1.3230000000000004E-3</v>
      </c>
      <c r="AN190" s="233">
        <f t="shared" si="26"/>
        <v>3.0577777777777773E-2</v>
      </c>
      <c r="AO190" s="233">
        <f t="shared" si="27"/>
        <v>8.3333333333333339E-4</v>
      </c>
      <c r="AP190" s="233">
        <f t="shared" si="28"/>
        <v>8.4444444444444437E-3</v>
      </c>
      <c r="AQ190" s="233">
        <f t="shared" si="29"/>
        <v>2.0277777777777777E-3</v>
      </c>
      <c r="AR190" s="233">
        <f t="shared" si="30"/>
        <v>1.7083333333333333E-4</v>
      </c>
      <c r="AS190" s="233">
        <f t="shared" si="31"/>
        <v>2.0833333333333335E-4</v>
      </c>
      <c r="AT190" s="233">
        <f t="shared" si="32"/>
        <v>1.2962962962962963E-3</v>
      </c>
      <c r="AU190" s="235">
        <f>SUM(tabParametros[[#This Row],[Ausência por Doença]:[Férias, Adicional de Férias e 13º  com empregada em gozo de Licença Maternidade]])*SUM(tabParametros[[#This Row],[INSS]:[SEBRAE]])</f>
        <v>4.5918250000000008E-3</v>
      </c>
      <c r="AV190"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190" s="232">
        <f>IF(tabParametros[[#This Row],[Vagas contratadas]]&gt;0,(SUM(tabParametros[[#This Row],[Salário Base]:[Adicional de Acúmulo de função]])*30%+SUM(tabParametros[[#This Row],[Vale - Alimentação]:[Seguro de Vida]]))/tabParametros[[#This Row],[Vagas contratadas]]*tabParametros[[#This Row],[Vagas suspensas]],0)</f>
        <v>0</v>
      </c>
      <c r="AX190" s="232">
        <f>SUMIF(tabUniformes[Cargo],tabParametros[[#This Row],[Função]],tabUniformes[Valor unit. Mensal])</f>
        <v>56.642978962543395</v>
      </c>
      <c r="AY19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9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9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0" s="232">
        <v>0</v>
      </c>
      <c r="BC190" s="234" t="e">
        <f ca="1">VLOOKUP(tabParametros[[#Headers],[Custos Indiretos]],tabOutrosCustos[],3,0)</f>
        <v>#NAME?</v>
      </c>
      <c r="BD190" s="234" t="e">
        <f ca="1">VLOOKUP(tabParametros[[#Headers],[Lucro]],tabOutrosCustos[],3,0)</f>
        <v>#NAME?</v>
      </c>
      <c r="BE190" s="233">
        <f>VLOOKUP(tabParametros[[#Headers],[COFINS]],tabImpostosNacionais[],2,0)</f>
        <v>7.5999999999999998E-2</v>
      </c>
      <c r="BF190" s="233">
        <f>VLOOKUP(tabParametros[[#Headers],[PIS]],tabImpostosNacionais[],2,0)</f>
        <v>1.6500000000000001E-2</v>
      </c>
      <c r="BG190" s="233">
        <f>VLOOKUP(tabParametros[[#This Row],[Comarca]],tabComarca[],4,0)</f>
        <v>0.03</v>
      </c>
      <c r="BH190" s="236">
        <f>VLOOKUP(tabParametros[[#This Row],[CCT DA CATEGORIA]],tabSindicatos[],11,0)</f>
        <v>45658</v>
      </c>
      <c r="BI190" s="282" t="str">
        <f>VLOOKUP(tabParametros[[#This Row],[CCT DA CATEGORIA]],tabSindicatos[],12,0)</f>
        <v>-</v>
      </c>
      <c r="BJ190" s="285" t="str">
        <f>VLOOKUP(tabParametros[[#This Row],[CCT DA CATEGORIA]],tabSindicatos[],13,0)</f>
        <v>-</v>
      </c>
    </row>
    <row r="191" spans="1:62">
      <c r="A191" s="231" t="s">
        <v>1486</v>
      </c>
      <c r="B191" s="197" t="s">
        <v>936</v>
      </c>
      <c r="C191" s="197" t="s">
        <v>200</v>
      </c>
      <c r="D191" s="197" t="str">
        <f>VLOOKUP(tabParametros[[#This Row],[Código do Posto]],tabPostos[],4,0)</f>
        <v>Juiz de Fora</v>
      </c>
      <c r="E191" s="282" t="str">
        <f>VLOOKUP(tabParametros[[#This Row],[Código do Posto]],tabPostos[],5,0)</f>
        <v>Apoio</v>
      </c>
      <c r="F191" s="282" t="str">
        <f>VLOOKUP(tabParametros[[#This Row],[Código do Posto]],tabPostos[],6,0)</f>
        <v>PGJ</v>
      </c>
      <c r="G191" s="282">
        <f>VLOOKUP(tabParametros[[#This Row],[Código do Posto]],tabPostos[],7,0)</f>
        <v>6</v>
      </c>
      <c r="H191" s="282">
        <f>VLOOKUP(tabParametros[[#This Row],[Código do Posto]],tabPostos[],8,0)</f>
        <v>0</v>
      </c>
      <c r="I191" s="232">
        <f>VLOOKUP(tabParametros[[#This Row],[Código do Posto]],tabPostos[],9,0)</f>
        <v>1603.1509726567601</v>
      </c>
      <c r="J191" s="232">
        <f>IF(ISNUMBER(SEARCH("Eletricista",tabParametros[[#This Row],[Função]],1)),0.3*tabParametros[[#This Row],[Salário Base]],0)</f>
        <v>0</v>
      </c>
      <c r="K19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91" s="232">
        <f>IF(AND(ISNUMBER(SEARCH("Noturno",tabParametros[[#This Row],[Função]],1)),tabParametros[[#This Row],[Comarca]]&lt;&gt;"Juiz de Fora"),tabParametros[[#This Row],[Salário Base]]/210*0.39*7*15.5,IF(ISNUMBER(SEARCH("Noturno",tabParametros[[#This Row],[Função]],1)),tabParametros[[#This Row],[Salário Base]]/210*0.2*8*15.5,0))</f>
        <v>0</v>
      </c>
      <c r="M191" s="232">
        <f>IF(ISNUMBER(SEARCH("Motorista II",tabParametros[[#This Row],[Função]],1)),0.3022*tabParametros[[#This Row],[Salário Base]],0)</f>
        <v>0</v>
      </c>
      <c r="N191" s="254">
        <v>0</v>
      </c>
      <c r="O191" s="254">
        <f>IF(ISNUMBER(SEARCH("TECNOLOGIA DA INFORMACAO",tabParametros[[#This Row],[Função]],1)),0.056*tabParametros[[#This Row],[Salário Base]],0)</f>
        <v>0</v>
      </c>
      <c r="P191" s="232">
        <f>IF(tabParametros[[#This Row],[Função]]="Operador de Midia Audiovisual - 150 h",tabParametros[[#This Row],[Salário Base]]/150*50*30%,IF(tabParametros[[#This Row],[Função]]="Supervisor de Manutencao de Veiculos II - 220 h",12%*tabParametros[[#This Row],[Salário Base]],0))</f>
        <v>0</v>
      </c>
      <c r="Q191" s="233">
        <f>VLOOKUP(tabParametros[[#Headers],[INSS]],tabImpostosNacionais[],2,0)</f>
        <v>0.2</v>
      </c>
      <c r="R191" s="233">
        <f>VLOOKUP(tabParametros[[#Headers],[SESI OU SESC]],tabImpostosNacionais[],2,0)</f>
        <v>1.4999999999999999E-2</v>
      </c>
      <c r="S191" s="233">
        <f>VLOOKUP(tabParametros[[#Headers],[SENAI OU SENAC]],tabImpostosNacionais[],2,0)</f>
        <v>0.01</v>
      </c>
      <c r="T191" s="233">
        <f>VLOOKUP(tabParametros[[#Headers],[INCRA]],tabImpostosNacionais[],2,0)</f>
        <v>2E-3</v>
      </c>
      <c r="U191" s="233">
        <f>VLOOKUP(tabParametros[[#Headers],[Salário Educação]],tabImpostosNacionais[],2,0)</f>
        <v>2.5000000000000001E-2</v>
      </c>
      <c r="V191" s="233">
        <f>VLOOKUP(tabParametros[[#Headers],[FGTS]],tabImpostosNacionais[],2,0)</f>
        <v>0.08</v>
      </c>
      <c r="W191" s="233">
        <f>VLOOKUP(tabParametros[[#Headers],[RAT Ajustado]],tabImpostosNacionais[],2,0)</f>
        <v>0.04</v>
      </c>
      <c r="X191" s="233">
        <f>VLOOKUP(tabParametros[[#Headers],[SEBRAE]],tabImpostosNacionais[],2,0)</f>
        <v>6.0000000000000001E-3</v>
      </c>
      <c r="Y191" s="233">
        <f t="shared" si="22"/>
        <v>8.3333333333333329E-2</v>
      </c>
      <c r="Z191" s="233">
        <f t="shared" si="23"/>
        <v>0.1111111111111111</v>
      </c>
      <c r="AA191" s="232">
        <f>VLOOKUP(tabParametros[[#This Row],[Comarca]],tabComarca[],5,0)</f>
        <v>6.4</v>
      </c>
      <c r="AB191" s="232">
        <f>VLOOKUP(tabParametros[[#This Row],[CCT DA CATEGORIA]],tabSindicatos[],6,0)</f>
        <v>29.15</v>
      </c>
      <c r="AC191" s="232">
        <f>VLOOKUP(tabParametros[[#This Row],[CCT DA CATEGORIA]],tabSindicatos[],7,0)</f>
        <v>0</v>
      </c>
      <c r="AD191" s="232" cm="1">
        <f t="array" ref="AD19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56.3</v>
      </c>
      <c r="AE191" s="232">
        <f>VLOOKUP(tabParametros[[#This Row],[CCT DA CATEGORIA]],tabSindicatos[],9,0)</f>
        <v>14.69</v>
      </c>
      <c r="AF191" s="232">
        <f>VLOOKUP(tabParametros[[#This Row],[CCT DA CATEGORIA]],tabSindicatos[],10,0)</f>
        <v>0</v>
      </c>
      <c r="AG191" s="234">
        <f>VLOOKUP(tabParametros[[#Headers],[Seguro de Vida]],tabOutrosCustos[],3,0)</f>
        <v>3.36</v>
      </c>
      <c r="AH191" s="234">
        <f>IF(ISNUMBER(SEARCH("MOTORISTA",tabParametros[[#This Row],[Função]],1)),VLOOKUP("MOTORISTAS",tabDiarias[],2,0),IF(tabParametros[[#This Row],[Comarca]]="Belo Horizonte",VLOOKUP("APOIO",tabDiarias[],2,0),0))</f>
        <v>0</v>
      </c>
      <c r="AI191" s="233">
        <f t="shared" si="24"/>
        <v>7.011766975308642E-3</v>
      </c>
      <c r="AJ191" s="235">
        <f>tabParametros[[#This Row],[FGTS]]*tabParametros[[#This Row],[Aviso Prévio Indenizado (API) e Reflexo do Aviso Prévio Indenizado]]</f>
        <v>5.609413580246914E-4</v>
      </c>
      <c r="AK191" s="235">
        <f>tabParametros[[#This Row],[FGTS]]*tabParametros[[#This Row],[Aviso Prévio Indenizado (API) e Reflexo do Aviso Prévio Indenizado]]*40%</f>
        <v>2.2437654320987658E-4</v>
      </c>
      <c r="AL191" s="233">
        <f t="shared" si="25"/>
        <v>3.5000000000000005E-3</v>
      </c>
      <c r="AM191" s="233">
        <f>tabParametros[[#This Row],[Aviso Prévio Trabalhado - APT]]*SUM(tabParametros[[#This Row],[INSS]:[SEBRAE]])</f>
        <v>1.3230000000000004E-3</v>
      </c>
      <c r="AN191" s="233">
        <f t="shared" si="26"/>
        <v>3.0577777777777773E-2</v>
      </c>
      <c r="AO191" s="233">
        <f t="shared" si="27"/>
        <v>8.3333333333333339E-4</v>
      </c>
      <c r="AP191" s="233">
        <f t="shared" si="28"/>
        <v>8.4444444444444437E-3</v>
      </c>
      <c r="AQ191" s="233">
        <f t="shared" si="29"/>
        <v>2.0277777777777777E-3</v>
      </c>
      <c r="AR191" s="233">
        <f t="shared" si="30"/>
        <v>1.7083333333333333E-4</v>
      </c>
      <c r="AS191" s="233">
        <f t="shared" si="31"/>
        <v>2.0833333333333335E-4</v>
      </c>
      <c r="AT191" s="233">
        <f t="shared" si="32"/>
        <v>1.2962962962962963E-3</v>
      </c>
      <c r="AU191" s="235">
        <f>SUM(tabParametros[[#This Row],[Ausência por Doença]:[Férias, Adicional de Férias e 13º  com empregada em gozo de Licença Maternidade]])*SUM(tabParametros[[#This Row],[INSS]:[SEBRAE]])</f>
        <v>4.5918250000000008E-3</v>
      </c>
      <c r="AV191" s="254">
        <f>IF(tabParametros[[#This Row],[Função]]="Porteiro - 220 h",SUM(tabParametros[[#This Row],[Salário Base]:[Adicional de Acúmulo de função]])/220*20*1.5,IF(ISNUMBER(SEARCH("12 x 36",tabParametros[[#This Row],[Função]],1)),SUM(tabParametros[[#This Row],[Salário Base]:[Adicional de Acúmulo de função]])/210*15.5*1.5,0))</f>
        <v>0</v>
      </c>
      <c r="AW191" s="232">
        <f>IF(tabParametros[[#This Row],[Vagas contratadas]]&gt;0,(SUM(tabParametros[[#This Row],[Salário Base]:[Adicional de Acúmulo de função]])*30%+SUM(tabParametros[[#This Row],[Vale - Alimentação]:[Seguro de Vida]]))/tabParametros[[#This Row],[Vagas contratadas]]*tabParametros[[#This Row],[Vagas suspensas]],0)</f>
        <v>0</v>
      </c>
      <c r="AX191" s="232">
        <f>SUMIF(tabUniformes[Cargo],tabParametros[[#This Row],[Função]],tabUniformes[Valor unit. Mensal])</f>
        <v>56.141713661989918</v>
      </c>
      <c r="AY19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9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9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1" s="232">
        <v>0</v>
      </c>
      <c r="BC191" s="234" t="e">
        <f ca="1">VLOOKUP(tabParametros[[#Headers],[Custos Indiretos]],tabOutrosCustos[],3,0)</f>
        <v>#NAME?</v>
      </c>
      <c r="BD191" s="234" t="e">
        <f ca="1">VLOOKUP(tabParametros[[#Headers],[Lucro]],tabOutrosCustos[],3,0)</f>
        <v>#NAME?</v>
      </c>
      <c r="BE191" s="233">
        <f>VLOOKUP(tabParametros[[#Headers],[COFINS]],tabImpostosNacionais[],2,0)</f>
        <v>7.5999999999999998E-2</v>
      </c>
      <c r="BF191" s="233">
        <f>VLOOKUP(tabParametros[[#Headers],[PIS]],tabImpostosNacionais[],2,0)</f>
        <v>1.6500000000000001E-2</v>
      </c>
      <c r="BG191" s="233">
        <f>VLOOKUP(tabParametros[[#This Row],[Comarca]],tabComarca[],4,0)</f>
        <v>0.05</v>
      </c>
      <c r="BH191" s="236">
        <f>VLOOKUP(tabParametros[[#This Row],[CCT DA CATEGORIA]],tabSindicatos[],11,0)</f>
        <v>45658</v>
      </c>
      <c r="BI191" s="282" t="str">
        <f>VLOOKUP(tabParametros[[#This Row],[CCT DA CATEGORIA]],tabSindicatos[],12,0)</f>
        <v>-</v>
      </c>
      <c r="BJ191" s="285" t="str">
        <f>VLOOKUP(tabParametros[[#This Row],[CCT DA CATEGORIA]],tabSindicatos[],13,0)</f>
        <v>-</v>
      </c>
    </row>
    <row r="192" spans="1:62">
      <c r="A192" s="231" t="s">
        <v>1631</v>
      </c>
      <c r="B192" s="197" t="s">
        <v>936</v>
      </c>
      <c r="C192" s="197" t="s">
        <v>274</v>
      </c>
      <c r="D192" s="197" t="str">
        <f>VLOOKUP(tabParametros[[#This Row],[Código do Posto]],tabPostos[],4,0)</f>
        <v>Rodoviarios de Juiz de Fora + SEAC-MG</v>
      </c>
      <c r="E192" s="282" t="str">
        <f>VLOOKUP(tabParametros[[#This Row],[Código do Posto]],tabPostos[],5,0)</f>
        <v>Apoio</v>
      </c>
      <c r="F192" s="282" t="str">
        <f>VLOOKUP(tabParametros[[#This Row],[Código do Posto]],tabPostos[],6,0)</f>
        <v>PGJ</v>
      </c>
      <c r="G192" s="282">
        <f>VLOOKUP(tabParametros[[#This Row],[Código do Posto]],tabPostos[],7,0)</f>
        <v>2</v>
      </c>
      <c r="H192" s="282">
        <f>VLOOKUP(tabParametros[[#This Row],[Código do Posto]],tabPostos[],8,0)</f>
        <v>0</v>
      </c>
      <c r="I192" s="232">
        <f>VLOOKUP(tabParametros[[#This Row],[Código do Posto]],tabPostos[],9,0)</f>
        <v>4184.0252254419847</v>
      </c>
      <c r="J192" s="232">
        <f>IF(ISNUMBER(SEARCH("Eletricista",tabParametros[[#This Row],[Função]],1)),0.3*tabParametros[[#This Row],[Salário Base]],0)</f>
        <v>0</v>
      </c>
      <c r="K19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92" s="232">
        <f>IF(AND(ISNUMBER(SEARCH("Noturno",tabParametros[[#This Row],[Função]],1)),tabParametros[[#This Row],[Comarca]]&lt;&gt;"Juiz de Fora"),tabParametros[[#This Row],[Salário Base]]/210*0.39*7*15.5,IF(ISNUMBER(SEARCH("Noturno",tabParametros[[#This Row],[Função]],1)),tabParametros[[#This Row],[Salário Base]]/210*0.2*8*15.5,0))</f>
        <v>0</v>
      </c>
      <c r="M192" s="232">
        <f>IF(ISNUMBER(SEARCH("Motorista II",tabParametros[[#This Row],[Função]],1)),0.3022*tabParametros[[#This Row],[Salário Base]],0)</f>
        <v>0</v>
      </c>
      <c r="N192" s="254">
        <v>0</v>
      </c>
      <c r="O192" s="254">
        <f>IF(ISNUMBER(SEARCH("TECNOLOGIA DA INFORMACAO",tabParametros[[#This Row],[Função]],1)),0.056*tabParametros[[#This Row],[Salário Base]],0)</f>
        <v>0</v>
      </c>
      <c r="P192" s="232">
        <f>IF(tabParametros[[#This Row],[Função]]="Operador de Midia Audiovisual - 150 h",tabParametros[[#This Row],[Salário Base]]/150*50*30%,IF(tabParametros[[#This Row],[Função]]="Supervisor de Manutencao de Veiculos II - 220 h",12%*tabParametros[[#This Row],[Salário Base]],0))</f>
        <v>0</v>
      </c>
      <c r="Q192" s="233">
        <f>VLOOKUP(tabParametros[[#Headers],[INSS]],tabImpostosNacionais[],2,0)</f>
        <v>0.2</v>
      </c>
      <c r="R192" s="233">
        <f>VLOOKUP(tabParametros[[#Headers],[SESI OU SESC]],tabImpostosNacionais[],2,0)</f>
        <v>1.4999999999999999E-2</v>
      </c>
      <c r="S192" s="233">
        <f>VLOOKUP(tabParametros[[#Headers],[SENAI OU SENAC]],tabImpostosNacionais[],2,0)</f>
        <v>0.01</v>
      </c>
      <c r="T192" s="233">
        <f>VLOOKUP(tabParametros[[#Headers],[INCRA]],tabImpostosNacionais[],2,0)</f>
        <v>2E-3</v>
      </c>
      <c r="U192" s="233">
        <f>VLOOKUP(tabParametros[[#Headers],[Salário Educação]],tabImpostosNacionais[],2,0)</f>
        <v>2.5000000000000001E-2</v>
      </c>
      <c r="V192" s="233">
        <f>VLOOKUP(tabParametros[[#Headers],[FGTS]],tabImpostosNacionais[],2,0)</f>
        <v>0.08</v>
      </c>
      <c r="W192" s="233">
        <f>VLOOKUP(tabParametros[[#Headers],[RAT Ajustado]],tabImpostosNacionais[],2,0)</f>
        <v>0.04</v>
      </c>
      <c r="X192" s="233">
        <f>VLOOKUP(tabParametros[[#Headers],[SEBRAE]],tabImpostosNacionais[],2,0)</f>
        <v>6.0000000000000001E-3</v>
      </c>
      <c r="Y192" s="233">
        <f t="shared" si="22"/>
        <v>8.3333333333333329E-2</v>
      </c>
      <c r="Z192" s="233">
        <f t="shared" si="23"/>
        <v>0.1111111111111111</v>
      </c>
      <c r="AA192" s="232">
        <f>VLOOKUP(tabParametros[[#This Row],[Comarca]],tabComarca[],5,0)</f>
        <v>6.4</v>
      </c>
      <c r="AB192" s="232">
        <f>VLOOKUP(tabParametros[[#This Row],[CCT DA CATEGORIA]],tabSindicatos[],6,0)</f>
        <v>29.15</v>
      </c>
      <c r="AC192" s="232">
        <f>VLOOKUP(tabParametros[[#This Row],[CCT DA CATEGORIA]],tabSindicatos[],7,0)</f>
        <v>0</v>
      </c>
      <c r="AD192" s="232" cm="1">
        <f t="array" ref="AD19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92" s="232">
        <f>VLOOKUP(tabParametros[[#This Row],[CCT DA CATEGORIA]],tabSindicatos[],9,0)</f>
        <v>0</v>
      </c>
      <c r="AF192" s="232">
        <f>VLOOKUP(tabParametros[[#This Row],[CCT DA CATEGORIA]],tabSindicatos[],10,0)</f>
        <v>0</v>
      </c>
      <c r="AG192" s="234">
        <f>VLOOKUP(tabParametros[[#Headers],[Seguro de Vida]],tabOutrosCustos[],3,0)</f>
        <v>3.36</v>
      </c>
      <c r="AH192" s="234">
        <f>IF(ISNUMBER(SEARCH("MOTORISTA",tabParametros[[#This Row],[Função]],1)),VLOOKUP("MOTORISTAS",tabDiarias[],2,0),IF(tabParametros[[#This Row],[Comarca]]="Belo Horizonte",VLOOKUP("APOIO",tabDiarias[],2,0),0))</f>
        <v>662.42</v>
      </c>
      <c r="AI192" s="233">
        <f t="shared" si="24"/>
        <v>7.011766975308642E-3</v>
      </c>
      <c r="AJ192" s="235">
        <f>tabParametros[[#This Row],[FGTS]]*tabParametros[[#This Row],[Aviso Prévio Indenizado (API) e Reflexo do Aviso Prévio Indenizado]]</f>
        <v>5.609413580246914E-4</v>
      </c>
      <c r="AK192" s="235">
        <f>tabParametros[[#This Row],[FGTS]]*tabParametros[[#This Row],[Aviso Prévio Indenizado (API) e Reflexo do Aviso Prévio Indenizado]]*40%</f>
        <v>2.2437654320987658E-4</v>
      </c>
      <c r="AL192" s="233">
        <f t="shared" si="25"/>
        <v>3.5000000000000005E-3</v>
      </c>
      <c r="AM192" s="233">
        <f>tabParametros[[#This Row],[Aviso Prévio Trabalhado - APT]]*SUM(tabParametros[[#This Row],[INSS]:[SEBRAE]])</f>
        <v>1.3230000000000004E-3</v>
      </c>
      <c r="AN192" s="233">
        <f t="shared" si="26"/>
        <v>3.0577777777777773E-2</v>
      </c>
      <c r="AO192" s="233">
        <f t="shared" si="27"/>
        <v>8.3333333333333339E-4</v>
      </c>
      <c r="AP192" s="233">
        <f t="shared" si="28"/>
        <v>8.4444444444444437E-3</v>
      </c>
      <c r="AQ192" s="233">
        <f t="shared" si="29"/>
        <v>2.0277777777777777E-3</v>
      </c>
      <c r="AR192" s="233">
        <f t="shared" si="30"/>
        <v>1.7083333333333333E-4</v>
      </c>
      <c r="AS192" s="233">
        <f t="shared" si="31"/>
        <v>2.0833333333333335E-4</v>
      </c>
      <c r="AT192" s="233">
        <f t="shared" si="32"/>
        <v>1.2962962962962963E-3</v>
      </c>
      <c r="AU192" s="235">
        <f>SUM(tabParametros[[#This Row],[Ausência por Doença]:[Férias, Adicional de Férias e 13º  com empregada em gozo de Licença Maternidade]])*SUM(tabParametros[[#This Row],[INSS]:[SEBRAE]])</f>
        <v>4.5918250000000008E-3</v>
      </c>
      <c r="AV192" s="254">
        <f>IF(tabParametros[[#This Row],[Função]]="Porteiro - 220 h",SUM(tabParametros[[#This Row],[Salário Base]:[Adicional de Acúmulo de função]])/220*20*1.5,IF(ISNUMBER(SEARCH("12 x 36",tabParametros[[#This Row],[Função]],1)),SUM(tabParametros[[#This Row],[Salário Base]:[Adicional de Acúmulo de função]])/210*15.5*1.5,0))</f>
        <v>0</v>
      </c>
      <c r="AW192" s="232">
        <f>IF(tabParametros[[#This Row],[Vagas contratadas]]&gt;0,(SUM(tabParametros[[#This Row],[Salário Base]:[Adicional de Acúmulo de função]])*30%+SUM(tabParametros[[#This Row],[Vale - Alimentação]:[Seguro de Vida]]))/tabParametros[[#This Row],[Vagas contratadas]]*tabParametros[[#This Row],[Vagas suspensas]],0)</f>
        <v>0</v>
      </c>
      <c r="AX192" s="232">
        <f>SUMIF(tabUniformes[Cargo],tabParametros[[#This Row],[Função]],tabUniformes[Valor unit. Mensal])</f>
        <v>92.100763771570698</v>
      </c>
      <c r="AY19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9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9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2" s="232">
        <v>0</v>
      </c>
      <c r="BC192" s="234" t="e">
        <f ca="1">VLOOKUP(tabParametros[[#Headers],[Custos Indiretos]],tabOutrosCustos[],3,0)</f>
        <v>#NAME?</v>
      </c>
      <c r="BD192" s="234" t="e">
        <f ca="1">VLOOKUP(tabParametros[[#Headers],[Lucro]],tabOutrosCustos[],3,0)</f>
        <v>#NAME?</v>
      </c>
      <c r="BE192" s="233">
        <f>VLOOKUP(tabParametros[[#Headers],[COFINS]],tabImpostosNacionais[],2,0)</f>
        <v>7.5999999999999998E-2</v>
      </c>
      <c r="BF192" s="233">
        <f>VLOOKUP(tabParametros[[#Headers],[PIS]],tabImpostosNacionais[],2,0)</f>
        <v>1.6500000000000001E-2</v>
      </c>
      <c r="BG192" s="233">
        <f>VLOOKUP(tabParametros[[#This Row],[Comarca]],tabComarca[],4,0)</f>
        <v>0.05</v>
      </c>
      <c r="BH192" s="236">
        <f>VLOOKUP(tabParametros[[#This Row],[CCT DA CATEGORIA]],tabSindicatos[],11,0)</f>
        <v>45658</v>
      </c>
      <c r="BI192" s="282" t="str">
        <f>VLOOKUP(tabParametros[[#This Row],[CCT DA CATEGORIA]],tabSindicatos[],12,0)</f>
        <v>-</v>
      </c>
      <c r="BJ192" s="285" t="str">
        <f>VLOOKUP(tabParametros[[#This Row],[CCT DA CATEGORIA]],tabSindicatos[],13,0)</f>
        <v>-</v>
      </c>
    </row>
    <row r="193" spans="1:62">
      <c r="A193" s="231" t="s">
        <v>1632</v>
      </c>
      <c r="B193" s="197" t="s">
        <v>936</v>
      </c>
      <c r="C193" s="197" t="s">
        <v>274</v>
      </c>
      <c r="D193" s="197" t="str">
        <f>VLOOKUP(tabParametros[[#This Row],[Código do Posto]],tabPostos[],4,0)</f>
        <v>Rodoviarios de Juiz de Fora + SEAC-MG</v>
      </c>
      <c r="E193" s="282" t="str">
        <f>VLOOKUP(tabParametros[[#This Row],[Código do Posto]],tabPostos[],5,0)</f>
        <v>Apoio</v>
      </c>
      <c r="F193" s="282" t="str">
        <f>VLOOKUP(tabParametros[[#This Row],[Código do Posto]],tabPostos[],6,0)</f>
        <v>FEPDC</v>
      </c>
      <c r="G193" s="282">
        <f>VLOOKUP(tabParametros[[#This Row],[Código do Posto]],tabPostos[],7,0)</f>
        <v>1</v>
      </c>
      <c r="H193" s="282">
        <f>VLOOKUP(tabParametros[[#This Row],[Código do Posto]],tabPostos[],8,0)</f>
        <v>0</v>
      </c>
      <c r="I193" s="232">
        <f>VLOOKUP(tabParametros[[#This Row],[Código do Posto]],tabPostos[],9,0)</f>
        <v>4184.0252254419847</v>
      </c>
      <c r="J193" s="232">
        <f>IF(ISNUMBER(SEARCH("Eletricista",tabParametros[[#This Row],[Função]],1)),0.3*tabParametros[[#This Row],[Salário Base]],0)</f>
        <v>0</v>
      </c>
      <c r="K19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93" s="232">
        <f>IF(AND(ISNUMBER(SEARCH("Noturno",tabParametros[[#This Row],[Função]],1)),tabParametros[[#This Row],[Comarca]]&lt;&gt;"Juiz de Fora"),tabParametros[[#This Row],[Salário Base]]/210*0.39*7*15.5,IF(ISNUMBER(SEARCH("Noturno",tabParametros[[#This Row],[Função]],1)),tabParametros[[#This Row],[Salário Base]]/210*0.2*8*15.5,0))</f>
        <v>0</v>
      </c>
      <c r="M193" s="232">
        <f>IF(ISNUMBER(SEARCH("Motorista II",tabParametros[[#This Row],[Função]],1)),0.3022*tabParametros[[#This Row],[Salário Base]],0)</f>
        <v>0</v>
      </c>
      <c r="N193" s="254">
        <v>0</v>
      </c>
      <c r="O193" s="254">
        <f>IF(ISNUMBER(SEARCH("TECNOLOGIA DA INFORMACAO",tabParametros[[#This Row],[Função]],1)),0.056*tabParametros[[#This Row],[Salário Base]],0)</f>
        <v>0</v>
      </c>
      <c r="P193" s="232">
        <f>IF(tabParametros[[#This Row],[Função]]="Operador de Midia Audiovisual - 150 h",tabParametros[[#This Row],[Salário Base]]/150*50*30%,IF(tabParametros[[#This Row],[Função]]="Supervisor de Manutencao de Veiculos II - 220 h",12%*tabParametros[[#This Row],[Salário Base]],0))</f>
        <v>0</v>
      </c>
      <c r="Q193" s="233">
        <f>VLOOKUP(tabParametros[[#Headers],[INSS]],tabImpostosNacionais[],2,0)</f>
        <v>0.2</v>
      </c>
      <c r="R193" s="233">
        <f>VLOOKUP(tabParametros[[#Headers],[SESI OU SESC]],tabImpostosNacionais[],2,0)</f>
        <v>1.4999999999999999E-2</v>
      </c>
      <c r="S193" s="233">
        <f>VLOOKUP(tabParametros[[#Headers],[SENAI OU SENAC]],tabImpostosNacionais[],2,0)</f>
        <v>0.01</v>
      </c>
      <c r="T193" s="233">
        <f>VLOOKUP(tabParametros[[#Headers],[INCRA]],tabImpostosNacionais[],2,0)</f>
        <v>2E-3</v>
      </c>
      <c r="U193" s="233">
        <f>VLOOKUP(tabParametros[[#Headers],[Salário Educação]],tabImpostosNacionais[],2,0)</f>
        <v>2.5000000000000001E-2</v>
      </c>
      <c r="V193" s="233">
        <f>VLOOKUP(tabParametros[[#Headers],[FGTS]],tabImpostosNacionais[],2,0)</f>
        <v>0.08</v>
      </c>
      <c r="W193" s="233">
        <f>VLOOKUP(tabParametros[[#Headers],[RAT Ajustado]],tabImpostosNacionais[],2,0)</f>
        <v>0.04</v>
      </c>
      <c r="X193" s="233">
        <f>VLOOKUP(tabParametros[[#Headers],[SEBRAE]],tabImpostosNacionais[],2,0)</f>
        <v>6.0000000000000001E-3</v>
      </c>
      <c r="Y193" s="233">
        <f t="shared" si="22"/>
        <v>8.3333333333333329E-2</v>
      </c>
      <c r="Z193" s="233">
        <f t="shared" si="23"/>
        <v>0.1111111111111111</v>
      </c>
      <c r="AA193" s="232">
        <f>VLOOKUP(tabParametros[[#This Row],[Comarca]],tabComarca[],5,0)</f>
        <v>6.4</v>
      </c>
      <c r="AB193" s="232">
        <f>VLOOKUP(tabParametros[[#This Row],[CCT DA CATEGORIA]],tabSindicatos[],6,0)</f>
        <v>29.15</v>
      </c>
      <c r="AC193" s="232">
        <f>VLOOKUP(tabParametros[[#This Row],[CCT DA CATEGORIA]],tabSindicatos[],7,0)</f>
        <v>0</v>
      </c>
      <c r="AD193" s="232" cm="1">
        <f t="array" ref="AD19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193" s="232">
        <f>VLOOKUP(tabParametros[[#This Row],[CCT DA CATEGORIA]],tabSindicatos[],9,0)</f>
        <v>0</v>
      </c>
      <c r="AF193" s="232">
        <f>VLOOKUP(tabParametros[[#This Row],[CCT DA CATEGORIA]],tabSindicatos[],10,0)</f>
        <v>0</v>
      </c>
      <c r="AG193" s="234">
        <f>VLOOKUP(tabParametros[[#Headers],[Seguro de Vida]],tabOutrosCustos[],3,0)</f>
        <v>3.36</v>
      </c>
      <c r="AH193" s="234">
        <f>IF(ISNUMBER(SEARCH("MOTORISTA",tabParametros[[#This Row],[Função]],1)),VLOOKUP("MOTORISTAS",tabDiarias[],2,0),IF(tabParametros[[#This Row],[Comarca]]="Belo Horizonte",VLOOKUP("APOIO",tabDiarias[],2,0),0))</f>
        <v>662.42</v>
      </c>
      <c r="AI193" s="233">
        <f t="shared" si="24"/>
        <v>7.011766975308642E-3</v>
      </c>
      <c r="AJ193" s="235">
        <f>tabParametros[[#This Row],[FGTS]]*tabParametros[[#This Row],[Aviso Prévio Indenizado (API) e Reflexo do Aviso Prévio Indenizado]]</f>
        <v>5.609413580246914E-4</v>
      </c>
      <c r="AK193" s="235">
        <f>tabParametros[[#This Row],[FGTS]]*tabParametros[[#This Row],[Aviso Prévio Indenizado (API) e Reflexo do Aviso Prévio Indenizado]]*40%</f>
        <v>2.2437654320987658E-4</v>
      </c>
      <c r="AL193" s="233">
        <f t="shared" si="25"/>
        <v>3.5000000000000005E-3</v>
      </c>
      <c r="AM193" s="233">
        <f>tabParametros[[#This Row],[Aviso Prévio Trabalhado - APT]]*SUM(tabParametros[[#This Row],[INSS]:[SEBRAE]])</f>
        <v>1.3230000000000004E-3</v>
      </c>
      <c r="AN193" s="233">
        <f t="shared" si="26"/>
        <v>3.0577777777777773E-2</v>
      </c>
      <c r="AO193" s="233">
        <f t="shared" si="27"/>
        <v>8.3333333333333339E-4</v>
      </c>
      <c r="AP193" s="233">
        <f t="shared" si="28"/>
        <v>8.4444444444444437E-3</v>
      </c>
      <c r="AQ193" s="233">
        <f t="shared" si="29"/>
        <v>2.0277777777777777E-3</v>
      </c>
      <c r="AR193" s="233">
        <f t="shared" si="30"/>
        <v>1.7083333333333333E-4</v>
      </c>
      <c r="AS193" s="233">
        <f t="shared" si="31"/>
        <v>2.0833333333333335E-4</v>
      </c>
      <c r="AT193" s="233">
        <f t="shared" si="32"/>
        <v>1.2962962962962963E-3</v>
      </c>
      <c r="AU193" s="235">
        <f>SUM(tabParametros[[#This Row],[Ausência por Doença]:[Férias, Adicional de Férias e 13º  com empregada em gozo de Licença Maternidade]])*SUM(tabParametros[[#This Row],[INSS]:[SEBRAE]])</f>
        <v>4.5918250000000008E-3</v>
      </c>
      <c r="AV193" s="254">
        <f>IF(tabParametros[[#This Row],[Função]]="Porteiro - 220 h",SUM(tabParametros[[#This Row],[Salário Base]:[Adicional de Acúmulo de função]])/220*20*1.5,IF(ISNUMBER(SEARCH("12 x 36",tabParametros[[#This Row],[Função]],1)),SUM(tabParametros[[#This Row],[Salário Base]:[Adicional de Acúmulo de função]])/210*15.5*1.5,0))</f>
        <v>0</v>
      </c>
      <c r="AW193" s="232">
        <f>IF(tabParametros[[#This Row],[Vagas contratadas]]&gt;0,(SUM(tabParametros[[#This Row],[Salário Base]:[Adicional de Acúmulo de função]])*30%+SUM(tabParametros[[#This Row],[Vale - Alimentação]:[Seguro de Vida]]))/tabParametros[[#This Row],[Vagas contratadas]]*tabParametros[[#This Row],[Vagas suspensas]],0)</f>
        <v>0</v>
      </c>
      <c r="AX193" s="232">
        <f>SUMIF(tabUniformes[Cargo],tabParametros[[#This Row],[Função]],tabUniformes[Valor unit. Mensal])</f>
        <v>92.100763771570698</v>
      </c>
      <c r="AY19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9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9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3" s="232">
        <v>0</v>
      </c>
      <c r="BC193" s="234" t="e">
        <f ca="1">VLOOKUP(tabParametros[[#Headers],[Custos Indiretos]],tabOutrosCustos[],3,0)</f>
        <v>#NAME?</v>
      </c>
      <c r="BD193" s="234" t="e">
        <f ca="1">VLOOKUP(tabParametros[[#Headers],[Lucro]],tabOutrosCustos[],3,0)</f>
        <v>#NAME?</v>
      </c>
      <c r="BE193" s="233">
        <f>VLOOKUP(tabParametros[[#Headers],[COFINS]],tabImpostosNacionais[],2,0)</f>
        <v>7.5999999999999998E-2</v>
      </c>
      <c r="BF193" s="233">
        <f>VLOOKUP(tabParametros[[#Headers],[PIS]],tabImpostosNacionais[],2,0)</f>
        <v>1.6500000000000001E-2</v>
      </c>
      <c r="BG193" s="233">
        <f>VLOOKUP(tabParametros[[#This Row],[Comarca]],tabComarca[],4,0)</f>
        <v>0.05</v>
      </c>
      <c r="BH193" s="236">
        <f>VLOOKUP(tabParametros[[#This Row],[CCT DA CATEGORIA]],tabSindicatos[],11,0)</f>
        <v>45658</v>
      </c>
      <c r="BI193" s="282" t="str">
        <f>VLOOKUP(tabParametros[[#This Row],[CCT DA CATEGORIA]],tabSindicatos[],12,0)</f>
        <v>-</v>
      </c>
      <c r="BJ193" s="285" t="str">
        <f>VLOOKUP(tabParametros[[#This Row],[CCT DA CATEGORIA]],tabSindicatos[],13,0)</f>
        <v>-</v>
      </c>
    </row>
    <row r="194" spans="1:62">
      <c r="A194" s="231" t="s">
        <v>1633</v>
      </c>
      <c r="B194" s="197" t="s">
        <v>936</v>
      </c>
      <c r="C194" s="197" t="s">
        <v>324</v>
      </c>
      <c r="D194" s="197" t="str">
        <f>VLOOKUP(tabParametros[[#This Row],[Código do Posto]],tabPostos[],4,0)</f>
        <v>Juiz de Fora</v>
      </c>
      <c r="E194" s="282" t="str">
        <f>VLOOKUP(tabParametros[[#This Row],[Código do Posto]],tabPostos[],5,0)</f>
        <v>Apoio</v>
      </c>
      <c r="F194" s="282" t="str">
        <f>VLOOKUP(tabParametros[[#This Row],[Código do Posto]],tabPostos[],6,0)</f>
        <v>PGJ</v>
      </c>
      <c r="G194" s="282">
        <f>VLOOKUP(tabParametros[[#This Row],[Código do Posto]],tabPostos[],7,0)</f>
        <v>1</v>
      </c>
      <c r="H194" s="282">
        <f>VLOOKUP(tabParametros[[#This Row],[Código do Posto]],tabPostos[],8,0)</f>
        <v>0</v>
      </c>
      <c r="I194" s="232">
        <f>VLOOKUP(tabParametros[[#This Row],[Código do Posto]],tabPostos[],9,0)</f>
        <v>3429.0284060327917</v>
      </c>
      <c r="J194" s="232">
        <f>IF(ISNUMBER(SEARCH("Eletricista",tabParametros[[#This Row],[Função]],1)),0.3*tabParametros[[#This Row],[Salário Base]],0)</f>
        <v>0</v>
      </c>
      <c r="K19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94" s="232">
        <f>IF(AND(ISNUMBER(SEARCH("Noturno",tabParametros[[#This Row],[Função]],1)),tabParametros[[#This Row],[Comarca]]&lt;&gt;"Juiz de Fora"),tabParametros[[#This Row],[Salário Base]]/210*0.39*7*15.5,IF(ISNUMBER(SEARCH("Noturno",tabParametros[[#This Row],[Função]],1)),tabParametros[[#This Row],[Salário Base]]/210*0.2*8*15.5,0))</f>
        <v>0</v>
      </c>
      <c r="M194" s="232">
        <f>IF(ISNUMBER(SEARCH("Motorista II",tabParametros[[#This Row],[Função]],1)),0.3022*tabParametros[[#This Row],[Salário Base]],0)</f>
        <v>0</v>
      </c>
      <c r="N194" s="254">
        <v>0</v>
      </c>
      <c r="O194" s="254">
        <f>IF(ISNUMBER(SEARCH("TECNOLOGIA DA INFORMACAO",tabParametros[[#This Row],[Função]],1)),0.056*tabParametros[[#This Row],[Salário Base]],0)</f>
        <v>0</v>
      </c>
      <c r="P194" s="232">
        <f>IF(tabParametros[[#This Row],[Função]]="Operador de Midia Audiovisual - 150 h",tabParametros[[#This Row],[Salário Base]]/150*50*30%,IF(tabParametros[[#This Row],[Função]]="Supervisor de Manutencao de Veiculos II - 220 h",12%*tabParametros[[#This Row],[Salário Base]],0))</f>
        <v>0</v>
      </c>
      <c r="Q194" s="233">
        <f>VLOOKUP(tabParametros[[#Headers],[INSS]],tabImpostosNacionais[],2,0)</f>
        <v>0.2</v>
      </c>
      <c r="R194" s="233">
        <f>VLOOKUP(tabParametros[[#Headers],[SESI OU SESC]],tabImpostosNacionais[],2,0)</f>
        <v>1.4999999999999999E-2</v>
      </c>
      <c r="S194" s="233">
        <f>VLOOKUP(tabParametros[[#Headers],[SENAI OU SENAC]],tabImpostosNacionais[],2,0)</f>
        <v>0.01</v>
      </c>
      <c r="T194" s="233">
        <f>VLOOKUP(tabParametros[[#Headers],[INCRA]],tabImpostosNacionais[],2,0)</f>
        <v>2E-3</v>
      </c>
      <c r="U194" s="233">
        <f>VLOOKUP(tabParametros[[#Headers],[Salário Educação]],tabImpostosNacionais[],2,0)</f>
        <v>2.5000000000000001E-2</v>
      </c>
      <c r="V194" s="233">
        <f>VLOOKUP(tabParametros[[#Headers],[FGTS]],tabImpostosNacionais[],2,0)</f>
        <v>0.08</v>
      </c>
      <c r="W194" s="233">
        <f>VLOOKUP(tabParametros[[#Headers],[RAT Ajustado]],tabImpostosNacionais[],2,0)</f>
        <v>0.04</v>
      </c>
      <c r="X194" s="233">
        <f>VLOOKUP(tabParametros[[#Headers],[SEBRAE]],tabImpostosNacionais[],2,0)</f>
        <v>6.0000000000000001E-3</v>
      </c>
      <c r="Y194" s="233">
        <f t="shared" si="22"/>
        <v>8.3333333333333329E-2</v>
      </c>
      <c r="Z194" s="233">
        <f t="shared" si="23"/>
        <v>0.1111111111111111</v>
      </c>
      <c r="AA194" s="232">
        <f>VLOOKUP(tabParametros[[#This Row],[Comarca]],tabComarca[],5,0)</f>
        <v>6.4</v>
      </c>
      <c r="AB194" s="232">
        <f>VLOOKUP(tabParametros[[#This Row],[CCT DA CATEGORIA]],tabSindicatos[],6,0)</f>
        <v>29.15</v>
      </c>
      <c r="AC194" s="232">
        <f>VLOOKUP(tabParametros[[#This Row],[CCT DA CATEGORIA]],tabSindicatos[],7,0)</f>
        <v>0</v>
      </c>
      <c r="AD194" s="232" cm="1">
        <f t="array" ref="AD19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56.3</v>
      </c>
      <c r="AE194" s="232">
        <f>VLOOKUP(tabParametros[[#This Row],[CCT DA CATEGORIA]],tabSindicatos[],9,0)</f>
        <v>14.69</v>
      </c>
      <c r="AF194" s="232">
        <f>VLOOKUP(tabParametros[[#This Row],[CCT DA CATEGORIA]],tabSindicatos[],10,0)</f>
        <v>0</v>
      </c>
      <c r="AG194" s="234">
        <f>VLOOKUP(tabParametros[[#Headers],[Seguro de Vida]],tabOutrosCustos[],3,0)</f>
        <v>3.36</v>
      </c>
      <c r="AH194" s="234">
        <f>IF(ISNUMBER(SEARCH("MOTORISTA",tabParametros[[#This Row],[Função]],1)),VLOOKUP("MOTORISTAS",tabDiarias[],2,0),IF(tabParametros[[#This Row],[Comarca]]="Belo Horizonte",VLOOKUP("APOIO",tabDiarias[],2,0),0))</f>
        <v>0</v>
      </c>
      <c r="AI194" s="233">
        <f t="shared" si="24"/>
        <v>7.011766975308642E-3</v>
      </c>
      <c r="AJ194" s="235">
        <f>tabParametros[[#This Row],[FGTS]]*tabParametros[[#This Row],[Aviso Prévio Indenizado (API) e Reflexo do Aviso Prévio Indenizado]]</f>
        <v>5.609413580246914E-4</v>
      </c>
      <c r="AK194" s="235">
        <f>tabParametros[[#This Row],[FGTS]]*tabParametros[[#This Row],[Aviso Prévio Indenizado (API) e Reflexo do Aviso Prévio Indenizado]]*40%</f>
        <v>2.2437654320987658E-4</v>
      </c>
      <c r="AL194" s="233">
        <f t="shared" si="25"/>
        <v>3.5000000000000005E-3</v>
      </c>
      <c r="AM194" s="233">
        <f>tabParametros[[#This Row],[Aviso Prévio Trabalhado - APT]]*SUM(tabParametros[[#This Row],[INSS]:[SEBRAE]])</f>
        <v>1.3230000000000004E-3</v>
      </c>
      <c r="AN194" s="233">
        <f t="shared" si="26"/>
        <v>3.0577777777777773E-2</v>
      </c>
      <c r="AO194" s="233">
        <f t="shared" si="27"/>
        <v>8.3333333333333339E-4</v>
      </c>
      <c r="AP194" s="233">
        <f t="shared" si="28"/>
        <v>8.4444444444444437E-3</v>
      </c>
      <c r="AQ194" s="233">
        <f t="shared" si="29"/>
        <v>2.0277777777777777E-3</v>
      </c>
      <c r="AR194" s="233">
        <f t="shared" si="30"/>
        <v>1.7083333333333333E-4</v>
      </c>
      <c r="AS194" s="233">
        <f t="shared" si="31"/>
        <v>2.0833333333333335E-4</v>
      </c>
      <c r="AT194" s="233">
        <f t="shared" si="32"/>
        <v>1.2962962962962963E-3</v>
      </c>
      <c r="AU194" s="235">
        <f>SUM(tabParametros[[#This Row],[Ausência por Doença]:[Férias, Adicional de Férias e 13º  com empregada em gozo de Licença Maternidade]])*SUM(tabParametros[[#This Row],[INSS]:[SEBRAE]])</f>
        <v>4.5918250000000008E-3</v>
      </c>
      <c r="AV194" s="254">
        <f>IF(tabParametros[[#This Row],[Função]]="Porteiro - 220 h",SUM(tabParametros[[#This Row],[Salário Base]:[Adicional de Acúmulo de função]])/220*20*1.5,IF(ISNUMBER(SEARCH("12 x 36",tabParametros[[#This Row],[Função]],1)),SUM(tabParametros[[#This Row],[Salário Base]:[Adicional de Acúmulo de função]])/210*15.5*1.5,0))</f>
        <v>0</v>
      </c>
      <c r="AW194" s="232">
        <f>IF(tabParametros[[#This Row],[Vagas contratadas]]&gt;0,(SUM(tabParametros[[#This Row],[Salário Base]:[Adicional de Acúmulo de função]])*30%+SUM(tabParametros[[#This Row],[Vale - Alimentação]:[Seguro de Vida]]))/tabParametros[[#This Row],[Vagas contratadas]]*tabParametros[[#This Row],[Vagas suspensas]],0)</f>
        <v>0</v>
      </c>
      <c r="AX194" s="232">
        <f>SUMIF(tabUniformes[Cargo],tabParametros[[#This Row],[Função]],tabUniformes[Valor unit. Mensal])</f>
        <v>56.642978962543395</v>
      </c>
      <c r="AY19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9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9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4" s="232">
        <v>0</v>
      </c>
      <c r="BC194" s="234" t="e">
        <f ca="1">VLOOKUP(tabParametros[[#Headers],[Custos Indiretos]],tabOutrosCustos[],3,0)</f>
        <v>#NAME?</v>
      </c>
      <c r="BD194" s="234" t="e">
        <f ca="1">VLOOKUP(tabParametros[[#Headers],[Lucro]],tabOutrosCustos[],3,0)</f>
        <v>#NAME?</v>
      </c>
      <c r="BE194" s="233">
        <f>VLOOKUP(tabParametros[[#Headers],[COFINS]],tabImpostosNacionais[],2,0)</f>
        <v>7.5999999999999998E-2</v>
      </c>
      <c r="BF194" s="233">
        <f>VLOOKUP(tabParametros[[#Headers],[PIS]],tabImpostosNacionais[],2,0)</f>
        <v>1.6500000000000001E-2</v>
      </c>
      <c r="BG194" s="233">
        <f>VLOOKUP(tabParametros[[#This Row],[Comarca]],tabComarca[],4,0)</f>
        <v>0.05</v>
      </c>
      <c r="BH194" s="236">
        <f>VLOOKUP(tabParametros[[#This Row],[CCT DA CATEGORIA]],tabSindicatos[],11,0)</f>
        <v>45658</v>
      </c>
      <c r="BI194" s="282" t="str">
        <f>VLOOKUP(tabParametros[[#This Row],[CCT DA CATEGORIA]],tabSindicatos[],12,0)</f>
        <v>-</v>
      </c>
      <c r="BJ194" s="285" t="str">
        <f>VLOOKUP(tabParametros[[#This Row],[CCT DA CATEGORIA]],tabSindicatos[],13,0)</f>
        <v>-</v>
      </c>
    </row>
    <row r="195" spans="1:62">
      <c r="A195" s="231" t="s">
        <v>1634</v>
      </c>
      <c r="B195" s="197" t="s">
        <v>1157</v>
      </c>
      <c r="C195" s="197" t="s">
        <v>324</v>
      </c>
      <c r="D195" s="197" t="str">
        <f>VLOOKUP(tabParametros[[#This Row],[Código do Posto]],tabPostos[],4,0)</f>
        <v>Regiao de Divinopolis</v>
      </c>
      <c r="E195" s="282" t="str">
        <f>VLOOKUP(tabParametros[[#This Row],[Código do Posto]],tabPostos[],5,0)</f>
        <v>Apoio</v>
      </c>
      <c r="F195" s="282" t="str">
        <f>VLOOKUP(tabParametros[[#This Row],[Código do Posto]],tabPostos[],6,0)</f>
        <v>PGJ</v>
      </c>
      <c r="G195" s="282">
        <f>VLOOKUP(tabParametros[[#This Row],[Código do Posto]],tabPostos[],7,0)</f>
        <v>1</v>
      </c>
      <c r="H195" s="282">
        <f>VLOOKUP(tabParametros[[#This Row],[Código do Posto]],tabPostos[],8,0)</f>
        <v>0</v>
      </c>
      <c r="I195" s="232">
        <f>VLOOKUP(tabParametros[[#This Row],[Código do Posto]],tabPostos[],9,0)</f>
        <v>3397.130467372021</v>
      </c>
      <c r="J195" s="232">
        <f>IF(ISNUMBER(SEARCH("Eletricista",tabParametros[[#This Row],[Função]],1)),0.3*tabParametros[[#This Row],[Salário Base]],0)</f>
        <v>0</v>
      </c>
      <c r="K19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95" s="232">
        <f>IF(AND(ISNUMBER(SEARCH("Noturno",tabParametros[[#This Row],[Função]],1)),tabParametros[[#This Row],[Comarca]]&lt;&gt;"Juiz de Fora"),tabParametros[[#This Row],[Salário Base]]/210*0.39*7*15.5,IF(ISNUMBER(SEARCH("Noturno",tabParametros[[#This Row],[Função]],1)),tabParametros[[#This Row],[Salário Base]]/210*0.2*8*15.5,0))</f>
        <v>0</v>
      </c>
      <c r="M195" s="232">
        <f>IF(ISNUMBER(SEARCH("Motorista II",tabParametros[[#This Row],[Função]],1)),0.3022*tabParametros[[#This Row],[Salário Base]],0)</f>
        <v>0</v>
      </c>
      <c r="N195" s="254">
        <v>0</v>
      </c>
      <c r="O195" s="254">
        <f>IF(ISNUMBER(SEARCH("TECNOLOGIA DA INFORMACAO",tabParametros[[#This Row],[Função]],1)),0.056*tabParametros[[#This Row],[Salário Base]],0)</f>
        <v>0</v>
      </c>
      <c r="P195" s="232">
        <f>IF(tabParametros[[#This Row],[Função]]="Operador de Midia Audiovisual - 150 h",tabParametros[[#This Row],[Salário Base]]/150*50*30%,IF(tabParametros[[#This Row],[Função]]="Supervisor de Manutencao de Veiculos II - 220 h",12%*tabParametros[[#This Row],[Salário Base]],0))</f>
        <v>0</v>
      </c>
      <c r="Q195" s="233">
        <f>VLOOKUP(tabParametros[[#Headers],[INSS]],tabImpostosNacionais[],2,0)</f>
        <v>0.2</v>
      </c>
      <c r="R195" s="233">
        <f>VLOOKUP(tabParametros[[#Headers],[SESI OU SESC]],tabImpostosNacionais[],2,0)</f>
        <v>1.4999999999999999E-2</v>
      </c>
      <c r="S195" s="233">
        <f>VLOOKUP(tabParametros[[#Headers],[SENAI OU SENAC]],tabImpostosNacionais[],2,0)</f>
        <v>0.01</v>
      </c>
      <c r="T195" s="233">
        <f>VLOOKUP(tabParametros[[#Headers],[INCRA]],tabImpostosNacionais[],2,0)</f>
        <v>2E-3</v>
      </c>
      <c r="U195" s="233">
        <f>VLOOKUP(tabParametros[[#Headers],[Salário Educação]],tabImpostosNacionais[],2,0)</f>
        <v>2.5000000000000001E-2</v>
      </c>
      <c r="V195" s="233">
        <f>VLOOKUP(tabParametros[[#Headers],[FGTS]],tabImpostosNacionais[],2,0)</f>
        <v>0.08</v>
      </c>
      <c r="W195" s="233">
        <f>VLOOKUP(tabParametros[[#Headers],[RAT Ajustado]],tabImpostosNacionais[],2,0)</f>
        <v>0.04</v>
      </c>
      <c r="X195" s="233">
        <f>VLOOKUP(tabParametros[[#Headers],[SEBRAE]],tabImpostosNacionais[],2,0)</f>
        <v>6.0000000000000001E-3</v>
      </c>
      <c r="Y195" s="233">
        <f t="shared" si="22"/>
        <v>8.3333333333333329E-2</v>
      </c>
      <c r="Z195" s="233">
        <f t="shared" si="23"/>
        <v>0.1111111111111111</v>
      </c>
      <c r="AA195" s="232">
        <f>VLOOKUP(tabParametros[[#This Row],[Comarca]],tabComarca[],5,0)</f>
        <v>6.4</v>
      </c>
      <c r="AB195" s="232">
        <f>VLOOKUP(tabParametros[[#This Row],[CCT DA CATEGORIA]],tabSindicatos[],6,0)</f>
        <v>29.15</v>
      </c>
      <c r="AC195" s="232">
        <f>VLOOKUP(tabParametros[[#This Row],[CCT DA CATEGORIA]],tabSindicatos[],7,0)</f>
        <v>0</v>
      </c>
      <c r="AD195" s="232" cm="1">
        <f t="array" ref="AD19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195" s="232">
        <f>VLOOKUP(tabParametros[[#This Row],[CCT DA CATEGORIA]],tabSindicatos[],9,0)</f>
        <v>0</v>
      </c>
      <c r="AF195" s="232">
        <f>VLOOKUP(tabParametros[[#This Row],[CCT DA CATEGORIA]],tabSindicatos[],10,0)</f>
        <v>0</v>
      </c>
      <c r="AG195" s="234">
        <f>VLOOKUP(tabParametros[[#Headers],[Seguro de Vida]],tabOutrosCustos[],3,0)</f>
        <v>3.36</v>
      </c>
      <c r="AH195" s="234">
        <f>IF(ISNUMBER(SEARCH("MOTORISTA",tabParametros[[#This Row],[Função]],1)),VLOOKUP("MOTORISTAS",tabDiarias[],2,0),IF(tabParametros[[#This Row],[Comarca]]="Belo Horizonte",VLOOKUP("APOIO",tabDiarias[],2,0),0))</f>
        <v>0</v>
      </c>
      <c r="AI195" s="233">
        <f t="shared" si="24"/>
        <v>7.011766975308642E-3</v>
      </c>
      <c r="AJ195" s="235">
        <f>tabParametros[[#This Row],[FGTS]]*tabParametros[[#This Row],[Aviso Prévio Indenizado (API) e Reflexo do Aviso Prévio Indenizado]]</f>
        <v>5.609413580246914E-4</v>
      </c>
      <c r="AK195" s="235">
        <f>tabParametros[[#This Row],[FGTS]]*tabParametros[[#This Row],[Aviso Prévio Indenizado (API) e Reflexo do Aviso Prévio Indenizado]]*40%</f>
        <v>2.2437654320987658E-4</v>
      </c>
      <c r="AL195" s="233">
        <f t="shared" si="25"/>
        <v>3.5000000000000005E-3</v>
      </c>
      <c r="AM195" s="233">
        <f>tabParametros[[#This Row],[Aviso Prévio Trabalhado - APT]]*SUM(tabParametros[[#This Row],[INSS]:[SEBRAE]])</f>
        <v>1.3230000000000004E-3</v>
      </c>
      <c r="AN195" s="233">
        <f t="shared" si="26"/>
        <v>3.0577777777777773E-2</v>
      </c>
      <c r="AO195" s="233">
        <f t="shared" si="27"/>
        <v>8.3333333333333339E-4</v>
      </c>
      <c r="AP195" s="233">
        <f t="shared" si="28"/>
        <v>8.4444444444444437E-3</v>
      </c>
      <c r="AQ195" s="233">
        <f t="shared" si="29"/>
        <v>2.0277777777777777E-3</v>
      </c>
      <c r="AR195" s="233">
        <f t="shared" si="30"/>
        <v>1.7083333333333333E-4</v>
      </c>
      <c r="AS195" s="233">
        <f t="shared" si="31"/>
        <v>2.0833333333333335E-4</v>
      </c>
      <c r="AT195" s="233">
        <f t="shared" si="32"/>
        <v>1.2962962962962963E-3</v>
      </c>
      <c r="AU195" s="235">
        <f>SUM(tabParametros[[#This Row],[Ausência por Doença]:[Férias, Adicional de Férias e 13º  com empregada em gozo de Licença Maternidade]])*SUM(tabParametros[[#This Row],[INSS]:[SEBRAE]])</f>
        <v>4.5918250000000008E-3</v>
      </c>
      <c r="AV195" s="254">
        <f>IF(tabParametros[[#This Row],[Função]]="Porteiro - 220 h",SUM(tabParametros[[#This Row],[Salário Base]:[Adicional de Acúmulo de função]])/220*20*1.5,IF(ISNUMBER(SEARCH("12 x 36",tabParametros[[#This Row],[Função]],1)),SUM(tabParametros[[#This Row],[Salário Base]:[Adicional de Acúmulo de função]])/210*15.5*1.5,0))</f>
        <v>0</v>
      </c>
      <c r="AW195" s="232">
        <f>IF(tabParametros[[#This Row],[Vagas contratadas]]&gt;0,(SUM(tabParametros[[#This Row],[Salário Base]:[Adicional de Acúmulo de função]])*30%+SUM(tabParametros[[#This Row],[Vale - Alimentação]:[Seguro de Vida]]))/tabParametros[[#This Row],[Vagas contratadas]]*tabParametros[[#This Row],[Vagas suspensas]],0)</f>
        <v>0</v>
      </c>
      <c r="AX195" s="232">
        <f>SUMIF(tabUniformes[Cargo],tabParametros[[#This Row],[Função]],tabUniformes[Valor unit. Mensal])</f>
        <v>56.642978962543395</v>
      </c>
      <c r="AY19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9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9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5" s="232">
        <v>0</v>
      </c>
      <c r="BC195" s="234" t="e">
        <f ca="1">VLOOKUP(tabParametros[[#Headers],[Custos Indiretos]],tabOutrosCustos[],3,0)</f>
        <v>#NAME?</v>
      </c>
      <c r="BD195" s="234" t="e">
        <f ca="1">VLOOKUP(tabParametros[[#Headers],[Lucro]],tabOutrosCustos[],3,0)</f>
        <v>#NAME?</v>
      </c>
      <c r="BE195" s="233">
        <f>VLOOKUP(tabParametros[[#Headers],[COFINS]],tabImpostosNacionais[],2,0)</f>
        <v>7.5999999999999998E-2</v>
      </c>
      <c r="BF195" s="233">
        <f>VLOOKUP(tabParametros[[#Headers],[PIS]],tabImpostosNacionais[],2,0)</f>
        <v>1.6500000000000001E-2</v>
      </c>
      <c r="BG195" s="233">
        <f>VLOOKUP(tabParametros[[#This Row],[Comarca]],tabComarca[],4,0)</f>
        <v>0.02</v>
      </c>
      <c r="BH195" s="236">
        <f>VLOOKUP(tabParametros[[#This Row],[CCT DA CATEGORIA]],tabSindicatos[],11,0)</f>
        <v>45658</v>
      </c>
      <c r="BI195" s="282" t="str">
        <f>VLOOKUP(tabParametros[[#This Row],[CCT DA CATEGORIA]],tabSindicatos[],12,0)</f>
        <v>-</v>
      </c>
      <c r="BJ195" s="285" t="str">
        <f>VLOOKUP(tabParametros[[#This Row],[CCT DA CATEGORIA]],tabSindicatos[],13,0)</f>
        <v>-</v>
      </c>
    </row>
    <row r="196" spans="1:62">
      <c r="A196" s="231" t="s">
        <v>1635</v>
      </c>
      <c r="B196" s="197" t="s">
        <v>1158</v>
      </c>
      <c r="C196" s="197" t="s">
        <v>314</v>
      </c>
      <c r="D196" s="197" t="str">
        <f>VLOOKUP(tabParametros[[#This Row],[Código do Posto]],tabPostos[],4,0)</f>
        <v>Sind - Asseio</v>
      </c>
      <c r="E196" s="282" t="str">
        <f>VLOOKUP(tabParametros[[#This Row],[Código do Posto]],tabPostos[],5,0)</f>
        <v>Apoio</v>
      </c>
      <c r="F196" s="282" t="str">
        <f>VLOOKUP(tabParametros[[#This Row],[Código do Posto]],tabPostos[],6,0)</f>
        <v>PGJ</v>
      </c>
      <c r="G196" s="282">
        <f>VLOOKUP(tabParametros[[#This Row],[Código do Posto]],tabPostos[],7,0)</f>
        <v>1</v>
      </c>
      <c r="H196" s="282">
        <f>VLOOKUP(tabParametros[[#This Row],[Código do Posto]],tabPostos[],8,0)</f>
        <v>0</v>
      </c>
      <c r="I196" s="232">
        <f>VLOOKUP(tabParametros[[#This Row],[Código do Posto]],tabPostos[],9,0)</f>
        <v>2134.8034899326635</v>
      </c>
      <c r="J196" s="232">
        <f>IF(ISNUMBER(SEARCH("Eletricista",tabParametros[[#This Row],[Função]],1)),0.3*tabParametros[[#This Row],[Salário Base]],0)</f>
        <v>0</v>
      </c>
      <c r="K19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96" s="232">
        <f>IF(AND(ISNUMBER(SEARCH("Noturno",tabParametros[[#This Row],[Função]],1)),tabParametros[[#This Row],[Comarca]]&lt;&gt;"Juiz de Fora"),tabParametros[[#This Row],[Salário Base]]/210*0.39*7*15.5,IF(ISNUMBER(SEARCH("Noturno",tabParametros[[#This Row],[Função]],1)),tabParametros[[#This Row],[Salário Base]]/210*0.2*8*15.5,0))</f>
        <v>0</v>
      </c>
      <c r="M196" s="232">
        <f>IF(ISNUMBER(SEARCH("Motorista II",tabParametros[[#This Row],[Função]],1)),0.3022*tabParametros[[#This Row],[Salário Base]],0)</f>
        <v>0</v>
      </c>
      <c r="N196" s="254">
        <v>0</v>
      </c>
      <c r="O196" s="254">
        <f>IF(ISNUMBER(SEARCH("TECNOLOGIA DA INFORMACAO",tabParametros[[#This Row],[Função]],1)),0.056*tabParametros[[#This Row],[Salário Base]],0)</f>
        <v>0</v>
      </c>
      <c r="P196" s="232">
        <f>IF(tabParametros[[#This Row],[Função]]="Operador de Midia Audiovisual - 150 h",tabParametros[[#This Row],[Salário Base]]/150*50*30%,IF(tabParametros[[#This Row],[Função]]="Supervisor de Manutencao de Veiculos II - 220 h",12%*tabParametros[[#This Row],[Salário Base]],0))</f>
        <v>0</v>
      </c>
      <c r="Q196" s="233">
        <f>VLOOKUP(tabParametros[[#Headers],[INSS]],tabImpostosNacionais[],2,0)</f>
        <v>0.2</v>
      </c>
      <c r="R196" s="233">
        <f>VLOOKUP(tabParametros[[#Headers],[SESI OU SESC]],tabImpostosNacionais[],2,0)</f>
        <v>1.4999999999999999E-2</v>
      </c>
      <c r="S196" s="233">
        <f>VLOOKUP(tabParametros[[#Headers],[SENAI OU SENAC]],tabImpostosNacionais[],2,0)</f>
        <v>0.01</v>
      </c>
      <c r="T196" s="233">
        <f>VLOOKUP(tabParametros[[#Headers],[INCRA]],tabImpostosNacionais[],2,0)</f>
        <v>2E-3</v>
      </c>
      <c r="U196" s="233">
        <f>VLOOKUP(tabParametros[[#Headers],[Salário Educação]],tabImpostosNacionais[],2,0)</f>
        <v>2.5000000000000001E-2</v>
      </c>
      <c r="V196" s="233">
        <f>VLOOKUP(tabParametros[[#Headers],[FGTS]],tabImpostosNacionais[],2,0)</f>
        <v>0.08</v>
      </c>
      <c r="W196" s="233">
        <f>VLOOKUP(tabParametros[[#Headers],[RAT Ajustado]],tabImpostosNacionais[],2,0)</f>
        <v>0.04</v>
      </c>
      <c r="X196" s="233">
        <f>VLOOKUP(tabParametros[[#Headers],[SEBRAE]],tabImpostosNacionais[],2,0)</f>
        <v>6.0000000000000001E-3</v>
      </c>
      <c r="Y196" s="233">
        <f t="shared" ref="Y196:Y259" si="33">1/12</f>
        <v>8.3333333333333329E-2</v>
      </c>
      <c r="Z196" s="233">
        <f t="shared" ref="Z196:Z259" si="34">1/12+1/12/3</f>
        <v>0.1111111111111111</v>
      </c>
      <c r="AA196" s="232">
        <f>VLOOKUP(tabParametros[[#This Row],[Comarca]],tabComarca[],5,0)</f>
        <v>6.4</v>
      </c>
      <c r="AB196" s="232">
        <f>VLOOKUP(tabParametros[[#This Row],[CCT DA CATEGORIA]],tabSindicatos[],6,0)</f>
        <v>29.15</v>
      </c>
      <c r="AC196" s="232">
        <f>VLOOKUP(tabParametros[[#This Row],[CCT DA CATEGORIA]],tabSindicatos[],7,0)</f>
        <v>0</v>
      </c>
      <c r="AD196" s="232" cm="1">
        <f t="array" ref="AD19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196" s="232">
        <f>VLOOKUP(tabParametros[[#This Row],[CCT DA CATEGORIA]],tabSindicatos[],9,0)</f>
        <v>0</v>
      </c>
      <c r="AF196" s="232">
        <f>VLOOKUP(tabParametros[[#This Row],[CCT DA CATEGORIA]],tabSindicatos[],10,0)</f>
        <v>0</v>
      </c>
      <c r="AG196" s="234">
        <f>VLOOKUP(tabParametros[[#Headers],[Seguro de Vida]],tabOutrosCustos[],3,0)</f>
        <v>3.36</v>
      </c>
      <c r="AH196" s="234">
        <f>IF(ISNUMBER(SEARCH("MOTORISTA",tabParametros[[#This Row],[Função]],1)),VLOOKUP("MOTORISTAS",tabDiarias[],2,0),IF(tabParametros[[#This Row],[Comarca]]="Belo Horizonte",VLOOKUP("APOIO",tabDiarias[],2,0),0))</f>
        <v>0</v>
      </c>
      <c r="AI196" s="233">
        <f t="shared" ref="AI196:AI259" si="35">(1/12*7%)+((1+1+1/3)*1/12)*(7%/12)+((1/12*0.05)+((1+1+1/3)*1/12)*(7%/12))/30*3*5/60</f>
        <v>7.011766975308642E-3</v>
      </c>
      <c r="AJ196" s="235">
        <f>tabParametros[[#This Row],[FGTS]]*tabParametros[[#This Row],[Aviso Prévio Indenizado (API) e Reflexo do Aviso Prévio Indenizado]]</f>
        <v>5.609413580246914E-4</v>
      </c>
      <c r="AK196" s="235">
        <f>tabParametros[[#This Row],[FGTS]]*tabParametros[[#This Row],[Aviso Prévio Indenizado (API) e Reflexo do Aviso Prévio Indenizado]]*40%</f>
        <v>2.2437654320987658E-4</v>
      </c>
      <c r="AL196" s="233">
        <f t="shared" ref="AL196:AL259" si="36">((1/30*7)*0.9)/60</f>
        <v>3.5000000000000005E-3</v>
      </c>
      <c r="AM196" s="233">
        <f>tabParametros[[#This Row],[Aviso Prévio Trabalhado - APT]]*SUM(tabParametros[[#This Row],[INSS]:[SEBRAE]])</f>
        <v>1.3230000000000004E-3</v>
      </c>
      <c r="AN196" s="233">
        <f t="shared" ref="AN196:AN259" si="37">0.4*0.08*0.8*(1+1/12+1/12+1/3/12)</f>
        <v>3.0577777777777773E-2</v>
      </c>
      <c r="AO196" s="233">
        <f t="shared" ref="AO196:AO259" si="38">(1*1%)/12</f>
        <v>8.3333333333333339E-4</v>
      </c>
      <c r="AP196" s="233">
        <f t="shared" ref="AP196:AP259" si="39">1/30*3.04/12</f>
        <v>8.4444444444444437E-3</v>
      </c>
      <c r="AQ196" s="233">
        <f t="shared" ref="AQ196:AQ259" si="40">0.73/30/12</f>
        <v>2.0277777777777777E-3</v>
      </c>
      <c r="AR196" s="233">
        <f t="shared" ref="AR196:AR259" si="41">5/30/12*1.23%</f>
        <v>1.7083333333333333E-4</v>
      </c>
      <c r="AS196" s="233">
        <f t="shared" ref="AS196:AS259" si="42">1/30*15*0.5%/12</f>
        <v>2.0833333333333335E-4</v>
      </c>
      <c r="AT196" s="233">
        <f t="shared" ref="AT196:AT259" si="43">((1/12+1/12+1/3/12)*4/12)*2%</f>
        <v>1.2962962962962963E-3</v>
      </c>
      <c r="AU196" s="235">
        <f>SUM(tabParametros[[#This Row],[Ausência por Doença]:[Férias, Adicional de Férias e 13º  com empregada em gozo de Licença Maternidade]])*SUM(tabParametros[[#This Row],[INSS]:[SEBRAE]])</f>
        <v>4.5918250000000008E-3</v>
      </c>
      <c r="AV196" s="254">
        <f>IF(tabParametros[[#This Row],[Função]]="Porteiro - 220 h",SUM(tabParametros[[#This Row],[Salário Base]:[Adicional de Acúmulo de função]])/220*20*1.5,IF(ISNUMBER(SEARCH("12 x 36",tabParametros[[#This Row],[Função]],1)),SUM(tabParametros[[#This Row],[Salário Base]:[Adicional de Acúmulo de função]])/210*15.5*1.5,0))</f>
        <v>291.10956680899955</v>
      </c>
      <c r="AW196" s="232">
        <f>IF(tabParametros[[#This Row],[Vagas contratadas]]&gt;0,(SUM(tabParametros[[#This Row],[Salário Base]:[Adicional de Acúmulo de função]])*30%+SUM(tabParametros[[#This Row],[Vale - Alimentação]:[Seguro de Vida]]))/tabParametros[[#This Row],[Vagas contratadas]]*tabParametros[[#This Row],[Vagas suspensas]],0)</f>
        <v>0</v>
      </c>
      <c r="AX196" s="232">
        <f>SUMIF(tabUniformes[Cargo],tabParametros[[#This Row],[Função]],tabUniformes[Valor unit. Mensal])</f>
        <v>56.642978962543395</v>
      </c>
      <c r="AY19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9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9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6" s="232">
        <v>0</v>
      </c>
      <c r="BC196" s="234" t="e">
        <f ca="1">VLOOKUP(tabParametros[[#Headers],[Custos Indiretos]],tabOutrosCustos[],3,0)</f>
        <v>#NAME?</v>
      </c>
      <c r="BD196" s="234" t="e">
        <f ca="1">VLOOKUP(tabParametros[[#Headers],[Lucro]],tabOutrosCustos[],3,0)</f>
        <v>#NAME?</v>
      </c>
      <c r="BE196" s="233">
        <f>VLOOKUP(tabParametros[[#Headers],[COFINS]],tabImpostosNacionais[],2,0)</f>
        <v>7.5999999999999998E-2</v>
      </c>
      <c r="BF196" s="233">
        <f>VLOOKUP(tabParametros[[#Headers],[PIS]],tabImpostosNacionais[],2,0)</f>
        <v>1.6500000000000001E-2</v>
      </c>
      <c r="BG196" s="233">
        <f>VLOOKUP(tabParametros[[#This Row],[Comarca]],tabComarca[],4,0)</f>
        <v>0.05</v>
      </c>
      <c r="BH196" s="236">
        <f>VLOOKUP(tabParametros[[#This Row],[CCT DA CATEGORIA]],tabSindicatos[],11,0)</f>
        <v>45658</v>
      </c>
      <c r="BI196" s="282" t="str">
        <f>VLOOKUP(tabParametros[[#This Row],[CCT DA CATEGORIA]],tabSindicatos[],12,0)</f>
        <v>-</v>
      </c>
      <c r="BJ196" s="285" t="str">
        <f>VLOOKUP(tabParametros[[#This Row],[CCT DA CATEGORIA]],tabSindicatos[],13,0)</f>
        <v>-</v>
      </c>
    </row>
    <row r="197" spans="1:62">
      <c r="A197" s="231" t="s">
        <v>1487</v>
      </c>
      <c r="B197" s="197" t="s">
        <v>1159</v>
      </c>
      <c r="C197" s="197" t="s">
        <v>200</v>
      </c>
      <c r="D197" s="197" t="str">
        <f>VLOOKUP(tabParametros[[#This Row],[Código do Posto]],tabPostos[],4,0)</f>
        <v>Regiao de Sao Lourenco</v>
      </c>
      <c r="E197" s="282" t="str">
        <f>VLOOKUP(tabParametros[[#This Row],[Código do Posto]],tabPostos[],5,0)</f>
        <v>Apoio</v>
      </c>
      <c r="F197" s="282" t="str">
        <f>VLOOKUP(tabParametros[[#This Row],[Código do Posto]],tabPostos[],6,0)</f>
        <v>PGJ</v>
      </c>
      <c r="G197" s="282">
        <f>VLOOKUP(tabParametros[[#This Row],[Código do Posto]],tabPostos[],7,0)</f>
        <v>1</v>
      </c>
      <c r="H197" s="282">
        <f>VLOOKUP(tabParametros[[#This Row],[Código do Posto]],tabPostos[],8,0)</f>
        <v>0</v>
      </c>
      <c r="I197" s="232">
        <f>VLOOKUP(tabParametros[[#This Row],[Código do Posto]],tabPostos[],9,0)</f>
        <v>1596.273808921236</v>
      </c>
      <c r="J197" s="232">
        <f>IF(ISNUMBER(SEARCH("Eletricista",tabParametros[[#This Row],[Função]],1)),0.3*tabParametros[[#This Row],[Salário Base]],0)</f>
        <v>0</v>
      </c>
      <c r="K19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197" s="232">
        <f>IF(AND(ISNUMBER(SEARCH("Noturno",tabParametros[[#This Row],[Função]],1)),tabParametros[[#This Row],[Comarca]]&lt;&gt;"Juiz de Fora"),tabParametros[[#This Row],[Salário Base]]/210*0.39*7*15.5,IF(ISNUMBER(SEARCH("Noturno",tabParametros[[#This Row],[Função]],1)),tabParametros[[#This Row],[Salário Base]]/210*0.2*8*15.5,0))</f>
        <v>0</v>
      </c>
      <c r="M197" s="232">
        <f>IF(ISNUMBER(SEARCH("Motorista II",tabParametros[[#This Row],[Função]],1)),0.3022*tabParametros[[#This Row],[Salário Base]],0)</f>
        <v>0</v>
      </c>
      <c r="N197" s="254">
        <v>0</v>
      </c>
      <c r="O197" s="254">
        <f>IF(ISNUMBER(SEARCH("TECNOLOGIA DA INFORMACAO",tabParametros[[#This Row],[Função]],1)),0.056*tabParametros[[#This Row],[Salário Base]],0)</f>
        <v>0</v>
      </c>
      <c r="P197" s="232">
        <f>IF(tabParametros[[#This Row],[Função]]="Operador de Midia Audiovisual - 150 h",tabParametros[[#This Row],[Salário Base]]/150*50*30%,IF(tabParametros[[#This Row],[Função]]="Supervisor de Manutencao de Veiculos II - 220 h",12%*tabParametros[[#This Row],[Salário Base]],0))</f>
        <v>0</v>
      </c>
      <c r="Q197" s="233">
        <f>VLOOKUP(tabParametros[[#Headers],[INSS]],tabImpostosNacionais[],2,0)</f>
        <v>0.2</v>
      </c>
      <c r="R197" s="233">
        <f>VLOOKUP(tabParametros[[#Headers],[SESI OU SESC]],tabImpostosNacionais[],2,0)</f>
        <v>1.4999999999999999E-2</v>
      </c>
      <c r="S197" s="233">
        <f>VLOOKUP(tabParametros[[#Headers],[SENAI OU SENAC]],tabImpostosNacionais[],2,0)</f>
        <v>0.01</v>
      </c>
      <c r="T197" s="233">
        <f>VLOOKUP(tabParametros[[#Headers],[INCRA]],tabImpostosNacionais[],2,0)</f>
        <v>2E-3</v>
      </c>
      <c r="U197" s="233">
        <f>VLOOKUP(tabParametros[[#Headers],[Salário Educação]],tabImpostosNacionais[],2,0)</f>
        <v>2.5000000000000001E-2</v>
      </c>
      <c r="V197" s="233">
        <f>VLOOKUP(tabParametros[[#Headers],[FGTS]],tabImpostosNacionais[],2,0)</f>
        <v>0.08</v>
      </c>
      <c r="W197" s="233">
        <f>VLOOKUP(tabParametros[[#Headers],[RAT Ajustado]],tabImpostosNacionais[],2,0)</f>
        <v>0.04</v>
      </c>
      <c r="X197" s="233">
        <f>VLOOKUP(tabParametros[[#Headers],[SEBRAE]],tabImpostosNacionais[],2,0)</f>
        <v>6.0000000000000001E-3</v>
      </c>
      <c r="Y197" s="233">
        <f t="shared" si="33"/>
        <v>8.3333333333333329E-2</v>
      </c>
      <c r="Z197" s="233">
        <f t="shared" si="34"/>
        <v>0.1111111111111111</v>
      </c>
      <c r="AA197" s="232">
        <f>VLOOKUP(tabParametros[[#This Row],[Comarca]],tabComarca[],5,0)</f>
        <v>6.4</v>
      </c>
      <c r="AB197" s="232">
        <f>VLOOKUP(tabParametros[[#This Row],[CCT DA CATEGORIA]],tabSindicatos[],6,0)</f>
        <v>29.15</v>
      </c>
      <c r="AC197" s="232">
        <f>VLOOKUP(tabParametros[[#This Row],[CCT DA CATEGORIA]],tabSindicatos[],7,0)</f>
        <v>0</v>
      </c>
      <c r="AD197" s="232" cm="1">
        <f t="array" ref="AD19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197" s="232">
        <f>VLOOKUP(tabParametros[[#This Row],[CCT DA CATEGORIA]],tabSindicatos[],9,0)</f>
        <v>0</v>
      </c>
      <c r="AF197" s="232">
        <f>VLOOKUP(tabParametros[[#This Row],[CCT DA CATEGORIA]],tabSindicatos[],10,0)</f>
        <v>0</v>
      </c>
      <c r="AG197" s="234">
        <f>VLOOKUP(tabParametros[[#Headers],[Seguro de Vida]],tabOutrosCustos[],3,0)</f>
        <v>3.36</v>
      </c>
      <c r="AH197" s="234">
        <f>IF(ISNUMBER(SEARCH("MOTORISTA",tabParametros[[#This Row],[Função]],1)),VLOOKUP("MOTORISTAS",tabDiarias[],2,0),IF(tabParametros[[#This Row],[Comarca]]="Belo Horizonte",VLOOKUP("APOIO",tabDiarias[],2,0),0))</f>
        <v>0</v>
      </c>
      <c r="AI197" s="233">
        <f t="shared" si="35"/>
        <v>7.011766975308642E-3</v>
      </c>
      <c r="AJ197" s="235">
        <f>tabParametros[[#This Row],[FGTS]]*tabParametros[[#This Row],[Aviso Prévio Indenizado (API) e Reflexo do Aviso Prévio Indenizado]]</f>
        <v>5.609413580246914E-4</v>
      </c>
      <c r="AK197" s="235">
        <f>tabParametros[[#This Row],[FGTS]]*tabParametros[[#This Row],[Aviso Prévio Indenizado (API) e Reflexo do Aviso Prévio Indenizado]]*40%</f>
        <v>2.2437654320987658E-4</v>
      </c>
      <c r="AL197" s="233">
        <f t="shared" si="36"/>
        <v>3.5000000000000005E-3</v>
      </c>
      <c r="AM197" s="233">
        <f>tabParametros[[#This Row],[Aviso Prévio Trabalhado - APT]]*SUM(tabParametros[[#This Row],[INSS]:[SEBRAE]])</f>
        <v>1.3230000000000004E-3</v>
      </c>
      <c r="AN197" s="233">
        <f t="shared" si="37"/>
        <v>3.0577777777777773E-2</v>
      </c>
      <c r="AO197" s="233">
        <f t="shared" si="38"/>
        <v>8.3333333333333339E-4</v>
      </c>
      <c r="AP197" s="233">
        <f t="shared" si="39"/>
        <v>8.4444444444444437E-3</v>
      </c>
      <c r="AQ197" s="233">
        <f t="shared" si="40"/>
        <v>2.0277777777777777E-3</v>
      </c>
      <c r="AR197" s="233">
        <f t="shared" si="41"/>
        <v>1.7083333333333333E-4</v>
      </c>
      <c r="AS197" s="233">
        <f t="shared" si="42"/>
        <v>2.0833333333333335E-4</v>
      </c>
      <c r="AT197" s="233">
        <f t="shared" si="43"/>
        <v>1.2962962962962963E-3</v>
      </c>
      <c r="AU197" s="235">
        <f>SUM(tabParametros[[#This Row],[Ausência por Doença]:[Férias, Adicional de Férias e 13º  com empregada em gozo de Licença Maternidade]])*SUM(tabParametros[[#This Row],[INSS]:[SEBRAE]])</f>
        <v>4.5918250000000008E-3</v>
      </c>
      <c r="AV197" s="254">
        <f>IF(tabParametros[[#This Row],[Função]]="Porteiro - 220 h",SUM(tabParametros[[#This Row],[Salário Base]:[Adicional de Acúmulo de função]])/220*20*1.5,IF(ISNUMBER(SEARCH("12 x 36",tabParametros[[#This Row],[Função]],1)),SUM(tabParametros[[#This Row],[Salário Base]:[Adicional de Acúmulo de função]])/210*15.5*1.5,0))</f>
        <v>0</v>
      </c>
      <c r="AW197" s="232">
        <f>IF(tabParametros[[#This Row],[Vagas contratadas]]&gt;0,(SUM(tabParametros[[#This Row],[Salário Base]:[Adicional de Acúmulo de função]])*30%+SUM(tabParametros[[#This Row],[Vale - Alimentação]:[Seguro de Vida]]))/tabParametros[[#This Row],[Vagas contratadas]]*tabParametros[[#This Row],[Vagas suspensas]],0)</f>
        <v>0</v>
      </c>
      <c r="AX197" s="232">
        <f>SUMIF(tabUniformes[Cargo],tabParametros[[#This Row],[Função]],tabUniformes[Valor unit. Mensal])</f>
        <v>56.141713661989918</v>
      </c>
      <c r="AY19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19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19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7" s="232">
        <v>0</v>
      </c>
      <c r="BC197" s="234" t="e">
        <f ca="1">VLOOKUP(tabParametros[[#Headers],[Custos Indiretos]],tabOutrosCustos[],3,0)</f>
        <v>#NAME?</v>
      </c>
      <c r="BD197" s="234" t="e">
        <f ca="1">VLOOKUP(tabParametros[[#Headers],[Lucro]],tabOutrosCustos[],3,0)</f>
        <v>#NAME?</v>
      </c>
      <c r="BE197" s="233">
        <f>VLOOKUP(tabParametros[[#Headers],[COFINS]],tabImpostosNacionais[],2,0)</f>
        <v>7.5999999999999998E-2</v>
      </c>
      <c r="BF197" s="233">
        <f>VLOOKUP(tabParametros[[#Headers],[PIS]],tabImpostosNacionais[],2,0)</f>
        <v>1.6500000000000001E-2</v>
      </c>
      <c r="BG197" s="233">
        <f>VLOOKUP(tabParametros[[#This Row],[Comarca]],tabComarca[],4,0)</f>
        <v>0.05</v>
      </c>
      <c r="BH197" s="236">
        <f>VLOOKUP(tabParametros[[#This Row],[CCT DA CATEGORIA]],tabSindicatos[],11,0)</f>
        <v>45658</v>
      </c>
      <c r="BI197" s="282" t="str">
        <f>VLOOKUP(tabParametros[[#This Row],[CCT DA CATEGORIA]],tabSindicatos[],12,0)</f>
        <v>-</v>
      </c>
      <c r="BJ197" s="285" t="str">
        <f>VLOOKUP(tabParametros[[#This Row],[CCT DA CATEGORIA]],tabSindicatos[],13,0)</f>
        <v>-</v>
      </c>
    </row>
    <row r="198" spans="1:62">
      <c r="A198" s="231" t="s">
        <v>1636</v>
      </c>
      <c r="B198" s="197" t="s">
        <v>1159</v>
      </c>
      <c r="C198" s="197" t="s">
        <v>244</v>
      </c>
      <c r="D198" s="197" t="str">
        <f>VLOOKUP(tabParametros[[#This Row],[Código do Posto]],tabPostos[],4,0)</f>
        <v>Regiao de Sao Lourenco</v>
      </c>
      <c r="E198" s="282" t="str">
        <f>VLOOKUP(tabParametros[[#This Row],[Código do Posto]],tabPostos[],5,0)</f>
        <v>Apoio</v>
      </c>
      <c r="F198" s="282" t="str">
        <f>VLOOKUP(tabParametros[[#This Row],[Código do Posto]],tabPostos[],6,0)</f>
        <v>PGJ</v>
      </c>
      <c r="G198" s="282">
        <f>VLOOKUP(tabParametros[[#This Row],[Código do Posto]],tabPostos[],7,0)</f>
        <v>1</v>
      </c>
      <c r="H198" s="282">
        <f>VLOOKUP(tabParametros[[#This Row],[Código do Posto]],tabPostos[],8,0)</f>
        <v>0</v>
      </c>
      <c r="I198" s="232">
        <f>VLOOKUP(tabParametros[[#This Row],[Código do Posto]],tabPostos[],9,0)</f>
        <v>2296.1756892610078</v>
      </c>
      <c r="J198" s="232">
        <f>IF(ISNUMBER(SEARCH("Eletricista",tabParametros[[#This Row],[Função]],1)),0.3*tabParametros[[#This Row],[Salário Base]],0)</f>
        <v>0</v>
      </c>
      <c r="K19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98" s="232">
        <f>IF(AND(ISNUMBER(SEARCH("Noturno",tabParametros[[#This Row],[Função]],1)),tabParametros[[#This Row],[Comarca]]&lt;&gt;"Juiz de Fora"),tabParametros[[#This Row],[Salário Base]]/210*0.39*7*15.5,IF(ISNUMBER(SEARCH("Noturno",tabParametros[[#This Row],[Função]],1)),tabParametros[[#This Row],[Salário Base]]/210*0.2*8*15.5,0))</f>
        <v>0</v>
      </c>
      <c r="M198" s="232">
        <f>IF(ISNUMBER(SEARCH("Motorista II",tabParametros[[#This Row],[Função]],1)),0.3022*tabParametros[[#This Row],[Salário Base]],0)</f>
        <v>0</v>
      </c>
      <c r="N198" s="254">
        <v>0</v>
      </c>
      <c r="O198" s="254">
        <f>IF(ISNUMBER(SEARCH("TECNOLOGIA DA INFORMACAO",tabParametros[[#This Row],[Função]],1)),0.056*tabParametros[[#This Row],[Salário Base]],0)</f>
        <v>0</v>
      </c>
      <c r="P198" s="232">
        <f>IF(tabParametros[[#This Row],[Função]]="Operador de Midia Audiovisual - 150 h",tabParametros[[#This Row],[Salário Base]]/150*50*30%,IF(tabParametros[[#This Row],[Função]]="Supervisor de Manutencao de Veiculos II - 220 h",12%*tabParametros[[#This Row],[Salário Base]],0))</f>
        <v>0</v>
      </c>
      <c r="Q198" s="233">
        <f>VLOOKUP(tabParametros[[#Headers],[INSS]],tabImpostosNacionais[],2,0)</f>
        <v>0.2</v>
      </c>
      <c r="R198" s="233">
        <f>VLOOKUP(tabParametros[[#Headers],[SESI OU SESC]],tabImpostosNacionais[],2,0)</f>
        <v>1.4999999999999999E-2</v>
      </c>
      <c r="S198" s="233">
        <f>VLOOKUP(tabParametros[[#Headers],[SENAI OU SENAC]],tabImpostosNacionais[],2,0)</f>
        <v>0.01</v>
      </c>
      <c r="T198" s="233">
        <f>VLOOKUP(tabParametros[[#Headers],[INCRA]],tabImpostosNacionais[],2,0)</f>
        <v>2E-3</v>
      </c>
      <c r="U198" s="233">
        <f>VLOOKUP(tabParametros[[#Headers],[Salário Educação]],tabImpostosNacionais[],2,0)</f>
        <v>2.5000000000000001E-2</v>
      </c>
      <c r="V198" s="233">
        <f>VLOOKUP(tabParametros[[#Headers],[FGTS]],tabImpostosNacionais[],2,0)</f>
        <v>0.08</v>
      </c>
      <c r="W198" s="233">
        <f>VLOOKUP(tabParametros[[#Headers],[RAT Ajustado]],tabImpostosNacionais[],2,0)</f>
        <v>0.04</v>
      </c>
      <c r="X198" s="233">
        <f>VLOOKUP(tabParametros[[#Headers],[SEBRAE]],tabImpostosNacionais[],2,0)</f>
        <v>6.0000000000000001E-3</v>
      </c>
      <c r="Y198" s="233">
        <f t="shared" si="33"/>
        <v>8.3333333333333329E-2</v>
      </c>
      <c r="Z198" s="233">
        <f t="shared" si="34"/>
        <v>0.1111111111111111</v>
      </c>
      <c r="AA198" s="232">
        <f>VLOOKUP(tabParametros[[#This Row],[Comarca]],tabComarca[],5,0)</f>
        <v>6.4</v>
      </c>
      <c r="AB198" s="232">
        <f>VLOOKUP(tabParametros[[#This Row],[CCT DA CATEGORIA]],tabSindicatos[],6,0)</f>
        <v>29.15</v>
      </c>
      <c r="AC198" s="232">
        <f>VLOOKUP(tabParametros[[#This Row],[CCT DA CATEGORIA]],tabSindicatos[],7,0)</f>
        <v>0</v>
      </c>
      <c r="AD198" s="232" cm="1">
        <f t="array" ref="AD19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198" s="232">
        <f>VLOOKUP(tabParametros[[#This Row],[CCT DA CATEGORIA]],tabSindicatos[],9,0)</f>
        <v>0</v>
      </c>
      <c r="AF198" s="232">
        <f>VLOOKUP(tabParametros[[#This Row],[CCT DA CATEGORIA]],tabSindicatos[],10,0)</f>
        <v>0</v>
      </c>
      <c r="AG198" s="234">
        <f>VLOOKUP(tabParametros[[#Headers],[Seguro de Vida]],tabOutrosCustos[],3,0)</f>
        <v>3.36</v>
      </c>
      <c r="AH198" s="234">
        <f>IF(ISNUMBER(SEARCH("MOTORISTA",tabParametros[[#This Row],[Função]],1)),VLOOKUP("MOTORISTAS",tabDiarias[],2,0),IF(tabParametros[[#This Row],[Comarca]]="Belo Horizonte",VLOOKUP("APOIO",tabDiarias[],2,0),0))</f>
        <v>0</v>
      </c>
      <c r="AI198" s="233">
        <f t="shared" si="35"/>
        <v>7.011766975308642E-3</v>
      </c>
      <c r="AJ198" s="235">
        <f>tabParametros[[#This Row],[FGTS]]*tabParametros[[#This Row],[Aviso Prévio Indenizado (API) e Reflexo do Aviso Prévio Indenizado]]</f>
        <v>5.609413580246914E-4</v>
      </c>
      <c r="AK198" s="235">
        <f>tabParametros[[#This Row],[FGTS]]*tabParametros[[#This Row],[Aviso Prévio Indenizado (API) e Reflexo do Aviso Prévio Indenizado]]*40%</f>
        <v>2.2437654320987658E-4</v>
      </c>
      <c r="AL198" s="233">
        <f t="shared" si="36"/>
        <v>3.5000000000000005E-3</v>
      </c>
      <c r="AM198" s="233">
        <f>tabParametros[[#This Row],[Aviso Prévio Trabalhado - APT]]*SUM(tabParametros[[#This Row],[INSS]:[SEBRAE]])</f>
        <v>1.3230000000000004E-3</v>
      </c>
      <c r="AN198" s="233">
        <f t="shared" si="37"/>
        <v>3.0577777777777773E-2</v>
      </c>
      <c r="AO198" s="233">
        <f t="shared" si="38"/>
        <v>8.3333333333333339E-4</v>
      </c>
      <c r="AP198" s="233">
        <f t="shared" si="39"/>
        <v>8.4444444444444437E-3</v>
      </c>
      <c r="AQ198" s="233">
        <f t="shared" si="40"/>
        <v>2.0277777777777777E-3</v>
      </c>
      <c r="AR198" s="233">
        <f t="shared" si="41"/>
        <v>1.7083333333333333E-4</v>
      </c>
      <c r="AS198" s="233">
        <f t="shared" si="42"/>
        <v>2.0833333333333335E-4</v>
      </c>
      <c r="AT198" s="233">
        <f t="shared" si="43"/>
        <v>1.2962962962962963E-3</v>
      </c>
      <c r="AU198" s="235">
        <f>SUM(tabParametros[[#This Row],[Ausência por Doença]:[Férias, Adicional de Férias e 13º  com empregada em gozo de Licença Maternidade]])*SUM(tabParametros[[#This Row],[INSS]:[SEBRAE]])</f>
        <v>4.5918250000000008E-3</v>
      </c>
      <c r="AV198" s="254">
        <f>IF(tabParametros[[#This Row],[Função]]="Porteiro - 220 h",SUM(tabParametros[[#This Row],[Salário Base]:[Adicional de Acúmulo de função]])/220*20*1.5,IF(ISNUMBER(SEARCH("12 x 36",tabParametros[[#This Row],[Função]],1)),SUM(tabParametros[[#This Row],[Salário Base]:[Adicional de Acúmulo de função]])/210*15.5*1.5,0))</f>
        <v>0</v>
      </c>
      <c r="AW198" s="232">
        <f>IF(tabParametros[[#This Row],[Vagas contratadas]]&gt;0,(SUM(tabParametros[[#This Row],[Salário Base]:[Adicional de Acúmulo de função]])*30%+SUM(tabParametros[[#This Row],[Vale - Alimentação]:[Seguro de Vida]]))/tabParametros[[#This Row],[Vagas contratadas]]*tabParametros[[#This Row],[Vagas suspensas]],0)</f>
        <v>0</v>
      </c>
      <c r="AX198" s="232">
        <f>SUMIF(tabUniformes[Cargo],tabParametros[[#This Row],[Função]],tabUniformes[Valor unit. Mensal])</f>
        <v>226.33322732312172</v>
      </c>
      <c r="AY19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9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9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8" s="232">
        <v>0</v>
      </c>
      <c r="BC198" s="234" t="e">
        <f ca="1">VLOOKUP(tabParametros[[#Headers],[Custos Indiretos]],tabOutrosCustos[],3,0)</f>
        <v>#NAME?</v>
      </c>
      <c r="BD198" s="234" t="e">
        <f ca="1">VLOOKUP(tabParametros[[#Headers],[Lucro]],tabOutrosCustos[],3,0)</f>
        <v>#NAME?</v>
      </c>
      <c r="BE198" s="233">
        <f>VLOOKUP(tabParametros[[#Headers],[COFINS]],tabImpostosNacionais[],2,0)</f>
        <v>7.5999999999999998E-2</v>
      </c>
      <c r="BF198" s="233">
        <f>VLOOKUP(tabParametros[[#Headers],[PIS]],tabImpostosNacionais[],2,0)</f>
        <v>1.6500000000000001E-2</v>
      </c>
      <c r="BG198" s="233">
        <f>VLOOKUP(tabParametros[[#This Row],[Comarca]],tabComarca[],4,0)</f>
        <v>0.05</v>
      </c>
      <c r="BH198" s="236">
        <f>VLOOKUP(tabParametros[[#This Row],[CCT DA CATEGORIA]],tabSindicatos[],11,0)</f>
        <v>45658</v>
      </c>
      <c r="BI198" s="282" t="str">
        <f>VLOOKUP(tabParametros[[#This Row],[CCT DA CATEGORIA]],tabSindicatos[],12,0)</f>
        <v>-</v>
      </c>
      <c r="BJ198" s="285" t="str">
        <f>VLOOKUP(tabParametros[[#This Row],[CCT DA CATEGORIA]],tabSindicatos[],13,0)</f>
        <v>-</v>
      </c>
    </row>
    <row r="199" spans="1:62">
      <c r="A199" s="231" t="s">
        <v>1637</v>
      </c>
      <c r="B199" s="197" t="s">
        <v>1159</v>
      </c>
      <c r="C199" s="197" t="s">
        <v>1368</v>
      </c>
      <c r="D199" s="197" t="str">
        <f>VLOOKUP(tabParametros[[#This Row],[Código do Posto]],tabPostos[],4,0)</f>
        <v>Regiao de Sao Lourenco</v>
      </c>
      <c r="E199" s="282" t="str">
        <f>VLOOKUP(tabParametros[[#This Row],[Código do Posto]],tabPostos[],5,0)</f>
        <v>Apoio</v>
      </c>
      <c r="F199" s="282" t="str">
        <f>VLOOKUP(tabParametros[[#This Row],[Código do Posto]],tabPostos[],6,0)</f>
        <v>PGJ</v>
      </c>
      <c r="G199" s="282">
        <f>VLOOKUP(tabParametros[[#This Row],[Código do Posto]],tabPostos[],7,0)</f>
        <v>1</v>
      </c>
      <c r="H199" s="282">
        <f>VLOOKUP(tabParametros[[#This Row],[Código do Posto]],tabPostos[],8,0)</f>
        <v>0</v>
      </c>
      <c r="I199" s="232">
        <f>VLOOKUP(tabParametros[[#This Row],[Código do Posto]],tabPostos[],9,0)</f>
        <v>2296.1756892610078</v>
      </c>
      <c r="J199" s="232">
        <f>IF(ISNUMBER(SEARCH("Eletricista",tabParametros[[#This Row],[Função]],1)),0.3*tabParametros[[#This Row],[Salário Base]],0)</f>
        <v>0</v>
      </c>
      <c r="K19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199" s="232">
        <f>IF(AND(ISNUMBER(SEARCH("Noturno",tabParametros[[#This Row],[Função]],1)),tabParametros[[#This Row],[Comarca]]&lt;&gt;"Juiz de Fora"),tabParametros[[#This Row],[Salário Base]]/210*0.39*7*15.5,IF(ISNUMBER(SEARCH("Noturno",tabParametros[[#This Row],[Função]],1)),tabParametros[[#This Row],[Salário Base]]/210*0.2*8*15.5,0))</f>
        <v>0</v>
      </c>
      <c r="M199" s="232">
        <f>IF(ISNUMBER(SEARCH("Motorista II",tabParametros[[#This Row],[Função]],1)),0.3022*tabParametros[[#This Row],[Salário Base]],0)</f>
        <v>0</v>
      </c>
      <c r="N199" s="254">
        <v>0</v>
      </c>
      <c r="O199" s="254">
        <f>IF(ISNUMBER(SEARCH("TECNOLOGIA DA INFORMACAO",tabParametros[[#This Row],[Função]],1)),0.056*tabParametros[[#This Row],[Salário Base]],0)</f>
        <v>0</v>
      </c>
      <c r="P199" s="232">
        <f>IF(tabParametros[[#This Row],[Função]]="Operador de Midia Audiovisual - 150 h",tabParametros[[#This Row],[Salário Base]]/150*50*30%,IF(tabParametros[[#This Row],[Função]]="Supervisor de Manutencao de Veiculos II - 220 h",12%*tabParametros[[#This Row],[Salário Base]],0))</f>
        <v>0</v>
      </c>
      <c r="Q199" s="233">
        <f>VLOOKUP(tabParametros[[#Headers],[INSS]],tabImpostosNacionais[],2,0)</f>
        <v>0.2</v>
      </c>
      <c r="R199" s="233">
        <f>VLOOKUP(tabParametros[[#Headers],[SESI OU SESC]],tabImpostosNacionais[],2,0)</f>
        <v>1.4999999999999999E-2</v>
      </c>
      <c r="S199" s="233">
        <f>VLOOKUP(tabParametros[[#Headers],[SENAI OU SENAC]],tabImpostosNacionais[],2,0)</f>
        <v>0.01</v>
      </c>
      <c r="T199" s="233">
        <f>VLOOKUP(tabParametros[[#Headers],[INCRA]],tabImpostosNacionais[],2,0)</f>
        <v>2E-3</v>
      </c>
      <c r="U199" s="233">
        <f>VLOOKUP(tabParametros[[#Headers],[Salário Educação]],tabImpostosNacionais[],2,0)</f>
        <v>2.5000000000000001E-2</v>
      </c>
      <c r="V199" s="233">
        <f>VLOOKUP(tabParametros[[#Headers],[FGTS]],tabImpostosNacionais[],2,0)</f>
        <v>0.08</v>
      </c>
      <c r="W199" s="233">
        <f>VLOOKUP(tabParametros[[#Headers],[RAT Ajustado]],tabImpostosNacionais[],2,0)</f>
        <v>0.04</v>
      </c>
      <c r="X199" s="233">
        <f>VLOOKUP(tabParametros[[#Headers],[SEBRAE]],tabImpostosNacionais[],2,0)</f>
        <v>6.0000000000000001E-3</v>
      </c>
      <c r="Y199" s="233">
        <f t="shared" si="33"/>
        <v>8.3333333333333329E-2</v>
      </c>
      <c r="Z199" s="233">
        <f t="shared" si="34"/>
        <v>0.1111111111111111</v>
      </c>
      <c r="AA199" s="232">
        <f>VLOOKUP(tabParametros[[#This Row],[Comarca]],tabComarca[],5,0)</f>
        <v>6.4</v>
      </c>
      <c r="AB199" s="232">
        <f>VLOOKUP(tabParametros[[#This Row],[CCT DA CATEGORIA]],tabSindicatos[],6,0)</f>
        <v>29.15</v>
      </c>
      <c r="AC199" s="232">
        <f>VLOOKUP(tabParametros[[#This Row],[CCT DA CATEGORIA]],tabSindicatos[],7,0)</f>
        <v>0</v>
      </c>
      <c r="AD199" s="232" cm="1">
        <f t="array" ref="AD19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199" s="232">
        <f>VLOOKUP(tabParametros[[#This Row],[CCT DA CATEGORIA]],tabSindicatos[],9,0)</f>
        <v>0</v>
      </c>
      <c r="AF199" s="232">
        <f>VLOOKUP(tabParametros[[#This Row],[CCT DA CATEGORIA]],tabSindicatos[],10,0)</f>
        <v>0</v>
      </c>
      <c r="AG199" s="234">
        <f>VLOOKUP(tabParametros[[#Headers],[Seguro de Vida]],tabOutrosCustos[],3,0)</f>
        <v>3.36</v>
      </c>
      <c r="AH199" s="234">
        <f>IF(ISNUMBER(SEARCH("MOTORISTA",tabParametros[[#This Row],[Função]],1)),VLOOKUP("MOTORISTAS",tabDiarias[],2,0),IF(tabParametros[[#This Row],[Comarca]]="Belo Horizonte",VLOOKUP("APOIO",tabDiarias[],2,0),0))</f>
        <v>0</v>
      </c>
      <c r="AI199" s="233">
        <f t="shared" si="35"/>
        <v>7.011766975308642E-3</v>
      </c>
      <c r="AJ199" s="235">
        <f>tabParametros[[#This Row],[FGTS]]*tabParametros[[#This Row],[Aviso Prévio Indenizado (API) e Reflexo do Aviso Prévio Indenizado]]</f>
        <v>5.609413580246914E-4</v>
      </c>
      <c r="AK199" s="235">
        <f>tabParametros[[#This Row],[FGTS]]*tabParametros[[#This Row],[Aviso Prévio Indenizado (API) e Reflexo do Aviso Prévio Indenizado]]*40%</f>
        <v>2.2437654320987658E-4</v>
      </c>
      <c r="AL199" s="233">
        <f t="shared" si="36"/>
        <v>3.5000000000000005E-3</v>
      </c>
      <c r="AM199" s="233">
        <f>tabParametros[[#This Row],[Aviso Prévio Trabalhado - APT]]*SUM(tabParametros[[#This Row],[INSS]:[SEBRAE]])</f>
        <v>1.3230000000000004E-3</v>
      </c>
      <c r="AN199" s="233">
        <f t="shared" si="37"/>
        <v>3.0577777777777773E-2</v>
      </c>
      <c r="AO199" s="233">
        <f t="shared" si="38"/>
        <v>8.3333333333333339E-4</v>
      </c>
      <c r="AP199" s="233">
        <f t="shared" si="39"/>
        <v>8.4444444444444437E-3</v>
      </c>
      <c r="AQ199" s="233">
        <f t="shared" si="40"/>
        <v>2.0277777777777777E-3</v>
      </c>
      <c r="AR199" s="233">
        <f t="shared" si="41"/>
        <v>1.7083333333333333E-4</v>
      </c>
      <c r="AS199" s="233">
        <f t="shared" si="42"/>
        <v>2.0833333333333335E-4</v>
      </c>
      <c r="AT199" s="233">
        <f t="shared" si="43"/>
        <v>1.2962962962962963E-3</v>
      </c>
      <c r="AU199" s="235">
        <f>SUM(tabParametros[[#This Row],[Ausência por Doença]:[Férias, Adicional de Férias e 13º  com empregada em gozo de Licença Maternidade]])*SUM(tabParametros[[#This Row],[INSS]:[SEBRAE]])</f>
        <v>4.5918250000000008E-3</v>
      </c>
      <c r="AV199" s="254">
        <f>IF(tabParametros[[#This Row],[Função]]="Porteiro - 220 h",SUM(tabParametros[[#This Row],[Salário Base]:[Adicional de Acúmulo de função]])/220*20*1.5,IF(ISNUMBER(SEARCH("12 x 36",tabParametros[[#This Row],[Função]],1)),SUM(tabParametros[[#This Row],[Salário Base]:[Adicional de Acúmulo de função]])/210*15.5*1.5,0))</f>
        <v>0</v>
      </c>
      <c r="AW199" s="232">
        <f>IF(tabParametros[[#This Row],[Vagas contratadas]]&gt;0,(SUM(tabParametros[[#This Row],[Salário Base]:[Adicional de Acúmulo de função]])*30%+SUM(tabParametros[[#This Row],[Vale - Alimentação]:[Seguro de Vida]]))/tabParametros[[#This Row],[Vagas contratadas]]*tabParametros[[#This Row],[Vagas suspensas]],0)</f>
        <v>0</v>
      </c>
      <c r="AX199" s="232">
        <f>SUMIF(tabUniformes[Cargo],tabParametros[[#This Row],[Função]],tabUniformes[Valor unit. Mensal])</f>
        <v>196.62072732312174</v>
      </c>
      <c r="AY19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19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19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199" s="232">
        <v>0</v>
      </c>
      <c r="BC199" s="234" t="e">
        <f ca="1">VLOOKUP(tabParametros[[#Headers],[Custos Indiretos]],tabOutrosCustos[],3,0)</f>
        <v>#NAME?</v>
      </c>
      <c r="BD199" s="234" t="e">
        <f ca="1">VLOOKUP(tabParametros[[#Headers],[Lucro]],tabOutrosCustos[],3,0)</f>
        <v>#NAME?</v>
      </c>
      <c r="BE199" s="233">
        <f>VLOOKUP(tabParametros[[#Headers],[COFINS]],tabImpostosNacionais[],2,0)</f>
        <v>7.5999999999999998E-2</v>
      </c>
      <c r="BF199" s="233">
        <f>VLOOKUP(tabParametros[[#Headers],[PIS]],tabImpostosNacionais[],2,0)</f>
        <v>1.6500000000000001E-2</v>
      </c>
      <c r="BG199" s="233">
        <f>VLOOKUP(tabParametros[[#This Row],[Comarca]],tabComarca[],4,0)</f>
        <v>0.05</v>
      </c>
      <c r="BH199" s="236">
        <f>VLOOKUP(tabParametros[[#This Row],[CCT DA CATEGORIA]],tabSindicatos[],11,0)</f>
        <v>45658</v>
      </c>
      <c r="BI199" s="282" t="str">
        <f>VLOOKUP(tabParametros[[#This Row],[CCT DA CATEGORIA]],tabSindicatos[],12,0)</f>
        <v>-</v>
      </c>
      <c r="BJ199" s="285" t="str">
        <f>VLOOKUP(tabParametros[[#This Row],[CCT DA CATEGORIA]],tabSindicatos[],13,0)</f>
        <v>-</v>
      </c>
    </row>
    <row r="200" spans="1:62">
      <c r="A200" s="231" t="s">
        <v>1638</v>
      </c>
      <c r="B200" s="197" t="s">
        <v>1159</v>
      </c>
      <c r="C200" s="197" t="s">
        <v>274</v>
      </c>
      <c r="D200" s="197" t="str">
        <f>VLOOKUP(tabParametros[[#This Row],[Código do Posto]],tabPostos[],4,0)</f>
        <v>Rodoviarios de Lavras + SEAC-MG</v>
      </c>
      <c r="E200" s="282" t="str">
        <f>VLOOKUP(tabParametros[[#This Row],[Código do Posto]],tabPostos[],5,0)</f>
        <v>Apoio</v>
      </c>
      <c r="F200" s="282" t="str">
        <f>VLOOKUP(tabParametros[[#This Row],[Código do Posto]],tabPostos[],6,0)</f>
        <v>PGJ</v>
      </c>
      <c r="G200" s="282">
        <f>VLOOKUP(tabParametros[[#This Row],[Código do Posto]],tabPostos[],7,0)</f>
        <v>1</v>
      </c>
      <c r="H200" s="282">
        <f>VLOOKUP(tabParametros[[#This Row],[Código do Posto]],tabPostos[],8,0)</f>
        <v>0</v>
      </c>
      <c r="I200" s="232">
        <f>VLOOKUP(tabParametros[[#This Row],[Código do Posto]],tabPostos[],9,0)</f>
        <v>4599.5983837776375</v>
      </c>
      <c r="J200" s="232">
        <f>IF(ISNUMBER(SEARCH("Eletricista",tabParametros[[#This Row],[Função]],1)),0.3*tabParametros[[#This Row],[Salário Base]],0)</f>
        <v>0</v>
      </c>
      <c r="K20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0" s="232">
        <f>IF(AND(ISNUMBER(SEARCH("Noturno",tabParametros[[#This Row],[Função]],1)),tabParametros[[#This Row],[Comarca]]&lt;&gt;"Juiz de Fora"),tabParametros[[#This Row],[Salário Base]]/210*0.39*7*15.5,IF(ISNUMBER(SEARCH("Noturno",tabParametros[[#This Row],[Função]],1)),tabParametros[[#This Row],[Salário Base]]/210*0.2*8*15.5,0))</f>
        <v>0</v>
      </c>
      <c r="M200" s="232">
        <f>IF(ISNUMBER(SEARCH("Motorista II",tabParametros[[#This Row],[Função]],1)),0.3022*tabParametros[[#This Row],[Salário Base]],0)</f>
        <v>0</v>
      </c>
      <c r="N200" s="254">
        <v>0</v>
      </c>
      <c r="O200" s="254">
        <f>IF(ISNUMBER(SEARCH("TECNOLOGIA DA INFORMACAO",tabParametros[[#This Row],[Função]],1)),0.056*tabParametros[[#This Row],[Salário Base]],0)</f>
        <v>0</v>
      </c>
      <c r="P200" s="232">
        <f>IF(tabParametros[[#This Row],[Função]]="Operador de Midia Audiovisual - 150 h",tabParametros[[#This Row],[Salário Base]]/150*50*30%,IF(tabParametros[[#This Row],[Função]]="Supervisor de Manutencao de Veiculos II - 220 h",12%*tabParametros[[#This Row],[Salário Base]],0))</f>
        <v>0</v>
      </c>
      <c r="Q200" s="233">
        <f>VLOOKUP(tabParametros[[#Headers],[INSS]],tabImpostosNacionais[],2,0)</f>
        <v>0.2</v>
      </c>
      <c r="R200" s="233">
        <f>VLOOKUP(tabParametros[[#Headers],[SESI OU SESC]],tabImpostosNacionais[],2,0)</f>
        <v>1.4999999999999999E-2</v>
      </c>
      <c r="S200" s="233">
        <f>VLOOKUP(tabParametros[[#Headers],[SENAI OU SENAC]],tabImpostosNacionais[],2,0)</f>
        <v>0.01</v>
      </c>
      <c r="T200" s="233">
        <f>VLOOKUP(tabParametros[[#Headers],[INCRA]],tabImpostosNacionais[],2,0)</f>
        <v>2E-3</v>
      </c>
      <c r="U200" s="233">
        <f>VLOOKUP(tabParametros[[#Headers],[Salário Educação]],tabImpostosNacionais[],2,0)</f>
        <v>2.5000000000000001E-2</v>
      </c>
      <c r="V200" s="233">
        <f>VLOOKUP(tabParametros[[#Headers],[FGTS]],tabImpostosNacionais[],2,0)</f>
        <v>0.08</v>
      </c>
      <c r="W200" s="233">
        <f>VLOOKUP(tabParametros[[#Headers],[RAT Ajustado]],tabImpostosNacionais[],2,0)</f>
        <v>0.04</v>
      </c>
      <c r="X200" s="233">
        <f>VLOOKUP(tabParametros[[#Headers],[SEBRAE]],tabImpostosNacionais[],2,0)</f>
        <v>6.0000000000000001E-3</v>
      </c>
      <c r="Y200" s="233">
        <f t="shared" si="33"/>
        <v>8.3333333333333329E-2</v>
      </c>
      <c r="Z200" s="233">
        <f t="shared" si="34"/>
        <v>0.1111111111111111</v>
      </c>
      <c r="AA200" s="232">
        <f>VLOOKUP(tabParametros[[#This Row],[Comarca]],tabComarca[],5,0)</f>
        <v>6.4</v>
      </c>
      <c r="AB200" s="232">
        <f>VLOOKUP(tabParametros[[#This Row],[CCT DA CATEGORIA]],tabSindicatos[],6,0)</f>
        <v>28.97</v>
      </c>
      <c r="AC200" s="232">
        <f>VLOOKUP(tabParametros[[#This Row],[CCT DA CATEGORIA]],tabSindicatos[],7,0)</f>
        <v>0</v>
      </c>
      <c r="AD200" s="232" cm="1">
        <f t="array" ref="AD20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00" s="232">
        <f>VLOOKUP(tabParametros[[#This Row],[CCT DA CATEGORIA]],tabSindicatos[],9,0)</f>
        <v>0</v>
      </c>
      <c r="AF200" s="232">
        <f>VLOOKUP(tabParametros[[#This Row],[CCT DA CATEGORIA]],tabSindicatos[],10,0)</f>
        <v>0</v>
      </c>
      <c r="AG200" s="234">
        <f>VLOOKUP(tabParametros[[#Headers],[Seguro de Vida]],tabOutrosCustos[],3,0)</f>
        <v>3.36</v>
      </c>
      <c r="AH200" s="234">
        <f>IF(ISNUMBER(SEARCH("MOTORISTA",tabParametros[[#This Row],[Função]],1)),VLOOKUP("MOTORISTAS",tabDiarias[],2,0),IF(tabParametros[[#This Row],[Comarca]]="Belo Horizonte",VLOOKUP("APOIO",tabDiarias[],2,0),0))</f>
        <v>662.42</v>
      </c>
      <c r="AI200" s="233">
        <f t="shared" si="35"/>
        <v>7.011766975308642E-3</v>
      </c>
      <c r="AJ200" s="235">
        <f>tabParametros[[#This Row],[FGTS]]*tabParametros[[#This Row],[Aviso Prévio Indenizado (API) e Reflexo do Aviso Prévio Indenizado]]</f>
        <v>5.609413580246914E-4</v>
      </c>
      <c r="AK200" s="235">
        <f>tabParametros[[#This Row],[FGTS]]*tabParametros[[#This Row],[Aviso Prévio Indenizado (API) e Reflexo do Aviso Prévio Indenizado]]*40%</f>
        <v>2.2437654320987658E-4</v>
      </c>
      <c r="AL200" s="233">
        <f t="shared" si="36"/>
        <v>3.5000000000000005E-3</v>
      </c>
      <c r="AM200" s="233">
        <f>tabParametros[[#This Row],[Aviso Prévio Trabalhado - APT]]*SUM(tabParametros[[#This Row],[INSS]:[SEBRAE]])</f>
        <v>1.3230000000000004E-3</v>
      </c>
      <c r="AN200" s="233">
        <f t="shared" si="37"/>
        <v>3.0577777777777773E-2</v>
      </c>
      <c r="AO200" s="233">
        <f t="shared" si="38"/>
        <v>8.3333333333333339E-4</v>
      </c>
      <c r="AP200" s="233">
        <f t="shared" si="39"/>
        <v>8.4444444444444437E-3</v>
      </c>
      <c r="AQ200" s="233">
        <f t="shared" si="40"/>
        <v>2.0277777777777777E-3</v>
      </c>
      <c r="AR200" s="233">
        <f t="shared" si="41"/>
        <v>1.7083333333333333E-4</v>
      </c>
      <c r="AS200" s="233">
        <f t="shared" si="42"/>
        <v>2.0833333333333335E-4</v>
      </c>
      <c r="AT200" s="233">
        <f t="shared" si="43"/>
        <v>1.2962962962962963E-3</v>
      </c>
      <c r="AU200" s="235">
        <f>SUM(tabParametros[[#This Row],[Ausência por Doença]:[Férias, Adicional de Férias e 13º  com empregada em gozo de Licença Maternidade]])*SUM(tabParametros[[#This Row],[INSS]:[SEBRAE]])</f>
        <v>4.5918250000000008E-3</v>
      </c>
      <c r="AV200" s="254">
        <f>IF(tabParametros[[#This Row],[Função]]="Porteiro - 220 h",SUM(tabParametros[[#This Row],[Salário Base]:[Adicional de Acúmulo de função]])/220*20*1.5,IF(ISNUMBER(SEARCH("12 x 36",tabParametros[[#This Row],[Função]],1)),SUM(tabParametros[[#This Row],[Salário Base]:[Adicional de Acúmulo de função]])/210*15.5*1.5,0))</f>
        <v>0</v>
      </c>
      <c r="AW200" s="232">
        <f>IF(tabParametros[[#This Row],[Vagas contratadas]]&gt;0,(SUM(tabParametros[[#This Row],[Salário Base]:[Adicional de Acúmulo de função]])*30%+SUM(tabParametros[[#This Row],[Vale - Alimentação]:[Seguro de Vida]]))/tabParametros[[#This Row],[Vagas contratadas]]*tabParametros[[#This Row],[Vagas suspensas]],0)</f>
        <v>0</v>
      </c>
      <c r="AX200" s="232">
        <f>SUMIF(tabUniformes[Cargo],tabParametros[[#This Row],[Função]],tabUniformes[Valor unit. Mensal])</f>
        <v>92.100763771570698</v>
      </c>
      <c r="AY20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0" s="232">
        <v>0</v>
      </c>
      <c r="BC200" s="234" t="e">
        <f ca="1">VLOOKUP(tabParametros[[#Headers],[Custos Indiretos]],tabOutrosCustos[],3,0)</f>
        <v>#NAME?</v>
      </c>
      <c r="BD200" s="234" t="e">
        <f ca="1">VLOOKUP(tabParametros[[#Headers],[Lucro]],tabOutrosCustos[],3,0)</f>
        <v>#NAME?</v>
      </c>
      <c r="BE200" s="233">
        <f>VLOOKUP(tabParametros[[#Headers],[COFINS]],tabImpostosNacionais[],2,0)</f>
        <v>7.5999999999999998E-2</v>
      </c>
      <c r="BF200" s="233">
        <f>VLOOKUP(tabParametros[[#Headers],[PIS]],tabImpostosNacionais[],2,0)</f>
        <v>1.6500000000000001E-2</v>
      </c>
      <c r="BG200" s="233">
        <f>VLOOKUP(tabParametros[[#This Row],[Comarca]],tabComarca[],4,0)</f>
        <v>0.05</v>
      </c>
      <c r="BH200" s="236">
        <f>VLOOKUP(tabParametros[[#This Row],[CCT DA CATEGORIA]],tabSindicatos[],11,0)</f>
        <v>45658</v>
      </c>
      <c r="BI200" s="282" t="str">
        <f>VLOOKUP(tabParametros[[#This Row],[CCT DA CATEGORIA]],tabSindicatos[],12,0)</f>
        <v>-</v>
      </c>
      <c r="BJ200" s="285" t="str">
        <f>VLOOKUP(tabParametros[[#This Row],[CCT DA CATEGORIA]],tabSindicatos[],13,0)</f>
        <v>-</v>
      </c>
    </row>
    <row r="201" spans="1:62">
      <c r="A201" s="231" t="s">
        <v>1488</v>
      </c>
      <c r="B201" s="197" t="s">
        <v>1159</v>
      </c>
      <c r="C201" s="197" t="s">
        <v>314</v>
      </c>
      <c r="D201" s="197" t="str">
        <f>VLOOKUP(tabParametros[[#This Row],[Código do Posto]],tabPostos[],4,0)</f>
        <v>Regiao de Sao Lourenco</v>
      </c>
      <c r="E201" s="282" t="str">
        <f>VLOOKUP(tabParametros[[#This Row],[Código do Posto]],tabPostos[],5,0)</f>
        <v>Apoio</v>
      </c>
      <c r="F201" s="282" t="str">
        <f>VLOOKUP(tabParametros[[#This Row],[Código do Posto]],tabPostos[],6,0)</f>
        <v>PGJ</v>
      </c>
      <c r="G201" s="282">
        <f>VLOOKUP(tabParametros[[#This Row],[Código do Posto]],tabPostos[],7,0)</f>
        <v>1</v>
      </c>
      <c r="H201" s="282">
        <f>VLOOKUP(tabParametros[[#This Row],[Código do Posto]],tabPostos[],8,0)</f>
        <v>0</v>
      </c>
      <c r="I201" s="232">
        <f>VLOOKUP(tabParametros[[#This Row],[Código do Posto]],tabPostos[],9,0)</f>
        <v>1963.4050319620983</v>
      </c>
      <c r="J201" s="232">
        <f>IF(ISNUMBER(SEARCH("Eletricista",tabParametros[[#This Row],[Função]],1)),0.3*tabParametros[[#This Row],[Salário Base]],0)</f>
        <v>0</v>
      </c>
      <c r="K20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1" s="232">
        <f>IF(AND(ISNUMBER(SEARCH("Noturno",tabParametros[[#This Row],[Função]],1)),tabParametros[[#This Row],[Comarca]]&lt;&gt;"Juiz de Fora"),tabParametros[[#This Row],[Salário Base]]/210*0.39*7*15.5,IF(ISNUMBER(SEARCH("Noturno",tabParametros[[#This Row],[Função]],1)),tabParametros[[#This Row],[Salário Base]]/210*0.2*8*15.5,0))</f>
        <v>0</v>
      </c>
      <c r="M201" s="232">
        <f>IF(ISNUMBER(SEARCH("Motorista II",tabParametros[[#This Row],[Função]],1)),0.3022*tabParametros[[#This Row],[Salário Base]],0)</f>
        <v>0</v>
      </c>
      <c r="N201" s="254">
        <v>0</v>
      </c>
      <c r="O201" s="254">
        <f>IF(ISNUMBER(SEARCH("TECNOLOGIA DA INFORMACAO",tabParametros[[#This Row],[Função]],1)),0.056*tabParametros[[#This Row],[Salário Base]],0)</f>
        <v>0</v>
      </c>
      <c r="P201" s="232">
        <f>IF(tabParametros[[#This Row],[Função]]="Operador de Midia Audiovisual - 150 h",tabParametros[[#This Row],[Salário Base]]/150*50*30%,IF(tabParametros[[#This Row],[Função]]="Supervisor de Manutencao de Veiculos II - 220 h",12%*tabParametros[[#This Row],[Salário Base]],0))</f>
        <v>0</v>
      </c>
      <c r="Q201" s="233">
        <f>VLOOKUP(tabParametros[[#Headers],[INSS]],tabImpostosNacionais[],2,0)</f>
        <v>0.2</v>
      </c>
      <c r="R201" s="233">
        <f>VLOOKUP(tabParametros[[#Headers],[SESI OU SESC]],tabImpostosNacionais[],2,0)</f>
        <v>1.4999999999999999E-2</v>
      </c>
      <c r="S201" s="233">
        <f>VLOOKUP(tabParametros[[#Headers],[SENAI OU SENAC]],tabImpostosNacionais[],2,0)</f>
        <v>0.01</v>
      </c>
      <c r="T201" s="233">
        <f>VLOOKUP(tabParametros[[#Headers],[INCRA]],tabImpostosNacionais[],2,0)</f>
        <v>2E-3</v>
      </c>
      <c r="U201" s="233">
        <f>VLOOKUP(tabParametros[[#Headers],[Salário Educação]],tabImpostosNacionais[],2,0)</f>
        <v>2.5000000000000001E-2</v>
      </c>
      <c r="V201" s="233">
        <f>VLOOKUP(tabParametros[[#Headers],[FGTS]],tabImpostosNacionais[],2,0)</f>
        <v>0.08</v>
      </c>
      <c r="W201" s="233">
        <f>VLOOKUP(tabParametros[[#Headers],[RAT Ajustado]],tabImpostosNacionais[],2,0)</f>
        <v>0.04</v>
      </c>
      <c r="X201" s="233">
        <f>VLOOKUP(tabParametros[[#Headers],[SEBRAE]],tabImpostosNacionais[],2,0)</f>
        <v>6.0000000000000001E-3</v>
      </c>
      <c r="Y201" s="233">
        <f t="shared" si="33"/>
        <v>8.3333333333333329E-2</v>
      </c>
      <c r="Z201" s="233">
        <f t="shared" si="34"/>
        <v>0.1111111111111111</v>
      </c>
      <c r="AA201" s="232">
        <f>VLOOKUP(tabParametros[[#This Row],[Comarca]],tabComarca[],5,0)</f>
        <v>6.4</v>
      </c>
      <c r="AB201" s="232">
        <f>VLOOKUP(tabParametros[[#This Row],[CCT DA CATEGORIA]],tabSindicatos[],6,0)</f>
        <v>29.15</v>
      </c>
      <c r="AC201" s="232">
        <f>VLOOKUP(tabParametros[[#This Row],[CCT DA CATEGORIA]],tabSindicatos[],7,0)</f>
        <v>0</v>
      </c>
      <c r="AD201" s="232" cm="1">
        <f t="array" ref="AD20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201" s="232">
        <f>VLOOKUP(tabParametros[[#This Row],[CCT DA CATEGORIA]],tabSindicatos[],9,0)</f>
        <v>0</v>
      </c>
      <c r="AF201" s="232">
        <f>VLOOKUP(tabParametros[[#This Row],[CCT DA CATEGORIA]],tabSindicatos[],10,0)</f>
        <v>0</v>
      </c>
      <c r="AG201" s="234">
        <f>VLOOKUP(tabParametros[[#Headers],[Seguro de Vida]],tabOutrosCustos[],3,0)</f>
        <v>3.36</v>
      </c>
      <c r="AH201" s="234">
        <f>IF(ISNUMBER(SEARCH("MOTORISTA",tabParametros[[#This Row],[Função]],1)),VLOOKUP("MOTORISTAS",tabDiarias[],2,0),IF(tabParametros[[#This Row],[Comarca]]="Belo Horizonte",VLOOKUP("APOIO",tabDiarias[],2,0),0))</f>
        <v>0</v>
      </c>
      <c r="AI201" s="233">
        <f t="shared" si="35"/>
        <v>7.011766975308642E-3</v>
      </c>
      <c r="AJ201" s="235">
        <f>tabParametros[[#This Row],[FGTS]]*tabParametros[[#This Row],[Aviso Prévio Indenizado (API) e Reflexo do Aviso Prévio Indenizado]]</f>
        <v>5.609413580246914E-4</v>
      </c>
      <c r="AK201" s="235">
        <f>tabParametros[[#This Row],[FGTS]]*tabParametros[[#This Row],[Aviso Prévio Indenizado (API) e Reflexo do Aviso Prévio Indenizado]]*40%</f>
        <v>2.2437654320987658E-4</v>
      </c>
      <c r="AL201" s="233">
        <f t="shared" si="36"/>
        <v>3.5000000000000005E-3</v>
      </c>
      <c r="AM201" s="233">
        <f>tabParametros[[#This Row],[Aviso Prévio Trabalhado - APT]]*SUM(tabParametros[[#This Row],[INSS]:[SEBRAE]])</f>
        <v>1.3230000000000004E-3</v>
      </c>
      <c r="AN201" s="233">
        <f t="shared" si="37"/>
        <v>3.0577777777777773E-2</v>
      </c>
      <c r="AO201" s="233">
        <f t="shared" si="38"/>
        <v>8.3333333333333339E-4</v>
      </c>
      <c r="AP201" s="233">
        <f t="shared" si="39"/>
        <v>8.4444444444444437E-3</v>
      </c>
      <c r="AQ201" s="233">
        <f t="shared" si="40"/>
        <v>2.0277777777777777E-3</v>
      </c>
      <c r="AR201" s="233">
        <f t="shared" si="41"/>
        <v>1.7083333333333333E-4</v>
      </c>
      <c r="AS201" s="233">
        <f t="shared" si="42"/>
        <v>2.0833333333333335E-4</v>
      </c>
      <c r="AT201" s="233">
        <f t="shared" si="43"/>
        <v>1.2962962962962963E-3</v>
      </c>
      <c r="AU201" s="235">
        <f>SUM(tabParametros[[#This Row],[Ausência por Doença]:[Férias, Adicional de Férias e 13º  com empregada em gozo de Licença Maternidade]])*SUM(tabParametros[[#This Row],[INSS]:[SEBRAE]])</f>
        <v>4.5918250000000008E-3</v>
      </c>
      <c r="AV201"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201" s="232">
        <f>IF(tabParametros[[#This Row],[Vagas contratadas]]&gt;0,(SUM(tabParametros[[#This Row],[Salário Base]:[Adicional de Acúmulo de função]])*30%+SUM(tabParametros[[#This Row],[Vale - Alimentação]:[Seguro de Vida]]))/tabParametros[[#This Row],[Vagas contratadas]]*tabParametros[[#This Row],[Vagas suspensas]],0)</f>
        <v>0</v>
      </c>
      <c r="AX201" s="232">
        <f>SUMIF(tabUniformes[Cargo],tabParametros[[#This Row],[Função]],tabUniformes[Valor unit. Mensal])</f>
        <v>56.642978962543395</v>
      </c>
      <c r="AY20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1" s="232">
        <v>0</v>
      </c>
      <c r="BC201" s="234" t="e">
        <f ca="1">VLOOKUP(tabParametros[[#Headers],[Custos Indiretos]],tabOutrosCustos[],3,0)</f>
        <v>#NAME?</v>
      </c>
      <c r="BD201" s="234" t="e">
        <f ca="1">VLOOKUP(tabParametros[[#Headers],[Lucro]],tabOutrosCustos[],3,0)</f>
        <v>#NAME?</v>
      </c>
      <c r="BE201" s="233">
        <f>VLOOKUP(tabParametros[[#Headers],[COFINS]],tabImpostosNacionais[],2,0)</f>
        <v>7.5999999999999998E-2</v>
      </c>
      <c r="BF201" s="233">
        <f>VLOOKUP(tabParametros[[#Headers],[PIS]],tabImpostosNacionais[],2,0)</f>
        <v>1.6500000000000001E-2</v>
      </c>
      <c r="BG201" s="233">
        <f>VLOOKUP(tabParametros[[#This Row],[Comarca]],tabComarca[],4,0)</f>
        <v>0.05</v>
      </c>
      <c r="BH201" s="236">
        <f>VLOOKUP(tabParametros[[#This Row],[CCT DA CATEGORIA]],tabSindicatos[],11,0)</f>
        <v>45658</v>
      </c>
      <c r="BI201" s="282" t="str">
        <f>VLOOKUP(tabParametros[[#This Row],[CCT DA CATEGORIA]],tabSindicatos[],12,0)</f>
        <v>-</v>
      </c>
      <c r="BJ201" s="285" t="str">
        <f>VLOOKUP(tabParametros[[#This Row],[CCT DA CATEGORIA]],tabSindicatos[],13,0)</f>
        <v>-</v>
      </c>
    </row>
    <row r="202" spans="1:62">
      <c r="A202" s="231" t="s">
        <v>1639</v>
      </c>
      <c r="B202" s="197" t="s">
        <v>1159</v>
      </c>
      <c r="C202" s="197" t="s">
        <v>324</v>
      </c>
      <c r="D202" s="197" t="str">
        <f>VLOOKUP(tabParametros[[#This Row],[Código do Posto]],tabPostos[],4,0)</f>
        <v>Regiao de Sao Lourenco</v>
      </c>
      <c r="E202" s="282" t="str">
        <f>VLOOKUP(tabParametros[[#This Row],[Código do Posto]],tabPostos[],5,0)</f>
        <v>Apoio</v>
      </c>
      <c r="F202" s="282" t="str">
        <f>VLOOKUP(tabParametros[[#This Row],[Código do Posto]],tabPostos[],6,0)</f>
        <v>PGJ</v>
      </c>
      <c r="G202" s="282">
        <f>VLOOKUP(tabParametros[[#This Row],[Código do Posto]],tabPostos[],7,0)</f>
        <v>1</v>
      </c>
      <c r="H202" s="282">
        <f>VLOOKUP(tabParametros[[#This Row],[Código do Posto]],tabPostos[],8,0)</f>
        <v>0</v>
      </c>
      <c r="I202" s="232">
        <f>VLOOKUP(tabParametros[[#This Row],[Código do Posto]],tabPostos[],9,0)</f>
        <v>3397.130467372021</v>
      </c>
      <c r="J202" s="232">
        <f>IF(ISNUMBER(SEARCH("Eletricista",tabParametros[[#This Row],[Função]],1)),0.3*tabParametros[[#This Row],[Salário Base]],0)</f>
        <v>0</v>
      </c>
      <c r="K20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2" s="232">
        <f>IF(AND(ISNUMBER(SEARCH("Noturno",tabParametros[[#This Row],[Função]],1)),tabParametros[[#This Row],[Comarca]]&lt;&gt;"Juiz de Fora"),tabParametros[[#This Row],[Salário Base]]/210*0.39*7*15.5,IF(ISNUMBER(SEARCH("Noturno",tabParametros[[#This Row],[Função]],1)),tabParametros[[#This Row],[Salário Base]]/210*0.2*8*15.5,0))</f>
        <v>0</v>
      </c>
      <c r="M202" s="232">
        <f>IF(ISNUMBER(SEARCH("Motorista II",tabParametros[[#This Row],[Função]],1)),0.3022*tabParametros[[#This Row],[Salário Base]],0)</f>
        <v>0</v>
      </c>
      <c r="N202" s="254">
        <v>0</v>
      </c>
      <c r="O202" s="254">
        <f>IF(ISNUMBER(SEARCH("TECNOLOGIA DA INFORMACAO",tabParametros[[#This Row],[Função]],1)),0.056*tabParametros[[#This Row],[Salário Base]],0)</f>
        <v>0</v>
      </c>
      <c r="P202" s="232">
        <f>IF(tabParametros[[#This Row],[Função]]="Operador de Midia Audiovisual - 150 h",tabParametros[[#This Row],[Salário Base]]/150*50*30%,IF(tabParametros[[#This Row],[Função]]="Supervisor de Manutencao de Veiculos II - 220 h",12%*tabParametros[[#This Row],[Salário Base]],0))</f>
        <v>0</v>
      </c>
      <c r="Q202" s="233">
        <f>VLOOKUP(tabParametros[[#Headers],[INSS]],tabImpostosNacionais[],2,0)</f>
        <v>0.2</v>
      </c>
      <c r="R202" s="233">
        <f>VLOOKUP(tabParametros[[#Headers],[SESI OU SESC]],tabImpostosNacionais[],2,0)</f>
        <v>1.4999999999999999E-2</v>
      </c>
      <c r="S202" s="233">
        <f>VLOOKUP(tabParametros[[#Headers],[SENAI OU SENAC]],tabImpostosNacionais[],2,0)</f>
        <v>0.01</v>
      </c>
      <c r="T202" s="233">
        <f>VLOOKUP(tabParametros[[#Headers],[INCRA]],tabImpostosNacionais[],2,0)</f>
        <v>2E-3</v>
      </c>
      <c r="U202" s="233">
        <f>VLOOKUP(tabParametros[[#Headers],[Salário Educação]],tabImpostosNacionais[],2,0)</f>
        <v>2.5000000000000001E-2</v>
      </c>
      <c r="V202" s="233">
        <f>VLOOKUP(tabParametros[[#Headers],[FGTS]],tabImpostosNacionais[],2,0)</f>
        <v>0.08</v>
      </c>
      <c r="W202" s="233">
        <f>VLOOKUP(tabParametros[[#Headers],[RAT Ajustado]],tabImpostosNacionais[],2,0)</f>
        <v>0.04</v>
      </c>
      <c r="X202" s="233">
        <f>VLOOKUP(tabParametros[[#Headers],[SEBRAE]],tabImpostosNacionais[],2,0)</f>
        <v>6.0000000000000001E-3</v>
      </c>
      <c r="Y202" s="233">
        <f t="shared" si="33"/>
        <v>8.3333333333333329E-2</v>
      </c>
      <c r="Z202" s="233">
        <f t="shared" si="34"/>
        <v>0.1111111111111111</v>
      </c>
      <c r="AA202" s="232">
        <f>VLOOKUP(tabParametros[[#This Row],[Comarca]],tabComarca[],5,0)</f>
        <v>6.4</v>
      </c>
      <c r="AB202" s="232">
        <f>VLOOKUP(tabParametros[[#This Row],[CCT DA CATEGORIA]],tabSindicatos[],6,0)</f>
        <v>29.15</v>
      </c>
      <c r="AC202" s="232">
        <f>VLOOKUP(tabParametros[[#This Row],[CCT DA CATEGORIA]],tabSindicatos[],7,0)</f>
        <v>0</v>
      </c>
      <c r="AD202" s="232" cm="1">
        <f t="array" ref="AD20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202" s="232">
        <f>VLOOKUP(tabParametros[[#This Row],[CCT DA CATEGORIA]],tabSindicatos[],9,0)</f>
        <v>0</v>
      </c>
      <c r="AF202" s="232">
        <f>VLOOKUP(tabParametros[[#This Row],[CCT DA CATEGORIA]],tabSindicatos[],10,0)</f>
        <v>0</v>
      </c>
      <c r="AG202" s="234">
        <f>VLOOKUP(tabParametros[[#Headers],[Seguro de Vida]],tabOutrosCustos[],3,0)</f>
        <v>3.36</v>
      </c>
      <c r="AH202" s="234">
        <f>IF(ISNUMBER(SEARCH("MOTORISTA",tabParametros[[#This Row],[Função]],1)),VLOOKUP("MOTORISTAS",tabDiarias[],2,0),IF(tabParametros[[#This Row],[Comarca]]="Belo Horizonte",VLOOKUP("APOIO",tabDiarias[],2,0),0))</f>
        <v>0</v>
      </c>
      <c r="AI202" s="233">
        <f t="shared" si="35"/>
        <v>7.011766975308642E-3</v>
      </c>
      <c r="AJ202" s="235">
        <f>tabParametros[[#This Row],[FGTS]]*tabParametros[[#This Row],[Aviso Prévio Indenizado (API) e Reflexo do Aviso Prévio Indenizado]]</f>
        <v>5.609413580246914E-4</v>
      </c>
      <c r="AK202" s="235">
        <f>tabParametros[[#This Row],[FGTS]]*tabParametros[[#This Row],[Aviso Prévio Indenizado (API) e Reflexo do Aviso Prévio Indenizado]]*40%</f>
        <v>2.2437654320987658E-4</v>
      </c>
      <c r="AL202" s="233">
        <f t="shared" si="36"/>
        <v>3.5000000000000005E-3</v>
      </c>
      <c r="AM202" s="233">
        <f>tabParametros[[#This Row],[Aviso Prévio Trabalhado - APT]]*SUM(tabParametros[[#This Row],[INSS]:[SEBRAE]])</f>
        <v>1.3230000000000004E-3</v>
      </c>
      <c r="AN202" s="233">
        <f t="shared" si="37"/>
        <v>3.0577777777777773E-2</v>
      </c>
      <c r="AO202" s="233">
        <f t="shared" si="38"/>
        <v>8.3333333333333339E-4</v>
      </c>
      <c r="AP202" s="233">
        <f t="shared" si="39"/>
        <v>8.4444444444444437E-3</v>
      </c>
      <c r="AQ202" s="233">
        <f t="shared" si="40"/>
        <v>2.0277777777777777E-3</v>
      </c>
      <c r="AR202" s="233">
        <f t="shared" si="41"/>
        <v>1.7083333333333333E-4</v>
      </c>
      <c r="AS202" s="233">
        <f t="shared" si="42"/>
        <v>2.0833333333333335E-4</v>
      </c>
      <c r="AT202" s="233">
        <f t="shared" si="43"/>
        <v>1.2962962962962963E-3</v>
      </c>
      <c r="AU202" s="235">
        <f>SUM(tabParametros[[#This Row],[Ausência por Doença]:[Férias, Adicional de Férias e 13º  com empregada em gozo de Licença Maternidade]])*SUM(tabParametros[[#This Row],[INSS]:[SEBRAE]])</f>
        <v>4.5918250000000008E-3</v>
      </c>
      <c r="AV202" s="254">
        <f>IF(tabParametros[[#This Row],[Função]]="Porteiro - 220 h",SUM(tabParametros[[#This Row],[Salário Base]:[Adicional de Acúmulo de função]])/220*20*1.5,IF(ISNUMBER(SEARCH("12 x 36",tabParametros[[#This Row],[Função]],1)),SUM(tabParametros[[#This Row],[Salário Base]:[Adicional de Acúmulo de função]])/210*15.5*1.5,0))</f>
        <v>0</v>
      </c>
      <c r="AW202" s="232">
        <f>IF(tabParametros[[#This Row],[Vagas contratadas]]&gt;0,(SUM(tabParametros[[#This Row],[Salário Base]:[Adicional de Acúmulo de função]])*30%+SUM(tabParametros[[#This Row],[Vale - Alimentação]:[Seguro de Vida]]))/tabParametros[[#This Row],[Vagas contratadas]]*tabParametros[[#This Row],[Vagas suspensas]],0)</f>
        <v>0</v>
      </c>
      <c r="AX202" s="232">
        <f>SUMIF(tabUniformes[Cargo],tabParametros[[#This Row],[Função]],tabUniformes[Valor unit. Mensal])</f>
        <v>56.642978962543395</v>
      </c>
      <c r="AY20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2" s="232">
        <v>0</v>
      </c>
      <c r="BC202" s="234" t="e">
        <f ca="1">VLOOKUP(tabParametros[[#Headers],[Custos Indiretos]],tabOutrosCustos[],3,0)</f>
        <v>#NAME?</v>
      </c>
      <c r="BD202" s="234" t="e">
        <f ca="1">VLOOKUP(tabParametros[[#Headers],[Lucro]],tabOutrosCustos[],3,0)</f>
        <v>#NAME?</v>
      </c>
      <c r="BE202" s="233">
        <f>VLOOKUP(tabParametros[[#Headers],[COFINS]],tabImpostosNacionais[],2,0)</f>
        <v>7.5999999999999998E-2</v>
      </c>
      <c r="BF202" s="233">
        <f>VLOOKUP(tabParametros[[#Headers],[PIS]],tabImpostosNacionais[],2,0)</f>
        <v>1.6500000000000001E-2</v>
      </c>
      <c r="BG202" s="233">
        <f>VLOOKUP(tabParametros[[#This Row],[Comarca]],tabComarca[],4,0)</f>
        <v>0.05</v>
      </c>
      <c r="BH202" s="236">
        <f>VLOOKUP(tabParametros[[#This Row],[CCT DA CATEGORIA]],tabSindicatos[],11,0)</f>
        <v>45658</v>
      </c>
      <c r="BI202" s="282" t="str">
        <f>VLOOKUP(tabParametros[[#This Row],[CCT DA CATEGORIA]],tabSindicatos[],12,0)</f>
        <v>-</v>
      </c>
      <c r="BJ202" s="285" t="str">
        <f>VLOOKUP(tabParametros[[#This Row],[CCT DA CATEGORIA]],tabSindicatos[],13,0)</f>
        <v>-</v>
      </c>
    </row>
    <row r="203" spans="1:62">
      <c r="A203" s="231" t="s">
        <v>1640</v>
      </c>
      <c r="B203" s="197" t="s">
        <v>1159</v>
      </c>
      <c r="C203" s="197" t="s">
        <v>319</v>
      </c>
      <c r="D203" s="197" t="str">
        <f>VLOOKUP(tabParametros[[#This Row],[Código do Posto]],tabPostos[],4,0)</f>
        <v>Regiao de Sao Lourenco</v>
      </c>
      <c r="E203" s="282" t="str">
        <f>VLOOKUP(tabParametros[[#This Row],[Código do Posto]],tabPostos[],5,0)</f>
        <v>Apoio</v>
      </c>
      <c r="F203" s="282" t="str">
        <f>VLOOKUP(tabParametros[[#This Row],[Código do Posto]],tabPostos[],6,0)</f>
        <v>PGJ</v>
      </c>
      <c r="G203" s="282">
        <f>VLOOKUP(tabParametros[[#This Row],[Código do Posto]],tabPostos[],7,0)</f>
        <v>1</v>
      </c>
      <c r="H203" s="282">
        <f>VLOOKUP(tabParametros[[#This Row],[Código do Posto]],tabPostos[],8,0)</f>
        <v>0</v>
      </c>
      <c r="I203" s="232">
        <f>VLOOKUP(tabParametros[[#This Row],[Código do Posto]],tabPostos[],9,0)</f>
        <v>2316.2253186627422</v>
      </c>
      <c r="J203" s="232">
        <f>IF(ISNUMBER(SEARCH("Eletricista",tabParametros[[#This Row],[Função]],1)),0.3*tabParametros[[#This Row],[Salário Base]],0)</f>
        <v>0</v>
      </c>
      <c r="K20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3" s="232">
        <f>IF(AND(ISNUMBER(SEARCH("Noturno",tabParametros[[#This Row],[Função]],1)),tabParametros[[#This Row],[Comarca]]&lt;&gt;"Juiz de Fora"),tabParametros[[#This Row],[Salário Base]]/210*0.39*7*15.5,IF(ISNUMBER(SEARCH("Noturno",tabParametros[[#This Row],[Função]],1)),tabParametros[[#This Row],[Salário Base]]/210*0.2*8*15.5,0))</f>
        <v>0</v>
      </c>
      <c r="M203" s="232">
        <f>IF(ISNUMBER(SEARCH("Motorista II",tabParametros[[#This Row],[Função]],1)),0.3022*tabParametros[[#This Row],[Salário Base]],0)</f>
        <v>0</v>
      </c>
      <c r="N203" s="254">
        <v>0</v>
      </c>
      <c r="O203" s="254">
        <f>IF(ISNUMBER(SEARCH("TECNOLOGIA DA INFORMACAO",tabParametros[[#This Row],[Função]],1)),0.056*tabParametros[[#This Row],[Salário Base]],0)</f>
        <v>0</v>
      </c>
      <c r="P203" s="232">
        <f>IF(tabParametros[[#This Row],[Função]]="Operador de Midia Audiovisual - 150 h",tabParametros[[#This Row],[Salário Base]]/150*50*30%,IF(tabParametros[[#This Row],[Função]]="Supervisor de Manutencao de Veiculos II - 220 h",12%*tabParametros[[#This Row],[Salário Base]],0))</f>
        <v>0</v>
      </c>
      <c r="Q203" s="233">
        <f>VLOOKUP(tabParametros[[#Headers],[INSS]],tabImpostosNacionais[],2,0)</f>
        <v>0.2</v>
      </c>
      <c r="R203" s="233">
        <f>VLOOKUP(tabParametros[[#Headers],[SESI OU SESC]],tabImpostosNacionais[],2,0)</f>
        <v>1.4999999999999999E-2</v>
      </c>
      <c r="S203" s="233">
        <f>VLOOKUP(tabParametros[[#Headers],[SENAI OU SENAC]],tabImpostosNacionais[],2,0)</f>
        <v>0.01</v>
      </c>
      <c r="T203" s="233">
        <f>VLOOKUP(tabParametros[[#Headers],[INCRA]],tabImpostosNacionais[],2,0)</f>
        <v>2E-3</v>
      </c>
      <c r="U203" s="233">
        <f>VLOOKUP(tabParametros[[#Headers],[Salário Educação]],tabImpostosNacionais[],2,0)</f>
        <v>2.5000000000000001E-2</v>
      </c>
      <c r="V203" s="233">
        <f>VLOOKUP(tabParametros[[#Headers],[FGTS]],tabImpostosNacionais[],2,0)</f>
        <v>0.08</v>
      </c>
      <c r="W203" s="233">
        <f>VLOOKUP(tabParametros[[#Headers],[RAT Ajustado]],tabImpostosNacionais[],2,0)</f>
        <v>0.04</v>
      </c>
      <c r="X203" s="233">
        <f>VLOOKUP(tabParametros[[#Headers],[SEBRAE]],tabImpostosNacionais[],2,0)</f>
        <v>6.0000000000000001E-3</v>
      </c>
      <c r="Y203" s="233">
        <f t="shared" si="33"/>
        <v>8.3333333333333329E-2</v>
      </c>
      <c r="Z203" s="233">
        <f t="shared" si="34"/>
        <v>0.1111111111111111</v>
      </c>
      <c r="AA203" s="232">
        <f>VLOOKUP(tabParametros[[#This Row],[Comarca]],tabComarca[],5,0)</f>
        <v>6.4</v>
      </c>
      <c r="AB203" s="232">
        <f>VLOOKUP(tabParametros[[#This Row],[CCT DA CATEGORIA]],tabSindicatos[],6,0)</f>
        <v>29.15</v>
      </c>
      <c r="AC203" s="232">
        <f>VLOOKUP(tabParametros[[#This Row],[CCT DA CATEGORIA]],tabSindicatos[],7,0)</f>
        <v>0</v>
      </c>
      <c r="AD203" s="232" cm="1">
        <f t="array" ref="AD20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203" s="232">
        <f>VLOOKUP(tabParametros[[#This Row],[CCT DA CATEGORIA]],tabSindicatos[],9,0)</f>
        <v>0</v>
      </c>
      <c r="AF203" s="232">
        <f>VLOOKUP(tabParametros[[#This Row],[CCT DA CATEGORIA]],tabSindicatos[],10,0)</f>
        <v>0</v>
      </c>
      <c r="AG203" s="234">
        <f>VLOOKUP(tabParametros[[#Headers],[Seguro de Vida]],tabOutrosCustos[],3,0)</f>
        <v>3.36</v>
      </c>
      <c r="AH203" s="234">
        <f>IF(ISNUMBER(SEARCH("MOTORISTA",tabParametros[[#This Row],[Função]],1)),VLOOKUP("MOTORISTAS",tabDiarias[],2,0),IF(tabParametros[[#This Row],[Comarca]]="Belo Horizonte",VLOOKUP("APOIO",tabDiarias[],2,0),0))</f>
        <v>0</v>
      </c>
      <c r="AI203" s="233">
        <f t="shared" si="35"/>
        <v>7.011766975308642E-3</v>
      </c>
      <c r="AJ203" s="235">
        <f>tabParametros[[#This Row],[FGTS]]*tabParametros[[#This Row],[Aviso Prévio Indenizado (API) e Reflexo do Aviso Prévio Indenizado]]</f>
        <v>5.609413580246914E-4</v>
      </c>
      <c r="AK203" s="235">
        <f>tabParametros[[#This Row],[FGTS]]*tabParametros[[#This Row],[Aviso Prévio Indenizado (API) e Reflexo do Aviso Prévio Indenizado]]*40%</f>
        <v>2.2437654320987658E-4</v>
      </c>
      <c r="AL203" s="233">
        <f t="shared" si="36"/>
        <v>3.5000000000000005E-3</v>
      </c>
      <c r="AM203" s="233">
        <f>tabParametros[[#This Row],[Aviso Prévio Trabalhado - APT]]*SUM(tabParametros[[#This Row],[INSS]:[SEBRAE]])</f>
        <v>1.3230000000000004E-3</v>
      </c>
      <c r="AN203" s="233">
        <f t="shared" si="37"/>
        <v>3.0577777777777773E-2</v>
      </c>
      <c r="AO203" s="233">
        <f t="shared" si="38"/>
        <v>8.3333333333333339E-4</v>
      </c>
      <c r="AP203" s="233">
        <f t="shared" si="39"/>
        <v>8.4444444444444437E-3</v>
      </c>
      <c r="AQ203" s="233">
        <f t="shared" si="40"/>
        <v>2.0277777777777777E-3</v>
      </c>
      <c r="AR203" s="233">
        <f t="shared" si="41"/>
        <v>1.7083333333333333E-4</v>
      </c>
      <c r="AS203" s="233">
        <f t="shared" si="42"/>
        <v>2.0833333333333335E-4</v>
      </c>
      <c r="AT203" s="233">
        <f t="shared" si="43"/>
        <v>1.2962962962962963E-3</v>
      </c>
      <c r="AU203" s="235">
        <f>SUM(tabParametros[[#This Row],[Ausência por Doença]:[Férias, Adicional de Férias e 13º  com empregada em gozo de Licença Maternidade]])*SUM(tabParametros[[#This Row],[INSS]:[SEBRAE]])</f>
        <v>4.5918250000000008E-3</v>
      </c>
      <c r="AV203" s="254">
        <f>IF(tabParametros[[#This Row],[Função]]="Porteiro - 220 h",SUM(tabParametros[[#This Row],[Salário Base]:[Adicional de Acúmulo de função]])/220*20*1.5,IF(ISNUMBER(SEARCH("12 x 36",tabParametros[[#This Row],[Função]],1)),SUM(tabParametros[[#This Row],[Salário Base]:[Adicional de Acúmulo de função]])/210*15.5*1.5,0))</f>
        <v>0</v>
      </c>
      <c r="AW203" s="232">
        <f>IF(tabParametros[[#This Row],[Vagas contratadas]]&gt;0,(SUM(tabParametros[[#This Row],[Salário Base]:[Adicional de Acúmulo de função]])*30%+SUM(tabParametros[[#This Row],[Vale - Alimentação]:[Seguro de Vida]]))/tabParametros[[#This Row],[Vagas contratadas]]*tabParametros[[#This Row],[Vagas suspensas]],0)</f>
        <v>0</v>
      </c>
      <c r="AX203" s="232">
        <f>SUMIF(tabUniformes[Cargo],tabParametros[[#This Row],[Função]],tabUniformes[Valor unit. Mensal])</f>
        <v>56.642978962543395</v>
      </c>
      <c r="AY20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3" s="232">
        <v>0</v>
      </c>
      <c r="BC203" s="234" t="e">
        <f ca="1">VLOOKUP(tabParametros[[#Headers],[Custos Indiretos]],tabOutrosCustos[],3,0)</f>
        <v>#NAME?</v>
      </c>
      <c r="BD203" s="234" t="e">
        <f ca="1">VLOOKUP(tabParametros[[#Headers],[Lucro]],tabOutrosCustos[],3,0)</f>
        <v>#NAME?</v>
      </c>
      <c r="BE203" s="233">
        <f>VLOOKUP(tabParametros[[#Headers],[COFINS]],tabImpostosNacionais[],2,0)</f>
        <v>7.5999999999999998E-2</v>
      </c>
      <c r="BF203" s="233">
        <f>VLOOKUP(tabParametros[[#Headers],[PIS]],tabImpostosNacionais[],2,0)</f>
        <v>1.6500000000000001E-2</v>
      </c>
      <c r="BG203" s="233">
        <f>VLOOKUP(tabParametros[[#This Row],[Comarca]],tabComarca[],4,0)</f>
        <v>0.05</v>
      </c>
      <c r="BH203" s="236">
        <f>VLOOKUP(tabParametros[[#This Row],[CCT DA CATEGORIA]],tabSindicatos[],11,0)</f>
        <v>45658</v>
      </c>
      <c r="BI203" s="282" t="str">
        <f>VLOOKUP(tabParametros[[#This Row],[CCT DA CATEGORIA]],tabSindicatos[],12,0)</f>
        <v>-</v>
      </c>
      <c r="BJ203" s="285" t="str">
        <f>VLOOKUP(tabParametros[[#This Row],[CCT DA CATEGORIA]],tabSindicatos[],13,0)</f>
        <v>-</v>
      </c>
    </row>
    <row r="204" spans="1:62">
      <c r="A204" s="231" t="s">
        <v>1489</v>
      </c>
      <c r="B204" s="197" t="s">
        <v>1160</v>
      </c>
      <c r="C204" s="197" t="s">
        <v>214</v>
      </c>
      <c r="D204" s="197" t="str">
        <f>VLOOKUP(tabParametros[[#This Row],[Código do Posto]],tabPostos[],4,0)</f>
        <v>SETTASPOC</v>
      </c>
      <c r="E204" s="282" t="str">
        <f>VLOOKUP(tabParametros[[#This Row],[Código do Posto]],tabPostos[],5,0)</f>
        <v>Apoio</v>
      </c>
      <c r="F204" s="282" t="str">
        <f>VLOOKUP(tabParametros[[#This Row],[Código do Posto]],tabPostos[],6,0)</f>
        <v>PGJ</v>
      </c>
      <c r="G204" s="282">
        <f>VLOOKUP(tabParametros[[#This Row],[Código do Posto]],tabPostos[],7,0)</f>
        <v>1</v>
      </c>
      <c r="H204" s="282">
        <f>VLOOKUP(tabParametros[[#This Row],[Código do Posto]],tabPostos[],8,0)</f>
        <v>0</v>
      </c>
      <c r="I204" s="232">
        <f>VLOOKUP(tabParametros[[#This Row],[Código do Posto]],tabPostos[],9,0)</f>
        <v>1836.5985119240554</v>
      </c>
      <c r="J204" s="232">
        <f>IF(ISNUMBER(SEARCH("Eletricista",tabParametros[[#This Row],[Função]],1)),0.3*tabParametros[[#This Row],[Salário Base]],0)</f>
        <v>0</v>
      </c>
      <c r="K20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4" s="232">
        <f>IF(AND(ISNUMBER(SEARCH("Noturno",tabParametros[[#This Row],[Função]],1)),tabParametros[[#This Row],[Comarca]]&lt;&gt;"Juiz de Fora"),tabParametros[[#This Row],[Salário Base]]/210*0.39*7*15.5,IF(ISNUMBER(SEARCH("Noturno",tabParametros[[#This Row],[Função]],1)),tabParametros[[#This Row],[Salário Base]]/210*0.2*8*15.5,0))</f>
        <v>0</v>
      </c>
      <c r="M204" s="232">
        <f>IF(ISNUMBER(SEARCH("Motorista II",tabParametros[[#This Row],[Função]],1)),0.3022*tabParametros[[#This Row],[Salário Base]],0)</f>
        <v>0</v>
      </c>
      <c r="N204" s="254">
        <v>0</v>
      </c>
      <c r="O204" s="254">
        <f>IF(ISNUMBER(SEARCH("TECNOLOGIA DA INFORMACAO",tabParametros[[#This Row],[Função]],1)),0.056*tabParametros[[#This Row],[Salário Base]],0)</f>
        <v>0</v>
      </c>
      <c r="P204" s="232">
        <f>IF(tabParametros[[#This Row],[Função]]="Operador de Midia Audiovisual - 150 h",tabParametros[[#This Row],[Salário Base]]/150*50*30%,IF(tabParametros[[#This Row],[Função]]="Supervisor de Manutencao de Veiculos II - 220 h",12%*tabParametros[[#This Row],[Salário Base]],0))</f>
        <v>0</v>
      </c>
      <c r="Q204" s="233">
        <f>VLOOKUP(tabParametros[[#Headers],[INSS]],tabImpostosNacionais[],2,0)</f>
        <v>0.2</v>
      </c>
      <c r="R204" s="233">
        <f>VLOOKUP(tabParametros[[#Headers],[SESI OU SESC]],tabImpostosNacionais[],2,0)</f>
        <v>1.4999999999999999E-2</v>
      </c>
      <c r="S204" s="233">
        <f>VLOOKUP(tabParametros[[#Headers],[SENAI OU SENAC]],tabImpostosNacionais[],2,0)</f>
        <v>0.01</v>
      </c>
      <c r="T204" s="233">
        <f>VLOOKUP(tabParametros[[#Headers],[INCRA]],tabImpostosNacionais[],2,0)</f>
        <v>2E-3</v>
      </c>
      <c r="U204" s="233">
        <f>VLOOKUP(tabParametros[[#Headers],[Salário Educação]],tabImpostosNacionais[],2,0)</f>
        <v>2.5000000000000001E-2</v>
      </c>
      <c r="V204" s="233">
        <f>VLOOKUP(tabParametros[[#Headers],[FGTS]],tabImpostosNacionais[],2,0)</f>
        <v>0.08</v>
      </c>
      <c r="W204" s="233">
        <f>VLOOKUP(tabParametros[[#Headers],[RAT Ajustado]],tabImpostosNacionais[],2,0)</f>
        <v>0.04</v>
      </c>
      <c r="X204" s="233">
        <f>VLOOKUP(tabParametros[[#Headers],[SEBRAE]],tabImpostosNacionais[],2,0)</f>
        <v>6.0000000000000001E-3</v>
      </c>
      <c r="Y204" s="233">
        <f t="shared" si="33"/>
        <v>8.3333333333333329E-2</v>
      </c>
      <c r="Z204" s="233">
        <f t="shared" si="34"/>
        <v>0.1111111111111111</v>
      </c>
      <c r="AA204" s="232">
        <f>VLOOKUP(tabParametros[[#This Row],[Comarca]],tabComarca[],5,0)</f>
        <v>6.4</v>
      </c>
      <c r="AB204" s="232">
        <f>VLOOKUP(tabParametros[[#This Row],[CCT DA CATEGORIA]],tabSindicatos[],6,0)</f>
        <v>29.14</v>
      </c>
      <c r="AC204" s="232">
        <f>VLOOKUP(tabParametros[[#This Row],[CCT DA CATEGORIA]],tabSindicatos[],7,0)</f>
        <v>0</v>
      </c>
      <c r="AD204" s="232" cm="1">
        <f t="array" ref="AD20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204" s="232">
        <f>VLOOKUP(tabParametros[[#This Row],[CCT DA CATEGORIA]],tabSindicatos[],9,0)</f>
        <v>0</v>
      </c>
      <c r="AF204" s="232">
        <f>VLOOKUP(tabParametros[[#This Row],[CCT DA CATEGORIA]],tabSindicatos[],10,0)</f>
        <v>0</v>
      </c>
      <c r="AG204" s="234">
        <f>VLOOKUP(tabParametros[[#Headers],[Seguro de Vida]],tabOutrosCustos[],3,0)</f>
        <v>3.36</v>
      </c>
      <c r="AH204" s="234">
        <f>IF(ISNUMBER(SEARCH("MOTORISTA",tabParametros[[#This Row],[Função]],1)),VLOOKUP("MOTORISTAS",tabDiarias[],2,0),IF(tabParametros[[#This Row],[Comarca]]="Belo Horizonte",VLOOKUP("APOIO",tabDiarias[],2,0),0))</f>
        <v>0</v>
      </c>
      <c r="AI204" s="233">
        <f t="shared" si="35"/>
        <v>7.011766975308642E-3</v>
      </c>
      <c r="AJ204" s="235">
        <f>tabParametros[[#This Row],[FGTS]]*tabParametros[[#This Row],[Aviso Prévio Indenizado (API) e Reflexo do Aviso Prévio Indenizado]]</f>
        <v>5.609413580246914E-4</v>
      </c>
      <c r="AK204" s="235">
        <f>tabParametros[[#This Row],[FGTS]]*tabParametros[[#This Row],[Aviso Prévio Indenizado (API) e Reflexo do Aviso Prévio Indenizado]]*40%</f>
        <v>2.2437654320987658E-4</v>
      </c>
      <c r="AL204" s="233">
        <f t="shared" si="36"/>
        <v>3.5000000000000005E-3</v>
      </c>
      <c r="AM204" s="233">
        <f>tabParametros[[#This Row],[Aviso Prévio Trabalhado - APT]]*SUM(tabParametros[[#This Row],[INSS]:[SEBRAE]])</f>
        <v>1.3230000000000004E-3</v>
      </c>
      <c r="AN204" s="233">
        <f t="shared" si="37"/>
        <v>3.0577777777777773E-2</v>
      </c>
      <c r="AO204" s="233">
        <f t="shared" si="38"/>
        <v>8.3333333333333339E-4</v>
      </c>
      <c r="AP204" s="233">
        <f t="shared" si="39"/>
        <v>8.4444444444444437E-3</v>
      </c>
      <c r="AQ204" s="233">
        <f t="shared" si="40"/>
        <v>2.0277777777777777E-3</v>
      </c>
      <c r="AR204" s="233">
        <f t="shared" si="41"/>
        <v>1.7083333333333333E-4</v>
      </c>
      <c r="AS204" s="233">
        <f t="shared" si="42"/>
        <v>2.0833333333333335E-4</v>
      </c>
      <c r="AT204" s="233">
        <f t="shared" si="43"/>
        <v>1.2962962962962963E-3</v>
      </c>
      <c r="AU204" s="235">
        <f>SUM(tabParametros[[#This Row],[Ausência por Doença]:[Férias, Adicional de Férias e 13º  com empregada em gozo de Licença Maternidade]])*SUM(tabParametros[[#This Row],[INSS]:[SEBRAE]])</f>
        <v>4.5918250000000008E-3</v>
      </c>
      <c r="AV204" s="254">
        <f>IF(tabParametros[[#This Row],[Função]]="Porteiro - 220 h",SUM(tabParametros[[#This Row],[Salário Base]:[Adicional de Acúmulo de função]])/220*20*1.5,IF(ISNUMBER(SEARCH("12 x 36",tabParametros[[#This Row],[Função]],1)),SUM(tabParametros[[#This Row],[Salário Base]:[Adicional de Acúmulo de função]])/210*15.5*1.5,0))</f>
        <v>0</v>
      </c>
      <c r="AW204" s="232">
        <f>IF(tabParametros[[#This Row],[Vagas contratadas]]&gt;0,(SUM(tabParametros[[#This Row],[Salário Base]:[Adicional de Acúmulo de função]])*30%+SUM(tabParametros[[#This Row],[Vale - Alimentação]:[Seguro de Vida]]))/tabParametros[[#This Row],[Vagas contratadas]]*tabParametros[[#This Row],[Vagas suspensas]],0)</f>
        <v>0</v>
      </c>
      <c r="AX204" s="232">
        <f>SUMIF(tabUniformes[Cargo],tabParametros[[#This Row],[Função]],tabUniformes[Valor unit. Mensal])</f>
        <v>44.111346448706357</v>
      </c>
      <c r="AY20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4" s="232">
        <v>0</v>
      </c>
      <c r="BC204" s="234" t="e">
        <f ca="1">VLOOKUP(tabParametros[[#Headers],[Custos Indiretos]],tabOutrosCustos[],3,0)</f>
        <v>#NAME?</v>
      </c>
      <c r="BD204" s="234" t="e">
        <f ca="1">VLOOKUP(tabParametros[[#Headers],[Lucro]],tabOutrosCustos[],3,0)</f>
        <v>#NAME?</v>
      </c>
      <c r="BE204" s="233">
        <f>VLOOKUP(tabParametros[[#Headers],[COFINS]],tabImpostosNacionais[],2,0)</f>
        <v>7.5999999999999998E-2</v>
      </c>
      <c r="BF204" s="233">
        <f>VLOOKUP(tabParametros[[#Headers],[PIS]],tabImpostosNacionais[],2,0)</f>
        <v>1.6500000000000001E-2</v>
      </c>
      <c r="BG204" s="233">
        <f>VLOOKUP(tabParametros[[#This Row],[Comarca]],tabComarca[],4,0)</f>
        <v>0.03</v>
      </c>
      <c r="BH204" s="236">
        <f>VLOOKUP(tabParametros[[#This Row],[CCT DA CATEGORIA]],tabSindicatos[],11,0)</f>
        <v>45658</v>
      </c>
      <c r="BI204" s="282" t="str">
        <f>VLOOKUP(tabParametros[[#This Row],[CCT DA CATEGORIA]],tabSindicatos[],12,0)</f>
        <v>-</v>
      </c>
      <c r="BJ204" s="285" t="str">
        <f>VLOOKUP(tabParametros[[#This Row],[CCT DA CATEGORIA]],tabSindicatos[],13,0)</f>
        <v>-</v>
      </c>
    </row>
    <row r="205" spans="1:62">
      <c r="A205" s="231" t="s">
        <v>1641</v>
      </c>
      <c r="B205" s="197" t="s">
        <v>1160</v>
      </c>
      <c r="C205" s="197" t="s">
        <v>324</v>
      </c>
      <c r="D205" s="197" t="str">
        <f>VLOOKUP(tabParametros[[#This Row],[Código do Posto]],tabPostos[],4,0)</f>
        <v>Regiao de Sao Lourenco</v>
      </c>
      <c r="E205" s="282" t="str">
        <f>VLOOKUP(tabParametros[[#This Row],[Código do Posto]],tabPostos[],5,0)</f>
        <v>Apoio</v>
      </c>
      <c r="F205" s="282" t="str">
        <f>VLOOKUP(tabParametros[[#This Row],[Código do Posto]],tabPostos[],6,0)</f>
        <v>PGJ</v>
      </c>
      <c r="G205" s="282">
        <f>VLOOKUP(tabParametros[[#This Row],[Código do Posto]],tabPostos[],7,0)</f>
        <v>1</v>
      </c>
      <c r="H205" s="282">
        <f>VLOOKUP(tabParametros[[#This Row],[Código do Posto]],tabPostos[],8,0)</f>
        <v>0</v>
      </c>
      <c r="I205" s="232">
        <f>VLOOKUP(tabParametros[[#This Row],[Código do Posto]],tabPostos[],9,0)</f>
        <v>3397.130467372021</v>
      </c>
      <c r="J205" s="232">
        <f>IF(ISNUMBER(SEARCH("Eletricista",tabParametros[[#This Row],[Função]],1)),0.3*tabParametros[[#This Row],[Salário Base]],0)</f>
        <v>0</v>
      </c>
      <c r="K20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5" s="232">
        <f>IF(AND(ISNUMBER(SEARCH("Noturno",tabParametros[[#This Row],[Função]],1)),tabParametros[[#This Row],[Comarca]]&lt;&gt;"Juiz de Fora"),tabParametros[[#This Row],[Salário Base]]/210*0.39*7*15.5,IF(ISNUMBER(SEARCH("Noturno",tabParametros[[#This Row],[Função]],1)),tabParametros[[#This Row],[Salário Base]]/210*0.2*8*15.5,0))</f>
        <v>0</v>
      </c>
      <c r="M205" s="232">
        <f>IF(ISNUMBER(SEARCH("Motorista II",tabParametros[[#This Row],[Função]],1)),0.3022*tabParametros[[#This Row],[Salário Base]],0)</f>
        <v>0</v>
      </c>
      <c r="N205" s="254">
        <v>0</v>
      </c>
      <c r="O205" s="254">
        <f>IF(ISNUMBER(SEARCH("TECNOLOGIA DA INFORMACAO",tabParametros[[#This Row],[Função]],1)),0.056*tabParametros[[#This Row],[Salário Base]],0)</f>
        <v>0</v>
      </c>
      <c r="P205" s="232">
        <f>IF(tabParametros[[#This Row],[Função]]="Operador de Midia Audiovisual - 150 h",tabParametros[[#This Row],[Salário Base]]/150*50*30%,IF(tabParametros[[#This Row],[Função]]="Supervisor de Manutencao de Veiculos II - 220 h",12%*tabParametros[[#This Row],[Salário Base]],0))</f>
        <v>0</v>
      </c>
      <c r="Q205" s="233">
        <f>VLOOKUP(tabParametros[[#Headers],[INSS]],tabImpostosNacionais[],2,0)</f>
        <v>0.2</v>
      </c>
      <c r="R205" s="233">
        <f>VLOOKUP(tabParametros[[#Headers],[SESI OU SESC]],tabImpostosNacionais[],2,0)</f>
        <v>1.4999999999999999E-2</v>
      </c>
      <c r="S205" s="233">
        <f>VLOOKUP(tabParametros[[#Headers],[SENAI OU SENAC]],tabImpostosNacionais[],2,0)</f>
        <v>0.01</v>
      </c>
      <c r="T205" s="233">
        <f>VLOOKUP(tabParametros[[#Headers],[INCRA]],tabImpostosNacionais[],2,0)</f>
        <v>2E-3</v>
      </c>
      <c r="U205" s="233">
        <f>VLOOKUP(tabParametros[[#Headers],[Salário Educação]],tabImpostosNacionais[],2,0)</f>
        <v>2.5000000000000001E-2</v>
      </c>
      <c r="V205" s="233">
        <f>VLOOKUP(tabParametros[[#Headers],[FGTS]],tabImpostosNacionais[],2,0)</f>
        <v>0.08</v>
      </c>
      <c r="W205" s="233">
        <f>VLOOKUP(tabParametros[[#Headers],[RAT Ajustado]],tabImpostosNacionais[],2,0)</f>
        <v>0.04</v>
      </c>
      <c r="X205" s="233">
        <f>VLOOKUP(tabParametros[[#Headers],[SEBRAE]],tabImpostosNacionais[],2,0)</f>
        <v>6.0000000000000001E-3</v>
      </c>
      <c r="Y205" s="233">
        <f t="shared" si="33"/>
        <v>8.3333333333333329E-2</v>
      </c>
      <c r="Z205" s="233">
        <f t="shared" si="34"/>
        <v>0.1111111111111111</v>
      </c>
      <c r="AA205" s="232">
        <f>VLOOKUP(tabParametros[[#This Row],[Comarca]],tabComarca[],5,0)</f>
        <v>6.4</v>
      </c>
      <c r="AB205" s="232">
        <f>VLOOKUP(tabParametros[[#This Row],[CCT DA CATEGORIA]],tabSindicatos[],6,0)</f>
        <v>29.15</v>
      </c>
      <c r="AC205" s="232">
        <f>VLOOKUP(tabParametros[[#This Row],[CCT DA CATEGORIA]],tabSindicatos[],7,0)</f>
        <v>0</v>
      </c>
      <c r="AD205" s="232" cm="1">
        <f t="array" ref="AD20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05" s="232">
        <f>VLOOKUP(tabParametros[[#This Row],[CCT DA CATEGORIA]],tabSindicatos[],9,0)</f>
        <v>0</v>
      </c>
      <c r="AF205" s="232">
        <f>VLOOKUP(tabParametros[[#This Row],[CCT DA CATEGORIA]],tabSindicatos[],10,0)</f>
        <v>0</v>
      </c>
      <c r="AG205" s="234">
        <f>VLOOKUP(tabParametros[[#Headers],[Seguro de Vida]],tabOutrosCustos[],3,0)</f>
        <v>3.36</v>
      </c>
      <c r="AH205" s="234">
        <f>IF(ISNUMBER(SEARCH("MOTORISTA",tabParametros[[#This Row],[Função]],1)),VLOOKUP("MOTORISTAS",tabDiarias[],2,0),IF(tabParametros[[#This Row],[Comarca]]="Belo Horizonte",VLOOKUP("APOIO",tabDiarias[],2,0),0))</f>
        <v>0</v>
      </c>
      <c r="AI205" s="233">
        <f t="shared" si="35"/>
        <v>7.011766975308642E-3</v>
      </c>
      <c r="AJ205" s="235">
        <f>tabParametros[[#This Row],[FGTS]]*tabParametros[[#This Row],[Aviso Prévio Indenizado (API) e Reflexo do Aviso Prévio Indenizado]]</f>
        <v>5.609413580246914E-4</v>
      </c>
      <c r="AK205" s="235">
        <f>tabParametros[[#This Row],[FGTS]]*tabParametros[[#This Row],[Aviso Prévio Indenizado (API) e Reflexo do Aviso Prévio Indenizado]]*40%</f>
        <v>2.2437654320987658E-4</v>
      </c>
      <c r="AL205" s="233">
        <f t="shared" si="36"/>
        <v>3.5000000000000005E-3</v>
      </c>
      <c r="AM205" s="233">
        <f>tabParametros[[#This Row],[Aviso Prévio Trabalhado - APT]]*SUM(tabParametros[[#This Row],[INSS]:[SEBRAE]])</f>
        <v>1.3230000000000004E-3</v>
      </c>
      <c r="AN205" s="233">
        <f t="shared" si="37"/>
        <v>3.0577777777777773E-2</v>
      </c>
      <c r="AO205" s="233">
        <f t="shared" si="38"/>
        <v>8.3333333333333339E-4</v>
      </c>
      <c r="AP205" s="233">
        <f t="shared" si="39"/>
        <v>8.4444444444444437E-3</v>
      </c>
      <c r="AQ205" s="233">
        <f t="shared" si="40"/>
        <v>2.0277777777777777E-3</v>
      </c>
      <c r="AR205" s="233">
        <f t="shared" si="41"/>
        <v>1.7083333333333333E-4</v>
      </c>
      <c r="AS205" s="233">
        <f t="shared" si="42"/>
        <v>2.0833333333333335E-4</v>
      </c>
      <c r="AT205" s="233">
        <f t="shared" si="43"/>
        <v>1.2962962962962963E-3</v>
      </c>
      <c r="AU205" s="235">
        <f>SUM(tabParametros[[#This Row],[Ausência por Doença]:[Férias, Adicional de Férias e 13º  com empregada em gozo de Licença Maternidade]])*SUM(tabParametros[[#This Row],[INSS]:[SEBRAE]])</f>
        <v>4.5918250000000008E-3</v>
      </c>
      <c r="AV205" s="254">
        <f>IF(tabParametros[[#This Row],[Função]]="Porteiro - 220 h",SUM(tabParametros[[#This Row],[Salário Base]:[Adicional de Acúmulo de função]])/220*20*1.5,IF(ISNUMBER(SEARCH("12 x 36",tabParametros[[#This Row],[Função]],1)),SUM(tabParametros[[#This Row],[Salário Base]:[Adicional de Acúmulo de função]])/210*15.5*1.5,0))</f>
        <v>0</v>
      </c>
      <c r="AW205" s="232">
        <f>IF(tabParametros[[#This Row],[Vagas contratadas]]&gt;0,(SUM(tabParametros[[#This Row],[Salário Base]:[Adicional de Acúmulo de função]])*30%+SUM(tabParametros[[#This Row],[Vale - Alimentação]:[Seguro de Vida]]))/tabParametros[[#This Row],[Vagas contratadas]]*tabParametros[[#This Row],[Vagas suspensas]],0)</f>
        <v>0</v>
      </c>
      <c r="AX205" s="232">
        <f>SUMIF(tabUniformes[Cargo],tabParametros[[#This Row],[Função]],tabUniformes[Valor unit. Mensal])</f>
        <v>56.642978962543395</v>
      </c>
      <c r="AY20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5" s="232">
        <v>0</v>
      </c>
      <c r="BC205" s="234" t="e">
        <f ca="1">VLOOKUP(tabParametros[[#Headers],[Custos Indiretos]],tabOutrosCustos[],3,0)</f>
        <v>#NAME?</v>
      </c>
      <c r="BD205" s="234" t="e">
        <f ca="1">VLOOKUP(tabParametros[[#Headers],[Lucro]],tabOutrosCustos[],3,0)</f>
        <v>#NAME?</v>
      </c>
      <c r="BE205" s="233">
        <f>VLOOKUP(tabParametros[[#Headers],[COFINS]],tabImpostosNacionais[],2,0)</f>
        <v>7.5999999999999998E-2</v>
      </c>
      <c r="BF205" s="233">
        <f>VLOOKUP(tabParametros[[#Headers],[PIS]],tabImpostosNacionais[],2,0)</f>
        <v>1.6500000000000001E-2</v>
      </c>
      <c r="BG205" s="233">
        <f>VLOOKUP(tabParametros[[#This Row],[Comarca]],tabComarca[],4,0)</f>
        <v>0.03</v>
      </c>
      <c r="BH205" s="236">
        <f>VLOOKUP(tabParametros[[#This Row],[CCT DA CATEGORIA]],tabSindicatos[],11,0)</f>
        <v>45658</v>
      </c>
      <c r="BI205" s="282" t="str">
        <f>VLOOKUP(tabParametros[[#This Row],[CCT DA CATEGORIA]],tabSindicatos[],12,0)</f>
        <v>-</v>
      </c>
      <c r="BJ205" s="285" t="str">
        <f>VLOOKUP(tabParametros[[#This Row],[CCT DA CATEGORIA]],tabSindicatos[],13,0)</f>
        <v>-</v>
      </c>
    </row>
    <row r="206" spans="1:62">
      <c r="A206" s="231" t="s">
        <v>1490</v>
      </c>
      <c r="B206" s="197" t="s">
        <v>1161</v>
      </c>
      <c r="C206" s="197" t="s">
        <v>200</v>
      </c>
      <c r="D206" s="197" t="str">
        <f>VLOOKUP(tabParametros[[#This Row],[Código do Posto]],tabPostos[],4,0)</f>
        <v>Sethac Norte de Minas</v>
      </c>
      <c r="E206" s="282" t="str">
        <f>VLOOKUP(tabParametros[[#This Row],[Código do Posto]],tabPostos[],5,0)</f>
        <v>Apoio</v>
      </c>
      <c r="F206" s="282" t="str">
        <f>VLOOKUP(tabParametros[[#This Row],[Código do Posto]],tabPostos[],6,0)</f>
        <v>PGJ</v>
      </c>
      <c r="G206" s="282">
        <f>VLOOKUP(tabParametros[[#This Row],[Código do Posto]],tabPostos[],7,0)</f>
        <v>1</v>
      </c>
      <c r="H206" s="282">
        <f>VLOOKUP(tabParametros[[#This Row],[Código do Posto]],tabPostos[],8,0)</f>
        <v>0</v>
      </c>
      <c r="I206" s="232">
        <f>VLOOKUP(tabParametros[[#This Row],[Código do Posto]],tabPostos[],9,0)</f>
        <v>1596.273808921236</v>
      </c>
      <c r="J206" s="232">
        <f>IF(ISNUMBER(SEARCH("Eletricista",tabParametros[[#This Row],[Função]],1)),0.3*tabParametros[[#This Row],[Salário Base]],0)</f>
        <v>0</v>
      </c>
      <c r="K20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6" s="232">
        <f>IF(AND(ISNUMBER(SEARCH("Noturno",tabParametros[[#This Row],[Função]],1)),tabParametros[[#This Row],[Comarca]]&lt;&gt;"Juiz de Fora"),tabParametros[[#This Row],[Salário Base]]/210*0.39*7*15.5,IF(ISNUMBER(SEARCH("Noturno",tabParametros[[#This Row],[Função]],1)),tabParametros[[#This Row],[Salário Base]]/210*0.2*8*15.5,0))</f>
        <v>0</v>
      </c>
      <c r="M206" s="232">
        <f>IF(ISNUMBER(SEARCH("Motorista II",tabParametros[[#This Row],[Função]],1)),0.3022*tabParametros[[#This Row],[Salário Base]],0)</f>
        <v>0</v>
      </c>
      <c r="N206" s="254">
        <v>0</v>
      </c>
      <c r="O206" s="254">
        <f>IF(ISNUMBER(SEARCH("TECNOLOGIA DA INFORMACAO",tabParametros[[#This Row],[Função]],1)),0.056*tabParametros[[#This Row],[Salário Base]],0)</f>
        <v>0</v>
      </c>
      <c r="P206" s="232">
        <f>IF(tabParametros[[#This Row],[Função]]="Operador de Midia Audiovisual - 150 h",tabParametros[[#This Row],[Salário Base]]/150*50*30%,IF(tabParametros[[#This Row],[Função]]="Supervisor de Manutencao de Veiculos II - 220 h",12%*tabParametros[[#This Row],[Salário Base]],0))</f>
        <v>0</v>
      </c>
      <c r="Q206" s="233">
        <f>VLOOKUP(tabParametros[[#Headers],[INSS]],tabImpostosNacionais[],2,0)</f>
        <v>0.2</v>
      </c>
      <c r="R206" s="233">
        <f>VLOOKUP(tabParametros[[#Headers],[SESI OU SESC]],tabImpostosNacionais[],2,0)</f>
        <v>1.4999999999999999E-2</v>
      </c>
      <c r="S206" s="233">
        <f>VLOOKUP(tabParametros[[#Headers],[SENAI OU SENAC]],tabImpostosNacionais[],2,0)</f>
        <v>0.01</v>
      </c>
      <c r="T206" s="233">
        <f>VLOOKUP(tabParametros[[#Headers],[INCRA]],tabImpostosNacionais[],2,0)</f>
        <v>2E-3</v>
      </c>
      <c r="U206" s="233">
        <f>VLOOKUP(tabParametros[[#Headers],[Salário Educação]],tabImpostosNacionais[],2,0)</f>
        <v>2.5000000000000001E-2</v>
      </c>
      <c r="V206" s="233">
        <f>VLOOKUP(tabParametros[[#Headers],[FGTS]],tabImpostosNacionais[],2,0)</f>
        <v>0.08</v>
      </c>
      <c r="W206" s="233">
        <f>VLOOKUP(tabParametros[[#Headers],[RAT Ajustado]],tabImpostosNacionais[],2,0)</f>
        <v>0.04</v>
      </c>
      <c r="X206" s="233">
        <f>VLOOKUP(tabParametros[[#Headers],[SEBRAE]],tabImpostosNacionais[],2,0)</f>
        <v>6.0000000000000001E-3</v>
      </c>
      <c r="Y206" s="233">
        <f t="shared" si="33"/>
        <v>8.3333333333333329E-2</v>
      </c>
      <c r="Z206" s="233">
        <f t="shared" si="34"/>
        <v>0.1111111111111111</v>
      </c>
      <c r="AA206" s="232">
        <f>VLOOKUP(tabParametros[[#This Row],[Comarca]],tabComarca[],5,0)</f>
        <v>6.4</v>
      </c>
      <c r="AB206" s="232">
        <f>VLOOKUP(tabParametros[[#This Row],[CCT DA CATEGORIA]],tabSindicatos[],6,0)</f>
        <v>29.15</v>
      </c>
      <c r="AC206" s="232">
        <f>VLOOKUP(tabParametros[[#This Row],[CCT DA CATEGORIA]],tabSindicatos[],7,0)</f>
        <v>0</v>
      </c>
      <c r="AD206" s="232" cm="1">
        <f t="array" ref="AD20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06" s="232">
        <f>VLOOKUP(tabParametros[[#This Row],[CCT DA CATEGORIA]],tabSindicatos[],9,0)</f>
        <v>0</v>
      </c>
      <c r="AF206" s="232">
        <f>VLOOKUP(tabParametros[[#This Row],[CCT DA CATEGORIA]],tabSindicatos[],10,0)</f>
        <v>0</v>
      </c>
      <c r="AG206" s="234">
        <f>VLOOKUP(tabParametros[[#Headers],[Seguro de Vida]],tabOutrosCustos[],3,0)</f>
        <v>3.36</v>
      </c>
      <c r="AH206" s="234">
        <f>IF(ISNUMBER(SEARCH("MOTORISTA",tabParametros[[#This Row],[Função]],1)),VLOOKUP("MOTORISTAS",tabDiarias[],2,0),IF(tabParametros[[#This Row],[Comarca]]="Belo Horizonte",VLOOKUP("APOIO",tabDiarias[],2,0),0))</f>
        <v>0</v>
      </c>
      <c r="AI206" s="233">
        <f t="shared" si="35"/>
        <v>7.011766975308642E-3</v>
      </c>
      <c r="AJ206" s="235">
        <f>tabParametros[[#This Row],[FGTS]]*tabParametros[[#This Row],[Aviso Prévio Indenizado (API) e Reflexo do Aviso Prévio Indenizado]]</f>
        <v>5.609413580246914E-4</v>
      </c>
      <c r="AK206" s="235">
        <f>tabParametros[[#This Row],[FGTS]]*tabParametros[[#This Row],[Aviso Prévio Indenizado (API) e Reflexo do Aviso Prévio Indenizado]]*40%</f>
        <v>2.2437654320987658E-4</v>
      </c>
      <c r="AL206" s="233">
        <f t="shared" si="36"/>
        <v>3.5000000000000005E-3</v>
      </c>
      <c r="AM206" s="233">
        <f>tabParametros[[#This Row],[Aviso Prévio Trabalhado - APT]]*SUM(tabParametros[[#This Row],[INSS]:[SEBRAE]])</f>
        <v>1.3230000000000004E-3</v>
      </c>
      <c r="AN206" s="233">
        <f t="shared" si="37"/>
        <v>3.0577777777777773E-2</v>
      </c>
      <c r="AO206" s="233">
        <f t="shared" si="38"/>
        <v>8.3333333333333339E-4</v>
      </c>
      <c r="AP206" s="233">
        <f t="shared" si="39"/>
        <v>8.4444444444444437E-3</v>
      </c>
      <c r="AQ206" s="233">
        <f t="shared" si="40"/>
        <v>2.0277777777777777E-3</v>
      </c>
      <c r="AR206" s="233">
        <f t="shared" si="41"/>
        <v>1.7083333333333333E-4</v>
      </c>
      <c r="AS206" s="233">
        <f t="shared" si="42"/>
        <v>2.0833333333333335E-4</v>
      </c>
      <c r="AT206" s="233">
        <f t="shared" si="43"/>
        <v>1.2962962962962963E-3</v>
      </c>
      <c r="AU206" s="235">
        <f>SUM(tabParametros[[#This Row],[Ausência por Doença]:[Férias, Adicional de Férias e 13º  com empregada em gozo de Licença Maternidade]])*SUM(tabParametros[[#This Row],[INSS]:[SEBRAE]])</f>
        <v>4.5918250000000008E-3</v>
      </c>
      <c r="AV206" s="254">
        <f>IF(tabParametros[[#This Row],[Função]]="Porteiro - 220 h",SUM(tabParametros[[#This Row],[Salário Base]:[Adicional de Acúmulo de função]])/220*20*1.5,IF(ISNUMBER(SEARCH("12 x 36",tabParametros[[#This Row],[Função]],1)),SUM(tabParametros[[#This Row],[Salário Base]:[Adicional de Acúmulo de função]])/210*15.5*1.5,0))</f>
        <v>0</v>
      </c>
      <c r="AW206" s="232">
        <f>IF(tabParametros[[#This Row],[Vagas contratadas]]&gt;0,(SUM(tabParametros[[#This Row],[Salário Base]:[Adicional de Acúmulo de função]])*30%+SUM(tabParametros[[#This Row],[Vale - Alimentação]:[Seguro de Vida]]))/tabParametros[[#This Row],[Vagas contratadas]]*tabParametros[[#This Row],[Vagas suspensas]],0)</f>
        <v>0</v>
      </c>
      <c r="AX206" s="232">
        <f>SUMIF(tabUniformes[Cargo],tabParametros[[#This Row],[Função]],tabUniformes[Valor unit. Mensal])</f>
        <v>56.141713661989918</v>
      </c>
      <c r="AY20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6" s="232">
        <v>0</v>
      </c>
      <c r="BC206" s="234" t="e">
        <f ca="1">VLOOKUP(tabParametros[[#Headers],[Custos Indiretos]],tabOutrosCustos[],3,0)</f>
        <v>#NAME?</v>
      </c>
      <c r="BD206" s="234" t="e">
        <f ca="1">VLOOKUP(tabParametros[[#Headers],[Lucro]],tabOutrosCustos[],3,0)</f>
        <v>#NAME?</v>
      </c>
      <c r="BE206" s="233">
        <f>VLOOKUP(tabParametros[[#Headers],[COFINS]],tabImpostosNacionais[],2,0)</f>
        <v>7.5999999999999998E-2</v>
      </c>
      <c r="BF206" s="233">
        <f>VLOOKUP(tabParametros[[#Headers],[PIS]],tabImpostosNacionais[],2,0)</f>
        <v>1.6500000000000001E-2</v>
      </c>
      <c r="BG206" s="233">
        <f>VLOOKUP(tabParametros[[#This Row],[Comarca]],tabComarca[],4,0)</f>
        <v>0.02</v>
      </c>
      <c r="BH206" s="236">
        <f>VLOOKUP(tabParametros[[#This Row],[CCT DA CATEGORIA]],tabSindicatos[],11,0)</f>
        <v>45658</v>
      </c>
      <c r="BI206" s="282" t="str">
        <f>VLOOKUP(tabParametros[[#This Row],[CCT DA CATEGORIA]],tabSindicatos[],12,0)</f>
        <v>-</v>
      </c>
      <c r="BJ206" s="285" t="str">
        <f>VLOOKUP(tabParametros[[#This Row],[CCT DA CATEGORIA]],tabSindicatos[],13,0)</f>
        <v>-</v>
      </c>
    </row>
    <row r="207" spans="1:62">
      <c r="A207" s="231" t="s">
        <v>1642</v>
      </c>
      <c r="B207" s="197" t="s">
        <v>1161</v>
      </c>
      <c r="C207" s="197" t="s">
        <v>304</v>
      </c>
      <c r="D207" s="197" t="str">
        <f>VLOOKUP(tabParametros[[#This Row],[Código do Posto]],tabPostos[],4,0)</f>
        <v>Sethac Norte de Minas</v>
      </c>
      <c r="E207" s="282" t="str">
        <f>VLOOKUP(tabParametros[[#This Row],[Código do Posto]],tabPostos[],5,0)</f>
        <v>Apoio</v>
      </c>
      <c r="F207" s="282" t="str">
        <f>VLOOKUP(tabParametros[[#This Row],[Código do Posto]],tabPostos[],6,0)</f>
        <v>PGJ</v>
      </c>
      <c r="G207" s="282">
        <f>VLOOKUP(tabParametros[[#This Row],[Código do Posto]],tabPostos[],7,0)</f>
        <v>2</v>
      </c>
      <c r="H207" s="282">
        <f>VLOOKUP(tabParametros[[#This Row],[Código do Posto]],tabPostos[],8,0)</f>
        <v>0</v>
      </c>
      <c r="I207" s="232">
        <f>VLOOKUP(tabParametros[[#This Row],[Código do Posto]],tabPostos[],9,0)</f>
        <v>1963.4110092077037</v>
      </c>
      <c r="J207" s="232">
        <f>IF(ISNUMBER(SEARCH("Eletricista",tabParametros[[#This Row],[Função]],1)),0.3*tabParametros[[#This Row],[Salário Base]],0)</f>
        <v>0</v>
      </c>
      <c r="K20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7" s="232">
        <f>IF(AND(ISNUMBER(SEARCH("Noturno",tabParametros[[#This Row],[Função]],1)),tabParametros[[#This Row],[Comarca]]&lt;&gt;"Juiz de Fora"),tabParametros[[#This Row],[Salário Base]]/210*0.39*7*15.5,IF(ISNUMBER(SEARCH("Noturno",tabParametros[[#This Row],[Função]],1)),tabParametros[[#This Row],[Salário Base]]/210*0.2*8*15.5,0))</f>
        <v>0</v>
      </c>
      <c r="M207" s="232">
        <f>IF(ISNUMBER(SEARCH("Motorista II",tabParametros[[#This Row],[Função]],1)),0.3022*tabParametros[[#This Row],[Salário Base]],0)</f>
        <v>0</v>
      </c>
      <c r="N207" s="254">
        <v>0</v>
      </c>
      <c r="O207" s="254">
        <f>IF(ISNUMBER(SEARCH("TECNOLOGIA DA INFORMACAO",tabParametros[[#This Row],[Função]],1)),0.056*tabParametros[[#This Row],[Salário Base]],0)</f>
        <v>0</v>
      </c>
      <c r="P207" s="232">
        <f>IF(tabParametros[[#This Row],[Função]]="Operador de Midia Audiovisual - 150 h",tabParametros[[#This Row],[Salário Base]]/150*50*30%,IF(tabParametros[[#This Row],[Função]]="Supervisor de Manutencao de Veiculos II - 220 h",12%*tabParametros[[#This Row],[Salário Base]],0))</f>
        <v>0</v>
      </c>
      <c r="Q207" s="233">
        <f>VLOOKUP(tabParametros[[#Headers],[INSS]],tabImpostosNacionais[],2,0)</f>
        <v>0.2</v>
      </c>
      <c r="R207" s="233">
        <f>VLOOKUP(tabParametros[[#Headers],[SESI OU SESC]],tabImpostosNacionais[],2,0)</f>
        <v>1.4999999999999999E-2</v>
      </c>
      <c r="S207" s="233">
        <f>VLOOKUP(tabParametros[[#Headers],[SENAI OU SENAC]],tabImpostosNacionais[],2,0)</f>
        <v>0.01</v>
      </c>
      <c r="T207" s="233">
        <f>VLOOKUP(tabParametros[[#Headers],[INCRA]],tabImpostosNacionais[],2,0)</f>
        <v>2E-3</v>
      </c>
      <c r="U207" s="233">
        <f>VLOOKUP(tabParametros[[#Headers],[Salário Educação]],tabImpostosNacionais[],2,0)</f>
        <v>2.5000000000000001E-2</v>
      </c>
      <c r="V207" s="233">
        <f>VLOOKUP(tabParametros[[#Headers],[FGTS]],tabImpostosNacionais[],2,0)</f>
        <v>0.08</v>
      </c>
      <c r="W207" s="233">
        <f>VLOOKUP(tabParametros[[#Headers],[RAT Ajustado]],tabImpostosNacionais[],2,0)</f>
        <v>0.04</v>
      </c>
      <c r="X207" s="233">
        <f>VLOOKUP(tabParametros[[#Headers],[SEBRAE]],tabImpostosNacionais[],2,0)</f>
        <v>6.0000000000000001E-3</v>
      </c>
      <c r="Y207" s="233">
        <f t="shared" si="33"/>
        <v>8.3333333333333329E-2</v>
      </c>
      <c r="Z207" s="233">
        <f t="shared" si="34"/>
        <v>0.1111111111111111</v>
      </c>
      <c r="AA207" s="232">
        <f>VLOOKUP(tabParametros[[#This Row],[Comarca]],tabComarca[],5,0)</f>
        <v>6.4</v>
      </c>
      <c r="AB207" s="232">
        <f>VLOOKUP(tabParametros[[#This Row],[CCT DA CATEGORIA]],tabSindicatos[],6,0)</f>
        <v>29.15</v>
      </c>
      <c r="AC207" s="232">
        <f>VLOOKUP(tabParametros[[#This Row],[CCT DA CATEGORIA]],tabSindicatos[],7,0)</f>
        <v>0</v>
      </c>
      <c r="AD207" s="232" cm="1">
        <f t="array" ref="AD20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07" s="232">
        <f>VLOOKUP(tabParametros[[#This Row],[CCT DA CATEGORIA]],tabSindicatos[],9,0)</f>
        <v>0</v>
      </c>
      <c r="AF207" s="232">
        <f>VLOOKUP(tabParametros[[#This Row],[CCT DA CATEGORIA]],tabSindicatos[],10,0)</f>
        <v>0</v>
      </c>
      <c r="AG207" s="234">
        <f>VLOOKUP(tabParametros[[#Headers],[Seguro de Vida]],tabOutrosCustos[],3,0)</f>
        <v>3.36</v>
      </c>
      <c r="AH207" s="234">
        <f>IF(ISNUMBER(SEARCH("MOTORISTA",tabParametros[[#This Row],[Função]],1)),VLOOKUP("MOTORISTAS",tabDiarias[],2,0),IF(tabParametros[[#This Row],[Comarca]]="Belo Horizonte",VLOOKUP("APOIO",tabDiarias[],2,0),0))</f>
        <v>0</v>
      </c>
      <c r="AI207" s="233">
        <f t="shared" si="35"/>
        <v>7.011766975308642E-3</v>
      </c>
      <c r="AJ207" s="235">
        <f>tabParametros[[#This Row],[FGTS]]*tabParametros[[#This Row],[Aviso Prévio Indenizado (API) e Reflexo do Aviso Prévio Indenizado]]</f>
        <v>5.609413580246914E-4</v>
      </c>
      <c r="AK207" s="235">
        <f>tabParametros[[#This Row],[FGTS]]*tabParametros[[#This Row],[Aviso Prévio Indenizado (API) e Reflexo do Aviso Prévio Indenizado]]*40%</f>
        <v>2.2437654320987658E-4</v>
      </c>
      <c r="AL207" s="233">
        <f t="shared" si="36"/>
        <v>3.5000000000000005E-3</v>
      </c>
      <c r="AM207" s="233">
        <f>tabParametros[[#This Row],[Aviso Prévio Trabalhado - APT]]*SUM(tabParametros[[#This Row],[INSS]:[SEBRAE]])</f>
        <v>1.3230000000000004E-3</v>
      </c>
      <c r="AN207" s="233">
        <f t="shared" si="37"/>
        <v>3.0577777777777773E-2</v>
      </c>
      <c r="AO207" s="233">
        <f t="shared" si="38"/>
        <v>8.3333333333333339E-4</v>
      </c>
      <c r="AP207" s="233">
        <f t="shared" si="39"/>
        <v>8.4444444444444437E-3</v>
      </c>
      <c r="AQ207" s="233">
        <f t="shared" si="40"/>
        <v>2.0277777777777777E-3</v>
      </c>
      <c r="AR207" s="233">
        <f t="shared" si="41"/>
        <v>1.7083333333333333E-4</v>
      </c>
      <c r="AS207" s="233">
        <f t="shared" si="42"/>
        <v>2.0833333333333335E-4</v>
      </c>
      <c r="AT207" s="233">
        <f t="shared" si="43"/>
        <v>1.2962962962962963E-3</v>
      </c>
      <c r="AU207" s="235">
        <f>SUM(tabParametros[[#This Row],[Ausência por Doença]:[Férias, Adicional de Férias e 13º  com empregada em gozo de Licença Maternidade]])*SUM(tabParametros[[#This Row],[INSS]:[SEBRAE]])</f>
        <v>4.5918250000000008E-3</v>
      </c>
      <c r="AV207" s="254">
        <f>IF(tabParametros[[#This Row],[Função]]="Porteiro - 220 h",SUM(tabParametros[[#This Row],[Salário Base]:[Adicional de Acúmulo de função]])/220*20*1.5,IF(ISNUMBER(SEARCH("12 x 36",tabParametros[[#This Row],[Função]],1)),SUM(tabParametros[[#This Row],[Salário Base]:[Adicional de Acúmulo de função]])/210*15.5*1.5,0))</f>
        <v>217.37764744799577</v>
      </c>
      <c r="AW207" s="232">
        <f>IF(tabParametros[[#This Row],[Vagas contratadas]]&gt;0,(SUM(tabParametros[[#This Row],[Salário Base]:[Adicional de Acúmulo de função]])*30%+SUM(tabParametros[[#This Row],[Vale - Alimentação]:[Seguro de Vida]]))/tabParametros[[#This Row],[Vagas contratadas]]*tabParametros[[#This Row],[Vagas suspensas]],0)</f>
        <v>0</v>
      </c>
      <c r="AX207" s="232">
        <f>SUMIF(tabUniformes[Cargo],tabParametros[[#This Row],[Função]],tabUniformes[Valor unit. Mensal])</f>
        <v>56.642978962543395</v>
      </c>
      <c r="AY20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7" s="232">
        <v>0</v>
      </c>
      <c r="BC207" s="234" t="e">
        <f ca="1">VLOOKUP(tabParametros[[#Headers],[Custos Indiretos]],tabOutrosCustos[],3,0)</f>
        <v>#NAME?</v>
      </c>
      <c r="BD207" s="234" t="e">
        <f ca="1">VLOOKUP(tabParametros[[#Headers],[Lucro]],tabOutrosCustos[],3,0)</f>
        <v>#NAME?</v>
      </c>
      <c r="BE207" s="233">
        <f>VLOOKUP(tabParametros[[#Headers],[COFINS]],tabImpostosNacionais[],2,0)</f>
        <v>7.5999999999999998E-2</v>
      </c>
      <c r="BF207" s="233">
        <f>VLOOKUP(tabParametros[[#Headers],[PIS]],tabImpostosNacionais[],2,0)</f>
        <v>1.6500000000000001E-2</v>
      </c>
      <c r="BG207" s="233">
        <f>VLOOKUP(tabParametros[[#This Row],[Comarca]],tabComarca[],4,0)</f>
        <v>0.02</v>
      </c>
      <c r="BH207" s="236">
        <f>VLOOKUP(tabParametros[[#This Row],[CCT DA CATEGORIA]],tabSindicatos[],11,0)</f>
        <v>45658</v>
      </c>
      <c r="BI207" s="282" t="str">
        <f>VLOOKUP(tabParametros[[#This Row],[CCT DA CATEGORIA]],tabSindicatos[],12,0)</f>
        <v>-</v>
      </c>
      <c r="BJ207" s="285" t="str">
        <f>VLOOKUP(tabParametros[[#This Row],[CCT DA CATEGORIA]],tabSindicatos[],13,0)</f>
        <v>-</v>
      </c>
    </row>
    <row r="208" spans="1:62">
      <c r="A208" s="231" t="s">
        <v>1643</v>
      </c>
      <c r="B208" s="197" t="s">
        <v>1161</v>
      </c>
      <c r="C208" s="197" t="s">
        <v>309</v>
      </c>
      <c r="D208" s="197" t="str">
        <f>VLOOKUP(tabParametros[[#This Row],[Código do Posto]],tabPostos[],4,0)</f>
        <v>Sethac Norte de Minas</v>
      </c>
      <c r="E208" s="282" t="str">
        <f>VLOOKUP(tabParametros[[#This Row],[Código do Posto]],tabPostos[],5,0)</f>
        <v>Apoio</v>
      </c>
      <c r="F208" s="282" t="str">
        <f>VLOOKUP(tabParametros[[#This Row],[Código do Posto]],tabPostos[],6,0)</f>
        <v>PGJ</v>
      </c>
      <c r="G208" s="282">
        <f>VLOOKUP(tabParametros[[#This Row],[Código do Posto]],tabPostos[],7,0)</f>
        <v>2</v>
      </c>
      <c r="H208" s="282">
        <f>VLOOKUP(tabParametros[[#This Row],[Código do Posto]],tabPostos[],8,0)</f>
        <v>0</v>
      </c>
      <c r="I208" s="232">
        <f>VLOOKUP(tabParametros[[#This Row],[Código do Posto]],tabPostos[],9,0)</f>
        <v>1963.4110092077037</v>
      </c>
      <c r="J208" s="232">
        <f>IF(ISNUMBER(SEARCH("Eletricista",tabParametros[[#This Row],[Função]],1)),0.3*tabParametros[[#This Row],[Salário Base]],0)</f>
        <v>0</v>
      </c>
      <c r="K20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8" s="232">
        <f>IF(AND(ISNUMBER(SEARCH("Noturno",tabParametros[[#This Row],[Função]],1)),tabParametros[[#This Row],[Comarca]]&lt;&gt;"Juiz de Fora"),tabParametros[[#This Row],[Salário Base]]/210*0.39*7*15.5,IF(ISNUMBER(SEARCH("Noturno",tabParametros[[#This Row],[Função]],1)),tabParametros[[#This Row],[Salário Base]]/210*0.2*8*15.5,0))</f>
        <v>395.62731835535232</v>
      </c>
      <c r="M208" s="232">
        <f>IF(ISNUMBER(SEARCH("Motorista II",tabParametros[[#This Row],[Função]],1)),0.3022*tabParametros[[#This Row],[Salário Base]],0)</f>
        <v>0</v>
      </c>
      <c r="N208" s="254">
        <v>0</v>
      </c>
      <c r="O208" s="254">
        <f>IF(ISNUMBER(SEARCH("TECNOLOGIA DA INFORMACAO",tabParametros[[#This Row],[Função]],1)),0.056*tabParametros[[#This Row],[Salário Base]],0)</f>
        <v>0</v>
      </c>
      <c r="P208" s="232">
        <f>IF(tabParametros[[#This Row],[Função]]="Operador de Midia Audiovisual - 150 h",tabParametros[[#This Row],[Salário Base]]/150*50*30%,IF(tabParametros[[#This Row],[Função]]="Supervisor de Manutencao de Veiculos II - 220 h",12%*tabParametros[[#This Row],[Salário Base]],0))</f>
        <v>0</v>
      </c>
      <c r="Q208" s="233">
        <f>VLOOKUP(tabParametros[[#Headers],[INSS]],tabImpostosNacionais[],2,0)</f>
        <v>0.2</v>
      </c>
      <c r="R208" s="233">
        <f>VLOOKUP(tabParametros[[#Headers],[SESI OU SESC]],tabImpostosNacionais[],2,0)</f>
        <v>1.4999999999999999E-2</v>
      </c>
      <c r="S208" s="233">
        <f>VLOOKUP(tabParametros[[#Headers],[SENAI OU SENAC]],tabImpostosNacionais[],2,0)</f>
        <v>0.01</v>
      </c>
      <c r="T208" s="233">
        <f>VLOOKUP(tabParametros[[#Headers],[INCRA]],tabImpostosNacionais[],2,0)</f>
        <v>2E-3</v>
      </c>
      <c r="U208" s="233">
        <f>VLOOKUP(tabParametros[[#Headers],[Salário Educação]],tabImpostosNacionais[],2,0)</f>
        <v>2.5000000000000001E-2</v>
      </c>
      <c r="V208" s="233">
        <f>VLOOKUP(tabParametros[[#Headers],[FGTS]],tabImpostosNacionais[],2,0)</f>
        <v>0.08</v>
      </c>
      <c r="W208" s="233">
        <f>VLOOKUP(tabParametros[[#Headers],[RAT Ajustado]],tabImpostosNacionais[],2,0)</f>
        <v>0.04</v>
      </c>
      <c r="X208" s="233">
        <f>VLOOKUP(tabParametros[[#Headers],[SEBRAE]],tabImpostosNacionais[],2,0)</f>
        <v>6.0000000000000001E-3</v>
      </c>
      <c r="Y208" s="233">
        <f t="shared" si="33"/>
        <v>8.3333333333333329E-2</v>
      </c>
      <c r="Z208" s="233">
        <f t="shared" si="34"/>
        <v>0.1111111111111111</v>
      </c>
      <c r="AA208" s="232">
        <f>VLOOKUP(tabParametros[[#This Row],[Comarca]],tabComarca[],5,0)</f>
        <v>6.4</v>
      </c>
      <c r="AB208" s="232">
        <f>VLOOKUP(tabParametros[[#This Row],[CCT DA CATEGORIA]],tabSindicatos[],6,0)</f>
        <v>29.15</v>
      </c>
      <c r="AC208" s="232">
        <f>VLOOKUP(tabParametros[[#This Row],[CCT DA CATEGORIA]],tabSindicatos[],7,0)</f>
        <v>0</v>
      </c>
      <c r="AD208" s="232" cm="1">
        <f t="array" ref="AD20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08" s="232">
        <f>VLOOKUP(tabParametros[[#This Row],[CCT DA CATEGORIA]],tabSindicatos[],9,0)</f>
        <v>0</v>
      </c>
      <c r="AF208" s="232">
        <f>VLOOKUP(tabParametros[[#This Row],[CCT DA CATEGORIA]],tabSindicatos[],10,0)</f>
        <v>0</v>
      </c>
      <c r="AG208" s="234">
        <f>VLOOKUP(tabParametros[[#Headers],[Seguro de Vida]],tabOutrosCustos[],3,0)</f>
        <v>3.36</v>
      </c>
      <c r="AH208" s="234">
        <f>IF(ISNUMBER(SEARCH("MOTORISTA",tabParametros[[#This Row],[Função]],1)),VLOOKUP("MOTORISTAS",tabDiarias[],2,0),IF(tabParametros[[#This Row],[Comarca]]="Belo Horizonte",VLOOKUP("APOIO",tabDiarias[],2,0),0))</f>
        <v>0</v>
      </c>
      <c r="AI208" s="233">
        <f t="shared" si="35"/>
        <v>7.011766975308642E-3</v>
      </c>
      <c r="AJ208" s="235">
        <f>tabParametros[[#This Row],[FGTS]]*tabParametros[[#This Row],[Aviso Prévio Indenizado (API) e Reflexo do Aviso Prévio Indenizado]]</f>
        <v>5.609413580246914E-4</v>
      </c>
      <c r="AK208" s="235">
        <f>tabParametros[[#This Row],[FGTS]]*tabParametros[[#This Row],[Aviso Prévio Indenizado (API) e Reflexo do Aviso Prévio Indenizado]]*40%</f>
        <v>2.2437654320987658E-4</v>
      </c>
      <c r="AL208" s="233">
        <f t="shared" si="36"/>
        <v>3.5000000000000005E-3</v>
      </c>
      <c r="AM208" s="233">
        <f>tabParametros[[#This Row],[Aviso Prévio Trabalhado - APT]]*SUM(tabParametros[[#This Row],[INSS]:[SEBRAE]])</f>
        <v>1.3230000000000004E-3</v>
      </c>
      <c r="AN208" s="233">
        <f t="shared" si="37"/>
        <v>3.0577777777777773E-2</v>
      </c>
      <c r="AO208" s="233">
        <f t="shared" si="38"/>
        <v>8.3333333333333339E-4</v>
      </c>
      <c r="AP208" s="233">
        <f t="shared" si="39"/>
        <v>8.4444444444444437E-3</v>
      </c>
      <c r="AQ208" s="233">
        <f t="shared" si="40"/>
        <v>2.0277777777777777E-3</v>
      </c>
      <c r="AR208" s="233">
        <f t="shared" si="41"/>
        <v>1.7083333333333333E-4</v>
      </c>
      <c r="AS208" s="233">
        <f t="shared" si="42"/>
        <v>2.0833333333333335E-4</v>
      </c>
      <c r="AT208" s="233">
        <f t="shared" si="43"/>
        <v>1.2962962962962963E-3</v>
      </c>
      <c r="AU208" s="235">
        <f>SUM(tabParametros[[#This Row],[Ausência por Doença]:[Férias, Adicional de Férias e 13º  com empregada em gozo de Licença Maternidade]])*SUM(tabParametros[[#This Row],[INSS]:[SEBRAE]])</f>
        <v>4.5918250000000008E-3</v>
      </c>
      <c r="AV208" s="254">
        <f>IF(tabParametros[[#This Row],[Função]]="Porteiro - 220 h",SUM(tabParametros[[#This Row],[Salário Base]:[Adicional de Acúmulo de função]])/220*20*1.5,IF(ISNUMBER(SEARCH("12 x 36",tabParametros[[#This Row],[Função]],1)),SUM(tabParametros[[#This Row],[Salário Base]:[Adicional de Acúmulo de função]])/210*15.5*1.5,0))</f>
        <v>261.17924340876692</v>
      </c>
      <c r="AW208" s="232">
        <f>IF(tabParametros[[#This Row],[Vagas contratadas]]&gt;0,(SUM(tabParametros[[#This Row],[Salário Base]:[Adicional de Acúmulo de função]])*30%+SUM(tabParametros[[#This Row],[Vale - Alimentação]:[Seguro de Vida]]))/tabParametros[[#This Row],[Vagas contratadas]]*tabParametros[[#This Row],[Vagas suspensas]],0)</f>
        <v>0</v>
      </c>
      <c r="AX208" s="232">
        <f>SUMIF(tabUniformes[Cargo],tabParametros[[#This Row],[Função]],tabUniformes[Valor unit. Mensal])</f>
        <v>56.642978962543395</v>
      </c>
      <c r="AY20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8" s="232">
        <v>0</v>
      </c>
      <c r="BC208" s="234" t="e">
        <f ca="1">VLOOKUP(tabParametros[[#Headers],[Custos Indiretos]],tabOutrosCustos[],3,0)</f>
        <v>#NAME?</v>
      </c>
      <c r="BD208" s="234" t="e">
        <f ca="1">VLOOKUP(tabParametros[[#Headers],[Lucro]],tabOutrosCustos[],3,0)</f>
        <v>#NAME?</v>
      </c>
      <c r="BE208" s="233">
        <f>VLOOKUP(tabParametros[[#Headers],[COFINS]],tabImpostosNacionais[],2,0)</f>
        <v>7.5999999999999998E-2</v>
      </c>
      <c r="BF208" s="233">
        <f>VLOOKUP(tabParametros[[#Headers],[PIS]],tabImpostosNacionais[],2,0)</f>
        <v>1.6500000000000001E-2</v>
      </c>
      <c r="BG208" s="233">
        <f>VLOOKUP(tabParametros[[#This Row],[Comarca]],tabComarca[],4,0)</f>
        <v>0.02</v>
      </c>
      <c r="BH208" s="236">
        <f>VLOOKUP(tabParametros[[#This Row],[CCT DA CATEGORIA]],tabSindicatos[],11,0)</f>
        <v>45658</v>
      </c>
      <c r="BI208" s="282" t="str">
        <f>VLOOKUP(tabParametros[[#This Row],[CCT DA CATEGORIA]],tabSindicatos[],12,0)</f>
        <v>-</v>
      </c>
      <c r="BJ208" s="285" t="str">
        <f>VLOOKUP(tabParametros[[#This Row],[CCT DA CATEGORIA]],tabSindicatos[],13,0)</f>
        <v>-</v>
      </c>
    </row>
    <row r="209" spans="1:62">
      <c r="A209" s="231" t="s">
        <v>1491</v>
      </c>
      <c r="B209" s="197" t="s">
        <v>1162</v>
      </c>
      <c r="C209" s="197" t="s">
        <v>314</v>
      </c>
      <c r="D209" s="197" t="str">
        <f>VLOOKUP(tabParametros[[#This Row],[Código do Posto]],tabPostos[],4,0)</f>
        <v>Regiao de Juiz de Fora</v>
      </c>
      <c r="E209" s="282" t="str">
        <f>VLOOKUP(tabParametros[[#This Row],[Código do Posto]],tabPostos[],5,0)</f>
        <v>Apoio</v>
      </c>
      <c r="F209" s="282" t="str">
        <f>VLOOKUP(tabParametros[[#This Row],[Código do Posto]],tabPostos[],6,0)</f>
        <v>PGJ</v>
      </c>
      <c r="G209" s="282">
        <f>VLOOKUP(tabParametros[[#This Row],[Código do Posto]],tabPostos[],7,0)</f>
        <v>1</v>
      </c>
      <c r="H209" s="282">
        <f>VLOOKUP(tabParametros[[#This Row],[Código do Posto]],tabPostos[],8,0)</f>
        <v>0</v>
      </c>
      <c r="I209" s="232">
        <f>VLOOKUP(tabParametros[[#This Row],[Código do Posto]],tabPostos[],9,0)</f>
        <v>1963.4110092077037</v>
      </c>
      <c r="J209" s="232">
        <f>IF(ISNUMBER(SEARCH("Eletricista",tabParametros[[#This Row],[Função]],1)),0.3*tabParametros[[#This Row],[Salário Base]],0)</f>
        <v>0</v>
      </c>
      <c r="K20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09" s="232">
        <f>IF(AND(ISNUMBER(SEARCH("Noturno",tabParametros[[#This Row],[Função]],1)),tabParametros[[#This Row],[Comarca]]&lt;&gt;"Juiz de Fora"),tabParametros[[#This Row],[Salário Base]]/210*0.39*7*15.5,IF(ISNUMBER(SEARCH("Noturno",tabParametros[[#This Row],[Função]],1)),tabParametros[[#This Row],[Salário Base]]/210*0.2*8*15.5,0))</f>
        <v>0</v>
      </c>
      <c r="M209" s="232">
        <f>IF(ISNUMBER(SEARCH("Motorista II",tabParametros[[#This Row],[Função]],1)),0.3022*tabParametros[[#This Row],[Salário Base]],0)</f>
        <v>0</v>
      </c>
      <c r="N209" s="254">
        <v>0</v>
      </c>
      <c r="O209" s="254">
        <f>IF(ISNUMBER(SEARCH("TECNOLOGIA DA INFORMACAO",tabParametros[[#This Row],[Função]],1)),0.056*tabParametros[[#This Row],[Salário Base]],0)</f>
        <v>0</v>
      </c>
      <c r="P209" s="232">
        <f>IF(tabParametros[[#This Row],[Função]]="Operador de Midia Audiovisual - 150 h",tabParametros[[#This Row],[Salário Base]]/150*50*30%,IF(tabParametros[[#This Row],[Função]]="Supervisor de Manutencao de Veiculos II - 220 h",12%*tabParametros[[#This Row],[Salário Base]],0))</f>
        <v>0</v>
      </c>
      <c r="Q209" s="233">
        <f>VLOOKUP(tabParametros[[#Headers],[INSS]],tabImpostosNacionais[],2,0)</f>
        <v>0.2</v>
      </c>
      <c r="R209" s="233">
        <f>VLOOKUP(tabParametros[[#Headers],[SESI OU SESC]],tabImpostosNacionais[],2,0)</f>
        <v>1.4999999999999999E-2</v>
      </c>
      <c r="S209" s="233">
        <f>VLOOKUP(tabParametros[[#Headers],[SENAI OU SENAC]],tabImpostosNacionais[],2,0)</f>
        <v>0.01</v>
      </c>
      <c r="T209" s="233">
        <f>VLOOKUP(tabParametros[[#Headers],[INCRA]],tabImpostosNacionais[],2,0)</f>
        <v>2E-3</v>
      </c>
      <c r="U209" s="233">
        <f>VLOOKUP(tabParametros[[#Headers],[Salário Educação]],tabImpostosNacionais[],2,0)</f>
        <v>2.5000000000000001E-2</v>
      </c>
      <c r="V209" s="233">
        <f>VLOOKUP(tabParametros[[#Headers],[FGTS]],tabImpostosNacionais[],2,0)</f>
        <v>0.08</v>
      </c>
      <c r="W209" s="233">
        <f>VLOOKUP(tabParametros[[#Headers],[RAT Ajustado]],tabImpostosNacionais[],2,0)</f>
        <v>0.04</v>
      </c>
      <c r="X209" s="233">
        <f>VLOOKUP(tabParametros[[#Headers],[SEBRAE]],tabImpostosNacionais[],2,0)</f>
        <v>6.0000000000000001E-3</v>
      </c>
      <c r="Y209" s="233">
        <f t="shared" si="33"/>
        <v>8.3333333333333329E-2</v>
      </c>
      <c r="Z209" s="233">
        <f t="shared" si="34"/>
        <v>0.1111111111111111</v>
      </c>
      <c r="AA209" s="232">
        <f>VLOOKUP(tabParametros[[#This Row],[Comarca]],tabComarca[],5,0)</f>
        <v>6.4</v>
      </c>
      <c r="AB209" s="232">
        <f>VLOOKUP(tabParametros[[#This Row],[CCT DA CATEGORIA]],tabSindicatos[],6,0)</f>
        <v>29.15</v>
      </c>
      <c r="AC209" s="232">
        <f>VLOOKUP(tabParametros[[#This Row],[CCT DA CATEGORIA]],tabSindicatos[],7,0)</f>
        <v>0</v>
      </c>
      <c r="AD209" s="232" cm="1">
        <f t="array" ref="AD20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09" s="232">
        <f>VLOOKUP(tabParametros[[#This Row],[CCT DA CATEGORIA]],tabSindicatos[],9,0)</f>
        <v>0</v>
      </c>
      <c r="AF209" s="232">
        <f>VLOOKUP(tabParametros[[#This Row],[CCT DA CATEGORIA]],tabSindicatos[],10,0)</f>
        <v>0</v>
      </c>
      <c r="AG209" s="234">
        <f>VLOOKUP(tabParametros[[#Headers],[Seguro de Vida]],tabOutrosCustos[],3,0)</f>
        <v>3.36</v>
      </c>
      <c r="AH209" s="234">
        <f>IF(ISNUMBER(SEARCH("MOTORISTA",tabParametros[[#This Row],[Função]],1)),VLOOKUP("MOTORISTAS",tabDiarias[],2,0),IF(tabParametros[[#This Row],[Comarca]]="Belo Horizonte",VLOOKUP("APOIO",tabDiarias[],2,0),0))</f>
        <v>0</v>
      </c>
      <c r="AI209" s="233">
        <f t="shared" si="35"/>
        <v>7.011766975308642E-3</v>
      </c>
      <c r="AJ209" s="235">
        <f>tabParametros[[#This Row],[FGTS]]*tabParametros[[#This Row],[Aviso Prévio Indenizado (API) e Reflexo do Aviso Prévio Indenizado]]</f>
        <v>5.609413580246914E-4</v>
      </c>
      <c r="AK209" s="235">
        <f>tabParametros[[#This Row],[FGTS]]*tabParametros[[#This Row],[Aviso Prévio Indenizado (API) e Reflexo do Aviso Prévio Indenizado]]*40%</f>
        <v>2.2437654320987658E-4</v>
      </c>
      <c r="AL209" s="233">
        <f t="shared" si="36"/>
        <v>3.5000000000000005E-3</v>
      </c>
      <c r="AM209" s="233">
        <f>tabParametros[[#This Row],[Aviso Prévio Trabalhado - APT]]*SUM(tabParametros[[#This Row],[INSS]:[SEBRAE]])</f>
        <v>1.3230000000000004E-3</v>
      </c>
      <c r="AN209" s="233">
        <f t="shared" si="37"/>
        <v>3.0577777777777773E-2</v>
      </c>
      <c r="AO209" s="233">
        <f t="shared" si="38"/>
        <v>8.3333333333333339E-4</v>
      </c>
      <c r="AP209" s="233">
        <f t="shared" si="39"/>
        <v>8.4444444444444437E-3</v>
      </c>
      <c r="AQ209" s="233">
        <f t="shared" si="40"/>
        <v>2.0277777777777777E-3</v>
      </c>
      <c r="AR209" s="233">
        <f t="shared" si="41"/>
        <v>1.7083333333333333E-4</v>
      </c>
      <c r="AS209" s="233">
        <f t="shared" si="42"/>
        <v>2.0833333333333335E-4</v>
      </c>
      <c r="AT209" s="233">
        <f t="shared" si="43"/>
        <v>1.2962962962962963E-3</v>
      </c>
      <c r="AU209" s="235">
        <f>SUM(tabParametros[[#This Row],[Ausência por Doença]:[Férias, Adicional de Férias e 13º  com empregada em gozo de Licença Maternidade]])*SUM(tabParametros[[#This Row],[INSS]:[SEBRAE]])</f>
        <v>4.5918250000000008E-3</v>
      </c>
      <c r="AV209"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09" s="232">
        <f>IF(tabParametros[[#This Row],[Vagas contratadas]]&gt;0,(SUM(tabParametros[[#This Row],[Salário Base]:[Adicional de Acúmulo de função]])*30%+SUM(tabParametros[[#This Row],[Vale - Alimentação]:[Seguro de Vida]]))/tabParametros[[#This Row],[Vagas contratadas]]*tabParametros[[#This Row],[Vagas suspensas]],0)</f>
        <v>0</v>
      </c>
      <c r="AX209" s="232">
        <f>SUMIF(tabUniformes[Cargo],tabParametros[[#This Row],[Função]],tabUniformes[Valor unit. Mensal])</f>
        <v>56.642978962543395</v>
      </c>
      <c r="AY20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0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0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09" s="232">
        <v>0</v>
      </c>
      <c r="BC209" s="234" t="e">
        <f ca="1">VLOOKUP(tabParametros[[#Headers],[Custos Indiretos]],tabOutrosCustos[],3,0)</f>
        <v>#NAME?</v>
      </c>
      <c r="BD209" s="234" t="e">
        <f ca="1">VLOOKUP(tabParametros[[#Headers],[Lucro]],tabOutrosCustos[],3,0)</f>
        <v>#NAME?</v>
      </c>
      <c r="BE209" s="233">
        <f>VLOOKUP(tabParametros[[#Headers],[COFINS]],tabImpostosNacionais[],2,0)</f>
        <v>7.5999999999999998E-2</v>
      </c>
      <c r="BF209" s="233">
        <f>VLOOKUP(tabParametros[[#Headers],[PIS]],tabImpostosNacionais[],2,0)</f>
        <v>1.6500000000000001E-2</v>
      </c>
      <c r="BG209" s="233">
        <f>VLOOKUP(tabParametros[[#This Row],[Comarca]],tabComarca[],4,0)</f>
        <v>0.03</v>
      </c>
      <c r="BH209" s="236">
        <f>VLOOKUP(tabParametros[[#This Row],[CCT DA CATEGORIA]],tabSindicatos[],11,0)</f>
        <v>45658</v>
      </c>
      <c r="BI209" s="282" t="str">
        <f>VLOOKUP(tabParametros[[#This Row],[CCT DA CATEGORIA]],tabSindicatos[],12,0)</f>
        <v>-</v>
      </c>
      <c r="BJ209" s="285" t="str">
        <f>VLOOKUP(tabParametros[[#This Row],[CCT DA CATEGORIA]],tabSindicatos[],13,0)</f>
        <v>-</v>
      </c>
    </row>
    <row r="210" spans="1:62">
      <c r="A210" s="231" t="s">
        <v>1644</v>
      </c>
      <c r="B210" s="197" t="s">
        <v>1162</v>
      </c>
      <c r="C210" s="197" t="s">
        <v>324</v>
      </c>
      <c r="D210" s="197" t="str">
        <f>VLOOKUP(tabParametros[[#This Row],[Código do Posto]],tabPostos[],4,0)</f>
        <v>Regiao de Juiz de Fora</v>
      </c>
      <c r="E210" s="282" t="str">
        <f>VLOOKUP(tabParametros[[#This Row],[Código do Posto]],tabPostos[],5,0)</f>
        <v>Apoio</v>
      </c>
      <c r="F210" s="282" t="str">
        <f>VLOOKUP(tabParametros[[#This Row],[Código do Posto]],tabPostos[],6,0)</f>
        <v>PGJ</v>
      </c>
      <c r="G210" s="282">
        <f>VLOOKUP(tabParametros[[#This Row],[Código do Posto]],tabPostos[],7,0)</f>
        <v>1</v>
      </c>
      <c r="H210" s="282">
        <f>VLOOKUP(tabParametros[[#This Row],[Código do Posto]],tabPostos[],8,0)</f>
        <v>0</v>
      </c>
      <c r="I210" s="232">
        <f>VLOOKUP(tabParametros[[#This Row],[Código do Posto]],tabPostos[],9,0)</f>
        <v>3397.1306016921476</v>
      </c>
      <c r="J210" s="232">
        <f>IF(ISNUMBER(SEARCH("Eletricista",tabParametros[[#This Row],[Função]],1)),0.3*tabParametros[[#This Row],[Salário Base]],0)</f>
        <v>0</v>
      </c>
      <c r="K21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0" s="232">
        <f>IF(AND(ISNUMBER(SEARCH("Noturno",tabParametros[[#This Row],[Função]],1)),tabParametros[[#This Row],[Comarca]]&lt;&gt;"Juiz de Fora"),tabParametros[[#This Row],[Salário Base]]/210*0.39*7*15.5,IF(ISNUMBER(SEARCH("Noturno",tabParametros[[#This Row],[Função]],1)),tabParametros[[#This Row],[Salário Base]]/210*0.2*8*15.5,0))</f>
        <v>0</v>
      </c>
      <c r="M210" s="232">
        <f>IF(ISNUMBER(SEARCH("Motorista II",tabParametros[[#This Row],[Função]],1)),0.3022*tabParametros[[#This Row],[Salário Base]],0)</f>
        <v>0</v>
      </c>
      <c r="N210" s="254">
        <v>0</v>
      </c>
      <c r="O210" s="254">
        <f>IF(ISNUMBER(SEARCH("TECNOLOGIA DA INFORMACAO",tabParametros[[#This Row],[Função]],1)),0.056*tabParametros[[#This Row],[Salário Base]],0)</f>
        <v>0</v>
      </c>
      <c r="P210" s="232">
        <f>IF(tabParametros[[#This Row],[Função]]="Operador de Midia Audiovisual - 150 h",tabParametros[[#This Row],[Salário Base]]/150*50*30%,IF(tabParametros[[#This Row],[Função]]="Supervisor de Manutencao de Veiculos II - 220 h",12%*tabParametros[[#This Row],[Salário Base]],0))</f>
        <v>0</v>
      </c>
      <c r="Q210" s="233">
        <f>VLOOKUP(tabParametros[[#Headers],[INSS]],tabImpostosNacionais[],2,0)</f>
        <v>0.2</v>
      </c>
      <c r="R210" s="233">
        <f>VLOOKUP(tabParametros[[#Headers],[SESI OU SESC]],tabImpostosNacionais[],2,0)</f>
        <v>1.4999999999999999E-2</v>
      </c>
      <c r="S210" s="233">
        <f>VLOOKUP(tabParametros[[#Headers],[SENAI OU SENAC]],tabImpostosNacionais[],2,0)</f>
        <v>0.01</v>
      </c>
      <c r="T210" s="233">
        <f>VLOOKUP(tabParametros[[#Headers],[INCRA]],tabImpostosNacionais[],2,0)</f>
        <v>2E-3</v>
      </c>
      <c r="U210" s="233">
        <f>VLOOKUP(tabParametros[[#Headers],[Salário Educação]],tabImpostosNacionais[],2,0)</f>
        <v>2.5000000000000001E-2</v>
      </c>
      <c r="V210" s="233">
        <f>VLOOKUP(tabParametros[[#Headers],[FGTS]],tabImpostosNacionais[],2,0)</f>
        <v>0.08</v>
      </c>
      <c r="W210" s="233">
        <f>VLOOKUP(tabParametros[[#Headers],[RAT Ajustado]],tabImpostosNacionais[],2,0)</f>
        <v>0.04</v>
      </c>
      <c r="X210" s="233">
        <f>VLOOKUP(tabParametros[[#Headers],[SEBRAE]],tabImpostosNacionais[],2,0)</f>
        <v>6.0000000000000001E-3</v>
      </c>
      <c r="Y210" s="233">
        <f t="shared" si="33"/>
        <v>8.3333333333333329E-2</v>
      </c>
      <c r="Z210" s="233">
        <f t="shared" si="34"/>
        <v>0.1111111111111111</v>
      </c>
      <c r="AA210" s="232">
        <f>VLOOKUP(tabParametros[[#This Row],[Comarca]],tabComarca[],5,0)</f>
        <v>6.4</v>
      </c>
      <c r="AB210" s="232">
        <f>VLOOKUP(tabParametros[[#This Row],[CCT DA CATEGORIA]],tabSindicatos[],6,0)</f>
        <v>29.15</v>
      </c>
      <c r="AC210" s="232">
        <f>VLOOKUP(tabParametros[[#This Row],[CCT DA CATEGORIA]],tabSindicatos[],7,0)</f>
        <v>0</v>
      </c>
      <c r="AD210" s="232" cm="1">
        <f t="array" ref="AD21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10" s="232">
        <f>VLOOKUP(tabParametros[[#This Row],[CCT DA CATEGORIA]],tabSindicatos[],9,0)</f>
        <v>0</v>
      </c>
      <c r="AF210" s="232">
        <f>VLOOKUP(tabParametros[[#This Row],[CCT DA CATEGORIA]],tabSindicatos[],10,0)</f>
        <v>0</v>
      </c>
      <c r="AG210" s="234">
        <f>VLOOKUP(tabParametros[[#Headers],[Seguro de Vida]],tabOutrosCustos[],3,0)</f>
        <v>3.36</v>
      </c>
      <c r="AH210" s="234">
        <f>IF(ISNUMBER(SEARCH("MOTORISTA",tabParametros[[#This Row],[Função]],1)),VLOOKUP("MOTORISTAS",tabDiarias[],2,0),IF(tabParametros[[#This Row],[Comarca]]="Belo Horizonte",VLOOKUP("APOIO",tabDiarias[],2,0),0))</f>
        <v>0</v>
      </c>
      <c r="AI210" s="233">
        <f t="shared" si="35"/>
        <v>7.011766975308642E-3</v>
      </c>
      <c r="AJ210" s="235">
        <f>tabParametros[[#This Row],[FGTS]]*tabParametros[[#This Row],[Aviso Prévio Indenizado (API) e Reflexo do Aviso Prévio Indenizado]]</f>
        <v>5.609413580246914E-4</v>
      </c>
      <c r="AK210" s="235">
        <f>tabParametros[[#This Row],[FGTS]]*tabParametros[[#This Row],[Aviso Prévio Indenizado (API) e Reflexo do Aviso Prévio Indenizado]]*40%</f>
        <v>2.2437654320987658E-4</v>
      </c>
      <c r="AL210" s="233">
        <f t="shared" si="36"/>
        <v>3.5000000000000005E-3</v>
      </c>
      <c r="AM210" s="233">
        <f>tabParametros[[#This Row],[Aviso Prévio Trabalhado - APT]]*SUM(tabParametros[[#This Row],[INSS]:[SEBRAE]])</f>
        <v>1.3230000000000004E-3</v>
      </c>
      <c r="AN210" s="233">
        <f t="shared" si="37"/>
        <v>3.0577777777777773E-2</v>
      </c>
      <c r="AO210" s="233">
        <f t="shared" si="38"/>
        <v>8.3333333333333339E-4</v>
      </c>
      <c r="AP210" s="233">
        <f t="shared" si="39"/>
        <v>8.4444444444444437E-3</v>
      </c>
      <c r="AQ210" s="233">
        <f t="shared" si="40"/>
        <v>2.0277777777777777E-3</v>
      </c>
      <c r="AR210" s="233">
        <f t="shared" si="41"/>
        <v>1.7083333333333333E-4</v>
      </c>
      <c r="AS210" s="233">
        <f t="shared" si="42"/>
        <v>2.0833333333333335E-4</v>
      </c>
      <c r="AT210" s="233">
        <f t="shared" si="43"/>
        <v>1.2962962962962963E-3</v>
      </c>
      <c r="AU210" s="235">
        <f>SUM(tabParametros[[#This Row],[Ausência por Doença]:[Férias, Adicional de Férias e 13º  com empregada em gozo de Licença Maternidade]])*SUM(tabParametros[[#This Row],[INSS]:[SEBRAE]])</f>
        <v>4.5918250000000008E-3</v>
      </c>
      <c r="AV210" s="254">
        <f>IF(tabParametros[[#This Row],[Função]]="Porteiro - 220 h",SUM(tabParametros[[#This Row],[Salário Base]:[Adicional de Acúmulo de função]])/220*20*1.5,IF(ISNUMBER(SEARCH("12 x 36",tabParametros[[#This Row],[Função]],1)),SUM(tabParametros[[#This Row],[Salário Base]:[Adicional de Acúmulo de função]])/210*15.5*1.5,0))</f>
        <v>0</v>
      </c>
      <c r="AW210" s="232">
        <f>IF(tabParametros[[#This Row],[Vagas contratadas]]&gt;0,(SUM(tabParametros[[#This Row],[Salário Base]:[Adicional de Acúmulo de função]])*30%+SUM(tabParametros[[#This Row],[Vale - Alimentação]:[Seguro de Vida]]))/tabParametros[[#This Row],[Vagas contratadas]]*tabParametros[[#This Row],[Vagas suspensas]],0)</f>
        <v>0</v>
      </c>
      <c r="AX210" s="232">
        <f>SUMIF(tabUniformes[Cargo],tabParametros[[#This Row],[Função]],tabUniformes[Valor unit. Mensal])</f>
        <v>56.642978962543395</v>
      </c>
      <c r="AY21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0" s="232">
        <v>0</v>
      </c>
      <c r="BC210" s="234" t="e">
        <f ca="1">VLOOKUP(tabParametros[[#Headers],[Custos Indiretos]],tabOutrosCustos[],3,0)</f>
        <v>#NAME?</v>
      </c>
      <c r="BD210" s="234" t="e">
        <f ca="1">VLOOKUP(tabParametros[[#Headers],[Lucro]],tabOutrosCustos[],3,0)</f>
        <v>#NAME?</v>
      </c>
      <c r="BE210" s="233">
        <f>VLOOKUP(tabParametros[[#Headers],[COFINS]],tabImpostosNacionais[],2,0)</f>
        <v>7.5999999999999998E-2</v>
      </c>
      <c r="BF210" s="233">
        <f>VLOOKUP(tabParametros[[#Headers],[PIS]],tabImpostosNacionais[],2,0)</f>
        <v>1.6500000000000001E-2</v>
      </c>
      <c r="BG210" s="233">
        <f>VLOOKUP(tabParametros[[#This Row],[Comarca]],tabComarca[],4,0)</f>
        <v>0.03</v>
      </c>
      <c r="BH210" s="236">
        <f>VLOOKUP(tabParametros[[#This Row],[CCT DA CATEGORIA]],tabSindicatos[],11,0)</f>
        <v>45658</v>
      </c>
      <c r="BI210" s="282" t="str">
        <f>VLOOKUP(tabParametros[[#This Row],[CCT DA CATEGORIA]],tabSindicatos[],12,0)</f>
        <v>-</v>
      </c>
      <c r="BJ210" s="285" t="str">
        <f>VLOOKUP(tabParametros[[#This Row],[CCT DA CATEGORIA]],tabSindicatos[],13,0)</f>
        <v>-</v>
      </c>
    </row>
    <row r="211" spans="1:62">
      <c r="A211" s="231" t="s">
        <v>1492</v>
      </c>
      <c r="B211" s="197" t="s">
        <v>1163</v>
      </c>
      <c r="C211" s="197" t="s">
        <v>200</v>
      </c>
      <c r="D211" s="197" t="str">
        <f>VLOOKUP(tabParametros[[#This Row],[Código do Posto]],tabPostos[],4,0)</f>
        <v>Regiao de Ouro Preto</v>
      </c>
      <c r="E211" s="282" t="str">
        <f>VLOOKUP(tabParametros[[#This Row],[Código do Posto]],tabPostos[],5,0)</f>
        <v>Apoio</v>
      </c>
      <c r="F211" s="282" t="str">
        <f>VLOOKUP(tabParametros[[#This Row],[Código do Posto]],tabPostos[],6,0)</f>
        <v>PGJ</v>
      </c>
      <c r="G211" s="282">
        <f>VLOOKUP(tabParametros[[#This Row],[Código do Posto]],tabPostos[],7,0)</f>
        <v>1</v>
      </c>
      <c r="H211" s="282">
        <f>VLOOKUP(tabParametros[[#This Row],[Código do Posto]],tabPostos[],8,0)</f>
        <v>0</v>
      </c>
      <c r="I211" s="232">
        <f>VLOOKUP(tabParametros[[#This Row],[Código do Posto]],tabPostos[],9,0)</f>
        <v>1596.273808921236</v>
      </c>
      <c r="J211" s="232">
        <f>IF(ISNUMBER(SEARCH("Eletricista",tabParametros[[#This Row],[Função]],1)),0.3*tabParametros[[#This Row],[Salário Base]],0)</f>
        <v>0</v>
      </c>
      <c r="K21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1" s="232">
        <f>IF(AND(ISNUMBER(SEARCH("Noturno",tabParametros[[#This Row],[Função]],1)),tabParametros[[#This Row],[Comarca]]&lt;&gt;"Juiz de Fora"),tabParametros[[#This Row],[Salário Base]]/210*0.39*7*15.5,IF(ISNUMBER(SEARCH("Noturno",tabParametros[[#This Row],[Função]],1)),tabParametros[[#This Row],[Salário Base]]/210*0.2*8*15.5,0))</f>
        <v>0</v>
      </c>
      <c r="M211" s="232">
        <f>IF(ISNUMBER(SEARCH("Motorista II",tabParametros[[#This Row],[Função]],1)),0.3022*tabParametros[[#This Row],[Salário Base]],0)</f>
        <v>0</v>
      </c>
      <c r="N211" s="254">
        <v>0</v>
      </c>
      <c r="O211" s="254">
        <f>IF(ISNUMBER(SEARCH("TECNOLOGIA DA INFORMACAO",tabParametros[[#This Row],[Função]],1)),0.056*tabParametros[[#This Row],[Salário Base]],0)</f>
        <v>0</v>
      </c>
      <c r="P211" s="232">
        <f>IF(tabParametros[[#This Row],[Função]]="Operador de Midia Audiovisual - 150 h",tabParametros[[#This Row],[Salário Base]]/150*50*30%,IF(tabParametros[[#This Row],[Função]]="Supervisor de Manutencao de Veiculos II - 220 h",12%*tabParametros[[#This Row],[Salário Base]],0))</f>
        <v>0</v>
      </c>
      <c r="Q211" s="233">
        <f>VLOOKUP(tabParametros[[#Headers],[INSS]],tabImpostosNacionais[],2,0)</f>
        <v>0.2</v>
      </c>
      <c r="R211" s="233">
        <f>VLOOKUP(tabParametros[[#Headers],[SESI OU SESC]],tabImpostosNacionais[],2,0)</f>
        <v>1.4999999999999999E-2</v>
      </c>
      <c r="S211" s="233">
        <f>VLOOKUP(tabParametros[[#Headers],[SENAI OU SENAC]],tabImpostosNacionais[],2,0)</f>
        <v>0.01</v>
      </c>
      <c r="T211" s="233">
        <f>VLOOKUP(tabParametros[[#Headers],[INCRA]],tabImpostosNacionais[],2,0)</f>
        <v>2E-3</v>
      </c>
      <c r="U211" s="233">
        <f>VLOOKUP(tabParametros[[#Headers],[Salário Educação]],tabImpostosNacionais[],2,0)</f>
        <v>2.5000000000000001E-2</v>
      </c>
      <c r="V211" s="233">
        <f>VLOOKUP(tabParametros[[#Headers],[FGTS]],tabImpostosNacionais[],2,0)</f>
        <v>0.08</v>
      </c>
      <c r="W211" s="233">
        <f>VLOOKUP(tabParametros[[#Headers],[RAT Ajustado]],tabImpostosNacionais[],2,0)</f>
        <v>0.04</v>
      </c>
      <c r="X211" s="233">
        <f>VLOOKUP(tabParametros[[#Headers],[SEBRAE]],tabImpostosNacionais[],2,0)</f>
        <v>6.0000000000000001E-3</v>
      </c>
      <c r="Y211" s="233">
        <f t="shared" si="33"/>
        <v>8.3333333333333329E-2</v>
      </c>
      <c r="Z211" s="233">
        <f t="shared" si="34"/>
        <v>0.1111111111111111</v>
      </c>
      <c r="AA211" s="232">
        <f>VLOOKUP(tabParametros[[#This Row],[Comarca]],tabComarca[],5,0)</f>
        <v>6.4</v>
      </c>
      <c r="AB211" s="232">
        <f>VLOOKUP(tabParametros[[#This Row],[CCT DA CATEGORIA]],tabSindicatos[],6,0)</f>
        <v>29.15</v>
      </c>
      <c r="AC211" s="232">
        <f>VLOOKUP(tabParametros[[#This Row],[CCT DA CATEGORIA]],tabSindicatos[],7,0)</f>
        <v>0</v>
      </c>
      <c r="AD211" s="232" cm="1">
        <f t="array" ref="AD21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11" s="232">
        <f>VLOOKUP(tabParametros[[#This Row],[CCT DA CATEGORIA]],tabSindicatos[],9,0)</f>
        <v>0</v>
      </c>
      <c r="AF211" s="232">
        <f>VLOOKUP(tabParametros[[#This Row],[CCT DA CATEGORIA]],tabSindicatos[],10,0)</f>
        <v>0</v>
      </c>
      <c r="AG211" s="234">
        <f>VLOOKUP(tabParametros[[#Headers],[Seguro de Vida]],tabOutrosCustos[],3,0)</f>
        <v>3.36</v>
      </c>
      <c r="AH211" s="234">
        <f>IF(ISNUMBER(SEARCH("MOTORISTA",tabParametros[[#This Row],[Função]],1)),VLOOKUP("MOTORISTAS",tabDiarias[],2,0),IF(tabParametros[[#This Row],[Comarca]]="Belo Horizonte",VLOOKUP("APOIO",tabDiarias[],2,0),0))</f>
        <v>0</v>
      </c>
      <c r="AI211" s="233">
        <f t="shared" si="35"/>
        <v>7.011766975308642E-3</v>
      </c>
      <c r="AJ211" s="235">
        <f>tabParametros[[#This Row],[FGTS]]*tabParametros[[#This Row],[Aviso Prévio Indenizado (API) e Reflexo do Aviso Prévio Indenizado]]</f>
        <v>5.609413580246914E-4</v>
      </c>
      <c r="AK211" s="235">
        <f>tabParametros[[#This Row],[FGTS]]*tabParametros[[#This Row],[Aviso Prévio Indenizado (API) e Reflexo do Aviso Prévio Indenizado]]*40%</f>
        <v>2.2437654320987658E-4</v>
      </c>
      <c r="AL211" s="233">
        <f t="shared" si="36"/>
        <v>3.5000000000000005E-3</v>
      </c>
      <c r="AM211" s="233">
        <f>tabParametros[[#This Row],[Aviso Prévio Trabalhado - APT]]*SUM(tabParametros[[#This Row],[INSS]:[SEBRAE]])</f>
        <v>1.3230000000000004E-3</v>
      </c>
      <c r="AN211" s="233">
        <f t="shared" si="37"/>
        <v>3.0577777777777773E-2</v>
      </c>
      <c r="AO211" s="233">
        <f t="shared" si="38"/>
        <v>8.3333333333333339E-4</v>
      </c>
      <c r="AP211" s="233">
        <f t="shared" si="39"/>
        <v>8.4444444444444437E-3</v>
      </c>
      <c r="AQ211" s="233">
        <f t="shared" si="40"/>
        <v>2.0277777777777777E-3</v>
      </c>
      <c r="AR211" s="233">
        <f t="shared" si="41"/>
        <v>1.7083333333333333E-4</v>
      </c>
      <c r="AS211" s="233">
        <f t="shared" si="42"/>
        <v>2.0833333333333335E-4</v>
      </c>
      <c r="AT211" s="233">
        <f t="shared" si="43"/>
        <v>1.2962962962962963E-3</v>
      </c>
      <c r="AU211" s="235">
        <f>SUM(tabParametros[[#This Row],[Ausência por Doença]:[Férias, Adicional de Férias e 13º  com empregada em gozo de Licença Maternidade]])*SUM(tabParametros[[#This Row],[INSS]:[SEBRAE]])</f>
        <v>4.5918250000000008E-3</v>
      </c>
      <c r="AV211" s="254">
        <f>IF(tabParametros[[#This Row],[Função]]="Porteiro - 220 h",SUM(tabParametros[[#This Row],[Salário Base]:[Adicional de Acúmulo de função]])/220*20*1.5,IF(ISNUMBER(SEARCH("12 x 36",tabParametros[[#This Row],[Função]],1)),SUM(tabParametros[[#This Row],[Salário Base]:[Adicional de Acúmulo de função]])/210*15.5*1.5,0))</f>
        <v>0</v>
      </c>
      <c r="AW211" s="232">
        <f>IF(tabParametros[[#This Row],[Vagas contratadas]]&gt;0,(SUM(tabParametros[[#This Row],[Salário Base]:[Adicional de Acúmulo de função]])*30%+SUM(tabParametros[[#This Row],[Vale - Alimentação]:[Seguro de Vida]]))/tabParametros[[#This Row],[Vagas contratadas]]*tabParametros[[#This Row],[Vagas suspensas]],0)</f>
        <v>0</v>
      </c>
      <c r="AX211" s="232">
        <f>SUMIF(tabUniformes[Cargo],tabParametros[[#This Row],[Função]],tabUniformes[Valor unit. Mensal])</f>
        <v>56.141713661989918</v>
      </c>
      <c r="AY21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1" s="232">
        <v>0</v>
      </c>
      <c r="BC211" s="234" t="e">
        <f ca="1">VLOOKUP(tabParametros[[#Headers],[Custos Indiretos]],tabOutrosCustos[],3,0)</f>
        <v>#NAME?</v>
      </c>
      <c r="BD211" s="234" t="e">
        <f ca="1">VLOOKUP(tabParametros[[#Headers],[Lucro]],tabOutrosCustos[],3,0)</f>
        <v>#NAME?</v>
      </c>
      <c r="BE211" s="233">
        <f>VLOOKUP(tabParametros[[#Headers],[COFINS]],tabImpostosNacionais[],2,0)</f>
        <v>7.5999999999999998E-2</v>
      </c>
      <c r="BF211" s="233">
        <f>VLOOKUP(tabParametros[[#Headers],[PIS]],tabImpostosNacionais[],2,0)</f>
        <v>1.6500000000000001E-2</v>
      </c>
      <c r="BG211" s="233">
        <f>VLOOKUP(tabParametros[[#This Row],[Comarca]],tabComarca[],4,0)</f>
        <v>0.02</v>
      </c>
      <c r="BH211" s="236">
        <f>VLOOKUP(tabParametros[[#This Row],[CCT DA CATEGORIA]],tabSindicatos[],11,0)</f>
        <v>45658</v>
      </c>
      <c r="BI211" s="282" t="str">
        <f>VLOOKUP(tabParametros[[#This Row],[CCT DA CATEGORIA]],tabSindicatos[],12,0)</f>
        <v>-</v>
      </c>
      <c r="BJ211" s="285" t="str">
        <f>VLOOKUP(tabParametros[[#This Row],[CCT DA CATEGORIA]],tabSindicatos[],13,0)</f>
        <v>-</v>
      </c>
    </row>
    <row r="212" spans="1:62">
      <c r="A212" s="231" t="s">
        <v>1645</v>
      </c>
      <c r="B212" s="197" t="s">
        <v>1163</v>
      </c>
      <c r="C212" s="197" t="s">
        <v>324</v>
      </c>
      <c r="D212" s="197" t="str">
        <f>VLOOKUP(tabParametros[[#This Row],[Código do Posto]],tabPostos[],4,0)</f>
        <v>Regiao de Ouro Preto</v>
      </c>
      <c r="E212" s="282" t="str">
        <f>VLOOKUP(tabParametros[[#This Row],[Código do Posto]],tabPostos[],5,0)</f>
        <v>Apoio</v>
      </c>
      <c r="F212" s="282" t="str">
        <f>VLOOKUP(tabParametros[[#This Row],[Código do Posto]],tabPostos[],6,0)</f>
        <v>PGJ</v>
      </c>
      <c r="G212" s="282">
        <f>VLOOKUP(tabParametros[[#This Row],[Código do Posto]],tabPostos[],7,0)</f>
        <v>1</v>
      </c>
      <c r="H212" s="282">
        <f>VLOOKUP(tabParametros[[#This Row],[Código do Posto]],tabPostos[],8,0)</f>
        <v>0</v>
      </c>
      <c r="I212" s="232">
        <f>VLOOKUP(tabParametros[[#This Row],[Código do Posto]],tabPostos[],9,0)</f>
        <v>3397.1306016921476</v>
      </c>
      <c r="J212" s="232">
        <f>IF(ISNUMBER(SEARCH("Eletricista",tabParametros[[#This Row],[Função]],1)),0.3*tabParametros[[#This Row],[Salário Base]],0)</f>
        <v>0</v>
      </c>
      <c r="K21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2" s="232">
        <f>IF(AND(ISNUMBER(SEARCH("Noturno",tabParametros[[#This Row],[Função]],1)),tabParametros[[#This Row],[Comarca]]&lt;&gt;"Juiz de Fora"),tabParametros[[#This Row],[Salário Base]]/210*0.39*7*15.5,IF(ISNUMBER(SEARCH("Noturno",tabParametros[[#This Row],[Função]],1)),tabParametros[[#This Row],[Salário Base]]/210*0.2*8*15.5,0))</f>
        <v>0</v>
      </c>
      <c r="M212" s="232">
        <f>IF(ISNUMBER(SEARCH("Motorista II",tabParametros[[#This Row],[Função]],1)),0.3022*tabParametros[[#This Row],[Salário Base]],0)</f>
        <v>0</v>
      </c>
      <c r="N212" s="254">
        <v>0</v>
      </c>
      <c r="O212" s="254">
        <f>IF(ISNUMBER(SEARCH("TECNOLOGIA DA INFORMACAO",tabParametros[[#This Row],[Função]],1)),0.056*tabParametros[[#This Row],[Salário Base]],0)</f>
        <v>0</v>
      </c>
      <c r="P212" s="232">
        <f>IF(tabParametros[[#This Row],[Função]]="Operador de Midia Audiovisual - 150 h",tabParametros[[#This Row],[Salário Base]]/150*50*30%,IF(tabParametros[[#This Row],[Função]]="Supervisor de Manutencao de Veiculos II - 220 h",12%*tabParametros[[#This Row],[Salário Base]],0))</f>
        <v>0</v>
      </c>
      <c r="Q212" s="233">
        <f>VLOOKUP(tabParametros[[#Headers],[INSS]],tabImpostosNacionais[],2,0)</f>
        <v>0.2</v>
      </c>
      <c r="R212" s="233">
        <f>VLOOKUP(tabParametros[[#Headers],[SESI OU SESC]],tabImpostosNacionais[],2,0)</f>
        <v>1.4999999999999999E-2</v>
      </c>
      <c r="S212" s="233">
        <f>VLOOKUP(tabParametros[[#Headers],[SENAI OU SENAC]],tabImpostosNacionais[],2,0)</f>
        <v>0.01</v>
      </c>
      <c r="T212" s="233">
        <f>VLOOKUP(tabParametros[[#Headers],[INCRA]],tabImpostosNacionais[],2,0)</f>
        <v>2E-3</v>
      </c>
      <c r="U212" s="233">
        <f>VLOOKUP(tabParametros[[#Headers],[Salário Educação]],tabImpostosNacionais[],2,0)</f>
        <v>2.5000000000000001E-2</v>
      </c>
      <c r="V212" s="233">
        <f>VLOOKUP(tabParametros[[#Headers],[FGTS]],tabImpostosNacionais[],2,0)</f>
        <v>0.08</v>
      </c>
      <c r="W212" s="233">
        <f>VLOOKUP(tabParametros[[#Headers],[RAT Ajustado]],tabImpostosNacionais[],2,0)</f>
        <v>0.04</v>
      </c>
      <c r="X212" s="233">
        <f>VLOOKUP(tabParametros[[#Headers],[SEBRAE]],tabImpostosNacionais[],2,0)</f>
        <v>6.0000000000000001E-3</v>
      </c>
      <c r="Y212" s="233">
        <f t="shared" si="33"/>
        <v>8.3333333333333329E-2</v>
      </c>
      <c r="Z212" s="233">
        <f t="shared" si="34"/>
        <v>0.1111111111111111</v>
      </c>
      <c r="AA212" s="232">
        <f>VLOOKUP(tabParametros[[#This Row],[Comarca]],tabComarca[],5,0)</f>
        <v>6.4</v>
      </c>
      <c r="AB212" s="232">
        <f>VLOOKUP(tabParametros[[#This Row],[CCT DA CATEGORIA]],tabSindicatos[],6,0)</f>
        <v>29.15</v>
      </c>
      <c r="AC212" s="232">
        <f>VLOOKUP(tabParametros[[#This Row],[CCT DA CATEGORIA]],tabSindicatos[],7,0)</f>
        <v>0</v>
      </c>
      <c r="AD212" s="232" cm="1">
        <f t="array" ref="AD21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12" s="232">
        <f>VLOOKUP(tabParametros[[#This Row],[CCT DA CATEGORIA]],tabSindicatos[],9,0)</f>
        <v>0</v>
      </c>
      <c r="AF212" s="232">
        <f>VLOOKUP(tabParametros[[#This Row],[CCT DA CATEGORIA]],tabSindicatos[],10,0)</f>
        <v>0</v>
      </c>
      <c r="AG212" s="234">
        <f>VLOOKUP(tabParametros[[#Headers],[Seguro de Vida]],tabOutrosCustos[],3,0)</f>
        <v>3.36</v>
      </c>
      <c r="AH212" s="234">
        <f>IF(ISNUMBER(SEARCH("MOTORISTA",tabParametros[[#This Row],[Função]],1)),VLOOKUP("MOTORISTAS",tabDiarias[],2,0),IF(tabParametros[[#This Row],[Comarca]]="Belo Horizonte",VLOOKUP("APOIO",tabDiarias[],2,0),0))</f>
        <v>0</v>
      </c>
      <c r="AI212" s="233">
        <f t="shared" si="35"/>
        <v>7.011766975308642E-3</v>
      </c>
      <c r="AJ212" s="235">
        <f>tabParametros[[#This Row],[FGTS]]*tabParametros[[#This Row],[Aviso Prévio Indenizado (API) e Reflexo do Aviso Prévio Indenizado]]</f>
        <v>5.609413580246914E-4</v>
      </c>
      <c r="AK212" s="235">
        <f>tabParametros[[#This Row],[FGTS]]*tabParametros[[#This Row],[Aviso Prévio Indenizado (API) e Reflexo do Aviso Prévio Indenizado]]*40%</f>
        <v>2.2437654320987658E-4</v>
      </c>
      <c r="AL212" s="233">
        <f t="shared" si="36"/>
        <v>3.5000000000000005E-3</v>
      </c>
      <c r="AM212" s="233">
        <f>tabParametros[[#This Row],[Aviso Prévio Trabalhado - APT]]*SUM(tabParametros[[#This Row],[INSS]:[SEBRAE]])</f>
        <v>1.3230000000000004E-3</v>
      </c>
      <c r="AN212" s="233">
        <f t="shared" si="37"/>
        <v>3.0577777777777773E-2</v>
      </c>
      <c r="AO212" s="233">
        <f t="shared" si="38"/>
        <v>8.3333333333333339E-4</v>
      </c>
      <c r="AP212" s="233">
        <f t="shared" si="39"/>
        <v>8.4444444444444437E-3</v>
      </c>
      <c r="AQ212" s="233">
        <f t="shared" si="40"/>
        <v>2.0277777777777777E-3</v>
      </c>
      <c r="AR212" s="233">
        <f t="shared" si="41"/>
        <v>1.7083333333333333E-4</v>
      </c>
      <c r="AS212" s="233">
        <f t="shared" si="42"/>
        <v>2.0833333333333335E-4</v>
      </c>
      <c r="AT212" s="233">
        <f t="shared" si="43"/>
        <v>1.2962962962962963E-3</v>
      </c>
      <c r="AU212" s="235">
        <f>SUM(tabParametros[[#This Row],[Ausência por Doença]:[Férias, Adicional de Férias e 13º  com empregada em gozo de Licença Maternidade]])*SUM(tabParametros[[#This Row],[INSS]:[SEBRAE]])</f>
        <v>4.5918250000000008E-3</v>
      </c>
      <c r="AV212" s="254">
        <f>IF(tabParametros[[#This Row],[Função]]="Porteiro - 220 h",SUM(tabParametros[[#This Row],[Salário Base]:[Adicional de Acúmulo de função]])/220*20*1.5,IF(ISNUMBER(SEARCH("12 x 36",tabParametros[[#This Row],[Função]],1)),SUM(tabParametros[[#This Row],[Salário Base]:[Adicional de Acúmulo de função]])/210*15.5*1.5,0))</f>
        <v>0</v>
      </c>
      <c r="AW212" s="232">
        <f>IF(tabParametros[[#This Row],[Vagas contratadas]]&gt;0,(SUM(tabParametros[[#This Row],[Salário Base]:[Adicional de Acúmulo de função]])*30%+SUM(tabParametros[[#This Row],[Vale - Alimentação]:[Seguro de Vida]]))/tabParametros[[#This Row],[Vagas contratadas]]*tabParametros[[#This Row],[Vagas suspensas]],0)</f>
        <v>0</v>
      </c>
      <c r="AX212" s="232">
        <f>SUMIF(tabUniformes[Cargo],tabParametros[[#This Row],[Função]],tabUniformes[Valor unit. Mensal])</f>
        <v>56.642978962543395</v>
      </c>
      <c r="AY21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2" s="232">
        <v>0</v>
      </c>
      <c r="BC212" s="234" t="e">
        <f ca="1">VLOOKUP(tabParametros[[#Headers],[Custos Indiretos]],tabOutrosCustos[],3,0)</f>
        <v>#NAME?</v>
      </c>
      <c r="BD212" s="234" t="e">
        <f ca="1">VLOOKUP(tabParametros[[#Headers],[Lucro]],tabOutrosCustos[],3,0)</f>
        <v>#NAME?</v>
      </c>
      <c r="BE212" s="233">
        <f>VLOOKUP(tabParametros[[#Headers],[COFINS]],tabImpostosNacionais[],2,0)</f>
        <v>7.5999999999999998E-2</v>
      </c>
      <c r="BF212" s="233">
        <f>VLOOKUP(tabParametros[[#Headers],[PIS]],tabImpostosNacionais[],2,0)</f>
        <v>1.6500000000000001E-2</v>
      </c>
      <c r="BG212" s="233">
        <f>VLOOKUP(tabParametros[[#This Row],[Comarca]],tabComarca[],4,0)</f>
        <v>0.02</v>
      </c>
      <c r="BH212" s="236">
        <f>VLOOKUP(tabParametros[[#This Row],[CCT DA CATEGORIA]],tabSindicatos[],11,0)</f>
        <v>45658</v>
      </c>
      <c r="BI212" s="282" t="str">
        <f>VLOOKUP(tabParametros[[#This Row],[CCT DA CATEGORIA]],tabSindicatos[],12,0)</f>
        <v>-</v>
      </c>
      <c r="BJ212" s="285" t="str">
        <f>VLOOKUP(tabParametros[[#This Row],[CCT DA CATEGORIA]],tabSindicatos[],13,0)</f>
        <v>-</v>
      </c>
    </row>
    <row r="213" spans="1:62">
      <c r="A213" s="231" t="s">
        <v>1493</v>
      </c>
      <c r="B213" s="197" t="s">
        <v>1164</v>
      </c>
      <c r="C213" s="197" t="s">
        <v>200</v>
      </c>
      <c r="D213" s="197" t="str">
        <f>VLOOKUP(tabParametros[[#This Row],[Código do Posto]],tabPostos[],4,0)</f>
        <v>Fethemg Interior</v>
      </c>
      <c r="E213" s="282" t="str">
        <f>VLOOKUP(tabParametros[[#This Row],[Código do Posto]],tabPostos[],5,0)</f>
        <v>Apoio</v>
      </c>
      <c r="F213" s="282" t="str">
        <f>VLOOKUP(tabParametros[[#This Row],[Código do Posto]],tabPostos[],6,0)</f>
        <v>PGJ</v>
      </c>
      <c r="G213" s="282">
        <f>VLOOKUP(tabParametros[[#This Row],[Código do Posto]],tabPostos[],7,0)</f>
        <v>1</v>
      </c>
      <c r="H213" s="282">
        <f>VLOOKUP(tabParametros[[#This Row],[Código do Posto]],tabPostos[],8,0)</f>
        <v>0</v>
      </c>
      <c r="I213" s="232">
        <f>VLOOKUP(tabParametros[[#This Row],[Código do Posto]],tabPostos[],9,0)</f>
        <v>1596.273808921236</v>
      </c>
      <c r="J213" s="232">
        <f>IF(ISNUMBER(SEARCH("Eletricista",tabParametros[[#This Row],[Função]],1)),0.3*tabParametros[[#This Row],[Salário Base]],0)</f>
        <v>0</v>
      </c>
      <c r="K21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3" s="232">
        <f>IF(AND(ISNUMBER(SEARCH("Noturno",tabParametros[[#This Row],[Função]],1)),tabParametros[[#This Row],[Comarca]]&lt;&gt;"Juiz de Fora"),tabParametros[[#This Row],[Salário Base]]/210*0.39*7*15.5,IF(ISNUMBER(SEARCH("Noturno",tabParametros[[#This Row],[Função]],1)),tabParametros[[#This Row],[Salário Base]]/210*0.2*8*15.5,0))</f>
        <v>0</v>
      </c>
      <c r="M213" s="232">
        <f>IF(ISNUMBER(SEARCH("Motorista II",tabParametros[[#This Row],[Função]],1)),0.3022*tabParametros[[#This Row],[Salário Base]],0)</f>
        <v>0</v>
      </c>
      <c r="N213" s="254">
        <v>0</v>
      </c>
      <c r="O213" s="254">
        <f>IF(ISNUMBER(SEARCH("TECNOLOGIA DA INFORMACAO",tabParametros[[#This Row],[Função]],1)),0.056*tabParametros[[#This Row],[Salário Base]],0)</f>
        <v>0</v>
      </c>
      <c r="P213" s="232">
        <f>IF(tabParametros[[#This Row],[Função]]="Operador de Midia Audiovisual - 150 h",tabParametros[[#This Row],[Salário Base]]/150*50*30%,IF(tabParametros[[#This Row],[Função]]="Supervisor de Manutencao de Veiculos II - 220 h",12%*tabParametros[[#This Row],[Salário Base]],0))</f>
        <v>0</v>
      </c>
      <c r="Q213" s="233">
        <f>VLOOKUP(tabParametros[[#Headers],[INSS]],tabImpostosNacionais[],2,0)</f>
        <v>0.2</v>
      </c>
      <c r="R213" s="233">
        <f>VLOOKUP(tabParametros[[#Headers],[SESI OU SESC]],tabImpostosNacionais[],2,0)</f>
        <v>1.4999999999999999E-2</v>
      </c>
      <c r="S213" s="233">
        <f>VLOOKUP(tabParametros[[#Headers],[SENAI OU SENAC]],tabImpostosNacionais[],2,0)</f>
        <v>0.01</v>
      </c>
      <c r="T213" s="233">
        <f>VLOOKUP(tabParametros[[#Headers],[INCRA]],tabImpostosNacionais[],2,0)</f>
        <v>2E-3</v>
      </c>
      <c r="U213" s="233">
        <f>VLOOKUP(tabParametros[[#Headers],[Salário Educação]],tabImpostosNacionais[],2,0)</f>
        <v>2.5000000000000001E-2</v>
      </c>
      <c r="V213" s="233">
        <f>VLOOKUP(tabParametros[[#Headers],[FGTS]],tabImpostosNacionais[],2,0)</f>
        <v>0.08</v>
      </c>
      <c r="W213" s="233">
        <f>VLOOKUP(tabParametros[[#Headers],[RAT Ajustado]],tabImpostosNacionais[],2,0)</f>
        <v>0.04</v>
      </c>
      <c r="X213" s="233">
        <f>VLOOKUP(tabParametros[[#Headers],[SEBRAE]],tabImpostosNacionais[],2,0)</f>
        <v>6.0000000000000001E-3</v>
      </c>
      <c r="Y213" s="233">
        <f t="shared" si="33"/>
        <v>8.3333333333333329E-2</v>
      </c>
      <c r="Z213" s="233">
        <f t="shared" si="34"/>
        <v>0.1111111111111111</v>
      </c>
      <c r="AA213" s="232">
        <f>VLOOKUP(tabParametros[[#This Row],[Comarca]],tabComarca[],5,0)</f>
        <v>6.4</v>
      </c>
      <c r="AB213" s="232">
        <f>VLOOKUP(tabParametros[[#This Row],[CCT DA CATEGORIA]],tabSindicatos[],6,0)</f>
        <v>29.15</v>
      </c>
      <c r="AC213" s="232">
        <f>VLOOKUP(tabParametros[[#This Row],[CCT DA CATEGORIA]],tabSindicatos[],7,0)</f>
        <v>0</v>
      </c>
      <c r="AD213" s="232" cm="1">
        <f t="array" ref="AD21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13" s="232">
        <f>VLOOKUP(tabParametros[[#This Row],[CCT DA CATEGORIA]],tabSindicatos[],9,0)</f>
        <v>15.07</v>
      </c>
      <c r="AF213" s="232">
        <f>VLOOKUP(tabParametros[[#This Row],[CCT DA CATEGORIA]],tabSindicatos[],10,0)</f>
        <v>0</v>
      </c>
      <c r="AG213" s="234">
        <f>VLOOKUP(tabParametros[[#Headers],[Seguro de Vida]],tabOutrosCustos[],3,0)</f>
        <v>3.36</v>
      </c>
      <c r="AH213" s="234">
        <f>IF(ISNUMBER(SEARCH("MOTORISTA",tabParametros[[#This Row],[Função]],1)),VLOOKUP("MOTORISTAS",tabDiarias[],2,0),IF(tabParametros[[#This Row],[Comarca]]="Belo Horizonte",VLOOKUP("APOIO",tabDiarias[],2,0),0))</f>
        <v>0</v>
      </c>
      <c r="AI213" s="233">
        <f t="shared" si="35"/>
        <v>7.011766975308642E-3</v>
      </c>
      <c r="AJ213" s="235">
        <f>tabParametros[[#This Row],[FGTS]]*tabParametros[[#This Row],[Aviso Prévio Indenizado (API) e Reflexo do Aviso Prévio Indenizado]]</f>
        <v>5.609413580246914E-4</v>
      </c>
      <c r="AK213" s="235">
        <f>tabParametros[[#This Row],[FGTS]]*tabParametros[[#This Row],[Aviso Prévio Indenizado (API) e Reflexo do Aviso Prévio Indenizado]]*40%</f>
        <v>2.2437654320987658E-4</v>
      </c>
      <c r="AL213" s="233">
        <f t="shared" si="36"/>
        <v>3.5000000000000005E-3</v>
      </c>
      <c r="AM213" s="233">
        <f>tabParametros[[#This Row],[Aviso Prévio Trabalhado - APT]]*SUM(tabParametros[[#This Row],[INSS]:[SEBRAE]])</f>
        <v>1.3230000000000004E-3</v>
      </c>
      <c r="AN213" s="233">
        <f t="shared" si="37"/>
        <v>3.0577777777777773E-2</v>
      </c>
      <c r="AO213" s="233">
        <f t="shared" si="38"/>
        <v>8.3333333333333339E-4</v>
      </c>
      <c r="AP213" s="233">
        <f t="shared" si="39"/>
        <v>8.4444444444444437E-3</v>
      </c>
      <c r="AQ213" s="233">
        <f t="shared" si="40"/>
        <v>2.0277777777777777E-3</v>
      </c>
      <c r="AR213" s="233">
        <f t="shared" si="41"/>
        <v>1.7083333333333333E-4</v>
      </c>
      <c r="AS213" s="233">
        <f t="shared" si="42"/>
        <v>2.0833333333333335E-4</v>
      </c>
      <c r="AT213" s="233">
        <f t="shared" si="43"/>
        <v>1.2962962962962963E-3</v>
      </c>
      <c r="AU213" s="235">
        <f>SUM(tabParametros[[#This Row],[Ausência por Doença]:[Férias, Adicional de Férias e 13º  com empregada em gozo de Licença Maternidade]])*SUM(tabParametros[[#This Row],[INSS]:[SEBRAE]])</f>
        <v>4.5918250000000008E-3</v>
      </c>
      <c r="AV213" s="254">
        <f>IF(tabParametros[[#This Row],[Função]]="Porteiro - 220 h",SUM(tabParametros[[#This Row],[Salário Base]:[Adicional de Acúmulo de função]])/220*20*1.5,IF(ISNUMBER(SEARCH("12 x 36",tabParametros[[#This Row],[Função]],1)),SUM(tabParametros[[#This Row],[Salário Base]:[Adicional de Acúmulo de função]])/210*15.5*1.5,0))</f>
        <v>0</v>
      </c>
      <c r="AW213" s="232">
        <f>IF(tabParametros[[#This Row],[Vagas contratadas]]&gt;0,(SUM(tabParametros[[#This Row],[Salário Base]:[Adicional de Acúmulo de função]])*30%+SUM(tabParametros[[#This Row],[Vale - Alimentação]:[Seguro de Vida]]))/tabParametros[[#This Row],[Vagas contratadas]]*tabParametros[[#This Row],[Vagas suspensas]],0)</f>
        <v>0</v>
      </c>
      <c r="AX213" s="232">
        <f>SUMIF(tabUniformes[Cargo],tabParametros[[#This Row],[Função]],tabUniformes[Valor unit. Mensal])</f>
        <v>56.141713661989918</v>
      </c>
      <c r="AY21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3" s="232">
        <v>0</v>
      </c>
      <c r="BC213" s="234" t="e">
        <f ca="1">VLOOKUP(tabParametros[[#Headers],[Custos Indiretos]],tabOutrosCustos[],3,0)</f>
        <v>#NAME?</v>
      </c>
      <c r="BD213" s="234" t="e">
        <f ca="1">VLOOKUP(tabParametros[[#Headers],[Lucro]],tabOutrosCustos[],3,0)</f>
        <v>#NAME?</v>
      </c>
      <c r="BE213" s="233">
        <f>VLOOKUP(tabParametros[[#Headers],[COFINS]],tabImpostosNacionais[],2,0)</f>
        <v>7.5999999999999998E-2</v>
      </c>
      <c r="BF213" s="233">
        <f>VLOOKUP(tabParametros[[#Headers],[PIS]],tabImpostosNacionais[],2,0)</f>
        <v>1.6500000000000001E-2</v>
      </c>
      <c r="BG213" s="233">
        <f>VLOOKUP(tabParametros[[#This Row],[Comarca]],tabComarca[],4,0)</f>
        <v>0.03</v>
      </c>
      <c r="BH213" s="236">
        <f>VLOOKUP(tabParametros[[#This Row],[CCT DA CATEGORIA]],tabSindicatos[],11,0)</f>
        <v>45658</v>
      </c>
      <c r="BI213" s="282" t="str">
        <f>VLOOKUP(tabParametros[[#This Row],[CCT DA CATEGORIA]],tabSindicatos[],12,0)</f>
        <v>-</v>
      </c>
      <c r="BJ213" s="285" t="str">
        <f>VLOOKUP(tabParametros[[#This Row],[CCT DA CATEGORIA]],tabSindicatos[],13,0)</f>
        <v>-</v>
      </c>
    </row>
    <row r="214" spans="1:62">
      <c r="A214" s="231" t="s">
        <v>1646</v>
      </c>
      <c r="B214" s="197" t="s">
        <v>1165</v>
      </c>
      <c r="C214" s="197" t="s">
        <v>324</v>
      </c>
      <c r="D214" s="197" t="str">
        <f>VLOOKUP(tabParametros[[#This Row],[Código do Posto]],tabPostos[],4,0)</f>
        <v>Regiao de Ouro Preto</v>
      </c>
      <c r="E214" s="282" t="str">
        <f>VLOOKUP(tabParametros[[#This Row],[Código do Posto]],tabPostos[],5,0)</f>
        <v>Apoio</v>
      </c>
      <c r="F214" s="282" t="str">
        <f>VLOOKUP(tabParametros[[#This Row],[Código do Posto]],tabPostos[],6,0)</f>
        <v>PGJ</v>
      </c>
      <c r="G214" s="282">
        <f>VLOOKUP(tabParametros[[#This Row],[Código do Posto]],tabPostos[],7,0)</f>
        <v>1</v>
      </c>
      <c r="H214" s="282">
        <f>VLOOKUP(tabParametros[[#This Row],[Código do Posto]],tabPostos[],8,0)</f>
        <v>0</v>
      </c>
      <c r="I214" s="232">
        <f>VLOOKUP(tabParametros[[#This Row],[Código do Posto]],tabPostos[],9,0)</f>
        <v>3397.1306016921476</v>
      </c>
      <c r="J214" s="232">
        <f>IF(ISNUMBER(SEARCH("Eletricista",tabParametros[[#This Row],[Função]],1)),0.3*tabParametros[[#This Row],[Salário Base]],0)</f>
        <v>0</v>
      </c>
      <c r="K21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4" s="232">
        <f>IF(AND(ISNUMBER(SEARCH("Noturno",tabParametros[[#This Row],[Função]],1)),tabParametros[[#This Row],[Comarca]]&lt;&gt;"Juiz de Fora"),tabParametros[[#This Row],[Salário Base]]/210*0.39*7*15.5,IF(ISNUMBER(SEARCH("Noturno",tabParametros[[#This Row],[Função]],1)),tabParametros[[#This Row],[Salário Base]]/210*0.2*8*15.5,0))</f>
        <v>0</v>
      </c>
      <c r="M214" s="232">
        <f>IF(ISNUMBER(SEARCH("Motorista II",tabParametros[[#This Row],[Função]],1)),0.3022*tabParametros[[#This Row],[Salário Base]],0)</f>
        <v>0</v>
      </c>
      <c r="N214" s="254">
        <v>0</v>
      </c>
      <c r="O214" s="254">
        <f>IF(ISNUMBER(SEARCH("TECNOLOGIA DA INFORMACAO",tabParametros[[#This Row],[Função]],1)),0.056*tabParametros[[#This Row],[Salário Base]],0)</f>
        <v>0</v>
      </c>
      <c r="P214" s="232">
        <f>IF(tabParametros[[#This Row],[Função]]="Operador de Midia Audiovisual - 150 h",tabParametros[[#This Row],[Salário Base]]/150*50*30%,IF(tabParametros[[#This Row],[Função]]="Supervisor de Manutencao de Veiculos II - 220 h",12%*tabParametros[[#This Row],[Salário Base]],0))</f>
        <v>0</v>
      </c>
      <c r="Q214" s="233">
        <f>VLOOKUP(tabParametros[[#Headers],[INSS]],tabImpostosNacionais[],2,0)</f>
        <v>0.2</v>
      </c>
      <c r="R214" s="233">
        <f>VLOOKUP(tabParametros[[#Headers],[SESI OU SESC]],tabImpostosNacionais[],2,0)</f>
        <v>1.4999999999999999E-2</v>
      </c>
      <c r="S214" s="233">
        <f>VLOOKUP(tabParametros[[#Headers],[SENAI OU SENAC]],tabImpostosNacionais[],2,0)</f>
        <v>0.01</v>
      </c>
      <c r="T214" s="233">
        <f>VLOOKUP(tabParametros[[#Headers],[INCRA]],tabImpostosNacionais[],2,0)</f>
        <v>2E-3</v>
      </c>
      <c r="U214" s="233">
        <f>VLOOKUP(tabParametros[[#Headers],[Salário Educação]],tabImpostosNacionais[],2,0)</f>
        <v>2.5000000000000001E-2</v>
      </c>
      <c r="V214" s="233">
        <f>VLOOKUP(tabParametros[[#Headers],[FGTS]],tabImpostosNacionais[],2,0)</f>
        <v>0.08</v>
      </c>
      <c r="W214" s="233">
        <f>VLOOKUP(tabParametros[[#Headers],[RAT Ajustado]],tabImpostosNacionais[],2,0)</f>
        <v>0.04</v>
      </c>
      <c r="X214" s="233">
        <f>VLOOKUP(tabParametros[[#Headers],[SEBRAE]],tabImpostosNacionais[],2,0)</f>
        <v>6.0000000000000001E-3</v>
      </c>
      <c r="Y214" s="233">
        <f t="shared" si="33"/>
        <v>8.3333333333333329E-2</v>
      </c>
      <c r="Z214" s="233">
        <f t="shared" si="34"/>
        <v>0.1111111111111111</v>
      </c>
      <c r="AA214" s="232">
        <f>VLOOKUP(tabParametros[[#This Row],[Comarca]],tabComarca[],5,0)</f>
        <v>6.4</v>
      </c>
      <c r="AB214" s="232">
        <f>VLOOKUP(tabParametros[[#This Row],[CCT DA CATEGORIA]],tabSindicatos[],6,0)</f>
        <v>29.15</v>
      </c>
      <c r="AC214" s="232">
        <f>VLOOKUP(tabParametros[[#This Row],[CCT DA CATEGORIA]],tabSindicatos[],7,0)</f>
        <v>0</v>
      </c>
      <c r="AD214" s="232" cm="1">
        <f t="array" ref="AD21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51.87</v>
      </c>
      <c r="AE214" s="232">
        <f>VLOOKUP(tabParametros[[#This Row],[CCT DA CATEGORIA]],tabSindicatos[],9,0)</f>
        <v>0</v>
      </c>
      <c r="AF214" s="232">
        <f>VLOOKUP(tabParametros[[#This Row],[CCT DA CATEGORIA]],tabSindicatos[],10,0)</f>
        <v>0</v>
      </c>
      <c r="AG214" s="234">
        <f>VLOOKUP(tabParametros[[#Headers],[Seguro de Vida]],tabOutrosCustos[],3,0)</f>
        <v>3.36</v>
      </c>
      <c r="AH214" s="234">
        <f>IF(ISNUMBER(SEARCH("MOTORISTA",tabParametros[[#This Row],[Função]],1)),VLOOKUP("MOTORISTAS",tabDiarias[],2,0),IF(tabParametros[[#This Row],[Comarca]]="Belo Horizonte",VLOOKUP("APOIO",tabDiarias[],2,0),0))</f>
        <v>0</v>
      </c>
      <c r="AI214" s="233">
        <f t="shared" si="35"/>
        <v>7.011766975308642E-3</v>
      </c>
      <c r="AJ214" s="235">
        <f>tabParametros[[#This Row],[FGTS]]*tabParametros[[#This Row],[Aviso Prévio Indenizado (API) e Reflexo do Aviso Prévio Indenizado]]</f>
        <v>5.609413580246914E-4</v>
      </c>
      <c r="AK214" s="235">
        <f>tabParametros[[#This Row],[FGTS]]*tabParametros[[#This Row],[Aviso Prévio Indenizado (API) e Reflexo do Aviso Prévio Indenizado]]*40%</f>
        <v>2.2437654320987658E-4</v>
      </c>
      <c r="AL214" s="233">
        <f t="shared" si="36"/>
        <v>3.5000000000000005E-3</v>
      </c>
      <c r="AM214" s="233">
        <f>tabParametros[[#This Row],[Aviso Prévio Trabalhado - APT]]*SUM(tabParametros[[#This Row],[INSS]:[SEBRAE]])</f>
        <v>1.3230000000000004E-3</v>
      </c>
      <c r="AN214" s="233">
        <f t="shared" si="37"/>
        <v>3.0577777777777773E-2</v>
      </c>
      <c r="AO214" s="233">
        <f t="shared" si="38"/>
        <v>8.3333333333333339E-4</v>
      </c>
      <c r="AP214" s="233">
        <f t="shared" si="39"/>
        <v>8.4444444444444437E-3</v>
      </c>
      <c r="AQ214" s="233">
        <f t="shared" si="40"/>
        <v>2.0277777777777777E-3</v>
      </c>
      <c r="AR214" s="233">
        <f t="shared" si="41"/>
        <v>1.7083333333333333E-4</v>
      </c>
      <c r="AS214" s="233">
        <f t="shared" si="42"/>
        <v>2.0833333333333335E-4</v>
      </c>
      <c r="AT214" s="233">
        <f t="shared" si="43"/>
        <v>1.2962962962962963E-3</v>
      </c>
      <c r="AU214" s="235">
        <f>SUM(tabParametros[[#This Row],[Ausência por Doença]:[Férias, Adicional de Férias e 13º  com empregada em gozo de Licença Maternidade]])*SUM(tabParametros[[#This Row],[INSS]:[SEBRAE]])</f>
        <v>4.5918250000000008E-3</v>
      </c>
      <c r="AV214" s="254">
        <f>IF(tabParametros[[#This Row],[Função]]="Porteiro - 220 h",SUM(tabParametros[[#This Row],[Salário Base]:[Adicional de Acúmulo de função]])/220*20*1.5,IF(ISNUMBER(SEARCH("12 x 36",tabParametros[[#This Row],[Função]],1)),SUM(tabParametros[[#This Row],[Salário Base]:[Adicional de Acúmulo de função]])/210*15.5*1.5,0))</f>
        <v>0</v>
      </c>
      <c r="AW214" s="232">
        <f>IF(tabParametros[[#This Row],[Vagas contratadas]]&gt;0,(SUM(tabParametros[[#This Row],[Salário Base]:[Adicional de Acúmulo de função]])*30%+SUM(tabParametros[[#This Row],[Vale - Alimentação]:[Seguro de Vida]]))/tabParametros[[#This Row],[Vagas contratadas]]*tabParametros[[#This Row],[Vagas suspensas]],0)</f>
        <v>0</v>
      </c>
      <c r="AX214" s="232">
        <f>SUMIF(tabUniformes[Cargo],tabParametros[[#This Row],[Função]],tabUniformes[Valor unit. Mensal])</f>
        <v>56.642978962543395</v>
      </c>
      <c r="AY21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4" s="232">
        <v>0</v>
      </c>
      <c r="BC214" s="234" t="e">
        <f ca="1">VLOOKUP(tabParametros[[#Headers],[Custos Indiretos]],tabOutrosCustos[],3,0)</f>
        <v>#NAME?</v>
      </c>
      <c r="BD214" s="234" t="e">
        <f ca="1">VLOOKUP(tabParametros[[#Headers],[Lucro]],tabOutrosCustos[],3,0)</f>
        <v>#NAME?</v>
      </c>
      <c r="BE214" s="233">
        <f>VLOOKUP(tabParametros[[#Headers],[COFINS]],tabImpostosNacionais[],2,0)</f>
        <v>7.5999999999999998E-2</v>
      </c>
      <c r="BF214" s="233">
        <f>VLOOKUP(tabParametros[[#Headers],[PIS]],tabImpostosNacionais[],2,0)</f>
        <v>1.6500000000000001E-2</v>
      </c>
      <c r="BG214" s="233">
        <f>VLOOKUP(tabParametros[[#This Row],[Comarca]],tabComarca[],4,0)</f>
        <v>0.03</v>
      </c>
      <c r="BH214" s="236">
        <f>VLOOKUP(tabParametros[[#This Row],[CCT DA CATEGORIA]],tabSindicatos[],11,0)</f>
        <v>45658</v>
      </c>
      <c r="BI214" s="282" t="str">
        <f>VLOOKUP(tabParametros[[#This Row],[CCT DA CATEGORIA]],tabSindicatos[],12,0)</f>
        <v>-</v>
      </c>
      <c r="BJ214" s="285" t="str">
        <f>VLOOKUP(tabParametros[[#This Row],[CCT DA CATEGORIA]],tabSindicatos[],13,0)</f>
        <v>-</v>
      </c>
    </row>
    <row r="215" spans="1:62">
      <c r="A215" s="231" t="s">
        <v>1647</v>
      </c>
      <c r="B215" s="197" t="s">
        <v>1166</v>
      </c>
      <c r="C215" s="197" t="s">
        <v>319</v>
      </c>
      <c r="D215" s="197" t="str">
        <f>VLOOKUP(tabParametros[[#This Row],[Código do Posto]],tabPostos[],4,0)</f>
        <v>Sind - Asseio</v>
      </c>
      <c r="E215" s="282" t="str">
        <f>VLOOKUP(tabParametros[[#This Row],[Código do Posto]],tabPostos[],5,0)</f>
        <v>Apoio</v>
      </c>
      <c r="F215" s="282" t="str">
        <f>VLOOKUP(tabParametros[[#This Row],[Código do Posto]],tabPostos[],6,0)</f>
        <v>PGJ</v>
      </c>
      <c r="G215" s="282">
        <f>VLOOKUP(tabParametros[[#This Row],[Código do Posto]],tabPostos[],7,0)</f>
        <v>1</v>
      </c>
      <c r="H215" s="282">
        <f>VLOOKUP(tabParametros[[#This Row],[Código do Posto]],tabPostos[],8,0)</f>
        <v>0</v>
      </c>
      <c r="I215" s="232">
        <f>VLOOKUP(tabParametros[[#This Row],[Código do Posto]],tabPostos[],9,0)</f>
        <v>2316.2296840668359</v>
      </c>
      <c r="J215" s="232">
        <f>IF(ISNUMBER(SEARCH("Eletricista",tabParametros[[#This Row],[Função]],1)),0.3*tabParametros[[#This Row],[Salário Base]],0)</f>
        <v>0</v>
      </c>
      <c r="K21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5" s="232">
        <f>IF(AND(ISNUMBER(SEARCH("Noturno",tabParametros[[#This Row],[Função]],1)),tabParametros[[#This Row],[Comarca]]&lt;&gt;"Juiz de Fora"),tabParametros[[#This Row],[Salário Base]]/210*0.39*7*15.5,IF(ISNUMBER(SEARCH("Noturno",tabParametros[[#This Row],[Função]],1)),tabParametros[[#This Row],[Salário Base]]/210*0.2*8*15.5,0))</f>
        <v>0</v>
      </c>
      <c r="M215" s="232">
        <f>IF(ISNUMBER(SEARCH("Motorista II",tabParametros[[#This Row],[Função]],1)),0.3022*tabParametros[[#This Row],[Salário Base]],0)</f>
        <v>0</v>
      </c>
      <c r="N215" s="254">
        <v>0</v>
      </c>
      <c r="O215" s="254">
        <f>IF(ISNUMBER(SEARCH("TECNOLOGIA DA INFORMACAO",tabParametros[[#This Row],[Função]],1)),0.056*tabParametros[[#This Row],[Salário Base]],0)</f>
        <v>0</v>
      </c>
      <c r="P215" s="232">
        <f>IF(tabParametros[[#This Row],[Função]]="Operador de Midia Audiovisual - 150 h",tabParametros[[#This Row],[Salário Base]]/150*50*30%,IF(tabParametros[[#This Row],[Função]]="Supervisor de Manutencao de Veiculos II - 220 h",12%*tabParametros[[#This Row],[Salário Base]],0))</f>
        <v>0</v>
      </c>
      <c r="Q215" s="233">
        <f>VLOOKUP(tabParametros[[#Headers],[INSS]],tabImpostosNacionais[],2,0)</f>
        <v>0.2</v>
      </c>
      <c r="R215" s="233">
        <f>VLOOKUP(tabParametros[[#Headers],[SESI OU SESC]],tabImpostosNacionais[],2,0)</f>
        <v>1.4999999999999999E-2</v>
      </c>
      <c r="S215" s="233">
        <f>VLOOKUP(tabParametros[[#Headers],[SENAI OU SENAC]],tabImpostosNacionais[],2,0)</f>
        <v>0.01</v>
      </c>
      <c r="T215" s="233">
        <f>VLOOKUP(tabParametros[[#Headers],[INCRA]],tabImpostosNacionais[],2,0)</f>
        <v>2E-3</v>
      </c>
      <c r="U215" s="233">
        <f>VLOOKUP(tabParametros[[#Headers],[Salário Educação]],tabImpostosNacionais[],2,0)</f>
        <v>2.5000000000000001E-2</v>
      </c>
      <c r="V215" s="233">
        <f>VLOOKUP(tabParametros[[#Headers],[FGTS]],tabImpostosNacionais[],2,0)</f>
        <v>0.08</v>
      </c>
      <c r="W215" s="233">
        <f>VLOOKUP(tabParametros[[#Headers],[RAT Ajustado]],tabImpostosNacionais[],2,0)</f>
        <v>0.04</v>
      </c>
      <c r="X215" s="233">
        <f>VLOOKUP(tabParametros[[#Headers],[SEBRAE]],tabImpostosNacionais[],2,0)</f>
        <v>6.0000000000000001E-3</v>
      </c>
      <c r="Y215" s="233">
        <f t="shared" si="33"/>
        <v>8.3333333333333329E-2</v>
      </c>
      <c r="Z215" s="233">
        <f t="shared" si="34"/>
        <v>0.1111111111111111</v>
      </c>
      <c r="AA215" s="232">
        <f>VLOOKUP(tabParametros[[#This Row],[Comarca]],tabComarca[],5,0)</f>
        <v>6.4</v>
      </c>
      <c r="AB215" s="232">
        <f>VLOOKUP(tabParametros[[#This Row],[CCT DA CATEGORIA]],tabSindicatos[],6,0)</f>
        <v>29.15</v>
      </c>
      <c r="AC215" s="232">
        <f>VLOOKUP(tabParametros[[#This Row],[CCT DA CATEGORIA]],tabSindicatos[],7,0)</f>
        <v>0</v>
      </c>
      <c r="AD215" s="232" cm="1">
        <f t="array" ref="AD21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15" s="232">
        <f>VLOOKUP(tabParametros[[#This Row],[CCT DA CATEGORIA]],tabSindicatos[],9,0)</f>
        <v>0</v>
      </c>
      <c r="AF215" s="232">
        <f>VLOOKUP(tabParametros[[#This Row],[CCT DA CATEGORIA]],tabSindicatos[],10,0)</f>
        <v>0</v>
      </c>
      <c r="AG215" s="234">
        <f>VLOOKUP(tabParametros[[#Headers],[Seguro de Vida]],tabOutrosCustos[],3,0)</f>
        <v>3.36</v>
      </c>
      <c r="AH215" s="234">
        <f>IF(ISNUMBER(SEARCH("MOTORISTA",tabParametros[[#This Row],[Função]],1)),VLOOKUP("MOTORISTAS",tabDiarias[],2,0),IF(tabParametros[[#This Row],[Comarca]]="Belo Horizonte",VLOOKUP("APOIO",tabDiarias[],2,0),0))</f>
        <v>0</v>
      </c>
      <c r="AI215" s="233">
        <f t="shared" si="35"/>
        <v>7.011766975308642E-3</v>
      </c>
      <c r="AJ215" s="235">
        <f>tabParametros[[#This Row],[FGTS]]*tabParametros[[#This Row],[Aviso Prévio Indenizado (API) e Reflexo do Aviso Prévio Indenizado]]</f>
        <v>5.609413580246914E-4</v>
      </c>
      <c r="AK215" s="235">
        <f>tabParametros[[#This Row],[FGTS]]*tabParametros[[#This Row],[Aviso Prévio Indenizado (API) e Reflexo do Aviso Prévio Indenizado]]*40%</f>
        <v>2.2437654320987658E-4</v>
      </c>
      <c r="AL215" s="233">
        <f t="shared" si="36"/>
        <v>3.5000000000000005E-3</v>
      </c>
      <c r="AM215" s="233">
        <f>tabParametros[[#This Row],[Aviso Prévio Trabalhado - APT]]*SUM(tabParametros[[#This Row],[INSS]:[SEBRAE]])</f>
        <v>1.3230000000000004E-3</v>
      </c>
      <c r="AN215" s="233">
        <f t="shared" si="37"/>
        <v>3.0577777777777773E-2</v>
      </c>
      <c r="AO215" s="233">
        <f t="shared" si="38"/>
        <v>8.3333333333333339E-4</v>
      </c>
      <c r="AP215" s="233">
        <f t="shared" si="39"/>
        <v>8.4444444444444437E-3</v>
      </c>
      <c r="AQ215" s="233">
        <f t="shared" si="40"/>
        <v>2.0277777777777777E-3</v>
      </c>
      <c r="AR215" s="233">
        <f t="shared" si="41"/>
        <v>1.7083333333333333E-4</v>
      </c>
      <c r="AS215" s="233">
        <f t="shared" si="42"/>
        <v>2.0833333333333335E-4</v>
      </c>
      <c r="AT215" s="233">
        <f t="shared" si="43"/>
        <v>1.2962962962962963E-3</v>
      </c>
      <c r="AU215" s="235">
        <f>SUM(tabParametros[[#This Row],[Ausência por Doença]:[Férias, Adicional de Férias e 13º  com empregada em gozo de Licença Maternidade]])*SUM(tabParametros[[#This Row],[INSS]:[SEBRAE]])</f>
        <v>4.5918250000000008E-3</v>
      </c>
      <c r="AV215" s="254">
        <f>IF(tabParametros[[#This Row],[Função]]="Porteiro - 220 h",SUM(tabParametros[[#This Row],[Salário Base]:[Adicional de Acúmulo de função]])/220*20*1.5,IF(ISNUMBER(SEARCH("12 x 36",tabParametros[[#This Row],[Função]],1)),SUM(tabParametros[[#This Row],[Salário Base]:[Adicional de Acúmulo de função]])/210*15.5*1.5,0))</f>
        <v>0</v>
      </c>
      <c r="AW215" s="232">
        <f>IF(tabParametros[[#This Row],[Vagas contratadas]]&gt;0,(SUM(tabParametros[[#This Row],[Salário Base]:[Adicional de Acúmulo de função]])*30%+SUM(tabParametros[[#This Row],[Vale - Alimentação]:[Seguro de Vida]]))/tabParametros[[#This Row],[Vagas contratadas]]*tabParametros[[#This Row],[Vagas suspensas]],0)</f>
        <v>0</v>
      </c>
      <c r="AX215" s="232">
        <f>SUMIF(tabUniformes[Cargo],tabParametros[[#This Row],[Função]],tabUniformes[Valor unit. Mensal])</f>
        <v>56.642978962543395</v>
      </c>
      <c r="AY21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5" s="232">
        <v>0</v>
      </c>
      <c r="BC215" s="234" t="e">
        <f ca="1">VLOOKUP(tabParametros[[#Headers],[Custos Indiretos]],tabOutrosCustos[],3,0)</f>
        <v>#NAME?</v>
      </c>
      <c r="BD215" s="234" t="e">
        <f ca="1">VLOOKUP(tabParametros[[#Headers],[Lucro]],tabOutrosCustos[],3,0)</f>
        <v>#NAME?</v>
      </c>
      <c r="BE215" s="233">
        <f>VLOOKUP(tabParametros[[#Headers],[COFINS]],tabImpostosNacionais[],2,0)</f>
        <v>7.5999999999999998E-2</v>
      </c>
      <c r="BF215" s="233">
        <f>VLOOKUP(tabParametros[[#Headers],[PIS]],tabImpostosNacionais[],2,0)</f>
        <v>1.6500000000000001E-2</v>
      </c>
      <c r="BG215" s="233">
        <f>VLOOKUP(tabParametros[[#This Row],[Comarca]],tabComarca[],4,0)</f>
        <v>0.02</v>
      </c>
      <c r="BH215" s="236">
        <f>VLOOKUP(tabParametros[[#This Row],[CCT DA CATEGORIA]],tabSindicatos[],11,0)</f>
        <v>45658</v>
      </c>
      <c r="BI215" s="282" t="str">
        <f>VLOOKUP(tabParametros[[#This Row],[CCT DA CATEGORIA]],tabSindicatos[],12,0)</f>
        <v>-</v>
      </c>
      <c r="BJ215" s="285" t="str">
        <f>VLOOKUP(tabParametros[[#This Row],[CCT DA CATEGORIA]],tabSindicatos[],13,0)</f>
        <v>-</v>
      </c>
    </row>
    <row r="216" spans="1:62">
      <c r="A216" s="231" t="s">
        <v>1648</v>
      </c>
      <c r="B216" s="197" t="s">
        <v>1167</v>
      </c>
      <c r="C216" s="197" t="s">
        <v>314</v>
      </c>
      <c r="D216" s="197" t="str">
        <f>VLOOKUP(tabParametros[[#This Row],[Código do Posto]],tabPostos[],4,0)</f>
        <v>Regiao de Juiz de Fora</v>
      </c>
      <c r="E216" s="282" t="str">
        <f>VLOOKUP(tabParametros[[#This Row],[Código do Posto]],tabPostos[],5,0)</f>
        <v>Apoio</v>
      </c>
      <c r="F216" s="282" t="str">
        <f>VLOOKUP(tabParametros[[#This Row],[Código do Posto]],tabPostos[],6,0)</f>
        <v>PGJ</v>
      </c>
      <c r="G216" s="282">
        <f>VLOOKUP(tabParametros[[#This Row],[Código do Posto]],tabPostos[],7,0)</f>
        <v>1</v>
      </c>
      <c r="H216" s="282">
        <f>VLOOKUP(tabParametros[[#This Row],[Código do Posto]],tabPostos[],8,0)</f>
        <v>0</v>
      </c>
      <c r="I216" s="232">
        <f>VLOOKUP(tabParametros[[#This Row],[Código do Posto]],tabPostos[],9,0)</f>
        <v>1963.4110092077037</v>
      </c>
      <c r="J216" s="232">
        <f>IF(ISNUMBER(SEARCH("Eletricista",tabParametros[[#This Row],[Função]],1)),0.3*tabParametros[[#This Row],[Salário Base]],0)</f>
        <v>0</v>
      </c>
      <c r="K21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6" s="232">
        <f>IF(AND(ISNUMBER(SEARCH("Noturno",tabParametros[[#This Row],[Função]],1)),tabParametros[[#This Row],[Comarca]]&lt;&gt;"Juiz de Fora"),tabParametros[[#This Row],[Salário Base]]/210*0.39*7*15.5,IF(ISNUMBER(SEARCH("Noturno",tabParametros[[#This Row],[Função]],1)),tabParametros[[#This Row],[Salário Base]]/210*0.2*8*15.5,0))</f>
        <v>0</v>
      </c>
      <c r="M216" s="232">
        <f>IF(ISNUMBER(SEARCH("Motorista II",tabParametros[[#This Row],[Função]],1)),0.3022*tabParametros[[#This Row],[Salário Base]],0)</f>
        <v>0</v>
      </c>
      <c r="N216" s="254">
        <v>0</v>
      </c>
      <c r="O216" s="254">
        <f>IF(ISNUMBER(SEARCH("TECNOLOGIA DA INFORMACAO",tabParametros[[#This Row],[Função]],1)),0.056*tabParametros[[#This Row],[Salário Base]],0)</f>
        <v>0</v>
      </c>
      <c r="P216" s="232">
        <f>IF(tabParametros[[#This Row],[Função]]="Operador de Midia Audiovisual - 150 h",tabParametros[[#This Row],[Salário Base]]/150*50*30%,IF(tabParametros[[#This Row],[Função]]="Supervisor de Manutencao de Veiculos II - 220 h",12%*tabParametros[[#This Row],[Salário Base]],0))</f>
        <v>0</v>
      </c>
      <c r="Q216" s="233">
        <f>VLOOKUP(tabParametros[[#Headers],[INSS]],tabImpostosNacionais[],2,0)</f>
        <v>0.2</v>
      </c>
      <c r="R216" s="233">
        <f>VLOOKUP(tabParametros[[#Headers],[SESI OU SESC]],tabImpostosNacionais[],2,0)</f>
        <v>1.4999999999999999E-2</v>
      </c>
      <c r="S216" s="233">
        <f>VLOOKUP(tabParametros[[#Headers],[SENAI OU SENAC]],tabImpostosNacionais[],2,0)</f>
        <v>0.01</v>
      </c>
      <c r="T216" s="233">
        <f>VLOOKUP(tabParametros[[#Headers],[INCRA]],tabImpostosNacionais[],2,0)</f>
        <v>2E-3</v>
      </c>
      <c r="U216" s="233">
        <f>VLOOKUP(tabParametros[[#Headers],[Salário Educação]],tabImpostosNacionais[],2,0)</f>
        <v>2.5000000000000001E-2</v>
      </c>
      <c r="V216" s="233">
        <f>VLOOKUP(tabParametros[[#Headers],[FGTS]],tabImpostosNacionais[],2,0)</f>
        <v>0.08</v>
      </c>
      <c r="W216" s="233">
        <f>VLOOKUP(tabParametros[[#Headers],[RAT Ajustado]],tabImpostosNacionais[],2,0)</f>
        <v>0.04</v>
      </c>
      <c r="X216" s="233">
        <f>VLOOKUP(tabParametros[[#Headers],[SEBRAE]],tabImpostosNacionais[],2,0)</f>
        <v>6.0000000000000001E-3</v>
      </c>
      <c r="Y216" s="233">
        <f t="shared" si="33"/>
        <v>8.3333333333333329E-2</v>
      </c>
      <c r="Z216" s="233">
        <f t="shared" si="34"/>
        <v>0.1111111111111111</v>
      </c>
      <c r="AA216" s="232">
        <f>VLOOKUP(tabParametros[[#This Row],[Comarca]],tabComarca[],5,0)</f>
        <v>6.4</v>
      </c>
      <c r="AB216" s="232">
        <f>VLOOKUP(tabParametros[[#This Row],[CCT DA CATEGORIA]],tabSindicatos[],6,0)</f>
        <v>29.15</v>
      </c>
      <c r="AC216" s="232">
        <f>VLOOKUP(tabParametros[[#This Row],[CCT DA CATEGORIA]],tabSindicatos[],7,0)</f>
        <v>0</v>
      </c>
      <c r="AD216" s="232" cm="1">
        <f t="array" ref="AD21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16" s="232">
        <f>VLOOKUP(tabParametros[[#This Row],[CCT DA CATEGORIA]],tabSindicatos[],9,0)</f>
        <v>0</v>
      </c>
      <c r="AF216" s="232">
        <f>VLOOKUP(tabParametros[[#This Row],[CCT DA CATEGORIA]],tabSindicatos[],10,0)</f>
        <v>0</v>
      </c>
      <c r="AG216" s="234">
        <f>VLOOKUP(tabParametros[[#Headers],[Seguro de Vida]],tabOutrosCustos[],3,0)</f>
        <v>3.36</v>
      </c>
      <c r="AH216" s="234">
        <f>IF(ISNUMBER(SEARCH("MOTORISTA",tabParametros[[#This Row],[Função]],1)),VLOOKUP("MOTORISTAS",tabDiarias[],2,0),IF(tabParametros[[#This Row],[Comarca]]="Belo Horizonte",VLOOKUP("APOIO",tabDiarias[],2,0),0))</f>
        <v>0</v>
      </c>
      <c r="AI216" s="233">
        <f t="shared" si="35"/>
        <v>7.011766975308642E-3</v>
      </c>
      <c r="AJ216" s="235">
        <f>tabParametros[[#This Row],[FGTS]]*tabParametros[[#This Row],[Aviso Prévio Indenizado (API) e Reflexo do Aviso Prévio Indenizado]]</f>
        <v>5.609413580246914E-4</v>
      </c>
      <c r="AK216" s="235">
        <f>tabParametros[[#This Row],[FGTS]]*tabParametros[[#This Row],[Aviso Prévio Indenizado (API) e Reflexo do Aviso Prévio Indenizado]]*40%</f>
        <v>2.2437654320987658E-4</v>
      </c>
      <c r="AL216" s="233">
        <f t="shared" si="36"/>
        <v>3.5000000000000005E-3</v>
      </c>
      <c r="AM216" s="233">
        <f>tabParametros[[#This Row],[Aviso Prévio Trabalhado - APT]]*SUM(tabParametros[[#This Row],[INSS]:[SEBRAE]])</f>
        <v>1.3230000000000004E-3</v>
      </c>
      <c r="AN216" s="233">
        <f t="shared" si="37"/>
        <v>3.0577777777777773E-2</v>
      </c>
      <c r="AO216" s="233">
        <f t="shared" si="38"/>
        <v>8.3333333333333339E-4</v>
      </c>
      <c r="AP216" s="233">
        <f t="shared" si="39"/>
        <v>8.4444444444444437E-3</v>
      </c>
      <c r="AQ216" s="233">
        <f t="shared" si="40"/>
        <v>2.0277777777777777E-3</v>
      </c>
      <c r="AR216" s="233">
        <f t="shared" si="41"/>
        <v>1.7083333333333333E-4</v>
      </c>
      <c r="AS216" s="233">
        <f t="shared" si="42"/>
        <v>2.0833333333333335E-4</v>
      </c>
      <c r="AT216" s="233">
        <f t="shared" si="43"/>
        <v>1.2962962962962963E-3</v>
      </c>
      <c r="AU216" s="235">
        <f>SUM(tabParametros[[#This Row],[Ausência por Doença]:[Férias, Adicional de Férias e 13º  com empregada em gozo de Licença Maternidade]])*SUM(tabParametros[[#This Row],[INSS]:[SEBRAE]])</f>
        <v>4.5918250000000008E-3</v>
      </c>
      <c r="AV216"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16" s="232">
        <f>IF(tabParametros[[#This Row],[Vagas contratadas]]&gt;0,(SUM(tabParametros[[#This Row],[Salário Base]:[Adicional de Acúmulo de função]])*30%+SUM(tabParametros[[#This Row],[Vale - Alimentação]:[Seguro de Vida]]))/tabParametros[[#This Row],[Vagas contratadas]]*tabParametros[[#This Row],[Vagas suspensas]],0)</f>
        <v>0</v>
      </c>
      <c r="AX216" s="232">
        <f>SUMIF(tabUniformes[Cargo],tabParametros[[#This Row],[Função]],tabUniformes[Valor unit. Mensal])</f>
        <v>56.642978962543395</v>
      </c>
      <c r="AY21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6" s="232">
        <v>0</v>
      </c>
      <c r="BC216" s="234" t="e">
        <f ca="1">VLOOKUP(tabParametros[[#Headers],[Custos Indiretos]],tabOutrosCustos[],3,0)</f>
        <v>#NAME?</v>
      </c>
      <c r="BD216" s="234" t="e">
        <f ca="1">VLOOKUP(tabParametros[[#Headers],[Lucro]],tabOutrosCustos[],3,0)</f>
        <v>#NAME?</v>
      </c>
      <c r="BE216" s="233">
        <f>VLOOKUP(tabParametros[[#Headers],[COFINS]],tabImpostosNacionais[],2,0)</f>
        <v>7.5999999999999998E-2</v>
      </c>
      <c r="BF216" s="233">
        <f>VLOOKUP(tabParametros[[#Headers],[PIS]],tabImpostosNacionais[],2,0)</f>
        <v>1.6500000000000001E-2</v>
      </c>
      <c r="BG216" s="233">
        <f>VLOOKUP(tabParametros[[#This Row],[Comarca]],tabComarca[],4,0)</f>
        <v>0.03</v>
      </c>
      <c r="BH216" s="236">
        <f>VLOOKUP(tabParametros[[#This Row],[CCT DA CATEGORIA]],tabSindicatos[],11,0)</f>
        <v>45658</v>
      </c>
      <c r="BI216" s="282" t="str">
        <f>VLOOKUP(tabParametros[[#This Row],[CCT DA CATEGORIA]],tabSindicatos[],12,0)</f>
        <v>-</v>
      </c>
      <c r="BJ216" s="285" t="str">
        <f>VLOOKUP(tabParametros[[#This Row],[CCT DA CATEGORIA]],tabSindicatos[],13,0)</f>
        <v>-</v>
      </c>
    </row>
    <row r="217" spans="1:62">
      <c r="A217" s="231" t="s">
        <v>1649</v>
      </c>
      <c r="B217" s="197" t="s">
        <v>1168</v>
      </c>
      <c r="C217" s="197" t="s">
        <v>314</v>
      </c>
      <c r="D217" s="197" t="str">
        <f>VLOOKUP(tabParametros[[#This Row],[Código do Posto]],tabPostos[],4,0)</f>
        <v>Sethac Norte de Minas</v>
      </c>
      <c r="E217" s="282" t="str">
        <f>VLOOKUP(tabParametros[[#This Row],[Código do Posto]],tabPostos[],5,0)</f>
        <v>Apoio</v>
      </c>
      <c r="F217" s="282" t="str">
        <f>VLOOKUP(tabParametros[[#This Row],[Código do Posto]],tabPostos[],6,0)</f>
        <v>PGJ</v>
      </c>
      <c r="G217" s="282">
        <f>VLOOKUP(tabParametros[[#This Row],[Código do Posto]],tabPostos[],7,0)</f>
        <v>1</v>
      </c>
      <c r="H217" s="282">
        <f>VLOOKUP(tabParametros[[#This Row],[Código do Posto]],tabPostos[],8,0)</f>
        <v>0</v>
      </c>
      <c r="I217" s="232">
        <f>VLOOKUP(tabParametros[[#This Row],[Código do Posto]],tabPostos[],9,0)</f>
        <v>1963.4110092077037</v>
      </c>
      <c r="J217" s="232">
        <f>IF(ISNUMBER(SEARCH("Eletricista",tabParametros[[#This Row],[Função]],1)),0.3*tabParametros[[#This Row],[Salário Base]],0)</f>
        <v>0</v>
      </c>
      <c r="K21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7" s="232">
        <f>IF(AND(ISNUMBER(SEARCH("Noturno",tabParametros[[#This Row],[Função]],1)),tabParametros[[#This Row],[Comarca]]&lt;&gt;"Juiz de Fora"),tabParametros[[#This Row],[Salário Base]]/210*0.39*7*15.5,IF(ISNUMBER(SEARCH("Noturno",tabParametros[[#This Row],[Função]],1)),tabParametros[[#This Row],[Salário Base]]/210*0.2*8*15.5,0))</f>
        <v>0</v>
      </c>
      <c r="M217" s="232">
        <f>IF(ISNUMBER(SEARCH("Motorista II",tabParametros[[#This Row],[Função]],1)),0.3022*tabParametros[[#This Row],[Salário Base]],0)</f>
        <v>0</v>
      </c>
      <c r="N217" s="254">
        <v>0</v>
      </c>
      <c r="O217" s="254">
        <f>IF(ISNUMBER(SEARCH("TECNOLOGIA DA INFORMACAO",tabParametros[[#This Row],[Função]],1)),0.056*tabParametros[[#This Row],[Salário Base]],0)</f>
        <v>0</v>
      </c>
      <c r="P217" s="232">
        <f>IF(tabParametros[[#This Row],[Função]]="Operador de Midia Audiovisual - 150 h",tabParametros[[#This Row],[Salário Base]]/150*50*30%,IF(tabParametros[[#This Row],[Função]]="Supervisor de Manutencao de Veiculos II - 220 h",12%*tabParametros[[#This Row],[Salário Base]],0))</f>
        <v>0</v>
      </c>
      <c r="Q217" s="233">
        <f>VLOOKUP(tabParametros[[#Headers],[INSS]],tabImpostosNacionais[],2,0)</f>
        <v>0.2</v>
      </c>
      <c r="R217" s="233">
        <f>VLOOKUP(tabParametros[[#Headers],[SESI OU SESC]],tabImpostosNacionais[],2,0)</f>
        <v>1.4999999999999999E-2</v>
      </c>
      <c r="S217" s="233">
        <f>VLOOKUP(tabParametros[[#Headers],[SENAI OU SENAC]],tabImpostosNacionais[],2,0)</f>
        <v>0.01</v>
      </c>
      <c r="T217" s="233">
        <f>VLOOKUP(tabParametros[[#Headers],[INCRA]],tabImpostosNacionais[],2,0)</f>
        <v>2E-3</v>
      </c>
      <c r="U217" s="233">
        <f>VLOOKUP(tabParametros[[#Headers],[Salário Educação]],tabImpostosNacionais[],2,0)</f>
        <v>2.5000000000000001E-2</v>
      </c>
      <c r="V217" s="233">
        <f>VLOOKUP(tabParametros[[#Headers],[FGTS]],tabImpostosNacionais[],2,0)</f>
        <v>0.08</v>
      </c>
      <c r="W217" s="233">
        <f>VLOOKUP(tabParametros[[#Headers],[RAT Ajustado]],tabImpostosNacionais[],2,0)</f>
        <v>0.04</v>
      </c>
      <c r="X217" s="233">
        <f>VLOOKUP(tabParametros[[#Headers],[SEBRAE]],tabImpostosNacionais[],2,0)</f>
        <v>6.0000000000000001E-3</v>
      </c>
      <c r="Y217" s="233">
        <f t="shared" si="33"/>
        <v>8.3333333333333329E-2</v>
      </c>
      <c r="Z217" s="233">
        <f t="shared" si="34"/>
        <v>0.1111111111111111</v>
      </c>
      <c r="AA217" s="232">
        <f>VLOOKUP(tabParametros[[#This Row],[Comarca]],tabComarca[],5,0)</f>
        <v>6.4</v>
      </c>
      <c r="AB217" s="232">
        <f>VLOOKUP(tabParametros[[#This Row],[CCT DA CATEGORIA]],tabSindicatos[],6,0)</f>
        <v>29.15</v>
      </c>
      <c r="AC217" s="232">
        <f>VLOOKUP(tabParametros[[#This Row],[CCT DA CATEGORIA]],tabSindicatos[],7,0)</f>
        <v>0</v>
      </c>
      <c r="AD217" s="232" cm="1">
        <f t="array" ref="AD21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17" s="232">
        <f>VLOOKUP(tabParametros[[#This Row],[CCT DA CATEGORIA]],tabSindicatos[],9,0)</f>
        <v>0</v>
      </c>
      <c r="AF217" s="232">
        <f>VLOOKUP(tabParametros[[#This Row],[CCT DA CATEGORIA]],tabSindicatos[],10,0)</f>
        <v>0</v>
      </c>
      <c r="AG217" s="234">
        <f>VLOOKUP(tabParametros[[#Headers],[Seguro de Vida]],tabOutrosCustos[],3,0)</f>
        <v>3.36</v>
      </c>
      <c r="AH217" s="234">
        <f>IF(ISNUMBER(SEARCH("MOTORISTA",tabParametros[[#This Row],[Função]],1)),VLOOKUP("MOTORISTAS",tabDiarias[],2,0),IF(tabParametros[[#This Row],[Comarca]]="Belo Horizonte",VLOOKUP("APOIO",tabDiarias[],2,0),0))</f>
        <v>0</v>
      </c>
      <c r="AI217" s="233">
        <f t="shared" si="35"/>
        <v>7.011766975308642E-3</v>
      </c>
      <c r="AJ217" s="235">
        <f>tabParametros[[#This Row],[FGTS]]*tabParametros[[#This Row],[Aviso Prévio Indenizado (API) e Reflexo do Aviso Prévio Indenizado]]</f>
        <v>5.609413580246914E-4</v>
      </c>
      <c r="AK217" s="235">
        <f>tabParametros[[#This Row],[FGTS]]*tabParametros[[#This Row],[Aviso Prévio Indenizado (API) e Reflexo do Aviso Prévio Indenizado]]*40%</f>
        <v>2.2437654320987658E-4</v>
      </c>
      <c r="AL217" s="233">
        <f t="shared" si="36"/>
        <v>3.5000000000000005E-3</v>
      </c>
      <c r="AM217" s="233">
        <f>tabParametros[[#This Row],[Aviso Prévio Trabalhado - APT]]*SUM(tabParametros[[#This Row],[INSS]:[SEBRAE]])</f>
        <v>1.3230000000000004E-3</v>
      </c>
      <c r="AN217" s="233">
        <f t="shared" si="37"/>
        <v>3.0577777777777773E-2</v>
      </c>
      <c r="AO217" s="233">
        <f t="shared" si="38"/>
        <v>8.3333333333333339E-4</v>
      </c>
      <c r="AP217" s="233">
        <f t="shared" si="39"/>
        <v>8.4444444444444437E-3</v>
      </c>
      <c r="AQ217" s="233">
        <f t="shared" si="40"/>
        <v>2.0277777777777777E-3</v>
      </c>
      <c r="AR217" s="233">
        <f t="shared" si="41"/>
        <v>1.7083333333333333E-4</v>
      </c>
      <c r="AS217" s="233">
        <f t="shared" si="42"/>
        <v>2.0833333333333335E-4</v>
      </c>
      <c r="AT217" s="233">
        <f t="shared" si="43"/>
        <v>1.2962962962962963E-3</v>
      </c>
      <c r="AU217" s="235">
        <f>SUM(tabParametros[[#This Row],[Ausência por Doença]:[Férias, Adicional de Férias e 13º  com empregada em gozo de Licença Maternidade]])*SUM(tabParametros[[#This Row],[INSS]:[SEBRAE]])</f>
        <v>4.5918250000000008E-3</v>
      </c>
      <c r="AV217"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17" s="232">
        <f>IF(tabParametros[[#This Row],[Vagas contratadas]]&gt;0,(SUM(tabParametros[[#This Row],[Salário Base]:[Adicional de Acúmulo de função]])*30%+SUM(tabParametros[[#This Row],[Vale - Alimentação]:[Seguro de Vida]]))/tabParametros[[#This Row],[Vagas contratadas]]*tabParametros[[#This Row],[Vagas suspensas]],0)</f>
        <v>0</v>
      </c>
      <c r="AX217" s="232">
        <f>SUMIF(tabUniformes[Cargo],tabParametros[[#This Row],[Função]],tabUniformes[Valor unit. Mensal])</f>
        <v>56.642978962543395</v>
      </c>
      <c r="AY21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7" s="232">
        <v>0</v>
      </c>
      <c r="BC217" s="234" t="e">
        <f ca="1">VLOOKUP(tabParametros[[#Headers],[Custos Indiretos]],tabOutrosCustos[],3,0)</f>
        <v>#NAME?</v>
      </c>
      <c r="BD217" s="234" t="e">
        <f ca="1">VLOOKUP(tabParametros[[#Headers],[Lucro]],tabOutrosCustos[],3,0)</f>
        <v>#NAME?</v>
      </c>
      <c r="BE217" s="233">
        <f>VLOOKUP(tabParametros[[#Headers],[COFINS]],tabImpostosNacionais[],2,0)</f>
        <v>7.5999999999999998E-2</v>
      </c>
      <c r="BF217" s="233">
        <f>VLOOKUP(tabParametros[[#Headers],[PIS]],tabImpostosNacionais[],2,0)</f>
        <v>1.6500000000000001E-2</v>
      </c>
      <c r="BG217" s="233">
        <f>VLOOKUP(tabParametros[[#This Row],[Comarca]],tabComarca[],4,0)</f>
        <v>0.03</v>
      </c>
      <c r="BH217" s="236">
        <f>VLOOKUP(tabParametros[[#This Row],[CCT DA CATEGORIA]],tabSindicatos[],11,0)</f>
        <v>45658</v>
      </c>
      <c r="BI217" s="282" t="str">
        <f>VLOOKUP(tabParametros[[#This Row],[CCT DA CATEGORIA]],tabSindicatos[],12,0)</f>
        <v>-</v>
      </c>
      <c r="BJ217" s="285" t="str">
        <f>VLOOKUP(tabParametros[[#This Row],[CCT DA CATEGORIA]],tabSindicatos[],13,0)</f>
        <v>-</v>
      </c>
    </row>
    <row r="218" spans="1:62">
      <c r="A218" s="231" t="s">
        <v>1801</v>
      </c>
      <c r="B218" s="197" t="s">
        <v>939</v>
      </c>
      <c r="C218" s="197" t="s">
        <v>165</v>
      </c>
      <c r="D218" s="197" t="str">
        <f>VLOOKUP(tabParametros[[#This Row],[Código do Posto]],tabPostos[],4,0)</f>
        <v>Montes Claros</v>
      </c>
      <c r="E218" s="282" t="str">
        <f>VLOOKUP(tabParametros[[#This Row],[Código do Posto]],tabPostos[],5,0)</f>
        <v>Apoio</v>
      </c>
      <c r="F218" s="282" t="str">
        <f>VLOOKUP(tabParametros[[#This Row],[Código do Posto]],tabPostos[],6,0)</f>
        <v>PGJ</v>
      </c>
      <c r="G218" s="282">
        <f>VLOOKUP(tabParametros[[#This Row],[Código do Posto]],tabPostos[],7,0)</f>
        <v>1</v>
      </c>
      <c r="H218" s="282">
        <f>VLOOKUP(tabParametros[[#This Row],[Código do Posto]],tabPostos[],8,0)</f>
        <v>0</v>
      </c>
      <c r="I218" s="232">
        <f>VLOOKUP(tabParametros[[#This Row],[Código do Posto]],tabPostos[],9,0)</f>
        <v>2443.5248674391278</v>
      </c>
      <c r="J218" s="232">
        <f>IF(ISNUMBER(SEARCH("Eletricista",tabParametros[[#This Row],[Função]],1)),0.3*tabParametros[[#This Row],[Salário Base]],0)</f>
        <v>0</v>
      </c>
      <c r="K21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8" s="232">
        <f>IF(AND(ISNUMBER(SEARCH("Noturno",tabParametros[[#This Row],[Função]],1)),tabParametros[[#This Row],[Comarca]]&lt;&gt;"Juiz de Fora"),tabParametros[[#This Row],[Salário Base]]/210*0.39*7*15.5,IF(ISNUMBER(SEARCH("Noturno",tabParametros[[#This Row],[Função]],1)),tabParametros[[#This Row],[Salário Base]]/210*0.2*8*15.5,0))</f>
        <v>0</v>
      </c>
      <c r="M218" s="232">
        <f>IF(ISNUMBER(SEARCH("Motorista II",tabParametros[[#This Row],[Função]],1)),0.3022*tabParametros[[#This Row],[Salário Base]],0)</f>
        <v>0</v>
      </c>
      <c r="N218" s="254">
        <v>0</v>
      </c>
      <c r="O218" s="254">
        <f>IF(ISNUMBER(SEARCH("TECNOLOGIA DA INFORMACAO",tabParametros[[#This Row],[Função]],1)),0.056*tabParametros[[#This Row],[Salário Base]],0)</f>
        <v>0</v>
      </c>
      <c r="P218" s="232">
        <f>IF(tabParametros[[#This Row],[Função]]="Operador de Midia Audiovisual - 150 h",tabParametros[[#This Row],[Salário Base]]/150*50*30%,IF(tabParametros[[#This Row],[Função]]="Supervisor de Manutencao de Veiculos II - 220 h",12%*tabParametros[[#This Row],[Salário Base]],0))</f>
        <v>0</v>
      </c>
      <c r="Q218" s="233">
        <f>VLOOKUP(tabParametros[[#Headers],[INSS]],tabImpostosNacionais[],2,0)</f>
        <v>0.2</v>
      </c>
      <c r="R218" s="233">
        <f>VLOOKUP(tabParametros[[#Headers],[SESI OU SESC]],tabImpostosNacionais[],2,0)</f>
        <v>1.4999999999999999E-2</v>
      </c>
      <c r="S218" s="233">
        <f>VLOOKUP(tabParametros[[#Headers],[SENAI OU SENAC]],tabImpostosNacionais[],2,0)</f>
        <v>0.01</v>
      </c>
      <c r="T218" s="233">
        <f>VLOOKUP(tabParametros[[#Headers],[INCRA]],tabImpostosNacionais[],2,0)</f>
        <v>2E-3</v>
      </c>
      <c r="U218" s="233">
        <f>VLOOKUP(tabParametros[[#Headers],[Salário Educação]],tabImpostosNacionais[],2,0)</f>
        <v>2.5000000000000001E-2</v>
      </c>
      <c r="V218" s="233">
        <f>VLOOKUP(tabParametros[[#Headers],[FGTS]],tabImpostosNacionais[],2,0)</f>
        <v>0.08</v>
      </c>
      <c r="W218" s="233">
        <f>VLOOKUP(tabParametros[[#Headers],[RAT Ajustado]],tabImpostosNacionais[],2,0)</f>
        <v>0.04</v>
      </c>
      <c r="X218" s="233">
        <f>VLOOKUP(tabParametros[[#Headers],[SEBRAE]],tabImpostosNacionais[],2,0)</f>
        <v>6.0000000000000001E-3</v>
      </c>
      <c r="Y218" s="233">
        <f t="shared" si="33"/>
        <v>8.3333333333333329E-2</v>
      </c>
      <c r="Z218" s="233">
        <f t="shared" si="34"/>
        <v>0.1111111111111111</v>
      </c>
      <c r="AA218" s="232">
        <f>VLOOKUP(tabParametros[[#This Row],[Comarca]],tabComarca[],5,0)</f>
        <v>6.4</v>
      </c>
      <c r="AB218" s="232">
        <f>VLOOKUP(tabParametros[[#This Row],[CCT DA CATEGORIA]],tabSindicatos[],6,0)</f>
        <v>29.15</v>
      </c>
      <c r="AC218" s="232">
        <f>VLOOKUP(tabParametros[[#This Row],[CCT DA CATEGORIA]],tabSindicatos[],7,0)</f>
        <v>0</v>
      </c>
      <c r="AD218" s="232" cm="1">
        <f t="array" ref="AD21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18" s="232">
        <f>VLOOKUP(tabParametros[[#This Row],[CCT DA CATEGORIA]],tabSindicatos[],9,0)</f>
        <v>0</v>
      </c>
      <c r="AF218" s="232">
        <f>VLOOKUP(tabParametros[[#This Row],[CCT DA CATEGORIA]],tabSindicatos[],10,0)</f>
        <v>0</v>
      </c>
      <c r="AG218" s="234">
        <f>VLOOKUP(tabParametros[[#Headers],[Seguro de Vida]],tabOutrosCustos[],3,0)</f>
        <v>3.36</v>
      </c>
      <c r="AH218" s="234">
        <f>IF(ISNUMBER(SEARCH("MOTORISTA",tabParametros[[#This Row],[Função]],1)),VLOOKUP("MOTORISTAS",tabDiarias[],2,0),IF(tabParametros[[#This Row],[Comarca]]="Belo Horizonte",VLOOKUP("APOIO",tabDiarias[],2,0),0))</f>
        <v>0</v>
      </c>
      <c r="AI218" s="233">
        <f t="shared" si="35"/>
        <v>7.011766975308642E-3</v>
      </c>
      <c r="AJ218" s="235">
        <f>tabParametros[[#This Row],[FGTS]]*tabParametros[[#This Row],[Aviso Prévio Indenizado (API) e Reflexo do Aviso Prévio Indenizado]]</f>
        <v>5.609413580246914E-4</v>
      </c>
      <c r="AK218" s="235">
        <f>tabParametros[[#This Row],[FGTS]]*tabParametros[[#This Row],[Aviso Prévio Indenizado (API) e Reflexo do Aviso Prévio Indenizado]]*40%</f>
        <v>2.2437654320987658E-4</v>
      </c>
      <c r="AL218" s="233">
        <f t="shared" si="36"/>
        <v>3.5000000000000005E-3</v>
      </c>
      <c r="AM218" s="233">
        <f>tabParametros[[#This Row],[Aviso Prévio Trabalhado - APT]]*SUM(tabParametros[[#This Row],[INSS]:[SEBRAE]])</f>
        <v>1.3230000000000004E-3</v>
      </c>
      <c r="AN218" s="233">
        <f t="shared" si="37"/>
        <v>3.0577777777777773E-2</v>
      </c>
      <c r="AO218" s="233">
        <f t="shared" si="38"/>
        <v>8.3333333333333339E-4</v>
      </c>
      <c r="AP218" s="233">
        <f t="shared" si="39"/>
        <v>8.4444444444444437E-3</v>
      </c>
      <c r="AQ218" s="233">
        <f t="shared" si="40"/>
        <v>2.0277777777777777E-3</v>
      </c>
      <c r="AR218" s="233">
        <f t="shared" si="41"/>
        <v>1.7083333333333333E-4</v>
      </c>
      <c r="AS218" s="233">
        <f t="shared" si="42"/>
        <v>2.0833333333333335E-4</v>
      </c>
      <c r="AT218" s="233">
        <f t="shared" si="43"/>
        <v>1.2962962962962963E-3</v>
      </c>
      <c r="AU218" s="235">
        <f>SUM(tabParametros[[#This Row],[Ausência por Doença]:[Férias, Adicional de Férias e 13º  com empregada em gozo de Licença Maternidade]])*SUM(tabParametros[[#This Row],[INSS]:[SEBRAE]])</f>
        <v>4.5918250000000008E-3</v>
      </c>
      <c r="AV218" s="254">
        <f>IF(tabParametros[[#This Row],[Função]]="Porteiro - 220 h",SUM(tabParametros[[#This Row],[Salário Base]:[Adicional de Acúmulo de função]])/220*20*1.5,IF(ISNUMBER(SEARCH("12 x 36",tabParametros[[#This Row],[Função]],1)),SUM(tabParametros[[#This Row],[Salário Base]:[Adicional de Acúmulo de função]])/210*15.5*1.5,0))</f>
        <v>0</v>
      </c>
      <c r="AW218" s="232">
        <f>IF(tabParametros[[#This Row],[Vagas contratadas]]&gt;0,(SUM(tabParametros[[#This Row],[Salário Base]:[Adicional de Acúmulo de função]])*30%+SUM(tabParametros[[#This Row],[Vale - Alimentação]:[Seguro de Vida]]))/tabParametros[[#This Row],[Vagas contratadas]]*tabParametros[[#This Row],[Vagas suspensas]],0)</f>
        <v>0</v>
      </c>
      <c r="AX218" s="232">
        <f>SUMIF(tabUniformes[Cargo],tabParametros[[#This Row],[Função]],tabUniformes[Valor unit. Mensal])</f>
        <v>190.56060491869394</v>
      </c>
      <c r="AY21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8" s="232">
        <v>0</v>
      </c>
      <c r="BC218" s="234" t="e">
        <f ca="1">VLOOKUP(tabParametros[[#Headers],[Custos Indiretos]],tabOutrosCustos[],3,0)</f>
        <v>#NAME?</v>
      </c>
      <c r="BD218" s="234" t="e">
        <f ca="1">VLOOKUP(tabParametros[[#Headers],[Lucro]],tabOutrosCustos[],3,0)</f>
        <v>#NAME?</v>
      </c>
      <c r="BE218" s="233">
        <f>VLOOKUP(tabParametros[[#Headers],[COFINS]],tabImpostosNacionais[],2,0)</f>
        <v>7.5999999999999998E-2</v>
      </c>
      <c r="BF218" s="233">
        <f>VLOOKUP(tabParametros[[#Headers],[PIS]],tabImpostosNacionais[],2,0)</f>
        <v>1.6500000000000001E-2</v>
      </c>
      <c r="BG218" s="233">
        <f>VLOOKUP(tabParametros[[#This Row],[Comarca]],tabComarca[],4,0)</f>
        <v>0.03</v>
      </c>
      <c r="BH218" s="236">
        <f>VLOOKUP(tabParametros[[#This Row],[CCT DA CATEGORIA]],tabSindicatos[],11,0)</f>
        <v>45658</v>
      </c>
      <c r="BI218" s="282" t="str">
        <f>VLOOKUP(tabParametros[[#This Row],[CCT DA CATEGORIA]],tabSindicatos[],12,0)</f>
        <v>-</v>
      </c>
      <c r="BJ218" s="285" t="str">
        <f>VLOOKUP(tabParametros[[#This Row],[CCT DA CATEGORIA]],tabSindicatos[],13,0)</f>
        <v>-</v>
      </c>
    </row>
    <row r="219" spans="1:62">
      <c r="A219" s="231" t="s">
        <v>1494</v>
      </c>
      <c r="B219" s="197" t="s">
        <v>939</v>
      </c>
      <c r="C219" s="197" t="s">
        <v>200</v>
      </c>
      <c r="D219" s="197" t="str">
        <f>VLOOKUP(tabParametros[[#This Row],[Código do Posto]],tabPostos[],4,0)</f>
        <v>Montes Claros</v>
      </c>
      <c r="E219" s="282" t="str">
        <f>VLOOKUP(tabParametros[[#This Row],[Código do Posto]],tabPostos[],5,0)</f>
        <v>Apoio</v>
      </c>
      <c r="F219" s="282" t="str">
        <f>VLOOKUP(tabParametros[[#This Row],[Código do Posto]],tabPostos[],6,0)</f>
        <v>PGJ</v>
      </c>
      <c r="G219" s="282">
        <f>VLOOKUP(tabParametros[[#This Row],[Código do Posto]],tabPostos[],7,0)</f>
        <v>4</v>
      </c>
      <c r="H219" s="282">
        <f>VLOOKUP(tabParametros[[#This Row],[Código do Posto]],tabPostos[],8,0)</f>
        <v>0</v>
      </c>
      <c r="I219" s="232">
        <f>VLOOKUP(tabParametros[[#This Row],[Código do Posto]],tabPostos[],9,0)</f>
        <v>1649.1153464738998</v>
      </c>
      <c r="J219" s="232">
        <f>IF(ISNUMBER(SEARCH("Eletricista",tabParametros[[#This Row],[Função]],1)),0.3*tabParametros[[#This Row],[Salário Base]],0)</f>
        <v>0</v>
      </c>
      <c r="K21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19" s="232">
        <f>IF(AND(ISNUMBER(SEARCH("Noturno",tabParametros[[#This Row],[Função]],1)),tabParametros[[#This Row],[Comarca]]&lt;&gt;"Juiz de Fora"),tabParametros[[#This Row],[Salário Base]]/210*0.39*7*15.5,IF(ISNUMBER(SEARCH("Noturno",tabParametros[[#This Row],[Função]],1)),tabParametros[[#This Row],[Salário Base]]/210*0.2*8*15.5,0))</f>
        <v>0</v>
      </c>
      <c r="M219" s="232">
        <f>IF(ISNUMBER(SEARCH("Motorista II",tabParametros[[#This Row],[Função]],1)),0.3022*tabParametros[[#This Row],[Salário Base]],0)</f>
        <v>0</v>
      </c>
      <c r="N219" s="254">
        <v>0</v>
      </c>
      <c r="O219" s="254">
        <f>IF(ISNUMBER(SEARCH("TECNOLOGIA DA INFORMACAO",tabParametros[[#This Row],[Função]],1)),0.056*tabParametros[[#This Row],[Salário Base]],0)</f>
        <v>0</v>
      </c>
      <c r="P219" s="232">
        <f>IF(tabParametros[[#This Row],[Função]]="Operador de Midia Audiovisual - 150 h",tabParametros[[#This Row],[Salário Base]]/150*50*30%,IF(tabParametros[[#This Row],[Função]]="Supervisor de Manutencao de Veiculos II - 220 h",12%*tabParametros[[#This Row],[Salário Base]],0))</f>
        <v>0</v>
      </c>
      <c r="Q219" s="233">
        <f>VLOOKUP(tabParametros[[#Headers],[INSS]],tabImpostosNacionais[],2,0)</f>
        <v>0.2</v>
      </c>
      <c r="R219" s="233">
        <f>VLOOKUP(tabParametros[[#Headers],[SESI OU SESC]],tabImpostosNacionais[],2,0)</f>
        <v>1.4999999999999999E-2</v>
      </c>
      <c r="S219" s="233">
        <f>VLOOKUP(tabParametros[[#Headers],[SENAI OU SENAC]],tabImpostosNacionais[],2,0)</f>
        <v>0.01</v>
      </c>
      <c r="T219" s="233">
        <f>VLOOKUP(tabParametros[[#Headers],[INCRA]],tabImpostosNacionais[],2,0)</f>
        <v>2E-3</v>
      </c>
      <c r="U219" s="233">
        <f>VLOOKUP(tabParametros[[#Headers],[Salário Educação]],tabImpostosNacionais[],2,0)</f>
        <v>2.5000000000000001E-2</v>
      </c>
      <c r="V219" s="233">
        <f>VLOOKUP(tabParametros[[#Headers],[FGTS]],tabImpostosNacionais[],2,0)</f>
        <v>0.08</v>
      </c>
      <c r="W219" s="233">
        <f>VLOOKUP(tabParametros[[#Headers],[RAT Ajustado]],tabImpostosNacionais[],2,0)</f>
        <v>0.04</v>
      </c>
      <c r="X219" s="233">
        <f>VLOOKUP(tabParametros[[#Headers],[SEBRAE]],tabImpostosNacionais[],2,0)</f>
        <v>6.0000000000000001E-3</v>
      </c>
      <c r="Y219" s="233">
        <f t="shared" si="33"/>
        <v>8.3333333333333329E-2</v>
      </c>
      <c r="Z219" s="233">
        <f t="shared" si="34"/>
        <v>0.1111111111111111</v>
      </c>
      <c r="AA219" s="232">
        <f>VLOOKUP(tabParametros[[#This Row],[Comarca]],tabComarca[],5,0)</f>
        <v>6.4</v>
      </c>
      <c r="AB219" s="232">
        <f>VLOOKUP(tabParametros[[#This Row],[CCT DA CATEGORIA]],tabSindicatos[],6,0)</f>
        <v>29.15</v>
      </c>
      <c r="AC219" s="232">
        <f>VLOOKUP(tabParametros[[#This Row],[CCT DA CATEGORIA]],tabSindicatos[],7,0)</f>
        <v>0</v>
      </c>
      <c r="AD219" s="232" cm="1">
        <f t="array" ref="AD21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19" s="232">
        <f>VLOOKUP(tabParametros[[#This Row],[CCT DA CATEGORIA]],tabSindicatos[],9,0)</f>
        <v>0</v>
      </c>
      <c r="AF219" s="232">
        <f>VLOOKUP(tabParametros[[#This Row],[CCT DA CATEGORIA]],tabSindicatos[],10,0)</f>
        <v>0</v>
      </c>
      <c r="AG219" s="234">
        <f>VLOOKUP(tabParametros[[#Headers],[Seguro de Vida]],tabOutrosCustos[],3,0)</f>
        <v>3.36</v>
      </c>
      <c r="AH219" s="234">
        <f>IF(ISNUMBER(SEARCH("MOTORISTA",tabParametros[[#This Row],[Função]],1)),VLOOKUP("MOTORISTAS",tabDiarias[],2,0),IF(tabParametros[[#This Row],[Comarca]]="Belo Horizonte",VLOOKUP("APOIO",tabDiarias[],2,0),0))</f>
        <v>0</v>
      </c>
      <c r="AI219" s="233">
        <f t="shared" si="35"/>
        <v>7.011766975308642E-3</v>
      </c>
      <c r="AJ219" s="235">
        <f>tabParametros[[#This Row],[FGTS]]*tabParametros[[#This Row],[Aviso Prévio Indenizado (API) e Reflexo do Aviso Prévio Indenizado]]</f>
        <v>5.609413580246914E-4</v>
      </c>
      <c r="AK219" s="235">
        <f>tabParametros[[#This Row],[FGTS]]*tabParametros[[#This Row],[Aviso Prévio Indenizado (API) e Reflexo do Aviso Prévio Indenizado]]*40%</f>
        <v>2.2437654320987658E-4</v>
      </c>
      <c r="AL219" s="233">
        <f t="shared" si="36"/>
        <v>3.5000000000000005E-3</v>
      </c>
      <c r="AM219" s="233">
        <f>tabParametros[[#This Row],[Aviso Prévio Trabalhado - APT]]*SUM(tabParametros[[#This Row],[INSS]:[SEBRAE]])</f>
        <v>1.3230000000000004E-3</v>
      </c>
      <c r="AN219" s="233">
        <f t="shared" si="37"/>
        <v>3.0577777777777773E-2</v>
      </c>
      <c r="AO219" s="233">
        <f t="shared" si="38"/>
        <v>8.3333333333333339E-4</v>
      </c>
      <c r="AP219" s="233">
        <f t="shared" si="39"/>
        <v>8.4444444444444437E-3</v>
      </c>
      <c r="AQ219" s="233">
        <f t="shared" si="40"/>
        <v>2.0277777777777777E-3</v>
      </c>
      <c r="AR219" s="233">
        <f t="shared" si="41"/>
        <v>1.7083333333333333E-4</v>
      </c>
      <c r="AS219" s="233">
        <f t="shared" si="42"/>
        <v>2.0833333333333335E-4</v>
      </c>
      <c r="AT219" s="233">
        <f t="shared" si="43"/>
        <v>1.2962962962962963E-3</v>
      </c>
      <c r="AU219" s="235">
        <f>SUM(tabParametros[[#This Row],[Ausência por Doença]:[Férias, Adicional de Férias e 13º  com empregada em gozo de Licença Maternidade]])*SUM(tabParametros[[#This Row],[INSS]:[SEBRAE]])</f>
        <v>4.5918250000000008E-3</v>
      </c>
      <c r="AV219" s="254">
        <f>IF(tabParametros[[#This Row],[Função]]="Porteiro - 220 h",SUM(tabParametros[[#This Row],[Salário Base]:[Adicional de Acúmulo de função]])/220*20*1.5,IF(ISNUMBER(SEARCH("12 x 36",tabParametros[[#This Row],[Função]],1)),SUM(tabParametros[[#This Row],[Salário Base]:[Adicional de Acúmulo de função]])/210*15.5*1.5,0))</f>
        <v>0</v>
      </c>
      <c r="AW219" s="232">
        <f>IF(tabParametros[[#This Row],[Vagas contratadas]]&gt;0,(SUM(tabParametros[[#This Row],[Salário Base]:[Adicional de Acúmulo de função]])*30%+SUM(tabParametros[[#This Row],[Vale - Alimentação]:[Seguro de Vida]]))/tabParametros[[#This Row],[Vagas contratadas]]*tabParametros[[#This Row],[Vagas suspensas]],0)</f>
        <v>0</v>
      </c>
      <c r="AX219" s="232">
        <f>SUMIF(tabUniformes[Cargo],tabParametros[[#This Row],[Função]],tabUniformes[Valor unit. Mensal])</f>
        <v>56.141713661989918</v>
      </c>
      <c r="AY21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1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1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19" s="232">
        <v>0</v>
      </c>
      <c r="BC219" s="234" t="e">
        <f ca="1">VLOOKUP(tabParametros[[#Headers],[Custos Indiretos]],tabOutrosCustos[],3,0)</f>
        <v>#NAME?</v>
      </c>
      <c r="BD219" s="234" t="e">
        <f ca="1">VLOOKUP(tabParametros[[#Headers],[Lucro]],tabOutrosCustos[],3,0)</f>
        <v>#NAME?</v>
      </c>
      <c r="BE219" s="233">
        <f>VLOOKUP(tabParametros[[#Headers],[COFINS]],tabImpostosNacionais[],2,0)</f>
        <v>7.5999999999999998E-2</v>
      </c>
      <c r="BF219" s="233">
        <f>VLOOKUP(tabParametros[[#Headers],[PIS]],tabImpostosNacionais[],2,0)</f>
        <v>1.6500000000000001E-2</v>
      </c>
      <c r="BG219" s="233">
        <f>VLOOKUP(tabParametros[[#This Row],[Comarca]],tabComarca[],4,0)</f>
        <v>0.03</v>
      </c>
      <c r="BH219" s="236">
        <f>VLOOKUP(tabParametros[[#This Row],[CCT DA CATEGORIA]],tabSindicatos[],11,0)</f>
        <v>45658</v>
      </c>
      <c r="BI219" s="282" t="str">
        <f>VLOOKUP(tabParametros[[#This Row],[CCT DA CATEGORIA]],tabSindicatos[],12,0)</f>
        <v>-</v>
      </c>
      <c r="BJ219" s="285" t="str">
        <f>VLOOKUP(tabParametros[[#This Row],[CCT DA CATEGORIA]],tabSindicatos[],13,0)</f>
        <v>-</v>
      </c>
    </row>
    <row r="220" spans="1:62">
      <c r="A220" s="231" t="s">
        <v>1650</v>
      </c>
      <c r="B220" s="197" t="s">
        <v>939</v>
      </c>
      <c r="C220" s="197" t="s">
        <v>244</v>
      </c>
      <c r="D220" s="197" t="str">
        <f>VLOOKUP(tabParametros[[#This Row],[Código do Posto]],tabPostos[],4,0)</f>
        <v>Montes Claros</v>
      </c>
      <c r="E220" s="282" t="str">
        <f>VLOOKUP(tabParametros[[#This Row],[Código do Posto]],tabPostos[],5,0)</f>
        <v>Apoio</v>
      </c>
      <c r="F220" s="282" t="str">
        <f>VLOOKUP(tabParametros[[#This Row],[Código do Posto]],tabPostos[],6,0)</f>
        <v>PGJ</v>
      </c>
      <c r="G220" s="282">
        <f>VLOOKUP(tabParametros[[#This Row],[Código do Posto]],tabPostos[],7,0)</f>
        <v>1</v>
      </c>
      <c r="H220" s="282">
        <f>VLOOKUP(tabParametros[[#This Row],[Código do Posto]],tabPostos[],8,0)</f>
        <v>0</v>
      </c>
      <c r="I220" s="232">
        <f>VLOOKUP(tabParametros[[#This Row],[Código do Posto]],tabPostos[],9,0)</f>
        <v>2296.1756892610078</v>
      </c>
      <c r="J220" s="232">
        <f>IF(ISNUMBER(SEARCH("Eletricista",tabParametros[[#This Row],[Função]],1)),0.3*tabParametros[[#This Row],[Salário Base]],0)</f>
        <v>0</v>
      </c>
      <c r="K22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220" s="232">
        <f>IF(AND(ISNUMBER(SEARCH("Noturno",tabParametros[[#This Row],[Função]],1)),tabParametros[[#This Row],[Comarca]]&lt;&gt;"Juiz de Fora"),tabParametros[[#This Row],[Salário Base]]/210*0.39*7*15.5,IF(ISNUMBER(SEARCH("Noturno",tabParametros[[#This Row],[Função]],1)),tabParametros[[#This Row],[Salário Base]]/210*0.2*8*15.5,0))</f>
        <v>0</v>
      </c>
      <c r="M220" s="232">
        <f>IF(ISNUMBER(SEARCH("Motorista II",tabParametros[[#This Row],[Função]],1)),0.3022*tabParametros[[#This Row],[Salário Base]],0)</f>
        <v>0</v>
      </c>
      <c r="N220" s="254">
        <v>0</v>
      </c>
      <c r="O220" s="254">
        <f>IF(ISNUMBER(SEARCH("TECNOLOGIA DA INFORMACAO",tabParametros[[#This Row],[Função]],1)),0.056*tabParametros[[#This Row],[Salário Base]],0)</f>
        <v>0</v>
      </c>
      <c r="P220" s="232">
        <f>IF(tabParametros[[#This Row],[Função]]="Operador de Midia Audiovisual - 150 h",tabParametros[[#This Row],[Salário Base]]/150*50*30%,IF(tabParametros[[#This Row],[Função]]="Supervisor de Manutencao de Veiculos II - 220 h",12%*tabParametros[[#This Row],[Salário Base]],0))</f>
        <v>0</v>
      </c>
      <c r="Q220" s="233">
        <f>VLOOKUP(tabParametros[[#Headers],[INSS]],tabImpostosNacionais[],2,0)</f>
        <v>0.2</v>
      </c>
      <c r="R220" s="233">
        <f>VLOOKUP(tabParametros[[#Headers],[SESI OU SESC]],tabImpostosNacionais[],2,0)</f>
        <v>1.4999999999999999E-2</v>
      </c>
      <c r="S220" s="233">
        <f>VLOOKUP(tabParametros[[#Headers],[SENAI OU SENAC]],tabImpostosNacionais[],2,0)</f>
        <v>0.01</v>
      </c>
      <c r="T220" s="233">
        <f>VLOOKUP(tabParametros[[#Headers],[INCRA]],tabImpostosNacionais[],2,0)</f>
        <v>2E-3</v>
      </c>
      <c r="U220" s="233">
        <f>VLOOKUP(tabParametros[[#Headers],[Salário Educação]],tabImpostosNacionais[],2,0)</f>
        <v>2.5000000000000001E-2</v>
      </c>
      <c r="V220" s="233">
        <f>VLOOKUP(tabParametros[[#Headers],[FGTS]],tabImpostosNacionais[],2,0)</f>
        <v>0.08</v>
      </c>
      <c r="W220" s="233">
        <f>VLOOKUP(tabParametros[[#Headers],[RAT Ajustado]],tabImpostosNacionais[],2,0)</f>
        <v>0.04</v>
      </c>
      <c r="X220" s="233">
        <f>VLOOKUP(tabParametros[[#Headers],[SEBRAE]],tabImpostosNacionais[],2,0)</f>
        <v>6.0000000000000001E-3</v>
      </c>
      <c r="Y220" s="233">
        <f t="shared" si="33"/>
        <v>8.3333333333333329E-2</v>
      </c>
      <c r="Z220" s="233">
        <f t="shared" si="34"/>
        <v>0.1111111111111111</v>
      </c>
      <c r="AA220" s="232">
        <f>VLOOKUP(tabParametros[[#This Row],[Comarca]],tabComarca[],5,0)</f>
        <v>6.4</v>
      </c>
      <c r="AB220" s="232">
        <f>VLOOKUP(tabParametros[[#This Row],[CCT DA CATEGORIA]],tabSindicatos[],6,0)</f>
        <v>29.15</v>
      </c>
      <c r="AC220" s="232">
        <f>VLOOKUP(tabParametros[[#This Row],[CCT DA CATEGORIA]],tabSindicatos[],7,0)</f>
        <v>0</v>
      </c>
      <c r="AD220" s="232" cm="1">
        <f t="array" ref="AD22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20" s="232">
        <f>VLOOKUP(tabParametros[[#This Row],[CCT DA CATEGORIA]],tabSindicatos[],9,0)</f>
        <v>0</v>
      </c>
      <c r="AF220" s="232">
        <f>VLOOKUP(tabParametros[[#This Row],[CCT DA CATEGORIA]],tabSindicatos[],10,0)</f>
        <v>0</v>
      </c>
      <c r="AG220" s="234">
        <f>VLOOKUP(tabParametros[[#Headers],[Seguro de Vida]],tabOutrosCustos[],3,0)</f>
        <v>3.36</v>
      </c>
      <c r="AH220" s="234">
        <f>IF(ISNUMBER(SEARCH("MOTORISTA",tabParametros[[#This Row],[Função]],1)),VLOOKUP("MOTORISTAS",tabDiarias[],2,0),IF(tabParametros[[#This Row],[Comarca]]="Belo Horizonte",VLOOKUP("APOIO",tabDiarias[],2,0),0))</f>
        <v>0</v>
      </c>
      <c r="AI220" s="233">
        <f t="shared" si="35"/>
        <v>7.011766975308642E-3</v>
      </c>
      <c r="AJ220" s="235">
        <f>tabParametros[[#This Row],[FGTS]]*tabParametros[[#This Row],[Aviso Prévio Indenizado (API) e Reflexo do Aviso Prévio Indenizado]]</f>
        <v>5.609413580246914E-4</v>
      </c>
      <c r="AK220" s="235">
        <f>tabParametros[[#This Row],[FGTS]]*tabParametros[[#This Row],[Aviso Prévio Indenizado (API) e Reflexo do Aviso Prévio Indenizado]]*40%</f>
        <v>2.2437654320987658E-4</v>
      </c>
      <c r="AL220" s="233">
        <f t="shared" si="36"/>
        <v>3.5000000000000005E-3</v>
      </c>
      <c r="AM220" s="233">
        <f>tabParametros[[#This Row],[Aviso Prévio Trabalhado - APT]]*SUM(tabParametros[[#This Row],[INSS]:[SEBRAE]])</f>
        <v>1.3230000000000004E-3</v>
      </c>
      <c r="AN220" s="233">
        <f t="shared" si="37"/>
        <v>3.0577777777777773E-2</v>
      </c>
      <c r="AO220" s="233">
        <f t="shared" si="38"/>
        <v>8.3333333333333339E-4</v>
      </c>
      <c r="AP220" s="233">
        <f t="shared" si="39"/>
        <v>8.4444444444444437E-3</v>
      </c>
      <c r="AQ220" s="233">
        <f t="shared" si="40"/>
        <v>2.0277777777777777E-3</v>
      </c>
      <c r="AR220" s="233">
        <f t="shared" si="41"/>
        <v>1.7083333333333333E-4</v>
      </c>
      <c r="AS220" s="233">
        <f t="shared" si="42"/>
        <v>2.0833333333333335E-4</v>
      </c>
      <c r="AT220" s="233">
        <f t="shared" si="43"/>
        <v>1.2962962962962963E-3</v>
      </c>
      <c r="AU220" s="235">
        <f>SUM(tabParametros[[#This Row],[Ausência por Doença]:[Férias, Adicional de Férias e 13º  com empregada em gozo de Licença Maternidade]])*SUM(tabParametros[[#This Row],[INSS]:[SEBRAE]])</f>
        <v>4.5918250000000008E-3</v>
      </c>
      <c r="AV220" s="254">
        <f>IF(tabParametros[[#This Row],[Função]]="Porteiro - 220 h",SUM(tabParametros[[#This Row],[Salário Base]:[Adicional de Acúmulo de função]])/220*20*1.5,IF(ISNUMBER(SEARCH("12 x 36",tabParametros[[#This Row],[Função]],1)),SUM(tabParametros[[#This Row],[Salário Base]:[Adicional de Acúmulo de função]])/210*15.5*1.5,0))</f>
        <v>0</v>
      </c>
      <c r="AW220" s="232">
        <f>IF(tabParametros[[#This Row],[Vagas contratadas]]&gt;0,(SUM(tabParametros[[#This Row],[Salário Base]:[Adicional de Acúmulo de função]])*30%+SUM(tabParametros[[#This Row],[Vale - Alimentação]:[Seguro de Vida]]))/tabParametros[[#This Row],[Vagas contratadas]]*tabParametros[[#This Row],[Vagas suspensas]],0)</f>
        <v>0</v>
      </c>
      <c r="AX220" s="232">
        <f>SUMIF(tabUniformes[Cargo],tabParametros[[#This Row],[Função]],tabUniformes[Valor unit. Mensal])</f>
        <v>226.33322732312172</v>
      </c>
      <c r="AY22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22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22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0" s="232">
        <v>0</v>
      </c>
      <c r="BC220" s="234" t="e">
        <f ca="1">VLOOKUP(tabParametros[[#Headers],[Custos Indiretos]],tabOutrosCustos[],3,0)</f>
        <v>#NAME?</v>
      </c>
      <c r="BD220" s="234" t="e">
        <f ca="1">VLOOKUP(tabParametros[[#Headers],[Lucro]],tabOutrosCustos[],3,0)</f>
        <v>#NAME?</v>
      </c>
      <c r="BE220" s="233">
        <f>VLOOKUP(tabParametros[[#Headers],[COFINS]],tabImpostosNacionais[],2,0)</f>
        <v>7.5999999999999998E-2</v>
      </c>
      <c r="BF220" s="233">
        <f>VLOOKUP(tabParametros[[#Headers],[PIS]],tabImpostosNacionais[],2,0)</f>
        <v>1.6500000000000001E-2</v>
      </c>
      <c r="BG220" s="233">
        <f>VLOOKUP(tabParametros[[#This Row],[Comarca]],tabComarca[],4,0)</f>
        <v>0.03</v>
      </c>
      <c r="BH220" s="236">
        <f>VLOOKUP(tabParametros[[#This Row],[CCT DA CATEGORIA]],tabSindicatos[],11,0)</f>
        <v>45658</v>
      </c>
      <c r="BI220" s="282" t="str">
        <f>VLOOKUP(tabParametros[[#This Row],[CCT DA CATEGORIA]],tabSindicatos[],12,0)</f>
        <v>-</v>
      </c>
      <c r="BJ220" s="285" t="str">
        <f>VLOOKUP(tabParametros[[#This Row],[CCT DA CATEGORIA]],tabSindicatos[],13,0)</f>
        <v>-</v>
      </c>
    </row>
    <row r="221" spans="1:62">
      <c r="A221" s="231" t="s">
        <v>1651</v>
      </c>
      <c r="B221" s="197" t="s">
        <v>939</v>
      </c>
      <c r="C221" s="197" t="s">
        <v>274</v>
      </c>
      <c r="D221" s="197" t="str">
        <f>VLOOKUP(tabParametros[[#This Row],[Código do Posto]],tabPostos[],4,0)</f>
        <v>Rodoviarios de Montes Claros + SEAC-MG</v>
      </c>
      <c r="E221" s="282" t="str">
        <f>VLOOKUP(tabParametros[[#This Row],[Código do Posto]],tabPostos[],5,0)</f>
        <v>Apoio</v>
      </c>
      <c r="F221" s="282" t="str">
        <f>VLOOKUP(tabParametros[[#This Row],[Código do Posto]],tabPostos[],6,0)</f>
        <v>PGJ</v>
      </c>
      <c r="G221" s="282">
        <f>VLOOKUP(tabParametros[[#This Row],[Código do Posto]],tabPostos[],7,0)</f>
        <v>4</v>
      </c>
      <c r="H221" s="282">
        <f>VLOOKUP(tabParametros[[#This Row],[Código do Posto]],tabPostos[],8,0)</f>
        <v>0</v>
      </c>
      <c r="I221" s="232">
        <f>VLOOKUP(tabParametros[[#This Row],[Código do Posto]],tabPostos[],9,0)</f>
        <v>4341.0199946317061</v>
      </c>
      <c r="J221" s="232">
        <f>IF(ISNUMBER(SEARCH("Eletricista",tabParametros[[#This Row],[Função]],1)),0.3*tabParametros[[#This Row],[Salário Base]],0)</f>
        <v>0</v>
      </c>
      <c r="K22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1" s="232">
        <f>IF(AND(ISNUMBER(SEARCH("Noturno",tabParametros[[#This Row],[Função]],1)),tabParametros[[#This Row],[Comarca]]&lt;&gt;"Juiz de Fora"),tabParametros[[#This Row],[Salário Base]]/210*0.39*7*15.5,IF(ISNUMBER(SEARCH("Noturno",tabParametros[[#This Row],[Função]],1)),tabParametros[[#This Row],[Salário Base]]/210*0.2*8*15.5,0))</f>
        <v>0</v>
      </c>
      <c r="M221" s="232">
        <f>IF(ISNUMBER(SEARCH("Motorista II",tabParametros[[#This Row],[Função]],1)),0.3022*tabParametros[[#This Row],[Salário Base]],0)</f>
        <v>0</v>
      </c>
      <c r="N221" s="254">
        <v>0</v>
      </c>
      <c r="O221" s="254">
        <f>IF(ISNUMBER(SEARCH("TECNOLOGIA DA INFORMACAO",tabParametros[[#This Row],[Função]],1)),0.056*tabParametros[[#This Row],[Salário Base]],0)</f>
        <v>0</v>
      </c>
      <c r="P221" s="232">
        <f>IF(tabParametros[[#This Row],[Função]]="Operador de Midia Audiovisual - 150 h",tabParametros[[#This Row],[Salário Base]]/150*50*30%,IF(tabParametros[[#This Row],[Função]]="Supervisor de Manutencao de Veiculos II - 220 h",12%*tabParametros[[#This Row],[Salário Base]],0))</f>
        <v>0</v>
      </c>
      <c r="Q221" s="233">
        <f>VLOOKUP(tabParametros[[#Headers],[INSS]],tabImpostosNacionais[],2,0)</f>
        <v>0.2</v>
      </c>
      <c r="R221" s="233">
        <f>VLOOKUP(tabParametros[[#Headers],[SESI OU SESC]],tabImpostosNacionais[],2,0)</f>
        <v>1.4999999999999999E-2</v>
      </c>
      <c r="S221" s="233">
        <f>VLOOKUP(tabParametros[[#Headers],[SENAI OU SENAC]],tabImpostosNacionais[],2,0)</f>
        <v>0.01</v>
      </c>
      <c r="T221" s="233">
        <f>VLOOKUP(tabParametros[[#Headers],[INCRA]],tabImpostosNacionais[],2,0)</f>
        <v>2E-3</v>
      </c>
      <c r="U221" s="233">
        <f>VLOOKUP(tabParametros[[#Headers],[Salário Educação]],tabImpostosNacionais[],2,0)</f>
        <v>2.5000000000000001E-2</v>
      </c>
      <c r="V221" s="233">
        <f>VLOOKUP(tabParametros[[#Headers],[FGTS]],tabImpostosNacionais[],2,0)</f>
        <v>0.08</v>
      </c>
      <c r="W221" s="233">
        <f>VLOOKUP(tabParametros[[#Headers],[RAT Ajustado]],tabImpostosNacionais[],2,0)</f>
        <v>0.04</v>
      </c>
      <c r="X221" s="233">
        <f>VLOOKUP(tabParametros[[#Headers],[SEBRAE]],tabImpostosNacionais[],2,0)</f>
        <v>6.0000000000000001E-3</v>
      </c>
      <c r="Y221" s="233">
        <f t="shared" si="33"/>
        <v>8.3333333333333329E-2</v>
      </c>
      <c r="Z221" s="233">
        <f t="shared" si="34"/>
        <v>0.1111111111111111</v>
      </c>
      <c r="AA221" s="232">
        <f>VLOOKUP(tabParametros[[#This Row],[Comarca]],tabComarca[],5,0)</f>
        <v>6.4</v>
      </c>
      <c r="AB221" s="232">
        <f>VLOOKUP(tabParametros[[#This Row],[CCT DA CATEGORIA]],tabSindicatos[],6,0)</f>
        <v>28.97</v>
      </c>
      <c r="AC221" s="232">
        <f>VLOOKUP(tabParametros[[#This Row],[CCT DA CATEGORIA]],tabSindicatos[],7,0)</f>
        <v>0</v>
      </c>
      <c r="AD221" s="232" cm="1">
        <f t="array" ref="AD22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221" s="232">
        <f>VLOOKUP(tabParametros[[#This Row],[CCT DA CATEGORIA]],tabSindicatos[],9,0)</f>
        <v>0</v>
      </c>
      <c r="AF221" s="232">
        <f>VLOOKUP(tabParametros[[#This Row],[CCT DA CATEGORIA]],tabSindicatos[],10,0)</f>
        <v>0</v>
      </c>
      <c r="AG221" s="234">
        <f>VLOOKUP(tabParametros[[#Headers],[Seguro de Vida]],tabOutrosCustos[],3,0)</f>
        <v>3.36</v>
      </c>
      <c r="AH221" s="234">
        <f>IF(ISNUMBER(SEARCH("MOTORISTA",tabParametros[[#This Row],[Função]],1)),VLOOKUP("MOTORISTAS",tabDiarias[],2,0),IF(tabParametros[[#This Row],[Comarca]]="Belo Horizonte",VLOOKUP("APOIO",tabDiarias[],2,0),0))</f>
        <v>662.42</v>
      </c>
      <c r="AI221" s="233">
        <f t="shared" si="35"/>
        <v>7.011766975308642E-3</v>
      </c>
      <c r="AJ221" s="235">
        <f>tabParametros[[#This Row],[FGTS]]*tabParametros[[#This Row],[Aviso Prévio Indenizado (API) e Reflexo do Aviso Prévio Indenizado]]</f>
        <v>5.609413580246914E-4</v>
      </c>
      <c r="AK221" s="235">
        <f>tabParametros[[#This Row],[FGTS]]*tabParametros[[#This Row],[Aviso Prévio Indenizado (API) e Reflexo do Aviso Prévio Indenizado]]*40%</f>
        <v>2.2437654320987658E-4</v>
      </c>
      <c r="AL221" s="233">
        <f t="shared" si="36"/>
        <v>3.5000000000000005E-3</v>
      </c>
      <c r="AM221" s="233">
        <f>tabParametros[[#This Row],[Aviso Prévio Trabalhado - APT]]*SUM(tabParametros[[#This Row],[INSS]:[SEBRAE]])</f>
        <v>1.3230000000000004E-3</v>
      </c>
      <c r="AN221" s="233">
        <f t="shared" si="37"/>
        <v>3.0577777777777773E-2</v>
      </c>
      <c r="AO221" s="233">
        <f t="shared" si="38"/>
        <v>8.3333333333333339E-4</v>
      </c>
      <c r="AP221" s="233">
        <f t="shared" si="39"/>
        <v>8.4444444444444437E-3</v>
      </c>
      <c r="AQ221" s="233">
        <f t="shared" si="40"/>
        <v>2.0277777777777777E-3</v>
      </c>
      <c r="AR221" s="233">
        <f t="shared" si="41"/>
        <v>1.7083333333333333E-4</v>
      </c>
      <c r="AS221" s="233">
        <f t="shared" si="42"/>
        <v>2.0833333333333335E-4</v>
      </c>
      <c r="AT221" s="233">
        <f t="shared" si="43"/>
        <v>1.2962962962962963E-3</v>
      </c>
      <c r="AU221" s="235">
        <f>SUM(tabParametros[[#This Row],[Ausência por Doença]:[Férias, Adicional de Férias e 13º  com empregada em gozo de Licença Maternidade]])*SUM(tabParametros[[#This Row],[INSS]:[SEBRAE]])</f>
        <v>4.5918250000000008E-3</v>
      </c>
      <c r="AV221" s="254">
        <f>IF(tabParametros[[#This Row],[Função]]="Porteiro - 220 h",SUM(tabParametros[[#This Row],[Salário Base]:[Adicional de Acúmulo de função]])/220*20*1.5,IF(ISNUMBER(SEARCH("12 x 36",tabParametros[[#This Row],[Função]],1)),SUM(tabParametros[[#This Row],[Salário Base]:[Adicional de Acúmulo de função]])/210*15.5*1.5,0))</f>
        <v>0</v>
      </c>
      <c r="AW221" s="232">
        <f>IF(tabParametros[[#This Row],[Vagas contratadas]]&gt;0,(SUM(tabParametros[[#This Row],[Salário Base]:[Adicional de Acúmulo de função]])*30%+SUM(tabParametros[[#This Row],[Vale - Alimentação]:[Seguro de Vida]]))/tabParametros[[#This Row],[Vagas contratadas]]*tabParametros[[#This Row],[Vagas suspensas]],0)</f>
        <v>0</v>
      </c>
      <c r="AX221" s="232">
        <f>SUMIF(tabUniformes[Cargo],tabParametros[[#This Row],[Função]],tabUniformes[Valor unit. Mensal])</f>
        <v>92.100763771570698</v>
      </c>
      <c r="AY22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1" s="232">
        <v>0</v>
      </c>
      <c r="BC221" s="234" t="e">
        <f ca="1">VLOOKUP(tabParametros[[#Headers],[Custos Indiretos]],tabOutrosCustos[],3,0)</f>
        <v>#NAME?</v>
      </c>
      <c r="BD221" s="234" t="e">
        <f ca="1">VLOOKUP(tabParametros[[#Headers],[Lucro]],tabOutrosCustos[],3,0)</f>
        <v>#NAME?</v>
      </c>
      <c r="BE221" s="233">
        <f>VLOOKUP(tabParametros[[#Headers],[COFINS]],tabImpostosNacionais[],2,0)</f>
        <v>7.5999999999999998E-2</v>
      </c>
      <c r="BF221" s="233">
        <f>VLOOKUP(tabParametros[[#Headers],[PIS]],tabImpostosNacionais[],2,0)</f>
        <v>1.6500000000000001E-2</v>
      </c>
      <c r="BG221" s="233">
        <f>VLOOKUP(tabParametros[[#This Row],[Comarca]],tabComarca[],4,0)</f>
        <v>0.03</v>
      </c>
      <c r="BH221" s="236">
        <f>VLOOKUP(tabParametros[[#This Row],[CCT DA CATEGORIA]],tabSindicatos[],11,0)</f>
        <v>45658</v>
      </c>
      <c r="BI221" s="282" t="str">
        <f>VLOOKUP(tabParametros[[#This Row],[CCT DA CATEGORIA]],tabSindicatos[],12,0)</f>
        <v>-</v>
      </c>
      <c r="BJ221" s="285" t="str">
        <f>VLOOKUP(tabParametros[[#This Row],[CCT DA CATEGORIA]],tabSindicatos[],13,0)</f>
        <v>-</v>
      </c>
    </row>
    <row r="222" spans="1:62">
      <c r="A222" s="231" t="s">
        <v>1652</v>
      </c>
      <c r="B222" s="197" t="s">
        <v>939</v>
      </c>
      <c r="C222" s="197" t="s">
        <v>304</v>
      </c>
      <c r="D222" s="197" t="str">
        <f>VLOOKUP(tabParametros[[#This Row],[Código do Posto]],tabPostos[],4,0)</f>
        <v>Montes Claros</v>
      </c>
      <c r="E222" s="282" t="str">
        <f>VLOOKUP(tabParametros[[#This Row],[Código do Posto]],tabPostos[],5,0)</f>
        <v>Apoio</v>
      </c>
      <c r="F222" s="282" t="str">
        <f>VLOOKUP(tabParametros[[#This Row],[Código do Posto]],tabPostos[],6,0)</f>
        <v>PGJ</v>
      </c>
      <c r="G222" s="282">
        <f>VLOOKUP(tabParametros[[#This Row],[Código do Posto]],tabPostos[],7,0)</f>
        <v>2</v>
      </c>
      <c r="H222" s="282">
        <f>VLOOKUP(tabParametros[[#This Row],[Código do Posto]],tabPostos[],8,0)</f>
        <v>0</v>
      </c>
      <c r="I222" s="232">
        <f>VLOOKUP(tabParametros[[#This Row],[Código do Posto]],tabPostos[],9,0)</f>
        <v>2134.8034899326635</v>
      </c>
      <c r="J222" s="232">
        <f>IF(ISNUMBER(SEARCH("Eletricista",tabParametros[[#This Row],[Função]],1)),0.3*tabParametros[[#This Row],[Salário Base]],0)</f>
        <v>0</v>
      </c>
      <c r="K22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2" s="232">
        <f>IF(AND(ISNUMBER(SEARCH("Noturno",tabParametros[[#This Row],[Função]],1)),tabParametros[[#This Row],[Comarca]]&lt;&gt;"Juiz de Fora"),tabParametros[[#This Row],[Salário Base]]/210*0.39*7*15.5,IF(ISNUMBER(SEARCH("Noturno",tabParametros[[#This Row],[Função]],1)),tabParametros[[#This Row],[Salário Base]]/210*0.2*8*15.5,0))</f>
        <v>0</v>
      </c>
      <c r="M222" s="232">
        <f>IF(ISNUMBER(SEARCH("Motorista II",tabParametros[[#This Row],[Função]],1)),0.3022*tabParametros[[#This Row],[Salário Base]],0)</f>
        <v>0</v>
      </c>
      <c r="N222" s="254">
        <v>0</v>
      </c>
      <c r="O222" s="254">
        <f>IF(ISNUMBER(SEARCH("TECNOLOGIA DA INFORMACAO",tabParametros[[#This Row],[Função]],1)),0.056*tabParametros[[#This Row],[Salário Base]],0)</f>
        <v>0</v>
      </c>
      <c r="P222" s="232">
        <f>IF(tabParametros[[#This Row],[Função]]="Operador de Midia Audiovisual - 150 h",tabParametros[[#This Row],[Salário Base]]/150*50*30%,IF(tabParametros[[#This Row],[Função]]="Supervisor de Manutencao de Veiculos II - 220 h",12%*tabParametros[[#This Row],[Salário Base]],0))</f>
        <v>0</v>
      </c>
      <c r="Q222" s="233">
        <f>VLOOKUP(tabParametros[[#Headers],[INSS]],tabImpostosNacionais[],2,0)</f>
        <v>0.2</v>
      </c>
      <c r="R222" s="233">
        <f>VLOOKUP(tabParametros[[#Headers],[SESI OU SESC]],tabImpostosNacionais[],2,0)</f>
        <v>1.4999999999999999E-2</v>
      </c>
      <c r="S222" s="233">
        <f>VLOOKUP(tabParametros[[#Headers],[SENAI OU SENAC]],tabImpostosNacionais[],2,0)</f>
        <v>0.01</v>
      </c>
      <c r="T222" s="233">
        <f>VLOOKUP(tabParametros[[#Headers],[INCRA]],tabImpostosNacionais[],2,0)</f>
        <v>2E-3</v>
      </c>
      <c r="U222" s="233">
        <f>VLOOKUP(tabParametros[[#Headers],[Salário Educação]],tabImpostosNacionais[],2,0)</f>
        <v>2.5000000000000001E-2</v>
      </c>
      <c r="V222" s="233">
        <f>VLOOKUP(tabParametros[[#Headers],[FGTS]],tabImpostosNacionais[],2,0)</f>
        <v>0.08</v>
      </c>
      <c r="W222" s="233">
        <f>VLOOKUP(tabParametros[[#Headers],[RAT Ajustado]],tabImpostosNacionais[],2,0)</f>
        <v>0.04</v>
      </c>
      <c r="X222" s="233">
        <f>VLOOKUP(tabParametros[[#Headers],[SEBRAE]],tabImpostosNacionais[],2,0)</f>
        <v>6.0000000000000001E-3</v>
      </c>
      <c r="Y222" s="233">
        <f t="shared" si="33"/>
        <v>8.3333333333333329E-2</v>
      </c>
      <c r="Z222" s="233">
        <f t="shared" si="34"/>
        <v>0.1111111111111111</v>
      </c>
      <c r="AA222" s="232">
        <f>VLOOKUP(tabParametros[[#This Row],[Comarca]],tabComarca[],5,0)</f>
        <v>6.4</v>
      </c>
      <c r="AB222" s="232">
        <f>VLOOKUP(tabParametros[[#This Row],[CCT DA CATEGORIA]],tabSindicatos[],6,0)</f>
        <v>29.15</v>
      </c>
      <c r="AC222" s="232">
        <f>VLOOKUP(tabParametros[[#This Row],[CCT DA CATEGORIA]],tabSindicatos[],7,0)</f>
        <v>0</v>
      </c>
      <c r="AD222" s="232" cm="1">
        <f t="array" ref="AD22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22" s="232">
        <f>VLOOKUP(tabParametros[[#This Row],[CCT DA CATEGORIA]],tabSindicatos[],9,0)</f>
        <v>0</v>
      </c>
      <c r="AF222" s="232">
        <f>VLOOKUP(tabParametros[[#This Row],[CCT DA CATEGORIA]],tabSindicatos[],10,0)</f>
        <v>0</v>
      </c>
      <c r="AG222" s="234">
        <f>VLOOKUP(tabParametros[[#Headers],[Seguro de Vida]],tabOutrosCustos[],3,0)</f>
        <v>3.36</v>
      </c>
      <c r="AH222" s="234">
        <f>IF(ISNUMBER(SEARCH("MOTORISTA",tabParametros[[#This Row],[Função]],1)),VLOOKUP("MOTORISTAS",tabDiarias[],2,0),IF(tabParametros[[#This Row],[Comarca]]="Belo Horizonte",VLOOKUP("APOIO",tabDiarias[],2,0),0))</f>
        <v>0</v>
      </c>
      <c r="AI222" s="233">
        <f t="shared" si="35"/>
        <v>7.011766975308642E-3</v>
      </c>
      <c r="AJ222" s="235">
        <f>tabParametros[[#This Row],[FGTS]]*tabParametros[[#This Row],[Aviso Prévio Indenizado (API) e Reflexo do Aviso Prévio Indenizado]]</f>
        <v>5.609413580246914E-4</v>
      </c>
      <c r="AK222" s="235">
        <f>tabParametros[[#This Row],[FGTS]]*tabParametros[[#This Row],[Aviso Prévio Indenizado (API) e Reflexo do Aviso Prévio Indenizado]]*40%</f>
        <v>2.2437654320987658E-4</v>
      </c>
      <c r="AL222" s="233">
        <f t="shared" si="36"/>
        <v>3.5000000000000005E-3</v>
      </c>
      <c r="AM222" s="233">
        <f>tabParametros[[#This Row],[Aviso Prévio Trabalhado - APT]]*SUM(tabParametros[[#This Row],[INSS]:[SEBRAE]])</f>
        <v>1.3230000000000004E-3</v>
      </c>
      <c r="AN222" s="233">
        <f t="shared" si="37"/>
        <v>3.0577777777777773E-2</v>
      </c>
      <c r="AO222" s="233">
        <f t="shared" si="38"/>
        <v>8.3333333333333339E-4</v>
      </c>
      <c r="AP222" s="233">
        <f t="shared" si="39"/>
        <v>8.4444444444444437E-3</v>
      </c>
      <c r="AQ222" s="233">
        <f t="shared" si="40"/>
        <v>2.0277777777777777E-3</v>
      </c>
      <c r="AR222" s="233">
        <f t="shared" si="41"/>
        <v>1.7083333333333333E-4</v>
      </c>
      <c r="AS222" s="233">
        <f t="shared" si="42"/>
        <v>2.0833333333333335E-4</v>
      </c>
      <c r="AT222" s="233">
        <f t="shared" si="43"/>
        <v>1.2962962962962963E-3</v>
      </c>
      <c r="AU222" s="235">
        <f>SUM(tabParametros[[#This Row],[Ausência por Doença]:[Férias, Adicional de Férias e 13º  com empregada em gozo de Licença Maternidade]])*SUM(tabParametros[[#This Row],[INSS]:[SEBRAE]])</f>
        <v>4.5918250000000008E-3</v>
      </c>
      <c r="AV222" s="254">
        <f>IF(tabParametros[[#This Row],[Função]]="Porteiro - 220 h",SUM(tabParametros[[#This Row],[Salário Base]:[Adicional de Acúmulo de função]])/220*20*1.5,IF(ISNUMBER(SEARCH("12 x 36",tabParametros[[#This Row],[Função]],1)),SUM(tabParametros[[#This Row],[Salário Base]:[Adicional de Acúmulo de função]])/210*15.5*1.5,0))</f>
        <v>236.35324352825916</v>
      </c>
      <c r="AW222" s="232">
        <f>IF(tabParametros[[#This Row],[Vagas contratadas]]&gt;0,(SUM(tabParametros[[#This Row],[Salário Base]:[Adicional de Acúmulo de função]])*30%+SUM(tabParametros[[#This Row],[Vale - Alimentação]:[Seguro de Vida]]))/tabParametros[[#This Row],[Vagas contratadas]]*tabParametros[[#This Row],[Vagas suspensas]],0)</f>
        <v>0</v>
      </c>
      <c r="AX222" s="232">
        <f>SUMIF(tabUniformes[Cargo],tabParametros[[#This Row],[Função]],tabUniformes[Valor unit. Mensal])</f>
        <v>56.642978962543395</v>
      </c>
      <c r="AY22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2" s="232">
        <v>0</v>
      </c>
      <c r="BC222" s="234" t="e">
        <f ca="1">VLOOKUP(tabParametros[[#Headers],[Custos Indiretos]],tabOutrosCustos[],3,0)</f>
        <v>#NAME?</v>
      </c>
      <c r="BD222" s="234" t="e">
        <f ca="1">VLOOKUP(tabParametros[[#Headers],[Lucro]],tabOutrosCustos[],3,0)</f>
        <v>#NAME?</v>
      </c>
      <c r="BE222" s="233">
        <f>VLOOKUP(tabParametros[[#Headers],[COFINS]],tabImpostosNacionais[],2,0)</f>
        <v>7.5999999999999998E-2</v>
      </c>
      <c r="BF222" s="233">
        <f>VLOOKUP(tabParametros[[#Headers],[PIS]],tabImpostosNacionais[],2,0)</f>
        <v>1.6500000000000001E-2</v>
      </c>
      <c r="BG222" s="233">
        <f>VLOOKUP(tabParametros[[#This Row],[Comarca]],tabComarca[],4,0)</f>
        <v>0.03</v>
      </c>
      <c r="BH222" s="236">
        <f>VLOOKUP(tabParametros[[#This Row],[CCT DA CATEGORIA]],tabSindicatos[],11,0)</f>
        <v>45658</v>
      </c>
      <c r="BI222" s="282" t="str">
        <f>VLOOKUP(tabParametros[[#This Row],[CCT DA CATEGORIA]],tabSindicatos[],12,0)</f>
        <v>-</v>
      </c>
      <c r="BJ222" s="285" t="str">
        <f>VLOOKUP(tabParametros[[#This Row],[CCT DA CATEGORIA]],tabSindicatos[],13,0)</f>
        <v>-</v>
      </c>
    </row>
    <row r="223" spans="1:62">
      <c r="A223" s="231" t="s">
        <v>1653</v>
      </c>
      <c r="B223" s="197" t="s">
        <v>939</v>
      </c>
      <c r="C223" s="197" t="s">
        <v>309</v>
      </c>
      <c r="D223" s="197" t="str">
        <f>VLOOKUP(tabParametros[[#This Row],[Código do Posto]],tabPostos[],4,0)</f>
        <v>Montes Claros</v>
      </c>
      <c r="E223" s="282" t="str">
        <f>VLOOKUP(tabParametros[[#This Row],[Código do Posto]],tabPostos[],5,0)</f>
        <v>Apoio</v>
      </c>
      <c r="F223" s="282" t="str">
        <f>VLOOKUP(tabParametros[[#This Row],[Código do Posto]],tabPostos[],6,0)</f>
        <v>PGJ</v>
      </c>
      <c r="G223" s="282">
        <f>VLOOKUP(tabParametros[[#This Row],[Código do Posto]],tabPostos[],7,0)</f>
        <v>2</v>
      </c>
      <c r="H223" s="282">
        <f>VLOOKUP(tabParametros[[#This Row],[Código do Posto]],tabPostos[],8,0)</f>
        <v>0</v>
      </c>
      <c r="I223" s="232">
        <f>VLOOKUP(tabParametros[[#This Row],[Código do Posto]],tabPostos[],9,0)</f>
        <v>2134.8034899326635</v>
      </c>
      <c r="J223" s="232">
        <f>IF(ISNUMBER(SEARCH("Eletricista",tabParametros[[#This Row],[Função]],1)),0.3*tabParametros[[#This Row],[Salário Base]],0)</f>
        <v>0</v>
      </c>
      <c r="K22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3" s="232">
        <f>IF(AND(ISNUMBER(SEARCH("Noturno",tabParametros[[#This Row],[Função]],1)),tabParametros[[#This Row],[Comarca]]&lt;&gt;"Juiz de Fora"),tabParametros[[#This Row],[Salário Base]]/210*0.39*7*15.5,IF(ISNUMBER(SEARCH("Noturno",tabParametros[[#This Row],[Função]],1)),tabParametros[[#This Row],[Salário Base]]/210*0.2*8*15.5,0))</f>
        <v>430.16290322143169</v>
      </c>
      <c r="M223" s="232">
        <f>IF(ISNUMBER(SEARCH("Motorista II",tabParametros[[#This Row],[Função]],1)),0.3022*tabParametros[[#This Row],[Salário Base]],0)</f>
        <v>0</v>
      </c>
      <c r="N223" s="254">
        <v>0</v>
      </c>
      <c r="O223" s="254">
        <f>IF(ISNUMBER(SEARCH("TECNOLOGIA DA INFORMACAO",tabParametros[[#This Row],[Função]],1)),0.056*tabParametros[[#This Row],[Salário Base]],0)</f>
        <v>0</v>
      </c>
      <c r="P223" s="232">
        <f>IF(tabParametros[[#This Row],[Função]]="Operador de Midia Audiovisual - 150 h",tabParametros[[#This Row],[Salário Base]]/150*50*30%,IF(tabParametros[[#This Row],[Função]]="Supervisor de Manutencao de Veiculos II - 220 h",12%*tabParametros[[#This Row],[Salário Base]],0))</f>
        <v>0</v>
      </c>
      <c r="Q223" s="233">
        <f>VLOOKUP(tabParametros[[#Headers],[INSS]],tabImpostosNacionais[],2,0)</f>
        <v>0.2</v>
      </c>
      <c r="R223" s="233">
        <f>VLOOKUP(tabParametros[[#Headers],[SESI OU SESC]],tabImpostosNacionais[],2,0)</f>
        <v>1.4999999999999999E-2</v>
      </c>
      <c r="S223" s="233">
        <f>VLOOKUP(tabParametros[[#Headers],[SENAI OU SENAC]],tabImpostosNacionais[],2,0)</f>
        <v>0.01</v>
      </c>
      <c r="T223" s="233">
        <f>VLOOKUP(tabParametros[[#Headers],[INCRA]],tabImpostosNacionais[],2,0)</f>
        <v>2E-3</v>
      </c>
      <c r="U223" s="233">
        <f>VLOOKUP(tabParametros[[#Headers],[Salário Educação]],tabImpostosNacionais[],2,0)</f>
        <v>2.5000000000000001E-2</v>
      </c>
      <c r="V223" s="233">
        <f>VLOOKUP(tabParametros[[#Headers],[FGTS]],tabImpostosNacionais[],2,0)</f>
        <v>0.08</v>
      </c>
      <c r="W223" s="233">
        <f>VLOOKUP(tabParametros[[#Headers],[RAT Ajustado]],tabImpostosNacionais[],2,0)</f>
        <v>0.04</v>
      </c>
      <c r="X223" s="233">
        <f>VLOOKUP(tabParametros[[#Headers],[SEBRAE]],tabImpostosNacionais[],2,0)</f>
        <v>6.0000000000000001E-3</v>
      </c>
      <c r="Y223" s="233">
        <f t="shared" si="33"/>
        <v>8.3333333333333329E-2</v>
      </c>
      <c r="Z223" s="233">
        <f t="shared" si="34"/>
        <v>0.1111111111111111</v>
      </c>
      <c r="AA223" s="232">
        <f>VLOOKUP(tabParametros[[#This Row],[Comarca]],tabComarca[],5,0)</f>
        <v>6.4</v>
      </c>
      <c r="AB223" s="232">
        <f>VLOOKUP(tabParametros[[#This Row],[CCT DA CATEGORIA]],tabSindicatos[],6,0)</f>
        <v>29.15</v>
      </c>
      <c r="AC223" s="232">
        <f>VLOOKUP(tabParametros[[#This Row],[CCT DA CATEGORIA]],tabSindicatos[],7,0)</f>
        <v>0</v>
      </c>
      <c r="AD223" s="232" cm="1">
        <f t="array" ref="AD22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23" s="232">
        <f>VLOOKUP(tabParametros[[#This Row],[CCT DA CATEGORIA]],tabSindicatos[],9,0)</f>
        <v>0</v>
      </c>
      <c r="AF223" s="232">
        <f>VLOOKUP(tabParametros[[#This Row],[CCT DA CATEGORIA]],tabSindicatos[],10,0)</f>
        <v>0</v>
      </c>
      <c r="AG223" s="234">
        <f>VLOOKUP(tabParametros[[#Headers],[Seguro de Vida]],tabOutrosCustos[],3,0)</f>
        <v>3.36</v>
      </c>
      <c r="AH223" s="234">
        <f>IF(ISNUMBER(SEARCH("MOTORISTA",tabParametros[[#This Row],[Função]],1)),VLOOKUP("MOTORISTAS",tabDiarias[],2,0),IF(tabParametros[[#This Row],[Comarca]]="Belo Horizonte",VLOOKUP("APOIO",tabDiarias[],2,0),0))</f>
        <v>0</v>
      </c>
      <c r="AI223" s="233">
        <f t="shared" si="35"/>
        <v>7.011766975308642E-3</v>
      </c>
      <c r="AJ223" s="235">
        <f>tabParametros[[#This Row],[FGTS]]*tabParametros[[#This Row],[Aviso Prévio Indenizado (API) e Reflexo do Aviso Prévio Indenizado]]</f>
        <v>5.609413580246914E-4</v>
      </c>
      <c r="AK223" s="235">
        <f>tabParametros[[#This Row],[FGTS]]*tabParametros[[#This Row],[Aviso Prévio Indenizado (API) e Reflexo do Aviso Prévio Indenizado]]*40%</f>
        <v>2.2437654320987658E-4</v>
      </c>
      <c r="AL223" s="233">
        <f t="shared" si="36"/>
        <v>3.5000000000000005E-3</v>
      </c>
      <c r="AM223" s="233">
        <f>tabParametros[[#This Row],[Aviso Prévio Trabalhado - APT]]*SUM(tabParametros[[#This Row],[INSS]:[SEBRAE]])</f>
        <v>1.3230000000000004E-3</v>
      </c>
      <c r="AN223" s="233">
        <f t="shared" si="37"/>
        <v>3.0577777777777773E-2</v>
      </c>
      <c r="AO223" s="233">
        <f t="shared" si="38"/>
        <v>8.3333333333333339E-4</v>
      </c>
      <c r="AP223" s="233">
        <f t="shared" si="39"/>
        <v>8.4444444444444437E-3</v>
      </c>
      <c r="AQ223" s="233">
        <f t="shared" si="40"/>
        <v>2.0277777777777777E-3</v>
      </c>
      <c r="AR223" s="233">
        <f t="shared" si="41"/>
        <v>1.7083333333333333E-4</v>
      </c>
      <c r="AS223" s="233">
        <f t="shared" si="42"/>
        <v>2.0833333333333335E-4</v>
      </c>
      <c r="AT223" s="233">
        <f t="shared" si="43"/>
        <v>1.2962962962962963E-3</v>
      </c>
      <c r="AU223" s="235">
        <f>SUM(tabParametros[[#This Row],[Ausência por Doença]:[Férias, Adicional de Férias e 13º  com empregada em gozo de Licença Maternidade]])*SUM(tabParametros[[#This Row],[INSS]:[SEBRAE]])</f>
        <v>4.5918250000000008E-3</v>
      </c>
      <c r="AV223" s="254">
        <f>IF(tabParametros[[#This Row],[Função]]="Porteiro - 220 h",SUM(tabParametros[[#This Row],[Salário Base]:[Adicional de Acúmulo de função]])/220*20*1.5,IF(ISNUMBER(SEARCH("12 x 36",tabParametros[[#This Row],[Função]],1)),SUM(tabParametros[[#This Row],[Salário Base]:[Adicional de Acúmulo de função]])/210*15.5*1.5,0))</f>
        <v>283.97842209920344</v>
      </c>
      <c r="AW223" s="232">
        <f>IF(tabParametros[[#This Row],[Vagas contratadas]]&gt;0,(SUM(tabParametros[[#This Row],[Salário Base]:[Adicional de Acúmulo de função]])*30%+SUM(tabParametros[[#This Row],[Vale - Alimentação]:[Seguro de Vida]]))/tabParametros[[#This Row],[Vagas contratadas]]*tabParametros[[#This Row],[Vagas suspensas]],0)</f>
        <v>0</v>
      </c>
      <c r="AX223" s="232">
        <f>SUMIF(tabUniformes[Cargo],tabParametros[[#This Row],[Função]],tabUniformes[Valor unit. Mensal])</f>
        <v>56.642978962543395</v>
      </c>
      <c r="AY22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3" s="232">
        <v>0</v>
      </c>
      <c r="BC223" s="234" t="e">
        <f ca="1">VLOOKUP(tabParametros[[#Headers],[Custos Indiretos]],tabOutrosCustos[],3,0)</f>
        <v>#NAME?</v>
      </c>
      <c r="BD223" s="234" t="e">
        <f ca="1">VLOOKUP(tabParametros[[#Headers],[Lucro]],tabOutrosCustos[],3,0)</f>
        <v>#NAME?</v>
      </c>
      <c r="BE223" s="233">
        <f>VLOOKUP(tabParametros[[#Headers],[COFINS]],tabImpostosNacionais[],2,0)</f>
        <v>7.5999999999999998E-2</v>
      </c>
      <c r="BF223" s="233">
        <f>VLOOKUP(tabParametros[[#Headers],[PIS]],tabImpostosNacionais[],2,0)</f>
        <v>1.6500000000000001E-2</v>
      </c>
      <c r="BG223" s="233">
        <f>VLOOKUP(tabParametros[[#This Row],[Comarca]],tabComarca[],4,0)</f>
        <v>0.03</v>
      </c>
      <c r="BH223" s="236">
        <f>VLOOKUP(tabParametros[[#This Row],[CCT DA CATEGORIA]],tabSindicatos[],11,0)</f>
        <v>45658</v>
      </c>
      <c r="BI223" s="282" t="str">
        <f>VLOOKUP(tabParametros[[#This Row],[CCT DA CATEGORIA]],tabSindicatos[],12,0)</f>
        <v>-</v>
      </c>
      <c r="BJ223" s="285" t="str">
        <f>VLOOKUP(tabParametros[[#This Row],[CCT DA CATEGORIA]],tabSindicatos[],13,0)</f>
        <v>-</v>
      </c>
    </row>
    <row r="224" spans="1:62">
      <c r="A224" s="231" t="s">
        <v>1654</v>
      </c>
      <c r="B224" s="197" t="s">
        <v>939</v>
      </c>
      <c r="C224" s="197" t="s">
        <v>324</v>
      </c>
      <c r="D224" s="197" t="str">
        <f>VLOOKUP(tabParametros[[#This Row],[Código do Posto]],tabPostos[],4,0)</f>
        <v>Montes Claros</v>
      </c>
      <c r="E224" s="282" t="str">
        <f>VLOOKUP(tabParametros[[#This Row],[Código do Posto]],tabPostos[],5,0)</f>
        <v>Apoio</v>
      </c>
      <c r="F224" s="282" t="str">
        <f>VLOOKUP(tabParametros[[#This Row],[Código do Posto]],tabPostos[],6,0)</f>
        <v>PGJ</v>
      </c>
      <c r="G224" s="282">
        <f>VLOOKUP(tabParametros[[#This Row],[Código do Posto]],tabPostos[],7,0)</f>
        <v>1</v>
      </c>
      <c r="H224" s="282">
        <f>VLOOKUP(tabParametros[[#This Row],[Código do Posto]],tabPostos[],8,0)</f>
        <v>0</v>
      </c>
      <c r="I224" s="232">
        <f>VLOOKUP(tabParametros[[#This Row],[Código do Posto]],tabPostos[],9,0)</f>
        <v>3397.1306016921476</v>
      </c>
      <c r="J224" s="232">
        <f>IF(ISNUMBER(SEARCH("Eletricista",tabParametros[[#This Row],[Função]],1)),0.3*tabParametros[[#This Row],[Salário Base]],0)</f>
        <v>0</v>
      </c>
      <c r="K22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4" s="232">
        <f>IF(AND(ISNUMBER(SEARCH("Noturno",tabParametros[[#This Row],[Função]],1)),tabParametros[[#This Row],[Comarca]]&lt;&gt;"Juiz de Fora"),tabParametros[[#This Row],[Salário Base]]/210*0.39*7*15.5,IF(ISNUMBER(SEARCH("Noturno",tabParametros[[#This Row],[Função]],1)),tabParametros[[#This Row],[Salário Base]]/210*0.2*8*15.5,0))</f>
        <v>0</v>
      </c>
      <c r="M224" s="232">
        <f>IF(ISNUMBER(SEARCH("Motorista II",tabParametros[[#This Row],[Função]],1)),0.3022*tabParametros[[#This Row],[Salário Base]],0)</f>
        <v>0</v>
      </c>
      <c r="N224" s="254">
        <v>0</v>
      </c>
      <c r="O224" s="254">
        <f>IF(ISNUMBER(SEARCH("TECNOLOGIA DA INFORMACAO",tabParametros[[#This Row],[Função]],1)),0.056*tabParametros[[#This Row],[Salário Base]],0)</f>
        <v>0</v>
      </c>
      <c r="P224" s="232">
        <f>IF(tabParametros[[#This Row],[Função]]="Operador de Midia Audiovisual - 150 h",tabParametros[[#This Row],[Salário Base]]/150*50*30%,IF(tabParametros[[#This Row],[Função]]="Supervisor de Manutencao de Veiculos II - 220 h",12%*tabParametros[[#This Row],[Salário Base]],0))</f>
        <v>0</v>
      </c>
      <c r="Q224" s="233">
        <f>VLOOKUP(tabParametros[[#Headers],[INSS]],tabImpostosNacionais[],2,0)</f>
        <v>0.2</v>
      </c>
      <c r="R224" s="233">
        <f>VLOOKUP(tabParametros[[#Headers],[SESI OU SESC]],tabImpostosNacionais[],2,0)</f>
        <v>1.4999999999999999E-2</v>
      </c>
      <c r="S224" s="233">
        <f>VLOOKUP(tabParametros[[#Headers],[SENAI OU SENAC]],tabImpostosNacionais[],2,0)</f>
        <v>0.01</v>
      </c>
      <c r="T224" s="233">
        <f>VLOOKUP(tabParametros[[#Headers],[INCRA]],tabImpostosNacionais[],2,0)</f>
        <v>2E-3</v>
      </c>
      <c r="U224" s="233">
        <f>VLOOKUP(tabParametros[[#Headers],[Salário Educação]],tabImpostosNacionais[],2,0)</f>
        <v>2.5000000000000001E-2</v>
      </c>
      <c r="V224" s="233">
        <f>VLOOKUP(tabParametros[[#Headers],[FGTS]],tabImpostosNacionais[],2,0)</f>
        <v>0.08</v>
      </c>
      <c r="W224" s="233">
        <f>VLOOKUP(tabParametros[[#Headers],[RAT Ajustado]],tabImpostosNacionais[],2,0)</f>
        <v>0.04</v>
      </c>
      <c r="X224" s="233">
        <f>VLOOKUP(tabParametros[[#Headers],[SEBRAE]],tabImpostosNacionais[],2,0)</f>
        <v>6.0000000000000001E-3</v>
      </c>
      <c r="Y224" s="233">
        <f t="shared" si="33"/>
        <v>8.3333333333333329E-2</v>
      </c>
      <c r="Z224" s="233">
        <f t="shared" si="34"/>
        <v>0.1111111111111111</v>
      </c>
      <c r="AA224" s="232">
        <f>VLOOKUP(tabParametros[[#This Row],[Comarca]],tabComarca[],5,0)</f>
        <v>6.4</v>
      </c>
      <c r="AB224" s="232">
        <f>VLOOKUP(tabParametros[[#This Row],[CCT DA CATEGORIA]],tabSindicatos[],6,0)</f>
        <v>29.15</v>
      </c>
      <c r="AC224" s="232">
        <f>VLOOKUP(tabParametros[[#This Row],[CCT DA CATEGORIA]],tabSindicatos[],7,0)</f>
        <v>0</v>
      </c>
      <c r="AD224" s="232" cm="1">
        <f t="array" ref="AD22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24" s="232">
        <f>VLOOKUP(tabParametros[[#This Row],[CCT DA CATEGORIA]],tabSindicatos[],9,0)</f>
        <v>0</v>
      </c>
      <c r="AF224" s="232">
        <f>VLOOKUP(tabParametros[[#This Row],[CCT DA CATEGORIA]],tabSindicatos[],10,0)</f>
        <v>0</v>
      </c>
      <c r="AG224" s="234">
        <f>VLOOKUP(tabParametros[[#Headers],[Seguro de Vida]],tabOutrosCustos[],3,0)</f>
        <v>3.36</v>
      </c>
      <c r="AH224" s="234">
        <f>IF(ISNUMBER(SEARCH("MOTORISTA",tabParametros[[#This Row],[Função]],1)),VLOOKUP("MOTORISTAS",tabDiarias[],2,0),IF(tabParametros[[#This Row],[Comarca]]="Belo Horizonte",VLOOKUP("APOIO",tabDiarias[],2,0),0))</f>
        <v>0</v>
      </c>
      <c r="AI224" s="233">
        <f t="shared" si="35"/>
        <v>7.011766975308642E-3</v>
      </c>
      <c r="AJ224" s="235">
        <f>tabParametros[[#This Row],[FGTS]]*tabParametros[[#This Row],[Aviso Prévio Indenizado (API) e Reflexo do Aviso Prévio Indenizado]]</f>
        <v>5.609413580246914E-4</v>
      </c>
      <c r="AK224" s="235">
        <f>tabParametros[[#This Row],[FGTS]]*tabParametros[[#This Row],[Aviso Prévio Indenizado (API) e Reflexo do Aviso Prévio Indenizado]]*40%</f>
        <v>2.2437654320987658E-4</v>
      </c>
      <c r="AL224" s="233">
        <f t="shared" si="36"/>
        <v>3.5000000000000005E-3</v>
      </c>
      <c r="AM224" s="233">
        <f>tabParametros[[#This Row],[Aviso Prévio Trabalhado - APT]]*SUM(tabParametros[[#This Row],[INSS]:[SEBRAE]])</f>
        <v>1.3230000000000004E-3</v>
      </c>
      <c r="AN224" s="233">
        <f t="shared" si="37"/>
        <v>3.0577777777777773E-2</v>
      </c>
      <c r="AO224" s="233">
        <f t="shared" si="38"/>
        <v>8.3333333333333339E-4</v>
      </c>
      <c r="AP224" s="233">
        <f t="shared" si="39"/>
        <v>8.4444444444444437E-3</v>
      </c>
      <c r="AQ224" s="233">
        <f t="shared" si="40"/>
        <v>2.0277777777777777E-3</v>
      </c>
      <c r="AR224" s="233">
        <f t="shared" si="41"/>
        <v>1.7083333333333333E-4</v>
      </c>
      <c r="AS224" s="233">
        <f t="shared" si="42"/>
        <v>2.0833333333333335E-4</v>
      </c>
      <c r="AT224" s="233">
        <f t="shared" si="43"/>
        <v>1.2962962962962963E-3</v>
      </c>
      <c r="AU224" s="235">
        <f>SUM(tabParametros[[#This Row],[Ausência por Doença]:[Férias, Adicional de Férias e 13º  com empregada em gozo de Licença Maternidade]])*SUM(tabParametros[[#This Row],[INSS]:[SEBRAE]])</f>
        <v>4.5918250000000008E-3</v>
      </c>
      <c r="AV224" s="254">
        <f>IF(tabParametros[[#This Row],[Função]]="Porteiro - 220 h",SUM(tabParametros[[#This Row],[Salário Base]:[Adicional de Acúmulo de função]])/220*20*1.5,IF(ISNUMBER(SEARCH("12 x 36",tabParametros[[#This Row],[Função]],1)),SUM(tabParametros[[#This Row],[Salário Base]:[Adicional de Acúmulo de função]])/210*15.5*1.5,0))</f>
        <v>0</v>
      </c>
      <c r="AW224" s="232">
        <f>IF(tabParametros[[#This Row],[Vagas contratadas]]&gt;0,(SUM(tabParametros[[#This Row],[Salário Base]:[Adicional de Acúmulo de função]])*30%+SUM(tabParametros[[#This Row],[Vale - Alimentação]:[Seguro de Vida]]))/tabParametros[[#This Row],[Vagas contratadas]]*tabParametros[[#This Row],[Vagas suspensas]],0)</f>
        <v>0</v>
      </c>
      <c r="AX224" s="232">
        <f>SUMIF(tabUniformes[Cargo],tabParametros[[#This Row],[Função]],tabUniformes[Valor unit. Mensal])</f>
        <v>56.642978962543395</v>
      </c>
      <c r="AY22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4" s="232">
        <v>0</v>
      </c>
      <c r="BC224" s="234" t="e">
        <f ca="1">VLOOKUP(tabParametros[[#Headers],[Custos Indiretos]],tabOutrosCustos[],3,0)</f>
        <v>#NAME?</v>
      </c>
      <c r="BD224" s="234" t="e">
        <f ca="1">VLOOKUP(tabParametros[[#Headers],[Lucro]],tabOutrosCustos[],3,0)</f>
        <v>#NAME?</v>
      </c>
      <c r="BE224" s="233">
        <f>VLOOKUP(tabParametros[[#Headers],[COFINS]],tabImpostosNacionais[],2,0)</f>
        <v>7.5999999999999998E-2</v>
      </c>
      <c r="BF224" s="233">
        <f>VLOOKUP(tabParametros[[#Headers],[PIS]],tabImpostosNacionais[],2,0)</f>
        <v>1.6500000000000001E-2</v>
      </c>
      <c r="BG224" s="233">
        <f>VLOOKUP(tabParametros[[#This Row],[Comarca]],tabComarca[],4,0)</f>
        <v>0.03</v>
      </c>
      <c r="BH224" s="236">
        <f>VLOOKUP(tabParametros[[#This Row],[CCT DA CATEGORIA]],tabSindicatos[],11,0)</f>
        <v>45658</v>
      </c>
      <c r="BI224" s="282" t="str">
        <f>VLOOKUP(tabParametros[[#This Row],[CCT DA CATEGORIA]],tabSindicatos[],12,0)</f>
        <v>-</v>
      </c>
      <c r="BJ224" s="285" t="str">
        <f>VLOOKUP(tabParametros[[#This Row],[CCT DA CATEGORIA]],tabSindicatos[],13,0)</f>
        <v>-</v>
      </c>
    </row>
    <row r="225" spans="1:62">
      <c r="A225" s="231" t="s">
        <v>1495</v>
      </c>
      <c r="B225" s="197" t="s">
        <v>1169</v>
      </c>
      <c r="C225" s="197" t="s">
        <v>200</v>
      </c>
      <c r="D225" s="197" t="str">
        <f>VLOOKUP(tabParametros[[#This Row],[Código do Posto]],tabPostos[],4,0)</f>
        <v>Cataguases</v>
      </c>
      <c r="E225" s="282" t="str">
        <f>VLOOKUP(tabParametros[[#This Row],[Código do Posto]],tabPostos[],5,0)</f>
        <v>Apoio</v>
      </c>
      <c r="F225" s="282" t="str">
        <f>VLOOKUP(tabParametros[[#This Row],[Código do Posto]],tabPostos[],6,0)</f>
        <v>PGJ</v>
      </c>
      <c r="G225" s="282">
        <f>VLOOKUP(tabParametros[[#This Row],[Código do Posto]],tabPostos[],7,0)</f>
        <v>2</v>
      </c>
      <c r="H225" s="282">
        <f>VLOOKUP(tabParametros[[#This Row],[Código do Posto]],tabPostos[],8,0)</f>
        <v>0</v>
      </c>
      <c r="I225" s="232">
        <f>VLOOKUP(tabParametros[[#This Row],[Código do Posto]],tabPostos[],9,0)</f>
        <v>1596.273808921236</v>
      </c>
      <c r="J225" s="232">
        <f>IF(ISNUMBER(SEARCH("Eletricista",tabParametros[[#This Row],[Função]],1)),0.3*tabParametros[[#This Row],[Salário Base]],0)</f>
        <v>0</v>
      </c>
      <c r="K22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5" s="232">
        <f>IF(AND(ISNUMBER(SEARCH("Noturno",tabParametros[[#This Row],[Função]],1)),tabParametros[[#This Row],[Comarca]]&lt;&gt;"Juiz de Fora"),tabParametros[[#This Row],[Salário Base]]/210*0.39*7*15.5,IF(ISNUMBER(SEARCH("Noturno",tabParametros[[#This Row],[Função]],1)),tabParametros[[#This Row],[Salário Base]]/210*0.2*8*15.5,0))</f>
        <v>0</v>
      </c>
      <c r="M225" s="232">
        <f>IF(ISNUMBER(SEARCH("Motorista II",tabParametros[[#This Row],[Função]],1)),0.3022*tabParametros[[#This Row],[Salário Base]],0)</f>
        <v>0</v>
      </c>
      <c r="N225" s="254">
        <v>0</v>
      </c>
      <c r="O225" s="254">
        <f>IF(ISNUMBER(SEARCH("TECNOLOGIA DA INFORMACAO",tabParametros[[#This Row],[Função]],1)),0.056*tabParametros[[#This Row],[Salário Base]],0)</f>
        <v>0</v>
      </c>
      <c r="P225" s="232">
        <f>IF(tabParametros[[#This Row],[Função]]="Operador de Midia Audiovisual - 150 h",tabParametros[[#This Row],[Salário Base]]/150*50*30%,IF(tabParametros[[#This Row],[Função]]="Supervisor de Manutencao de Veiculos II - 220 h",12%*tabParametros[[#This Row],[Salário Base]],0))</f>
        <v>0</v>
      </c>
      <c r="Q225" s="233">
        <f>VLOOKUP(tabParametros[[#Headers],[INSS]],tabImpostosNacionais[],2,0)</f>
        <v>0.2</v>
      </c>
      <c r="R225" s="233">
        <f>VLOOKUP(tabParametros[[#Headers],[SESI OU SESC]],tabImpostosNacionais[],2,0)</f>
        <v>1.4999999999999999E-2</v>
      </c>
      <c r="S225" s="233">
        <f>VLOOKUP(tabParametros[[#Headers],[SENAI OU SENAC]],tabImpostosNacionais[],2,0)</f>
        <v>0.01</v>
      </c>
      <c r="T225" s="233">
        <f>VLOOKUP(tabParametros[[#Headers],[INCRA]],tabImpostosNacionais[],2,0)</f>
        <v>2E-3</v>
      </c>
      <c r="U225" s="233">
        <f>VLOOKUP(tabParametros[[#Headers],[Salário Educação]],tabImpostosNacionais[],2,0)</f>
        <v>2.5000000000000001E-2</v>
      </c>
      <c r="V225" s="233">
        <f>VLOOKUP(tabParametros[[#Headers],[FGTS]],tabImpostosNacionais[],2,0)</f>
        <v>0.08</v>
      </c>
      <c r="W225" s="233">
        <f>VLOOKUP(tabParametros[[#Headers],[RAT Ajustado]],tabImpostosNacionais[],2,0)</f>
        <v>0.04</v>
      </c>
      <c r="X225" s="233">
        <f>VLOOKUP(tabParametros[[#Headers],[SEBRAE]],tabImpostosNacionais[],2,0)</f>
        <v>6.0000000000000001E-3</v>
      </c>
      <c r="Y225" s="233">
        <f t="shared" si="33"/>
        <v>8.3333333333333329E-2</v>
      </c>
      <c r="Z225" s="233">
        <f t="shared" si="34"/>
        <v>0.1111111111111111</v>
      </c>
      <c r="AA225" s="232">
        <f>VLOOKUP(tabParametros[[#This Row],[Comarca]],tabComarca[],5,0)</f>
        <v>6.4</v>
      </c>
      <c r="AB225" s="232">
        <f>VLOOKUP(tabParametros[[#This Row],[CCT DA CATEGORIA]],tabSindicatos[],6,0)</f>
        <v>29.15</v>
      </c>
      <c r="AC225" s="232">
        <f>VLOOKUP(tabParametros[[#This Row],[CCT DA CATEGORIA]],tabSindicatos[],7,0)</f>
        <v>0</v>
      </c>
      <c r="AD225" s="232" cm="1">
        <f t="array" ref="AD22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225" s="232">
        <f>VLOOKUP(tabParametros[[#This Row],[CCT DA CATEGORIA]],tabSindicatos[],9,0)</f>
        <v>0</v>
      </c>
      <c r="AF225" s="232">
        <f>VLOOKUP(tabParametros[[#This Row],[CCT DA CATEGORIA]],tabSindicatos[],10,0)</f>
        <v>0</v>
      </c>
      <c r="AG225" s="234">
        <f>VLOOKUP(tabParametros[[#Headers],[Seguro de Vida]],tabOutrosCustos[],3,0)</f>
        <v>3.36</v>
      </c>
      <c r="AH225" s="234">
        <f>IF(ISNUMBER(SEARCH("MOTORISTA",tabParametros[[#This Row],[Função]],1)),VLOOKUP("MOTORISTAS",tabDiarias[],2,0),IF(tabParametros[[#This Row],[Comarca]]="Belo Horizonte",VLOOKUP("APOIO",tabDiarias[],2,0),0))</f>
        <v>0</v>
      </c>
      <c r="AI225" s="233">
        <f t="shared" si="35"/>
        <v>7.011766975308642E-3</v>
      </c>
      <c r="AJ225" s="235">
        <f>tabParametros[[#This Row],[FGTS]]*tabParametros[[#This Row],[Aviso Prévio Indenizado (API) e Reflexo do Aviso Prévio Indenizado]]</f>
        <v>5.609413580246914E-4</v>
      </c>
      <c r="AK225" s="235">
        <f>tabParametros[[#This Row],[FGTS]]*tabParametros[[#This Row],[Aviso Prévio Indenizado (API) e Reflexo do Aviso Prévio Indenizado]]*40%</f>
        <v>2.2437654320987658E-4</v>
      </c>
      <c r="AL225" s="233">
        <f t="shared" si="36"/>
        <v>3.5000000000000005E-3</v>
      </c>
      <c r="AM225" s="233">
        <f>tabParametros[[#This Row],[Aviso Prévio Trabalhado - APT]]*SUM(tabParametros[[#This Row],[INSS]:[SEBRAE]])</f>
        <v>1.3230000000000004E-3</v>
      </c>
      <c r="AN225" s="233">
        <f t="shared" si="37"/>
        <v>3.0577777777777773E-2</v>
      </c>
      <c r="AO225" s="233">
        <f t="shared" si="38"/>
        <v>8.3333333333333339E-4</v>
      </c>
      <c r="AP225" s="233">
        <f t="shared" si="39"/>
        <v>8.4444444444444437E-3</v>
      </c>
      <c r="AQ225" s="233">
        <f t="shared" si="40"/>
        <v>2.0277777777777777E-3</v>
      </c>
      <c r="AR225" s="233">
        <f t="shared" si="41"/>
        <v>1.7083333333333333E-4</v>
      </c>
      <c r="AS225" s="233">
        <f t="shared" si="42"/>
        <v>2.0833333333333335E-4</v>
      </c>
      <c r="AT225" s="233">
        <f t="shared" si="43"/>
        <v>1.2962962962962963E-3</v>
      </c>
      <c r="AU225" s="235">
        <f>SUM(tabParametros[[#This Row],[Ausência por Doença]:[Férias, Adicional de Férias e 13º  com empregada em gozo de Licença Maternidade]])*SUM(tabParametros[[#This Row],[INSS]:[SEBRAE]])</f>
        <v>4.5918250000000008E-3</v>
      </c>
      <c r="AV225" s="254">
        <f>IF(tabParametros[[#This Row],[Função]]="Porteiro - 220 h",SUM(tabParametros[[#This Row],[Salário Base]:[Adicional de Acúmulo de função]])/220*20*1.5,IF(ISNUMBER(SEARCH("12 x 36",tabParametros[[#This Row],[Função]],1)),SUM(tabParametros[[#This Row],[Salário Base]:[Adicional de Acúmulo de função]])/210*15.5*1.5,0))</f>
        <v>0</v>
      </c>
      <c r="AW225" s="232">
        <f>IF(tabParametros[[#This Row],[Vagas contratadas]]&gt;0,(SUM(tabParametros[[#This Row],[Salário Base]:[Adicional de Acúmulo de função]])*30%+SUM(tabParametros[[#This Row],[Vale - Alimentação]:[Seguro de Vida]]))/tabParametros[[#This Row],[Vagas contratadas]]*tabParametros[[#This Row],[Vagas suspensas]],0)</f>
        <v>0</v>
      </c>
      <c r="AX225" s="232">
        <f>SUMIF(tabUniformes[Cargo],tabParametros[[#This Row],[Função]],tabUniformes[Valor unit. Mensal])</f>
        <v>56.141713661989918</v>
      </c>
      <c r="AY22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5" s="232">
        <v>0</v>
      </c>
      <c r="BC225" s="234" t="e">
        <f ca="1">VLOOKUP(tabParametros[[#Headers],[Custos Indiretos]],tabOutrosCustos[],3,0)</f>
        <v>#NAME?</v>
      </c>
      <c r="BD225" s="234" t="e">
        <f ca="1">VLOOKUP(tabParametros[[#Headers],[Lucro]],tabOutrosCustos[],3,0)</f>
        <v>#NAME?</v>
      </c>
      <c r="BE225" s="233">
        <f>VLOOKUP(tabParametros[[#Headers],[COFINS]],tabImpostosNacionais[],2,0)</f>
        <v>7.5999999999999998E-2</v>
      </c>
      <c r="BF225" s="233">
        <f>VLOOKUP(tabParametros[[#Headers],[PIS]],tabImpostosNacionais[],2,0)</f>
        <v>1.6500000000000001E-2</v>
      </c>
      <c r="BG225" s="233">
        <f>VLOOKUP(tabParametros[[#This Row],[Comarca]],tabComarca[],4,0)</f>
        <v>0.03</v>
      </c>
      <c r="BH225" s="236">
        <f>VLOOKUP(tabParametros[[#This Row],[CCT DA CATEGORIA]],tabSindicatos[],11,0)</f>
        <v>45658</v>
      </c>
      <c r="BI225" s="282" t="str">
        <f>VLOOKUP(tabParametros[[#This Row],[CCT DA CATEGORIA]],tabSindicatos[],12,0)</f>
        <v>-</v>
      </c>
      <c r="BJ225" s="285" t="str">
        <f>VLOOKUP(tabParametros[[#This Row],[CCT DA CATEGORIA]],tabSindicatos[],13,0)</f>
        <v>-</v>
      </c>
    </row>
    <row r="226" spans="1:62">
      <c r="A226" s="231" t="s">
        <v>1655</v>
      </c>
      <c r="B226" s="197" t="s">
        <v>1169</v>
      </c>
      <c r="C226" s="197" t="s">
        <v>324</v>
      </c>
      <c r="D226" s="197" t="str">
        <f>VLOOKUP(tabParametros[[#This Row],[Código do Posto]],tabPostos[],4,0)</f>
        <v>Cataguases</v>
      </c>
      <c r="E226" s="282" t="str">
        <f>VLOOKUP(tabParametros[[#This Row],[Código do Posto]],tabPostos[],5,0)</f>
        <v>Apoio</v>
      </c>
      <c r="F226" s="282" t="str">
        <f>VLOOKUP(tabParametros[[#This Row],[Código do Posto]],tabPostos[],6,0)</f>
        <v>PGJ</v>
      </c>
      <c r="G226" s="282">
        <f>VLOOKUP(tabParametros[[#This Row],[Código do Posto]],tabPostos[],7,0)</f>
        <v>1</v>
      </c>
      <c r="H226" s="282">
        <f>VLOOKUP(tabParametros[[#This Row],[Código do Posto]],tabPostos[],8,0)</f>
        <v>0</v>
      </c>
      <c r="I226" s="232">
        <f>VLOOKUP(tabParametros[[#This Row],[Código do Posto]],tabPostos[],9,0)</f>
        <v>3397.1306016921476</v>
      </c>
      <c r="J226" s="232">
        <f>IF(ISNUMBER(SEARCH("Eletricista",tabParametros[[#This Row],[Função]],1)),0.3*tabParametros[[#This Row],[Salário Base]],0)</f>
        <v>0</v>
      </c>
      <c r="K22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6" s="232">
        <f>IF(AND(ISNUMBER(SEARCH("Noturno",tabParametros[[#This Row],[Função]],1)),tabParametros[[#This Row],[Comarca]]&lt;&gt;"Juiz de Fora"),tabParametros[[#This Row],[Salário Base]]/210*0.39*7*15.5,IF(ISNUMBER(SEARCH("Noturno",tabParametros[[#This Row],[Função]],1)),tabParametros[[#This Row],[Salário Base]]/210*0.2*8*15.5,0))</f>
        <v>0</v>
      </c>
      <c r="M226" s="232">
        <f>IF(ISNUMBER(SEARCH("Motorista II",tabParametros[[#This Row],[Função]],1)),0.3022*tabParametros[[#This Row],[Salário Base]],0)</f>
        <v>0</v>
      </c>
      <c r="N226" s="254">
        <v>0</v>
      </c>
      <c r="O226" s="254">
        <f>IF(ISNUMBER(SEARCH("TECNOLOGIA DA INFORMACAO",tabParametros[[#This Row],[Função]],1)),0.056*tabParametros[[#This Row],[Salário Base]],0)</f>
        <v>0</v>
      </c>
      <c r="P226" s="232">
        <f>IF(tabParametros[[#This Row],[Função]]="Operador de Midia Audiovisual - 150 h",tabParametros[[#This Row],[Salário Base]]/150*50*30%,IF(tabParametros[[#This Row],[Função]]="Supervisor de Manutencao de Veiculos II - 220 h",12%*tabParametros[[#This Row],[Salário Base]],0))</f>
        <v>0</v>
      </c>
      <c r="Q226" s="233">
        <f>VLOOKUP(tabParametros[[#Headers],[INSS]],tabImpostosNacionais[],2,0)</f>
        <v>0.2</v>
      </c>
      <c r="R226" s="233">
        <f>VLOOKUP(tabParametros[[#Headers],[SESI OU SESC]],tabImpostosNacionais[],2,0)</f>
        <v>1.4999999999999999E-2</v>
      </c>
      <c r="S226" s="233">
        <f>VLOOKUP(tabParametros[[#Headers],[SENAI OU SENAC]],tabImpostosNacionais[],2,0)</f>
        <v>0.01</v>
      </c>
      <c r="T226" s="233">
        <f>VLOOKUP(tabParametros[[#Headers],[INCRA]],tabImpostosNacionais[],2,0)</f>
        <v>2E-3</v>
      </c>
      <c r="U226" s="233">
        <f>VLOOKUP(tabParametros[[#Headers],[Salário Educação]],tabImpostosNacionais[],2,0)</f>
        <v>2.5000000000000001E-2</v>
      </c>
      <c r="V226" s="233">
        <f>VLOOKUP(tabParametros[[#Headers],[FGTS]],tabImpostosNacionais[],2,0)</f>
        <v>0.08</v>
      </c>
      <c r="W226" s="233">
        <f>VLOOKUP(tabParametros[[#Headers],[RAT Ajustado]],tabImpostosNacionais[],2,0)</f>
        <v>0.04</v>
      </c>
      <c r="X226" s="233">
        <f>VLOOKUP(tabParametros[[#Headers],[SEBRAE]],tabImpostosNacionais[],2,0)</f>
        <v>6.0000000000000001E-3</v>
      </c>
      <c r="Y226" s="233">
        <f t="shared" si="33"/>
        <v>8.3333333333333329E-2</v>
      </c>
      <c r="Z226" s="233">
        <f t="shared" si="34"/>
        <v>0.1111111111111111</v>
      </c>
      <c r="AA226" s="232">
        <f>VLOOKUP(tabParametros[[#This Row],[Comarca]],tabComarca[],5,0)</f>
        <v>6.4</v>
      </c>
      <c r="AB226" s="232">
        <f>VLOOKUP(tabParametros[[#This Row],[CCT DA CATEGORIA]],tabSindicatos[],6,0)</f>
        <v>29.15</v>
      </c>
      <c r="AC226" s="232">
        <f>VLOOKUP(tabParametros[[#This Row],[CCT DA CATEGORIA]],tabSindicatos[],7,0)</f>
        <v>0</v>
      </c>
      <c r="AD226" s="232" cm="1">
        <f t="array" ref="AD22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226" s="232">
        <f>VLOOKUP(tabParametros[[#This Row],[CCT DA CATEGORIA]],tabSindicatos[],9,0)</f>
        <v>0</v>
      </c>
      <c r="AF226" s="232">
        <f>VLOOKUP(tabParametros[[#This Row],[CCT DA CATEGORIA]],tabSindicatos[],10,0)</f>
        <v>0</v>
      </c>
      <c r="AG226" s="234">
        <f>VLOOKUP(tabParametros[[#Headers],[Seguro de Vida]],tabOutrosCustos[],3,0)</f>
        <v>3.36</v>
      </c>
      <c r="AH226" s="234">
        <f>IF(ISNUMBER(SEARCH("MOTORISTA",tabParametros[[#This Row],[Função]],1)),VLOOKUP("MOTORISTAS",tabDiarias[],2,0),IF(tabParametros[[#This Row],[Comarca]]="Belo Horizonte",VLOOKUP("APOIO",tabDiarias[],2,0),0))</f>
        <v>0</v>
      </c>
      <c r="AI226" s="233">
        <f t="shared" si="35"/>
        <v>7.011766975308642E-3</v>
      </c>
      <c r="AJ226" s="235">
        <f>tabParametros[[#This Row],[FGTS]]*tabParametros[[#This Row],[Aviso Prévio Indenizado (API) e Reflexo do Aviso Prévio Indenizado]]</f>
        <v>5.609413580246914E-4</v>
      </c>
      <c r="AK226" s="235">
        <f>tabParametros[[#This Row],[FGTS]]*tabParametros[[#This Row],[Aviso Prévio Indenizado (API) e Reflexo do Aviso Prévio Indenizado]]*40%</f>
        <v>2.2437654320987658E-4</v>
      </c>
      <c r="AL226" s="233">
        <f t="shared" si="36"/>
        <v>3.5000000000000005E-3</v>
      </c>
      <c r="AM226" s="233">
        <f>tabParametros[[#This Row],[Aviso Prévio Trabalhado - APT]]*SUM(tabParametros[[#This Row],[INSS]:[SEBRAE]])</f>
        <v>1.3230000000000004E-3</v>
      </c>
      <c r="AN226" s="233">
        <f t="shared" si="37"/>
        <v>3.0577777777777773E-2</v>
      </c>
      <c r="AO226" s="233">
        <f t="shared" si="38"/>
        <v>8.3333333333333339E-4</v>
      </c>
      <c r="AP226" s="233">
        <f t="shared" si="39"/>
        <v>8.4444444444444437E-3</v>
      </c>
      <c r="AQ226" s="233">
        <f t="shared" si="40"/>
        <v>2.0277777777777777E-3</v>
      </c>
      <c r="AR226" s="233">
        <f t="shared" si="41"/>
        <v>1.7083333333333333E-4</v>
      </c>
      <c r="AS226" s="233">
        <f t="shared" si="42"/>
        <v>2.0833333333333335E-4</v>
      </c>
      <c r="AT226" s="233">
        <f t="shared" si="43"/>
        <v>1.2962962962962963E-3</v>
      </c>
      <c r="AU226" s="235">
        <f>SUM(tabParametros[[#This Row],[Ausência por Doença]:[Férias, Adicional de Férias e 13º  com empregada em gozo de Licença Maternidade]])*SUM(tabParametros[[#This Row],[INSS]:[SEBRAE]])</f>
        <v>4.5918250000000008E-3</v>
      </c>
      <c r="AV226" s="254">
        <f>IF(tabParametros[[#This Row],[Função]]="Porteiro - 220 h",SUM(tabParametros[[#This Row],[Salário Base]:[Adicional de Acúmulo de função]])/220*20*1.5,IF(ISNUMBER(SEARCH("12 x 36",tabParametros[[#This Row],[Função]],1)),SUM(tabParametros[[#This Row],[Salário Base]:[Adicional de Acúmulo de função]])/210*15.5*1.5,0))</f>
        <v>0</v>
      </c>
      <c r="AW226" s="232">
        <f>IF(tabParametros[[#This Row],[Vagas contratadas]]&gt;0,(SUM(tabParametros[[#This Row],[Salário Base]:[Adicional de Acúmulo de função]])*30%+SUM(tabParametros[[#This Row],[Vale - Alimentação]:[Seguro de Vida]]))/tabParametros[[#This Row],[Vagas contratadas]]*tabParametros[[#This Row],[Vagas suspensas]],0)</f>
        <v>0</v>
      </c>
      <c r="AX226" s="232">
        <f>SUMIF(tabUniformes[Cargo],tabParametros[[#This Row],[Função]],tabUniformes[Valor unit. Mensal])</f>
        <v>56.642978962543395</v>
      </c>
      <c r="AY22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6" s="232">
        <v>0</v>
      </c>
      <c r="BC226" s="234" t="e">
        <f ca="1">VLOOKUP(tabParametros[[#Headers],[Custos Indiretos]],tabOutrosCustos[],3,0)</f>
        <v>#NAME?</v>
      </c>
      <c r="BD226" s="234" t="e">
        <f ca="1">VLOOKUP(tabParametros[[#Headers],[Lucro]],tabOutrosCustos[],3,0)</f>
        <v>#NAME?</v>
      </c>
      <c r="BE226" s="233">
        <f>VLOOKUP(tabParametros[[#Headers],[COFINS]],tabImpostosNacionais[],2,0)</f>
        <v>7.5999999999999998E-2</v>
      </c>
      <c r="BF226" s="233">
        <f>VLOOKUP(tabParametros[[#Headers],[PIS]],tabImpostosNacionais[],2,0)</f>
        <v>1.6500000000000001E-2</v>
      </c>
      <c r="BG226" s="233">
        <f>VLOOKUP(tabParametros[[#This Row],[Comarca]],tabComarca[],4,0)</f>
        <v>0.03</v>
      </c>
      <c r="BH226" s="236">
        <f>VLOOKUP(tabParametros[[#This Row],[CCT DA CATEGORIA]],tabSindicatos[],11,0)</f>
        <v>45658</v>
      </c>
      <c r="BI226" s="282" t="str">
        <f>VLOOKUP(tabParametros[[#This Row],[CCT DA CATEGORIA]],tabSindicatos[],12,0)</f>
        <v>-</v>
      </c>
      <c r="BJ226" s="285" t="str">
        <f>VLOOKUP(tabParametros[[#This Row],[CCT DA CATEGORIA]],tabSindicatos[],13,0)</f>
        <v>-</v>
      </c>
    </row>
    <row r="227" spans="1:62">
      <c r="A227" s="231" t="s">
        <v>1656</v>
      </c>
      <c r="B227" s="197" t="s">
        <v>1170</v>
      </c>
      <c r="C227" s="197" t="s">
        <v>319</v>
      </c>
      <c r="D227" s="197" t="str">
        <f>VLOOKUP(tabParametros[[#This Row],[Código do Posto]],tabPostos[],4,0)</f>
        <v>Fethemg Interior</v>
      </c>
      <c r="E227" s="282" t="str">
        <f>VLOOKUP(tabParametros[[#This Row],[Código do Posto]],tabPostos[],5,0)</f>
        <v>Apoio</v>
      </c>
      <c r="F227" s="282" t="str">
        <f>VLOOKUP(tabParametros[[#This Row],[Código do Posto]],tabPostos[],6,0)</f>
        <v>PGJ</v>
      </c>
      <c r="G227" s="282">
        <f>VLOOKUP(tabParametros[[#This Row],[Código do Posto]],tabPostos[],7,0)</f>
        <v>1</v>
      </c>
      <c r="H227" s="282">
        <f>VLOOKUP(tabParametros[[#This Row],[Código do Posto]],tabPostos[],8,0)</f>
        <v>0</v>
      </c>
      <c r="I227" s="232">
        <f>VLOOKUP(tabParametros[[#This Row],[Código do Posto]],tabPostos[],9,0)</f>
        <v>2316.2296840668359</v>
      </c>
      <c r="J227" s="232">
        <f>IF(ISNUMBER(SEARCH("Eletricista",tabParametros[[#This Row],[Função]],1)),0.3*tabParametros[[#This Row],[Salário Base]],0)</f>
        <v>0</v>
      </c>
      <c r="K22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7" s="232">
        <f>IF(AND(ISNUMBER(SEARCH("Noturno",tabParametros[[#This Row],[Função]],1)),tabParametros[[#This Row],[Comarca]]&lt;&gt;"Juiz de Fora"),tabParametros[[#This Row],[Salário Base]]/210*0.39*7*15.5,IF(ISNUMBER(SEARCH("Noturno",tabParametros[[#This Row],[Função]],1)),tabParametros[[#This Row],[Salário Base]]/210*0.2*8*15.5,0))</f>
        <v>0</v>
      </c>
      <c r="M227" s="232">
        <f>IF(ISNUMBER(SEARCH("Motorista II",tabParametros[[#This Row],[Função]],1)),0.3022*tabParametros[[#This Row],[Salário Base]],0)</f>
        <v>0</v>
      </c>
      <c r="N227" s="254">
        <v>0</v>
      </c>
      <c r="O227" s="254">
        <f>IF(ISNUMBER(SEARCH("TECNOLOGIA DA INFORMACAO",tabParametros[[#This Row],[Função]],1)),0.056*tabParametros[[#This Row],[Salário Base]],0)</f>
        <v>0</v>
      </c>
      <c r="P227" s="232">
        <f>IF(tabParametros[[#This Row],[Função]]="Operador de Midia Audiovisual - 150 h",tabParametros[[#This Row],[Salário Base]]/150*50*30%,IF(tabParametros[[#This Row],[Função]]="Supervisor de Manutencao de Veiculos II - 220 h",12%*tabParametros[[#This Row],[Salário Base]],0))</f>
        <v>0</v>
      </c>
      <c r="Q227" s="233">
        <f>VLOOKUP(tabParametros[[#Headers],[INSS]],tabImpostosNacionais[],2,0)</f>
        <v>0.2</v>
      </c>
      <c r="R227" s="233">
        <f>VLOOKUP(tabParametros[[#Headers],[SESI OU SESC]],tabImpostosNacionais[],2,0)</f>
        <v>1.4999999999999999E-2</v>
      </c>
      <c r="S227" s="233">
        <f>VLOOKUP(tabParametros[[#Headers],[SENAI OU SENAC]],tabImpostosNacionais[],2,0)</f>
        <v>0.01</v>
      </c>
      <c r="T227" s="233">
        <f>VLOOKUP(tabParametros[[#Headers],[INCRA]],tabImpostosNacionais[],2,0)</f>
        <v>2E-3</v>
      </c>
      <c r="U227" s="233">
        <f>VLOOKUP(tabParametros[[#Headers],[Salário Educação]],tabImpostosNacionais[],2,0)</f>
        <v>2.5000000000000001E-2</v>
      </c>
      <c r="V227" s="233">
        <f>VLOOKUP(tabParametros[[#Headers],[FGTS]],tabImpostosNacionais[],2,0)</f>
        <v>0.08</v>
      </c>
      <c r="W227" s="233">
        <f>VLOOKUP(tabParametros[[#Headers],[RAT Ajustado]],tabImpostosNacionais[],2,0)</f>
        <v>0.04</v>
      </c>
      <c r="X227" s="233">
        <f>VLOOKUP(tabParametros[[#Headers],[SEBRAE]],tabImpostosNacionais[],2,0)</f>
        <v>6.0000000000000001E-3</v>
      </c>
      <c r="Y227" s="233">
        <f t="shared" si="33"/>
        <v>8.3333333333333329E-2</v>
      </c>
      <c r="Z227" s="233">
        <f t="shared" si="34"/>
        <v>0.1111111111111111</v>
      </c>
      <c r="AA227" s="232">
        <f>VLOOKUP(tabParametros[[#This Row],[Comarca]],tabComarca[],5,0)</f>
        <v>6.4</v>
      </c>
      <c r="AB227" s="232">
        <f>VLOOKUP(tabParametros[[#This Row],[CCT DA CATEGORIA]],tabSindicatos[],6,0)</f>
        <v>29.15</v>
      </c>
      <c r="AC227" s="232">
        <f>VLOOKUP(tabParametros[[#This Row],[CCT DA CATEGORIA]],tabSindicatos[],7,0)</f>
        <v>0</v>
      </c>
      <c r="AD227" s="232" cm="1">
        <f t="array" ref="AD22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27" s="232">
        <f>VLOOKUP(tabParametros[[#This Row],[CCT DA CATEGORIA]],tabSindicatos[],9,0)</f>
        <v>15.07</v>
      </c>
      <c r="AF227" s="232">
        <f>VLOOKUP(tabParametros[[#This Row],[CCT DA CATEGORIA]],tabSindicatos[],10,0)</f>
        <v>0</v>
      </c>
      <c r="AG227" s="234">
        <f>VLOOKUP(tabParametros[[#Headers],[Seguro de Vida]],tabOutrosCustos[],3,0)</f>
        <v>3.36</v>
      </c>
      <c r="AH227" s="234">
        <f>IF(ISNUMBER(SEARCH("MOTORISTA",tabParametros[[#This Row],[Função]],1)),VLOOKUP("MOTORISTAS",tabDiarias[],2,0),IF(tabParametros[[#This Row],[Comarca]]="Belo Horizonte",VLOOKUP("APOIO",tabDiarias[],2,0),0))</f>
        <v>0</v>
      </c>
      <c r="AI227" s="233">
        <f t="shared" si="35"/>
        <v>7.011766975308642E-3</v>
      </c>
      <c r="AJ227" s="235">
        <f>tabParametros[[#This Row],[FGTS]]*tabParametros[[#This Row],[Aviso Prévio Indenizado (API) e Reflexo do Aviso Prévio Indenizado]]</f>
        <v>5.609413580246914E-4</v>
      </c>
      <c r="AK227" s="235">
        <f>tabParametros[[#This Row],[FGTS]]*tabParametros[[#This Row],[Aviso Prévio Indenizado (API) e Reflexo do Aviso Prévio Indenizado]]*40%</f>
        <v>2.2437654320987658E-4</v>
      </c>
      <c r="AL227" s="233">
        <f t="shared" si="36"/>
        <v>3.5000000000000005E-3</v>
      </c>
      <c r="AM227" s="233">
        <f>tabParametros[[#This Row],[Aviso Prévio Trabalhado - APT]]*SUM(tabParametros[[#This Row],[INSS]:[SEBRAE]])</f>
        <v>1.3230000000000004E-3</v>
      </c>
      <c r="AN227" s="233">
        <f t="shared" si="37"/>
        <v>3.0577777777777773E-2</v>
      </c>
      <c r="AO227" s="233">
        <f t="shared" si="38"/>
        <v>8.3333333333333339E-4</v>
      </c>
      <c r="AP227" s="233">
        <f t="shared" si="39"/>
        <v>8.4444444444444437E-3</v>
      </c>
      <c r="AQ227" s="233">
        <f t="shared" si="40"/>
        <v>2.0277777777777777E-3</v>
      </c>
      <c r="AR227" s="233">
        <f t="shared" si="41"/>
        <v>1.7083333333333333E-4</v>
      </c>
      <c r="AS227" s="233">
        <f t="shared" si="42"/>
        <v>2.0833333333333335E-4</v>
      </c>
      <c r="AT227" s="233">
        <f t="shared" si="43"/>
        <v>1.2962962962962963E-3</v>
      </c>
      <c r="AU227" s="235">
        <f>SUM(tabParametros[[#This Row],[Ausência por Doença]:[Férias, Adicional de Férias e 13º  com empregada em gozo de Licença Maternidade]])*SUM(tabParametros[[#This Row],[INSS]:[SEBRAE]])</f>
        <v>4.5918250000000008E-3</v>
      </c>
      <c r="AV227" s="254">
        <f>IF(tabParametros[[#This Row],[Função]]="Porteiro - 220 h",SUM(tabParametros[[#This Row],[Salário Base]:[Adicional de Acúmulo de função]])/220*20*1.5,IF(ISNUMBER(SEARCH("12 x 36",tabParametros[[#This Row],[Função]],1)),SUM(tabParametros[[#This Row],[Salário Base]:[Adicional de Acúmulo de função]])/210*15.5*1.5,0))</f>
        <v>0</v>
      </c>
      <c r="AW227" s="232">
        <f>IF(tabParametros[[#This Row],[Vagas contratadas]]&gt;0,(SUM(tabParametros[[#This Row],[Salário Base]:[Adicional de Acúmulo de função]])*30%+SUM(tabParametros[[#This Row],[Vale - Alimentação]:[Seguro de Vida]]))/tabParametros[[#This Row],[Vagas contratadas]]*tabParametros[[#This Row],[Vagas suspensas]],0)</f>
        <v>0</v>
      </c>
      <c r="AX227" s="232">
        <f>SUMIF(tabUniformes[Cargo],tabParametros[[#This Row],[Função]],tabUniformes[Valor unit. Mensal])</f>
        <v>56.642978962543395</v>
      </c>
      <c r="AY22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7" s="232">
        <v>0</v>
      </c>
      <c r="BC227" s="234" t="e">
        <f ca="1">VLOOKUP(tabParametros[[#Headers],[Custos Indiretos]],tabOutrosCustos[],3,0)</f>
        <v>#NAME?</v>
      </c>
      <c r="BD227" s="234" t="e">
        <f ca="1">VLOOKUP(tabParametros[[#Headers],[Lucro]],tabOutrosCustos[],3,0)</f>
        <v>#NAME?</v>
      </c>
      <c r="BE227" s="233">
        <f>VLOOKUP(tabParametros[[#Headers],[COFINS]],tabImpostosNacionais[],2,0)</f>
        <v>7.5999999999999998E-2</v>
      </c>
      <c r="BF227" s="233">
        <f>VLOOKUP(tabParametros[[#Headers],[PIS]],tabImpostosNacionais[],2,0)</f>
        <v>1.6500000000000001E-2</v>
      </c>
      <c r="BG227" s="233">
        <f>VLOOKUP(tabParametros[[#This Row],[Comarca]],tabComarca[],4,0)</f>
        <v>0.03</v>
      </c>
      <c r="BH227" s="236">
        <f>VLOOKUP(tabParametros[[#This Row],[CCT DA CATEGORIA]],tabSindicatos[],11,0)</f>
        <v>45658</v>
      </c>
      <c r="BI227" s="282" t="str">
        <f>VLOOKUP(tabParametros[[#This Row],[CCT DA CATEGORIA]],tabSindicatos[],12,0)</f>
        <v>-</v>
      </c>
      <c r="BJ227" s="285" t="str">
        <f>VLOOKUP(tabParametros[[#This Row],[CCT DA CATEGORIA]],tabSindicatos[],13,0)</f>
        <v>-</v>
      </c>
    </row>
    <row r="228" spans="1:62">
      <c r="A228" s="231" t="s">
        <v>1657</v>
      </c>
      <c r="B228" s="197" t="s">
        <v>1171</v>
      </c>
      <c r="C228" s="197" t="s">
        <v>314</v>
      </c>
      <c r="D228" s="197" t="str">
        <f>VLOOKUP(tabParametros[[#This Row],[Código do Posto]],tabPostos[],4,0)</f>
        <v>Fethemg Interior</v>
      </c>
      <c r="E228" s="282" t="str">
        <f>VLOOKUP(tabParametros[[#This Row],[Código do Posto]],tabPostos[],5,0)</f>
        <v>Apoio</v>
      </c>
      <c r="F228" s="282" t="str">
        <f>VLOOKUP(tabParametros[[#This Row],[Código do Posto]],tabPostos[],6,0)</f>
        <v>PGJ</v>
      </c>
      <c r="G228" s="282">
        <f>VLOOKUP(tabParametros[[#This Row],[Código do Posto]],tabPostos[],7,0)</f>
        <v>1</v>
      </c>
      <c r="H228" s="282">
        <f>VLOOKUP(tabParametros[[#This Row],[Código do Posto]],tabPostos[],8,0)</f>
        <v>0</v>
      </c>
      <c r="I228" s="232">
        <f>VLOOKUP(tabParametros[[#This Row],[Código do Posto]],tabPostos[],9,0)</f>
        <v>1963.4110092077037</v>
      </c>
      <c r="J228" s="232">
        <f>IF(ISNUMBER(SEARCH("Eletricista",tabParametros[[#This Row],[Função]],1)),0.3*tabParametros[[#This Row],[Salário Base]],0)</f>
        <v>0</v>
      </c>
      <c r="K22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8" s="232">
        <f>IF(AND(ISNUMBER(SEARCH("Noturno",tabParametros[[#This Row],[Função]],1)),tabParametros[[#This Row],[Comarca]]&lt;&gt;"Juiz de Fora"),tabParametros[[#This Row],[Salário Base]]/210*0.39*7*15.5,IF(ISNUMBER(SEARCH("Noturno",tabParametros[[#This Row],[Função]],1)),tabParametros[[#This Row],[Salário Base]]/210*0.2*8*15.5,0))</f>
        <v>0</v>
      </c>
      <c r="M228" s="232">
        <f>IF(ISNUMBER(SEARCH("Motorista II",tabParametros[[#This Row],[Função]],1)),0.3022*tabParametros[[#This Row],[Salário Base]],0)</f>
        <v>0</v>
      </c>
      <c r="N228" s="254">
        <v>0</v>
      </c>
      <c r="O228" s="254">
        <f>IF(ISNUMBER(SEARCH("TECNOLOGIA DA INFORMACAO",tabParametros[[#This Row],[Função]],1)),0.056*tabParametros[[#This Row],[Salário Base]],0)</f>
        <v>0</v>
      </c>
      <c r="P228" s="232">
        <f>IF(tabParametros[[#This Row],[Função]]="Operador de Midia Audiovisual - 150 h",tabParametros[[#This Row],[Salário Base]]/150*50*30%,IF(tabParametros[[#This Row],[Função]]="Supervisor de Manutencao de Veiculos II - 220 h",12%*tabParametros[[#This Row],[Salário Base]],0))</f>
        <v>0</v>
      </c>
      <c r="Q228" s="233">
        <f>VLOOKUP(tabParametros[[#Headers],[INSS]],tabImpostosNacionais[],2,0)</f>
        <v>0.2</v>
      </c>
      <c r="R228" s="233">
        <f>VLOOKUP(tabParametros[[#Headers],[SESI OU SESC]],tabImpostosNacionais[],2,0)</f>
        <v>1.4999999999999999E-2</v>
      </c>
      <c r="S228" s="233">
        <f>VLOOKUP(tabParametros[[#Headers],[SENAI OU SENAC]],tabImpostosNacionais[],2,0)</f>
        <v>0.01</v>
      </c>
      <c r="T228" s="233">
        <f>VLOOKUP(tabParametros[[#Headers],[INCRA]],tabImpostosNacionais[],2,0)</f>
        <v>2E-3</v>
      </c>
      <c r="U228" s="233">
        <f>VLOOKUP(tabParametros[[#Headers],[Salário Educação]],tabImpostosNacionais[],2,0)</f>
        <v>2.5000000000000001E-2</v>
      </c>
      <c r="V228" s="233">
        <f>VLOOKUP(tabParametros[[#Headers],[FGTS]],tabImpostosNacionais[],2,0)</f>
        <v>0.08</v>
      </c>
      <c r="W228" s="233">
        <f>VLOOKUP(tabParametros[[#Headers],[RAT Ajustado]],tabImpostosNacionais[],2,0)</f>
        <v>0.04</v>
      </c>
      <c r="X228" s="233">
        <f>VLOOKUP(tabParametros[[#Headers],[SEBRAE]],tabImpostosNacionais[],2,0)</f>
        <v>6.0000000000000001E-3</v>
      </c>
      <c r="Y228" s="233">
        <f t="shared" si="33"/>
        <v>8.3333333333333329E-2</v>
      </c>
      <c r="Z228" s="233">
        <f t="shared" si="34"/>
        <v>0.1111111111111111</v>
      </c>
      <c r="AA228" s="232">
        <f>VLOOKUP(tabParametros[[#This Row],[Comarca]],tabComarca[],5,0)</f>
        <v>6.4</v>
      </c>
      <c r="AB228" s="232">
        <f>VLOOKUP(tabParametros[[#This Row],[CCT DA CATEGORIA]],tabSindicatos[],6,0)</f>
        <v>29.15</v>
      </c>
      <c r="AC228" s="232">
        <f>VLOOKUP(tabParametros[[#This Row],[CCT DA CATEGORIA]],tabSindicatos[],7,0)</f>
        <v>0</v>
      </c>
      <c r="AD228" s="232" cm="1">
        <f t="array" ref="AD22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28" s="232">
        <f>VLOOKUP(tabParametros[[#This Row],[CCT DA CATEGORIA]],tabSindicatos[],9,0)</f>
        <v>15.07</v>
      </c>
      <c r="AF228" s="232">
        <f>VLOOKUP(tabParametros[[#This Row],[CCT DA CATEGORIA]],tabSindicatos[],10,0)</f>
        <v>0</v>
      </c>
      <c r="AG228" s="234">
        <f>VLOOKUP(tabParametros[[#Headers],[Seguro de Vida]],tabOutrosCustos[],3,0)</f>
        <v>3.36</v>
      </c>
      <c r="AH228" s="234">
        <f>IF(ISNUMBER(SEARCH("MOTORISTA",tabParametros[[#This Row],[Função]],1)),VLOOKUP("MOTORISTAS",tabDiarias[],2,0),IF(tabParametros[[#This Row],[Comarca]]="Belo Horizonte",VLOOKUP("APOIO",tabDiarias[],2,0),0))</f>
        <v>0</v>
      </c>
      <c r="AI228" s="233">
        <f t="shared" si="35"/>
        <v>7.011766975308642E-3</v>
      </c>
      <c r="AJ228" s="235">
        <f>tabParametros[[#This Row],[FGTS]]*tabParametros[[#This Row],[Aviso Prévio Indenizado (API) e Reflexo do Aviso Prévio Indenizado]]</f>
        <v>5.609413580246914E-4</v>
      </c>
      <c r="AK228" s="235">
        <f>tabParametros[[#This Row],[FGTS]]*tabParametros[[#This Row],[Aviso Prévio Indenizado (API) e Reflexo do Aviso Prévio Indenizado]]*40%</f>
        <v>2.2437654320987658E-4</v>
      </c>
      <c r="AL228" s="233">
        <f t="shared" si="36"/>
        <v>3.5000000000000005E-3</v>
      </c>
      <c r="AM228" s="233">
        <f>tabParametros[[#This Row],[Aviso Prévio Trabalhado - APT]]*SUM(tabParametros[[#This Row],[INSS]:[SEBRAE]])</f>
        <v>1.3230000000000004E-3</v>
      </c>
      <c r="AN228" s="233">
        <f t="shared" si="37"/>
        <v>3.0577777777777773E-2</v>
      </c>
      <c r="AO228" s="233">
        <f t="shared" si="38"/>
        <v>8.3333333333333339E-4</v>
      </c>
      <c r="AP228" s="233">
        <f t="shared" si="39"/>
        <v>8.4444444444444437E-3</v>
      </c>
      <c r="AQ228" s="233">
        <f t="shared" si="40"/>
        <v>2.0277777777777777E-3</v>
      </c>
      <c r="AR228" s="233">
        <f t="shared" si="41"/>
        <v>1.7083333333333333E-4</v>
      </c>
      <c r="AS228" s="233">
        <f t="shared" si="42"/>
        <v>2.0833333333333335E-4</v>
      </c>
      <c r="AT228" s="233">
        <f t="shared" si="43"/>
        <v>1.2962962962962963E-3</v>
      </c>
      <c r="AU228" s="235">
        <f>SUM(tabParametros[[#This Row],[Ausência por Doença]:[Férias, Adicional de Férias e 13º  com empregada em gozo de Licença Maternidade]])*SUM(tabParametros[[#This Row],[INSS]:[SEBRAE]])</f>
        <v>4.5918250000000008E-3</v>
      </c>
      <c r="AV228"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28" s="232">
        <f>IF(tabParametros[[#This Row],[Vagas contratadas]]&gt;0,(SUM(tabParametros[[#This Row],[Salário Base]:[Adicional de Acúmulo de função]])*30%+SUM(tabParametros[[#This Row],[Vale - Alimentação]:[Seguro de Vida]]))/tabParametros[[#This Row],[Vagas contratadas]]*tabParametros[[#This Row],[Vagas suspensas]],0)</f>
        <v>0</v>
      </c>
      <c r="AX228" s="232">
        <f>SUMIF(tabUniformes[Cargo],tabParametros[[#This Row],[Função]],tabUniformes[Valor unit. Mensal])</f>
        <v>56.642978962543395</v>
      </c>
      <c r="AY22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8" s="232">
        <v>0</v>
      </c>
      <c r="BC228" s="234" t="e">
        <f ca="1">VLOOKUP(tabParametros[[#Headers],[Custos Indiretos]],tabOutrosCustos[],3,0)</f>
        <v>#NAME?</v>
      </c>
      <c r="BD228" s="234" t="e">
        <f ca="1">VLOOKUP(tabParametros[[#Headers],[Lucro]],tabOutrosCustos[],3,0)</f>
        <v>#NAME?</v>
      </c>
      <c r="BE228" s="233">
        <f>VLOOKUP(tabParametros[[#Headers],[COFINS]],tabImpostosNacionais[],2,0)</f>
        <v>7.5999999999999998E-2</v>
      </c>
      <c r="BF228" s="233">
        <f>VLOOKUP(tabParametros[[#Headers],[PIS]],tabImpostosNacionais[],2,0)</f>
        <v>1.6500000000000001E-2</v>
      </c>
      <c r="BG228" s="233">
        <f>VLOOKUP(tabParametros[[#This Row],[Comarca]],tabComarca[],4,0)</f>
        <v>0.03</v>
      </c>
      <c r="BH228" s="236">
        <f>VLOOKUP(tabParametros[[#This Row],[CCT DA CATEGORIA]],tabSindicatos[],11,0)</f>
        <v>45658</v>
      </c>
      <c r="BI228" s="282" t="str">
        <f>VLOOKUP(tabParametros[[#This Row],[CCT DA CATEGORIA]],tabSindicatos[],12,0)</f>
        <v>-</v>
      </c>
      <c r="BJ228" s="285" t="str">
        <f>VLOOKUP(tabParametros[[#This Row],[CCT DA CATEGORIA]],tabSindicatos[],13,0)</f>
        <v>-</v>
      </c>
    </row>
    <row r="229" spans="1:62">
      <c r="A229" s="231" t="s">
        <v>1658</v>
      </c>
      <c r="B229" s="197" t="s">
        <v>1172</v>
      </c>
      <c r="C229" s="197" t="s">
        <v>274</v>
      </c>
      <c r="D229" s="197" t="str">
        <f>VLOOKUP(tabParametros[[#This Row],[Código do Posto]],tabPostos[],4,0)</f>
        <v>Rodoviarios de Belo Horizonte + SEAC-MG</v>
      </c>
      <c r="E229" s="282" t="str">
        <f>VLOOKUP(tabParametros[[#This Row],[Código do Posto]],tabPostos[],5,0)</f>
        <v>Apoio</v>
      </c>
      <c r="F229" s="282" t="str">
        <f>VLOOKUP(tabParametros[[#This Row],[Código do Posto]],tabPostos[],6,0)</f>
        <v>PGJ</v>
      </c>
      <c r="G229" s="282">
        <f>VLOOKUP(tabParametros[[#This Row],[Código do Posto]],tabPostos[],7,0)</f>
        <v>1</v>
      </c>
      <c r="H229" s="282">
        <f>VLOOKUP(tabParametros[[#This Row],[Código do Posto]],tabPostos[],8,0)</f>
        <v>0</v>
      </c>
      <c r="I229" s="232">
        <f>VLOOKUP(tabParametros[[#This Row],[Código do Posto]],tabPostos[],9,0)</f>
        <v>4558.0709943632919</v>
      </c>
      <c r="J229" s="232">
        <f>IF(ISNUMBER(SEARCH("Eletricista",tabParametros[[#This Row],[Função]],1)),0.3*tabParametros[[#This Row],[Salário Base]],0)</f>
        <v>0</v>
      </c>
      <c r="K22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29" s="232">
        <f>IF(AND(ISNUMBER(SEARCH("Noturno",tabParametros[[#This Row],[Função]],1)),tabParametros[[#This Row],[Comarca]]&lt;&gt;"Juiz de Fora"),tabParametros[[#This Row],[Salário Base]]/210*0.39*7*15.5,IF(ISNUMBER(SEARCH("Noturno",tabParametros[[#This Row],[Função]],1)),tabParametros[[#This Row],[Salário Base]]/210*0.2*8*15.5,0))</f>
        <v>0</v>
      </c>
      <c r="M229" s="232">
        <f>IF(ISNUMBER(SEARCH("Motorista II",tabParametros[[#This Row],[Função]],1)),0.3022*tabParametros[[#This Row],[Salário Base]],0)</f>
        <v>0</v>
      </c>
      <c r="N229" s="254">
        <v>0</v>
      </c>
      <c r="O229" s="254">
        <f>IF(ISNUMBER(SEARCH("TECNOLOGIA DA INFORMACAO",tabParametros[[#This Row],[Função]],1)),0.056*tabParametros[[#This Row],[Salário Base]],0)</f>
        <v>0</v>
      </c>
      <c r="P229" s="232">
        <f>IF(tabParametros[[#This Row],[Função]]="Operador de Midia Audiovisual - 150 h",tabParametros[[#This Row],[Salário Base]]/150*50*30%,IF(tabParametros[[#This Row],[Função]]="Supervisor de Manutencao de Veiculos II - 220 h",12%*tabParametros[[#This Row],[Salário Base]],0))</f>
        <v>0</v>
      </c>
      <c r="Q229" s="233">
        <f>VLOOKUP(tabParametros[[#Headers],[INSS]],tabImpostosNacionais[],2,0)</f>
        <v>0.2</v>
      </c>
      <c r="R229" s="233">
        <f>VLOOKUP(tabParametros[[#Headers],[SESI OU SESC]],tabImpostosNacionais[],2,0)</f>
        <v>1.4999999999999999E-2</v>
      </c>
      <c r="S229" s="233">
        <f>VLOOKUP(tabParametros[[#Headers],[SENAI OU SENAC]],tabImpostosNacionais[],2,0)</f>
        <v>0.01</v>
      </c>
      <c r="T229" s="233">
        <f>VLOOKUP(tabParametros[[#Headers],[INCRA]],tabImpostosNacionais[],2,0)</f>
        <v>2E-3</v>
      </c>
      <c r="U229" s="233">
        <f>VLOOKUP(tabParametros[[#Headers],[Salário Educação]],tabImpostosNacionais[],2,0)</f>
        <v>2.5000000000000001E-2</v>
      </c>
      <c r="V229" s="233">
        <f>VLOOKUP(tabParametros[[#Headers],[FGTS]],tabImpostosNacionais[],2,0)</f>
        <v>0.08</v>
      </c>
      <c r="W229" s="233">
        <f>VLOOKUP(tabParametros[[#Headers],[RAT Ajustado]],tabImpostosNacionais[],2,0)</f>
        <v>0.04</v>
      </c>
      <c r="X229" s="233">
        <f>VLOOKUP(tabParametros[[#Headers],[SEBRAE]],tabImpostosNacionais[],2,0)</f>
        <v>6.0000000000000001E-3</v>
      </c>
      <c r="Y229" s="233">
        <f t="shared" si="33"/>
        <v>8.3333333333333329E-2</v>
      </c>
      <c r="Z229" s="233">
        <f t="shared" si="34"/>
        <v>0.1111111111111111</v>
      </c>
      <c r="AA229" s="232">
        <f>VLOOKUP(tabParametros[[#This Row],[Comarca]],tabComarca[],5,0)</f>
        <v>6.4</v>
      </c>
      <c r="AB229" s="232">
        <f>VLOOKUP(tabParametros[[#This Row],[CCT DA CATEGORIA]],tabSindicatos[],6,0)</f>
        <v>28.97</v>
      </c>
      <c r="AC229" s="232">
        <f>VLOOKUP(tabParametros[[#This Row],[CCT DA CATEGORIA]],tabSindicatos[],7,0)</f>
        <v>0</v>
      </c>
      <c r="AD229" s="232" cm="1">
        <f t="array" ref="AD22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18.350000000000001</v>
      </c>
      <c r="AE229" s="232">
        <f>VLOOKUP(tabParametros[[#This Row],[CCT DA CATEGORIA]],tabSindicatos[],9,0)</f>
        <v>0</v>
      </c>
      <c r="AF229" s="232">
        <f>VLOOKUP(tabParametros[[#This Row],[CCT DA CATEGORIA]],tabSindicatos[],10,0)</f>
        <v>0</v>
      </c>
      <c r="AG229" s="234">
        <f>VLOOKUP(tabParametros[[#Headers],[Seguro de Vida]],tabOutrosCustos[],3,0)</f>
        <v>3.36</v>
      </c>
      <c r="AH229" s="234">
        <f>IF(ISNUMBER(SEARCH("MOTORISTA",tabParametros[[#This Row],[Função]],1)),VLOOKUP("MOTORISTAS",tabDiarias[],2,0),IF(tabParametros[[#This Row],[Comarca]]="Belo Horizonte",VLOOKUP("APOIO",tabDiarias[],2,0),0))</f>
        <v>662.42</v>
      </c>
      <c r="AI229" s="233">
        <f t="shared" si="35"/>
        <v>7.011766975308642E-3</v>
      </c>
      <c r="AJ229" s="235">
        <f>tabParametros[[#This Row],[FGTS]]*tabParametros[[#This Row],[Aviso Prévio Indenizado (API) e Reflexo do Aviso Prévio Indenizado]]</f>
        <v>5.609413580246914E-4</v>
      </c>
      <c r="AK229" s="235">
        <f>tabParametros[[#This Row],[FGTS]]*tabParametros[[#This Row],[Aviso Prévio Indenizado (API) e Reflexo do Aviso Prévio Indenizado]]*40%</f>
        <v>2.2437654320987658E-4</v>
      </c>
      <c r="AL229" s="233">
        <f t="shared" si="36"/>
        <v>3.5000000000000005E-3</v>
      </c>
      <c r="AM229" s="233">
        <f>tabParametros[[#This Row],[Aviso Prévio Trabalhado - APT]]*SUM(tabParametros[[#This Row],[INSS]:[SEBRAE]])</f>
        <v>1.3230000000000004E-3</v>
      </c>
      <c r="AN229" s="233">
        <f t="shared" si="37"/>
        <v>3.0577777777777773E-2</v>
      </c>
      <c r="AO229" s="233">
        <f t="shared" si="38"/>
        <v>8.3333333333333339E-4</v>
      </c>
      <c r="AP229" s="233">
        <f t="shared" si="39"/>
        <v>8.4444444444444437E-3</v>
      </c>
      <c r="AQ229" s="233">
        <f t="shared" si="40"/>
        <v>2.0277777777777777E-3</v>
      </c>
      <c r="AR229" s="233">
        <f t="shared" si="41"/>
        <v>1.7083333333333333E-4</v>
      </c>
      <c r="AS229" s="233">
        <f t="shared" si="42"/>
        <v>2.0833333333333335E-4</v>
      </c>
      <c r="AT229" s="233">
        <f t="shared" si="43"/>
        <v>1.2962962962962963E-3</v>
      </c>
      <c r="AU229" s="235">
        <f>SUM(tabParametros[[#This Row],[Ausência por Doença]:[Férias, Adicional de Férias e 13º  com empregada em gozo de Licença Maternidade]])*SUM(tabParametros[[#This Row],[INSS]:[SEBRAE]])</f>
        <v>4.5918250000000008E-3</v>
      </c>
      <c r="AV229" s="254">
        <f>IF(tabParametros[[#This Row],[Função]]="Porteiro - 220 h",SUM(tabParametros[[#This Row],[Salário Base]:[Adicional de Acúmulo de função]])/220*20*1.5,IF(ISNUMBER(SEARCH("12 x 36",tabParametros[[#This Row],[Função]],1)),SUM(tabParametros[[#This Row],[Salário Base]:[Adicional de Acúmulo de função]])/210*15.5*1.5,0))</f>
        <v>0</v>
      </c>
      <c r="AW229" s="232">
        <f>IF(tabParametros[[#This Row],[Vagas contratadas]]&gt;0,(SUM(tabParametros[[#This Row],[Salário Base]:[Adicional de Acúmulo de função]])*30%+SUM(tabParametros[[#This Row],[Vale - Alimentação]:[Seguro de Vida]]))/tabParametros[[#This Row],[Vagas contratadas]]*tabParametros[[#This Row],[Vagas suspensas]],0)</f>
        <v>0</v>
      </c>
      <c r="AX229" s="232">
        <f>SUMIF(tabUniformes[Cargo],tabParametros[[#This Row],[Função]],tabUniformes[Valor unit. Mensal])</f>
        <v>92.100763771570698</v>
      </c>
      <c r="AY22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2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2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29" s="232">
        <v>0</v>
      </c>
      <c r="BC229" s="234" t="e">
        <f ca="1">VLOOKUP(tabParametros[[#Headers],[Custos Indiretos]],tabOutrosCustos[],3,0)</f>
        <v>#NAME?</v>
      </c>
      <c r="BD229" s="234" t="e">
        <f ca="1">VLOOKUP(tabParametros[[#Headers],[Lucro]],tabOutrosCustos[],3,0)</f>
        <v>#NAME?</v>
      </c>
      <c r="BE229" s="233">
        <f>VLOOKUP(tabParametros[[#Headers],[COFINS]],tabImpostosNacionais[],2,0)</f>
        <v>7.5999999999999998E-2</v>
      </c>
      <c r="BF229" s="233">
        <f>VLOOKUP(tabParametros[[#Headers],[PIS]],tabImpostosNacionais[],2,0)</f>
        <v>1.6500000000000001E-2</v>
      </c>
      <c r="BG229" s="233">
        <f>VLOOKUP(tabParametros[[#This Row],[Comarca]],tabComarca[],4,0)</f>
        <v>0.03</v>
      </c>
      <c r="BH229" s="236">
        <f>VLOOKUP(tabParametros[[#This Row],[CCT DA CATEGORIA]],tabSindicatos[],11,0)</f>
        <v>45658</v>
      </c>
      <c r="BI229" s="282" t="str">
        <f>VLOOKUP(tabParametros[[#This Row],[CCT DA CATEGORIA]],tabSindicatos[],12,0)</f>
        <v>-</v>
      </c>
      <c r="BJ229" s="285" t="str">
        <f>VLOOKUP(tabParametros[[#This Row],[CCT DA CATEGORIA]],tabSindicatos[],13,0)</f>
        <v>-</v>
      </c>
    </row>
    <row r="230" spans="1:62">
      <c r="A230" s="231" t="s">
        <v>1659</v>
      </c>
      <c r="B230" s="197" t="s">
        <v>1172</v>
      </c>
      <c r="C230" s="197" t="s">
        <v>304</v>
      </c>
      <c r="D230" s="197" t="str">
        <f>VLOOKUP(tabParametros[[#This Row],[Código do Posto]],tabPostos[],4,0)</f>
        <v>Sind - Asseio</v>
      </c>
      <c r="E230" s="282" t="str">
        <f>VLOOKUP(tabParametros[[#This Row],[Código do Posto]],tabPostos[],5,0)</f>
        <v>Apoio</v>
      </c>
      <c r="F230" s="282" t="str">
        <f>VLOOKUP(tabParametros[[#This Row],[Código do Posto]],tabPostos[],6,0)</f>
        <v>PGJ</v>
      </c>
      <c r="G230" s="282">
        <f>VLOOKUP(tabParametros[[#This Row],[Código do Posto]],tabPostos[],7,0)</f>
        <v>2</v>
      </c>
      <c r="H230" s="282">
        <f>VLOOKUP(tabParametros[[#This Row],[Código do Posto]],tabPostos[],8,0)</f>
        <v>0</v>
      </c>
      <c r="I230" s="232">
        <f>VLOOKUP(tabParametros[[#This Row],[Código do Posto]],tabPostos[],9,0)</f>
        <v>2134.8034899326635</v>
      </c>
      <c r="J230" s="232">
        <f>IF(ISNUMBER(SEARCH("Eletricista",tabParametros[[#This Row],[Função]],1)),0.3*tabParametros[[#This Row],[Salário Base]],0)</f>
        <v>0</v>
      </c>
      <c r="K23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0" s="232">
        <f>IF(AND(ISNUMBER(SEARCH("Noturno",tabParametros[[#This Row],[Função]],1)),tabParametros[[#This Row],[Comarca]]&lt;&gt;"Juiz de Fora"),tabParametros[[#This Row],[Salário Base]]/210*0.39*7*15.5,IF(ISNUMBER(SEARCH("Noturno",tabParametros[[#This Row],[Função]],1)),tabParametros[[#This Row],[Salário Base]]/210*0.2*8*15.5,0))</f>
        <v>0</v>
      </c>
      <c r="M230" s="232">
        <f>IF(ISNUMBER(SEARCH("Motorista II",tabParametros[[#This Row],[Função]],1)),0.3022*tabParametros[[#This Row],[Salário Base]],0)</f>
        <v>0</v>
      </c>
      <c r="N230" s="254">
        <v>0</v>
      </c>
      <c r="O230" s="254">
        <f>IF(ISNUMBER(SEARCH("TECNOLOGIA DA INFORMACAO",tabParametros[[#This Row],[Função]],1)),0.056*tabParametros[[#This Row],[Salário Base]],0)</f>
        <v>0</v>
      </c>
      <c r="P230" s="232">
        <f>IF(tabParametros[[#This Row],[Função]]="Operador de Midia Audiovisual - 150 h",tabParametros[[#This Row],[Salário Base]]/150*50*30%,IF(tabParametros[[#This Row],[Função]]="Supervisor de Manutencao de Veiculos II - 220 h",12%*tabParametros[[#This Row],[Salário Base]],0))</f>
        <v>0</v>
      </c>
      <c r="Q230" s="233">
        <f>VLOOKUP(tabParametros[[#Headers],[INSS]],tabImpostosNacionais[],2,0)</f>
        <v>0.2</v>
      </c>
      <c r="R230" s="233">
        <f>VLOOKUP(tabParametros[[#Headers],[SESI OU SESC]],tabImpostosNacionais[],2,0)</f>
        <v>1.4999999999999999E-2</v>
      </c>
      <c r="S230" s="233">
        <f>VLOOKUP(tabParametros[[#Headers],[SENAI OU SENAC]],tabImpostosNacionais[],2,0)</f>
        <v>0.01</v>
      </c>
      <c r="T230" s="233">
        <f>VLOOKUP(tabParametros[[#Headers],[INCRA]],tabImpostosNacionais[],2,0)</f>
        <v>2E-3</v>
      </c>
      <c r="U230" s="233">
        <f>VLOOKUP(tabParametros[[#Headers],[Salário Educação]],tabImpostosNacionais[],2,0)</f>
        <v>2.5000000000000001E-2</v>
      </c>
      <c r="V230" s="233">
        <f>VLOOKUP(tabParametros[[#Headers],[FGTS]],tabImpostosNacionais[],2,0)</f>
        <v>0.08</v>
      </c>
      <c r="W230" s="233">
        <f>VLOOKUP(tabParametros[[#Headers],[RAT Ajustado]],tabImpostosNacionais[],2,0)</f>
        <v>0.04</v>
      </c>
      <c r="X230" s="233">
        <f>VLOOKUP(tabParametros[[#Headers],[SEBRAE]],tabImpostosNacionais[],2,0)</f>
        <v>6.0000000000000001E-3</v>
      </c>
      <c r="Y230" s="233">
        <f t="shared" si="33"/>
        <v>8.3333333333333329E-2</v>
      </c>
      <c r="Z230" s="233">
        <f t="shared" si="34"/>
        <v>0.1111111111111111</v>
      </c>
      <c r="AA230" s="232">
        <f>VLOOKUP(tabParametros[[#This Row],[Comarca]],tabComarca[],5,0)</f>
        <v>6.4</v>
      </c>
      <c r="AB230" s="232">
        <f>VLOOKUP(tabParametros[[#This Row],[CCT DA CATEGORIA]],tabSindicatos[],6,0)</f>
        <v>29.15</v>
      </c>
      <c r="AC230" s="232">
        <f>VLOOKUP(tabParametros[[#This Row],[CCT DA CATEGORIA]],tabSindicatos[],7,0)</f>
        <v>0</v>
      </c>
      <c r="AD230" s="232" cm="1">
        <f t="array" ref="AD23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30" s="232">
        <f>VLOOKUP(tabParametros[[#This Row],[CCT DA CATEGORIA]],tabSindicatos[],9,0)</f>
        <v>0</v>
      </c>
      <c r="AF230" s="232">
        <f>VLOOKUP(tabParametros[[#This Row],[CCT DA CATEGORIA]],tabSindicatos[],10,0)</f>
        <v>0</v>
      </c>
      <c r="AG230" s="234">
        <f>VLOOKUP(tabParametros[[#Headers],[Seguro de Vida]],tabOutrosCustos[],3,0)</f>
        <v>3.36</v>
      </c>
      <c r="AH230" s="234">
        <f>IF(ISNUMBER(SEARCH("MOTORISTA",tabParametros[[#This Row],[Função]],1)),VLOOKUP("MOTORISTAS",tabDiarias[],2,0),IF(tabParametros[[#This Row],[Comarca]]="Belo Horizonte",VLOOKUP("APOIO",tabDiarias[],2,0),0))</f>
        <v>0</v>
      </c>
      <c r="AI230" s="233">
        <f t="shared" si="35"/>
        <v>7.011766975308642E-3</v>
      </c>
      <c r="AJ230" s="235">
        <f>tabParametros[[#This Row],[FGTS]]*tabParametros[[#This Row],[Aviso Prévio Indenizado (API) e Reflexo do Aviso Prévio Indenizado]]</f>
        <v>5.609413580246914E-4</v>
      </c>
      <c r="AK230" s="235">
        <f>tabParametros[[#This Row],[FGTS]]*tabParametros[[#This Row],[Aviso Prévio Indenizado (API) e Reflexo do Aviso Prévio Indenizado]]*40%</f>
        <v>2.2437654320987658E-4</v>
      </c>
      <c r="AL230" s="233">
        <f t="shared" si="36"/>
        <v>3.5000000000000005E-3</v>
      </c>
      <c r="AM230" s="233">
        <f>tabParametros[[#This Row],[Aviso Prévio Trabalhado - APT]]*SUM(tabParametros[[#This Row],[INSS]:[SEBRAE]])</f>
        <v>1.3230000000000004E-3</v>
      </c>
      <c r="AN230" s="233">
        <f t="shared" si="37"/>
        <v>3.0577777777777773E-2</v>
      </c>
      <c r="AO230" s="233">
        <f t="shared" si="38"/>
        <v>8.3333333333333339E-4</v>
      </c>
      <c r="AP230" s="233">
        <f t="shared" si="39"/>
        <v>8.4444444444444437E-3</v>
      </c>
      <c r="AQ230" s="233">
        <f t="shared" si="40"/>
        <v>2.0277777777777777E-3</v>
      </c>
      <c r="AR230" s="233">
        <f t="shared" si="41"/>
        <v>1.7083333333333333E-4</v>
      </c>
      <c r="AS230" s="233">
        <f t="shared" si="42"/>
        <v>2.0833333333333335E-4</v>
      </c>
      <c r="AT230" s="233">
        <f t="shared" si="43"/>
        <v>1.2962962962962963E-3</v>
      </c>
      <c r="AU230" s="235">
        <f>SUM(tabParametros[[#This Row],[Ausência por Doença]:[Férias, Adicional de Férias e 13º  com empregada em gozo de Licença Maternidade]])*SUM(tabParametros[[#This Row],[INSS]:[SEBRAE]])</f>
        <v>4.5918250000000008E-3</v>
      </c>
      <c r="AV230" s="254">
        <f>IF(tabParametros[[#This Row],[Função]]="Porteiro - 220 h",SUM(tabParametros[[#This Row],[Salário Base]:[Adicional de Acúmulo de função]])/220*20*1.5,IF(ISNUMBER(SEARCH("12 x 36",tabParametros[[#This Row],[Função]],1)),SUM(tabParametros[[#This Row],[Salário Base]:[Adicional de Acúmulo de função]])/210*15.5*1.5,0))</f>
        <v>236.35324352825916</v>
      </c>
      <c r="AW230" s="232">
        <f>IF(tabParametros[[#This Row],[Vagas contratadas]]&gt;0,(SUM(tabParametros[[#This Row],[Salário Base]:[Adicional de Acúmulo de função]])*30%+SUM(tabParametros[[#This Row],[Vale - Alimentação]:[Seguro de Vida]]))/tabParametros[[#This Row],[Vagas contratadas]]*tabParametros[[#This Row],[Vagas suspensas]],0)</f>
        <v>0</v>
      </c>
      <c r="AX230" s="232">
        <f>SUMIF(tabUniformes[Cargo],tabParametros[[#This Row],[Função]],tabUniformes[Valor unit. Mensal])</f>
        <v>56.642978962543395</v>
      </c>
      <c r="AY23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0" s="232">
        <v>0</v>
      </c>
      <c r="BC230" s="234" t="e">
        <f ca="1">VLOOKUP(tabParametros[[#Headers],[Custos Indiretos]],tabOutrosCustos[],3,0)</f>
        <v>#NAME?</v>
      </c>
      <c r="BD230" s="234" t="e">
        <f ca="1">VLOOKUP(tabParametros[[#Headers],[Lucro]],tabOutrosCustos[],3,0)</f>
        <v>#NAME?</v>
      </c>
      <c r="BE230" s="233">
        <f>VLOOKUP(tabParametros[[#Headers],[COFINS]],tabImpostosNacionais[],2,0)</f>
        <v>7.5999999999999998E-2</v>
      </c>
      <c r="BF230" s="233">
        <f>VLOOKUP(tabParametros[[#Headers],[PIS]],tabImpostosNacionais[],2,0)</f>
        <v>1.6500000000000001E-2</v>
      </c>
      <c r="BG230" s="233">
        <f>VLOOKUP(tabParametros[[#This Row],[Comarca]],tabComarca[],4,0)</f>
        <v>0.03</v>
      </c>
      <c r="BH230" s="236">
        <f>VLOOKUP(tabParametros[[#This Row],[CCT DA CATEGORIA]],tabSindicatos[],11,0)</f>
        <v>45658</v>
      </c>
      <c r="BI230" s="282" t="str">
        <f>VLOOKUP(tabParametros[[#This Row],[CCT DA CATEGORIA]],tabSindicatos[],12,0)</f>
        <v>-</v>
      </c>
      <c r="BJ230" s="285" t="str">
        <f>VLOOKUP(tabParametros[[#This Row],[CCT DA CATEGORIA]],tabSindicatos[],13,0)</f>
        <v>-</v>
      </c>
    </row>
    <row r="231" spans="1:62">
      <c r="A231" s="231" t="s">
        <v>1496</v>
      </c>
      <c r="B231" s="197" t="s">
        <v>1172</v>
      </c>
      <c r="C231" s="197" t="s">
        <v>309</v>
      </c>
      <c r="D231" s="197" t="str">
        <f>VLOOKUP(tabParametros[[#This Row],[Código do Posto]],tabPostos[],4,0)</f>
        <v>Sind - Asseio</v>
      </c>
      <c r="E231" s="282" t="str">
        <f>VLOOKUP(tabParametros[[#This Row],[Código do Posto]],tabPostos[],5,0)</f>
        <v>Apoio</v>
      </c>
      <c r="F231" s="282" t="str">
        <f>VLOOKUP(tabParametros[[#This Row],[Código do Posto]],tabPostos[],6,0)</f>
        <v>PGJ</v>
      </c>
      <c r="G231" s="282">
        <f>VLOOKUP(tabParametros[[#This Row],[Código do Posto]],tabPostos[],7,0)</f>
        <v>2</v>
      </c>
      <c r="H231" s="282">
        <f>VLOOKUP(tabParametros[[#This Row],[Código do Posto]],tabPostos[],8,0)</f>
        <v>0</v>
      </c>
      <c r="I231" s="232">
        <f>VLOOKUP(tabParametros[[#This Row],[Código do Posto]],tabPostos[],9,0)</f>
        <v>2134.8034899326635</v>
      </c>
      <c r="J231" s="232">
        <f>IF(ISNUMBER(SEARCH("Eletricista",tabParametros[[#This Row],[Função]],1)),0.3*tabParametros[[#This Row],[Salário Base]],0)</f>
        <v>0</v>
      </c>
      <c r="K23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1" s="232">
        <f>IF(AND(ISNUMBER(SEARCH("Noturno",tabParametros[[#This Row],[Função]],1)),tabParametros[[#This Row],[Comarca]]&lt;&gt;"Juiz de Fora"),tabParametros[[#This Row],[Salário Base]]/210*0.39*7*15.5,IF(ISNUMBER(SEARCH("Noturno",tabParametros[[#This Row],[Função]],1)),tabParametros[[#This Row],[Salário Base]]/210*0.2*8*15.5,0))</f>
        <v>430.16290322143169</v>
      </c>
      <c r="M231" s="232">
        <f>IF(ISNUMBER(SEARCH("Motorista II",tabParametros[[#This Row],[Função]],1)),0.3022*tabParametros[[#This Row],[Salário Base]],0)</f>
        <v>0</v>
      </c>
      <c r="N231" s="254">
        <v>0</v>
      </c>
      <c r="O231" s="254">
        <f>IF(ISNUMBER(SEARCH("TECNOLOGIA DA INFORMACAO",tabParametros[[#This Row],[Função]],1)),0.056*tabParametros[[#This Row],[Salário Base]],0)</f>
        <v>0</v>
      </c>
      <c r="P231" s="232">
        <f>IF(tabParametros[[#This Row],[Função]]="Operador de Midia Audiovisual - 150 h",tabParametros[[#This Row],[Salário Base]]/150*50*30%,IF(tabParametros[[#This Row],[Função]]="Supervisor de Manutencao de Veiculos II - 220 h",12%*tabParametros[[#This Row],[Salário Base]],0))</f>
        <v>0</v>
      </c>
      <c r="Q231" s="233">
        <f>VLOOKUP(tabParametros[[#Headers],[INSS]],tabImpostosNacionais[],2,0)</f>
        <v>0.2</v>
      </c>
      <c r="R231" s="233">
        <f>VLOOKUP(tabParametros[[#Headers],[SESI OU SESC]],tabImpostosNacionais[],2,0)</f>
        <v>1.4999999999999999E-2</v>
      </c>
      <c r="S231" s="233">
        <f>VLOOKUP(tabParametros[[#Headers],[SENAI OU SENAC]],tabImpostosNacionais[],2,0)</f>
        <v>0.01</v>
      </c>
      <c r="T231" s="233">
        <f>VLOOKUP(tabParametros[[#Headers],[INCRA]],tabImpostosNacionais[],2,0)</f>
        <v>2E-3</v>
      </c>
      <c r="U231" s="233">
        <f>VLOOKUP(tabParametros[[#Headers],[Salário Educação]],tabImpostosNacionais[],2,0)</f>
        <v>2.5000000000000001E-2</v>
      </c>
      <c r="V231" s="233">
        <f>VLOOKUP(tabParametros[[#Headers],[FGTS]],tabImpostosNacionais[],2,0)</f>
        <v>0.08</v>
      </c>
      <c r="W231" s="233">
        <f>VLOOKUP(tabParametros[[#Headers],[RAT Ajustado]],tabImpostosNacionais[],2,0)</f>
        <v>0.04</v>
      </c>
      <c r="X231" s="233">
        <f>VLOOKUP(tabParametros[[#Headers],[SEBRAE]],tabImpostosNacionais[],2,0)</f>
        <v>6.0000000000000001E-3</v>
      </c>
      <c r="Y231" s="233">
        <f t="shared" si="33"/>
        <v>8.3333333333333329E-2</v>
      </c>
      <c r="Z231" s="233">
        <f t="shared" si="34"/>
        <v>0.1111111111111111</v>
      </c>
      <c r="AA231" s="232">
        <f>VLOOKUP(tabParametros[[#This Row],[Comarca]],tabComarca[],5,0)</f>
        <v>6.4</v>
      </c>
      <c r="AB231" s="232">
        <f>VLOOKUP(tabParametros[[#This Row],[CCT DA CATEGORIA]],tabSindicatos[],6,0)</f>
        <v>29.15</v>
      </c>
      <c r="AC231" s="232">
        <f>VLOOKUP(tabParametros[[#This Row],[CCT DA CATEGORIA]],tabSindicatos[],7,0)</f>
        <v>0</v>
      </c>
      <c r="AD231" s="232" cm="1">
        <f t="array" ref="AD23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31" s="232">
        <f>VLOOKUP(tabParametros[[#This Row],[CCT DA CATEGORIA]],tabSindicatos[],9,0)</f>
        <v>0</v>
      </c>
      <c r="AF231" s="232">
        <f>VLOOKUP(tabParametros[[#This Row],[CCT DA CATEGORIA]],tabSindicatos[],10,0)</f>
        <v>0</v>
      </c>
      <c r="AG231" s="234">
        <f>VLOOKUP(tabParametros[[#Headers],[Seguro de Vida]],tabOutrosCustos[],3,0)</f>
        <v>3.36</v>
      </c>
      <c r="AH231" s="234">
        <f>IF(ISNUMBER(SEARCH("MOTORISTA",tabParametros[[#This Row],[Função]],1)),VLOOKUP("MOTORISTAS",tabDiarias[],2,0),IF(tabParametros[[#This Row],[Comarca]]="Belo Horizonte",VLOOKUP("APOIO",tabDiarias[],2,0),0))</f>
        <v>0</v>
      </c>
      <c r="AI231" s="233">
        <f t="shared" si="35"/>
        <v>7.011766975308642E-3</v>
      </c>
      <c r="AJ231" s="235">
        <f>tabParametros[[#This Row],[FGTS]]*tabParametros[[#This Row],[Aviso Prévio Indenizado (API) e Reflexo do Aviso Prévio Indenizado]]</f>
        <v>5.609413580246914E-4</v>
      </c>
      <c r="AK231" s="235">
        <f>tabParametros[[#This Row],[FGTS]]*tabParametros[[#This Row],[Aviso Prévio Indenizado (API) e Reflexo do Aviso Prévio Indenizado]]*40%</f>
        <v>2.2437654320987658E-4</v>
      </c>
      <c r="AL231" s="233">
        <f t="shared" si="36"/>
        <v>3.5000000000000005E-3</v>
      </c>
      <c r="AM231" s="233">
        <f>tabParametros[[#This Row],[Aviso Prévio Trabalhado - APT]]*SUM(tabParametros[[#This Row],[INSS]:[SEBRAE]])</f>
        <v>1.3230000000000004E-3</v>
      </c>
      <c r="AN231" s="233">
        <f t="shared" si="37"/>
        <v>3.0577777777777773E-2</v>
      </c>
      <c r="AO231" s="233">
        <f t="shared" si="38"/>
        <v>8.3333333333333339E-4</v>
      </c>
      <c r="AP231" s="233">
        <f t="shared" si="39"/>
        <v>8.4444444444444437E-3</v>
      </c>
      <c r="AQ231" s="233">
        <f t="shared" si="40"/>
        <v>2.0277777777777777E-3</v>
      </c>
      <c r="AR231" s="233">
        <f t="shared" si="41"/>
        <v>1.7083333333333333E-4</v>
      </c>
      <c r="AS231" s="233">
        <f t="shared" si="42"/>
        <v>2.0833333333333335E-4</v>
      </c>
      <c r="AT231" s="233">
        <f t="shared" si="43"/>
        <v>1.2962962962962963E-3</v>
      </c>
      <c r="AU231" s="235">
        <f>SUM(tabParametros[[#This Row],[Ausência por Doença]:[Férias, Adicional de Férias e 13º  com empregada em gozo de Licença Maternidade]])*SUM(tabParametros[[#This Row],[INSS]:[SEBRAE]])</f>
        <v>4.5918250000000008E-3</v>
      </c>
      <c r="AV231" s="254">
        <f>IF(tabParametros[[#This Row],[Função]]="Porteiro - 220 h",SUM(tabParametros[[#This Row],[Salário Base]:[Adicional de Acúmulo de função]])/220*20*1.5,IF(ISNUMBER(SEARCH("12 x 36",tabParametros[[#This Row],[Função]],1)),SUM(tabParametros[[#This Row],[Salário Base]:[Adicional de Acúmulo de função]])/210*15.5*1.5,0))</f>
        <v>283.97842209920344</v>
      </c>
      <c r="AW231" s="232">
        <f>IF(tabParametros[[#This Row],[Vagas contratadas]]&gt;0,(SUM(tabParametros[[#This Row],[Salário Base]:[Adicional de Acúmulo de função]])*30%+SUM(tabParametros[[#This Row],[Vale - Alimentação]:[Seguro de Vida]]))/tabParametros[[#This Row],[Vagas contratadas]]*tabParametros[[#This Row],[Vagas suspensas]],0)</f>
        <v>0</v>
      </c>
      <c r="AX231" s="232">
        <f>SUMIF(tabUniformes[Cargo],tabParametros[[#This Row],[Função]],tabUniformes[Valor unit. Mensal])</f>
        <v>56.642978962543395</v>
      </c>
      <c r="AY23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1" s="232">
        <v>0</v>
      </c>
      <c r="BC231" s="234" t="e">
        <f ca="1">VLOOKUP(tabParametros[[#Headers],[Custos Indiretos]],tabOutrosCustos[],3,0)</f>
        <v>#NAME?</v>
      </c>
      <c r="BD231" s="234" t="e">
        <f ca="1">VLOOKUP(tabParametros[[#Headers],[Lucro]],tabOutrosCustos[],3,0)</f>
        <v>#NAME?</v>
      </c>
      <c r="BE231" s="233">
        <f>VLOOKUP(tabParametros[[#Headers],[COFINS]],tabImpostosNacionais[],2,0)</f>
        <v>7.5999999999999998E-2</v>
      </c>
      <c r="BF231" s="233">
        <f>VLOOKUP(tabParametros[[#Headers],[PIS]],tabImpostosNacionais[],2,0)</f>
        <v>1.6500000000000001E-2</v>
      </c>
      <c r="BG231" s="233">
        <f>VLOOKUP(tabParametros[[#This Row],[Comarca]],tabComarca[],4,0)</f>
        <v>0.03</v>
      </c>
      <c r="BH231" s="236">
        <f>VLOOKUP(tabParametros[[#This Row],[CCT DA CATEGORIA]],tabSindicatos[],11,0)</f>
        <v>45658</v>
      </c>
      <c r="BI231" s="282" t="str">
        <f>VLOOKUP(tabParametros[[#This Row],[CCT DA CATEGORIA]],tabSindicatos[],12,0)</f>
        <v>-</v>
      </c>
      <c r="BJ231" s="285" t="str">
        <f>VLOOKUP(tabParametros[[#This Row],[CCT DA CATEGORIA]],tabSindicatos[],13,0)</f>
        <v>-</v>
      </c>
    </row>
    <row r="232" spans="1:62">
      <c r="A232" s="231" t="s">
        <v>1660</v>
      </c>
      <c r="B232" s="197" t="s">
        <v>1172</v>
      </c>
      <c r="C232" s="197" t="s">
        <v>319</v>
      </c>
      <c r="D232" s="197" t="str">
        <f>VLOOKUP(tabParametros[[#This Row],[Código do Posto]],tabPostos[],4,0)</f>
        <v>Sind - Asseio</v>
      </c>
      <c r="E232" s="282" t="str">
        <f>VLOOKUP(tabParametros[[#This Row],[Código do Posto]],tabPostos[],5,0)</f>
        <v>Apoio</v>
      </c>
      <c r="F232" s="282" t="str">
        <f>VLOOKUP(tabParametros[[#This Row],[Código do Posto]],tabPostos[],6,0)</f>
        <v>PGJ</v>
      </c>
      <c r="G232" s="282">
        <f>VLOOKUP(tabParametros[[#This Row],[Código do Posto]],tabPostos[],7,0)</f>
        <v>1</v>
      </c>
      <c r="H232" s="282">
        <f>VLOOKUP(tabParametros[[#This Row],[Código do Posto]],tabPostos[],8,0)</f>
        <v>0</v>
      </c>
      <c r="I232" s="232">
        <f>VLOOKUP(tabParametros[[#This Row],[Código do Posto]],tabPostos[],9,0)</f>
        <v>2316.2296840668359</v>
      </c>
      <c r="J232" s="232">
        <f>IF(ISNUMBER(SEARCH("Eletricista",tabParametros[[#This Row],[Função]],1)),0.3*tabParametros[[#This Row],[Salário Base]],0)</f>
        <v>0</v>
      </c>
      <c r="K23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2" s="232">
        <f>IF(AND(ISNUMBER(SEARCH("Noturno",tabParametros[[#This Row],[Função]],1)),tabParametros[[#This Row],[Comarca]]&lt;&gt;"Juiz de Fora"),tabParametros[[#This Row],[Salário Base]]/210*0.39*7*15.5,IF(ISNUMBER(SEARCH("Noturno",tabParametros[[#This Row],[Função]],1)),tabParametros[[#This Row],[Salário Base]]/210*0.2*8*15.5,0))</f>
        <v>0</v>
      </c>
      <c r="M232" s="232">
        <f>IF(ISNUMBER(SEARCH("Motorista II",tabParametros[[#This Row],[Função]],1)),0.3022*tabParametros[[#This Row],[Salário Base]],0)</f>
        <v>0</v>
      </c>
      <c r="N232" s="254">
        <v>0</v>
      </c>
      <c r="O232" s="254">
        <f>IF(ISNUMBER(SEARCH("TECNOLOGIA DA INFORMACAO",tabParametros[[#This Row],[Função]],1)),0.056*tabParametros[[#This Row],[Salário Base]],0)</f>
        <v>0</v>
      </c>
      <c r="P232" s="232">
        <f>IF(tabParametros[[#This Row],[Função]]="Operador de Midia Audiovisual - 150 h",tabParametros[[#This Row],[Salário Base]]/150*50*30%,IF(tabParametros[[#This Row],[Função]]="Supervisor de Manutencao de Veiculos II - 220 h",12%*tabParametros[[#This Row],[Salário Base]],0))</f>
        <v>0</v>
      </c>
      <c r="Q232" s="233">
        <f>VLOOKUP(tabParametros[[#Headers],[INSS]],tabImpostosNacionais[],2,0)</f>
        <v>0.2</v>
      </c>
      <c r="R232" s="233">
        <f>VLOOKUP(tabParametros[[#Headers],[SESI OU SESC]],tabImpostosNacionais[],2,0)</f>
        <v>1.4999999999999999E-2</v>
      </c>
      <c r="S232" s="233">
        <f>VLOOKUP(tabParametros[[#Headers],[SENAI OU SENAC]],tabImpostosNacionais[],2,0)</f>
        <v>0.01</v>
      </c>
      <c r="T232" s="233">
        <f>VLOOKUP(tabParametros[[#Headers],[INCRA]],tabImpostosNacionais[],2,0)</f>
        <v>2E-3</v>
      </c>
      <c r="U232" s="233">
        <f>VLOOKUP(tabParametros[[#Headers],[Salário Educação]],tabImpostosNacionais[],2,0)</f>
        <v>2.5000000000000001E-2</v>
      </c>
      <c r="V232" s="233">
        <f>VLOOKUP(tabParametros[[#Headers],[FGTS]],tabImpostosNacionais[],2,0)</f>
        <v>0.08</v>
      </c>
      <c r="W232" s="233">
        <f>VLOOKUP(tabParametros[[#Headers],[RAT Ajustado]],tabImpostosNacionais[],2,0)</f>
        <v>0.04</v>
      </c>
      <c r="X232" s="233">
        <f>VLOOKUP(tabParametros[[#Headers],[SEBRAE]],tabImpostosNacionais[],2,0)</f>
        <v>6.0000000000000001E-3</v>
      </c>
      <c r="Y232" s="233">
        <f t="shared" si="33"/>
        <v>8.3333333333333329E-2</v>
      </c>
      <c r="Z232" s="233">
        <f t="shared" si="34"/>
        <v>0.1111111111111111</v>
      </c>
      <c r="AA232" s="232">
        <f>VLOOKUP(tabParametros[[#This Row],[Comarca]],tabComarca[],5,0)</f>
        <v>6.4</v>
      </c>
      <c r="AB232" s="232">
        <f>VLOOKUP(tabParametros[[#This Row],[CCT DA CATEGORIA]],tabSindicatos[],6,0)</f>
        <v>29.15</v>
      </c>
      <c r="AC232" s="232">
        <f>VLOOKUP(tabParametros[[#This Row],[CCT DA CATEGORIA]],tabSindicatos[],7,0)</f>
        <v>0</v>
      </c>
      <c r="AD232" s="232" cm="1">
        <f t="array" ref="AD23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32" s="232">
        <f>VLOOKUP(tabParametros[[#This Row],[CCT DA CATEGORIA]],tabSindicatos[],9,0)</f>
        <v>0</v>
      </c>
      <c r="AF232" s="232">
        <f>VLOOKUP(tabParametros[[#This Row],[CCT DA CATEGORIA]],tabSindicatos[],10,0)</f>
        <v>0</v>
      </c>
      <c r="AG232" s="234">
        <f>VLOOKUP(tabParametros[[#Headers],[Seguro de Vida]],tabOutrosCustos[],3,0)</f>
        <v>3.36</v>
      </c>
      <c r="AH232" s="234">
        <f>IF(ISNUMBER(SEARCH("MOTORISTA",tabParametros[[#This Row],[Função]],1)),VLOOKUP("MOTORISTAS",tabDiarias[],2,0),IF(tabParametros[[#This Row],[Comarca]]="Belo Horizonte",VLOOKUP("APOIO",tabDiarias[],2,0),0))</f>
        <v>0</v>
      </c>
      <c r="AI232" s="233">
        <f t="shared" si="35"/>
        <v>7.011766975308642E-3</v>
      </c>
      <c r="AJ232" s="235">
        <f>tabParametros[[#This Row],[FGTS]]*tabParametros[[#This Row],[Aviso Prévio Indenizado (API) e Reflexo do Aviso Prévio Indenizado]]</f>
        <v>5.609413580246914E-4</v>
      </c>
      <c r="AK232" s="235">
        <f>tabParametros[[#This Row],[FGTS]]*tabParametros[[#This Row],[Aviso Prévio Indenizado (API) e Reflexo do Aviso Prévio Indenizado]]*40%</f>
        <v>2.2437654320987658E-4</v>
      </c>
      <c r="AL232" s="233">
        <f t="shared" si="36"/>
        <v>3.5000000000000005E-3</v>
      </c>
      <c r="AM232" s="233">
        <f>tabParametros[[#This Row],[Aviso Prévio Trabalhado - APT]]*SUM(tabParametros[[#This Row],[INSS]:[SEBRAE]])</f>
        <v>1.3230000000000004E-3</v>
      </c>
      <c r="AN232" s="233">
        <f t="shared" si="37"/>
        <v>3.0577777777777773E-2</v>
      </c>
      <c r="AO232" s="233">
        <f t="shared" si="38"/>
        <v>8.3333333333333339E-4</v>
      </c>
      <c r="AP232" s="233">
        <f t="shared" si="39"/>
        <v>8.4444444444444437E-3</v>
      </c>
      <c r="AQ232" s="233">
        <f t="shared" si="40"/>
        <v>2.0277777777777777E-3</v>
      </c>
      <c r="AR232" s="233">
        <f t="shared" si="41"/>
        <v>1.7083333333333333E-4</v>
      </c>
      <c r="AS232" s="233">
        <f t="shared" si="42"/>
        <v>2.0833333333333335E-4</v>
      </c>
      <c r="AT232" s="233">
        <f t="shared" si="43"/>
        <v>1.2962962962962963E-3</v>
      </c>
      <c r="AU232" s="235">
        <f>SUM(tabParametros[[#This Row],[Ausência por Doença]:[Férias, Adicional de Férias e 13º  com empregada em gozo de Licença Maternidade]])*SUM(tabParametros[[#This Row],[INSS]:[SEBRAE]])</f>
        <v>4.5918250000000008E-3</v>
      </c>
      <c r="AV232" s="254">
        <f>IF(tabParametros[[#This Row],[Função]]="Porteiro - 220 h",SUM(tabParametros[[#This Row],[Salário Base]:[Adicional de Acúmulo de função]])/220*20*1.5,IF(ISNUMBER(SEARCH("12 x 36",tabParametros[[#This Row],[Função]],1)),SUM(tabParametros[[#This Row],[Salário Base]:[Adicional de Acúmulo de função]])/210*15.5*1.5,0))</f>
        <v>0</v>
      </c>
      <c r="AW232" s="232">
        <f>IF(tabParametros[[#This Row],[Vagas contratadas]]&gt;0,(SUM(tabParametros[[#This Row],[Salário Base]:[Adicional de Acúmulo de função]])*30%+SUM(tabParametros[[#This Row],[Vale - Alimentação]:[Seguro de Vida]]))/tabParametros[[#This Row],[Vagas contratadas]]*tabParametros[[#This Row],[Vagas suspensas]],0)</f>
        <v>0</v>
      </c>
      <c r="AX232" s="232">
        <f>SUMIF(tabUniformes[Cargo],tabParametros[[#This Row],[Função]],tabUniformes[Valor unit. Mensal])</f>
        <v>56.642978962543395</v>
      </c>
      <c r="AY23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2" s="232">
        <v>0</v>
      </c>
      <c r="BC232" s="234" t="e">
        <f ca="1">VLOOKUP(tabParametros[[#Headers],[Custos Indiretos]],tabOutrosCustos[],3,0)</f>
        <v>#NAME?</v>
      </c>
      <c r="BD232" s="234" t="e">
        <f ca="1">VLOOKUP(tabParametros[[#Headers],[Lucro]],tabOutrosCustos[],3,0)</f>
        <v>#NAME?</v>
      </c>
      <c r="BE232" s="233">
        <f>VLOOKUP(tabParametros[[#Headers],[COFINS]],tabImpostosNacionais[],2,0)</f>
        <v>7.5999999999999998E-2</v>
      </c>
      <c r="BF232" s="233">
        <f>VLOOKUP(tabParametros[[#Headers],[PIS]],tabImpostosNacionais[],2,0)</f>
        <v>1.6500000000000001E-2</v>
      </c>
      <c r="BG232" s="233">
        <f>VLOOKUP(tabParametros[[#This Row],[Comarca]],tabComarca[],4,0)</f>
        <v>0.03</v>
      </c>
      <c r="BH232" s="236">
        <f>VLOOKUP(tabParametros[[#This Row],[CCT DA CATEGORIA]],tabSindicatos[],11,0)</f>
        <v>45658</v>
      </c>
      <c r="BI232" s="282" t="str">
        <f>VLOOKUP(tabParametros[[#This Row],[CCT DA CATEGORIA]],tabSindicatos[],12,0)</f>
        <v>-</v>
      </c>
      <c r="BJ232" s="285" t="str">
        <f>VLOOKUP(tabParametros[[#This Row],[CCT DA CATEGORIA]],tabSindicatos[],13,0)</f>
        <v>-</v>
      </c>
    </row>
    <row r="233" spans="1:62">
      <c r="A233" s="231" t="s">
        <v>1661</v>
      </c>
      <c r="B233" s="197" t="s">
        <v>1173</v>
      </c>
      <c r="C233" s="197" t="s">
        <v>324</v>
      </c>
      <c r="D233" s="197" t="str">
        <f>VLOOKUP(tabParametros[[#This Row],[Código do Posto]],tabPostos[],4,0)</f>
        <v>Alto Paranaiba</v>
      </c>
      <c r="E233" s="282" t="str">
        <f>VLOOKUP(tabParametros[[#This Row],[Código do Posto]],tabPostos[],5,0)</f>
        <v>Apoio</v>
      </c>
      <c r="F233" s="282" t="str">
        <f>VLOOKUP(tabParametros[[#This Row],[Código do Posto]],tabPostos[],6,0)</f>
        <v>PGJ</v>
      </c>
      <c r="G233" s="282">
        <f>VLOOKUP(tabParametros[[#This Row],[Código do Posto]],tabPostos[],7,0)</f>
        <v>1</v>
      </c>
      <c r="H233" s="282">
        <f>VLOOKUP(tabParametros[[#This Row],[Código do Posto]],tabPostos[],8,0)</f>
        <v>0</v>
      </c>
      <c r="I233" s="232">
        <f>VLOOKUP(tabParametros[[#This Row],[Código do Posto]],tabPostos[],9,0)</f>
        <v>3397.130467372021</v>
      </c>
      <c r="J233" s="232">
        <f>IF(ISNUMBER(SEARCH("Eletricista",tabParametros[[#This Row],[Função]],1)),0.3*tabParametros[[#This Row],[Salário Base]],0)</f>
        <v>0</v>
      </c>
      <c r="K23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3" s="232">
        <f>IF(AND(ISNUMBER(SEARCH("Noturno",tabParametros[[#This Row],[Função]],1)),tabParametros[[#This Row],[Comarca]]&lt;&gt;"Juiz de Fora"),tabParametros[[#This Row],[Salário Base]]/210*0.39*7*15.5,IF(ISNUMBER(SEARCH("Noturno",tabParametros[[#This Row],[Função]],1)),tabParametros[[#This Row],[Salário Base]]/210*0.2*8*15.5,0))</f>
        <v>0</v>
      </c>
      <c r="M233" s="232">
        <f>IF(ISNUMBER(SEARCH("Motorista II",tabParametros[[#This Row],[Função]],1)),0.3022*tabParametros[[#This Row],[Salário Base]],0)</f>
        <v>0</v>
      </c>
      <c r="N233" s="254">
        <v>0</v>
      </c>
      <c r="O233" s="254">
        <f>IF(ISNUMBER(SEARCH("TECNOLOGIA DA INFORMACAO",tabParametros[[#This Row],[Função]],1)),0.056*tabParametros[[#This Row],[Salário Base]],0)</f>
        <v>0</v>
      </c>
      <c r="P233" s="232">
        <f>IF(tabParametros[[#This Row],[Função]]="Operador de Midia Audiovisual - 150 h",tabParametros[[#This Row],[Salário Base]]/150*50*30%,IF(tabParametros[[#This Row],[Função]]="Supervisor de Manutencao de Veiculos II - 220 h",12%*tabParametros[[#This Row],[Salário Base]],0))</f>
        <v>0</v>
      </c>
      <c r="Q233" s="233">
        <f>VLOOKUP(tabParametros[[#Headers],[INSS]],tabImpostosNacionais[],2,0)</f>
        <v>0.2</v>
      </c>
      <c r="R233" s="233">
        <f>VLOOKUP(tabParametros[[#Headers],[SESI OU SESC]],tabImpostosNacionais[],2,0)</f>
        <v>1.4999999999999999E-2</v>
      </c>
      <c r="S233" s="233">
        <f>VLOOKUP(tabParametros[[#Headers],[SENAI OU SENAC]],tabImpostosNacionais[],2,0)</f>
        <v>0.01</v>
      </c>
      <c r="T233" s="233">
        <f>VLOOKUP(tabParametros[[#Headers],[INCRA]],tabImpostosNacionais[],2,0)</f>
        <v>2E-3</v>
      </c>
      <c r="U233" s="233">
        <f>VLOOKUP(tabParametros[[#Headers],[Salário Educação]],tabImpostosNacionais[],2,0)</f>
        <v>2.5000000000000001E-2</v>
      </c>
      <c r="V233" s="233">
        <f>VLOOKUP(tabParametros[[#Headers],[FGTS]],tabImpostosNacionais[],2,0)</f>
        <v>0.08</v>
      </c>
      <c r="W233" s="233">
        <f>VLOOKUP(tabParametros[[#Headers],[RAT Ajustado]],tabImpostosNacionais[],2,0)</f>
        <v>0.04</v>
      </c>
      <c r="X233" s="233">
        <f>VLOOKUP(tabParametros[[#Headers],[SEBRAE]],tabImpostosNacionais[],2,0)</f>
        <v>6.0000000000000001E-3</v>
      </c>
      <c r="Y233" s="233">
        <f t="shared" si="33"/>
        <v>8.3333333333333329E-2</v>
      </c>
      <c r="Z233" s="233">
        <f t="shared" si="34"/>
        <v>0.1111111111111111</v>
      </c>
      <c r="AA233" s="232">
        <f>VLOOKUP(tabParametros[[#This Row],[Comarca]],tabComarca[],5,0)</f>
        <v>6.4</v>
      </c>
      <c r="AB233" s="232">
        <f>VLOOKUP(tabParametros[[#This Row],[CCT DA CATEGORIA]],tabSindicatos[],6,0)</f>
        <v>0</v>
      </c>
      <c r="AC233" s="232">
        <f>VLOOKUP(tabParametros[[#This Row],[CCT DA CATEGORIA]],tabSindicatos[],7,0)</f>
        <v>387.79</v>
      </c>
      <c r="AD233" s="232" cm="1">
        <f t="array" ref="AD23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233" s="232">
        <f>VLOOKUP(tabParametros[[#This Row],[CCT DA CATEGORIA]],tabSindicatos[],9,0)</f>
        <v>0</v>
      </c>
      <c r="AF233" s="232">
        <f>VLOOKUP(tabParametros[[#This Row],[CCT DA CATEGORIA]],tabSindicatos[],10,0)</f>
        <v>0</v>
      </c>
      <c r="AG233" s="234">
        <f>VLOOKUP(tabParametros[[#Headers],[Seguro de Vida]],tabOutrosCustos[],3,0)</f>
        <v>3.36</v>
      </c>
      <c r="AH233" s="234">
        <f>IF(ISNUMBER(SEARCH("MOTORISTA",tabParametros[[#This Row],[Função]],1)),VLOOKUP("MOTORISTAS",tabDiarias[],2,0),IF(tabParametros[[#This Row],[Comarca]]="Belo Horizonte",VLOOKUP("APOIO",tabDiarias[],2,0),0))</f>
        <v>0</v>
      </c>
      <c r="AI233" s="233">
        <f t="shared" si="35"/>
        <v>7.011766975308642E-3</v>
      </c>
      <c r="AJ233" s="235">
        <f>tabParametros[[#This Row],[FGTS]]*tabParametros[[#This Row],[Aviso Prévio Indenizado (API) e Reflexo do Aviso Prévio Indenizado]]</f>
        <v>5.609413580246914E-4</v>
      </c>
      <c r="AK233" s="235">
        <f>tabParametros[[#This Row],[FGTS]]*tabParametros[[#This Row],[Aviso Prévio Indenizado (API) e Reflexo do Aviso Prévio Indenizado]]*40%</f>
        <v>2.2437654320987658E-4</v>
      </c>
      <c r="AL233" s="233">
        <f t="shared" si="36"/>
        <v>3.5000000000000005E-3</v>
      </c>
      <c r="AM233" s="233">
        <f>tabParametros[[#This Row],[Aviso Prévio Trabalhado - APT]]*SUM(tabParametros[[#This Row],[INSS]:[SEBRAE]])</f>
        <v>1.3230000000000004E-3</v>
      </c>
      <c r="AN233" s="233">
        <f t="shared" si="37"/>
        <v>3.0577777777777773E-2</v>
      </c>
      <c r="AO233" s="233">
        <f t="shared" si="38"/>
        <v>8.3333333333333339E-4</v>
      </c>
      <c r="AP233" s="233">
        <f t="shared" si="39"/>
        <v>8.4444444444444437E-3</v>
      </c>
      <c r="AQ233" s="233">
        <f t="shared" si="40"/>
        <v>2.0277777777777777E-3</v>
      </c>
      <c r="AR233" s="233">
        <f t="shared" si="41"/>
        <v>1.7083333333333333E-4</v>
      </c>
      <c r="AS233" s="233">
        <f t="shared" si="42"/>
        <v>2.0833333333333335E-4</v>
      </c>
      <c r="AT233" s="233">
        <f t="shared" si="43"/>
        <v>1.2962962962962963E-3</v>
      </c>
      <c r="AU233" s="235">
        <f>SUM(tabParametros[[#This Row],[Ausência por Doença]:[Férias, Adicional de Férias e 13º  com empregada em gozo de Licença Maternidade]])*SUM(tabParametros[[#This Row],[INSS]:[SEBRAE]])</f>
        <v>4.5918250000000008E-3</v>
      </c>
      <c r="AV233" s="254">
        <f>IF(tabParametros[[#This Row],[Função]]="Porteiro - 220 h",SUM(tabParametros[[#This Row],[Salário Base]:[Adicional de Acúmulo de função]])/220*20*1.5,IF(ISNUMBER(SEARCH("12 x 36",tabParametros[[#This Row],[Função]],1)),SUM(tabParametros[[#This Row],[Salário Base]:[Adicional de Acúmulo de função]])/210*15.5*1.5,0))</f>
        <v>0</v>
      </c>
      <c r="AW233" s="232">
        <f>IF(tabParametros[[#This Row],[Vagas contratadas]]&gt;0,(SUM(tabParametros[[#This Row],[Salário Base]:[Adicional de Acúmulo de função]])*30%+SUM(tabParametros[[#This Row],[Vale - Alimentação]:[Seguro de Vida]]))/tabParametros[[#This Row],[Vagas contratadas]]*tabParametros[[#This Row],[Vagas suspensas]],0)</f>
        <v>0</v>
      </c>
      <c r="AX233" s="232">
        <f>SUMIF(tabUniformes[Cargo],tabParametros[[#This Row],[Função]],tabUniformes[Valor unit. Mensal])</f>
        <v>56.642978962543395</v>
      </c>
      <c r="AY23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3" s="232">
        <v>0</v>
      </c>
      <c r="BC233" s="234" t="e">
        <f ca="1">VLOOKUP(tabParametros[[#Headers],[Custos Indiretos]],tabOutrosCustos[],3,0)</f>
        <v>#NAME?</v>
      </c>
      <c r="BD233" s="234" t="e">
        <f ca="1">VLOOKUP(tabParametros[[#Headers],[Lucro]],tabOutrosCustos[],3,0)</f>
        <v>#NAME?</v>
      </c>
      <c r="BE233" s="233">
        <f>VLOOKUP(tabParametros[[#Headers],[COFINS]],tabImpostosNacionais[],2,0)</f>
        <v>7.5999999999999998E-2</v>
      </c>
      <c r="BF233" s="233">
        <f>VLOOKUP(tabParametros[[#Headers],[PIS]],tabImpostosNacionais[],2,0)</f>
        <v>1.6500000000000001E-2</v>
      </c>
      <c r="BG233" s="233">
        <f>VLOOKUP(tabParametros[[#This Row],[Comarca]],tabComarca[],4,0)</f>
        <v>0.03</v>
      </c>
      <c r="BH233" s="236">
        <f>VLOOKUP(tabParametros[[#This Row],[CCT DA CATEGORIA]],tabSindicatos[],11,0)</f>
        <v>45658</v>
      </c>
      <c r="BI233" s="282" t="str">
        <f>VLOOKUP(tabParametros[[#This Row],[CCT DA CATEGORIA]],tabSindicatos[],12,0)</f>
        <v>-</v>
      </c>
      <c r="BJ233" s="285" t="str">
        <f>VLOOKUP(tabParametros[[#This Row],[CCT DA CATEGORIA]],tabSindicatos[],13,0)</f>
        <v>-</v>
      </c>
    </row>
    <row r="234" spans="1:62">
      <c r="A234" s="231" t="s">
        <v>1497</v>
      </c>
      <c r="B234" s="197" t="s">
        <v>1174</v>
      </c>
      <c r="C234" s="197" t="s">
        <v>200</v>
      </c>
      <c r="D234" s="197" t="str">
        <f>VLOOKUP(tabParametros[[#This Row],[Código do Posto]],tabPostos[],4,0)</f>
        <v>Regiao de Divinopolis</v>
      </c>
      <c r="E234" s="282" t="str">
        <f>VLOOKUP(tabParametros[[#This Row],[Código do Posto]],tabPostos[],5,0)</f>
        <v>Apoio</v>
      </c>
      <c r="F234" s="282" t="str">
        <f>VLOOKUP(tabParametros[[#This Row],[Código do Posto]],tabPostos[],6,0)</f>
        <v>PGJ</v>
      </c>
      <c r="G234" s="282">
        <f>VLOOKUP(tabParametros[[#This Row],[Código do Posto]],tabPostos[],7,0)</f>
        <v>1</v>
      </c>
      <c r="H234" s="282">
        <f>VLOOKUP(tabParametros[[#This Row],[Código do Posto]],tabPostos[],8,0)</f>
        <v>0</v>
      </c>
      <c r="I234" s="232">
        <f>VLOOKUP(tabParametros[[#This Row],[Código do Posto]],tabPostos[],9,0)</f>
        <v>1596.273808921236</v>
      </c>
      <c r="J234" s="232">
        <f>IF(ISNUMBER(SEARCH("Eletricista",tabParametros[[#This Row],[Função]],1)),0.3*tabParametros[[#This Row],[Salário Base]],0)</f>
        <v>0</v>
      </c>
      <c r="K23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4" s="232">
        <f>IF(AND(ISNUMBER(SEARCH("Noturno",tabParametros[[#This Row],[Função]],1)),tabParametros[[#This Row],[Comarca]]&lt;&gt;"Juiz de Fora"),tabParametros[[#This Row],[Salário Base]]/210*0.39*7*15.5,IF(ISNUMBER(SEARCH("Noturno",tabParametros[[#This Row],[Função]],1)),tabParametros[[#This Row],[Salário Base]]/210*0.2*8*15.5,0))</f>
        <v>0</v>
      </c>
      <c r="M234" s="232">
        <f>IF(ISNUMBER(SEARCH("Motorista II",tabParametros[[#This Row],[Função]],1)),0.3022*tabParametros[[#This Row],[Salário Base]],0)</f>
        <v>0</v>
      </c>
      <c r="N234" s="254">
        <v>0</v>
      </c>
      <c r="O234" s="254">
        <f>IF(ISNUMBER(SEARCH("TECNOLOGIA DA INFORMACAO",tabParametros[[#This Row],[Função]],1)),0.056*tabParametros[[#This Row],[Salário Base]],0)</f>
        <v>0</v>
      </c>
      <c r="P234" s="232">
        <f>IF(tabParametros[[#This Row],[Função]]="Operador de Midia Audiovisual - 150 h",tabParametros[[#This Row],[Salário Base]]/150*50*30%,IF(tabParametros[[#This Row],[Função]]="Supervisor de Manutencao de Veiculos II - 220 h",12%*tabParametros[[#This Row],[Salário Base]],0))</f>
        <v>0</v>
      </c>
      <c r="Q234" s="233">
        <f>VLOOKUP(tabParametros[[#Headers],[INSS]],tabImpostosNacionais[],2,0)</f>
        <v>0.2</v>
      </c>
      <c r="R234" s="233">
        <f>VLOOKUP(tabParametros[[#Headers],[SESI OU SESC]],tabImpostosNacionais[],2,0)</f>
        <v>1.4999999999999999E-2</v>
      </c>
      <c r="S234" s="233">
        <f>VLOOKUP(tabParametros[[#Headers],[SENAI OU SENAC]],tabImpostosNacionais[],2,0)</f>
        <v>0.01</v>
      </c>
      <c r="T234" s="233">
        <f>VLOOKUP(tabParametros[[#Headers],[INCRA]],tabImpostosNacionais[],2,0)</f>
        <v>2E-3</v>
      </c>
      <c r="U234" s="233">
        <f>VLOOKUP(tabParametros[[#Headers],[Salário Educação]],tabImpostosNacionais[],2,0)</f>
        <v>2.5000000000000001E-2</v>
      </c>
      <c r="V234" s="233">
        <f>VLOOKUP(tabParametros[[#Headers],[FGTS]],tabImpostosNacionais[],2,0)</f>
        <v>0.08</v>
      </c>
      <c r="W234" s="233">
        <f>VLOOKUP(tabParametros[[#Headers],[RAT Ajustado]],tabImpostosNacionais[],2,0)</f>
        <v>0.04</v>
      </c>
      <c r="X234" s="233">
        <f>VLOOKUP(tabParametros[[#Headers],[SEBRAE]],tabImpostosNacionais[],2,0)</f>
        <v>6.0000000000000001E-3</v>
      </c>
      <c r="Y234" s="233">
        <f t="shared" si="33"/>
        <v>8.3333333333333329E-2</v>
      </c>
      <c r="Z234" s="233">
        <f t="shared" si="34"/>
        <v>0.1111111111111111</v>
      </c>
      <c r="AA234" s="232">
        <f>VLOOKUP(tabParametros[[#This Row],[Comarca]],tabComarca[],5,0)</f>
        <v>6.4</v>
      </c>
      <c r="AB234" s="232">
        <f>VLOOKUP(tabParametros[[#This Row],[CCT DA CATEGORIA]],tabSindicatos[],6,0)</f>
        <v>29.15</v>
      </c>
      <c r="AC234" s="232">
        <f>VLOOKUP(tabParametros[[#This Row],[CCT DA CATEGORIA]],tabSindicatos[],7,0)</f>
        <v>0</v>
      </c>
      <c r="AD234" s="232" cm="1">
        <f t="array" ref="AD23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34" s="232">
        <f>VLOOKUP(tabParametros[[#This Row],[CCT DA CATEGORIA]],tabSindicatos[],9,0)</f>
        <v>0</v>
      </c>
      <c r="AF234" s="232">
        <f>VLOOKUP(tabParametros[[#This Row],[CCT DA CATEGORIA]],tabSindicatos[],10,0)</f>
        <v>0</v>
      </c>
      <c r="AG234" s="234">
        <f>VLOOKUP(tabParametros[[#Headers],[Seguro de Vida]],tabOutrosCustos[],3,0)</f>
        <v>3.36</v>
      </c>
      <c r="AH234" s="234">
        <f>IF(ISNUMBER(SEARCH("MOTORISTA",tabParametros[[#This Row],[Função]],1)),VLOOKUP("MOTORISTAS",tabDiarias[],2,0),IF(tabParametros[[#This Row],[Comarca]]="Belo Horizonte",VLOOKUP("APOIO",tabDiarias[],2,0),0))</f>
        <v>0</v>
      </c>
      <c r="AI234" s="233">
        <f t="shared" si="35"/>
        <v>7.011766975308642E-3</v>
      </c>
      <c r="AJ234" s="235">
        <f>tabParametros[[#This Row],[FGTS]]*tabParametros[[#This Row],[Aviso Prévio Indenizado (API) e Reflexo do Aviso Prévio Indenizado]]</f>
        <v>5.609413580246914E-4</v>
      </c>
      <c r="AK234" s="235">
        <f>tabParametros[[#This Row],[FGTS]]*tabParametros[[#This Row],[Aviso Prévio Indenizado (API) e Reflexo do Aviso Prévio Indenizado]]*40%</f>
        <v>2.2437654320987658E-4</v>
      </c>
      <c r="AL234" s="233">
        <f t="shared" si="36"/>
        <v>3.5000000000000005E-3</v>
      </c>
      <c r="AM234" s="233">
        <f>tabParametros[[#This Row],[Aviso Prévio Trabalhado - APT]]*SUM(tabParametros[[#This Row],[INSS]:[SEBRAE]])</f>
        <v>1.3230000000000004E-3</v>
      </c>
      <c r="AN234" s="233">
        <f t="shared" si="37"/>
        <v>3.0577777777777773E-2</v>
      </c>
      <c r="AO234" s="233">
        <f t="shared" si="38"/>
        <v>8.3333333333333339E-4</v>
      </c>
      <c r="AP234" s="233">
        <f t="shared" si="39"/>
        <v>8.4444444444444437E-3</v>
      </c>
      <c r="AQ234" s="233">
        <f t="shared" si="40"/>
        <v>2.0277777777777777E-3</v>
      </c>
      <c r="AR234" s="233">
        <f t="shared" si="41"/>
        <v>1.7083333333333333E-4</v>
      </c>
      <c r="AS234" s="233">
        <f t="shared" si="42"/>
        <v>2.0833333333333335E-4</v>
      </c>
      <c r="AT234" s="233">
        <f t="shared" si="43"/>
        <v>1.2962962962962963E-3</v>
      </c>
      <c r="AU234" s="235">
        <f>SUM(tabParametros[[#This Row],[Ausência por Doença]:[Férias, Adicional de Férias e 13º  com empregada em gozo de Licença Maternidade]])*SUM(tabParametros[[#This Row],[INSS]:[SEBRAE]])</f>
        <v>4.5918250000000008E-3</v>
      </c>
      <c r="AV234" s="254">
        <f>IF(tabParametros[[#This Row],[Função]]="Porteiro - 220 h",SUM(tabParametros[[#This Row],[Salário Base]:[Adicional de Acúmulo de função]])/220*20*1.5,IF(ISNUMBER(SEARCH("12 x 36",tabParametros[[#This Row],[Função]],1)),SUM(tabParametros[[#This Row],[Salário Base]:[Adicional de Acúmulo de função]])/210*15.5*1.5,0))</f>
        <v>0</v>
      </c>
      <c r="AW234" s="232">
        <f>IF(tabParametros[[#This Row],[Vagas contratadas]]&gt;0,(SUM(tabParametros[[#This Row],[Salário Base]:[Adicional de Acúmulo de função]])*30%+SUM(tabParametros[[#This Row],[Vale - Alimentação]:[Seguro de Vida]]))/tabParametros[[#This Row],[Vagas contratadas]]*tabParametros[[#This Row],[Vagas suspensas]],0)</f>
        <v>0</v>
      </c>
      <c r="AX234" s="232">
        <f>SUMIF(tabUniformes[Cargo],tabParametros[[#This Row],[Função]],tabUniformes[Valor unit. Mensal])</f>
        <v>56.141713661989918</v>
      </c>
      <c r="AY23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4" s="232">
        <v>0</v>
      </c>
      <c r="BC234" s="234" t="e">
        <f ca="1">VLOOKUP(tabParametros[[#Headers],[Custos Indiretos]],tabOutrosCustos[],3,0)</f>
        <v>#NAME?</v>
      </c>
      <c r="BD234" s="234" t="e">
        <f ca="1">VLOOKUP(tabParametros[[#Headers],[Lucro]],tabOutrosCustos[],3,0)</f>
        <v>#NAME?</v>
      </c>
      <c r="BE234" s="233">
        <f>VLOOKUP(tabParametros[[#Headers],[COFINS]],tabImpostosNacionais[],2,0)</f>
        <v>7.5999999999999998E-2</v>
      </c>
      <c r="BF234" s="233">
        <f>VLOOKUP(tabParametros[[#Headers],[PIS]],tabImpostosNacionais[],2,0)</f>
        <v>1.6500000000000001E-2</v>
      </c>
      <c r="BG234" s="233">
        <f>VLOOKUP(tabParametros[[#This Row],[Comarca]],tabComarca[],4,0)</f>
        <v>0.03</v>
      </c>
      <c r="BH234" s="236">
        <f>VLOOKUP(tabParametros[[#This Row],[CCT DA CATEGORIA]],tabSindicatos[],11,0)</f>
        <v>45658</v>
      </c>
      <c r="BI234" s="282" t="str">
        <f>VLOOKUP(tabParametros[[#This Row],[CCT DA CATEGORIA]],tabSindicatos[],12,0)</f>
        <v>-</v>
      </c>
      <c r="BJ234" s="285" t="str">
        <f>VLOOKUP(tabParametros[[#This Row],[CCT DA CATEGORIA]],tabSindicatos[],13,0)</f>
        <v>-</v>
      </c>
    </row>
    <row r="235" spans="1:62">
      <c r="A235" s="231" t="s">
        <v>1662</v>
      </c>
      <c r="B235" s="197" t="s">
        <v>1174</v>
      </c>
      <c r="C235" s="197" t="s">
        <v>324</v>
      </c>
      <c r="D235" s="197" t="str">
        <f>VLOOKUP(tabParametros[[#This Row],[Código do Posto]],tabPostos[],4,0)</f>
        <v>Regiao de Divinopolis</v>
      </c>
      <c r="E235" s="282" t="str">
        <f>VLOOKUP(tabParametros[[#This Row],[Código do Posto]],tabPostos[],5,0)</f>
        <v>Apoio</v>
      </c>
      <c r="F235" s="282" t="str">
        <f>VLOOKUP(tabParametros[[#This Row],[Código do Posto]],tabPostos[],6,0)</f>
        <v>PGJ</v>
      </c>
      <c r="G235" s="282">
        <f>VLOOKUP(tabParametros[[#This Row],[Código do Posto]],tabPostos[],7,0)</f>
        <v>1</v>
      </c>
      <c r="H235" s="282">
        <f>VLOOKUP(tabParametros[[#This Row],[Código do Posto]],tabPostos[],8,0)</f>
        <v>0</v>
      </c>
      <c r="I235" s="232">
        <f>VLOOKUP(tabParametros[[#This Row],[Código do Posto]],tabPostos[],9,0)</f>
        <v>3397.130467372021</v>
      </c>
      <c r="J235" s="232">
        <f>IF(ISNUMBER(SEARCH("Eletricista",tabParametros[[#This Row],[Função]],1)),0.3*tabParametros[[#This Row],[Salário Base]],0)</f>
        <v>0</v>
      </c>
      <c r="K23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5" s="232">
        <f>IF(AND(ISNUMBER(SEARCH("Noturno",tabParametros[[#This Row],[Função]],1)),tabParametros[[#This Row],[Comarca]]&lt;&gt;"Juiz de Fora"),tabParametros[[#This Row],[Salário Base]]/210*0.39*7*15.5,IF(ISNUMBER(SEARCH("Noturno",tabParametros[[#This Row],[Função]],1)),tabParametros[[#This Row],[Salário Base]]/210*0.2*8*15.5,0))</f>
        <v>0</v>
      </c>
      <c r="M235" s="232">
        <f>IF(ISNUMBER(SEARCH("Motorista II",tabParametros[[#This Row],[Função]],1)),0.3022*tabParametros[[#This Row],[Salário Base]],0)</f>
        <v>0</v>
      </c>
      <c r="N235" s="254">
        <v>0</v>
      </c>
      <c r="O235" s="254">
        <f>IF(ISNUMBER(SEARCH("TECNOLOGIA DA INFORMACAO",tabParametros[[#This Row],[Função]],1)),0.056*tabParametros[[#This Row],[Salário Base]],0)</f>
        <v>0</v>
      </c>
      <c r="P235" s="232">
        <f>IF(tabParametros[[#This Row],[Função]]="Operador de Midia Audiovisual - 150 h",tabParametros[[#This Row],[Salário Base]]/150*50*30%,IF(tabParametros[[#This Row],[Função]]="Supervisor de Manutencao de Veiculos II - 220 h",12%*tabParametros[[#This Row],[Salário Base]],0))</f>
        <v>0</v>
      </c>
      <c r="Q235" s="233">
        <f>VLOOKUP(tabParametros[[#Headers],[INSS]],tabImpostosNacionais[],2,0)</f>
        <v>0.2</v>
      </c>
      <c r="R235" s="233">
        <f>VLOOKUP(tabParametros[[#Headers],[SESI OU SESC]],tabImpostosNacionais[],2,0)</f>
        <v>1.4999999999999999E-2</v>
      </c>
      <c r="S235" s="233">
        <f>VLOOKUP(tabParametros[[#Headers],[SENAI OU SENAC]],tabImpostosNacionais[],2,0)</f>
        <v>0.01</v>
      </c>
      <c r="T235" s="233">
        <f>VLOOKUP(tabParametros[[#Headers],[INCRA]],tabImpostosNacionais[],2,0)</f>
        <v>2E-3</v>
      </c>
      <c r="U235" s="233">
        <f>VLOOKUP(tabParametros[[#Headers],[Salário Educação]],tabImpostosNacionais[],2,0)</f>
        <v>2.5000000000000001E-2</v>
      </c>
      <c r="V235" s="233">
        <f>VLOOKUP(tabParametros[[#Headers],[FGTS]],tabImpostosNacionais[],2,0)</f>
        <v>0.08</v>
      </c>
      <c r="W235" s="233">
        <f>VLOOKUP(tabParametros[[#Headers],[RAT Ajustado]],tabImpostosNacionais[],2,0)</f>
        <v>0.04</v>
      </c>
      <c r="X235" s="233">
        <f>VLOOKUP(tabParametros[[#Headers],[SEBRAE]],tabImpostosNacionais[],2,0)</f>
        <v>6.0000000000000001E-3</v>
      </c>
      <c r="Y235" s="233">
        <f t="shared" si="33"/>
        <v>8.3333333333333329E-2</v>
      </c>
      <c r="Z235" s="233">
        <f t="shared" si="34"/>
        <v>0.1111111111111111</v>
      </c>
      <c r="AA235" s="232">
        <f>VLOOKUP(tabParametros[[#This Row],[Comarca]],tabComarca[],5,0)</f>
        <v>6.4</v>
      </c>
      <c r="AB235" s="232">
        <f>VLOOKUP(tabParametros[[#This Row],[CCT DA CATEGORIA]],tabSindicatos[],6,0)</f>
        <v>29.15</v>
      </c>
      <c r="AC235" s="232">
        <f>VLOOKUP(tabParametros[[#This Row],[CCT DA CATEGORIA]],tabSindicatos[],7,0)</f>
        <v>0</v>
      </c>
      <c r="AD235" s="232" cm="1">
        <f t="array" ref="AD23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35" s="232">
        <f>VLOOKUP(tabParametros[[#This Row],[CCT DA CATEGORIA]],tabSindicatos[],9,0)</f>
        <v>0</v>
      </c>
      <c r="AF235" s="232">
        <f>VLOOKUP(tabParametros[[#This Row],[CCT DA CATEGORIA]],tabSindicatos[],10,0)</f>
        <v>0</v>
      </c>
      <c r="AG235" s="234">
        <f>VLOOKUP(tabParametros[[#Headers],[Seguro de Vida]],tabOutrosCustos[],3,0)</f>
        <v>3.36</v>
      </c>
      <c r="AH235" s="234">
        <f>IF(ISNUMBER(SEARCH("MOTORISTA",tabParametros[[#This Row],[Função]],1)),VLOOKUP("MOTORISTAS",tabDiarias[],2,0),IF(tabParametros[[#This Row],[Comarca]]="Belo Horizonte",VLOOKUP("APOIO",tabDiarias[],2,0),0))</f>
        <v>0</v>
      </c>
      <c r="AI235" s="233">
        <f t="shared" si="35"/>
        <v>7.011766975308642E-3</v>
      </c>
      <c r="AJ235" s="235">
        <f>tabParametros[[#This Row],[FGTS]]*tabParametros[[#This Row],[Aviso Prévio Indenizado (API) e Reflexo do Aviso Prévio Indenizado]]</f>
        <v>5.609413580246914E-4</v>
      </c>
      <c r="AK235" s="235">
        <f>tabParametros[[#This Row],[FGTS]]*tabParametros[[#This Row],[Aviso Prévio Indenizado (API) e Reflexo do Aviso Prévio Indenizado]]*40%</f>
        <v>2.2437654320987658E-4</v>
      </c>
      <c r="AL235" s="233">
        <f t="shared" si="36"/>
        <v>3.5000000000000005E-3</v>
      </c>
      <c r="AM235" s="233">
        <f>tabParametros[[#This Row],[Aviso Prévio Trabalhado - APT]]*SUM(tabParametros[[#This Row],[INSS]:[SEBRAE]])</f>
        <v>1.3230000000000004E-3</v>
      </c>
      <c r="AN235" s="233">
        <f t="shared" si="37"/>
        <v>3.0577777777777773E-2</v>
      </c>
      <c r="AO235" s="233">
        <f t="shared" si="38"/>
        <v>8.3333333333333339E-4</v>
      </c>
      <c r="AP235" s="233">
        <f t="shared" si="39"/>
        <v>8.4444444444444437E-3</v>
      </c>
      <c r="AQ235" s="233">
        <f t="shared" si="40"/>
        <v>2.0277777777777777E-3</v>
      </c>
      <c r="AR235" s="233">
        <f t="shared" si="41"/>
        <v>1.7083333333333333E-4</v>
      </c>
      <c r="AS235" s="233">
        <f t="shared" si="42"/>
        <v>2.0833333333333335E-4</v>
      </c>
      <c r="AT235" s="233">
        <f t="shared" si="43"/>
        <v>1.2962962962962963E-3</v>
      </c>
      <c r="AU235" s="235">
        <f>SUM(tabParametros[[#This Row],[Ausência por Doença]:[Férias, Adicional de Férias e 13º  com empregada em gozo de Licença Maternidade]])*SUM(tabParametros[[#This Row],[INSS]:[SEBRAE]])</f>
        <v>4.5918250000000008E-3</v>
      </c>
      <c r="AV235" s="254">
        <f>IF(tabParametros[[#This Row],[Função]]="Porteiro - 220 h",SUM(tabParametros[[#This Row],[Salário Base]:[Adicional de Acúmulo de função]])/220*20*1.5,IF(ISNUMBER(SEARCH("12 x 36",tabParametros[[#This Row],[Função]],1)),SUM(tabParametros[[#This Row],[Salário Base]:[Adicional de Acúmulo de função]])/210*15.5*1.5,0))</f>
        <v>0</v>
      </c>
      <c r="AW235" s="232">
        <f>IF(tabParametros[[#This Row],[Vagas contratadas]]&gt;0,(SUM(tabParametros[[#This Row],[Salário Base]:[Adicional de Acúmulo de função]])*30%+SUM(tabParametros[[#This Row],[Vale - Alimentação]:[Seguro de Vida]]))/tabParametros[[#This Row],[Vagas contratadas]]*tabParametros[[#This Row],[Vagas suspensas]],0)</f>
        <v>0</v>
      </c>
      <c r="AX235" s="232">
        <f>SUMIF(tabUniformes[Cargo],tabParametros[[#This Row],[Função]],tabUniformes[Valor unit. Mensal])</f>
        <v>56.642978962543395</v>
      </c>
      <c r="AY23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5" s="232">
        <v>0</v>
      </c>
      <c r="BC235" s="234" t="e">
        <f ca="1">VLOOKUP(tabParametros[[#Headers],[Custos Indiretos]],tabOutrosCustos[],3,0)</f>
        <v>#NAME?</v>
      </c>
      <c r="BD235" s="234" t="e">
        <f ca="1">VLOOKUP(tabParametros[[#Headers],[Lucro]],tabOutrosCustos[],3,0)</f>
        <v>#NAME?</v>
      </c>
      <c r="BE235" s="233">
        <f>VLOOKUP(tabParametros[[#Headers],[COFINS]],tabImpostosNacionais[],2,0)</f>
        <v>7.5999999999999998E-2</v>
      </c>
      <c r="BF235" s="233">
        <f>VLOOKUP(tabParametros[[#Headers],[PIS]],tabImpostosNacionais[],2,0)</f>
        <v>1.6500000000000001E-2</v>
      </c>
      <c r="BG235" s="233">
        <f>VLOOKUP(tabParametros[[#This Row],[Comarca]],tabComarca[],4,0)</f>
        <v>0.03</v>
      </c>
      <c r="BH235" s="236">
        <f>VLOOKUP(tabParametros[[#This Row],[CCT DA CATEGORIA]],tabSindicatos[],11,0)</f>
        <v>45658</v>
      </c>
      <c r="BI235" s="282" t="str">
        <f>VLOOKUP(tabParametros[[#This Row],[CCT DA CATEGORIA]],tabSindicatos[],12,0)</f>
        <v>-</v>
      </c>
      <c r="BJ235" s="285" t="str">
        <f>VLOOKUP(tabParametros[[#This Row],[CCT DA CATEGORIA]],tabSindicatos[],13,0)</f>
        <v>-</v>
      </c>
    </row>
    <row r="236" spans="1:62">
      <c r="A236" s="231" t="s">
        <v>1498</v>
      </c>
      <c r="B236" s="197" t="s">
        <v>1175</v>
      </c>
      <c r="C236" s="197" t="s">
        <v>314</v>
      </c>
      <c r="D236" s="197" t="str">
        <f>VLOOKUP(tabParametros[[#This Row],[Código do Posto]],tabPostos[],4,0)</f>
        <v>Regiao de Divinopolis</v>
      </c>
      <c r="E236" s="282" t="str">
        <f>VLOOKUP(tabParametros[[#This Row],[Código do Posto]],tabPostos[],5,0)</f>
        <v>Apoio</v>
      </c>
      <c r="F236" s="282" t="str">
        <f>VLOOKUP(tabParametros[[#This Row],[Código do Posto]],tabPostos[],6,0)</f>
        <v>PGJ</v>
      </c>
      <c r="G236" s="282">
        <f>VLOOKUP(tabParametros[[#This Row],[Código do Posto]],tabPostos[],7,0)</f>
        <v>1</v>
      </c>
      <c r="H236" s="282">
        <f>VLOOKUP(tabParametros[[#This Row],[Código do Posto]],tabPostos[],8,0)</f>
        <v>0</v>
      </c>
      <c r="I236" s="232">
        <f>VLOOKUP(tabParametros[[#This Row],[Código do Posto]],tabPostos[],9,0)</f>
        <v>1963.4050319620983</v>
      </c>
      <c r="J236" s="232">
        <f>IF(ISNUMBER(SEARCH("Eletricista",tabParametros[[#This Row],[Função]],1)),0.3*tabParametros[[#This Row],[Salário Base]],0)</f>
        <v>0</v>
      </c>
      <c r="K23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6" s="232">
        <f>IF(AND(ISNUMBER(SEARCH("Noturno",tabParametros[[#This Row],[Função]],1)),tabParametros[[#This Row],[Comarca]]&lt;&gt;"Juiz de Fora"),tabParametros[[#This Row],[Salário Base]]/210*0.39*7*15.5,IF(ISNUMBER(SEARCH("Noturno",tabParametros[[#This Row],[Função]],1)),tabParametros[[#This Row],[Salário Base]]/210*0.2*8*15.5,0))</f>
        <v>0</v>
      </c>
      <c r="M236" s="232">
        <f>IF(ISNUMBER(SEARCH("Motorista II",tabParametros[[#This Row],[Função]],1)),0.3022*tabParametros[[#This Row],[Salário Base]],0)</f>
        <v>0</v>
      </c>
      <c r="N236" s="254">
        <v>0</v>
      </c>
      <c r="O236" s="254">
        <f>IF(ISNUMBER(SEARCH("TECNOLOGIA DA INFORMACAO",tabParametros[[#This Row],[Função]],1)),0.056*tabParametros[[#This Row],[Salário Base]],0)</f>
        <v>0</v>
      </c>
      <c r="P236" s="232">
        <f>IF(tabParametros[[#This Row],[Função]]="Operador de Midia Audiovisual - 150 h",tabParametros[[#This Row],[Salário Base]]/150*50*30%,IF(tabParametros[[#This Row],[Função]]="Supervisor de Manutencao de Veiculos II - 220 h",12%*tabParametros[[#This Row],[Salário Base]],0))</f>
        <v>0</v>
      </c>
      <c r="Q236" s="233">
        <f>VLOOKUP(tabParametros[[#Headers],[INSS]],tabImpostosNacionais[],2,0)</f>
        <v>0.2</v>
      </c>
      <c r="R236" s="233">
        <f>VLOOKUP(tabParametros[[#Headers],[SESI OU SESC]],tabImpostosNacionais[],2,0)</f>
        <v>1.4999999999999999E-2</v>
      </c>
      <c r="S236" s="233">
        <f>VLOOKUP(tabParametros[[#Headers],[SENAI OU SENAC]],tabImpostosNacionais[],2,0)</f>
        <v>0.01</v>
      </c>
      <c r="T236" s="233">
        <f>VLOOKUP(tabParametros[[#Headers],[INCRA]],tabImpostosNacionais[],2,0)</f>
        <v>2E-3</v>
      </c>
      <c r="U236" s="233">
        <f>VLOOKUP(tabParametros[[#Headers],[Salário Educação]],tabImpostosNacionais[],2,0)</f>
        <v>2.5000000000000001E-2</v>
      </c>
      <c r="V236" s="233">
        <f>VLOOKUP(tabParametros[[#Headers],[FGTS]],tabImpostosNacionais[],2,0)</f>
        <v>0.08</v>
      </c>
      <c r="W236" s="233">
        <f>VLOOKUP(tabParametros[[#Headers],[RAT Ajustado]],tabImpostosNacionais[],2,0)</f>
        <v>0.04</v>
      </c>
      <c r="X236" s="233">
        <f>VLOOKUP(tabParametros[[#Headers],[SEBRAE]],tabImpostosNacionais[],2,0)</f>
        <v>6.0000000000000001E-3</v>
      </c>
      <c r="Y236" s="233">
        <f t="shared" si="33"/>
        <v>8.3333333333333329E-2</v>
      </c>
      <c r="Z236" s="233">
        <f t="shared" si="34"/>
        <v>0.1111111111111111</v>
      </c>
      <c r="AA236" s="232">
        <f>VLOOKUP(tabParametros[[#This Row],[Comarca]],tabComarca[],5,0)</f>
        <v>6.4</v>
      </c>
      <c r="AB236" s="232">
        <f>VLOOKUP(tabParametros[[#This Row],[CCT DA CATEGORIA]],tabSindicatos[],6,0)</f>
        <v>29.15</v>
      </c>
      <c r="AC236" s="232">
        <f>VLOOKUP(tabParametros[[#This Row],[CCT DA CATEGORIA]],tabSindicatos[],7,0)</f>
        <v>0</v>
      </c>
      <c r="AD236" s="232" cm="1">
        <f t="array" ref="AD23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36" s="232">
        <f>VLOOKUP(tabParametros[[#This Row],[CCT DA CATEGORIA]],tabSindicatos[],9,0)</f>
        <v>0</v>
      </c>
      <c r="AF236" s="232">
        <f>VLOOKUP(tabParametros[[#This Row],[CCT DA CATEGORIA]],tabSindicatos[],10,0)</f>
        <v>0</v>
      </c>
      <c r="AG236" s="234">
        <f>VLOOKUP(tabParametros[[#Headers],[Seguro de Vida]],tabOutrosCustos[],3,0)</f>
        <v>3.36</v>
      </c>
      <c r="AH236" s="234">
        <f>IF(ISNUMBER(SEARCH("MOTORISTA",tabParametros[[#This Row],[Função]],1)),VLOOKUP("MOTORISTAS",tabDiarias[],2,0),IF(tabParametros[[#This Row],[Comarca]]="Belo Horizonte",VLOOKUP("APOIO",tabDiarias[],2,0),0))</f>
        <v>0</v>
      </c>
      <c r="AI236" s="233">
        <f t="shared" si="35"/>
        <v>7.011766975308642E-3</v>
      </c>
      <c r="AJ236" s="235">
        <f>tabParametros[[#This Row],[FGTS]]*tabParametros[[#This Row],[Aviso Prévio Indenizado (API) e Reflexo do Aviso Prévio Indenizado]]</f>
        <v>5.609413580246914E-4</v>
      </c>
      <c r="AK236" s="235">
        <f>tabParametros[[#This Row],[FGTS]]*tabParametros[[#This Row],[Aviso Prévio Indenizado (API) e Reflexo do Aviso Prévio Indenizado]]*40%</f>
        <v>2.2437654320987658E-4</v>
      </c>
      <c r="AL236" s="233">
        <f t="shared" si="36"/>
        <v>3.5000000000000005E-3</v>
      </c>
      <c r="AM236" s="233">
        <f>tabParametros[[#This Row],[Aviso Prévio Trabalhado - APT]]*SUM(tabParametros[[#This Row],[INSS]:[SEBRAE]])</f>
        <v>1.3230000000000004E-3</v>
      </c>
      <c r="AN236" s="233">
        <f t="shared" si="37"/>
        <v>3.0577777777777773E-2</v>
      </c>
      <c r="AO236" s="233">
        <f t="shared" si="38"/>
        <v>8.3333333333333339E-4</v>
      </c>
      <c r="AP236" s="233">
        <f t="shared" si="39"/>
        <v>8.4444444444444437E-3</v>
      </c>
      <c r="AQ236" s="233">
        <f t="shared" si="40"/>
        <v>2.0277777777777777E-3</v>
      </c>
      <c r="AR236" s="233">
        <f t="shared" si="41"/>
        <v>1.7083333333333333E-4</v>
      </c>
      <c r="AS236" s="233">
        <f t="shared" si="42"/>
        <v>2.0833333333333335E-4</v>
      </c>
      <c r="AT236" s="233">
        <f t="shared" si="43"/>
        <v>1.2962962962962963E-3</v>
      </c>
      <c r="AU236" s="235">
        <f>SUM(tabParametros[[#This Row],[Ausência por Doença]:[Férias, Adicional de Férias e 13º  com empregada em gozo de Licença Maternidade]])*SUM(tabParametros[[#This Row],[INSS]:[SEBRAE]])</f>
        <v>4.5918250000000008E-3</v>
      </c>
      <c r="AV236"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236" s="232">
        <f>IF(tabParametros[[#This Row],[Vagas contratadas]]&gt;0,(SUM(tabParametros[[#This Row],[Salário Base]:[Adicional de Acúmulo de função]])*30%+SUM(tabParametros[[#This Row],[Vale - Alimentação]:[Seguro de Vida]]))/tabParametros[[#This Row],[Vagas contratadas]]*tabParametros[[#This Row],[Vagas suspensas]],0)</f>
        <v>0</v>
      </c>
      <c r="AX236" s="232">
        <f>SUMIF(tabUniformes[Cargo],tabParametros[[#This Row],[Função]],tabUniformes[Valor unit. Mensal])</f>
        <v>56.642978962543395</v>
      </c>
      <c r="AY23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6" s="232">
        <v>0</v>
      </c>
      <c r="BC236" s="234" t="e">
        <f ca="1">VLOOKUP(tabParametros[[#Headers],[Custos Indiretos]],tabOutrosCustos[],3,0)</f>
        <v>#NAME?</v>
      </c>
      <c r="BD236" s="234" t="e">
        <f ca="1">VLOOKUP(tabParametros[[#Headers],[Lucro]],tabOutrosCustos[],3,0)</f>
        <v>#NAME?</v>
      </c>
      <c r="BE236" s="233">
        <f>VLOOKUP(tabParametros[[#Headers],[COFINS]],tabImpostosNacionais[],2,0)</f>
        <v>7.5999999999999998E-2</v>
      </c>
      <c r="BF236" s="233">
        <f>VLOOKUP(tabParametros[[#Headers],[PIS]],tabImpostosNacionais[],2,0)</f>
        <v>1.6500000000000001E-2</v>
      </c>
      <c r="BG236" s="233">
        <f>VLOOKUP(tabParametros[[#This Row],[Comarca]],tabComarca[],4,0)</f>
        <v>0.03</v>
      </c>
      <c r="BH236" s="236">
        <f>VLOOKUP(tabParametros[[#This Row],[CCT DA CATEGORIA]],tabSindicatos[],11,0)</f>
        <v>45658</v>
      </c>
      <c r="BI236" s="282" t="str">
        <f>VLOOKUP(tabParametros[[#This Row],[CCT DA CATEGORIA]],tabSindicatos[],12,0)</f>
        <v>-</v>
      </c>
      <c r="BJ236" s="285" t="str">
        <f>VLOOKUP(tabParametros[[#This Row],[CCT DA CATEGORIA]],tabSindicatos[],13,0)</f>
        <v>-</v>
      </c>
    </row>
    <row r="237" spans="1:62">
      <c r="A237" s="231" t="s">
        <v>1663</v>
      </c>
      <c r="B237" s="197" t="s">
        <v>1175</v>
      </c>
      <c r="C237" s="197" t="s">
        <v>324</v>
      </c>
      <c r="D237" s="197" t="str">
        <f>VLOOKUP(tabParametros[[#This Row],[Código do Posto]],tabPostos[],4,0)</f>
        <v>Regiao de Divinopolis</v>
      </c>
      <c r="E237" s="282" t="str">
        <f>VLOOKUP(tabParametros[[#This Row],[Código do Posto]],tabPostos[],5,0)</f>
        <v>Apoio</v>
      </c>
      <c r="F237" s="282" t="str">
        <f>VLOOKUP(tabParametros[[#This Row],[Código do Posto]],tabPostos[],6,0)</f>
        <v>PGJ</v>
      </c>
      <c r="G237" s="282">
        <f>VLOOKUP(tabParametros[[#This Row],[Código do Posto]],tabPostos[],7,0)</f>
        <v>1</v>
      </c>
      <c r="H237" s="282">
        <f>VLOOKUP(tabParametros[[#This Row],[Código do Posto]],tabPostos[],8,0)</f>
        <v>0</v>
      </c>
      <c r="I237" s="232">
        <f>VLOOKUP(tabParametros[[#This Row],[Código do Posto]],tabPostos[],9,0)</f>
        <v>3397.130467372021</v>
      </c>
      <c r="J237" s="232">
        <f>IF(ISNUMBER(SEARCH("Eletricista",tabParametros[[#This Row],[Função]],1)),0.3*tabParametros[[#This Row],[Salário Base]],0)</f>
        <v>0</v>
      </c>
      <c r="K23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7" s="232">
        <f>IF(AND(ISNUMBER(SEARCH("Noturno",tabParametros[[#This Row],[Função]],1)),tabParametros[[#This Row],[Comarca]]&lt;&gt;"Juiz de Fora"),tabParametros[[#This Row],[Salário Base]]/210*0.39*7*15.5,IF(ISNUMBER(SEARCH("Noturno",tabParametros[[#This Row],[Função]],1)),tabParametros[[#This Row],[Salário Base]]/210*0.2*8*15.5,0))</f>
        <v>0</v>
      </c>
      <c r="M237" s="232">
        <f>IF(ISNUMBER(SEARCH("Motorista II",tabParametros[[#This Row],[Função]],1)),0.3022*tabParametros[[#This Row],[Salário Base]],0)</f>
        <v>0</v>
      </c>
      <c r="N237" s="254">
        <v>0</v>
      </c>
      <c r="O237" s="254">
        <f>IF(ISNUMBER(SEARCH("TECNOLOGIA DA INFORMACAO",tabParametros[[#This Row],[Função]],1)),0.056*tabParametros[[#This Row],[Salário Base]],0)</f>
        <v>0</v>
      </c>
      <c r="P237" s="232">
        <f>IF(tabParametros[[#This Row],[Função]]="Operador de Midia Audiovisual - 150 h",tabParametros[[#This Row],[Salário Base]]/150*50*30%,IF(tabParametros[[#This Row],[Função]]="Supervisor de Manutencao de Veiculos II - 220 h",12%*tabParametros[[#This Row],[Salário Base]],0))</f>
        <v>0</v>
      </c>
      <c r="Q237" s="233">
        <f>VLOOKUP(tabParametros[[#Headers],[INSS]],tabImpostosNacionais[],2,0)</f>
        <v>0.2</v>
      </c>
      <c r="R237" s="233">
        <f>VLOOKUP(tabParametros[[#Headers],[SESI OU SESC]],tabImpostosNacionais[],2,0)</f>
        <v>1.4999999999999999E-2</v>
      </c>
      <c r="S237" s="233">
        <f>VLOOKUP(tabParametros[[#Headers],[SENAI OU SENAC]],tabImpostosNacionais[],2,0)</f>
        <v>0.01</v>
      </c>
      <c r="T237" s="233">
        <f>VLOOKUP(tabParametros[[#Headers],[INCRA]],tabImpostosNacionais[],2,0)</f>
        <v>2E-3</v>
      </c>
      <c r="U237" s="233">
        <f>VLOOKUP(tabParametros[[#Headers],[Salário Educação]],tabImpostosNacionais[],2,0)</f>
        <v>2.5000000000000001E-2</v>
      </c>
      <c r="V237" s="233">
        <f>VLOOKUP(tabParametros[[#Headers],[FGTS]],tabImpostosNacionais[],2,0)</f>
        <v>0.08</v>
      </c>
      <c r="W237" s="233">
        <f>VLOOKUP(tabParametros[[#Headers],[RAT Ajustado]],tabImpostosNacionais[],2,0)</f>
        <v>0.04</v>
      </c>
      <c r="X237" s="233">
        <f>VLOOKUP(tabParametros[[#Headers],[SEBRAE]],tabImpostosNacionais[],2,0)</f>
        <v>6.0000000000000001E-3</v>
      </c>
      <c r="Y237" s="233">
        <f t="shared" si="33"/>
        <v>8.3333333333333329E-2</v>
      </c>
      <c r="Z237" s="233">
        <f t="shared" si="34"/>
        <v>0.1111111111111111</v>
      </c>
      <c r="AA237" s="232">
        <f>VLOOKUP(tabParametros[[#This Row],[Comarca]],tabComarca[],5,0)</f>
        <v>6.4</v>
      </c>
      <c r="AB237" s="232">
        <f>VLOOKUP(tabParametros[[#This Row],[CCT DA CATEGORIA]],tabSindicatos[],6,0)</f>
        <v>29.15</v>
      </c>
      <c r="AC237" s="232">
        <f>VLOOKUP(tabParametros[[#This Row],[CCT DA CATEGORIA]],tabSindicatos[],7,0)</f>
        <v>0</v>
      </c>
      <c r="AD237" s="232" cm="1">
        <f t="array" ref="AD23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37" s="232">
        <f>VLOOKUP(tabParametros[[#This Row],[CCT DA CATEGORIA]],tabSindicatos[],9,0)</f>
        <v>0</v>
      </c>
      <c r="AF237" s="232">
        <f>VLOOKUP(tabParametros[[#This Row],[CCT DA CATEGORIA]],tabSindicatos[],10,0)</f>
        <v>0</v>
      </c>
      <c r="AG237" s="234">
        <f>VLOOKUP(tabParametros[[#Headers],[Seguro de Vida]],tabOutrosCustos[],3,0)</f>
        <v>3.36</v>
      </c>
      <c r="AH237" s="234">
        <f>IF(ISNUMBER(SEARCH("MOTORISTA",tabParametros[[#This Row],[Função]],1)),VLOOKUP("MOTORISTAS",tabDiarias[],2,0),IF(tabParametros[[#This Row],[Comarca]]="Belo Horizonte",VLOOKUP("APOIO",tabDiarias[],2,0),0))</f>
        <v>0</v>
      </c>
      <c r="AI237" s="233">
        <f t="shared" si="35"/>
        <v>7.011766975308642E-3</v>
      </c>
      <c r="AJ237" s="235">
        <f>tabParametros[[#This Row],[FGTS]]*tabParametros[[#This Row],[Aviso Prévio Indenizado (API) e Reflexo do Aviso Prévio Indenizado]]</f>
        <v>5.609413580246914E-4</v>
      </c>
      <c r="AK237" s="235">
        <f>tabParametros[[#This Row],[FGTS]]*tabParametros[[#This Row],[Aviso Prévio Indenizado (API) e Reflexo do Aviso Prévio Indenizado]]*40%</f>
        <v>2.2437654320987658E-4</v>
      </c>
      <c r="AL237" s="233">
        <f t="shared" si="36"/>
        <v>3.5000000000000005E-3</v>
      </c>
      <c r="AM237" s="233">
        <f>tabParametros[[#This Row],[Aviso Prévio Trabalhado - APT]]*SUM(tabParametros[[#This Row],[INSS]:[SEBRAE]])</f>
        <v>1.3230000000000004E-3</v>
      </c>
      <c r="AN237" s="233">
        <f t="shared" si="37"/>
        <v>3.0577777777777773E-2</v>
      </c>
      <c r="AO237" s="233">
        <f t="shared" si="38"/>
        <v>8.3333333333333339E-4</v>
      </c>
      <c r="AP237" s="233">
        <f t="shared" si="39"/>
        <v>8.4444444444444437E-3</v>
      </c>
      <c r="AQ237" s="233">
        <f t="shared" si="40"/>
        <v>2.0277777777777777E-3</v>
      </c>
      <c r="AR237" s="233">
        <f t="shared" si="41"/>
        <v>1.7083333333333333E-4</v>
      </c>
      <c r="AS237" s="233">
        <f t="shared" si="42"/>
        <v>2.0833333333333335E-4</v>
      </c>
      <c r="AT237" s="233">
        <f t="shared" si="43"/>
        <v>1.2962962962962963E-3</v>
      </c>
      <c r="AU237" s="235">
        <f>SUM(tabParametros[[#This Row],[Ausência por Doença]:[Férias, Adicional de Férias e 13º  com empregada em gozo de Licença Maternidade]])*SUM(tabParametros[[#This Row],[INSS]:[SEBRAE]])</f>
        <v>4.5918250000000008E-3</v>
      </c>
      <c r="AV237" s="254">
        <f>IF(tabParametros[[#This Row],[Função]]="Porteiro - 220 h",SUM(tabParametros[[#This Row],[Salário Base]:[Adicional de Acúmulo de função]])/220*20*1.5,IF(ISNUMBER(SEARCH("12 x 36",tabParametros[[#This Row],[Função]],1)),SUM(tabParametros[[#This Row],[Salário Base]:[Adicional de Acúmulo de função]])/210*15.5*1.5,0))</f>
        <v>0</v>
      </c>
      <c r="AW237" s="232">
        <f>IF(tabParametros[[#This Row],[Vagas contratadas]]&gt;0,(SUM(tabParametros[[#This Row],[Salário Base]:[Adicional de Acúmulo de função]])*30%+SUM(tabParametros[[#This Row],[Vale - Alimentação]:[Seguro de Vida]]))/tabParametros[[#This Row],[Vagas contratadas]]*tabParametros[[#This Row],[Vagas suspensas]],0)</f>
        <v>0</v>
      </c>
      <c r="AX237" s="232">
        <f>SUMIF(tabUniformes[Cargo],tabParametros[[#This Row],[Função]],tabUniformes[Valor unit. Mensal])</f>
        <v>56.642978962543395</v>
      </c>
      <c r="AY23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7" s="232">
        <v>0</v>
      </c>
      <c r="BC237" s="234" t="e">
        <f ca="1">VLOOKUP(tabParametros[[#Headers],[Custos Indiretos]],tabOutrosCustos[],3,0)</f>
        <v>#NAME?</v>
      </c>
      <c r="BD237" s="234" t="e">
        <f ca="1">VLOOKUP(tabParametros[[#Headers],[Lucro]],tabOutrosCustos[],3,0)</f>
        <v>#NAME?</v>
      </c>
      <c r="BE237" s="233">
        <f>VLOOKUP(tabParametros[[#Headers],[COFINS]],tabImpostosNacionais[],2,0)</f>
        <v>7.5999999999999998E-2</v>
      </c>
      <c r="BF237" s="233">
        <f>VLOOKUP(tabParametros[[#Headers],[PIS]],tabImpostosNacionais[],2,0)</f>
        <v>1.6500000000000001E-2</v>
      </c>
      <c r="BG237" s="233">
        <f>VLOOKUP(tabParametros[[#This Row],[Comarca]],tabComarca[],4,0)</f>
        <v>0.03</v>
      </c>
      <c r="BH237" s="236">
        <f>VLOOKUP(tabParametros[[#This Row],[CCT DA CATEGORIA]],tabSindicatos[],11,0)</f>
        <v>45658</v>
      </c>
      <c r="BI237" s="282" t="str">
        <f>VLOOKUP(tabParametros[[#This Row],[CCT DA CATEGORIA]],tabSindicatos[],12,0)</f>
        <v>-</v>
      </c>
      <c r="BJ237" s="285" t="str">
        <f>VLOOKUP(tabParametros[[#This Row],[CCT DA CATEGORIA]],tabSindicatos[],13,0)</f>
        <v>-</v>
      </c>
    </row>
    <row r="238" spans="1:62">
      <c r="A238" s="231" t="s">
        <v>1499</v>
      </c>
      <c r="B238" s="197" t="s">
        <v>1176</v>
      </c>
      <c r="C238" s="197" t="s">
        <v>200</v>
      </c>
      <c r="D238" s="197" t="str">
        <f>VLOOKUP(tabParametros[[#This Row],[Código do Posto]],tabPostos[],4,0)</f>
        <v>Regiao de Ouro Preto</v>
      </c>
      <c r="E238" s="282" t="str">
        <f>VLOOKUP(tabParametros[[#This Row],[Código do Posto]],tabPostos[],5,0)</f>
        <v>Apoio</v>
      </c>
      <c r="F238" s="282" t="str">
        <f>VLOOKUP(tabParametros[[#This Row],[Código do Posto]],tabPostos[],6,0)</f>
        <v>PGJ</v>
      </c>
      <c r="G238" s="282">
        <f>VLOOKUP(tabParametros[[#This Row],[Código do Posto]],tabPostos[],7,0)</f>
        <v>1</v>
      </c>
      <c r="H238" s="282">
        <f>VLOOKUP(tabParametros[[#This Row],[Código do Posto]],tabPostos[],8,0)</f>
        <v>0</v>
      </c>
      <c r="I238" s="232">
        <f>VLOOKUP(tabParametros[[#This Row],[Código do Posto]],tabPostos[],9,0)</f>
        <v>1596.273808921236</v>
      </c>
      <c r="J238" s="232">
        <f>IF(ISNUMBER(SEARCH("Eletricista",tabParametros[[#This Row],[Função]],1)),0.3*tabParametros[[#This Row],[Salário Base]],0)</f>
        <v>0</v>
      </c>
      <c r="K23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8" s="232">
        <f>IF(AND(ISNUMBER(SEARCH("Noturno",tabParametros[[#This Row],[Função]],1)),tabParametros[[#This Row],[Comarca]]&lt;&gt;"Juiz de Fora"),tabParametros[[#This Row],[Salário Base]]/210*0.39*7*15.5,IF(ISNUMBER(SEARCH("Noturno",tabParametros[[#This Row],[Função]],1)),tabParametros[[#This Row],[Salário Base]]/210*0.2*8*15.5,0))</f>
        <v>0</v>
      </c>
      <c r="M238" s="232">
        <f>IF(ISNUMBER(SEARCH("Motorista II",tabParametros[[#This Row],[Função]],1)),0.3022*tabParametros[[#This Row],[Salário Base]],0)</f>
        <v>0</v>
      </c>
      <c r="N238" s="254">
        <v>0</v>
      </c>
      <c r="O238" s="254">
        <f>IF(ISNUMBER(SEARCH("TECNOLOGIA DA INFORMACAO",tabParametros[[#This Row],[Função]],1)),0.056*tabParametros[[#This Row],[Salário Base]],0)</f>
        <v>0</v>
      </c>
      <c r="P238" s="232">
        <f>IF(tabParametros[[#This Row],[Função]]="Operador de Midia Audiovisual - 150 h",tabParametros[[#This Row],[Salário Base]]/150*50*30%,IF(tabParametros[[#This Row],[Função]]="Supervisor de Manutencao de Veiculos II - 220 h",12%*tabParametros[[#This Row],[Salário Base]],0))</f>
        <v>0</v>
      </c>
      <c r="Q238" s="233">
        <f>VLOOKUP(tabParametros[[#Headers],[INSS]],tabImpostosNacionais[],2,0)</f>
        <v>0.2</v>
      </c>
      <c r="R238" s="233">
        <f>VLOOKUP(tabParametros[[#Headers],[SESI OU SESC]],tabImpostosNacionais[],2,0)</f>
        <v>1.4999999999999999E-2</v>
      </c>
      <c r="S238" s="233">
        <f>VLOOKUP(tabParametros[[#Headers],[SENAI OU SENAC]],tabImpostosNacionais[],2,0)</f>
        <v>0.01</v>
      </c>
      <c r="T238" s="233">
        <f>VLOOKUP(tabParametros[[#Headers],[INCRA]],tabImpostosNacionais[],2,0)</f>
        <v>2E-3</v>
      </c>
      <c r="U238" s="233">
        <f>VLOOKUP(tabParametros[[#Headers],[Salário Educação]],tabImpostosNacionais[],2,0)</f>
        <v>2.5000000000000001E-2</v>
      </c>
      <c r="V238" s="233">
        <f>VLOOKUP(tabParametros[[#Headers],[FGTS]],tabImpostosNacionais[],2,0)</f>
        <v>0.08</v>
      </c>
      <c r="W238" s="233">
        <f>VLOOKUP(tabParametros[[#Headers],[RAT Ajustado]],tabImpostosNacionais[],2,0)</f>
        <v>0.04</v>
      </c>
      <c r="X238" s="233">
        <f>VLOOKUP(tabParametros[[#Headers],[SEBRAE]],tabImpostosNacionais[],2,0)</f>
        <v>6.0000000000000001E-3</v>
      </c>
      <c r="Y238" s="233">
        <f t="shared" si="33"/>
        <v>8.3333333333333329E-2</v>
      </c>
      <c r="Z238" s="233">
        <f t="shared" si="34"/>
        <v>0.1111111111111111</v>
      </c>
      <c r="AA238" s="232">
        <f>VLOOKUP(tabParametros[[#This Row],[Comarca]],tabComarca[],5,0)</f>
        <v>6.4</v>
      </c>
      <c r="AB238" s="232">
        <f>VLOOKUP(tabParametros[[#This Row],[CCT DA CATEGORIA]],tabSindicatos[],6,0)</f>
        <v>29.15</v>
      </c>
      <c r="AC238" s="232">
        <f>VLOOKUP(tabParametros[[#This Row],[CCT DA CATEGORIA]],tabSindicatos[],7,0)</f>
        <v>0</v>
      </c>
      <c r="AD238" s="232" cm="1">
        <f t="array" ref="AD23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51.87</v>
      </c>
      <c r="AE238" s="232">
        <f>VLOOKUP(tabParametros[[#This Row],[CCT DA CATEGORIA]],tabSindicatos[],9,0)</f>
        <v>0</v>
      </c>
      <c r="AF238" s="232">
        <f>VLOOKUP(tabParametros[[#This Row],[CCT DA CATEGORIA]],tabSindicatos[],10,0)</f>
        <v>0</v>
      </c>
      <c r="AG238" s="234">
        <f>VLOOKUP(tabParametros[[#Headers],[Seguro de Vida]],tabOutrosCustos[],3,0)</f>
        <v>3.36</v>
      </c>
      <c r="AH238" s="234">
        <f>IF(ISNUMBER(SEARCH("MOTORISTA",tabParametros[[#This Row],[Função]],1)),VLOOKUP("MOTORISTAS",tabDiarias[],2,0),IF(tabParametros[[#This Row],[Comarca]]="Belo Horizonte",VLOOKUP("APOIO",tabDiarias[],2,0),0))</f>
        <v>0</v>
      </c>
      <c r="AI238" s="233">
        <f t="shared" si="35"/>
        <v>7.011766975308642E-3</v>
      </c>
      <c r="AJ238" s="235">
        <f>tabParametros[[#This Row],[FGTS]]*tabParametros[[#This Row],[Aviso Prévio Indenizado (API) e Reflexo do Aviso Prévio Indenizado]]</f>
        <v>5.609413580246914E-4</v>
      </c>
      <c r="AK238" s="235">
        <f>tabParametros[[#This Row],[FGTS]]*tabParametros[[#This Row],[Aviso Prévio Indenizado (API) e Reflexo do Aviso Prévio Indenizado]]*40%</f>
        <v>2.2437654320987658E-4</v>
      </c>
      <c r="AL238" s="233">
        <f t="shared" si="36"/>
        <v>3.5000000000000005E-3</v>
      </c>
      <c r="AM238" s="233">
        <f>tabParametros[[#This Row],[Aviso Prévio Trabalhado - APT]]*SUM(tabParametros[[#This Row],[INSS]:[SEBRAE]])</f>
        <v>1.3230000000000004E-3</v>
      </c>
      <c r="AN238" s="233">
        <f t="shared" si="37"/>
        <v>3.0577777777777773E-2</v>
      </c>
      <c r="AO238" s="233">
        <f t="shared" si="38"/>
        <v>8.3333333333333339E-4</v>
      </c>
      <c r="AP238" s="233">
        <f t="shared" si="39"/>
        <v>8.4444444444444437E-3</v>
      </c>
      <c r="AQ238" s="233">
        <f t="shared" si="40"/>
        <v>2.0277777777777777E-3</v>
      </c>
      <c r="AR238" s="233">
        <f t="shared" si="41"/>
        <v>1.7083333333333333E-4</v>
      </c>
      <c r="AS238" s="233">
        <f t="shared" si="42"/>
        <v>2.0833333333333335E-4</v>
      </c>
      <c r="AT238" s="233">
        <f t="shared" si="43"/>
        <v>1.2962962962962963E-3</v>
      </c>
      <c r="AU238" s="235">
        <f>SUM(tabParametros[[#This Row],[Ausência por Doença]:[Férias, Adicional de Férias e 13º  com empregada em gozo de Licença Maternidade]])*SUM(tabParametros[[#This Row],[INSS]:[SEBRAE]])</f>
        <v>4.5918250000000008E-3</v>
      </c>
      <c r="AV238" s="254">
        <f>IF(tabParametros[[#This Row],[Função]]="Porteiro - 220 h",SUM(tabParametros[[#This Row],[Salário Base]:[Adicional de Acúmulo de função]])/220*20*1.5,IF(ISNUMBER(SEARCH("12 x 36",tabParametros[[#This Row],[Função]],1)),SUM(tabParametros[[#This Row],[Salário Base]:[Adicional de Acúmulo de função]])/210*15.5*1.5,0))</f>
        <v>0</v>
      </c>
      <c r="AW238" s="232">
        <f>IF(tabParametros[[#This Row],[Vagas contratadas]]&gt;0,(SUM(tabParametros[[#This Row],[Salário Base]:[Adicional de Acúmulo de função]])*30%+SUM(tabParametros[[#This Row],[Vale - Alimentação]:[Seguro de Vida]]))/tabParametros[[#This Row],[Vagas contratadas]]*tabParametros[[#This Row],[Vagas suspensas]],0)</f>
        <v>0</v>
      </c>
      <c r="AX238" s="232">
        <f>SUMIF(tabUniformes[Cargo],tabParametros[[#This Row],[Função]],tabUniformes[Valor unit. Mensal])</f>
        <v>56.141713661989918</v>
      </c>
      <c r="AY23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8" s="232">
        <v>0</v>
      </c>
      <c r="BC238" s="234" t="e">
        <f ca="1">VLOOKUP(tabParametros[[#Headers],[Custos Indiretos]],tabOutrosCustos[],3,0)</f>
        <v>#NAME?</v>
      </c>
      <c r="BD238" s="234" t="e">
        <f ca="1">VLOOKUP(tabParametros[[#Headers],[Lucro]],tabOutrosCustos[],3,0)</f>
        <v>#NAME?</v>
      </c>
      <c r="BE238" s="233">
        <f>VLOOKUP(tabParametros[[#Headers],[COFINS]],tabImpostosNacionais[],2,0)</f>
        <v>7.5999999999999998E-2</v>
      </c>
      <c r="BF238" s="233">
        <f>VLOOKUP(tabParametros[[#Headers],[PIS]],tabImpostosNacionais[],2,0)</f>
        <v>1.6500000000000001E-2</v>
      </c>
      <c r="BG238" s="233">
        <f>VLOOKUP(tabParametros[[#This Row],[Comarca]],tabComarca[],4,0)</f>
        <v>0.05</v>
      </c>
      <c r="BH238" s="236">
        <f>VLOOKUP(tabParametros[[#This Row],[CCT DA CATEGORIA]],tabSindicatos[],11,0)</f>
        <v>45658</v>
      </c>
      <c r="BI238" s="282" t="str">
        <f>VLOOKUP(tabParametros[[#This Row],[CCT DA CATEGORIA]],tabSindicatos[],12,0)</f>
        <v>-</v>
      </c>
      <c r="BJ238" s="285" t="str">
        <f>VLOOKUP(tabParametros[[#This Row],[CCT DA CATEGORIA]],tabSindicatos[],13,0)</f>
        <v>-</v>
      </c>
    </row>
    <row r="239" spans="1:62">
      <c r="A239" s="231" t="s">
        <v>1664</v>
      </c>
      <c r="B239" s="197" t="s">
        <v>1176</v>
      </c>
      <c r="C239" s="197" t="s">
        <v>314</v>
      </c>
      <c r="D239" s="197" t="str">
        <f>VLOOKUP(tabParametros[[#This Row],[Código do Posto]],tabPostos[],4,0)</f>
        <v>Regiao de Ouro Preto</v>
      </c>
      <c r="E239" s="282" t="str">
        <f>VLOOKUP(tabParametros[[#This Row],[Código do Posto]],tabPostos[],5,0)</f>
        <v>Apoio</v>
      </c>
      <c r="F239" s="282" t="str">
        <f>VLOOKUP(tabParametros[[#This Row],[Código do Posto]],tabPostos[],6,0)</f>
        <v>PGJ</v>
      </c>
      <c r="G239" s="282">
        <f>VLOOKUP(tabParametros[[#This Row],[Código do Posto]],tabPostos[],7,0)</f>
        <v>1</v>
      </c>
      <c r="H239" s="282">
        <f>VLOOKUP(tabParametros[[#This Row],[Código do Posto]],tabPostos[],8,0)</f>
        <v>0</v>
      </c>
      <c r="I239" s="232">
        <f>VLOOKUP(tabParametros[[#This Row],[Código do Posto]],tabPostos[],9,0)</f>
        <v>1963.4110092077037</v>
      </c>
      <c r="J239" s="232">
        <f>IF(ISNUMBER(SEARCH("Eletricista",tabParametros[[#This Row],[Função]],1)),0.3*tabParametros[[#This Row],[Salário Base]],0)</f>
        <v>0</v>
      </c>
      <c r="K23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39" s="232">
        <f>IF(AND(ISNUMBER(SEARCH("Noturno",tabParametros[[#This Row],[Função]],1)),tabParametros[[#This Row],[Comarca]]&lt;&gt;"Juiz de Fora"),tabParametros[[#This Row],[Salário Base]]/210*0.39*7*15.5,IF(ISNUMBER(SEARCH("Noturno",tabParametros[[#This Row],[Função]],1)),tabParametros[[#This Row],[Salário Base]]/210*0.2*8*15.5,0))</f>
        <v>0</v>
      </c>
      <c r="M239" s="232">
        <f>IF(ISNUMBER(SEARCH("Motorista II",tabParametros[[#This Row],[Função]],1)),0.3022*tabParametros[[#This Row],[Salário Base]],0)</f>
        <v>0</v>
      </c>
      <c r="N239" s="254">
        <v>0</v>
      </c>
      <c r="O239" s="254">
        <f>IF(ISNUMBER(SEARCH("TECNOLOGIA DA INFORMACAO",tabParametros[[#This Row],[Função]],1)),0.056*tabParametros[[#This Row],[Salário Base]],0)</f>
        <v>0</v>
      </c>
      <c r="P239" s="232">
        <f>IF(tabParametros[[#This Row],[Função]]="Operador de Midia Audiovisual - 150 h",tabParametros[[#This Row],[Salário Base]]/150*50*30%,IF(tabParametros[[#This Row],[Função]]="Supervisor de Manutencao de Veiculos II - 220 h",12%*tabParametros[[#This Row],[Salário Base]],0))</f>
        <v>0</v>
      </c>
      <c r="Q239" s="233">
        <f>VLOOKUP(tabParametros[[#Headers],[INSS]],tabImpostosNacionais[],2,0)</f>
        <v>0.2</v>
      </c>
      <c r="R239" s="233">
        <f>VLOOKUP(tabParametros[[#Headers],[SESI OU SESC]],tabImpostosNacionais[],2,0)</f>
        <v>1.4999999999999999E-2</v>
      </c>
      <c r="S239" s="233">
        <f>VLOOKUP(tabParametros[[#Headers],[SENAI OU SENAC]],tabImpostosNacionais[],2,0)</f>
        <v>0.01</v>
      </c>
      <c r="T239" s="233">
        <f>VLOOKUP(tabParametros[[#Headers],[INCRA]],tabImpostosNacionais[],2,0)</f>
        <v>2E-3</v>
      </c>
      <c r="U239" s="233">
        <f>VLOOKUP(tabParametros[[#Headers],[Salário Educação]],tabImpostosNacionais[],2,0)</f>
        <v>2.5000000000000001E-2</v>
      </c>
      <c r="V239" s="233">
        <f>VLOOKUP(tabParametros[[#Headers],[FGTS]],tabImpostosNacionais[],2,0)</f>
        <v>0.08</v>
      </c>
      <c r="W239" s="233">
        <f>VLOOKUP(tabParametros[[#Headers],[RAT Ajustado]],tabImpostosNacionais[],2,0)</f>
        <v>0.04</v>
      </c>
      <c r="X239" s="233">
        <f>VLOOKUP(tabParametros[[#Headers],[SEBRAE]],tabImpostosNacionais[],2,0)</f>
        <v>6.0000000000000001E-3</v>
      </c>
      <c r="Y239" s="233">
        <f t="shared" si="33"/>
        <v>8.3333333333333329E-2</v>
      </c>
      <c r="Z239" s="233">
        <f t="shared" si="34"/>
        <v>0.1111111111111111</v>
      </c>
      <c r="AA239" s="232">
        <f>VLOOKUP(tabParametros[[#This Row],[Comarca]],tabComarca[],5,0)</f>
        <v>6.4</v>
      </c>
      <c r="AB239" s="232">
        <f>VLOOKUP(tabParametros[[#This Row],[CCT DA CATEGORIA]],tabSindicatos[],6,0)</f>
        <v>29.15</v>
      </c>
      <c r="AC239" s="232">
        <f>VLOOKUP(tabParametros[[#This Row],[CCT DA CATEGORIA]],tabSindicatos[],7,0)</f>
        <v>0</v>
      </c>
      <c r="AD239" s="232" cm="1">
        <f t="array" ref="AD23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51.87</v>
      </c>
      <c r="AE239" s="232">
        <f>VLOOKUP(tabParametros[[#This Row],[CCT DA CATEGORIA]],tabSindicatos[],9,0)</f>
        <v>0</v>
      </c>
      <c r="AF239" s="232">
        <f>VLOOKUP(tabParametros[[#This Row],[CCT DA CATEGORIA]],tabSindicatos[],10,0)</f>
        <v>0</v>
      </c>
      <c r="AG239" s="234">
        <f>VLOOKUP(tabParametros[[#Headers],[Seguro de Vida]],tabOutrosCustos[],3,0)</f>
        <v>3.36</v>
      </c>
      <c r="AH239" s="234">
        <f>IF(ISNUMBER(SEARCH("MOTORISTA",tabParametros[[#This Row],[Função]],1)),VLOOKUP("MOTORISTAS",tabDiarias[],2,0),IF(tabParametros[[#This Row],[Comarca]]="Belo Horizonte",VLOOKUP("APOIO",tabDiarias[],2,0),0))</f>
        <v>0</v>
      </c>
      <c r="AI239" s="233">
        <f t="shared" si="35"/>
        <v>7.011766975308642E-3</v>
      </c>
      <c r="AJ239" s="235">
        <f>tabParametros[[#This Row],[FGTS]]*tabParametros[[#This Row],[Aviso Prévio Indenizado (API) e Reflexo do Aviso Prévio Indenizado]]</f>
        <v>5.609413580246914E-4</v>
      </c>
      <c r="AK239" s="235">
        <f>tabParametros[[#This Row],[FGTS]]*tabParametros[[#This Row],[Aviso Prévio Indenizado (API) e Reflexo do Aviso Prévio Indenizado]]*40%</f>
        <v>2.2437654320987658E-4</v>
      </c>
      <c r="AL239" s="233">
        <f t="shared" si="36"/>
        <v>3.5000000000000005E-3</v>
      </c>
      <c r="AM239" s="233">
        <f>tabParametros[[#This Row],[Aviso Prévio Trabalhado - APT]]*SUM(tabParametros[[#This Row],[INSS]:[SEBRAE]])</f>
        <v>1.3230000000000004E-3</v>
      </c>
      <c r="AN239" s="233">
        <f t="shared" si="37"/>
        <v>3.0577777777777773E-2</v>
      </c>
      <c r="AO239" s="233">
        <f t="shared" si="38"/>
        <v>8.3333333333333339E-4</v>
      </c>
      <c r="AP239" s="233">
        <f t="shared" si="39"/>
        <v>8.4444444444444437E-3</v>
      </c>
      <c r="AQ239" s="233">
        <f t="shared" si="40"/>
        <v>2.0277777777777777E-3</v>
      </c>
      <c r="AR239" s="233">
        <f t="shared" si="41"/>
        <v>1.7083333333333333E-4</v>
      </c>
      <c r="AS239" s="233">
        <f t="shared" si="42"/>
        <v>2.0833333333333335E-4</v>
      </c>
      <c r="AT239" s="233">
        <f t="shared" si="43"/>
        <v>1.2962962962962963E-3</v>
      </c>
      <c r="AU239" s="235">
        <f>SUM(tabParametros[[#This Row],[Ausência por Doença]:[Férias, Adicional de Férias e 13º  com empregada em gozo de Licença Maternidade]])*SUM(tabParametros[[#This Row],[INSS]:[SEBRAE]])</f>
        <v>4.5918250000000008E-3</v>
      </c>
      <c r="AV239"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39" s="232">
        <f>IF(tabParametros[[#This Row],[Vagas contratadas]]&gt;0,(SUM(tabParametros[[#This Row],[Salário Base]:[Adicional de Acúmulo de função]])*30%+SUM(tabParametros[[#This Row],[Vale - Alimentação]:[Seguro de Vida]]))/tabParametros[[#This Row],[Vagas contratadas]]*tabParametros[[#This Row],[Vagas suspensas]],0)</f>
        <v>0</v>
      </c>
      <c r="AX239" s="232">
        <f>SUMIF(tabUniformes[Cargo],tabParametros[[#This Row],[Função]],tabUniformes[Valor unit. Mensal])</f>
        <v>56.642978962543395</v>
      </c>
      <c r="AY23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3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3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39" s="232">
        <v>0</v>
      </c>
      <c r="BC239" s="234" t="e">
        <f ca="1">VLOOKUP(tabParametros[[#Headers],[Custos Indiretos]],tabOutrosCustos[],3,0)</f>
        <v>#NAME?</v>
      </c>
      <c r="BD239" s="234" t="e">
        <f ca="1">VLOOKUP(tabParametros[[#Headers],[Lucro]],tabOutrosCustos[],3,0)</f>
        <v>#NAME?</v>
      </c>
      <c r="BE239" s="233">
        <f>VLOOKUP(tabParametros[[#Headers],[COFINS]],tabImpostosNacionais[],2,0)</f>
        <v>7.5999999999999998E-2</v>
      </c>
      <c r="BF239" s="233">
        <f>VLOOKUP(tabParametros[[#Headers],[PIS]],tabImpostosNacionais[],2,0)</f>
        <v>1.6500000000000001E-2</v>
      </c>
      <c r="BG239" s="233">
        <f>VLOOKUP(tabParametros[[#This Row],[Comarca]],tabComarca[],4,0)</f>
        <v>0.05</v>
      </c>
      <c r="BH239" s="236">
        <f>VLOOKUP(tabParametros[[#This Row],[CCT DA CATEGORIA]],tabSindicatos[],11,0)</f>
        <v>45658</v>
      </c>
      <c r="BI239" s="282" t="str">
        <f>VLOOKUP(tabParametros[[#This Row],[CCT DA CATEGORIA]],tabSindicatos[],12,0)</f>
        <v>-</v>
      </c>
      <c r="BJ239" s="285" t="str">
        <f>VLOOKUP(tabParametros[[#This Row],[CCT DA CATEGORIA]],tabSindicatos[],13,0)</f>
        <v>-</v>
      </c>
    </row>
    <row r="240" spans="1:62">
      <c r="A240" s="231" t="s">
        <v>1665</v>
      </c>
      <c r="B240" s="197" t="s">
        <v>1177</v>
      </c>
      <c r="C240" s="197" t="s">
        <v>324</v>
      </c>
      <c r="D240" s="197" t="str">
        <f>VLOOKUP(tabParametros[[#This Row],[Código do Posto]],tabPostos[],4,0)</f>
        <v>Fethemg Interior</v>
      </c>
      <c r="E240" s="282" t="str">
        <f>VLOOKUP(tabParametros[[#This Row],[Código do Posto]],tabPostos[],5,0)</f>
        <v>Apoio</v>
      </c>
      <c r="F240" s="282" t="str">
        <f>VLOOKUP(tabParametros[[#This Row],[Código do Posto]],tabPostos[],6,0)</f>
        <v>PGJ</v>
      </c>
      <c r="G240" s="282">
        <f>VLOOKUP(tabParametros[[#This Row],[Código do Posto]],tabPostos[],7,0)</f>
        <v>1</v>
      </c>
      <c r="H240" s="282">
        <f>VLOOKUP(tabParametros[[#This Row],[Código do Posto]],tabPostos[],8,0)</f>
        <v>0</v>
      </c>
      <c r="I240" s="232">
        <f>VLOOKUP(tabParametros[[#This Row],[Código do Posto]],tabPostos[],9,0)</f>
        <v>3397.1306016921476</v>
      </c>
      <c r="J240" s="232">
        <f>IF(ISNUMBER(SEARCH("Eletricista",tabParametros[[#This Row],[Função]],1)),0.3*tabParametros[[#This Row],[Salário Base]],0)</f>
        <v>0</v>
      </c>
      <c r="K24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0" s="232">
        <f>IF(AND(ISNUMBER(SEARCH("Noturno",tabParametros[[#This Row],[Função]],1)),tabParametros[[#This Row],[Comarca]]&lt;&gt;"Juiz de Fora"),tabParametros[[#This Row],[Salário Base]]/210*0.39*7*15.5,IF(ISNUMBER(SEARCH("Noturno",tabParametros[[#This Row],[Função]],1)),tabParametros[[#This Row],[Salário Base]]/210*0.2*8*15.5,0))</f>
        <v>0</v>
      </c>
      <c r="M240" s="232">
        <f>IF(ISNUMBER(SEARCH("Motorista II",tabParametros[[#This Row],[Função]],1)),0.3022*tabParametros[[#This Row],[Salário Base]],0)</f>
        <v>0</v>
      </c>
      <c r="N240" s="254">
        <v>0</v>
      </c>
      <c r="O240" s="254">
        <f>IF(ISNUMBER(SEARCH("TECNOLOGIA DA INFORMACAO",tabParametros[[#This Row],[Função]],1)),0.056*tabParametros[[#This Row],[Salário Base]],0)</f>
        <v>0</v>
      </c>
      <c r="P240" s="232">
        <f>IF(tabParametros[[#This Row],[Função]]="Operador de Midia Audiovisual - 150 h",tabParametros[[#This Row],[Salário Base]]/150*50*30%,IF(tabParametros[[#This Row],[Função]]="Supervisor de Manutencao de Veiculos II - 220 h",12%*tabParametros[[#This Row],[Salário Base]],0))</f>
        <v>0</v>
      </c>
      <c r="Q240" s="233">
        <f>VLOOKUP(tabParametros[[#Headers],[INSS]],tabImpostosNacionais[],2,0)</f>
        <v>0.2</v>
      </c>
      <c r="R240" s="233">
        <f>VLOOKUP(tabParametros[[#Headers],[SESI OU SESC]],tabImpostosNacionais[],2,0)</f>
        <v>1.4999999999999999E-2</v>
      </c>
      <c r="S240" s="233">
        <f>VLOOKUP(tabParametros[[#Headers],[SENAI OU SENAC]],tabImpostosNacionais[],2,0)</f>
        <v>0.01</v>
      </c>
      <c r="T240" s="233">
        <f>VLOOKUP(tabParametros[[#Headers],[INCRA]],tabImpostosNacionais[],2,0)</f>
        <v>2E-3</v>
      </c>
      <c r="U240" s="233">
        <f>VLOOKUP(tabParametros[[#Headers],[Salário Educação]],tabImpostosNacionais[],2,0)</f>
        <v>2.5000000000000001E-2</v>
      </c>
      <c r="V240" s="233">
        <f>VLOOKUP(tabParametros[[#Headers],[FGTS]],tabImpostosNacionais[],2,0)</f>
        <v>0.08</v>
      </c>
      <c r="W240" s="233">
        <f>VLOOKUP(tabParametros[[#Headers],[RAT Ajustado]],tabImpostosNacionais[],2,0)</f>
        <v>0.04</v>
      </c>
      <c r="X240" s="233">
        <f>VLOOKUP(tabParametros[[#Headers],[SEBRAE]],tabImpostosNacionais[],2,0)</f>
        <v>6.0000000000000001E-3</v>
      </c>
      <c r="Y240" s="233">
        <f t="shared" si="33"/>
        <v>8.3333333333333329E-2</v>
      </c>
      <c r="Z240" s="233">
        <f t="shared" si="34"/>
        <v>0.1111111111111111</v>
      </c>
      <c r="AA240" s="232">
        <f>VLOOKUP(tabParametros[[#This Row],[Comarca]],tabComarca[],5,0)</f>
        <v>6.4</v>
      </c>
      <c r="AB240" s="232">
        <f>VLOOKUP(tabParametros[[#This Row],[CCT DA CATEGORIA]],tabSindicatos[],6,0)</f>
        <v>29.15</v>
      </c>
      <c r="AC240" s="232">
        <f>VLOOKUP(tabParametros[[#This Row],[CCT DA CATEGORIA]],tabSindicatos[],7,0)</f>
        <v>0</v>
      </c>
      <c r="AD240" s="232" cm="1">
        <f t="array" ref="AD24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40" s="232">
        <f>VLOOKUP(tabParametros[[#This Row],[CCT DA CATEGORIA]],tabSindicatos[],9,0)</f>
        <v>15.07</v>
      </c>
      <c r="AF240" s="232">
        <f>VLOOKUP(tabParametros[[#This Row],[CCT DA CATEGORIA]],tabSindicatos[],10,0)</f>
        <v>0</v>
      </c>
      <c r="AG240" s="234">
        <f>VLOOKUP(tabParametros[[#Headers],[Seguro de Vida]],tabOutrosCustos[],3,0)</f>
        <v>3.36</v>
      </c>
      <c r="AH240" s="234">
        <f>IF(ISNUMBER(SEARCH("MOTORISTA",tabParametros[[#This Row],[Função]],1)),VLOOKUP("MOTORISTAS",tabDiarias[],2,0),IF(tabParametros[[#This Row],[Comarca]]="Belo Horizonte",VLOOKUP("APOIO",tabDiarias[],2,0),0))</f>
        <v>0</v>
      </c>
      <c r="AI240" s="233">
        <f t="shared" si="35"/>
        <v>7.011766975308642E-3</v>
      </c>
      <c r="AJ240" s="235">
        <f>tabParametros[[#This Row],[FGTS]]*tabParametros[[#This Row],[Aviso Prévio Indenizado (API) e Reflexo do Aviso Prévio Indenizado]]</f>
        <v>5.609413580246914E-4</v>
      </c>
      <c r="AK240" s="235">
        <f>tabParametros[[#This Row],[FGTS]]*tabParametros[[#This Row],[Aviso Prévio Indenizado (API) e Reflexo do Aviso Prévio Indenizado]]*40%</f>
        <v>2.2437654320987658E-4</v>
      </c>
      <c r="AL240" s="233">
        <f t="shared" si="36"/>
        <v>3.5000000000000005E-3</v>
      </c>
      <c r="AM240" s="233">
        <f>tabParametros[[#This Row],[Aviso Prévio Trabalhado - APT]]*SUM(tabParametros[[#This Row],[INSS]:[SEBRAE]])</f>
        <v>1.3230000000000004E-3</v>
      </c>
      <c r="AN240" s="233">
        <f t="shared" si="37"/>
        <v>3.0577777777777773E-2</v>
      </c>
      <c r="AO240" s="233">
        <f t="shared" si="38"/>
        <v>8.3333333333333339E-4</v>
      </c>
      <c r="AP240" s="233">
        <f t="shared" si="39"/>
        <v>8.4444444444444437E-3</v>
      </c>
      <c r="AQ240" s="233">
        <f t="shared" si="40"/>
        <v>2.0277777777777777E-3</v>
      </c>
      <c r="AR240" s="233">
        <f t="shared" si="41"/>
        <v>1.7083333333333333E-4</v>
      </c>
      <c r="AS240" s="233">
        <f t="shared" si="42"/>
        <v>2.0833333333333335E-4</v>
      </c>
      <c r="AT240" s="233">
        <f t="shared" si="43"/>
        <v>1.2962962962962963E-3</v>
      </c>
      <c r="AU240" s="235">
        <f>SUM(tabParametros[[#This Row],[Ausência por Doença]:[Férias, Adicional de Férias e 13º  com empregada em gozo de Licença Maternidade]])*SUM(tabParametros[[#This Row],[INSS]:[SEBRAE]])</f>
        <v>4.5918250000000008E-3</v>
      </c>
      <c r="AV240" s="254">
        <f>IF(tabParametros[[#This Row],[Função]]="Porteiro - 220 h",SUM(tabParametros[[#This Row],[Salário Base]:[Adicional de Acúmulo de função]])/220*20*1.5,IF(ISNUMBER(SEARCH("12 x 36",tabParametros[[#This Row],[Função]],1)),SUM(tabParametros[[#This Row],[Salário Base]:[Adicional de Acúmulo de função]])/210*15.5*1.5,0))</f>
        <v>0</v>
      </c>
      <c r="AW240" s="232">
        <f>IF(tabParametros[[#This Row],[Vagas contratadas]]&gt;0,(SUM(tabParametros[[#This Row],[Salário Base]:[Adicional de Acúmulo de função]])*30%+SUM(tabParametros[[#This Row],[Vale - Alimentação]:[Seguro de Vida]]))/tabParametros[[#This Row],[Vagas contratadas]]*tabParametros[[#This Row],[Vagas suspensas]],0)</f>
        <v>0</v>
      </c>
      <c r="AX240" s="232">
        <f>SUMIF(tabUniformes[Cargo],tabParametros[[#This Row],[Função]],tabUniformes[Valor unit. Mensal])</f>
        <v>56.642978962543395</v>
      </c>
      <c r="AY24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0" s="232">
        <v>0</v>
      </c>
      <c r="BC240" s="234" t="e">
        <f ca="1">VLOOKUP(tabParametros[[#Headers],[Custos Indiretos]],tabOutrosCustos[],3,0)</f>
        <v>#NAME?</v>
      </c>
      <c r="BD240" s="234" t="e">
        <f ca="1">VLOOKUP(tabParametros[[#Headers],[Lucro]],tabOutrosCustos[],3,0)</f>
        <v>#NAME?</v>
      </c>
      <c r="BE240" s="233">
        <f>VLOOKUP(tabParametros[[#Headers],[COFINS]],tabImpostosNacionais[],2,0)</f>
        <v>7.5999999999999998E-2</v>
      </c>
      <c r="BF240" s="233">
        <f>VLOOKUP(tabParametros[[#Headers],[PIS]],tabImpostosNacionais[],2,0)</f>
        <v>1.6500000000000001E-2</v>
      </c>
      <c r="BG240" s="233">
        <f>VLOOKUP(tabParametros[[#This Row],[Comarca]],tabComarca[],4,0)</f>
        <v>0.04</v>
      </c>
      <c r="BH240" s="236">
        <f>VLOOKUP(tabParametros[[#This Row],[CCT DA CATEGORIA]],tabSindicatos[],11,0)</f>
        <v>45658</v>
      </c>
      <c r="BI240" s="282" t="str">
        <f>VLOOKUP(tabParametros[[#This Row],[CCT DA CATEGORIA]],tabSindicatos[],12,0)</f>
        <v>-</v>
      </c>
      <c r="BJ240" s="285" t="str">
        <f>VLOOKUP(tabParametros[[#This Row],[CCT DA CATEGORIA]],tabSindicatos[],13,0)</f>
        <v>-</v>
      </c>
    </row>
    <row r="241" spans="1:62">
      <c r="A241" s="231" t="s">
        <v>1666</v>
      </c>
      <c r="B241" s="197" t="s">
        <v>1178</v>
      </c>
      <c r="C241" s="197" t="s">
        <v>314</v>
      </c>
      <c r="D241" s="197" t="str">
        <f>VLOOKUP(tabParametros[[#This Row],[Código do Posto]],tabPostos[],4,0)</f>
        <v>Regiao de Sao Lourenco</v>
      </c>
      <c r="E241" s="282" t="str">
        <f>VLOOKUP(tabParametros[[#This Row],[Código do Posto]],tabPostos[],5,0)</f>
        <v>Apoio</v>
      </c>
      <c r="F241" s="282" t="str">
        <f>VLOOKUP(tabParametros[[#This Row],[Código do Posto]],tabPostos[],6,0)</f>
        <v>PGJ</v>
      </c>
      <c r="G241" s="282">
        <f>VLOOKUP(tabParametros[[#This Row],[Código do Posto]],tabPostos[],7,0)</f>
        <v>1</v>
      </c>
      <c r="H241" s="282">
        <f>VLOOKUP(tabParametros[[#This Row],[Código do Posto]],tabPostos[],8,0)</f>
        <v>0</v>
      </c>
      <c r="I241" s="232">
        <f>VLOOKUP(tabParametros[[#This Row],[Código do Posto]],tabPostos[],9,0)</f>
        <v>1963.4050319620983</v>
      </c>
      <c r="J241" s="232">
        <f>IF(ISNUMBER(SEARCH("Eletricista",tabParametros[[#This Row],[Função]],1)),0.3*tabParametros[[#This Row],[Salário Base]],0)</f>
        <v>0</v>
      </c>
      <c r="K24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1" s="232">
        <f>IF(AND(ISNUMBER(SEARCH("Noturno",tabParametros[[#This Row],[Função]],1)),tabParametros[[#This Row],[Comarca]]&lt;&gt;"Juiz de Fora"),tabParametros[[#This Row],[Salário Base]]/210*0.39*7*15.5,IF(ISNUMBER(SEARCH("Noturno",tabParametros[[#This Row],[Função]],1)),tabParametros[[#This Row],[Salário Base]]/210*0.2*8*15.5,0))</f>
        <v>0</v>
      </c>
      <c r="M241" s="232">
        <f>IF(ISNUMBER(SEARCH("Motorista II",tabParametros[[#This Row],[Função]],1)),0.3022*tabParametros[[#This Row],[Salário Base]],0)</f>
        <v>0</v>
      </c>
      <c r="N241" s="254">
        <v>0</v>
      </c>
      <c r="O241" s="254">
        <f>IF(ISNUMBER(SEARCH("TECNOLOGIA DA INFORMACAO",tabParametros[[#This Row],[Função]],1)),0.056*tabParametros[[#This Row],[Salário Base]],0)</f>
        <v>0</v>
      </c>
      <c r="P241" s="232">
        <f>IF(tabParametros[[#This Row],[Função]]="Operador de Midia Audiovisual - 150 h",tabParametros[[#This Row],[Salário Base]]/150*50*30%,IF(tabParametros[[#This Row],[Função]]="Supervisor de Manutencao de Veiculos II - 220 h",12%*tabParametros[[#This Row],[Salário Base]],0))</f>
        <v>0</v>
      </c>
      <c r="Q241" s="233">
        <f>VLOOKUP(tabParametros[[#Headers],[INSS]],tabImpostosNacionais[],2,0)</f>
        <v>0.2</v>
      </c>
      <c r="R241" s="233">
        <f>VLOOKUP(tabParametros[[#Headers],[SESI OU SESC]],tabImpostosNacionais[],2,0)</f>
        <v>1.4999999999999999E-2</v>
      </c>
      <c r="S241" s="233">
        <f>VLOOKUP(tabParametros[[#Headers],[SENAI OU SENAC]],tabImpostosNacionais[],2,0)</f>
        <v>0.01</v>
      </c>
      <c r="T241" s="233">
        <f>VLOOKUP(tabParametros[[#Headers],[INCRA]],tabImpostosNacionais[],2,0)</f>
        <v>2E-3</v>
      </c>
      <c r="U241" s="233">
        <f>VLOOKUP(tabParametros[[#Headers],[Salário Educação]],tabImpostosNacionais[],2,0)</f>
        <v>2.5000000000000001E-2</v>
      </c>
      <c r="V241" s="233">
        <f>VLOOKUP(tabParametros[[#Headers],[FGTS]],tabImpostosNacionais[],2,0)</f>
        <v>0.08</v>
      </c>
      <c r="W241" s="233">
        <f>VLOOKUP(tabParametros[[#Headers],[RAT Ajustado]],tabImpostosNacionais[],2,0)</f>
        <v>0.04</v>
      </c>
      <c r="X241" s="233">
        <f>VLOOKUP(tabParametros[[#Headers],[SEBRAE]],tabImpostosNacionais[],2,0)</f>
        <v>6.0000000000000001E-3</v>
      </c>
      <c r="Y241" s="233">
        <f t="shared" si="33"/>
        <v>8.3333333333333329E-2</v>
      </c>
      <c r="Z241" s="233">
        <f t="shared" si="34"/>
        <v>0.1111111111111111</v>
      </c>
      <c r="AA241" s="232">
        <f>VLOOKUP(tabParametros[[#This Row],[Comarca]],tabComarca[],5,0)</f>
        <v>6.4</v>
      </c>
      <c r="AB241" s="232">
        <f>VLOOKUP(tabParametros[[#This Row],[CCT DA CATEGORIA]],tabSindicatos[],6,0)</f>
        <v>29.15</v>
      </c>
      <c r="AC241" s="232">
        <f>VLOOKUP(tabParametros[[#This Row],[CCT DA CATEGORIA]],tabSindicatos[],7,0)</f>
        <v>0</v>
      </c>
      <c r="AD241" s="232" cm="1">
        <f t="array" ref="AD24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41" s="232">
        <f>VLOOKUP(tabParametros[[#This Row],[CCT DA CATEGORIA]],tabSindicatos[],9,0)</f>
        <v>0</v>
      </c>
      <c r="AF241" s="232">
        <f>VLOOKUP(tabParametros[[#This Row],[CCT DA CATEGORIA]],tabSindicatos[],10,0)</f>
        <v>0</v>
      </c>
      <c r="AG241" s="234">
        <f>VLOOKUP(tabParametros[[#Headers],[Seguro de Vida]],tabOutrosCustos[],3,0)</f>
        <v>3.36</v>
      </c>
      <c r="AH241" s="234">
        <f>IF(ISNUMBER(SEARCH("MOTORISTA",tabParametros[[#This Row],[Função]],1)),VLOOKUP("MOTORISTAS",tabDiarias[],2,0),IF(tabParametros[[#This Row],[Comarca]]="Belo Horizonte",VLOOKUP("APOIO",tabDiarias[],2,0),0))</f>
        <v>0</v>
      </c>
      <c r="AI241" s="233">
        <f t="shared" si="35"/>
        <v>7.011766975308642E-3</v>
      </c>
      <c r="AJ241" s="235">
        <f>tabParametros[[#This Row],[FGTS]]*tabParametros[[#This Row],[Aviso Prévio Indenizado (API) e Reflexo do Aviso Prévio Indenizado]]</f>
        <v>5.609413580246914E-4</v>
      </c>
      <c r="AK241" s="235">
        <f>tabParametros[[#This Row],[FGTS]]*tabParametros[[#This Row],[Aviso Prévio Indenizado (API) e Reflexo do Aviso Prévio Indenizado]]*40%</f>
        <v>2.2437654320987658E-4</v>
      </c>
      <c r="AL241" s="233">
        <f t="shared" si="36"/>
        <v>3.5000000000000005E-3</v>
      </c>
      <c r="AM241" s="233">
        <f>tabParametros[[#This Row],[Aviso Prévio Trabalhado - APT]]*SUM(tabParametros[[#This Row],[INSS]:[SEBRAE]])</f>
        <v>1.3230000000000004E-3</v>
      </c>
      <c r="AN241" s="233">
        <f t="shared" si="37"/>
        <v>3.0577777777777773E-2</v>
      </c>
      <c r="AO241" s="233">
        <f t="shared" si="38"/>
        <v>8.3333333333333339E-4</v>
      </c>
      <c r="AP241" s="233">
        <f t="shared" si="39"/>
        <v>8.4444444444444437E-3</v>
      </c>
      <c r="AQ241" s="233">
        <f t="shared" si="40"/>
        <v>2.0277777777777777E-3</v>
      </c>
      <c r="AR241" s="233">
        <f t="shared" si="41"/>
        <v>1.7083333333333333E-4</v>
      </c>
      <c r="AS241" s="233">
        <f t="shared" si="42"/>
        <v>2.0833333333333335E-4</v>
      </c>
      <c r="AT241" s="233">
        <f t="shared" si="43"/>
        <v>1.2962962962962963E-3</v>
      </c>
      <c r="AU241" s="235">
        <f>SUM(tabParametros[[#This Row],[Ausência por Doença]:[Férias, Adicional de Férias e 13º  com empregada em gozo de Licença Maternidade]])*SUM(tabParametros[[#This Row],[INSS]:[SEBRAE]])</f>
        <v>4.5918250000000008E-3</v>
      </c>
      <c r="AV241"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241" s="232">
        <f>IF(tabParametros[[#This Row],[Vagas contratadas]]&gt;0,(SUM(tabParametros[[#This Row],[Salário Base]:[Adicional de Acúmulo de função]])*30%+SUM(tabParametros[[#This Row],[Vale - Alimentação]:[Seguro de Vida]]))/tabParametros[[#This Row],[Vagas contratadas]]*tabParametros[[#This Row],[Vagas suspensas]],0)</f>
        <v>0</v>
      </c>
      <c r="AX241" s="232">
        <f>SUMIF(tabUniformes[Cargo],tabParametros[[#This Row],[Função]],tabUniformes[Valor unit. Mensal])</f>
        <v>56.642978962543395</v>
      </c>
      <c r="AY24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1" s="232">
        <v>0</v>
      </c>
      <c r="BC241" s="234" t="e">
        <f ca="1">VLOOKUP(tabParametros[[#Headers],[Custos Indiretos]],tabOutrosCustos[],3,0)</f>
        <v>#NAME?</v>
      </c>
      <c r="BD241" s="234" t="e">
        <f ca="1">VLOOKUP(tabParametros[[#Headers],[Lucro]],tabOutrosCustos[],3,0)</f>
        <v>#NAME?</v>
      </c>
      <c r="BE241" s="233">
        <f>VLOOKUP(tabParametros[[#Headers],[COFINS]],tabImpostosNacionais[],2,0)</f>
        <v>7.5999999999999998E-2</v>
      </c>
      <c r="BF241" s="233">
        <f>VLOOKUP(tabParametros[[#Headers],[PIS]],tabImpostosNacionais[],2,0)</f>
        <v>1.6500000000000001E-2</v>
      </c>
      <c r="BG241" s="233">
        <f>VLOOKUP(tabParametros[[#This Row],[Comarca]],tabComarca[],4,0)</f>
        <v>0.03</v>
      </c>
      <c r="BH241" s="236">
        <f>VLOOKUP(tabParametros[[#This Row],[CCT DA CATEGORIA]],tabSindicatos[],11,0)</f>
        <v>45658</v>
      </c>
      <c r="BI241" s="282" t="str">
        <f>VLOOKUP(tabParametros[[#This Row],[CCT DA CATEGORIA]],tabSindicatos[],12,0)</f>
        <v>-</v>
      </c>
      <c r="BJ241" s="285" t="str">
        <f>VLOOKUP(tabParametros[[#This Row],[CCT DA CATEGORIA]],tabSindicatos[],13,0)</f>
        <v>-</v>
      </c>
    </row>
    <row r="242" spans="1:62">
      <c r="A242" s="231" t="s">
        <v>1667</v>
      </c>
      <c r="B242" s="197" t="s">
        <v>1179</v>
      </c>
      <c r="C242" s="197" t="s">
        <v>314</v>
      </c>
      <c r="D242" s="197" t="str">
        <f>VLOOKUP(tabParametros[[#This Row],[Código do Posto]],tabPostos[],4,0)</f>
        <v>Sete Lagoas</v>
      </c>
      <c r="E242" s="282" t="str">
        <f>VLOOKUP(tabParametros[[#This Row],[Código do Posto]],tabPostos[],5,0)</f>
        <v>Apoio</v>
      </c>
      <c r="F242" s="282" t="str">
        <f>VLOOKUP(tabParametros[[#This Row],[Código do Posto]],tabPostos[],6,0)</f>
        <v>PGJ</v>
      </c>
      <c r="G242" s="282">
        <f>VLOOKUP(tabParametros[[#This Row],[Código do Posto]],tabPostos[],7,0)</f>
        <v>1</v>
      </c>
      <c r="H242" s="282">
        <f>VLOOKUP(tabParametros[[#This Row],[Código do Posto]],tabPostos[],8,0)</f>
        <v>0</v>
      </c>
      <c r="I242" s="232">
        <f>VLOOKUP(tabParametros[[#This Row],[Código do Posto]],tabPostos[],9,0)</f>
        <v>2134.8034899326635</v>
      </c>
      <c r="J242" s="232">
        <f>IF(ISNUMBER(SEARCH("Eletricista",tabParametros[[#This Row],[Função]],1)),0.3*tabParametros[[#This Row],[Salário Base]],0)</f>
        <v>0</v>
      </c>
      <c r="K24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2" s="232">
        <f>IF(AND(ISNUMBER(SEARCH("Noturno",tabParametros[[#This Row],[Função]],1)),tabParametros[[#This Row],[Comarca]]&lt;&gt;"Juiz de Fora"),tabParametros[[#This Row],[Salário Base]]/210*0.39*7*15.5,IF(ISNUMBER(SEARCH("Noturno",tabParametros[[#This Row],[Função]],1)),tabParametros[[#This Row],[Salário Base]]/210*0.2*8*15.5,0))</f>
        <v>0</v>
      </c>
      <c r="M242" s="232">
        <f>IF(ISNUMBER(SEARCH("Motorista II",tabParametros[[#This Row],[Função]],1)),0.3022*tabParametros[[#This Row],[Salário Base]],0)</f>
        <v>0</v>
      </c>
      <c r="N242" s="254">
        <v>0</v>
      </c>
      <c r="O242" s="254">
        <f>IF(ISNUMBER(SEARCH("TECNOLOGIA DA INFORMACAO",tabParametros[[#This Row],[Função]],1)),0.056*tabParametros[[#This Row],[Salário Base]],0)</f>
        <v>0</v>
      </c>
      <c r="P242" s="232">
        <f>IF(tabParametros[[#This Row],[Função]]="Operador de Midia Audiovisual - 150 h",tabParametros[[#This Row],[Salário Base]]/150*50*30%,IF(tabParametros[[#This Row],[Função]]="Supervisor de Manutencao de Veiculos II - 220 h",12%*tabParametros[[#This Row],[Salário Base]],0))</f>
        <v>0</v>
      </c>
      <c r="Q242" s="233">
        <f>VLOOKUP(tabParametros[[#Headers],[INSS]],tabImpostosNacionais[],2,0)</f>
        <v>0.2</v>
      </c>
      <c r="R242" s="233">
        <f>VLOOKUP(tabParametros[[#Headers],[SESI OU SESC]],tabImpostosNacionais[],2,0)</f>
        <v>1.4999999999999999E-2</v>
      </c>
      <c r="S242" s="233">
        <f>VLOOKUP(tabParametros[[#Headers],[SENAI OU SENAC]],tabImpostosNacionais[],2,0)</f>
        <v>0.01</v>
      </c>
      <c r="T242" s="233">
        <f>VLOOKUP(tabParametros[[#Headers],[INCRA]],tabImpostosNacionais[],2,0)</f>
        <v>2E-3</v>
      </c>
      <c r="U242" s="233">
        <f>VLOOKUP(tabParametros[[#Headers],[Salário Educação]],tabImpostosNacionais[],2,0)</f>
        <v>2.5000000000000001E-2</v>
      </c>
      <c r="V242" s="233">
        <f>VLOOKUP(tabParametros[[#Headers],[FGTS]],tabImpostosNacionais[],2,0)</f>
        <v>0.08</v>
      </c>
      <c r="W242" s="233">
        <f>VLOOKUP(tabParametros[[#Headers],[RAT Ajustado]],tabImpostosNacionais[],2,0)</f>
        <v>0.04</v>
      </c>
      <c r="X242" s="233">
        <f>VLOOKUP(tabParametros[[#Headers],[SEBRAE]],tabImpostosNacionais[],2,0)</f>
        <v>6.0000000000000001E-3</v>
      </c>
      <c r="Y242" s="233">
        <f t="shared" si="33"/>
        <v>8.3333333333333329E-2</v>
      </c>
      <c r="Z242" s="233">
        <f t="shared" si="34"/>
        <v>0.1111111111111111</v>
      </c>
      <c r="AA242" s="232">
        <f>VLOOKUP(tabParametros[[#This Row],[Comarca]],tabComarca[],5,0)</f>
        <v>6.4</v>
      </c>
      <c r="AB242" s="232">
        <f>VLOOKUP(tabParametros[[#This Row],[CCT DA CATEGORIA]],tabSindicatos[],6,0)</f>
        <v>29.15</v>
      </c>
      <c r="AC242" s="232">
        <f>VLOOKUP(tabParametros[[#This Row],[CCT DA CATEGORIA]],tabSindicatos[],7,0)</f>
        <v>0</v>
      </c>
      <c r="AD242" s="232" cm="1">
        <f t="array" ref="AD24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42" s="232">
        <f>VLOOKUP(tabParametros[[#This Row],[CCT DA CATEGORIA]],tabSindicatos[],9,0)</f>
        <v>0</v>
      </c>
      <c r="AF242" s="232">
        <f>VLOOKUP(tabParametros[[#This Row],[CCT DA CATEGORIA]],tabSindicatos[],10,0)</f>
        <v>0</v>
      </c>
      <c r="AG242" s="234">
        <f>VLOOKUP(tabParametros[[#Headers],[Seguro de Vida]],tabOutrosCustos[],3,0)</f>
        <v>3.36</v>
      </c>
      <c r="AH242" s="234">
        <f>IF(ISNUMBER(SEARCH("MOTORISTA",tabParametros[[#This Row],[Função]],1)),VLOOKUP("MOTORISTAS",tabDiarias[],2,0),IF(tabParametros[[#This Row],[Comarca]]="Belo Horizonte",VLOOKUP("APOIO",tabDiarias[],2,0),0))</f>
        <v>0</v>
      </c>
      <c r="AI242" s="233">
        <f t="shared" si="35"/>
        <v>7.011766975308642E-3</v>
      </c>
      <c r="AJ242" s="235">
        <f>tabParametros[[#This Row],[FGTS]]*tabParametros[[#This Row],[Aviso Prévio Indenizado (API) e Reflexo do Aviso Prévio Indenizado]]</f>
        <v>5.609413580246914E-4</v>
      </c>
      <c r="AK242" s="235">
        <f>tabParametros[[#This Row],[FGTS]]*tabParametros[[#This Row],[Aviso Prévio Indenizado (API) e Reflexo do Aviso Prévio Indenizado]]*40%</f>
        <v>2.2437654320987658E-4</v>
      </c>
      <c r="AL242" s="233">
        <f t="shared" si="36"/>
        <v>3.5000000000000005E-3</v>
      </c>
      <c r="AM242" s="233">
        <f>tabParametros[[#This Row],[Aviso Prévio Trabalhado - APT]]*SUM(tabParametros[[#This Row],[INSS]:[SEBRAE]])</f>
        <v>1.3230000000000004E-3</v>
      </c>
      <c r="AN242" s="233">
        <f t="shared" si="37"/>
        <v>3.0577777777777773E-2</v>
      </c>
      <c r="AO242" s="233">
        <f t="shared" si="38"/>
        <v>8.3333333333333339E-4</v>
      </c>
      <c r="AP242" s="233">
        <f t="shared" si="39"/>
        <v>8.4444444444444437E-3</v>
      </c>
      <c r="AQ242" s="233">
        <f t="shared" si="40"/>
        <v>2.0277777777777777E-3</v>
      </c>
      <c r="AR242" s="233">
        <f t="shared" si="41"/>
        <v>1.7083333333333333E-4</v>
      </c>
      <c r="AS242" s="233">
        <f t="shared" si="42"/>
        <v>2.0833333333333335E-4</v>
      </c>
      <c r="AT242" s="233">
        <f t="shared" si="43"/>
        <v>1.2962962962962963E-3</v>
      </c>
      <c r="AU242" s="235">
        <f>SUM(tabParametros[[#This Row],[Ausência por Doença]:[Férias, Adicional de Férias e 13º  com empregada em gozo de Licença Maternidade]])*SUM(tabParametros[[#This Row],[INSS]:[SEBRAE]])</f>
        <v>4.5918250000000008E-3</v>
      </c>
      <c r="AV242" s="254">
        <f>IF(tabParametros[[#This Row],[Função]]="Porteiro - 220 h",SUM(tabParametros[[#This Row],[Salário Base]:[Adicional de Acúmulo de função]])/220*20*1.5,IF(ISNUMBER(SEARCH("12 x 36",tabParametros[[#This Row],[Função]],1)),SUM(tabParametros[[#This Row],[Salário Base]:[Adicional de Acúmulo de função]])/210*15.5*1.5,0))</f>
        <v>291.10956680899955</v>
      </c>
      <c r="AW242" s="232">
        <f>IF(tabParametros[[#This Row],[Vagas contratadas]]&gt;0,(SUM(tabParametros[[#This Row],[Salário Base]:[Adicional de Acúmulo de função]])*30%+SUM(tabParametros[[#This Row],[Vale - Alimentação]:[Seguro de Vida]]))/tabParametros[[#This Row],[Vagas contratadas]]*tabParametros[[#This Row],[Vagas suspensas]],0)</f>
        <v>0</v>
      </c>
      <c r="AX242" s="232">
        <f>SUMIF(tabUniformes[Cargo],tabParametros[[#This Row],[Função]],tabUniformes[Valor unit. Mensal])</f>
        <v>56.642978962543395</v>
      </c>
      <c r="AY24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2" s="232">
        <v>0</v>
      </c>
      <c r="BC242" s="234" t="e">
        <f ca="1">VLOOKUP(tabParametros[[#Headers],[Custos Indiretos]],tabOutrosCustos[],3,0)</f>
        <v>#NAME?</v>
      </c>
      <c r="BD242" s="234" t="e">
        <f ca="1">VLOOKUP(tabParametros[[#Headers],[Lucro]],tabOutrosCustos[],3,0)</f>
        <v>#NAME?</v>
      </c>
      <c r="BE242" s="233">
        <f>VLOOKUP(tabParametros[[#Headers],[COFINS]],tabImpostosNacionais[],2,0)</f>
        <v>7.5999999999999998E-2</v>
      </c>
      <c r="BF242" s="233">
        <f>VLOOKUP(tabParametros[[#Headers],[PIS]],tabImpostosNacionais[],2,0)</f>
        <v>1.6500000000000001E-2</v>
      </c>
      <c r="BG242" s="233">
        <f>VLOOKUP(tabParametros[[#This Row],[Comarca]],tabComarca[],4,0)</f>
        <v>0.03</v>
      </c>
      <c r="BH242" s="236">
        <f>VLOOKUP(tabParametros[[#This Row],[CCT DA CATEGORIA]],tabSindicatos[],11,0)</f>
        <v>45658</v>
      </c>
      <c r="BI242" s="282" t="str">
        <f>VLOOKUP(tabParametros[[#This Row],[CCT DA CATEGORIA]],tabSindicatos[],12,0)</f>
        <v>-</v>
      </c>
      <c r="BJ242" s="285" t="str">
        <f>VLOOKUP(tabParametros[[#This Row],[CCT DA CATEGORIA]],tabSindicatos[],13,0)</f>
        <v>-</v>
      </c>
    </row>
    <row r="243" spans="1:62">
      <c r="A243" s="231" t="s">
        <v>1668</v>
      </c>
      <c r="B243" s="197" t="s">
        <v>1180</v>
      </c>
      <c r="C243" s="197" t="s">
        <v>274</v>
      </c>
      <c r="D243" s="197" t="str">
        <f>VLOOKUP(tabParametros[[#This Row],[Código do Posto]],tabPostos[],4,0)</f>
        <v>Rodoviarios de Passos + SEAC-MG</v>
      </c>
      <c r="E243" s="282" t="str">
        <f>VLOOKUP(tabParametros[[#This Row],[Código do Posto]],tabPostos[],5,0)</f>
        <v>Apoio</v>
      </c>
      <c r="F243" s="282" t="str">
        <f>VLOOKUP(tabParametros[[#This Row],[Código do Posto]],tabPostos[],6,0)</f>
        <v>PGJ</v>
      </c>
      <c r="G243" s="282">
        <f>VLOOKUP(tabParametros[[#This Row],[Código do Posto]],tabPostos[],7,0)</f>
        <v>2</v>
      </c>
      <c r="H243" s="282">
        <f>VLOOKUP(tabParametros[[#This Row],[Código do Posto]],tabPostos[],8,0)</f>
        <v>0</v>
      </c>
      <c r="I243" s="232">
        <f>VLOOKUP(tabParametros[[#This Row],[Código do Posto]],tabPostos[],9,0)</f>
        <v>4599.5952808034681</v>
      </c>
      <c r="J243" s="232">
        <f>IF(ISNUMBER(SEARCH("Eletricista",tabParametros[[#This Row],[Função]],1)),0.3*tabParametros[[#This Row],[Salário Base]],0)</f>
        <v>0</v>
      </c>
      <c r="K24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3" s="232">
        <f>IF(AND(ISNUMBER(SEARCH("Noturno",tabParametros[[#This Row],[Função]],1)),tabParametros[[#This Row],[Comarca]]&lt;&gt;"Juiz de Fora"),tabParametros[[#This Row],[Salário Base]]/210*0.39*7*15.5,IF(ISNUMBER(SEARCH("Noturno",tabParametros[[#This Row],[Função]],1)),tabParametros[[#This Row],[Salário Base]]/210*0.2*8*15.5,0))</f>
        <v>0</v>
      </c>
      <c r="M243" s="232">
        <f>IF(ISNUMBER(SEARCH("Motorista II",tabParametros[[#This Row],[Função]],1)),0.3022*tabParametros[[#This Row],[Salário Base]],0)</f>
        <v>0</v>
      </c>
      <c r="N243" s="254">
        <v>0</v>
      </c>
      <c r="O243" s="254">
        <f>IF(ISNUMBER(SEARCH("TECNOLOGIA DA INFORMACAO",tabParametros[[#This Row],[Função]],1)),0.056*tabParametros[[#This Row],[Salário Base]],0)</f>
        <v>0</v>
      </c>
      <c r="P243" s="232">
        <f>IF(tabParametros[[#This Row],[Função]]="Operador de Midia Audiovisual - 150 h",tabParametros[[#This Row],[Salário Base]]/150*50*30%,IF(tabParametros[[#This Row],[Função]]="Supervisor de Manutencao de Veiculos II - 220 h",12%*tabParametros[[#This Row],[Salário Base]],0))</f>
        <v>0</v>
      </c>
      <c r="Q243" s="233">
        <f>VLOOKUP(tabParametros[[#Headers],[INSS]],tabImpostosNacionais[],2,0)</f>
        <v>0.2</v>
      </c>
      <c r="R243" s="233">
        <f>VLOOKUP(tabParametros[[#Headers],[SESI OU SESC]],tabImpostosNacionais[],2,0)</f>
        <v>1.4999999999999999E-2</v>
      </c>
      <c r="S243" s="233">
        <f>VLOOKUP(tabParametros[[#Headers],[SENAI OU SENAC]],tabImpostosNacionais[],2,0)</f>
        <v>0.01</v>
      </c>
      <c r="T243" s="233">
        <f>VLOOKUP(tabParametros[[#Headers],[INCRA]],tabImpostosNacionais[],2,0)</f>
        <v>2E-3</v>
      </c>
      <c r="U243" s="233">
        <f>VLOOKUP(tabParametros[[#Headers],[Salário Educação]],tabImpostosNacionais[],2,0)</f>
        <v>2.5000000000000001E-2</v>
      </c>
      <c r="V243" s="233">
        <f>VLOOKUP(tabParametros[[#Headers],[FGTS]],tabImpostosNacionais[],2,0)</f>
        <v>0.08</v>
      </c>
      <c r="W243" s="233">
        <f>VLOOKUP(tabParametros[[#Headers],[RAT Ajustado]],tabImpostosNacionais[],2,0)</f>
        <v>0.04</v>
      </c>
      <c r="X243" s="233">
        <f>VLOOKUP(tabParametros[[#Headers],[SEBRAE]],tabImpostosNacionais[],2,0)</f>
        <v>6.0000000000000001E-3</v>
      </c>
      <c r="Y243" s="233">
        <f t="shared" si="33"/>
        <v>8.3333333333333329E-2</v>
      </c>
      <c r="Z243" s="233">
        <f t="shared" si="34"/>
        <v>0.1111111111111111</v>
      </c>
      <c r="AA243" s="232">
        <f>VLOOKUP(tabParametros[[#This Row],[Comarca]],tabComarca[],5,0)</f>
        <v>6.4</v>
      </c>
      <c r="AB243" s="232">
        <f>VLOOKUP(tabParametros[[#This Row],[CCT DA CATEGORIA]],tabSindicatos[],6,0)</f>
        <v>28.97</v>
      </c>
      <c r="AC243" s="232">
        <f>VLOOKUP(tabParametros[[#This Row],[CCT DA CATEGORIA]],tabSindicatos[],7,0)</f>
        <v>0</v>
      </c>
      <c r="AD243" s="232" cm="1">
        <f t="array" ref="AD24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43" s="232">
        <f>VLOOKUP(tabParametros[[#This Row],[CCT DA CATEGORIA]],tabSindicatos[],9,0)</f>
        <v>0</v>
      </c>
      <c r="AF243" s="232">
        <f>VLOOKUP(tabParametros[[#This Row],[CCT DA CATEGORIA]],tabSindicatos[],10,0)</f>
        <v>0</v>
      </c>
      <c r="AG243" s="234">
        <f>VLOOKUP(tabParametros[[#Headers],[Seguro de Vida]],tabOutrosCustos[],3,0)</f>
        <v>3.36</v>
      </c>
      <c r="AH243" s="234">
        <f>IF(ISNUMBER(SEARCH("MOTORISTA",tabParametros[[#This Row],[Função]],1)),VLOOKUP("MOTORISTAS",tabDiarias[],2,0),IF(tabParametros[[#This Row],[Comarca]]="Belo Horizonte",VLOOKUP("APOIO",tabDiarias[],2,0),0))</f>
        <v>662.42</v>
      </c>
      <c r="AI243" s="233">
        <f t="shared" si="35"/>
        <v>7.011766975308642E-3</v>
      </c>
      <c r="AJ243" s="235">
        <f>tabParametros[[#This Row],[FGTS]]*tabParametros[[#This Row],[Aviso Prévio Indenizado (API) e Reflexo do Aviso Prévio Indenizado]]</f>
        <v>5.609413580246914E-4</v>
      </c>
      <c r="AK243" s="235">
        <f>tabParametros[[#This Row],[FGTS]]*tabParametros[[#This Row],[Aviso Prévio Indenizado (API) e Reflexo do Aviso Prévio Indenizado]]*40%</f>
        <v>2.2437654320987658E-4</v>
      </c>
      <c r="AL243" s="233">
        <f t="shared" si="36"/>
        <v>3.5000000000000005E-3</v>
      </c>
      <c r="AM243" s="233">
        <f>tabParametros[[#This Row],[Aviso Prévio Trabalhado - APT]]*SUM(tabParametros[[#This Row],[INSS]:[SEBRAE]])</f>
        <v>1.3230000000000004E-3</v>
      </c>
      <c r="AN243" s="233">
        <f t="shared" si="37"/>
        <v>3.0577777777777773E-2</v>
      </c>
      <c r="AO243" s="233">
        <f t="shared" si="38"/>
        <v>8.3333333333333339E-4</v>
      </c>
      <c r="AP243" s="233">
        <f t="shared" si="39"/>
        <v>8.4444444444444437E-3</v>
      </c>
      <c r="AQ243" s="233">
        <f t="shared" si="40"/>
        <v>2.0277777777777777E-3</v>
      </c>
      <c r="AR243" s="233">
        <f t="shared" si="41"/>
        <v>1.7083333333333333E-4</v>
      </c>
      <c r="AS243" s="233">
        <f t="shared" si="42"/>
        <v>2.0833333333333335E-4</v>
      </c>
      <c r="AT243" s="233">
        <f t="shared" si="43"/>
        <v>1.2962962962962963E-3</v>
      </c>
      <c r="AU243" s="235">
        <f>SUM(tabParametros[[#This Row],[Ausência por Doença]:[Férias, Adicional de Férias e 13º  com empregada em gozo de Licença Maternidade]])*SUM(tabParametros[[#This Row],[INSS]:[SEBRAE]])</f>
        <v>4.5918250000000008E-3</v>
      </c>
      <c r="AV243" s="254">
        <f>IF(tabParametros[[#This Row],[Função]]="Porteiro - 220 h",SUM(tabParametros[[#This Row],[Salário Base]:[Adicional de Acúmulo de função]])/220*20*1.5,IF(ISNUMBER(SEARCH("12 x 36",tabParametros[[#This Row],[Função]],1)),SUM(tabParametros[[#This Row],[Salário Base]:[Adicional de Acúmulo de função]])/210*15.5*1.5,0))</f>
        <v>0</v>
      </c>
      <c r="AW243" s="232">
        <f>IF(tabParametros[[#This Row],[Vagas contratadas]]&gt;0,(SUM(tabParametros[[#This Row],[Salário Base]:[Adicional de Acúmulo de função]])*30%+SUM(tabParametros[[#This Row],[Vale - Alimentação]:[Seguro de Vida]]))/tabParametros[[#This Row],[Vagas contratadas]]*tabParametros[[#This Row],[Vagas suspensas]],0)</f>
        <v>0</v>
      </c>
      <c r="AX243" s="232">
        <f>SUMIF(tabUniformes[Cargo],tabParametros[[#This Row],[Função]],tabUniformes[Valor unit. Mensal])</f>
        <v>92.100763771570698</v>
      </c>
      <c r="AY24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3" s="232">
        <v>0</v>
      </c>
      <c r="BC243" s="234" t="e">
        <f ca="1">VLOOKUP(tabParametros[[#Headers],[Custos Indiretos]],tabOutrosCustos[],3,0)</f>
        <v>#NAME?</v>
      </c>
      <c r="BD243" s="234" t="e">
        <f ca="1">VLOOKUP(tabParametros[[#Headers],[Lucro]],tabOutrosCustos[],3,0)</f>
        <v>#NAME?</v>
      </c>
      <c r="BE243" s="233">
        <f>VLOOKUP(tabParametros[[#Headers],[COFINS]],tabImpostosNacionais[],2,0)</f>
        <v>7.5999999999999998E-2</v>
      </c>
      <c r="BF243" s="233">
        <f>VLOOKUP(tabParametros[[#Headers],[PIS]],tabImpostosNacionais[],2,0)</f>
        <v>1.6500000000000001E-2</v>
      </c>
      <c r="BG243" s="233">
        <f>VLOOKUP(tabParametros[[#This Row],[Comarca]],tabComarca[],4,0)</f>
        <v>0.03</v>
      </c>
      <c r="BH243" s="236">
        <f>VLOOKUP(tabParametros[[#This Row],[CCT DA CATEGORIA]],tabSindicatos[],11,0)</f>
        <v>45658</v>
      </c>
      <c r="BI243" s="282" t="str">
        <f>VLOOKUP(tabParametros[[#This Row],[CCT DA CATEGORIA]],tabSindicatos[],12,0)</f>
        <v>-</v>
      </c>
      <c r="BJ243" s="285" t="str">
        <f>VLOOKUP(tabParametros[[#This Row],[CCT DA CATEGORIA]],tabSindicatos[],13,0)</f>
        <v>-</v>
      </c>
    </row>
    <row r="244" spans="1:62">
      <c r="A244" s="231" t="s">
        <v>1669</v>
      </c>
      <c r="B244" s="197" t="s">
        <v>1180</v>
      </c>
      <c r="C244" s="197" t="s">
        <v>274</v>
      </c>
      <c r="D244" s="197" t="str">
        <f>VLOOKUP(tabParametros[[#This Row],[Código do Posto]],tabPostos[],4,0)</f>
        <v>Rodoviarios de Passos + SEAC-MG</v>
      </c>
      <c r="E244" s="282" t="str">
        <f>VLOOKUP(tabParametros[[#This Row],[Código do Posto]],tabPostos[],5,0)</f>
        <v>Apoio</v>
      </c>
      <c r="F244" s="282" t="str">
        <f>VLOOKUP(tabParametros[[#This Row],[Código do Posto]],tabPostos[],6,0)</f>
        <v>FEPDC</v>
      </c>
      <c r="G244" s="282">
        <f>VLOOKUP(tabParametros[[#This Row],[Código do Posto]],tabPostos[],7,0)</f>
        <v>1</v>
      </c>
      <c r="H244" s="282">
        <f>VLOOKUP(tabParametros[[#This Row],[Código do Posto]],tabPostos[],8,0)</f>
        <v>0</v>
      </c>
      <c r="I244" s="232">
        <f>VLOOKUP(tabParametros[[#This Row],[Código do Posto]],tabPostos[],9,0)</f>
        <v>4599.5952808034681</v>
      </c>
      <c r="J244" s="232">
        <f>IF(ISNUMBER(SEARCH("Eletricista",tabParametros[[#This Row],[Função]],1)),0.3*tabParametros[[#This Row],[Salário Base]],0)</f>
        <v>0</v>
      </c>
      <c r="K24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4" s="232">
        <f>IF(AND(ISNUMBER(SEARCH("Noturno",tabParametros[[#This Row],[Função]],1)),tabParametros[[#This Row],[Comarca]]&lt;&gt;"Juiz de Fora"),tabParametros[[#This Row],[Salário Base]]/210*0.39*7*15.5,IF(ISNUMBER(SEARCH("Noturno",tabParametros[[#This Row],[Função]],1)),tabParametros[[#This Row],[Salário Base]]/210*0.2*8*15.5,0))</f>
        <v>0</v>
      </c>
      <c r="M244" s="232">
        <f>IF(ISNUMBER(SEARCH("Motorista II",tabParametros[[#This Row],[Função]],1)),0.3022*tabParametros[[#This Row],[Salário Base]],0)</f>
        <v>0</v>
      </c>
      <c r="N244" s="254">
        <v>0</v>
      </c>
      <c r="O244" s="254">
        <f>IF(ISNUMBER(SEARCH("TECNOLOGIA DA INFORMACAO",tabParametros[[#This Row],[Função]],1)),0.056*tabParametros[[#This Row],[Salário Base]],0)</f>
        <v>0</v>
      </c>
      <c r="P244" s="232">
        <f>IF(tabParametros[[#This Row],[Função]]="Operador de Midia Audiovisual - 150 h",tabParametros[[#This Row],[Salário Base]]/150*50*30%,IF(tabParametros[[#This Row],[Função]]="Supervisor de Manutencao de Veiculos II - 220 h",12%*tabParametros[[#This Row],[Salário Base]],0))</f>
        <v>0</v>
      </c>
      <c r="Q244" s="233">
        <f>VLOOKUP(tabParametros[[#Headers],[INSS]],tabImpostosNacionais[],2,0)</f>
        <v>0.2</v>
      </c>
      <c r="R244" s="233">
        <f>VLOOKUP(tabParametros[[#Headers],[SESI OU SESC]],tabImpostosNacionais[],2,0)</f>
        <v>1.4999999999999999E-2</v>
      </c>
      <c r="S244" s="233">
        <f>VLOOKUP(tabParametros[[#Headers],[SENAI OU SENAC]],tabImpostosNacionais[],2,0)</f>
        <v>0.01</v>
      </c>
      <c r="T244" s="233">
        <f>VLOOKUP(tabParametros[[#Headers],[INCRA]],tabImpostosNacionais[],2,0)</f>
        <v>2E-3</v>
      </c>
      <c r="U244" s="233">
        <f>VLOOKUP(tabParametros[[#Headers],[Salário Educação]],tabImpostosNacionais[],2,0)</f>
        <v>2.5000000000000001E-2</v>
      </c>
      <c r="V244" s="233">
        <f>VLOOKUP(tabParametros[[#Headers],[FGTS]],tabImpostosNacionais[],2,0)</f>
        <v>0.08</v>
      </c>
      <c r="W244" s="233">
        <f>VLOOKUP(tabParametros[[#Headers],[RAT Ajustado]],tabImpostosNacionais[],2,0)</f>
        <v>0.04</v>
      </c>
      <c r="X244" s="233">
        <f>VLOOKUP(tabParametros[[#Headers],[SEBRAE]],tabImpostosNacionais[],2,0)</f>
        <v>6.0000000000000001E-3</v>
      </c>
      <c r="Y244" s="233">
        <f t="shared" si="33"/>
        <v>8.3333333333333329E-2</v>
      </c>
      <c r="Z244" s="233">
        <f t="shared" si="34"/>
        <v>0.1111111111111111</v>
      </c>
      <c r="AA244" s="232">
        <f>VLOOKUP(tabParametros[[#This Row],[Comarca]],tabComarca[],5,0)</f>
        <v>6.4</v>
      </c>
      <c r="AB244" s="232">
        <f>VLOOKUP(tabParametros[[#This Row],[CCT DA CATEGORIA]],tabSindicatos[],6,0)</f>
        <v>28.97</v>
      </c>
      <c r="AC244" s="232">
        <f>VLOOKUP(tabParametros[[#This Row],[CCT DA CATEGORIA]],tabSindicatos[],7,0)</f>
        <v>0</v>
      </c>
      <c r="AD244" s="232" cm="1">
        <f t="array" ref="AD24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44" s="232">
        <f>VLOOKUP(tabParametros[[#This Row],[CCT DA CATEGORIA]],tabSindicatos[],9,0)</f>
        <v>0</v>
      </c>
      <c r="AF244" s="232">
        <f>VLOOKUP(tabParametros[[#This Row],[CCT DA CATEGORIA]],tabSindicatos[],10,0)</f>
        <v>0</v>
      </c>
      <c r="AG244" s="234">
        <f>VLOOKUP(tabParametros[[#Headers],[Seguro de Vida]],tabOutrosCustos[],3,0)</f>
        <v>3.36</v>
      </c>
      <c r="AH244" s="234">
        <f>IF(ISNUMBER(SEARCH("MOTORISTA",tabParametros[[#This Row],[Função]],1)),VLOOKUP("MOTORISTAS",tabDiarias[],2,0),IF(tabParametros[[#This Row],[Comarca]]="Belo Horizonte",VLOOKUP("APOIO",tabDiarias[],2,0),0))</f>
        <v>662.42</v>
      </c>
      <c r="AI244" s="233">
        <f t="shared" si="35"/>
        <v>7.011766975308642E-3</v>
      </c>
      <c r="AJ244" s="235">
        <f>tabParametros[[#This Row],[FGTS]]*tabParametros[[#This Row],[Aviso Prévio Indenizado (API) e Reflexo do Aviso Prévio Indenizado]]</f>
        <v>5.609413580246914E-4</v>
      </c>
      <c r="AK244" s="235">
        <f>tabParametros[[#This Row],[FGTS]]*tabParametros[[#This Row],[Aviso Prévio Indenizado (API) e Reflexo do Aviso Prévio Indenizado]]*40%</f>
        <v>2.2437654320987658E-4</v>
      </c>
      <c r="AL244" s="233">
        <f t="shared" si="36"/>
        <v>3.5000000000000005E-3</v>
      </c>
      <c r="AM244" s="233">
        <f>tabParametros[[#This Row],[Aviso Prévio Trabalhado - APT]]*SUM(tabParametros[[#This Row],[INSS]:[SEBRAE]])</f>
        <v>1.3230000000000004E-3</v>
      </c>
      <c r="AN244" s="233">
        <f t="shared" si="37"/>
        <v>3.0577777777777773E-2</v>
      </c>
      <c r="AO244" s="233">
        <f t="shared" si="38"/>
        <v>8.3333333333333339E-4</v>
      </c>
      <c r="AP244" s="233">
        <f t="shared" si="39"/>
        <v>8.4444444444444437E-3</v>
      </c>
      <c r="AQ244" s="233">
        <f t="shared" si="40"/>
        <v>2.0277777777777777E-3</v>
      </c>
      <c r="AR244" s="233">
        <f t="shared" si="41"/>
        <v>1.7083333333333333E-4</v>
      </c>
      <c r="AS244" s="233">
        <f t="shared" si="42"/>
        <v>2.0833333333333335E-4</v>
      </c>
      <c r="AT244" s="233">
        <f t="shared" si="43"/>
        <v>1.2962962962962963E-3</v>
      </c>
      <c r="AU244" s="235">
        <f>SUM(tabParametros[[#This Row],[Ausência por Doença]:[Férias, Adicional de Férias e 13º  com empregada em gozo de Licença Maternidade]])*SUM(tabParametros[[#This Row],[INSS]:[SEBRAE]])</f>
        <v>4.5918250000000008E-3</v>
      </c>
      <c r="AV244" s="254">
        <f>IF(tabParametros[[#This Row],[Função]]="Porteiro - 220 h",SUM(tabParametros[[#This Row],[Salário Base]:[Adicional de Acúmulo de função]])/220*20*1.5,IF(ISNUMBER(SEARCH("12 x 36",tabParametros[[#This Row],[Função]],1)),SUM(tabParametros[[#This Row],[Salário Base]:[Adicional de Acúmulo de função]])/210*15.5*1.5,0))</f>
        <v>0</v>
      </c>
      <c r="AW244" s="232">
        <f>IF(tabParametros[[#This Row],[Vagas contratadas]]&gt;0,(SUM(tabParametros[[#This Row],[Salário Base]:[Adicional de Acúmulo de função]])*30%+SUM(tabParametros[[#This Row],[Vale - Alimentação]:[Seguro de Vida]]))/tabParametros[[#This Row],[Vagas contratadas]]*tabParametros[[#This Row],[Vagas suspensas]],0)</f>
        <v>0</v>
      </c>
      <c r="AX244" s="232">
        <f>SUMIF(tabUniformes[Cargo],tabParametros[[#This Row],[Função]],tabUniformes[Valor unit. Mensal])</f>
        <v>92.100763771570698</v>
      </c>
      <c r="AY24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4" s="232">
        <v>0</v>
      </c>
      <c r="BC244" s="234" t="e">
        <f ca="1">VLOOKUP(tabParametros[[#Headers],[Custos Indiretos]],tabOutrosCustos[],3,0)</f>
        <v>#NAME?</v>
      </c>
      <c r="BD244" s="234" t="e">
        <f ca="1">VLOOKUP(tabParametros[[#Headers],[Lucro]],tabOutrosCustos[],3,0)</f>
        <v>#NAME?</v>
      </c>
      <c r="BE244" s="233">
        <f>VLOOKUP(tabParametros[[#Headers],[COFINS]],tabImpostosNacionais[],2,0)</f>
        <v>7.5999999999999998E-2</v>
      </c>
      <c r="BF244" s="233">
        <f>VLOOKUP(tabParametros[[#Headers],[PIS]],tabImpostosNacionais[],2,0)</f>
        <v>1.6500000000000001E-2</v>
      </c>
      <c r="BG244" s="233">
        <f>VLOOKUP(tabParametros[[#This Row],[Comarca]],tabComarca[],4,0)</f>
        <v>0.03</v>
      </c>
      <c r="BH244" s="236">
        <f>VLOOKUP(tabParametros[[#This Row],[CCT DA CATEGORIA]],tabSindicatos[],11,0)</f>
        <v>45658</v>
      </c>
      <c r="BI244" s="282" t="str">
        <f>VLOOKUP(tabParametros[[#This Row],[CCT DA CATEGORIA]],tabSindicatos[],12,0)</f>
        <v>-</v>
      </c>
      <c r="BJ244" s="285" t="str">
        <f>VLOOKUP(tabParametros[[#This Row],[CCT DA CATEGORIA]],tabSindicatos[],13,0)</f>
        <v>-</v>
      </c>
    </row>
    <row r="245" spans="1:62">
      <c r="A245" s="231" t="s">
        <v>1500</v>
      </c>
      <c r="B245" s="197" t="s">
        <v>1180</v>
      </c>
      <c r="C245" s="197" t="s">
        <v>314</v>
      </c>
      <c r="D245" s="197" t="str">
        <f>VLOOKUP(tabParametros[[#This Row],[Código do Posto]],tabPostos[],4,0)</f>
        <v>Regiao de Sao Lourenco</v>
      </c>
      <c r="E245" s="282" t="str">
        <f>VLOOKUP(tabParametros[[#This Row],[Código do Posto]],tabPostos[],5,0)</f>
        <v>Apoio</v>
      </c>
      <c r="F245" s="282" t="str">
        <f>VLOOKUP(tabParametros[[#This Row],[Código do Posto]],tabPostos[],6,0)</f>
        <v>PGJ</v>
      </c>
      <c r="G245" s="282">
        <f>VLOOKUP(tabParametros[[#This Row],[Código do Posto]],tabPostos[],7,0)</f>
        <v>1</v>
      </c>
      <c r="H245" s="282">
        <f>VLOOKUP(tabParametros[[#This Row],[Código do Posto]],tabPostos[],8,0)</f>
        <v>0</v>
      </c>
      <c r="I245" s="232">
        <f>VLOOKUP(tabParametros[[#This Row],[Código do Posto]],tabPostos[],9,0)</f>
        <v>1963.4050319620983</v>
      </c>
      <c r="J245" s="232">
        <f>IF(ISNUMBER(SEARCH("Eletricista",tabParametros[[#This Row],[Função]],1)),0.3*tabParametros[[#This Row],[Salário Base]],0)</f>
        <v>0</v>
      </c>
      <c r="K24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5" s="232">
        <f>IF(AND(ISNUMBER(SEARCH("Noturno",tabParametros[[#This Row],[Função]],1)),tabParametros[[#This Row],[Comarca]]&lt;&gt;"Juiz de Fora"),tabParametros[[#This Row],[Salário Base]]/210*0.39*7*15.5,IF(ISNUMBER(SEARCH("Noturno",tabParametros[[#This Row],[Função]],1)),tabParametros[[#This Row],[Salário Base]]/210*0.2*8*15.5,0))</f>
        <v>0</v>
      </c>
      <c r="M245" s="232">
        <f>IF(ISNUMBER(SEARCH("Motorista II",tabParametros[[#This Row],[Função]],1)),0.3022*tabParametros[[#This Row],[Salário Base]],0)</f>
        <v>0</v>
      </c>
      <c r="N245" s="254">
        <v>0</v>
      </c>
      <c r="O245" s="254">
        <f>IF(ISNUMBER(SEARCH("TECNOLOGIA DA INFORMACAO",tabParametros[[#This Row],[Função]],1)),0.056*tabParametros[[#This Row],[Salário Base]],0)</f>
        <v>0</v>
      </c>
      <c r="P245" s="232">
        <f>IF(tabParametros[[#This Row],[Função]]="Operador de Midia Audiovisual - 150 h",tabParametros[[#This Row],[Salário Base]]/150*50*30%,IF(tabParametros[[#This Row],[Função]]="Supervisor de Manutencao de Veiculos II - 220 h",12%*tabParametros[[#This Row],[Salário Base]],0))</f>
        <v>0</v>
      </c>
      <c r="Q245" s="233">
        <f>VLOOKUP(tabParametros[[#Headers],[INSS]],tabImpostosNacionais[],2,0)</f>
        <v>0.2</v>
      </c>
      <c r="R245" s="233">
        <f>VLOOKUP(tabParametros[[#Headers],[SESI OU SESC]],tabImpostosNacionais[],2,0)</f>
        <v>1.4999999999999999E-2</v>
      </c>
      <c r="S245" s="233">
        <f>VLOOKUP(tabParametros[[#Headers],[SENAI OU SENAC]],tabImpostosNacionais[],2,0)</f>
        <v>0.01</v>
      </c>
      <c r="T245" s="233">
        <f>VLOOKUP(tabParametros[[#Headers],[INCRA]],tabImpostosNacionais[],2,0)</f>
        <v>2E-3</v>
      </c>
      <c r="U245" s="233">
        <f>VLOOKUP(tabParametros[[#Headers],[Salário Educação]],tabImpostosNacionais[],2,0)</f>
        <v>2.5000000000000001E-2</v>
      </c>
      <c r="V245" s="233">
        <f>VLOOKUP(tabParametros[[#Headers],[FGTS]],tabImpostosNacionais[],2,0)</f>
        <v>0.08</v>
      </c>
      <c r="W245" s="233">
        <f>VLOOKUP(tabParametros[[#Headers],[RAT Ajustado]],tabImpostosNacionais[],2,0)</f>
        <v>0.04</v>
      </c>
      <c r="X245" s="233">
        <f>VLOOKUP(tabParametros[[#Headers],[SEBRAE]],tabImpostosNacionais[],2,0)</f>
        <v>6.0000000000000001E-3</v>
      </c>
      <c r="Y245" s="233">
        <f t="shared" si="33"/>
        <v>8.3333333333333329E-2</v>
      </c>
      <c r="Z245" s="233">
        <f t="shared" si="34"/>
        <v>0.1111111111111111</v>
      </c>
      <c r="AA245" s="232">
        <f>VLOOKUP(tabParametros[[#This Row],[Comarca]],tabComarca[],5,0)</f>
        <v>6.4</v>
      </c>
      <c r="AB245" s="232">
        <f>VLOOKUP(tabParametros[[#This Row],[CCT DA CATEGORIA]],tabSindicatos[],6,0)</f>
        <v>29.15</v>
      </c>
      <c r="AC245" s="232">
        <f>VLOOKUP(tabParametros[[#This Row],[CCT DA CATEGORIA]],tabSindicatos[],7,0)</f>
        <v>0</v>
      </c>
      <c r="AD245" s="232" cm="1">
        <f t="array" ref="AD24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45" s="232">
        <f>VLOOKUP(tabParametros[[#This Row],[CCT DA CATEGORIA]],tabSindicatos[],9,0)</f>
        <v>0</v>
      </c>
      <c r="AF245" s="232">
        <f>VLOOKUP(tabParametros[[#This Row],[CCT DA CATEGORIA]],tabSindicatos[],10,0)</f>
        <v>0</v>
      </c>
      <c r="AG245" s="234">
        <f>VLOOKUP(tabParametros[[#Headers],[Seguro de Vida]],tabOutrosCustos[],3,0)</f>
        <v>3.36</v>
      </c>
      <c r="AH245" s="234">
        <f>IF(ISNUMBER(SEARCH("MOTORISTA",tabParametros[[#This Row],[Função]],1)),VLOOKUP("MOTORISTAS",tabDiarias[],2,0),IF(tabParametros[[#This Row],[Comarca]]="Belo Horizonte",VLOOKUP("APOIO",tabDiarias[],2,0),0))</f>
        <v>0</v>
      </c>
      <c r="AI245" s="233">
        <f t="shared" si="35"/>
        <v>7.011766975308642E-3</v>
      </c>
      <c r="AJ245" s="235">
        <f>tabParametros[[#This Row],[FGTS]]*tabParametros[[#This Row],[Aviso Prévio Indenizado (API) e Reflexo do Aviso Prévio Indenizado]]</f>
        <v>5.609413580246914E-4</v>
      </c>
      <c r="AK245" s="235">
        <f>tabParametros[[#This Row],[FGTS]]*tabParametros[[#This Row],[Aviso Prévio Indenizado (API) e Reflexo do Aviso Prévio Indenizado]]*40%</f>
        <v>2.2437654320987658E-4</v>
      </c>
      <c r="AL245" s="233">
        <f t="shared" si="36"/>
        <v>3.5000000000000005E-3</v>
      </c>
      <c r="AM245" s="233">
        <f>tabParametros[[#This Row],[Aviso Prévio Trabalhado - APT]]*SUM(tabParametros[[#This Row],[INSS]:[SEBRAE]])</f>
        <v>1.3230000000000004E-3</v>
      </c>
      <c r="AN245" s="233">
        <f t="shared" si="37"/>
        <v>3.0577777777777773E-2</v>
      </c>
      <c r="AO245" s="233">
        <f t="shared" si="38"/>
        <v>8.3333333333333339E-4</v>
      </c>
      <c r="AP245" s="233">
        <f t="shared" si="39"/>
        <v>8.4444444444444437E-3</v>
      </c>
      <c r="AQ245" s="233">
        <f t="shared" si="40"/>
        <v>2.0277777777777777E-3</v>
      </c>
      <c r="AR245" s="233">
        <f t="shared" si="41"/>
        <v>1.7083333333333333E-4</v>
      </c>
      <c r="AS245" s="233">
        <f t="shared" si="42"/>
        <v>2.0833333333333335E-4</v>
      </c>
      <c r="AT245" s="233">
        <f t="shared" si="43"/>
        <v>1.2962962962962963E-3</v>
      </c>
      <c r="AU245" s="235">
        <f>SUM(tabParametros[[#This Row],[Ausência por Doença]:[Férias, Adicional de Férias e 13º  com empregada em gozo de Licença Maternidade]])*SUM(tabParametros[[#This Row],[INSS]:[SEBRAE]])</f>
        <v>4.5918250000000008E-3</v>
      </c>
      <c r="AV245"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245" s="232">
        <f>IF(tabParametros[[#This Row],[Vagas contratadas]]&gt;0,(SUM(tabParametros[[#This Row],[Salário Base]:[Adicional de Acúmulo de função]])*30%+SUM(tabParametros[[#This Row],[Vale - Alimentação]:[Seguro de Vida]]))/tabParametros[[#This Row],[Vagas contratadas]]*tabParametros[[#This Row],[Vagas suspensas]],0)</f>
        <v>0</v>
      </c>
      <c r="AX245" s="232">
        <f>SUMIF(tabUniformes[Cargo],tabParametros[[#This Row],[Função]],tabUniformes[Valor unit. Mensal])</f>
        <v>56.642978962543395</v>
      </c>
      <c r="AY24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5" s="232">
        <v>0</v>
      </c>
      <c r="BC245" s="234" t="e">
        <f ca="1">VLOOKUP(tabParametros[[#Headers],[Custos Indiretos]],tabOutrosCustos[],3,0)</f>
        <v>#NAME?</v>
      </c>
      <c r="BD245" s="234" t="e">
        <f ca="1">VLOOKUP(tabParametros[[#Headers],[Lucro]],tabOutrosCustos[],3,0)</f>
        <v>#NAME?</v>
      </c>
      <c r="BE245" s="233">
        <f>VLOOKUP(tabParametros[[#Headers],[COFINS]],tabImpostosNacionais[],2,0)</f>
        <v>7.5999999999999998E-2</v>
      </c>
      <c r="BF245" s="233">
        <f>VLOOKUP(tabParametros[[#Headers],[PIS]],tabImpostosNacionais[],2,0)</f>
        <v>1.6500000000000001E-2</v>
      </c>
      <c r="BG245" s="233">
        <f>VLOOKUP(tabParametros[[#This Row],[Comarca]],tabComarca[],4,0)</f>
        <v>0.03</v>
      </c>
      <c r="BH245" s="236">
        <f>VLOOKUP(tabParametros[[#This Row],[CCT DA CATEGORIA]],tabSindicatos[],11,0)</f>
        <v>45658</v>
      </c>
      <c r="BI245" s="282" t="str">
        <f>VLOOKUP(tabParametros[[#This Row],[CCT DA CATEGORIA]],tabSindicatos[],12,0)</f>
        <v>-</v>
      </c>
      <c r="BJ245" s="285" t="str">
        <f>VLOOKUP(tabParametros[[#This Row],[CCT DA CATEGORIA]],tabSindicatos[],13,0)</f>
        <v>-</v>
      </c>
    </row>
    <row r="246" spans="1:62">
      <c r="A246" s="231" t="s">
        <v>1670</v>
      </c>
      <c r="B246" s="197" t="s">
        <v>1180</v>
      </c>
      <c r="C246" s="197" t="s">
        <v>324</v>
      </c>
      <c r="D246" s="197" t="str">
        <f>VLOOKUP(tabParametros[[#This Row],[Código do Posto]],tabPostos[],4,0)</f>
        <v>Regiao de Sao Lourenco</v>
      </c>
      <c r="E246" s="282" t="str">
        <f>VLOOKUP(tabParametros[[#This Row],[Código do Posto]],tabPostos[],5,0)</f>
        <v>Apoio</v>
      </c>
      <c r="F246" s="282" t="str">
        <f>VLOOKUP(tabParametros[[#This Row],[Código do Posto]],tabPostos[],6,0)</f>
        <v>PGJ</v>
      </c>
      <c r="G246" s="282">
        <f>VLOOKUP(tabParametros[[#This Row],[Código do Posto]],tabPostos[],7,0)</f>
        <v>3</v>
      </c>
      <c r="H246" s="282">
        <f>VLOOKUP(tabParametros[[#This Row],[Código do Posto]],tabPostos[],8,0)</f>
        <v>0</v>
      </c>
      <c r="I246" s="232">
        <f>VLOOKUP(tabParametros[[#This Row],[Código do Posto]],tabPostos[],9,0)</f>
        <v>3397.130467372021</v>
      </c>
      <c r="J246" s="232">
        <f>IF(ISNUMBER(SEARCH("Eletricista",tabParametros[[#This Row],[Função]],1)),0.3*tabParametros[[#This Row],[Salário Base]],0)</f>
        <v>0</v>
      </c>
      <c r="K24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6" s="232">
        <f>IF(AND(ISNUMBER(SEARCH("Noturno",tabParametros[[#This Row],[Função]],1)),tabParametros[[#This Row],[Comarca]]&lt;&gt;"Juiz de Fora"),tabParametros[[#This Row],[Salário Base]]/210*0.39*7*15.5,IF(ISNUMBER(SEARCH("Noturno",tabParametros[[#This Row],[Função]],1)),tabParametros[[#This Row],[Salário Base]]/210*0.2*8*15.5,0))</f>
        <v>0</v>
      </c>
      <c r="M246" s="232">
        <f>IF(ISNUMBER(SEARCH("Motorista II",tabParametros[[#This Row],[Função]],1)),0.3022*tabParametros[[#This Row],[Salário Base]],0)</f>
        <v>0</v>
      </c>
      <c r="N246" s="254">
        <v>0</v>
      </c>
      <c r="O246" s="254">
        <f>IF(ISNUMBER(SEARCH("TECNOLOGIA DA INFORMACAO",tabParametros[[#This Row],[Função]],1)),0.056*tabParametros[[#This Row],[Salário Base]],0)</f>
        <v>0</v>
      </c>
      <c r="P246" s="232">
        <f>IF(tabParametros[[#This Row],[Função]]="Operador de Midia Audiovisual - 150 h",tabParametros[[#This Row],[Salário Base]]/150*50*30%,IF(tabParametros[[#This Row],[Função]]="Supervisor de Manutencao de Veiculos II - 220 h",12%*tabParametros[[#This Row],[Salário Base]],0))</f>
        <v>0</v>
      </c>
      <c r="Q246" s="233">
        <f>VLOOKUP(tabParametros[[#Headers],[INSS]],tabImpostosNacionais[],2,0)</f>
        <v>0.2</v>
      </c>
      <c r="R246" s="233">
        <f>VLOOKUP(tabParametros[[#Headers],[SESI OU SESC]],tabImpostosNacionais[],2,0)</f>
        <v>1.4999999999999999E-2</v>
      </c>
      <c r="S246" s="233">
        <f>VLOOKUP(tabParametros[[#Headers],[SENAI OU SENAC]],tabImpostosNacionais[],2,0)</f>
        <v>0.01</v>
      </c>
      <c r="T246" s="233">
        <f>VLOOKUP(tabParametros[[#Headers],[INCRA]],tabImpostosNacionais[],2,0)</f>
        <v>2E-3</v>
      </c>
      <c r="U246" s="233">
        <f>VLOOKUP(tabParametros[[#Headers],[Salário Educação]],tabImpostosNacionais[],2,0)</f>
        <v>2.5000000000000001E-2</v>
      </c>
      <c r="V246" s="233">
        <f>VLOOKUP(tabParametros[[#Headers],[FGTS]],tabImpostosNacionais[],2,0)</f>
        <v>0.08</v>
      </c>
      <c r="W246" s="233">
        <f>VLOOKUP(tabParametros[[#Headers],[RAT Ajustado]],tabImpostosNacionais[],2,0)</f>
        <v>0.04</v>
      </c>
      <c r="X246" s="233">
        <f>VLOOKUP(tabParametros[[#Headers],[SEBRAE]],tabImpostosNacionais[],2,0)</f>
        <v>6.0000000000000001E-3</v>
      </c>
      <c r="Y246" s="233">
        <f t="shared" si="33"/>
        <v>8.3333333333333329E-2</v>
      </c>
      <c r="Z246" s="233">
        <f t="shared" si="34"/>
        <v>0.1111111111111111</v>
      </c>
      <c r="AA246" s="232">
        <f>VLOOKUP(tabParametros[[#This Row],[Comarca]],tabComarca[],5,0)</f>
        <v>6.4</v>
      </c>
      <c r="AB246" s="232">
        <f>VLOOKUP(tabParametros[[#This Row],[CCT DA CATEGORIA]],tabSindicatos[],6,0)</f>
        <v>29.15</v>
      </c>
      <c r="AC246" s="232">
        <f>VLOOKUP(tabParametros[[#This Row],[CCT DA CATEGORIA]],tabSindicatos[],7,0)</f>
        <v>0</v>
      </c>
      <c r="AD246" s="232" cm="1">
        <f t="array" ref="AD24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46" s="232">
        <f>VLOOKUP(tabParametros[[#This Row],[CCT DA CATEGORIA]],tabSindicatos[],9,0)</f>
        <v>0</v>
      </c>
      <c r="AF246" s="232">
        <f>VLOOKUP(tabParametros[[#This Row],[CCT DA CATEGORIA]],tabSindicatos[],10,0)</f>
        <v>0</v>
      </c>
      <c r="AG246" s="234">
        <f>VLOOKUP(tabParametros[[#Headers],[Seguro de Vida]],tabOutrosCustos[],3,0)</f>
        <v>3.36</v>
      </c>
      <c r="AH246" s="234">
        <f>IF(ISNUMBER(SEARCH("MOTORISTA",tabParametros[[#This Row],[Função]],1)),VLOOKUP("MOTORISTAS",tabDiarias[],2,0),IF(tabParametros[[#This Row],[Comarca]]="Belo Horizonte",VLOOKUP("APOIO",tabDiarias[],2,0),0))</f>
        <v>0</v>
      </c>
      <c r="AI246" s="233">
        <f t="shared" si="35"/>
        <v>7.011766975308642E-3</v>
      </c>
      <c r="AJ246" s="235">
        <f>tabParametros[[#This Row],[FGTS]]*tabParametros[[#This Row],[Aviso Prévio Indenizado (API) e Reflexo do Aviso Prévio Indenizado]]</f>
        <v>5.609413580246914E-4</v>
      </c>
      <c r="AK246" s="235">
        <f>tabParametros[[#This Row],[FGTS]]*tabParametros[[#This Row],[Aviso Prévio Indenizado (API) e Reflexo do Aviso Prévio Indenizado]]*40%</f>
        <v>2.2437654320987658E-4</v>
      </c>
      <c r="AL246" s="233">
        <f t="shared" si="36"/>
        <v>3.5000000000000005E-3</v>
      </c>
      <c r="AM246" s="233">
        <f>tabParametros[[#This Row],[Aviso Prévio Trabalhado - APT]]*SUM(tabParametros[[#This Row],[INSS]:[SEBRAE]])</f>
        <v>1.3230000000000004E-3</v>
      </c>
      <c r="AN246" s="233">
        <f t="shared" si="37"/>
        <v>3.0577777777777773E-2</v>
      </c>
      <c r="AO246" s="233">
        <f t="shared" si="38"/>
        <v>8.3333333333333339E-4</v>
      </c>
      <c r="AP246" s="233">
        <f t="shared" si="39"/>
        <v>8.4444444444444437E-3</v>
      </c>
      <c r="AQ246" s="233">
        <f t="shared" si="40"/>
        <v>2.0277777777777777E-3</v>
      </c>
      <c r="AR246" s="233">
        <f t="shared" si="41"/>
        <v>1.7083333333333333E-4</v>
      </c>
      <c r="AS246" s="233">
        <f t="shared" si="42"/>
        <v>2.0833333333333335E-4</v>
      </c>
      <c r="AT246" s="233">
        <f t="shared" si="43"/>
        <v>1.2962962962962963E-3</v>
      </c>
      <c r="AU246" s="235">
        <f>SUM(tabParametros[[#This Row],[Ausência por Doença]:[Férias, Adicional de Férias e 13º  com empregada em gozo de Licença Maternidade]])*SUM(tabParametros[[#This Row],[INSS]:[SEBRAE]])</f>
        <v>4.5918250000000008E-3</v>
      </c>
      <c r="AV246" s="254">
        <f>IF(tabParametros[[#This Row],[Função]]="Porteiro - 220 h",SUM(tabParametros[[#This Row],[Salário Base]:[Adicional de Acúmulo de função]])/220*20*1.5,IF(ISNUMBER(SEARCH("12 x 36",tabParametros[[#This Row],[Função]],1)),SUM(tabParametros[[#This Row],[Salário Base]:[Adicional de Acúmulo de função]])/210*15.5*1.5,0))</f>
        <v>0</v>
      </c>
      <c r="AW246" s="232">
        <f>IF(tabParametros[[#This Row],[Vagas contratadas]]&gt;0,(SUM(tabParametros[[#This Row],[Salário Base]:[Adicional de Acúmulo de função]])*30%+SUM(tabParametros[[#This Row],[Vale - Alimentação]:[Seguro de Vida]]))/tabParametros[[#This Row],[Vagas contratadas]]*tabParametros[[#This Row],[Vagas suspensas]],0)</f>
        <v>0</v>
      </c>
      <c r="AX246" s="232">
        <f>SUMIF(tabUniformes[Cargo],tabParametros[[#This Row],[Função]],tabUniformes[Valor unit. Mensal])</f>
        <v>56.642978962543395</v>
      </c>
      <c r="AY24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6" s="232">
        <v>0</v>
      </c>
      <c r="BC246" s="234" t="e">
        <f ca="1">VLOOKUP(tabParametros[[#Headers],[Custos Indiretos]],tabOutrosCustos[],3,0)</f>
        <v>#NAME?</v>
      </c>
      <c r="BD246" s="234" t="e">
        <f ca="1">VLOOKUP(tabParametros[[#Headers],[Lucro]],tabOutrosCustos[],3,0)</f>
        <v>#NAME?</v>
      </c>
      <c r="BE246" s="233">
        <f>VLOOKUP(tabParametros[[#Headers],[COFINS]],tabImpostosNacionais[],2,0)</f>
        <v>7.5999999999999998E-2</v>
      </c>
      <c r="BF246" s="233">
        <f>VLOOKUP(tabParametros[[#Headers],[PIS]],tabImpostosNacionais[],2,0)</f>
        <v>1.6500000000000001E-2</v>
      </c>
      <c r="BG246" s="233">
        <f>VLOOKUP(tabParametros[[#This Row],[Comarca]],tabComarca[],4,0)</f>
        <v>0.03</v>
      </c>
      <c r="BH246" s="236">
        <f>VLOOKUP(tabParametros[[#This Row],[CCT DA CATEGORIA]],tabSindicatos[],11,0)</f>
        <v>45658</v>
      </c>
      <c r="BI246" s="282" t="str">
        <f>VLOOKUP(tabParametros[[#This Row],[CCT DA CATEGORIA]],tabSindicatos[],12,0)</f>
        <v>-</v>
      </c>
      <c r="BJ246" s="285" t="str">
        <f>VLOOKUP(tabParametros[[#This Row],[CCT DA CATEGORIA]],tabSindicatos[],13,0)</f>
        <v>-</v>
      </c>
    </row>
    <row r="247" spans="1:62">
      <c r="A247" s="231" t="s">
        <v>1671</v>
      </c>
      <c r="B247" s="197" t="s">
        <v>1181</v>
      </c>
      <c r="C247" s="197" t="s">
        <v>274</v>
      </c>
      <c r="D247" s="197" t="str">
        <f>VLOOKUP(tabParametros[[#This Row],[Código do Posto]],tabPostos[],4,0)</f>
        <v>Rodoviarios de Patos de Minas + SEAC-MG</v>
      </c>
      <c r="E247" s="282" t="str">
        <f>VLOOKUP(tabParametros[[#This Row],[Código do Posto]],tabPostos[],5,0)</f>
        <v>Apoio</v>
      </c>
      <c r="F247" s="282" t="str">
        <f>VLOOKUP(tabParametros[[#This Row],[Código do Posto]],tabPostos[],6,0)</f>
        <v>PGJ</v>
      </c>
      <c r="G247" s="282">
        <f>VLOOKUP(tabParametros[[#This Row],[Código do Posto]],tabPostos[],7,0)</f>
        <v>2</v>
      </c>
      <c r="H247" s="282">
        <f>VLOOKUP(tabParametros[[#This Row],[Código do Posto]],tabPostos[],8,0)</f>
        <v>0</v>
      </c>
      <c r="I247" s="232">
        <f>VLOOKUP(tabParametros[[#This Row],[Código do Posto]],tabPostos[],9,0)</f>
        <v>4558.0709943632919</v>
      </c>
      <c r="J247" s="232">
        <f>IF(ISNUMBER(SEARCH("Eletricista",tabParametros[[#This Row],[Função]],1)),0.3*tabParametros[[#This Row],[Salário Base]],0)</f>
        <v>0</v>
      </c>
      <c r="K24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7" s="232">
        <f>IF(AND(ISNUMBER(SEARCH("Noturno",tabParametros[[#This Row],[Função]],1)),tabParametros[[#This Row],[Comarca]]&lt;&gt;"Juiz de Fora"),tabParametros[[#This Row],[Salário Base]]/210*0.39*7*15.5,IF(ISNUMBER(SEARCH("Noturno",tabParametros[[#This Row],[Função]],1)),tabParametros[[#This Row],[Salário Base]]/210*0.2*8*15.5,0))</f>
        <v>0</v>
      </c>
      <c r="M247" s="232">
        <f>IF(ISNUMBER(SEARCH("Motorista II",tabParametros[[#This Row],[Função]],1)),0.3022*tabParametros[[#This Row],[Salário Base]],0)</f>
        <v>0</v>
      </c>
      <c r="N247" s="254">
        <v>0</v>
      </c>
      <c r="O247" s="254">
        <f>IF(ISNUMBER(SEARCH("TECNOLOGIA DA INFORMACAO",tabParametros[[#This Row],[Função]],1)),0.056*tabParametros[[#This Row],[Salário Base]],0)</f>
        <v>0</v>
      </c>
      <c r="P247" s="232">
        <f>IF(tabParametros[[#This Row],[Função]]="Operador de Midia Audiovisual - 150 h",tabParametros[[#This Row],[Salário Base]]/150*50*30%,IF(tabParametros[[#This Row],[Função]]="Supervisor de Manutencao de Veiculos II - 220 h",12%*tabParametros[[#This Row],[Salário Base]],0))</f>
        <v>0</v>
      </c>
      <c r="Q247" s="233">
        <f>VLOOKUP(tabParametros[[#Headers],[INSS]],tabImpostosNacionais[],2,0)</f>
        <v>0.2</v>
      </c>
      <c r="R247" s="233">
        <f>VLOOKUP(tabParametros[[#Headers],[SESI OU SESC]],tabImpostosNacionais[],2,0)</f>
        <v>1.4999999999999999E-2</v>
      </c>
      <c r="S247" s="233">
        <f>VLOOKUP(tabParametros[[#Headers],[SENAI OU SENAC]],tabImpostosNacionais[],2,0)</f>
        <v>0.01</v>
      </c>
      <c r="T247" s="233">
        <f>VLOOKUP(tabParametros[[#Headers],[INCRA]],tabImpostosNacionais[],2,0)</f>
        <v>2E-3</v>
      </c>
      <c r="U247" s="233">
        <f>VLOOKUP(tabParametros[[#Headers],[Salário Educação]],tabImpostosNacionais[],2,0)</f>
        <v>2.5000000000000001E-2</v>
      </c>
      <c r="V247" s="233">
        <f>VLOOKUP(tabParametros[[#Headers],[FGTS]],tabImpostosNacionais[],2,0)</f>
        <v>0.08</v>
      </c>
      <c r="W247" s="233">
        <f>VLOOKUP(tabParametros[[#Headers],[RAT Ajustado]],tabImpostosNacionais[],2,0)</f>
        <v>0.04</v>
      </c>
      <c r="X247" s="233">
        <f>VLOOKUP(tabParametros[[#Headers],[SEBRAE]],tabImpostosNacionais[],2,0)</f>
        <v>6.0000000000000001E-3</v>
      </c>
      <c r="Y247" s="233">
        <f t="shared" si="33"/>
        <v>8.3333333333333329E-2</v>
      </c>
      <c r="Z247" s="233">
        <f t="shared" si="34"/>
        <v>0.1111111111111111</v>
      </c>
      <c r="AA247" s="232">
        <f>VLOOKUP(tabParametros[[#This Row],[Comarca]],tabComarca[],5,0)</f>
        <v>6.4</v>
      </c>
      <c r="AB247" s="232">
        <f>VLOOKUP(tabParametros[[#This Row],[CCT DA CATEGORIA]],tabSindicatos[],6,0)</f>
        <v>28.97</v>
      </c>
      <c r="AC247" s="232">
        <f>VLOOKUP(tabParametros[[#This Row],[CCT DA CATEGORIA]],tabSindicatos[],7,0)</f>
        <v>0</v>
      </c>
      <c r="AD247" s="232" cm="1">
        <f t="array" ref="AD24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247" s="232">
        <f>VLOOKUP(tabParametros[[#This Row],[CCT DA CATEGORIA]],tabSindicatos[],9,0)</f>
        <v>0</v>
      </c>
      <c r="AF247" s="232">
        <f>VLOOKUP(tabParametros[[#This Row],[CCT DA CATEGORIA]],tabSindicatos[],10,0)</f>
        <v>0</v>
      </c>
      <c r="AG247" s="234">
        <f>VLOOKUP(tabParametros[[#Headers],[Seguro de Vida]],tabOutrosCustos[],3,0)</f>
        <v>3.36</v>
      </c>
      <c r="AH247" s="234">
        <f>IF(ISNUMBER(SEARCH("MOTORISTA",tabParametros[[#This Row],[Função]],1)),VLOOKUP("MOTORISTAS",tabDiarias[],2,0),IF(tabParametros[[#This Row],[Comarca]]="Belo Horizonte",VLOOKUP("APOIO",tabDiarias[],2,0),0))</f>
        <v>662.42</v>
      </c>
      <c r="AI247" s="233">
        <f t="shared" si="35"/>
        <v>7.011766975308642E-3</v>
      </c>
      <c r="AJ247" s="235">
        <f>tabParametros[[#This Row],[FGTS]]*tabParametros[[#This Row],[Aviso Prévio Indenizado (API) e Reflexo do Aviso Prévio Indenizado]]</f>
        <v>5.609413580246914E-4</v>
      </c>
      <c r="AK247" s="235">
        <f>tabParametros[[#This Row],[FGTS]]*tabParametros[[#This Row],[Aviso Prévio Indenizado (API) e Reflexo do Aviso Prévio Indenizado]]*40%</f>
        <v>2.2437654320987658E-4</v>
      </c>
      <c r="AL247" s="233">
        <f t="shared" si="36"/>
        <v>3.5000000000000005E-3</v>
      </c>
      <c r="AM247" s="233">
        <f>tabParametros[[#This Row],[Aviso Prévio Trabalhado - APT]]*SUM(tabParametros[[#This Row],[INSS]:[SEBRAE]])</f>
        <v>1.3230000000000004E-3</v>
      </c>
      <c r="AN247" s="233">
        <f t="shared" si="37"/>
        <v>3.0577777777777773E-2</v>
      </c>
      <c r="AO247" s="233">
        <f t="shared" si="38"/>
        <v>8.3333333333333339E-4</v>
      </c>
      <c r="AP247" s="233">
        <f t="shared" si="39"/>
        <v>8.4444444444444437E-3</v>
      </c>
      <c r="AQ247" s="233">
        <f t="shared" si="40"/>
        <v>2.0277777777777777E-3</v>
      </c>
      <c r="AR247" s="233">
        <f t="shared" si="41"/>
        <v>1.7083333333333333E-4</v>
      </c>
      <c r="AS247" s="233">
        <f t="shared" si="42"/>
        <v>2.0833333333333335E-4</v>
      </c>
      <c r="AT247" s="233">
        <f t="shared" si="43"/>
        <v>1.2962962962962963E-3</v>
      </c>
      <c r="AU247" s="235">
        <f>SUM(tabParametros[[#This Row],[Ausência por Doença]:[Férias, Adicional de Férias e 13º  com empregada em gozo de Licença Maternidade]])*SUM(tabParametros[[#This Row],[INSS]:[SEBRAE]])</f>
        <v>4.5918250000000008E-3</v>
      </c>
      <c r="AV247" s="254">
        <f>IF(tabParametros[[#This Row],[Função]]="Porteiro - 220 h",SUM(tabParametros[[#This Row],[Salário Base]:[Adicional de Acúmulo de função]])/220*20*1.5,IF(ISNUMBER(SEARCH("12 x 36",tabParametros[[#This Row],[Função]],1)),SUM(tabParametros[[#This Row],[Salário Base]:[Adicional de Acúmulo de função]])/210*15.5*1.5,0))</f>
        <v>0</v>
      </c>
      <c r="AW247" s="232">
        <f>IF(tabParametros[[#This Row],[Vagas contratadas]]&gt;0,(SUM(tabParametros[[#This Row],[Salário Base]:[Adicional de Acúmulo de função]])*30%+SUM(tabParametros[[#This Row],[Vale - Alimentação]:[Seguro de Vida]]))/tabParametros[[#This Row],[Vagas contratadas]]*tabParametros[[#This Row],[Vagas suspensas]],0)</f>
        <v>0</v>
      </c>
      <c r="AX247" s="232">
        <f>SUMIF(tabUniformes[Cargo],tabParametros[[#This Row],[Função]],tabUniformes[Valor unit. Mensal])</f>
        <v>92.100763771570698</v>
      </c>
      <c r="AY24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7" s="232">
        <v>0</v>
      </c>
      <c r="BC247" s="234" t="e">
        <f ca="1">VLOOKUP(tabParametros[[#Headers],[Custos Indiretos]],tabOutrosCustos[],3,0)</f>
        <v>#NAME?</v>
      </c>
      <c r="BD247" s="234" t="e">
        <f ca="1">VLOOKUP(tabParametros[[#Headers],[Lucro]],tabOutrosCustos[],3,0)</f>
        <v>#NAME?</v>
      </c>
      <c r="BE247" s="233">
        <f>VLOOKUP(tabParametros[[#Headers],[COFINS]],tabImpostosNacionais[],2,0)</f>
        <v>7.5999999999999998E-2</v>
      </c>
      <c r="BF247" s="233">
        <f>VLOOKUP(tabParametros[[#Headers],[PIS]],tabImpostosNacionais[],2,0)</f>
        <v>1.6500000000000001E-2</v>
      </c>
      <c r="BG247" s="233">
        <f>VLOOKUP(tabParametros[[#This Row],[Comarca]],tabComarca[],4,0)</f>
        <v>0.02</v>
      </c>
      <c r="BH247" s="236">
        <f>VLOOKUP(tabParametros[[#This Row],[CCT DA CATEGORIA]],tabSindicatos[],11,0)</f>
        <v>45658</v>
      </c>
      <c r="BI247" s="282" t="str">
        <f>VLOOKUP(tabParametros[[#This Row],[CCT DA CATEGORIA]],tabSindicatos[],12,0)</f>
        <v>-</v>
      </c>
      <c r="BJ247" s="285" t="str">
        <f>VLOOKUP(tabParametros[[#This Row],[CCT DA CATEGORIA]],tabSindicatos[],13,0)</f>
        <v>-</v>
      </c>
    </row>
    <row r="248" spans="1:62">
      <c r="A248" s="231" t="s">
        <v>1672</v>
      </c>
      <c r="B248" s="197" t="s">
        <v>1181</v>
      </c>
      <c r="C248" s="197" t="s">
        <v>324</v>
      </c>
      <c r="D248" s="197" t="str">
        <f>VLOOKUP(tabParametros[[#This Row],[Código do Posto]],tabPostos[],4,0)</f>
        <v>Regiao Uberaba</v>
      </c>
      <c r="E248" s="282" t="str">
        <f>VLOOKUP(tabParametros[[#This Row],[Código do Posto]],tabPostos[],5,0)</f>
        <v>Apoio</v>
      </c>
      <c r="F248" s="282" t="str">
        <f>VLOOKUP(tabParametros[[#This Row],[Código do Posto]],tabPostos[],6,0)</f>
        <v>PGJ</v>
      </c>
      <c r="G248" s="282">
        <f>VLOOKUP(tabParametros[[#This Row],[Código do Posto]],tabPostos[],7,0)</f>
        <v>1</v>
      </c>
      <c r="H248" s="282">
        <f>VLOOKUP(tabParametros[[#This Row],[Código do Posto]],tabPostos[],8,0)</f>
        <v>0</v>
      </c>
      <c r="I248" s="232">
        <f>VLOOKUP(tabParametros[[#This Row],[Código do Posto]],tabPostos[],9,0)</f>
        <v>3397.130467372021</v>
      </c>
      <c r="J248" s="232">
        <f>IF(ISNUMBER(SEARCH("Eletricista",tabParametros[[#This Row],[Função]],1)),0.3*tabParametros[[#This Row],[Salário Base]],0)</f>
        <v>0</v>
      </c>
      <c r="K24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8" s="232">
        <f>IF(AND(ISNUMBER(SEARCH("Noturno",tabParametros[[#This Row],[Função]],1)),tabParametros[[#This Row],[Comarca]]&lt;&gt;"Juiz de Fora"),tabParametros[[#This Row],[Salário Base]]/210*0.39*7*15.5,IF(ISNUMBER(SEARCH("Noturno",tabParametros[[#This Row],[Função]],1)),tabParametros[[#This Row],[Salário Base]]/210*0.2*8*15.5,0))</f>
        <v>0</v>
      </c>
      <c r="M248" s="232">
        <f>IF(ISNUMBER(SEARCH("Motorista II",tabParametros[[#This Row],[Função]],1)),0.3022*tabParametros[[#This Row],[Salário Base]],0)</f>
        <v>0</v>
      </c>
      <c r="N248" s="254">
        <v>0</v>
      </c>
      <c r="O248" s="254">
        <f>IF(ISNUMBER(SEARCH("TECNOLOGIA DA INFORMACAO",tabParametros[[#This Row],[Função]],1)),0.056*tabParametros[[#This Row],[Salário Base]],0)</f>
        <v>0</v>
      </c>
      <c r="P248" s="232">
        <f>IF(tabParametros[[#This Row],[Função]]="Operador de Midia Audiovisual - 150 h",tabParametros[[#This Row],[Salário Base]]/150*50*30%,IF(tabParametros[[#This Row],[Função]]="Supervisor de Manutencao de Veiculos II - 220 h",12%*tabParametros[[#This Row],[Salário Base]],0))</f>
        <v>0</v>
      </c>
      <c r="Q248" s="233">
        <f>VLOOKUP(tabParametros[[#Headers],[INSS]],tabImpostosNacionais[],2,0)</f>
        <v>0.2</v>
      </c>
      <c r="R248" s="233">
        <f>VLOOKUP(tabParametros[[#Headers],[SESI OU SESC]],tabImpostosNacionais[],2,0)</f>
        <v>1.4999999999999999E-2</v>
      </c>
      <c r="S248" s="233">
        <f>VLOOKUP(tabParametros[[#Headers],[SENAI OU SENAC]],tabImpostosNacionais[],2,0)</f>
        <v>0.01</v>
      </c>
      <c r="T248" s="233">
        <f>VLOOKUP(tabParametros[[#Headers],[INCRA]],tabImpostosNacionais[],2,0)</f>
        <v>2E-3</v>
      </c>
      <c r="U248" s="233">
        <f>VLOOKUP(tabParametros[[#Headers],[Salário Educação]],tabImpostosNacionais[],2,0)</f>
        <v>2.5000000000000001E-2</v>
      </c>
      <c r="V248" s="233">
        <f>VLOOKUP(tabParametros[[#Headers],[FGTS]],tabImpostosNacionais[],2,0)</f>
        <v>0.08</v>
      </c>
      <c r="W248" s="233">
        <f>VLOOKUP(tabParametros[[#Headers],[RAT Ajustado]],tabImpostosNacionais[],2,0)</f>
        <v>0.04</v>
      </c>
      <c r="X248" s="233">
        <f>VLOOKUP(tabParametros[[#Headers],[SEBRAE]],tabImpostosNacionais[],2,0)</f>
        <v>6.0000000000000001E-3</v>
      </c>
      <c r="Y248" s="233">
        <f t="shared" si="33"/>
        <v>8.3333333333333329E-2</v>
      </c>
      <c r="Z248" s="233">
        <f t="shared" si="34"/>
        <v>0.1111111111111111</v>
      </c>
      <c r="AA248" s="232">
        <f>VLOOKUP(tabParametros[[#This Row],[Comarca]],tabComarca[],5,0)</f>
        <v>6.4</v>
      </c>
      <c r="AB248" s="232">
        <f>VLOOKUP(tabParametros[[#This Row],[CCT DA CATEGORIA]],tabSindicatos[],6,0)</f>
        <v>29.15</v>
      </c>
      <c r="AC248" s="232">
        <f>VLOOKUP(tabParametros[[#This Row],[CCT DA CATEGORIA]],tabSindicatos[],7,0)</f>
        <v>0</v>
      </c>
      <c r="AD248" s="232" cm="1">
        <f t="array" ref="AD24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48" s="232">
        <f>VLOOKUP(tabParametros[[#This Row],[CCT DA CATEGORIA]],tabSindicatos[],9,0)</f>
        <v>0</v>
      </c>
      <c r="AF248" s="232">
        <f>VLOOKUP(tabParametros[[#This Row],[CCT DA CATEGORIA]],tabSindicatos[],10,0)</f>
        <v>0</v>
      </c>
      <c r="AG248" s="234">
        <f>VLOOKUP(tabParametros[[#Headers],[Seguro de Vida]],tabOutrosCustos[],3,0)</f>
        <v>3.36</v>
      </c>
      <c r="AH248" s="234">
        <f>IF(ISNUMBER(SEARCH("MOTORISTA",tabParametros[[#This Row],[Função]],1)),VLOOKUP("MOTORISTAS",tabDiarias[],2,0),IF(tabParametros[[#This Row],[Comarca]]="Belo Horizonte",VLOOKUP("APOIO",tabDiarias[],2,0),0))</f>
        <v>0</v>
      </c>
      <c r="AI248" s="233">
        <f t="shared" si="35"/>
        <v>7.011766975308642E-3</v>
      </c>
      <c r="AJ248" s="235">
        <f>tabParametros[[#This Row],[FGTS]]*tabParametros[[#This Row],[Aviso Prévio Indenizado (API) e Reflexo do Aviso Prévio Indenizado]]</f>
        <v>5.609413580246914E-4</v>
      </c>
      <c r="AK248" s="235">
        <f>tabParametros[[#This Row],[FGTS]]*tabParametros[[#This Row],[Aviso Prévio Indenizado (API) e Reflexo do Aviso Prévio Indenizado]]*40%</f>
        <v>2.2437654320987658E-4</v>
      </c>
      <c r="AL248" s="233">
        <f t="shared" si="36"/>
        <v>3.5000000000000005E-3</v>
      </c>
      <c r="AM248" s="233">
        <f>tabParametros[[#This Row],[Aviso Prévio Trabalhado - APT]]*SUM(tabParametros[[#This Row],[INSS]:[SEBRAE]])</f>
        <v>1.3230000000000004E-3</v>
      </c>
      <c r="AN248" s="233">
        <f t="shared" si="37"/>
        <v>3.0577777777777773E-2</v>
      </c>
      <c r="AO248" s="233">
        <f t="shared" si="38"/>
        <v>8.3333333333333339E-4</v>
      </c>
      <c r="AP248" s="233">
        <f t="shared" si="39"/>
        <v>8.4444444444444437E-3</v>
      </c>
      <c r="AQ248" s="233">
        <f t="shared" si="40"/>
        <v>2.0277777777777777E-3</v>
      </c>
      <c r="AR248" s="233">
        <f t="shared" si="41"/>
        <v>1.7083333333333333E-4</v>
      </c>
      <c r="AS248" s="233">
        <f t="shared" si="42"/>
        <v>2.0833333333333335E-4</v>
      </c>
      <c r="AT248" s="233">
        <f t="shared" si="43"/>
        <v>1.2962962962962963E-3</v>
      </c>
      <c r="AU248" s="235">
        <f>SUM(tabParametros[[#This Row],[Ausência por Doença]:[Férias, Adicional de Férias e 13º  com empregada em gozo de Licença Maternidade]])*SUM(tabParametros[[#This Row],[INSS]:[SEBRAE]])</f>
        <v>4.5918250000000008E-3</v>
      </c>
      <c r="AV248" s="254">
        <f>IF(tabParametros[[#This Row],[Função]]="Porteiro - 220 h",SUM(tabParametros[[#This Row],[Salário Base]:[Adicional de Acúmulo de função]])/220*20*1.5,IF(ISNUMBER(SEARCH("12 x 36",tabParametros[[#This Row],[Função]],1)),SUM(tabParametros[[#This Row],[Salário Base]:[Adicional de Acúmulo de função]])/210*15.5*1.5,0))</f>
        <v>0</v>
      </c>
      <c r="AW248" s="232">
        <f>IF(tabParametros[[#This Row],[Vagas contratadas]]&gt;0,(SUM(tabParametros[[#This Row],[Salário Base]:[Adicional de Acúmulo de função]])*30%+SUM(tabParametros[[#This Row],[Vale - Alimentação]:[Seguro de Vida]]))/tabParametros[[#This Row],[Vagas contratadas]]*tabParametros[[#This Row],[Vagas suspensas]],0)</f>
        <v>0</v>
      </c>
      <c r="AX248" s="232">
        <f>SUMIF(tabUniformes[Cargo],tabParametros[[#This Row],[Função]],tabUniformes[Valor unit. Mensal])</f>
        <v>56.642978962543395</v>
      </c>
      <c r="AY24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8" s="232">
        <v>0</v>
      </c>
      <c r="BC248" s="234" t="e">
        <f ca="1">VLOOKUP(tabParametros[[#Headers],[Custos Indiretos]],tabOutrosCustos[],3,0)</f>
        <v>#NAME?</v>
      </c>
      <c r="BD248" s="234" t="e">
        <f ca="1">VLOOKUP(tabParametros[[#Headers],[Lucro]],tabOutrosCustos[],3,0)</f>
        <v>#NAME?</v>
      </c>
      <c r="BE248" s="233">
        <f>VLOOKUP(tabParametros[[#Headers],[COFINS]],tabImpostosNacionais[],2,0)</f>
        <v>7.5999999999999998E-2</v>
      </c>
      <c r="BF248" s="233">
        <f>VLOOKUP(tabParametros[[#Headers],[PIS]],tabImpostosNacionais[],2,0)</f>
        <v>1.6500000000000001E-2</v>
      </c>
      <c r="BG248" s="233">
        <f>VLOOKUP(tabParametros[[#This Row],[Comarca]],tabComarca[],4,0)</f>
        <v>0.02</v>
      </c>
      <c r="BH248" s="236">
        <f>VLOOKUP(tabParametros[[#This Row],[CCT DA CATEGORIA]],tabSindicatos[],11,0)</f>
        <v>45658</v>
      </c>
      <c r="BI248" s="282" t="str">
        <f>VLOOKUP(tabParametros[[#This Row],[CCT DA CATEGORIA]],tabSindicatos[],12,0)</f>
        <v>-</v>
      </c>
      <c r="BJ248" s="285" t="str">
        <f>VLOOKUP(tabParametros[[#This Row],[CCT DA CATEGORIA]],tabSindicatos[],13,0)</f>
        <v>-</v>
      </c>
    </row>
    <row r="249" spans="1:62">
      <c r="A249" s="231" t="s">
        <v>1673</v>
      </c>
      <c r="B249" s="197" t="s">
        <v>1182</v>
      </c>
      <c r="C249" s="197" t="s">
        <v>314</v>
      </c>
      <c r="D249" s="197" t="str">
        <f>VLOOKUP(tabParametros[[#This Row],[Código do Posto]],tabPostos[],4,0)</f>
        <v>Fethemg Interior</v>
      </c>
      <c r="E249" s="282" t="str">
        <f>VLOOKUP(tabParametros[[#This Row],[Código do Posto]],tabPostos[],5,0)</f>
        <v>Apoio</v>
      </c>
      <c r="F249" s="282" t="str">
        <f>VLOOKUP(tabParametros[[#This Row],[Código do Posto]],tabPostos[],6,0)</f>
        <v>PGJ</v>
      </c>
      <c r="G249" s="282">
        <f>VLOOKUP(tabParametros[[#This Row],[Código do Posto]],tabPostos[],7,0)</f>
        <v>1</v>
      </c>
      <c r="H249" s="282">
        <f>VLOOKUP(tabParametros[[#This Row],[Código do Posto]],tabPostos[],8,0)</f>
        <v>0</v>
      </c>
      <c r="I249" s="232">
        <f>VLOOKUP(tabParametros[[#This Row],[Código do Posto]],tabPostos[],9,0)</f>
        <v>1963.4110092077037</v>
      </c>
      <c r="J249" s="232">
        <f>IF(ISNUMBER(SEARCH("Eletricista",tabParametros[[#This Row],[Função]],1)),0.3*tabParametros[[#This Row],[Salário Base]],0)</f>
        <v>0</v>
      </c>
      <c r="K24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49" s="232">
        <f>IF(AND(ISNUMBER(SEARCH("Noturno",tabParametros[[#This Row],[Função]],1)),tabParametros[[#This Row],[Comarca]]&lt;&gt;"Juiz de Fora"),tabParametros[[#This Row],[Salário Base]]/210*0.39*7*15.5,IF(ISNUMBER(SEARCH("Noturno",tabParametros[[#This Row],[Função]],1)),tabParametros[[#This Row],[Salário Base]]/210*0.2*8*15.5,0))</f>
        <v>0</v>
      </c>
      <c r="M249" s="232">
        <f>IF(ISNUMBER(SEARCH("Motorista II",tabParametros[[#This Row],[Função]],1)),0.3022*tabParametros[[#This Row],[Salário Base]],0)</f>
        <v>0</v>
      </c>
      <c r="N249" s="254">
        <v>0</v>
      </c>
      <c r="O249" s="254">
        <f>IF(ISNUMBER(SEARCH("TECNOLOGIA DA INFORMACAO",tabParametros[[#This Row],[Função]],1)),0.056*tabParametros[[#This Row],[Salário Base]],0)</f>
        <v>0</v>
      </c>
      <c r="P249" s="232">
        <f>IF(tabParametros[[#This Row],[Função]]="Operador de Midia Audiovisual - 150 h",tabParametros[[#This Row],[Salário Base]]/150*50*30%,IF(tabParametros[[#This Row],[Função]]="Supervisor de Manutencao de Veiculos II - 220 h",12%*tabParametros[[#This Row],[Salário Base]],0))</f>
        <v>0</v>
      </c>
      <c r="Q249" s="233">
        <f>VLOOKUP(tabParametros[[#Headers],[INSS]],tabImpostosNacionais[],2,0)</f>
        <v>0.2</v>
      </c>
      <c r="R249" s="233">
        <f>VLOOKUP(tabParametros[[#Headers],[SESI OU SESC]],tabImpostosNacionais[],2,0)</f>
        <v>1.4999999999999999E-2</v>
      </c>
      <c r="S249" s="233">
        <f>VLOOKUP(tabParametros[[#Headers],[SENAI OU SENAC]],tabImpostosNacionais[],2,0)</f>
        <v>0.01</v>
      </c>
      <c r="T249" s="233">
        <f>VLOOKUP(tabParametros[[#Headers],[INCRA]],tabImpostosNacionais[],2,0)</f>
        <v>2E-3</v>
      </c>
      <c r="U249" s="233">
        <f>VLOOKUP(tabParametros[[#Headers],[Salário Educação]],tabImpostosNacionais[],2,0)</f>
        <v>2.5000000000000001E-2</v>
      </c>
      <c r="V249" s="233">
        <f>VLOOKUP(tabParametros[[#Headers],[FGTS]],tabImpostosNacionais[],2,0)</f>
        <v>0.08</v>
      </c>
      <c r="W249" s="233">
        <f>VLOOKUP(tabParametros[[#Headers],[RAT Ajustado]],tabImpostosNacionais[],2,0)</f>
        <v>0.04</v>
      </c>
      <c r="X249" s="233">
        <f>VLOOKUP(tabParametros[[#Headers],[SEBRAE]],tabImpostosNacionais[],2,0)</f>
        <v>6.0000000000000001E-3</v>
      </c>
      <c r="Y249" s="233">
        <f t="shared" si="33"/>
        <v>8.3333333333333329E-2</v>
      </c>
      <c r="Z249" s="233">
        <f t="shared" si="34"/>
        <v>0.1111111111111111</v>
      </c>
      <c r="AA249" s="232">
        <f>VLOOKUP(tabParametros[[#This Row],[Comarca]],tabComarca[],5,0)</f>
        <v>6.4</v>
      </c>
      <c r="AB249" s="232">
        <f>VLOOKUP(tabParametros[[#This Row],[CCT DA CATEGORIA]],tabSindicatos[],6,0)</f>
        <v>29.15</v>
      </c>
      <c r="AC249" s="232">
        <f>VLOOKUP(tabParametros[[#This Row],[CCT DA CATEGORIA]],tabSindicatos[],7,0)</f>
        <v>0</v>
      </c>
      <c r="AD249" s="232" cm="1">
        <f t="array" ref="AD24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49" s="232">
        <f>VLOOKUP(tabParametros[[#This Row],[CCT DA CATEGORIA]],tabSindicatos[],9,0)</f>
        <v>15.07</v>
      </c>
      <c r="AF249" s="232">
        <f>VLOOKUP(tabParametros[[#This Row],[CCT DA CATEGORIA]],tabSindicatos[],10,0)</f>
        <v>0</v>
      </c>
      <c r="AG249" s="234">
        <f>VLOOKUP(tabParametros[[#Headers],[Seguro de Vida]],tabOutrosCustos[],3,0)</f>
        <v>3.36</v>
      </c>
      <c r="AH249" s="234">
        <f>IF(ISNUMBER(SEARCH("MOTORISTA",tabParametros[[#This Row],[Função]],1)),VLOOKUP("MOTORISTAS",tabDiarias[],2,0),IF(tabParametros[[#This Row],[Comarca]]="Belo Horizonte",VLOOKUP("APOIO",tabDiarias[],2,0),0))</f>
        <v>0</v>
      </c>
      <c r="AI249" s="233">
        <f t="shared" si="35"/>
        <v>7.011766975308642E-3</v>
      </c>
      <c r="AJ249" s="235">
        <f>tabParametros[[#This Row],[FGTS]]*tabParametros[[#This Row],[Aviso Prévio Indenizado (API) e Reflexo do Aviso Prévio Indenizado]]</f>
        <v>5.609413580246914E-4</v>
      </c>
      <c r="AK249" s="235">
        <f>tabParametros[[#This Row],[FGTS]]*tabParametros[[#This Row],[Aviso Prévio Indenizado (API) e Reflexo do Aviso Prévio Indenizado]]*40%</f>
        <v>2.2437654320987658E-4</v>
      </c>
      <c r="AL249" s="233">
        <f t="shared" si="36"/>
        <v>3.5000000000000005E-3</v>
      </c>
      <c r="AM249" s="233">
        <f>tabParametros[[#This Row],[Aviso Prévio Trabalhado - APT]]*SUM(tabParametros[[#This Row],[INSS]:[SEBRAE]])</f>
        <v>1.3230000000000004E-3</v>
      </c>
      <c r="AN249" s="233">
        <f t="shared" si="37"/>
        <v>3.0577777777777773E-2</v>
      </c>
      <c r="AO249" s="233">
        <f t="shared" si="38"/>
        <v>8.3333333333333339E-4</v>
      </c>
      <c r="AP249" s="233">
        <f t="shared" si="39"/>
        <v>8.4444444444444437E-3</v>
      </c>
      <c r="AQ249" s="233">
        <f t="shared" si="40"/>
        <v>2.0277777777777777E-3</v>
      </c>
      <c r="AR249" s="233">
        <f t="shared" si="41"/>
        <v>1.7083333333333333E-4</v>
      </c>
      <c r="AS249" s="233">
        <f t="shared" si="42"/>
        <v>2.0833333333333335E-4</v>
      </c>
      <c r="AT249" s="233">
        <f t="shared" si="43"/>
        <v>1.2962962962962963E-3</v>
      </c>
      <c r="AU249" s="235">
        <f>SUM(tabParametros[[#This Row],[Ausência por Doença]:[Férias, Adicional de Férias e 13º  com empregada em gozo de Licença Maternidade]])*SUM(tabParametros[[#This Row],[INSS]:[SEBRAE]])</f>
        <v>4.5918250000000008E-3</v>
      </c>
      <c r="AV249"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49" s="232">
        <f>IF(tabParametros[[#This Row],[Vagas contratadas]]&gt;0,(SUM(tabParametros[[#This Row],[Salário Base]:[Adicional de Acúmulo de função]])*30%+SUM(tabParametros[[#This Row],[Vale - Alimentação]:[Seguro de Vida]]))/tabParametros[[#This Row],[Vagas contratadas]]*tabParametros[[#This Row],[Vagas suspensas]],0)</f>
        <v>0</v>
      </c>
      <c r="AX249" s="232">
        <f>SUMIF(tabUniformes[Cargo],tabParametros[[#This Row],[Função]],tabUniformes[Valor unit. Mensal])</f>
        <v>56.642978962543395</v>
      </c>
      <c r="AY24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4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4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49" s="232">
        <v>0</v>
      </c>
      <c r="BC249" s="234" t="e">
        <f ca="1">VLOOKUP(tabParametros[[#Headers],[Custos Indiretos]],tabOutrosCustos[],3,0)</f>
        <v>#NAME?</v>
      </c>
      <c r="BD249" s="234" t="e">
        <f ca="1">VLOOKUP(tabParametros[[#Headers],[Lucro]],tabOutrosCustos[],3,0)</f>
        <v>#NAME?</v>
      </c>
      <c r="BE249" s="233">
        <f>VLOOKUP(tabParametros[[#Headers],[COFINS]],tabImpostosNacionais[],2,0)</f>
        <v>7.5999999999999998E-2</v>
      </c>
      <c r="BF249" s="233">
        <f>VLOOKUP(tabParametros[[#Headers],[PIS]],tabImpostosNacionais[],2,0)</f>
        <v>1.6500000000000001E-2</v>
      </c>
      <c r="BG249" s="233">
        <f>VLOOKUP(tabParametros[[#This Row],[Comarca]],tabComarca[],4,0)</f>
        <v>0.05</v>
      </c>
      <c r="BH249" s="236">
        <f>VLOOKUP(tabParametros[[#This Row],[CCT DA CATEGORIA]],tabSindicatos[],11,0)</f>
        <v>45658</v>
      </c>
      <c r="BI249" s="282" t="str">
        <f>VLOOKUP(tabParametros[[#This Row],[CCT DA CATEGORIA]],tabSindicatos[],12,0)</f>
        <v>-</v>
      </c>
      <c r="BJ249" s="285" t="str">
        <f>VLOOKUP(tabParametros[[#This Row],[CCT DA CATEGORIA]],tabSindicatos[],13,0)</f>
        <v>-</v>
      </c>
    </row>
    <row r="250" spans="1:62">
      <c r="A250" s="231" t="s">
        <v>1501</v>
      </c>
      <c r="B250" s="197" t="s">
        <v>1183</v>
      </c>
      <c r="C250" s="197" t="s">
        <v>200</v>
      </c>
      <c r="D250" s="197" t="str">
        <f>VLOOKUP(tabParametros[[#This Row],[Código do Posto]],tabPostos[],4,0)</f>
        <v>Fethemg RM</v>
      </c>
      <c r="E250" s="282" t="str">
        <f>VLOOKUP(tabParametros[[#This Row],[Código do Posto]],tabPostos[],5,0)</f>
        <v>Apoio</v>
      </c>
      <c r="F250" s="282" t="str">
        <f>VLOOKUP(tabParametros[[#This Row],[Código do Posto]],tabPostos[],6,0)</f>
        <v>PGJ</v>
      </c>
      <c r="G250" s="282">
        <f>VLOOKUP(tabParametros[[#This Row],[Código do Posto]],tabPostos[],7,0)</f>
        <v>2</v>
      </c>
      <c r="H250" s="282">
        <f>VLOOKUP(tabParametros[[#This Row],[Código do Posto]],tabPostos[],8,0)</f>
        <v>0</v>
      </c>
      <c r="I250" s="232">
        <f>VLOOKUP(tabParametros[[#This Row],[Código do Posto]],tabPostos[],9,0)</f>
        <v>1649.1153464738998</v>
      </c>
      <c r="J250" s="232">
        <f>IF(ISNUMBER(SEARCH("Eletricista",tabParametros[[#This Row],[Função]],1)),0.3*tabParametros[[#This Row],[Salário Base]],0)</f>
        <v>0</v>
      </c>
      <c r="K25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0" s="232">
        <f>IF(AND(ISNUMBER(SEARCH("Noturno",tabParametros[[#This Row],[Função]],1)),tabParametros[[#This Row],[Comarca]]&lt;&gt;"Juiz de Fora"),tabParametros[[#This Row],[Salário Base]]/210*0.39*7*15.5,IF(ISNUMBER(SEARCH("Noturno",tabParametros[[#This Row],[Função]],1)),tabParametros[[#This Row],[Salário Base]]/210*0.2*8*15.5,0))</f>
        <v>0</v>
      </c>
      <c r="M250" s="232">
        <f>IF(ISNUMBER(SEARCH("Motorista II",tabParametros[[#This Row],[Função]],1)),0.3022*tabParametros[[#This Row],[Salário Base]],0)</f>
        <v>0</v>
      </c>
      <c r="N250" s="254">
        <v>0</v>
      </c>
      <c r="O250" s="254">
        <f>IF(ISNUMBER(SEARCH("TECNOLOGIA DA INFORMACAO",tabParametros[[#This Row],[Função]],1)),0.056*tabParametros[[#This Row],[Salário Base]],0)</f>
        <v>0</v>
      </c>
      <c r="P250" s="232">
        <f>IF(tabParametros[[#This Row],[Função]]="Operador de Midia Audiovisual - 150 h",tabParametros[[#This Row],[Salário Base]]/150*50*30%,IF(tabParametros[[#This Row],[Função]]="Supervisor de Manutencao de Veiculos II - 220 h",12%*tabParametros[[#This Row],[Salário Base]],0))</f>
        <v>0</v>
      </c>
      <c r="Q250" s="233">
        <f>VLOOKUP(tabParametros[[#Headers],[INSS]],tabImpostosNacionais[],2,0)</f>
        <v>0.2</v>
      </c>
      <c r="R250" s="233">
        <f>VLOOKUP(tabParametros[[#Headers],[SESI OU SESC]],tabImpostosNacionais[],2,0)</f>
        <v>1.4999999999999999E-2</v>
      </c>
      <c r="S250" s="233">
        <f>VLOOKUP(tabParametros[[#Headers],[SENAI OU SENAC]],tabImpostosNacionais[],2,0)</f>
        <v>0.01</v>
      </c>
      <c r="T250" s="233">
        <f>VLOOKUP(tabParametros[[#Headers],[INCRA]],tabImpostosNacionais[],2,0)</f>
        <v>2E-3</v>
      </c>
      <c r="U250" s="233">
        <f>VLOOKUP(tabParametros[[#Headers],[Salário Educação]],tabImpostosNacionais[],2,0)</f>
        <v>2.5000000000000001E-2</v>
      </c>
      <c r="V250" s="233">
        <f>VLOOKUP(tabParametros[[#Headers],[FGTS]],tabImpostosNacionais[],2,0)</f>
        <v>0.08</v>
      </c>
      <c r="W250" s="233">
        <f>VLOOKUP(tabParametros[[#Headers],[RAT Ajustado]],tabImpostosNacionais[],2,0)</f>
        <v>0.04</v>
      </c>
      <c r="X250" s="233">
        <f>VLOOKUP(tabParametros[[#Headers],[SEBRAE]],tabImpostosNacionais[],2,0)</f>
        <v>6.0000000000000001E-3</v>
      </c>
      <c r="Y250" s="233">
        <f t="shared" si="33"/>
        <v>8.3333333333333329E-2</v>
      </c>
      <c r="Z250" s="233">
        <f t="shared" si="34"/>
        <v>0.1111111111111111</v>
      </c>
      <c r="AA250" s="232">
        <f>VLOOKUP(tabParametros[[#This Row],[Comarca]],tabComarca[],5,0)</f>
        <v>6.4</v>
      </c>
      <c r="AB250" s="232">
        <f>VLOOKUP(tabParametros[[#This Row],[CCT DA CATEGORIA]],tabSindicatos[],6,0)</f>
        <v>29.15</v>
      </c>
      <c r="AC250" s="232">
        <f>VLOOKUP(tabParametros[[#This Row],[CCT DA CATEGORIA]],tabSindicatos[],7,0)</f>
        <v>0</v>
      </c>
      <c r="AD250" s="232" cm="1">
        <f t="array" ref="AD25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50" s="232">
        <f>VLOOKUP(tabParametros[[#This Row],[CCT DA CATEGORIA]],tabSindicatos[],9,0)</f>
        <v>15.07</v>
      </c>
      <c r="AF250" s="232">
        <f>VLOOKUP(tabParametros[[#This Row],[CCT DA CATEGORIA]],tabSindicatos[],10,0)</f>
        <v>0</v>
      </c>
      <c r="AG250" s="234">
        <f>VLOOKUP(tabParametros[[#Headers],[Seguro de Vida]],tabOutrosCustos[],3,0)</f>
        <v>3.36</v>
      </c>
      <c r="AH250" s="234">
        <f>IF(ISNUMBER(SEARCH("MOTORISTA",tabParametros[[#This Row],[Função]],1)),VLOOKUP("MOTORISTAS",tabDiarias[],2,0),IF(tabParametros[[#This Row],[Comarca]]="Belo Horizonte",VLOOKUP("APOIO",tabDiarias[],2,0),0))</f>
        <v>0</v>
      </c>
      <c r="AI250" s="233">
        <f t="shared" si="35"/>
        <v>7.011766975308642E-3</v>
      </c>
      <c r="AJ250" s="235">
        <f>tabParametros[[#This Row],[FGTS]]*tabParametros[[#This Row],[Aviso Prévio Indenizado (API) e Reflexo do Aviso Prévio Indenizado]]</f>
        <v>5.609413580246914E-4</v>
      </c>
      <c r="AK250" s="235">
        <f>tabParametros[[#This Row],[FGTS]]*tabParametros[[#This Row],[Aviso Prévio Indenizado (API) e Reflexo do Aviso Prévio Indenizado]]*40%</f>
        <v>2.2437654320987658E-4</v>
      </c>
      <c r="AL250" s="233">
        <f t="shared" si="36"/>
        <v>3.5000000000000005E-3</v>
      </c>
      <c r="AM250" s="233">
        <f>tabParametros[[#This Row],[Aviso Prévio Trabalhado - APT]]*SUM(tabParametros[[#This Row],[INSS]:[SEBRAE]])</f>
        <v>1.3230000000000004E-3</v>
      </c>
      <c r="AN250" s="233">
        <f t="shared" si="37"/>
        <v>3.0577777777777773E-2</v>
      </c>
      <c r="AO250" s="233">
        <f t="shared" si="38"/>
        <v>8.3333333333333339E-4</v>
      </c>
      <c r="AP250" s="233">
        <f t="shared" si="39"/>
        <v>8.4444444444444437E-3</v>
      </c>
      <c r="AQ250" s="233">
        <f t="shared" si="40"/>
        <v>2.0277777777777777E-3</v>
      </c>
      <c r="AR250" s="233">
        <f t="shared" si="41"/>
        <v>1.7083333333333333E-4</v>
      </c>
      <c r="AS250" s="233">
        <f t="shared" si="42"/>
        <v>2.0833333333333335E-4</v>
      </c>
      <c r="AT250" s="233">
        <f t="shared" si="43"/>
        <v>1.2962962962962963E-3</v>
      </c>
      <c r="AU250" s="235">
        <f>SUM(tabParametros[[#This Row],[Ausência por Doença]:[Férias, Adicional de Férias e 13º  com empregada em gozo de Licença Maternidade]])*SUM(tabParametros[[#This Row],[INSS]:[SEBRAE]])</f>
        <v>4.5918250000000008E-3</v>
      </c>
      <c r="AV250" s="254">
        <f>IF(tabParametros[[#This Row],[Função]]="Porteiro - 220 h",SUM(tabParametros[[#This Row],[Salário Base]:[Adicional de Acúmulo de função]])/220*20*1.5,IF(ISNUMBER(SEARCH("12 x 36",tabParametros[[#This Row],[Função]],1)),SUM(tabParametros[[#This Row],[Salário Base]:[Adicional de Acúmulo de função]])/210*15.5*1.5,0))</f>
        <v>0</v>
      </c>
      <c r="AW250" s="232">
        <f>IF(tabParametros[[#This Row],[Vagas contratadas]]&gt;0,(SUM(tabParametros[[#This Row],[Salário Base]:[Adicional de Acúmulo de função]])*30%+SUM(tabParametros[[#This Row],[Vale - Alimentação]:[Seguro de Vida]]))/tabParametros[[#This Row],[Vagas contratadas]]*tabParametros[[#This Row],[Vagas suspensas]],0)</f>
        <v>0</v>
      </c>
      <c r="AX250" s="232">
        <f>SUMIF(tabUniformes[Cargo],tabParametros[[#This Row],[Função]],tabUniformes[Valor unit. Mensal])</f>
        <v>56.141713661989918</v>
      </c>
      <c r="AY25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0" s="232">
        <v>0</v>
      </c>
      <c r="BC250" s="234" t="e">
        <f ca="1">VLOOKUP(tabParametros[[#Headers],[Custos Indiretos]],tabOutrosCustos[],3,0)</f>
        <v>#NAME?</v>
      </c>
      <c r="BD250" s="234" t="e">
        <f ca="1">VLOOKUP(tabParametros[[#Headers],[Lucro]],tabOutrosCustos[],3,0)</f>
        <v>#NAME?</v>
      </c>
      <c r="BE250" s="233">
        <f>VLOOKUP(tabParametros[[#Headers],[COFINS]],tabImpostosNacionais[],2,0)</f>
        <v>7.5999999999999998E-2</v>
      </c>
      <c r="BF250" s="233">
        <f>VLOOKUP(tabParametros[[#Headers],[PIS]],tabImpostosNacionais[],2,0)</f>
        <v>1.6500000000000001E-2</v>
      </c>
      <c r="BG250" s="233">
        <f>VLOOKUP(tabParametros[[#This Row],[Comarca]],tabComarca[],4,0)</f>
        <v>2.7000000000000003E-2</v>
      </c>
      <c r="BH250" s="236">
        <f>VLOOKUP(tabParametros[[#This Row],[CCT DA CATEGORIA]],tabSindicatos[],11,0)</f>
        <v>45658</v>
      </c>
      <c r="BI250" s="282" t="str">
        <f>VLOOKUP(tabParametros[[#This Row],[CCT DA CATEGORIA]],tabSindicatos[],12,0)</f>
        <v>-</v>
      </c>
      <c r="BJ250" s="285" t="str">
        <f>VLOOKUP(tabParametros[[#This Row],[CCT DA CATEGORIA]],tabSindicatos[],13,0)</f>
        <v>-</v>
      </c>
    </row>
    <row r="251" spans="1:62">
      <c r="A251" s="231" t="s">
        <v>1674</v>
      </c>
      <c r="B251" s="197" t="s">
        <v>1183</v>
      </c>
      <c r="C251" s="197" t="s">
        <v>324</v>
      </c>
      <c r="D251" s="197" t="str">
        <f>VLOOKUP(tabParametros[[#This Row],[Código do Posto]],tabPostos[],4,0)</f>
        <v>Fethemg RM</v>
      </c>
      <c r="E251" s="282" t="str">
        <f>VLOOKUP(tabParametros[[#This Row],[Código do Posto]],tabPostos[],5,0)</f>
        <v>Apoio</v>
      </c>
      <c r="F251" s="282" t="str">
        <f>VLOOKUP(tabParametros[[#This Row],[Código do Posto]],tabPostos[],6,0)</f>
        <v>PGJ</v>
      </c>
      <c r="G251" s="282">
        <f>VLOOKUP(tabParametros[[#This Row],[Código do Posto]],tabPostos[],7,0)</f>
        <v>1</v>
      </c>
      <c r="H251" s="282">
        <f>VLOOKUP(tabParametros[[#This Row],[Código do Posto]],tabPostos[],8,0)</f>
        <v>0</v>
      </c>
      <c r="I251" s="232">
        <f>VLOOKUP(tabParametros[[#This Row],[Código do Posto]],tabPostos[],9,0)</f>
        <v>3397.1306016921476</v>
      </c>
      <c r="J251" s="232">
        <f>IF(ISNUMBER(SEARCH("Eletricista",tabParametros[[#This Row],[Função]],1)),0.3*tabParametros[[#This Row],[Salário Base]],0)</f>
        <v>0</v>
      </c>
      <c r="K25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1" s="232">
        <f>IF(AND(ISNUMBER(SEARCH("Noturno",tabParametros[[#This Row],[Função]],1)),tabParametros[[#This Row],[Comarca]]&lt;&gt;"Juiz de Fora"),tabParametros[[#This Row],[Salário Base]]/210*0.39*7*15.5,IF(ISNUMBER(SEARCH("Noturno",tabParametros[[#This Row],[Função]],1)),tabParametros[[#This Row],[Salário Base]]/210*0.2*8*15.5,0))</f>
        <v>0</v>
      </c>
      <c r="M251" s="232">
        <f>IF(ISNUMBER(SEARCH("Motorista II",tabParametros[[#This Row],[Função]],1)),0.3022*tabParametros[[#This Row],[Salário Base]],0)</f>
        <v>0</v>
      </c>
      <c r="N251" s="254">
        <v>0</v>
      </c>
      <c r="O251" s="254">
        <f>IF(ISNUMBER(SEARCH("TECNOLOGIA DA INFORMACAO",tabParametros[[#This Row],[Função]],1)),0.056*tabParametros[[#This Row],[Salário Base]],0)</f>
        <v>0</v>
      </c>
      <c r="P251" s="232">
        <f>IF(tabParametros[[#This Row],[Função]]="Operador de Midia Audiovisual - 150 h",tabParametros[[#This Row],[Salário Base]]/150*50*30%,IF(tabParametros[[#This Row],[Função]]="Supervisor de Manutencao de Veiculos II - 220 h",12%*tabParametros[[#This Row],[Salário Base]],0))</f>
        <v>0</v>
      </c>
      <c r="Q251" s="233">
        <f>VLOOKUP(tabParametros[[#Headers],[INSS]],tabImpostosNacionais[],2,0)</f>
        <v>0.2</v>
      </c>
      <c r="R251" s="233">
        <f>VLOOKUP(tabParametros[[#Headers],[SESI OU SESC]],tabImpostosNacionais[],2,0)</f>
        <v>1.4999999999999999E-2</v>
      </c>
      <c r="S251" s="233">
        <f>VLOOKUP(tabParametros[[#Headers],[SENAI OU SENAC]],tabImpostosNacionais[],2,0)</f>
        <v>0.01</v>
      </c>
      <c r="T251" s="233">
        <f>VLOOKUP(tabParametros[[#Headers],[INCRA]],tabImpostosNacionais[],2,0)</f>
        <v>2E-3</v>
      </c>
      <c r="U251" s="233">
        <f>VLOOKUP(tabParametros[[#Headers],[Salário Educação]],tabImpostosNacionais[],2,0)</f>
        <v>2.5000000000000001E-2</v>
      </c>
      <c r="V251" s="233">
        <f>VLOOKUP(tabParametros[[#Headers],[FGTS]],tabImpostosNacionais[],2,0)</f>
        <v>0.08</v>
      </c>
      <c r="W251" s="233">
        <f>VLOOKUP(tabParametros[[#Headers],[RAT Ajustado]],tabImpostosNacionais[],2,0)</f>
        <v>0.04</v>
      </c>
      <c r="X251" s="233">
        <f>VLOOKUP(tabParametros[[#Headers],[SEBRAE]],tabImpostosNacionais[],2,0)</f>
        <v>6.0000000000000001E-3</v>
      </c>
      <c r="Y251" s="233">
        <f t="shared" si="33"/>
        <v>8.3333333333333329E-2</v>
      </c>
      <c r="Z251" s="233">
        <f t="shared" si="34"/>
        <v>0.1111111111111111</v>
      </c>
      <c r="AA251" s="232">
        <f>VLOOKUP(tabParametros[[#This Row],[Comarca]],tabComarca[],5,0)</f>
        <v>6.4</v>
      </c>
      <c r="AB251" s="232">
        <f>VLOOKUP(tabParametros[[#This Row],[CCT DA CATEGORIA]],tabSindicatos[],6,0)</f>
        <v>29.15</v>
      </c>
      <c r="AC251" s="232">
        <f>VLOOKUP(tabParametros[[#This Row],[CCT DA CATEGORIA]],tabSindicatos[],7,0)</f>
        <v>0</v>
      </c>
      <c r="AD251" s="232" cm="1">
        <f t="array" ref="AD25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51" s="232">
        <f>VLOOKUP(tabParametros[[#This Row],[CCT DA CATEGORIA]],tabSindicatos[],9,0)</f>
        <v>15.07</v>
      </c>
      <c r="AF251" s="232">
        <f>VLOOKUP(tabParametros[[#This Row],[CCT DA CATEGORIA]],tabSindicatos[],10,0)</f>
        <v>0</v>
      </c>
      <c r="AG251" s="234">
        <f>VLOOKUP(tabParametros[[#Headers],[Seguro de Vida]],tabOutrosCustos[],3,0)</f>
        <v>3.36</v>
      </c>
      <c r="AH251" s="234">
        <f>IF(ISNUMBER(SEARCH("MOTORISTA",tabParametros[[#This Row],[Função]],1)),VLOOKUP("MOTORISTAS",tabDiarias[],2,0),IF(tabParametros[[#This Row],[Comarca]]="Belo Horizonte",VLOOKUP("APOIO",tabDiarias[],2,0),0))</f>
        <v>0</v>
      </c>
      <c r="AI251" s="233">
        <f t="shared" si="35"/>
        <v>7.011766975308642E-3</v>
      </c>
      <c r="AJ251" s="235">
        <f>tabParametros[[#This Row],[FGTS]]*tabParametros[[#This Row],[Aviso Prévio Indenizado (API) e Reflexo do Aviso Prévio Indenizado]]</f>
        <v>5.609413580246914E-4</v>
      </c>
      <c r="AK251" s="235">
        <f>tabParametros[[#This Row],[FGTS]]*tabParametros[[#This Row],[Aviso Prévio Indenizado (API) e Reflexo do Aviso Prévio Indenizado]]*40%</f>
        <v>2.2437654320987658E-4</v>
      </c>
      <c r="AL251" s="233">
        <f t="shared" si="36"/>
        <v>3.5000000000000005E-3</v>
      </c>
      <c r="AM251" s="233">
        <f>tabParametros[[#This Row],[Aviso Prévio Trabalhado - APT]]*SUM(tabParametros[[#This Row],[INSS]:[SEBRAE]])</f>
        <v>1.3230000000000004E-3</v>
      </c>
      <c r="AN251" s="233">
        <f t="shared" si="37"/>
        <v>3.0577777777777773E-2</v>
      </c>
      <c r="AO251" s="233">
        <f t="shared" si="38"/>
        <v>8.3333333333333339E-4</v>
      </c>
      <c r="AP251" s="233">
        <f t="shared" si="39"/>
        <v>8.4444444444444437E-3</v>
      </c>
      <c r="AQ251" s="233">
        <f t="shared" si="40"/>
        <v>2.0277777777777777E-3</v>
      </c>
      <c r="AR251" s="233">
        <f t="shared" si="41"/>
        <v>1.7083333333333333E-4</v>
      </c>
      <c r="AS251" s="233">
        <f t="shared" si="42"/>
        <v>2.0833333333333335E-4</v>
      </c>
      <c r="AT251" s="233">
        <f t="shared" si="43"/>
        <v>1.2962962962962963E-3</v>
      </c>
      <c r="AU251" s="235">
        <f>SUM(tabParametros[[#This Row],[Ausência por Doença]:[Férias, Adicional de Férias e 13º  com empregada em gozo de Licença Maternidade]])*SUM(tabParametros[[#This Row],[INSS]:[SEBRAE]])</f>
        <v>4.5918250000000008E-3</v>
      </c>
      <c r="AV251" s="254">
        <f>IF(tabParametros[[#This Row],[Função]]="Porteiro - 220 h",SUM(tabParametros[[#This Row],[Salário Base]:[Adicional de Acúmulo de função]])/220*20*1.5,IF(ISNUMBER(SEARCH("12 x 36",tabParametros[[#This Row],[Função]],1)),SUM(tabParametros[[#This Row],[Salário Base]:[Adicional de Acúmulo de função]])/210*15.5*1.5,0))</f>
        <v>0</v>
      </c>
      <c r="AW251" s="232">
        <f>IF(tabParametros[[#This Row],[Vagas contratadas]]&gt;0,(SUM(tabParametros[[#This Row],[Salário Base]:[Adicional de Acúmulo de função]])*30%+SUM(tabParametros[[#This Row],[Vale - Alimentação]:[Seguro de Vida]]))/tabParametros[[#This Row],[Vagas contratadas]]*tabParametros[[#This Row],[Vagas suspensas]],0)</f>
        <v>0</v>
      </c>
      <c r="AX251" s="232">
        <f>SUMIF(tabUniformes[Cargo],tabParametros[[#This Row],[Função]],tabUniformes[Valor unit. Mensal])</f>
        <v>56.642978962543395</v>
      </c>
      <c r="AY25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1" s="232">
        <v>0</v>
      </c>
      <c r="BC251" s="234" t="e">
        <f ca="1">VLOOKUP(tabParametros[[#Headers],[Custos Indiretos]],tabOutrosCustos[],3,0)</f>
        <v>#NAME?</v>
      </c>
      <c r="BD251" s="234" t="e">
        <f ca="1">VLOOKUP(tabParametros[[#Headers],[Lucro]],tabOutrosCustos[],3,0)</f>
        <v>#NAME?</v>
      </c>
      <c r="BE251" s="233">
        <f>VLOOKUP(tabParametros[[#Headers],[COFINS]],tabImpostosNacionais[],2,0)</f>
        <v>7.5999999999999998E-2</v>
      </c>
      <c r="BF251" s="233">
        <f>VLOOKUP(tabParametros[[#Headers],[PIS]],tabImpostosNacionais[],2,0)</f>
        <v>1.6500000000000001E-2</v>
      </c>
      <c r="BG251" s="233">
        <f>VLOOKUP(tabParametros[[#This Row],[Comarca]],tabComarca[],4,0)</f>
        <v>2.7000000000000003E-2</v>
      </c>
      <c r="BH251" s="236">
        <f>VLOOKUP(tabParametros[[#This Row],[CCT DA CATEGORIA]],tabSindicatos[],11,0)</f>
        <v>45658</v>
      </c>
      <c r="BI251" s="282" t="str">
        <f>VLOOKUP(tabParametros[[#This Row],[CCT DA CATEGORIA]],tabSindicatos[],12,0)</f>
        <v>-</v>
      </c>
      <c r="BJ251" s="285" t="str">
        <f>VLOOKUP(tabParametros[[#This Row],[CCT DA CATEGORIA]],tabSindicatos[],13,0)</f>
        <v>-</v>
      </c>
    </row>
    <row r="252" spans="1:62">
      <c r="A252" s="231" t="s">
        <v>1675</v>
      </c>
      <c r="B252" s="197" t="s">
        <v>1184</v>
      </c>
      <c r="C252" s="197" t="s">
        <v>319</v>
      </c>
      <c r="D252" s="197" t="str">
        <f>VLOOKUP(tabParametros[[#This Row],[Código do Posto]],tabPostos[],4,0)</f>
        <v>Regiao de Ouro Preto</v>
      </c>
      <c r="E252" s="282" t="str">
        <f>VLOOKUP(tabParametros[[#This Row],[Código do Posto]],tabPostos[],5,0)</f>
        <v>Apoio</v>
      </c>
      <c r="F252" s="282" t="str">
        <f>VLOOKUP(tabParametros[[#This Row],[Código do Posto]],tabPostos[],6,0)</f>
        <v>PGJ</v>
      </c>
      <c r="G252" s="282">
        <f>VLOOKUP(tabParametros[[#This Row],[Código do Posto]],tabPostos[],7,0)</f>
        <v>1</v>
      </c>
      <c r="H252" s="282">
        <f>VLOOKUP(tabParametros[[#This Row],[Código do Posto]],tabPostos[],8,0)</f>
        <v>0</v>
      </c>
      <c r="I252" s="232">
        <f>VLOOKUP(tabParametros[[#This Row],[Código do Posto]],tabPostos[],9,0)</f>
        <v>2316.2296840668359</v>
      </c>
      <c r="J252" s="232">
        <f>IF(ISNUMBER(SEARCH("Eletricista",tabParametros[[#This Row],[Função]],1)),0.3*tabParametros[[#This Row],[Salário Base]],0)</f>
        <v>0</v>
      </c>
      <c r="K25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2" s="232">
        <f>IF(AND(ISNUMBER(SEARCH("Noturno",tabParametros[[#This Row],[Função]],1)),tabParametros[[#This Row],[Comarca]]&lt;&gt;"Juiz de Fora"),tabParametros[[#This Row],[Salário Base]]/210*0.39*7*15.5,IF(ISNUMBER(SEARCH("Noturno",tabParametros[[#This Row],[Função]],1)),tabParametros[[#This Row],[Salário Base]]/210*0.2*8*15.5,0))</f>
        <v>0</v>
      </c>
      <c r="M252" s="232">
        <f>IF(ISNUMBER(SEARCH("Motorista II",tabParametros[[#This Row],[Função]],1)),0.3022*tabParametros[[#This Row],[Salário Base]],0)</f>
        <v>0</v>
      </c>
      <c r="N252" s="254">
        <v>0</v>
      </c>
      <c r="O252" s="254">
        <f>IF(ISNUMBER(SEARCH("TECNOLOGIA DA INFORMACAO",tabParametros[[#This Row],[Função]],1)),0.056*tabParametros[[#This Row],[Salário Base]],0)</f>
        <v>0</v>
      </c>
      <c r="P252" s="232">
        <f>IF(tabParametros[[#This Row],[Função]]="Operador de Midia Audiovisual - 150 h",tabParametros[[#This Row],[Salário Base]]/150*50*30%,IF(tabParametros[[#This Row],[Função]]="Supervisor de Manutencao de Veiculos II - 220 h",12%*tabParametros[[#This Row],[Salário Base]],0))</f>
        <v>0</v>
      </c>
      <c r="Q252" s="233">
        <f>VLOOKUP(tabParametros[[#Headers],[INSS]],tabImpostosNacionais[],2,0)</f>
        <v>0.2</v>
      </c>
      <c r="R252" s="233">
        <f>VLOOKUP(tabParametros[[#Headers],[SESI OU SESC]],tabImpostosNacionais[],2,0)</f>
        <v>1.4999999999999999E-2</v>
      </c>
      <c r="S252" s="233">
        <f>VLOOKUP(tabParametros[[#Headers],[SENAI OU SENAC]],tabImpostosNacionais[],2,0)</f>
        <v>0.01</v>
      </c>
      <c r="T252" s="233">
        <f>VLOOKUP(tabParametros[[#Headers],[INCRA]],tabImpostosNacionais[],2,0)</f>
        <v>2E-3</v>
      </c>
      <c r="U252" s="233">
        <f>VLOOKUP(tabParametros[[#Headers],[Salário Educação]],tabImpostosNacionais[],2,0)</f>
        <v>2.5000000000000001E-2</v>
      </c>
      <c r="V252" s="233">
        <f>VLOOKUP(tabParametros[[#Headers],[FGTS]],tabImpostosNacionais[],2,0)</f>
        <v>0.08</v>
      </c>
      <c r="W252" s="233">
        <f>VLOOKUP(tabParametros[[#Headers],[RAT Ajustado]],tabImpostosNacionais[],2,0)</f>
        <v>0.04</v>
      </c>
      <c r="X252" s="233">
        <f>VLOOKUP(tabParametros[[#Headers],[SEBRAE]],tabImpostosNacionais[],2,0)</f>
        <v>6.0000000000000001E-3</v>
      </c>
      <c r="Y252" s="233">
        <f t="shared" si="33"/>
        <v>8.3333333333333329E-2</v>
      </c>
      <c r="Z252" s="233">
        <f t="shared" si="34"/>
        <v>0.1111111111111111</v>
      </c>
      <c r="AA252" s="232">
        <f>VLOOKUP(tabParametros[[#This Row],[Comarca]],tabComarca[],5,0)</f>
        <v>6.4</v>
      </c>
      <c r="AB252" s="232">
        <f>VLOOKUP(tabParametros[[#This Row],[CCT DA CATEGORIA]],tabSindicatos[],6,0)</f>
        <v>29.15</v>
      </c>
      <c r="AC252" s="232">
        <f>VLOOKUP(tabParametros[[#This Row],[CCT DA CATEGORIA]],tabSindicatos[],7,0)</f>
        <v>0</v>
      </c>
      <c r="AD252" s="232" cm="1">
        <f t="array" ref="AD25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52" s="232">
        <f>VLOOKUP(tabParametros[[#This Row],[CCT DA CATEGORIA]],tabSindicatos[],9,0)</f>
        <v>0</v>
      </c>
      <c r="AF252" s="232">
        <f>VLOOKUP(tabParametros[[#This Row],[CCT DA CATEGORIA]],tabSindicatos[],10,0)</f>
        <v>0</v>
      </c>
      <c r="AG252" s="234">
        <f>VLOOKUP(tabParametros[[#Headers],[Seguro de Vida]],tabOutrosCustos[],3,0)</f>
        <v>3.36</v>
      </c>
      <c r="AH252" s="234">
        <f>IF(ISNUMBER(SEARCH("MOTORISTA",tabParametros[[#This Row],[Função]],1)),VLOOKUP("MOTORISTAS",tabDiarias[],2,0),IF(tabParametros[[#This Row],[Comarca]]="Belo Horizonte",VLOOKUP("APOIO",tabDiarias[],2,0),0))</f>
        <v>0</v>
      </c>
      <c r="AI252" s="233">
        <f t="shared" si="35"/>
        <v>7.011766975308642E-3</v>
      </c>
      <c r="AJ252" s="235">
        <f>tabParametros[[#This Row],[FGTS]]*tabParametros[[#This Row],[Aviso Prévio Indenizado (API) e Reflexo do Aviso Prévio Indenizado]]</f>
        <v>5.609413580246914E-4</v>
      </c>
      <c r="AK252" s="235">
        <f>tabParametros[[#This Row],[FGTS]]*tabParametros[[#This Row],[Aviso Prévio Indenizado (API) e Reflexo do Aviso Prévio Indenizado]]*40%</f>
        <v>2.2437654320987658E-4</v>
      </c>
      <c r="AL252" s="233">
        <f t="shared" si="36"/>
        <v>3.5000000000000005E-3</v>
      </c>
      <c r="AM252" s="233">
        <f>tabParametros[[#This Row],[Aviso Prévio Trabalhado - APT]]*SUM(tabParametros[[#This Row],[INSS]:[SEBRAE]])</f>
        <v>1.3230000000000004E-3</v>
      </c>
      <c r="AN252" s="233">
        <f t="shared" si="37"/>
        <v>3.0577777777777773E-2</v>
      </c>
      <c r="AO252" s="233">
        <f t="shared" si="38"/>
        <v>8.3333333333333339E-4</v>
      </c>
      <c r="AP252" s="233">
        <f t="shared" si="39"/>
        <v>8.4444444444444437E-3</v>
      </c>
      <c r="AQ252" s="233">
        <f t="shared" si="40"/>
        <v>2.0277777777777777E-3</v>
      </c>
      <c r="AR252" s="233">
        <f t="shared" si="41"/>
        <v>1.7083333333333333E-4</v>
      </c>
      <c r="AS252" s="233">
        <f t="shared" si="42"/>
        <v>2.0833333333333335E-4</v>
      </c>
      <c r="AT252" s="233">
        <f t="shared" si="43"/>
        <v>1.2962962962962963E-3</v>
      </c>
      <c r="AU252" s="235">
        <f>SUM(tabParametros[[#This Row],[Ausência por Doença]:[Férias, Adicional de Férias e 13º  com empregada em gozo de Licença Maternidade]])*SUM(tabParametros[[#This Row],[INSS]:[SEBRAE]])</f>
        <v>4.5918250000000008E-3</v>
      </c>
      <c r="AV252" s="254">
        <f>IF(tabParametros[[#This Row],[Função]]="Porteiro - 220 h",SUM(tabParametros[[#This Row],[Salário Base]:[Adicional de Acúmulo de função]])/220*20*1.5,IF(ISNUMBER(SEARCH("12 x 36",tabParametros[[#This Row],[Função]],1)),SUM(tabParametros[[#This Row],[Salário Base]:[Adicional de Acúmulo de função]])/210*15.5*1.5,0))</f>
        <v>0</v>
      </c>
      <c r="AW252" s="232">
        <f>IF(tabParametros[[#This Row],[Vagas contratadas]]&gt;0,(SUM(tabParametros[[#This Row],[Salário Base]:[Adicional de Acúmulo de função]])*30%+SUM(tabParametros[[#This Row],[Vale - Alimentação]:[Seguro de Vida]]))/tabParametros[[#This Row],[Vagas contratadas]]*tabParametros[[#This Row],[Vagas suspensas]],0)</f>
        <v>0</v>
      </c>
      <c r="AX252" s="232">
        <f>SUMIF(tabUniformes[Cargo],tabParametros[[#This Row],[Função]],tabUniformes[Valor unit. Mensal])</f>
        <v>56.642978962543395</v>
      </c>
      <c r="AY25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2" s="232">
        <v>0</v>
      </c>
      <c r="BC252" s="234" t="e">
        <f ca="1">VLOOKUP(tabParametros[[#Headers],[Custos Indiretos]],tabOutrosCustos[],3,0)</f>
        <v>#NAME?</v>
      </c>
      <c r="BD252" s="234" t="e">
        <f ca="1">VLOOKUP(tabParametros[[#Headers],[Lucro]],tabOutrosCustos[],3,0)</f>
        <v>#NAME?</v>
      </c>
      <c r="BE252" s="233">
        <f>VLOOKUP(tabParametros[[#Headers],[COFINS]],tabImpostosNacionais[],2,0)</f>
        <v>7.5999999999999998E-2</v>
      </c>
      <c r="BF252" s="233">
        <f>VLOOKUP(tabParametros[[#Headers],[PIS]],tabImpostosNacionais[],2,0)</f>
        <v>1.6500000000000001E-2</v>
      </c>
      <c r="BG252" s="233">
        <f>VLOOKUP(tabParametros[[#This Row],[Comarca]],tabComarca[],4,0)</f>
        <v>0.03</v>
      </c>
      <c r="BH252" s="236">
        <f>VLOOKUP(tabParametros[[#This Row],[CCT DA CATEGORIA]],tabSindicatos[],11,0)</f>
        <v>45658</v>
      </c>
      <c r="BI252" s="282" t="str">
        <f>VLOOKUP(tabParametros[[#This Row],[CCT DA CATEGORIA]],tabSindicatos[],12,0)</f>
        <v>-</v>
      </c>
      <c r="BJ252" s="285" t="str">
        <f>VLOOKUP(tabParametros[[#This Row],[CCT DA CATEGORIA]],tabSindicatos[],13,0)</f>
        <v>-</v>
      </c>
    </row>
    <row r="253" spans="1:62">
      <c r="A253" s="231" t="s">
        <v>1676</v>
      </c>
      <c r="B253" s="197" t="s">
        <v>1185</v>
      </c>
      <c r="C253" s="197" t="s">
        <v>324</v>
      </c>
      <c r="D253" s="197" t="str">
        <f>VLOOKUP(tabParametros[[#This Row],[Código do Posto]],tabPostos[],4,0)</f>
        <v>Sethac Norte de Minas</v>
      </c>
      <c r="E253" s="282" t="str">
        <f>VLOOKUP(tabParametros[[#This Row],[Código do Posto]],tabPostos[],5,0)</f>
        <v>Apoio</v>
      </c>
      <c r="F253" s="282" t="str">
        <f>VLOOKUP(tabParametros[[#This Row],[Código do Posto]],tabPostos[],6,0)</f>
        <v>PGJ</v>
      </c>
      <c r="G253" s="282">
        <f>VLOOKUP(tabParametros[[#This Row],[Código do Posto]],tabPostos[],7,0)</f>
        <v>1</v>
      </c>
      <c r="H253" s="282">
        <f>VLOOKUP(tabParametros[[#This Row],[Código do Posto]],tabPostos[],8,0)</f>
        <v>0</v>
      </c>
      <c r="I253" s="232">
        <f>VLOOKUP(tabParametros[[#This Row],[Código do Posto]],tabPostos[],9,0)</f>
        <v>3397.1306016921476</v>
      </c>
      <c r="J253" s="232">
        <f>IF(ISNUMBER(SEARCH("Eletricista",tabParametros[[#This Row],[Função]],1)),0.3*tabParametros[[#This Row],[Salário Base]],0)</f>
        <v>0</v>
      </c>
      <c r="K25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3" s="232">
        <f>IF(AND(ISNUMBER(SEARCH("Noturno",tabParametros[[#This Row],[Função]],1)),tabParametros[[#This Row],[Comarca]]&lt;&gt;"Juiz de Fora"),tabParametros[[#This Row],[Salário Base]]/210*0.39*7*15.5,IF(ISNUMBER(SEARCH("Noturno",tabParametros[[#This Row],[Função]],1)),tabParametros[[#This Row],[Salário Base]]/210*0.2*8*15.5,0))</f>
        <v>0</v>
      </c>
      <c r="M253" s="232">
        <f>IF(ISNUMBER(SEARCH("Motorista II",tabParametros[[#This Row],[Função]],1)),0.3022*tabParametros[[#This Row],[Salário Base]],0)</f>
        <v>0</v>
      </c>
      <c r="N253" s="254">
        <v>0</v>
      </c>
      <c r="O253" s="254">
        <f>IF(ISNUMBER(SEARCH("TECNOLOGIA DA INFORMACAO",tabParametros[[#This Row],[Função]],1)),0.056*tabParametros[[#This Row],[Salário Base]],0)</f>
        <v>0</v>
      </c>
      <c r="P253" s="232">
        <f>IF(tabParametros[[#This Row],[Função]]="Operador de Midia Audiovisual - 150 h",tabParametros[[#This Row],[Salário Base]]/150*50*30%,IF(tabParametros[[#This Row],[Função]]="Supervisor de Manutencao de Veiculos II - 220 h",12%*tabParametros[[#This Row],[Salário Base]],0))</f>
        <v>0</v>
      </c>
      <c r="Q253" s="233">
        <f>VLOOKUP(tabParametros[[#Headers],[INSS]],tabImpostosNacionais[],2,0)</f>
        <v>0.2</v>
      </c>
      <c r="R253" s="233">
        <f>VLOOKUP(tabParametros[[#Headers],[SESI OU SESC]],tabImpostosNacionais[],2,0)</f>
        <v>1.4999999999999999E-2</v>
      </c>
      <c r="S253" s="233">
        <f>VLOOKUP(tabParametros[[#Headers],[SENAI OU SENAC]],tabImpostosNacionais[],2,0)</f>
        <v>0.01</v>
      </c>
      <c r="T253" s="233">
        <f>VLOOKUP(tabParametros[[#Headers],[INCRA]],tabImpostosNacionais[],2,0)</f>
        <v>2E-3</v>
      </c>
      <c r="U253" s="233">
        <f>VLOOKUP(tabParametros[[#Headers],[Salário Educação]],tabImpostosNacionais[],2,0)</f>
        <v>2.5000000000000001E-2</v>
      </c>
      <c r="V253" s="233">
        <f>VLOOKUP(tabParametros[[#Headers],[FGTS]],tabImpostosNacionais[],2,0)</f>
        <v>0.08</v>
      </c>
      <c r="W253" s="233">
        <f>VLOOKUP(tabParametros[[#Headers],[RAT Ajustado]],tabImpostosNacionais[],2,0)</f>
        <v>0.04</v>
      </c>
      <c r="X253" s="233">
        <f>VLOOKUP(tabParametros[[#Headers],[SEBRAE]],tabImpostosNacionais[],2,0)</f>
        <v>6.0000000000000001E-3</v>
      </c>
      <c r="Y253" s="233">
        <f t="shared" si="33"/>
        <v>8.3333333333333329E-2</v>
      </c>
      <c r="Z253" s="233">
        <f t="shared" si="34"/>
        <v>0.1111111111111111</v>
      </c>
      <c r="AA253" s="232">
        <f>VLOOKUP(tabParametros[[#This Row],[Comarca]],tabComarca[],5,0)</f>
        <v>6.4</v>
      </c>
      <c r="AB253" s="232">
        <f>VLOOKUP(tabParametros[[#This Row],[CCT DA CATEGORIA]],tabSindicatos[],6,0)</f>
        <v>29.15</v>
      </c>
      <c r="AC253" s="232">
        <f>VLOOKUP(tabParametros[[#This Row],[CCT DA CATEGORIA]],tabSindicatos[],7,0)</f>
        <v>0</v>
      </c>
      <c r="AD253" s="232" cm="1">
        <f t="array" ref="AD25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53" s="232">
        <f>VLOOKUP(tabParametros[[#This Row],[CCT DA CATEGORIA]],tabSindicatos[],9,0)</f>
        <v>0</v>
      </c>
      <c r="AF253" s="232">
        <f>VLOOKUP(tabParametros[[#This Row],[CCT DA CATEGORIA]],tabSindicatos[],10,0)</f>
        <v>0</v>
      </c>
      <c r="AG253" s="234">
        <f>VLOOKUP(tabParametros[[#Headers],[Seguro de Vida]],tabOutrosCustos[],3,0)</f>
        <v>3.36</v>
      </c>
      <c r="AH253" s="234">
        <f>IF(ISNUMBER(SEARCH("MOTORISTA",tabParametros[[#This Row],[Função]],1)),VLOOKUP("MOTORISTAS",tabDiarias[],2,0),IF(tabParametros[[#This Row],[Comarca]]="Belo Horizonte",VLOOKUP("APOIO",tabDiarias[],2,0),0))</f>
        <v>0</v>
      </c>
      <c r="AI253" s="233">
        <f t="shared" si="35"/>
        <v>7.011766975308642E-3</v>
      </c>
      <c r="AJ253" s="235">
        <f>tabParametros[[#This Row],[FGTS]]*tabParametros[[#This Row],[Aviso Prévio Indenizado (API) e Reflexo do Aviso Prévio Indenizado]]</f>
        <v>5.609413580246914E-4</v>
      </c>
      <c r="AK253" s="235">
        <f>tabParametros[[#This Row],[FGTS]]*tabParametros[[#This Row],[Aviso Prévio Indenizado (API) e Reflexo do Aviso Prévio Indenizado]]*40%</f>
        <v>2.2437654320987658E-4</v>
      </c>
      <c r="AL253" s="233">
        <f t="shared" si="36"/>
        <v>3.5000000000000005E-3</v>
      </c>
      <c r="AM253" s="233">
        <f>tabParametros[[#This Row],[Aviso Prévio Trabalhado - APT]]*SUM(tabParametros[[#This Row],[INSS]:[SEBRAE]])</f>
        <v>1.3230000000000004E-3</v>
      </c>
      <c r="AN253" s="233">
        <f t="shared" si="37"/>
        <v>3.0577777777777773E-2</v>
      </c>
      <c r="AO253" s="233">
        <f t="shared" si="38"/>
        <v>8.3333333333333339E-4</v>
      </c>
      <c r="AP253" s="233">
        <f t="shared" si="39"/>
        <v>8.4444444444444437E-3</v>
      </c>
      <c r="AQ253" s="233">
        <f t="shared" si="40"/>
        <v>2.0277777777777777E-3</v>
      </c>
      <c r="AR253" s="233">
        <f t="shared" si="41"/>
        <v>1.7083333333333333E-4</v>
      </c>
      <c r="AS253" s="233">
        <f t="shared" si="42"/>
        <v>2.0833333333333335E-4</v>
      </c>
      <c r="AT253" s="233">
        <f t="shared" si="43"/>
        <v>1.2962962962962963E-3</v>
      </c>
      <c r="AU253" s="235">
        <f>SUM(tabParametros[[#This Row],[Ausência por Doença]:[Férias, Adicional de Férias e 13º  com empregada em gozo de Licença Maternidade]])*SUM(tabParametros[[#This Row],[INSS]:[SEBRAE]])</f>
        <v>4.5918250000000008E-3</v>
      </c>
      <c r="AV253" s="254">
        <f>IF(tabParametros[[#This Row],[Função]]="Porteiro - 220 h",SUM(tabParametros[[#This Row],[Salário Base]:[Adicional de Acúmulo de função]])/220*20*1.5,IF(ISNUMBER(SEARCH("12 x 36",tabParametros[[#This Row],[Função]],1)),SUM(tabParametros[[#This Row],[Salário Base]:[Adicional de Acúmulo de função]])/210*15.5*1.5,0))</f>
        <v>0</v>
      </c>
      <c r="AW253" s="232">
        <f>IF(tabParametros[[#This Row],[Vagas contratadas]]&gt;0,(SUM(tabParametros[[#This Row],[Salário Base]:[Adicional de Acúmulo de função]])*30%+SUM(tabParametros[[#This Row],[Vale - Alimentação]:[Seguro de Vida]]))/tabParametros[[#This Row],[Vagas contratadas]]*tabParametros[[#This Row],[Vagas suspensas]],0)</f>
        <v>0</v>
      </c>
      <c r="AX253" s="232">
        <f>SUMIF(tabUniformes[Cargo],tabParametros[[#This Row],[Função]],tabUniformes[Valor unit. Mensal])</f>
        <v>56.642978962543395</v>
      </c>
      <c r="AY25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3" s="232">
        <v>0</v>
      </c>
      <c r="BC253" s="234" t="e">
        <f ca="1">VLOOKUP(tabParametros[[#Headers],[Custos Indiretos]],tabOutrosCustos[],3,0)</f>
        <v>#NAME?</v>
      </c>
      <c r="BD253" s="234" t="e">
        <f ca="1">VLOOKUP(tabParametros[[#Headers],[Lucro]],tabOutrosCustos[],3,0)</f>
        <v>#NAME?</v>
      </c>
      <c r="BE253" s="233">
        <f>VLOOKUP(tabParametros[[#Headers],[COFINS]],tabImpostosNacionais[],2,0)</f>
        <v>7.5999999999999998E-2</v>
      </c>
      <c r="BF253" s="233">
        <f>VLOOKUP(tabParametros[[#Headers],[PIS]],tabImpostosNacionais[],2,0)</f>
        <v>1.6500000000000001E-2</v>
      </c>
      <c r="BG253" s="233">
        <f>VLOOKUP(tabParametros[[#This Row],[Comarca]],tabComarca[],4,0)</f>
        <v>0.03</v>
      </c>
      <c r="BH253" s="236">
        <f>VLOOKUP(tabParametros[[#This Row],[CCT DA CATEGORIA]],tabSindicatos[],11,0)</f>
        <v>45658</v>
      </c>
      <c r="BI253" s="282" t="str">
        <f>VLOOKUP(tabParametros[[#This Row],[CCT DA CATEGORIA]],tabSindicatos[],12,0)</f>
        <v>-</v>
      </c>
      <c r="BJ253" s="285" t="str">
        <f>VLOOKUP(tabParametros[[#This Row],[CCT DA CATEGORIA]],tabSindicatos[],13,0)</f>
        <v>-</v>
      </c>
    </row>
    <row r="254" spans="1:62">
      <c r="A254" s="231" t="s">
        <v>1677</v>
      </c>
      <c r="B254" s="197" t="s">
        <v>1186</v>
      </c>
      <c r="C254" s="197" t="s">
        <v>319</v>
      </c>
      <c r="D254" s="197" t="str">
        <f>VLOOKUP(tabParametros[[#This Row],[Código do Posto]],tabPostos[],4,0)</f>
        <v>Regiao de Divinopolis</v>
      </c>
      <c r="E254" s="282" t="str">
        <f>VLOOKUP(tabParametros[[#This Row],[Código do Posto]],tabPostos[],5,0)</f>
        <v>Apoio</v>
      </c>
      <c r="F254" s="282" t="str">
        <f>VLOOKUP(tabParametros[[#This Row],[Código do Posto]],tabPostos[],6,0)</f>
        <v>PGJ</v>
      </c>
      <c r="G254" s="282">
        <f>VLOOKUP(tabParametros[[#This Row],[Código do Posto]],tabPostos[],7,0)</f>
        <v>1</v>
      </c>
      <c r="H254" s="282">
        <f>VLOOKUP(tabParametros[[#This Row],[Código do Posto]],tabPostos[],8,0)</f>
        <v>0</v>
      </c>
      <c r="I254" s="232">
        <f>VLOOKUP(tabParametros[[#This Row],[Código do Posto]],tabPostos[],9,0)</f>
        <v>2316.2253186627422</v>
      </c>
      <c r="J254" s="232">
        <f>IF(ISNUMBER(SEARCH("Eletricista",tabParametros[[#This Row],[Função]],1)),0.3*tabParametros[[#This Row],[Salário Base]],0)</f>
        <v>0</v>
      </c>
      <c r="K25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4" s="232">
        <f>IF(AND(ISNUMBER(SEARCH("Noturno",tabParametros[[#This Row],[Função]],1)),tabParametros[[#This Row],[Comarca]]&lt;&gt;"Juiz de Fora"),tabParametros[[#This Row],[Salário Base]]/210*0.39*7*15.5,IF(ISNUMBER(SEARCH("Noturno",tabParametros[[#This Row],[Função]],1)),tabParametros[[#This Row],[Salário Base]]/210*0.2*8*15.5,0))</f>
        <v>0</v>
      </c>
      <c r="M254" s="232">
        <f>IF(ISNUMBER(SEARCH("Motorista II",tabParametros[[#This Row],[Função]],1)),0.3022*tabParametros[[#This Row],[Salário Base]],0)</f>
        <v>0</v>
      </c>
      <c r="N254" s="254">
        <v>0</v>
      </c>
      <c r="O254" s="254">
        <f>IF(ISNUMBER(SEARCH("TECNOLOGIA DA INFORMACAO",tabParametros[[#This Row],[Função]],1)),0.056*tabParametros[[#This Row],[Salário Base]],0)</f>
        <v>0</v>
      </c>
      <c r="P254" s="232">
        <f>IF(tabParametros[[#This Row],[Função]]="Operador de Midia Audiovisual - 150 h",tabParametros[[#This Row],[Salário Base]]/150*50*30%,IF(tabParametros[[#This Row],[Função]]="Supervisor de Manutencao de Veiculos II - 220 h",12%*tabParametros[[#This Row],[Salário Base]],0))</f>
        <v>0</v>
      </c>
      <c r="Q254" s="233">
        <f>VLOOKUP(tabParametros[[#Headers],[INSS]],tabImpostosNacionais[],2,0)</f>
        <v>0.2</v>
      </c>
      <c r="R254" s="233">
        <f>VLOOKUP(tabParametros[[#Headers],[SESI OU SESC]],tabImpostosNacionais[],2,0)</f>
        <v>1.4999999999999999E-2</v>
      </c>
      <c r="S254" s="233">
        <f>VLOOKUP(tabParametros[[#Headers],[SENAI OU SENAC]],tabImpostosNacionais[],2,0)</f>
        <v>0.01</v>
      </c>
      <c r="T254" s="233">
        <f>VLOOKUP(tabParametros[[#Headers],[INCRA]],tabImpostosNacionais[],2,0)</f>
        <v>2E-3</v>
      </c>
      <c r="U254" s="233">
        <f>VLOOKUP(tabParametros[[#Headers],[Salário Educação]],tabImpostosNacionais[],2,0)</f>
        <v>2.5000000000000001E-2</v>
      </c>
      <c r="V254" s="233">
        <f>VLOOKUP(tabParametros[[#Headers],[FGTS]],tabImpostosNacionais[],2,0)</f>
        <v>0.08</v>
      </c>
      <c r="W254" s="233">
        <f>VLOOKUP(tabParametros[[#Headers],[RAT Ajustado]],tabImpostosNacionais[],2,0)</f>
        <v>0.04</v>
      </c>
      <c r="X254" s="233">
        <f>VLOOKUP(tabParametros[[#Headers],[SEBRAE]],tabImpostosNacionais[],2,0)</f>
        <v>6.0000000000000001E-3</v>
      </c>
      <c r="Y254" s="233">
        <f t="shared" si="33"/>
        <v>8.3333333333333329E-2</v>
      </c>
      <c r="Z254" s="233">
        <f t="shared" si="34"/>
        <v>0.1111111111111111</v>
      </c>
      <c r="AA254" s="232">
        <f>VLOOKUP(tabParametros[[#This Row],[Comarca]],tabComarca[],5,0)</f>
        <v>6.4</v>
      </c>
      <c r="AB254" s="232">
        <f>VLOOKUP(tabParametros[[#This Row],[CCT DA CATEGORIA]],tabSindicatos[],6,0)</f>
        <v>29.15</v>
      </c>
      <c r="AC254" s="232">
        <f>VLOOKUP(tabParametros[[#This Row],[CCT DA CATEGORIA]],tabSindicatos[],7,0)</f>
        <v>0</v>
      </c>
      <c r="AD254" s="232" cm="1">
        <f t="array" ref="AD25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54" s="232">
        <f>VLOOKUP(tabParametros[[#This Row],[CCT DA CATEGORIA]],tabSindicatos[],9,0)</f>
        <v>0</v>
      </c>
      <c r="AF254" s="232">
        <f>VLOOKUP(tabParametros[[#This Row],[CCT DA CATEGORIA]],tabSindicatos[],10,0)</f>
        <v>0</v>
      </c>
      <c r="AG254" s="234">
        <f>VLOOKUP(tabParametros[[#Headers],[Seguro de Vida]],tabOutrosCustos[],3,0)</f>
        <v>3.36</v>
      </c>
      <c r="AH254" s="234">
        <f>IF(ISNUMBER(SEARCH("MOTORISTA",tabParametros[[#This Row],[Função]],1)),VLOOKUP("MOTORISTAS",tabDiarias[],2,0),IF(tabParametros[[#This Row],[Comarca]]="Belo Horizonte",VLOOKUP("APOIO",tabDiarias[],2,0),0))</f>
        <v>0</v>
      </c>
      <c r="AI254" s="233">
        <f t="shared" si="35"/>
        <v>7.011766975308642E-3</v>
      </c>
      <c r="AJ254" s="235">
        <f>tabParametros[[#This Row],[FGTS]]*tabParametros[[#This Row],[Aviso Prévio Indenizado (API) e Reflexo do Aviso Prévio Indenizado]]</f>
        <v>5.609413580246914E-4</v>
      </c>
      <c r="AK254" s="235">
        <f>tabParametros[[#This Row],[FGTS]]*tabParametros[[#This Row],[Aviso Prévio Indenizado (API) e Reflexo do Aviso Prévio Indenizado]]*40%</f>
        <v>2.2437654320987658E-4</v>
      </c>
      <c r="AL254" s="233">
        <f t="shared" si="36"/>
        <v>3.5000000000000005E-3</v>
      </c>
      <c r="AM254" s="233">
        <f>tabParametros[[#This Row],[Aviso Prévio Trabalhado - APT]]*SUM(tabParametros[[#This Row],[INSS]:[SEBRAE]])</f>
        <v>1.3230000000000004E-3</v>
      </c>
      <c r="AN254" s="233">
        <f t="shared" si="37"/>
        <v>3.0577777777777773E-2</v>
      </c>
      <c r="AO254" s="233">
        <f t="shared" si="38"/>
        <v>8.3333333333333339E-4</v>
      </c>
      <c r="AP254" s="233">
        <f t="shared" si="39"/>
        <v>8.4444444444444437E-3</v>
      </c>
      <c r="AQ254" s="233">
        <f t="shared" si="40"/>
        <v>2.0277777777777777E-3</v>
      </c>
      <c r="AR254" s="233">
        <f t="shared" si="41"/>
        <v>1.7083333333333333E-4</v>
      </c>
      <c r="AS254" s="233">
        <f t="shared" si="42"/>
        <v>2.0833333333333335E-4</v>
      </c>
      <c r="AT254" s="233">
        <f t="shared" si="43"/>
        <v>1.2962962962962963E-3</v>
      </c>
      <c r="AU254" s="235">
        <f>SUM(tabParametros[[#This Row],[Ausência por Doença]:[Férias, Adicional de Férias e 13º  com empregada em gozo de Licença Maternidade]])*SUM(tabParametros[[#This Row],[INSS]:[SEBRAE]])</f>
        <v>4.5918250000000008E-3</v>
      </c>
      <c r="AV254" s="254">
        <f>IF(tabParametros[[#This Row],[Função]]="Porteiro - 220 h",SUM(tabParametros[[#This Row],[Salário Base]:[Adicional de Acúmulo de função]])/220*20*1.5,IF(ISNUMBER(SEARCH("12 x 36",tabParametros[[#This Row],[Função]],1)),SUM(tabParametros[[#This Row],[Salário Base]:[Adicional de Acúmulo de função]])/210*15.5*1.5,0))</f>
        <v>0</v>
      </c>
      <c r="AW254" s="232">
        <f>IF(tabParametros[[#This Row],[Vagas contratadas]]&gt;0,(SUM(tabParametros[[#This Row],[Salário Base]:[Adicional de Acúmulo de função]])*30%+SUM(tabParametros[[#This Row],[Vale - Alimentação]:[Seguro de Vida]]))/tabParametros[[#This Row],[Vagas contratadas]]*tabParametros[[#This Row],[Vagas suspensas]],0)</f>
        <v>0</v>
      </c>
      <c r="AX254" s="232">
        <f>SUMIF(tabUniformes[Cargo],tabParametros[[#This Row],[Função]],tabUniformes[Valor unit. Mensal])</f>
        <v>56.642978962543395</v>
      </c>
      <c r="AY25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4" s="232">
        <v>0</v>
      </c>
      <c r="BC254" s="234" t="e">
        <f ca="1">VLOOKUP(tabParametros[[#Headers],[Custos Indiretos]],tabOutrosCustos[],3,0)</f>
        <v>#NAME?</v>
      </c>
      <c r="BD254" s="234" t="e">
        <f ca="1">VLOOKUP(tabParametros[[#Headers],[Lucro]],tabOutrosCustos[],3,0)</f>
        <v>#NAME?</v>
      </c>
      <c r="BE254" s="233">
        <f>VLOOKUP(tabParametros[[#Headers],[COFINS]],tabImpostosNacionais[],2,0)</f>
        <v>7.5999999999999998E-2</v>
      </c>
      <c r="BF254" s="233">
        <f>VLOOKUP(tabParametros[[#Headers],[PIS]],tabImpostosNacionais[],2,0)</f>
        <v>1.6500000000000001E-2</v>
      </c>
      <c r="BG254" s="233">
        <f>VLOOKUP(tabParametros[[#This Row],[Comarca]],tabComarca[],4,0)</f>
        <v>0.02</v>
      </c>
      <c r="BH254" s="236">
        <f>VLOOKUP(tabParametros[[#This Row],[CCT DA CATEGORIA]],tabSindicatos[],11,0)</f>
        <v>45658</v>
      </c>
      <c r="BI254" s="282" t="str">
        <f>VLOOKUP(tabParametros[[#This Row],[CCT DA CATEGORIA]],tabSindicatos[],12,0)</f>
        <v>-</v>
      </c>
      <c r="BJ254" s="285" t="str">
        <f>VLOOKUP(tabParametros[[#This Row],[CCT DA CATEGORIA]],tabSindicatos[],13,0)</f>
        <v>-</v>
      </c>
    </row>
    <row r="255" spans="1:62">
      <c r="A255" s="231" t="s">
        <v>1502</v>
      </c>
      <c r="B255" s="197" t="s">
        <v>1187</v>
      </c>
      <c r="C255" s="197" t="s">
        <v>200</v>
      </c>
      <c r="D255" s="197" t="str">
        <f>VLOOKUP(tabParametros[[#This Row],[Código do Posto]],tabPostos[],4,0)</f>
        <v>Regiao de Sao Lourenco</v>
      </c>
      <c r="E255" s="282" t="str">
        <f>VLOOKUP(tabParametros[[#This Row],[Código do Posto]],tabPostos[],5,0)</f>
        <v>Apoio</v>
      </c>
      <c r="F255" s="282" t="str">
        <f>VLOOKUP(tabParametros[[#This Row],[Código do Posto]],tabPostos[],6,0)</f>
        <v>PGJ</v>
      </c>
      <c r="G255" s="282">
        <f>VLOOKUP(tabParametros[[#This Row],[Código do Posto]],tabPostos[],7,0)</f>
        <v>1</v>
      </c>
      <c r="H255" s="282">
        <f>VLOOKUP(tabParametros[[#This Row],[Código do Posto]],tabPostos[],8,0)</f>
        <v>0</v>
      </c>
      <c r="I255" s="232">
        <f>VLOOKUP(tabParametros[[#This Row],[Código do Posto]],tabPostos[],9,0)</f>
        <v>1596.273808921236</v>
      </c>
      <c r="J255" s="232">
        <f>IF(ISNUMBER(SEARCH("Eletricista",tabParametros[[#This Row],[Função]],1)),0.3*tabParametros[[#This Row],[Salário Base]],0)</f>
        <v>0</v>
      </c>
      <c r="K25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5" s="232">
        <f>IF(AND(ISNUMBER(SEARCH("Noturno",tabParametros[[#This Row],[Função]],1)),tabParametros[[#This Row],[Comarca]]&lt;&gt;"Juiz de Fora"),tabParametros[[#This Row],[Salário Base]]/210*0.39*7*15.5,IF(ISNUMBER(SEARCH("Noturno",tabParametros[[#This Row],[Função]],1)),tabParametros[[#This Row],[Salário Base]]/210*0.2*8*15.5,0))</f>
        <v>0</v>
      </c>
      <c r="M255" s="232">
        <f>IF(ISNUMBER(SEARCH("Motorista II",tabParametros[[#This Row],[Função]],1)),0.3022*tabParametros[[#This Row],[Salário Base]],0)</f>
        <v>0</v>
      </c>
      <c r="N255" s="254">
        <v>0</v>
      </c>
      <c r="O255" s="254">
        <f>IF(ISNUMBER(SEARCH("TECNOLOGIA DA INFORMACAO",tabParametros[[#This Row],[Função]],1)),0.056*tabParametros[[#This Row],[Salário Base]],0)</f>
        <v>0</v>
      </c>
      <c r="P255" s="232">
        <f>IF(tabParametros[[#This Row],[Função]]="Operador de Midia Audiovisual - 150 h",tabParametros[[#This Row],[Salário Base]]/150*50*30%,IF(tabParametros[[#This Row],[Função]]="Supervisor de Manutencao de Veiculos II - 220 h",12%*tabParametros[[#This Row],[Salário Base]],0))</f>
        <v>0</v>
      </c>
      <c r="Q255" s="233">
        <f>VLOOKUP(tabParametros[[#Headers],[INSS]],tabImpostosNacionais[],2,0)</f>
        <v>0.2</v>
      </c>
      <c r="R255" s="233">
        <f>VLOOKUP(tabParametros[[#Headers],[SESI OU SESC]],tabImpostosNacionais[],2,0)</f>
        <v>1.4999999999999999E-2</v>
      </c>
      <c r="S255" s="233">
        <f>VLOOKUP(tabParametros[[#Headers],[SENAI OU SENAC]],tabImpostosNacionais[],2,0)</f>
        <v>0.01</v>
      </c>
      <c r="T255" s="233">
        <f>VLOOKUP(tabParametros[[#Headers],[INCRA]],tabImpostosNacionais[],2,0)</f>
        <v>2E-3</v>
      </c>
      <c r="U255" s="233">
        <f>VLOOKUP(tabParametros[[#Headers],[Salário Educação]],tabImpostosNacionais[],2,0)</f>
        <v>2.5000000000000001E-2</v>
      </c>
      <c r="V255" s="233">
        <f>VLOOKUP(tabParametros[[#Headers],[FGTS]],tabImpostosNacionais[],2,0)</f>
        <v>0.08</v>
      </c>
      <c r="W255" s="233">
        <f>VLOOKUP(tabParametros[[#Headers],[RAT Ajustado]],tabImpostosNacionais[],2,0)</f>
        <v>0.04</v>
      </c>
      <c r="X255" s="233">
        <f>VLOOKUP(tabParametros[[#Headers],[SEBRAE]],tabImpostosNacionais[],2,0)</f>
        <v>6.0000000000000001E-3</v>
      </c>
      <c r="Y255" s="233">
        <f t="shared" si="33"/>
        <v>8.3333333333333329E-2</v>
      </c>
      <c r="Z255" s="233">
        <f t="shared" si="34"/>
        <v>0.1111111111111111</v>
      </c>
      <c r="AA255" s="232">
        <f>VLOOKUP(tabParametros[[#This Row],[Comarca]],tabComarca[],5,0)</f>
        <v>6.4</v>
      </c>
      <c r="AB255" s="232">
        <f>VLOOKUP(tabParametros[[#This Row],[CCT DA CATEGORIA]],tabSindicatos[],6,0)</f>
        <v>29.15</v>
      </c>
      <c r="AC255" s="232">
        <f>VLOOKUP(tabParametros[[#This Row],[CCT DA CATEGORIA]],tabSindicatos[],7,0)</f>
        <v>0</v>
      </c>
      <c r="AD255" s="232" cm="1">
        <f t="array" ref="AD25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55" s="232">
        <f>VLOOKUP(tabParametros[[#This Row],[CCT DA CATEGORIA]],tabSindicatos[],9,0)</f>
        <v>0</v>
      </c>
      <c r="AF255" s="232">
        <f>VLOOKUP(tabParametros[[#This Row],[CCT DA CATEGORIA]],tabSindicatos[],10,0)</f>
        <v>0</v>
      </c>
      <c r="AG255" s="234">
        <f>VLOOKUP(tabParametros[[#Headers],[Seguro de Vida]],tabOutrosCustos[],3,0)</f>
        <v>3.36</v>
      </c>
      <c r="AH255" s="234">
        <f>IF(ISNUMBER(SEARCH("MOTORISTA",tabParametros[[#This Row],[Função]],1)),VLOOKUP("MOTORISTAS",tabDiarias[],2,0),IF(tabParametros[[#This Row],[Comarca]]="Belo Horizonte",VLOOKUP("APOIO",tabDiarias[],2,0),0))</f>
        <v>0</v>
      </c>
      <c r="AI255" s="233">
        <f t="shared" si="35"/>
        <v>7.011766975308642E-3</v>
      </c>
      <c r="AJ255" s="235">
        <f>tabParametros[[#This Row],[FGTS]]*tabParametros[[#This Row],[Aviso Prévio Indenizado (API) e Reflexo do Aviso Prévio Indenizado]]</f>
        <v>5.609413580246914E-4</v>
      </c>
      <c r="AK255" s="235">
        <f>tabParametros[[#This Row],[FGTS]]*tabParametros[[#This Row],[Aviso Prévio Indenizado (API) e Reflexo do Aviso Prévio Indenizado]]*40%</f>
        <v>2.2437654320987658E-4</v>
      </c>
      <c r="AL255" s="233">
        <f t="shared" si="36"/>
        <v>3.5000000000000005E-3</v>
      </c>
      <c r="AM255" s="233">
        <f>tabParametros[[#This Row],[Aviso Prévio Trabalhado - APT]]*SUM(tabParametros[[#This Row],[INSS]:[SEBRAE]])</f>
        <v>1.3230000000000004E-3</v>
      </c>
      <c r="AN255" s="233">
        <f t="shared" si="37"/>
        <v>3.0577777777777773E-2</v>
      </c>
      <c r="AO255" s="233">
        <f t="shared" si="38"/>
        <v>8.3333333333333339E-4</v>
      </c>
      <c r="AP255" s="233">
        <f t="shared" si="39"/>
        <v>8.4444444444444437E-3</v>
      </c>
      <c r="AQ255" s="233">
        <f t="shared" si="40"/>
        <v>2.0277777777777777E-3</v>
      </c>
      <c r="AR255" s="233">
        <f t="shared" si="41"/>
        <v>1.7083333333333333E-4</v>
      </c>
      <c r="AS255" s="233">
        <f t="shared" si="42"/>
        <v>2.0833333333333335E-4</v>
      </c>
      <c r="AT255" s="233">
        <f t="shared" si="43"/>
        <v>1.2962962962962963E-3</v>
      </c>
      <c r="AU255" s="235">
        <f>SUM(tabParametros[[#This Row],[Ausência por Doença]:[Férias, Adicional de Férias e 13º  com empregada em gozo de Licença Maternidade]])*SUM(tabParametros[[#This Row],[INSS]:[SEBRAE]])</f>
        <v>4.5918250000000008E-3</v>
      </c>
      <c r="AV255" s="254">
        <f>IF(tabParametros[[#This Row],[Função]]="Porteiro - 220 h",SUM(tabParametros[[#This Row],[Salário Base]:[Adicional de Acúmulo de função]])/220*20*1.5,IF(ISNUMBER(SEARCH("12 x 36",tabParametros[[#This Row],[Função]],1)),SUM(tabParametros[[#This Row],[Salário Base]:[Adicional de Acúmulo de função]])/210*15.5*1.5,0))</f>
        <v>0</v>
      </c>
      <c r="AW255" s="232">
        <f>IF(tabParametros[[#This Row],[Vagas contratadas]]&gt;0,(SUM(tabParametros[[#This Row],[Salário Base]:[Adicional de Acúmulo de função]])*30%+SUM(tabParametros[[#This Row],[Vale - Alimentação]:[Seguro de Vida]]))/tabParametros[[#This Row],[Vagas contratadas]]*tabParametros[[#This Row],[Vagas suspensas]],0)</f>
        <v>0</v>
      </c>
      <c r="AX255" s="232">
        <f>SUMIF(tabUniformes[Cargo],tabParametros[[#This Row],[Função]],tabUniformes[Valor unit. Mensal])</f>
        <v>56.141713661989918</v>
      </c>
      <c r="AY25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5" s="232">
        <v>0</v>
      </c>
      <c r="BC255" s="234" t="e">
        <f ca="1">VLOOKUP(tabParametros[[#Headers],[Custos Indiretos]],tabOutrosCustos[],3,0)</f>
        <v>#NAME?</v>
      </c>
      <c r="BD255" s="234" t="e">
        <f ca="1">VLOOKUP(tabParametros[[#Headers],[Lucro]],tabOutrosCustos[],3,0)</f>
        <v>#NAME?</v>
      </c>
      <c r="BE255" s="233">
        <f>VLOOKUP(tabParametros[[#Headers],[COFINS]],tabImpostosNacionais[],2,0)</f>
        <v>7.5999999999999998E-2</v>
      </c>
      <c r="BF255" s="233">
        <f>VLOOKUP(tabParametros[[#Headers],[PIS]],tabImpostosNacionais[],2,0)</f>
        <v>1.6500000000000001E-2</v>
      </c>
      <c r="BG255" s="233">
        <f>VLOOKUP(tabParametros[[#This Row],[Comarca]],tabComarca[],4,0)</f>
        <v>0.03</v>
      </c>
      <c r="BH255" s="236">
        <f>VLOOKUP(tabParametros[[#This Row],[CCT DA CATEGORIA]],tabSindicatos[],11,0)</f>
        <v>45658</v>
      </c>
      <c r="BI255" s="282" t="str">
        <f>VLOOKUP(tabParametros[[#This Row],[CCT DA CATEGORIA]],tabSindicatos[],12,0)</f>
        <v>-</v>
      </c>
      <c r="BJ255" s="285" t="str">
        <f>VLOOKUP(tabParametros[[#This Row],[CCT DA CATEGORIA]],tabSindicatos[],13,0)</f>
        <v>-</v>
      </c>
    </row>
    <row r="256" spans="1:62">
      <c r="A256" s="231" t="s">
        <v>1503</v>
      </c>
      <c r="B256" s="197" t="s">
        <v>1188</v>
      </c>
      <c r="C256" s="197" t="s">
        <v>200</v>
      </c>
      <c r="D256" s="197" t="str">
        <f>VLOOKUP(tabParametros[[#This Row],[Código do Posto]],tabPostos[],4,0)</f>
        <v>SETHPC - Pocos de Caldas</v>
      </c>
      <c r="E256" s="282" t="str">
        <f>VLOOKUP(tabParametros[[#This Row],[Código do Posto]],tabPostos[],5,0)</f>
        <v>Apoio</v>
      </c>
      <c r="F256" s="282" t="str">
        <f>VLOOKUP(tabParametros[[#This Row],[Código do Posto]],tabPostos[],6,0)</f>
        <v>PGJ</v>
      </c>
      <c r="G256" s="282">
        <f>VLOOKUP(tabParametros[[#This Row],[Código do Posto]],tabPostos[],7,0)</f>
        <v>1</v>
      </c>
      <c r="H256" s="282">
        <f>VLOOKUP(tabParametros[[#This Row],[Código do Posto]],tabPostos[],8,0)</f>
        <v>0</v>
      </c>
      <c r="I256" s="232">
        <f>VLOOKUP(tabParametros[[#This Row],[Código do Posto]],tabPostos[],9,0)</f>
        <v>1596.273808921236</v>
      </c>
      <c r="J256" s="232">
        <f>IF(ISNUMBER(SEARCH("Eletricista",tabParametros[[#This Row],[Função]],1)),0.3*tabParametros[[#This Row],[Salário Base]],0)</f>
        <v>0</v>
      </c>
      <c r="K25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6" s="232">
        <f>IF(AND(ISNUMBER(SEARCH("Noturno",tabParametros[[#This Row],[Função]],1)),tabParametros[[#This Row],[Comarca]]&lt;&gt;"Juiz de Fora"),tabParametros[[#This Row],[Salário Base]]/210*0.39*7*15.5,IF(ISNUMBER(SEARCH("Noturno",tabParametros[[#This Row],[Função]],1)),tabParametros[[#This Row],[Salário Base]]/210*0.2*8*15.5,0))</f>
        <v>0</v>
      </c>
      <c r="M256" s="232">
        <f>IF(ISNUMBER(SEARCH("Motorista II",tabParametros[[#This Row],[Função]],1)),0.3022*tabParametros[[#This Row],[Salário Base]],0)</f>
        <v>0</v>
      </c>
      <c r="N256" s="254">
        <v>0</v>
      </c>
      <c r="O256" s="254">
        <f>IF(ISNUMBER(SEARCH("TECNOLOGIA DA INFORMACAO",tabParametros[[#This Row],[Função]],1)),0.056*tabParametros[[#This Row],[Salário Base]],0)</f>
        <v>0</v>
      </c>
      <c r="P256" s="232">
        <f>IF(tabParametros[[#This Row],[Função]]="Operador de Midia Audiovisual - 150 h",tabParametros[[#This Row],[Salário Base]]/150*50*30%,IF(tabParametros[[#This Row],[Função]]="Supervisor de Manutencao de Veiculos II - 220 h",12%*tabParametros[[#This Row],[Salário Base]],0))</f>
        <v>0</v>
      </c>
      <c r="Q256" s="233">
        <f>VLOOKUP(tabParametros[[#Headers],[INSS]],tabImpostosNacionais[],2,0)</f>
        <v>0.2</v>
      </c>
      <c r="R256" s="233">
        <f>VLOOKUP(tabParametros[[#Headers],[SESI OU SESC]],tabImpostosNacionais[],2,0)</f>
        <v>1.4999999999999999E-2</v>
      </c>
      <c r="S256" s="233">
        <f>VLOOKUP(tabParametros[[#Headers],[SENAI OU SENAC]],tabImpostosNacionais[],2,0)</f>
        <v>0.01</v>
      </c>
      <c r="T256" s="233">
        <f>VLOOKUP(tabParametros[[#Headers],[INCRA]],tabImpostosNacionais[],2,0)</f>
        <v>2E-3</v>
      </c>
      <c r="U256" s="233">
        <f>VLOOKUP(tabParametros[[#Headers],[Salário Educação]],tabImpostosNacionais[],2,0)</f>
        <v>2.5000000000000001E-2</v>
      </c>
      <c r="V256" s="233">
        <f>VLOOKUP(tabParametros[[#Headers],[FGTS]],tabImpostosNacionais[],2,0)</f>
        <v>0.08</v>
      </c>
      <c r="W256" s="233">
        <f>VLOOKUP(tabParametros[[#Headers],[RAT Ajustado]],tabImpostosNacionais[],2,0)</f>
        <v>0.04</v>
      </c>
      <c r="X256" s="233">
        <f>VLOOKUP(tabParametros[[#Headers],[SEBRAE]],tabImpostosNacionais[],2,0)</f>
        <v>6.0000000000000001E-3</v>
      </c>
      <c r="Y256" s="233">
        <f t="shared" si="33"/>
        <v>8.3333333333333329E-2</v>
      </c>
      <c r="Z256" s="233">
        <f t="shared" si="34"/>
        <v>0.1111111111111111</v>
      </c>
      <c r="AA256" s="232">
        <f>VLOOKUP(tabParametros[[#This Row],[Comarca]],tabComarca[],5,0)</f>
        <v>6.4</v>
      </c>
      <c r="AB256" s="232">
        <f>VLOOKUP(tabParametros[[#This Row],[CCT DA CATEGORIA]],tabSindicatos[],6,0)</f>
        <v>29.15</v>
      </c>
      <c r="AC256" s="232">
        <f>VLOOKUP(tabParametros[[#This Row],[CCT DA CATEGORIA]],tabSindicatos[],7,0)</f>
        <v>0</v>
      </c>
      <c r="AD256" s="232" cm="1">
        <f t="array" ref="AD25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56" s="232">
        <f>VLOOKUP(tabParametros[[#This Row],[CCT DA CATEGORIA]],tabSindicatos[],9,0)</f>
        <v>0</v>
      </c>
      <c r="AF256" s="232">
        <f>VLOOKUP(tabParametros[[#This Row],[CCT DA CATEGORIA]],tabSindicatos[],10,0)</f>
        <v>0</v>
      </c>
      <c r="AG256" s="234">
        <f>VLOOKUP(tabParametros[[#Headers],[Seguro de Vida]],tabOutrosCustos[],3,0)</f>
        <v>3.36</v>
      </c>
      <c r="AH256" s="234">
        <f>IF(ISNUMBER(SEARCH("MOTORISTA",tabParametros[[#This Row],[Função]],1)),VLOOKUP("MOTORISTAS",tabDiarias[],2,0),IF(tabParametros[[#This Row],[Comarca]]="Belo Horizonte",VLOOKUP("APOIO",tabDiarias[],2,0),0))</f>
        <v>0</v>
      </c>
      <c r="AI256" s="233">
        <f t="shared" si="35"/>
        <v>7.011766975308642E-3</v>
      </c>
      <c r="AJ256" s="235">
        <f>tabParametros[[#This Row],[FGTS]]*tabParametros[[#This Row],[Aviso Prévio Indenizado (API) e Reflexo do Aviso Prévio Indenizado]]</f>
        <v>5.609413580246914E-4</v>
      </c>
      <c r="AK256" s="235">
        <f>tabParametros[[#This Row],[FGTS]]*tabParametros[[#This Row],[Aviso Prévio Indenizado (API) e Reflexo do Aviso Prévio Indenizado]]*40%</f>
        <v>2.2437654320987658E-4</v>
      </c>
      <c r="AL256" s="233">
        <f t="shared" si="36"/>
        <v>3.5000000000000005E-3</v>
      </c>
      <c r="AM256" s="233">
        <f>tabParametros[[#This Row],[Aviso Prévio Trabalhado - APT]]*SUM(tabParametros[[#This Row],[INSS]:[SEBRAE]])</f>
        <v>1.3230000000000004E-3</v>
      </c>
      <c r="AN256" s="233">
        <f t="shared" si="37"/>
        <v>3.0577777777777773E-2</v>
      </c>
      <c r="AO256" s="233">
        <f t="shared" si="38"/>
        <v>8.3333333333333339E-4</v>
      </c>
      <c r="AP256" s="233">
        <f t="shared" si="39"/>
        <v>8.4444444444444437E-3</v>
      </c>
      <c r="AQ256" s="233">
        <f t="shared" si="40"/>
        <v>2.0277777777777777E-3</v>
      </c>
      <c r="AR256" s="233">
        <f t="shared" si="41"/>
        <v>1.7083333333333333E-4</v>
      </c>
      <c r="AS256" s="233">
        <f t="shared" si="42"/>
        <v>2.0833333333333335E-4</v>
      </c>
      <c r="AT256" s="233">
        <f t="shared" si="43"/>
        <v>1.2962962962962963E-3</v>
      </c>
      <c r="AU256" s="235">
        <f>SUM(tabParametros[[#This Row],[Ausência por Doença]:[Férias, Adicional de Férias e 13º  com empregada em gozo de Licença Maternidade]])*SUM(tabParametros[[#This Row],[INSS]:[SEBRAE]])</f>
        <v>4.5918250000000008E-3</v>
      </c>
      <c r="AV256" s="254">
        <f>IF(tabParametros[[#This Row],[Função]]="Porteiro - 220 h",SUM(tabParametros[[#This Row],[Salário Base]:[Adicional de Acúmulo de função]])/220*20*1.5,IF(ISNUMBER(SEARCH("12 x 36",tabParametros[[#This Row],[Função]],1)),SUM(tabParametros[[#This Row],[Salário Base]:[Adicional de Acúmulo de função]])/210*15.5*1.5,0))</f>
        <v>0</v>
      </c>
      <c r="AW256" s="232">
        <f>IF(tabParametros[[#This Row],[Vagas contratadas]]&gt;0,(SUM(tabParametros[[#This Row],[Salário Base]:[Adicional de Acúmulo de função]])*30%+SUM(tabParametros[[#This Row],[Vale - Alimentação]:[Seguro de Vida]]))/tabParametros[[#This Row],[Vagas contratadas]]*tabParametros[[#This Row],[Vagas suspensas]],0)</f>
        <v>0</v>
      </c>
      <c r="AX256" s="232">
        <f>SUMIF(tabUniformes[Cargo],tabParametros[[#This Row],[Função]],tabUniformes[Valor unit. Mensal])</f>
        <v>56.141713661989918</v>
      </c>
      <c r="AY25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6" s="232">
        <v>0</v>
      </c>
      <c r="BC256" s="234" t="e">
        <f ca="1">VLOOKUP(tabParametros[[#Headers],[Custos Indiretos]],tabOutrosCustos[],3,0)</f>
        <v>#NAME?</v>
      </c>
      <c r="BD256" s="234" t="e">
        <f ca="1">VLOOKUP(tabParametros[[#Headers],[Lucro]],tabOutrosCustos[],3,0)</f>
        <v>#NAME?</v>
      </c>
      <c r="BE256" s="233">
        <f>VLOOKUP(tabParametros[[#Headers],[COFINS]],tabImpostosNacionais[],2,0)</f>
        <v>7.5999999999999998E-2</v>
      </c>
      <c r="BF256" s="233">
        <f>VLOOKUP(tabParametros[[#Headers],[PIS]],tabImpostosNacionais[],2,0)</f>
        <v>1.6500000000000001E-2</v>
      </c>
      <c r="BG256" s="233">
        <f>VLOOKUP(tabParametros[[#This Row],[Comarca]],tabComarca[],4,0)</f>
        <v>0.05</v>
      </c>
      <c r="BH256" s="236">
        <f>VLOOKUP(tabParametros[[#This Row],[CCT DA CATEGORIA]],tabSindicatos[],11,0)</f>
        <v>45658</v>
      </c>
      <c r="BI256" s="282" t="str">
        <f>VLOOKUP(tabParametros[[#This Row],[CCT DA CATEGORIA]],tabSindicatos[],12,0)</f>
        <v>-</v>
      </c>
      <c r="BJ256" s="285" t="str">
        <f>VLOOKUP(tabParametros[[#This Row],[CCT DA CATEGORIA]],tabSindicatos[],13,0)</f>
        <v>-</v>
      </c>
    </row>
    <row r="257" spans="1:62">
      <c r="A257" s="231" t="s">
        <v>1678</v>
      </c>
      <c r="B257" s="197" t="s">
        <v>1188</v>
      </c>
      <c r="C257" s="197" t="s">
        <v>274</v>
      </c>
      <c r="D257" s="197" t="str">
        <f>VLOOKUP(tabParametros[[#This Row],[Código do Posto]],tabPostos[],4,0)</f>
        <v>Rodoviarios de Pocos de Caldas + SEAC-MG</v>
      </c>
      <c r="E257" s="282" t="str">
        <f>VLOOKUP(tabParametros[[#This Row],[Código do Posto]],tabPostos[],5,0)</f>
        <v>Apoio</v>
      </c>
      <c r="F257" s="282" t="str">
        <f>VLOOKUP(tabParametros[[#This Row],[Código do Posto]],tabPostos[],6,0)</f>
        <v>PGJ</v>
      </c>
      <c r="G257" s="282">
        <f>VLOOKUP(tabParametros[[#This Row],[Código do Posto]],tabPostos[],7,0)</f>
        <v>1</v>
      </c>
      <c r="H257" s="282">
        <f>VLOOKUP(tabParametros[[#This Row],[Código do Posto]],tabPostos[],8,0)</f>
        <v>0</v>
      </c>
      <c r="I257" s="232">
        <f>VLOOKUP(tabParametros[[#This Row],[Código do Posto]],tabPostos[],9,0)</f>
        <v>4599.5952808034681</v>
      </c>
      <c r="J257" s="232">
        <f>IF(ISNUMBER(SEARCH("Eletricista",tabParametros[[#This Row],[Função]],1)),0.3*tabParametros[[#This Row],[Salário Base]],0)</f>
        <v>0</v>
      </c>
      <c r="K25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7" s="232">
        <f>IF(AND(ISNUMBER(SEARCH("Noturno",tabParametros[[#This Row],[Função]],1)),tabParametros[[#This Row],[Comarca]]&lt;&gt;"Juiz de Fora"),tabParametros[[#This Row],[Salário Base]]/210*0.39*7*15.5,IF(ISNUMBER(SEARCH("Noturno",tabParametros[[#This Row],[Função]],1)),tabParametros[[#This Row],[Salário Base]]/210*0.2*8*15.5,0))</f>
        <v>0</v>
      </c>
      <c r="M257" s="232">
        <f>IF(ISNUMBER(SEARCH("Motorista II",tabParametros[[#This Row],[Função]],1)),0.3022*tabParametros[[#This Row],[Salário Base]],0)</f>
        <v>0</v>
      </c>
      <c r="N257" s="254">
        <v>0</v>
      </c>
      <c r="O257" s="254">
        <f>IF(ISNUMBER(SEARCH("TECNOLOGIA DA INFORMACAO",tabParametros[[#This Row],[Função]],1)),0.056*tabParametros[[#This Row],[Salário Base]],0)</f>
        <v>0</v>
      </c>
      <c r="P257" s="232">
        <f>IF(tabParametros[[#This Row],[Função]]="Operador de Midia Audiovisual - 150 h",tabParametros[[#This Row],[Salário Base]]/150*50*30%,IF(tabParametros[[#This Row],[Função]]="Supervisor de Manutencao de Veiculos II - 220 h",12%*tabParametros[[#This Row],[Salário Base]],0))</f>
        <v>0</v>
      </c>
      <c r="Q257" s="233">
        <f>VLOOKUP(tabParametros[[#Headers],[INSS]],tabImpostosNacionais[],2,0)</f>
        <v>0.2</v>
      </c>
      <c r="R257" s="233">
        <f>VLOOKUP(tabParametros[[#Headers],[SESI OU SESC]],tabImpostosNacionais[],2,0)</f>
        <v>1.4999999999999999E-2</v>
      </c>
      <c r="S257" s="233">
        <f>VLOOKUP(tabParametros[[#Headers],[SENAI OU SENAC]],tabImpostosNacionais[],2,0)</f>
        <v>0.01</v>
      </c>
      <c r="T257" s="233">
        <f>VLOOKUP(tabParametros[[#Headers],[INCRA]],tabImpostosNacionais[],2,0)</f>
        <v>2E-3</v>
      </c>
      <c r="U257" s="233">
        <f>VLOOKUP(tabParametros[[#Headers],[Salário Educação]],tabImpostosNacionais[],2,0)</f>
        <v>2.5000000000000001E-2</v>
      </c>
      <c r="V257" s="233">
        <f>VLOOKUP(tabParametros[[#Headers],[FGTS]],tabImpostosNacionais[],2,0)</f>
        <v>0.08</v>
      </c>
      <c r="W257" s="233">
        <f>VLOOKUP(tabParametros[[#Headers],[RAT Ajustado]],tabImpostosNacionais[],2,0)</f>
        <v>0.04</v>
      </c>
      <c r="X257" s="233">
        <f>VLOOKUP(tabParametros[[#Headers],[SEBRAE]],tabImpostosNacionais[],2,0)</f>
        <v>6.0000000000000001E-3</v>
      </c>
      <c r="Y257" s="233">
        <f t="shared" si="33"/>
        <v>8.3333333333333329E-2</v>
      </c>
      <c r="Z257" s="233">
        <f t="shared" si="34"/>
        <v>0.1111111111111111</v>
      </c>
      <c r="AA257" s="232">
        <f>VLOOKUP(tabParametros[[#This Row],[Comarca]],tabComarca[],5,0)</f>
        <v>6.4</v>
      </c>
      <c r="AB257" s="232">
        <f>VLOOKUP(tabParametros[[#This Row],[CCT DA CATEGORIA]],tabSindicatos[],6,0)</f>
        <v>28.97</v>
      </c>
      <c r="AC257" s="232">
        <f>VLOOKUP(tabParametros[[#This Row],[CCT DA CATEGORIA]],tabSindicatos[],7,0)</f>
        <v>0</v>
      </c>
      <c r="AD257" s="232" cm="1">
        <f t="array" ref="AD25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57" s="232">
        <f>VLOOKUP(tabParametros[[#This Row],[CCT DA CATEGORIA]],tabSindicatos[],9,0)</f>
        <v>0</v>
      </c>
      <c r="AF257" s="232">
        <f>VLOOKUP(tabParametros[[#This Row],[CCT DA CATEGORIA]],tabSindicatos[],10,0)</f>
        <v>0</v>
      </c>
      <c r="AG257" s="234">
        <f>VLOOKUP(tabParametros[[#Headers],[Seguro de Vida]],tabOutrosCustos[],3,0)</f>
        <v>3.36</v>
      </c>
      <c r="AH257" s="234">
        <f>IF(ISNUMBER(SEARCH("MOTORISTA",tabParametros[[#This Row],[Função]],1)),VLOOKUP("MOTORISTAS",tabDiarias[],2,0),IF(tabParametros[[#This Row],[Comarca]]="Belo Horizonte",VLOOKUP("APOIO",tabDiarias[],2,0),0))</f>
        <v>662.42</v>
      </c>
      <c r="AI257" s="233">
        <f t="shared" si="35"/>
        <v>7.011766975308642E-3</v>
      </c>
      <c r="AJ257" s="235">
        <f>tabParametros[[#This Row],[FGTS]]*tabParametros[[#This Row],[Aviso Prévio Indenizado (API) e Reflexo do Aviso Prévio Indenizado]]</f>
        <v>5.609413580246914E-4</v>
      </c>
      <c r="AK257" s="235">
        <f>tabParametros[[#This Row],[FGTS]]*tabParametros[[#This Row],[Aviso Prévio Indenizado (API) e Reflexo do Aviso Prévio Indenizado]]*40%</f>
        <v>2.2437654320987658E-4</v>
      </c>
      <c r="AL257" s="233">
        <f t="shared" si="36"/>
        <v>3.5000000000000005E-3</v>
      </c>
      <c r="AM257" s="233">
        <f>tabParametros[[#This Row],[Aviso Prévio Trabalhado - APT]]*SUM(tabParametros[[#This Row],[INSS]:[SEBRAE]])</f>
        <v>1.3230000000000004E-3</v>
      </c>
      <c r="AN257" s="233">
        <f t="shared" si="37"/>
        <v>3.0577777777777773E-2</v>
      </c>
      <c r="AO257" s="233">
        <f t="shared" si="38"/>
        <v>8.3333333333333339E-4</v>
      </c>
      <c r="AP257" s="233">
        <f t="shared" si="39"/>
        <v>8.4444444444444437E-3</v>
      </c>
      <c r="AQ257" s="233">
        <f t="shared" si="40"/>
        <v>2.0277777777777777E-3</v>
      </c>
      <c r="AR257" s="233">
        <f t="shared" si="41"/>
        <v>1.7083333333333333E-4</v>
      </c>
      <c r="AS257" s="233">
        <f t="shared" si="42"/>
        <v>2.0833333333333335E-4</v>
      </c>
      <c r="AT257" s="233">
        <f t="shared" si="43"/>
        <v>1.2962962962962963E-3</v>
      </c>
      <c r="AU257" s="235">
        <f>SUM(tabParametros[[#This Row],[Ausência por Doença]:[Férias, Adicional de Férias e 13º  com empregada em gozo de Licença Maternidade]])*SUM(tabParametros[[#This Row],[INSS]:[SEBRAE]])</f>
        <v>4.5918250000000008E-3</v>
      </c>
      <c r="AV257" s="254">
        <f>IF(tabParametros[[#This Row],[Função]]="Porteiro - 220 h",SUM(tabParametros[[#This Row],[Salário Base]:[Adicional de Acúmulo de função]])/220*20*1.5,IF(ISNUMBER(SEARCH("12 x 36",tabParametros[[#This Row],[Função]],1)),SUM(tabParametros[[#This Row],[Salário Base]:[Adicional de Acúmulo de função]])/210*15.5*1.5,0))</f>
        <v>0</v>
      </c>
      <c r="AW257" s="232">
        <f>IF(tabParametros[[#This Row],[Vagas contratadas]]&gt;0,(SUM(tabParametros[[#This Row],[Salário Base]:[Adicional de Acúmulo de função]])*30%+SUM(tabParametros[[#This Row],[Vale - Alimentação]:[Seguro de Vida]]))/tabParametros[[#This Row],[Vagas contratadas]]*tabParametros[[#This Row],[Vagas suspensas]],0)</f>
        <v>0</v>
      </c>
      <c r="AX257" s="232">
        <f>SUMIF(tabUniformes[Cargo],tabParametros[[#This Row],[Função]],tabUniformes[Valor unit. Mensal])</f>
        <v>92.100763771570698</v>
      </c>
      <c r="AY25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7" s="232">
        <v>0</v>
      </c>
      <c r="BC257" s="234" t="e">
        <f ca="1">VLOOKUP(tabParametros[[#Headers],[Custos Indiretos]],tabOutrosCustos[],3,0)</f>
        <v>#NAME?</v>
      </c>
      <c r="BD257" s="234" t="e">
        <f ca="1">VLOOKUP(tabParametros[[#Headers],[Lucro]],tabOutrosCustos[],3,0)</f>
        <v>#NAME?</v>
      </c>
      <c r="BE257" s="233">
        <f>VLOOKUP(tabParametros[[#Headers],[COFINS]],tabImpostosNacionais[],2,0)</f>
        <v>7.5999999999999998E-2</v>
      </c>
      <c r="BF257" s="233">
        <f>VLOOKUP(tabParametros[[#Headers],[PIS]],tabImpostosNacionais[],2,0)</f>
        <v>1.6500000000000001E-2</v>
      </c>
      <c r="BG257" s="233">
        <f>VLOOKUP(tabParametros[[#This Row],[Comarca]],tabComarca[],4,0)</f>
        <v>0.05</v>
      </c>
      <c r="BH257" s="236">
        <f>VLOOKUP(tabParametros[[#This Row],[CCT DA CATEGORIA]],tabSindicatos[],11,0)</f>
        <v>45658</v>
      </c>
      <c r="BI257" s="282" t="str">
        <f>VLOOKUP(tabParametros[[#This Row],[CCT DA CATEGORIA]],tabSindicatos[],12,0)</f>
        <v>-</v>
      </c>
      <c r="BJ257" s="285" t="str">
        <f>VLOOKUP(tabParametros[[#This Row],[CCT DA CATEGORIA]],tabSindicatos[],13,0)</f>
        <v>-</v>
      </c>
    </row>
    <row r="258" spans="1:62">
      <c r="A258" s="231" t="s">
        <v>1679</v>
      </c>
      <c r="B258" s="197" t="s">
        <v>1188</v>
      </c>
      <c r="C258" s="197" t="s">
        <v>274</v>
      </c>
      <c r="D258" s="197" t="str">
        <f>VLOOKUP(tabParametros[[#This Row],[Código do Posto]],tabPostos[],4,0)</f>
        <v>Rodoviarios de Pocos de Caldas + SEAC-MG</v>
      </c>
      <c r="E258" s="282" t="str">
        <f>VLOOKUP(tabParametros[[#This Row],[Código do Posto]],tabPostos[],5,0)</f>
        <v>Apoio</v>
      </c>
      <c r="F258" s="282" t="str">
        <f>VLOOKUP(tabParametros[[#This Row],[Código do Posto]],tabPostos[],6,0)</f>
        <v>FEPDC</v>
      </c>
      <c r="G258" s="282">
        <f>VLOOKUP(tabParametros[[#This Row],[Código do Posto]],tabPostos[],7,0)</f>
        <v>1</v>
      </c>
      <c r="H258" s="282">
        <f>VLOOKUP(tabParametros[[#This Row],[Código do Posto]],tabPostos[],8,0)</f>
        <v>0</v>
      </c>
      <c r="I258" s="232">
        <f>VLOOKUP(tabParametros[[#This Row],[Código do Posto]],tabPostos[],9,0)</f>
        <v>4599.5952808034681</v>
      </c>
      <c r="J258" s="232">
        <f>IF(ISNUMBER(SEARCH("Eletricista",tabParametros[[#This Row],[Função]],1)),0.3*tabParametros[[#This Row],[Salário Base]],0)</f>
        <v>0</v>
      </c>
      <c r="K25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8" s="232">
        <f>IF(AND(ISNUMBER(SEARCH("Noturno",tabParametros[[#This Row],[Função]],1)),tabParametros[[#This Row],[Comarca]]&lt;&gt;"Juiz de Fora"),tabParametros[[#This Row],[Salário Base]]/210*0.39*7*15.5,IF(ISNUMBER(SEARCH("Noturno",tabParametros[[#This Row],[Função]],1)),tabParametros[[#This Row],[Salário Base]]/210*0.2*8*15.5,0))</f>
        <v>0</v>
      </c>
      <c r="M258" s="232">
        <f>IF(ISNUMBER(SEARCH("Motorista II",tabParametros[[#This Row],[Função]],1)),0.3022*tabParametros[[#This Row],[Salário Base]],0)</f>
        <v>0</v>
      </c>
      <c r="N258" s="254">
        <v>0</v>
      </c>
      <c r="O258" s="254">
        <f>IF(ISNUMBER(SEARCH("TECNOLOGIA DA INFORMACAO",tabParametros[[#This Row],[Função]],1)),0.056*tabParametros[[#This Row],[Salário Base]],0)</f>
        <v>0</v>
      </c>
      <c r="P258" s="232">
        <f>IF(tabParametros[[#This Row],[Função]]="Operador de Midia Audiovisual - 150 h",tabParametros[[#This Row],[Salário Base]]/150*50*30%,IF(tabParametros[[#This Row],[Função]]="Supervisor de Manutencao de Veiculos II - 220 h",12%*tabParametros[[#This Row],[Salário Base]],0))</f>
        <v>0</v>
      </c>
      <c r="Q258" s="233">
        <f>VLOOKUP(tabParametros[[#Headers],[INSS]],tabImpostosNacionais[],2,0)</f>
        <v>0.2</v>
      </c>
      <c r="R258" s="233">
        <f>VLOOKUP(tabParametros[[#Headers],[SESI OU SESC]],tabImpostosNacionais[],2,0)</f>
        <v>1.4999999999999999E-2</v>
      </c>
      <c r="S258" s="233">
        <f>VLOOKUP(tabParametros[[#Headers],[SENAI OU SENAC]],tabImpostosNacionais[],2,0)</f>
        <v>0.01</v>
      </c>
      <c r="T258" s="233">
        <f>VLOOKUP(tabParametros[[#Headers],[INCRA]],tabImpostosNacionais[],2,0)</f>
        <v>2E-3</v>
      </c>
      <c r="U258" s="233">
        <f>VLOOKUP(tabParametros[[#Headers],[Salário Educação]],tabImpostosNacionais[],2,0)</f>
        <v>2.5000000000000001E-2</v>
      </c>
      <c r="V258" s="233">
        <f>VLOOKUP(tabParametros[[#Headers],[FGTS]],tabImpostosNacionais[],2,0)</f>
        <v>0.08</v>
      </c>
      <c r="W258" s="233">
        <f>VLOOKUP(tabParametros[[#Headers],[RAT Ajustado]],tabImpostosNacionais[],2,0)</f>
        <v>0.04</v>
      </c>
      <c r="X258" s="233">
        <f>VLOOKUP(tabParametros[[#Headers],[SEBRAE]],tabImpostosNacionais[],2,0)</f>
        <v>6.0000000000000001E-3</v>
      </c>
      <c r="Y258" s="233">
        <f t="shared" si="33"/>
        <v>8.3333333333333329E-2</v>
      </c>
      <c r="Z258" s="233">
        <f t="shared" si="34"/>
        <v>0.1111111111111111</v>
      </c>
      <c r="AA258" s="232">
        <f>VLOOKUP(tabParametros[[#This Row],[Comarca]],tabComarca[],5,0)</f>
        <v>6.4</v>
      </c>
      <c r="AB258" s="232">
        <f>VLOOKUP(tabParametros[[#This Row],[CCT DA CATEGORIA]],tabSindicatos[],6,0)</f>
        <v>28.97</v>
      </c>
      <c r="AC258" s="232">
        <f>VLOOKUP(tabParametros[[#This Row],[CCT DA CATEGORIA]],tabSindicatos[],7,0)</f>
        <v>0</v>
      </c>
      <c r="AD258" s="232" cm="1">
        <f t="array" ref="AD25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58" s="232">
        <f>VLOOKUP(tabParametros[[#This Row],[CCT DA CATEGORIA]],tabSindicatos[],9,0)</f>
        <v>0</v>
      </c>
      <c r="AF258" s="232">
        <f>VLOOKUP(tabParametros[[#This Row],[CCT DA CATEGORIA]],tabSindicatos[],10,0)</f>
        <v>0</v>
      </c>
      <c r="AG258" s="234">
        <f>VLOOKUP(tabParametros[[#Headers],[Seguro de Vida]],tabOutrosCustos[],3,0)</f>
        <v>3.36</v>
      </c>
      <c r="AH258" s="234">
        <f>IF(ISNUMBER(SEARCH("MOTORISTA",tabParametros[[#This Row],[Função]],1)),VLOOKUP("MOTORISTAS",tabDiarias[],2,0),IF(tabParametros[[#This Row],[Comarca]]="Belo Horizonte",VLOOKUP("APOIO",tabDiarias[],2,0),0))</f>
        <v>662.42</v>
      </c>
      <c r="AI258" s="233">
        <f t="shared" si="35"/>
        <v>7.011766975308642E-3</v>
      </c>
      <c r="AJ258" s="235">
        <f>tabParametros[[#This Row],[FGTS]]*tabParametros[[#This Row],[Aviso Prévio Indenizado (API) e Reflexo do Aviso Prévio Indenizado]]</f>
        <v>5.609413580246914E-4</v>
      </c>
      <c r="AK258" s="235">
        <f>tabParametros[[#This Row],[FGTS]]*tabParametros[[#This Row],[Aviso Prévio Indenizado (API) e Reflexo do Aviso Prévio Indenizado]]*40%</f>
        <v>2.2437654320987658E-4</v>
      </c>
      <c r="AL258" s="233">
        <f t="shared" si="36"/>
        <v>3.5000000000000005E-3</v>
      </c>
      <c r="AM258" s="233">
        <f>tabParametros[[#This Row],[Aviso Prévio Trabalhado - APT]]*SUM(tabParametros[[#This Row],[INSS]:[SEBRAE]])</f>
        <v>1.3230000000000004E-3</v>
      </c>
      <c r="AN258" s="233">
        <f t="shared" si="37"/>
        <v>3.0577777777777773E-2</v>
      </c>
      <c r="AO258" s="233">
        <f t="shared" si="38"/>
        <v>8.3333333333333339E-4</v>
      </c>
      <c r="AP258" s="233">
        <f t="shared" si="39"/>
        <v>8.4444444444444437E-3</v>
      </c>
      <c r="AQ258" s="233">
        <f t="shared" si="40"/>
        <v>2.0277777777777777E-3</v>
      </c>
      <c r="AR258" s="233">
        <f t="shared" si="41"/>
        <v>1.7083333333333333E-4</v>
      </c>
      <c r="AS258" s="233">
        <f t="shared" si="42"/>
        <v>2.0833333333333335E-4</v>
      </c>
      <c r="AT258" s="233">
        <f t="shared" si="43"/>
        <v>1.2962962962962963E-3</v>
      </c>
      <c r="AU258" s="235">
        <f>SUM(tabParametros[[#This Row],[Ausência por Doença]:[Férias, Adicional de Férias e 13º  com empregada em gozo de Licença Maternidade]])*SUM(tabParametros[[#This Row],[INSS]:[SEBRAE]])</f>
        <v>4.5918250000000008E-3</v>
      </c>
      <c r="AV258" s="254">
        <f>IF(tabParametros[[#This Row],[Função]]="Porteiro - 220 h",SUM(tabParametros[[#This Row],[Salário Base]:[Adicional de Acúmulo de função]])/220*20*1.5,IF(ISNUMBER(SEARCH("12 x 36",tabParametros[[#This Row],[Função]],1)),SUM(tabParametros[[#This Row],[Salário Base]:[Adicional de Acúmulo de função]])/210*15.5*1.5,0))</f>
        <v>0</v>
      </c>
      <c r="AW258" s="232">
        <f>IF(tabParametros[[#This Row],[Vagas contratadas]]&gt;0,(SUM(tabParametros[[#This Row],[Salário Base]:[Adicional de Acúmulo de função]])*30%+SUM(tabParametros[[#This Row],[Vale - Alimentação]:[Seguro de Vida]]))/tabParametros[[#This Row],[Vagas contratadas]]*tabParametros[[#This Row],[Vagas suspensas]],0)</f>
        <v>0</v>
      </c>
      <c r="AX258" s="232">
        <f>SUMIF(tabUniformes[Cargo],tabParametros[[#This Row],[Função]],tabUniformes[Valor unit. Mensal])</f>
        <v>92.100763771570698</v>
      </c>
      <c r="AY25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8" s="232">
        <v>0</v>
      </c>
      <c r="BC258" s="234" t="e">
        <f ca="1">VLOOKUP(tabParametros[[#Headers],[Custos Indiretos]],tabOutrosCustos[],3,0)</f>
        <v>#NAME?</v>
      </c>
      <c r="BD258" s="234" t="e">
        <f ca="1">VLOOKUP(tabParametros[[#Headers],[Lucro]],tabOutrosCustos[],3,0)</f>
        <v>#NAME?</v>
      </c>
      <c r="BE258" s="233">
        <f>VLOOKUP(tabParametros[[#Headers],[COFINS]],tabImpostosNacionais[],2,0)</f>
        <v>7.5999999999999998E-2</v>
      </c>
      <c r="BF258" s="233">
        <f>VLOOKUP(tabParametros[[#Headers],[PIS]],tabImpostosNacionais[],2,0)</f>
        <v>1.6500000000000001E-2</v>
      </c>
      <c r="BG258" s="233">
        <f>VLOOKUP(tabParametros[[#This Row],[Comarca]],tabComarca[],4,0)</f>
        <v>0.05</v>
      </c>
      <c r="BH258" s="236">
        <f>VLOOKUP(tabParametros[[#This Row],[CCT DA CATEGORIA]],tabSindicatos[],11,0)</f>
        <v>45658</v>
      </c>
      <c r="BI258" s="282" t="str">
        <f>VLOOKUP(tabParametros[[#This Row],[CCT DA CATEGORIA]],tabSindicatos[],12,0)</f>
        <v>-</v>
      </c>
      <c r="BJ258" s="285" t="str">
        <f>VLOOKUP(tabParametros[[#This Row],[CCT DA CATEGORIA]],tabSindicatos[],13,0)</f>
        <v>-</v>
      </c>
    </row>
    <row r="259" spans="1:62">
      <c r="A259" s="231" t="s">
        <v>1680</v>
      </c>
      <c r="B259" s="197" t="s">
        <v>1189</v>
      </c>
      <c r="C259" s="197" t="s">
        <v>314</v>
      </c>
      <c r="D259" s="197" t="str">
        <f>VLOOKUP(tabParametros[[#This Row],[Código do Posto]],tabPostos[],4,0)</f>
        <v>Curvelo</v>
      </c>
      <c r="E259" s="282" t="str">
        <f>VLOOKUP(tabParametros[[#This Row],[Código do Posto]],tabPostos[],5,0)</f>
        <v>Apoio</v>
      </c>
      <c r="F259" s="282" t="str">
        <f>VLOOKUP(tabParametros[[#This Row],[Código do Posto]],tabPostos[],6,0)</f>
        <v>PGJ</v>
      </c>
      <c r="G259" s="282">
        <f>VLOOKUP(tabParametros[[#This Row],[Código do Posto]],tabPostos[],7,0)</f>
        <v>1</v>
      </c>
      <c r="H259" s="282">
        <f>VLOOKUP(tabParametros[[#This Row],[Código do Posto]],tabPostos[],8,0)</f>
        <v>0</v>
      </c>
      <c r="I259" s="232">
        <f>VLOOKUP(tabParametros[[#This Row],[Código do Posto]],tabPostos[],9,0)</f>
        <v>1963.4110092077037</v>
      </c>
      <c r="J259" s="232">
        <f>IF(ISNUMBER(SEARCH("Eletricista",tabParametros[[#This Row],[Função]],1)),0.3*tabParametros[[#This Row],[Salário Base]],0)</f>
        <v>0</v>
      </c>
      <c r="K25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59" s="232">
        <f>IF(AND(ISNUMBER(SEARCH("Noturno",tabParametros[[#This Row],[Função]],1)),tabParametros[[#This Row],[Comarca]]&lt;&gt;"Juiz de Fora"),tabParametros[[#This Row],[Salário Base]]/210*0.39*7*15.5,IF(ISNUMBER(SEARCH("Noturno",tabParametros[[#This Row],[Função]],1)),tabParametros[[#This Row],[Salário Base]]/210*0.2*8*15.5,0))</f>
        <v>0</v>
      </c>
      <c r="M259" s="232">
        <f>IF(ISNUMBER(SEARCH("Motorista II",tabParametros[[#This Row],[Função]],1)),0.3022*tabParametros[[#This Row],[Salário Base]],0)</f>
        <v>0</v>
      </c>
      <c r="N259" s="254">
        <v>0</v>
      </c>
      <c r="O259" s="254">
        <f>IF(ISNUMBER(SEARCH("TECNOLOGIA DA INFORMACAO",tabParametros[[#This Row],[Função]],1)),0.056*tabParametros[[#This Row],[Salário Base]],0)</f>
        <v>0</v>
      </c>
      <c r="P259" s="232">
        <f>IF(tabParametros[[#This Row],[Função]]="Operador de Midia Audiovisual - 150 h",tabParametros[[#This Row],[Salário Base]]/150*50*30%,IF(tabParametros[[#This Row],[Função]]="Supervisor de Manutencao de Veiculos II - 220 h",12%*tabParametros[[#This Row],[Salário Base]],0))</f>
        <v>0</v>
      </c>
      <c r="Q259" s="233">
        <f>VLOOKUP(tabParametros[[#Headers],[INSS]],tabImpostosNacionais[],2,0)</f>
        <v>0.2</v>
      </c>
      <c r="R259" s="233">
        <f>VLOOKUP(tabParametros[[#Headers],[SESI OU SESC]],tabImpostosNacionais[],2,0)</f>
        <v>1.4999999999999999E-2</v>
      </c>
      <c r="S259" s="233">
        <f>VLOOKUP(tabParametros[[#Headers],[SENAI OU SENAC]],tabImpostosNacionais[],2,0)</f>
        <v>0.01</v>
      </c>
      <c r="T259" s="233">
        <f>VLOOKUP(tabParametros[[#Headers],[INCRA]],tabImpostosNacionais[],2,0)</f>
        <v>2E-3</v>
      </c>
      <c r="U259" s="233">
        <f>VLOOKUP(tabParametros[[#Headers],[Salário Educação]],tabImpostosNacionais[],2,0)</f>
        <v>2.5000000000000001E-2</v>
      </c>
      <c r="V259" s="233">
        <f>VLOOKUP(tabParametros[[#Headers],[FGTS]],tabImpostosNacionais[],2,0)</f>
        <v>0.08</v>
      </c>
      <c r="W259" s="233">
        <f>VLOOKUP(tabParametros[[#Headers],[RAT Ajustado]],tabImpostosNacionais[],2,0)</f>
        <v>0.04</v>
      </c>
      <c r="X259" s="233">
        <f>VLOOKUP(tabParametros[[#Headers],[SEBRAE]],tabImpostosNacionais[],2,0)</f>
        <v>6.0000000000000001E-3</v>
      </c>
      <c r="Y259" s="233">
        <f t="shared" si="33"/>
        <v>8.3333333333333329E-2</v>
      </c>
      <c r="Z259" s="233">
        <f t="shared" si="34"/>
        <v>0.1111111111111111</v>
      </c>
      <c r="AA259" s="232">
        <f>VLOOKUP(tabParametros[[#This Row],[Comarca]],tabComarca[],5,0)</f>
        <v>6.4</v>
      </c>
      <c r="AB259" s="232">
        <f>VLOOKUP(tabParametros[[#This Row],[CCT DA CATEGORIA]],tabSindicatos[],6,0)</f>
        <v>29.15</v>
      </c>
      <c r="AC259" s="232">
        <f>VLOOKUP(tabParametros[[#This Row],[CCT DA CATEGORIA]],tabSindicatos[],7,0)</f>
        <v>0</v>
      </c>
      <c r="AD259" s="232" cm="1">
        <f t="array" ref="AD25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59" s="232">
        <f>VLOOKUP(tabParametros[[#This Row],[CCT DA CATEGORIA]],tabSindicatos[],9,0)</f>
        <v>0</v>
      </c>
      <c r="AF259" s="232">
        <f>VLOOKUP(tabParametros[[#This Row],[CCT DA CATEGORIA]],tabSindicatos[],10,0)</f>
        <v>0</v>
      </c>
      <c r="AG259" s="234">
        <f>VLOOKUP(tabParametros[[#Headers],[Seguro de Vida]],tabOutrosCustos[],3,0)</f>
        <v>3.36</v>
      </c>
      <c r="AH259" s="234">
        <f>IF(ISNUMBER(SEARCH("MOTORISTA",tabParametros[[#This Row],[Função]],1)),VLOOKUP("MOTORISTAS",tabDiarias[],2,0),IF(tabParametros[[#This Row],[Comarca]]="Belo Horizonte",VLOOKUP("APOIO",tabDiarias[],2,0),0))</f>
        <v>0</v>
      </c>
      <c r="AI259" s="233">
        <f t="shared" si="35"/>
        <v>7.011766975308642E-3</v>
      </c>
      <c r="AJ259" s="235">
        <f>tabParametros[[#This Row],[FGTS]]*tabParametros[[#This Row],[Aviso Prévio Indenizado (API) e Reflexo do Aviso Prévio Indenizado]]</f>
        <v>5.609413580246914E-4</v>
      </c>
      <c r="AK259" s="235">
        <f>tabParametros[[#This Row],[FGTS]]*tabParametros[[#This Row],[Aviso Prévio Indenizado (API) e Reflexo do Aviso Prévio Indenizado]]*40%</f>
        <v>2.2437654320987658E-4</v>
      </c>
      <c r="AL259" s="233">
        <f t="shared" si="36"/>
        <v>3.5000000000000005E-3</v>
      </c>
      <c r="AM259" s="233">
        <f>tabParametros[[#This Row],[Aviso Prévio Trabalhado - APT]]*SUM(tabParametros[[#This Row],[INSS]:[SEBRAE]])</f>
        <v>1.3230000000000004E-3</v>
      </c>
      <c r="AN259" s="233">
        <f t="shared" si="37"/>
        <v>3.0577777777777773E-2</v>
      </c>
      <c r="AO259" s="233">
        <f t="shared" si="38"/>
        <v>8.3333333333333339E-4</v>
      </c>
      <c r="AP259" s="233">
        <f t="shared" si="39"/>
        <v>8.4444444444444437E-3</v>
      </c>
      <c r="AQ259" s="233">
        <f t="shared" si="40"/>
        <v>2.0277777777777777E-3</v>
      </c>
      <c r="AR259" s="233">
        <f t="shared" si="41"/>
        <v>1.7083333333333333E-4</v>
      </c>
      <c r="AS259" s="233">
        <f t="shared" si="42"/>
        <v>2.0833333333333335E-4</v>
      </c>
      <c r="AT259" s="233">
        <f t="shared" si="43"/>
        <v>1.2962962962962963E-3</v>
      </c>
      <c r="AU259" s="235">
        <f>SUM(tabParametros[[#This Row],[Ausência por Doença]:[Férias, Adicional de Férias e 13º  com empregada em gozo de Licença Maternidade]])*SUM(tabParametros[[#This Row],[INSS]:[SEBRAE]])</f>
        <v>4.5918250000000008E-3</v>
      </c>
      <c r="AV259"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59" s="232">
        <f>IF(tabParametros[[#This Row],[Vagas contratadas]]&gt;0,(SUM(tabParametros[[#This Row],[Salário Base]:[Adicional de Acúmulo de função]])*30%+SUM(tabParametros[[#This Row],[Vale - Alimentação]:[Seguro de Vida]]))/tabParametros[[#This Row],[Vagas contratadas]]*tabParametros[[#This Row],[Vagas suspensas]],0)</f>
        <v>0</v>
      </c>
      <c r="AX259" s="232">
        <f>SUMIF(tabUniformes[Cargo],tabParametros[[#This Row],[Função]],tabUniformes[Valor unit. Mensal])</f>
        <v>56.642978962543395</v>
      </c>
      <c r="AY25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5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5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59" s="232">
        <v>0</v>
      </c>
      <c r="BC259" s="234" t="e">
        <f ca="1">VLOOKUP(tabParametros[[#Headers],[Custos Indiretos]],tabOutrosCustos[],3,0)</f>
        <v>#NAME?</v>
      </c>
      <c r="BD259" s="234" t="e">
        <f ca="1">VLOOKUP(tabParametros[[#Headers],[Lucro]],tabOutrosCustos[],3,0)</f>
        <v>#NAME?</v>
      </c>
      <c r="BE259" s="233">
        <f>VLOOKUP(tabParametros[[#Headers],[COFINS]],tabImpostosNacionais[],2,0)</f>
        <v>7.5999999999999998E-2</v>
      </c>
      <c r="BF259" s="233">
        <f>VLOOKUP(tabParametros[[#Headers],[PIS]],tabImpostosNacionais[],2,0)</f>
        <v>1.6500000000000001E-2</v>
      </c>
      <c r="BG259" s="233">
        <f>VLOOKUP(tabParametros[[#This Row],[Comarca]],tabComarca[],4,0)</f>
        <v>0.02</v>
      </c>
      <c r="BH259" s="236">
        <f>VLOOKUP(tabParametros[[#This Row],[CCT DA CATEGORIA]],tabSindicatos[],11,0)</f>
        <v>45658</v>
      </c>
      <c r="BI259" s="282" t="str">
        <f>VLOOKUP(tabParametros[[#This Row],[CCT DA CATEGORIA]],tabSindicatos[],12,0)</f>
        <v>-</v>
      </c>
      <c r="BJ259" s="285" t="str">
        <f>VLOOKUP(tabParametros[[#This Row],[CCT DA CATEGORIA]],tabSindicatos[],13,0)</f>
        <v>-</v>
      </c>
    </row>
    <row r="260" spans="1:62">
      <c r="A260" s="231" t="s">
        <v>1504</v>
      </c>
      <c r="B260" s="197" t="s">
        <v>1190</v>
      </c>
      <c r="C260" s="197" t="s">
        <v>1367</v>
      </c>
      <c r="D260" s="197" t="str">
        <f>VLOOKUP(tabParametros[[#This Row],[Código do Posto]],tabPostos[],4,0)</f>
        <v>Regiao de Ouro Preto</v>
      </c>
      <c r="E260" s="282" t="str">
        <f>VLOOKUP(tabParametros[[#This Row],[Código do Posto]],tabPostos[],5,0)</f>
        <v>Apoio</v>
      </c>
      <c r="F260" s="282" t="str">
        <f>VLOOKUP(tabParametros[[#This Row],[Código do Posto]],tabPostos[],6,0)</f>
        <v>PGJ</v>
      </c>
      <c r="G260" s="282">
        <f>VLOOKUP(tabParametros[[#This Row],[Código do Posto]],tabPostos[],7,0)</f>
        <v>1</v>
      </c>
      <c r="H260" s="282">
        <f>VLOOKUP(tabParametros[[#This Row],[Código do Posto]],tabPostos[],8,0)</f>
        <v>0</v>
      </c>
      <c r="I260" s="232">
        <f>VLOOKUP(tabParametros[[#This Row],[Código do Posto]],tabPostos[],9,0)</f>
        <v>2087.4324447827344</v>
      </c>
      <c r="J260" s="232">
        <f>IF(ISNUMBER(SEARCH("Eletricista",tabParametros[[#This Row],[Função]],1)),0.3*tabParametros[[#This Row],[Salário Base]],0)</f>
        <v>0</v>
      </c>
      <c r="K26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260" s="232">
        <f>IF(AND(ISNUMBER(SEARCH("Noturno",tabParametros[[#This Row],[Função]],1)),tabParametros[[#This Row],[Comarca]]&lt;&gt;"Juiz de Fora"),tabParametros[[#This Row],[Salário Base]]/210*0.39*7*15.5,IF(ISNUMBER(SEARCH("Noturno",tabParametros[[#This Row],[Função]],1)),tabParametros[[#This Row],[Salário Base]]/210*0.2*8*15.5,0))</f>
        <v>0</v>
      </c>
      <c r="M260" s="232">
        <f>IF(ISNUMBER(SEARCH("Motorista II",tabParametros[[#This Row],[Função]],1)),0.3022*tabParametros[[#This Row],[Salário Base]],0)</f>
        <v>0</v>
      </c>
      <c r="N260" s="254">
        <v>0</v>
      </c>
      <c r="O260" s="254">
        <f>IF(ISNUMBER(SEARCH("TECNOLOGIA DA INFORMACAO",tabParametros[[#This Row],[Função]],1)),0.056*tabParametros[[#This Row],[Salário Base]],0)</f>
        <v>0</v>
      </c>
      <c r="P260" s="232">
        <f>IF(tabParametros[[#This Row],[Função]]="Operador de Midia Audiovisual - 150 h",tabParametros[[#This Row],[Salário Base]]/150*50*30%,IF(tabParametros[[#This Row],[Função]]="Supervisor de Manutencao de Veiculos II - 220 h",12%*tabParametros[[#This Row],[Salário Base]],0))</f>
        <v>0</v>
      </c>
      <c r="Q260" s="233">
        <f>VLOOKUP(tabParametros[[#Headers],[INSS]],tabImpostosNacionais[],2,0)</f>
        <v>0.2</v>
      </c>
      <c r="R260" s="233">
        <f>VLOOKUP(tabParametros[[#Headers],[SESI OU SESC]],tabImpostosNacionais[],2,0)</f>
        <v>1.4999999999999999E-2</v>
      </c>
      <c r="S260" s="233">
        <f>VLOOKUP(tabParametros[[#Headers],[SENAI OU SENAC]],tabImpostosNacionais[],2,0)</f>
        <v>0.01</v>
      </c>
      <c r="T260" s="233">
        <f>VLOOKUP(tabParametros[[#Headers],[INCRA]],tabImpostosNacionais[],2,0)</f>
        <v>2E-3</v>
      </c>
      <c r="U260" s="233">
        <f>VLOOKUP(tabParametros[[#Headers],[Salário Educação]],tabImpostosNacionais[],2,0)</f>
        <v>2.5000000000000001E-2</v>
      </c>
      <c r="V260" s="233">
        <f>VLOOKUP(tabParametros[[#Headers],[FGTS]],tabImpostosNacionais[],2,0)</f>
        <v>0.08</v>
      </c>
      <c r="W260" s="233">
        <f>VLOOKUP(tabParametros[[#Headers],[RAT Ajustado]],tabImpostosNacionais[],2,0)</f>
        <v>0.04</v>
      </c>
      <c r="X260" s="233">
        <f>VLOOKUP(tabParametros[[#Headers],[SEBRAE]],tabImpostosNacionais[],2,0)</f>
        <v>6.0000000000000001E-3</v>
      </c>
      <c r="Y260" s="233">
        <f t="shared" ref="Y260:Y323" si="44">1/12</f>
        <v>8.3333333333333329E-2</v>
      </c>
      <c r="Z260" s="233">
        <f t="shared" ref="Z260:Z323" si="45">1/12+1/12/3</f>
        <v>0.1111111111111111</v>
      </c>
      <c r="AA260" s="232">
        <f>VLOOKUP(tabParametros[[#This Row],[Comarca]],tabComarca[],5,0)</f>
        <v>6.4</v>
      </c>
      <c r="AB260" s="232">
        <f>VLOOKUP(tabParametros[[#This Row],[CCT DA CATEGORIA]],tabSindicatos[],6,0)</f>
        <v>29.15</v>
      </c>
      <c r="AC260" s="232">
        <f>VLOOKUP(tabParametros[[#This Row],[CCT DA CATEGORIA]],tabSindicatos[],7,0)</f>
        <v>0</v>
      </c>
      <c r="AD260" s="232" cm="1">
        <f t="array" ref="AD26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60" s="232">
        <f>VLOOKUP(tabParametros[[#This Row],[CCT DA CATEGORIA]],tabSindicatos[],9,0)</f>
        <v>0</v>
      </c>
      <c r="AF260" s="232">
        <f>VLOOKUP(tabParametros[[#This Row],[CCT DA CATEGORIA]],tabSindicatos[],10,0)</f>
        <v>0</v>
      </c>
      <c r="AG260" s="234">
        <f>VLOOKUP(tabParametros[[#Headers],[Seguro de Vida]],tabOutrosCustos[],3,0)</f>
        <v>3.36</v>
      </c>
      <c r="AH260" s="234">
        <f>IF(ISNUMBER(SEARCH("MOTORISTA",tabParametros[[#This Row],[Função]],1)),VLOOKUP("MOTORISTAS",tabDiarias[],2,0),IF(tabParametros[[#This Row],[Comarca]]="Belo Horizonte",VLOOKUP("APOIO",tabDiarias[],2,0),0))</f>
        <v>0</v>
      </c>
      <c r="AI260" s="233">
        <f t="shared" ref="AI260:AI323" si="46">(1/12*7%)+((1+1+1/3)*1/12)*(7%/12)+((1/12*0.05)+((1+1+1/3)*1/12)*(7%/12))/30*3*5/60</f>
        <v>7.011766975308642E-3</v>
      </c>
      <c r="AJ260" s="235">
        <f>tabParametros[[#This Row],[FGTS]]*tabParametros[[#This Row],[Aviso Prévio Indenizado (API) e Reflexo do Aviso Prévio Indenizado]]</f>
        <v>5.609413580246914E-4</v>
      </c>
      <c r="AK260" s="235">
        <f>tabParametros[[#This Row],[FGTS]]*tabParametros[[#This Row],[Aviso Prévio Indenizado (API) e Reflexo do Aviso Prévio Indenizado]]*40%</f>
        <v>2.2437654320987658E-4</v>
      </c>
      <c r="AL260" s="233">
        <f t="shared" ref="AL260:AL323" si="47">((1/30*7)*0.9)/60</f>
        <v>3.5000000000000005E-3</v>
      </c>
      <c r="AM260" s="233">
        <f>tabParametros[[#This Row],[Aviso Prévio Trabalhado - APT]]*SUM(tabParametros[[#This Row],[INSS]:[SEBRAE]])</f>
        <v>1.3230000000000004E-3</v>
      </c>
      <c r="AN260" s="233">
        <f t="shared" ref="AN260:AN323" si="48">0.4*0.08*0.8*(1+1/12+1/12+1/3/12)</f>
        <v>3.0577777777777773E-2</v>
      </c>
      <c r="AO260" s="233">
        <f t="shared" ref="AO260:AO323" si="49">(1*1%)/12</f>
        <v>8.3333333333333339E-4</v>
      </c>
      <c r="AP260" s="233">
        <f t="shared" ref="AP260:AP323" si="50">1/30*3.04/12</f>
        <v>8.4444444444444437E-3</v>
      </c>
      <c r="AQ260" s="233">
        <f t="shared" ref="AQ260:AQ323" si="51">0.73/30/12</f>
        <v>2.0277777777777777E-3</v>
      </c>
      <c r="AR260" s="233">
        <f t="shared" ref="AR260:AR323" si="52">5/30/12*1.23%</f>
        <v>1.7083333333333333E-4</v>
      </c>
      <c r="AS260" s="233">
        <f t="shared" ref="AS260:AS323" si="53">1/30*15*0.5%/12</f>
        <v>2.0833333333333335E-4</v>
      </c>
      <c r="AT260" s="233">
        <f t="shared" ref="AT260:AT323" si="54">((1/12+1/12+1/3/12)*4/12)*2%</f>
        <v>1.2962962962962963E-3</v>
      </c>
      <c r="AU260" s="235">
        <f>SUM(tabParametros[[#This Row],[Ausência por Doença]:[Férias, Adicional de Férias e 13º  com empregada em gozo de Licença Maternidade]])*SUM(tabParametros[[#This Row],[INSS]:[SEBRAE]])</f>
        <v>4.5918250000000008E-3</v>
      </c>
      <c r="AV260" s="254">
        <f>IF(tabParametros[[#This Row],[Função]]="Porteiro - 220 h",SUM(tabParametros[[#This Row],[Salário Base]:[Adicional de Acúmulo de função]])/220*20*1.5,IF(ISNUMBER(SEARCH("12 x 36",tabParametros[[#This Row],[Função]],1)),SUM(tabParametros[[#This Row],[Salário Base]:[Adicional de Acúmulo de função]])/210*15.5*1.5,0))</f>
        <v>0</v>
      </c>
      <c r="AW260" s="232">
        <f>IF(tabParametros[[#This Row],[Vagas contratadas]]&gt;0,(SUM(tabParametros[[#This Row],[Salário Base]:[Adicional de Acúmulo de função]])*30%+SUM(tabParametros[[#This Row],[Vale - Alimentação]:[Seguro de Vida]]))/tabParametros[[#This Row],[Vagas contratadas]]*tabParametros[[#This Row],[Vagas suspensas]],0)</f>
        <v>0</v>
      </c>
      <c r="AX260" s="232">
        <f>SUMIF(tabUniformes[Cargo],tabParametros[[#This Row],[Função]],tabUniformes[Valor unit. Mensal])</f>
        <v>253.83572732312174</v>
      </c>
      <c r="AY26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26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26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0" s="232">
        <v>0</v>
      </c>
      <c r="BC260" s="234" t="e">
        <f ca="1">VLOOKUP(tabParametros[[#Headers],[Custos Indiretos]],tabOutrosCustos[],3,0)</f>
        <v>#NAME?</v>
      </c>
      <c r="BD260" s="234" t="e">
        <f ca="1">VLOOKUP(tabParametros[[#Headers],[Lucro]],tabOutrosCustos[],3,0)</f>
        <v>#NAME?</v>
      </c>
      <c r="BE260" s="233">
        <f>VLOOKUP(tabParametros[[#Headers],[COFINS]],tabImpostosNacionais[],2,0)</f>
        <v>7.5999999999999998E-2</v>
      </c>
      <c r="BF260" s="233">
        <f>VLOOKUP(tabParametros[[#Headers],[PIS]],tabImpostosNacionais[],2,0)</f>
        <v>1.6500000000000001E-2</v>
      </c>
      <c r="BG260" s="233">
        <f>VLOOKUP(tabParametros[[#This Row],[Comarca]],tabComarca[],4,0)</f>
        <v>0.03</v>
      </c>
      <c r="BH260" s="236">
        <f>VLOOKUP(tabParametros[[#This Row],[CCT DA CATEGORIA]],tabSindicatos[],11,0)</f>
        <v>45658</v>
      </c>
      <c r="BI260" s="282" t="str">
        <f>VLOOKUP(tabParametros[[#This Row],[CCT DA CATEGORIA]],tabSindicatos[],12,0)</f>
        <v>-</v>
      </c>
      <c r="BJ260" s="285" t="str">
        <f>VLOOKUP(tabParametros[[#This Row],[CCT DA CATEGORIA]],tabSindicatos[],13,0)</f>
        <v>-</v>
      </c>
    </row>
    <row r="261" spans="1:62">
      <c r="A261" s="231" t="s">
        <v>1681</v>
      </c>
      <c r="B261" s="197" t="s">
        <v>1190</v>
      </c>
      <c r="C261" s="197" t="s">
        <v>1368</v>
      </c>
      <c r="D261" s="197" t="str">
        <f>VLOOKUP(tabParametros[[#This Row],[Código do Posto]],tabPostos[],4,0)</f>
        <v>Regiao de Ouro Preto</v>
      </c>
      <c r="E261" s="282" t="str">
        <f>VLOOKUP(tabParametros[[#This Row],[Código do Posto]],tabPostos[],5,0)</f>
        <v>Apoio</v>
      </c>
      <c r="F261" s="282" t="str">
        <f>VLOOKUP(tabParametros[[#This Row],[Código do Posto]],tabPostos[],6,0)</f>
        <v>PGJ</v>
      </c>
      <c r="G261" s="282">
        <f>VLOOKUP(tabParametros[[#This Row],[Código do Posto]],tabPostos[],7,0)</f>
        <v>1</v>
      </c>
      <c r="H261" s="282">
        <f>VLOOKUP(tabParametros[[#This Row],[Código do Posto]],tabPostos[],8,0)</f>
        <v>0</v>
      </c>
      <c r="I261" s="232">
        <f>VLOOKUP(tabParametros[[#This Row],[Código do Posto]],tabPostos[],9,0)</f>
        <v>2296.1756892610078</v>
      </c>
      <c r="J261" s="232">
        <f>IF(ISNUMBER(SEARCH("Eletricista",tabParametros[[#This Row],[Função]],1)),0.3*tabParametros[[#This Row],[Salário Base]],0)</f>
        <v>0</v>
      </c>
      <c r="K26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261" s="232">
        <f>IF(AND(ISNUMBER(SEARCH("Noturno",tabParametros[[#This Row],[Função]],1)),tabParametros[[#This Row],[Comarca]]&lt;&gt;"Juiz de Fora"),tabParametros[[#This Row],[Salário Base]]/210*0.39*7*15.5,IF(ISNUMBER(SEARCH("Noturno",tabParametros[[#This Row],[Função]],1)),tabParametros[[#This Row],[Salário Base]]/210*0.2*8*15.5,0))</f>
        <v>0</v>
      </c>
      <c r="M261" s="232">
        <f>IF(ISNUMBER(SEARCH("Motorista II",tabParametros[[#This Row],[Função]],1)),0.3022*tabParametros[[#This Row],[Salário Base]],0)</f>
        <v>0</v>
      </c>
      <c r="N261" s="254">
        <v>0</v>
      </c>
      <c r="O261" s="254">
        <f>IF(ISNUMBER(SEARCH("TECNOLOGIA DA INFORMACAO",tabParametros[[#This Row],[Função]],1)),0.056*tabParametros[[#This Row],[Salário Base]],0)</f>
        <v>0</v>
      </c>
      <c r="P261" s="232">
        <f>IF(tabParametros[[#This Row],[Função]]="Operador de Midia Audiovisual - 150 h",tabParametros[[#This Row],[Salário Base]]/150*50*30%,IF(tabParametros[[#This Row],[Função]]="Supervisor de Manutencao de Veiculos II - 220 h",12%*tabParametros[[#This Row],[Salário Base]],0))</f>
        <v>0</v>
      </c>
      <c r="Q261" s="233">
        <f>VLOOKUP(tabParametros[[#Headers],[INSS]],tabImpostosNacionais[],2,0)</f>
        <v>0.2</v>
      </c>
      <c r="R261" s="233">
        <f>VLOOKUP(tabParametros[[#Headers],[SESI OU SESC]],tabImpostosNacionais[],2,0)</f>
        <v>1.4999999999999999E-2</v>
      </c>
      <c r="S261" s="233">
        <f>VLOOKUP(tabParametros[[#Headers],[SENAI OU SENAC]],tabImpostosNacionais[],2,0)</f>
        <v>0.01</v>
      </c>
      <c r="T261" s="233">
        <f>VLOOKUP(tabParametros[[#Headers],[INCRA]],tabImpostosNacionais[],2,0)</f>
        <v>2E-3</v>
      </c>
      <c r="U261" s="233">
        <f>VLOOKUP(tabParametros[[#Headers],[Salário Educação]],tabImpostosNacionais[],2,0)</f>
        <v>2.5000000000000001E-2</v>
      </c>
      <c r="V261" s="233">
        <f>VLOOKUP(tabParametros[[#Headers],[FGTS]],tabImpostosNacionais[],2,0)</f>
        <v>0.08</v>
      </c>
      <c r="W261" s="233">
        <f>VLOOKUP(tabParametros[[#Headers],[RAT Ajustado]],tabImpostosNacionais[],2,0)</f>
        <v>0.04</v>
      </c>
      <c r="X261" s="233">
        <f>VLOOKUP(tabParametros[[#Headers],[SEBRAE]],tabImpostosNacionais[],2,0)</f>
        <v>6.0000000000000001E-3</v>
      </c>
      <c r="Y261" s="233">
        <f t="shared" si="44"/>
        <v>8.3333333333333329E-2</v>
      </c>
      <c r="Z261" s="233">
        <f t="shared" si="45"/>
        <v>0.1111111111111111</v>
      </c>
      <c r="AA261" s="232">
        <f>VLOOKUP(tabParametros[[#This Row],[Comarca]],tabComarca[],5,0)</f>
        <v>6.4</v>
      </c>
      <c r="AB261" s="232">
        <f>VLOOKUP(tabParametros[[#This Row],[CCT DA CATEGORIA]],tabSindicatos[],6,0)</f>
        <v>29.15</v>
      </c>
      <c r="AC261" s="232">
        <f>VLOOKUP(tabParametros[[#This Row],[CCT DA CATEGORIA]],tabSindicatos[],7,0)</f>
        <v>0</v>
      </c>
      <c r="AD261" s="232" cm="1">
        <f t="array" ref="AD26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61" s="232">
        <f>VLOOKUP(tabParametros[[#This Row],[CCT DA CATEGORIA]],tabSindicatos[],9,0)</f>
        <v>0</v>
      </c>
      <c r="AF261" s="232">
        <f>VLOOKUP(tabParametros[[#This Row],[CCT DA CATEGORIA]],tabSindicatos[],10,0)</f>
        <v>0</v>
      </c>
      <c r="AG261" s="234">
        <f>VLOOKUP(tabParametros[[#Headers],[Seguro de Vida]],tabOutrosCustos[],3,0)</f>
        <v>3.36</v>
      </c>
      <c r="AH261" s="234">
        <f>IF(ISNUMBER(SEARCH("MOTORISTA",tabParametros[[#This Row],[Função]],1)),VLOOKUP("MOTORISTAS",tabDiarias[],2,0),IF(tabParametros[[#This Row],[Comarca]]="Belo Horizonte",VLOOKUP("APOIO",tabDiarias[],2,0),0))</f>
        <v>0</v>
      </c>
      <c r="AI261" s="233">
        <f t="shared" si="46"/>
        <v>7.011766975308642E-3</v>
      </c>
      <c r="AJ261" s="235">
        <f>tabParametros[[#This Row],[FGTS]]*tabParametros[[#This Row],[Aviso Prévio Indenizado (API) e Reflexo do Aviso Prévio Indenizado]]</f>
        <v>5.609413580246914E-4</v>
      </c>
      <c r="AK261" s="235">
        <f>tabParametros[[#This Row],[FGTS]]*tabParametros[[#This Row],[Aviso Prévio Indenizado (API) e Reflexo do Aviso Prévio Indenizado]]*40%</f>
        <v>2.2437654320987658E-4</v>
      </c>
      <c r="AL261" s="233">
        <f t="shared" si="47"/>
        <v>3.5000000000000005E-3</v>
      </c>
      <c r="AM261" s="233">
        <f>tabParametros[[#This Row],[Aviso Prévio Trabalhado - APT]]*SUM(tabParametros[[#This Row],[INSS]:[SEBRAE]])</f>
        <v>1.3230000000000004E-3</v>
      </c>
      <c r="AN261" s="233">
        <f t="shared" si="48"/>
        <v>3.0577777777777773E-2</v>
      </c>
      <c r="AO261" s="233">
        <f t="shared" si="49"/>
        <v>8.3333333333333339E-4</v>
      </c>
      <c r="AP261" s="233">
        <f t="shared" si="50"/>
        <v>8.4444444444444437E-3</v>
      </c>
      <c r="AQ261" s="233">
        <f t="shared" si="51"/>
        <v>2.0277777777777777E-3</v>
      </c>
      <c r="AR261" s="233">
        <f t="shared" si="52"/>
        <v>1.7083333333333333E-4</v>
      </c>
      <c r="AS261" s="233">
        <f t="shared" si="53"/>
        <v>2.0833333333333335E-4</v>
      </c>
      <c r="AT261" s="233">
        <f t="shared" si="54"/>
        <v>1.2962962962962963E-3</v>
      </c>
      <c r="AU261" s="235">
        <f>SUM(tabParametros[[#This Row],[Ausência por Doença]:[Férias, Adicional de Férias e 13º  com empregada em gozo de Licença Maternidade]])*SUM(tabParametros[[#This Row],[INSS]:[SEBRAE]])</f>
        <v>4.5918250000000008E-3</v>
      </c>
      <c r="AV261" s="254">
        <f>IF(tabParametros[[#This Row],[Função]]="Porteiro - 220 h",SUM(tabParametros[[#This Row],[Salário Base]:[Adicional de Acúmulo de função]])/220*20*1.5,IF(ISNUMBER(SEARCH("12 x 36",tabParametros[[#This Row],[Função]],1)),SUM(tabParametros[[#This Row],[Salário Base]:[Adicional de Acúmulo de função]])/210*15.5*1.5,0))</f>
        <v>0</v>
      </c>
      <c r="AW261" s="232">
        <f>IF(tabParametros[[#This Row],[Vagas contratadas]]&gt;0,(SUM(tabParametros[[#This Row],[Salário Base]:[Adicional de Acúmulo de função]])*30%+SUM(tabParametros[[#This Row],[Vale - Alimentação]:[Seguro de Vida]]))/tabParametros[[#This Row],[Vagas contratadas]]*tabParametros[[#This Row],[Vagas suspensas]],0)</f>
        <v>0</v>
      </c>
      <c r="AX261" s="232">
        <f>SUMIF(tabUniformes[Cargo],tabParametros[[#This Row],[Função]],tabUniformes[Valor unit. Mensal])</f>
        <v>196.62072732312174</v>
      </c>
      <c r="AY26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26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26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1" s="232">
        <v>0</v>
      </c>
      <c r="BC261" s="234" t="e">
        <f ca="1">VLOOKUP(tabParametros[[#Headers],[Custos Indiretos]],tabOutrosCustos[],3,0)</f>
        <v>#NAME?</v>
      </c>
      <c r="BD261" s="234" t="e">
        <f ca="1">VLOOKUP(tabParametros[[#Headers],[Lucro]],tabOutrosCustos[],3,0)</f>
        <v>#NAME?</v>
      </c>
      <c r="BE261" s="233">
        <f>VLOOKUP(tabParametros[[#Headers],[COFINS]],tabImpostosNacionais[],2,0)</f>
        <v>7.5999999999999998E-2</v>
      </c>
      <c r="BF261" s="233">
        <f>VLOOKUP(tabParametros[[#Headers],[PIS]],tabImpostosNacionais[],2,0)</f>
        <v>1.6500000000000001E-2</v>
      </c>
      <c r="BG261" s="233">
        <f>VLOOKUP(tabParametros[[#This Row],[Comarca]],tabComarca[],4,0)</f>
        <v>0.03</v>
      </c>
      <c r="BH261" s="236">
        <f>VLOOKUP(tabParametros[[#This Row],[CCT DA CATEGORIA]],tabSindicatos[],11,0)</f>
        <v>45658</v>
      </c>
      <c r="BI261" s="282" t="str">
        <f>VLOOKUP(tabParametros[[#This Row],[CCT DA CATEGORIA]],tabSindicatos[],12,0)</f>
        <v>-</v>
      </c>
      <c r="BJ261" s="285" t="str">
        <f>VLOOKUP(tabParametros[[#This Row],[CCT DA CATEGORIA]],tabSindicatos[],13,0)</f>
        <v>-</v>
      </c>
    </row>
    <row r="262" spans="1:62">
      <c r="A262" s="231" t="s">
        <v>1682</v>
      </c>
      <c r="B262" s="197" t="s">
        <v>1190</v>
      </c>
      <c r="C262" s="197" t="s">
        <v>309</v>
      </c>
      <c r="D262" s="197" t="str">
        <f>VLOOKUP(tabParametros[[#This Row],[Código do Posto]],tabPostos[],4,0)</f>
        <v>Regiao de Ouro Preto</v>
      </c>
      <c r="E262" s="282" t="str">
        <f>VLOOKUP(tabParametros[[#This Row],[Código do Posto]],tabPostos[],5,0)</f>
        <v>Apoio</v>
      </c>
      <c r="F262" s="282" t="str">
        <f>VLOOKUP(tabParametros[[#This Row],[Código do Posto]],tabPostos[],6,0)</f>
        <v>PGJ</v>
      </c>
      <c r="G262" s="282">
        <f>VLOOKUP(tabParametros[[#This Row],[Código do Posto]],tabPostos[],7,0)</f>
        <v>2</v>
      </c>
      <c r="H262" s="282">
        <f>VLOOKUP(tabParametros[[#This Row],[Código do Posto]],tabPostos[],8,0)</f>
        <v>0</v>
      </c>
      <c r="I262" s="232">
        <f>VLOOKUP(tabParametros[[#This Row],[Código do Posto]],tabPostos[],9,0)</f>
        <v>1963.4110092077037</v>
      </c>
      <c r="J262" s="232">
        <f>IF(ISNUMBER(SEARCH("Eletricista",tabParametros[[#This Row],[Função]],1)),0.3*tabParametros[[#This Row],[Salário Base]],0)</f>
        <v>0</v>
      </c>
      <c r="K26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62" s="232">
        <f>IF(AND(ISNUMBER(SEARCH("Noturno",tabParametros[[#This Row],[Função]],1)),tabParametros[[#This Row],[Comarca]]&lt;&gt;"Juiz de Fora"),tabParametros[[#This Row],[Salário Base]]/210*0.39*7*15.5,IF(ISNUMBER(SEARCH("Noturno",tabParametros[[#This Row],[Função]],1)),tabParametros[[#This Row],[Salário Base]]/210*0.2*8*15.5,0))</f>
        <v>395.62731835535232</v>
      </c>
      <c r="M262" s="232">
        <f>IF(ISNUMBER(SEARCH("Motorista II",tabParametros[[#This Row],[Função]],1)),0.3022*tabParametros[[#This Row],[Salário Base]],0)</f>
        <v>0</v>
      </c>
      <c r="N262" s="254">
        <v>0</v>
      </c>
      <c r="O262" s="254">
        <f>IF(ISNUMBER(SEARCH("TECNOLOGIA DA INFORMACAO",tabParametros[[#This Row],[Função]],1)),0.056*tabParametros[[#This Row],[Salário Base]],0)</f>
        <v>0</v>
      </c>
      <c r="P262" s="232">
        <f>IF(tabParametros[[#This Row],[Função]]="Operador de Midia Audiovisual - 150 h",tabParametros[[#This Row],[Salário Base]]/150*50*30%,IF(tabParametros[[#This Row],[Função]]="Supervisor de Manutencao de Veiculos II - 220 h",12%*tabParametros[[#This Row],[Salário Base]],0))</f>
        <v>0</v>
      </c>
      <c r="Q262" s="233">
        <f>VLOOKUP(tabParametros[[#Headers],[INSS]],tabImpostosNacionais[],2,0)</f>
        <v>0.2</v>
      </c>
      <c r="R262" s="233">
        <f>VLOOKUP(tabParametros[[#Headers],[SESI OU SESC]],tabImpostosNacionais[],2,0)</f>
        <v>1.4999999999999999E-2</v>
      </c>
      <c r="S262" s="233">
        <f>VLOOKUP(tabParametros[[#Headers],[SENAI OU SENAC]],tabImpostosNacionais[],2,0)</f>
        <v>0.01</v>
      </c>
      <c r="T262" s="233">
        <f>VLOOKUP(tabParametros[[#Headers],[INCRA]],tabImpostosNacionais[],2,0)</f>
        <v>2E-3</v>
      </c>
      <c r="U262" s="233">
        <f>VLOOKUP(tabParametros[[#Headers],[Salário Educação]],tabImpostosNacionais[],2,0)</f>
        <v>2.5000000000000001E-2</v>
      </c>
      <c r="V262" s="233">
        <f>VLOOKUP(tabParametros[[#Headers],[FGTS]],tabImpostosNacionais[],2,0)</f>
        <v>0.08</v>
      </c>
      <c r="W262" s="233">
        <f>VLOOKUP(tabParametros[[#Headers],[RAT Ajustado]],tabImpostosNacionais[],2,0)</f>
        <v>0.04</v>
      </c>
      <c r="X262" s="233">
        <f>VLOOKUP(tabParametros[[#Headers],[SEBRAE]],tabImpostosNacionais[],2,0)</f>
        <v>6.0000000000000001E-3</v>
      </c>
      <c r="Y262" s="233">
        <f t="shared" si="44"/>
        <v>8.3333333333333329E-2</v>
      </c>
      <c r="Z262" s="233">
        <f t="shared" si="45"/>
        <v>0.1111111111111111</v>
      </c>
      <c r="AA262" s="232">
        <f>VLOOKUP(tabParametros[[#This Row],[Comarca]],tabComarca[],5,0)</f>
        <v>6.4</v>
      </c>
      <c r="AB262" s="232">
        <f>VLOOKUP(tabParametros[[#This Row],[CCT DA CATEGORIA]],tabSindicatos[],6,0)</f>
        <v>29.15</v>
      </c>
      <c r="AC262" s="232">
        <f>VLOOKUP(tabParametros[[#This Row],[CCT DA CATEGORIA]],tabSindicatos[],7,0)</f>
        <v>0</v>
      </c>
      <c r="AD262" s="232" cm="1">
        <f t="array" ref="AD26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62" s="232">
        <f>VLOOKUP(tabParametros[[#This Row],[CCT DA CATEGORIA]],tabSindicatos[],9,0)</f>
        <v>0</v>
      </c>
      <c r="AF262" s="232">
        <f>VLOOKUP(tabParametros[[#This Row],[CCT DA CATEGORIA]],tabSindicatos[],10,0)</f>
        <v>0</v>
      </c>
      <c r="AG262" s="234">
        <f>VLOOKUP(tabParametros[[#Headers],[Seguro de Vida]],tabOutrosCustos[],3,0)</f>
        <v>3.36</v>
      </c>
      <c r="AH262" s="234">
        <f>IF(ISNUMBER(SEARCH("MOTORISTA",tabParametros[[#This Row],[Função]],1)),VLOOKUP("MOTORISTAS",tabDiarias[],2,0),IF(tabParametros[[#This Row],[Comarca]]="Belo Horizonte",VLOOKUP("APOIO",tabDiarias[],2,0),0))</f>
        <v>0</v>
      </c>
      <c r="AI262" s="233">
        <f t="shared" si="46"/>
        <v>7.011766975308642E-3</v>
      </c>
      <c r="AJ262" s="235">
        <f>tabParametros[[#This Row],[FGTS]]*tabParametros[[#This Row],[Aviso Prévio Indenizado (API) e Reflexo do Aviso Prévio Indenizado]]</f>
        <v>5.609413580246914E-4</v>
      </c>
      <c r="AK262" s="235">
        <f>tabParametros[[#This Row],[FGTS]]*tabParametros[[#This Row],[Aviso Prévio Indenizado (API) e Reflexo do Aviso Prévio Indenizado]]*40%</f>
        <v>2.2437654320987658E-4</v>
      </c>
      <c r="AL262" s="233">
        <f t="shared" si="47"/>
        <v>3.5000000000000005E-3</v>
      </c>
      <c r="AM262" s="233">
        <f>tabParametros[[#This Row],[Aviso Prévio Trabalhado - APT]]*SUM(tabParametros[[#This Row],[INSS]:[SEBRAE]])</f>
        <v>1.3230000000000004E-3</v>
      </c>
      <c r="AN262" s="233">
        <f t="shared" si="48"/>
        <v>3.0577777777777773E-2</v>
      </c>
      <c r="AO262" s="233">
        <f t="shared" si="49"/>
        <v>8.3333333333333339E-4</v>
      </c>
      <c r="AP262" s="233">
        <f t="shared" si="50"/>
        <v>8.4444444444444437E-3</v>
      </c>
      <c r="AQ262" s="233">
        <f t="shared" si="51"/>
        <v>2.0277777777777777E-3</v>
      </c>
      <c r="AR262" s="233">
        <f t="shared" si="52"/>
        <v>1.7083333333333333E-4</v>
      </c>
      <c r="AS262" s="233">
        <f t="shared" si="53"/>
        <v>2.0833333333333335E-4</v>
      </c>
      <c r="AT262" s="233">
        <f t="shared" si="54"/>
        <v>1.2962962962962963E-3</v>
      </c>
      <c r="AU262" s="235">
        <f>SUM(tabParametros[[#This Row],[Ausência por Doença]:[Férias, Adicional de Férias e 13º  com empregada em gozo de Licença Maternidade]])*SUM(tabParametros[[#This Row],[INSS]:[SEBRAE]])</f>
        <v>4.5918250000000008E-3</v>
      </c>
      <c r="AV262" s="254">
        <f>IF(tabParametros[[#This Row],[Função]]="Porteiro - 220 h",SUM(tabParametros[[#This Row],[Salário Base]:[Adicional de Acúmulo de função]])/220*20*1.5,IF(ISNUMBER(SEARCH("12 x 36",tabParametros[[#This Row],[Função]],1)),SUM(tabParametros[[#This Row],[Salário Base]:[Adicional de Acúmulo de função]])/210*15.5*1.5,0))</f>
        <v>261.17924340876692</v>
      </c>
      <c r="AW262" s="232">
        <f>IF(tabParametros[[#This Row],[Vagas contratadas]]&gt;0,(SUM(tabParametros[[#This Row],[Salário Base]:[Adicional de Acúmulo de função]])*30%+SUM(tabParametros[[#This Row],[Vale - Alimentação]:[Seguro de Vida]]))/tabParametros[[#This Row],[Vagas contratadas]]*tabParametros[[#This Row],[Vagas suspensas]],0)</f>
        <v>0</v>
      </c>
      <c r="AX262" s="232">
        <f>SUMIF(tabUniformes[Cargo],tabParametros[[#This Row],[Função]],tabUniformes[Valor unit. Mensal])</f>
        <v>56.642978962543395</v>
      </c>
      <c r="AY26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6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6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2" s="232">
        <v>0</v>
      </c>
      <c r="BC262" s="234" t="e">
        <f ca="1">VLOOKUP(tabParametros[[#Headers],[Custos Indiretos]],tabOutrosCustos[],3,0)</f>
        <v>#NAME?</v>
      </c>
      <c r="BD262" s="234" t="e">
        <f ca="1">VLOOKUP(tabParametros[[#Headers],[Lucro]],tabOutrosCustos[],3,0)</f>
        <v>#NAME?</v>
      </c>
      <c r="BE262" s="233">
        <f>VLOOKUP(tabParametros[[#Headers],[COFINS]],tabImpostosNacionais[],2,0)</f>
        <v>7.5999999999999998E-2</v>
      </c>
      <c r="BF262" s="233">
        <f>VLOOKUP(tabParametros[[#Headers],[PIS]],tabImpostosNacionais[],2,0)</f>
        <v>1.6500000000000001E-2</v>
      </c>
      <c r="BG262" s="233">
        <f>VLOOKUP(tabParametros[[#This Row],[Comarca]],tabComarca[],4,0)</f>
        <v>0.03</v>
      </c>
      <c r="BH262" s="236">
        <f>VLOOKUP(tabParametros[[#This Row],[CCT DA CATEGORIA]],tabSindicatos[],11,0)</f>
        <v>45658</v>
      </c>
      <c r="BI262" s="282" t="str">
        <f>VLOOKUP(tabParametros[[#This Row],[CCT DA CATEGORIA]],tabSindicatos[],12,0)</f>
        <v>-</v>
      </c>
      <c r="BJ262" s="285" t="str">
        <f>VLOOKUP(tabParametros[[#This Row],[CCT DA CATEGORIA]],tabSindicatos[],13,0)</f>
        <v>-</v>
      </c>
    </row>
    <row r="263" spans="1:62">
      <c r="A263" s="231" t="s">
        <v>1683</v>
      </c>
      <c r="B263" s="197" t="s">
        <v>1190</v>
      </c>
      <c r="C263" s="197" t="s">
        <v>314</v>
      </c>
      <c r="D263" s="197" t="str">
        <f>VLOOKUP(tabParametros[[#This Row],[Código do Posto]],tabPostos[],4,0)</f>
        <v>Regiao de Ouro Preto</v>
      </c>
      <c r="E263" s="282" t="str">
        <f>VLOOKUP(tabParametros[[#This Row],[Código do Posto]],tabPostos[],5,0)</f>
        <v>Apoio</v>
      </c>
      <c r="F263" s="282" t="str">
        <f>VLOOKUP(tabParametros[[#This Row],[Código do Posto]],tabPostos[],6,0)</f>
        <v>PGJ</v>
      </c>
      <c r="G263" s="282">
        <f>VLOOKUP(tabParametros[[#This Row],[Código do Posto]],tabPostos[],7,0)</f>
        <v>1</v>
      </c>
      <c r="H263" s="282">
        <f>VLOOKUP(tabParametros[[#This Row],[Código do Posto]],tabPostos[],8,0)</f>
        <v>0</v>
      </c>
      <c r="I263" s="232">
        <f>VLOOKUP(tabParametros[[#This Row],[Código do Posto]],tabPostos[],9,0)</f>
        <v>1963.4110092077037</v>
      </c>
      <c r="J263" s="232">
        <f>IF(ISNUMBER(SEARCH("Eletricista",tabParametros[[#This Row],[Função]],1)),0.3*tabParametros[[#This Row],[Salário Base]],0)</f>
        <v>0</v>
      </c>
      <c r="K26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63" s="232">
        <f>IF(AND(ISNUMBER(SEARCH("Noturno",tabParametros[[#This Row],[Função]],1)),tabParametros[[#This Row],[Comarca]]&lt;&gt;"Juiz de Fora"),tabParametros[[#This Row],[Salário Base]]/210*0.39*7*15.5,IF(ISNUMBER(SEARCH("Noturno",tabParametros[[#This Row],[Função]],1)),tabParametros[[#This Row],[Salário Base]]/210*0.2*8*15.5,0))</f>
        <v>0</v>
      </c>
      <c r="M263" s="232">
        <f>IF(ISNUMBER(SEARCH("Motorista II",tabParametros[[#This Row],[Função]],1)),0.3022*tabParametros[[#This Row],[Salário Base]],0)</f>
        <v>0</v>
      </c>
      <c r="N263" s="254">
        <v>0</v>
      </c>
      <c r="O263" s="254">
        <f>IF(ISNUMBER(SEARCH("TECNOLOGIA DA INFORMACAO",tabParametros[[#This Row],[Função]],1)),0.056*tabParametros[[#This Row],[Salário Base]],0)</f>
        <v>0</v>
      </c>
      <c r="P263" s="232">
        <f>IF(tabParametros[[#This Row],[Função]]="Operador de Midia Audiovisual - 150 h",tabParametros[[#This Row],[Salário Base]]/150*50*30%,IF(tabParametros[[#This Row],[Função]]="Supervisor de Manutencao de Veiculos II - 220 h",12%*tabParametros[[#This Row],[Salário Base]],0))</f>
        <v>0</v>
      </c>
      <c r="Q263" s="233">
        <f>VLOOKUP(tabParametros[[#Headers],[INSS]],tabImpostosNacionais[],2,0)</f>
        <v>0.2</v>
      </c>
      <c r="R263" s="233">
        <f>VLOOKUP(tabParametros[[#Headers],[SESI OU SESC]],tabImpostosNacionais[],2,0)</f>
        <v>1.4999999999999999E-2</v>
      </c>
      <c r="S263" s="233">
        <f>VLOOKUP(tabParametros[[#Headers],[SENAI OU SENAC]],tabImpostosNacionais[],2,0)</f>
        <v>0.01</v>
      </c>
      <c r="T263" s="233">
        <f>VLOOKUP(tabParametros[[#Headers],[INCRA]],tabImpostosNacionais[],2,0)</f>
        <v>2E-3</v>
      </c>
      <c r="U263" s="233">
        <f>VLOOKUP(tabParametros[[#Headers],[Salário Educação]],tabImpostosNacionais[],2,0)</f>
        <v>2.5000000000000001E-2</v>
      </c>
      <c r="V263" s="233">
        <f>VLOOKUP(tabParametros[[#Headers],[FGTS]],tabImpostosNacionais[],2,0)</f>
        <v>0.08</v>
      </c>
      <c r="W263" s="233">
        <f>VLOOKUP(tabParametros[[#Headers],[RAT Ajustado]],tabImpostosNacionais[],2,0)</f>
        <v>0.04</v>
      </c>
      <c r="X263" s="233">
        <f>VLOOKUP(tabParametros[[#Headers],[SEBRAE]],tabImpostosNacionais[],2,0)</f>
        <v>6.0000000000000001E-3</v>
      </c>
      <c r="Y263" s="233">
        <f t="shared" si="44"/>
        <v>8.3333333333333329E-2</v>
      </c>
      <c r="Z263" s="233">
        <f t="shared" si="45"/>
        <v>0.1111111111111111</v>
      </c>
      <c r="AA263" s="232">
        <f>VLOOKUP(tabParametros[[#This Row],[Comarca]],tabComarca[],5,0)</f>
        <v>6.4</v>
      </c>
      <c r="AB263" s="232">
        <f>VLOOKUP(tabParametros[[#This Row],[CCT DA CATEGORIA]],tabSindicatos[],6,0)</f>
        <v>29.15</v>
      </c>
      <c r="AC263" s="232">
        <f>VLOOKUP(tabParametros[[#This Row],[CCT DA CATEGORIA]],tabSindicatos[],7,0)</f>
        <v>0</v>
      </c>
      <c r="AD263" s="232" cm="1">
        <f t="array" ref="AD26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63" s="232">
        <f>VLOOKUP(tabParametros[[#This Row],[CCT DA CATEGORIA]],tabSindicatos[],9,0)</f>
        <v>0</v>
      </c>
      <c r="AF263" s="232">
        <f>VLOOKUP(tabParametros[[#This Row],[CCT DA CATEGORIA]],tabSindicatos[],10,0)</f>
        <v>0</v>
      </c>
      <c r="AG263" s="234">
        <f>VLOOKUP(tabParametros[[#Headers],[Seguro de Vida]],tabOutrosCustos[],3,0)</f>
        <v>3.36</v>
      </c>
      <c r="AH263" s="234">
        <f>IF(ISNUMBER(SEARCH("MOTORISTA",tabParametros[[#This Row],[Função]],1)),VLOOKUP("MOTORISTAS",tabDiarias[],2,0),IF(tabParametros[[#This Row],[Comarca]]="Belo Horizonte",VLOOKUP("APOIO",tabDiarias[],2,0),0))</f>
        <v>0</v>
      </c>
      <c r="AI263" s="233">
        <f t="shared" si="46"/>
        <v>7.011766975308642E-3</v>
      </c>
      <c r="AJ263" s="235">
        <f>tabParametros[[#This Row],[FGTS]]*tabParametros[[#This Row],[Aviso Prévio Indenizado (API) e Reflexo do Aviso Prévio Indenizado]]</f>
        <v>5.609413580246914E-4</v>
      </c>
      <c r="AK263" s="235">
        <f>tabParametros[[#This Row],[FGTS]]*tabParametros[[#This Row],[Aviso Prévio Indenizado (API) e Reflexo do Aviso Prévio Indenizado]]*40%</f>
        <v>2.2437654320987658E-4</v>
      </c>
      <c r="AL263" s="233">
        <f t="shared" si="47"/>
        <v>3.5000000000000005E-3</v>
      </c>
      <c r="AM263" s="233">
        <f>tabParametros[[#This Row],[Aviso Prévio Trabalhado - APT]]*SUM(tabParametros[[#This Row],[INSS]:[SEBRAE]])</f>
        <v>1.3230000000000004E-3</v>
      </c>
      <c r="AN263" s="233">
        <f t="shared" si="48"/>
        <v>3.0577777777777773E-2</v>
      </c>
      <c r="AO263" s="233">
        <f t="shared" si="49"/>
        <v>8.3333333333333339E-4</v>
      </c>
      <c r="AP263" s="233">
        <f t="shared" si="50"/>
        <v>8.4444444444444437E-3</v>
      </c>
      <c r="AQ263" s="233">
        <f t="shared" si="51"/>
        <v>2.0277777777777777E-3</v>
      </c>
      <c r="AR263" s="233">
        <f t="shared" si="52"/>
        <v>1.7083333333333333E-4</v>
      </c>
      <c r="AS263" s="233">
        <f t="shared" si="53"/>
        <v>2.0833333333333335E-4</v>
      </c>
      <c r="AT263" s="233">
        <f t="shared" si="54"/>
        <v>1.2962962962962963E-3</v>
      </c>
      <c r="AU263" s="235">
        <f>SUM(tabParametros[[#This Row],[Ausência por Doença]:[Férias, Adicional de Férias e 13º  com empregada em gozo de Licença Maternidade]])*SUM(tabParametros[[#This Row],[INSS]:[SEBRAE]])</f>
        <v>4.5918250000000008E-3</v>
      </c>
      <c r="AV263"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63" s="232">
        <f>IF(tabParametros[[#This Row],[Vagas contratadas]]&gt;0,(SUM(tabParametros[[#This Row],[Salário Base]:[Adicional de Acúmulo de função]])*30%+SUM(tabParametros[[#This Row],[Vale - Alimentação]:[Seguro de Vida]]))/tabParametros[[#This Row],[Vagas contratadas]]*tabParametros[[#This Row],[Vagas suspensas]],0)</f>
        <v>0</v>
      </c>
      <c r="AX263" s="232">
        <f>SUMIF(tabUniformes[Cargo],tabParametros[[#This Row],[Função]],tabUniformes[Valor unit. Mensal])</f>
        <v>56.642978962543395</v>
      </c>
      <c r="AY26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6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6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3" s="232">
        <v>0</v>
      </c>
      <c r="BC263" s="234" t="e">
        <f ca="1">VLOOKUP(tabParametros[[#Headers],[Custos Indiretos]],tabOutrosCustos[],3,0)</f>
        <v>#NAME?</v>
      </c>
      <c r="BD263" s="234" t="e">
        <f ca="1">VLOOKUP(tabParametros[[#Headers],[Lucro]],tabOutrosCustos[],3,0)</f>
        <v>#NAME?</v>
      </c>
      <c r="BE263" s="233">
        <f>VLOOKUP(tabParametros[[#Headers],[COFINS]],tabImpostosNacionais[],2,0)</f>
        <v>7.5999999999999998E-2</v>
      </c>
      <c r="BF263" s="233">
        <f>VLOOKUP(tabParametros[[#Headers],[PIS]],tabImpostosNacionais[],2,0)</f>
        <v>1.6500000000000001E-2</v>
      </c>
      <c r="BG263" s="233">
        <f>VLOOKUP(tabParametros[[#This Row],[Comarca]],tabComarca[],4,0)</f>
        <v>0.03</v>
      </c>
      <c r="BH263" s="236">
        <f>VLOOKUP(tabParametros[[#This Row],[CCT DA CATEGORIA]],tabSindicatos[],11,0)</f>
        <v>45658</v>
      </c>
      <c r="BI263" s="282" t="str">
        <f>VLOOKUP(tabParametros[[#This Row],[CCT DA CATEGORIA]],tabSindicatos[],12,0)</f>
        <v>-</v>
      </c>
      <c r="BJ263" s="285" t="str">
        <f>VLOOKUP(tabParametros[[#This Row],[CCT DA CATEGORIA]],tabSindicatos[],13,0)</f>
        <v>-</v>
      </c>
    </row>
    <row r="264" spans="1:62">
      <c r="A264" s="231" t="s">
        <v>1684</v>
      </c>
      <c r="B264" s="197" t="s">
        <v>1191</v>
      </c>
      <c r="C264" s="197" t="s">
        <v>274</v>
      </c>
      <c r="D264" s="197" t="str">
        <f>VLOOKUP(tabParametros[[#This Row],[Código do Posto]],tabPostos[],4,0)</f>
        <v>Rodoviarios de Pouso Alegre + SEAC-MG</v>
      </c>
      <c r="E264" s="282" t="str">
        <f>VLOOKUP(tabParametros[[#This Row],[Código do Posto]],tabPostos[],5,0)</f>
        <v>Apoio</v>
      </c>
      <c r="F264" s="282" t="str">
        <f>VLOOKUP(tabParametros[[#This Row],[Código do Posto]],tabPostos[],6,0)</f>
        <v>PGJ</v>
      </c>
      <c r="G264" s="282">
        <f>VLOOKUP(tabParametros[[#This Row],[Código do Posto]],tabPostos[],7,0)</f>
        <v>1</v>
      </c>
      <c r="H264" s="282">
        <f>VLOOKUP(tabParametros[[#This Row],[Código do Posto]],tabPostos[],8,0)</f>
        <v>0</v>
      </c>
      <c r="I264" s="232">
        <f>VLOOKUP(tabParametros[[#This Row],[Código do Posto]],tabPostos[],9,0)</f>
        <v>4558.0709943632919</v>
      </c>
      <c r="J264" s="232">
        <f>IF(ISNUMBER(SEARCH("Eletricista",tabParametros[[#This Row],[Função]],1)),0.3*tabParametros[[#This Row],[Salário Base]],0)</f>
        <v>0</v>
      </c>
      <c r="K26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64" s="232">
        <f>IF(AND(ISNUMBER(SEARCH("Noturno",tabParametros[[#This Row],[Função]],1)),tabParametros[[#This Row],[Comarca]]&lt;&gt;"Juiz de Fora"),tabParametros[[#This Row],[Salário Base]]/210*0.39*7*15.5,IF(ISNUMBER(SEARCH("Noturno",tabParametros[[#This Row],[Função]],1)),tabParametros[[#This Row],[Salário Base]]/210*0.2*8*15.5,0))</f>
        <v>0</v>
      </c>
      <c r="M264" s="232">
        <f>IF(ISNUMBER(SEARCH("Motorista II",tabParametros[[#This Row],[Função]],1)),0.3022*tabParametros[[#This Row],[Salário Base]],0)</f>
        <v>0</v>
      </c>
      <c r="N264" s="254">
        <v>0</v>
      </c>
      <c r="O264" s="254">
        <f>IF(ISNUMBER(SEARCH("TECNOLOGIA DA INFORMACAO",tabParametros[[#This Row],[Função]],1)),0.056*tabParametros[[#This Row],[Salário Base]],0)</f>
        <v>0</v>
      </c>
      <c r="P264" s="232">
        <f>IF(tabParametros[[#This Row],[Função]]="Operador de Midia Audiovisual - 150 h",tabParametros[[#This Row],[Salário Base]]/150*50*30%,IF(tabParametros[[#This Row],[Função]]="Supervisor de Manutencao de Veiculos II - 220 h",12%*tabParametros[[#This Row],[Salário Base]],0))</f>
        <v>0</v>
      </c>
      <c r="Q264" s="233">
        <f>VLOOKUP(tabParametros[[#Headers],[INSS]],tabImpostosNacionais[],2,0)</f>
        <v>0.2</v>
      </c>
      <c r="R264" s="233">
        <f>VLOOKUP(tabParametros[[#Headers],[SESI OU SESC]],tabImpostosNacionais[],2,0)</f>
        <v>1.4999999999999999E-2</v>
      </c>
      <c r="S264" s="233">
        <f>VLOOKUP(tabParametros[[#Headers],[SENAI OU SENAC]],tabImpostosNacionais[],2,0)</f>
        <v>0.01</v>
      </c>
      <c r="T264" s="233">
        <f>VLOOKUP(tabParametros[[#Headers],[INCRA]],tabImpostosNacionais[],2,0)</f>
        <v>2E-3</v>
      </c>
      <c r="U264" s="233">
        <f>VLOOKUP(tabParametros[[#Headers],[Salário Educação]],tabImpostosNacionais[],2,0)</f>
        <v>2.5000000000000001E-2</v>
      </c>
      <c r="V264" s="233">
        <f>VLOOKUP(tabParametros[[#Headers],[FGTS]],tabImpostosNacionais[],2,0)</f>
        <v>0.08</v>
      </c>
      <c r="W264" s="233">
        <f>VLOOKUP(tabParametros[[#Headers],[RAT Ajustado]],tabImpostosNacionais[],2,0)</f>
        <v>0.04</v>
      </c>
      <c r="X264" s="233">
        <f>VLOOKUP(tabParametros[[#Headers],[SEBRAE]],tabImpostosNacionais[],2,0)</f>
        <v>6.0000000000000001E-3</v>
      </c>
      <c r="Y264" s="233">
        <f t="shared" si="44"/>
        <v>8.3333333333333329E-2</v>
      </c>
      <c r="Z264" s="233">
        <f t="shared" si="45"/>
        <v>0.1111111111111111</v>
      </c>
      <c r="AA264" s="232">
        <f>VLOOKUP(tabParametros[[#This Row],[Comarca]],tabComarca[],5,0)</f>
        <v>6.4</v>
      </c>
      <c r="AB264" s="232">
        <f>VLOOKUP(tabParametros[[#This Row],[CCT DA CATEGORIA]],tabSindicatos[],6,0)</f>
        <v>28.97</v>
      </c>
      <c r="AC264" s="232">
        <f>VLOOKUP(tabParametros[[#This Row],[CCT DA CATEGORIA]],tabSindicatos[],7,0)</f>
        <v>0</v>
      </c>
      <c r="AD264" s="232" cm="1">
        <f t="array" ref="AD26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64" s="232">
        <f>VLOOKUP(tabParametros[[#This Row],[CCT DA CATEGORIA]],tabSindicatos[],9,0)</f>
        <v>0</v>
      </c>
      <c r="AF264" s="232">
        <f>VLOOKUP(tabParametros[[#This Row],[CCT DA CATEGORIA]],tabSindicatos[],10,0)</f>
        <v>0</v>
      </c>
      <c r="AG264" s="234">
        <f>VLOOKUP(tabParametros[[#Headers],[Seguro de Vida]],tabOutrosCustos[],3,0)</f>
        <v>3.36</v>
      </c>
      <c r="AH264" s="234">
        <f>IF(ISNUMBER(SEARCH("MOTORISTA",tabParametros[[#This Row],[Função]],1)),VLOOKUP("MOTORISTAS",tabDiarias[],2,0),IF(tabParametros[[#This Row],[Comarca]]="Belo Horizonte",VLOOKUP("APOIO",tabDiarias[],2,0),0))</f>
        <v>662.42</v>
      </c>
      <c r="AI264" s="233">
        <f t="shared" si="46"/>
        <v>7.011766975308642E-3</v>
      </c>
      <c r="AJ264" s="235">
        <f>tabParametros[[#This Row],[FGTS]]*tabParametros[[#This Row],[Aviso Prévio Indenizado (API) e Reflexo do Aviso Prévio Indenizado]]</f>
        <v>5.609413580246914E-4</v>
      </c>
      <c r="AK264" s="235">
        <f>tabParametros[[#This Row],[FGTS]]*tabParametros[[#This Row],[Aviso Prévio Indenizado (API) e Reflexo do Aviso Prévio Indenizado]]*40%</f>
        <v>2.2437654320987658E-4</v>
      </c>
      <c r="AL264" s="233">
        <f t="shared" si="47"/>
        <v>3.5000000000000005E-3</v>
      </c>
      <c r="AM264" s="233">
        <f>tabParametros[[#This Row],[Aviso Prévio Trabalhado - APT]]*SUM(tabParametros[[#This Row],[INSS]:[SEBRAE]])</f>
        <v>1.3230000000000004E-3</v>
      </c>
      <c r="AN264" s="233">
        <f t="shared" si="48"/>
        <v>3.0577777777777773E-2</v>
      </c>
      <c r="AO264" s="233">
        <f t="shared" si="49"/>
        <v>8.3333333333333339E-4</v>
      </c>
      <c r="AP264" s="233">
        <f t="shared" si="50"/>
        <v>8.4444444444444437E-3</v>
      </c>
      <c r="AQ264" s="233">
        <f t="shared" si="51"/>
        <v>2.0277777777777777E-3</v>
      </c>
      <c r="AR264" s="233">
        <f t="shared" si="52"/>
        <v>1.7083333333333333E-4</v>
      </c>
      <c r="AS264" s="233">
        <f t="shared" si="53"/>
        <v>2.0833333333333335E-4</v>
      </c>
      <c r="AT264" s="233">
        <f t="shared" si="54"/>
        <v>1.2962962962962963E-3</v>
      </c>
      <c r="AU264" s="235">
        <f>SUM(tabParametros[[#This Row],[Ausência por Doença]:[Férias, Adicional de Férias e 13º  com empregada em gozo de Licença Maternidade]])*SUM(tabParametros[[#This Row],[INSS]:[SEBRAE]])</f>
        <v>4.5918250000000008E-3</v>
      </c>
      <c r="AV264" s="254">
        <f>IF(tabParametros[[#This Row],[Função]]="Porteiro - 220 h",SUM(tabParametros[[#This Row],[Salário Base]:[Adicional de Acúmulo de função]])/220*20*1.5,IF(ISNUMBER(SEARCH("12 x 36",tabParametros[[#This Row],[Função]],1)),SUM(tabParametros[[#This Row],[Salário Base]:[Adicional de Acúmulo de função]])/210*15.5*1.5,0))</f>
        <v>0</v>
      </c>
      <c r="AW264" s="232">
        <f>IF(tabParametros[[#This Row],[Vagas contratadas]]&gt;0,(SUM(tabParametros[[#This Row],[Salário Base]:[Adicional de Acúmulo de função]])*30%+SUM(tabParametros[[#This Row],[Vale - Alimentação]:[Seguro de Vida]]))/tabParametros[[#This Row],[Vagas contratadas]]*tabParametros[[#This Row],[Vagas suspensas]],0)</f>
        <v>0</v>
      </c>
      <c r="AX264" s="232">
        <f>SUMIF(tabUniformes[Cargo],tabParametros[[#This Row],[Função]],tabUniformes[Valor unit. Mensal])</f>
        <v>92.100763771570698</v>
      </c>
      <c r="AY26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6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6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4" s="232">
        <v>0</v>
      </c>
      <c r="BC264" s="234" t="e">
        <f ca="1">VLOOKUP(tabParametros[[#Headers],[Custos Indiretos]],tabOutrosCustos[],3,0)</f>
        <v>#NAME?</v>
      </c>
      <c r="BD264" s="234" t="e">
        <f ca="1">VLOOKUP(tabParametros[[#Headers],[Lucro]],tabOutrosCustos[],3,0)</f>
        <v>#NAME?</v>
      </c>
      <c r="BE264" s="233">
        <f>VLOOKUP(tabParametros[[#Headers],[COFINS]],tabImpostosNacionais[],2,0)</f>
        <v>7.5999999999999998E-2</v>
      </c>
      <c r="BF264" s="233">
        <f>VLOOKUP(tabParametros[[#Headers],[PIS]],tabImpostosNacionais[],2,0)</f>
        <v>1.6500000000000001E-2</v>
      </c>
      <c r="BG264" s="233">
        <f>VLOOKUP(tabParametros[[#This Row],[Comarca]],tabComarca[],4,0)</f>
        <v>0.02</v>
      </c>
      <c r="BH264" s="236">
        <f>VLOOKUP(tabParametros[[#This Row],[CCT DA CATEGORIA]],tabSindicatos[],11,0)</f>
        <v>45658</v>
      </c>
      <c r="BI264" s="282" t="str">
        <f>VLOOKUP(tabParametros[[#This Row],[CCT DA CATEGORIA]],tabSindicatos[],12,0)</f>
        <v>-</v>
      </c>
      <c r="BJ264" s="285" t="str">
        <f>VLOOKUP(tabParametros[[#This Row],[CCT DA CATEGORIA]],tabSindicatos[],13,0)</f>
        <v>-</v>
      </c>
    </row>
    <row r="265" spans="1:62">
      <c r="A265" s="231" t="s">
        <v>1685</v>
      </c>
      <c r="B265" s="197" t="s">
        <v>1191</v>
      </c>
      <c r="C265" s="197" t="s">
        <v>274</v>
      </c>
      <c r="D265" s="197" t="str">
        <f>VLOOKUP(tabParametros[[#This Row],[Código do Posto]],tabPostos[],4,0)</f>
        <v>Rodoviarios de Pouso Alegre + SEAC-MG</v>
      </c>
      <c r="E265" s="282" t="str">
        <f>VLOOKUP(tabParametros[[#This Row],[Código do Posto]],tabPostos[],5,0)</f>
        <v>Apoio</v>
      </c>
      <c r="F265" s="282" t="str">
        <f>VLOOKUP(tabParametros[[#This Row],[Código do Posto]],tabPostos[],6,0)</f>
        <v>FEPDC</v>
      </c>
      <c r="G265" s="282">
        <f>VLOOKUP(tabParametros[[#This Row],[Código do Posto]],tabPostos[],7,0)</f>
        <v>1</v>
      </c>
      <c r="H265" s="282">
        <f>VLOOKUP(tabParametros[[#This Row],[Código do Posto]],tabPostos[],8,0)</f>
        <v>0</v>
      </c>
      <c r="I265" s="232">
        <f>VLOOKUP(tabParametros[[#This Row],[Código do Posto]],tabPostos[],9,0)</f>
        <v>4558.0709943632919</v>
      </c>
      <c r="J265" s="232">
        <f>IF(ISNUMBER(SEARCH("Eletricista",tabParametros[[#This Row],[Função]],1)),0.3*tabParametros[[#This Row],[Salário Base]],0)</f>
        <v>0</v>
      </c>
      <c r="K26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65" s="232">
        <f>IF(AND(ISNUMBER(SEARCH("Noturno",tabParametros[[#This Row],[Função]],1)),tabParametros[[#This Row],[Comarca]]&lt;&gt;"Juiz de Fora"),tabParametros[[#This Row],[Salário Base]]/210*0.39*7*15.5,IF(ISNUMBER(SEARCH("Noturno",tabParametros[[#This Row],[Função]],1)),tabParametros[[#This Row],[Salário Base]]/210*0.2*8*15.5,0))</f>
        <v>0</v>
      </c>
      <c r="M265" s="232">
        <f>IF(ISNUMBER(SEARCH("Motorista II",tabParametros[[#This Row],[Função]],1)),0.3022*tabParametros[[#This Row],[Salário Base]],0)</f>
        <v>0</v>
      </c>
      <c r="N265" s="254">
        <v>0</v>
      </c>
      <c r="O265" s="254">
        <f>IF(ISNUMBER(SEARCH("TECNOLOGIA DA INFORMACAO",tabParametros[[#This Row],[Função]],1)),0.056*tabParametros[[#This Row],[Salário Base]],0)</f>
        <v>0</v>
      </c>
      <c r="P265" s="232">
        <f>IF(tabParametros[[#This Row],[Função]]="Operador de Midia Audiovisual - 150 h",tabParametros[[#This Row],[Salário Base]]/150*50*30%,IF(tabParametros[[#This Row],[Função]]="Supervisor de Manutencao de Veiculos II - 220 h",12%*tabParametros[[#This Row],[Salário Base]],0))</f>
        <v>0</v>
      </c>
      <c r="Q265" s="233">
        <f>VLOOKUP(tabParametros[[#Headers],[INSS]],tabImpostosNacionais[],2,0)</f>
        <v>0.2</v>
      </c>
      <c r="R265" s="233">
        <f>VLOOKUP(tabParametros[[#Headers],[SESI OU SESC]],tabImpostosNacionais[],2,0)</f>
        <v>1.4999999999999999E-2</v>
      </c>
      <c r="S265" s="233">
        <f>VLOOKUP(tabParametros[[#Headers],[SENAI OU SENAC]],tabImpostosNacionais[],2,0)</f>
        <v>0.01</v>
      </c>
      <c r="T265" s="233">
        <f>VLOOKUP(tabParametros[[#Headers],[INCRA]],tabImpostosNacionais[],2,0)</f>
        <v>2E-3</v>
      </c>
      <c r="U265" s="233">
        <f>VLOOKUP(tabParametros[[#Headers],[Salário Educação]],tabImpostosNacionais[],2,0)</f>
        <v>2.5000000000000001E-2</v>
      </c>
      <c r="V265" s="233">
        <f>VLOOKUP(tabParametros[[#Headers],[FGTS]],tabImpostosNacionais[],2,0)</f>
        <v>0.08</v>
      </c>
      <c r="W265" s="233">
        <f>VLOOKUP(tabParametros[[#Headers],[RAT Ajustado]],tabImpostosNacionais[],2,0)</f>
        <v>0.04</v>
      </c>
      <c r="X265" s="233">
        <f>VLOOKUP(tabParametros[[#Headers],[SEBRAE]],tabImpostosNacionais[],2,0)</f>
        <v>6.0000000000000001E-3</v>
      </c>
      <c r="Y265" s="233">
        <f t="shared" si="44"/>
        <v>8.3333333333333329E-2</v>
      </c>
      <c r="Z265" s="233">
        <f t="shared" si="45"/>
        <v>0.1111111111111111</v>
      </c>
      <c r="AA265" s="232">
        <f>VLOOKUP(tabParametros[[#This Row],[Comarca]],tabComarca[],5,0)</f>
        <v>6.4</v>
      </c>
      <c r="AB265" s="232">
        <f>VLOOKUP(tabParametros[[#This Row],[CCT DA CATEGORIA]],tabSindicatos[],6,0)</f>
        <v>28.97</v>
      </c>
      <c r="AC265" s="232">
        <f>VLOOKUP(tabParametros[[#This Row],[CCT DA CATEGORIA]],tabSindicatos[],7,0)</f>
        <v>0</v>
      </c>
      <c r="AD265" s="232" cm="1">
        <f t="array" ref="AD26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65" s="232">
        <f>VLOOKUP(tabParametros[[#This Row],[CCT DA CATEGORIA]],tabSindicatos[],9,0)</f>
        <v>0</v>
      </c>
      <c r="AF265" s="232">
        <f>VLOOKUP(tabParametros[[#This Row],[CCT DA CATEGORIA]],tabSindicatos[],10,0)</f>
        <v>0</v>
      </c>
      <c r="AG265" s="234">
        <f>VLOOKUP(tabParametros[[#Headers],[Seguro de Vida]],tabOutrosCustos[],3,0)</f>
        <v>3.36</v>
      </c>
      <c r="AH265" s="234">
        <f>IF(ISNUMBER(SEARCH("MOTORISTA",tabParametros[[#This Row],[Função]],1)),VLOOKUP("MOTORISTAS",tabDiarias[],2,0),IF(tabParametros[[#This Row],[Comarca]]="Belo Horizonte",VLOOKUP("APOIO",tabDiarias[],2,0),0))</f>
        <v>662.42</v>
      </c>
      <c r="AI265" s="233">
        <f t="shared" si="46"/>
        <v>7.011766975308642E-3</v>
      </c>
      <c r="AJ265" s="235">
        <f>tabParametros[[#This Row],[FGTS]]*tabParametros[[#This Row],[Aviso Prévio Indenizado (API) e Reflexo do Aviso Prévio Indenizado]]</f>
        <v>5.609413580246914E-4</v>
      </c>
      <c r="AK265" s="235">
        <f>tabParametros[[#This Row],[FGTS]]*tabParametros[[#This Row],[Aviso Prévio Indenizado (API) e Reflexo do Aviso Prévio Indenizado]]*40%</f>
        <v>2.2437654320987658E-4</v>
      </c>
      <c r="AL265" s="233">
        <f t="shared" si="47"/>
        <v>3.5000000000000005E-3</v>
      </c>
      <c r="AM265" s="233">
        <f>tabParametros[[#This Row],[Aviso Prévio Trabalhado - APT]]*SUM(tabParametros[[#This Row],[INSS]:[SEBRAE]])</f>
        <v>1.3230000000000004E-3</v>
      </c>
      <c r="AN265" s="233">
        <f t="shared" si="48"/>
        <v>3.0577777777777773E-2</v>
      </c>
      <c r="AO265" s="233">
        <f t="shared" si="49"/>
        <v>8.3333333333333339E-4</v>
      </c>
      <c r="AP265" s="233">
        <f t="shared" si="50"/>
        <v>8.4444444444444437E-3</v>
      </c>
      <c r="AQ265" s="233">
        <f t="shared" si="51"/>
        <v>2.0277777777777777E-3</v>
      </c>
      <c r="AR265" s="233">
        <f t="shared" si="52"/>
        <v>1.7083333333333333E-4</v>
      </c>
      <c r="AS265" s="233">
        <f t="shared" si="53"/>
        <v>2.0833333333333335E-4</v>
      </c>
      <c r="AT265" s="233">
        <f t="shared" si="54"/>
        <v>1.2962962962962963E-3</v>
      </c>
      <c r="AU265" s="235">
        <f>SUM(tabParametros[[#This Row],[Ausência por Doença]:[Férias, Adicional de Férias e 13º  com empregada em gozo de Licença Maternidade]])*SUM(tabParametros[[#This Row],[INSS]:[SEBRAE]])</f>
        <v>4.5918250000000008E-3</v>
      </c>
      <c r="AV265" s="254">
        <f>IF(tabParametros[[#This Row],[Função]]="Porteiro - 220 h",SUM(tabParametros[[#This Row],[Salário Base]:[Adicional de Acúmulo de função]])/220*20*1.5,IF(ISNUMBER(SEARCH("12 x 36",tabParametros[[#This Row],[Função]],1)),SUM(tabParametros[[#This Row],[Salário Base]:[Adicional de Acúmulo de função]])/210*15.5*1.5,0))</f>
        <v>0</v>
      </c>
      <c r="AW265" s="232">
        <f>IF(tabParametros[[#This Row],[Vagas contratadas]]&gt;0,(SUM(tabParametros[[#This Row],[Salário Base]:[Adicional de Acúmulo de função]])*30%+SUM(tabParametros[[#This Row],[Vale - Alimentação]:[Seguro de Vida]]))/tabParametros[[#This Row],[Vagas contratadas]]*tabParametros[[#This Row],[Vagas suspensas]],0)</f>
        <v>0</v>
      </c>
      <c r="AX265" s="232">
        <f>SUMIF(tabUniformes[Cargo],tabParametros[[#This Row],[Função]],tabUniformes[Valor unit. Mensal])</f>
        <v>92.100763771570698</v>
      </c>
      <c r="AY26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6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6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5" s="232">
        <v>0</v>
      </c>
      <c r="BC265" s="234" t="e">
        <f ca="1">VLOOKUP(tabParametros[[#Headers],[Custos Indiretos]],tabOutrosCustos[],3,0)</f>
        <v>#NAME?</v>
      </c>
      <c r="BD265" s="234" t="e">
        <f ca="1">VLOOKUP(tabParametros[[#Headers],[Lucro]],tabOutrosCustos[],3,0)</f>
        <v>#NAME?</v>
      </c>
      <c r="BE265" s="233">
        <f>VLOOKUP(tabParametros[[#Headers],[COFINS]],tabImpostosNacionais[],2,0)</f>
        <v>7.5999999999999998E-2</v>
      </c>
      <c r="BF265" s="233">
        <f>VLOOKUP(tabParametros[[#Headers],[PIS]],tabImpostosNacionais[],2,0)</f>
        <v>1.6500000000000001E-2</v>
      </c>
      <c r="BG265" s="233">
        <f>VLOOKUP(tabParametros[[#This Row],[Comarca]],tabComarca[],4,0)</f>
        <v>0.02</v>
      </c>
      <c r="BH265" s="236">
        <f>VLOOKUP(tabParametros[[#This Row],[CCT DA CATEGORIA]],tabSindicatos[],11,0)</f>
        <v>45658</v>
      </c>
      <c r="BI265" s="282" t="str">
        <f>VLOOKUP(tabParametros[[#This Row],[CCT DA CATEGORIA]],tabSindicatos[],12,0)</f>
        <v>-</v>
      </c>
      <c r="BJ265" s="285" t="str">
        <f>VLOOKUP(tabParametros[[#This Row],[CCT DA CATEGORIA]],tabSindicatos[],13,0)</f>
        <v>-</v>
      </c>
    </row>
    <row r="266" spans="1:62">
      <c r="A266" s="231" t="s">
        <v>1686</v>
      </c>
      <c r="B266" s="197" t="s">
        <v>1191</v>
      </c>
      <c r="C266" s="197" t="s">
        <v>314</v>
      </c>
      <c r="D266" s="197" t="str">
        <f>VLOOKUP(tabParametros[[#This Row],[Código do Posto]],tabPostos[],4,0)</f>
        <v>Regiao de Sao Lourenco</v>
      </c>
      <c r="E266" s="282" t="str">
        <f>VLOOKUP(tabParametros[[#This Row],[Código do Posto]],tabPostos[],5,0)</f>
        <v>Apoio</v>
      </c>
      <c r="F266" s="282" t="str">
        <f>VLOOKUP(tabParametros[[#This Row],[Código do Posto]],tabPostos[],6,0)</f>
        <v>PGJ</v>
      </c>
      <c r="G266" s="282">
        <f>VLOOKUP(tabParametros[[#This Row],[Código do Posto]],tabPostos[],7,0)</f>
        <v>1</v>
      </c>
      <c r="H266" s="282">
        <f>VLOOKUP(tabParametros[[#This Row],[Código do Posto]],tabPostos[],8,0)</f>
        <v>0</v>
      </c>
      <c r="I266" s="232">
        <f>VLOOKUP(tabParametros[[#This Row],[Código do Posto]],tabPostos[],9,0)</f>
        <v>1963.4050319620983</v>
      </c>
      <c r="J266" s="232">
        <f>IF(ISNUMBER(SEARCH("Eletricista",tabParametros[[#This Row],[Função]],1)),0.3*tabParametros[[#This Row],[Salário Base]],0)</f>
        <v>0</v>
      </c>
      <c r="K26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66" s="232">
        <f>IF(AND(ISNUMBER(SEARCH("Noturno",tabParametros[[#This Row],[Função]],1)),tabParametros[[#This Row],[Comarca]]&lt;&gt;"Juiz de Fora"),tabParametros[[#This Row],[Salário Base]]/210*0.39*7*15.5,IF(ISNUMBER(SEARCH("Noturno",tabParametros[[#This Row],[Função]],1)),tabParametros[[#This Row],[Salário Base]]/210*0.2*8*15.5,0))</f>
        <v>0</v>
      </c>
      <c r="M266" s="232">
        <f>IF(ISNUMBER(SEARCH("Motorista II",tabParametros[[#This Row],[Função]],1)),0.3022*tabParametros[[#This Row],[Salário Base]],0)</f>
        <v>0</v>
      </c>
      <c r="N266" s="254">
        <v>0</v>
      </c>
      <c r="O266" s="254">
        <f>IF(ISNUMBER(SEARCH("TECNOLOGIA DA INFORMACAO",tabParametros[[#This Row],[Função]],1)),0.056*tabParametros[[#This Row],[Salário Base]],0)</f>
        <v>0</v>
      </c>
      <c r="P266" s="232">
        <f>IF(tabParametros[[#This Row],[Função]]="Operador de Midia Audiovisual - 150 h",tabParametros[[#This Row],[Salário Base]]/150*50*30%,IF(tabParametros[[#This Row],[Função]]="Supervisor de Manutencao de Veiculos II - 220 h",12%*tabParametros[[#This Row],[Salário Base]],0))</f>
        <v>0</v>
      </c>
      <c r="Q266" s="233">
        <f>VLOOKUP(tabParametros[[#Headers],[INSS]],tabImpostosNacionais[],2,0)</f>
        <v>0.2</v>
      </c>
      <c r="R266" s="233">
        <f>VLOOKUP(tabParametros[[#Headers],[SESI OU SESC]],tabImpostosNacionais[],2,0)</f>
        <v>1.4999999999999999E-2</v>
      </c>
      <c r="S266" s="233">
        <f>VLOOKUP(tabParametros[[#Headers],[SENAI OU SENAC]],tabImpostosNacionais[],2,0)</f>
        <v>0.01</v>
      </c>
      <c r="T266" s="233">
        <f>VLOOKUP(tabParametros[[#Headers],[INCRA]],tabImpostosNacionais[],2,0)</f>
        <v>2E-3</v>
      </c>
      <c r="U266" s="233">
        <f>VLOOKUP(tabParametros[[#Headers],[Salário Educação]],tabImpostosNacionais[],2,0)</f>
        <v>2.5000000000000001E-2</v>
      </c>
      <c r="V266" s="233">
        <f>VLOOKUP(tabParametros[[#Headers],[FGTS]],tabImpostosNacionais[],2,0)</f>
        <v>0.08</v>
      </c>
      <c r="W266" s="233">
        <f>VLOOKUP(tabParametros[[#Headers],[RAT Ajustado]],tabImpostosNacionais[],2,0)</f>
        <v>0.04</v>
      </c>
      <c r="X266" s="233">
        <f>VLOOKUP(tabParametros[[#Headers],[SEBRAE]],tabImpostosNacionais[],2,0)</f>
        <v>6.0000000000000001E-3</v>
      </c>
      <c r="Y266" s="233">
        <f t="shared" si="44"/>
        <v>8.3333333333333329E-2</v>
      </c>
      <c r="Z266" s="233">
        <f t="shared" si="45"/>
        <v>0.1111111111111111</v>
      </c>
      <c r="AA266" s="232">
        <f>VLOOKUP(tabParametros[[#This Row],[Comarca]],tabComarca[],5,0)</f>
        <v>6.4</v>
      </c>
      <c r="AB266" s="232">
        <f>VLOOKUP(tabParametros[[#This Row],[CCT DA CATEGORIA]],tabSindicatos[],6,0)</f>
        <v>29.15</v>
      </c>
      <c r="AC266" s="232">
        <f>VLOOKUP(tabParametros[[#This Row],[CCT DA CATEGORIA]],tabSindicatos[],7,0)</f>
        <v>0</v>
      </c>
      <c r="AD266" s="232" cm="1">
        <f t="array" ref="AD26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266" s="232">
        <f>VLOOKUP(tabParametros[[#This Row],[CCT DA CATEGORIA]],tabSindicatos[],9,0)</f>
        <v>0</v>
      </c>
      <c r="AF266" s="232">
        <f>VLOOKUP(tabParametros[[#This Row],[CCT DA CATEGORIA]],tabSindicatos[],10,0)</f>
        <v>0</v>
      </c>
      <c r="AG266" s="234">
        <f>VLOOKUP(tabParametros[[#Headers],[Seguro de Vida]],tabOutrosCustos[],3,0)</f>
        <v>3.36</v>
      </c>
      <c r="AH266" s="234">
        <f>IF(ISNUMBER(SEARCH("MOTORISTA",tabParametros[[#This Row],[Função]],1)),VLOOKUP("MOTORISTAS",tabDiarias[],2,0),IF(tabParametros[[#This Row],[Comarca]]="Belo Horizonte",VLOOKUP("APOIO",tabDiarias[],2,0),0))</f>
        <v>0</v>
      </c>
      <c r="AI266" s="233">
        <f t="shared" si="46"/>
        <v>7.011766975308642E-3</v>
      </c>
      <c r="AJ266" s="235">
        <f>tabParametros[[#This Row],[FGTS]]*tabParametros[[#This Row],[Aviso Prévio Indenizado (API) e Reflexo do Aviso Prévio Indenizado]]</f>
        <v>5.609413580246914E-4</v>
      </c>
      <c r="AK266" s="235">
        <f>tabParametros[[#This Row],[FGTS]]*tabParametros[[#This Row],[Aviso Prévio Indenizado (API) e Reflexo do Aviso Prévio Indenizado]]*40%</f>
        <v>2.2437654320987658E-4</v>
      </c>
      <c r="AL266" s="233">
        <f t="shared" si="47"/>
        <v>3.5000000000000005E-3</v>
      </c>
      <c r="AM266" s="233">
        <f>tabParametros[[#This Row],[Aviso Prévio Trabalhado - APT]]*SUM(tabParametros[[#This Row],[INSS]:[SEBRAE]])</f>
        <v>1.3230000000000004E-3</v>
      </c>
      <c r="AN266" s="233">
        <f t="shared" si="48"/>
        <v>3.0577777777777773E-2</v>
      </c>
      <c r="AO266" s="233">
        <f t="shared" si="49"/>
        <v>8.3333333333333339E-4</v>
      </c>
      <c r="AP266" s="233">
        <f t="shared" si="50"/>
        <v>8.4444444444444437E-3</v>
      </c>
      <c r="AQ266" s="233">
        <f t="shared" si="51"/>
        <v>2.0277777777777777E-3</v>
      </c>
      <c r="AR266" s="233">
        <f t="shared" si="52"/>
        <v>1.7083333333333333E-4</v>
      </c>
      <c r="AS266" s="233">
        <f t="shared" si="53"/>
        <v>2.0833333333333335E-4</v>
      </c>
      <c r="AT266" s="233">
        <f t="shared" si="54"/>
        <v>1.2962962962962963E-3</v>
      </c>
      <c r="AU266" s="235">
        <f>SUM(tabParametros[[#This Row],[Ausência por Doença]:[Férias, Adicional de Férias e 13º  com empregada em gozo de Licença Maternidade]])*SUM(tabParametros[[#This Row],[INSS]:[SEBRAE]])</f>
        <v>4.5918250000000008E-3</v>
      </c>
      <c r="AV266"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266" s="232">
        <f>IF(tabParametros[[#This Row],[Vagas contratadas]]&gt;0,(SUM(tabParametros[[#This Row],[Salário Base]:[Adicional de Acúmulo de função]])*30%+SUM(tabParametros[[#This Row],[Vale - Alimentação]:[Seguro de Vida]]))/tabParametros[[#This Row],[Vagas contratadas]]*tabParametros[[#This Row],[Vagas suspensas]],0)</f>
        <v>0</v>
      </c>
      <c r="AX266" s="232">
        <f>SUMIF(tabUniformes[Cargo],tabParametros[[#This Row],[Função]],tabUniformes[Valor unit. Mensal])</f>
        <v>56.642978962543395</v>
      </c>
      <c r="AY26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6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6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6" s="232">
        <v>0</v>
      </c>
      <c r="BC266" s="234" t="e">
        <f ca="1">VLOOKUP(tabParametros[[#Headers],[Custos Indiretos]],tabOutrosCustos[],3,0)</f>
        <v>#NAME?</v>
      </c>
      <c r="BD266" s="234" t="e">
        <f ca="1">VLOOKUP(tabParametros[[#Headers],[Lucro]],tabOutrosCustos[],3,0)</f>
        <v>#NAME?</v>
      </c>
      <c r="BE266" s="233">
        <f>VLOOKUP(tabParametros[[#Headers],[COFINS]],tabImpostosNacionais[],2,0)</f>
        <v>7.5999999999999998E-2</v>
      </c>
      <c r="BF266" s="233">
        <f>VLOOKUP(tabParametros[[#Headers],[PIS]],tabImpostosNacionais[],2,0)</f>
        <v>1.6500000000000001E-2</v>
      </c>
      <c r="BG266" s="233">
        <f>VLOOKUP(tabParametros[[#This Row],[Comarca]],tabComarca[],4,0)</f>
        <v>0.02</v>
      </c>
      <c r="BH266" s="236">
        <f>VLOOKUP(tabParametros[[#This Row],[CCT DA CATEGORIA]],tabSindicatos[],11,0)</f>
        <v>45658</v>
      </c>
      <c r="BI266" s="282" t="str">
        <f>VLOOKUP(tabParametros[[#This Row],[CCT DA CATEGORIA]],tabSindicatos[],12,0)</f>
        <v>-</v>
      </c>
      <c r="BJ266" s="285" t="str">
        <f>VLOOKUP(tabParametros[[#This Row],[CCT DA CATEGORIA]],tabSindicatos[],13,0)</f>
        <v>-</v>
      </c>
    </row>
    <row r="267" spans="1:62">
      <c r="A267" s="231" t="s">
        <v>1505</v>
      </c>
      <c r="B267" s="197" t="s">
        <v>1192</v>
      </c>
      <c r="C267" s="197" t="s">
        <v>200</v>
      </c>
      <c r="D267" s="197" t="str">
        <f>VLOOKUP(tabParametros[[#This Row],[Código do Posto]],tabPostos[],4,0)</f>
        <v>Sind - Asseio</v>
      </c>
      <c r="E267" s="282" t="str">
        <f>VLOOKUP(tabParametros[[#This Row],[Código do Posto]],tabPostos[],5,0)</f>
        <v>Apoio</v>
      </c>
      <c r="F267" s="282" t="str">
        <f>VLOOKUP(tabParametros[[#This Row],[Código do Posto]],tabPostos[],6,0)</f>
        <v>PGJ</v>
      </c>
      <c r="G267" s="282">
        <f>VLOOKUP(tabParametros[[#This Row],[Código do Posto]],tabPostos[],7,0)</f>
        <v>3</v>
      </c>
      <c r="H267" s="282">
        <f>VLOOKUP(tabParametros[[#This Row],[Código do Posto]],tabPostos[],8,0)</f>
        <v>0</v>
      </c>
      <c r="I267" s="232">
        <f>VLOOKUP(tabParametros[[#This Row],[Código do Posto]],tabPostos[],9,0)</f>
        <v>1649.1153464738998</v>
      </c>
      <c r="J267" s="232">
        <f>IF(ISNUMBER(SEARCH("Eletricista",tabParametros[[#This Row],[Função]],1)),0.3*tabParametros[[#This Row],[Salário Base]],0)</f>
        <v>0</v>
      </c>
      <c r="K26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67" s="232">
        <f>IF(AND(ISNUMBER(SEARCH("Noturno",tabParametros[[#This Row],[Função]],1)),tabParametros[[#This Row],[Comarca]]&lt;&gt;"Juiz de Fora"),tabParametros[[#This Row],[Salário Base]]/210*0.39*7*15.5,IF(ISNUMBER(SEARCH("Noturno",tabParametros[[#This Row],[Função]],1)),tabParametros[[#This Row],[Salário Base]]/210*0.2*8*15.5,0))</f>
        <v>0</v>
      </c>
      <c r="M267" s="232">
        <f>IF(ISNUMBER(SEARCH("Motorista II",tabParametros[[#This Row],[Função]],1)),0.3022*tabParametros[[#This Row],[Salário Base]],0)</f>
        <v>0</v>
      </c>
      <c r="N267" s="254">
        <v>0</v>
      </c>
      <c r="O267" s="254">
        <f>IF(ISNUMBER(SEARCH("TECNOLOGIA DA INFORMACAO",tabParametros[[#This Row],[Função]],1)),0.056*tabParametros[[#This Row],[Salário Base]],0)</f>
        <v>0</v>
      </c>
      <c r="P267" s="232">
        <f>IF(tabParametros[[#This Row],[Função]]="Operador de Midia Audiovisual - 150 h",tabParametros[[#This Row],[Salário Base]]/150*50*30%,IF(tabParametros[[#This Row],[Função]]="Supervisor de Manutencao de Veiculos II - 220 h",12%*tabParametros[[#This Row],[Salário Base]],0))</f>
        <v>0</v>
      </c>
      <c r="Q267" s="233">
        <f>VLOOKUP(tabParametros[[#Headers],[INSS]],tabImpostosNacionais[],2,0)</f>
        <v>0.2</v>
      </c>
      <c r="R267" s="233">
        <f>VLOOKUP(tabParametros[[#Headers],[SESI OU SESC]],tabImpostosNacionais[],2,0)</f>
        <v>1.4999999999999999E-2</v>
      </c>
      <c r="S267" s="233">
        <f>VLOOKUP(tabParametros[[#Headers],[SENAI OU SENAC]],tabImpostosNacionais[],2,0)</f>
        <v>0.01</v>
      </c>
      <c r="T267" s="233">
        <f>VLOOKUP(tabParametros[[#Headers],[INCRA]],tabImpostosNacionais[],2,0)</f>
        <v>2E-3</v>
      </c>
      <c r="U267" s="233">
        <f>VLOOKUP(tabParametros[[#Headers],[Salário Educação]],tabImpostosNacionais[],2,0)</f>
        <v>2.5000000000000001E-2</v>
      </c>
      <c r="V267" s="233">
        <f>VLOOKUP(tabParametros[[#Headers],[FGTS]],tabImpostosNacionais[],2,0)</f>
        <v>0.08</v>
      </c>
      <c r="W267" s="233">
        <f>VLOOKUP(tabParametros[[#Headers],[RAT Ajustado]],tabImpostosNacionais[],2,0)</f>
        <v>0.04</v>
      </c>
      <c r="X267" s="233">
        <f>VLOOKUP(tabParametros[[#Headers],[SEBRAE]],tabImpostosNacionais[],2,0)</f>
        <v>6.0000000000000001E-3</v>
      </c>
      <c r="Y267" s="233">
        <f t="shared" si="44"/>
        <v>8.3333333333333329E-2</v>
      </c>
      <c r="Z267" s="233">
        <f t="shared" si="45"/>
        <v>0.1111111111111111</v>
      </c>
      <c r="AA267" s="232">
        <f>VLOOKUP(tabParametros[[#This Row],[Comarca]],tabComarca[],5,0)</f>
        <v>6.4</v>
      </c>
      <c r="AB267" s="232">
        <f>VLOOKUP(tabParametros[[#This Row],[CCT DA CATEGORIA]],tabSindicatos[],6,0)</f>
        <v>29.15</v>
      </c>
      <c r="AC267" s="232">
        <f>VLOOKUP(tabParametros[[#This Row],[CCT DA CATEGORIA]],tabSindicatos[],7,0)</f>
        <v>0</v>
      </c>
      <c r="AD267" s="232" cm="1">
        <f t="array" ref="AD26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67" s="232">
        <f>VLOOKUP(tabParametros[[#This Row],[CCT DA CATEGORIA]],tabSindicatos[],9,0)</f>
        <v>0</v>
      </c>
      <c r="AF267" s="232">
        <f>VLOOKUP(tabParametros[[#This Row],[CCT DA CATEGORIA]],tabSindicatos[],10,0)</f>
        <v>0</v>
      </c>
      <c r="AG267" s="234">
        <f>VLOOKUP(tabParametros[[#Headers],[Seguro de Vida]],tabOutrosCustos[],3,0)</f>
        <v>3.36</v>
      </c>
      <c r="AH267" s="234">
        <f>IF(ISNUMBER(SEARCH("MOTORISTA",tabParametros[[#This Row],[Função]],1)),VLOOKUP("MOTORISTAS",tabDiarias[],2,0),IF(tabParametros[[#This Row],[Comarca]]="Belo Horizonte",VLOOKUP("APOIO",tabDiarias[],2,0),0))</f>
        <v>0</v>
      </c>
      <c r="AI267" s="233">
        <f t="shared" si="46"/>
        <v>7.011766975308642E-3</v>
      </c>
      <c r="AJ267" s="235">
        <f>tabParametros[[#This Row],[FGTS]]*tabParametros[[#This Row],[Aviso Prévio Indenizado (API) e Reflexo do Aviso Prévio Indenizado]]</f>
        <v>5.609413580246914E-4</v>
      </c>
      <c r="AK267" s="235">
        <f>tabParametros[[#This Row],[FGTS]]*tabParametros[[#This Row],[Aviso Prévio Indenizado (API) e Reflexo do Aviso Prévio Indenizado]]*40%</f>
        <v>2.2437654320987658E-4</v>
      </c>
      <c r="AL267" s="233">
        <f t="shared" si="47"/>
        <v>3.5000000000000005E-3</v>
      </c>
      <c r="AM267" s="233">
        <f>tabParametros[[#This Row],[Aviso Prévio Trabalhado - APT]]*SUM(tabParametros[[#This Row],[INSS]:[SEBRAE]])</f>
        <v>1.3230000000000004E-3</v>
      </c>
      <c r="AN267" s="233">
        <f t="shared" si="48"/>
        <v>3.0577777777777773E-2</v>
      </c>
      <c r="AO267" s="233">
        <f t="shared" si="49"/>
        <v>8.3333333333333339E-4</v>
      </c>
      <c r="AP267" s="233">
        <f t="shared" si="50"/>
        <v>8.4444444444444437E-3</v>
      </c>
      <c r="AQ267" s="233">
        <f t="shared" si="51"/>
        <v>2.0277777777777777E-3</v>
      </c>
      <c r="AR267" s="233">
        <f t="shared" si="52"/>
        <v>1.7083333333333333E-4</v>
      </c>
      <c r="AS267" s="233">
        <f t="shared" si="53"/>
        <v>2.0833333333333335E-4</v>
      </c>
      <c r="AT267" s="233">
        <f t="shared" si="54"/>
        <v>1.2962962962962963E-3</v>
      </c>
      <c r="AU267" s="235">
        <f>SUM(tabParametros[[#This Row],[Ausência por Doença]:[Férias, Adicional de Férias e 13º  com empregada em gozo de Licença Maternidade]])*SUM(tabParametros[[#This Row],[INSS]:[SEBRAE]])</f>
        <v>4.5918250000000008E-3</v>
      </c>
      <c r="AV267" s="254">
        <f>IF(tabParametros[[#This Row],[Função]]="Porteiro - 220 h",SUM(tabParametros[[#This Row],[Salário Base]:[Adicional de Acúmulo de função]])/220*20*1.5,IF(ISNUMBER(SEARCH("12 x 36",tabParametros[[#This Row],[Função]],1)),SUM(tabParametros[[#This Row],[Salário Base]:[Adicional de Acúmulo de função]])/210*15.5*1.5,0))</f>
        <v>0</v>
      </c>
      <c r="AW267" s="232">
        <f>IF(tabParametros[[#This Row],[Vagas contratadas]]&gt;0,(SUM(tabParametros[[#This Row],[Salário Base]:[Adicional de Acúmulo de função]])*30%+SUM(tabParametros[[#This Row],[Vale - Alimentação]:[Seguro de Vida]]))/tabParametros[[#This Row],[Vagas contratadas]]*tabParametros[[#This Row],[Vagas suspensas]],0)</f>
        <v>0</v>
      </c>
      <c r="AX267" s="232">
        <f>SUMIF(tabUniformes[Cargo],tabParametros[[#This Row],[Função]],tabUniformes[Valor unit. Mensal])</f>
        <v>56.141713661989918</v>
      </c>
      <c r="AY26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6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6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7" s="232">
        <v>0</v>
      </c>
      <c r="BC267" s="234" t="e">
        <f ca="1">VLOOKUP(tabParametros[[#Headers],[Custos Indiretos]],tabOutrosCustos[],3,0)</f>
        <v>#NAME?</v>
      </c>
      <c r="BD267" s="234" t="e">
        <f ca="1">VLOOKUP(tabParametros[[#Headers],[Lucro]],tabOutrosCustos[],3,0)</f>
        <v>#NAME?</v>
      </c>
      <c r="BE267" s="233">
        <f>VLOOKUP(tabParametros[[#Headers],[COFINS]],tabImpostosNacionais[],2,0)</f>
        <v>7.5999999999999998E-2</v>
      </c>
      <c r="BF267" s="233">
        <f>VLOOKUP(tabParametros[[#Headers],[PIS]],tabImpostosNacionais[],2,0)</f>
        <v>1.6500000000000001E-2</v>
      </c>
      <c r="BG267" s="233">
        <f>VLOOKUP(tabParametros[[#This Row],[Comarca]],tabComarca[],4,0)</f>
        <v>0.05</v>
      </c>
      <c r="BH267" s="236">
        <f>VLOOKUP(tabParametros[[#This Row],[CCT DA CATEGORIA]],tabSindicatos[],11,0)</f>
        <v>45658</v>
      </c>
      <c r="BI267" s="282" t="str">
        <f>VLOOKUP(tabParametros[[#This Row],[CCT DA CATEGORIA]],tabSindicatos[],12,0)</f>
        <v>-</v>
      </c>
      <c r="BJ267" s="285" t="str">
        <f>VLOOKUP(tabParametros[[#This Row],[CCT DA CATEGORIA]],tabSindicatos[],13,0)</f>
        <v>-</v>
      </c>
    </row>
    <row r="268" spans="1:62">
      <c r="A268" s="231" t="s">
        <v>1893</v>
      </c>
      <c r="B268" s="197" t="s">
        <v>1192</v>
      </c>
      <c r="C268" s="197" t="s">
        <v>254</v>
      </c>
      <c r="D268" s="197" t="str">
        <f>VLOOKUP(tabParametros[[#This Row],[Código do Posto]],tabPostos[],4,0)</f>
        <v>Sind - Asseio</v>
      </c>
      <c r="E268" s="282" t="str">
        <f>VLOOKUP(tabParametros[[#This Row],[Código do Posto]],tabPostos[],5,0)</f>
        <v>Apoio</v>
      </c>
      <c r="F268" s="282" t="str">
        <f>VLOOKUP(tabParametros[[#This Row],[Código do Posto]],tabPostos[],6,0)</f>
        <v>PGJ</v>
      </c>
      <c r="G268" s="282">
        <f>VLOOKUP(tabParametros[[#This Row],[Código do Posto]],tabPostos[],7,0)</f>
        <v>1</v>
      </c>
      <c r="H268" s="282">
        <f>VLOOKUP(tabParametros[[#This Row],[Código do Posto]],tabPostos[],8,0)</f>
        <v>0</v>
      </c>
      <c r="I268" s="232">
        <f>VLOOKUP(tabParametros[[#This Row],[Código do Posto]],tabPostos[],9,0)</f>
        <v>2463.2933579678438</v>
      </c>
      <c r="J268" s="232">
        <f>IF(ISNUMBER(SEARCH("Eletricista",tabParametros[[#This Row],[Função]],1)),0.3*tabParametros[[#This Row],[Salário Base]],0)</f>
        <v>0</v>
      </c>
      <c r="K26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68" s="232">
        <f>IF(AND(ISNUMBER(SEARCH("Noturno",tabParametros[[#This Row],[Função]],1)),tabParametros[[#This Row],[Comarca]]&lt;&gt;"Juiz de Fora"),tabParametros[[#This Row],[Salário Base]]/210*0.39*7*15.5,IF(ISNUMBER(SEARCH("Noturno",tabParametros[[#This Row],[Função]],1)),tabParametros[[#This Row],[Salário Base]]/210*0.2*8*15.5,0))</f>
        <v>0</v>
      </c>
      <c r="M268" s="232">
        <f>IF(ISNUMBER(SEARCH("Motorista II",tabParametros[[#This Row],[Função]],1)),0.3022*tabParametros[[#This Row],[Salário Base]],0)</f>
        <v>0</v>
      </c>
      <c r="N268" s="254">
        <v>0</v>
      </c>
      <c r="O268" s="254">
        <f>IF(ISNUMBER(SEARCH("TECNOLOGIA DA INFORMACAO",tabParametros[[#This Row],[Função]],1)),0.056*tabParametros[[#This Row],[Salário Base]],0)</f>
        <v>0</v>
      </c>
      <c r="P268" s="232">
        <f>IF(tabParametros[[#This Row],[Função]]="Operador de Midia Audiovisual - 150 h",tabParametros[[#This Row],[Salário Base]]/150*50*30%,IF(tabParametros[[#This Row],[Função]]="Supervisor de Manutencao de Veiculos II - 220 h",12%*tabParametros[[#This Row],[Salário Base]],0))</f>
        <v>0</v>
      </c>
      <c r="Q268" s="233">
        <f>VLOOKUP(tabParametros[[#Headers],[INSS]],tabImpostosNacionais[],2,0)</f>
        <v>0.2</v>
      </c>
      <c r="R268" s="233">
        <f>VLOOKUP(tabParametros[[#Headers],[SESI OU SESC]],tabImpostosNacionais[],2,0)</f>
        <v>1.4999999999999999E-2</v>
      </c>
      <c r="S268" s="233">
        <f>VLOOKUP(tabParametros[[#Headers],[SENAI OU SENAC]],tabImpostosNacionais[],2,0)</f>
        <v>0.01</v>
      </c>
      <c r="T268" s="233">
        <f>VLOOKUP(tabParametros[[#Headers],[INCRA]],tabImpostosNacionais[],2,0)</f>
        <v>2E-3</v>
      </c>
      <c r="U268" s="233">
        <f>VLOOKUP(tabParametros[[#Headers],[Salário Educação]],tabImpostosNacionais[],2,0)</f>
        <v>2.5000000000000001E-2</v>
      </c>
      <c r="V268" s="233">
        <f>VLOOKUP(tabParametros[[#Headers],[FGTS]],tabImpostosNacionais[],2,0)</f>
        <v>0.08</v>
      </c>
      <c r="W268" s="233">
        <f>VLOOKUP(tabParametros[[#Headers],[RAT Ajustado]],tabImpostosNacionais[],2,0)</f>
        <v>0.04</v>
      </c>
      <c r="X268" s="233">
        <f>VLOOKUP(tabParametros[[#Headers],[SEBRAE]],tabImpostosNacionais[],2,0)</f>
        <v>6.0000000000000001E-3</v>
      </c>
      <c r="Y268" s="233">
        <f t="shared" si="44"/>
        <v>8.3333333333333329E-2</v>
      </c>
      <c r="Z268" s="233">
        <f t="shared" si="45"/>
        <v>0.1111111111111111</v>
      </c>
      <c r="AA268" s="232">
        <f>VLOOKUP(tabParametros[[#This Row],[Comarca]],tabComarca[],5,0)</f>
        <v>6.4</v>
      </c>
      <c r="AB268" s="232">
        <f>VLOOKUP(tabParametros[[#This Row],[CCT DA CATEGORIA]],tabSindicatos[],6,0)</f>
        <v>29.15</v>
      </c>
      <c r="AC268" s="232">
        <f>VLOOKUP(tabParametros[[#This Row],[CCT DA CATEGORIA]],tabSindicatos[],7,0)</f>
        <v>0</v>
      </c>
      <c r="AD268" s="232" cm="1">
        <f t="array" ref="AD26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68" s="232">
        <f>VLOOKUP(tabParametros[[#This Row],[CCT DA CATEGORIA]],tabSindicatos[],9,0)</f>
        <v>0</v>
      </c>
      <c r="AF268" s="232">
        <f>VLOOKUP(tabParametros[[#This Row],[CCT DA CATEGORIA]],tabSindicatos[],10,0)</f>
        <v>0</v>
      </c>
      <c r="AG268" s="234">
        <f>VLOOKUP(tabParametros[[#Headers],[Seguro de Vida]],tabOutrosCustos[],3,0)</f>
        <v>3.36</v>
      </c>
      <c r="AH268" s="234">
        <f>IF(ISNUMBER(SEARCH("MOTORISTA",tabParametros[[#This Row],[Função]],1)),VLOOKUP("MOTORISTAS",tabDiarias[],2,0),IF(tabParametros[[#This Row],[Comarca]]="Belo Horizonte",VLOOKUP("APOIO",tabDiarias[],2,0),0))</f>
        <v>0</v>
      </c>
      <c r="AI268" s="233">
        <f t="shared" si="46"/>
        <v>7.011766975308642E-3</v>
      </c>
      <c r="AJ268" s="235">
        <f>tabParametros[[#This Row],[FGTS]]*tabParametros[[#This Row],[Aviso Prévio Indenizado (API) e Reflexo do Aviso Prévio Indenizado]]</f>
        <v>5.609413580246914E-4</v>
      </c>
      <c r="AK268" s="235">
        <f>tabParametros[[#This Row],[FGTS]]*tabParametros[[#This Row],[Aviso Prévio Indenizado (API) e Reflexo do Aviso Prévio Indenizado]]*40%</f>
        <v>2.2437654320987658E-4</v>
      </c>
      <c r="AL268" s="233">
        <f t="shared" si="47"/>
        <v>3.5000000000000005E-3</v>
      </c>
      <c r="AM268" s="233">
        <f>tabParametros[[#This Row],[Aviso Prévio Trabalhado - APT]]*SUM(tabParametros[[#This Row],[INSS]:[SEBRAE]])</f>
        <v>1.3230000000000004E-3</v>
      </c>
      <c r="AN268" s="233">
        <f t="shared" si="48"/>
        <v>3.0577777777777773E-2</v>
      </c>
      <c r="AO268" s="233">
        <f t="shared" si="49"/>
        <v>8.3333333333333339E-4</v>
      </c>
      <c r="AP268" s="233">
        <f t="shared" si="50"/>
        <v>8.4444444444444437E-3</v>
      </c>
      <c r="AQ268" s="233">
        <f t="shared" si="51"/>
        <v>2.0277777777777777E-3</v>
      </c>
      <c r="AR268" s="233">
        <f t="shared" si="52"/>
        <v>1.7083333333333333E-4</v>
      </c>
      <c r="AS268" s="233">
        <f t="shared" si="53"/>
        <v>2.0833333333333335E-4</v>
      </c>
      <c r="AT268" s="233">
        <f t="shared" si="54"/>
        <v>1.2962962962962963E-3</v>
      </c>
      <c r="AU268" s="235">
        <f>SUM(tabParametros[[#This Row],[Ausência por Doença]:[Férias, Adicional de Férias e 13º  com empregada em gozo de Licença Maternidade]])*SUM(tabParametros[[#This Row],[INSS]:[SEBRAE]])</f>
        <v>4.5918250000000008E-3</v>
      </c>
      <c r="AV268" s="254">
        <f>IF(tabParametros[[#This Row],[Função]]="Porteiro - 220 h",SUM(tabParametros[[#This Row],[Salário Base]:[Adicional de Acúmulo de função]])/220*20*1.5,IF(ISNUMBER(SEARCH("12 x 36",tabParametros[[#This Row],[Função]],1)),SUM(tabParametros[[#This Row],[Salário Base]:[Adicional de Acúmulo de função]])/210*15.5*1.5,0))</f>
        <v>0</v>
      </c>
      <c r="AW268" s="232">
        <f>IF(tabParametros[[#This Row],[Vagas contratadas]]&gt;0,(SUM(tabParametros[[#This Row],[Salário Base]:[Adicional de Acúmulo de função]])*30%+SUM(tabParametros[[#This Row],[Vale - Alimentação]:[Seguro de Vida]]))/tabParametros[[#This Row],[Vagas contratadas]]*tabParametros[[#This Row],[Vagas suspensas]],0)</f>
        <v>0</v>
      </c>
      <c r="AX268" s="232">
        <f>SUMIF(tabUniformes[Cargo],tabParametros[[#This Row],[Função]],tabUniformes[Valor unit. Mensal])</f>
        <v>98.712455192002366</v>
      </c>
      <c r="AY26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6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6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8" s="232">
        <v>0</v>
      </c>
      <c r="BC268" s="234" t="e">
        <f ca="1">VLOOKUP(tabParametros[[#Headers],[Custos Indiretos]],tabOutrosCustos[],3,0)</f>
        <v>#NAME?</v>
      </c>
      <c r="BD268" s="234" t="e">
        <f ca="1">VLOOKUP(tabParametros[[#Headers],[Lucro]],tabOutrosCustos[],3,0)</f>
        <v>#NAME?</v>
      </c>
      <c r="BE268" s="233">
        <f>VLOOKUP(tabParametros[[#Headers],[COFINS]],tabImpostosNacionais[],2,0)</f>
        <v>7.5999999999999998E-2</v>
      </c>
      <c r="BF268" s="233">
        <f>VLOOKUP(tabParametros[[#Headers],[PIS]],tabImpostosNacionais[],2,0)</f>
        <v>1.6500000000000001E-2</v>
      </c>
      <c r="BG268" s="233">
        <f>VLOOKUP(tabParametros[[#This Row],[Comarca]],tabComarca[],4,0)</f>
        <v>0.05</v>
      </c>
      <c r="BH268" s="236">
        <f>VLOOKUP(tabParametros[[#This Row],[CCT DA CATEGORIA]],tabSindicatos[],11,0)</f>
        <v>45658</v>
      </c>
      <c r="BI268" s="282" t="str">
        <f>VLOOKUP(tabParametros[[#This Row],[CCT DA CATEGORIA]],tabSindicatos[],12,0)</f>
        <v>-</v>
      </c>
      <c r="BJ268" s="285" t="str">
        <f>VLOOKUP(tabParametros[[#This Row],[CCT DA CATEGORIA]],tabSindicatos[],13,0)</f>
        <v>-</v>
      </c>
    </row>
    <row r="269" spans="1:62">
      <c r="A269" s="231" t="s">
        <v>1687</v>
      </c>
      <c r="B269" s="197" t="s">
        <v>1192</v>
      </c>
      <c r="C269" s="197" t="s">
        <v>274</v>
      </c>
      <c r="D269" s="197" t="str">
        <f>VLOOKUP(tabParametros[[#This Row],[Código do Posto]],tabPostos[],4,0)</f>
        <v>Rodoviarios de RMBH + SEAC-MG</v>
      </c>
      <c r="E269" s="282" t="str">
        <f>VLOOKUP(tabParametros[[#This Row],[Código do Posto]],tabPostos[],5,0)</f>
        <v>Apoio</v>
      </c>
      <c r="F269" s="282" t="str">
        <f>VLOOKUP(tabParametros[[#This Row],[Código do Posto]],tabPostos[],6,0)</f>
        <v>PGJ</v>
      </c>
      <c r="G269" s="282">
        <f>VLOOKUP(tabParametros[[#This Row],[Código do Posto]],tabPostos[],7,0)</f>
        <v>2</v>
      </c>
      <c r="H269" s="282">
        <f>VLOOKUP(tabParametros[[#This Row],[Código do Posto]],tabPostos[],8,0)</f>
        <v>0</v>
      </c>
      <c r="I269" s="232">
        <f>VLOOKUP(tabParametros[[#This Row],[Código do Posto]],tabPostos[],9,0)</f>
        <v>4465.6282221988586</v>
      </c>
      <c r="J269" s="232">
        <f>IF(ISNUMBER(SEARCH("Eletricista",tabParametros[[#This Row],[Função]],1)),0.3*tabParametros[[#This Row],[Salário Base]],0)</f>
        <v>0</v>
      </c>
      <c r="K26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69" s="232">
        <f>IF(AND(ISNUMBER(SEARCH("Noturno",tabParametros[[#This Row],[Função]],1)),tabParametros[[#This Row],[Comarca]]&lt;&gt;"Juiz de Fora"),tabParametros[[#This Row],[Salário Base]]/210*0.39*7*15.5,IF(ISNUMBER(SEARCH("Noturno",tabParametros[[#This Row],[Função]],1)),tabParametros[[#This Row],[Salário Base]]/210*0.2*8*15.5,0))</f>
        <v>0</v>
      </c>
      <c r="M269" s="232">
        <f>IF(ISNUMBER(SEARCH("Motorista II",tabParametros[[#This Row],[Função]],1)),0.3022*tabParametros[[#This Row],[Salário Base]],0)</f>
        <v>0</v>
      </c>
      <c r="N269" s="254">
        <v>0</v>
      </c>
      <c r="O269" s="254">
        <f>IF(ISNUMBER(SEARCH("TECNOLOGIA DA INFORMACAO",tabParametros[[#This Row],[Função]],1)),0.056*tabParametros[[#This Row],[Salário Base]],0)</f>
        <v>0</v>
      </c>
      <c r="P269" s="232">
        <f>IF(tabParametros[[#This Row],[Função]]="Operador de Midia Audiovisual - 150 h",tabParametros[[#This Row],[Salário Base]]/150*50*30%,IF(tabParametros[[#This Row],[Função]]="Supervisor de Manutencao de Veiculos II - 220 h",12%*tabParametros[[#This Row],[Salário Base]],0))</f>
        <v>0</v>
      </c>
      <c r="Q269" s="233">
        <f>VLOOKUP(tabParametros[[#Headers],[INSS]],tabImpostosNacionais[],2,0)</f>
        <v>0.2</v>
      </c>
      <c r="R269" s="233">
        <f>VLOOKUP(tabParametros[[#Headers],[SESI OU SESC]],tabImpostosNacionais[],2,0)</f>
        <v>1.4999999999999999E-2</v>
      </c>
      <c r="S269" s="233">
        <f>VLOOKUP(tabParametros[[#Headers],[SENAI OU SENAC]],tabImpostosNacionais[],2,0)</f>
        <v>0.01</v>
      </c>
      <c r="T269" s="233">
        <f>VLOOKUP(tabParametros[[#Headers],[INCRA]],tabImpostosNacionais[],2,0)</f>
        <v>2E-3</v>
      </c>
      <c r="U269" s="233">
        <f>VLOOKUP(tabParametros[[#Headers],[Salário Educação]],tabImpostosNacionais[],2,0)</f>
        <v>2.5000000000000001E-2</v>
      </c>
      <c r="V269" s="233">
        <f>VLOOKUP(tabParametros[[#Headers],[FGTS]],tabImpostosNacionais[],2,0)</f>
        <v>0.08</v>
      </c>
      <c r="W269" s="233">
        <f>VLOOKUP(tabParametros[[#Headers],[RAT Ajustado]],tabImpostosNacionais[],2,0)</f>
        <v>0.04</v>
      </c>
      <c r="X269" s="233">
        <f>VLOOKUP(tabParametros[[#Headers],[SEBRAE]],tabImpostosNacionais[],2,0)</f>
        <v>6.0000000000000001E-3</v>
      </c>
      <c r="Y269" s="233">
        <f t="shared" si="44"/>
        <v>8.3333333333333329E-2</v>
      </c>
      <c r="Z269" s="233">
        <f t="shared" si="45"/>
        <v>0.1111111111111111</v>
      </c>
      <c r="AA269" s="232">
        <f>VLOOKUP(tabParametros[[#This Row],[Comarca]],tabComarca[],5,0)</f>
        <v>6.4</v>
      </c>
      <c r="AB269" s="232">
        <f>VLOOKUP(tabParametros[[#This Row],[CCT DA CATEGORIA]],tabSindicatos[],6,0)</f>
        <v>28.97</v>
      </c>
      <c r="AC269" s="232">
        <f>VLOOKUP(tabParametros[[#This Row],[CCT DA CATEGORIA]],tabSindicatos[],7,0)</f>
        <v>0</v>
      </c>
      <c r="AD269" s="232" cm="1">
        <f t="array" ref="AD26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269" s="232">
        <f>VLOOKUP(tabParametros[[#This Row],[CCT DA CATEGORIA]],tabSindicatos[],9,0)</f>
        <v>0</v>
      </c>
      <c r="AF269" s="232">
        <f>VLOOKUP(tabParametros[[#This Row],[CCT DA CATEGORIA]],tabSindicatos[],10,0)</f>
        <v>0</v>
      </c>
      <c r="AG269" s="234">
        <f>VLOOKUP(tabParametros[[#Headers],[Seguro de Vida]],tabOutrosCustos[],3,0)</f>
        <v>3.36</v>
      </c>
      <c r="AH269" s="234">
        <f>IF(ISNUMBER(SEARCH("MOTORISTA",tabParametros[[#This Row],[Função]],1)),VLOOKUP("MOTORISTAS",tabDiarias[],2,0),IF(tabParametros[[#This Row],[Comarca]]="Belo Horizonte",VLOOKUP("APOIO",tabDiarias[],2,0),0))</f>
        <v>662.42</v>
      </c>
      <c r="AI269" s="233">
        <f t="shared" si="46"/>
        <v>7.011766975308642E-3</v>
      </c>
      <c r="AJ269" s="235">
        <f>tabParametros[[#This Row],[FGTS]]*tabParametros[[#This Row],[Aviso Prévio Indenizado (API) e Reflexo do Aviso Prévio Indenizado]]</f>
        <v>5.609413580246914E-4</v>
      </c>
      <c r="AK269" s="235">
        <f>tabParametros[[#This Row],[FGTS]]*tabParametros[[#This Row],[Aviso Prévio Indenizado (API) e Reflexo do Aviso Prévio Indenizado]]*40%</f>
        <v>2.2437654320987658E-4</v>
      </c>
      <c r="AL269" s="233">
        <f t="shared" si="47"/>
        <v>3.5000000000000005E-3</v>
      </c>
      <c r="AM269" s="233">
        <f>tabParametros[[#This Row],[Aviso Prévio Trabalhado - APT]]*SUM(tabParametros[[#This Row],[INSS]:[SEBRAE]])</f>
        <v>1.3230000000000004E-3</v>
      </c>
      <c r="AN269" s="233">
        <f t="shared" si="48"/>
        <v>3.0577777777777773E-2</v>
      </c>
      <c r="AO269" s="233">
        <f t="shared" si="49"/>
        <v>8.3333333333333339E-4</v>
      </c>
      <c r="AP269" s="233">
        <f t="shared" si="50"/>
        <v>8.4444444444444437E-3</v>
      </c>
      <c r="AQ269" s="233">
        <f t="shared" si="51"/>
        <v>2.0277777777777777E-3</v>
      </c>
      <c r="AR269" s="233">
        <f t="shared" si="52"/>
        <v>1.7083333333333333E-4</v>
      </c>
      <c r="AS269" s="233">
        <f t="shared" si="53"/>
        <v>2.0833333333333335E-4</v>
      </c>
      <c r="AT269" s="233">
        <f t="shared" si="54"/>
        <v>1.2962962962962963E-3</v>
      </c>
      <c r="AU269" s="235">
        <f>SUM(tabParametros[[#This Row],[Ausência por Doença]:[Férias, Adicional de Férias e 13º  com empregada em gozo de Licença Maternidade]])*SUM(tabParametros[[#This Row],[INSS]:[SEBRAE]])</f>
        <v>4.5918250000000008E-3</v>
      </c>
      <c r="AV269" s="254">
        <f>IF(tabParametros[[#This Row],[Função]]="Porteiro - 220 h",SUM(tabParametros[[#This Row],[Salário Base]:[Adicional de Acúmulo de função]])/220*20*1.5,IF(ISNUMBER(SEARCH("12 x 36",tabParametros[[#This Row],[Função]],1)),SUM(tabParametros[[#This Row],[Salário Base]:[Adicional de Acúmulo de função]])/210*15.5*1.5,0))</f>
        <v>0</v>
      </c>
      <c r="AW269" s="232">
        <f>IF(tabParametros[[#This Row],[Vagas contratadas]]&gt;0,(SUM(tabParametros[[#This Row],[Salário Base]:[Adicional de Acúmulo de função]])*30%+SUM(tabParametros[[#This Row],[Vale - Alimentação]:[Seguro de Vida]]))/tabParametros[[#This Row],[Vagas contratadas]]*tabParametros[[#This Row],[Vagas suspensas]],0)</f>
        <v>0</v>
      </c>
      <c r="AX269" s="232">
        <f>SUMIF(tabUniformes[Cargo],tabParametros[[#This Row],[Função]],tabUniformes[Valor unit. Mensal])</f>
        <v>92.100763771570698</v>
      </c>
      <c r="AY26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6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6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69" s="232">
        <v>0</v>
      </c>
      <c r="BC269" s="234" t="e">
        <f ca="1">VLOOKUP(tabParametros[[#Headers],[Custos Indiretos]],tabOutrosCustos[],3,0)</f>
        <v>#NAME?</v>
      </c>
      <c r="BD269" s="234" t="e">
        <f ca="1">VLOOKUP(tabParametros[[#Headers],[Lucro]],tabOutrosCustos[],3,0)</f>
        <v>#NAME?</v>
      </c>
      <c r="BE269" s="233">
        <f>VLOOKUP(tabParametros[[#Headers],[COFINS]],tabImpostosNacionais[],2,0)</f>
        <v>7.5999999999999998E-2</v>
      </c>
      <c r="BF269" s="233">
        <f>VLOOKUP(tabParametros[[#Headers],[PIS]],tabImpostosNacionais[],2,0)</f>
        <v>1.6500000000000001E-2</v>
      </c>
      <c r="BG269" s="233">
        <f>VLOOKUP(tabParametros[[#This Row],[Comarca]],tabComarca[],4,0)</f>
        <v>0.05</v>
      </c>
      <c r="BH269" s="236">
        <f>VLOOKUP(tabParametros[[#This Row],[CCT DA CATEGORIA]],tabSindicatos[],11,0)</f>
        <v>45658</v>
      </c>
      <c r="BI269" s="282" t="str">
        <f>VLOOKUP(tabParametros[[#This Row],[CCT DA CATEGORIA]],tabSindicatos[],12,0)</f>
        <v>-</v>
      </c>
      <c r="BJ269" s="285" t="str">
        <f>VLOOKUP(tabParametros[[#This Row],[CCT DA CATEGORIA]],tabSindicatos[],13,0)</f>
        <v>-</v>
      </c>
    </row>
    <row r="270" spans="1:62">
      <c r="A270" s="231" t="s">
        <v>1506</v>
      </c>
      <c r="B270" s="197" t="s">
        <v>1192</v>
      </c>
      <c r="C270" s="197" t="s">
        <v>314</v>
      </c>
      <c r="D270" s="197" t="str">
        <f>VLOOKUP(tabParametros[[#This Row],[Código do Posto]],tabPostos[],4,0)</f>
        <v>Sind - Asseio</v>
      </c>
      <c r="E270" s="282" t="str">
        <f>VLOOKUP(tabParametros[[#This Row],[Código do Posto]],tabPostos[],5,0)</f>
        <v>Apoio</v>
      </c>
      <c r="F270" s="282" t="str">
        <f>VLOOKUP(tabParametros[[#This Row],[Código do Posto]],tabPostos[],6,0)</f>
        <v>PGJ</v>
      </c>
      <c r="G270" s="282">
        <f>VLOOKUP(tabParametros[[#This Row],[Código do Posto]],tabPostos[],7,0)</f>
        <v>1</v>
      </c>
      <c r="H270" s="282">
        <f>VLOOKUP(tabParametros[[#This Row],[Código do Posto]],tabPostos[],8,0)</f>
        <v>0</v>
      </c>
      <c r="I270" s="232">
        <f>VLOOKUP(tabParametros[[#This Row],[Código do Posto]],tabPostos[],9,0)</f>
        <v>2134.8034899326635</v>
      </c>
      <c r="J270" s="232">
        <f>IF(ISNUMBER(SEARCH("Eletricista",tabParametros[[#This Row],[Função]],1)),0.3*tabParametros[[#This Row],[Salário Base]],0)</f>
        <v>0</v>
      </c>
      <c r="K27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0" s="232">
        <f>IF(AND(ISNUMBER(SEARCH("Noturno",tabParametros[[#This Row],[Função]],1)),tabParametros[[#This Row],[Comarca]]&lt;&gt;"Juiz de Fora"),tabParametros[[#This Row],[Salário Base]]/210*0.39*7*15.5,IF(ISNUMBER(SEARCH("Noturno",tabParametros[[#This Row],[Função]],1)),tabParametros[[#This Row],[Salário Base]]/210*0.2*8*15.5,0))</f>
        <v>0</v>
      </c>
      <c r="M270" s="232">
        <f>IF(ISNUMBER(SEARCH("Motorista II",tabParametros[[#This Row],[Função]],1)),0.3022*tabParametros[[#This Row],[Salário Base]],0)</f>
        <v>0</v>
      </c>
      <c r="N270" s="254">
        <v>0</v>
      </c>
      <c r="O270" s="254">
        <f>IF(ISNUMBER(SEARCH("TECNOLOGIA DA INFORMACAO",tabParametros[[#This Row],[Função]],1)),0.056*tabParametros[[#This Row],[Salário Base]],0)</f>
        <v>0</v>
      </c>
      <c r="P270" s="232">
        <f>IF(tabParametros[[#This Row],[Função]]="Operador de Midia Audiovisual - 150 h",tabParametros[[#This Row],[Salário Base]]/150*50*30%,IF(tabParametros[[#This Row],[Função]]="Supervisor de Manutencao de Veiculos II - 220 h",12%*tabParametros[[#This Row],[Salário Base]],0))</f>
        <v>0</v>
      </c>
      <c r="Q270" s="233">
        <f>VLOOKUP(tabParametros[[#Headers],[INSS]],tabImpostosNacionais[],2,0)</f>
        <v>0.2</v>
      </c>
      <c r="R270" s="233">
        <f>VLOOKUP(tabParametros[[#Headers],[SESI OU SESC]],tabImpostosNacionais[],2,0)</f>
        <v>1.4999999999999999E-2</v>
      </c>
      <c r="S270" s="233">
        <f>VLOOKUP(tabParametros[[#Headers],[SENAI OU SENAC]],tabImpostosNacionais[],2,0)</f>
        <v>0.01</v>
      </c>
      <c r="T270" s="233">
        <f>VLOOKUP(tabParametros[[#Headers],[INCRA]],tabImpostosNacionais[],2,0)</f>
        <v>2E-3</v>
      </c>
      <c r="U270" s="233">
        <f>VLOOKUP(tabParametros[[#Headers],[Salário Educação]],tabImpostosNacionais[],2,0)</f>
        <v>2.5000000000000001E-2</v>
      </c>
      <c r="V270" s="233">
        <f>VLOOKUP(tabParametros[[#Headers],[FGTS]],tabImpostosNacionais[],2,0)</f>
        <v>0.08</v>
      </c>
      <c r="W270" s="233">
        <f>VLOOKUP(tabParametros[[#Headers],[RAT Ajustado]],tabImpostosNacionais[],2,0)</f>
        <v>0.04</v>
      </c>
      <c r="X270" s="233">
        <f>VLOOKUP(tabParametros[[#Headers],[SEBRAE]],tabImpostosNacionais[],2,0)</f>
        <v>6.0000000000000001E-3</v>
      </c>
      <c r="Y270" s="233">
        <f t="shared" si="44"/>
        <v>8.3333333333333329E-2</v>
      </c>
      <c r="Z270" s="233">
        <f t="shared" si="45"/>
        <v>0.1111111111111111</v>
      </c>
      <c r="AA270" s="232">
        <f>VLOOKUP(tabParametros[[#This Row],[Comarca]],tabComarca[],5,0)</f>
        <v>6.4</v>
      </c>
      <c r="AB270" s="232">
        <f>VLOOKUP(tabParametros[[#This Row],[CCT DA CATEGORIA]],tabSindicatos[],6,0)</f>
        <v>29.15</v>
      </c>
      <c r="AC270" s="232">
        <f>VLOOKUP(tabParametros[[#This Row],[CCT DA CATEGORIA]],tabSindicatos[],7,0)</f>
        <v>0</v>
      </c>
      <c r="AD270" s="232" cm="1">
        <f t="array" ref="AD27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70" s="232">
        <f>VLOOKUP(tabParametros[[#This Row],[CCT DA CATEGORIA]],tabSindicatos[],9,0)</f>
        <v>0</v>
      </c>
      <c r="AF270" s="232">
        <f>VLOOKUP(tabParametros[[#This Row],[CCT DA CATEGORIA]],tabSindicatos[],10,0)</f>
        <v>0</v>
      </c>
      <c r="AG270" s="234">
        <f>VLOOKUP(tabParametros[[#Headers],[Seguro de Vida]],tabOutrosCustos[],3,0)</f>
        <v>3.36</v>
      </c>
      <c r="AH270" s="234">
        <f>IF(ISNUMBER(SEARCH("MOTORISTA",tabParametros[[#This Row],[Função]],1)),VLOOKUP("MOTORISTAS",tabDiarias[],2,0),IF(tabParametros[[#This Row],[Comarca]]="Belo Horizonte",VLOOKUP("APOIO",tabDiarias[],2,0),0))</f>
        <v>0</v>
      </c>
      <c r="AI270" s="233">
        <f t="shared" si="46"/>
        <v>7.011766975308642E-3</v>
      </c>
      <c r="AJ270" s="235">
        <f>tabParametros[[#This Row],[FGTS]]*tabParametros[[#This Row],[Aviso Prévio Indenizado (API) e Reflexo do Aviso Prévio Indenizado]]</f>
        <v>5.609413580246914E-4</v>
      </c>
      <c r="AK270" s="235">
        <f>tabParametros[[#This Row],[FGTS]]*tabParametros[[#This Row],[Aviso Prévio Indenizado (API) e Reflexo do Aviso Prévio Indenizado]]*40%</f>
        <v>2.2437654320987658E-4</v>
      </c>
      <c r="AL270" s="233">
        <f t="shared" si="47"/>
        <v>3.5000000000000005E-3</v>
      </c>
      <c r="AM270" s="233">
        <f>tabParametros[[#This Row],[Aviso Prévio Trabalhado - APT]]*SUM(tabParametros[[#This Row],[INSS]:[SEBRAE]])</f>
        <v>1.3230000000000004E-3</v>
      </c>
      <c r="AN270" s="233">
        <f t="shared" si="48"/>
        <v>3.0577777777777773E-2</v>
      </c>
      <c r="AO270" s="233">
        <f t="shared" si="49"/>
        <v>8.3333333333333339E-4</v>
      </c>
      <c r="AP270" s="233">
        <f t="shared" si="50"/>
        <v>8.4444444444444437E-3</v>
      </c>
      <c r="AQ270" s="233">
        <f t="shared" si="51"/>
        <v>2.0277777777777777E-3</v>
      </c>
      <c r="AR270" s="233">
        <f t="shared" si="52"/>
        <v>1.7083333333333333E-4</v>
      </c>
      <c r="AS270" s="233">
        <f t="shared" si="53"/>
        <v>2.0833333333333335E-4</v>
      </c>
      <c r="AT270" s="233">
        <f t="shared" si="54"/>
        <v>1.2962962962962963E-3</v>
      </c>
      <c r="AU270" s="235">
        <f>SUM(tabParametros[[#This Row],[Ausência por Doença]:[Férias, Adicional de Férias e 13º  com empregada em gozo de Licença Maternidade]])*SUM(tabParametros[[#This Row],[INSS]:[SEBRAE]])</f>
        <v>4.5918250000000008E-3</v>
      </c>
      <c r="AV270" s="254">
        <f>IF(tabParametros[[#This Row],[Função]]="Porteiro - 220 h",SUM(tabParametros[[#This Row],[Salário Base]:[Adicional de Acúmulo de função]])/220*20*1.5,IF(ISNUMBER(SEARCH("12 x 36",tabParametros[[#This Row],[Função]],1)),SUM(tabParametros[[#This Row],[Salário Base]:[Adicional de Acúmulo de função]])/210*15.5*1.5,0))</f>
        <v>291.10956680899955</v>
      </c>
      <c r="AW270" s="232">
        <f>IF(tabParametros[[#This Row],[Vagas contratadas]]&gt;0,(SUM(tabParametros[[#This Row],[Salário Base]:[Adicional de Acúmulo de função]])*30%+SUM(tabParametros[[#This Row],[Vale - Alimentação]:[Seguro de Vida]]))/tabParametros[[#This Row],[Vagas contratadas]]*tabParametros[[#This Row],[Vagas suspensas]],0)</f>
        <v>0</v>
      </c>
      <c r="AX270" s="232">
        <f>SUMIF(tabUniformes[Cargo],tabParametros[[#This Row],[Função]],tabUniformes[Valor unit. Mensal])</f>
        <v>56.642978962543395</v>
      </c>
      <c r="AY27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0" s="232">
        <v>0</v>
      </c>
      <c r="BC270" s="234" t="e">
        <f ca="1">VLOOKUP(tabParametros[[#Headers],[Custos Indiretos]],tabOutrosCustos[],3,0)</f>
        <v>#NAME?</v>
      </c>
      <c r="BD270" s="234" t="e">
        <f ca="1">VLOOKUP(tabParametros[[#Headers],[Lucro]],tabOutrosCustos[],3,0)</f>
        <v>#NAME?</v>
      </c>
      <c r="BE270" s="233">
        <f>VLOOKUP(tabParametros[[#Headers],[COFINS]],tabImpostosNacionais[],2,0)</f>
        <v>7.5999999999999998E-2</v>
      </c>
      <c r="BF270" s="233">
        <f>VLOOKUP(tabParametros[[#Headers],[PIS]],tabImpostosNacionais[],2,0)</f>
        <v>1.6500000000000001E-2</v>
      </c>
      <c r="BG270" s="233">
        <f>VLOOKUP(tabParametros[[#This Row],[Comarca]],tabComarca[],4,0)</f>
        <v>0.05</v>
      </c>
      <c r="BH270" s="236">
        <f>VLOOKUP(tabParametros[[#This Row],[CCT DA CATEGORIA]],tabSindicatos[],11,0)</f>
        <v>45658</v>
      </c>
      <c r="BI270" s="282" t="str">
        <f>VLOOKUP(tabParametros[[#This Row],[CCT DA CATEGORIA]],tabSindicatos[],12,0)</f>
        <v>-</v>
      </c>
      <c r="BJ270" s="285" t="str">
        <f>VLOOKUP(tabParametros[[#This Row],[CCT DA CATEGORIA]],tabSindicatos[],13,0)</f>
        <v>-</v>
      </c>
    </row>
    <row r="271" spans="1:62">
      <c r="A271" s="231" t="s">
        <v>1688</v>
      </c>
      <c r="B271" s="197" t="s">
        <v>1192</v>
      </c>
      <c r="C271" s="197" t="s">
        <v>324</v>
      </c>
      <c r="D271" s="197" t="str">
        <f>VLOOKUP(tabParametros[[#This Row],[Código do Posto]],tabPostos[],4,0)</f>
        <v>Sind - Asseio</v>
      </c>
      <c r="E271" s="282" t="str">
        <f>VLOOKUP(tabParametros[[#This Row],[Código do Posto]],tabPostos[],5,0)</f>
        <v>Apoio</v>
      </c>
      <c r="F271" s="282" t="str">
        <f>VLOOKUP(tabParametros[[#This Row],[Código do Posto]],tabPostos[],6,0)</f>
        <v>PGJ</v>
      </c>
      <c r="G271" s="282">
        <f>VLOOKUP(tabParametros[[#This Row],[Código do Posto]],tabPostos[],7,0)</f>
        <v>2</v>
      </c>
      <c r="H271" s="282">
        <f>VLOOKUP(tabParametros[[#This Row],[Código do Posto]],tabPostos[],8,0)</f>
        <v>0</v>
      </c>
      <c r="I271" s="232">
        <f>VLOOKUP(tabParametros[[#This Row],[Código do Posto]],tabPostos[],9,0)</f>
        <v>3397.1306016921476</v>
      </c>
      <c r="J271" s="232">
        <f>IF(ISNUMBER(SEARCH("Eletricista",tabParametros[[#This Row],[Função]],1)),0.3*tabParametros[[#This Row],[Salário Base]],0)</f>
        <v>0</v>
      </c>
      <c r="K27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1" s="232">
        <f>IF(AND(ISNUMBER(SEARCH("Noturno",tabParametros[[#This Row],[Função]],1)),tabParametros[[#This Row],[Comarca]]&lt;&gt;"Juiz de Fora"),tabParametros[[#This Row],[Salário Base]]/210*0.39*7*15.5,IF(ISNUMBER(SEARCH("Noturno",tabParametros[[#This Row],[Função]],1)),tabParametros[[#This Row],[Salário Base]]/210*0.2*8*15.5,0))</f>
        <v>0</v>
      </c>
      <c r="M271" s="232">
        <f>IF(ISNUMBER(SEARCH("Motorista II",tabParametros[[#This Row],[Função]],1)),0.3022*tabParametros[[#This Row],[Salário Base]],0)</f>
        <v>0</v>
      </c>
      <c r="N271" s="254">
        <v>0</v>
      </c>
      <c r="O271" s="254">
        <f>IF(ISNUMBER(SEARCH("TECNOLOGIA DA INFORMACAO",tabParametros[[#This Row],[Função]],1)),0.056*tabParametros[[#This Row],[Salário Base]],0)</f>
        <v>0</v>
      </c>
      <c r="P271" s="232">
        <f>IF(tabParametros[[#This Row],[Função]]="Operador de Midia Audiovisual - 150 h",tabParametros[[#This Row],[Salário Base]]/150*50*30%,IF(tabParametros[[#This Row],[Função]]="Supervisor de Manutencao de Veiculos II - 220 h",12%*tabParametros[[#This Row],[Salário Base]],0))</f>
        <v>0</v>
      </c>
      <c r="Q271" s="233">
        <f>VLOOKUP(tabParametros[[#Headers],[INSS]],tabImpostosNacionais[],2,0)</f>
        <v>0.2</v>
      </c>
      <c r="R271" s="233">
        <f>VLOOKUP(tabParametros[[#Headers],[SESI OU SESC]],tabImpostosNacionais[],2,0)</f>
        <v>1.4999999999999999E-2</v>
      </c>
      <c r="S271" s="233">
        <f>VLOOKUP(tabParametros[[#Headers],[SENAI OU SENAC]],tabImpostosNacionais[],2,0)</f>
        <v>0.01</v>
      </c>
      <c r="T271" s="233">
        <f>VLOOKUP(tabParametros[[#Headers],[INCRA]],tabImpostosNacionais[],2,0)</f>
        <v>2E-3</v>
      </c>
      <c r="U271" s="233">
        <f>VLOOKUP(tabParametros[[#Headers],[Salário Educação]],tabImpostosNacionais[],2,0)</f>
        <v>2.5000000000000001E-2</v>
      </c>
      <c r="V271" s="233">
        <f>VLOOKUP(tabParametros[[#Headers],[FGTS]],tabImpostosNacionais[],2,0)</f>
        <v>0.08</v>
      </c>
      <c r="W271" s="233">
        <f>VLOOKUP(tabParametros[[#Headers],[RAT Ajustado]],tabImpostosNacionais[],2,0)</f>
        <v>0.04</v>
      </c>
      <c r="X271" s="233">
        <f>VLOOKUP(tabParametros[[#Headers],[SEBRAE]],tabImpostosNacionais[],2,0)</f>
        <v>6.0000000000000001E-3</v>
      </c>
      <c r="Y271" s="233">
        <f t="shared" si="44"/>
        <v>8.3333333333333329E-2</v>
      </c>
      <c r="Z271" s="233">
        <f t="shared" si="45"/>
        <v>0.1111111111111111</v>
      </c>
      <c r="AA271" s="232">
        <f>VLOOKUP(tabParametros[[#This Row],[Comarca]],tabComarca[],5,0)</f>
        <v>6.4</v>
      </c>
      <c r="AB271" s="232">
        <f>VLOOKUP(tabParametros[[#This Row],[CCT DA CATEGORIA]],tabSindicatos[],6,0)</f>
        <v>29.15</v>
      </c>
      <c r="AC271" s="232">
        <f>VLOOKUP(tabParametros[[#This Row],[CCT DA CATEGORIA]],tabSindicatos[],7,0)</f>
        <v>0</v>
      </c>
      <c r="AD271" s="232" cm="1">
        <f t="array" ref="AD27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71" s="232">
        <f>VLOOKUP(tabParametros[[#This Row],[CCT DA CATEGORIA]],tabSindicatos[],9,0)</f>
        <v>0</v>
      </c>
      <c r="AF271" s="232">
        <f>VLOOKUP(tabParametros[[#This Row],[CCT DA CATEGORIA]],tabSindicatos[],10,0)</f>
        <v>0</v>
      </c>
      <c r="AG271" s="234">
        <f>VLOOKUP(tabParametros[[#Headers],[Seguro de Vida]],tabOutrosCustos[],3,0)</f>
        <v>3.36</v>
      </c>
      <c r="AH271" s="234">
        <f>IF(ISNUMBER(SEARCH("MOTORISTA",tabParametros[[#This Row],[Função]],1)),VLOOKUP("MOTORISTAS",tabDiarias[],2,0),IF(tabParametros[[#This Row],[Comarca]]="Belo Horizonte",VLOOKUP("APOIO",tabDiarias[],2,0),0))</f>
        <v>0</v>
      </c>
      <c r="AI271" s="233">
        <f t="shared" si="46"/>
        <v>7.011766975308642E-3</v>
      </c>
      <c r="AJ271" s="235">
        <f>tabParametros[[#This Row],[FGTS]]*tabParametros[[#This Row],[Aviso Prévio Indenizado (API) e Reflexo do Aviso Prévio Indenizado]]</f>
        <v>5.609413580246914E-4</v>
      </c>
      <c r="AK271" s="235">
        <f>tabParametros[[#This Row],[FGTS]]*tabParametros[[#This Row],[Aviso Prévio Indenizado (API) e Reflexo do Aviso Prévio Indenizado]]*40%</f>
        <v>2.2437654320987658E-4</v>
      </c>
      <c r="AL271" s="233">
        <f t="shared" si="47"/>
        <v>3.5000000000000005E-3</v>
      </c>
      <c r="AM271" s="233">
        <f>tabParametros[[#This Row],[Aviso Prévio Trabalhado - APT]]*SUM(tabParametros[[#This Row],[INSS]:[SEBRAE]])</f>
        <v>1.3230000000000004E-3</v>
      </c>
      <c r="AN271" s="233">
        <f t="shared" si="48"/>
        <v>3.0577777777777773E-2</v>
      </c>
      <c r="AO271" s="233">
        <f t="shared" si="49"/>
        <v>8.3333333333333339E-4</v>
      </c>
      <c r="AP271" s="233">
        <f t="shared" si="50"/>
        <v>8.4444444444444437E-3</v>
      </c>
      <c r="AQ271" s="233">
        <f t="shared" si="51"/>
        <v>2.0277777777777777E-3</v>
      </c>
      <c r="AR271" s="233">
        <f t="shared" si="52"/>
        <v>1.7083333333333333E-4</v>
      </c>
      <c r="AS271" s="233">
        <f t="shared" si="53"/>
        <v>2.0833333333333335E-4</v>
      </c>
      <c r="AT271" s="233">
        <f t="shared" si="54"/>
        <v>1.2962962962962963E-3</v>
      </c>
      <c r="AU271" s="235">
        <f>SUM(tabParametros[[#This Row],[Ausência por Doença]:[Férias, Adicional de Férias e 13º  com empregada em gozo de Licença Maternidade]])*SUM(tabParametros[[#This Row],[INSS]:[SEBRAE]])</f>
        <v>4.5918250000000008E-3</v>
      </c>
      <c r="AV271" s="254">
        <f>IF(tabParametros[[#This Row],[Função]]="Porteiro - 220 h",SUM(tabParametros[[#This Row],[Salário Base]:[Adicional de Acúmulo de função]])/220*20*1.5,IF(ISNUMBER(SEARCH("12 x 36",tabParametros[[#This Row],[Função]],1)),SUM(tabParametros[[#This Row],[Salário Base]:[Adicional de Acúmulo de função]])/210*15.5*1.5,0))</f>
        <v>0</v>
      </c>
      <c r="AW271" s="232">
        <f>IF(tabParametros[[#This Row],[Vagas contratadas]]&gt;0,(SUM(tabParametros[[#This Row],[Salário Base]:[Adicional de Acúmulo de função]])*30%+SUM(tabParametros[[#This Row],[Vale - Alimentação]:[Seguro de Vida]]))/tabParametros[[#This Row],[Vagas contratadas]]*tabParametros[[#This Row],[Vagas suspensas]],0)</f>
        <v>0</v>
      </c>
      <c r="AX271" s="232">
        <f>SUMIF(tabUniformes[Cargo],tabParametros[[#This Row],[Função]],tabUniformes[Valor unit. Mensal])</f>
        <v>56.642978962543395</v>
      </c>
      <c r="AY27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1" s="232">
        <v>0</v>
      </c>
      <c r="BC271" s="234" t="e">
        <f ca="1">VLOOKUP(tabParametros[[#Headers],[Custos Indiretos]],tabOutrosCustos[],3,0)</f>
        <v>#NAME?</v>
      </c>
      <c r="BD271" s="234" t="e">
        <f ca="1">VLOOKUP(tabParametros[[#Headers],[Lucro]],tabOutrosCustos[],3,0)</f>
        <v>#NAME?</v>
      </c>
      <c r="BE271" s="233">
        <f>VLOOKUP(tabParametros[[#Headers],[COFINS]],tabImpostosNacionais[],2,0)</f>
        <v>7.5999999999999998E-2</v>
      </c>
      <c r="BF271" s="233">
        <f>VLOOKUP(tabParametros[[#Headers],[PIS]],tabImpostosNacionais[],2,0)</f>
        <v>1.6500000000000001E-2</v>
      </c>
      <c r="BG271" s="233">
        <f>VLOOKUP(tabParametros[[#This Row],[Comarca]],tabComarca[],4,0)</f>
        <v>0.05</v>
      </c>
      <c r="BH271" s="236">
        <f>VLOOKUP(tabParametros[[#This Row],[CCT DA CATEGORIA]],tabSindicatos[],11,0)</f>
        <v>45658</v>
      </c>
      <c r="BI271" s="282" t="str">
        <f>VLOOKUP(tabParametros[[#This Row],[CCT DA CATEGORIA]],tabSindicatos[],12,0)</f>
        <v>-</v>
      </c>
      <c r="BJ271" s="285" t="str">
        <f>VLOOKUP(tabParametros[[#This Row],[CCT DA CATEGORIA]],tabSindicatos[],13,0)</f>
        <v>-</v>
      </c>
    </row>
    <row r="272" spans="1:62">
      <c r="A272" s="231" t="s">
        <v>1689</v>
      </c>
      <c r="B272" s="197" t="s">
        <v>1193</v>
      </c>
      <c r="C272" s="197" t="s">
        <v>314</v>
      </c>
      <c r="D272" s="197" t="str">
        <f>VLOOKUP(tabParametros[[#This Row],[Código do Posto]],tabPostos[],4,0)</f>
        <v>Regiao de Ouro Preto</v>
      </c>
      <c r="E272" s="282" t="str">
        <f>VLOOKUP(tabParametros[[#This Row],[Código do Posto]],tabPostos[],5,0)</f>
        <v>Apoio</v>
      </c>
      <c r="F272" s="282" t="str">
        <f>VLOOKUP(tabParametros[[#This Row],[Código do Posto]],tabPostos[],6,0)</f>
        <v>PGJ</v>
      </c>
      <c r="G272" s="282">
        <f>VLOOKUP(tabParametros[[#This Row],[Código do Posto]],tabPostos[],7,0)</f>
        <v>1</v>
      </c>
      <c r="H272" s="282">
        <f>VLOOKUP(tabParametros[[#This Row],[Código do Posto]],tabPostos[],8,0)</f>
        <v>0</v>
      </c>
      <c r="I272" s="232">
        <f>VLOOKUP(tabParametros[[#This Row],[Código do Posto]],tabPostos[],9,0)</f>
        <v>1963.4110092077037</v>
      </c>
      <c r="J272" s="232">
        <f>IF(ISNUMBER(SEARCH("Eletricista",tabParametros[[#This Row],[Função]],1)),0.3*tabParametros[[#This Row],[Salário Base]],0)</f>
        <v>0</v>
      </c>
      <c r="K27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2" s="232">
        <f>IF(AND(ISNUMBER(SEARCH("Noturno",tabParametros[[#This Row],[Função]],1)),tabParametros[[#This Row],[Comarca]]&lt;&gt;"Juiz de Fora"),tabParametros[[#This Row],[Salário Base]]/210*0.39*7*15.5,IF(ISNUMBER(SEARCH("Noturno",tabParametros[[#This Row],[Função]],1)),tabParametros[[#This Row],[Salário Base]]/210*0.2*8*15.5,0))</f>
        <v>0</v>
      </c>
      <c r="M272" s="232">
        <f>IF(ISNUMBER(SEARCH("Motorista II",tabParametros[[#This Row],[Função]],1)),0.3022*tabParametros[[#This Row],[Salário Base]],0)</f>
        <v>0</v>
      </c>
      <c r="N272" s="254">
        <v>0</v>
      </c>
      <c r="O272" s="254">
        <f>IF(ISNUMBER(SEARCH("TECNOLOGIA DA INFORMACAO",tabParametros[[#This Row],[Função]],1)),0.056*tabParametros[[#This Row],[Salário Base]],0)</f>
        <v>0</v>
      </c>
      <c r="P272" s="232">
        <f>IF(tabParametros[[#This Row],[Função]]="Operador de Midia Audiovisual - 150 h",tabParametros[[#This Row],[Salário Base]]/150*50*30%,IF(tabParametros[[#This Row],[Função]]="Supervisor de Manutencao de Veiculos II - 220 h",12%*tabParametros[[#This Row],[Salário Base]],0))</f>
        <v>0</v>
      </c>
      <c r="Q272" s="233">
        <f>VLOOKUP(tabParametros[[#Headers],[INSS]],tabImpostosNacionais[],2,0)</f>
        <v>0.2</v>
      </c>
      <c r="R272" s="233">
        <f>VLOOKUP(tabParametros[[#Headers],[SESI OU SESC]],tabImpostosNacionais[],2,0)</f>
        <v>1.4999999999999999E-2</v>
      </c>
      <c r="S272" s="233">
        <f>VLOOKUP(tabParametros[[#Headers],[SENAI OU SENAC]],tabImpostosNacionais[],2,0)</f>
        <v>0.01</v>
      </c>
      <c r="T272" s="233">
        <f>VLOOKUP(tabParametros[[#Headers],[INCRA]],tabImpostosNacionais[],2,0)</f>
        <v>2E-3</v>
      </c>
      <c r="U272" s="233">
        <f>VLOOKUP(tabParametros[[#Headers],[Salário Educação]],tabImpostosNacionais[],2,0)</f>
        <v>2.5000000000000001E-2</v>
      </c>
      <c r="V272" s="233">
        <f>VLOOKUP(tabParametros[[#Headers],[FGTS]],tabImpostosNacionais[],2,0)</f>
        <v>0.08</v>
      </c>
      <c r="W272" s="233">
        <f>VLOOKUP(tabParametros[[#Headers],[RAT Ajustado]],tabImpostosNacionais[],2,0)</f>
        <v>0.04</v>
      </c>
      <c r="X272" s="233">
        <f>VLOOKUP(tabParametros[[#Headers],[SEBRAE]],tabImpostosNacionais[],2,0)</f>
        <v>6.0000000000000001E-3</v>
      </c>
      <c r="Y272" s="233">
        <f t="shared" si="44"/>
        <v>8.3333333333333329E-2</v>
      </c>
      <c r="Z272" s="233">
        <f t="shared" si="45"/>
        <v>0.1111111111111111</v>
      </c>
      <c r="AA272" s="232">
        <f>VLOOKUP(tabParametros[[#This Row],[Comarca]],tabComarca[],5,0)</f>
        <v>6.4</v>
      </c>
      <c r="AB272" s="232">
        <f>VLOOKUP(tabParametros[[#This Row],[CCT DA CATEGORIA]],tabSindicatos[],6,0)</f>
        <v>29.15</v>
      </c>
      <c r="AC272" s="232">
        <f>VLOOKUP(tabParametros[[#This Row],[CCT DA CATEGORIA]],tabSindicatos[],7,0)</f>
        <v>0</v>
      </c>
      <c r="AD272" s="232" cm="1">
        <f t="array" ref="AD27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72" s="232">
        <f>VLOOKUP(tabParametros[[#This Row],[CCT DA CATEGORIA]],tabSindicatos[],9,0)</f>
        <v>0</v>
      </c>
      <c r="AF272" s="232">
        <f>VLOOKUP(tabParametros[[#This Row],[CCT DA CATEGORIA]],tabSindicatos[],10,0)</f>
        <v>0</v>
      </c>
      <c r="AG272" s="234">
        <f>VLOOKUP(tabParametros[[#Headers],[Seguro de Vida]],tabOutrosCustos[],3,0)</f>
        <v>3.36</v>
      </c>
      <c r="AH272" s="234">
        <f>IF(ISNUMBER(SEARCH("MOTORISTA",tabParametros[[#This Row],[Função]],1)),VLOOKUP("MOTORISTAS",tabDiarias[],2,0),IF(tabParametros[[#This Row],[Comarca]]="Belo Horizonte",VLOOKUP("APOIO",tabDiarias[],2,0),0))</f>
        <v>0</v>
      </c>
      <c r="AI272" s="233">
        <f t="shared" si="46"/>
        <v>7.011766975308642E-3</v>
      </c>
      <c r="AJ272" s="235">
        <f>tabParametros[[#This Row],[FGTS]]*tabParametros[[#This Row],[Aviso Prévio Indenizado (API) e Reflexo do Aviso Prévio Indenizado]]</f>
        <v>5.609413580246914E-4</v>
      </c>
      <c r="AK272" s="235">
        <f>tabParametros[[#This Row],[FGTS]]*tabParametros[[#This Row],[Aviso Prévio Indenizado (API) e Reflexo do Aviso Prévio Indenizado]]*40%</f>
        <v>2.2437654320987658E-4</v>
      </c>
      <c r="AL272" s="233">
        <f t="shared" si="47"/>
        <v>3.5000000000000005E-3</v>
      </c>
      <c r="AM272" s="233">
        <f>tabParametros[[#This Row],[Aviso Prévio Trabalhado - APT]]*SUM(tabParametros[[#This Row],[INSS]:[SEBRAE]])</f>
        <v>1.3230000000000004E-3</v>
      </c>
      <c r="AN272" s="233">
        <f t="shared" si="48"/>
        <v>3.0577777777777773E-2</v>
      </c>
      <c r="AO272" s="233">
        <f t="shared" si="49"/>
        <v>8.3333333333333339E-4</v>
      </c>
      <c r="AP272" s="233">
        <f t="shared" si="50"/>
        <v>8.4444444444444437E-3</v>
      </c>
      <c r="AQ272" s="233">
        <f t="shared" si="51"/>
        <v>2.0277777777777777E-3</v>
      </c>
      <c r="AR272" s="233">
        <f t="shared" si="52"/>
        <v>1.7083333333333333E-4</v>
      </c>
      <c r="AS272" s="233">
        <f t="shared" si="53"/>
        <v>2.0833333333333335E-4</v>
      </c>
      <c r="AT272" s="233">
        <f t="shared" si="54"/>
        <v>1.2962962962962963E-3</v>
      </c>
      <c r="AU272" s="235">
        <f>SUM(tabParametros[[#This Row],[Ausência por Doença]:[Férias, Adicional de Férias e 13º  com empregada em gozo de Licença Maternidade]])*SUM(tabParametros[[#This Row],[INSS]:[SEBRAE]])</f>
        <v>4.5918250000000008E-3</v>
      </c>
      <c r="AV272"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72" s="232">
        <f>IF(tabParametros[[#This Row],[Vagas contratadas]]&gt;0,(SUM(tabParametros[[#This Row],[Salário Base]:[Adicional de Acúmulo de função]])*30%+SUM(tabParametros[[#This Row],[Vale - Alimentação]:[Seguro de Vida]]))/tabParametros[[#This Row],[Vagas contratadas]]*tabParametros[[#This Row],[Vagas suspensas]],0)</f>
        <v>0</v>
      </c>
      <c r="AX272" s="232">
        <f>SUMIF(tabUniformes[Cargo],tabParametros[[#This Row],[Função]],tabUniformes[Valor unit. Mensal])</f>
        <v>56.642978962543395</v>
      </c>
      <c r="AY27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2" s="232">
        <v>0</v>
      </c>
      <c r="BC272" s="234" t="e">
        <f ca="1">VLOOKUP(tabParametros[[#Headers],[Custos Indiretos]],tabOutrosCustos[],3,0)</f>
        <v>#NAME?</v>
      </c>
      <c r="BD272" s="234" t="e">
        <f ca="1">VLOOKUP(tabParametros[[#Headers],[Lucro]],tabOutrosCustos[],3,0)</f>
        <v>#NAME?</v>
      </c>
      <c r="BE272" s="233">
        <f>VLOOKUP(tabParametros[[#Headers],[COFINS]],tabImpostosNacionais[],2,0)</f>
        <v>7.5999999999999998E-2</v>
      </c>
      <c r="BF272" s="233">
        <f>VLOOKUP(tabParametros[[#Headers],[PIS]],tabImpostosNacionais[],2,0)</f>
        <v>1.6500000000000001E-2</v>
      </c>
      <c r="BG272" s="233">
        <f>VLOOKUP(tabParametros[[#This Row],[Comarca]],tabComarca[],4,0)</f>
        <v>0.05</v>
      </c>
      <c r="BH272" s="236">
        <f>VLOOKUP(tabParametros[[#This Row],[CCT DA CATEGORIA]],tabSindicatos[],11,0)</f>
        <v>45658</v>
      </c>
      <c r="BI272" s="282" t="str">
        <f>VLOOKUP(tabParametros[[#This Row],[CCT DA CATEGORIA]],tabSindicatos[],12,0)</f>
        <v>-</v>
      </c>
      <c r="BJ272" s="285" t="str">
        <f>VLOOKUP(tabParametros[[#This Row],[CCT DA CATEGORIA]],tabSindicatos[],13,0)</f>
        <v>-</v>
      </c>
    </row>
    <row r="273" spans="1:62">
      <c r="A273" s="231" t="s">
        <v>1690</v>
      </c>
      <c r="B273" s="197" t="s">
        <v>1194</v>
      </c>
      <c r="C273" s="197" t="s">
        <v>314</v>
      </c>
      <c r="D273" s="197" t="str">
        <f>VLOOKUP(tabParametros[[#This Row],[Código do Posto]],tabPostos[],4,0)</f>
        <v>Alto Paranaiba</v>
      </c>
      <c r="E273" s="282" t="str">
        <f>VLOOKUP(tabParametros[[#This Row],[Código do Posto]],tabPostos[],5,0)</f>
        <v>Apoio</v>
      </c>
      <c r="F273" s="282" t="str">
        <f>VLOOKUP(tabParametros[[#This Row],[Código do Posto]],tabPostos[],6,0)</f>
        <v>PGJ</v>
      </c>
      <c r="G273" s="282">
        <f>VLOOKUP(tabParametros[[#This Row],[Código do Posto]],tabPostos[],7,0)</f>
        <v>1</v>
      </c>
      <c r="H273" s="282">
        <f>VLOOKUP(tabParametros[[#This Row],[Código do Posto]],tabPostos[],8,0)</f>
        <v>0</v>
      </c>
      <c r="I273" s="232">
        <f>VLOOKUP(tabParametros[[#This Row],[Código do Posto]],tabPostos[],9,0)</f>
        <v>1963.4050319620983</v>
      </c>
      <c r="J273" s="232">
        <f>IF(ISNUMBER(SEARCH("Eletricista",tabParametros[[#This Row],[Função]],1)),0.3*tabParametros[[#This Row],[Salário Base]],0)</f>
        <v>0</v>
      </c>
      <c r="K27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3" s="232">
        <f>IF(AND(ISNUMBER(SEARCH("Noturno",tabParametros[[#This Row],[Função]],1)),tabParametros[[#This Row],[Comarca]]&lt;&gt;"Juiz de Fora"),tabParametros[[#This Row],[Salário Base]]/210*0.39*7*15.5,IF(ISNUMBER(SEARCH("Noturno",tabParametros[[#This Row],[Função]],1)),tabParametros[[#This Row],[Salário Base]]/210*0.2*8*15.5,0))</f>
        <v>0</v>
      </c>
      <c r="M273" s="232">
        <f>IF(ISNUMBER(SEARCH("Motorista II",tabParametros[[#This Row],[Função]],1)),0.3022*tabParametros[[#This Row],[Salário Base]],0)</f>
        <v>0</v>
      </c>
      <c r="N273" s="254">
        <v>0</v>
      </c>
      <c r="O273" s="254">
        <f>IF(ISNUMBER(SEARCH("TECNOLOGIA DA INFORMACAO",tabParametros[[#This Row],[Função]],1)),0.056*tabParametros[[#This Row],[Salário Base]],0)</f>
        <v>0</v>
      </c>
      <c r="P273" s="232">
        <f>IF(tabParametros[[#This Row],[Função]]="Operador de Midia Audiovisual - 150 h",tabParametros[[#This Row],[Salário Base]]/150*50*30%,IF(tabParametros[[#This Row],[Função]]="Supervisor de Manutencao de Veiculos II - 220 h",12%*tabParametros[[#This Row],[Salário Base]],0))</f>
        <v>0</v>
      </c>
      <c r="Q273" s="233">
        <f>VLOOKUP(tabParametros[[#Headers],[INSS]],tabImpostosNacionais[],2,0)</f>
        <v>0.2</v>
      </c>
      <c r="R273" s="233">
        <f>VLOOKUP(tabParametros[[#Headers],[SESI OU SESC]],tabImpostosNacionais[],2,0)</f>
        <v>1.4999999999999999E-2</v>
      </c>
      <c r="S273" s="233">
        <f>VLOOKUP(tabParametros[[#Headers],[SENAI OU SENAC]],tabImpostosNacionais[],2,0)</f>
        <v>0.01</v>
      </c>
      <c r="T273" s="233">
        <f>VLOOKUP(tabParametros[[#Headers],[INCRA]],tabImpostosNacionais[],2,0)</f>
        <v>2E-3</v>
      </c>
      <c r="U273" s="233">
        <f>VLOOKUP(tabParametros[[#Headers],[Salário Educação]],tabImpostosNacionais[],2,0)</f>
        <v>2.5000000000000001E-2</v>
      </c>
      <c r="V273" s="233">
        <f>VLOOKUP(tabParametros[[#Headers],[FGTS]],tabImpostosNacionais[],2,0)</f>
        <v>0.08</v>
      </c>
      <c r="W273" s="233">
        <f>VLOOKUP(tabParametros[[#Headers],[RAT Ajustado]],tabImpostosNacionais[],2,0)</f>
        <v>0.04</v>
      </c>
      <c r="X273" s="233">
        <f>VLOOKUP(tabParametros[[#Headers],[SEBRAE]],tabImpostosNacionais[],2,0)</f>
        <v>6.0000000000000001E-3</v>
      </c>
      <c r="Y273" s="233">
        <f t="shared" si="44"/>
        <v>8.3333333333333329E-2</v>
      </c>
      <c r="Z273" s="233">
        <f t="shared" si="45"/>
        <v>0.1111111111111111</v>
      </c>
      <c r="AA273" s="232">
        <f>VLOOKUP(tabParametros[[#This Row],[Comarca]],tabComarca[],5,0)</f>
        <v>6.4</v>
      </c>
      <c r="AB273" s="232">
        <f>VLOOKUP(tabParametros[[#This Row],[CCT DA CATEGORIA]],tabSindicatos[],6,0)</f>
        <v>0</v>
      </c>
      <c r="AC273" s="232">
        <f>VLOOKUP(tabParametros[[#This Row],[CCT DA CATEGORIA]],tabSindicatos[],7,0)</f>
        <v>387.79</v>
      </c>
      <c r="AD273" s="232" cm="1">
        <f t="array" ref="AD27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273" s="232">
        <f>VLOOKUP(tabParametros[[#This Row],[CCT DA CATEGORIA]],tabSindicatos[],9,0)</f>
        <v>0</v>
      </c>
      <c r="AF273" s="232">
        <f>VLOOKUP(tabParametros[[#This Row],[CCT DA CATEGORIA]],tabSindicatos[],10,0)</f>
        <v>0</v>
      </c>
      <c r="AG273" s="234">
        <f>VLOOKUP(tabParametros[[#Headers],[Seguro de Vida]],tabOutrosCustos[],3,0)</f>
        <v>3.36</v>
      </c>
      <c r="AH273" s="234">
        <f>IF(ISNUMBER(SEARCH("MOTORISTA",tabParametros[[#This Row],[Função]],1)),VLOOKUP("MOTORISTAS",tabDiarias[],2,0),IF(tabParametros[[#This Row],[Comarca]]="Belo Horizonte",VLOOKUP("APOIO",tabDiarias[],2,0),0))</f>
        <v>0</v>
      </c>
      <c r="AI273" s="233">
        <f t="shared" si="46"/>
        <v>7.011766975308642E-3</v>
      </c>
      <c r="AJ273" s="235">
        <f>tabParametros[[#This Row],[FGTS]]*tabParametros[[#This Row],[Aviso Prévio Indenizado (API) e Reflexo do Aviso Prévio Indenizado]]</f>
        <v>5.609413580246914E-4</v>
      </c>
      <c r="AK273" s="235">
        <f>tabParametros[[#This Row],[FGTS]]*tabParametros[[#This Row],[Aviso Prévio Indenizado (API) e Reflexo do Aviso Prévio Indenizado]]*40%</f>
        <v>2.2437654320987658E-4</v>
      </c>
      <c r="AL273" s="233">
        <f t="shared" si="47"/>
        <v>3.5000000000000005E-3</v>
      </c>
      <c r="AM273" s="233">
        <f>tabParametros[[#This Row],[Aviso Prévio Trabalhado - APT]]*SUM(tabParametros[[#This Row],[INSS]:[SEBRAE]])</f>
        <v>1.3230000000000004E-3</v>
      </c>
      <c r="AN273" s="233">
        <f t="shared" si="48"/>
        <v>3.0577777777777773E-2</v>
      </c>
      <c r="AO273" s="233">
        <f t="shared" si="49"/>
        <v>8.3333333333333339E-4</v>
      </c>
      <c r="AP273" s="233">
        <f t="shared" si="50"/>
        <v>8.4444444444444437E-3</v>
      </c>
      <c r="AQ273" s="233">
        <f t="shared" si="51"/>
        <v>2.0277777777777777E-3</v>
      </c>
      <c r="AR273" s="233">
        <f t="shared" si="52"/>
        <v>1.7083333333333333E-4</v>
      </c>
      <c r="AS273" s="233">
        <f t="shared" si="53"/>
        <v>2.0833333333333335E-4</v>
      </c>
      <c r="AT273" s="233">
        <f t="shared" si="54"/>
        <v>1.2962962962962963E-3</v>
      </c>
      <c r="AU273" s="235">
        <f>SUM(tabParametros[[#This Row],[Ausência por Doença]:[Férias, Adicional de Férias e 13º  com empregada em gozo de Licença Maternidade]])*SUM(tabParametros[[#This Row],[INSS]:[SEBRAE]])</f>
        <v>4.5918250000000008E-3</v>
      </c>
      <c r="AV273"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273" s="232">
        <f>IF(tabParametros[[#This Row],[Vagas contratadas]]&gt;0,(SUM(tabParametros[[#This Row],[Salário Base]:[Adicional de Acúmulo de função]])*30%+SUM(tabParametros[[#This Row],[Vale - Alimentação]:[Seguro de Vida]]))/tabParametros[[#This Row],[Vagas contratadas]]*tabParametros[[#This Row],[Vagas suspensas]],0)</f>
        <v>0</v>
      </c>
      <c r="AX273" s="232">
        <f>SUMIF(tabUniformes[Cargo],tabParametros[[#This Row],[Função]],tabUniformes[Valor unit. Mensal])</f>
        <v>56.642978962543395</v>
      </c>
      <c r="AY27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3" s="232">
        <v>0</v>
      </c>
      <c r="BC273" s="234" t="e">
        <f ca="1">VLOOKUP(tabParametros[[#Headers],[Custos Indiretos]],tabOutrosCustos[],3,0)</f>
        <v>#NAME?</v>
      </c>
      <c r="BD273" s="234" t="e">
        <f ca="1">VLOOKUP(tabParametros[[#Headers],[Lucro]],tabOutrosCustos[],3,0)</f>
        <v>#NAME?</v>
      </c>
      <c r="BE273" s="233">
        <f>VLOOKUP(tabParametros[[#Headers],[COFINS]],tabImpostosNacionais[],2,0)</f>
        <v>7.5999999999999998E-2</v>
      </c>
      <c r="BF273" s="233">
        <f>VLOOKUP(tabParametros[[#Headers],[PIS]],tabImpostosNacionais[],2,0)</f>
        <v>1.6500000000000001E-2</v>
      </c>
      <c r="BG273" s="233">
        <f>VLOOKUP(tabParametros[[#This Row],[Comarca]],tabComarca[],4,0)</f>
        <v>0.03</v>
      </c>
      <c r="BH273" s="236">
        <f>VLOOKUP(tabParametros[[#This Row],[CCT DA CATEGORIA]],tabSindicatos[],11,0)</f>
        <v>45658</v>
      </c>
      <c r="BI273" s="282" t="str">
        <f>VLOOKUP(tabParametros[[#This Row],[CCT DA CATEGORIA]],tabSindicatos[],12,0)</f>
        <v>-</v>
      </c>
      <c r="BJ273" s="285" t="str">
        <f>VLOOKUP(tabParametros[[#This Row],[CCT DA CATEGORIA]],tabSindicatos[],13,0)</f>
        <v>-</v>
      </c>
    </row>
    <row r="274" spans="1:62">
      <c r="A274" s="231" t="s">
        <v>1691</v>
      </c>
      <c r="B274" s="197" t="s">
        <v>1195</v>
      </c>
      <c r="C274" s="197" t="s">
        <v>314</v>
      </c>
      <c r="D274" s="197" t="str">
        <f>VLOOKUP(tabParametros[[#This Row],[Código do Posto]],tabPostos[],4,0)</f>
        <v>Fethemg Interior</v>
      </c>
      <c r="E274" s="282" t="str">
        <f>VLOOKUP(tabParametros[[#This Row],[Código do Posto]],tabPostos[],5,0)</f>
        <v>Apoio</v>
      </c>
      <c r="F274" s="282" t="str">
        <f>VLOOKUP(tabParametros[[#This Row],[Código do Posto]],tabPostos[],6,0)</f>
        <v>PGJ</v>
      </c>
      <c r="G274" s="282">
        <f>VLOOKUP(tabParametros[[#This Row],[Código do Posto]],tabPostos[],7,0)</f>
        <v>1</v>
      </c>
      <c r="H274" s="282">
        <f>VLOOKUP(tabParametros[[#This Row],[Código do Posto]],tabPostos[],8,0)</f>
        <v>0</v>
      </c>
      <c r="I274" s="232">
        <f>VLOOKUP(tabParametros[[#This Row],[Código do Posto]],tabPostos[],9,0)</f>
        <v>1963.4110092077037</v>
      </c>
      <c r="J274" s="232">
        <f>IF(ISNUMBER(SEARCH("Eletricista",tabParametros[[#This Row],[Função]],1)),0.3*tabParametros[[#This Row],[Salário Base]],0)</f>
        <v>0</v>
      </c>
      <c r="K27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4" s="232">
        <f>IF(AND(ISNUMBER(SEARCH("Noturno",tabParametros[[#This Row],[Função]],1)),tabParametros[[#This Row],[Comarca]]&lt;&gt;"Juiz de Fora"),tabParametros[[#This Row],[Salário Base]]/210*0.39*7*15.5,IF(ISNUMBER(SEARCH("Noturno",tabParametros[[#This Row],[Função]],1)),tabParametros[[#This Row],[Salário Base]]/210*0.2*8*15.5,0))</f>
        <v>0</v>
      </c>
      <c r="M274" s="232">
        <f>IF(ISNUMBER(SEARCH("Motorista II",tabParametros[[#This Row],[Função]],1)),0.3022*tabParametros[[#This Row],[Salário Base]],0)</f>
        <v>0</v>
      </c>
      <c r="N274" s="254">
        <v>0</v>
      </c>
      <c r="O274" s="254">
        <f>IF(ISNUMBER(SEARCH("TECNOLOGIA DA INFORMACAO",tabParametros[[#This Row],[Função]],1)),0.056*tabParametros[[#This Row],[Salário Base]],0)</f>
        <v>0</v>
      </c>
      <c r="P274" s="232">
        <f>IF(tabParametros[[#This Row],[Função]]="Operador de Midia Audiovisual - 150 h",tabParametros[[#This Row],[Salário Base]]/150*50*30%,IF(tabParametros[[#This Row],[Função]]="Supervisor de Manutencao de Veiculos II - 220 h",12%*tabParametros[[#This Row],[Salário Base]],0))</f>
        <v>0</v>
      </c>
      <c r="Q274" s="233">
        <f>VLOOKUP(tabParametros[[#Headers],[INSS]],tabImpostosNacionais[],2,0)</f>
        <v>0.2</v>
      </c>
      <c r="R274" s="233">
        <f>VLOOKUP(tabParametros[[#Headers],[SESI OU SESC]],tabImpostosNacionais[],2,0)</f>
        <v>1.4999999999999999E-2</v>
      </c>
      <c r="S274" s="233">
        <f>VLOOKUP(tabParametros[[#Headers],[SENAI OU SENAC]],tabImpostosNacionais[],2,0)</f>
        <v>0.01</v>
      </c>
      <c r="T274" s="233">
        <f>VLOOKUP(tabParametros[[#Headers],[INCRA]],tabImpostosNacionais[],2,0)</f>
        <v>2E-3</v>
      </c>
      <c r="U274" s="233">
        <f>VLOOKUP(tabParametros[[#Headers],[Salário Educação]],tabImpostosNacionais[],2,0)</f>
        <v>2.5000000000000001E-2</v>
      </c>
      <c r="V274" s="233">
        <f>VLOOKUP(tabParametros[[#Headers],[FGTS]],tabImpostosNacionais[],2,0)</f>
        <v>0.08</v>
      </c>
      <c r="W274" s="233">
        <f>VLOOKUP(tabParametros[[#Headers],[RAT Ajustado]],tabImpostosNacionais[],2,0)</f>
        <v>0.04</v>
      </c>
      <c r="X274" s="233">
        <f>VLOOKUP(tabParametros[[#Headers],[SEBRAE]],tabImpostosNacionais[],2,0)</f>
        <v>6.0000000000000001E-3</v>
      </c>
      <c r="Y274" s="233">
        <f t="shared" si="44"/>
        <v>8.3333333333333329E-2</v>
      </c>
      <c r="Z274" s="233">
        <f t="shared" si="45"/>
        <v>0.1111111111111111</v>
      </c>
      <c r="AA274" s="232">
        <f>VLOOKUP(tabParametros[[#This Row],[Comarca]],tabComarca[],5,0)</f>
        <v>6.4</v>
      </c>
      <c r="AB274" s="232">
        <f>VLOOKUP(tabParametros[[#This Row],[CCT DA CATEGORIA]],tabSindicatos[],6,0)</f>
        <v>29.15</v>
      </c>
      <c r="AC274" s="232">
        <f>VLOOKUP(tabParametros[[#This Row],[CCT DA CATEGORIA]],tabSindicatos[],7,0)</f>
        <v>0</v>
      </c>
      <c r="AD274" s="232" cm="1">
        <f t="array" ref="AD27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74" s="232">
        <f>VLOOKUP(tabParametros[[#This Row],[CCT DA CATEGORIA]],tabSindicatos[],9,0)</f>
        <v>15.07</v>
      </c>
      <c r="AF274" s="232">
        <f>VLOOKUP(tabParametros[[#This Row],[CCT DA CATEGORIA]],tabSindicatos[],10,0)</f>
        <v>0</v>
      </c>
      <c r="AG274" s="234">
        <f>VLOOKUP(tabParametros[[#Headers],[Seguro de Vida]],tabOutrosCustos[],3,0)</f>
        <v>3.36</v>
      </c>
      <c r="AH274" s="234">
        <f>IF(ISNUMBER(SEARCH("MOTORISTA",tabParametros[[#This Row],[Função]],1)),VLOOKUP("MOTORISTAS",tabDiarias[],2,0),IF(tabParametros[[#This Row],[Comarca]]="Belo Horizonte",VLOOKUP("APOIO",tabDiarias[],2,0),0))</f>
        <v>0</v>
      </c>
      <c r="AI274" s="233">
        <f t="shared" si="46"/>
        <v>7.011766975308642E-3</v>
      </c>
      <c r="AJ274" s="235">
        <f>tabParametros[[#This Row],[FGTS]]*tabParametros[[#This Row],[Aviso Prévio Indenizado (API) e Reflexo do Aviso Prévio Indenizado]]</f>
        <v>5.609413580246914E-4</v>
      </c>
      <c r="AK274" s="235">
        <f>tabParametros[[#This Row],[FGTS]]*tabParametros[[#This Row],[Aviso Prévio Indenizado (API) e Reflexo do Aviso Prévio Indenizado]]*40%</f>
        <v>2.2437654320987658E-4</v>
      </c>
      <c r="AL274" s="233">
        <f t="shared" si="47"/>
        <v>3.5000000000000005E-3</v>
      </c>
      <c r="AM274" s="233">
        <f>tabParametros[[#This Row],[Aviso Prévio Trabalhado - APT]]*SUM(tabParametros[[#This Row],[INSS]:[SEBRAE]])</f>
        <v>1.3230000000000004E-3</v>
      </c>
      <c r="AN274" s="233">
        <f t="shared" si="48"/>
        <v>3.0577777777777773E-2</v>
      </c>
      <c r="AO274" s="233">
        <f t="shared" si="49"/>
        <v>8.3333333333333339E-4</v>
      </c>
      <c r="AP274" s="233">
        <f t="shared" si="50"/>
        <v>8.4444444444444437E-3</v>
      </c>
      <c r="AQ274" s="233">
        <f t="shared" si="51"/>
        <v>2.0277777777777777E-3</v>
      </c>
      <c r="AR274" s="233">
        <f t="shared" si="52"/>
        <v>1.7083333333333333E-4</v>
      </c>
      <c r="AS274" s="233">
        <f t="shared" si="53"/>
        <v>2.0833333333333335E-4</v>
      </c>
      <c r="AT274" s="233">
        <f t="shared" si="54"/>
        <v>1.2962962962962963E-3</v>
      </c>
      <c r="AU274" s="235">
        <f>SUM(tabParametros[[#This Row],[Ausência por Doença]:[Férias, Adicional de Férias e 13º  com empregada em gozo de Licença Maternidade]])*SUM(tabParametros[[#This Row],[INSS]:[SEBRAE]])</f>
        <v>4.5918250000000008E-3</v>
      </c>
      <c r="AV274"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74" s="232">
        <f>IF(tabParametros[[#This Row],[Vagas contratadas]]&gt;0,(SUM(tabParametros[[#This Row],[Salário Base]:[Adicional de Acúmulo de função]])*30%+SUM(tabParametros[[#This Row],[Vale - Alimentação]:[Seguro de Vida]]))/tabParametros[[#This Row],[Vagas contratadas]]*tabParametros[[#This Row],[Vagas suspensas]],0)</f>
        <v>0</v>
      </c>
      <c r="AX274" s="232">
        <f>SUMIF(tabUniformes[Cargo],tabParametros[[#This Row],[Função]],tabUniformes[Valor unit. Mensal])</f>
        <v>56.642978962543395</v>
      </c>
      <c r="AY27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4" s="232">
        <v>0</v>
      </c>
      <c r="BC274" s="234" t="e">
        <f ca="1">VLOOKUP(tabParametros[[#Headers],[Custos Indiretos]],tabOutrosCustos[],3,0)</f>
        <v>#NAME?</v>
      </c>
      <c r="BD274" s="234" t="e">
        <f ca="1">VLOOKUP(tabParametros[[#Headers],[Lucro]],tabOutrosCustos[],3,0)</f>
        <v>#NAME?</v>
      </c>
      <c r="BE274" s="233">
        <f>VLOOKUP(tabParametros[[#Headers],[COFINS]],tabImpostosNacionais[],2,0)</f>
        <v>7.5999999999999998E-2</v>
      </c>
      <c r="BF274" s="233">
        <f>VLOOKUP(tabParametros[[#Headers],[PIS]],tabImpostosNacionais[],2,0)</f>
        <v>1.6500000000000001E-2</v>
      </c>
      <c r="BG274" s="233">
        <f>VLOOKUP(tabParametros[[#This Row],[Comarca]],tabComarca[],4,0)</f>
        <v>0.03</v>
      </c>
      <c r="BH274" s="236">
        <f>VLOOKUP(tabParametros[[#This Row],[CCT DA CATEGORIA]],tabSindicatos[],11,0)</f>
        <v>45658</v>
      </c>
      <c r="BI274" s="282" t="str">
        <f>VLOOKUP(tabParametros[[#This Row],[CCT DA CATEGORIA]],tabSindicatos[],12,0)</f>
        <v>-</v>
      </c>
      <c r="BJ274" s="285" t="str">
        <f>VLOOKUP(tabParametros[[#This Row],[CCT DA CATEGORIA]],tabSindicatos[],13,0)</f>
        <v>-</v>
      </c>
    </row>
    <row r="275" spans="1:62">
      <c r="A275" s="231" t="s">
        <v>1507</v>
      </c>
      <c r="B275" s="197" t="s">
        <v>1196</v>
      </c>
      <c r="C275" s="197" t="s">
        <v>314</v>
      </c>
      <c r="D275" s="197" t="str">
        <f>VLOOKUP(tabParametros[[#This Row],[Código do Posto]],tabPostos[],4,0)</f>
        <v>Sind - Asseio</v>
      </c>
      <c r="E275" s="282" t="str">
        <f>VLOOKUP(tabParametros[[#This Row],[Código do Posto]],tabPostos[],5,0)</f>
        <v>Apoio</v>
      </c>
      <c r="F275" s="282" t="str">
        <f>VLOOKUP(tabParametros[[#This Row],[Código do Posto]],tabPostos[],6,0)</f>
        <v>PGJ</v>
      </c>
      <c r="G275" s="282">
        <f>VLOOKUP(tabParametros[[#This Row],[Código do Posto]],tabPostos[],7,0)</f>
        <v>1</v>
      </c>
      <c r="H275" s="282">
        <f>VLOOKUP(tabParametros[[#This Row],[Código do Posto]],tabPostos[],8,0)</f>
        <v>0</v>
      </c>
      <c r="I275" s="232">
        <f>VLOOKUP(tabParametros[[#This Row],[Código do Posto]],tabPostos[],9,0)</f>
        <v>2134.8034899326635</v>
      </c>
      <c r="J275" s="232">
        <f>IF(ISNUMBER(SEARCH("Eletricista",tabParametros[[#This Row],[Função]],1)),0.3*tabParametros[[#This Row],[Salário Base]],0)</f>
        <v>0</v>
      </c>
      <c r="K27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5" s="232">
        <f>IF(AND(ISNUMBER(SEARCH("Noturno",tabParametros[[#This Row],[Função]],1)),tabParametros[[#This Row],[Comarca]]&lt;&gt;"Juiz de Fora"),tabParametros[[#This Row],[Salário Base]]/210*0.39*7*15.5,IF(ISNUMBER(SEARCH("Noturno",tabParametros[[#This Row],[Função]],1)),tabParametros[[#This Row],[Salário Base]]/210*0.2*8*15.5,0))</f>
        <v>0</v>
      </c>
      <c r="M275" s="232">
        <f>IF(ISNUMBER(SEARCH("Motorista II",tabParametros[[#This Row],[Função]],1)),0.3022*tabParametros[[#This Row],[Salário Base]],0)</f>
        <v>0</v>
      </c>
      <c r="N275" s="254">
        <v>0</v>
      </c>
      <c r="O275" s="254">
        <f>IF(ISNUMBER(SEARCH("TECNOLOGIA DA INFORMACAO",tabParametros[[#This Row],[Função]],1)),0.056*tabParametros[[#This Row],[Salário Base]],0)</f>
        <v>0</v>
      </c>
      <c r="P275" s="232">
        <f>IF(tabParametros[[#This Row],[Função]]="Operador de Midia Audiovisual - 150 h",tabParametros[[#This Row],[Salário Base]]/150*50*30%,IF(tabParametros[[#This Row],[Função]]="Supervisor de Manutencao de Veiculos II - 220 h",12%*tabParametros[[#This Row],[Salário Base]],0))</f>
        <v>0</v>
      </c>
      <c r="Q275" s="233">
        <f>VLOOKUP(tabParametros[[#Headers],[INSS]],tabImpostosNacionais[],2,0)</f>
        <v>0.2</v>
      </c>
      <c r="R275" s="233">
        <f>VLOOKUP(tabParametros[[#Headers],[SESI OU SESC]],tabImpostosNacionais[],2,0)</f>
        <v>1.4999999999999999E-2</v>
      </c>
      <c r="S275" s="233">
        <f>VLOOKUP(tabParametros[[#Headers],[SENAI OU SENAC]],tabImpostosNacionais[],2,0)</f>
        <v>0.01</v>
      </c>
      <c r="T275" s="233">
        <f>VLOOKUP(tabParametros[[#Headers],[INCRA]],tabImpostosNacionais[],2,0)</f>
        <v>2E-3</v>
      </c>
      <c r="U275" s="233">
        <f>VLOOKUP(tabParametros[[#Headers],[Salário Educação]],tabImpostosNacionais[],2,0)</f>
        <v>2.5000000000000001E-2</v>
      </c>
      <c r="V275" s="233">
        <f>VLOOKUP(tabParametros[[#Headers],[FGTS]],tabImpostosNacionais[],2,0)</f>
        <v>0.08</v>
      </c>
      <c r="W275" s="233">
        <f>VLOOKUP(tabParametros[[#Headers],[RAT Ajustado]],tabImpostosNacionais[],2,0)</f>
        <v>0.04</v>
      </c>
      <c r="X275" s="233">
        <f>VLOOKUP(tabParametros[[#Headers],[SEBRAE]],tabImpostosNacionais[],2,0)</f>
        <v>6.0000000000000001E-3</v>
      </c>
      <c r="Y275" s="233">
        <f t="shared" si="44"/>
        <v>8.3333333333333329E-2</v>
      </c>
      <c r="Z275" s="233">
        <f t="shared" si="45"/>
        <v>0.1111111111111111</v>
      </c>
      <c r="AA275" s="232">
        <f>VLOOKUP(tabParametros[[#This Row],[Comarca]],tabComarca[],5,0)</f>
        <v>6.4</v>
      </c>
      <c r="AB275" s="232">
        <f>VLOOKUP(tabParametros[[#This Row],[CCT DA CATEGORIA]],tabSindicatos[],6,0)</f>
        <v>29.15</v>
      </c>
      <c r="AC275" s="232">
        <f>VLOOKUP(tabParametros[[#This Row],[CCT DA CATEGORIA]],tabSindicatos[],7,0)</f>
        <v>0</v>
      </c>
      <c r="AD275" s="232" cm="1">
        <f t="array" ref="AD27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75" s="232">
        <f>VLOOKUP(tabParametros[[#This Row],[CCT DA CATEGORIA]],tabSindicatos[],9,0)</f>
        <v>0</v>
      </c>
      <c r="AF275" s="232">
        <f>VLOOKUP(tabParametros[[#This Row],[CCT DA CATEGORIA]],tabSindicatos[],10,0)</f>
        <v>0</v>
      </c>
      <c r="AG275" s="234">
        <f>VLOOKUP(tabParametros[[#Headers],[Seguro de Vida]],tabOutrosCustos[],3,0)</f>
        <v>3.36</v>
      </c>
      <c r="AH275" s="234">
        <f>IF(ISNUMBER(SEARCH("MOTORISTA",tabParametros[[#This Row],[Função]],1)),VLOOKUP("MOTORISTAS",tabDiarias[],2,0),IF(tabParametros[[#This Row],[Comarca]]="Belo Horizonte",VLOOKUP("APOIO",tabDiarias[],2,0),0))</f>
        <v>0</v>
      </c>
      <c r="AI275" s="233">
        <f t="shared" si="46"/>
        <v>7.011766975308642E-3</v>
      </c>
      <c r="AJ275" s="235">
        <f>tabParametros[[#This Row],[FGTS]]*tabParametros[[#This Row],[Aviso Prévio Indenizado (API) e Reflexo do Aviso Prévio Indenizado]]</f>
        <v>5.609413580246914E-4</v>
      </c>
      <c r="AK275" s="235">
        <f>tabParametros[[#This Row],[FGTS]]*tabParametros[[#This Row],[Aviso Prévio Indenizado (API) e Reflexo do Aviso Prévio Indenizado]]*40%</f>
        <v>2.2437654320987658E-4</v>
      </c>
      <c r="AL275" s="233">
        <f t="shared" si="47"/>
        <v>3.5000000000000005E-3</v>
      </c>
      <c r="AM275" s="233">
        <f>tabParametros[[#This Row],[Aviso Prévio Trabalhado - APT]]*SUM(tabParametros[[#This Row],[INSS]:[SEBRAE]])</f>
        <v>1.3230000000000004E-3</v>
      </c>
      <c r="AN275" s="233">
        <f t="shared" si="48"/>
        <v>3.0577777777777773E-2</v>
      </c>
      <c r="AO275" s="233">
        <f t="shared" si="49"/>
        <v>8.3333333333333339E-4</v>
      </c>
      <c r="AP275" s="233">
        <f t="shared" si="50"/>
        <v>8.4444444444444437E-3</v>
      </c>
      <c r="AQ275" s="233">
        <f t="shared" si="51"/>
        <v>2.0277777777777777E-3</v>
      </c>
      <c r="AR275" s="233">
        <f t="shared" si="52"/>
        <v>1.7083333333333333E-4</v>
      </c>
      <c r="AS275" s="233">
        <f t="shared" si="53"/>
        <v>2.0833333333333335E-4</v>
      </c>
      <c r="AT275" s="233">
        <f t="shared" si="54"/>
        <v>1.2962962962962963E-3</v>
      </c>
      <c r="AU275" s="235">
        <f>SUM(tabParametros[[#This Row],[Ausência por Doença]:[Férias, Adicional de Férias e 13º  com empregada em gozo de Licença Maternidade]])*SUM(tabParametros[[#This Row],[INSS]:[SEBRAE]])</f>
        <v>4.5918250000000008E-3</v>
      </c>
      <c r="AV275" s="254">
        <f>IF(tabParametros[[#This Row],[Função]]="Porteiro - 220 h",SUM(tabParametros[[#This Row],[Salário Base]:[Adicional de Acúmulo de função]])/220*20*1.5,IF(ISNUMBER(SEARCH("12 x 36",tabParametros[[#This Row],[Função]],1)),SUM(tabParametros[[#This Row],[Salário Base]:[Adicional de Acúmulo de função]])/210*15.5*1.5,0))</f>
        <v>291.10956680899955</v>
      </c>
      <c r="AW275" s="232">
        <f>IF(tabParametros[[#This Row],[Vagas contratadas]]&gt;0,(SUM(tabParametros[[#This Row],[Salário Base]:[Adicional de Acúmulo de função]])*30%+SUM(tabParametros[[#This Row],[Vale - Alimentação]:[Seguro de Vida]]))/tabParametros[[#This Row],[Vagas contratadas]]*tabParametros[[#This Row],[Vagas suspensas]],0)</f>
        <v>0</v>
      </c>
      <c r="AX275" s="232">
        <f>SUMIF(tabUniformes[Cargo],tabParametros[[#This Row],[Função]],tabUniformes[Valor unit. Mensal])</f>
        <v>56.642978962543395</v>
      </c>
      <c r="AY27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5" s="232">
        <v>0</v>
      </c>
      <c r="BC275" s="234" t="e">
        <f ca="1">VLOOKUP(tabParametros[[#Headers],[Custos Indiretos]],tabOutrosCustos[],3,0)</f>
        <v>#NAME?</v>
      </c>
      <c r="BD275" s="234" t="e">
        <f ca="1">VLOOKUP(tabParametros[[#Headers],[Lucro]],tabOutrosCustos[],3,0)</f>
        <v>#NAME?</v>
      </c>
      <c r="BE275" s="233">
        <f>VLOOKUP(tabParametros[[#Headers],[COFINS]],tabImpostosNacionais[],2,0)</f>
        <v>7.5999999999999998E-2</v>
      </c>
      <c r="BF275" s="233">
        <f>VLOOKUP(tabParametros[[#Headers],[PIS]],tabImpostosNacionais[],2,0)</f>
        <v>1.6500000000000001E-2</v>
      </c>
      <c r="BG275" s="233">
        <f>VLOOKUP(tabParametros[[#This Row],[Comarca]],tabComarca[],4,0)</f>
        <v>0.02</v>
      </c>
      <c r="BH275" s="236">
        <f>VLOOKUP(tabParametros[[#This Row],[CCT DA CATEGORIA]],tabSindicatos[],11,0)</f>
        <v>45658</v>
      </c>
      <c r="BI275" s="282" t="str">
        <f>VLOOKUP(tabParametros[[#This Row],[CCT DA CATEGORIA]],tabSindicatos[],12,0)</f>
        <v>-</v>
      </c>
      <c r="BJ275" s="285" t="str">
        <f>VLOOKUP(tabParametros[[#This Row],[CCT DA CATEGORIA]],tabSindicatos[],13,0)</f>
        <v>-</v>
      </c>
    </row>
    <row r="276" spans="1:62">
      <c r="A276" s="231" t="s">
        <v>1692</v>
      </c>
      <c r="B276" s="197" t="s">
        <v>1196</v>
      </c>
      <c r="C276" s="197" t="s">
        <v>324</v>
      </c>
      <c r="D276" s="197" t="str">
        <f>VLOOKUP(tabParametros[[#This Row],[Código do Posto]],tabPostos[],4,0)</f>
        <v>Sind - Asseio</v>
      </c>
      <c r="E276" s="282" t="str">
        <f>VLOOKUP(tabParametros[[#This Row],[Código do Posto]],tabPostos[],5,0)</f>
        <v>Apoio</v>
      </c>
      <c r="F276" s="282" t="str">
        <f>VLOOKUP(tabParametros[[#This Row],[Código do Posto]],tabPostos[],6,0)</f>
        <v>PGJ</v>
      </c>
      <c r="G276" s="282">
        <f>VLOOKUP(tabParametros[[#This Row],[Código do Posto]],tabPostos[],7,0)</f>
        <v>1</v>
      </c>
      <c r="H276" s="282">
        <f>VLOOKUP(tabParametros[[#This Row],[Código do Posto]],tabPostos[],8,0)</f>
        <v>0</v>
      </c>
      <c r="I276" s="232">
        <f>VLOOKUP(tabParametros[[#This Row],[Código do Posto]],tabPostos[],9,0)</f>
        <v>3397.1306016921476</v>
      </c>
      <c r="J276" s="232">
        <f>IF(ISNUMBER(SEARCH("Eletricista",tabParametros[[#This Row],[Função]],1)),0.3*tabParametros[[#This Row],[Salário Base]],0)</f>
        <v>0</v>
      </c>
      <c r="K27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6" s="232">
        <f>IF(AND(ISNUMBER(SEARCH("Noturno",tabParametros[[#This Row],[Função]],1)),tabParametros[[#This Row],[Comarca]]&lt;&gt;"Juiz de Fora"),tabParametros[[#This Row],[Salário Base]]/210*0.39*7*15.5,IF(ISNUMBER(SEARCH("Noturno",tabParametros[[#This Row],[Função]],1)),tabParametros[[#This Row],[Salário Base]]/210*0.2*8*15.5,0))</f>
        <v>0</v>
      </c>
      <c r="M276" s="232">
        <f>IF(ISNUMBER(SEARCH("Motorista II",tabParametros[[#This Row],[Função]],1)),0.3022*tabParametros[[#This Row],[Salário Base]],0)</f>
        <v>0</v>
      </c>
      <c r="N276" s="254">
        <v>0</v>
      </c>
      <c r="O276" s="254">
        <f>IF(ISNUMBER(SEARCH("TECNOLOGIA DA INFORMACAO",tabParametros[[#This Row],[Função]],1)),0.056*tabParametros[[#This Row],[Salário Base]],0)</f>
        <v>0</v>
      </c>
      <c r="P276" s="232">
        <f>IF(tabParametros[[#This Row],[Função]]="Operador de Midia Audiovisual - 150 h",tabParametros[[#This Row],[Salário Base]]/150*50*30%,IF(tabParametros[[#This Row],[Função]]="Supervisor de Manutencao de Veiculos II - 220 h",12%*tabParametros[[#This Row],[Salário Base]],0))</f>
        <v>0</v>
      </c>
      <c r="Q276" s="233">
        <f>VLOOKUP(tabParametros[[#Headers],[INSS]],tabImpostosNacionais[],2,0)</f>
        <v>0.2</v>
      </c>
      <c r="R276" s="233">
        <f>VLOOKUP(tabParametros[[#Headers],[SESI OU SESC]],tabImpostosNacionais[],2,0)</f>
        <v>1.4999999999999999E-2</v>
      </c>
      <c r="S276" s="233">
        <f>VLOOKUP(tabParametros[[#Headers],[SENAI OU SENAC]],tabImpostosNacionais[],2,0)</f>
        <v>0.01</v>
      </c>
      <c r="T276" s="233">
        <f>VLOOKUP(tabParametros[[#Headers],[INCRA]],tabImpostosNacionais[],2,0)</f>
        <v>2E-3</v>
      </c>
      <c r="U276" s="233">
        <f>VLOOKUP(tabParametros[[#Headers],[Salário Educação]],tabImpostosNacionais[],2,0)</f>
        <v>2.5000000000000001E-2</v>
      </c>
      <c r="V276" s="233">
        <f>VLOOKUP(tabParametros[[#Headers],[FGTS]],tabImpostosNacionais[],2,0)</f>
        <v>0.08</v>
      </c>
      <c r="W276" s="233">
        <f>VLOOKUP(tabParametros[[#Headers],[RAT Ajustado]],tabImpostosNacionais[],2,0)</f>
        <v>0.04</v>
      </c>
      <c r="X276" s="233">
        <f>VLOOKUP(tabParametros[[#Headers],[SEBRAE]],tabImpostosNacionais[],2,0)</f>
        <v>6.0000000000000001E-3</v>
      </c>
      <c r="Y276" s="233">
        <f t="shared" si="44"/>
        <v>8.3333333333333329E-2</v>
      </c>
      <c r="Z276" s="233">
        <f t="shared" si="45"/>
        <v>0.1111111111111111</v>
      </c>
      <c r="AA276" s="232">
        <f>VLOOKUP(tabParametros[[#This Row],[Comarca]],tabComarca[],5,0)</f>
        <v>6.4</v>
      </c>
      <c r="AB276" s="232">
        <f>VLOOKUP(tabParametros[[#This Row],[CCT DA CATEGORIA]],tabSindicatos[],6,0)</f>
        <v>29.15</v>
      </c>
      <c r="AC276" s="232">
        <f>VLOOKUP(tabParametros[[#This Row],[CCT DA CATEGORIA]],tabSindicatos[],7,0)</f>
        <v>0</v>
      </c>
      <c r="AD276" s="232" cm="1">
        <f t="array" ref="AD27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76" s="232">
        <f>VLOOKUP(tabParametros[[#This Row],[CCT DA CATEGORIA]],tabSindicatos[],9,0)</f>
        <v>0</v>
      </c>
      <c r="AF276" s="232">
        <f>VLOOKUP(tabParametros[[#This Row],[CCT DA CATEGORIA]],tabSindicatos[],10,0)</f>
        <v>0</v>
      </c>
      <c r="AG276" s="234">
        <f>VLOOKUP(tabParametros[[#Headers],[Seguro de Vida]],tabOutrosCustos[],3,0)</f>
        <v>3.36</v>
      </c>
      <c r="AH276" s="234">
        <f>IF(ISNUMBER(SEARCH("MOTORISTA",tabParametros[[#This Row],[Função]],1)),VLOOKUP("MOTORISTAS",tabDiarias[],2,0),IF(tabParametros[[#This Row],[Comarca]]="Belo Horizonte",VLOOKUP("APOIO",tabDiarias[],2,0),0))</f>
        <v>0</v>
      </c>
      <c r="AI276" s="233">
        <f t="shared" si="46"/>
        <v>7.011766975308642E-3</v>
      </c>
      <c r="AJ276" s="235">
        <f>tabParametros[[#This Row],[FGTS]]*tabParametros[[#This Row],[Aviso Prévio Indenizado (API) e Reflexo do Aviso Prévio Indenizado]]</f>
        <v>5.609413580246914E-4</v>
      </c>
      <c r="AK276" s="235">
        <f>tabParametros[[#This Row],[FGTS]]*tabParametros[[#This Row],[Aviso Prévio Indenizado (API) e Reflexo do Aviso Prévio Indenizado]]*40%</f>
        <v>2.2437654320987658E-4</v>
      </c>
      <c r="AL276" s="233">
        <f t="shared" si="47"/>
        <v>3.5000000000000005E-3</v>
      </c>
      <c r="AM276" s="233">
        <f>tabParametros[[#This Row],[Aviso Prévio Trabalhado - APT]]*SUM(tabParametros[[#This Row],[INSS]:[SEBRAE]])</f>
        <v>1.3230000000000004E-3</v>
      </c>
      <c r="AN276" s="233">
        <f t="shared" si="48"/>
        <v>3.0577777777777773E-2</v>
      </c>
      <c r="AO276" s="233">
        <f t="shared" si="49"/>
        <v>8.3333333333333339E-4</v>
      </c>
      <c r="AP276" s="233">
        <f t="shared" si="50"/>
        <v>8.4444444444444437E-3</v>
      </c>
      <c r="AQ276" s="233">
        <f t="shared" si="51"/>
        <v>2.0277777777777777E-3</v>
      </c>
      <c r="AR276" s="233">
        <f t="shared" si="52"/>
        <v>1.7083333333333333E-4</v>
      </c>
      <c r="AS276" s="233">
        <f t="shared" si="53"/>
        <v>2.0833333333333335E-4</v>
      </c>
      <c r="AT276" s="233">
        <f t="shared" si="54"/>
        <v>1.2962962962962963E-3</v>
      </c>
      <c r="AU276" s="235">
        <f>SUM(tabParametros[[#This Row],[Ausência por Doença]:[Férias, Adicional de Férias e 13º  com empregada em gozo de Licença Maternidade]])*SUM(tabParametros[[#This Row],[INSS]:[SEBRAE]])</f>
        <v>4.5918250000000008E-3</v>
      </c>
      <c r="AV276" s="254">
        <f>IF(tabParametros[[#This Row],[Função]]="Porteiro - 220 h",SUM(tabParametros[[#This Row],[Salário Base]:[Adicional de Acúmulo de função]])/220*20*1.5,IF(ISNUMBER(SEARCH("12 x 36",tabParametros[[#This Row],[Função]],1)),SUM(tabParametros[[#This Row],[Salário Base]:[Adicional de Acúmulo de função]])/210*15.5*1.5,0))</f>
        <v>0</v>
      </c>
      <c r="AW276" s="232">
        <f>IF(tabParametros[[#This Row],[Vagas contratadas]]&gt;0,(SUM(tabParametros[[#This Row],[Salário Base]:[Adicional de Acúmulo de função]])*30%+SUM(tabParametros[[#This Row],[Vale - Alimentação]:[Seguro de Vida]]))/tabParametros[[#This Row],[Vagas contratadas]]*tabParametros[[#This Row],[Vagas suspensas]],0)</f>
        <v>0</v>
      </c>
      <c r="AX276" s="232">
        <f>SUMIF(tabUniformes[Cargo],tabParametros[[#This Row],[Função]],tabUniformes[Valor unit. Mensal])</f>
        <v>56.642978962543395</v>
      </c>
      <c r="AY27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6" s="232">
        <v>0</v>
      </c>
      <c r="BC276" s="234" t="e">
        <f ca="1">VLOOKUP(tabParametros[[#Headers],[Custos Indiretos]],tabOutrosCustos[],3,0)</f>
        <v>#NAME?</v>
      </c>
      <c r="BD276" s="234" t="e">
        <f ca="1">VLOOKUP(tabParametros[[#Headers],[Lucro]],tabOutrosCustos[],3,0)</f>
        <v>#NAME?</v>
      </c>
      <c r="BE276" s="233">
        <f>VLOOKUP(tabParametros[[#Headers],[COFINS]],tabImpostosNacionais[],2,0)</f>
        <v>7.5999999999999998E-2</v>
      </c>
      <c r="BF276" s="233">
        <f>VLOOKUP(tabParametros[[#Headers],[PIS]],tabImpostosNacionais[],2,0)</f>
        <v>1.6500000000000001E-2</v>
      </c>
      <c r="BG276" s="233">
        <f>VLOOKUP(tabParametros[[#This Row],[Comarca]],tabComarca[],4,0)</f>
        <v>0.02</v>
      </c>
      <c r="BH276" s="236">
        <f>VLOOKUP(tabParametros[[#This Row],[CCT DA CATEGORIA]],tabSindicatos[],11,0)</f>
        <v>45658</v>
      </c>
      <c r="BI276" s="282" t="str">
        <f>VLOOKUP(tabParametros[[#This Row],[CCT DA CATEGORIA]],tabSindicatos[],12,0)</f>
        <v>-</v>
      </c>
      <c r="BJ276" s="285" t="str">
        <f>VLOOKUP(tabParametros[[#This Row],[CCT DA CATEGORIA]],tabSindicatos[],13,0)</f>
        <v>-</v>
      </c>
    </row>
    <row r="277" spans="1:62">
      <c r="A277" s="231" t="s">
        <v>1693</v>
      </c>
      <c r="B277" s="197" t="s">
        <v>1197</v>
      </c>
      <c r="C277" s="197" t="s">
        <v>324</v>
      </c>
      <c r="D277" s="197" t="str">
        <f>VLOOKUP(tabParametros[[#This Row],[Código do Posto]],tabPostos[],4,0)</f>
        <v>Regiao de Joao Monlevade</v>
      </c>
      <c r="E277" s="282" t="str">
        <f>VLOOKUP(tabParametros[[#This Row],[Código do Posto]],tabPostos[],5,0)</f>
        <v>Apoio</v>
      </c>
      <c r="F277" s="282" t="str">
        <f>VLOOKUP(tabParametros[[#This Row],[Código do Posto]],tabPostos[],6,0)</f>
        <v>PGJ</v>
      </c>
      <c r="G277" s="282">
        <f>VLOOKUP(tabParametros[[#This Row],[Código do Posto]],tabPostos[],7,0)</f>
        <v>1</v>
      </c>
      <c r="H277" s="282">
        <f>VLOOKUP(tabParametros[[#This Row],[Código do Posto]],tabPostos[],8,0)</f>
        <v>0</v>
      </c>
      <c r="I277" s="232">
        <f>VLOOKUP(tabParametros[[#This Row],[Código do Posto]],tabPostos[],9,0)</f>
        <v>2316.2253186627422</v>
      </c>
      <c r="J277" s="232">
        <f>IF(ISNUMBER(SEARCH("Eletricista",tabParametros[[#This Row],[Função]],1)),0.3*tabParametros[[#This Row],[Salário Base]],0)</f>
        <v>0</v>
      </c>
      <c r="K27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7" s="232">
        <f>IF(AND(ISNUMBER(SEARCH("Noturno",tabParametros[[#This Row],[Função]],1)),tabParametros[[#This Row],[Comarca]]&lt;&gt;"Juiz de Fora"),tabParametros[[#This Row],[Salário Base]]/210*0.39*7*15.5,IF(ISNUMBER(SEARCH("Noturno",tabParametros[[#This Row],[Função]],1)),tabParametros[[#This Row],[Salário Base]]/210*0.2*8*15.5,0))</f>
        <v>0</v>
      </c>
      <c r="M277" s="232">
        <f>IF(ISNUMBER(SEARCH("Motorista II",tabParametros[[#This Row],[Função]],1)),0.3022*tabParametros[[#This Row],[Salário Base]],0)</f>
        <v>0</v>
      </c>
      <c r="N277" s="254">
        <v>0</v>
      </c>
      <c r="O277" s="254">
        <f>IF(ISNUMBER(SEARCH("TECNOLOGIA DA INFORMACAO",tabParametros[[#This Row],[Função]],1)),0.056*tabParametros[[#This Row],[Salário Base]],0)</f>
        <v>0</v>
      </c>
      <c r="P277" s="232">
        <f>IF(tabParametros[[#This Row],[Função]]="Operador de Midia Audiovisual - 150 h",tabParametros[[#This Row],[Salário Base]]/150*50*30%,IF(tabParametros[[#This Row],[Função]]="Supervisor de Manutencao de Veiculos II - 220 h",12%*tabParametros[[#This Row],[Salário Base]],0))</f>
        <v>0</v>
      </c>
      <c r="Q277" s="233">
        <f>VLOOKUP(tabParametros[[#Headers],[INSS]],tabImpostosNacionais[],2,0)</f>
        <v>0.2</v>
      </c>
      <c r="R277" s="233">
        <f>VLOOKUP(tabParametros[[#Headers],[SESI OU SESC]],tabImpostosNacionais[],2,0)</f>
        <v>1.4999999999999999E-2</v>
      </c>
      <c r="S277" s="233">
        <f>VLOOKUP(tabParametros[[#Headers],[SENAI OU SENAC]],tabImpostosNacionais[],2,0)</f>
        <v>0.01</v>
      </c>
      <c r="T277" s="233">
        <f>VLOOKUP(tabParametros[[#Headers],[INCRA]],tabImpostosNacionais[],2,0)</f>
        <v>2E-3</v>
      </c>
      <c r="U277" s="233">
        <f>VLOOKUP(tabParametros[[#Headers],[Salário Educação]],tabImpostosNacionais[],2,0)</f>
        <v>2.5000000000000001E-2</v>
      </c>
      <c r="V277" s="233">
        <f>VLOOKUP(tabParametros[[#Headers],[FGTS]],tabImpostosNacionais[],2,0)</f>
        <v>0.08</v>
      </c>
      <c r="W277" s="233">
        <f>VLOOKUP(tabParametros[[#Headers],[RAT Ajustado]],tabImpostosNacionais[],2,0)</f>
        <v>0.04</v>
      </c>
      <c r="X277" s="233">
        <f>VLOOKUP(tabParametros[[#Headers],[SEBRAE]],tabImpostosNacionais[],2,0)</f>
        <v>6.0000000000000001E-3</v>
      </c>
      <c r="Y277" s="233">
        <f t="shared" si="44"/>
        <v>8.3333333333333329E-2</v>
      </c>
      <c r="Z277" s="233">
        <f t="shared" si="45"/>
        <v>0.1111111111111111</v>
      </c>
      <c r="AA277" s="232">
        <f>VLOOKUP(tabParametros[[#This Row],[Comarca]],tabComarca[],5,0)</f>
        <v>6.4</v>
      </c>
      <c r="AB277" s="232">
        <f>VLOOKUP(tabParametros[[#This Row],[CCT DA CATEGORIA]],tabSindicatos[],6,0)</f>
        <v>29.15</v>
      </c>
      <c r="AC277" s="232">
        <f>VLOOKUP(tabParametros[[#This Row],[CCT DA CATEGORIA]],tabSindicatos[],7,0)</f>
        <v>0</v>
      </c>
      <c r="AD277" s="232" cm="1">
        <f t="array" ref="AD27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50.74</v>
      </c>
      <c r="AE277" s="232">
        <f>VLOOKUP(tabParametros[[#This Row],[CCT DA CATEGORIA]],tabSindicatos[],9,0)</f>
        <v>0</v>
      </c>
      <c r="AF277" s="232">
        <f>VLOOKUP(tabParametros[[#This Row],[CCT DA CATEGORIA]],tabSindicatos[],10,0)</f>
        <v>0</v>
      </c>
      <c r="AG277" s="234">
        <f>VLOOKUP(tabParametros[[#Headers],[Seguro de Vida]],tabOutrosCustos[],3,0)</f>
        <v>3.36</v>
      </c>
      <c r="AH277" s="234">
        <f>IF(ISNUMBER(SEARCH("MOTORISTA",tabParametros[[#This Row],[Função]],1)),VLOOKUP("MOTORISTAS",tabDiarias[],2,0),IF(tabParametros[[#This Row],[Comarca]]="Belo Horizonte",VLOOKUP("APOIO",tabDiarias[],2,0),0))</f>
        <v>0</v>
      </c>
      <c r="AI277" s="233">
        <f t="shared" si="46"/>
        <v>7.011766975308642E-3</v>
      </c>
      <c r="AJ277" s="235">
        <f>tabParametros[[#This Row],[FGTS]]*tabParametros[[#This Row],[Aviso Prévio Indenizado (API) e Reflexo do Aviso Prévio Indenizado]]</f>
        <v>5.609413580246914E-4</v>
      </c>
      <c r="AK277" s="235">
        <f>tabParametros[[#This Row],[FGTS]]*tabParametros[[#This Row],[Aviso Prévio Indenizado (API) e Reflexo do Aviso Prévio Indenizado]]*40%</f>
        <v>2.2437654320987658E-4</v>
      </c>
      <c r="AL277" s="233">
        <f t="shared" si="47"/>
        <v>3.5000000000000005E-3</v>
      </c>
      <c r="AM277" s="233">
        <f>tabParametros[[#This Row],[Aviso Prévio Trabalhado - APT]]*SUM(tabParametros[[#This Row],[INSS]:[SEBRAE]])</f>
        <v>1.3230000000000004E-3</v>
      </c>
      <c r="AN277" s="233">
        <f t="shared" si="48"/>
        <v>3.0577777777777773E-2</v>
      </c>
      <c r="AO277" s="233">
        <f t="shared" si="49"/>
        <v>8.3333333333333339E-4</v>
      </c>
      <c r="AP277" s="233">
        <f t="shared" si="50"/>
        <v>8.4444444444444437E-3</v>
      </c>
      <c r="AQ277" s="233">
        <f t="shared" si="51"/>
        <v>2.0277777777777777E-3</v>
      </c>
      <c r="AR277" s="233">
        <f t="shared" si="52"/>
        <v>1.7083333333333333E-4</v>
      </c>
      <c r="AS277" s="233">
        <f t="shared" si="53"/>
        <v>2.0833333333333335E-4</v>
      </c>
      <c r="AT277" s="233">
        <f t="shared" si="54"/>
        <v>1.2962962962962963E-3</v>
      </c>
      <c r="AU277" s="235">
        <f>SUM(tabParametros[[#This Row],[Ausência por Doença]:[Férias, Adicional de Férias e 13º  com empregada em gozo de Licença Maternidade]])*SUM(tabParametros[[#This Row],[INSS]:[SEBRAE]])</f>
        <v>4.5918250000000008E-3</v>
      </c>
      <c r="AV277" s="254">
        <f>IF(tabParametros[[#This Row],[Função]]="Porteiro - 220 h",SUM(tabParametros[[#This Row],[Salário Base]:[Adicional de Acúmulo de função]])/220*20*1.5,IF(ISNUMBER(SEARCH("12 x 36",tabParametros[[#This Row],[Função]],1)),SUM(tabParametros[[#This Row],[Salário Base]:[Adicional de Acúmulo de função]])/210*15.5*1.5,0))</f>
        <v>0</v>
      </c>
      <c r="AW277" s="232">
        <f>IF(tabParametros[[#This Row],[Vagas contratadas]]&gt;0,(SUM(tabParametros[[#This Row],[Salário Base]:[Adicional de Acúmulo de função]])*30%+SUM(tabParametros[[#This Row],[Vale - Alimentação]:[Seguro de Vida]]))/tabParametros[[#This Row],[Vagas contratadas]]*tabParametros[[#This Row],[Vagas suspensas]],0)</f>
        <v>0</v>
      </c>
      <c r="AX277" s="232">
        <f>SUMIF(tabUniformes[Cargo],tabParametros[[#This Row],[Função]],tabUniformes[Valor unit. Mensal])</f>
        <v>56.642978962543395</v>
      </c>
      <c r="AY27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7" s="232">
        <v>0</v>
      </c>
      <c r="BC277" s="234" t="e">
        <f ca="1">VLOOKUP(tabParametros[[#Headers],[Custos Indiretos]],tabOutrosCustos[],3,0)</f>
        <v>#NAME?</v>
      </c>
      <c r="BD277" s="234" t="e">
        <f ca="1">VLOOKUP(tabParametros[[#Headers],[Lucro]],tabOutrosCustos[],3,0)</f>
        <v>#NAME?</v>
      </c>
      <c r="BE277" s="233">
        <f>VLOOKUP(tabParametros[[#Headers],[COFINS]],tabImpostosNacionais[],2,0)</f>
        <v>7.5999999999999998E-2</v>
      </c>
      <c r="BF277" s="233">
        <f>VLOOKUP(tabParametros[[#Headers],[PIS]],tabImpostosNacionais[],2,0)</f>
        <v>1.6500000000000001E-2</v>
      </c>
      <c r="BG277" s="233">
        <f>VLOOKUP(tabParametros[[#This Row],[Comarca]],tabComarca[],4,0)</f>
        <v>0.02</v>
      </c>
      <c r="BH277" s="236">
        <f>VLOOKUP(tabParametros[[#This Row],[CCT DA CATEGORIA]],tabSindicatos[],11,0)</f>
        <v>45658</v>
      </c>
      <c r="BI277" s="282" t="str">
        <f>VLOOKUP(tabParametros[[#This Row],[CCT DA CATEGORIA]],tabSindicatos[],12,0)</f>
        <v>-</v>
      </c>
      <c r="BJ277" s="285" t="str">
        <f>VLOOKUP(tabParametros[[#This Row],[CCT DA CATEGORIA]],tabSindicatos[],13,0)</f>
        <v>-</v>
      </c>
    </row>
    <row r="278" spans="1:62">
      <c r="A278" s="231" t="s">
        <v>1694</v>
      </c>
      <c r="B278" s="197" t="s">
        <v>1198</v>
      </c>
      <c r="C278" s="197" t="s">
        <v>274</v>
      </c>
      <c r="D278" s="197" t="str">
        <f>VLOOKUP(tabParametros[[#This Row],[Código do Posto]],tabPostos[],4,0)</f>
        <v>Rodoviarios de RMBH + SEAC-MG</v>
      </c>
      <c r="E278" s="282" t="str">
        <f>VLOOKUP(tabParametros[[#This Row],[Código do Posto]],tabPostos[],5,0)</f>
        <v>Apoio</v>
      </c>
      <c r="F278" s="282" t="str">
        <f>VLOOKUP(tabParametros[[#This Row],[Código do Posto]],tabPostos[],6,0)</f>
        <v>PGJ</v>
      </c>
      <c r="G278" s="282">
        <f>VLOOKUP(tabParametros[[#This Row],[Código do Posto]],tabPostos[],7,0)</f>
        <v>1</v>
      </c>
      <c r="H278" s="282">
        <f>VLOOKUP(tabParametros[[#This Row],[Código do Posto]],tabPostos[],8,0)</f>
        <v>0</v>
      </c>
      <c r="I278" s="232">
        <f>VLOOKUP(tabParametros[[#This Row],[Código do Posto]],tabPostos[],9,0)</f>
        <v>4465.6282221988586</v>
      </c>
      <c r="J278" s="232">
        <f>IF(ISNUMBER(SEARCH("Eletricista",tabParametros[[#This Row],[Função]],1)),0.3*tabParametros[[#This Row],[Salário Base]],0)</f>
        <v>0</v>
      </c>
      <c r="K27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8" s="232">
        <f>IF(AND(ISNUMBER(SEARCH("Noturno",tabParametros[[#This Row],[Função]],1)),tabParametros[[#This Row],[Comarca]]&lt;&gt;"Juiz de Fora"),tabParametros[[#This Row],[Salário Base]]/210*0.39*7*15.5,IF(ISNUMBER(SEARCH("Noturno",tabParametros[[#This Row],[Função]],1)),tabParametros[[#This Row],[Salário Base]]/210*0.2*8*15.5,0))</f>
        <v>0</v>
      </c>
      <c r="M278" s="232">
        <f>IF(ISNUMBER(SEARCH("Motorista II",tabParametros[[#This Row],[Função]],1)),0.3022*tabParametros[[#This Row],[Salário Base]],0)</f>
        <v>0</v>
      </c>
      <c r="N278" s="254">
        <v>0</v>
      </c>
      <c r="O278" s="254">
        <f>IF(ISNUMBER(SEARCH("TECNOLOGIA DA INFORMACAO",tabParametros[[#This Row],[Função]],1)),0.056*tabParametros[[#This Row],[Salário Base]],0)</f>
        <v>0</v>
      </c>
      <c r="P278" s="232">
        <f>IF(tabParametros[[#This Row],[Função]]="Operador de Midia Audiovisual - 150 h",tabParametros[[#This Row],[Salário Base]]/150*50*30%,IF(tabParametros[[#This Row],[Função]]="Supervisor de Manutencao de Veiculos II - 220 h",12%*tabParametros[[#This Row],[Salário Base]],0))</f>
        <v>0</v>
      </c>
      <c r="Q278" s="233">
        <f>VLOOKUP(tabParametros[[#Headers],[INSS]],tabImpostosNacionais[],2,0)</f>
        <v>0.2</v>
      </c>
      <c r="R278" s="233">
        <f>VLOOKUP(tabParametros[[#Headers],[SESI OU SESC]],tabImpostosNacionais[],2,0)</f>
        <v>1.4999999999999999E-2</v>
      </c>
      <c r="S278" s="233">
        <f>VLOOKUP(tabParametros[[#Headers],[SENAI OU SENAC]],tabImpostosNacionais[],2,0)</f>
        <v>0.01</v>
      </c>
      <c r="T278" s="233">
        <f>VLOOKUP(tabParametros[[#Headers],[INCRA]],tabImpostosNacionais[],2,0)</f>
        <v>2E-3</v>
      </c>
      <c r="U278" s="233">
        <f>VLOOKUP(tabParametros[[#Headers],[Salário Educação]],tabImpostosNacionais[],2,0)</f>
        <v>2.5000000000000001E-2</v>
      </c>
      <c r="V278" s="233">
        <f>VLOOKUP(tabParametros[[#Headers],[FGTS]],tabImpostosNacionais[],2,0)</f>
        <v>0.08</v>
      </c>
      <c r="W278" s="233">
        <f>VLOOKUP(tabParametros[[#Headers],[RAT Ajustado]],tabImpostosNacionais[],2,0)</f>
        <v>0.04</v>
      </c>
      <c r="X278" s="233">
        <f>VLOOKUP(tabParametros[[#Headers],[SEBRAE]],tabImpostosNacionais[],2,0)</f>
        <v>6.0000000000000001E-3</v>
      </c>
      <c r="Y278" s="233">
        <f t="shared" si="44"/>
        <v>8.3333333333333329E-2</v>
      </c>
      <c r="Z278" s="233">
        <f t="shared" si="45"/>
        <v>0.1111111111111111</v>
      </c>
      <c r="AA278" s="232">
        <f>VLOOKUP(tabParametros[[#This Row],[Comarca]],tabComarca[],5,0)</f>
        <v>6.4</v>
      </c>
      <c r="AB278" s="232">
        <f>VLOOKUP(tabParametros[[#This Row],[CCT DA CATEGORIA]],tabSindicatos[],6,0)</f>
        <v>28.97</v>
      </c>
      <c r="AC278" s="232">
        <f>VLOOKUP(tabParametros[[#This Row],[CCT DA CATEGORIA]],tabSindicatos[],7,0)</f>
        <v>0</v>
      </c>
      <c r="AD278" s="232" cm="1">
        <f t="array" ref="AD27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278" s="232">
        <f>VLOOKUP(tabParametros[[#This Row],[CCT DA CATEGORIA]],tabSindicatos[],9,0)</f>
        <v>0</v>
      </c>
      <c r="AF278" s="232">
        <f>VLOOKUP(tabParametros[[#This Row],[CCT DA CATEGORIA]],tabSindicatos[],10,0)</f>
        <v>0</v>
      </c>
      <c r="AG278" s="234">
        <f>VLOOKUP(tabParametros[[#Headers],[Seguro de Vida]],tabOutrosCustos[],3,0)</f>
        <v>3.36</v>
      </c>
      <c r="AH278" s="234">
        <f>IF(ISNUMBER(SEARCH("MOTORISTA",tabParametros[[#This Row],[Função]],1)),VLOOKUP("MOTORISTAS",tabDiarias[],2,0),IF(tabParametros[[#This Row],[Comarca]]="Belo Horizonte",VLOOKUP("APOIO",tabDiarias[],2,0),0))</f>
        <v>662.42</v>
      </c>
      <c r="AI278" s="233">
        <f t="shared" si="46"/>
        <v>7.011766975308642E-3</v>
      </c>
      <c r="AJ278" s="235">
        <f>tabParametros[[#This Row],[FGTS]]*tabParametros[[#This Row],[Aviso Prévio Indenizado (API) e Reflexo do Aviso Prévio Indenizado]]</f>
        <v>5.609413580246914E-4</v>
      </c>
      <c r="AK278" s="235">
        <f>tabParametros[[#This Row],[FGTS]]*tabParametros[[#This Row],[Aviso Prévio Indenizado (API) e Reflexo do Aviso Prévio Indenizado]]*40%</f>
        <v>2.2437654320987658E-4</v>
      </c>
      <c r="AL278" s="233">
        <f t="shared" si="47"/>
        <v>3.5000000000000005E-3</v>
      </c>
      <c r="AM278" s="233">
        <f>tabParametros[[#This Row],[Aviso Prévio Trabalhado - APT]]*SUM(tabParametros[[#This Row],[INSS]:[SEBRAE]])</f>
        <v>1.3230000000000004E-3</v>
      </c>
      <c r="AN278" s="233">
        <f t="shared" si="48"/>
        <v>3.0577777777777773E-2</v>
      </c>
      <c r="AO278" s="233">
        <f t="shared" si="49"/>
        <v>8.3333333333333339E-4</v>
      </c>
      <c r="AP278" s="233">
        <f t="shared" si="50"/>
        <v>8.4444444444444437E-3</v>
      </c>
      <c r="AQ278" s="233">
        <f t="shared" si="51"/>
        <v>2.0277777777777777E-3</v>
      </c>
      <c r="AR278" s="233">
        <f t="shared" si="52"/>
        <v>1.7083333333333333E-4</v>
      </c>
      <c r="AS278" s="233">
        <f t="shared" si="53"/>
        <v>2.0833333333333335E-4</v>
      </c>
      <c r="AT278" s="233">
        <f t="shared" si="54"/>
        <v>1.2962962962962963E-3</v>
      </c>
      <c r="AU278" s="235">
        <f>SUM(tabParametros[[#This Row],[Ausência por Doença]:[Férias, Adicional de Férias e 13º  com empregada em gozo de Licença Maternidade]])*SUM(tabParametros[[#This Row],[INSS]:[SEBRAE]])</f>
        <v>4.5918250000000008E-3</v>
      </c>
      <c r="AV278" s="254">
        <f>IF(tabParametros[[#This Row],[Função]]="Porteiro - 220 h",SUM(tabParametros[[#This Row],[Salário Base]:[Adicional de Acúmulo de função]])/220*20*1.5,IF(ISNUMBER(SEARCH("12 x 36",tabParametros[[#This Row],[Função]],1)),SUM(tabParametros[[#This Row],[Salário Base]:[Adicional de Acúmulo de função]])/210*15.5*1.5,0))</f>
        <v>0</v>
      </c>
      <c r="AW278" s="232">
        <f>IF(tabParametros[[#This Row],[Vagas contratadas]]&gt;0,(SUM(tabParametros[[#This Row],[Salário Base]:[Adicional de Acúmulo de função]])*30%+SUM(tabParametros[[#This Row],[Vale - Alimentação]:[Seguro de Vida]]))/tabParametros[[#This Row],[Vagas contratadas]]*tabParametros[[#This Row],[Vagas suspensas]],0)</f>
        <v>0</v>
      </c>
      <c r="AX278" s="232">
        <f>SUMIF(tabUniformes[Cargo],tabParametros[[#This Row],[Função]],tabUniformes[Valor unit. Mensal])</f>
        <v>92.100763771570698</v>
      </c>
      <c r="AY27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8" s="232">
        <v>0</v>
      </c>
      <c r="BC278" s="234" t="e">
        <f ca="1">VLOOKUP(tabParametros[[#Headers],[Custos Indiretos]],tabOutrosCustos[],3,0)</f>
        <v>#NAME?</v>
      </c>
      <c r="BD278" s="234" t="e">
        <f ca="1">VLOOKUP(tabParametros[[#Headers],[Lucro]],tabOutrosCustos[],3,0)</f>
        <v>#NAME?</v>
      </c>
      <c r="BE278" s="233">
        <f>VLOOKUP(tabParametros[[#Headers],[COFINS]],tabImpostosNacionais[],2,0)</f>
        <v>7.5999999999999998E-2</v>
      </c>
      <c r="BF278" s="233">
        <f>VLOOKUP(tabParametros[[#Headers],[PIS]],tabImpostosNacionais[],2,0)</f>
        <v>1.6500000000000001E-2</v>
      </c>
      <c r="BG278" s="233">
        <f>VLOOKUP(tabParametros[[#This Row],[Comarca]],tabComarca[],4,0)</f>
        <v>0.02</v>
      </c>
      <c r="BH278" s="236">
        <f>VLOOKUP(tabParametros[[#This Row],[CCT DA CATEGORIA]],tabSindicatos[],11,0)</f>
        <v>45658</v>
      </c>
      <c r="BI278" s="282" t="str">
        <f>VLOOKUP(tabParametros[[#This Row],[CCT DA CATEGORIA]],tabSindicatos[],12,0)</f>
        <v>-</v>
      </c>
      <c r="BJ278" s="285" t="str">
        <f>VLOOKUP(tabParametros[[#This Row],[CCT DA CATEGORIA]],tabSindicatos[],13,0)</f>
        <v>-</v>
      </c>
    </row>
    <row r="279" spans="1:62">
      <c r="A279" s="231" t="s">
        <v>1695</v>
      </c>
      <c r="B279" s="197" t="s">
        <v>1198</v>
      </c>
      <c r="C279" s="197" t="s">
        <v>319</v>
      </c>
      <c r="D279" s="197" t="str">
        <f>VLOOKUP(tabParametros[[#This Row],[Código do Posto]],tabPostos[],4,0)</f>
        <v>Sind - Asseio</v>
      </c>
      <c r="E279" s="282" t="str">
        <f>VLOOKUP(tabParametros[[#This Row],[Código do Posto]],tabPostos[],5,0)</f>
        <v>Apoio</v>
      </c>
      <c r="F279" s="282" t="str">
        <f>VLOOKUP(tabParametros[[#This Row],[Código do Posto]],tabPostos[],6,0)</f>
        <v>PGJ</v>
      </c>
      <c r="G279" s="282">
        <f>VLOOKUP(tabParametros[[#This Row],[Código do Posto]],tabPostos[],7,0)</f>
        <v>1</v>
      </c>
      <c r="H279" s="282">
        <f>VLOOKUP(tabParametros[[#This Row],[Código do Posto]],tabPostos[],8,0)</f>
        <v>0</v>
      </c>
      <c r="I279" s="232">
        <f>VLOOKUP(tabParametros[[#This Row],[Código do Posto]],tabPostos[],9,0)</f>
        <v>2316.2296840668359</v>
      </c>
      <c r="J279" s="232">
        <f>IF(ISNUMBER(SEARCH("Eletricista",tabParametros[[#This Row],[Função]],1)),0.3*tabParametros[[#This Row],[Salário Base]],0)</f>
        <v>0</v>
      </c>
      <c r="K27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79" s="232">
        <f>IF(AND(ISNUMBER(SEARCH("Noturno",tabParametros[[#This Row],[Função]],1)),tabParametros[[#This Row],[Comarca]]&lt;&gt;"Juiz de Fora"),tabParametros[[#This Row],[Salário Base]]/210*0.39*7*15.5,IF(ISNUMBER(SEARCH("Noturno",tabParametros[[#This Row],[Função]],1)),tabParametros[[#This Row],[Salário Base]]/210*0.2*8*15.5,0))</f>
        <v>0</v>
      </c>
      <c r="M279" s="232">
        <f>IF(ISNUMBER(SEARCH("Motorista II",tabParametros[[#This Row],[Função]],1)),0.3022*tabParametros[[#This Row],[Salário Base]],0)</f>
        <v>0</v>
      </c>
      <c r="N279" s="254">
        <v>0</v>
      </c>
      <c r="O279" s="254">
        <f>IF(ISNUMBER(SEARCH("TECNOLOGIA DA INFORMACAO",tabParametros[[#This Row],[Função]],1)),0.056*tabParametros[[#This Row],[Salário Base]],0)</f>
        <v>0</v>
      </c>
      <c r="P279" s="232">
        <f>IF(tabParametros[[#This Row],[Função]]="Operador de Midia Audiovisual - 150 h",tabParametros[[#This Row],[Salário Base]]/150*50*30%,IF(tabParametros[[#This Row],[Função]]="Supervisor de Manutencao de Veiculos II - 220 h",12%*tabParametros[[#This Row],[Salário Base]],0))</f>
        <v>0</v>
      </c>
      <c r="Q279" s="233">
        <f>VLOOKUP(tabParametros[[#Headers],[INSS]],tabImpostosNacionais[],2,0)</f>
        <v>0.2</v>
      </c>
      <c r="R279" s="233">
        <f>VLOOKUP(tabParametros[[#Headers],[SESI OU SESC]],tabImpostosNacionais[],2,0)</f>
        <v>1.4999999999999999E-2</v>
      </c>
      <c r="S279" s="233">
        <f>VLOOKUP(tabParametros[[#Headers],[SENAI OU SENAC]],tabImpostosNacionais[],2,0)</f>
        <v>0.01</v>
      </c>
      <c r="T279" s="233">
        <f>VLOOKUP(tabParametros[[#Headers],[INCRA]],tabImpostosNacionais[],2,0)</f>
        <v>2E-3</v>
      </c>
      <c r="U279" s="233">
        <f>VLOOKUP(tabParametros[[#Headers],[Salário Educação]],tabImpostosNacionais[],2,0)</f>
        <v>2.5000000000000001E-2</v>
      </c>
      <c r="V279" s="233">
        <f>VLOOKUP(tabParametros[[#Headers],[FGTS]],tabImpostosNacionais[],2,0)</f>
        <v>0.08</v>
      </c>
      <c r="W279" s="233">
        <f>VLOOKUP(tabParametros[[#Headers],[RAT Ajustado]],tabImpostosNacionais[],2,0)</f>
        <v>0.04</v>
      </c>
      <c r="X279" s="233">
        <f>VLOOKUP(tabParametros[[#Headers],[SEBRAE]],tabImpostosNacionais[],2,0)</f>
        <v>6.0000000000000001E-3</v>
      </c>
      <c r="Y279" s="233">
        <f t="shared" si="44"/>
        <v>8.3333333333333329E-2</v>
      </c>
      <c r="Z279" s="233">
        <f t="shared" si="45"/>
        <v>0.1111111111111111</v>
      </c>
      <c r="AA279" s="232">
        <f>VLOOKUP(tabParametros[[#This Row],[Comarca]],tabComarca[],5,0)</f>
        <v>6.4</v>
      </c>
      <c r="AB279" s="232">
        <f>VLOOKUP(tabParametros[[#This Row],[CCT DA CATEGORIA]],tabSindicatos[],6,0)</f>
        <v>29.15</v>
      </c>
      <c r="AC279" s="232">
        <f>VLOOKUP(tabParametros[[#This Row],[CCT DA CATEGORIA]],tabSindicatos[],7,0)</f>
        <v>0</v>
      </c>
      <c r="AD279" s="232" cm="1">
        <f t="array" ref="AD27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77.25</v>
      </c>
      <c r="AE279" s="232">
        <f>VLOOKUP(tabParametros[[#This Row],[CCT DA CATEGORIA]],tabSindicatos[],9,0)</f>
        <v>0</v>
      </c>
      <c r="AF279" s="232">
        <f>VLOOKUP(tabParametros[[#This Row],[CCT DA CATEGORIA]],tabSindicatos[],10,0)</f>
        <v>0</v>
      </c>
      <c r="AG279" s="234">
        <f>VLOOKUP(tabParametros[[#Headers],[Seguro de Vida]],tabOutrosCustos[],3,0)</f>
        <v>3.36</v>
      </c>
      <c r="AH279" s="234">
        <f>IF(ISNUMBER(SEARCH("MOTORISTA",tabParametros[[#This Row],[Função]],1)),VLOOKUP("MOTORISTAS",tabDiarias[],2,0),IF(tabParametros[[#This Row],[Comarca]]="Belo Horizonte",VLOOKUP("APOIO",tabDiarias[],2,0),0))</f>
        <v>0</v>
      </c>
      <c r="AI279" s="233">
        <f t="shared" si="46"/>
        <v>7.011766975308642E-3</v>
      </c>
      <c r="AJ279" s="235">
        <f>tabParametros[[#This Row],[FGTS]]*tabParametros[[#This Row],[Aviso Prévio Indenizado (API) e Reflexo do Aviso Prévio Indenizado]]</f>
        <v>5.609413580246914E-4</v>
      </c>
      <c r="AK279" s="235">
        <f>tabParametros[[#This Row],[FGTS]]*tabParametros[[#This Row],[Aviso Prévio Indenizado (API) e Reflexo do Aviso Prévio Indenizado]]*40%</f>
        <v>2.2437654320987658E-4</v>
      </c>
      <c r="AL279" s="233">
        <f t="shared" si="47"/>
        <v>3.5000000000000005E-3</v>
      </c>
      <c r="AM279" s="233">
        <f>tabParametros[[#This Row],[Aviso Prévio Trabalhado - APT]]*SUM(tabParametros[[#This Row],[INSS]:[SEBRAE]])</f>
        <v>1.3230000000000004E-3</v>
      </c>
      <c r="AN279" s="233">
        <f t="shared" si="48"/>
        <v>3.0577777777777773E-2</v>
      </c>
      <c r="AO279" s="233">
        <f t="shared" si="49"/>
        <v>8.3333333333333339E-4</v>
      </c>
      <c r="AP279" s="233">
        <f t="shared" si="50"/>
        <v>8.4444444444444437E-3</v>
      </c>
      <c r="AQ279" s="233">
        <f t="shared" si="51"/>
        <v>2.0277777777777777E-3</v>
      </c>
      <c r="AR279" s="233">
        <f t="shared" si="52"/>
        <v>1.7083333333333333E-4</v>
      </c>
      <c r="AS279" s="233">
        <f t="shared" si="53"/>
        <v>2.0833333333333335E-4</v>
      </c>
      <c r="AT279" s="233">
        <f t="shared" si="54"/>
        <v>1.2962962962962963E-3</v>
      </c>
      <c r="AU279" s="235">
        <f>SUM(tabParametros[[#This Row],[Ausência por Doença]:[Férias, Adicional de Férias e 13º  com empregada em gozo de Licença Maternidade]])*SUM(tabParametros[[#This Row],[INSS]:[SEBRAE]])</f>
        <v>4.5918250000000008E-3</v>
      </c>
      <c r="AV279" s="254">
        <f>IF(tabParametros[[#This Row],[Função]]="Porteiro - 220 h",SUM(tabParametros[[#This Row],[Salário Base]:[Adicional de Acúmulo de função]])/220*20*1.5,IF(ISNUMBER(SEARCH("12 x 36",tabParametros[[#This Row],[Função]],1)),SUM(tabParametros[[#This Row],[Salário Base]:[Adicional de Acúmulo de função]])/210*15.5*1.5,0))</f>
        <v>0</v>
      </c>
      <c r="AW279" s="232">
        <f>IF(tabParametros[[#This Row],[Vagas contratadas]]&gt;0,(SUM(tabParametros[[#This Row],[Salário Base]:[Adicional de Acúmulo de função]])*30%+SUM(tabParametros[[#This Row],[Vale - Alimentação]:[Seguro de Vida]]))/tabParametros[[#This Row],[Vagas contratadas]]*tabParametros[[#This Row],[Vagas suspensas]],0)</f>
        <v>0</v>
      </c>
      <c r="AX279" s="232">
        <f>SUMIF(tabUniformes[Cargo],tabParametros[[#This Row],[Função]],tabUniformes[Valor unit. Mensal])</f>
        <v>56.642978962543395</v>
      </c>
      <c r="AY27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7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7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79" s="232">
        <v>0</v>
      </c>
      <c r="BC279" s="234" t="e">
        <f ca="1">VLOOKUP(tabParametros[[#Headers],[Custos Indiretos]],tabOutrosCustos[],3,0)</f>
        <v>#NAME?</v>
      </c>
      <c r="BD279" s="234" t="e">
        <f ca="1">VLOOKUP(tabParametros[[#Headers],[Lucro]],tabOutrosCustos[],3,0)</f>
        <v>#NAME?</v>
      </c>
      <c r="BE279" s="233">
        <f>VLOOKUP(tabParametros[[#Headers],[COFINS]],tabImpostosNacionais[],2,0)</f>
        <v>7.5999999999999998E-2</v>
      </c>
      <c r="BF279" s="233">
        <f>VLOOKUP(tabParametros[[#Headers],[PIS]],tabImpostosNacionais[],2,0)</f>
        <v>1.6500000000000001E-2</v>
      </c>
      <c r="BG279" s="233">
        <f>VLOOKUP(tabParametros[[#This Row],[Comarca]],tabComarca[],4,0)</f>
        <v>0.02</v>
      </c>
      <c r="BH279" s="236">
        <f>VLOOKUP(tabParametros[[#This Row],[CCT DA CATEGORIA]],tabSindicatos[],11,0)</f>
        <v>45658</v>
      </c>
      <c r="BI279" s="282" t="str">
        <f>VLOOKUP(tabParametros[[#This Row],[CCT DA CATEGORIA]],tabSindicatos[],12,0)</f>
        <v>-</v>
      </c>
      <c r="BJ279" s="285" t="str">
        <f>VLOOKUP(tabParametros[[#This Row],[CCT DA CATEGORIA]],tabSindicatos[],13,0)</f>
        <v>-</v>
      </c>
    </row>
    <row r="280" spans="1:62">
      <c r="A280" s="231" t="s">
        <v>1696</v>
      </c>
      <c r="B280" s="197" t="s">
        <v>1199</v>
      </c>
      <c r="C280" s="197" t="s">
        <v>324</v>
      </c>
      <c r="D280" s="197" t="str">
        <f>VLOOKUP(tabParametros[[#This Row],[Código do Posto]],tabPostos[],4,0)</f>
        <v>Regiao de Sao Lourenco</v>
      </c>
      <c r="E280" s="282" t="str">
        <f>VLOOKUP(tabParametros[[#This Row],[Código do Posto]],tabPostos[],5,0)</f>
        <v>Apoio</v>
      </c>
      <c r="F280" s="282" t="str">
        <f>VLOOKUP(tabParametros[[#This Row],[Código do Posto]],tabPostos[],6,0)</f>
        <v>PGJ</v>
      </c>
      <c r="G280" s="282">
        <f>VLOOKUP(tabParametros[[#This Row],[Código do Posto]],tabPostos[],7,0)</f>
        <v>1</v>
      </c>
      <c r="H280" s="282">
        <f>VLOOKUP(tabParametros[[#This Row],[Código do Posto]],tabPostos[],8,0)</f>
        <v>0</v>
      </c>
      <c r="I280" s="232">
        <f>VLOOKUP(tabParametros[[#This Row],[Código do Posto]],tabPostos[],9,0)</f>
        <v>3397.130467372021</v>
      </c>
      <c r="J280" s="232">
        <f>IF(ISNUMBER(SEARCH("Eletricista",tabParametros[[#This Row],[Função]],1)),0.3*tabParametros[[#This Row],[Salário Base]],0)</f>
        <v>0</v>
      </c>
      <c r="K28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0" s="232">
        <f>IF(AND(ISNUMBER(SEARCH("Noturno",tabParametros[[#This Row],[Função]],1)),tabParametros[[#This Row],[Comarca]]&lt;&gt;"Juiz de Fora"),tabParametros[[#This Row],[Salário Base]]/210*0.39*7*15.5,IF(ISNUMBER(SEARCH("Noturno",tabParametros[[#This Row],[Função]],1)),tabParametros[[#This Row],[Salário Base]]/210*0.2*8*15.5,0))</f>
        <v>0</v>
      </c>
      <c r="M280" s="232">
        <f>IF(ISNUMBER(SEARCH("Motorista II",tabParametros[[#This Row],[Função]],1)),0.3022*tabParametros[[#This Row],[Salário Base]],0)</f>
        <v>0</v>
      </c>
      <c r="N280" s="254">
        <v>0</v>
      </c>
      <c r="O280" s="254">
        <f>IF(ISNUMBER(SEARCH("TECNOLOGIA DA INFORMACAO",tabParametros[[#This Row],[Função]],1)),0.056*tabParametros[[#This Row],[Salário Base]],0)</f>
        <v>0</v>
      </c>
      <c r="P280" s="232">
        <f>IF(tabParametros[[#This Row],[Função]]="Operador de Midia Audiovisual - 150 h",tabParametros[[#This Row],[Salário Base]]/150*50*30%,IF(tabParametros[[#This Row],[Função]]="Supervisor de Manutencao de Veiculos II - 220 h",12%*tabParametros[[#This Row],[Salário Base]],0))</f>
        <v>0</v>
      </c>
      <c r="Q280" s="233">
        <f>VLOOKUP(tabParametros[[#Headers],[INSS]],tabImpostosNacionais[],2,0)</f>
        <v>0.2</v>
      </c>
      <c r="R280" s="233">
        <f>VLOOKUP(tabParametros[[#Headers],[SESI OU SESC]],tabImpostosNacionais[],2,0)</f>
        <v>1.4999999999999999E-2</v>
      </c>
      <c r="S280" s="233">
        <f>VLOOKUP(tabParametros[[#Headers],[SENAI OU SENAC]],tabImpostosNacionais[],2,0)</f>
        <v>0.01</v>
      </c>
      <c r="T280" s="233">
        <f>VLOOKUP(tabParametros[[#Headers],[INCRA]],tabImpostosNacionais[],2,0)</f>
        <v>2E-3</v>
      </c>
      <c r="U280" s="233">
        <f>VLOOKUP(tabParametros[[#Headers],[Salário Educação]],tabImpostosNacionais[],2,0)</f>
        <v>2.5000000000000001E-2</v>
      </c>
      <c r="V280" s="233">
        <f>VLOOKUP(tabParametros[[#Headers],[FGTS]],tabImpostosNacionais[],2,0)</f>
        <v>0.08</v>
      </c>
      <c r="W280" s="233">
        <f>VLOOKUP(tabParametros[[#Headers],[RAT Ajustado]],tabImpostosNacionais[],2,0)</f>
        <v>0.04</v>
      </c>
      <c r="X280" s="233">
        <f>VLOOKUP(tabParametros[[#Headers],[SEBRAE]],tabImpostosNacionais[],2,0)</f>
        <v>6.0000000000000001E-3</v>
      </c>
      <c r="Y280" s="233">
        <f t="shared" si="44"/>
        <v>8.3333333333333329E-2</v>
      </c>
      <c r="Z280" s="233">
        <f t="shared" si="45"/>
        <v>0.1111111111111111</v>
      </c>
      <c r="AA280" s="232">
        <f>VLOOKUP(tabParametros[[#This Row],[Comarca]],tabComarca[],5,0)</f>
        <v>6.4</v>
      </c>
      <c r="AB280" s="232">
        <f>VLOOKUP(tabParametros[[#This Row],[CCT DA CATEGORIA]],tabSindicatos[],6,0)</f>
        <v>29.15</v>
      </c>
      <c r="AC280" s="232">
        <f>VLOOKUP(tabParametros[[#This Row],[CCT DA CATEGORIA]],tabSindicatos[],7,0)</f>
        <v>0</v>
      </c>
      <c r="AD280" s="232" cm="1">
        <f t="array" ref="AD28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80" s="232">
        <f>VLOOKUP(tabParametros[[#This Row],[CCT DA CATEGORIA]],tabSindicatos[],9,0)</f>
        <v>0</v>
      </c>
      <c r="AF280" s="232">
        <f>VLOOKUP(tabParametros[[#This Row],[CCT DA CATEGORIA]],tabSindicatos[],10,0)</f>
        <v>0</v>
      </c>
      <c r="AG280" s="234">
        <f>VLOOKUP(tabParametros[[#Headers],[Seguro de Vida]],tabOutrosCustos[],3,0)</f>
        <v>3.36</v>
      </c>
      <c r="AH280" s="234">
        <f>IF(ISNUMBER(SEARCH("MOTORISTA",tabParametros[[#This Row],[Função]],1)),VLOOKUP("MOTORISTAS",tabDiarias[],2,0),IF(tabParametros[[#This Row],[Comarca]]="Belo Horizonte",VLOOKUP("APOIO",tabDiarias[],2,0),0))</f>
        <v>0</v>
      </c>
      <c r="AI280" s="233">
        <f t="shared" si="46"/>
        <v>7.011766975308642E-3</v>
      </c>
      <c r="AJ280" s="235">
        <f>tabParametros[[#This Row],[FGTS]]*tabParametros[[#This Row],[Aviso Prévio Indenizado (API) e Reflexo do Aviso Prévio Indenizado]]</f>
        <v>5.609413580246914E-4</v>
      </c>
      <c r="AK280" s="235">
        <f>tabParametros[[#This Row],[FGTS]]*tabParametros[[#This Row],[Aviso Prévio Indenizado (API) e Reflexo do Aviso Prévio Indenizado]]*40%</f>
        <v>2.2437654320987658E-4</v>
      </c>
      <c r="AL280" s="233">
        <f t="shared" si="47"/>
        <v>3.5000000000000005E-3</v>
      </c>
      <c r="AM280" s="233">
        <f>tabParametros[[#This Row],[Aviso Prévio Trabalhado - APT]]*SUM(tabParametros[[#This Row],[INSS]:[SEBRAE]])</f>
        <v>1.3230000000000004E-3</v>
      </c>
      <c r="AN280" s="233">
        <f t="shared" si="48"/>
        <v>3.0577777777777773E-2</v>
      </c>
      <c r="AO280" s="233">
        <f t="shared" si="49"/>
        <v>8.3333333333333339E-4</v>
      </c>
      <c r="AP280" s="233">
        <f t="shared" si="50"/>
        <v>8.4444444444444437E-3</v>
      </c>
      <c r="AQ280" s="233">
        <f t="shared" si="51"/>
        <v>2.0277777777777777E-3</v>
      </c>
      <c r="AR280" s="233">
        <f t="shared" si="52"/>
        <v>1.7083333333333333E-4</v>
      </c>
      <c r="AS280" s="233">
        <f t="shared" si="53"/>
        <v>2.0833333333333335E-4</v>
      </c>
      <c r="AT280" s="233">
        <f t="shared" si="54"/>
        <v>1.2962962962962963E-3</v>
      </c>
      <c r="AU280" s="235">
        <f>SUM(tabParametros[[#This Row],[Ausência por Doença]:[Férias, Adicional de Férias e 13º  com empregada em gozo de Licença Maternidade]])*SUM(tabParametros[[#This Row],[INSS]:[SEBRAE]])</f>
        <v>4.5918250000000008E-3</v>
      </c>
      <c r="AV280" s="254">
        <f>IF(tabParametros[[#This Row],[Função]]="Porteiro - 220 h",SUM(tabParametros[[#This Row],[Salário Base]:[Adicional de Acúmulo de função]])/220*20*1.5,IF(ISNUMBER(SEARCH("12 x 36",tabParametros[[#This Row],[Função]],1)),SUM(tabParametros[[#This Row],[Salário Base]:[Adicional de Acúmulo de função]])/210*15.5*1.5,0))</f>
        <v>0</v>
      </c>
      <c r="AW280" s="232">
        <f>IF(tabParametros[[#This Row],[Vagas contratadas]]&gt;0,(SUM(tabParametros[[#This Row],[Salário Base]:[Adicional de Acúmulo de função]])*30%+SUM(tabParametros[[#This Row],[Vale - Alimentação]:[Seguro de Vida]]))/tabParametros[[#This Row],[Vagas contratadas]]*tabParametros[[#This Row],[Vagas suspensas]],0)</f>
        <v>0</v>
      </c>
      <c r="AX280" s="232">
        <f>SUMIF(tabUniformes[Cargo],tabParametros[[#This Row],[Função]],tabUniformes[Valor unit. Mensal])</f>
        <v>56.642978962543395</v>
      </c>
      <c r="AY28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0" s="232">
        <v>0</v>
      </c>
      <c r="BC280" s="234" t="e">
        <f ca="1">VLOOKUP(tabParametros[[#Headers],[Custos Indiretos]],tabOutrosCustos[],3,0)</f>
        <v>#NAME?</v>
      </c>
      <c r="BD280" s="234" t="e">
        <f ca="1">VLOOKUP(tabParametros[[#Headers],[Lucro]],tabOutrosCustos[],3,0)</f>
        <v>#NAME?</v>
      </c>
      <c r="BE280" s="233">
        <f>VLOOKUP(tabParametros[[#Headers],[COFINS]],tabImpostosNacionais[],2,0)</f>
        <v>7.5999999999999998E-2</v>
      </c>
      <c r="BF280" s="233">
        <f>VLOOKUP(tabParametros[[#Headers],[PIS]],tabImpostosNacionais[],2,0)</f>
        <v>1.6500000000000001E-2</v>
      </c>
      <c r="BG280" s="233">
        <f>VLOOKUP(tabParametros[[#This Row],[Comarca]],tabComarca[],4,0)</f>
        <v>0.03</v>
      </c>
      <c r="BH280" s="236">
        <f>VLOOKUP(tabParametros[[#This Row],[CCT DA CATEGORIA]],tabSindicatos[],11,0)</f>
        <v>45658</v>
      </c>
      <c r="BI280" s="282" t="str">
        <f>VLOOKUP(tabParametros[[#This Row],[CCT DA CATEGORIA]],tabSindicatos[],12,0)</f>
        <v>-</v>
      </c>
      <c r="BJ280" s="285" t="str">
        <f>VLOOKUP(tabParametros[[#This Row],[CCT DA CATEGORIA]],tabSindicatos[],13,0)</f>
        <v>-</v>
      </c>
    </row>
    <row r="281" spans="1:62">
      <c r="A281" s="231" t="s">
        <v>1697</v>
      </c>
      <c r="B281" s="197" t="s">
        <v>1200</v>
      </c>
      <c r="C281" s="197" t="s">
        <v>314</v>
      </c>
      <c r="D281" s="197" t="str">
        <f>VLOOKUP(tabParametros[[#This Row],[Código do Posto]],tabPostos[],4,0)</f>
        <v>Regiao de Divinopolis</v>
      </c>
      <c r="E281" s="282" t="str">
        <f>VLOOKUP(tabParametros[[#This Row],[Código do Posto]],tabPostos[],5,0)</f>
        <v>Apoio</v>
      </c>
      <c r="F281" s="282" t="str">
        <f>VLOOKUP(tabParametros[[#This Row],[Código do Posto]],tabPostos[],6,0)</f>
        <v>PGJ</v>
      </c>
      <c r="G281" s="282">
        <f>VLOOKUP(tabParametros[[#This Row],[Código do Posto]],tabPostos[],7,0)</f>
        <v>1</v>
      </c>
      <c r="H281" s="282">
        <f>VLOOKUP(tabParametros[[#This Row],[Código do Posto]],tabPostos[],8,0)</f>
        <v>0</v>
      </c>
      <c r="I281" s="232">
        <f>VLOOKUP(tabParametros[[#This Row],[Código do Posto]],tabPostos[],9,0)</f>
        <v>1963.4050319620983</v>
      </c>
      <c r="J281" s="232">
        <f>IF(ISNUMBER(SEARCH("Eletricista",tabParametros[[#This Row],[Função]],1)),0.3*tabParametros[[#This Row],[Salário Base]],0)</f>
        <v>0</v>
      </c>
      <c r="K28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1" s="232">
        <f>IF(AND(ISNUMBER(SEARCH("Noturno",tabParametros[[#This Row],[Função]],1)),tabParametros[[#This Row],[Comarca]]&lt;&gt;"Juiz de Fora"),tabParametros[[#This Row],[Salário Base]]/210*0.39*7*15.5,IF(ISNUMBER(SEARCH("Noturno",tabParametros[[#This Row],[Função]],1)),tabParametros[[#This Row],[Salário Base]]/210*0.2*8*15.5,0))</f>
        <v>0</v>
      </c>
      <c r="M281" s="232">
        <f>IF(ISNUMBER(SEARCH("Motorista II",tabParametros[[#This Row],[Função]],1)),0.3022*tabParametros[[#This Row],[Salário Base]],0)</f>
        <v>0</v>
      </c>
      <c r="N281" s="254">
        <v>0</v>
      </c>
      <c r="O281" s="254">
        <f>IF(ISNUMBER(SEARCH("TECNOLOGIA DA INFORMACAO",tabParametros[[#This Row],[Função]],1)),0.056*tabParametros[[#This Row],[Salário Base]],0)</f>
        <v>0</v>
      </c>
      <c r="P281" s="232">
        <f>IF(tabParametros[[#This Row],[Função]]="Operador de Midia Audiovisual - 150 h",tabParametros[[#This Row],[Salário Base]]/150*50*30%,IF(tabParametros[[#This Row],[Função]]="Supervisor de Manutencao de Veiculos II - 220 h",12%*tabParametros[[#This Row],[Salário Base]],0))</f>
        <v>0</v>
      </c>
      <c r="Q281" s="233">
        <f>VLOOKUP(tabParametros[[#Headers],[INSS]],tabImpostosNacionais[],2,0)</f>
        <v>0.2</v>
      </c>
      <c r="R281" s="233">
        <f>VLOOKUP(tabParametros[[#Headers],[SESI OU SESC]],tabImpostosNacionais[],2,0)</f>
        <v>1.4999999999999999E-2</v>
      </c>
      <c r="S281" s="233">
        <f>VLOOKUP(tabParametros[[#Headers],[SENAI OU SENAC]],tabImpostosNacionais[],2,0)</f>
        <v>0.01</v>
      </c>
      <c r="T281" s="233">
        <f>VLOOKUP(tabParametros[[#Headers],[INCRA]],tabImpostosNacionais[],2,0)</f>
        <v>2E-3</v>
      </c>
      <c r="U281" s="233">
        <f>VLOOKUP(tabParametros[[#Headers],[Salário Educação]],tabImpostosNacionais[],2,0)</f>
        <v>2.5000000000000001E-2</v>
      </c>
      <c r="V281" s="233">
        <f>VLOOKUP(tabParametros[[#Headers],[FGTS]],tabImpostosNacionais[],2,0)</f>
        <v>0.08</v>
      </c>
      <c r="W281" s="233">
        <f>VLOOKUP(tabParametros[[#Headers],[RAT Ajustado]],tabImpostosNacionais[],2,0)</f>
        <v>0.04</v>
      </c>
      <c r="X281" s="233">
        <f>VLOOKUP(tabParametros[[#Headers],[SEBRAE]],tabImpostosNacionais[],2,0)</f>
        <v>6.0000000000000001E-3</v>
      </c>
      <c r="Y281" s="233">
        <f t="shared" si="44"/>
        <v>8.3333333333333329E-2</v>
      </c>
      <c r="Z281" s="233">
        <f t="shared" si="45"/>
        <v>0.1111111111111111</v>
      </c>
      <c r="AA281" s="232">
        <f>VLOOKUP(tabParametros[[#This Row],[Comarca]],tabComarca[],5,0)</f>
        <v>6.4</v>
      </c>
      <c r="AB281" s="232">
        <f>VLOOKUP(tabParametros[[#This Row],[CCT DA CATEGORIA]],tabSindicatos[],6,0)</f>
        <v>29.15</v>
      </c>
      <c r="AC281" s="232">
        <f>VLOOKUP(tabParametros[[#This Row],[CCT DA CATEGORIA]],tabSindicatos[],7,0)</f>
        <v>0</v>
      </c>
      <c r="AD281" s="232" cm="1">
        <f t="array" ref="AD28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81" s="232">
        <f>VLOOKUP(tabParametros[[#This Row],[CCT DA CATEGORIA]],tabSindicatos[],9,0)</f>
        <v>0</v>
      </c>
      <c r="AF281" s="232">
        <f>VLOOKUP(tabParametros[[#This Row],[CCT DA CATEGORIA]],tabSindicatos[],10,0)</f>
        <v>0</v>
      </c>
      <c r="AG281" s="234">
        <f>VLOOKUP(tabParametros[[#Headers],[Seguro de Vida]],tabOutrosCustos[],3,0)</f>
        <v>3.36</v>
      </c>
      <c r="AH281" s="234">
        <f>IF(ISNUMBER(SEARCH("MOTORISTA",tabParametros[[#This Row],[Função]],1)),VLOOKUP("MOTORISTAS",tabDiarias[],2,0),IF(tabParametros[[#This Row],[Comarca]]="Belo Horizonte",VLOOKUP("APOIO",tabDiarias[],2,0),0))</f>
        <v>0</v>
      </c>
      <c r="AI281" s="233">
        <f t="shared" si="46"/>
        <v>7.011766975308642E-3</v>
      </c>
      <c r="AJ281" s="235">
        <f>tabParametros[[#This Row],[FGTS]]*tabParametros[[#This Row],[Aviso Prévio Indenizado (API) e Reflexo do Aviso Prévio Indenizado]]</f>
        <v>5.609413580246914E-4</v>
      </c>
      <c r="AK281" s="235">
        <f>tabParametros[[#This Row],[FGTS]]*tabParametros[[#This Row],[Aviso Prévio Indenizado (API) e Reflexo do Aviso Prévio Indenizado]]*40%</f>
        <v>2.2437654320987658E-4</v>
      </c>
      <c r="AL281" s="233">
        <f t="shared" si="47"/>
        <v>3.5000000000000005E-3</v>
      </c>
      <c r="AM281" s="233">
        <f>tabParametros[[#This Row],[Aviso Prévio Trabalhado - APT]]*SUM(tabParametros[[#This Row],[INSS]:[SEBRAE]])</f>
        <v>1.3230000000000004E-3</v>
      </c>
      <c r="AN281" s="233">
        <f t="shared" si="48"/>
        <v>3.0577777777777773E-2</v>
      </c>
      <c r="AO281" s="233">
        <f t="shared" si="49"/>
        <v>8.3333333333333339E-4</v>
      </c>
      <c r="AP281" s="233">
        <f t="shared" si="50"/>
        <v>8.4444444444444437E-3</v>
      </c>
      <c r="AQ281" s="233">
        <f t="shared" si="51"/>
        <v>2.0277777777777777E-3</v>
      </c>
      <c r="AR281" s="233">
        <f t="shared" si="52"/>
        <v>1.7083333333333333E-4</v>
      </c>
      <c r="AS281" s="233">
        <f t="shared" si="53"/>
        <v>2.0833333333333335E-4</v>
      </c>
      <c r="AT281" s="233">
        <f t="shared" si="54"/>
        <v>1.2962962962962963E-3</v>
      </c>
      <c r="AU281" s="235">
        <f>SUM(tabParametros[[#This Row],[Ausência por Doença]:[Férias, Adicional de Férias e 13º  com empregada em gozo de Licença Maternidade]])*SUM(tabParametros[[#This Row],[INSS]:[SEBRAE]])</f>
        <v>4.5918250000000008E-3</v>
      </c>
      <c r="AV281"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281" s="232">
        <f>IF(tabParametros[[#This Row],[Vagas contratadas]]&gt;0,(SUM(tabParametros[[#This Row],[Salário Base]:[Adicional de Acúmulo de função]])*30%+SUM(tabParametros[[#This Row],[Vale - Alimentação]:[Seguro de Vida]]))/tabParametros[[#This Row],[Vagas contratadas]]*tabParametros[[#This Row],[Vagas suspensas]],0)</f>
        <v>0</v>
      </c>
      <c r="AX281" s="232">
        <f>SUMIF(tabUniformes[Cargo],tabParametros[[#This Row],[Função]],tabUniformes[Valor unit. Mensal])</f>
        <v>56.642978962543395</v>
      </c>
      <c r="AY28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1" s="232">
        <v>0</v>
      </c>
      <c r="BC281" s="234" t="e">
        <f ca="1">VLOOKUP(tabParametros[[#Headers],[Custos Indiretos]],tabOutrosCustos[],3,0)</f>
        <v>#NAME?</v>
      </c>
      <c r="BD281" s="234" t="e">
        <f ca="1">VLOOKUP(tabParametros[[#Headers],[Lucro]],tabOutrosCustos[],3,0)</f>
        <v>#NAME?</v>
      </c>
      <c r="BE281" s="233">
        <f>VLOOKUP(tabParametros[[#Headers],[COFINS]],tabImpostosNacionais[],2,0)</f>
        <v>7.5999999999999998E-2</v>
      </c>
      <c r="BF281" s="233">
        <f>VLOOKUP(tabParametros[[#Headers],[PIS]],tabImpostosNacionais[],2,0)</f>
        <v>1.6500000000000001E-2</v>
      </c>
      <c r="BG281" s="233">
        <f>VLOOKUP(tabParametros[[#This Row],[Comarca]],tabComarca[],4,0)</f>
        <v>0.03</v>
      </c>
      <c r="BH281" s="236">
        <f>VLOOKUP(tabParametros[[#This Row],[CCT DA CATEGORIA]],tabSindicatos[],11,0)</f>
        <v>45658</v>
      </c>
      <c r="BI281" s="282" t="str">
        <f>VLOOKUP(tabParametros[[#This Row],[CCT DA CATEGORIA]],tabSindicatos[],12,0)</f>
        <v>-</v>
      </c>
      <c r="BJ281" s="285" t="str">
        <f>VLOOKUP(tabParametros[[#This Row],[CCT DA CATEGORIA]],tabSindicatos[],13,0)</f>
        <v>-</v>
      </c>
    </row>
    <row r="282" spans="1:62">
      <c r="A282" s="231" t="s">
        <v>1508</v>
      </c>
      <c r="B282" s="197" t="s">
        <v>1201</v>
      </c>
      <c r="C282" s="197" t="s">
        <v>200</v>
      </c>
      <c r="D282" s="197" t="str">
        <f>VLOOKUP(tabParametros[[#This Row],[Código do Posto]],tabPostos[],4,0)</f>
        <v>Regiao de Juiz de Fora</v>
      </c>
      <c r="E282" s="282" t="str">
        <f>VLOOKUP(tabParametros[[#This Row],[Código do Posto]],tabPostos[],5,0)</f>
        <v>Apoio</v>
      </c>
      <c r="F282" s="282" t="str">
        <f>VLOOKUP(tabParametros[[#This Row],[Código do Posto]],tabPostos[],6,0)</f>
        <v>PGJ</v>
      </c>
      <c r="G282" s="282">
        <f>VLOOKUP(tabParametros[[#This Row],[Código do Posto]],tabPostos[],7,0)</f>
        <v>1</v>
      </c>
      <c r="H282" s="282">
        <f>VLOOKUP(tabParametros[[#This Row],[Código do Posto]],tabPostos[],8,0)</f>
        <v>0</v>
      </c>
      <c r="I282" s="232">
        <f>VLOOKUP(tabParametros[[#This Row],[Código do Posto]],tabPostos[],9,0)</f>
        <v>1596.273808921236</v>
      </c>
      <c r="J282" s="232">
        <f>IF(ISNUMBER(SEARCH("Eletricista",tabParametros[[#This Row],[Função]],1)),0.3*tabParametros[[#This Row],[Salário Base]],0)</f>
        <v>0</v>
      </c>
      <c r="K28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2" s="232">
        <f>IF(AND(ISNUMBER(SEARCH("Noturno",tabParametros[[#This Row],[Função]],1)),tabParametros[[#This Row],[Comarca]]&lt;&gt;"Juiz de Fora"),tabParametros[[#This Row],[Salário Base]]/210*0.39*7*15.5,IF(ISNUMBER(SEARCH("Noturno",tabParametros[[#This Row],[Função]],1)),tabParametros[[#This Row],[Salário Base]]/210*0.2*8*15.5,0))</f>
        <v>0</v>
      </c>
      <c r="M282" s="232">
        <f>IF(ISNUMBER(SEARCH("Motorista II",tabParametros[[#This Row],[Função]],1)),0.3022*tabParametros[[#This Row],[Salário Base]],0)</f>
        <v>0</v>
      </c>
      <c r="N282" s="254">
        <v>0</v>
      </c>
      <c r="O282" s="254">
        <f>IF(ISNUMBER(SEARCH("TECNOLOGIA DA INFORMACAO",tabParametros[[#This Row],[Função]],1)),0.056*tabParametros[[#This Row],[Salário Base]],0)</f>
        <v>0</v>
      </c>
      <c r="P282" s="232">
        <f>IF(tabParametros[[#This Row],[Função]]="Operador de Midia Audiovisual - 150 h",tabParametros[[#This Row],[Salário Base]]/150*50*30%,IF(tabParametros[[#This Row],[Função]]="Supervisor de Manutencao de Veiculos II - 220 h",12%*tabParametros[[#This Row],[Salário Base]],0))</f>
        <v>0</v>
      </c>
      <c r="Q282" s="233">
        <f>VLOOKUP(tabParametros[[#Headers],[INSS]],tabImpostosNacionais[],2,0)</f>
        <v>0.2</v>
      </c>
      <c r="R282" s="233">
        <f>VLOOKUP(tabParametros[[#Headers],[SESI OU SESC]],tabImpostosNacionais[],2,0)</f>
        <v>1.4999999999999999E-2</v>
      </c>
      <c r="S282" s="233">
        <f>VLOOKUP(tabParametros[[#Headers],[SENAI OU SENAC]],tabImpostosNacionais[],2,0)</f>
        <v>0.01</v>
      </c>
      <c r="T282" s="233">
        <f>VLOOKUP(tabParametros[[#Headers],[INCRA]],tabImpostosNacionais[],2,0)</f>
        <v>2E-3</v>
      </c>
      <c r="U282" s="233">
        <f>VLOOKUP(tabParametros[[#Headers],[Salário Educação]],tabImpostosNacionais[],2,0)</f>
        <v>2.5000000000000001E-2</v>
      </c>
      <c r="V282" s="233">
        <f>VLOOKUP(tabParametros[[#Headers],[FGTS]],tabImpostosNacionais[],2,0)</f>
        <v>0.08</v>
      </c>
      <c r="W282" s="233">
        <f>VLOOKUP(tabParametros[[#Headers],[RAT Ajustado]],tabImpostosNacionais[],2,0)</f>
        <v>0.04</v>
      </c>
      <c r="X282" s="233">
        <f>VLOOKUP(tabParametros[[#Headers],[SEBRAE]],tabImpostosNacionais[],2,0)</f>
        <v>6.0000000000000001E-3</v>
      </c>
      <c r="Y282" s="233">
        <f t="shared" si="44"/>
        <v>8.3333333333333329E-2</v>
      </c>
      <c r="Z282" s="233">
        <f t="shared" si="45"/>
        <v>0.1111111111111111</v>
      </c>
      <c r="AA282" s="232">
        <f>VLOOKUP(tabParametros[[#This Row],[Comarca]],tabComarca[],5,0)</f>
        <v>6.4</v>
      </c>
      <c r="AB282" s="232">
        <f>VLOOKUP(tabParametros[[#This Row],[CCT DA CATEGORIA]],tabSindicatos[],6,0)</f>
        <v>29.15</v>
      </c>
      <c r="AC282" s="232">
        <f>VLOOKUP(tabParametros[[#This Row],[CCT DA CATEGORIA]],tabSindicatos[],7,0)</f>
        <v>0</v>
      </c>
      <c r="AD282" s="232" cm="1">
        <f t="array" ref="AD28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82" s="232">
        <f>VLOOKUP(tabParametros[[#This Row],[CCT DA CATEGORIA]],tabSindicatos[],9,0)</f>
        <v>0</v>
      </c>
      <c r="AF282" s="232">
        <f>VLOOKUP(tabParametros[[#This Row],[CCT DA CATEGORIA]],tabSindicatos[],10,0)</f>
        <v>0</v>
      </c>
      <c r="AG282" s="234">
        <f>VLOOKUP(tabParametros[[#Headers],[Seguro de Vida]],tabOutrosCustos[],3,0)</f>
        <v>3.36</v>
      </c>
      <c r="AH282" s="234">
        <f>IF(ISNUMBER(SEARCH("MOTORISTA",tabParametros[[#This Row],[Função]],1)),VLOOKUP("MOTORISTAS",tabDiarias[],2,0),IF(tabParametros[[#This Row],[Comarca]]="Belo Horizonte",VLOOKUP("APOIO",tabDiarias[],2,0),0))</f>
        <v>0</v>
      </c>
      <c r="AI282" s="233">
        <f t="shared" si="46"/>
        <v>7.011766975308642E-3</v>
      </c>
      <c r="AJ282" s="235">
        <f>tabParametros[[#This Row],[FGTS]]*tabParametros[[#This Row],[Aviso Prévio Indenizado (API) e Reflexo do Aviso Prévio Indenizado]]</f>
        <v>5.609413580246914E-4</v>
      </c>
      <c r="AK282" s="235">
        <f>tabParametros[[#This Row],[FGTS]]*tabParametros[[#This Row],[Aviso Prévio Indenizado (API) e Reflexo do Aviso Prévio Indenizado]]*40%</f>
        <v>2.2437654320987658E-4</v>
      </c>
      <c r="AL282" s="233">
        <f t="shared" si="47"/>
        <v>3.5000000000000005E-3</v>
      </c>
      <c r="AM282" s="233">
        <f>tabParametros[[#This Row],[Aviso Prévio Trabalhado - APT]]*SUM(tabParametros[[#This Row],[INSS]:[SEBRAE]])</f>
        <v>1.3230000000000004E-3</v>
      </c>
      <c r="AN282" s="233">
        <f t="shared" si="48"/>
        <v>3.0577777777777773E-2</v>
      </c>
      <c r="AO282" s="233">
        <f t="shared" si="49"/>
        <v>8.3333333333333339E-4</v>
      </c>
      <c r="AP282" s="233">
        <f t="shared" si="50"/>
        <v>8.4444444444444437E-3</v>
      </c>
      <c r="AQ282" s="233">
        <f t="shared" si="51"/>
        <v>2.0277777777777777E-3</v>
      </c>
      <c r="AR282" s="233">
        <f t="shared" si="52"/>
        <v>1.7083333333333333E-4</v>
      </c>
      <c r="AS282" s="233">
        <f t="shared" si="53"/>
        <v>2.0833333333333335E-4</v>
      </c>
      <c r="AT282" s="233">
        <f t="shared" si="54"/>
        <v>1.2962962962962963E-3</v>
      </c>
      <c r="AU282" s="235">
        <f>SUM(tabParametros[[#This Row],[Ausência por Doença]:[Férias, Adicional de Férias e 13º  com empregada em gozo de Licença Maternidade]])*SUM(tabParametros[[#This Row],[INSS]:[SEBRAE]])</f>
        <v>4.5918250000000008E-3</v>
      </c>
      <c r="AV282" s="254">
        <f>IF(tabParametros[[#This Row],[Função]]="Porteiro - 220 h",SUM(tabParametros[[#This Row],[Salário Base]:[Adicional de Acúmulo de função]])/220*20*1.5,IF(ISNUMBER(SEARCH("12 x 36",tabParametros[[#This Row],[Função]],1)),SUM(tabParametros[[#This Row],[Salário Base]:[Adicional de Acúmulo de função]])/210*15.5*1.5,0))</f>
        <v>0</v>
      </c>
      <c r="AW282" s="232">
        <f>IF(tabParametros[[#This Row],[Vagas contratadas]]&gt;0,(SUM(tabParametros[[#This Row],[Salário Base]:[Adicional de Acúmulo de função]])*30%+SUM(tabParametros[[#This Row],[Vale - Alimentação]:[Seguro de Vida]]))/tabParametros[[#This Row],[Vagas contratadas]]*tabParametros[[#This Row],[Vagas suspensas]],0)</f>
        <v>0</v>
      </c>
      <c r="AX282" s="232">
        <f>SUMIF(tabUniformes[Cargo],tabParametros[[#This Row],[Função]],tabUniformes[Valor unit. Mensal])</f>
        <v>56.141713661989918</v>
      </c>
      <c r="AY28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2" s="232">
        <v>0</v>
      </c>
      <c r="BC282" s="234" t="e">
        <f ca="1">VLOOKUP(tabParametros[[#Headers],[Custos Indiretos]],tabOutrosCustos[],3,0)</f>
        <v>#NAME?</v>
      </c>
      <c r="BD282" s="234" t="e">
        <f ca="1">VLOOKUP(tabParametros[[#Headers],[Lucro]],tabOutrosCustos[],3,0)</f>
        <v>#NAME?</v>
      </c>
      <c r="BE282" s="233">
        <f>VLOOKUP(tabParametros[[#Headers],[COFINS]],tabImpostosNacionais[],2,0)</f>
        <v>7.5999999999999998E-2</v>
      </c>
      <c r="BF282" s="233">
        <f>VLOOKUP(tabParametros[[#Headers],[PIS]],tabImpostosNacionais[],2,0)</f>
        <v>1.6500000000000001E-2</v>
      </c>
      <c r="BG282" s="233">
        <f>VLOOKUP(tabParametros[[#This Row],[Comarca]],tabComarca[],4,0)</f>
        <v>0.03</v>
      </c>
      <c r="BH282" s="236">
        <f>VLOOKUP(tabParametros[[#This Row],[CCT DA CATEGORIA]],tabSindicatos[],11,0)</f>
        <v>45658</v>
      </c>
      <c r="BI282" s="282" t="str">
        <f>VLOOKUP(tabParametros[[#This Row],[CCT DA CATEGORIA]],tabSindicatos[],12,0)</f>
        <v>-</v>
      </c>
      <c r="BJ282" s="285" t="str">
        <f>VLOOKUP(tabParametros[[#This Row],[CCT DA CATEGORIA]],tabSindicatos[],13,0)</f>
        <v>-</v>
      </c>
    </row>
    <row r="283" spans="1:62">
      <c r="A283" s="231" t="s">
        <v>1698</v>
      </c>
      <c r="B283" s="197" t="s">
        <v>1202</v>
      </c>
      <c r="C283" s="197" t="s">
        <v>244</v>
      </c>
      <c r="D283" s="197" t="str">
        <f>VLOOKUP(tabParametros[[#This Row],[Código do Posto]],tabPostos[],4,0)</f>
        <v>Sethac Norte de Minas</v>
      </c>
      <c r="E283" s="282" t="str">
        <f>VLOOKUP(tabParametros[[#This Row],[Código do Posto]],tabPostos[],5,0)</f>
        <v>Apoio</v>
      </c>
      <c r="F283" s="282" t="str">
        <f>VLOOKUP(tabParametros[[#This Row],[Código do Posto]],tabPostos[],6,0)</f>
        <v>PGJ</v>
      </c>
      <c r="G283" s="282">
        <f>VLOOKUP(tabParametros[[#This Row],[Código do Posto]],tabPostos[],7,0)</f>
        <v>1</v>
      </c>
      <c r="H283" s="282">
        <f>VLOOKUP(tabParametros[[#This Row],[Código do Posto]],tabPostos[],8,0)</f>
        <v>0</v>
      </c>
      <c r="I283" s="232">
        <f>VLOOKUP(tabParametros[[#This Row],[Código do Posto]],tabPostos[],9,0)</f>
        <v>2296.1756892610078</v>
      </c>
      <c r="J283" s="232">
        <f>IF(ISNUMBER(SEARCH("Eletricista",tabParametros[[#This Row],[Função]],1)),0.3*tabParametros[[#This Row],[Salário Base]],0)</f>
        <v>0</v>
      </c>
      <c r="K28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283" s="232">
        <f>IF(AND(ISNUMBER(SEARCH("Noturno",tabParametros[[#This Row],[Função]],1)),tabParametros[[#This Row],[Comarca]]&lt;&gt;"Juiz de Fora"),tabParametros[[#This Row],[Salário Base]]/210*0.39*7*15.5,IF(ISNUMBER(SEARCH("Noturno",tabParametros[[#This Row],[Função]],1)),tabParametros[[#This Row],[Salário Base]]/210*0.2*8*15.5,0))</f>
        <v>0</v>
      </c>
      <c r="M283" s="232">
        <f>IF(ISNUMBER(SEARCH("Motorista II",tabParametros[[#This Row],[Função]],1)),0.3022*tabParametros[[#This Row],[Salário Base]],0)</f>
        <v>0</v>
      </c>
      <c r="N283" s="254">
        <v>0</v>
      </c>
      <c r="O283" s="254">
        <f>IF(ISNUMBER(SEARCH("TECNOLOGIA DA INFORMACAO",tabParametros[[#This Row],[Função]],1)),0.056*tabParametros[[#This Row],[Salário Base]],0)</f>
        <v>0</v>
      </c>
      <c r="P283" s="232">
        <f>IF(tabParametros[[#This Row],[Função]]="Operador de Midia Audiovisual - 150 h",tabParametros[[#This Row],[Salário Base]]/150*50*30%,IF(tabParametros[[#This Row],[Função]]="Supervisor de Manutencao de Veiculos II - 220 h",12%*tabParametros[[#This Row],[Salário Base]],0))</f>
        <v>0</v>
      </c>
      <c r="Q283" s="233">
        <f>VLOOKUP(tabParametros[[#Headers],[INSS]],tabImpostosNacionais[],2,0)</f>
        <v>0.2</v>
      </c>
      <c r="R283" s="233">
        <f>VLOOKUP(tabParametros[[#Headers],[SESI OU SESC]],tabImpostosNacionais[],2,0)</f>
        <v>1.4999999999999999E-2</v>
      </c>
      <c r="S283" s="233">
        <f>VLOOKUP(tabParametros[[#Headers],[SENAI OU SENAC]],tabImpostosNacionais[],2,0)</f>
        <v>0.01</v>
      </c>
      <c r="T283" s="233">
        <f>VLOOKUP(tabParametros[[#Headers],[INCRA]],tabImpostosNacionais[],2,0)</f>
        <v>2E-3</v>
      </c>
      <c r="U283" s="233">
        <f>VLOOKUP(tabParametros[[#Headers],[Salário Educação]],tabImpostosNacionais[],2,0)</f>
        <v>2.5000000000000001E-2</v>
      </c>
      <c r="V283" s="233">
        <f>VLOOKUP(tabParametros[[#Headers],[FGTS]],tabImpostosNacionais[],2,0)</f>
        <v>0.08</v>
      </c>
      <c r="W283" s="233">
        <f>VLOOKUP(tabParametros[[#Headers],[RAT Ajustado]],tabImpostosNacionais[],2,0)</f>
        <v>0.04</v>
      </c>
      <c r="X283" s="233">
        <f>VLOOKUP(tabParametros[[#Headers],[SEBRAE]],tabImpostosNacionais[],2,0)</f>
        <v>6.0000000000000001E-3</v>
      </c>
      <c r="Y283" s="233">
        <f t="shared" si="44"/>
        <v>8.3333333333333329E-2</v>
      </c>
      <c r="Z283" s="233">
        <f t="shared" si="45"/>
        <v>0.1111111111111111</v>
      </c>
      <c r="AA283" s="232">
        <f>VLOOKUP(tabParametros[[#This Row],[Comarca]],tabComarca[],5,0)</f>
        <v>6.4</v>
      </c>
      <c r="AB283" s="232">
        <f>VLOOKUP(tabParametros[[#This Row],[CCT DA CATEGORIA]],tabSindicatos[],6,0)</f>
        <v>29.15</v>
      </c>
      <c r="AC283" s="232">
        <f>VLOOKUP(tabParametros[[#This Row],[CCT DA CATEGORIA]],tabSindicatos[],7,0)</f>
        <v>0</v>
      </c>
      <c r="AD283" s="232" cm="1">
        <f t="array" ref="AD28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83" s="232">
        <f>VLOOKUP(tabParametros[[#This Row],[CCT DA CATEGORIA]],tabSindicatos[],9,0)</f>
        <v>0</v>
      </c>
      <c r="AF283" s="232">
        <f>VLOOKUP(tabParametros[[#This Row],[CCT DA CATEGORIA]],tabSindicatos[],10,0)</f>
        <v>0</v>
      </c>
      <c r="AG283" s="234">
        <f>VLOOKUP(tabParametros[[#Headers],[Seguro de Vida]],tabOutrosCustos[],3,0)</f>
        <v>3.36</v>
      </c>
      <c r="AH283" s="234">
        <f>IF(ISNUMBER(SEARCH("MOTORISTA",tabParametros[[#This Row],[Função]],1)),VLOOKUP("MOTORISTAS",tabDiarias[],2,0),IF(tabParametros[[#This Row],[Comarca]]="Belo Horizonte",VLOOKUP("APOIO",tabDiarias[],2,0),0))</f>
        <v>0</v>
      </c>
      <c r="AI283" s="233">
        <f t="shared" si="46"/>
        <v>7.011766975308642E-3</v>
      </c>
      <c r="AJ283" s="235">
        <f>tabParametros[[#This Row],[FGTS]]*tabParametros[[#This Row],[Aviso Prévio Indenizado (API) e Reflexo do Aviso Prévio Indenizado]]</f>
        <v>5.609413580246914E-4</v>
      </c>
      <c r="AK283" s="235">
        <f>tabParametros[[#This Row],[FGTS]]*tabParametros[[#This Row],[Aviso Prévio Indenizado (API) e Reflexo do Aviso Prévio Indenizado]]*40%</f>
        <v>2.2437654320987658E-4</v>
      </c>
      <c r="AL283" s="233">
        <f t="shared" si="47"/>
        <v>3.5000000000000005E-3</v>
      </c>
      <c r="AM283" s="233">
        <f>tabParametros[[#This Row],[Aviso Prévio Trabalhado - APT]]*SUM(tabParametros[[#This Row],[INSS]:[SEBRAE]])</f>
        <v>1.3230000000000004E-3</v>
      </c>
      <c r="AN283" s="233">
        <f t="shared" si="48"/>
        <v>3.0577777777777773E-2</v>
      </c>
      <c r="AO283" s="233">
        <f t="shared" si="49"/>
        <v>8.3333333333333339E-4</v>
      </c>
      <c r="AP283" s="233">
        <f t="shared" si="50"/>
        <v>8.4444444444444437E-3</v>
      </c>
      <c r="AQ283" s="233">
        <f t="shared" si="51"/>
        <v>2.0277777777777777E-3</v>
      </c>
      <c r="AR283" s="233">
        <f t="shared" si="52"/>
        <v>1.7083333333333333E-4</v>
      </c>
      <c r="AS283" s="233">
        <f t="shared" si="53"/>
        <v>2.0833333333333335E-4</v>
      </c>
      <c r="AT283" s="233">
        <f t="shared" si="54"/>
        <v>1.2962962962962963E-3</v>
      </c>
      <c r="AU283" s="235">
        <f>SUM(tabParametros[[#This Row],[Ausência por Doença]:[Férias, Adicional de Férias e 13º  com empregada em gozo de Licença Maternidade]])*SUM(tabParametros[[#This Row],[INSS]:[SEBRAE]])</f>
        <v>4.5918250000000008E-3</v>
      </c>
      <c r="AV283" s="254">
        <f>IF(tabParametros[[#This Row],[Função]]="Porteiro - 220 h",SUM(tabParametros[[#This Row],[Salário Base]:[Adicional de Acúmulo de função]])/220*20*1.5,IF(ISNUMBER(SEARCH("12 x 36",tabParametros[[#This Row],[Função]],1)),SUM(tabParametros[[#This Row],[Salário Base]:[Adicional de Acúmulo de função]])/210*15.5*1.5,0))</f>
        <v>0</v>
      </c>
      <c r="AW283" s="232">
        <f>IF(tabParametros[[#This Row],[Vagas contratadas]]&gt;0,(SUM(tabParametros[[#This Row],[Salário Base]:[Adicional de Acúmulo de função]])*30%+SUM(tabParametros[[#This Row],[Vale - Alimentação]:[Seguro de Vida]]))/tabParametros[[#This Row],[Vagas contratadas]]*tabParametros[[#This Row],[Vagas suspensas]],0)</f>
        <v>0</v>
      </c>
      <c r="AX283" s="232">
        <f>SUMIF(tabUniformes[Cargo],tabParametros[[#This Row],[Função]],tabUniformes[Valor unit. Mensal])</f>
        <v>226.33322732312172</v>
      </c>
      <c r="AY28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28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28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3" s="232">
        <v>0</v>
      </c>
      <c r="BC283" s="234" t="e">
        <f ca="1">VLOOKUP(tabParametros[[#Headers],[Custos Indiretos]],tabOutrosCustos[],3,0)</f>
        <v>#NAME?</v>
      </c>
      <c r="BD283" s="234" t="e">
        <f ca="1">VLOOKUP(tabParametros[[#Headers],[Lucro]],tabOutrosCustos[],3,0)</f>
        <v>#NAME?</v>
      </c>
      <c r="BE283" s="233">
        <f>VLOOKUP(tabParametros[[#Headers],[COFINS]],tabImpostosNacionais[],2,0)</f>
        <v>7.5999999999999998E-2</v>
      </c>
      <c r="BF283" s="233">
        <f>VLOOKUP(tabParametros[[#Headers],[PIS]],tabImpostosNacionais[],2,0)</f>
        <v>1.6500000000000001E-2</v>
      </c>
      <c r="BG283" s="233">
        <f>VLOOKUP(tabParametros[[#This Row],[Comarca]],tabComarca[],4,0)</f>
        <v>0.04</v>
      </c>
      <c r="BH283" s="236">
        <f>VLOOKUP(tabParametros[[#This Row],[CCT DA CATEGORIA]],tabSindicatos[],11,0)</f>
        <v>45658</v>
      </c>
      <c r="BI283" s="282" t="str">
        <f>VLOOKUP(tabParametros[[#This Row],[CCT DA CATEGORIA]],tabSindicatos[],12,0)</f>
        <v>-</v>
      </c>
      <c r="BJ283" s="285" t="str">
        <f>VLOOKUP(tabParametros[[#This Row],[CCT DA CATEGORIA]],tabSindicatos[],13,0)</f>
        <v>-</v>
      </c>
    </row>
    <row r="284" spans="1:62">
      <c r="A284" s="231" t="s">
        <v>1699</v>
      </c>
      <c r="B284" s="197" t="s">
        <v>1202</v>
      </c>
      <c r="C284" s="197" t="s">
        <v>314</v>
      </c>
      <c r="D284" s="197" t="str">
        <f>VLOOKUP(tabParametros[[#This Row],[Código do Posto]],tabPostos[],4,0)</f>
        <v>Sethac Norte de Minas</v>
      </c>
      <c r="E284" s="282" t="str">
        <f>VLOOKUP(tabParametros[[#This Row],[Código do Posto]],tabPostos[],5,0)</f>
        <v>Apoio</v>
      </c>
      <c r="F284" s="282" t="str">
        <f>VLOOKUP(tabParametros[[#This Row],[Código do Posto]],tabPostos[],6,0)</f>
        <v>PGJ</v>
      </c>
      <c r="G284" s="282">
        <f>VLOOKUP(tabParametros[[#This Row],[Código do Posto]],tabPostos[],7,0)</f>
        <v>1</v>
      </c>
      <c r="H284" s="282">
        <f>VLOOKUP(tabParametros[[#This Row],[Código do Posto]],tabPostos[],8,0)</f>
        <v>0</v>
      </c>
      <c r="I284" s="232">
        <f>VLOOKUP(tabParametros[[#This Row],[Código do Posto]],tabPostos[],9,0)</f>
        <v>1963.4110092077037</v>
      </c>
      <c r="J284" s="232">
        <f>IF(ISNUMBER(SEARCH("Eletricista",tabParametros[[#This Row],[Função]],1)),0.3*tabParametros[[#This Row],[Salário Base]],0)</f>
        <v>0</v>
      </c>
      <c r="K28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4" s="232">
        <f>IF(AND(ISNUMBER(SEARCH("Noturno",tabParametros[[#This Row],[Função]],1)),tabParametros[[#This Row],[Comarca]]&lt;&gt;"Juiz de Fora"),tabParametros[[#This Row],[Salário Base]]/210*0.39*7*15.5,IF(ISNUMBER(SEARCH("Noturno",tabParametros[[#This Row],[Função]],1)),tabParametros[[#This Row],[Salário Base]]/210*0.2*8*15.5,0))</f>
        <v>0</v>
      </c>
      <c r="M284" s="232">
        <f>IF(ISNUMBER(SEARCH("Motorista II",tabParametros[[#This Row],[Função]],1)),0.3022*tabParametros[[#This Row],[Salário Base]],0)</f>
        <v>0</v>
      </c>
      <c r="N284" s="254">
        <v>0</v>
      </c>
      <c r="O284" s="254">
        <f>IF(ISNUMBER(SEARCH("TECNOLOGIA DA INFORMACAO",tabParametros[[#This Row],[Função]],1)),0.056*tabParametros[[#This Row],[Salário Base]],0)</f>
        <v>0</v>
      </c>
      <c r="P284" s="232">
        <f>IF(tabParametros[[#This Row],[Função]]="Operador de Midia Audiovisual - 150 h",tabParametros[[#This Row],[Salário Base]]/150*50*30%,IF(tabParametros[[#This Row],[Função]]="Supervisor de Manutencao de Veiculos II - 220 h",12%*tabParametros[[#This Row],[Salário Base]],0))</f>
        <v>0</v>
      </c>
      <c r="Q284" s="233">
        <f>VLOOKUP(tabParametros[[#Headers],[INSS]],tabImpostosNacionais[],2,0)</f>
        <v>0.2</v>
      </c>
      <c r="R284" s="233">
        <f>VLOOKUP(tabParametros[[#Headers],[SESI OU SESC]],tabImpostosNacionais[],2,0)</f>
        <v>1.4999999999999999E-2</v>
      </c>
      <c r="S284" s="233">
        <f>VLOOKUP(tabParametros[[#Headers],[SENAI OU SENAC]],tabImpostosNacionais[],2,0)</f>
        <v>0.01</v>
      </c>
      <c r="T284" s="233">
        <f>VLOOKUP(tabParametros[[#Headers],[INCRA]],tabImpostosNacionais[],2,0)</f>
        <v>2E-3</v>
      </c>
      <c r="U284" s="233">
        <f>VLOOKUP(tabParametros[[#Headers],[Salário Educação]],tabImpostosNacionais[],2,0)</f>
        <v>2.5000000000000001E-2</v>
      </c>
      <c r="V284" s="233">
        <f>VLOOKUP(tabParametros[[#Headers],[FGTS]],tabImpostosNacionais[],2,0)</f>
        <v>0.08</v>
      </c>
      <c r="W284" s="233">
        <f>VLOOKUP(tabParametros[[#Headers],[RAT Ajustado]],tabImpostosNacionais[],2,0)</f>
        <v>0.04</v>
      </c>
      <c r="X284" s="233">
        <f>VLOOKUP(tabParametros[[#Headers],[SEBRAE]],tabImpostosNacionais[],2,0)</f>
        <v>6.0000000000000001E-3</v>
      </c>
      <c r="Y284" s="233">
        <f t="shared" si="44"/>
        <v>8.3333333333333329E-2</v>
      </c>
      <c r="Z284" s="233">
        <f t="shared" si="45"/>
        <v>0.1111111111111111</v>
      </c>
      <c r="AA284" s="232">
        <f>VLOOKUP(tabParametros[[#This Row],[Comarca]],tabComarca[],5,0)</f>
        <v>6.4</v>
      </c>
      <c r="AB284" s="232">
        <f>VLOOKUP(tabParametros[[#This Row],[CCT DA CATEGORIA]],tabSindicatos[],6,0)</f>
        <v>29.15</v>
      </c>
      <c r="AC284" s="232">
        <f>VLOOKUP(tabParametros[[#This Row],[CCT DA CATEGORIA]],tabSindicatos[],7,0)</f>
        <v>0</v>
      </c>
      <c r="AD284" s="232" cm="1">
        <f t="array" ref="AD28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84" s="232">
        <f>VLOOKUP(tabParametros[[#This Row],[CCT DA CATEGORIA]],tabSindicatos[],9,0)</f>
        <v>0</v>
      </c>
      <c r="AF284" s="232">
        <f>VLOOKUP(tabParametros[[#This Row],[CCT DA CATEGORIA]],tabSindicatos[],10,0)</f>
        <v>0</v>
      </c>
      <c r="AG284" s="234">
        <f>VLOOKUP(tabParametros[[#Headers],[Seguro de Vida]],tabOutrosCustos[],3,0)</f>
        <v>3.36</v>
      </c>
      <c r="AH284" s="234">
        <f>IF(ISNUMBER(SEARCH("MOTORISTA",tabParametros[[#This Row],[Função]],1)),VLOOKUP("MOTORISTAS",tabDiarias[],2,0),IF(tabParametros[[#This Row],[Comarca]]="Belo Horizonte",VLOOKUP("APOIO",tabDiarias[],2,0),0))</f>
        <v>0</v>
      </c>
      <c r="AI284" s="233">
        <f t="shared" si="46"/>
        <v>7.011766975308642E-3</v>
      </c>
      <c r="AJ284" s="235">
        <f>tabParametros[[#This Row],[FGTS]]*tabParametros[[#This Row],[Aviso Prévio Indenizado (API) e Reflexo do Aviso Prévio Indenizado]]</f>
        <v>5.609413580246914E-4</v>
      </c>
      <c r="AK284" s="235">
        <f>tabParametros[[#This Row],[FGTS]]*tabParametros[[#This Row],[Aviso Prévio Indenizado (API) e Reflexo do Aviso Prévio Indenizado]]*40%</f>
        <v>2.2437654320987658E-4</v>
      </c>
      <c r="AL284" s="233">
        <f t="shared" si="47"/>
        <v>3.5000000000000005E-3</v>
      </c>
      <c r="AM284" s="233">
        <f>tabParametros[[#This Row],[Aviso Prévio Trabalhado - APT]]*SUM(tabParametros[[#This Row],[INSS]:[SEBRAE]])</f>
        <v>1.3230000000000004E-3</v>
      </c>
      <c r="AN284" s="233">
        <f t="shared" si="48"/>
        <v>3.0577777777777773E-2</v>
      </c>
      <c r="AO284" s="233">
        <f t="shared" si="49"/>
        <v>8.3333333333333339E-4</v>
      </c>
      <c r="AP284" s="233">
        <f t="shared" si="50"/>
        <v>8.4444444444444437E-3</v>
      </c>
      <c r="AQ284" s="233">
        <f t="shared" si="51"/>
        <v>2.0277777777777777E-3</v>
      </c>
      <c r="AR284" s="233">
        <f t="shared" si="52"/>
        <v>1.7083333333333333E-4</v>
      </c>
      <c r="AS284" s="233">
        <f t="shared" si="53"/>
        <v>2.0833333333333335E-4</v>
      </c>
      <c r="AT284" s="233">
        <f t="shared" si="54"/>
        <v>1.2962962962962963E-3</v>
      </c>
      <c r="AU284" s="235">
        <f>SUM(tabParametros[[#This Row],[Ausência por Doença]:[Férias, Adicional de Férias e 13º  com empregada em gozo de Licença Maternidade]])*SUM(tabParametros[[#This Row],[INSS]:[SEBRAE]])</f>
        <v>4.5918250000000008E-3</v>
      </c>
      <c r="AV284"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84" s="232">
        <f>IF(tabParametros[[#This Row],[Vagas contratadas]]&gt;0,(SUM(tabParametros[[#This Row],[Salário Base]:[Adicional de Acúmulo de função]])*30%+SUM(tabParametros[[#This Row],[Vale - Alimentação]:[Seguro de Vida]]))/tabParametros[[#This Row],[Vagas contratadas]]*tabParametros[[#This Row],[Vagas suspensas]],0)</f>
        <v>0</v>
      </c>
      <c r="AX284" s="232">
        <f>SUMIF(tabUniformes[Cargo],tabParametros[[#This Row],[Função]],tabUniformes[Valor unit. Mensal])</f>
        <v>56.642978962543395</v>
      </c>
      <c r="AY28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4" s="232">
        <v>0</v>
      </c>
      <c r="BC284" s="234" t="e">
        <f ca="1">VLOOKUP(tabParametros[[#Headers],[Custos Indiretos]],tabOutrosCustos[],3,0)</f>
        <v>#NAME?</v>
      </c>
      <c r="BD284" s="234" t="e">
        <f ca="1">VLOOKUP(tabParametros[[#Headers],[Lucro]],tabOutrosCustos[],3,0)</f>
        <v>#NAME?</v>
      </c>
      <c r="BE284" s="233">
        <f>VLOOKUP(tabParametros[[#Headers],[COFINS]],tabImpostosNacionais[],2,0)</f>
        <v>7.5999999999999998E-2</v>
      </c>
      <c r="BF284" s="233">
        <f>VLOOKUP(tabParametros[[#Headers],[PIS]],tabImpostosNacionais[],2,0)</f>
        <v>1.6500000000000001E-2</v>
      </c>
      <c r="BG284" s="233">
        <f>VLOOKUP(tabParametros[[#This Row],[Comarca]],tabComarca[],4,0)</f>
        <v>0.04</v>
      </c>
      <c r="BH284" s="236">
        <f>VLOOKUP(tabParametros[[#This Row],[CCT DA CATEGORIA]],tabSindicatos[],11,0)</f>
        <v>45658</v>
      </c>
      <c r="BI284" s="282" t="str">
        <f>VLOOKUP(tabParametros[[#This Row],[CCT DA CATEGORIA]],tabSindicatos[],12,0)</f>
        <v>-</v>
      </c>
      <c r="BJ284" s="285" t="str">
        <f>VLOOKUP(tabParametros[[#This Row],[CCT DA CATEGORIA]],tabSindicatos[],13,0)</f>
        <v>-</v>
      </c>
    </row>
    <row r="285" spans="1:62">
      <c r="A285" s="231" t="s">
        <v>1700</v>
      </c>
      <c r="B285" s="197" t="s">
        <v>1203</v>
      </c>
      <c r="C285" s="197" t="s">
        <v>324</v>
      </c>
      <c r="D285" s="197" t="str">
        <f>VLOOKUP(tabParametros[[#This Row],[Código do Posto]],tabPostos[],4,0)</f>
        <v>Alto Paranaiba</v>
      </c>
      <c r="E285" s="282" t="str">
        <f>VLOOKUP(tabParametros[[#This Row],[Código do Posto]],tabPostos[],5,0)</f>
        <v>Apoio</v>
      </c>
      <c r="F285" s="282" t="str">
        <f>VLOOKUP(tabParametros[[#This Row],[Código do Posto]],tabPostos[],6,0)</f>
        <v>PGJ</v>
      </c>
      <c r="G285" s="282">
        <f>VLOOKUP(tabParametros[[#This Row],[Código do Posto]],tabPostos[],7,0)</f>
        <v>1</v>
      </c>
      <c r="H285" s="282">
        <f>VLOOKUP(tabParametros[[#This Row],[Código do Posto]],tabPostos[],8,0)</f>
        <v>0</v>
      </c>
      <c r="I285" s="232">
        <f>VLOOKUP(tabParametros[[#This Row],[Código do Posto]],tabPostos[],9,0)</f>
        <v>3397.130467372021</v>
      </c>
      <c r="J285" s="232">
        <f>IF(ISNUMBER(SEARCH("Eletricista",tabParametros[[#This Row],[Função]],1)),0.3*tabParametros[[#This Row],[Salário Base]],0)</f>
        <v>0</v>
      </c>
      <c r="K28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5" s="232">
        <f>IF(AND(ISNUMBER(SEARCH("Noturno",tabParametros[[#This Row],[Função]],1)),tabParametros[[#This Row],[Comarca]]&lt;&gt;"Juiz de Fora"),tabParametros[[#This Row],[Salário Base]]/210*0.39*7*15.5,IF(ISNUMBER(SEARCH("Noturno",tabParametros[[#This Row],[Função]],1)),tabParametros[[#This Row],[Salário Base]]/210*0.2*8*15.5,0))</f>
        <v>0</v>
      </c>
      <c r="M285" s="232">
        <f>IF(ISNUMBER(SEARCH("Motorista II",tabParametros[[#This Row],[Função]],1)),0.3022*tabParametros[[#This Row],[Salário Base]],0)</f>
        <v>0</v>
      </c>
      <c r="N285" s="254">
        <v>0</v>
      </c>
      <c r="O285" s="254">
        <f>IF(ISNUMBER(SEARCH("TECNOLOGIA DA INFORMACAO",tabParametros[[#This Row],[Função]],1)),0.056*tabParametros[[#This Row],[Salário Base]],0)</f>
        <v>0</v>
      </c>
      <c r="P285" s="232">
        <f>IF(tabParametros[[#This Row],[Função]]="Operador de Midia Audiovisual - 150 h",tabParametros[[#This Row],[Salário Base]]/150*50*30%,IF(tabParametros[[#This Row],[Função]]="Supervisor de Manutencao de Veiculos II - 220 h",12%*tabParametros[[#This Row],[Salário Base]],0))</f>
        <v>0</v>
      </c>
      <c r="Q285" s="233">
        <f>VLOOKUP(tabParametros[[#Headers],[INSS]],tabImpostosNacionais[],2,0)</f>
        <v>0.2</v>
      </c>
      <c r="R285" s="233">
        <f>VLOOKUP(tabParametros[[#Headers],[SESI OU SESC]],tabImpostosNacionais[],2,0)</f>
        <v>1.4999999999999999E-2</v>
      </c>
      <c r="S285" s="233">
        <f>VLOOKUP(tabParametros[[#Headers],[SENAI OU SENAC]],tabImpostosNacionais[],2,0)</f>
        <v>0.01</v>
      </c>
      <c r="T285" s="233">
        <f>VLOOKUP(tabParametros[[#Headers],[INCRA]],tabImpostosNacionais[],2,0)</f>
        <v>2E-3</v>
      </c>
      <c r="U285" s="233">
        <f>VLOOKUP(tabParametros[[#Headers],[Salário Educação]],tabImpostosNacionais[],2,0)</f>
        <v>2.5000000000000001E-2</v>
      </c>
      <c r="V285" s="233">
        <f>VLOOKUP(tabParametros[[#Headers],[FGTS]],tabImpostosNacionais[],2,0)</f>
        <v>0.08</v>
      </c>
      <c r="W285" s="233">
        <f>VLOOKUP(tabParametros[[#Headers],[RAT Ajustado]],tabImpostosNacionais[],2,0)</f>
        <v>0.04</v>
      </c>
      <c r="X285" s="233">
        <f>VLOOKUP(tabParametros[[#Headers],[SEBRAE]],tabImpostosNacionais[],2,0)</f>
        <v>6.0000000000000001E-3</v>
      </c>
      <c r="Y285" s="233">
        <f t="shared" si="44"/>
        <v>8.3333333333333329E-2</v>
      </c>
      <c r="Z285" s="233">
        <f t="shared" si="45"/>
        <v>0.1111111111111111</v>
      </c>
      <c r="AA285" s="232">
        <f>VLOOKUP(tabParametros[[#This Row],[Comarca]],tabComarca[],5,0)</f>
        <v>6.4</v>
      </c>
      <c r="AB285" s="232">
        <f>VLOOKUP(tabParametros[[#This Row],[CCT DA CATEGORIA]],tabSindicatos[],6,0)</f>
        <v>0</v>
      </c>
      <c r="AC285" s="232">
        <f>VLOOKUP(tabParametros[[#This Row],[CCT DA CATEGORIA]],tabSindicatos[],7,0)</f>
        <v>387.79</v>
      </c>
      <c r="AD285" s="232" cm="1">
        <f t="array" ref="AD28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285" s="232">
        <f>VLOOKUP(tabParametros[[#This Row],[CCT DA CATEGORIA]],tabSindicatos[],9,0)</f>
        <v>0</v>
      </c>
      <c r="AF285" s="232">
        <f>VLOOKUP(tabParametros[[#This Row],[CCT DA CATEGORIA]],tabSindicatos[],10,0)</f>
        <v>0</v>
      </c>
      <c r="AG285" s="234">
        <f>VLOOKUP(tabParametros[[#Headers],[Seguro de Vida]],tabOutrosCustos[],3,0)</f>
        <v>3.36</v>
      </c>
      <c r="AH285" s="234">
        <f>IF(ISNUMBER(SEARCH("MOTORISTA",tabParametros[[#This Row],[Função]],1)),VLOOKUP("MOTORISTAS",tabDiarias[],2,0),IF(tabParametros[[#This Row],[Comarca]]="Belo Horizonte",VLOOKUP("APOIO",tabDiarias[],2,0),0))</f>
        <v>0</v>
      </c>
      <c r="AI285" s="233">
        <f t="shared" si="46"/>
        <v>7.011766975308642E-3</v>
      </c>
      <c r="AJ285" s="235">
        <f>tabParametros[[#This Row],[FGTS]]*tabParametros[[#This Row],[Aviso Prévio Indenizado (API) e Reflexo do Aviso Prévio Indenizado]]</f>
        <v>5.609413580246914E-4</v>
      </c>
      <c r="AK285" s="235">
        <f>tabParametros[[#This Row],[FGTS]]*tabParametros[[#This Row],[Aviso Prévio Indenizado (API) e Reflexo do Aviso Prévio Indenizado]]*40%</f>
        <v>2.2437654320987658E-4</v>
      </c>
      <c r="AL285" s="233">
        <f t="shared" si="47"/>
        <v>3.5000000000000005E-3</v>
      </c>
      <c r="AM285" s="233">
        <f>tabParametros[[#This Row],[Aviso Prévio Trabalhado - APT]]*SUM(tabParametros[[#This Row],[INSS]:[SEBRAE]])</f>
        <v>1.3230000000000004E-3</v>
      </c>
      <c r="AN285" s="233">
        <f t="shared" si="48"/>
        <v>3.0577777777777773E-2</v>
      </c>
      <c r="AO285" s="233">
        <f t="shared" si="49"/>
        <v>8.3333333333333339E-4</v>
      </c>
      <c r="AP285" s="233">
        <f t="shared" si="50"/>
        <v>8.4444444444444437E-3</v>
      </c>
      <c r="AQ285" s="233">
        <f t="shared" si="51"/>
        <v>2.0277777777777777E-3</v>
      </c>
      <c r="AR285" s="233">
        <f t="shared" si="52"/>
        <v>1.7083333333333333E-4</v>
      </c>
      <c r="AS285" s="233">
        <f t="shared" si="53"/>
        <v>2.0833333333333335E-4</v>
      </c>
      <c r="AT285" s="233">
        <f t="shared" si="54"/>
        <v>1.2962962962962963E-3</v>
      </c>
      <c r="AU285" s="235">
        <f>SUM(tabParametros[[#This Row],[Ausência por Doença]:[Férias, Adicional de Férias e 13º  com empregada em gozo de Licença Maternidade]])*SUM(tabParametros[[#This Row],[INSS]:[SEBRAE]])</f>
        <v>4.5918250000000008E-3</v>
      </c>
      <c r="AV285" s="254">
        <f>IF(tabParametros[[#This Row],[Função]]="Porteiro - 220 h",SUM(tabParametros[[#This Row],[Salário Base]:[Adicional de Acúmulo de função]])/220*20*1.5,IF(ISNUMBER(SEARCH("12 x 36",tabParametros[[#This Row],[Função]],1)),SUM(tabParametros[[#This Row],[Salário Base]:[Adicional de Acúmulo de função]])/210*15.5*1.5,0))</f>
        <v>0</v>
      </c>
      <c r="AW285" s="232">
        <f>IF(tabParametros[[#This Row],[Vagas contratadas]]&gt;0,(SUM(tabParametros[[#This Row],[Salário Base]:[Adicional de Acúmulo de função]])*30%+SUM(tabParametros[[#This Row],[Vale - Alimentação]:[Seguro de Vida]]))/tabParametros[[#This Row],[Vagas contratadas]]*tabParametros[[#This Row],[Vagas suspensas]],0)</f>
        <v>0</v>
      </c>
      <c r="AX285" s="232">
        <f>SUMIF(tabUniformes[Cargo],tabParametros[[#This Row],[Função]],tabUniformes[Valor unit. Mensal])</f>
        <v>56.642978962543395</v>
      </c>
      <c r="AY28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5" s="232">
        <v>0</v>
      </c>
      <c r="BC285" s="234" t="e">
        <f ca="1">VLOOKUP(tabParametros[[#Headers],[Custos Indiretos]],tabOutrosCustos[],3,0)</f>
        <v>#NAME?</v>
      </c>
      <c r="BD285" s="234" t="e">
        <f ca="1">VLOOKUP(tabParametros[[#Headers],[Lucro]],tabOutrosCustos[],3,0)</f>
        <v>#NAME?</v>
      </c>
      <c r="BE285" s="233">
        <f>VLOOKUP(tabParametros[[#Headers],[COFINS]],tabImpostosNacionais[],2,0)</f>
        <v>7.5999999999999998E-2</v>
      </c>
      <c r="BF285" s="233">
        <f>VLOOKUP(tabParametros[[#Headers],[PIS]],tabImpostosNacionais[],2,0)</f>
        <v>1.6500000000000001E-2</v>
      </c>
      <c r="BG285" s="233">
        <f>VLOOKUP(tabParametros[[#This Row],[Comarca]],tabComarca[],4,0)</f>
        <v>0.02</v>
      </c>
      <c r="BH285" s="236">
        <f>VLOOKUP(tabParametros[[#This Row],[CCT DA CATEGORIA]],tabSindicatos[],11,0)</f>
        <v>45658</v>
      </c>
      <c r="BI285" s="282" t="str">
        <f>VLOOKUP(tabParametros[[#This Row],[CCT DA CATEGORIA]],tabSindicatos[],12,0)</f>
        <v>-</v>
      </c>
      <c r="BJ285" s="285" t="str">
        <f>VLOOKUP(tabParametros[[#This Row],[CCT DA CATEGORIA]],tabSindicatos[],13,0)</f>
        <v>-</v>
      </c>
    </row>
    <row r="286" spans="1:62">
      <c r="A286" s="231" t="s">
        <v>1701</v>
      </c>
      <c r="B286" s="197" t="s">
        <v>1204</v>
      </c>
      <c r="C286" s="197" t="s">
        <v>314</v>
      </c>
      <c r="D286" s="197" t="str">
        <f>VLOOKUP(tabParametros[[#This Row],[Código do Posto]],tabPostos[],4,0)</f>
        <v>Sethac Norte de Minas</v>
      </c>
      <c r="E286" s="282" t="str">
        <f>VLOOKUP(tabParametros[[#This Row],[Código do Posto]],tabPostos[],5,0)</f>
        <v>Apoio</v>
      </c>
      <c r="F286" s="282" t="str">
        <f>VLOOKUP(tabParametros[[#This Row],[Código do Posto]],tabPostos[],6,0)</f>
        <v>PGJ</v>
      </c>
      <c r="G286" s="282">
        <f>VLOOKUP(tabParametros[[#This Row],[Código do Posto]],tabPostos[],7,0)</f>
        <v>1</v>
      </c>
      <c r="H286" s="282">
        <f>VLOOKUP(tabParametros[[#This Row],[Código do Posto]],tabPostos[],8,0)</f>
        <v>0</v>
      </c>
      <c r="I286" s="232">
        <f>VLOOKUP(tabParametros[[#This Row],[Código do Posto]],tabPostos[],9,0)</f>
        <v>1963.4110092077037</v>
      </c>
      <c r="J286" s="232">
        <f>IF(ISNUMBER(SEARCH("Eletricista",tabParametros[[#This Row],[Função]],1)),0.3*tabParametros[[#This Row],[Salário Base]],0)</f>
        <v>0</v>
      </c>
      <c r="K28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6" s="232">
        <f>IF(AND(ISNUMBER(SEARCH("Noturno",tabParametros[[#This Row],[Função]],1)),tabParametros[[#This Row],[Comarca]]&lt;&gt;"Juiz de Fora"),tabParametros[[#This Row],[Salário Base]]/210*0.39*7*15.5,IF(ISNUMBER(SEARCH("Noturno",tabParametros[[#This Row],[Função]],1)),tabParametros[[#This Row],[Salário Base]]/210*0.2*8*15.5,0))</f>
        <v>0</v>
      </c>
      <c r="M286" s="232">
        <f>IF(ISNUMBER(SEARCH("Motorista II",tabParametros[[#This Row],[Função]],1)),0.3022*tabParametros[[#This Row],[Salário Base]],0)</f>
        <v>0</v>
      </c>
      <c r="N286" s="254">
        <v>0</v>
      </c>
      <c r="O286" s="254">
        <f>IF(ISNUMBER(SEARCH("TECNOLOGIA DA INFORMACAO",tabParametros[[#This Row],[Função]],1)),0.056*tabParametros[[#This Row],[Salário Base]],0)</f>
        <v>0</v>
      </c>
      <c r="P286" s="232">
        <f>IF(tabParametros[[#This Row],[Função]]="Operador de Midia Audiovisual - 150 h",tabParametros[[#This Row],[Salário Base]]/150*50*30%,IF(tabParametros[[#This Row],[Função]]="Supervisor de Manutencao de Veiculos II - 220 h",12%*tabParametros[[#This Row],[Salário Base]],0))</f>
        <v>0</v>
      </c>
      <c r="Q286" s="233">
        <f>VLOOKUP(tabParametros[[#Headers],[INSS]],tabImpostosNacionais[],2,0)</f>
        <v>0.2</v>
      </c>
      <c r="R286" s="233">
        <f>VLOOKUP(tabParametros[[#Headers],[SESI OU SESC]],tabImpostosNacionais[],2,0)</f>
        <v>1.4999999999999999E-2</v>
      </c>
      <c r="S286" s="233">
        <f>VLOOKUP(tabParametros[[#Headers],[SENAI OU SENAC]],tabImpostosNacionais[],2,0)</f>
        <v>0.01</v>
      </c>
      <c r="T286" s="233">
        <f>VLOOKUP(tabParametros[[#Headers],[INCRA]],tabImpostosNacionais[],2,0)</f>
        <v>2E-3</v>
      </c>
      <c r="U286" s="233">
        <f>VLOOKUP(tabParametros[[#Headers],[Salário Educação]],tabImpostosNacionais[],2,0)</f>
        <v>2.5000000000000001E-2</v>
      </c>
      <c r="V286" s="233">
        <f>VLOOKUP(tabParametros[[#Headers],[FGTS]],tabImpostosNacionais[],2,0)</f>
        <v>0.08</v>
      </c>
      <c r="W286" s="233">
        <f>VLOOKUP(tabParametros[[#Headers],[RAT Ajustado]],tabImpostosNacionais[],2,0)</f>
        <v>0.04</v>
      </c>
      <c r="X286" s="233">
        <f>VLOOKUP(tabParametros[[#Headers],[SEBRAE]],tabImpostosNacionais[],2,0)</f>
        <v>6.0000000000000001E-3</v>
      </c>
      <c r="Y286" s="233">
        <f t="shared" si="44"/>
        <v>8.3333333333333329E-2</v>
      </c>
      <c r="Z286" s="233">
        <f t="shared" si="45"/>
        <v>0.1111111111111111</v>
      </c>
      <c r="AA286" s="232">
        <f>VLOOKUP(tabParametros[[#This Row],[Comarca]],tabComarca[],5,0)</f>
        <v>6.4</v>
      </c>
      <c r="AB286" s="232">
        <f>VLOOKUP(tabParametros[[#This Row],[CCT DA CATEGORIA]],tabSindicatos[],6,0)</f>
        <v>29.15</v>
      </c>
      <c r="AC286" s="232">
        <f>VLOOKUP(tabParametros[[#This Row],[CCT DA CATEGORIA]],tabSindicatos[],7,0)</f>
        <v>0</v>
      </c>
      <c r="AD286" s="232" cm="1">
        <f t="array" ref="AD28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86" s="232">
        <f>VLOOKUP(tabParametros[[#This Row],[CCT DA CATEGORIA]],tabSindicatos[],9,0)</f>
        <v>0</v>
      </c>
      <c r="AF286" s="232">
        <f>VLOOKUP(tabParametros[[#This Row],[CCT DA CATEGORIA]],tabSindicatos[],10,0)</f>
        <v>0</v>
      </c>
      <c r="AG286" s="234">
        <f>VLOOKUP(tabParametros[[#Headers],[Seguro de Vida]],tabOutrosCustos[],3,0)</f>
        <v>3.36</v>
      </c>
      <c r="AH286" s="234">
        <f>IF(ISNUMBER(SEARCH("MOTORISTA",tabParametros[[#This Row],[Função]],1)),VLOOKUP("MOTORISTAS",tabDiarias[],2,0),IF(tabParametros[[#This Row],[Comarca]]="Belo Horizonte",VLOOKUP("APOIO",tabDiarias[],2,0),0))</f>
        <v>0</v>
      </c>
      <c r="AI286" s="233">
        <f t="shared" si="46"/>
        <v>7.011766975308642E-3</v>
      </c>
      <c r="AJ286" s="235">
        <f>tabParametros[[#This Row],[FGTS]]*tabParametros[[#This Row],[Aviso Prévio Indenizado (API) e Reflexo do Aviso Prévio Indenizado]]</f>
        <v>5.609413580246914E-4</v>
      </c>
      <c r="AK286" s="235">
        <f>tabParametros[[#This Row],[FGTS]]*tabParametros[[#This Row],[Aviso Prévio Indenizado (API) e Reflexo do Aviso Prévio Indenizado]]*40%</f>
        <v>2.2437654320987658E-4</v>
      </c>
      <c r="AL286" s="233">
        <f t="shared" si="47"/>
        <v>3.5000000000000005E-3</v>
      </c>
      <c r="AM286" s="233">
        <f>tabParametros[[#This Row],[Aviso Prévio Trabalhado - APT]]*SUM(tabParametros[[#This Row],[INSS]:[SEBRAE]])</f>
        <v>1.3230000000000004E-3</v>
      </c>
      <c r="AN286" s="233">
        <f t="shared" si="48"/>
        <v>3.0577777777777773E-2</v>
      </c>
      <c r="AO286" s="233">
        <f t="shared" si="49"/>
        <v>8.3333333333333339E-4</v>
      </c>
      <c r="AP286" s="233">
        <f t="shared" si="50"/>
        <v>8.4444444444444437E-3</v>
      </c>
      <c r="AQ286" s="233">
        <f t="shared" si="51"/>
        <v>2.0277777777777777E-3</v>
      </c>
      <c r="AR286" s="233">
        <f t="shared" si="52"/>
        <v>1.7083333333333333E-4</v>
      </c>
      <c r="AS286" s="233">
        <f t="shared" si="53"/>
        <v>2.0833333333333335E-4</v>
      </c>
      <c r="AT286" s="233">
        <f t="shared" si="54"/>
        <v>1.2962962962962963E-3</v>
      </c>
      <c r="AU286" s="235">
        <f>SUM(tabParametros[[#This Row],[Ausência por Doença]:[Férias, Adicional de Férias e 13º  com empregada em gozo de Licença Maternidade]])*SUM(tabParametros[[#This Row],[INSS]:[SEBRAE]])</f>
        <v>4.5918250000000008E-3</v>
      </c>
      <c r="AV286"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86" s="232">
        <f>IF(tabParametros[[#This Row],[Vagas contratadas]]&gt;0,(SUM(tabParametros[[#This Row],[Salário Base]:[Adicional de Acúmulo de função]])*30%+SUM(tabParametros[[#This Row],[Vale - Alimentação]:[Seguro de Vida]]))/tabParametros[[#This Row],[Vagas contratadas]]*tabParametros[[#This Row],[Vagas suspensas]],0)</f>
        <v>0</v>
      </c>
      <c r="AX286" s="232">
        <f>SUMIF(tabUniformes[Cargo],tabParametros[[#This Row],[Função]],tabUniformes[Valor unit. Mensal])</f>
        <v>56.642978962543395</v>
      </c>
      <c r="AY28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6" s="232">
        <v>0</v>
      </c>
      <c r="BC286" s="234" t="e">
        <f ca="1">VLOOKUP(tabParametros[[#Headers],[Custos Indiretos]],tabOutrosCustos[],3,0)</f>
        <v>#NAME?</v>
      </c>
      <c r="BD286" s="234" t="e">
        <f ca="1">VLOOKUP(tabParametros[[#Headers],[Lucro]],tabOutrosCustos[],3,0)</f>
        <v>#NAME?</v>
      </c>
      <c r="BE286" s="233">
        <f>VLOOKUP(tabParametros[[#Headers],[COFINS]],tabImpostosNacionais[],2,0)</f>
        <v>7.5999999999999998E-2</v>
      </c>
      <c r="BF286" s="233">
        <f>VLOOKUP(tabParametros[[#Headers],[PIS]],tabImpostosNacionais[],2,0)</f>
        <v>1.6500000000000001E-2</v>
      </c>
      <c r="BG286" s="233">
        <f>VLOOKUP(tabParametros[[#This Row],[Comarca]],tabComarca[],4,0)</f>
        <v>3.5000000000000003E-2</v>
      </c>
      <c r="BH286" s="236">
        <f>VLOOKUP(tabParametros[[#This Row],[CCT DA CATEGORIA]],tabSindicatos[],11,0)</f>
        <v>45658</v>
      </c>
      <c r="BI286" s="282" t="str">
        <f>VLOOKUP(tabParametros[[#This Row],[CCT DA CATEGORIA]],tabSindicatos[],12,0)</f>
        <v>-</v>
      </c>
      <c r="BJ286" s="285" t="str">
        <f>VLOOKUP(tabParametros[[#This Row],[CCT DA CATEGORIA]],tabSindicatos[],13,0)</f>
        <v>-</v>
      </c>
    </row>
    <row r="287" spans="1:62">
      <c r="A287" s="231" t="s">
        <v>1702</v>
      </c>
      <c r="B287" s="197" t="s">
        <v>1205</v>
      </c>
      <c r="C287" s="197" t="s">
        <v>274</v>
      </c>
      <c r="D287" s="197" t="str">
        <f>VLOOKUP(tabParametros[[#This Row],[Código do Posto]],tabPostos[],4,0)</f>
        <v>Rodoviarios de Sao Joao Del Rei + SEAC-MG</v>
      </c>
      <c r="E287" s="282" t="str">
        <f>VLOOKUP(tabParametros[[#This Row],[Código do Posto]],tabPostos[],5,0)</f>
        <v>Apoio</v>
      </c>
      <c r="F287" s="282" t="str">
        <f>VLOOKUP(tabParametros[[#This Row],[Código do Posto]],tabPostos[],6,0)</f>
        <v>PGJ</v>
      </c>
      <c r="G287" s="282">
        <f>VLOOKUP(tabParametros[[#This Row],[Código do Posto]],tabPostos[],7,0)</f>
        <v>1</v>
      </c>
      <c r="H287" s="282">
        <f>VLOOKUP(tabParametros[[#This Row],[Código do Posto]],tabPostos[],8,0)</f>
        <v>0</v>
      </c>
      <c r="I287" s="232">
        <f>VLOOKUP(tabParametros[[#This Row],[Código do Posto]],tabPostos[],9,0)</f>
        <v>4599.5952808034681</v>
      </c>
      <c r="J287" s="232">
        <f>IF(ISNUMBER(SEARCH("Eletricista",tabParametros[[#This Row],[Função]],1)),0.3*tabParametros[[#This Row],[Salário Base]],0)</f>
        <v>0</v>
      </c>
      <c r="K28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7" s="232">
        <f>IF(AND(ISNUMBER(SEARCH("Noturno",tabParametros[[#This Row],[Função]],1)),tabParametros[[#This Row],[Comarca]]&lt;&gt;"Juiz de Fora"),tabParametros[[#This Row],[Salário Base]]/210*0.39*7*15.5,IF(ISNUMBER(SEARCH("Noturno",tabParametros[[#This Row],[Função]],1)),tabParametros[[#This Row],[Salário Base]]/210*0.2*8*15.5,0))</f>
        <v>0</v>
      </c>
      <c r="M287" s="232">
        <f>IF(ISNUMBER(SEARCH("Motorista II",tabParametros[[#This Row],[Função]],1)),0.3022*tabParametros[[#This Row],[Salário Base]],0)</f>
        <v>0</v>
      </c>
      <c r="N287" s="254">
        <v>0</v>
      </c>
      <c r="O287" s="254">
        <f>IF(ISNUMBER(SEARCH("TECNOLOGIA DA INFORMACAO",tabParametros[[#This Row],[Função]],1)),0.056*tabParametros[[#This Row],[Salário Base]],0)</f>
        <v>0</v>
      </c>
      <c r="P287" s="232">
        <f>IF(tabParametros[[#This Row],[Função]]="Operador de Midia Audiovisual - 150 h",tabParametros[[#This Row],[Salário Base]]/150*50*30%,IF(tabParametros[[#This Row],[Função]]="Supervisor de Manutencao de Veiculos II - 220 h",12%*tabParametros[[#This Row],[Salário Base]],0))</f>
        <v>0</v>
      </c>
      <c r="Q287" s="233">
        <f>VLOOKUP(tabParametros[[#Headers],[INSS]],tabImpostosNacionais[],2,0)</f>
        <v>0.2</v>
      </c>
      <c r="R287" s="233">
        <f>VLOOKUP(tabParametros[[#Headers],[SESI OU SESC]],tabImpostosNacionais[],2,0)</f>
        <v>1.4999999999999999E-2</v>
      </c>
      <c r="S287" s="233">
        <f>VLOOKUP(tabParametros[[#Headers],[SENAI OU SENAC]],tabImpostosNacionais[],2,0)</f>
        <v>0.01</v>
      </c>
      <c r="T287" s="233">
        <f>VLOOKUP(tabParametros[[#Headers],[INCRA]],tabImpostosNacionais[],2,0)</f>
        <v>2E-3</v>
      </c>
      <c r="U287" s="233">
        <f>VLOOKUP(tabParametros[[#Headers],[Salário Educação]],tabImpostosNacionais[],2,0)</f>
        <v>2.5000000000000001E-2</v>
      </c>
      <c r="V287" s="233">
        <f>VLOOKUP(tabParametros[[#Headers],[FGTS]],tabImpostosNacionais[],2,0)</f>
        <v>0.08</v>
      </c>
      <c r="W287" s="233">
        <f>VLOOKUP(tabParametros[[#Headers],[RAT Ajustado]],tabImpostosNacionais[],2,0)</f>
        <v>0.04</v>
      </c>
      <c r="X287" s="233">
        <f>VLOOKUP(tabParametros[[#Headers],[SEBRAE]],tabImpostosNacionais[],2,0)</f>
        <v>6.0000000000000001E-3</v>
      </c>
      <c r="Y287" s="233">
        <f t="shared" si="44"/>
        <v>8.3333333333333329E-2</v>
      </c>
      <c r="Z287" s="233">
        <f t="shared" si="45"/>
        <v>0.1111111111111111</v>
      </c>
      <c r="AA287" s="232">
        <f>VLOOKUP(tabParametros[[#This Row],[Comarca]],tabComarca[],5,0)</f>
        <v>6.4</v>
      </c>
      <c r="AB287" s="232">
        <f>VLOOKUP(tabParametros[[#This Row],[CCT DA CATEGORIA]],tabSindicatos[],6,0)</f>
        <v>28.97</v>
      </c>
      <c r="AC287" s="232">
        <f>VLOOKUP(tabParametros[[#This Row],[CCT DA CATEGORIA]],tabSindicatos[],7,0)</f>
        <v>0</v>
      </c>
      <c r="AD287" s="232" cm="1">
        <f t="array" ref="AD28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87" s="232">
        <f>VLOOKUP(tabParametros[[#This Row],[CCT DA CATEGORIA]],tabSindicatos[],9,0)</f>
        <v>0</v>
      </c>
      <c r="AF287" s="232">
        <f>VLOOKUP(tabParametros[[#This Row],[CCT DA CATEGORIA]],tabSindicatos[],10,0)</f>
        <v>0</v>
      </c>
      <c r="AG287" s="234">
        <f>VLOOKUP(tabParametros[[#Headers],[Seguro de Vida]],tabOutrosCustos[],3,0)</f>
        <v>3.36</v>
      </c>
      <c r="AH287" s="234">
        <f>IF(ISNUMBER(SEARCH("MOTORISTA",tabParametros[[#This Row],[Função]],1)),VLOOKUP("MOTORISTAS",tabDiarias[],2,0),IF(tabParametros[[#This Row],[Comarca]]="Belo Horizonte",VLOOKUP("APOIO",tabDiarias[],2,0),0))</f>
        <v>662.42</v>
      </c>
      <c r="AI287" s="233">
        <f t="shared" si="46"/>
        <v>7.011766975308642E-3</v>
      </c>
      <c r="AJ287" s="235">
        <f>tabParametros[[#This Row],[FGTS]]*tabParametros[[#This Row],[Aviso Prévio Indenizado (API) e Reflexo do Aviso Prévio Indenizado]]</f>
        <v>5.609413580246914E-4</v>
      </c>
      <c r="AK287" s="235">
        <f>tabParametros[[#This Row],[FGTS]]*tabParametros[[#This Row],[Aviso Prévio Indenizado (API) e Reflexo do Aviso Prévio Indenizado]]*40%</f>
        <v>2.2437654320987658E-4</v>
      </c>
      <c r="AL287" s="233">
        <f t="shared" si="47"/>
        <v>3.5000000000000005E-3</v>
      </c>
      <c r="AM287" s="233">
        <f>tabParametros[[#This Row],[Aviso Prévio Trabalhado - APT]]*SUM(tabParametros[[#This Row],[INSS]:[SEBRAE]])</f>
        <v>1.3230000000000004E-3</v>
      </c>
      <c r="AN287" s="233">
        <f t="shared" si="48"/>
        <v>3.0577777777777773E-2</v>
      </c>
      <c r="AO287" s="233">
        <f t="shared" si="49"/>
        <v>8.3333333333333339E-4</v>
      </c>
      <c r="AP287" s="233">
        <f t="shared" si="50"/>
        <v>8.4444444444444437E-3</v>
      </c>
      <c r="AQ287" s="233">
        <f t="shared" si="51"/>
        <v>2.0277777777777777E-3</v>
      </c>
      <c r="AR287" s="233">
        <f t="shared" si="52"/>
        <v>1.7083333333333333E-4</v>
      </c>
      <c r="AS287" s="233">
        <f t="shared" si="53"/>
        <v>2.0833333333333335E-4</v>
      </c>
      <c r="AT287" s="233">
        <f t="shared" si="54"/>
        <v>1.2962962962962963E-3</v>
      </c>
      <c r="AU287" s="235">
        <f>SUM(tabParametros[[#This Row],[Ausência por Doença]:[Férias, Adicional de Férias e 13º  com empregada em gozo de Licença Maternidade]])*SUM(tabParametros[[#This Row],[INSS]:[SEBRAE]])</f>
        <v>4.5918250000000008E-3</v>
      </c>
      <c r="AV287" s="254">
        <f>IF(tabParametros[[#This Row],[Função]]="Porteiro - 220 h",SUM(tabParametros[[#This Row],[Salário Base]:[Adicional de Acúmulo de função]])/220*20*1.5,IF(ISNUMBER(SEARCH("12 x 36",tabParametros[[#This Row],[Função]],1)),SUM(tabParametros[[#This Row],[Salário Base]:[Adicional de Acúmulo de função]])/210*15.5*1.5,0))</f>
        <v>0</v>
      </c>
      <c r="AW287" s="232">
        <f>IF(tabParametros[[#This Row],[Vagas contratadas]]&gt;0,(SUM(tabParametros[[#This Row],[Salário Base]:[Adicional de Acúmulo de função]])*30%+SUM(tabParametros[[#This Row],[Vale - Alimentação]:[Seguro de Vida]]))/tabParametros[[#This Row],[Vagas contratadas]]*tabParametros[[#This Row],[Vagas suspensas]],0)</f>
        <v>0</v>
      </c>
      <c r="AX287" s="232">
        <f>SUMIF(tabUniformes[Cargo],tabParametros[[#This Row],[Função]],tabUniformes[Valor unit. Mensal])</f>
        <v>92.100763771570698</v>
      </c>
      <c r="AY28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7" s="232">
        <v>0</v>
      </c>
      <c r="BC287" s="234" t="e">
        <f ca="1">VLOOKUP(tabParametros[[#Headers],[Custos Indiretos]],tabOutrosCustos[],3,0)</f>
        <v>#NAME?</v>
      </c>
      <c r="BD287" s="234" t="e">
        <f ca="1">VLOOKUP(tabParametros[[#Headers],[Lucro]],tabOutrosCustos[],3,0)</f>
        <v>#NAME?</v>
      </c>
      <c r="BE287" s="233">
        <f>VLOOKUP(tabParametros[[#Headers],[COFINS]],tabImpostosNacionais[],2,0)</f>
        <v>7.5999999999999998E-2</v>
      </c>
      <c r="BF287" s="233">
        <f>VLOOKUP(tabParametros[[#Headers],[PIS]],tabImpostosNacionais[],2,0)</f>
        <v>1.6500000000000001E-2</v>
      </c>
      <c r="BG287" s="233">
        <f>VLOOKUP(tabParametros[[#This Row],[Comarca]],tabComarca[],4,0)</f>
        <v>0.02</v>
      </c>
      <c r="BH287" s="236">
        <f>VLOOKUP(tabParametros[[#This Row],[CCT DA CATEGORIA]],tabSindicatos[],11,0)</f>
        <v>45658</v>
      </c>
      <c r="BI287" s="282" t="str">
        <f>VLOOKUP(tabParametros[[#This Row],[CCT DA CATEGORIA]],tabSindicatos[],12,0)</f>
        <v>-</v>
      </c>
      <c r="BJ287" s="285" t="str">
        <f>VLOOKUP(tabParametros[[#This Row],[CCT DA CATEGORIA]],tabSindicatos[],13,0)</f>
        <v>-</v>
      </c>
    </row>
    <row r="288" spans="1:62">
      <c r="A288" s="231" t="s">
        <v>1703</v>
      </c>
      <c r="B288" s="197" t="s">
        <v>1205</v>
      </c>
      <c r="C288" s="197" t="s">
        <v>304</v>
      </c>
      <c r="D288" s="197" t="str">
        <f>VLOOKUP(tabParametros[[#This Row],[Código do Posto]],tabPostos[],4,0)</f>
        <v>Regiao de Juiz de Fora</v>
      </c>
      <c r="E288" s="282" t="str">
        <f>VLOOKUP(tabParametros[[#This Row],[Código do Posto]],tabPostos[],5,0)</f>
        <v>Apoio</v>
      </c>
      <c r="F288" s="282" t="str">
        <f>VLOOKUP(tabParametros[[#This Row],[Código do Posto]],tabPostos[],6,0)</f>
        <v>PGJ</v>
      </c>
      <c r="G288" s="282">
        <f>VLOOKUP(tabParametros[[#This Row],[Código do Posto]],tabPostos[],7,0)</f>
        <v>2</v>
      </c>
      <c r="H288" s="282">
        <f>VLOOKUP(tabParametros[[#This Row],[Código do Posto]],tabPostos[],8,0)</f>
        <v>0</v>
      </c>
      <c r="I288" s="232">
        <f>VLOOKUP(tabParametros[[#This Row],[Código do Posto]],tabPostos[],9,0)</f>
        <v>1963.4110092077037</v>
      </c>
      <c r="J288" s="232">
        <f>IF(ISNUMBER(SEARCH("Eletricista",tabParametros[[#This Row],[Função]],1)),0.3*tabParametros[[#This Row],[Salário Base]],0)</f>
        <v>0</v>
      </c>
      <c r="K28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8" s="232">
        <f>IF(AND(ISNUMBER(SEARCH("Noturno",tabParametros[[#This Row],[Função]],1)),tabParametros[[#This Row],[Comarca]]&lt;&gt;"Juiz de Fora"),tabParametros[[#This Row],[Salário Base]]/210*0.39*7*15.5,IF(ISNUMBER(SEARCH("Noturno",tabParametros[[#This Row],[Função]],1)),tabParametros[[#This Row],[Salário Base]]/210*0.2*8*15.5,0))</f>
        <v>0</v>
      </c>
      <c r="M288" s="232">
        <f>IF(ISNUMBER(SEARCH("Motorista II",tabParametros[[#This Row],[Função]],1)),0.3022*tabParametros[[#This Row],[Salário Base]],0)</f>
        <v>0</v>
      </c>
      <c r="N288" s="254">
        <v>0</v>
      </c>
      <c r="O288" s="254">
        <f>IF(ISNUMBER(SEARCH("TECNOLOGIA DA INFORMACAO",tabParametros[[#This Row],[Função]],1)),0.056*tabParametros[[#This Row],[Salário Base]],0)</f>
        <v>0</v>
      </c>
      <c r="P288" s="232">
        <f>IF(tabParametros[[#This Row],[Função]]="Operador de Midia Audiovisual - 150 h",tabParametros[[#This Row],[Salário Base]]/150*50*30%,IF(tabParametros[[#This Row],[Função]]="Supervisor de Manutencao de Veiculos II - 220 h",12%*tabParametros[[#This Row],[Salário Base]],0))</f>
        <v>0</v>
      </c>
      <c r="Q288" s="233">
        <f>VLOOKUP(tabParametros[[#Headers],[INSS]],tabImpostosNacionais[],2,0)</f>
        <v>0.2</v>
      </c>
      <c r="R288" s="233">
        <f>VLOOKUP(tabParametros[[#Headers],[SESI OU SESC]],tabImpostosNacionais[],2,0)</f>
        <v>1.4999999999999999E-2</v>
      </c>
      <c r="S288" s="233">
        <f>VLOOKUP(tabParametros[[#Headers],[SENAI OU SENAC]],tabImpostosNacionais[],2,0)</f>
        <v>0.01</v>
      </c>
      <c r="T288" s="233">
        <f>VLOOKUP(tabParametros[[#Headers],[INCRA]],tabImpostosNacionais[],2,0)</f>
        <v>2E-3</v>
      </c>
      <c r="U288" s="233">
        <f>VLOOKUP(tabParametros[[#Headers],[Salário Educação]],tabImpostosNacionais[],2,0)</f>
        <v>2.5000000000000001E-2</v>
      </c>
      <c r="V288" s="233">
        <f>VLOOKUP(tabParametros[[#Headers],[FGTS]],tabImpostosNacionais[],2,0)</f>
        <v>0.08</v>
      </c>
      <c r="W288" s="233">
        <f>VLOOKUP(tabParametros[[#Headers],[RAT Ajustado]],tabImpostosNacionais[],2,0)</f>
        <v>0.04</v>
      </c>
      <c r="X288" s="233">
        <f>VLOOKUP(tabParametros[[#Headers],[SEBRAE]],tabImpostosNacionais[],2,0)</f>
        <v>6.0000000000000001E-3</v>
      </c>
      <c r="Y288" s="233">
        <f t="shared" si="44"/>
        <v>8.3333333333333329E-2</v>
      </c>
      <c r="Z288" s="233">
        <f t="shared" si="45"/>
        <v>0.1111111111111111</v>
      </c>
      <c r="AA288" s="232">
        <f>VLOOKUP(tabParametros[[#This Row],[Comarca]],tabComarca[],5,0)</f>
        <v>6.4</v>
      </c>
      <c r="AB288" s="232">
        <f>VLOOKUP(tabParametros[[#This Row],[CCT DA CATEGORIA]],tabSindicatos[],6,0)</f>
        <v>29.15</v>
      </c>
      <c r="AC288" s="232">
        <f>VLOOKUP(tabParametros[[#This Row],[CCT DA CATEGORIA]],tabSindicatos[],7,0)</f>
        <v>0</v>
      </c>
      <c r="AD288" s="232" cm="1">
        <f t="array" ref="AD28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88" s="232">
        <f>VLOOKUP(tabParametros[[#This Row],[CCT DA CATEGORIA]],tabSindicatos[],9,0)</f>
        <v>0</v>
      </c>
      <c r="AF288" s="232">
        <f>VLOOKUP(tabParametros[[#This Row],[CCT DA CATEGORIA]],tabSindicatos[],10,0)</f>
        <v>0</v>
      </c>
      <c r="AG288" s="234">
        <f>VLOOKUP(tabParametros[[#Headers],[Seguro de Vida]],tabOutrosCustos[],3,0)</f>
        <v>3.36</v>
      </c>
      <c r="AH288" s="234">
        <f>IF(ISNUMBER(SEARCH("MOTORISTA",tabParametros[[#This Row],[Função]],1)),VLOOKUP("MOTORISTAS",tabDiarias[],2,0),IF(tabParametros[[#This Row],[Comarca]]="Belo Horizonte",VLOOKUP("APOIO",tabDiarias[],2,0),0))</f>
        <v>0</v>
      </c>
      <c r="AI288" s="233">
        <f t="shared" si="46"/>
        <v>7.011766975308642E-3</v>
      </c>
      <c r="AJ288" s="235">
        <f>tabParametros[[#This Row],[FGTS]]*tabParametros[[#This Row],[Aviso Prévio Indenizado (API) e Reflexo do Aviso Prévio Indenizado]]</f>
        <v>5.609413580246914E-4</v>
      </c>
      <c r="AK288" s="235">
        <f>tabParametros[[#This Row],[FGTS]]*tabParametros[[#This Row],[Aviso Prévio Indenizado (API) e Reflexo do Aviso Prévio Indenizado]]*40%</f>
        <v>2.2437654320987658E-4</v>
      </c>
      <c r="AL288" s="233">
        <f t="shared" si="47"/>
        <v>3.5000000000000005E-3</v>
      </c>
      <c r="AM288" s="233">
        <f>tabParametros[[#This Row],[Aviso Prévio Trabalhado - APT]]*SUM(tabParametros[[#This Row],[INSS]:[SEBRAE]])</f>
        <v>1.3230000000000004E-3</v>
      </c>
      <c r="AN288" s="233">
        <f t="shared" si="48"/>
        <v>3.0577777777777773E-2</v>
      </c>
      <c r="AO288" s="233">
        <f t="shared" si="49"/>
        <v>8.3333333333333339E-4</v>
      </c>
      <c r="AP288" s="233">
        <f t="shared" si="50"/>
        <v>8.4444444444444437E-3</v>
      </c>
      <c r="AQ288" s="233">
        <f t="shared" si="51"/>
        <v>2.0277777777777777E-3</v>
      </c>
      <c r="AR288" s="233">
        <f t="shared" si="52"/>
        <v>1.7083333333333333E-4</v>
      </c>
      <c r="AS288" s="233">
        <f t="shared" si="53"/>
        <v>2.0833333333333335E-4</v>
      </c>
      <c r="AT288" s="233">
        <f t="shared" si="54"/>
        <v>1.2962962962962963E-3</v>
      </c>
      <c r="AU288" s="235">
        <f>SUM(tabParametros[[#This Row],[Ausência por Doença]:[Férias, Adicional de Férias e 13º  com empregada em gozo de Licença Maternidade]])*SUM(tabParametros[[#This Row],[INSS]:[SEBRAE]])</f>
        <v>4.5918250000000008E-3</v>
      </c>
      <c r="AV288" s="254">
        <f>IF(tabParametros[[#This Row],[Função]]="Porteiro - 220 h",SUM(tabParametros[[#This Row],[Salário Base]:[Adicional de Acúmulo de função]])/220*20*1.5,IF(ISNUMBER(SEARCH("12 x 36",tabParametros[[#This Row],[Função]],1)),SUM(tabParametros[[#This Row],[Salário Base]:[Adicional de Acúmulo de função]])/210*15.5*1.5,0))</f>
        <v>217.37764744799577</v>
      </c>
      <c r="AW288" s="232">
        <f>IF(tabParametros[[#This Row],[Vagas contratadas]]&gt;0,(SUM(tabParametros[[#This Row],[Salário Base]:[Adicional de Acúmulo de função]])*30%+SUM(tabParametros[[#This Row],[Vale - Alimentação]:[Seguro de Vida]]))/tabParametros[[#This Row],[Vagas contratadas]]*tabParametros[[#This Row],[Vagas suspensas]],0)</f>
        <v>0</v>
      </c>
      <c r="AX288" s="232">
        <f>SUMIF(tabUniformes[Cargo],tabParametros[[#This Row],[Função]],tabUniformes[Valor unit. Mensal])</f>
        <v>56.642978962543395</v>
      </c>
      <c r="AY28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8" s="232">
        <v>0</v>
      </c>
      <c r="BC288" s="234" t="e">
        <f ca="1">VLOOKUP(tabParametros[[#Headers],[Custos Indiretos]],tabOutrosCustos[],3,0)</f>
        <v>#NAME?</v>
      </c>
      <c r="BD288" s="234" t="e">
        <f ca="1">VLOOKUP(tabParametros[[#Headers],[Lucro]],tabOutrosCustos[],3,0)</f>
        <v>#NAME?</v>
      </c>
      <c r="BE288" s="233">
        <f>VLOOKUP(tabParametros[[#Headers],[COFINS]],tabImpostosNacionais[],2,0)</f>
        <v>7.5999999999999998E-2</v>
      </c>
      <c r="BF288" s="233">
        <f>VLOOKUP(tabParametros[[#Headers],[PIS]],tabImpostosNacionais[],2,0)</f>
        <v>1.6500000000000001E-2</v>
      </c>
      <c r="BG288" s="233">
        <f>VLOOKUP(tabParametros[[#This Row],[Comarca]],tabComarca[],4,0)</f>
        <v>0.02</v>
      </c>
      <c r="BH288" s="236">
        <f>VLOOKUP(tabParametros[[#This Row],[CCT DA CATEGORIA]],tabSindicatos[],11,0)</f>
        <v>45658</v>
      </c>
      <c r="BI288" s="282" t="str">
        <f>VLOOKUP(tabParametros[[#This Row],[CCT DA CATEGORIA]],tabSindicatos[],12,0)</f>
        <v>-</v>
      </c>
      <c r="BJ288" s="285" t="str">
        <f>VLOOKUP(tabParametros[[#This Row],[CCT DA CATEGORIA]],tabSindicatos[],13,0)</f>
        <v>-</v>
      </c>
    </row>
    <row r="289" spans="1:62">
      <c r="A289" s="231" t="s">
        <v>1704</v>
      </c>
      <c r="B289" s="197" t="s">
        <v>1205</v>
      </c>
      <c r="C289" s="197" t="s">
        <v>309</v>
      </c>
      <c r="D289" s="197" t="str">
        <f>VLOOKUP(tabParametros[[#This Row],[Código do Posto]],tabPostos[],4,0)</f>
        <v>Regiao de Juiz de Fora</v>
      </c>
      <c r="E289" s="282" t="str">
        <f>VLOOKUP(tabParametros[[#This Row],[Código do Posto]],tabPostos[],5,0)</f>
        <v>Apoio</v>
      </c>
      <c r="F289" s="282" t="str">
        <f>VLOOKUP(tabParametros[[#This Row],[Código do Posto]],tabPostos[],6,0)</f>
        <v>PGJ</v>
      </c>
      <c r="G289" s="282">
        <f>VLOOKUP(tabParametros[[#This Row],[Código do Posto]],tabPostos[],7,0)</f>
        <v>2</v>
      </c>
      <c r="H289" s="282">
        <f>VLOOKUP(tabParametros[[#This Row],[Código do Posto]],tabPostos[],8,0)</f>
        <v>0</v>
      </c>
      <c r="I289" s="232">
        <f>VLOOKUP(tabParametros[[#This Row],[Código do Posto]],tabPostos[],9,0)</f>
        <v>1963.4110092077037</v>
      </c>
      <c r="J289" s="232">
        <f>IF(ISNUMBER(SEARCH("Eletricista",tabParametros[[#This Row],[Função]],1)),0.3*tabParametros[[#This Row],[Salário Base]],0)</f>
        <v>0</v>
      </c>
      <c r="K28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89" s="232">
        <f>IF(AND(ISNUMBER(SEARCH("Noturno",tabParametros[[#This Row],[Função]],1)),tabParametros[[#This Row],[Comarca]]&lt;&gt;"Juiz de Fora"),tabParametros[[#This Row],[Salário Base]]/210*0.39*7*15.5,IF(ISNUMBER(SEARCH("Noturno",tabParametros[[#This Row],[Função]],1)),tabParametros[[#This Row],[Salário Base]]/210*0.2*8*15.5,0))</f>
        <v>395.62731835535232</v>
      </c>
      <c r="M289" s="232">
        <f>IF(ISNUMBER(SEARCH("Motorista II",tabParametros[[#This Row],[Função]],1)),0.3022*tabParametros[[#This Row],[Salário Base]],0)</f>
        <v>0</v>
      </c>
      <c r="N289" s="254">
        <v>0</v>
      </c>
      <c r="O289" s="254">
        <f>IF(ISNUMBER(SEARCH("TECNOLOGIA DA INFORMACAO",tabParametros[[#This Row],[Função]],1)),0.056*tabParametros[[#This Row],[Salário Base]],0)</f>
        <v>0</v>
      </c>
      <c r="P289" s="232">
        <f>IF(tabParametros[[#This Row],[Função]]="Operador de Midia Audiovisual - 150 h",tabParametros[[#This Row],[Salário Base]]/150*50*30%,IF(tabParametros[[#This Row],[Função]]="Supervisor de Manutencao de Veiculos II - 220 h",12%*tabParametros[[#This Row],[Salário Base]],0))</f>
        <v>0</v>
      </c>
      <c r="Q289" s="233">
        <f>VLOOKUP(tabParametros[[#Headers],[INSS]],tabImpostosNacionais[],2,0)</f>
        <v>0.2</v>
      </c>
      <c r="R289" s="233">
        <f>VLOOKUP(tabParametros[[#Headers],[SESI OU SESC]],tabImpostosNacionais[],2,0)</f>
        <v>1.4999999999999999E-2</v>
      </c>
      <c r="S289" s="233">
        <f>VLOOKUP(tabParametros[[#Headers],[SENAI OU SENAC]],tabImpostosNacionais[],2,0)</f>
        <v>0.01</v>
      </c>
      <c r="T289" s="233">
        <f>VLOOKUP(tabParametros[[#Headers],[INCRA]],tabImpostosNacionais[],2,0)</f>
        <v>2E-3</v>
      </c>
      <c r="U289" s="233">
        <f>VLOOKUP(tabParametros[[#Headers],[Salário Educação]],tabImpostosNacionais[],2,0)</f>
        <v>2.5000000000000001E-2</v>
      </c>
      <c r="V289" s="233">
        <f>VLOOKUP(tabParametros[[#Headers],[FGTS]],tabImpostosNacionais[],2,0)</f>
        <v>0.08</v>
      </c>
      <c r="W289" s="233">
        <f>VLOOKUP(tabParametros[[#Headers],[RAT Ajustado]],tabImpostosNacionais[],2,0)</f>
        <v>0.04</v>
      </c>
      <c r="X289" s="233">
        <f>VLOOKUP(tabParametros[[#Headers],[SEBRAE]],tabImpostosNacionais[],2,0)</f>
        <v>6.0000000000000001E-3</v>
      </c>
      <c r="Y289" s="233">
        <f t="shared" si="44"/>
        <v>8.3333333333333329E-2</v>
      </c>
      <c r="Z289" s="233">
        <f t="shared" si="45"/>
        <v>0.1111111111111111</v>
      </c>
      <c r="AA289" s="232">
        <f>VLOOKUP(tabParametros[[#This Row],[Comarca]],tabComarca[],5,0)</f>
        <v>6.4</v>
      </c>
      <c r="AB289" s="232">
        <f>VLOOKUP(tabParametros[[#This Row],[CCT DA CATEGORIA]],tabSindicatos[],6,0)</f>
        <v>29.15</v>
      </c>
      <c r="AC289" s="232">
        <f>VLOOKUP(tabParametros[[#This Row],[CCT DA CATEGORIA]],tabSindicatos[],7,0)</f>
        <v>0</v>
      </c>
      <c r="AD289" s="232" cm="1">
        <f t="array" ref="AD28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89" s="232">
        <f>VLOOKUP(tabParametros[[#This Row],[CCT DA CATEGORIA]],tabSindicatos[],9,0)</f>
        <v>0</v>
      </c>
      <c r="AF289" s="232">
        <f>VLOOKUP(tabParametros[[#This Row],[CCT DA CATEGORIA]],tabSindicatos[],10,0)</f>
        <v>0</v>
      </c>
      <c r="AG289" s="234">
        <f>VLOOKUP(tabParametros[[#Headers],[Seguro de Vida]],tabOutrosCustos[],3,0)</f>
        <v>3.36</v>
      </c>
      <c r="AH289" s="234">
        <f>IF(ISNUMBER(SEARCH("MOTORISTA",tabParametros[[#This Row],[Função]],1)),VLOOKUP("MOTORISTAS",tabDiarias[],2,0),IF(tabParametros[[#This Row],[Comarca]]="Belo Horizonte",VLOOKUP("APOIO",tabDiarias[],2,0),0))</f>
        <v>0</v>
      </c>
      <c r="AI289" s="233">
        <f t="shared" si="46"/>
        <v>7.011766975308642E-3</v>
      </c>
      <c r="AJ289" s="235">
        <f>tabParametros[[#This Row],[FGTS]]*tabParametros[[#This Row],[Aviso Prévio Indenizado (API) e Reflexo do Aviso Prévio Indenizado]]</f>
        <v>5.609413580246914E-4</v>
      </c>
      <c r="AK289" s="235">
        <f>tabParametros[[#This Row],[FGTS]]*tabParametros[[#This Row],[Aviso Prévio Indenizado (API) e Reflexo do Aviso Prévio Indenizado]]*40%</f>
        <v>2.2437654320987658E-4</v>
      </c>
      <c r="AL289" s="233">
        <f t="shared" si="47"/>
        <v>3.5000000000000005E-3</v>
      </c>
      <c r="AM289" s="233">
        <f>tabParametros[[#This Row],[Aviso Prévio Trabalhado - APT]]*SUM(tabParametros[[#This Row],[INSS]:[SEBRAE]])</f>
        <v>1.3230000000000004E-3</v>
      </c>
      <c r="AN289" s="233">
        <f t="shared" si="48"/>
        <v>3.0577777777777773E-2</v>
      </c>
      <c r="AO289" s="233">
        <f t="shared" si="49"/>
        <v>8.3333333333333339E-4</v>
      </c>
      <c r="AP289" s="233">
        <f t="shared" si="50"/>
        <v>8.4444444444444437E-3</v>
      </c>
      <c r="AQ289" s="233">
        <f t="shared" si="51"/>
        <v>2.0277777777777777E-3</v>
      </c>
      <c r="AR289" s="233">
        <f t="shared" si="52"/>
        <v>1.7083333333333333E-4</v>
      </c>
      <c r="AS289" s="233">
        <f t="shared" si="53"/>
        <v>2.0833333333333335E-4</v>
      </c>
      <c r="AT289" s="233">
        <f t="shared" si="54"/>
        <v>1.2962962962962963E-3</v>
      </c>
      <c r="AU289" s="235">
        <f>SUM(tabParametros[[#This Row],[Ausência por Doença]:[Férias, Adicional de Férias e 13º  com empregada em gozo de Licença Maternidade]])*SUM(tabParametros[[#This Row],[INSS]:[SEBRAE]])</f>
        <v>4.5918250000000008E-3</v>
      </c>
      <c r="AV289" s="254">
        <f>IF(tabParametros[[#This Row],[Função]]="Porteiro - 220 h",SUM(tabParametros[[#This Row],[Salário Base]:[Adicional de Acúmulo de função]])/220*20*1.5,IF(ISNUMBER(SEARCH("12 x 36",tabParametros[[#This Row],[Função]],1)),SUM(tabParametros[[#This Row],[Salário Base]:[Adicional de Acúmulo de função]])/210*15.5*1.5,0))</f>
        <v>261.17924340876692</v>
      </c>
      <c r="AW289" s="232">
        <f>IF(tabParametros[[#This Row],[Vagas contratadas]]&gt;0,(SUM(tabParametros[[#This Row],[Salário Base]:[Adicional de Acúmulo de função]])*30%+SUM(tabParametros[[#This Row],[Vale - Alimentação]:[Seguro de Vida]]))/tabParametros[[#This Row],[Vagas contratadas]]*tabParametros[[#This Row],[Vagas suspensas]],0)</f>
        <v>0</v>
      </c>
      <c r="AX289" s="232">
        <f>SUMIF(tabUniformes[Cargo],tabParametros[[#This Row],[Função]],tabUniformes[Valor unit. Mensal])</f>
        <v>56.642978962543395</v>
      </c>
      <c r="AY28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8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8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89" s="232">
        <v>0</v>
      </c>
      <c r="BC289" s="234" t="e">
        <f ca="1">VLOOKUP(tabParametros[[#Headers],[Custos Indiretos]],tabOutrosCustos[],3,0)</f>
        <v>#NAME?</v>
      </c>
      <c r="BD289" s="234" t="e">
        <f ca="1">VLOOKUP(tabParametros[[#Headers],[Lucro]],tabOutrosCustos[],3,0)</f>
        <v>#NAME?</v>
      </c>
      <c r="BE289" s="233">
        <f>VLOOKUP(tabParametros[[#Headers],[COFINS]],tabImpostosNacionais[],2,0)</f>
        <v>7.5999999999999998E-2</v>
      </c>
      <c r="BF289" s="233">
        <f>VLOOKUP(tabParametros[[#Headers],[PIS]],tabImpostosNacionais[],2,0)</f>
        <v>1.6500000000000001E-2</v>
      </c>
      <c r="BG289" s="233">
        <f>VLOOKUP(tabParametros[[#This Row],[Comarca]],tabComarca[],4,0)</f>
        <v>0.02</v>
      </c>
      <c r="BH289" s="236">
        <f>VLOOKUP(tabParametros[[#This Row],[CCT DA CATEGORIA]],tabSindicatos[],11,0)</f>
        <v>45658</v>
      </c>
      <c r="BI289" s="282" t="str">
        <f>VLOOKUP(tabParametros[[#This Row],[CCT DA CATEGORIA]],tabSindicatos[],12,0)</f>
        <v>-</v>
      </c>
      <c r="BJ289" s="285" t="str">
        <f>VLOOKUP(tabParametros[[#This Row],[CCT DA CATEGORIA]],tabSindicatos[],13,0)</f>
        <v>-</v>
      </c>
    </row>
    <row r="290" spans="1:62">
      <c r="A290" s="231" t="s">
        <v>1705</v>
      </c>
      <c r="B290" s="197" t="s">
        <v>1205</v>
      </c>
      <c r="C290" s="197" t="s">
        <v>324</v>
      </c>
      <c r="D290" s="197" t="str">
        <f>VLOOKUP(tabParametros[[#This Row],[Código do Posto]],tabPostos[],4,0)</f>
        <v>Regiao de Juiz de Fora</v>
      </c>
      <c r="E290" s="282" t="str">
        <f>VLOOKUP(tabParametros[[#This Row],[Código do Posto]],tabPostos[],5,0)</f>
        <v>Apoio</v>
      </c>
      <c r="F290" s="282" t="str">
        <f>VLOOKUP(tabParametros[[#This Row],[Código do Posto]],tabPostos[],6,0)</f>
        <v>PGJ</v>
      </c>
      <c r="G290" s="282">
        <f>VLOOKUP(tabParametros[[#This Row],[Código do Posto]],tabPostos[],7,0)</f>
        <v>1</v>
      </c>
      <c r="H290" s="282">
        <f>VLOOKUP(tabParametros[[#This Row],[Código do Posto]],tabPostos[],8,0)</f>
        <v>0</v>
      </c>
      <c r="I290" s="232">
        <f>VLOOKUP(tabParametros[[#This Row],[Código do Posto]],tabPostos[],9,0)</f>
        <v>3397.1306016921476</v>
      </c>
      <c r="J290" s="232">
        <f>IF(ISNUMBER(SEARCH("Eletricista",tabParametros[[#This Row],[Função]],1)),0.3*tabParametros[[#This Row],[Salário Base]],0)</f>
        <v>0</v>
      </c>
      <c r="K29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0" s="232">
        <f>IF(AND(ISNUMBER(SEARCH("Noturno",tabParametros[[#This Row],[Função]],1)),tabParametros[[#This Row],[Comarca]]&lt;&gt;"Juiz de Fora"),tabParametros[[#This Row],[Salário Base]]/210*0.39*7*15.5,IF(ISNUMBER(SEARCH("Noturno",tabParametros[[#This Row],[Função]],1)),tabParametros[[#This Row],[Salário Base]]/210*0.2*8*15.5,0))</f>
        <v>0</v>
      </c>
      <c r="M290" s="232">
        <f>IF(ISNUMBER(SEARCH("Motorista II",tabParametros[[#This Row],[Função]],1)),0.3022*tabParametros[[#This Row],[Salário Base]],0)</f>
        <v>0</v>
      </c>
      <c r="N290" s="254">
        <v>0</v>
      </c>
      <c r="O290" s="254">
        <f>IF(ISNUMBER(SEARCH("TECNOLOGIA DA INFORMACAO",tabParametros[[#This Row],[Função]],1)),0.056*tabParametros[[#This Row],[Salário Base]],0)</f>
        <v>0</v>
      </c>
      <c r="P290" s="232">
        <f>IF(tabParametros[[#This Row],[Função]]="Operador de Midia Audiovisual - 150 h",tabParametros[[#This Row],[Salário Base]]/150*50*30%,IF(tabParametros[[#This Row],[Função]]="Supervisor de Manutencao de Veiculos II - 220 h",12%*tabParametros[[#This Row],[Salário Base]],0))</f>
        <v>0</v>
      </c>
      <c r="Q290" s="233">
        <f>VLOOKUP(tabParametros[[#Headers],[INSS]],tabImpostosNacionais[],2,0)</f>
        <v>0.2</v>
      </c>
      <c r="R290" s="233">
        <f>VLOOKUP(tabParametros[[#Headers],[SESI OU SESC]],tabImpostosNacionais[],2,0)</f>
        <v>1.4999999999999999E-2</v>
      </c>
      <c r="S290" s="233">
        <f>VLOOKUP(tabParametros[[#Headers],[SENAI OU SENAC]],tabImpostosNacionais[],2,0)</f>
        <v>0.01</v>
      </c>
      <c r="T290" s="233">
        <f>VLOOKUP(tabParametros[[#Headers],[INCRA]],tabImpostosNacionais[],2,0)</f>
        <v>2E-3</v>
      </c>
      <c r="U290" s="233">
        <f>VLOOKUP(tabParametros[[#Headers],[Salário Educação]],tabImpostosNacionais[],2,0)</f>
        <v>2.5000000000000001E-2</v>
      </c>
      <c r="V290" s="233">
        <f>VLOOKUP(tabParametros[[#Headers],[FGTS]],tabImpostosNacionais[],2,0)</f>
        <v>0.08</v>
      </c>
      <c r="W290" s="233">
        <f>VLOOKUP(tabParametros[[#Headers],[RAT Ajustado]],tabImpostosNacionais[],2,0)</f>
        <v>0.04</v>
      </c>
      <c r="X290" s="233">
        <f>VLOOKUP(tabParametros[[#Headers],[SEBRAE]],tabImpostosNacionais[],2,0)</f>
        <v>6.0000000000000001E-3</v>
      </c>
      <c r="Y290" s="233">
        <f t="shared" si="44"/>
        <v>8.3333333333333329E-2</v>
      </c>
      <c r="Z290" s="233">
        <f t="shared" si="45"/>
        <v>0.1111111111111111</v>
      </c>
      <c r="AA290" s="232">
        <f>VLOOKUP(tabParametros[[#This Row],[Comarca]],tabComarca[],5,0)</f>
        <v>6.4</v>
      </c>
      <c r="AB290" s="232">
        <f>VLOOKUP(tabParametros[[#This Row],[CCT DA CATEGORIA]],tabSindicatos[],6,0)</f>
        <v>29.15</v>
      </c>
      <c r="AC290" s="232">
        <f>VLOOKUP(tabParametros[[#This Row],[CCT DA CATEGORIA]],tabSindicatos[],7,0)</f>
        <v>0</v>
      </c>
      <c r="AD290" s="232" cm="1">
        <f t="array" ref="AD29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290" s="232">
        <f>VLOOKUP(tabParametros[[#This Row],[CCT DA CATEGORIA]],tabSindicatos[],9,0)</f>
        <v>0</v>
      </c>
      <c r="AF290" s="232">
        <f>VLOOKUP(tabParametros[[#This Row],[CCT DA CATEGORIA]],tabSindicatos[],10,0)</f>
        <v>0</v>
      </c>
      <c r="AG290" s="234">
        <f>VLOOKUP(tabParametros[[#Headers],[Seguro de Vida]],tabOutrosCustos[],3,0)</f>
        <v>3.36</v>
      </c>
      <c r="AH290" s="234">
        <f>IF(ISNUMBER(SEARCH("MOTORISTA",tabParametros[[#This Row],[Função]],1)),VLOOKUP("MOTORISTAS",tabDiarias[],2,0),IF(tabParametros[[#This Row],[Comarca]]="Belo Horizonte",VLOOKUP("APOIO",tabDiarias[],2,0),0))</f>
        <v>0</v>
      </c>
      <c r="AI290" s="233">
        <f t="shared" si="46"/>
        <v>7.011766975308642E-3</v>
      </c>
      <c r="AJ290" s="235">
        <f>tabParametros[[#This Row],[FGTS]]*tabParametros[[#This Row],[Aviso Prévio Indenizado (API) e Reflexo do Aviso Prévio Indenizado]]</f>
        <v>5.609413580246914E-4</v>
      </c>
      <c r="AK290" s="235">
        <f>tabParametros[[#This Row],[FGTS]]*tabParametros[[#This Row],[Aviso Prévio Indenizado (API) e Reflexo do Aviso Prévio Indenizado]]*40%</f>
        <v>2.2437654320987658E-4</v>
      </c>
      <c r="AL290" s="233">
        <f t="shared" si="47"/>
        <v>3.5000000000000005E-3</v>
      </c>
      <c r="AM290" s="233">
        <f>tabParametros[[#This Row],[Aviso Prévio Trabalhado - APT]]*SUM(tabParametros[[#This Row],[INSS]:[SEBRAE]])</f>
        <v>1.3230000000000004E-3</v>
      </c>
      <c r="AN290" s="233">
        <f t="shared" si="48"/>
        <v>3.0577777777777773E-2</v>
      </c>
      <c r="AO290" s="233">
        <f t="shared" si="49"/>
        <v>8.3333333333333339E-4</v>
      </c>
      <c r="AP290" s="233">
        <f t="shared" si="50"/>
        <v>8.4444444444444437E-3</v>
      </c>
      <c r="AQ290" s="233">
        <f t="shared" si="51"/>
        <v>2.0277777777777777E-3</v>
      </c>
      <c r="AR290" s="233">
        <f t="shared" si="52"/>
        <v>1.7083333333333333E-4</v>
      </c>
      <c r="AS290" s="233">
        <f t="shared" si="53"/>
        <v>2.0833333333333335E-4</v>
      </c>
      <c r="AT290" s="233">
        <f t="shared" si="54"/>
        <v>1.2962962962962963E-3</v>
      </c>
      <c r="AU290" s="235">
        <f>SUM(tabParametros[[#This Row],[Ausência por Doença]:[Férias, Adicional de Férias e 13º  com empregada em gozo de Licença Maternidade]])*SUM(tabParametros[[#This Row],[INSS]:[SEBRAE]])</f>
        <v>4.5918250000000008E-3</v>
      </c>
      <c r="AV290" s="254">
        <f>IF(tabParametros[[#This Row],[Função]]="Porteiro - 220 h",SUM(tabParametros[[#This Row],[Salário Base]:[Adicional de Acúmulo de função]])/220*20*1.5,IF(ISNUMBER(SEARCH("12 x 36",tabParametros[[#This Row],[Função]],1)),SUM(tabParametros[[#This Row],[Salário Base]:[Adicional de Acúmulo de função]])/210*15.5*1.5,0))</f>
        <v>0</v>
      </c>
      <c r="AW290" s="232">
        <f>IF(tabParametros[[#This Row],[Vagas contratadas]]&gt;0,(SUM(tabParametros[[#This Row],[Salário Base]:[Adicional de Acúmulo de função]])*30%+SUM(tabParametros[[#This Row],[Vale - Alimentação]:[Seguro de Vida]]))/tabParametros[[#This Row],[Vagas contratadas]]*tabParametros[[#This Row],[Vagas suspensas]],0)</f>
        <v>0</v>
      </c>
      <c r="AX290" s="232">
        <f>SUMIF(tabUniformes[Cargo],tabParametros[[#This Row],[Função]],tabUniformes[Valor unit. Mensal])</f>
        <v>56.642978962543395</v>
      </c>
      <c r="AY29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0" s="232">
        <v>0</v>
      </c>
      <c r="BC290" s="234" t="e">
        <f ca="1">VLOOKUP(tabParametros[[#Headers],[Custos Indiretos]],tabOutrosCustos[],3,0)</f>
        <v>#NAME?</v>
      </c>
      <c r="BD290" s="234" t="e">
        <f ca="1">VLOOKUP(tabParametros[[#Headers],[Lucro]],tabOutrosCustos[],3,0)</f>
        <v>#NAME?</v>
      </c>
      <c r="BE290" s="233">
        <f>VLOOKUP(tabParametros[[#Headers],[COFINS]],tabImpostosNacionais[],2,0)</f>
        <v>7.5999999999999998E-2</v>
      </c>
      <c r="BF290" s="233">
        <f>VLOOKUP(tabParametros[[#Headers],[PIS]],tabImpostosNacionais[],2,0)</f>
        <v>1.6500000000000001E-2</v>
      </c>
      <c r="BG290" s="233">
        <f>VLOOKUP(tabParametros[[#This Row],[Comarca]],tabComarca[],4,0)</f>
        <v>0.02</v>
      </c>
      <c r="BH290" s="236">
        <f>VLOOKUP(tabParametros[[#This Row],[CCT DA CATEGORIA]],tabSindicatos[],11,0)</f>
        <v>45658</v>
      </c>
      <c r="BI290" s="282" t="str">
        <f>VLOOKUP(tabParametros[[#This Row],[CCT DA CATEGORIA]],tabSindicatos[],12,0)</f>
        <v>-</v>
      </c>
      <c r="BJ290" s="285" t="str">
        <f>VLOOKUP(tabParametros[[#This Row],[CCT DA CATEGORIA]],tabSindicatos[],13,0)</f>
        <v>-</v>
      </c>
    </row>
    <row r="291" spans="1:62">
      <c r="A291" s="231" t="s">
        <v>1706</v>
      </c>
      <c r="B291" s="197" t="s">
        <v>1032</v>
      </c>
      <c r="C291" s="197" t="s">
        <v>304</v>
      </c>
      <c r="D291" s="197" t="str">
        <f>VLOOKUP(tabParametros[[#This Row],[Código do Posto]],tabPostos[],4,0)</f>
        <v>Sao Lourenco</v>
      </c>
      <c r="E291" s="282" t="str">
        <f>VLOOKUP(tabParametros[[#This Row],[Código do Posto]],tabPostos[],5,0)</f>
        <v>Apoio</v>
      </c>
      <c r="F291" s="282" t="str">
        <f>VLOOKUP(tabParametros[[#This Row],[Código do Posto]],tabPostos[],6,0)</f>
        <v>PGJ</v>
      </c>
      <c r="G291" s="282">
        <f>VLOOKUP(tabParametros[[#This Row],[Código do Posto]],tabPostos[],7,0)</f>
        <v>2</v>
      </c>
      <c r="H291" s="282">
        <f>VLOOKUP(tabParametros[[#This Row],[Código do Posto]],tabPostos[],8,0)</f>
        <v>0</v>
      </c>
      <c r="I291" s="232">
        <f>VLOOKUP(tabParametros[[#This Row],[Código do Posto]],tabPostos[],9,0)</f>
        <v>2028.3517007464663</v>
      </c>
      <c r="J291" s="232">
        <f>IF(ISNUMBER(SEARCH("Eletricista",tabParametros[[#This Row],[Função]],1)),0.3*tabParametros[[#This Row],[Salário Base]],0)</f>
        <v>0</v>
      </c>
      <c r="K29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1" s="232">
        <f>IF(AND(ISNUMBER(SEARCH("Noturno",tabParametros[[#This Row],[Função]],1)),tabParametros[[#This Row],[Comarca]]&lt;&gt;"Juiz de Fora"),tabParametros[[#This Row],[Salário Base]]/210*0.39*7*15.5,IF(ISNUMBER(SEARCH("Noturno",tabParametros[[#This Row],[Função]],1)),tabParametros[[#This Row],[Salário Base]]/210*0.2*8*15.5,0))</f>
        <v>0</v>
      </c>
      <c r="M291" s="232">
        <f>IF(ISNUMBER(SEARCH("Motorista II",tabParametros[[#This Row],[Função]],1)),0.3022*tabParametros[[#This Row],[Salário Base]],0)</f>
        <v>0</v>
      </c>
      <c r="N291" s="254">
        <v>0</v>
      </c>
      <c r="O291" s="254">
        <f>IF(ISNUMBER(SEARCH("TECNOLOGIA DA INFORMACAO",tabParametros[[#This Row],[Função]],1)),0.056*tabParametros[[#This Row],[Salário Base]],0)</f>
        <v>0</v>
      </c>
      <c r="P291" s="232">
        <f>IF(tabParametros[[#This Row],[Função]]="Operador de Midia Audiovisual - 150 h",tabParametros[[#This Row],[Salário Base]]/150*50*30%,IF(tabParametros[[#This Row],[Função]]="Supervisor de Manutencao de Veiculos II - 220 h",12%*tabParametros[[#This Row],[Salário Base]],0))</f>
        <v>0</v>
      </c>
      <c r="Q291" s="233">
        <f>VLOOKUP(tabParametros[[#Headers],[INSS]],tabImpostosNacionais[],2,0)</f>
        <v>0.2</v>
      </c>
      <c r="R291" s="233">
        <f>VLOOKUP(tabParametros[[#Headers],[SESI OU SESC]],tabImpostosNacionais[],2,0)</f>
        <v>1.4999999999999999E-2</v>
      </c>
      <c r="S291" s="233">
        <f>VLOOKUP(tabParametros[[#Headers],[SENAI OU SENAC]],tabImpostosNacionais[],2,0)</f>
        <v>0.01</v>
      </c>
      <c r="T291" s="233">
        <f>VLOOKUP(tabParametros[[#Headers],[INCRA]],tabImpostosNacionais[],2,0)</f>
        <v>2E-3</v>
      </c>
      <c r="U291" s="233">
        <f>VLOOKUP(tabParametros[[#Headers],[Salário Educação]],tabImpostosNacionais[],2,0)</f>
        <v>2.5000000000000001E-2</v>
      </c>
      <c r="V291" s="233">
        <f>VLOOKUP(tabParametros[[#Headers],[FGTS]],tabImpostosNacionais[],2,0)</f>
        <v>0.08</v>
      </c>
      <c r="W291" s="233">
        <f>VLOOKUP(tabParametros[[#Headers],[RAT Ajustado]],tabImpostosNacionais[],2,0)</f>
        <v>0.04</v>
      </c>
      <c r="X291" s="233">
        <f>VLOOKUP(tabParametros[[#Headers],[SEBRAE]],tabImpostosNacionais[],2,0)</f>
        <v>6.0000000000000001E-3</v>
      </c>
      <c r="Y291" s="233">
        <f t="shared" si="44"/>
        <v>8.3333333333333329E-2</v>
      </c>
      <c r="Z291" s="233">
        <f t="shared" si="45"/>
        <v>0.1111111111111111</v>
      </c>
      <c r="AA291" s="232">
        <f>VLOOKUP(tabParametros[[#This Row],[Comarca]],tabComarca[],5,0)</f>
        <v>6.4</v>
      </c>
      <c r="AB291" s="232">
        <f>VLOOKUP(tabParametros[[#This Row],[CCT DA CATEGORIA]],tabSindicatos[],6,0)</f>
        <v>29.15</v>
      </c>
      <c r="AC291" s="232">
        <f>VLOOKUP(tabParametros[[#This Row],[CCT DA CATEGORIA]],tabSindicatos[],7,0)</f>
        <v>0</v>
      </c>
      <c r="AD291" s="232" cm="1">
        <f t="array" ref="AD29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291" s="232">
        <f>VLOOKUP(tabParametros[[#This Row],[CCT DA CATEGORIA]],tabSindicatos[],9,0)</f>
        <v>0</v>
      </c>
      <c r="AF291" s="232">
        <f>VLOOKUP(tabParametros[[#This Row],[CCT DA CATEGORIA]],tabSindicatos[],10,0)</f>
        <v>0</v>
      </c>
      <c r="AG291" s="234">
        <f>VLOOKUP(tabParametros[[#Headers],[Seguro de Vida]],tabOutrosCustos[],3,0)</f>
        <v>3.36</v>
      </c>
      <c r="AH291" s="234">
        <f>IF(ISNUMBER(SEARCH("MOTORISTA",tabParametros[[#This Row],[Função]],1)),VLOOKUP("MOTORISTAS",tabDiarias[],2,0),IF(tabParametros[[#This Row],[Comarca]]="Belo Horizonte",VLOOKUP("APOIO",tabDiarias[],2,0),0))</f>
        <v>0</v>
      </c>
      <c r="AI291" s="233">
        <f t="shared" si="46"/>
        <v>7.011766975308642E-3</v>
      </c>
      <c r="AJ291" s="235">
        <f>tabParametros[[#This Row],[FGTS]]*tabParametros[[#This Row],[Aviso Prévio Indenizado (API) e Reflexo do Aviso Prévio Indenizado]]</f>
        <v>5.609413580246914E-4</v>
      </c>
      <c r="AK291" s="235">
        <f>tabParametros[[#This Row],[FGTS]]*tabParametros[[#This Row],[Aviso Prévio Indenizado (API) e Reflexo do Aviso Prévio Indenizado]]*40%</f>
        <v>2.2437654320987658E-4</v>
      </c>
      <c r="AL291" s="233">
        <f t="shared" si="47"/>
        <v>3.5000000000000005E-3</v>
      </c>
      <c r="AM291" s="233">
        <f>tabParametros[[#This Row],[Aviso Prévio Trabalhado - APT]]*SUM(tabParametros[[#This Row],[INSS]:[SEBRAE]])</f>
        <v>1.3230000000000004E-3</v>
      </c>
      <c r="AN291" s="233">
        <f t="shared" si="48"/>
        <v>3.0577777777777773E-2</v>
      </c>
      <c r="AO291" s="233">
        <f t="shared" si="49"/>
        <v>8.3333333333333339E-4</v>
      </c>
      <c r="AP291" s="233">
        <f t="shared" si="50"/>
        <v>8.4444444444444437E-3</v>
      </c>
      <c r="AQ291" s="233">
        <f t="shared" si="51"/>
        <v>2.0277777777777777E-3</v>
      </c>
      <c r="AR291" s="233">
        <f t="shared" si="52"/>
        <v>1.7083333333333333E-4</v>
      </c>
      <c r="AS291" s="233">
        <f t="shared" si="53"/>
        <v>2.0833333333333335E-4</v>
      </c>
      <c r="AT291" s="233">
        <f t="shared" si="54"/>
        <v>1.2962962962962963E-3</v>
      </c>
      <c r="AU291" s="235">
        <f>SUM(tabParametros[[#This Row],[Ausência por Doença]:[Férias, Adicional de Férias e 13º  com empregada em gozo de Licença Maternidade]])*SUM(tabParametros[[#This Row],[INSS]:[SEBRAE]])</f>
        <v>4.5918250000000008E-3</v>
      </c>
      <c r="AV291" s="254">
        <f>IF(tabParametros[[#This Row],[Função]]="Porteiro - 220 h",SUM(tabParametros[[#This Row],[Salário Base]:[Adicional de Acúmulo de função]])/220*20*1.5,IF(ISNUMBER(SEARCH("12 x 36",tabParametros[[#This Row],[Função]],1)),SUM(tabParametros[[#This Row],[Salário Base]:[Adicional de Acúmulo de função]])/210*15.5*1.5,0))</f>
        <v>224.56750972550165</v>
      </c>
      <c r="AW291" s="232">
        <f>IF(tabParametros[[#This Row],[Vagas contratadas]]&gt;0,(SUM(tabParametros[[#This Row],[Salário Base]:[Adicional de Acúmulo de função]])*30%+SUM(tabParametros[[#This Row],[Vale - Alimentação]:[Seguro de Vida]]))/tabParametros[[#This Row],[Vagas contratadas]]*tabParametros[[#This Row],[Vagas suspensas]],0)</f>
        <v>0</v>
      </c>
      <c r="AX291" s="232">
        <f>SUMIF(tabUniformes[Cargo],tabParametros[[#This Row],[Função]],tabUniformes[Valor unit. Mensal])</f>
        <v>56.642978962543395</v>
      </c>
      <c r="AY29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1" s="232">
        <v>0</v>
      </c>
      <c r="BC291" s="234" t="e">
        <f ca="1">VLOOKUP(tabParametros[[#Headers],[Custos Indiretos]],tabOutrosCustos[],3,0)</f>
        <v>#NAME?</v>
      </c>
      <c r="BD291" s="234" t="e">
        <f ca="1">VLOOKUP(tabParametros[[#Headers],[Lucro]],tabOutrosCustos[],3,0)</f>
        <v>#NAME?</v>
      </c>
      <c r="BE291" s="233">
        <f>VLOOKUP(tabParametros[[#Headers],[COFINS]],tabImpostosNacionais[],2,0)</f>
        <v>7.5999999999999998E-2</v>
      </c>
      <c r="BF291" s="233">
        <f>VLOOKUP(tabParametros[[#Headers],[PIS]],tabImpostosNacionais[],2,0)</f>
        <v>1.6500000000000001E-2</v>
      </c>
      <c r="BG291" s="233">
        <f>VLOOKUP(tabParametros[[#This Row],[Comarca]],tabComarca[],4,0)</f>
        <v>0.03</v>
      </c>
      <c r="BH291" s="236">
        <f>VLOOKUP(tabParametros[[#This Row],[CCT DA CATEGORIA]],tabSindicatos[],11,0)</f>
        <v>45658</v>
      </c>
      <c r="BI291" s="282" t="str">
        <f>VLOOKUP(tabParametros[[#This Row],[CCT DA CATEGORIA]],tabSindicatos[],12,0)</f>
        <v>-</v>
      </c>
      <c r="BJ291" s="285" t="str">
        <f>VLOOKUP(tabParametros[[#This Row],[CCT DA CATEGORIA]],tabSindicatos[],13,0)</f>
        <v>-</v>
      </c>
    </row>
    <row r="292" spans="1:62">
      <c r="A292" s="231" t="s">
        <v>1707</v>
      </c>
      <c r="B292" s="197" t="s">
        <v>1032</v>
      </c>
      <c r="C292" s="197" t="s">
        <v>309</v>
      </c>
      <c r="D292" s="197" t="str">
        <f>VLOOKUP(tabParametros[[#This Row],[Código do Posto]],tabPostos[],4,0)</f>
        <v>Sao Lourenco</v>
      </c>
      <c r="E292" s="282" t="str">
        <f>VLOOKUP(tabParametros[[#This Row],[Código do Posto]],tabPostos[],5,0)</f>
        <v>Apoio</v>
      </c>
      <c r="F292" s="282" t="str">
        <f>VLOOKUP(tabParametros[[#This Row],[Código do Posto]],tabPostos[],6,0)</f>
        <v>PGJ</v>
      </c>
      <c r="G292" s="282">
        <f>VLOOKUP(tabParametros[[#This Row],[Código do Posto]],tabPostos[],7,0)</f>
        <v>2</v>
      </c>
      <c r="H292" s="282">
        <f>VLOOKUP(tabParametros[[#This Row],[Código do Posto]],tabPostos[],8,0)</f>
        <v>0</v>
      </c>
      <c r="I292" s="232">
        <f>VLOOKUP(tabParametros[[#This Row],[Código do Posto]],tabPostos[],9,0)</f>
        <v>2028.3517007464663</v>
      </c>
      <c r="J292" s="232">
        <f>IF(ISNUMBER(SEARCH("Eletricista",tabParametros[[#This Row],[Função]],1)),0.3*tabParametros[[#This Row],[Salário Base]],0)</f>
        <v>0</v>
      </c>
      <c r="K29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2" s="232">
        <f>IF(AND(ISNUMBER(SEARCH("Noturno",tabParametros[[#This Row],[Função]],1)),tabParametros[[#This Row],[Comarca]]&lt;&gt;"Juiz de Fora"),tabParametros[[#This Row],[Salário Base]]/210*0.39*7*15.5,IF(ISNUMBER(SEARCH("Noturno",tabParametros[[#This Row],[Função]],1)),tabParametros[[#This Row],[Salário Base]]/210*0.2*8*15.5,0))</f>
        <v>408.71286770041303</v>
      </c>
      <c r="M292" s="232">
        <f>IF(ISNUMBER(SEARCH("Motorista II",tabParametros[[#This Row],[Função]],1)),0.3022*tabParametros[[#This Row],[Salário Base]],0)</f>
        <v>0</v>
      </c>
      <c r="N292" s="254">
        <v>0</v>
      </c>
      <c r="O292" s="254">
        <f>IF(ISNUMBER(SEARCH("TECNOLOGIA DA INFORMACAO",tabParametros[[#This Row],[Função]],1)),0.056*tabParametros[[#This Row],[Salário Base]],0)</f>
        <v>0</v>
      </c>
      <c r="P292" s="232">
        <f>IF(tabParametros[[#This Row],[Função]]="Operador de Midia Audiovisual - 150 h",tabParametros[[#This Row],[Salário Base]]/150*50*30%,IF(tabParametros[[#This Row],[Função]]="Supervisor de Manutencao de Veiculos II - 220 h",12%*tabParametros[[#This Row],[Salário Base]],0))</f>
        <v>0</v>
      </c>
      <c r="Q292" s="233">
        <f>VLOOKUP(tabParametros[[#Headers],[INSS]],tabImpostosNacionais[],2,0)</f>
        <v>0.2</v>
      </c>
      <c r="R292" s="233">
        <f>VLOOKUP(tabParametros[[#Headers],[SESI OU SESC]],tabImpostosNacionais[],2,0)</f>
        <v>1.4999999999999999E-2</v>
      </c>
      <c r="S292" s="233">
        <f>VLOOKUP(tabParametros[[#Headers],[SENAI OU SENAC]],tabImpostosNacionais[],2,0)</f>
        <v>0.01</v>
      </c>
      <c r="T292" s="233">
        <f>VLOOKUP(tabParametros[[#Headers],[INCRA]],tabImpostosNacionais[],2,0)</f>
        <v>2E-3</v>
      </c>
      <c r="U292" s="233">
        <f>VLOOKUP(tabParametros[[#Headers],[Salário Educação]],tabImpostosNacionais[],2,0)</f>
        <v>2.5000000000000001E-2</v>
      </c>
      <c r="V292" s="233">
        <f>VLOOKUP(tabParametros[[#Headers],[FGTS]],tabImpostosNacionais[],2,0)</f>
        <v>0.08</v>
      </c>
      <c r="W292" s="233">
        <f>VLOOKUP(tabParametros[[#Headers],[RAT Ajustado]],tabImpostosNacionais[],2,0)</f>
        <v>0.04</v>
      </c>
      <c r="X292" s="233">
        <f>VLOOKUP(tabParametros[[#Headers],[SEBRAE]],tabImpostosNacionais[],2,0)</f>
        <v>6.0000000000000001E-3</v>
      </c>
      <c r="Y292" s="233">
        <f t="shared" si="44"/>
        <v>8.3333333333333329E-2</v>
      </c>
      <c r="Z292" s="233">
        <f t="shared" si="45"/>
        <v>0.1111111111111111</v>
      </c>
      <c r="AA292" s="232">
        <f>VLOOKUP(tabParametros[[#This Row],[Comarca]],tabComarca[],5,0)</f>
        <v>6.4</v>
      </c>
      <c r="AB292" s="232">
        <f>VLOOKUP(tabParametros[[#This Row],[CCT DA CATEGORIA]],tabSindicatos[],6,0)</f>
        <v>29.15</v>
      </c>
      <c r="AC292" s="232">
        <f>VLOOKUP(tabParametros[[#This Row],[CCT DA CATEGORIA]],tabSindicatos[],7,0)</f>
        <v>0</v>
      </c>
      <c r="AD292" s="232" cm="1">
        <f t="array" ref="AD29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292" s="232">
        <f>VLOOKUP(tabParametros[[#This Row],[CCT DA CATEGORIA]],tabSindicatos[],9,0)</f>
        <v>0</v>
      </c>
      <c r="AF292" s="232">
        <f>VLOOKUP(tabParametros[[#This Row],[CCT DA CATEGORIA]],tabSindicatos[],10,0)</f>
        <v>0</v>
      </c>
      <c r="AG292" s="234">
        <f>VLOOKUP(tabParametros[[#Headers],[Seguro de Vida]],tabOutrosCustos[],3,0)</f>
        <v>3.36</v>
      </c>
      <c r="AH292" s="234">
        <f>IF(ISNUMBER(SEARCH("MOTORISTA",tabParametros[[#This Row],[Função]],1)),VLOOKUP("MOTORISTAS",tabDiarias[],2,0),IF(tabParametros[[#This Row],[Comarca]]="Belo Horizonte",VLOOKUP("APOIO",tabDiarias[],2,0),0))</f>
        <v>0</v>
      </c>
      <c r="AI292" s="233">
        <f t="shared" si="46"/>
        <v>7.011766975308642E-3</v>
      </c>
      <c r="AJ292" s="235">
        <f>tabParametros[[#This Row],[FGTS]]*tabParametros[[#This Row],[Aviso Prévio Indenizado (API) e Reflexo do Aviso Prévio Indenizado]]</f>
        <v>5.609413580246914E-4</v>
      </c>
      <c r="AK292" s="235">
        <f>tabParametros[[#This Row],[FGTS]]*tabParametros[[#This Row],[Aviso Prévio Indenizado (API) e Reflexo do Aviso Prévio Indenizado]]*40%</f>
        <v>2.2437654320987658E-4</v>
      </c>
      <c r="AL292" s="233">
        <f t="shared" si="47"/>
        <v>3.5000000000000005E-3</v>
      </c>
      <c r="AM292" s="233">
        <f>tabParametros[[#This Row],[Aviso Prévio Trabalhado - APT]]*SUM(tabParametros[[#This Row],[INSS]:[SEBRAE]])</f>
        <v>1.3230000000000004E-3</v>
      </c>
      <c r="AN292" s="233">
        <f t="shared" si="48"/>
        <v>3.0577777777777773E-2</v>
      </c>
      <c r="AO292" s="233">
        <f t="shared" si="49"/>
        <v>8.3333333333333339E-4</v>
      </c>
      <c r="AP292" s="233">
        <f t="shared" si="50"/>
        <v>8.4444444444444437E-3</v>
      </c>
      <c r="AQ292" s="233">
        <f t="shared" si="51"/>
        <v>2.0277777777777777E-3</v>
      </c>
      <c r="AR292" s="233">
        <f t="shared" si="52"/>
        <v>1.7083333333333333E-4</v>
      </c>
      <c r="AS292" s="233">
        <f t="shared" si="53"/>
        <v>2.0833333333333335E-4</v>
      </c>
      <c r="AT292" s="233">
        <f t="shared" si="54"/>
        <v>1.2962962962962963E-3</v>
      </c>
      <c r="AU292" s="235">
        <f>SUM(tabParametros[[#This Row],[Ausência por Doença]:[Férias, Adicional de Férias e 13º  com empregada em gozo de Licença Maternidade]])*SUM(tabParametros[[#This Row],[INSS]:[SEBRAE]])</f>
        <v>4.5918250000000008E-3</v>
      </c>
      <c r="AV292" s="254">
        <f>IF(tabParametros[[#This Row],[Função]]="Porteiro - 220 h",SUM(tabParametros[[#This Row],[Salário Base]:[Adicional de Acúmulo de função]])/220*20*1.5,IF(ISNUMBER(SEARCH("12 x 36",tabParametros[[#This Row],[Função]],1)),SUM(tabParametros[[#This Row],[Salário Base]:[Adicional de Acúmulo de função]])/210*15.5*1.5,0))</f>
        <v>269.81786293519025</v>
      </c>
      <c r="AW292" s="232">
        <f>IF(tabParametros[[#This Row],[Vagas contratadas]]&gt;0,(SUM(tabParametros[[#This Row],[Salário Base]:[Adicional de Acúmulo de função]])*30%+SUM(tabParametros[[#This Row],[Vale - Alimentação]:[Seguro de Vida]]))/tabParametros[[#This Row],[Vagas contratadas]]*tabParametros[[#This Row],[Vagas suspensas]],0)</f>
        <v>0</v>
      </c>
      <c r="AX292" s="232">
        <f>SUMIF(tabUniformes[Cargo],tabParametros[[#This Row],[Função]],tabUniformes[Valor unit. Mensal])</f>
        <v>56.642978962543395</v>
      </c>
      <c r="AY29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2" s="232">
        <v>0</v>
      </c>
      <c r="BC292" s="234" t="e">
        <f ca="1">VLOOKUP(tabParametros[[#Headers],[Custos Indiretos]],tabOutrosCustos[],3,0)</f>
        <v>#NAME?</v>
      </c>
      <c r="BD292" s="234" t="e">
        <f ca="1">VLOOKUP(tabParametros[[#Headers],[Lucro]],tabOutrosCustos[],3,0)</f>
        <v>#NAME?</v>
      </c>
      <c r="BE292" s="233">
        <f>VLOOKUP(tabParametros[[#Headers],[COFINS]],tabImpostosNacionais[],2,0)</f>
        <v>7.5999999999999998E-2</v>
      </c>
      <c r="BF292" s="233">
        <f>VLOOKUP(tabParametros[[#Headers],[PIS]],tabImpostosNacionais[],2,0)</f>
        <v>1.6500000000000001E-2</v>
      </c>
      <c r="BG292" s="233">
        <f>VLOOKUP(tabParametros[[#This Row],[Comarca]],tabComarca[],4,0)</f>
        <v>0.03</v>
      </c>
      <c r="BH292" s="236">
        <f>VLOOKUP(tabParametros[[#This Row],[CCT DA CATEGORIA]],tabSindicatos[],11,0)</f>
        <v>45658</v>
      </c>
      <c r="BI292" s="282" t="str">
        <f>VLOOKUP(tabParametros[[#This Row],[CCT DA CATEGORIA]],tabSindicatos[],12,0)</f>
        <v>-</v>
      </c>
      <c r="BJ292" s="285" t="str">
        <f>VLOOKUP(tabParametros[[#This Row],[CCT DA CATEGORIA]],tabSindicatos[],13,0)</f>
        <v>-</v>
      </c>
    </row>
    <row r="293" spans="1:62">
      <c r="A293" s="231" t="s">
        <v>1708</v>
      </c>
      <c r="B293" s="197" t="s">
        <v>1206</v>
      </c>
      <c r="C293" s="197" t="s">
        <v>314</v>
      </c>
      <c r="D293" s="197" t="str">
        <f>VLOOKUP(tabParametros[[#This Row],[Código do Posto]],tabPostos[],4,0)</f>
        <v>Sethac Norte de Minas</v>
      </c>
      <c r="E293" s="282" t="str">
        <f>VLOOKUP(tabParametros[[#This Row],[Código do Posto]],tabPostos[],5,0)</f>
        <v>Apoio</v>
      </c>
      <c r="F293" s="282" t="str">
        <f>VLOOKUP(tabParametros[[#This Row],[Código do Posto]],tabPostos[],6,0)</f>
        <v>PGJ</v>
      </c>
      <c r="G293" s="282">
        <f>VLOOKUP(tabParametros[[#This Row],[Código do Posto]],tabPostos[],7,0)</f>
        <v>1</v>
      </c>
      <c r="H293" s="282">
        <f>VLOOKUP(tabParametros[[#This Row],[Código do Posto]],tabPostos[],8,0)</f>
        <v>0</v>
      </c>
      <c r="I293" s="232">
        <f>VLOOKUP(tabParametros[[#This Row],[Código do Posto]],tabPostos[],9,0)</f>
        <v>1963.4110092077037</v>
      </c>
      <c r="J293" s="232">
        <f>IF(ISNUMBER(SEARCH("Eletricista",tabParametros[[#This Row],[Função]],1)),0.3*tabParametros[[#This Row],[Salário Base]],0)</f>
        <v>0</v>
      </c>
      <c r="K29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3" s="232">
        <f>IF(AND(ISNUMBER(SEARCH("Noturno",tabParametros[[#This Row],[Função]],1)),tabParametros[[#This Row],[Comarca]]&lt;&gt;"Juiz de Fora"),tabParametros[[#This Row],[Salário Base]]/210*0.39*7*15.5,IF(ISNUMBER(SEARCH("Noturno",tabParametros[[#This Row],[Função]],1)),tabParametros[[#This Row],[Salário Base]]/210*0.2*8*15.5,0))</f>
        <v>0</v>
      </c>
      <c r="M293" s="232">
        <f>IF(ISNUMBER(SEARCH("Motorista II",tabParametros[[#This Row],[Função]],1)),0.3022*tabParametros[[#This Row],[Salário Base]],0)</f>
        <v>0</v>
      </c>
      <c r="N293" s="254">
        <v>0</v>
      </c>
      <c r="O293" s="254">
        <f>IF(ISNUMBER(SEARCH("TECNOLOGIA DA INFORMACAO",tabParametros[[#This Row],[Função]],1)),0.056*tabParametros[[#This Row],[Salário Base]],0)</f>
        <v>0</v>
      </c>
      <c r="P293" s="232">
        <f>IF(tabParametros[[#This Row],[Função]]="Operador de Midia Audiovisual - 150 h",tabParametros[[#This Row],[Salário Base]]/150*50*30%,IF(tabParametros[[#This Row],[Função]]="Supervisor de Manutencao de Veiculos II - 220 h",12%*tabParametros[[#This Row],[Salário Base]],0))</f>
        <v>0</v>
      </c>
      <c r="Q293" s="233">
        <f>VLOOKUP(tabParametros[[#Headers],[INSS]],tabImpostosNacionais[],2,0)</f>
        <v>0.2</v>
      </c>
      <c r="R293" s="233">
        <f>VLOOKUP(tabParametros[[#Headers],[SESI OU SESC]],tabImpostosNacionais[],2,0)</f>
        <v>1.4999999999999999E-2</v>
      </c>
      <c r="S293" s="233">
        <f>VLOOKUP(tabParametros[[#Headers],[SENAI OU SENAC]],tabImpostosNacionais[],2,0)</f>
        <v>0.01</v>
      </c>
      <c r="T293" s="233">
        <f>VLOOKUP(tabParametros[[#Headers],[INCRA]],tabImpostosNacionais[],2,0)</f>
        <v>2E-3</v>
      </c>
      <c r="U293" s="233">
        <f>VLOOKUP(tabParametros[[#Headers],[Salário Educação]],tabImpostosNacionais[],2,0)</f>
        <v>2.5000000000000001E-2</v>
      </c>
      <c r="V293" s="233">
        <f>VLOOKUP(tabParametros[[#Headers],[FGTS]],tabImpostosNacionais[],2,0)</f>
        <v>0.08</v>
      </c>
      <c r="W293" s="233">
        <f>VLOOKUP(tabParametros[[#Headers],[RAT Ajustado]],tabImpostosNacionais[],2,0)</f>
        <v>0.04</v>
      </c>
      <c r="X293" s="233">
        <f>VLOOKUP(tabParametros[[#Headers],[SEBRAE]],tabImpostosNacionais[],2,0)</f>
        <v>6.0000000000000001E-3</v>
      </c>
      <c r="Y293" s="233">
        <f t="shared" si="44"/>
        <v>8.3333333333333329E-2</v>
      </c>
      <c r="Z293" s="233">
        <f t="shared" si="45"/>
        <v>0.1111111111111111</v>
      </c>
      <c r="AA293" s="232">
        <f>VLOOKUP(tabParametros[[#This Row],[Comarca]],tabComarca[],5,0)</f>
        <v>6.4</v>
      </c>
      <c r="AB293" s="232">
        <f>VLOOKUP(tabParametros[[#This Row],[CCT DA CATEGORIA]],tabSindicatos[],6,0)</f>
        <v>29.15</v>
      </c>
      <c r="AC293" s="232">
        <f>VLOOKUP(tabParametros[[#This Row],[CCT DA CATEGORIA]],tabSindicatos[],7,0)</f>
        <v>0</v>
      </c>
      <c r="AD293" s="232" cm="1">
        <f t="array" ref="AD29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93" s="232">
        <f>VLOOKUP(tabParametros[[#This Row],[CCT DA CATEGORIA]],tabSindicatos[],9,0)</f>
        <v>0</v>
      </c>
      <c r="AF293" s="232">
        <f>VLOOKUP(tabParametros[[#This Row],[CCT DA CATEGORIA]],tabSindicatos[],10,0)</f>
        <v>0</v>
      </c>
      <c r="AG293" s="234">
        <f>VLOOKUP(tabParametros[[#Headers],[Seguro de Vida]],tabOutrosCustos[],3,0)</f>
        <v>3.36</v>
      </c>
      <c r="AH293" s="234">
        <f>IF(ISNUMBER(SEARCH("MOTORISTA",tabParametros[[#This Row],[Função]],1)),VLOOKUP("MOTORISTAS",tabDiarias[],2,0),IF(tabParametros[[#This Row],[Comarca]]="Belo Horizonte",VLOOKUP("APOIO",tabDiarias[],2,0),0))</f>
        <v>0</v>
      </c>
      <c r="AI293" s="233">
        <f t="shared" si="46"/>
        <v>7.011766975308642E-3</v>
      </c>
      <c r="AJ293" s="235">
        <f>tabParametros[[#This Row],[FGTS]]*tabParametros[[#This Row],[Aviso Prévio Indenizado (API) e Reflexo do Aviso Prévio Indenizado]]</f>
        <v>5.609413580246914E-4</v>
      </c>
      <c r="AK293" s="235">
        <f>tabParametros[[#This Row],[FGTS]]*tabParametros[[#This Row],[Aviso Prévio Indenizado (API) e Reflexo do Aviso Prévio Indenizado]]*40%</f>
        <v>2.2437654320987658E-4</v>
      </c>
      <c r="AL293" s="233">
        <f t="shared" si="47"/>
        <v>3.5000000000000005E-3</v>
      </c>
      <c r="AM293" s="233">
        <f>tabParametros[[#This Row],[Aviso Prévio Trabalhado - APT]]*SUM(tabParametros[[#This Row],[INSS]:[SEBRAE]])</f>
        <v>1.3230000000000004E-3</v>
      </c>
      <c r="AN293" s="233">
        <f t="shared" si="48"/>
        <v>3.0577777777777773E-2</v>
      </c>
      <c r="AO293" s="233">
        <f t="shared" si="49"/>
        <v>8.3333333333333339E-4</v>
      </c>
      <c r="AP293" s="233">
        <f t="shared" si="50"/>
        <v>8.4444444444444437E-3</v>
      </c>
      <c r="AQ293" s="233">
        <f t="shared" si="51"/>
        <v>2.0277777777777777E-3</v>
      </c>
      <c r="AR293" s="233">
        <f t="shared" si="52"/>
        <v>1.7083333333333333E-4</v>
      </c>
      <c r="AS293" s="233">
        <f t="shared" si="53"/>
        <v>2.0833333333333335E-4</v>
      </c>
      <c r="AT293" s="233">
        <f t="shared" si="54"/>
        <v>1.2962962962962963E-3</v>
      </c>
      <c r="AU293" s="235">
        <f>SUM(tabParametros[[#This Row],[Ausência por Doença]:[Férias, Adicional de Férias e 13º  com empregada em gozo de Licença Maternidade]])*SUM(tabParametros[[#This Row],[INSS]:[SEBRAE]])</f>
        <v>4.5918250000000008E-3</v>
      </c>
      <c r="AV293"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93" s="232">
        <f>IF(tabParametros[[#This Row],[Vagas contratadas]]&gt;0,(SUM(tabParametros[[#This Row],[Salário Base]:[Adicional de Acúmulo de função]])*30%+SUM(tabParametros[[#This Row],[Vale - Alimentação]:[Seguro de Vida]]))/tabParametros[[#This Row],[Vagas contratadas]]*tabParametros[[#This Row],[Vagas suspensas]],0)</f>
        <v>0</v>
      </c>
      <c r="AX293" s="232">
        <f>SUMIF(tabUniformes[Cargo],tabParametros[[#This Row],[Função]],tabUniformes[Valor unit. Mensal])</f>
        <v>56.642978962543395</v>
      </c>
      <c r="AY29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3" s="232">
        <v>0</v>
      </c>
      <c r="BC293" s="234" t="e">
        <f ca="1">VLOOKUP(tabParametros[[#Headers],[Custos Indiretos]],tabOutrosCustos[],3,0)</f>
        <v>#NAME?</v>
      </c>
      <c r="BD293" s="234" t="e">
        <f ca="1">VLOOKUP(tabParametros[[#Headers],[Lucro]],tabOutrosCustos[],3,0)</f>
        <v>#NAME?</v>
      </c>
      <c r="BE293" s="233">
        <f>VLOOKUP(tabParametros[[#Headers],[COFINS]],tabImpostosNacionais[],2,0)</f>
        <v>7.5999999999999998E-2</v>
      </c>
      <c r="BF293" s="233">
        <f>VLOOKUP(tabParametros[[#Headers],[PIS]],tabImpostosNacionais[],2,0)</f>
        <v>1.6500000000000001E-2</v>
      </c>
      <c r="BG293" s="233">
        <f>VLOOKUP(tabParametros[[#This Row],[Comarca]],tabComarca[],4,0)</f>
        <v>0.03</v>
      </c>
      <c r="BH293" s="236">
        <f>VLOOKUP(tabParametros[[#This Row],[CCT DA CATEGORIA]],tabSindicatos[],11,0)</f>
        <v>45658</v>
      </c>
      <c r="BI293" s="282" t="str">
        <f>VLOOKUP(tabParametros[[#This Row],[CCT DA CATEGORIA]],tabSindicatos[],12,0)</f>
        <v>-</v>
      </c>
      <c r="BJ293" s="285" t="str">
        <f>VLOOKUP(tabParametros[[#This Row],[CCT DA CATEGORIA]],tabSindicatos[],13,0)</f>
        <v>-</v>
      </c>
    </row>
    <row r="294" spans="1:62">
      <c r="A294" s="231" t="s">
        <v>1509</v>
      </c>
      <c r="B294" s="197" t="s">
        <v>1207</v>
      </c>
      <c r="C294" s="197" t="s">
        <v>200</v>
      </c>
      <c r="D294" s="197" t="str">
        <f>VLOOKUP(tabParametros[[#This Row],[Código do Posto]],tabPostos[],4,0)</f>
        <v>Regiao de Sao Lourenco</v>
      </c>
      <c r="E294" s="282" t="str">
        <f>VLOOKUP(tabParametros[[#This Row],[Código do Posto]],tabPostos[],5,0)</f>
        <v>Apoio</v>
      </c>
      <c r="F294" s="282" t="str">
        <f>VLOOKUP(tabParametros[[#This Row],[Código do Posto]],tabPostos[],6,0)</f>
        <v>PGJ</v>
      </c>
      <c r="G294" s="282">
        <f>VLOOKUP(tabParametros[[#This Row],[Código do Posto]],tabPostos[],7,0)</f>
        <v>1</v>
      </c>
      <c r="H294" s="282">
        <f>VLOOKUP(tabParametros[[#This Row],[Código do Posto]],tabPostos[],8,0)</f>
        <v>0</v>
      </c>
      <c r="I294" s="232">
        <f>VLOOKUP(tabParametros[[#This Row],[Código do Posto]],tabPostos[],9,0)</f>
        <v>1596.273808921236</v>
      </c>
      <c r="J294" s="232">
        <f>IF(ISNUMBER(SEARCH("Eletricista",tabParametros[[#This Row],[Função]],1)),0.3*tabParametros[[#This Row],[Salário Base]],0)</f>
        <v>0</v>
      </c>
      <c r="K29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4" s="232">
        <f>IF(AND(ISNUMBER(SEARCH("Noturno",tabParametros[[#This Row],[Função]],1)),tabParametros[[#This Row],[Comarca]]&lt;&gt;"Juiz de Fora"),tabParametros[[#This Row],[Salário Base]]/210*0.39*7*15.5,IF(ISNUMBER(SEARCH("Noturno",tabParametros[[#This Row],[Função]],1)),tabParametros[[#This Row],[Salário Base]]/210*0.2*8*15.5,0))</f>
        <v>0</v>
      </c>
      <c r="M294" s="232">
        <f>IF(ISNUMBER(SEARCH("Motorista II",tabParametros[[#This Row],[Função]],1)),0.3022*tabParametros[[#This Row],[Salário Base]],0)</f>
        <v>0</v>
      </c>
      <c r="N294" s="254">
        <v>0</v>
      </c>
      <c r="O294" s="254">
        <f>IF(ISNUMBER(SEARCH("TECNOLOGIA DA INFORMACAO",tabParametros[[#This Row],[Função]],1)),0.056*tabParametros[[#This Row],[Salário Base]],0)</f>
        <v>0</v>
      </c>
      <c r="P294" s="232">
        <f>IF(tabParametros[[#This Row],[Função]]="Operador de Midia Audiovisual - 150 h",tabParametros[[#This Row],[Salário Base]]/150*50*30%,IF(tabParametros[[#This Row],[Função]]="Supervisor de Manutencao de Veiculos II - 220 h",12%*tabParametros[[#This Row],[Salário Base]],0))</f>
        <v>0</v>
      </c>
      <c r="Q294" s="233">
        <f>VLOOKUP(tabParametros[[#Headers],[INSS]],tabImpostosNacionais[],2,0)</f>
        <v>0.2</v>
      </c>
      <c r="R294" s="233">
        <f>VLOOKUP(tabParametros[[#Headers],[SESI OU SESC]],tabImpostosNacionais[],2,0)</f>
        <v>1.4999999999999999E-2</v>
      </c>
      <c r="S294" s="233">
        <f>VLOOKUP(tabParametros[[#Headers],[SENAI OU SENAC]],tabImpostosNacionais[],2,0)</f>
        <v>0.01</v>
      </c>
      <c r="T294" s="233">
        <f>VLOOKUP(tabParametros[[#Headers],[INCRA]],tabImpostosNacionais[],2,0)</f>
        <v>2E-3</v>
      </c>
      <c r="U294" s="233">
        <f>VLOOKUP(tabParametros[[#Headers],[Salário Educação]],tabImpostosNacionais[],2,0)</f>
        <v>2.5000000000000001E-2</v>
      </c>
      <c r="V294" s="233">
        <f>VLOOKUP(tabParametros[[#Headers],[FGTS]],tabImpostosNacionais[],2,0)</f>
        <v>0.08</v>
      </c>
      <c r="W294" s="233">
        <f>VLOOKUP(tabParametros[[#Headers],[RAT Ajustado]],tabImpostosNacionais[],2,0)</f>
        <v>0.04</v>
      </c>
      <c r="X294" s="233">
        <f>VLOOKUP(tabParametros[[#Headers],[SEBRAE]],tabImpostosNacionais[],2,0)</f>
        <v>6.0000000000000001E-3</v>
      </c>
      <c r="Y294" s="233">
        <f t="shared" si="44"/>
        <v>8.3333333333333329E-2</v>
      </c>
      <c r="Z294" s="233">
        <f t="shared" si="45"/>
        <v>0.1111111111111111</v>
      </c>
      <c r="AA294" s="232">
        <f>VLOOKUP(tabParametros[[#This Row],[Comarca]],tabComarca[],5,0)</f>
        <v>6.4</v>
      </c>
      <c r="AB294" s="232">
        <f>VLOOKUP(tabParametros[[#This Row],[CCT DA CATEGORIA]],tabSindicatos[],6,0)</f>
        <v>29.15</v>
      </c>
      <c r="AC294" s="232">
        <f>VLOOKUP(tabParametros[[#This Row],[CCT DA CATEGORIA]],tabSindicatos[],7,0)</f>
        <v>0</v>
      </c>
      <c r="AD294" s="232" cm="1">
        <f t="array" ref="AD29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94" s="232">
        <f>VLOOKUP(tabParametros[[#This Row],[CCT DA CATEGORIA]],tabSindicatos[],9,0)</f>
        <v>0</v>
      </c>
      <c r="AF294" s="232">
        <f>VLOOKUP(tabParametros[[#This Row],[CCT DA CATEGORIA]],tabSindicatos[],10,0)</f>
        <v>0</v>
      </c>
      <c r="AG294" s="234">
        <f>VLOOKUP(tabParametros[[#Headers],[Seguro de Vida]],tabOutrosCustos[],3,0)</f>
        <v>3.36</v>
      </c>
      <c r="AH294" s="234">
        <f>IF(ISNUMBER(SEARCH("MOTORISTA",tabParametros[[#This Row],[Função]],1)),VLOOKUP("MOTORISTAS",tabDiarias[],2,0),IF(tabParametros[[#This Row],[Comarca]]="Belo Horizonte",VLOOKUP("APOIO",tabDiarias[],2,0),0))</f>
        <v>0</v>
      </c>
      <c r="AI294" s="233">
        <f t="shared" si="46"/>
        <v>7.011766975308642E-3</v>
      </c>
      <c r="AJ294" s="235">
        <f>tabParametros[[#This Row],[FGTS]]*tabParametros[[#This Row],[Aviso Prévio Indenizado (API) e Reflexo do Aviso Prévio Indenizado]]</f>
        <v>5.609413580246914E-4</v>
      </c>
      <c r="AK294" s="235">
        <f>tabParametros[[#This Row],[FGTS]]*tabParametros[[#This Row],[Aviso Prévio Indenizado (API) e Reflexo do Aviso Prévio Indenizado]]*40%</f>
        <v>2.2437654320987658E-4</v>
      </c>
      <c r="AL294" s="233">
        <f t="shared" si="47"/>
        <v>3.5000000000000005E-3</v>
      </c>
      <c r="AM294" s="233">
        <f>tabParametros[[#This Row],[Aviso Prévio Trabalhado - APT]]*SUM(tabParametros[[#This Row],[INSS]:[SEBRAE]])</f>
        <v>1.3230000000000004E-3</v>
      </c>
      <c r="AN294" s="233">
        <f t="shared" si="48"/>
        <v>3.0577777777777773E-2</v>
      </c>
      <c r="AO294" s="233">
        <f t="shared" si="49"/>
        <v>8.3333333333333339E-4</v>
      </c>
      <c r="AP294" s="233">
        <f t="shared" si="50"/>
        <v>8.4444444444444437E-3</v>
      </c>
      <c r="AQ294" s="233">
        <f t="shared" si="51"/>
        <v>2.0277777777777777E-3</v>
      </c>
      <c r="AR294" s="233">
        <f t="shared" si="52"/>
        <v>1.7083333333333333E-4</v>
      </c>
      <c r="AS294" s="233">
        <f t="shared" si="53"/>
        <v>2.0833333333333335E-4</v>
      </c>
      <c r="AT294" s="233">
        <f t="shared" si="54"/>
        <v>1.2962962962962963E-3</v>
      </c>
      <c r="AU294" s="235">
        <f>SUM(tabParametros[[#This Row],[Ausência por Doença]:[Férias, Adicional de Férias e 13º  com empregada em gozo de Licença Maternidade]])*SUM(tabParametros[[#This Row],[INSS]:[SEBRAE]])</f>
        <v>4.5918250000000008E-3</v>
      </c>
      <c r="AV294" s="254">
        <f>IF(tabParametros[[#This Row],[Função]]="Porteiro - 220 h",SUM(tabParametros[[#This Row],[Salário Base]:[Adicional de Acúmulo de função]])/220*20*1.5,IF(ISNUMBER(SEARCH("12 x 36",tabParametros[[#This Row],[Função]],1)),SUM(tabParametros[[#This Row],[Salário Base]:[Adicional de Acúmulo de função]])/210*15.5*1.5,0))</f>
        <v>0</v>
      </c>
      <c r="AW294" s="232">
        <f>IF(tabParametros[[#This Row],[Vagas contratadas]]&gt;0,(SUM(tabParametros[[#This Row],[Salário Base]:[Adicional de Acúmulo de função]])*30%+SUM(tabParametros[[#This Row],[Vale - Alimentação]:[Seguro de Vida]]))/tabParametros[[#This Row],[Vagas contratadas]]*tabParametros[[#This Row],[Vagas suspensas]],0)</f>
        <v>0</v>
      </c>
      <c r="AX294" s="232">
        <f>SUMIF(tabUniformes[Cargo],tabParametros[[#This Row],[Função]],tabUniformes[Valor unit. Mensal])</f>
        <v>56.141713661989918</v>
      </c>
      <c r="AY29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4" s="232">
        <v>0</v>
      </c>
      <c r="BC294" s="234" t="e">
        <f ca="1">VLOOKUP(tabParametros[[#Headers],[Custos Indiretos]],tabOutrosCustos[],3,0)</f>
        <v>#NAME?</v>
      </c>
      <c r="BD294" s="234" t="e">
        <f ca="1">VLOOKUP(tabParametros[[#Headers],[Lucro]],tabOutrosCustos[],3,0)</f>
        <v>#NAME?</v>
      </c>
      <c r="BE294" s="233">
        <f>VLOOKUP(tabParametros[[#Headers],[COFINS]],tabImpostosNacionais[],2,0)</f>
        <v>7.5999999999999998E-2</v>
      </c>
      <c r="BF294" s="233">
        <f>VLOOKUP(tabParametros[[#Headers],[PIS]],tabImpostosNacionais[],2,0)</f>
        <v>1.6500000000000001E-2</v>
      </c>
      <c r="BG294" s="233">
        <f>VLOOKUP(tabParametros[[#This Row],[Comarca]],tabComarca[],4,0)</f>
        <v>0.03</v>
      </c>
      <c r="BH294" s="236">
        <f>VLOOKUP(tabParametros[[#This Row],[CCT DA CATEGORIA]],tabSindicatos[],11,0)</f>
        <v>45658</v>
      </c>
      <c r="BI294" s="282" t="str">
        <f>VLOOKUP(tabParametros[[#This Row],[CCT DA CATEGORIA]],tabSindicatos[],12,0)</f>
        <v>-</v>
      </c>
      <c r="BJ294" s="285" t="str">
        <f>VLOOKUP(tabParametros[[#This Row],[CCT DA CATEGORIA]],tabSindicatos[],13,0)</f>
        <v>-</v>
      </c>
    </row>
    <row r="295" spans="1:62">
      <c r="A295" s="231" t="s">
        <v>1709</v>
      </c>
      <c r="B295" s="197" t="s">
        <v>1207</v>
      </c>
      <c r="C295" s="197" t="s">
        <v>314</v>
      </c>
      <c r="D295" s="197" t="str">
        <f>VLOOKUP(tabParametros[[#This Row],[Código do Posto]],tabPostos[],4,0)</f>
        <v>Regiao de Sao Lourenco</v>
      </c>
      <c r="E295" s="282" t="str">
        <f>VLOOKUP(tabParametros[[#This Row],[Código do Posto]],tabPostos[],5,0)</f>
        <v>Apoio</v>
      </c>
      <c r="F295" s="282" t="str">
        <f>VLOOKUP(tabParametros[[#This Row],[Código do Posto]],tabPostos[],6,0)</f>
        <v>PGJ</v>
      </c>
      <c r="G295" s="282">
        <f>VLOOKUP(tabParametros[[#This Row],[Código do Posto]],tabPostos[],7,0)</f>
        <v>1</v>
      </c>
      <c r="H295" s="282">
        <f>VLOOKUP(tabParametros[[#This Row],[Código do Posto]],tabPostos[],8,0)</f>
        <v>0</v>
      </c>
      <c r="I295" s="232">
        <f>VLOOKUP(tabParametros[[#This Row],[Código do Posto]],tabPostos[],9,0)</f>
        <v>1963.4050319620983</v>
      </c>
      <c r="J295" s="232">
        <f>IF(ISNUMBER(SEARCH("Eletricista",tabParametros[[#This Row],[Função]],1)),0.3*tabParametros[[#This Row],[Salário Base]],0)</f>
        <v>0</v>
      </c>
      <c r="K29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5" s="232">
        <f>IF(AND(ISNUMBER(SEARCH("Noturno",tabParametros[[#This Row],[Função]],1)),tabParametros[[#This Row],[Comarca]]&lt;&gt;"Juiz de Fora"),tabParametros[[#This Row],[Salário Base]]/210*0.39*7*15.5,IF(ISNUMBER(SEARCH("Noturno",tabParametros[[#This Row],[Função]],1)),tabParametros[[#This Row],[Salário Base]]/210*0.2*8*15.5,0))</f>
        <v>0</v>
      </c>
      <c r="M295" s="232">
        <f>IF(ISNUMBER(SEARCH("Motorista II",tabParametros[[#This Row],[Função]],1)),0.3022*tabParametros[[#This Row],[Salário Base]],0)</f>
        <v>0</v>
      </c>
      <c r="N295" s="254">
        <v>0</v>
      </c>
      <c r="O295" s="254">
        <f>IF(ISNUMBER(SEARCH("TECNOLOGIA DA INFORMACAO",tabParametros[[#This Row],[Função]],1)),0.056*tabParametros[[#This Row],[Salário Base]],0)</f>
        <v>0</v>
      </c>
      <c r="P295" s="232">
        <f>IF(tabParametros[[#This Row],[Função]]="Operador de Midia Audiovisual - 150 h",tabParametros[[#This Row],[Salário Base]]/150*50*30%,IF(tabParametros[[#This Row],[Função]]="Supervisor de Manutencao de Veiculos II - 220 h",12%*tabParametros[[#This Row],[Salário Base]],0))</f>
        <v>0</v>
      </c>
      <c r="Q295" s="233">
        <f>VLOOKUP(tabParametros[[#Headers],[INSS]],tabImpostosNacionais[],2,0)</f>
        <v>0.2</v>
      </c>
      <c r="R295" s="233">
        <f>VLOOKUP(tabParametros[[#Headers],[SESI OU SESC]],tabImpostosNacionais[],2,0)</f>
        <v>1.4999999999999999E-2</v>
      </c>
      <c r="S295" s="233">
        <f>VLOOKUP(tabParametros[[#Headers],[SENAI OU SENAC]],tabImpostosNacionais[],2,0)</f>
        <v>0.01</v>
      </c>
      <c r="T295" s="233">
        <f>VLOOKUP(tabParametros[[#Headers],[INCRA]],tabImpostosNacionais[],2,0)</f>
        <v>2E-3</v>
      </c>
      <c r="U295" s="233">
        <f>VLOOKUP(tabParametros[[#Headers],[Salário Educação]],tabImpostosNacionais[],2,0)</f>
        <v>2.5000000000000001E-2</v>
      </c>
      <c r="V295" s="233">
        <f>VLOOKUP(tabParametros[[#Headers],[FGTS]],tabImpostosNacionais[],2,0)</f>
        <v>0.08</v>
      </c>
      <c r="W295" s="233">
        <f>VLOOKUP(tabParametros[[#Headers],[RAT Ajustado]],tabImpostosNacionais[],2,0)</f>
        <v>0.04</v>
      </c>
      <c r="X295" s="233">
        <f>VLOOKUP(tabParametros[[#Headers],[SEBRAE]],tabImpostosNacionais[],2,0)</f>
        <v>6.0000000000000001E-3</v>
      </c>
      <c r="Y295" s="233">
        <f t="shared" si="44"/>
        <v>8.3333333333333329E-2</v>
      </c>
      <c r="Z295" s="233">
        <f t="shared" si="45"/>
        <v>0.1111111111111111</v>
      </c>
      <c r="AA295" s="232">
        <f>VLOOKUP(tabParametros[[#This Row],[Comarca]],tabComarca[],5,0)</f>
        <v>6.4</v>
      </c>
      <c r="AB295" s="232">
        <f>VLOOKUP(tabParametros[[#This Row],[CCT DA CATEGORIA]],tabSindicatos[],6,0)</f>
        <v>29.15</v>
      </c>
      <c r="AC295" s="232">
        <f>VLOOKUP(tabParametros[[#This Row],[CCT DA CATEGORIA]],tabSindicatos[],7,0)</f>
        <v>0</v>
      </c>
      <c r="AD295" s="232" cm="1">
        <f t="array" ref="AD29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95" s="232">
        <f>VLOOKUP(tabParametros[[#This Row],[CCT DA CATEGORIA]],tabSindicatos[],9,0)</f>
        <v>0</v>
      </c>
      <c r="AF295" s="232">
        <f>VLOOKUP(tabParametros[[#This Row],[CCT DA CATEGORIA]],tabSindicatos[],10,0)</f>
        <v>0</v>
      </c>
      <c r="AG295" s="234">
        <f>VLOOKUP(tabParametros[[#Headers],[Seguro de Vida]],tabOutrosCustos[],3,0)</f>
        <v>3.36</v>
      </c>
      <c r="AH295" s="234">
        <f>IF(ISNUMBER(SEARCH("MOTORISTA",tabParametros[[#This Row],[Função]],1)),VLOOKUP("MOTORISTAS",tabDiarias[],2,0),IF(tabParametros[[#This Row],[Comarca]]="Belo Horizonte",VLOOKUP("APOIO",tabDiarias[],2,0),0))</f>
        <v>0</v>
      </c>
      <c r="AI295" s="233">
        <f t="shared" si="46"/>
        <v>7.011766975308642E-3</v>
      </c>
      <c r="AJ295" s="235">
        <f>tabParametros[[#This Row],[FGTS]]*tabParametros[[#This Row],[Aviso Prévio Indenizado (API) e Reflexo do Aviso Prévio Indenizado]]</f>
        <v>5.609413580246914E-4</v>
      </c>
      <c r="AK295" s="235">
        <f>tabParametros[[#This Row],[FGTS]]*tabParametros[[#This Row],[Aviso Prévio Indenizado (API) e Reflexo do Aviso Prévio Indenizado]]*40%</f>
        <v>2.2437654320987658E-4</v>
      </c>
      <c r="AL295" s="233">
        <f t="shared" si="47"/>
        <v>3.5000000000000005E-3</v>
      </c>
      <c r="AM295" s="233">
        <f>tabParametros[[#This Row],[Aviso Prévio Trabalhado - APT]]*SUM(tabParametros[[#This Row],[INSS]:[SEBRAE]])</f>
        <v>1.3230000000000004E-3</v>
      </c>
      <c r="AN295" s="233">
        <f t="shared" si="48"/>
        <v>3.0577777777777773E-2</v>
      </c>
      <c r="AO295" s="233">
        <f t="shared" si="49"/>
        <v>8.3333333333333339E-4</v>
      </c>
      <c r="AP295" s="233">
        <f t="shared" si="50"/>
        <v>8.4444444444444437E-3</v>
      </c>
      <c r="AQ295" s="233">
        <f t="shared" si="51"/>
        <v>2.0277777777777777E-3</v>
      </c>
      <c r="AR295" s="233">
        <f t="shared" si="52"/>
        <v>1.7083333333333333E-4</v>
      </c>
      <c r="AS295" s="233">
        <f t="shared" si="53"/>
        <v>2.0833333333333335E-4</v>
      </c>
      <c r="AT295" s="233">
        <f t="shared" si="54"/>
        <v>1.2962962962962963E-3</v>
      </c>
      <c r="AU295" s="235">
        <f>SUM(tabParametros[[#This Row],[Ausência por Doença]:[Férias, Adicional de Férias e 13º  com empregada em gozo de Licença Maternidade]])*SUM(tabParametros[[#This Row],[INSS]:[SEBRAE]])</f>
        <v>4.5918250000000008E-3</v>
      </c>
      <c r="AV295"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295" s="232">
        <f>IF(tabParametros[[#This Row],[Vagas contratadas]]&gt;0,(SUM(tabParametros[[#This Row],[Salário Base]:[Adicional de Acúmulo de função]])*30%+SUM(tabParametros[[#This Row],[Vale - Alimentação]:[Seguro de Vida]]))/tabParametros[[#This Row],[Vagas contratadas]]*tabParametros[[#This Row],[Vagas suspensas]],0)</f>
        <v>0</v>
      </c>
      <c r="AX295" s="232">
        <f>SUMIF(tabUniformes[Cargo],tabParametros[[#This Row],[Função]],tabUniformes[Valor unit. Mensal])</f>
        <v>56.642978962543395</v>
      </c>
      <c r="AY29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5" s="232">
        <v>0</v>
      </c>
      <c r="BC295" s="234" t="e">
        <f ca="1">VLOOKUP(tabParametros[[#Headers],[Custos Indiretos]],tabOutrosCustos[],3,0)</f>
        <v>#NAME?</v>
      </c>
      <c r="BD295" s="234" t="e">
        <f ca="1">VLOOKUP(tabParametros[[#Headers],[Lucro]],tabOutrosCustos[],3,0)</f>
        <v>#NAME?</v>
      </c>
      <c r="BE295" s="233">
        <f>VLOOKUP(tabParametros[[#Headers],[COFINS]],tabImpostosNacionais[],2,0)</f>
        <v>7.5999999999999998E-2</v>
      </c>
      <c r="BF295" s="233">
        <f>VLOOKUP(tabParametros[[#Headers],[PIS]],tabImpostosNacionais[],2,0)</f>
        <v>1.6500000000000001E-2</v>
      </c>
      <c r="BG295" s="233">
        <f>VLOOKUP(tabParametros[[#This Row],[Comarca]],tabComarca[],4,0)</f>
        <v>0.03</v>
      </c>
      <c r="BH295" s="236">
        <f>VLOOKUP(tabParametros[[#This Row],[CCT DA CATEGORIA]],tabSindicatos[],11,0)</f>
        <v>45658</v>
      </c>
      <c r="BI295" s="282" t="str">
        <f>VLOOKUP(tabParametros[[#This Row],[CCT DA CATEGORIA]],tabSindicatos[],12,0)</f>
        <v>-</v>
      </c>
      <c r="BJ295" s="285" t="str">
        <f>VLOOKUP(tabParametros[[#This Row],[CCT DA CATEGORIA]],tabSindicatos[],13,0)</f>
        <v>-</v>
      </c>
    </row>
    <row r="296" spans="1:62">
      <c r="A296" s="231" t="s">
        <v>1710</v>
      </c>
      <c r="B296" s="197" t="s">
        <v>1208</v>
      </c>
      <c r="C296" s="197" t="s">
        <v>314</v>
      </c>
      <c r="D296" s="197" t="str">
        <f>VLOOKUP(tabParametros[[#This Row],[Código do Posto]],tabPostos[],4,0)</f>
        <v>Curvelo</v>
      </c>
      <c r="E296" s="282" t="str">
        <f>VLOOKUP(tabParametros[[#This Row],[Código do Posto]],tabPostos[],5,0)</f>
        <v>Apoio</v>
      </c>
      <c r="F296" s="282" t="str">
        <f>VLOOKUP(tabParametros[[#This Row],[Código do Posto]],tabPostos[],6,0)</f>
        <v>PGJ</v>
      </c>
      <c r="G296" s="282">
        <f>VLOOKUP(tabParametros[[#This Row],[Código do Posto]],tabPostos[],7,0)</f>
        <v>1</v>
      </c>
      <c r="H296" s="282">
        <f>VLOOKUP(tabParametros[[#This Row],[Código do Posto]],tabPostos[],8,0)</f>
        <v>0</v>
      </c>
      <c r="I296" s="232">
        <f>VLOOKUP(tabParametros[[#This Row],[Código do Posto]],tabPostos[],9,0)</f>
        <v>1963.4110092077037</v>
      </c>
      <c r="J296" s="232">
        <f>IF(ISNUMBER(SEARCH("Eletricista",tabParametros[[#This Row],[Função]],1)),0.3*tabParametros[[#This Row],[Salário Base]],0)</f>
        <v>0</v>
      </c>
      <c r="K29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6" s="232">
        <f>IF(AND(ISNUMBER(SEARCH("Noturno",tabParametros[[#This Row],[Função]],1)),tabParametros[[#This Row],[Comarca]]&lt;&gt;"Juiz de Fora"),tabParametros[[#This Row],[Salário Base]]/210*0.39*7*15.5,IF(ISNUMBER(SEARCH("Noturno",tabParametros[[#This Row],[Função]],1)),tabParametros[[#This Row],[Salário Base]]/210*0.2*8*15.5,0))</f>
        <v>0</v>
      </c>
      <c r="M296" s="232">
        <f>IF(ISNUMBER(SEARCH("Motorista II",tabParametros[[#This Row],[Função]],1)),0.3022*tabParametros[[#This Row],[Salário Base]],0)</f>
        <v>0</v>
      </c>
      <c r="N296" s="254">
        <v>0</v>
      </c>
      <c r="O296" s="254">
        <f>IF(ISNUMBER(SEARCH("TECNOLOGIA DA INFORMACAO",tabParametros[[#This Row],[Função]],1)),0.056*tabParametros[[#This Row],[Salário Base]],0)</f>
        <v>0</v>
      </c>
      <c r="P296" s="232">
        <f>IF(tabParametros[[#This Row],[Função]]="Operador de Midia Audiovisual - 150 h",tabParametros[[#This Row],[Salário Base]]/150*50*30%,IF(tabParametros[[#This Row],[Função]]="Supervisor de Manutencao de Veiculos II - 220 h",12%*tabParametros[[#This Row],[Salário Base]],0))</f>
        <v>0</v>
      </c>
      <c r="Q296" s="233">
        <f>VLOOKUP(tabParametros[[#Headers],[INSS]],tabImpostosNacionais[],2,0)</f>
        <v>0.2</v>
      </c>
      <c r="R296" s="233">
        <f>VLOOKUP(tabParametros[[#Headers],[SESI OU SESC]],tabImpostosNacionais[],2,0)</f>
        <v>1.4999999999999999E-2</v>
      </c>
      <c r="S296" s="233">
        <f>VLOOKUP(tabParametros[[#Headers],[SENAI OU SENAC]],tabImpostosNacionais[],2,0)</f>
        <v>0.01</v>
      </c>
      <c r="T296" s="233">
        <f>VLOOKUP(tabParametros[[#Headers],[INCRA]],tabImpostosNacionais[],2,0)</f>
        <v>2E-3</v>
      </c>
      <c r="U296" s="233">
        <f>VLOOKUP(tabParametros[[#Headers],[Salário Educação]],tabImpostosNacionais[],2,0)</f>
        <v>2.5000000000000001E-2</v>
      </c>
      <c r="V296" s="233">
        <f>VLOOKUP(tabParametros[[#Headers],[FGTS]],tabImpostosNacionais[],2,0)</f>
        <v>0.08</v>
      </c>
      <c r="W296" s="233">
        <f>VLOOKUP(tabParametros[[#Headers],[RAT Ajustado]],tabImpostosNacionais[],2,0)</f>
        <v>0.04</v>
      </c>
      <c r="X296" s="233">
        <f>VLOOKUP(tabParametros[[#Headers],[SEBRAE]],tabImpostosNacionais[],2,0)</f>
        <v>6.0000000000000001E-3</v>
      </c>
      <c r="Y296" s="233">
        <f t="shared" si="44"/>
        <v>8.3333333333333329E-2</v>
      </c>
      <c r="Z296" s="233">
        <f t="shared" si="45"/>
        <v>0.1111111111111111</v>
      </c>
      <c r="AA296" s="232">
        <f>VLOOKUP(tabParametros[[#This Row],[Comarca]],tabComarca[],5,0)</f>
        <v>6.4</v>
      </c>
      <c r="AB296" s="232">
        <f>VLOOKUP(tabParametros[[#This Row],[CCT DA CATEGORIA]],tabSindicatos[],6,0)</f>
        <v>29.15</v>
      </c>
      <c r="AC296" s="232">
        <f>VLOOKUP(tabParametros[[#This Row],[CCT DA CATEGORIA]],tabSindicatos[],7,0)</f>
        <v>0</v>
      </c>
      <c r="AD296" s="232" cm="1">
        <f t="array" ref="AD29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51.74</v>
      </c>
      <c r="AE296" s="232">
        <f>VLOOKUP(tabParametros[[#This Row],[CCT DA CATEGORIA]],tabSindicatos[],9,0)</f>
        <v>0</v>
      </c>
      <c r="AF296" s="232">
        <f>VLOOKUP(tabParametros[[#This Row],[CCT DA CATEGORIA]],tabSindicatos[],10,0)</f>
        <v>0</v>
      </c>
      <c r="AG296" s="234">
        <f>VLOOKUP(tabParametros[[#Headers],[Seguro de Vida]],tabOutrosCustos[],3,0)</f>
        <v>3.36</v>
      </c>
      <c r="AH296" s="234">
        <f>IF(ISNUMBER(SEARCH("MOTORISTA",tabParametros[[#This Row],[Função]],1)),VLOOKUP("MOTORISTAS",tabDiarias[],2,0),IF(tabParametros[[#This Row],[Comarca]]="Belo Horizonte",VLOOKUP("APOIO",tabDiarias[],2,0),0))</f>
        <v>0</v>
      </c>
      <c r="AI296" s="233">
        <f t="shared" si="46"/>
        <v>7.011766975308642E-3</v>
      </c>
      <c r="AJ296" s="235">
        <f>tabParametros[[#This Row],[FGTS]]*tabParametros[[#This Row],[Aviso Prévio Indenizado (API) e Reflexo do Aviso Prévio Indenizado]]</f>
        <v>5.609413580246914E-4</v>
      </c>
      <c r="AK296" s="235">
        <f>tabParametros[[#This Row],[FGTS]]*tabParametros[[#This Row],[Aviso Prévio Indenizado (API) e Reflexo do Aviso Prévio Indenizado]]*40%</f>
        <v>2.2437654320987658E-4</v>
      </c>
      <c r="AL296" s="233">
        <f t="shared" si="47"/>
        <v>3.5000000000000005E-3</v>
      </c>
      <c r="AM296" s="233">
        <f>tabParametros[[#This Row],[Aviso Prévio Trabalhado - APT]]*SUM(tabParametros[[#This Row],[INSS]:[SEBRAE]])</f>
        <v>1.3230000000000004E-3</v>
      </c>
      <c r="AN296" s="233">
        <f t="shared" si="48"/>
        <v>3.0577777777777773E-2</v>
      </c>
      <c r="AO296" s="233">
        <f t="shared" si="49"/>
        <v>8.3333333333333339E-4</v>
      </c>
      <c r="AP296" s="233">
        <f t="shared" si="50"/>
        <v>8.4444444444444437E-3</v>
      </c>
      <c r="AQ296" s="233">
        <f t="shared" si="51"/>
        <v>2.0277777777777777E-3</v>
      </c>
      <c r="AR296" s="233">
        <f t="shared" si="52"/>
        <v>1.7083333333333333E-4</v>
      </c>
      <c r="AS296" s="233">
        <f t="shared" si="53"/>
        <v>2.0833333333333335E-4</v>
      </c>
      <c r="AT296" s="233">
        <f t="shared" si="54"/>
        <v>1.2962962962962963E-3</v>
      </c>
      <c r="AU296" s="235">
        <f>SUM(tabParametros[[#This Row],[Ausência por Doença]:[Férias, Adicional de Férias e 13º  com empregada em gozo de Licença Maternidade]])*SUM(tabParametros[[#This Row],[INSS]:[SEBRAE]])</f>
        <v>4.5918250000000008E-3</v>
      </c>
      <c r="AV296"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296" s="232">
        <f>IF(tabParametros[[#This Row],[Vagas contratadas]]&gt;0,(SUM(tabParametros[[#This Row],[Salário Base]:[Adicional de Acúmulo de função]])*30%+SUM(tabParametros[[#This Row],[Vale - Alimentação]:[Seguro de Vida]]))/tabParametros[[#This Row],[Vagas contratadas]]*tabParametros[[#This Row],[Vagas suspensas]],0)</f>
        <v>0</v>
      </c>
      <c r="AX296" s="232">
        <f>SUMIF(tabUniformes[Cargo],tabParametros[[#This Row],[Função]],tabUniformes[Valor unit. Mensal])</f>
        <v>56.642978962543395</v>
      </c>
      <c r="AY29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6" s="232">
        <v>0</v>
      </c>
      <c r="BC296" s="234" t="e">
        <f ca="1">VLOOKUP(tabParametros[[#Headers],[Custos Indiretos]],tabOutrosCustos[],3,0)</f>
        <v>#NAME?</v>
      </c>
      <c r="BD296" s="234" t="e">
        <f ca="1">VLOOKUP(tabParametros[[#Headers],[Lucro]],tabOutrosCustos[],3,0)</f>
        <v>#NAME?</v>
      </c>
      <c r="BE296" s="233">
        <f>VLOOKUP(tabParametros[[#Headers],[COFINS]],tabImpostosNacionais[],2,0)</f>
        <v>7.5999999999999998E-2</v>
      </c>
      <c r="BF296" s="233">
        <f>VLOOKUP(tabParametros[[#Headers],[PIS]],tabImpostosNacionais[],2,0)</f>
        <v>1.6500000000000001E-2</v>
      </c>
      <c r="BG296" s="233">
        <f>VLOOKUP(tabParametros[[#This Row],[Comarca]],tabComarca[],4,0)</f>
        <v>0.03</v>
      </c>
      <c r="BH296" s="236">
        <f>VLOOKUP(tabParametros[[#This Row],[CCT DA CATEGORIA]],tabSindicatos[],11,0)</f>
        <v>45658</v>
      </c>
      <c r="BI296" s="282" t="str">
        <f>VLOOKUP(tabParametros[[#This Row],[CCT DA CATEGORIA]],tabSindicatos[],12,0)</f>
        <v>-</v>
      </c>
      <c r="BJ296" s="285" t="str">
        <f>VLOOKUP(tabParametros[[#This Row],[CCT DA CATEGORIA]],tabSindicatos[],13,0)</f>
        <v>-</v>
      </c>
    </row>
    <row r="297" spans="1:62">
      <c r="A297" s="231" t="s">
        <v>1510</v>
      </c>
      <c r="B297" s="197" t="s">
        <v>1045</v>
      </c>
      <c r="C297" s="197" t="s">
        <v>200</v>
      </c>
      <c r="D297" s="197" t="str">
        <f>VLOOKUP(tabParametros[[#This Row],[Código do Posto]],tabPostos[],4,0)</f>
        <v>Sete Lagoas</v>
      </c>
      <c r="E297" s="282" t="str">
        <f>VLOOKUP(tabParametros[[#This Row],[Código do Posto]],tabPostos[],5,0)</f>
        <v>Apoio</v>
      </c>
      <c r="F297" s="282" t="str">
        <f>VLOOKUP(tabParametros[[#This Row],[Código do Posto]],tabPostos[],6,0)</f>
        <v>PGJ</v>
      </c>
      <c r="G297" s="282">
        <f>VLOOKUP(tabParametros[[#This Row],[Código do Posto]],tabPostos[],7,0)</f>
        <v>1</v>
      </c>
      <c r="H297" s="282">
        <f>VLOOKUP(tabParametros[[#This Row],[Código do Posto]],tabPostos[],8,0)</f>
        <v>0</v>
      </c>
      <c r="I297" s="232">
        <f>VLOOKUP(tabParametros[[#This Row],[Código do Posto]],tabPostos[],9,0)</f>
        <v>1649.1153464738998</v>
      </c>
      <c r="J297" s="232">
        <f>IF(ISNUMBER(SEARCH("Eletricista",tabParametros[[#This Row],[Função]],1)),0.3*tabParametros[[#This Row],[Salário Base]],0)</f>
        <v>0</v>
      </c>
      <c r="K29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7" s="232">
        <f>IF(AND(ISNUMBER(SEARCH("Noturno",tabParametros[[#This Row],[Função]],1)),tabParametros[[#This Row],[Comarca]]&lt;&gt;"Juiz de Fora"),tabParametros[[#This Row],[Salário Base]]/210*0.39*7*15.5,IF(ISNUMBER(SEARCH("Noturno",tabParametros[[#This Row],[Função]],1)),tabParametros[[#This Row],[Salário Base]]/210*0.2*8*15.5,0))</f>
        <v>0</v>
      </c>
      <c r="M297" s="232">
        <f>IF(ISNUMBER(SEARCH("Motorista II",tabParametros[[#This Row],[Função]],1)),0.3022*tabParametros[[#This Row],[Salário Base]],0)</f>
        <v>0</v>
      </c>
      <c r="N297" s="254">
        <v>0</v>
      </c>
      <c r="O297" s="254">
        <f>IF(ISNUMBER(SEARCH("TECNOLOGIA DA INFORMACAO",tabParametros[[#This Row],[Função]],1)),0.056*tabParametros[[#This Row],[Salário Base]],0)</f>
        <v>0</v>
      </c>
      <c r="P297" s="232">
        <f>IF(tabParametros[[#This Row],[Função]]="Operador de Midia Audiovisual - 150 h",tabParametros[[#This Row],[Salário Base]]/150*50*30%,IF(tabParametros[[#This Row],[Função]]="Supervisor de Manutencao de Veiculos II - 220 h",12%*tabParametros[[#This Row],[Salário Base]],0))</f>
        <v>0</v>
      </c>
      <c r="Q297" s="233">
        <f>VLOOKUP(tabParametros[[#Headers],[INSS]],tabImpostosNacionais[],2,0)</f>
        <v>0.2</v>
      </c>
      <c r="R297" s="233">
        <f>VLOOKUP(tabParametros[[#Headers],[SESI OU SESC]],tabImpostosNacionais[],2,0)</f>
        <v>1.4999999999999999E-2</v>
      </c>
      <c r="S297" s="233">
        <f>VLOOKUP(tabParametros[[#Headers],[SENAI OU SENAC]],tabImpostosNacionais[],2,0)</f>
        <v>0.01</v>
      </c>
      <c r="T297" s="233">
        <f>VLOOKUP(tabParametros[[#Headers],[INCRA]],tabImpostosNacionais[],2,0)</f>
        <v>2E-3</v>
      </c>
      <c r="U297" s="233">
        <f>VLOOKUP(tabParametros[[#Headers],[Salário Educação]],tabImpostosNacionais[],2,0)</f>
        <v>2.5000000000000001E-2</v>
      </c>
      <c r="V297" s="233">
        <f>VLOOKUP(tabParametros[[#Headers],[FGTS]],tabImpostosNacionais[],2,0)</f>
        <v>0.08</v>
      </c>
      <c r="W297" s="233">
        <f>VLOOKUP(tabParametros[[#Headers],[RAT Ajustado]],tabImpostosNacionais[],2,0)</f>
        <v>0.04</v>
      </c>
      <c r="X297" s="233">
        <f>VLOOKUP(tabParametros[[#Headers],[SEBRAE]],tabImpostosNacionais[],2,0)</f>
        <v>6.0000000000000001E-3</v>
      </c>
      <c r="Y297" s="233">
        <f t="shared" si="44"/>
        <v>8.3333333333333329E-2</v>
      </c>
      <c r="Z297" s="233">
        <f t="shared" si="45"/>
        <v>0.1111111111111111</v>
      </c>
      <c r="AA297" s="232">
        <f>VLOOKUP(tabParametros[[#This Row],[Comarca]],tabComarca[],5,0)</f>
        <v>6.4</v>
      </c>
      <c r="AB297" s="232">
        <f>VLOOKUP(tabParametros[[#This Row],[CCT DA CATEGORIA]],tabSindicatos[],6,0)</f>
        <v>29.15</v>
      </c>
      <c r="AC297" s="232">
        <f>VLOOKUP(tabParametros[[#This Row],[CCT DA CATEGORIA]],tabSindicatos[],7,0)</f>
        <v>0</v>
      </c>
      <c r="AD297" s="232" cm="1">
        <f t="array" ref="AD29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97" s="232">
        <f>VLOOKUP(tabParametros[[#This Row],[CCT DA CATEGORIA]],tabSindicatos[],9,0)</f>
        <v>0</v>
      </c>
      <c r="AF297" s="232">
        <f>VLOOKUP(tabParametros[[#This Row],[CCT DA CATEGORIA]],tabSindicatos[],10,0)</f>
        <v>0</v>
      </c>
      <c r="AG297" s="234">
        <f>VLOOKUP(tabParametros[[#Headers],[Seguro de Vida]],tabOutrosCustos[],3,0)</f>
        <v>3.36</v>
      </c>
      <c r="AH297" s="234">
        <f>IF(ISNUMBER(SEARCH("MOTORISTA",tabParametros[[#This Row],[Função]],1)),VLOOKUP("MOTORISTAS",tabDiarias[],2,0),IF(tabParametros[[#This Row],[Comarca]]="Belo Horizonte",VLOOKUP("APOIO",tabDiarias[],2,0),0))</f>
        <v>0</v>
      </c>
      <c r="AI297" s="233">
        <f t="shared" si="46"/>
        <v>7.011766975308642E-3</v>
      </c>
      <c r="AJ297" s="235">
        <f>tabParametros[[#This Row],[FGTS]]*tabParametros[[#This Row],[Aviso Prévio Indenizado (API) e Reflexo do Aviso Prévio Indenizado]]</f>
        <v>5.609413580246914E-4</v>
      </c>
      <c r="AK297" s="235">
        <f>tabParametros[[#This Row],[FGTS]]*tabParametros[[#This Row],[Aviso Prévio Indenizado (API) e Reflexo do Aviso Prévio Indenizado]]*40%</f>
        <v>2.2437654320987658E-4</v>
      </c>
      <c r="AL297" s="233">
        <f t="shared" si="47"/>
        <v>3.5000000000000005E-3</v>
      </c>
      <c r="AM297" s="233">
        <f>tabParametros[[#This Row],[Aviso Prévio Trabalhado - APT]]*SUM(tabParametros[[#This Row],[INSS]:[SEBRAE]])</f>
        <v>1.3230000000000004E-3</v>
      </c>
      <c r="AN297" s="233">
        <f t="shared" si="48"/>
        <v>3.0577777777777773E-2</v>
      </c>
      <c r="AO297" s="233">
        <f t="shared" si="49"/>
        <v>8.3333333333333339E-4</v>
      </c>
      <c r="AP297" s="233">
        <f t="shared" si="50"/>
        <v>8.4444444444444437E-3</v>
      </c>
      <c r="AQ297" s="233">
        <f t="shared" si="51"/>
        <v>2.0277777777777777E-3</v>
      </c>
      <c r="AR297" s="233">
        <f t="shared" si="52"/>
        <v>1.7083333333333333E-4</v>
      </c>
      <c r="AS297" s="233">
        <f t="shared" si="53"/>
        <v>2.0833333333333335E-4</v>
      </c>
      <c r="AT297" s="233">
        <f t="shared" si="54"/>
        <v>1.2962962962962963E-3</v>
      </c>
      <c r="AU297" s="235">
        <f>SUM(tabParametros[[#This Row],[Ausência por Doença]:[Férias, Adicional de Férias e 13º  com empregada em gozo de Licença Maternidade]])*SUM(tabParametros[[#This Row],[INSS]:[SEBRAE]])</f>
        <v>4.5918250000000008E-3</v>
      </c>
      <c r="AV297" s="254">
        <f>IF(tabParametros[[#This Row],[Função]]="Porteiro - 220 h",SUM(tabParametros[[#This Row],[Salário Base]:[Adicional de Acúmulo de função]])/220*20*1.5,IF(ISNUMBER(SEARCH("12 x 36",tabParametros[[#This Row],[Função]],1)),SUM(tabParametros[[#This Row],[Salário Base]:[Adicional de Acúmulo de função]])/210*15.5*1.5,0))</f>
        <v>0</v>
      </c>
      <c r="AW297" s="232">
        <f>IF(tabParametros[[#This Row],[Vagas contratadas]]&gt;0,(SUM(tabParametros[[#This Row],[Salário Base]:[Adicional de Acúmulo de função]])*30%+SUM(tabParametros[[#This Row],[Vale - Alimentação]:[Seguro de Vida]]))/tabParametros[[#This Row],[Vagas contratadas]]*tabParametros[[#This Row],[Vagas suspensas]],0)</f>
        <v>0</v>
      </c>
      <c r="AX297" s="232">
        <f>SUMIF(tabUniformes[Cargo],tabParametros[[#This Row],[Função]],tabUniformes[Valor unit. Mensal])</f>
        <v>56.141713661989918</v>
      </c>
      <c r="AY29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7" s="232">
        <v>0</v>
      </c>
      <c r="BC297" s="234" t="e">
        <f ca="1">VLOOKUP(tabParametros[[#Headers],[Custos Indiretos]],tabOutrosCustos[],3,0)</f>
        <v>#NAME?</v>
      </c>
      <c r="BD297" s="234" t="e">
        <f ca="1">VLOOKUP(tabParametros[[#Headers],[Lucro]],tabOutrosCustos[],3,0)</f>
        <v>#NAME?</v>
      </c>
      <c r="BE297" s="233">
        <f>VLOOKUP(tabParametros[[#Headers],[COFINS]],tabImpostosNacionais[],2,0)</f>
        <v>7.5999999999999998E-2</v>
      </c>
      <c r="BF297" s="233">
        <f>VLOOKUP(tabParametros[[#Headers],[PIS]],tabImpostosNacionais[],2,0)</f>
        <v>1.6500000000000001E-2</v>
      </c>
      <c r="BG297" s="233">
        <f>VLOOKUP(tabParametros[[#This Row],[Comarca]],tabComarca[],4,0)</f>
        <v>0.03</v>
      </c>
      <c r="BH297" s="236">
        <f>VLOOKUP(tabParametros[[#This Row],[CCT DA CATEGORIA]],tabSindicatos[],11,0)</f>
        <v>45658</v>
      </c>
      <c r="BI297" s="282" t="str">
        <f>VLOOKUP(tabParametros[[#This Row],[CCT DA CATEGORIA]],tabSindicatos[],12,0)</f>
        <v>-</v>
      </c>
      <c r="BJ297" s="285" t="str">
        <f>VLOOKUP(tabParametros[[#This Row],[CCT DA CATEGORIA]],tabSindicatos[],13,0)</f>
        <v>-</v>
      </c>
    </row>
    <row r="298" spans="1:62">
      <c r="A298" s="231" t="s">
        <v>1711</v>
      </c>
      <c r="B298" s="197" t="s">
        <v>1045</v>
      </c>
      <c r="C298" s="197" t="s">
        <v>274</v>
      </c>
      <c r="D298" s="197" t="str">
        <f>VLOOKUP(tabParametros[[#This Row],[Código do Posto]],tabPostos[],4,0)</f>
        <v>Rodoviarios de Sete Lagoas + SEAC-MG</v>
      </c>
      <c r="E298" s="282" t="str">
        <f>VLOOKUP(tabParametros[[#This Row],[Código do Posto]],tabPostos[],5,0)</f>
        <v>Apoio</v>
      </c>
      <c r="F298" s="282" t="str">
        <f>VLOOKUP(tabParametros[[#This Row],[Código do Posto]],tabPostos[],6,0)</f>
        <v>PGJ</v>
      </c>
      <c r="G298" s="282">
        <f>VLOOKUP(tabParametros[[#This Row],[Código do Posto]],tabPostos[],7,0)</f>
        <v>1</v>
      </c>
      <c r="H298" s="282">
        <f>VLOOKUP(tabParametros[[#This Row],[Código do Posto]],tabPostos[],8,0)</f>
        <v>0</v>
      </c>
      <c r="I298" s="232">
        <f>VLOOKUP(tabParametros[[#This Row],[Código do Posto]],tabPostos[],9,0)</f>
        <v>4599.5952808034681</v>
      </c>
      <c r="J298" s="232">
        <f>IF(ISNUMBER(SEARCH("Eletricista",tabParametros[[#This Row],[Função]],1)),0.3*tabParametros[[#This Row],[Salário Base]],0)</f>
        <v>0</v>
      </c>
      <c r="K29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8" s="232">
        <f>IF(AND(ISNUMBER(SEARCH("Noturno",tabParametros[[#This Row],[Função]],1)),tabParametros[[#This Row],[Comarca]]&lt;&gt;"Juiz de Fora"),tabParametros[[#This Row],[Salário Base]]/210*0.39*7*15.5,IF(ISNUMBER(SEARCH("Noturno",tabParametros[[#This Row],[Função]],1)),tabParametros[[#This Row],[Salário Base]]/210*0.2*8*15.5,0))</f>
        <v>0</v>
      </c>
      <c r="M298" s="232">
        <f>IF(ISNUMBER(SEARCH("Motorista II",tabParametros[[#This Row],[Função]],1)),0.3022*tabParametros[[#This Row],[Salário Base]],0)</f>
        <v>0</v>
      </c>
      <c r="N298" s="254">
        <v>0</v>
      </c>
      <c r="O298" s="254">
        <f>IF(ISNUMBER(SEARCH("TECNOLOGIA DA INFORMACAO",tabParametros[[#This Row],[Função]],1)),0.056*tabParametros[[#This Row],[Salário Base]],0)</f>
        <v>0</v>
      </c>
      <c r="P298" s="232">
        <f>IF(tabParametros[[#This Row],[Função]]="Operador de Midia Audiovisual - 150 h",tabParametros[[#This Row],[Salário Base]]/150*50*30%,IF(tabParametros[[#This Row],[Função]]="Supervisor de Manutencao de Veiculos II - 220 h",12%*tabParametros[[#This Row],[Salário Base]],0))</f>
        <v>0</v>
      </c>
      <c r="Q298" s="233">
        <f>VLOOKUP(tabParametros[[#Headers],[INSS]],tabImpostosNacionais[],2,0)</f>
        <v>0.2</v>
      </c>
      <c r="R298" s="233">
        <f>VLOOKUP(tabParametros[[#Headers],[SESI OU SESC]],tabImpostosNacionais[],2,0)</f>
        <v>1.4999999999999999E-2</v>
      </c>
      <c r="S298" s="233">
        <f>VLOOKUP(tabParametros[[#Headers],[SENAI OU SENAC]],tabImpostosNacionais[],2,0)</f>
        <v>0.01</v>
      </c>
      <c r="T298" s="233">
        <f>VLOOKUP(tabParametros[[#Headers],[INCRA]],tabImpostosNacionais[],2,0)</f>
        <v>2E-3</v>
      </c>
      <c r="U298" s="233">
        <f>VLOOKUP(tabParametros[[#Headers],[Salário Educação]],tabImpostosNacionais[],2,0)</f>
        <v>2.5000000000000001E-2</v>
      </c>
      <c r="V298" s="233">
        <f>VLOOKUP(tabParametros[[#Headers],[FGTS]],tabImpostosNacionais[],2,0)</f>
        <v>0.08</v>
      </c>
      <c r="W298" s="233">
        <f>VLOOKUP(tabParametros[[#Headers],[RAT Ajustado]],tabImpostosNacionais[],2,0)</f>
        <v>0.04</v>
      </c>
      <c r="X298" s="233">
        <f>VLOOKUP(tabParametros[[#Headers],[SEBRAE]],tabImpostosNacionais[],2,0)</f>
        <v>6.0000000000000001E-3</v>
      </c>
      <c r="Y298" s="233">
        <f t="shared" si="44"/>
        <v>8.3333333333333329E-2</v>
      </c>
      <c r="Z298" s="233">
        <f t="shared" si="45"/>
        <v>0.1111111111111111</v>
      </c>
      <c r="AA298" s="232">
        <f>VLOOKUP(tabParametros[[#This Row],[Comarca]],tabComarca[],5,0)</f>
        <v>6.4</v>
      </c>
      <c r="AB298" s="232">
        <f>VLOOKUP(tabParametros[[#This Row],[CCT DA CATEGORIA]],tabSindicatos[],6,0)</f>
        <v>28.97</v>
      </c>
      <c r="AC298" s="232">
        <f>VLOOKUP(tabParametros[[#This Row],[CCT DA CATEGORIA]],tabSindicatos[],7,0)</f>
        <v>0</v>
      </c>
      <c r="AD298" s="232" cm="1">
        <f t="array" ref="AD29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298" s="232">
        <f>VLOOKUP(tabParametros[[#This Row],[CCT DA CATEGORIA]],tabSindicatos[],9,0)</f>
        <v>0</v>
      </c>
      <c r="AF298" s="232">
        <f>VLOOKUP(tabParametros[[#This Row],[CCT DA CATEGORIA]],tabSindicatos[],10,0)</f>
        <v>0</v>
      </c>
      <c r="AG298" s="234">
        <f>VLOOKUP(tabParametros[[#Headers],[Seguro de Vida]],tabOutrosCustos[],3,0)</f>
        <v>3.36</v>
      </c>
      <c r="AH298" s="234">
        <f>IF(ISNUMBER(SEARCH("MOTORISTA",tabParametros[[#This Row],[Função]],1)),VLOOKUP("MOTORISTAS",tabDiarias[],2,0),IF(tabParametros[[#This Row],[Comarca]]="Belo Horizonte",VLOOKUP("APOIO",tabDiarias[],2,0),0))</f>
        <v>662.42</v>
      </c>
      <c r="AI298" s="233">
        <f t="shared" si="46"/>
        <v>7.011766975308642E-3</v>
      </c>
      <c r="AJ298" s="235">
        <f>tabParametros[[#This Row],[FGTS]]*tabParametros[[#This Row],[Aviso Prévio Indenizado (API) e Reflexo do Aviso Prévio Indenizado]]</f>
        <v>5.609413580246914E-4</v>
      </c>
      <c r="AK298" s="235">
        <f>tabParametros[[#This Row],[FGTS]]*tabParametros[[#This Row],[Aviso Prévio Indenizado (API) e Reflexo do Aviso Prévio Indenizado]]*40%</f>
        <v>2.2437654320987658E-4</v>
      </c>
      <c r="AL298" s="233">
        <f t="shared" si="47"/>
        <v>3.5000000000000005E-3</v>
      </c>
      <c r="AM298" s="233">
        <f>tabParametros[[#This Row],[Aviso Prévio Trabalhado - APT]]*SUM(tabParametros[[#This Row],[INSS]:[SEBRAE]])</f>
        <v>1.3230000000000004E-3</v>
      </c>
      <c r="AN298" s="233">
        <f t="shared" si="48"/>
        <v>3.0577777777777773E-2</v>
      </c>
      <c r="AO298" s="233">
        <f t="shared" si="49"/>
        <v>8.3333333333333339E-4</v>
      </c>
      <c r="AP298" s="233">
        <f t="shared" si="50"/>
        <v>8.4444444444444437E-3</v>
      </c>
      <c r="AQ298" s="233">
        <f t="shared" si="51"/>
        <v>2.0277777777777777E-3</v>
      </c>
      <c r="AR298" s="233">
        <f t="shared" si="52"/>
        <v>1.7083333333333333E-4</v>
      </c>
      <c r="AS298" s="233">
        <f t="shared" si="53"/>
        <v>2.0833333333333335E-4</v>
      </c>
      <c r="AT298" s="233">
        <f t="shared" si="54"/>
        <v>1.2962962962962963E-3</v>
      </c>
      <c r="AU298" s="235">
        <f>SUM(tabParametros[[#This Row],[Ausência por Doença]:[Férias, Adicional de Férias e 13º  com empregada em gozo de Licença Maternidade]])*SUM(tabParametros[[#This Row],[INSS]:[SEBRAE]])</f>
        <v>4.5918250000000008E-3</v>
      </c>
      <c r="AV298" s="254">
        <f>IF(tabParametros[[#This Row],[Função]]="Porteiro - 220 h",SUM(tabParametros[[#This Row],[Salário Base]:[Adicional de Acúmulo de função]])/220*20*1.5,IF(ISNUMBER(SEARCH("12 x 36",tabParametros[[#This Row],[Função]],1)),SUM(tabParametros[[#This Row],[Salário Base]:[Adicional de Acúmulo de função]])/210*15.5*1.5,0))</f>
        <v>0</v>
      </c>
      <c r="AW298" s="232">
        <f>IF(tabParametros[[#This Row],[Vagas contratadas]]&gt;0,(SUM(tabParametros[[#This Row],[Salário Base]:[Adicional de Acúmulo de função]])*30%+SUM(tabParametros[[#This Row],[Vale - Alimentação]:[Seguro de Vida]]))/tabParametros[[#This Row],[Vagas contratadas]]*tabParametros[[#This Row],[Vagas suspensas]],0)</f>
        <v>0</v>
      </c>
      <c r="AX298" s="232">
        <f>SUMIF(tabUniformes[Cargo],tabParametros[[#This Row],[Função]],tabUniformes[Valor unit. Mensal])</f>
        <v>92.100763771570698</v>
      </c>
      <c r="AY29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8" s="232">
        <v>0</v>
      </c>
      <c r="BC298" s="234" t="e">
        <f ca="1">VLOOKUP(tabParametros[[#Headers],[Custos Indiretos]],tabOutrosCustos[],3,0)</f>
        <v>#NAME?</v>
      </c>
      <c r="BD298" s="234" t="e">
        <f ca="1">VLOOKUP(tabParametros[[#Headers],[Lucro]],tabOutrosCustos[],3,0)</f>
        <v>#NAME?</v>
      </c>
      <c r="BE298" s="233">
        <f>VLOOKUP(tabParametros[[#Headers],[COFINS]],tabImpostosNacionais[],2,0)</f>
        <v>7.5999999999999998E-2</v>
      </c>
      <c r="BF298" s="233">
        <f>VLOOKUP(tabParametros[[#Headers],[PIS]],tabImpostosNacionais[],2,0)</f>
        <v>1.6500000000000001E-2</v>
      </c>
      <c r="BG298" s="233">
        <f>VLOOKUP(tabParametros[[#This Row],[Comarca]],tabComarca[],4,0)</f>
        <v>0.03</v>
      </c>
      <c r="BH298" s="236">
        <f>VLOOKUP(tabParametros[[#This Row],[CCT DA CATEGORIA]],tabSindicatos[],11,0)</f>
        <v>45658</v>
      </c>
      <c r="BI298" s="282" t="str">
        <f>VLOOKUP(tabParametros[[#This Row],[CCT DA CATEGORIA]],tabSindicatos[],12,0)</f>
        <v>-</v>
      </c>
      <c r="BJ298" s="285" t="str">
        <f>VLOOKUP(tabParametros[[#This Row],[CCT DA CATEGORIA]],tabSindicatos[],13,0)</f>
        <v>-</v>
      </c>
    </row>
    <row r="299" spans="1:62">
      <c r="A299" s="231" t="s">
        <v>1712</v>
      </c>
      <c r="B299" s="197" t="s">
        <v>1045</v>
      </c>
      <c r="C299" s="197" t="s">
        <v>304</v>
      </c>
      <c r="D299" s="197" t="str">
        <f>VLOOKUP(tabParametros[[#This Row],[Código do Posto]],tabPostos[],4,0)</f>
        <v>Sete Lagoas</v>
      </c>
      <c r="E299" s="282" t="str">
        <f>VLOOKUP(tabParametros[[#This Row],[Código do Posto]],tabPostos[],5,0)</f>
        <v>Apoio</v>
      </c>
      <c r="F299" s="282" t="str">
        <f>VLOOKUP(tabParametros[[#This Row],[Código do Posto]],tabPostos[],6,0)</f>
        <v>PGJ</v>
      </c>
      <c r="G299" s="282">
        <f>VLOOKUP(tabParametros[[#This Row],[Código do Posto]],tabPostos[],7,0)</f>
        <v>2</v>
      </c>
      <c r="H299" s="282">
        <f>VLOOKUP(tabParametros[[#This Row],[Código do Posto]],tabPostos[],8,0)</f>
        <v>0</v>
      </c>
      <c r="I299" s="232">
        <f>VLOOKUP(tabParametros[[#This Row],[Código do Posto]],tabPostos[],9,0)</f>
        <v>2134.8034899326635</v>
      </c>
      <c r="J299" s="232">
        <f>IF(ISNUMBER(SEARCH("Eletricista",tabParametros[[#This Row],[Função]],1)),0.3*tabParametros[[#This Row],[Salário Base]],0)</f>
        <v>0</v>
      </c>
      <c r="K29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299" s="232">
        <f>IF(AND(ISNUMBER(SEARCH("Noturno",tabParametros[[#This Row],[Função]],1)),tabParametros[[#This Row],[Comarca]]&lt;&gt;"Juiz de Fora"),tabParametros[[#This Row],[Salário Base]]/210*0.39*7*15.5,IF(ISNUMBER(SEARCH("Noturno",tabParametros[[#This Row],[Função]],1)),tabParametros[[#This Row],[Salário Base]]/210*0.2*8*15.5,0))</f>
        <v>0</v>
      </c>
      <c r="M299" s="232">
        <f>IF(ISNUMBER(SEARCH("Motorista II",tabParametros[[#This Row],[Função]],1)),0.3022*tabParametros[[#This Row],[Salário Base]],0)</f>
        <v>0</v>
      </c>
      <c r="N299" s="254">
        <v>0</v>
      </c>
      <c r="O299" s="254">
        <f>IF(ISNUMBER(SEARCH("TECNOLOGIA DA INFORMACAO",tabParametros[[#This Row],[Função]],1)),0.056*tabParametros[[#This Row],[Salário Base]],0)</f>
        <v>0</v>
      </c>
      <c r="P299" s="232">
        <f>IF(tabParametros[[#This Row],[Função]]="Operador de Midia Audiovisual - 150 h",tabParametros[[#This Row],[Salário Base]]/150*50*30%,IF(tabParametros[[#This Row],[Função]]="Supervisor de Manutencao de Veiculos II - 220 h",12%*tabParametros[[#This Row],[Salário Base]],0))</f>
        <v>0</v>
      </c>
      <c r="Q299" s="233">
        <f>VLOOKUP(tabParametros[[#Headers],[INSS]],tabImpostosNacionais[],2,0)</f>
        <v>0.2</v>
      </c>
      <c r="R299" s="233">
        <f>VLOOKUP(tabParametros[[#Headers],[SESI OU SESC]],tabImpostosNacionais[],2,0)</f>
        <v>1.4999999999999999E-2</v>
      </c>
      <c r="S299" s="233">
        <f>VLOOKUP(tabParametros[[#Headers],[SENAI OU SENAC]],tabImpostosNacionais[],2,0)</f>
        <v>0.01</v>
      </c>
      <c r="T299" s="233">
        <f>VLOOKUP(tabParametros[[#Headers],[INCRA]],tabImpostosNacionais[],2,0)</f>
        <v>2E-3</v>
      </c>
      <c r="U299" s="233">
        <f>VLOOKUP(tabParametros[[#Headers],[Salário Educação]],tabImpostosNacionais[],2,0)</f>
        <v>2.5000000000000001E-2</v>
      </c>
      <c r="V299" s="233">
        <f>VLOOKUP(tabParametros[[#Headers],[FGTS]],tabImpostosNacionais[],2,0)</f>
        <v>0.08</v>
      </c>
      <c r="W299" s="233">
        <f>VLOOKUP(tabParametros[[#Headers],[RAT Ajustado]],tabImpostosNacionais[],2,0)</f>
        <v>0.04</v>
      </c>
      <c r="X299" s="233">
        <f>VLOOKUP(tabParametros[[#Headers],[SEBRAE]],tabImpostosNacionais[],2,0)</f>
        <v>6.0000000000000001E-3</v>
      </c>
      <c r="Y299" s="233">
        <f t="shared" si="44"/>
        <v>8.3333333333333329E-2</v>
      </c>
      <c r="Z299" s="233">
        <f t="shared" si="45"/>
        <v>0.1111111111111111</v>
      </c>
      <c r="AA299" s="232">
        <f>VLOOKUP(tabParametros[[#This Row],[Comarca]],tabComarca[],5,0)</f>
        <v>6.4</v>
      </c>
      <c r="AB299" s="232">
        <f>VLOOKUP(tabParametros[[#This Row],[CCT DA CATEGORIA]],tabSindicatos[],6,0)</f>
        <v>29.15</v>
      </c>
      <c r="AC299" s="232">
        <f>VLOOKUP(tabParametros[[#This Row],[CCT DA CATEGORIA]],tabSindicatos[],7,0)</f>
        <v>0</v>
      </c>
      <c r="AD299" s="232" cm="1">
        <f t="array" ref="AD29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299" s="232">
        <f>VLOOKUP(tabParametros[[#This Row],[CCT DA CATEGORIA]],tabSindicatos[],9,0)</f>
        <v>0</v>
      </c>
      <c r="AF299" s="232">
        <f>VLOOKUP(tabParametros[[#This Row],[CCT DA CATEGORIA]],tabSindicatos[],10,0)</f>
        <v>0</v>
      </c>
      <c r="AG299" s="234">
        <f>VLOOKUP(tabParametros[[#Headers],[Seguro de Vida]],tabOutrosCustos[],3,0)</f>
        <v>3.36</v>
      </c>
      <c r="AH299" s="234">
        <f>IF(ISNUMBER(SEARCH("MOTORISTA",tabParametros[[#This Row],[Função]],1)),VLOOKUP("MOTORISTAS",tabDiarias[],2,0),IF(tabParametros[[#This Row],[Comarca]]="Belo Horizonte",VLOOKUP("APOIO",tabDiarias[],2,0),0))</f>
        <v>0</v>
      </c>
      <c r="AI299" s="233">
        <f t="shared" si="46"/>
        <v>7.011766975308642E-3</v>
      </c>
      <c r="AJ299" s="235">
        <f>tabParametros[[#This Row],[FGTS]]*tabParametros[[#This Row],[Aviso Prévio Indenizado (API) e Reflexo do Aviso Prévio Indenizado]]</f>
        <v>5.609413580246914E-4</v>
      </c>
      <c r="AK299" s="235">
        <f>tabParametros[[#This Row],[FGTS]]*tabParametros[[#This Row],[Aviso Prévio Indenizado (API) e Reflexo do Aviso Prévio Indenizado]]*40%</f>
        <v>2.2437654320987658E-4</v>
      </c>
      <c r="AL299" s="233">
        <f t="shared" si="47"/>
        <v>3.5000000000000005E-3</v>
      </c>
      <c r="AM299" s="233">
        <f>tabParametros[[#This Row],[Aviso Prévio Trabalhado - APT]]*SUM(tabParametros[[#This Row],[INSS]:[SEBRAE]])</f>
        <v>1.3230000000000004E-3</v>
      </c>
      <c r="AN299" s="233">
        <f t="shared" si="48"/>
        <v>3.0577777777777773E-2</v>
      </c>
      <c r="AO299" s="233">
        <f t="shared" si="49"/>
        <v>8.3333333333333339E-4</v>
      </c>
      <c r="AP299" s="233">
        <f t="shared" si="50"/>
        <v>8.4444444444444437E-3</v>
      </c>
      <c r="AQ299" s="233">
        <f t="shared" si="51"/>
        <v>2.0277777777777777E-3</v>
      </c>
      <c r="AR299" s="233">
        <f t="shared" si="52"/>
        <v>1.7083333333333333E-4</v>
      </c>
      <c r="AS299" s="233">
        <f t="shared" si="53"/>
        <v>2.0833333333333335E-4</v>
      </c>
      <c r="AT299" s="233">
        <f t="shared" si="54"/>
        <v>1.2962962962962963E-3</v>
      </c>
      <c r="AU299" s="235">
        <f>SUM(tabParametros[[#This Row],[Ausência por Doença]:[Férias, Adicional de Férias e 13º  com empregada em gozo de Licença Maternidade]])*SUM(tabParametros[[#This Row],[INSS]:[SEBRAE]])</f>
        <v>4.5918250000000008E-3</v>
      </c>
      <c r="AV299" s="254">
        <f>IF(tabParametros[[#This Row],[Função]]="Porteiro - 220 h",SUM(tabParametros[[#This Row],[Salário Base]:[Adicional de Acúmulo de função]])/220*20*1.5,IF(ISNUMBER(SEARCH("12 x 36",tabParametros[[#This Row],[Função]],1)),SUM(tabParametros[[#This Row],[Salário Base]:[Adicional de Acúmulo de função]])/210*15.5*1.5,0))</f>
        <v>236.35324352825916</v>
      </c>
      <c r="AW299" s="232">
        <f>IF(tabParametros[[#This Row],[Vagas contratadas]]&gt;0,(SUM(tabParametros[[#This Row],[Salário Base]:[Adicional de Acúmulo de função]])*30%+SUM(tabParametros[[#This Row],[Vale - Alimentação]:[Seguro de Vida]]))/tabParametros[[#This Row],[Vagas contratadas]]*tabParametros[[#This Row],[Vagas suspensas]],0)</f>
        <v>0</v>
      </c>
      <c r="AX299" s="232">
        <f>SUMIF(tabUniformes[Cargo],tabParametros[[#This Row],[Função]],tabUniformes[Valor unit. Mensal])</f>
        <v>56.642978962543395</v>
      </c>
      <c r="AY29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29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29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299" s="232">
        <v>0</v>
      </c>
      <c r="BC299" s="234" t="e">
        <f ca="1">VLOOKUP(tabParametros[[#Headers],[Custos Indiretos]],tabOutrosCustos[],3,0)</f>
        <v>#NAME?</v>
      </c>
      <c r="BD299" s="234" t="e">
        <f ca="1">VLOOKUP(tabParametros[[#Headers],[Lucro]],tabOutrosCustos[],3,0)</f>
        <v>#NAME?</v>
      </c>
      <c r="BE299" s="233">
        <f>VLOOKUP(tabParametros[[#Headers],[COFINS]],tabImpostosNacionais[],2,0)</f>
        <v>7.5999999999999998E-2</v>
      </c>
      <c r="BF299" s="233">
        <f>VLOOKUP(tabParametros[[#Headers],[PIS]],tabImpostosNacionais[],2,0)</f>
        <v>1.6500000000000001E-2</v>
      </c>
      <c r="BG299" s="233">
        <f>VLOOKUP(tabParametros[[#This Row],[Comarca]],tabComarca[],4,0)</f>
        <v>0.03</v>
      </c>
      <c r="BH299" s="236">
        <f>VLOOKUP(tabParametros[[#This Row],[CCT DA CATEGORIA]],tabSindicatos[],11,0)</f>
        <v>45658</v>
      </c>
      <c r="BI299" s="282" t="str">
        <f>VLOOKUP(tabParametros[[#This Row],[CCT DA CATEGORIA]],tabSindicatos[],12,0)</f>
        <v>-</v>
      </c>
      <c r="BJ299" s="285" t="str">
        <f>VLOOKUP(tabParametros[[#This Row],[CCT DA CATEGORIA]],tabSindicatos[],13,0)</f>
        <v>-</v>
      </c>
    </row>
    <row r="300" spans="1:62">
      <c r="A300" s="231" t="s">
        <v>1713</v>
      </c>
      <c r="B300" s="197" t="s">
        <v>1045</v>
      </c>
      <c r="C300" s="197" t="s">
        <v>309</v>
      </c>
      <c r="D300" s="197" t="str">
        <f>VLOOKUP(tabParametros[[#This Row],[Código do Posto]],tabPostos[],4,0)</f>
        <v>Sete Lagoas</v>
      </c>
      <c r="E300" s="282" t="str">
        <f>VLOOKUP(tabParametros[[#This Row],[Código do Posto]],tabPostos[],5,0)</f>
        <v>Apoio</v>
      </c>
      <c r="F300" s="282" t="str">
        <f>VLOOKUP(tabParametros[[#This Row],[Código do Posto]],tabPostos[],6,0)</f>
        <v>PGJ</v>
      </c>
      <c r="G300" s="282">
        <f>VLOOKUP(tabParametros[[#This Row],[Código do Posto]],tabPostos[],7,0)</f>
        <v>2</v>
      </c>
      <c r="H300" s="282">
        <f>VLOOKUP(tabParametros[[#This Row],[Código do Posto]],tabPostos[],8,0)</f>
        <v>0</v>
      </c>
      <c r="I300" s="232">
        <f>VLOOKUP(tabParametros[[#This Row],[Código do Posto]],tabPostos[],9,0)</f>
        <v>2134.8034899326635</v>
      </c>
      <c r="J300" s="232">
        <f>IF(ISNUMBER(SEARCH("Eletricista",tabParametros[[#This Row],[Função]],1)),0.3*tabParametros[[#This Row],[Salário Base]],0)</f>
        <v>0</v>
      </c>
      <c r="K30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0" s="232">
        <f>IF(AND(ISNUMBER(SEARCH("Noturno",tabParametros[[#This Row],[Função]],1)),tabParametros[[#This Row],[Comarca]]&lt;&gt;"Juiz de Fora"),tabParametros[[#This Row],[Salário Base]]/210*0.39*7*15.5,IF(ISNUMBER(SEARCH("Noturno",tabParametros[[#This Row],[Função]],1)),tabParametros[[#This Row],[Salário Base]]/210*0.2*8*15.5,0))</f>
        <v>430.16290322143169</v>
      </c>
      <c r="M300" s="232">
        <f>IF(ISNUMBER(SEARCH("Motorista II",tabParametros[[#This Row],[Função]],1)),0.3022*tabParametros[[#This Row],[Salário Base]],0)</f>
        <v>0</v>
      </c>
      <c r="N300" s="254">
        <v>0</v>
      </c>
      <c r="O300" s="254">
        <f>IF(ISNUMBER(SEARCH("TECNOLOGIA DA INFORMACAO",tabParametros[[#This Row],[Função]],1)),0.056*tabParametros[[#This Row],[Salário Base]],0)</f>
        <v>0</v>
      </c>
      <c r="P300" s="232">
        <f>IF(tabParametros[[#This Row],[Função]]="Operador de Midia Audiovisual - 150 h",tabParametros[[#This Row],[Salário Base]]/150*50*30%,IF(tabParametros[[#This Row],[Função]]="Supervisor de Manutencao de Veiculos II - 220 h",12%*tabParametros[[#This Row],[Salário Base]],0))</f>
        <v>0</v>
      </c>
      <c r="Q300" s="233">
        <f>VLOOKUP(tabParametros[[#Headers],[INSS]],tabImpostosNacionais[],2,0)</f>
        <v>0.2</v>
      </c>
      <c r="R300" s="233">
        <f>VLOOKUP(tabParametros[[#Headers],[SESI OU SESC]],tabImpostosNacionais[],2,0)</f>
        <v>1.4999999999999999E-2</v>
      </c>
      <c r="S300" s="233">
        <f>VLOOKUP(tabParametros[[#Headers],[SENAI OU SENAC]],tabImpostosNacionais[],2,0)</f>
        <v>0.01</v>
      </c>
      <c r="T300" s="233">
        <f>VLOOKUP(tabParametros[[#Headers],[INCRA]],tabImpostosNacionais[],2,0)</f>
        <v>2E-3</v>
      </c>
      <c r="U300" s="233">
        <f>VLOOKUP(tabParametros[[#Headers],[Salário Educação]],tabImpostosNacionais[],2,0)</f>
        <v>2.5000000000000001E-2</v>
      </c>
      <c r="V300" s="233">
        <f>VLOOKUP(tabParametros[[#Headers],[FGTS]],tabImpostosNacionais[],2,0)</f>
        <v>0.08</v>
      </c>
      <c r="W300" s="233">
        <f>VLOOKUP(tabParametros[[#Headers],[RAT Ajustado]],tabImpostosNacionais[],2,0)</f>
        <v>0.04</v>
      </c>
      <c r="X300" s="233">
        <f>VLOOKUP(tabParametros[[#Headers],[SEBRAE]],tabImpostosNacionais[],2,0)</f>
        <v>6.0000000000000001E-3</v>
      </c>
      <c r="Y300" s="233">
        <f t="shared" si="44"/>
        <v>8.3333333333333329E-2</v>
      </c>
      <c r="Z300" s="233">
        <f t="shared" si="45"/>
        <v>0.1111111111111111</v>
      </c>
      <c r="AA300" s="232">
        <f>VLOOKUP(tabParametros[[#This Row],[Comarca]],tabComarca[],5,0)</f>
        <v>6.4</v>
      </c>
      <c r="AB300" s="232">
        <f>VLOOKUP(tabParametros[[#This Row],[CCT DA CATEGORIA]],tabSindicatos[],6,0)</f>
        <v>29.15</v>
      </c>
      <c r="AC300" s="232">
        <f>VLOOKUP(tabParametros[[#This Row],[CCT DA CATEGORIA]],tabSindicatos[],7,0)</f>
        <v>0</v>
      </c>
      <c r="AD300" s="232" cm="1">
        <f t="array" ref="AD30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300" s="232">
        <f>VLOOKUP(tabParametros[[#This Row],[CCT DA CATEGORIA]],tabSindicatos[],9,0)</f>
        <v>0</v>
      </c>
      <c r="AF300" s="232">
        <f>VLOOKUP(tabParametros[[#This Row],[CCT DA CATEGORIA]],tabSindicatos[],10,0)</f>
        <v>0</v>
      </c>
      <c r="AG300" s="234">
        <f>VLOOKUP(tabParametros[[#Headers],[Seguro de Vida]],tabOutrosCustos[],3,0)</f>
        <v>3.36</v>
      </c>
      <c r="AH300" s="234">
        <f>IF(ISNUMBER(SEARCH("MOTORISTA",tabParametros[[#This Row],[Função]],1)),VLOOKUP("MOTORISTAS",tabDiarias[],2,0),IF(tabParametros[[#This Row],[Comarca]]="Belo Horizonte",VLOOKUP("APOIO",tabDiarias[],2,0),0))</f>
        <v>0</v>
      </c>
      <c r="AI300" s="233">
        <f t="shared" si="46"/>
        <v>7.011766975308642E-3</v>
      </c>
      <c r="AJ300" s="235">
        <f>tabParametros[[#This Row],[FGTS]]*tabParametros[[#This Row],[Aviso Prévio Indenizado (API) e Reflexo do Aviso Prévio Indenizado]]</f>
        <v>5.609413580246914E-4</v>
      </c>
      <c r="AK300" s="235">
        <f>tabParametros[[#This Row],[FGTS]]*tabParametros[[#This Row],[Aviso Prévio Indenizado (API) e Reflexo do Aviso Prévio Indenizado]]*40%</f>
        <v>2.2437654320987658E-4</v>
      </c>
      <c r="AL300" s="233">
        <f t="shared" si="47"/>
        <v>3.5000000000000005E-3</v>
      </c>
      <c r="AM300" s="233">
        <f>tabParametros[[#This Row],[Aviso Prévio Trabalhado - APT]]*SUM(tabParametros[[#This Row],[INSS]:[SEBRAE]])</f>
        <v>1.3230000000000004E-3</v>
      </c>
      <c r="AN300" s="233">
        <f t="shared" si="48"/>
        <v>3.0577777777777773E-2</v>
      </c>
      <c r="AO300" s="233">
        <f t="shared" si="49"/>
        <v>8.3333333333333339E-4</v>
      </c>
      <c r="AP300" s="233">
        <f t="shared" si="50"/>
        <v>8.4444444444444437E-3</v>
      </c>
      <c r="AQ300" s="233">
        <f t="shared" si="51"/>
        <v>2.0277777777777777E-3</v>
      </c>
      <c r="AR300" s="233">
        <f t="shared" si="52"/>
        <v>1.7083333333333333E-4</v>
      </c>
      <c r="AS300" s="233">
        <f t="shared" si="53"/>
        <v>2.0833333333333335E-4</v>
      </c>
      <c r="AT300" s="233">
        <f t="shared" si="54"/>
        <v>1.2962962962962963E-3</v>
      </c>
      <c r="AU300" s="235">
        <f>SUM(tabParametros[[#This Row],[Ausência por Doença]:[Férias, Adicional de Férias e 13º  com empregada em gozo de Licença Maternidade]])*SUM(tabParametros[[#This Row],[INSS]:[SEBRAE]])</f>
        <v>4.5918250000000008E-3</v>
      </c>
      <c r="AV300" s="254">
        <f>IF(tabParametros[[#This Row],[Função]]="Porteiro - 220 h",SUM(tabParametros[[#This Row],[Salário Base]:[Adicional de Acúmulo de função]])/220*20*1.5,IF(ISNUMBER(SEARCH("12 x 36",tabParametros[[#This Row],[Função]],1)),SUM(tabParametros[[#This Row],[Salário Base]:[Adicional de Acúmulo de função]])/210*15.5*1.5,0))</f>
        <v>283.97842209920344</v>
      </c>
      <c r="AW300" s="232">
        <f>IF(tabParametros[[#This Row],[Vagas contratadas]]&gt;0,(SUM(tabParametros[[#This Row],[Salário Base]:[Adicional de Acúmulo de função]])*30%+SUM(tabParametros[[#This Row],[Vale - Alimentação]:[Seguro de Vida]]))/tabParametros[[#This Row],[Vagas contratadas]]*tabParametros[[#This Row],[Vagas suspensas]],0)</f>
        <v>0</v>
      </c>
      <c r="AX300" s="232">
        <f>SUMIF(tabUniformes[Cargo],tabParametros[[#This Row],[Função]],tabUniformes[Valor unit. Mensal])</f>
        <v>56.642978962543395</v>
      </c>
      <c r="AY30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0" s="232">
        <v>0</v>
      </c>
      <c r="BC300" s="234" t="e">
        <f ca="1">VLOOKUP(tabParametros[[#Headers],[Custos Indiretos]],tabOutrosCustos[],3,0)</f>
        <v>#NAME?</v>
      </c>
      <c r="BD300" s="234" t="e">
        <f ca="1">VLOOKUP(tabParametros[[#Headers],[Lucro]],tabOutrosCustos[],3,0)</f>
        <v>#NAME?</v>
      </c>
      <c r="BE300" s="233">
        <f>VLOOKUP(tabParametros[[#Headers],[COFINS]],tabImpostosNacionais[],2,0)</f>
        <v>7.5999999999999998E-2</v>
      </c>
      <c r="BF300" s="233">
        <f>VLOOKUP(tabParametros[[#Headers],[PIS]],tabImpostosNacionais[],2,0)</f>
        <v>1.6500000000000001E-2</v>
      </c>
      <c r="BG300" s="233">
        <f>VLOOKUP(tabParametros[[#This Row],[Comarca]],tabComarca[],4,0)</f>
        <v>0.03</v>
      </c>
      <c r="BH300" s="236">
        <f>VLOOKUP(tabParametros[[#This Row],[CCT DA CATEGORIA]],tabSindicatos[],11,0)</f>
        <v>45658</v>
      </c>
      <c r="BI300" s="282" t="str">
        <f>VLOOKUP(tabParametros[[#This Row],[CCT DA CATEGORIA]],tabSindicatos[],12,0)</f>
        <v>-</v>
      </c>
      <c r="BJ300" s="285" t="str">
        <f>VLOOKUP(tabParametros[[#This Row],[CCT DA CATEGORIA]],tabSindicatos[],13,0)</f>
        <v>-</v>
      </c>
    </row>
    <row r="301" spans="1:62">
      <c r="A301" s="231" t="s">
        <v>1714</v>
      </c>
      <c r="B301" s="197" t="s">
        <v>1209</v>
      </c>
      <c r="C301" s="197" t="s">
        <v>314</v>
      </c>
      <c r="D301" s="197" t="str">
        <f>VLOOKUP(tabParametros[[#This Row],[Código do Posto]],tabPostos[],4,0)</f>
        <v>Sethac Norte de Minas</v>
      </c>
      <c r="E301" s="282" t="str">
        <f>VLOOKUP(tabParametros[[#This Row],[Código do Posto]],tabPostos[],5,0)</f>
        <v>Apoio</v>
      </c>
      <c r="F301" s="282" t="str">
        <f>VLOOKUP(tabParametros[[#This Row],[Código do Posto]],tabPostos[],6,0)</f>
        <v>PGJ</v>
      </c>
      <c r="G301" s="282">
        <f>VLOOKUP(tabParametros[[#This Row],[Código do Posto]],tabPostos[],7,0)</f>
        <v>1</v>
      </c>
      <c r="H301" s="282">
        <f>VLOOKUP(tabParametros[[#This Row],[Código do Posto]],tabPostos[],8,0)</f>
        <v>0</v>
      </c>
      <c r="I301" s="232">
        <f>VLOOKUP(tabParametros[[#This Row],[Código do Posto]],tabPostos[],9,0)</f>
        <v>1963.4110092077037</v>
      </c>
      <c r="J301" s="232">
        <f>IF(ISNUMBER(SEARCH("Eletricista",tabParametros[[#This Row],[Função]],1)),0.3*tabParametros[[#This Row],[Salário Base]],0)</f>
        <v>0</v>
      </c>
      <c r="K30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1" s="232">
        <f>IF(AND(ISNUMBER(SEARCH("Noturno",tabParametros[[#This Row],[Função]],1)),tabParametros[[#This Row],[Comarca]]&lt;&gt;"Juiz de Fora"),tabParametros[[#This Row],[Salário Base]]/210*0.39*7*15.5,IF(ISNUMBER(SEARCH("Noturno",tabParametros[[#This Row],[Função]],1)),tabParametros[[#This Row],[Salário Base]]/210*0.2*8*15.5,0))</f>
        <v>0</v>
      </c>
      <c r="M301" s="232">
        <f>IF(ISNUMBER(SEARCH("Motorista II",tabParametros[[#This Row],[Função]],1)),0.3022*tabParametros[[#This Row],[Salário Base]],0)</f>
        <v>0</v>
      </c>
      <c r="N301" s="254">
        <v>0</v>
      </c>
      <c r="O301" s="254">
        <f>IF(ISNUMBER(SEARCH("TECNOLOGIA DA INFORMACAO",tabParametros[[#This Row],[Função]],1)),0.056*tabParametros[[#This Row],[Salário Base]],0)</f>
        <v>0</v>
      </c>
      <c r="P301" s="232">
        <f>IF(tabParametros[[#This Row],[Função]]="Operador de Midia Audiovisual - 150 h",tabParametros[[#This Row],[Salário Base]]/150*50*30%,IF(tabParametros[[#This Row],[Função]]="Supervisor de Manutencao de Veiculos II - 220 h",12%*tabParametros[[#This Row],[Salário Base]],0))</f>
        <v>0</v>
      </c>
      <c r="Q301" s="233">
        <f>VLOOKUP(tabParametros[[#Headers],[INSS]],tabImpostosNacionais[],2,0)</f>
        <v>0.2</v>
      </c>
      <c r="R301" s="233">
        <f>VLOOKUP(tabParametros[[#Headers],[SESI OU SESC]],tabImpostosNacionais[],2,0)</f>
        <v>1.4999999999999999E-2</v>
      </c>
      <c r="S301" s="233">
        <f>VLOOKUP(tabParametros[[#Headers],[SENAI OU SENAC]],tabImpostosNacionais[],2,0)</f>
        <v>0.01</v>
      </c>
      <c r="T301" s="233">
        <f>VLOOKUP(tabParametros[[#Headers],[INCRA]],tabImpostosNacionais[],2,0)</f>
        <v>2E-3</v>
      </c>
      <c r="U301" s="233">
        <f>VLOOKUP(tabParametros[[#Headers],[Salário Educação]],tabImpostosNacionais[],2,0)</f>
        <v>2.5000000000000001E-2</v>
      </c>
      <c r="V301" s="233">
        <f>VLOOKUP(tabParametros[[#Headers],[FGTS]],tabImpostosNacionais[],2,0)</f>
        <v>0.08</v>
      </c>
      <c r="W301" s="233">
        <f>VLOOKUP(tabParametros[[#Headers],[RAT Ajustado]],tabImpostosNacionais[],2,0)</f>
        <v>0.04</v>
      </c>
      <c r="X301" s="233">
        <f>VLOOKUP(tabParametros[[#Headers],[SEBRAE]],tabImpostosNacionais[],2,0)</f>
        <v>6.0000000000000001E-3</v>
      </c>
      <c r="Y301" s="233">
        <f t="shared" si="44"/>
        <v>8.3333333333333329E-2</v>
      </c>
      <c r="Z301" s="233">
        <f t="shared" si="45"/>
        <v>0.1111111111111111</v>
      </c>
      <c r="AA301" s="232">
        <f>VLOOKUP(tabParametros[[#This Row],[Comarca]],tabComarca[],5,0)</f>
        <v>6.4</v>
      </c>
      <c r="AB301" s="232">
        <f>VLOOKUP(tabParametros[[#This Row],[CCT DA CATEGORIA]],tabSindicatos[],6,0)</f>
        <v>29.15</v>
      </c>
      <c r="AC301" s="232">
        <f>VLOOKUP(tabParametros[[#This Row],[CCT DA CATEGORIA]],tabSindicatos[],7,0)</f>
        <v>0</v>
      </c>
      <c r="AD301" s="232" cm="1">
        <f t="array" ref="AD30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01" s="232">
        <f>VLOOKUP(tabParametros[[#This Row],[CCT DA CATEGORIA]],tabSindicatos[],9,0)</f>
        <v>0</v>
      </c>
      <c r="AF301" s="232">
        <f>VLOOKUP(tabParametros[[#This Row],[CCT DA CATEGORIA]],tabSindicatos[],10,0)</f>
        <v>0</v>
      </c>
      <c r="AG301" s="234">
        <f>VLOOKUP(tabParametros[[#Headers],[Seguro de Vida]],tabOutrosCustos[],3,0)</f>
        <v>3.36</v>
      </c>
      <c r="AH301" s="234">
        <f>IF(ISNUMBER(SEARCH("MOTORISTA",tabParametros[[#This Row],[Função]],1)),VLOOKUP("MOTORISTAS",tabDiarias[],2,0),IF(tabParametros[[#This Row],[Comarca]]="Belo Horizonte",VLOOKUP("APOIO",tabDiarias[],2,0),0))</f>
        <v>0</v>
      </c>
      <c r="AI301" s="233">
        <f t="shared" si="46"/>
        <v>7.011766975308642E-3</v>
      </c>
      <c r="AJ301" s="235">
        <f>tabParametros[[#This Row],[FGTS]]*tabParametros[[#This Row],[Aviso Prévio Indenizado (API) e Reflexo do Aviso Prévio Indenizado]]</f>
        <v>5.609413580246914E-4</v>
      </c>
      <c r="AK301" s="235">
        <f>tabParametros[[#This Row],[FGTS]]*tabParametros[[#This Row],[Aviso Prévio Indenizado (API) e Reflexo do Aviso Prévio Indenizado]]*40%</f>
        <v>2.2437654320987658E-4</v>
      </c>
      <c r="AL301" s="233">
        <f t="shared" si="47"/>
        <v>3.5000000000000005E-3</v>
      </c>
      <c r="AM301" s="233">
        <f>tabParametros[[#This Row],[Aviso Prévio Trabalhado - APT]]*SUM(tabParametros[[#This Row],[INSS]:[SEBRAE]])</f>
        <v>1.3230000000000004E-3</v>
      </c>
      <c r="AN301" s="233">
        <f t="shared" si="48"/>
        <v>3.0577777777777773E-2</v>
      </c>
      <c r="AO301" s="233">
        <f t="shared" si="49"/>
        <v>8.3333333333333339E-4</v>
      </c>
      <c r="AP301" s="233">
        <f t="shared" si="50"/>
        <v>8.4444444444444437E-3</v>
      </c>
      <c r="AQ301" s="233">
        <f t="shared" si="51"/>
        <v>2.0277777777777777E-3</v>
      </c>
      <c r="AR301" s="233">
        <f t="shared" si="52"/>
        <v>1.7083333333333333E-4</v>
      </c>
      <c r="AS301" s="233">
        <f t="shared" si="53"/>
        <v>2.0833333333333335E-4</v>
      </c>
      <c r="AT301" s="233">
        <f t="shared" si="54"/>
        <v>1.2962962962962963E-3</v>
      </c>
      <c r="AU301" s="235">
        <f>SUM(tabParametros[[#This Row],[Ausência por Doença]:[Férias, Adicional de Férias e 13º  com empregada em gozo de Licença Maternidade]])*SUM(tabParametros[[#This Row],[INSS]:[SEBRAE]])</f>
        <v>4.5918250000000008E-3</v>
      </c>
      <c r="AV301"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301" s="232">
        <f>IF(tabParametros[[#This Row],[Vagas contratadas]]&gt;0,(SUM(tabParametros[[#This Row],[Salário Base]:[Adicional de Acúmulo de função]])*30%+SUM(tabParametros[[#This Row],[Vale - Alimentação]:[Seguro de Vida]]))/tabParametros[[#This Row],[Vagas contratadas]]*tabParametros[[#This Row],[Vagas suspensas]],0)</f>
        <v>0</v>
      </c>
      <c r="AX301" s="232">
        <f>SUMIF(tabUniformes[Cargo],tabParametros[[#This Row],[Função]],tabUniformes[Valor unit. Mensal])</f>
        <v>56.642978962543395</v>
      </c>
      <c r="AY30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1" s="232">
        <v>0</v>
      </c>
      <c r="BC301" s="234" t="e">
        <f ca="1">VLOOKUP(tabParametros[[#Headers],[Custos Indiretos]],tabOutrosCustos[],3,0)</f>
        <v>#NAME?</v>
      </c>
      <c r="BD301" s="234" t="e">
        <f ca="1">VLOOKUP(tabParametros[[#Headers],[Lucro]],tabOutrosCustos[],3,0)</f>
        <v>#NAME?</v>
      </c>
      <c r="BE301" s="233">
        <f>VLOOKUP(tabParametros[[#Headers],[COFINS]],tabImpostosNacionais[],2,0)</f>
        <v>7.5999999999999998E-2</v>
      </c>
      <c r="BF301" s="233">
        <f>VLOOKUP(tabParametros[[#Headers],[PIS]],tabImpostosNacionais[],2,0)</f>
        <v>1.6500000000000001E-2</v>
      </c>
      <c r="BG301" s="233">
        <f>VLOOKUP(tabParametros[[#This Row],[Comarca]],tabComarca[],4,0)</f>
        <v>0.03</v>
      </c>
      <c r="BH301" s="236">
        <f>VLOOKUP(tabParametros[[#This Row],[CCT DA CATEGORIA]],tabSindicatos[],11,0)</f>
        <v>45658</v>
      </c>
      <c r="BI301" s="282" t="str">
        <f>VLOOKUP(tabParametros[[#This Row],[CCT DA CATEGORIA]],tabSindicatos[],12,0)</f>
        <v>-</v>
      </c>
      <c r="BJ301" s="285" t="str">
        <f>VLOOKUP(tabParametros[[#This Row],[CCT DA CATEGORIA]],tabSindicatos[],13,0)</f>
        <v>-</v>
      </c>
    </row>
    <row r="302" spans="1:62">
      <c r="A302" s="231" t="s">
        <v>1715</v>
      </c>
      <c r="B302" s="197" t="s">
        <v>1066</v>
      </c>
      <c r="C302" s="197" t="s">
        <v>244</v>
      </c>
      <c r="D302" s="197" t="str">
        <f>VLOOKUP(tabParametros[[#This Row],[Código do Posto]],tabPostos[],4,0)</f>
        <v>Teofilo Otoni</v>
      </c>
      <c r="E302" s="282" t="str">
        <f>VLOOKUP(tabParametros[[#This Row],[Código do Posto]],tabPostos[],5,0)</f>
        <v>Apoio</v>
      </c>
      <c r="F302" s="282" t="str">
        <f>VLOOKUP(tabParametros[[#This Row],[Código do Posto]],tabPostos[],6,0)</f>
        <v>PGJ</v>
      </c>
      <c r="G302" s="282">
        <f>VLOOKUP(tabParametros[[#This Row],[Código do Posto]],tabPostos[],7,0)</f>
        <v>1</v>
      </c>
      <c r="H302" s="282">
        <f>VLOOKUP(tabParametros[[#This Row],[Código do Posto]],tabPostos[],8,0)</f>
        <v>0</v>
      </c>
      <c r="I302" s="232">
        <f>VLOOKUP(tabParametros[[#This Row],[Código do Posto]],tabPostos[],9,0)</f>
        <v>2296.1756892610078</v>
      </c>
      <c r="J302" s="232">
        <f>IF(ISNUMBER(SEARCH("Eletricista",tabParametros[[#This Row],[Função]],1)),0.3*tabParametros[[#This Row],[Salário Base]],0)</f>
        <v>0</v>
      </c>
      <c r="K30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302" s="232">
        <f>IF(AND(ISNUMBER(SEARCH("Noturno",tabParametros[[#This Row],[Função]],1)),tabParametros[[#This Row],[Comarca]]&lt;&gt;"Juiz de Fora"),tabParametros[[#This Row],[Salário Base]]/210*0.39*7*15.5,IF(ISNUMBER(SEARCH("Noturno",tabParametros[[#This Row],[Função]],1)),tabParametros[[#This Row],[Salário Base]]/210*0.2*8*15.5,0))</f>
        <v>0</v>
      </c>
      <c r="M302" s="232">
        <f>IF(ISNUMBER(SEARCH("Motorista II",tabParametros[[#This Row],[Função]],1)),0.3022*tabParametros[[#This Row],[Salário Base]],0)</f>
        <v>0</v>
      </c>
      <c r="N302" s="254">
        <v>0</v>
      </c>
      <c r="O302" s="254">
        <f>IF(ISNUMBER(SEARCH("TECNOLOGIA DA INFORMACAO",tabParametros[[#This Row],[Função]],1)),0.056*tabParametros[[#This Row],[Salário Base]],0)</f>
        <v>0</v>
      </c>
      <c r="P302" s="232">
        <f>IF(tabParametros[[#This Row],[Função]]="Operador de Midia Audiovisual - 150 h",tabParametros[[#This Row],[Salário Base]]/150*50*30%,IF(tabParametros[[#This Row],[Função]]="Supervisor de Manutencao de Veiculos II - 220 h",12%*tabParametros[[#This Row],[Salário Base]],0))</f>
        <v>0</v>
      </c>
      <c r="Q302" s="233">
        <f>VLOOKUP(tabParametros[[#Headers],[INSS]],tabImpostosNacionais[],2,0)</f>
        <v>0.2</v>
      </c>
      <c r="R302" s="233">
        <f>VLOOKUP(tabParametros[[#Headers],[SESI OU SESC]],tabImpostosNacionais[],2,0)</f>
        <v>1.4999999999999999E-2</v>
      </c>
      <c r="S302" s="233">
        <f>VLOOKUP(tabParametros[[#Headers],[SENAI OU SENAC]],tabImpostosNacionais[],2,0)</f>
        <v>0.01</v>
      </c>
      <c r="T302" s="233">
        <f>VLOOKUP(tabParametros[[#Headers],[INCRA]],tabImpostosNacionais[],2,0)</f>
        <v>2E-3</v>
      </c>
      <c r="U302" s="233">
        <f>VLOOKUP(tabParametros[[#Headers],[Salário Educação]],tabImpostosNacionais[],2,0)</f>
        <v>2.5000000000000001E-2</v>
      </c>
      <c r="V302" s="233">
        <f>VLOOKUP(tabParametros[[#Headers],[FGTS]],tabImpostosNacionais[],2,0)</f>
        <v>0.08</v>
      </c>
      <c r="W302" s="233">
        <f>VLOOKUP(tabParametros[[#Headers],[RAT Ajustado]],tabImpostosNacionais[],2,0)</f>
        <v>0.04</v>
      </c>
      <c r="X302" s="233">
        <f>VLOOKUP(tabParametros[[#Headers],[SEBRAE]],tabImpostosNacionais[],2,0)</f>
        <v>6.0000000000000001E-3</v>
      </c>
      <c r="Y302" s="233">
        <f t="shared" si="44"/>
        <v>8.3333333333333329E-2</v>
      </c>
      <c r="Z302" s="233">
        <f t="shared" si="45"/>
        <v>0.1111111111111111</v>
      </c>
      <c r="AA302" s="232">
        <f>VLOOKUP(tabParametros[[#This Row],[Comarca]],tabComarca[],5,0)</f>
        <v>6.4</v>
      </c>
      <c r="AB302" s="232">
        <f>VLOOKUP(tabParametros[[#This Row],[CCT DA CATEGORIA]],tabSindicatos[],6,0)</f>
        <v>29.15</v>
      </c>
      <c r="AC302" s="232">
        <f>VLOOKUP(tabParametros[[#This Row],[CCT DA CATEGORIA]],tabSindicatos[],7,0)</f>
        <v>0</v>
      </c>
      <c r="AD302" s="232" cm="1">
        <f t="array" ref="AD30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02" s="232">
        <f>VLOOKUP(tabParametros[[#This Row],[CCT DA CATEGORIA]],tabSindicatos[],9,0)</f>
        <v>15.07</v>
      </c>
      <c r="AF302" s="232">
        <f>VLOOKUP(tabParametros[[#This Row],[CCT DA CATEGORIA]],tabSindicatos[],10,0)</f>
        <v>0</v>
      </c>
      <c r="AG302" s="234">
        <f>VLOOKUP(tabParametros[[#Headers],[Seguro de Vida]],tabOutrosCustos[],3,0)</f>
        <v>3.36</v>
      </c>
      <c r="AH302" s="234">
        <f>IF(ISNUMBER(SEARCH("MOTORISTA",tabParametros[[#This Row],[Função]],1)),VLOOKUP("MOTORISTAS",tabDiarias[],2,0),IF(tabParametros[[#This Row],[Comarca]]="Belo Horizonte",VLOOKUP("APOIO",tabDiarias[],2,0),0))</f>
        <v>0</v>
      </c>
      <c r="AI302" s="233">
        <f t="shared" si="46"/>
        <v>7.011766975308642E-3</v>
      </c>
      <c r="AJ302" s="235">
        <f>tabParametros[[#This Row],[FGTS]]*tabParametros[[#This Row],[Aviso Prévio Indenizado (API) e Reflexo do Aviso Prévio Indenizado]]</f>
        <v>5.609413580246914E-4</v>
      </c>
      <c r="AK302" s="235">
        <f>tabParametros[[#This Row],[FGTS]]*tabParametros[[#This Row],[Aviso Prévio Indenizado (API) e Reflexo do Aviso Prévio Indenizado]]*40%</f>
        <v>2.2437654320987658E-4</v>
      </c>
      <c r="AL302" s="233">
        <f t="shared" si="47"/>
        <v>3.5000000000000005E-3</v>
      </c>
      <c r="AM302" s="233">
        <f>tabParametros[[#This Row],[Aviso Prévio Trabalhado - APT]]*SUM(tabParametros[[#This Row],[INSS]:[SEBRAE]])</f>
        <v>1.3230000000000004E-3</v>
      </c>
      <c r="AN302" s="233">
        <f t="shared" si="48"/>
        <v>3.0577777777777773E-2</v>
      </c>
      <c r="AO302" s="233">
        <f t="shared" si="49"/>
        <v>8.3333333333333339E-4</v>
      </c>
      <c r="AP302" s="233">
        <f t="shared" si="50"/>
        <v>8.4444444444444437E-3</v>
      </c>
      <c r="AQ302" s="233">
        <f t="shared" si="51"/>
        <v>2.0277777777777777E-3</v>
      </c>
      <c r="AR302" s="233">
        <f t="shared" si="52"/>
        <v>1.7083333333333333E-4</v>
      </c>
      <c r="AS302" s="233">
        <f t="shared" si="53"/>
        <v>2.0833333333333335E-4</v>
      </c>
      <c r="AT302" s="233">
        <f t="shared" si="54"/>
        <v>1.2962962962962963E-3</v>
      </c>
      <c r="AU302" s="235">
        <f>SUM(tabParametros[[#This Row],[Ausência por Doença]:[Férias, Adicional de Férias e 13º  com empregada em gozo de Licença Maternidade]])*SUM(tabParametros[[#This Row],[INSS]:[SEBRAE]])</f>
        <v>4.5918250000000008E-3</v>
      </c>
      <c r="AV302" s="254">
        <f>IF(tabParametros[[#This Row],[Função]]="Porteiro - 220 h",SUM(tabParametros[[#This Row],[Salário Base]:[Adicional de Acúmulo de função]])/220*20*1.5,IF(ISNUMBER(SEARCH("12 x 36",tabParametros[[#This Row],[Função]],1)),SUM(tabParametros[[#This Row],[Salário Base]:[Adicional de Acúmulo de função]])/210*15.5*1.5,0))</f>
        <v>0</v>
      </c>
      <c r="AW302" s="232">
        <f>IF(tabParametros[[#This Row],[Vagas contratadas]]&gt;0,(SUM(tabParametros[[#This Row],[Salário Base]:[Adicional de Acúmulo de função]])*30%+SUM(tabParametros[[#This Row],[Vale - Alimentação]:[Seguro de Vida]]))/tabParametros[[#This Row],[Vagas contratadas]]*tabParametros[[#This Row],[Vagas suspensas]],0)</f>
        <v>0</v>
      </c>
      <c r="AX302" s="232">
        <f>SUMIF(tabUniformes[Cargo],tabParametros[[#This Row],[Função]],tabUniformes[Valor unit. Mensal])</f>
        <v>226.33322732312172</v>
      </c>
      <c r="AY30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30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30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2" s="232">
        <v>0</v>
      </c>
      <c r="BC302" s="234" t="e">
        <f ca="1">VLOOKUP(tabParametros[[#Headers],[Custos Indiretos]],tabOutrosCustos[],3,0)</f>
        <v>#NAME?</v>
      </c>
      <c r="BD302" s="234" t="e">
        <f ca="1">VLOOKUP(tabParametros[[#Headers],[Lucro]],tabOutrosCustos[],3,0)</f>
        <v>#NAME?</v>
      </c>
      <c r="BE302" s="233">
        <f>VLOOKUP(tabParametros[[#Headers],[COFINS]],tabImpostosNacionais[],2,0)</f>
        <v>7.5999999999999998E-2</v>
      </c>
      <c r="BF302" s="233">
        <f>VLOOKUP(tabParametros[[#Headers],[PIS]],tabImpostosNacionais[],2,0)</f>
        <v>1.6500000000000001E-2</v>
      </c>
      <c r="BG302" s="233">
        <f>VLOOKUP(tabParametros[[#This Row],[Comarca]],tabComarca[],4,0)</f>
        <v>0.02</v>
      </c>
      <c r="BH302" s="236">
        <f>VLOOKUP(tabParametros[[#This Row],[CCT DA CATEGORIA]],tabSindicatos[],11,0)</f>
        <v>45658</v>
      </c>
      <c r="BI302" s="282" t="str">
        <f>VLOOKUP(tabParametros[[#This Row],[CCT DA CATEGORIA]],tabSindicatos[],12,0)</f>
        <v>-</v>
      </c>
      <c r="BJ302" s="285" t="str">
        <f>VLOOKUP(tabParametros[[#This Row],[CCT DA CATEGORIA]],tabSindicatos[],13,0)</f>
        <v>-</v>
      </c>
    </row>
    <row r="303" spans="1:62">
      <c r="A303" s="231" t="s">
        <v>1716</v>
      </c>
      <c r="B303" s="197" t="s">
        <v>1066</v>
      </c>
      <c r="C303" s="197" t="s">
        <v>274</v>
      </c>
      <c r="D303" s="197" t="str">
        <f>VLOOKUP(tabParametros[[#This Row],[Código do Posto]],tabPostos[],4,0)</f>
        <v>Rodoviarios de Teofilo Otoni + SEAC-MG</v>
      </c>
      <c r="E303" s="282" t="str">
        <f>VLOOKUP(tabParametros[[#This Row],[Código do Posto]],tabPostos[],5,0)</f>
        <v>Apoio</v>
      </c>
      <c r="F303" s="282" t="str">
        <f>VLOOKUP(tabParametros[[#This Row],[Código do Posto]],tabPostos[],6,0)</f>
        <v>PGJ</v>
      </c>
      <c r="G303" s="282">
        <f>VLOOKUP(tabParametros[[#This Row],[Código do Posto]],tabPostos[],7,0)</f>
        <v>3</v>
      </c>
      <c r="H303" s="282">
        <f>VLOOKUP(tabParametros[[#This Row],[Código do Posto]],tabPostos[],8,0)</f>
        <v>0</v>
      </c>
      <c r="I303" s="232">
        <f>VLOOKUP(tabParametros[[#This Row],[Código do Posto]],tabPostos[],9,0)</f>
        <v>4341.0199946317061</v>
      </c>
      <c r="J303" s="232">
        <f>IF(ISNUMBER(SEARCH("Eletricista",tabParametros[[#This Row],[Função]],1)),0.3*tabParametros[[#This Row],[Salário Base]],0)</f>
        <v>0</v>
      </c>
      <c r="K30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3" s="232">
        <f>IF(AND(ISNUMBER(SEARCH("Noturno",tabParametros[[#This Row],[Função]],1)),tabParametros[[#This Row],[Comarca]]&lt;&gt;"Juiz de Fora"),tabParametros[[#This Row],[Salário Base]]/210*0.39*7*15.5,IF(ISNUMBER(SEARCH("Noturno",tabParametros[[#This Row],[Função]],1)),tabParametros[[#This Row],[Salário Base]]/210*0.2*8*15.5,0))</f>
        <v>0</v>
      </c>
      <c r="M303" s="232">
        <f>IF(ISNUMBER(SEARCH("Motorista II",tabParametros[[#This Row],[Função]],1)),0.3022*tabParametros[[#This Row],[Salário Base]],0)</f>
        <v>0</v>
      </c>
      <c r="N303" s="254">
        <v>0</v>
      </c>
      <c r="O303" s="254">
        <f>IF(ISNUMBER(SEARCH("TECNOLOGIA DA INFORMACAO",tabParametros[[#This Row],[Função]],1)),0.056*tabParametros[[#This Row],[Salário Base]],0)</f>
        <v>0</v>
      </c>
      <c r="P303" s="232">
        <f>IF(tabParametros[[#This Row],[Função]]="Operador de Midia Audiovisual - 150 h",tabParametros[[#This Row],[Salário Base]]/150*50*30%,IF(tabParametros[[#This Row],[Função]]="Supervisor de Manutencao de Veiculos II - 220 h",12%*tabParametros[[#This Row],[Salário Base]],0))</f>
        <v>0</v>
      </c>
      <c r="Q303" s="233">
        <f>VLOOKUP(tabParametros[[#Headers],[INSS]],tabImpostosNacionais[],2,0)</f>
        <v>0.2</v>
      </c>
      <c r="R303" s="233">
        <f>VLOOKUP(tabParametros[[#Headers],[SESI OU SESC]],tabImpostosNacionais[],2,0)</f>
        <v>1.4999999999999999E-2</v>
      </c>
      <c r="S303" s="233">
        <f>VLOOKUP(tabParametros[[#Headers],[SENAI OU SENAC]],tabImpostosNacionais[],2,0)</f>
        <v>0.01</v>
      </c>
      <c r="T303" s="233">
        <f>VLOOKUP(tabParametros[[#Headers],[INCRA]],tabImpostosNacionais[],2,0)</f>
        <v>2E-3</v>
      </c>
      <c r="U303" s="233">
        <f>VLOOKUP(tabParametros[[#Headers],[Salário Educação]],tabImpostosNacionais[],2,0)</f>
        <v>2.5000000000000001E-2</v>
      </c>
      <c r="V303" s="233">
        <f>VLOOKUP(tabParametros[[#Headers],[FGTS]],tabImpostosNacionais[],2,0)</f>
        <v>0.08</v>
      </c>
      <c r="W303" s="233">
        <f>VLOOKUP(tabParametros[[#Headers],[RAT Ajustado]],tabImpostosNacionais[],2,0)</f>
        <v>0.04</v>
      </c>
      <c r="X303" s="233">
        <f>VLOOKUP(tabParametros[[#Headers],[SEBRAE]],tabImpostosNacionais[],2,0)</f>
        <v>6.0000000000000001E-3</v>
      </c>
      <c r="Y303" s="233">
        <f t="shared" si="44"/>
        <v>8.3333333333333329E-2</v>
      </c>
      <c r="Z303" s="233">
        <f t="shared" si="45"/>
        <v>0.1111111111111111</v>
      </c>
      <c r="AA303" s="232">
        <f>VLOOKUP(tabParametros[[#This Row],[Comarca]],tabComarca[],5,0)</f>
        <v>6.4</v>
      </c>
      <c r="AB303" s="232">
        <f>VLOOKUP(tabParametros[[#This Row],[CCT DA CATEGORIA]],tabSindicatos[],6,0)</f>
        <v>28.97</v>
      </c>
      <c r="AC303" s="232">
        <f>VLOOKUP(tabParametros[[#This Row],[CCT DA CATEGORIA]],tabSindicatos[],7,0)</f>
        <v>0</v>
      </c>
      <c r="AD303" s="232" cm="1">
        <f t="array" ref="AD30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303" s="232">
        <f>VLOOKUP(tabParametros[[#This Row],[CCT DA CATEGORIA]],tabSindicatos[],9,0)</f>
        <v>0</v>
      </c>
      <c r="AF303" s="232">
        <f>VLOOKUP(tabParametros[[#This Row],[CCT DA CATEGORIA]],tabSindicatos[],10,0)</f>
        <v>0</v>
      </c>
      <c r="AG303" s="234">
        <f>VLOOKUP(tabParametros[[#Headers],[Seguro de Vida]],tabOutrosCustos[],3,0)</f>
        <v>3.36</v>
      </c>
      <c r="AH303" s="234">
        <f>IF(ISNUMBER(SEARCH("MOTORISTA",tabParametros[[#This Row],[Função]],1)),VLOOKUP("MOTORISTAS",tabDiarias[],2,0),IF(tabParametros[[#This Row],[Comarca]]="Belo Horizonte",VLOOKUP("APOIO",tabDiarias[],2,0),0))</f>
        <v>662.42</v>
      </c>
      <c r="AI303" s="233">
        <f t="shared" si="46"/>
        <v>7.011766975308642E-3</v>
      </c>
      <c r="AJ303" s="235">
        <f>tabParametros[[#This Row],[FGTS]]*tabParametros[[#This Row],[Aviso Prévio Indenizado (API) e Reflexo do Aviso Prévio Indenizado]]</f>
        <v>5.609413580246914E-4</v>
      </c>
      <c r="AK303" s="235">
        <f>tabParametros[[#This Row],[FGTS]]*tabParametros[[#This Row],[Aviso Prévio Indenizado (API) e Reflexo do Aviso Prévio Indenizado]]*40%</f>
        <v>2.2437654320987658E-4</v>
      </c>
      <c r="AL303" s="233">
        <f t="shared" si="47"/>
        <v>3.5000000000000005E-3</v>
      </c>
      <c r="AM303" s="233">
        <f>tabParametros[[#This Row],[Aviso Prévio Trabalhado - APT]]*SUM(tabParametros[[#This Row],[INSS]:[SEBRAE]])</f>
        <v>1.3230000000000004E-3</v>
      </c>
      <c r="AN303" s="233">
        <f t="shared" si="48"/>
        <v>3.0577777777777773E-2</v>
      </c>
      <c r="AO303" s="233">
        <f t="shared" si="49"/>
        <v>8.3333333333333339E-4</v>
      </c>
      <c r="AP303" s="233">
        <f t="shared" si="50"/>
        <v>8.4444444444444437E-3</v>
      </c>
      <c r="AQ303" s="233">
        <f t="shared" si="51"/>
        <v>2.0277777777777777E-3</v>
      </c>
      <c r="AR303" s="233">
        <f t="shared" si="52"/>
        <v>1.7083333333333333E-4</v>
      </c>
      <c r="AS303" s="233">
        <f t="shared" si="53"/>
        <v>2.0833333333333335E-4</v>
      </c>
      <c r="AT303" s="233">
        <f t="shared" si="54"/>
        <v>1.2962962962962963E-3</v>
      </c>
      <c r="AU303" s="235">
        <f>SUM(tabParametros[[#This Row],[Ausência por Doença]:[Férias, Adicional de Férias e 13º  com empregada em gozo de Licença Maternidade]])*SUM(tabParametros[[#This Row],[INSS]:[SEBRAE]])</f>
        <v>4.5918250000000008E-3</v>
      </c>
      <c r="AV303" s="254">
        <f>IF(tabParametros[[#This Row],[Função]]="Porteiro - 220 h",SUM(tabParametros[[#This Row],[Salário Base]:[Adicional de Acúmulo de função]])/220*20*1.5,IF(ISNUMBER(SEARCH("12 x 36",tabParametros[[#This Row],[Função]],1)),SUM(tabParametros[[#This Row],[Salário Base]:[Adicional de Acúmulo de função]])/210*15.5*1.5,0))</f>
        <v>0</v>
      </c>
      <c r="AW303" s="232">
        <f>IF(tabParametros[[#This Row],[Vagas contratadas]]&gt;0,(SUM(tabParametros[[#This Row],[Salário Base]:[Adicional de Acúmulo de função]])*30%+SUM(tabParametros[[#This Row],[Vale - Alimentação]:[Seguro de Vida]]))/tabParametros[[#This Row],[Vagas contratadas]]*tabParametros[[#This Row],[Vagas suspensas]],0)</f>
        <v>0</v>
      </c>
      <c r="AX303" s="232">
        <f>SUMIF(tabUniformes[Cargo],tabParametros[[#This Row],[Função]],tabUniformes[Valor unit. Mensal])</f>
        <v>92.100763771570698</v>
      </c>
      <c r="AY30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3" s="232">
        <v>0</v>
      </c>
      <c r="BC303" s="234" t="e">
        <f ca="1">VLOOKUP(tabParametros[[#Headers],[Custos Indiretos]],tabOutrosCustos[],3,0)</f>
        <v>#NAME?</v>
      </c>
      <c r="BD303" s="234" t="e">
        <f ca="1">VLOOKUP(tabParametros[[#Headers],[Lucro]],tabOutrosCustos[],3,0)</f>
        <v>#NAME?</v>
      </c>
      <c r="BE303" s="233">
        <f>VLOOKUP(tabParametros[[#Headers],[COFINS]],tabImpostosNacionais[],2,0)</f>
        <v>7.5999999999999998E-2</v>
      </c>
      <c r="BF303" s="233">
        <f>VLOOKUP(tabParametros[[#Headers],[PIS]],tabImpostosNacionais[],2,0)</f>
        <v>1.6500000000000001E-2</v>
      </c>
      <c r="BG303" s="233">
        <f>VLOOKUP(tabParametros[[#This Row],[Comarca]],tabComarca[],4,0)</f>
        <v>0.02</v>
      </c>
      <c r="BH303" s="236">
        <f>VLOOKUP(tabParametros[[#This Row],[CCT DA CATEGORIA]],tabSindicatos[],11,0)</f>
        <v>45658</v>
      </c>
      <c r="BI303" s="282" t="str">
        <f>VLOOKUP(tabParametros[[#This Row],[CCT DA CATEGORIA]],tabSindicatos[],12,0)</f>
        <v>-</v>
      </c>
      <c r="BJ303" s="285" t="str">
        <f>VLOOKUP(tabParametros[[#This Row],[CCT DA CATEGORIA]],tabSindicatos[],13,0)</f>
        <v>-</v>
      </c>
    </row>
    <row r="304" spans="1:62">
      <c r="A304" s="231" t="s">
        <v>1717</v>
      </c>
      <c r="B304" s="197" t="s">
        <v>1066</v>
      </c>
      <c r="C304" s="197" t="s">
        <v>274</v>
      </c>
      <c r="D304" s="197" t="str">
        <f>VLOOKUP(tabParametros[[#This Row],[Código do Posto]],tabPostos[],4,0)</f>
        <v>Rodoviarios de Teofilo Otoni + SEAC-MG</v>
      </c>
      <c r="E304" s="282" t="str">
        <f>VLOOKUP(tabParametros[[#This Row],[Código do Posto]],tabPostos[],5,0)</f>
        <v>Apoio</v>
      </c>
      <c r="F304" s="282" t="str">
        <f>VLOOKUP(tabParametros[[#This Row],[Código do Posto]],tabPostos[],6,0)</f>
        <v>FEPDC</v>
      </c>
      <c r="G304" s="282">
        <f>VLOOKUP(tabParametros[[#This Row],[Código do Posto]],tabPostos[],7,0)</f>
        <v>1</v>
      </c>
      <c r="H304" s="282">
        <f>VLOOKUP(tabParametros[[#This Row],[Código do Posto]],tabPostos[],8,0)</f>
        <v>0</v>
      </c>
      <c r="I304" s="232">
        <f>VLOOKUP(tabParametros[[#This Row],[Código do Posto]],tabPostos[],9,0)</f>
        <v>4341.0199946317061</v>
      </c>
      <c r="J304" s="232">
        <f>IF(ISNUMBER(SEARCH("Eletricista",tabParametros[[#This Row],[Função]],1)),0.3*tabParametros[[#This Row],[Salário Base]],0)</f>
        <v>0</v>
      </c>
      <c r="K30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4" s="232">
        <f>IF(AND(ISNUMBER(SEARCH("Noturno",tabParametros[[#This Row],[Função]],1)),tabParametros[[#This Row],[Comarca]]&lt;&gt;"Juiz de Fora"),tabParametros[[#This Row],[Salário Base]]/210*0.39*7*15.5,IF(ISNUMBER(SEARCH("Noturno",tabParametros[[#This Row],[Função]],1)),tabParametros[[#This Row],[Salário Base]]/210*0.2*8*15.5,0))</f>
        <v>0</v>
      </c>
      <c r="M304" s="232">
        <f>IF(ISNUMBER(SEARCH("Motorista II",tabParametros[[#This Row],[Função]],1)),0.3022*tabParametros[[#This Row],[Salário Base]],0)</f>
        <v>0</v>
      </c>
      <c r="N304" s="254">
        <v>0</v>
      </c>
      <c r="O304" s="254">
        <f>IF(ISNUMBER(SEARCH("TECNOLOGIA DA INFORMACAO",tabParametros[[#This Row],[Função]],1)),0.056*tabParametros[[#This Row],[Salário Base]],0)</f>
        <v>0</v>
      </c>
      <c r="P304" s="232">
        <f>IF(tabParametros[[#This Row],[Função]]="Operador de Midia Audiovisual - 150 h",tabParametros[[#This Row],[Salário Base]]/150*50*30%,IF(tabParametros[[#This Row],[Função]]="Supervisor de Manutencao de Veiculos II - 220 h",12%*tabParametros[[#This Row],[Salário Base]],0))</f>
        <v>0</v>
      </c>
      <c r="Q304" s="233">
        <f>VLOOKUP(tabParametros[[#Headers],[INSS]],tabImpostosNacionais[],2,0)</f>
        <v>0.2</v>
      </c>
      <c r="R304" s="233">
        <f>VLOOKUP(tabParametros[[#Headers],[SESI OU SESC]],tabImpostosNacionais[],2,0)</f>
        <v>1.4999999999999999E-2</v>
      </c>
      <c r="S304" s="233">
        <f>VLOOKUP(tabParametros[[#Headers],[SENAI OU SENAC]],tabImpostosNacionais[],2,0)</f>
        <v>0.01</v>
      </c>
      <c r="T304" s="233">
        <f>VLOOKUP(tabParametros[[#Headers],[INCRA]],tabImpostosNacionais[],2,0)</f>
        <v>2E-3</v>
      </c>
      <c r="U304" s="233">
        <f>VLOOKUP(tabParametros[[#Headers],[Salário Educação]],tabImpostosNacionais[],2,0)</f>
        <v>2.5000000000000001E-2</v>
      </c>
      <c r="V304" s="233">
        <f>VLOOKUP(tabParametros[[#Headers],[FGTS]],tabImpostosNacionais[],2,0)</f>
        <v>0.08</v>
      </c>
      <c r="W304" s="233">
        <f>VLOOKUP(tabParametros[[#Headers],[RAT Ajustado]],tabImpostosNacionais[],2,0)</f>
        <v>0.04</v>
      </c>
      <c r="X304" s="233">
        <f>VLOOKUP(tabParametros[[#Headers],[SEBRAE]],tabImpostosNacionais[],2,0)</f>
        <v>6.0000000000000001E-3</v>
      </c>
      <c r="Y304" s="233">
        <f t="shared" si="44"/>
        <v>8.3333333333333329E-2</v>
      </c>
      <c r="Z304" s="233">
        <f t="shared" si="45"/>
        <v>0.1111111111111111</v>
      </c>
      <c r="AA304" s="232">
        <f>VLOOKUP(tabParametros[[#This Row],[Comarca]],tabComarca[],5,0)</f>
        <v>6.4</v>
      </c>
      <c r="AB304" s="232">
        <f>VLOOKUP(tabParametros[[#This Row],[CCT DA CATEGORIA]],tabSindicatos[],6,0)</f>
        <v>28.97</v>
      </c>
      <c r="AC304" s="232">
        <f>VLOOKUP(tabParametros[[#This Row],[CCT DA CATEGORIA]],tabSindicatos[],7,0)</f>
        <v>0</v>
      </c>
      <c r="AD304" s="232" cm="1">
        <f t="array" ref="AD30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304" s="232">
        <f>VLOOKUP(tabParametros[[#This Row],[CCT DA CATEGORIA]],tabSindicatos[],9,0)</f>
        <v>0</v>
      </c>
      <c r="AF304" s="232">
        <f>VLOOKUP(tabParametros[[#This Row],[CCT DA CATEGORIA]],tabSindicatos[],10,0)</f>
        <v>0</v>
      </c>
      <c r="AG304" s="234">
        <f>VLOOKUP(tabParametros[[#Headers],[Seguro de Vida]],tabOutrosCustos[],3,0)</f>
        <v>3.36</v>
      </c>
      <c r="AH304" s="234">
        <f>IF(ISNUMBER(SEARCH("MOTORISTA",tabParametros[[#This Row],[Função]],1)),VLOOKUP("MOTORISTAS",tabDiarias[],2,0),IF(tabParametros[[#This Row],[Comarca]]="Belo Horizonte",VLOOKUP("APOIO",tabDiarias[],2,0),0))</f>
        <v>662.42</v>
      </c>
      <c r="AI304" s="233">
        <f t="shared" si="46"/>
        <v>7.011766975308642E-3</v>
      </c>
      <c r="AJ304" s="235">
        <f>tabParametros[[#This Row],[FGTS]]*tabParametros[[#This Row],[Aviso Prévio Indenizado (API) e Reflexo do Aviso Prévio Indenizado]]</f>
        <v>5.609413580246914E-4</v>
      </c>
      <c r="AK304" s="235">
        <f>tabParametros[[#This Row],[FGTS]]*tabParametros[[#This Row],[Aviso Prévio Indenizado (API) e Reflexo do Aviso Prévio Indenizado]]*40%</f>
        <v>2.2437654320987658E-4</v>
      </c>
      <c r="AL304" s="233">
        <f t="shared" si="47"/>
        <v>3.5000000000000005E-3</v>
      </c>
      <c r="AM304" s="233">
        <f>tabParametros[[#This Row],[Aviso Prévio Trabalhado - APT]]*SUM(tabParametros[[#This Row],[INSS]:[SEBRAE]])</f>
        <v>1.3230000000000004E-3</v>
      </c>
      <c r="AN304" s="233">
        <f t="shared" si="48"/>
        <v>3.0577777777777773E-2</v>
      </c>
      <c r="AO304" s="233">
        <f t="shared" si="49"/>
        <v>8.3333333333333339E-4</v>
      </c>
      <c r="AP304" s="233">
        <f t="shared" si="50"/>
        <v>8.4444444444444437E-3</v>
      </c>
      <c r="AQ304" s="233">
        <f t="shared" si="51"/>
        <v>2.0277777777777777E-3</v>
      </c>
      <c r="AR304" s="233">
        <f t="shared" si="52"/>
        <v>1.7083333333333333E-4</v>
      </c>
      <c r="AS304" s="233">
        <f t="shared" si="53"/>
        <v>2.0833333333333335E-4</v>
      </c>
      <c r="AT304" s="233">
        <f t="shared" si="54"/>
        <v>1.2962962962962963E-3</v>
      </c>
      <c r="AU304" s="235">
        <f>SUM(tabParametros[[#This Row],[Ausência por Doença]:[Férias, Adicional de Férias e 13º  com empregada em gozo de Licença Maternidade]])*SUM(tabParametros[[#This Row],[INSS]:[SEBRAE]])</f>
        <v>4.5918250000000008E-3</v>
      </c>
      <c r="AV304" s="254">
        <f>IF(tabParametros[[#This Row],[Função]]="Porteiro - 220 h",SUM(tabParametros[[#This Row],[Salário Base]:[Adicional de Acúmulo de função]])/220*20*1.5,IF(ISNUMBER(SEARCH("12 x 36",tabParametros[[#This Row],[Função]],1)),SUM(tabParametros[[#This Row],[Salário Base]:[Adicional de Acúmulo de função]])/210*15.5*1.5,0))</f>
        <v>0</v>
      </c>
      <c r="AW304" s="232">
        <f>IF(tabParametros[[#This Row],[Vagas contratadas]]&gt;0,(SUM(tabParametros[[#This Row],[Salário Base]:[Adicional de Acúmulo de função]])*30%+SUM(tabParametros[[#This Row],[Vale - Alimentação]:[Seguro de Vida]]))/tabParametros[[#This Row],[Vagas contratadas]]*tabParametros[[#This Row],[Vagas suspensas]],0)</f>
        <v>0</v>
      </c>
      <c r="AX304" s="232">
        <f>SUMIF(tabUniformes[Cargo],tabParametros[[#This Row],[Função]],tabUniformes[Valor unit. Mensal])</f>
        <v>92.100763771570698</v>
      </c>
      <c r="AY30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4" s="232">
        <v>0</v>
      </c>
      <c r="BC304" s="234" t="e">
        <f ca="1">VLOOKUP(tabParametros[[#Headers],[Custos Indiretos]],tabOutrosCustos[],3,0)</f>
        <v>#NAME?</v>
      </c>
      <c r="BD304" s="234" t="e">
        <f ca="1">VLOOKUP(tabParametros[[#Headers],[Lucro]],tabOutrosCustos[],3,0)</f>
        <v>#NAME?</v>
      </c>
      <c r="BE304" s="233">
        <f>VLOOKUP(tabParametros[[#Headers],[COFINS]],tabImpostosNacionais[],2,0)</f>
        <v>7.5999999999999998E-2</v>
      </c>
      <c r="BF304" s="233">
        <f>VLOOKUP(tabParametros[[#Headers],[PIS]],tabImpostosNacionais[],2,0)</f>
        <v>1.6500000000000001E-2</v>
      </c>
      <c r="BG304" s="233">
        <f>VLOOKUP(tabParametros[[#This Row],[Comarca]],tabComarca[],4,0)</f>
        <v>0.02</v>
      </c>
      <c r="BH304" s="236">
        <f>VLOOKUP(tabParametros[[#This Row],[CCT DA CATEGORIA]],tabSindicatos[],11,0)</f>
        <v>45658</v>
      </c>
      <c r="BI304" s="282" t="str">
        <f>VLOOKUP(tabParametros[[#This Row],[CCT DA CATEGORIA]],tabSindicatos[],12,0)</f>
        <v>-</v>
      </c>
      <c r="BJ304" s="285" t="str">
        <f>VLOOKUP(tabParametros[[#This Row],[CCT DA CATEGORIA]],tabSindicatos[],13,0)</f>
        <v>-</v>
      </c>
    </row>
    <row r="305" spans="1:62">
      <c r="A305" s="231" t="s">
        <v>1718</v>
      </c>
      <c r="B305" s="197" t="s">
        <v>1066</v>
      </c>
      <c r="C305" s="197" t="s">
        <v>304</v>
      </c>
      <c r="D305" s="197" t="str">
        <f>VLOOKUP(tabParametros[[#This Row],[Código do Posto]],tabPostos[],4,0)</f>
        <v>Teofilo Otoni</v>
      </c>
      <c r="E305" s="282" t="str">
        <f>VLOOKUP(tabParametros[[#This Row],[Código do Posto]],tabPostos[],5,0)</f>
        <v>Apoio</v>
      </c>
      <c r="F305" s="282" t="str">
        <f>VLOOKUP(tabParametros[[#This Row],[Código do Posto]],tabPostos[],6,0)</f>
        <v>PGJ</v>
      </c>
      <c r="G305" s="282">
        <f>VLOOKUP(tabParametros[[#This Row],[Código do Posto]],tabPostos[],7,0)</f>
        <v>4</v>
      </c>
      <c r="H305" s="282">
        <f>VLOOKUP(tabParametros[[#This Row],[Código do Posto]],tabPostos[],8,0)</f>
        <v>0</v>
      </c>
      <c r="I305" s="232">
        <f>VLOOKUP(tabParametros[[#This Row],[Código do Posto]],tabPostos[],9,0)</f>
        <v>2134.8041615332936</v>
      </c>
      <c r="J305" s="232">
        <f>IF(ISNUMBER(SEARCH("Eletricista",tabParametros[[#This Row],[Função]],1)),0.3*tabParametros[[#This Row],[Salário Base]],0)</f>
        <v>0</v>
      </c>
      <c r="K30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5" s="232">
        <f>IF(AND(ISNUMBER(SEARCH("Noturno",tabParametros[[#This Row],[Função]],1)),tabParametros[[#This Row],[Comarca]]&lt;&gt;"Juiz de Fora"),tabParametros[[#This Row],[Salário Base]]/210*0.39*7*15.5,IF(ISNUMBER(SEARCH("Noturno",tabParametros[[#This Row],[Função]],1)),tabParametros[[#This Row],[Salário Base]]/210*0.2*8*15.5,0))</f>
        <v>0</v>
      </c>
      <c r="M305" s="232">
        <f>IF(ISNUMBER(SEARCH("Motorista II",tabParametros[[#This Row],[Função]],1)),0.3022*tabParametros[[#This Row],[Salário Base]],0)</f>
        <v>0</v>
      </c>
      <c r="N305" s="254">
        <v>0</v>
      </c>
      <c r="O305" s="254">
        <f>IF(ISNUMBER(SEARCH("TECNOLOGIA DA INFORMACAO",tabParametros[[#This Row],[Função]],1)),0.056*tabParametros[[#This Row],[Salário Base]],0)</f>
        <v>0</v>
      </c>
      <c r="P305" s="232">
        <f>IF(tabParametros[[#This Row],[Função]]="Operador de Midia Audiovisual - 150 h",tabParametros[[#This Row],[Salário Base]]/150*50*30%,IF(tabParametros[[#This Row],[Função]]="Supervisor de Manutencao de Veiculos II - 220 h",12%*tabParametros[[#This Row],[Salário Base]],0))</f>
        <v>0</v>
      </c>
      <c r="Q305" s="233">
        <f>VLOOKUP(tabParametros[[#Headers],[INSS]],tabImpostosNacionais[],2,0)</f>
        <v>0.2</v>
      </c>
      <c r="R305" s="233">
        <f>VLOOKUP(tabParametros[[#Headers],[SESI OU SESC]],tabImpostosNacionais[],2,0)</f>
        <v>1.4999999999999999E-2</v>
      </c>
      <c r="S305" s="233">
        <f>VLOOKUP(tabParametros[[#Headers],[SENAI OU SENAC]],tabImpostosNacionais[],2,0)</f>
        <v>0.01</v>
      </c>
      <c r="T305" s="233">
        <f>VLOOKUP(tabParametros[[#Headers],[INCRA]],tabImpostosNacionais[],2,0)</f>
        <v>2E-3</v>
      </c>
      <c r="U305" s="233">
        <f>VLOOKUP(tabParametros[[#Headers],[Salário Educação]],tabImpostosNacionais[],2,0)</f>
        <v>2.5000000000000001E-2</v>
      </c>
      <c r="V305" s="233">
        <f>VLOOKUP(tabParametros[[#Headers],[FGTS]],tabImpostosNacionais[],2,0)</f>
        <v>0.08</v>
      </c>
      <c r="W305" s="233">
        <f>VLOOKUP(tabParametros[[#Headers],[RAT Ajustado]],tabImpostosNacionais[],2,0)</f>
        <v>0.04</v>
      </c>
      <c r="X305" s="233">
        <f>VLOOKUP(tabParametros[[#Headers],[SEBRAE]],tabImpostosNacionais[],2,0)</f>
        <v>6.0000000000000001E-3</v>
      </c>
      <c r="Y305" s="233">
        <f t="shared" si="44"/>
        <v>8.3333333333333329E-2</v>
      </c>
      <c r="Z305" s="233">
        <f t="shared" si="45"/>
        <v>0.1111111111111111</v>
      </c>
      <c r="AA305" s="232">
        <f>VLOOKUP(tabParametros[[#This Row],[Comarca]],tabComarca[],5,0)</f>
        <v>6.4</v>
      </c>
      <c r="AB305" s="232">
        <f>VLOOKUP(tabParametros[[#This Row],[CCT DA CATEGORIA]],tabSindicatos[],6,0)</f>
        <v>29.15</v>
      </c>
      <c r="AC305" s="232">
        <f>VLOOKUP(tabParametros[[#This Row],[CCT DA CATEGORIA]],tabSindicatos[],7,0)</f>
        <v>0</v>
      </c>
      <c r="AD305" s="232" cm="1">
        <f t="array" ref="AD30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05" s="232">
        <f>VLOOKUP(tabParametros[[#This Row],[CCT DA CATEGORIA]],tabSindicatos[],9,0)</f>
        <v>15.07</v>
      </c>
      <c r="AF305" s="232">
        <f>VLOOKUP(tabParametros[[#This Row],[CCT DA CATEGORIA]],tabSindicatos[],10,0)</f>
        <v>0</v>
      </c>
      <c r="AG305" s="234">
        <f>VLOOKUP(tabParametros[[#Headers],[Seguro de Vida]],tabOutrosCustos[],3,0)</f>
        <v>3.36</v>
      </c>
      <c r="AH305" s="234">
        <f>IF(ISNUMBER(SEARCH("MOTORISTA",tabParametros[[#This Row],[Função]],1)),VLOOKUP("MOTORISTAS",tabDiarias[],2,0),IF(tabParametros[[#This Row],[Comarca]]="Belo Horizonte",VLOOKUP("APOIO",tabDiarias[],2,0),0))</f>
        <v>0</v>
      </c>
      <c r="AI305" s="233">
        <f t="shared" si="46"/>
        <v>7.011766975308642E-3</v>
      </c>
      <c r="AJ305" s="235">
        <f>tabParametros[[#This Row],[FGTS]]*tabParametros[[#This Row],[Aviso Prévio Indenizado (API) e Reflexo do Aviso Prévio Indenizado]]</f>
        <v>5.609413580246914E-4</v>
      </c>
      <c r="AK305" s="235">
        <f>tabParametros[[#This Row],[FGTS]]*tabParametros[[#This Row],[Aviso Prévio Indenizado (API) e Reflexo do Aviso Prévio Indenizado]]*40%</f>
        <v>2.2437654320987658E-4</v>
      </c>
      <c r="AL305" s="233">
        <f t="shared" si="47"/>
        <v>3.5000000000000005E-3</v>
      </c>
      <c r="AM305" s="233">
        <f>tabParametros[[#This Row],[Aviso Prévio Trabalhado - APT]]*SUM(tabParametros[[#This Row],[INSS]:[SEBRAE]])</f>
        <v>1.3230000000000004E-3</v>
      </c>
      <c r="AN305" s="233">
        <f t="shared" si="48"/>
        <v>3.0577777777777773E-2</v>
      </c>
      <c r="AO305" s="233">
        <f t="shared" si="49"/>
        <v>8.3333333333333339E-4</v>
      </c>
      <c r="AP305" s="233">
        <f t="shared" si="50"/>
        <v>8.4444444444444437E-3</v>
      </c>
      <c r="AQ305" s="233">
        <f t="shared" si="51"/>
        <v>2.0277777777777777E-3</v>
      </c>
      <c r="AR305" s="233">
        <f t="shared" si="52"/>
        <v>1.7083333333333333E-4</v>
      </c>
      <c r="AS305" s="233">
        <f t="shared" si="53"/>
        <v>2.0833333333333335E-4</v>
      </c>
      <c r="AT305" s="233">
        <f t="shared" si="54"/>
        <v>1.2962962962962963E-3</v>
      </c>
      <c r="AU305" s="235">
        <f>SUM(tabParametros[[#This Row],[Ausência por Doença]:[Férias, Adicional de Férias e 13º  com empregada em gozo de Licença Maternidade]])*SUM(tabParametros[[#This Row],[INSS]:[SEBRAE]])</f>
        <v>4.5918250000000008E-3</v>
      </c>
      <c r="AV305" s="254">
        <f>IF(tabParametros[[#This Row],[Função]]="Porteiro - 220 h",SUM(tabParametros[[#This Row],[Salário Base]:[Adicional de Acúmulo de função]])/220*20*1.5,IF(ISNUMBER(SEARCH("12 x 36",tabParametros[[#This Row],[Função]],1)),SUM(tabParametros[[#This Row],[Salário Base]:[Adicional de Acúmulo de função]])/210*15.5*1.5,0))</f>
        <v>236.35331788404324</v>
      </c>
      <c r="AW305" s="232">
        <f>IF(tabParametros[[#This Row],[Vagas contratadas]]&gt;0,(SUM(tabParametros[[#This Row],[Salário Base]:[Adicional de Acúmulo de função]])*30%+SUM(tabParametros[[#This Row],[Vale - Alimentação]:[Seguro de Vida]]))/tabParametros[[#This Row],[Vagas contratadas]]*tabParametros[[#This Row],[Vagas suspensas]],0)</f>
        <v>0</v>
      </c>
      <c r="AX305" s="232">
        <f>SUMIF(tabUniformes[Cargo],tabParametros[[#This Row],[Função]],tabUniformes[Valor unit. Mensal])</f>
        <v>56.642978962543395</v>
      </c>
      <c r="AY30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5" s="232">
        <v>0</v>
      </c>
      <c r="BC305" s="234" t="e">
        <f ca="1">VLOOKUP(tabParametros[[#Headers],[Custos Indiretos]],tabOutrosCustos[],3,0)</f>
        <v>#NAME?</v>
      </c>
      <c r="BD305" s="234" t="e">
        <f ca="1">VLOOKUP(tabParametros[[#Headers],[Lucro]],tabOutrosCustos[],3,0)</f>
        <v>#NAME?</v>
      </c>
      <c r="BE305" s="233">
        <f>VLOOKUP(tabParametros[[#Headers],[COFINS]],tabImpostosNacionais[],2,0)</f>
        <v>7.5999999999999998E-2</v>
      </c>
      <c r="BF305" s="233">
        <f>VLOOKUP(tabParametros[[#Headers],[PIS]],tabImpostosNacionais[],2,0)</f>
        <v>1.6500000000000001E-2</v>
      </c>
      <c r="BG305" s="233">
        <f>VLOOKUP(tabParametros[[#This Row],[Comarca]],tabComarca[],4,0)</f>
        <v>0.02</v>
      </c>
      <c r="BH305" s="236">
        <f>VLOOKUP(tabParametros[[#This Row],[CCT DA CATEGORIA]],tabSindicatos[],11,0)</f>
        <v>45658</v>
      </c>
      <c r="BI305" s="282" t="str">
        <f>VLOOKUP(tabParametros[[#This Row],[CCT DA CATEGORIA]],tabSindicatos[],12,0)</f>
        <v>-</v>
      </c>
      <c r="BJ305" s="285" t="str">
        <f>VLOOKUP(tabParametros[[#This Row],[CCT DA CATEGORIA]],tabSindicatos[],13,0)</f>
        <v>-</v>
      </c>
    </row>
    <row r="306" spans="1:62">
      <c r="A306" s="231" t="s">
        <v>1719</v>
      </c>
      <c r="B306" s="197" t="s">
        <v>1066</v>
      </c>
      <c r="C306" s="197" t="s">
        <v>309</v>
      </c>
      <c r="D306" s="197" t="str">
        <f>VLOOKUP(tabParametros[[#This Row],[Código do Posto]],tabPostos[],4,0)</f>
        <v>Teofilo Otoni</v>
      </c>
      <c r="E306" s="282" t="str">
        <f>VLOOKUP(tabParametros[[#This Row],[Código do Posto]],tabPostos[],5,0)</f>
        <v>Apoio</v>
      </c>
      <c r="F306" s="282" t="str">
        <f>VLOOKUP(tabParametros[[#This Row],[Código do Posto]],tabPostos[],6,0)</f>
        <v>PGJ</v>
      </c>
      <c r="G306" s="282">
        <f>VLOOKUP(tabParametros[[#This Row],[Código do Posto]],tabPostos[],7,0)</f>
        <v>4</v>
      </c>
      <c r="H306" s="282">
        <f>VLOOKUP(tabParametros[[#This Row],[Código do Posto]],tabPostos[],8,0)</f>
        <v>0</v>
      </c>
      <c r="I306" s="232">
        <f>VLOOKUP(tabParametros[[#This Row],[Código do Posto]],tabPostos[],9,0)</f>
        <v>2134.8041615332936</v>
      </c>
      <c r="J306" s="232">
        <f>IF(ISNUMBER(SEARCH("Eletricista",tabParametros[[#This Row],[Função]],1)),0.3*tabParametros[[#This Row],[Salário Base]],0)</f>
        <v>0</v>
      </c>
      <c r="K30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6" s="232">
        <f>IF(AND(ISNUMBER(SEARCH("Noturno",tabParametros[[#This Row],[Função]],1)),tabParametros[[#This Row],[Comarca]]&lt;&gt;"Juiz de Fora"),tabParametros[[#This Row],[Salário Base]]/210*0.39*7*15.5,IF(ISNUMBER(SEARCH("Noturno",tabParametros[[#This Row],[Função]],1)),tabParametros[[#This Row],[Salário Base]]/210*0.2*8*15.5,0))</f>
        <v>430.1630385489587</v>
      </c>
      <c r="M306" s="232">
        <f>IF(ISNUMBER(SEARCH("Motorista II",tabParametros[[#This Row],[Função]],1)),0.3022*tabParametros[[#This Row],[Salário Base]],0)</f>
        <v>0</v>
      </c>
      <c r="N306" s="254">
        <v>0</v>
      </c>
      <c r="O306" s="254">
        <f>IF(ISNUMBER(SEARCH("TECNOLOGIA DA INFORMACAO",tabParametros[[#This Row],[Função]],1)),0.056*tabParametros[[#This Row],[Salário Base]],0)</f>
        <v>0</v>
      </c>
      <c r="P306" s="232">
        <f>IF(tabParametros[[#This Row],[Função]]="Operador de Midia Audiovisual - 150 h",tabParametros[[#This Row],[Salário Base]]/150*50*30%,IF(tabParametros[[#This Row],[Função]]="Supervisor de Manutencao de Veiculos II - 220 h",12%*tabParametros[[#This Row],[Salário Base]],0))</f>
        <v>0</v>
      </c>
      <c r="Q306" s="233">
        <f>VLOOKUP(tabParametros[[#Headers],[INSS]],tabImpostosNacionais[],2,0)</f>
        <v>0.2</v>
      </c>
      <c r="R306" s="233">
        <f>VLOOKUP(tabParametros[[#Headers],[SESI OU SESC]],tabImpostosNacionais[],2,0)</f>
        <v>1.4999999999999999E-2</v>
      </c>
      <c r="S306" s="233">
        <f>VLOOKUP(tabParametros[[#Headers],[SENAI OU SENAC]],tabImpostosNacionais[],2,0)</f>
        <v>0.01</v>
      </c>
      <c r="T306" s="233">
        <f>VLOOKUP(tabParametros[[#Headers],[INCRA]],tabImpostosNacionais[],2,0)</f>
        <v>2E-3</v>
      </c>
      <c r="U306" s="233">
        <f>VLOOKUP(tabParametros[[#Headers],[Salário Educação]],tabImpostosNacionais[],2,0)</f>
        <v>2.5000000000000001E-2</v>
      </c>
      <c r="V306" s="233">
        <f>VLOOKUP(tabParametros[[#Headers],[FGTS]],tabImpostosNacionais[],2,0)</f>
        <v>0.08</v>
      </c>
      <c r="W306" s="233">
        <f>VLOOKUP(tabParametros[[#Headers],[RAT Ajustado]],tabImpostosNacionais[],2,0)</f>
        <v>0.04</v>
      </c>
      <c r="X306" s="233">
        <f>VLOOKUP(tabParametros[[#Headers],[SEBRAE]],tabImpostosNacionais[],2,0)</f>
        <v>6.0000000000000001E-3</v>
      </c>
      <c r="Y306" s="233">
        <f t="shared" si="44"/>
        <v>8.3333333333333329E-2</v>
      </c>
      <c r="Z306" s="233">
        <f t="shared" si="45"/>
        <v>0.1111111111111111</v>
      </c>
      <c r="AA306" s="232">
        <f>VLOOKUP(tabParametros[[#This Row],[Comarca]],tabComarca[],5,0)</f>
        <v>6.4</v>
      </c>
      <c r="AB306" s="232">
        <f>VLOOKUP(tabParametros[[#This Row],[CCT DA CATEGORIA]],tabSindicatos[],6,0)</f>
        <v>29.15</v>
      </c>
      <c r="AC306" s="232">
        <f>VLOOKUP(tabParametros[[#This Row],[CCT DA CATEGORIA]],tabSindicatos[],7,0)</f>
        <v>0</v>
      </c>
      <c r="AD306" s="232" cm="1">
        <f t="array" ref="AD30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06" s="232">
        <f>VLOOKUP(tabParametros[[#This Row],[CCT DA CATEGORIA]],tabSindicatos[],9,0)</f>
        <v>15.07</v>
      </c>
      <c r="AF306" s="232">
        <f>VLOOKUP(tabParametros[[#This Row],[CCT DA CATEGORIA]],tabSindicatos[],10,0)</f>
        <v>0</v>
      </c>
      <c r="AG306" s="234">
        <f>VLOOKUP(tabParametros[[#Headers],[Seguro de Vida]],tabOutrosCustos[],3,0)</f>
        <v>3.36</v>
      </c>
      <c r="AH306" s="234">
        <f>IF(ISNUMBER(SEARCH("MOTORISTA",tabParametros[[#This Row],[Função]],1)),VLOOKUP("MOTORISTAS",tabDiarias[],2,0),IF(tabParametros[[#This Row],[Comarca]]="Belo Horizonte",VLOOKUP("APOIO",tabDiarias[],2,0),0))</f>
        <v>0</v>
      </c>
      <c r="AI306" s="233">
        <f t="shared" si="46"/>
        <v>7.011766975308642E-3</v>
      </c>
      <c r="AJ306" s="235">
        <f>tabParametros[[#This Row],[FGTS]]*tabParametros[[#This Row],[Aviso Prévio Indenizado (API) e Reflexo do Aviso Prévio Indenizado]]</f>
        <v>5.609413580246914E-4</v>
      </c>
      <c r="AK306" s="235">
        <f>tabParametros[[#This Row],[FGTS]]*tabParametros[[#This Row],[Aviso Prévio Indenizado (API) e Reflexo do Aviso Prévio Indenizado]]*40%</f>
        <v>2.2437654320987658E-4</v>
      </c>
      <c r="AL306" s="233">
        <f t="shared" si="47"/>
        <v>3.5000000000000005E-3</v>
      </c>
      <c r="AM306" s="233">
        <f>tabParametros[[#This Row],[Aviso Prévio Trabalhado - APT]]*SUM(tabParametros[[#This Row],[INSS]:[SEBRAE]])</f>
        <v>1.3230000000000004E-3</v>
      </c>
      <c r="AN306" s="233">
        <f t="shared" si="48"/>
        <v>3.0577777777777773E-2</v>
      </c>
      <c r="AO306" s="233">
        <f t="shared" si="49"/>
        <v>8.3333333333333339E-4</v>
      </c>
      <c r="AP306" s="233">
        <f t="shared" si="50"/>
        <v>8.4444444444444437E-3</v>
      </c>
      <c r="AQ306" s="233">
        <f t="shared" si="51"/>
        <v>2.0277777777777777E-3</v>
      </c>
      <c r="AR306" s="233">
        <f t="shared" si="52"/>
        <v>1.7083333333333333E-4</v>
      </c>
      <c r="AS306" s="233">
        <f t="shared" si="53"/>
        <v>2.0833333333333335E-4</v>
      </c>
      <c r="AT306" s="233">
        <f t="shared" si="54"/>
        <v>1.2962962962962963E-3</v>
      </c>
      <c r="AU306" s="235">
        <f>SUM(tabParametros[[#This Row],[Ausência por Doença]:[Férias, Adicional de Férias e 13º  com empregada em gozo de Licença Maternidade]])*SUM(tabParametros[[#This Row],[INSS]:[SEBRAE]])</f>
        <v>4.5918250000000008E-3</v>
      </c>
      <c r="AV306" s="254">
        <f>IF(tabParametros[[#This Row],[Função]]="Porteiro - 220 h",SUM(tabParametros[[#This Row],[Salário Base]:[Adicional de Acúmulo de função]])/220*20*1.5,IF(ISNUMBER(SEARCH("12 x 36",tabParametros[[#This Row],[Função]],1)),SUM(tabParametros[[#This Row],[Salário Base]:[Adicional de Acúmulo de função]])/210*15.5*1.5,0))</f>
        <v>283.97851143767798</v>
      </c>
      <c r="AW306" s="232">
        <f>IF(tabParametros[[#This Row],[Vagas contratadas]]&gt;0,(SUM(tabParametros[[#This Row],[Salário Base]:[Adicional de Acúmulo de função]])*30%+SUM(tabParametros[[#This Row],[Vale - Alimentação]:[Seguro de Vida]]))/tabParametros[[#This Row],[Vagas contratadas]]*tabParametros[[#This Row],[Vagas suspensas]],0)</f>
        <v>0</v>
      </c>
      <c r="AX306" s="232">
        <f>SUMIF(tabUniformes[Cargo],tabParametros[[#This Row],[Função]],tabUniformes[Valor unit. Mensal])</f>
        <v>56.642978962543395</v>
      </c>
      <c r="AY30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6" s="232">
        <v>0</v>
      </c>
      <c r="BC306" s="234" t="e">
        <f ca="1">VLOOKUP(tabParametros[[#Headers],[Custos Indiretos]],tabOutrosCustos[],3,0)</f>
        <v>#NAME?</v>
      </c>
      <c r="BD306" s="234" t="e">
        <f ca="1">VLOOKUP(tabParametros[[#Headers],[Lucro]],tabOutrosCustos[],3,0)</f>
        <v>#NAME?</v>
      </c>
      <c r="BE306" s="233">
        <f>VLOOKUP(tabParametros[[#Headers],[COFINS]],tabImpostosNacionais[],2,0)</f>
        <v>7.5999999999999998E-2</v>
      </c>
      <c r="BF306" s="233">
        <f>VLOOKUP(tabParametros[[#Headers],[PIS]],tabImpostosNacionais[],2,0)</f>
        <v>1.6500000000000001E-2</v>
      </c>
      <c r="BG306" s="233">
        <f>VLOOKUP(tabParametros[[#This Row],[Comarca]],tabComarca[],4,0)</f>
        <v>0.02</v>
      </c>
      <c r="BH306" s="236">
        <f>VLOOKUP(tabParametros[[#This Row],[CCT DA CATEGORIA]],tabSindicatos[],11,0)</f>
        <v>45658</v>
      </c>
      <c r="BI306" s="282" t="str">
        <f>VLOOKUP(tabParametros[[#This Row],[CCT DA CATEGORIA]],tabSindicatos[],12,0)</f>
        <v>-</v>
      </c>
      <c r="BJ306" s="285" t="str">
        <f>VLOOKUP(tabParametros[[#This Row],[CCT DA CATEGORIA]],tabSindicatos[],13,0)</f>
        <v>-</v>
      </c>
    </row>
    <row r="307" spans="1:62">
      <c r="A307" s="231" t="s">
        <v>1720</v>
      </c>
      <c r="B307" s="197" t="s">
        <v>1210</v>
      </c>
      <c r="C307" s="197" t="s">
        <v>324</v>
      </c>
      <c r="D307" s="197" t="str">
        <f>VLOOKUP(tabParametros[[#This Row],[Código do Posto]],tabPostos[],4,0)</f>
        <v>Seethur</v>
      </c>
      <c r="E307" s="282" t="str">
        <f>VLOOKUP(tabParametros[[#This Row],[Código do Posto]],tabPostos[],5,0)</f>
        <v>Apoio</v>
      </c>
      <c r="F307" s="282" t="str">
        <f>VLOOKUP(tabParametros[[#This Row],[Código do Posto]],tabPostos[],6,0)</f>
        <v>PGJ</v>
      </c>
      <c r="G307" s="282">
        <f>VLOOKUP(tabParametros[[#This Row],[Código do Posto]],tabPostos[],7,0)</f>
        <v>1</v>
      </c>
      <c r="H307" s="282">
        <f>VLOOKUP(tabParametros[[#This Row],[Código do Posto]],tabPostos[],8,0)</f>
        <v>0</v>
      </c>
      <c r="I307" s="232">
        <f>VLOOKUP(tabParametros[[#This Row],[Código do Posto]],tabPostos[],9,0)</f>
        <v>3397.1306016921476</v>
      </c>
      <c r="J307" s="232">
        <f>IF(ISNUMBER(SEARCH("Eletricista",tabParametros[[#This Row],[Função]],1)),0.3*tabParametros[[#This Row],[Salário Base]],0)</f>
        <v>0</v>
      </c>
      <c r="K30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7" s="232">
        <f>IF(AND(ISNUMBER(SEARCH("Noturno",tabParametros[[#This Row],[Função]],1)),tabParametros[[#This Row],[Comarca]]&lt;&gt;"Juiz de Fora"),tabParametros[[#This Row],[Salário Base]]/210*0.39*7*15.5,IF(ISNUMBER(SEARCH("Noturno",tabParametros[[#This Row],[Função]],1)),tabParametros[[#This Row],[Salário Base]]/210*0.2*8*15.5,0))</f>
        <v>0</v>
      </c>
      <c r="M307" s="232">
        <f>IF(ISNUMBER(SEARCH("Motorista II",tabParametros[[#This Row],[Função]],1)),0.3022*tabParametros[[#This Row],[Salário Base]],0)</f>
        <v>0</v>
      </c>
      <c r="N307" s="254">
        <v>0</v>
      </c>
      <c r="O307" s="254">
        <f>IF(ISNUMBER(SEARCH("TECNOLOGIA DA INFORMACAO",tabParametros[[#This Row],[Função]],1)),0.056*tabParametros[[#This Row],[Salário Base]],0)</f>
        <v>0</v>
      </c>
      <c r="P307" s="232">
        <f>IF(tabParametros[[#This Row],[Função]]="Operador de Midia Audiovisual - 150 h",tabParametros[[#This Row],[Salário Base]]/150*50*30%,IF(tabParametros[[#This Row],[Função]]="Supervisor de Manutencao de Veiculos II - 220 h",12%*tabParametros[[#This Row],[Salário Base]],0))</f>
        <v>0</v>
      </c>
      <c r="Q307" s="233">
        <f>VLOOKUP(tabParametros[[#Headers],[INSS]],tabImpostosNacionais[],2,0)</f>
        <v>0.2</v>
      </c>
      <c r="R307" s="233">
        <f>VLOOKUP(tabParametros[[#Headers],[SESI OU SESC]],tabImpostosNacionais[],2,0)</f>
        <v>1.4999999999999999E-2</v>
      </c>
      <c r="S307" s="233">
        <f>VLOOKUP(tabParametros[[#Headers],[SENAI OU SENAC]],tabImpostosNacionais[],2,0)</f>
        <v>0.01</v>
      </c>
      <c r="T307" s="233">
        <f>VLOOKUP(tabParametros[[#Headers],[INCRA]],tabImpostosNacionais[],2,0)</f>
        <v>2E-3</v>
      </c>
      <c r="U307" s="233">
        <f>VLOOKUP(tabParametros[[#Headers],[Salário Educação]],tabImpostosNacionais[],2,0)</f>
        <v>2.5000000000000001E-2</v>
      </c>
      <c r="V307" s="233">
        <f>VLOOKUP(tabParametros[[#Headers],[FGTS]],tabImpostosNacionais[],2,0)</f>
        <v>0.08</v>
      </c>
      <c r="W307" s="233">
        <f>VLOOKUP(tabParametros[[#Headers],[RAT Ajustado]],tabImpostosNacionais[],2,0)</f>
        <v>0.04</v>
      </c>
      <c r="X307" s="233">
        <f>VLOOKUP(tabParametros[[#Headers],[SEBRAE]],tabImpostosNacionais[],2,0)</f>
        <v>6.0000000000000001E-3</v>
      </c>
      <c r="Y307" s="233">
        <f t="shared" si="44"/>
        <v>8.3333333333333329E-2</v>
      </c>
      <c r="Z307" s="233">
        <f t="shared" si="45"/>
        <v>0.1111111111111111</v>
      </c>
      <c r="AA307" s="232">
        <f>VLOOKUP(tabParametros[[#This Row],[Comarca]],tabComarca[],5,0)</f>
        <v>6.4</v>
      </c>
      <c r="AB307" s="232">
        <f>VLOOKUP(tabParametros[[#This Row],[CCT DA CATEGORIA]],tabSindicatos[],6,0)</f>
        <v>29.15</v>
      </c>
      <c r="AC307" s="232">
        <f>VLOOKUP(tabParametros[[#This Row],[CCT DA CATEGORIA]],tabSindicatos[],7,0)</f>
        <v>0</v>
      </c>
      <c r="AD307" s="232" cm="1">
        <f t="array" ref="AD30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307" s="232">
        <f>VLOOKUP(tabParametros[[#This Row],[CCT DA CATEGORIA]],tabSindicatos[],9,0)</f>
        <v>0</v>
      </c>
      <c r="AF307" s="232">
        <f>VLOOKUP(tabParametros[[#This Row],[CCT DA CATEGORIA]],tabSindicatos[],10,0)</f>
        <v>0</v>
      </c>
      <c r="AG307" s="234">
        <f>VLOOKUP(tabParametros[[#Headers],[Seguro de Vida]],tabOutrosCustos[],3,0)</f>
        <v>3.36</v>
      </c>
      <c r="AH307" s="234">
        <f>IF(ISNUMBER(SEARCH("MOTORISTA",tabParametros[[#This Row],[Função]],1)),VLOOKUP("MOTORISTAS",tabDiarias[],2,0),IF(tabParametros[[#This Row],[Comarca]]="Belo Horizonte",VLOOKUP("APOIO",tabDiarias[],2,0),0))</f>
        <v>0</v>
      </c>
      <c r="AI307" s="233">
        <f t="shared" si="46"/>
        <v>7.011766975308642E-3</v>
      </c>
      <c r="AJ307" s="235">
        <f>tabParametros[[#This Row],[FGTS]]*tabParametros[[#This Row],[Aviso Prévio Indenizado (API) e Reflexo do Aviso Prévio Indenizado]]</f>
        <v>5.609413580246914E-4</v>
      </c>
      <c r="AK307" s="235">
        <f>tabParametros[[#This Row],[FGTS]]*tabParametros[[#This Row],[Aviso Prévio Indenizado (API) e Reflexo do Aviso Prévio Indenizado]]*40%</f>
        <v>2.2437654320987658E-4</v>
      </c>
      <c r="AL307" s="233">
        <f t="shared" si="47"/>
        <v>3.5000000000000005E-3</v>
      </c>
      <c r="AM307" s="233">
        <f>tabParametros[[#This Row],[Aviso Prévio Trabalhado - APT]]*SUM(tabParametros[[#This Row],[INSS]:[SEBRAE]])</f>
        <v>1.3230000000000004E-3</v>
      </c>
      <c r="AN307" s="233">
        <f t="shared" si="48"/>
        <v>3.0577777777777773E-2</v>
      </c>
      <c r="AO307" s="233">
        <f t="shared" si="49"/>
        <v>8.3333333333333339E-4</v>
      </c>
      <c r="AP307" s="233">
        <f t="shared" si="50"/>
        <v>8.4444444444444437E-3</v>
      </c>
      <c r="AQ307" s="233">
        <f t="shared" si="51"/>
        <v>2.0277777777777777E-3</v>
      </c>
      <c r="AR307" s="233">
        <f t="shared" si="52"/>
        <v>1.7083333333333333E-4</v>
      </c>
      <c r="AS307" s="233">
        <f t="shared" si="53"/>
        <v>2.0833333333333335E-4</v>
      </c>
      <c r="AT307" s="233">
        <f t="shared" si="54"/>
        <v>1.2962962962962963E-3</v>
      </c>
      <c r="AU307" s="235">
        <f>SUM(tabParametros[[#This Row],[Ausência por Doença]:[Férias, Adicional de Férias e 13º  com empregada em gozo de Licença Maternidade]])*SUM(tabParametros[[#This Row],[INSS]:[SEBRAE]])</f>
        <v>4.5918250000000008E-3</v>
      </c>
      <c r="AV307" s="254">
        <f>IF(tabParametros[[#This Row],[Função]]="Porteiro - 220 h",SUM(tabParametros[[#This Row],[Salário Base]:[Adicional de Acúmulo de função]])/220*20*1.5,IF(ISNUMBER(SEARCH("12 x 36",tabParametros[[#This Row],[Função]],1)),SUM(tabParametros[[#This Row],[Salário Base]:[Adicional de Acúmulo de função]])/210*15.5*1.5,0))</f>
        <v>0</v>
      </c>
      <c r="AW307" s="232">
        <f>IF(tabParametros[[#This Row],[Vagas contratadas]]&gt;0,(SUM(tabParametros[[#This Row],[Salário Base]:[Adicional de Acúmulo de função]])*30%+SUM(tabParametros[[#This Row],[Vale - Alimentação]:[Seguro de Vida]]))/tabParametros[[#This Row],[Vagas contratadas]]*tabParametros[[#This Row],[Vagas suspensas]],0)</f>
        <v>0</v>
      </c>
      <c r="AX307" s="232">
        <f>SUMIF(tabUniformes[Cargo],tabParametros[[#This Row],[Função]],tabUniformes[Valor unit. Mensal])</f>
        <v>56.642978962543395</v>
      </c>
      <c r="AY30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7" s="232">
        <v>0</v>
      </c>
      <c r="BC307" s="234" t="e">
        <f ca="1">VLOOKUP(tabParametros[[#Headers],[Custos Indiretos]],tabOutrosCustos[],3,0)</f>
        <v>#NAME?</v>
      </c>
      <c r="BD307" s="234" t="e">
        <f ca="1">VLOOKUP(tabParametros[[#Headers],[Lucro]],tabOutrosCustos[],3,0)</f>
        <v>#NAME?</v>
      </c>
      <c r="BE307" s="233">
        <f>VLOOKUP(tabParametros[[#Headers],[COFINS]],tabImpostosNacionais[],2,0)</f>
        <v>7.5999999999999998E-2</v>
      </c>
      <c r="BF307" s="233">
        <f>VLOOKUP(tabParametros[[#Headers],[PIS]],tabImpostosNacionais[],2,0)</f>
        <v>1.6500000000000001E-2</v>
      </c>
      <c r="BG307" s="233">
        <f>VLOOKUP(tabParametros[[#This Row],[Comarca]],tabComarca[],4,0)</f>
        <v>0.03</v>
      </c>
      <c r="BH307" s="236">
        <f>VLOOKUP(tabParametros[[#This Row],[CCT DA CATEGORIA]],tabSindicatos[],11,0)</f>
        <v>45658</v>
      </c>
      <c r="BI307" s="282" t="str">
        <f>VLOOKUP(tabParametros[[#This Row],[CCT DA CATEGORIA]],tabSindicatos[],12,0)</f>
        <v>-</v>
      </c>
      <c r="BJ307" s="285" t="str">
        <f>VLOOKUP(tabParametros[[#This Row],[CCT DA CATEGORIA]],tabSindicatos[],13,0)</f>
        <v>-</v>
      </c>
    </row>
    <row r="308" spans="1:62">
      <c r="A308" s="231" t="s">
        <v>1721</v>
      </c>
      <c r="B308" s="197" t="s">
        <v>1211</v>
      </c>
      <c r="C308" s="197" t="s">
        <v>314</v>
      </c>
      <c r="D308" s="197" t="str">
        <f>VLOOKUP(tabParametros[[#This Row],[Código do Posto]],tabPostos[],4,0)</f>
        <v>Regiao de Juiz de Fora</v>
      </c>
      <c r="E308" s="282" t="str">
        <f>VLOOKUP(tabParametros[[#This Row],[Código do Posto]],tabPostos[],5,0)</f>
        <v>Apoio</v>
      </c>
      <c r="F308" s="282" t="str">
        <f>VLOOKUP(tabParametros[[#This Row],[Código do Posto]],tabPostos[],6,0)</f>
        <v>PGJ</v>
      </c>
      <c r="G308" s="282">
        <f>VLOOKUP(tabParametros[[#This Row],[Código do Posto]],tabPostos[],7,0)</f>
        <v>1</v>
      </c>
      <c r="H308" s="282">
        <f>VLOOKUP(tabParametros[[#This Row],[Código do Posto]],tabPostos[],8,0)</f>
        <v>0</v>
      </c>
      <c r="I308" s="232">
        <f>VLOOKUP(tabParametros[[#This Row],[Código do Posto]],tabPostos[],9,0)</f>
        <v>1963.4110092077037</v>
      </c>
      <c r="J308" s="232">
        <f>IF(ISNUMBER(SEARCH("Eletricista",tabParametros[[#This Row],[Função]],1)),0.3*tabParametros[[#This Row],[Salário Base]],0)</f>
        <v>0</v>
      </c>
      <c r="K30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8" s="232">
        <f>IF(AND(ISNUMBER(SEARCH("Noturno",tabParametros[[#This Row],[Função]],1)),tabParametros[[#This Row],[Comarca]]&lt;&gt;"Juiz de Fora"),tabParametros[[#This Row],[Salário Base]]/210*0.39*7*15.5,IF(ISNUMBER(SEARCH("Noturno",tabParametros[[#This Row],[Função]],1)),tabParametros[[#This Row],[Salário Base]]/210*0.2*8*15.5,0))</f>
        <v>0</v>
      </c>
      <c r="M308" s="232">
        <f>IF(ISNUMBER(SEARCH("Motorista II",tabParametros[[#This Row],[Função]],1)),0.3022*tabParametros[[#This Row],[Salário Base]],0)</f>
        <v>0</v>
      </c>
      <c r="N308" s="254">
        <v>0</v>
      </c>
      <c r="O308" s="254">
        <f>IF(ISNUMBER(SEARCH("TECNOLOGIA DA INFORMACAO",tabParametros[[#This Row],[Função]],1)),0.056*tabParametros[[#This Row],[Salário Base]],0)</f>
        <v>0</v>
      </c>
      <c r="P308" s="232">
        <f>IF(tabParametros[[#This Row],[Função]]="Operador de Midia Audiovisual - 150 h",tabParametros[[#This Row],[Salário Base]]/150*50*30%,IF(tabParametros[[#This Row],[Função]]="Supervisor de Manutencao de Veiculos II - 220 h",12%*tabParametros[[#This Row],[Salário Base]],0))</f>
        <v>0</v>
      </c>
      <c r="Q308" s="233">
        <f>VLOOKUP(tabParametros[[#Headers],[INSS]],tabImpostosNacionais[],2,0)</f>
        <v>0.2</v>
      </c>
      <c r="R308" s="233">
        <f>VLOOKUP(tabParametros[[#Headers],[SESI OU SESC]],tabImpostosNacionais[],2,0)</f>
        <v>1.4999999999999999E-2</v>
      </c>
      <c r="S308" s="233">
        <f>VLOOKUP(tabParametros[[#Headers],[SENAI OU SENAC]],tabImpostosNacionais[],2,0)</f>
        <v>0.01</v>
      </c>
      <c r="T308" s="233">
        <f>VLOOKUP(tabParametros[[#Headers],[INCRA]],tabImpostosNacionais[],2,0)</f>
        <v>2E-3</v>
      </c>
      <c r="U308" s="233">
        <f>VLOOKUP(tabParametros[[#Headers],[Salário Educação]],tabImpostosNacionais[],2,0)</f>
        <v>2.5000000000000001E-2</v>
      </c>
      <c r="V308" s="233">
        <f>VLOOKUP(tabParametros[[#Headers],[FGTS]],tabImpostosNacionais[],2,0)</f>
        <v>0.08</v>
      </c>
      <c r="W308" s="233">
        <f>VLOOKUP(tabParametros[[#Headers],[RAT Ajustado]],tabImpostosNacionais[],2,0)</f>
        <v>0.04</v>
      </c>
      <c r="X308" s="233">
        <f>VLOOKUP(tabParametros[[#Headers],[SEBRAE]],tabImpostosNacionais[],2,0)</f>
        <v>6.0000000000000001E-3</v>
      </c>
      <c r="Y308" s="233">
        <f t="shared" si="44"/>
        <v>8.3333333333333329E-2</v>
      </c>
      <c r="Z308" s="233">
        <f t="shared" si="45"/>
        <v>0.1111111111111111</v>
      </c>
      <c r="AA308" s="232">
        <f>VLOOKUP(tabParametros[[#This Row],[Comarca]],tabComarca[],5,0)</f>
        <v>6.4</v>
      </c>
      <c r="AB308" s="232">
        <f>VLOOKUP(tabParametros[[#This Row],[CCT DA CATEGORIA]],tabSindicatos[],6,0)</f>
        <v>29.15</v>
      </c>
      <c r="AC308" s="232">
        <f>VLOOKUP(tabParametros[[#This Row],[CCT DA CATEGORIA]],tabSindicatos[],7,0)</f>
        <v>0</v>
      </c>
      <c r="AD308" s="232" cm="1">
        <f t="array" ref="AD30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51.88</v>
      </c>
      <c r="AE308" s="232">
        <f>VLOOKUP(tabParametros[[#This Row],[CCT DA CATEGORIA]],tabSindicatos[],9,0)</f>
        <v>0</v>
      </c>
      <c r="AF308" s="232">
        <f>VLOOKUP(tabParametros[[#This Row],[CCT DA CATEGORIA]],tabSindicatos[],10,0)</f>
        <v>0</v>
      </c>
      <c r="AG308" s="234">
        <f>VLOOKUP(tabParametros[[#Headers],[Seguro de Vida]],tabOutrosCustos[],3,0)</f>
        <v>3.36</v>
      </c>
      <c r="AH308" s="234">
        <f>IF(ISNUMBER(SEARCH("MOTORISTA",tabParametros[[#This Row],[Função]],1)),VLOOKUP("MOTORISTAS",tabDiarias[],2,0),IF(tabParametros[[#This Row],[Comarca]]="Belo Horizonte",VLOOKUP("APOIO",tabDiarias[],2,0),0))</f>
        <v>0</v>
      </c>
      <c r="AI308" s="233">
        <f t="shared" si="46"/>
        <v>7.011766975308642E-3</v>
      </c>
      <c r="AJ308" s="235">
        <f>tabParametros[[#This Row],[FGTS]]*tabParametros[[#This Row],[Aviso Prévio Indenizado (API) e Reflexo do Aviso Prévio Indenizado]]</f>
        <v>5.609413580246914E-4</v>
      </c>
      <c r="AK308" s="235">
        <f>tabParametros[[#This Row],[FGTS]]*tabParametros[[#This Row],[Aviso Prévio Indenizado (API) e Reflexo do Aviso Prévio Indenizado]]*40%</f>
        <v>2.2437654320987658E-4</v>
      </c>
      <c r="AL308" s="233">
        <f t="shared" si="47"/>
        <v>3.5000000000000005E-3</v>
      </c>
      <c r="AM308" s="233">
        <f>tabParametros[[#This Row],[Aviso Prévio Trabalhado - APT]]*SUM(tabParametros[[#This Row],[INSS]:[SEBRAE]])</f>
        <v>1.3230000000000004E-3</v>
      </c>
      <c r="AN308" s="233">
        <f t="shared" si="48"/>
        <v>3.0577777777777773E-2</v>
      </c>
      <c r="AO308" s="233">
        <f t="shared" si="49"/>
        <v>8.3333333333333339E-4</v>
      </c>
      <c r="AP308" s="233">
        <f t="shared" si="50"/>
        <v>8.4444444444444437E-3</v>
      </c>
      <c r="AQ308" s="233">
        <f t="shared" si="51"/>
        <v>2.0277777777777777E-3</v>
      </c>
      <c r="AR308" s="233">
        <f t="shared" si="52"/>
        <v>1.7083333333333333E-4</v>
      </c>
      <c r="AS308" s="233">
        <f t="shared" si="53"/>
        <v>2.0833333333333335E-4</v>
      </c>
      <c r="AT308" s="233">
        <f t="shared" si="54"/>
        <v>1.2962962962962963E-3</v>
      </c>
      <c r="AU308" s="235">
        <f>SUM(tabParametros[[#This Row],[Ausência por Doença]:[Férias, Adicional de Férias e 13º  com empregada em gozo de Licença Maternidade]])*SUM(tabParametros[[#This Row],[INSS]:[SEBRAE]])</f>
        <v>4.5918250000000008E-3</v>
      </c>
      <c r="AV308"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308" s="232">
        <f>IF(tabParametros[[#This Row],[Vagas contratadas]]&gt;0,(SUM(tabParametros[[#This Row],[Salário Base]:[Adicional de Acúmulo de função]])*30%+SUM(tabParametros[[#This Row],[Vale - Alimentação]:[Seguro de Vida]]))/tabParametros[[#This Row],[Vagas contratadas]]*tabParametros[[#This Row],[Vagas suspensas]],0)</f>
        <v>0</v>
      </c>
      <c r="AX308" s="232">
        <f>SUMIF(tabUniformes[Cargo],tabParametros[[#This Row],[Função]],tabUniformes[Valor unit. Mensal])</f>
        <v>56.642978962543395</v>
      </c>
      <c r="AY30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8" s="232">
        <v>0</v>
      </c>
      <c r="BC308" s="234" t="e">
        <f ca="1">VLOOKUP(tabParametros[[#Headers],[Custos Indiretos]],tabOutrosCustos[],3,0)</f>
        <v>#NAME?</v>
      </c>
      <c r="BD308" s="234" t="e">
        <f ca="1">VLOOKUP(tabParametros[[#Headers],[Lucro]],tabOutrosCustos[],3,0)</f>
        <v>#NAME?</v>
      </c>
      <c r="BE308" s="233">
        <f>VLOOKUP(tabParametros[[#Headers],[COFINS]],tabImpostosNacionais[],2,0)</f>
        <v>7.5999999999999998E-2</v>
      </c>
      <c r="BF308" s="233">
        <f>VLOOKUP(tabParametros[[#Headers],[PIS]],tabImpostosNacionais[],2,0)</f>
        <v>1.6500000000000001E-2</v>
      </c>
      <c r="BG308" s="233">
        <f>VLOOKUP(tabParametros[[#This Row],[Comarca]],tabComarca[],4,0)</f>
        <v>0.03</v>
      </c>
      <c r="BH308" s="236">
        <f>VLOOKUP(tabParametros[[#This Row],[CCT DA CATEGORIA]],tabSindicatos[],11,0)</f>
        <v>45658</v>
      </c>
      <c r="BI308" s="282" t="str">
        <f>VLOOKUP(tabParametros[[#This Row],[CCT DA CATEGORIA]],tabSindicatos[],12,0)</f>
        <v>-</v>
      </c>
      <c r="BJ308" s="285" t="str">
        <f>VLOOKUP(tabParametros[[#This Row],[CCT DA CATEGORIA]],tabSindicatos[],13,0)</f>
        <v>-</v>
      </c>
    </row>
    <row r="309" spans="1:62">
      <c r="A309" s="231" t="s">
        <v>1722</v>
      </c>
      <c r="B309" s="197" t="s">
        <v>1212</v>
      </c>
      <c r="C309" s="197" t="s">
        <v>324</v>
      </c>
      <c r="D309" s="197" t="str">
        <f>VLOOKUP(tabParametros[[#This Row],[Código do Posto]],tabPostos[],4,0)</f>
        <v>Regiao de Sao Lourenco</v>
      </c>
      <c r="E309" s="282" t="str">
        <f>VLOOKUP(tabParametros[[#This Row],[Código do Posto]],tabPostos[],5,0)</f>
        <v>Apoio</v>
      </c>
      <c r="F309" s="282" t="str">
        <f>VLOOKUP(tabParametros[[#This Row],[Código do Posto]],tabPostos[],6,0)</f>
        <v>PGJ</v>
      </c>
      <c r="G309" s="282">
        <f>VLOOKUP(tabParametros[[#This Row],[Código do Posto]],tabPostos[],7,0)</f>
        <v>1</v>
      </c>
      <c r="H309" s="282">
        <f>VLOOKUP(tabParametros[[#This Row],[Código do Posto]],tabPostos[],8,0)</f>
        <v>0</v>
      </c>
      <c r="I309" s="232">
        <f>VLOOKUP(tabParametros[[#This Row],[Código do Posto]],tabPostos[],9,0)</f>
        <v>3397.130467372021</v>
      </c>
      <c r="J309" s="232">
        <f>IF(ISNUMBER(SEARCH("Eletricista",tabParametros[[#This Row],[Função]],1)),0.3*tabParametros[[#This Row],[Salário Base]],0)</f>
        <v>0</v>
      </c>
      <c r="K30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09" s="232">
        <f>IF(AND(ISNUMBER(SEARCH("Noturno",tabParametros[[#This Row],[Função]],1)),tabParametros[[#This Row],[Comarca]]&lt;&gt;"Juiz de Fora"),tabParametros[[#This Row],[Salário Base]]/210*0.39*7*15.5,IF(ISNUMBER(SEARCH("Noturno",tabParametros[[#This Row],[Função]],1)),tabParametros[[#This Row],[Salário Base]]/210*0.2*8*15.5,0))</f>
        <v>0</v>
      </c>
      <c r="M309" s="232">
        <f>IF(ISNUMBER(SEARCH("Motorista II",tabParametros[[#This Row],[Função]],1)),0.3022*tabParametros[[#This Row],[Salário Base]],0)</f>
        <v>0</v>
      </c>
      <c r="N309" s="254">
        <v>0</v>
      </c>
      <c r="O309" s="254">
        <f>IF(ISNUMBER(SEARCH("TECNOLOGIA DA INFORMACAO",tabParametros[[#This Row],[Função]],1)),0.056*tabParametros[[#This Row],[Salário Base]],0)</f>
        <v>0</v>
      </c>
      <c r="P309" s="232">
        <f>IF(tabParametros[[#This Row],[Função]]="Operador de Midia Audiovisual - 150 h",tabParametros[[#This Row],[Salário Base]]/150*50*30%,IF(tabParametros[[#This Row],[Função]]="Supervisor de Manutencao de Veiculos II - 220 h",12%*tabParametros[[#This Row],[Salário Base]],0))</f>
        <v>0</v>
      </c>
      <c r="Q309" s="233">
        <f>VLOOKUP(tabParametros[[#Headers],[INSS]],tabImpostosNacionais[],2,0)</f>
        <v>0.2</v>
      </c>
      <c r="R309" s="233">
        <f>VLOOKUP(tabParametros[[#Headers],[SESI OU SESC]],tabImpostosNacionais[],2,0)</f>
        <v>1.4999999999999999E-2</v>
      </c>
      <c r="S309" s="233">
        <f>VLOOKUP(tabParametros[[#Headers],[SENAI OU SENAC]],tabImpostosNacionais[],2,0)</f>
        <v>0.01</v>
      </c>
      <c r="T309" s="233">
        <f>VLOOKUP(tabParametros[[#Headers],[INCRA]],tabImpostosNacionais[],2,0)</f>
        <v>2E-3</v>
      </c>
      <c r="U309" s="233">
        <f>VLOOKUP(tabParametros[[#Headers],[Salário Educação]],tabImpostosNacionais[],2,0)</f>
        <v>2.5000000000000001E-2</v>
      </c>
      <c r="V309" s="233">
        <f>VLOOKUP(tabParametros[[#Headers],[FGTS]],tabImpostosNacionais[],2,0)</f>
        <v>0.08</v>
      </c>
      <c r="W309" s="233">
        <f>VLOOKUP(tabParametros[[#Headers],[RAT Ajustado]],tabImpostosNacionais[],2,0)</f>
        <v>0.04</v>
      </c>
      <c r="X309" s="233">
        <f>VLOOKUP(tabParametros[[#Headers],[SEBRAE]],tabImpostosNacionais[],2,0)</f>
        <v>6.0000000000000001E-3</v>
      </c>
      <c r="Y309" s="233">
        <f t="shared" si="44"/>
        <v>8.3333333333333329E-2</v>
      </c>
      <c r="Z309" s="233">
        <f t="shared" si="45"/>
        <v>0.1111111111111111</v>
      </c>
      <c r="AA309" s="232">
        <f>VLOOKUP(tabParametros[[#This Row],[Comarca]],tabComarca[],5,0)</f>
        <v>6.4</v>
      </c>
      <c r="AB309" s="232">
        <f>VLOOKUP(tabParametros[[#This Row],[CCT DA CATEGORIA]],tabSindicatos[],6,0)</f>
        <v>29.15</v>
      </c>
      <c r="AC309" s="232">
        <f>VLOOKUP(tabParametros[[#This Row],[CCT DA CATEGORIA]],tabSindicatos[],7,0)</f>
        <v>0</v>
      </c>
      <c r="AD309" s="232" cm="1">
        <f t="array" ref="AD30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309" s="232">
        <f>VLOOKUP(tabParametros[[#This Row],[CCT DA CATEGORIA]],tabSindicatos[],9,0)</f>
        <v>0</v>
      </c>
      <c r="AF309" s="232">
        <f>VLOOKUP(tabParametros[[#This Row],[CCT DA CATEGORIA]],tabSindicatos[],10,0)</f>
        <v>0</v>
      </c>
      <c r="AG309" s="234">
        <f>VLOOKUP(tabParametros[[#Headers],[Seguro de Vida]],tabOutrosCustos[],3,0)</f>
        <v>3.36</v>
      </c>
      <c r="AH309" s="234">
        <f>IF(ISNUMBER(SEARCH("MOTORISTA",tabParametros[[#This Row],[Função]],1)),VLOOKUP("MOTORISTAS",tabDiarias[],2,0),IF(tabParametros[[#This Row],[Comarca]]="Belo Horizonte",VLOOKUP("APOIO",tabDiarias[],2,0),0))</f>
        <v>0</v>
      </c>
      <c r="AI309" s="233">
        <f t="shared" si="46"/>
        <v>7.011766975308642E-3</v>
      </c>
      <c r="AJ309" s="235">
        <f>tabParametros[[#This Row],[FGTS]]*tabParametros[[#This Row],[Aviso Prévio Indenizado (API) e Reflexo do Aviso Prévio Indenizado]]</f>
        <v>5.609413580246914E-4</v>
      </c>
      <c r="AK309" s="235">
        <f>tabParametros[[#This Row],[FGTS]]*tabParametros[[#This Row],[Aviso Prévio Indenizado (API) e Reflexo do Aviso Prévio Indenizado]]*40%</f>
        <v>2.2437654320987658E-4</v>
      </c>
      <c r="AL309" s="233">
        <f t="shared" si="47"/>
        <v>3.5000000000000005E-3</v>
      </c>
      <c r="AM309" s="233">
        <f>tabParametros[[#This Row],[Aviso Prévio Trabalhado - APT]]*SUM(tabParametros[[#This Row],[INSS]:[SEBRAE]])</f>
        <v>1.3230000000000004E-3</v>
      </c>
      <c r="AN309" s="233">
        <f t="shared" si="48"/>
        <v>3.0577777777777773E-2</v>
      </c>
      <c r="AO309" s="233">
        <f t="shared" si="49"/>
        <v>8.3333333333333339E-4</v>
      </c>
      <c r="AP309" s="233">
        <f t="shared" si="50"/>
        <v>8.4444444444444437E-3</v>
      </c>
      <c r="AQ309" s="233">
        <f t="shared" si="51"/>
        <v>2.0277777777777777E-3</v>
      </c>
      <c r="AR309" s="233">
        <f t="shared" si="52"/>
        <v>1.7083333333333333E-4</v>
      </c>
      <c r="AS309" s="233">
        <f t="shared" si="53"/>
        <v>2.0833333333333335E-4</v>
      </c>
      <c r="AT309" s="233">
        <f t="shared" si="54"/>
        <v>1.2962962962962963E-3</v>
      </c>
      <c r="AU309" s="235">
        <f>SUM(tabParametros[[#This Row],[Ausência por Doença]:[Férias, Adicional de Férias e 13º  com empregada em gozo de Licença Maternidade]])*SUM(tabParametros[[#This Row],[INSS]:[SEBRAE]])</f>
        <v>4.5918250000000008E-3</v>
      </c>
      <c r="AV309" s="254">
        <f>IF(tabParametros[[#This Row],[Função]]="Porteiro - 220 h",SUM(tabParametros[[#This Row],[Salário Base]:[Adicional de Acúmulo de função]])/220*20*1.5,IF(ISNUMBER(SEARCH("12 x 36",tabParametros[[#This Row],[Função]],1)),SUM(tabParametros[[#This Row],[Salário Base]:[Adicional de Acúmulo de função]])/210*15.5*1.5,0))</f>
        <v>0</v>
      </c>
      <c r="AW309" s="232">
        <f>IF(tabParametros[[#This Row],[Vagas contratadas]]&gt;0,(SUM(tabParametros[[#This Row],[Salário Base]:[Adicional de Acúmulo de função]])*30%+SUM(tabParametros[[#This Row],[Vale - Alimentação]:[Seguro de Vida]]))/tabParametros[[#This Row],[Vagas contratadas]]*tabParametros[[#This Row],[Vagas suspensas]],0)</f>
        <v>0</v>
      </c>
      <c r="AX309" s="232">
        <f>SUMIF(tabUniformes[Cargo],tabParametros[[#This Row],[Função]],tabUniformes[Valor unit. Mensal])</f>
        <v>56.642978962543395</v>
      </c>
      <c r="AY30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0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0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09" s="232">
        <v>0</v>
      </c>
      <c r="BC309" s="234" t="e">
        <f ca="1">VLOOKUP(tabParametros[[#Headers],[Custos Indiretos]],tabOutrosCustos[],3,0)</f>
        <v>#NAME?</v>
      </c>
      <c r="BD309" s="234" t="e">
        <f ca="1">VLOOKUP(tabParametros[[#Headers],[Lucro]],tabOutrosCustos[],3,0)</f>
        <v>#NAME?</v>
      </c>
      <c r="BE309" s="233">
        <f>VLOOKUP(tabParametros[[#Headers],[COFINS]],tabImpostosNacionais[],2,0)</f>
        <v>7.5999999999999998E-2</v>
      </c>
      <c r="BF309" s="233">
        <f>VLOOKUP(tabParametros[[#Headers],[PIS]],tabImpostosNacionais[],2,0)</f>
        <v>1.6500000000000001E-2</v>
      </c>
      <c r="BG309" s="233">
        <f>VLOOKUP(tabParametros[[#This Row],[Comarca]],tabComarca[],4,0)</f>
        <v>0.03</v>
      </c>
      <c r="BH309" s="236">
        <f>VLOOKUP(tabParametros[[#This Row],[CCT DA CATEGORIA]],tabSindicatos[],11,0)</f>
        <v>45658</v>
      </c>
      <c r="BI309" s="282" t="str">
        <f>VLOOKUP(tabParametros[[#This Row],[CCT DA CATEGORIA]],tabSindicatos[],12,0)</f>
        <v>-</v>
      </c>
      <c r="BJ309" s="285" t="str">
        <f>VLOOKUP(tabParametros[[#This Row],[CCT DA CATEGORIA]],tabSindicatos[],13,0)</f>
        <v>-</v>
      </c>
    </row>
    <row r="310" spans="1:62">
      <c r="A310" s="231" t="s">
        <v>1723</v>
      </c>
      <c r="B310" s="197" t="s">
        <v>1213</v>
      </c>
      <c r="C310" s="197" t="s">
        <v>319</v>
      </c>
      <c r="D310" s="197" t="str">
        <f>VLOOKUP(tabParametros[[#This Row],[Código do Posto]],tabPostos[],4,0)</f>
        <v>Alto Paranaiba</v>
      </c>
      <c r="E310" s="282" t="str">
        <f>VLOOKUP(tabParametros[[#This Row],[Código do Posto]],tabPostos[],5,0)</f>
        <v>Apoio</v>
      </c>
      <c r="F310" s="282" t="str">
        <f>VLOOKUP(tabParametros[[#This Row],[Código do Posto]],tabPostos[],6,0)</f>
        <v>PGJ</v>
      </c>
      <c r="G310" s="282">
        <f>VLOOKUP(tabParametros[[#This Row],[Código do Posto]],tabPostos[],7,0)</f>
        <v>1</v>
      </c>
      <c r="H310" s="282">
        <f>VLOOKUP(tabParametros[[#This Row],[Código do Posto]],tabPostos[],8,0)</f>
        <v>0</v>
      </c>
      <c r="I310" s="232">
        <f>VLOOKUP(tabParametros[[#This Row],[Código do Posto]],tabPostos[],9,0)</f>
        <v>2316.2253186627422</v>
      </c>
      <c r="J310" s="232">
        <f>IF(ISNUMBER(SEARCH("Eletricista",tabParametros[[#This Row],[Função]],1)),0.3*tabParametros[[#This Row],[Salário Base]],0)</f>
        <v>0</v>
      </c>
      <c r="K31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0" s="232">
        <f>IF(AND(ISNUMBER(SEARCH("Noturno",tabParametros[[#This Row],[Função]],1)),tabParametros[[#This Row],[Comarca]]&lt;&gt;"Juiz de Fora"),tabParametros[[#This Row],[Salário Base]]/210*0.39*7*15.5,IF(ISNUMBER(SEARCH("Noturno",tabParametros[[#This Row],[Função]],1)),tabParametros[[#This Row],[Salário Base]]/210*0.2*8*15.5,0))</f>
        <v>0</v>
      </c>
      <c r="M310" s="232">
        <f>IF(ISNUMBER(SEARCH("Motorista II",tabParametros[[#This Row],[Função]],1)),0.3022*tabParametros[[#This Row],[Salário Base]],0)</f>
        <v>0</v>
      </c>
      <c r="N310" s="254">
        <v>0</v>
      </c>
      <c r="O310" s="254">
        <f>IF(ISNUMBER(SEARCH("TECNOLOGIA DA INFORMACAO",tabParametros[[#This Row],[Função]],1)),0.056*tabParametros[[#This Row],[Salário Base]],0)</f>
        <v>0</v>
      </c>
      <c r="P310" s="232">
        <f>IF(tabParametros[[#This Row],[Função]]="Operador de Midia Audiovisual - 150 h",tabParametros[[#This Row],[Salário Base]]/150*50*30%,IF(tabParametros[[#This Row],[Função]]="Supervisor de Manutencao de Veiculos II - 220 h",12%*tabParametros[[#This Row],[Salário Base]],0))</f>
        <v>0</v>
      </c>
      <c r="Q310" s="233">
        <f>VLOOKUP(tabParametros[[#Headers],[INSS]],tabImpostosNacionais[],2,0)</f>
        <v>0.2</v>
      </c>
      <c r="R310" s="233">
        <f>VLOOKUP(tabParametros[[#Headers],[SESI OU SESC]],tabImpostosNacionais[],2,0)</f>
        <v>1.4999999999999999E-2</v>
      </c>
      <c r="S310" s="233">
        <f>VLOOKUP(tabParametros[[#Headers],[SENAI OU SENAC]],tabImpostosNacionais[],2,0)</f>
        <v>0.01</v>
      </c>
      <c r="T310" s="233">
        <f>VLOOKUP(tabParametros[[#Headers],[INCRA]],tabImpostosNacionais[],2,0)</f>
        <v>2E-3</v>
      </c>
      <c r="U310" s="233">
        <f>VLOOKUP(tabParametros[[#Headers],[Salário Educação]],tabImpostosNacionais[],2,0)</f>
        <v>2.5000000000000001E-2</v>
      </c>
      <c r="V310" s="233">
        <f>VLOOKUP(tabParametros[[#Headers],[FGTS]],tabImpostosNacionais[],2,0)</f>
        <v>0.08</v>
      </c>
      <c r="W310" s="233">
        <f>VLOOKUP(tabParametros[[#Headers],[RAT Ajustado]],tabImpostosNacionais[],2,0)</f>
        <v>0.04</v>
      </c>
      <c r="X310" s="233">
        <f>VLOOKUP(tabParametros[[#Headers],[SEBRAE]],tabImpostosNacionais[],2,0)</f>
        <v>6.0000000000000001E-3</v>
      </c>
      <c r="Y310" s="233">
        <f t="shared" si="44"/>
        <v>8.3333333333333329E-2</v>
      </c>
      <c r="Z310" s="233">
        <f t="shared" si="45"/>
        <v>0.1111111111111111</v>
      </c>
      <c r="AA310" s="232">
        <f>VLOOKUP(tabParametros[[#This Row],[Comarca]],tabComarca[],5,0)</f>
        <v>6.4</v>
      </c>
      <c r="AB310" s="232">
        <f>VLOOKUP(tabParametros[[#This Row],[CCT DA CATEGORIA]],tabSindicatos[],6,0)</f>
        <v>0</v>
      </c>
      <c r="AC310" s="232">
        <f>VLOOKUP(tabParametros[[#This Row],[CCT DA CATEGORIA]],tabSindicatos[],7,0)</f>
        <v>387.79</v>
      </c>
      <c r="AD310" s="232" cm="1">
        <f t="array" ref="AD31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310" s="232">
        <f>VLOOKUP(tabParametros[[#This Row],[CCT DA CATEGORIA]],tabSindicatos[],9,0)</f>
        <v>0</v>
      </c>
      <c r="AF310" s="232">
        <f>VLOOKUP(tabParametros[[#This Row],[CCT DA CATEGORIA]],tabSindicatos[],10,0)</f>
        <v>0</v>
      </c>
      <c r="AG310" s="234">
        <f>VLOOKUP(tabParametros[[#Headers],[Seguro de Vida]],tabOutrosCustos[],3,0)</f>
        <v>3.36</v>
      </c>
      <c r="AH310" s="234">
        <f>IF(ISNUMBER(SEARCH("MOTORISTA",tabParametros[[#This Row],[Função]],1)),VLOOKUP("MOTORISTAS",tabDiarias[],2,0),IF(tabParametros[[#This Row],[Comarca]]="Belo Horizonte",VLOOKUP("APOIO",tabDiarias[],2,0),0))</f>
        <v>0</v>
      </c>
      <c r="AI310" s="233">
        <f t="shared" si="46"/>
        <v>7.011766975308642E-3</v>
      </c>
      <c r="AJ310" s="235">
        <f>tabParametros[[#This Row],[FGTS]]*tabParametros[[#This Row],[Aviso Prévio Indenizado (API) e Reflexo do Aviso Prévio Indenizado]]</f>
        <v>5.609413580246914E-4</v>
      </c>
      <c r="AK310" s="235">
        <f>tabParametros[[#This Row],[FGTS]]*tabParametros[[#This Row],[Aviso Prévio Indenizado (API) e Reflexo do Aviso Prévio Indenizado]]*40%</f>
        <v>2.2437654320987658E-4</v>
      </c>
      <c r="AL310" s="233">
        <f t="shared" si="47"/>
        <v>3.5000000000000005E-3</v>
      </c>
      <c r="AM310" s="233">
        <f>tabParametros[[#This Row],[Aviso Prévio Trabalhado - APT]]*SUM(tabParametros[[#This Row],[INSS]:[SEBRAE]])</f>
        <v>1.3230000000000004E-3</v>
      </c>
      <c r="AN310" s="233">
        <f t="shared" si="48"/>
        <v>3.0577777777777773E-2</v>
      </c>
      <c r="AO310" s="233">
        <f t="shared" si="49"/>
        <v>8.3333333333333339E-4</v>
      </c>
      <c r="AP310" s="233">
        <f t="shared" si="50"/>
        <v>8.4444444444444437E-3</v>
      </c>
      <c r="AQ310" s="233">
        <f t="shared" si="51"/>
        <v>2.0277777777777777E-3</v>
      </c>
      <c r="AR310" s="233">
        <f t="shared" si="52"/>
        <v>1.7083333333333333E-4</v>
      </c>
      <c r="AS310" s="233">
        <f t="shared" si="53"/>
        <v>2.0833333333333335E-4</v>
      </c>
      <c r="AT310" s="233">
        <f t="shared" si="54"/>
        <v>1.2962962962962963E-3</v>
      </c>
      <c r="AU310" s="235">
        <f>SUM(tabParametros[[#This Row],[Ausência por Doença]:[Férias, Adicional de Férias e 13º  com empregada em gozo de Licença Maternidade]])*SUM(tabParametros[[#This Row],[INSS]:[SEBRAE]])</f>
        <v>4.5918250000000008E-3</v>
      </c>
      <c r="AV310" s="254">
        <f>IF(tabParametros[[#This Row],[Função]]="Porteiro - 220 h",SUM(tabParametros[[#This Row],[Salário Base]:[Adicional de Acúmulo de função]])/220*20*1.5,IF(ISNUMBER(SEARCH("12 x 36",tabParametros[[#This Row],[Função]],1)),SUM(tabParametros[[#This Row],[Salário Base]:[Adicional de Acúmulo de função]])/210*15.5*1.5,0))</f>
        <v>0</v>
      </c>
      <c r="AW310" s="232">
        <f>IF(tabParametros[[#This Row],[Vagas contratadas]]&gt;0,(SUM(tabParametros[[#This Row],[Salário Base]:[Adicional de Acúmulo de função]])*30%+SUM(tabParametros[[#This Row],[Vale - Alimentação]:[Seguro de Vida]]))/tabParametros[[#This Row],[Vagas contratadas]]*tabParametros[[#This Row],[Vagas suspensas]],0)</f>
        <v>0</v>
      </c>
      <c r="AX310" s="232">
        <f>SUMIF(tabUniformes[Cargo],tabParametros[[#This Row],[Função]],tabUniformes[Valor unit. Mensal])</f>
        <v>56.642978962543395</v>
      </c>
      <c r="AY31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0" s="232">
        <v>0</v>
      </c>
      <c r="BC310" s="234" t="e">
        <f ca="1">VLOOKUP(tabParametros[[#Headers],[Custos Indiretos]],tabOutrosCustos[],3,0)</f>
        <v>#NAME?</v>
      </c>
      <c r="BD310" s="234" t="e">
        <f ca="1">VLOOKUP(tabParametros[[#Headers],[Lucro]],tabOutrosCustos[],3,0)</f>
        <v>#NAME?</v>
      </c>
      <c r="BE310" s="233">
        <f>VLOOKUP(tabParametros[[#Headers],[COFINS]],tabImpostosNacionais[],2,0)</f>
        <v>7.5999999999999998E-2</v>
      </c>
      <c r="BF310" s="233">
        <f>VLOOKUP(tabParametros[[#Headers],[PIS]],tabImpostosNacionais[],2,0)</f>
        <v>1.6500000000000001E-2</v>
      </c>
      <c r="BG310" s="233">
        <f>VLOOKUP(tabParametros[[#This Row],[Comarca]],tabComarca[],4,0)</f>
        <v>0.02</v>
      </c>
      <c r="BH310" s="236">
        <f>VLOOKUP(tabParametros[[#This Row],[CCT DA CATEGORIA]],tabSindicatos[],11,0)</f>
        <v>45658</v>
      </c>
      <c r="BI310" s="282" t="str">
        <f>VLOOKUP(tabParametros[[#This Row],[CCT DA CATEGORIA]],tabSindicatos[],12,0)</f>
        <v>-</v>
      </c>
      <c r="BJ310" s="285" t="str">
        <f>VLOOKUP(tabParametros[[#This Row],[CCT DA CATEGORIA]],tabSindicatos[],13,0)</f>
        <v>-</v>
      </c>
    </row>
    <row r="311" spans="1:62">
      <c r="A311" s="231" t="s">
        <v>1724</v>
      </c>
      <c r="B311" s="197" t="s">
        <v>1214</v>
      </c>
      <c r="C311" s="197" t="s">
        <v>274</v>
      </c>
      <c r="D311" s="197" t="str">
        <f>VLOOKUP(tabParametros[[#This Row],[Código do Posto]],tabPostos[],4,0)</f>
        <v>Rodoviarios de Juiz de Fora e Região + SEAC-MG</v>
      </c>
      <c r="E311" s="282" t="str">
        <f>VLOOKUP(tabParametros[[#This Row],[Código do Posto]],tabPostos[],5,0)</f>
        <v>Apoio</v>
      </c>
      <c r="F311" s="282" t="str">
        <f>VLOOKUP(tabParametros[[#This Row],[Código do Posto]],tabPostos[],6,0)</f>
        <v>PGJ</v>
      </c>
      <c r="G311" s="282">
        <f>VLOOKUP(tabParametros[[#This Row],[Código do Posto]],tabPostos[],7,0)</f>
        <v>1</v>
      </c>
      <c r="H311" s="282">
        <f>VLOOKUP(tabParametros[[#This Row],[Código do Posto]],tabPostos[],8,0)</f>
        <v>0</v>
      </c>
      <c r="I311" s="232">
        <f>VLOOKUP(tabParametros[[#This Row],[Código do Posto]],tabPostos[],9,0)</f>
        <v>4599.5952808034681</v>
      </c>
      <c r="J311" s="232">
        <f>IF(ISNUMBER(SEARCH("Eletricista",tabParametros[[#This Row],[Função]],1)),0.3*tabParametros[[#This Row],[Salário Base]],0)</f>
        <v>0</v>
      </c>
      <c r="K31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1" s="232">
        <f>IF(AND(ISNUMBER(SEARCH("Noturno",tabParametros[[#This Row],[Função]],1)),tabParametros[[#This Row],[Comarca]]&lt;&gt;"Juiz de Fora"),tabParametros[[#This Row],[Salário Base]]/210*0.39*7*15.5,IF(ISNUMBER(SEARCH("Noturno",tabParametros[[#This Row],[Função]],1)),tabParametros[[#This Row],[Salário Base]]/210*0.2*8*15.5,0))</f>
        <v>0</v>
      </c>
      <c r="M311" s="232">
        <f>IF(ISNUMBER(SEARCH("Motorista II",tabParametros[[#This Row],[Função]],1)),0.3022*tabParametros[[#This Row],[Salário Base]],0)</f>
        <v>0</v>
      </c>
      <c r="N311" s="254">
        <v>0</v>
      </c>
      <c r="O311" s="254">
        <f>IF(ISNUMBER(SEARCH("TECNOLOGIA DA INFORMACAO",tabParametros[[#This Row],[Função]],1)),0.056*tabParametros[[#This Row],[Salário Base]],0)</f>
        <v>0</v>
      </c>
      <c r="P311" s="232">
        <f>IF(tabParametros[[#This Row],[Função]]="Operador de Midia Audiovisual - 150 h",tabParametros[[#This Row],[Salário Base]]/150*50*30%,IF(tabParametros[[#This Row],[Função]]="Supervisor de Manutencao de Veiculos II - 220 h",12%*tabParametros[[#This Row],[Salário Base]],0))</f>
        <v>0</v>
      </c>
      <c r="Q311" s="233">
        <f>VLOOKUP(tabParametros[[#Headers],[INSS]],tabImpostosNacionais[],2,0)</f>
        <v>0.2</v>
      </c>
      <c r="R311" s="233">
        <f>VLOOKUP(tabParametros[[#Headers],[SESI OU SESC]],tabImpostosNacionais[],2,0)</f>
        <v>1.4999999999999999E-2</v>
      </c>
      <c r="S311" s="233">
        <f>VLOOKUP(tabParametros[[#Headers],[SENAI OU SENAC]],tabImpostosNacionais[],2,0)</f>
        <v>0.01</v>
      </c>
      <c r="T311" s="233">
        <f>VLOOKUP(tabParametros[[#Headers],[INCRA]],tabImpostosNacionais[],2,0)</f>
        <v>2E-3</v>
      </c>
      <c r="U311" s="233">
        <f>VLOOKUP(tabParametros[[#Headers],[Salário Educação]],tabImpostosNacionais[],2,0)</f>
        <v>2.5000000000000001E-2</v>
      </c>
      <c r="V311" s="233">
        <f>VLOOKUP(tabParametros[[#Headers],[FGTS]],tabImpostosNacionais[],2,0)</f>
        <v>0.08</v>
      </c>
      <c r="W311" s="233">
        <f>VLOOKUP(tabParametros[[#Headers],[RAT Ajustado]],tabImpostosNacionais[],2,0)</f>
        <v>0.04</v>
      </c>
      <c r="X311" s="233">
        <f>VLOOKUP(tabParametros[[#Headers],[SEBRAE]],tabImpostosNacionais[],2,0)</f>
        <v>6.0000000000000001E-3</v>
      </c>
      <c r="Y311" s="233">
        <f t="shared" si="44"/>
        <v>8.3333333333333329E-2</v>
      </c>
      <c r="Z311" s="233">
        <f t="shared" si="45"/>
        <v>0.1111111111111111</v>
      </c>
      <c r="AA311" s="232">
        <f>VLOOKUP(tabParametros[[#This Row],[Comarca]],tabComarca[],5,0)</f>
        <v>6.4</v>
      </c>
      <c r="AB311" s="232">
        <f>VLOOKUP(tabParametros[[#This Row],[CCT DA CATEGORIA]],tabSindicatos[],6,0)</f>
        <v>28.97</v>
      </c>
      <c r="AC311" s="232">
        <f>VLOOKUP(tabParametros[[#This Row],[CCT DA CATEGORIA]],tabSindicatos[],7,0)</f>
        <v>0</v>
      </c>
      <c r="AD311" s="232" cm="1">
        <f t="array" ref="AD31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11" s="232">
        <f>VLOOKUP(tabParametros[[#This Row],[CCT DA CATEGORIA]],tabSindicatos[],9,0)</f>
        <v>0</v>
      </c>
      <c r="AF311" s="232">
        <f>VLOOKUP(tabParametros[[#This Row],[CCT DA CATEGORIA]],tabSindicatos[],10,0)</f>
        <v>0</v>
      </c>
      <c r="AG311" s="234">
        <f>VLOOKUP(tabParametros[[#Headers],[Seguro de Vida]],tabOutrosCustos[],3,0)</f>
        <v>3.36</v>
      </c>
      <c r="AH311" s="234">
        <f>IF(ISNUMBER(SEARCH("MOTORISTA",tabParametros[[#This Row],[Função]],1)),VLOOKUP("MOTORISTAS",tabDiarias[],2,0),IF(tabParametros[[#This Row],[Comarca]]="Belo Horizonte",VLOOKUP("APOIO",tabDiarias[],2,0),0))</f>
        <v>662.42</v>
      </c>
      <c r="AI311" s="233">
        <f t="shared" si="46"/>
        <v>7.011766975308642E-3</v>
      </c>
      <c r="AJ311" s="235">
        <f>tabParametros[[#This Row],[FGTS]]*tabParametros[[#This Row],[Aviso Prévio Indenizado (API) e Reflexo do Aviso Prévio Indenizado]]</f>
        <v>5.609413580246914E-4</v>
      </c>
      <c r="AK311" s="235">
        <f>tabParametros[[#This Row],[FGTS]]*tabParametros[[#This Row],[Aviso Prévio Indenizado (API) e Reflexo do Aviso Prévio Indenizado]]*40%</f>
        <v>2.2437654320987658E-4</v>
      </c>
      <c r="AL311" s="233">
        <f t="shared" si="47"/>
        <v>3.5000000000000005E-3</v>
      </c>
      <c r="AM311" s="233">
        <f>tabParametros[[#This Row],[Aviso Prévio Trabalhado - APT]]*SUM(tabParametros[[#This Row],[INSS]:[SEBRAE]])</f>
        <v>1.3230000000000004E-3</v>
      </c>
      <c r="AN311" s="233">
        <f t="shared" si="48"/>
        <v>3.0577777777777773E-2</v>
      </c>
      <c r="AO311" s="233">
        <f t="shared" si="49"/>
        <v>8.3333333333333339E-4</v>
      </c>
      <c r="AP311" s="233">
        <f t="shared" si="50"/>
        <v>8.4444444444444437E-3</v>
      </c>
      <c r="AQ311" s="233">
        <f t="shared" si="51"/>
        <v>2.0277777777777777E-3</v>
      </c>
      <c r="AR311" s="233">
        <f t="shared" si="52"/>
        <v>1.7083333333333333E-4</v>
      </c>
      <c r="AS311" s="233">
        <f t="shared" si="53"/>
        <v>2.0833333333333335E-4</v>
      </c>
      <c r="AT311" s="233">
        <f t="shared" si="54"/>
        <v>1.2962962962962963E-3</v>
      </c>
      <c r="AU311" s="235">
        <f>SUM(tabParametros[[#This Row],[Ausência por Doença]:[Férias, Adicional de Férias e 13º  com empregada em gozo de Licença Maternidade]])*SUM(tabParametros[[#This Row],[INSS]:[SEBRAE]])</f>
        <v>4.5918250000000008E-3</v>
      </c>
      <c r="AV311" s="254">
        <f>IF(tabParametros[[#This Row],[Função]]="Porteiro - 220 h",SUM(tabParametros[[#This Row],[Salário Base]:[Adicional de Acúmulo de função]])/220*20*1.5,IF(ISNUMBER(SEARCH("12 x 36",tabParametros[[#This Row],[Função]],1)),SUM(tabParametros[[#This Row],[Salário Base]:[Adicional de Acúmulo de função]])/210*15.5*1.5,0))</f>
        <v>0</v>
      </c>
      <c r="AW311" s="232">
        <f>IF(tabParametros[[#This Row],[Vagas contratadas]]&gt;0,(SUM(tabParametros[[#This Row],[Salário Base]:[Adicional de Acúmulo de função]])*30%+SUM(tabParametros[[#This Row],[Vale - Alimentação]:[Seguro de Vida]]))/tabParametros[[#This Row],[Vagas contratadas]]*tabParametros[[#This Row],[Vagas suspensas]],0)</f>
        <v>0</v>
      </c>
      <c r="AX311" s="232">
        <f>SUMIF(tabUniformes[Cargo],tabParametros[[#This Row],[Função]],tabUniformes[Valor unit. Mensal])</f>
        <v>92.100763771570698</v>
      </c>
      <c r="AY31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1" s="232">
        <v>0</v>
      </c>
      <c r="BC311" s="234" t="e">
        <f ca="1">VLOOKUP(tabParametros[[#Headers],[Custos Indiretos]],tabOutrosCustos[],3,0)</f>
        <v>#NAME?</v>
      </c>
      <c r="BD311" s="234" t="e">
        <f ca="1">VLOOKUP(tabParametros[[#Headers],[Lucro]],tabOutrosCustos[],3,0)</f>
        <v>#NAME?</v>
      </c>
      <c r="BE311" s="233">
        <f>VLOOKUP(tabParametros[[#Headers],[COFINS]],tabImpostosNacionais[],2,0)</f>
        <v>7.5999999999999998E-2</v>
      </c>
      <c r="BF311" s="233">
        <f>VLOOKUP(tabParametros[[#Headers],[PIS]],tabImpostosNacionais[],2,0)</f>
        <v>1.6500000000000001E-2</v>
      </c>
      <c r="BG311" s="233">
        <f>VLOOKUP(tabParametros[[#This Row],[Comarca]],tabComarca[],4,0)</f>
        <v>0.03</v>
      </c>
      <c r="BH311" s="236">
        <f>VLOOKUP(tabParametros[[#This Row],[CCT DA CATEGORIA]],tabSindicatos[],11,0)</f>
        <v>45658</v>
      </c>
      <c r="BI311" s="282" t="str">
        <f>VLOOKUP(tabParametros[[#This Row],[CCT DA CATEGORIA]],tabSindicatos[],12,0)</f>
        <v>-</v>
      </c>
      <c r="BJ311" s="285" t="str">
        <f>VLOOKUP(tabParametros[[#This Row],[CCT DA CATEGORIA]],tabSindicatos[],13,0)</f>
        <v>-</v>
      </c>
    </row>
    <row r="312" spans="1:62">
      <c r="A312" s="231" t="s">
        <v>1725</v>
      </c>
      <c r="B312" s="197" t="s">
        <v>1214</v>
      </c>
      <c r="C312" s="197" t="s">
        <v>314</v>
      </c>
      <c r="D312" s="197" t="str">
        <f>VLOOKUP(tabParametros[[#This Row],[Código do Posto]],tabPostos[],4,0)</f>
        <v>Cataguases</v>
      </c>
      <c r="E312" s="282" t="str">
        <f>VLOOKUP(tabParametros[[#This Row],[Código do Posto]],tabPostos[],5,0)</f>
        <v>Apoio</v>
      </c>
      <c r="F312" s="282" t="str">
        <f>VLOOKUP(tabParametros[[#This Row],[Código do Posto]],tabPostos[],6,0)</f>
        <v>PGJ</v>
      </c>
      <c r="G312" s="282">
        <f>VLOOKUP(tabParametros[[#This Row],[Código do Posto]],tabPostos[],7,0)</f>
        <v>1</v>
      </c>
      <c r="H312" s="282">
        <f>VLOOKUP(tabParametros[[#This Row],[Código do Posto]],tabPostos[],8,0)</f>
        <v>0</v>
      </c>
      <c r="I312" s="232">
        <f>VLOOKUP(tabParametros[[#This Row],[Código do Posto]],tabPostos[],9,0)</f>
        <v>1963.4110092077037</v>
      </c>
      <c r="J312" s="232">
        <f>IF(ISNUMBER(SEARCH("Eletricista",tabParametros[[#This Row],[Função]],1)),0.3*tabParametros[[#This Row],[Salário Base]],0)</f>
        <v>0</v>
      </c>
      <c r="K31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2" s="232">
        <f>IF(AND(ISNUMBER(SEARCH("Noturno",tabParametros[[#This Row],[Função]],1)),tabParametros[[#This Row],[Comarca]]&lt;&gt;"Juiz de Fora"),tabParametros[[#This Row],[Salário Base]]/210*0.39*7*15.5,IF(ISNUMBER(SEARCH("Noturno",tabParametros[[#This Row],[Função]],1)),tabParametros[[#This Row],[Salário Base]]/210*0.2*8*15.5,0))</f>
        <v>0</v>
      </c>
      <c r="M312" s="232">
        <f>IF(ISNUMBER(SEARCH("Motorista II",tabParametros[[#This Row],[Função]],1)),0.3022*tabParametros[[#This Row],[Salário Base]],0)</f>
        <v>0</v>
      </c>
      <c r="N312" s="254">
        <v>0</v>
      </c>
      <c r="O312" s="254">
        <f>IF(ISNUMBER(SEARCH("TECNOLOGIA DA INFORMACAO",tabParametros[[#This Row],[Função]],1)),0.056*tabParametros[[#This Row],[Salário Base]],0)</f>
        <v>0</v>
      </c>
      <c r="P312" s="232">
        <f>IF(tabParametros[[#This Row],[Função]]="Operador de Midia Audiovisual - 150 h",tabParametros[[#This Row],[Salário Base]]/150*50*30%,IF(tabParametros[[#This Row],[Função]]="Supervisor de Manutencao de Veiculos II - 220 h",12%*tabParametros[[#This Row],[Salário Base]],0))</f>
        <v>0</v>
      </c>
      <c r="Q312" s="233">
        <f>VLOOKUP(tabParametros[[#Headers],[INSS]],tabImpostosNacionais[],2,0)</f>
        <v>0.2</v>
      </c>
      <c r="R312" s="233">
        <f>VLOOKUP(tabParametros[[#Headers],[SESI OU SESC]],tabImpostosNacionais[],2,0)</f>
        <v>1.4999999999999999E-2</v>
      </c>
      <c r="S312" s="233">
        <f>VLOOKUP(tabParametros[[#Headers],[SENAI OU SENAC]],tabImpostosNacionais[],2,0)</f>
        <v>0.01</v>
      </c>
      <c r="T312" s="233">
        <f>VLOOKUP(tabParametros[[#Headers],[INCRA]],tabImpostosNacionais[],2,0)</f>
        <v>2E-3</v>
      </c>
      <c r="U312" s="233">
        <f>VLOOKUP(tabParametros[[#Headers],[Salário Educação]],tabImpostosNacionais[],2,0)</f>
        <v>2.5000000000000001E-2</v>
      </c>
      <c r="V312" s="233">
        <f>VLOOKUP(tabParametros[[#Headers],[FGTS]],tabImpostosNacionais[],2,0)</f>
        <v>0.08</v>
      </c>
      <c r="W312" s="233">
        <f>VLOOKUP(tabParametros[[#Headers],[RAT Ajustado]],tabImpostosNacionais[],2,0)</f>
        <v>0.04</v>
      </c>
      <c r="X312" s="233">
        <f>VLOOKUP(tabParametros[[#Headers],[SEBRAE]],tabImpostosNacionais[],2,0)</f>
        <v>6.0000000000000001E-3</v>
      </c>
      <c r="Y312" s="233">
        <f t="shared" si="44"/>
        <v>8.3333333333333329E-2</v>
      </c>
      <c r="Z312" s="233">
        <f t="shared" si="45"/>
        <v>0.1111111111111111</v>
      </c>
      <c r="AA312" s="232">
        <f>VLOOKUP(tabParametros[[#This Row],[Comarca]],tabComarca[],5,0)</f>
        <v>6.4</v>
      </c>
      <c r="AB312" s="232">
        <f>VLOOKUP(tabParametros[[#This Row],[CCT DA CATEGORIA]],tabSindicatos[],6,0)</f>
        <v>29.15</v>
      </c>
      <c r="AC312" s="232">
        <f>VLOOKUP(tabParametros[[#This Row],[CCT DA CATEGORIA]],tabSindicatos[],7,0)</f>
        <v>0</v>
      </c>
      <c r="AD312" s="232" cm="1">
        <f t="array" ref="AD31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312" s="232">
        <f>VLOOKUP(tabParametros[[#This Row],[CCT DA CATEGORIA]],tabSindicatos[],9,0)</f>
        <v>0</v>
      </c>
      <c r="AF312" s="232">
        <f>VLOOKUP(tabParametros[[#This Row],[CCT DA CATEGORIA]],tabSindicatos[],10,0)</f>
        <v>0</v>
      </c>
      <c r="AG312" s="234">
        <f>VLOOKUP(tabParametros[[#Headers],[Seguro de Vida]],tabOutrosCustos[],3,0)</f>
        <v>3.36</v>
      </c>
      <c r="AH312" s="234">
        <f>IF(ISNUMBER(SEARCH("MOTORISTA",tabParametros[[#This Row],[Função]],1)),VLOOKUP("MOTORISTAS",tabDiarias[],2,0),IF(tabParametros[[#This Row],[Comarca]]="Belo Horizonte",VLOOKUP("APOIO",tabDiarias[],2,0),0))</f>
        <v>0</v>
      </c>
      <c r="AI312" s="233">
        <f t="shared" si="46"/>
        <v>7.011766975308642E-3</v>
      </c>
      <c r="AJ312" s="235">
        <f>tabParametros[[#This Row],[FGTS]]*tabParametros[[#This Row],[Aviso Prévio Indenizado (API) e Reflexo do Aviso Prévio Indenizado]]</f>
        <v>5.609413580246914E-4</v>
      </c>
      <c r="AK312" s="235">
        <f>tabParametros[[#This Row],[FGTS]]*tabParametros[[#This Row],[Aviso Prévio Indenizado (API) e Reflexo do Aviso Prévio Indenizado]]*40%</f>
        <v>2.2437654320987658E-4</v>
      </c>
      <c r="AL312" s="233">
        <f t="shared" si="47"/>
        <v>3.5000000000000005E-3</v>
      </c>
      <c r="AM312" s="233">
        <f>tabParametros[[#This Row],[Aviso Prévio Trabalhado - APT]]*SUM(tabParametros[[#This Row],[INSS]:[SEBRAE]])</f>
        <v>1.3230000000000004E-3</v>
      </c>
      <c r="AN312" s="233">
        <f t="shared" si="48"/>
        <v>3.0577777777777773E-2</v>
      </c>
      <c r="AO312" s="233">
        <f t="shared" si="49"/>
        <v>8.3333333333333339E-4</v>
      </c>
      <c r="AP312" s="233">
        <f t="shared" si="50"/>
        <v>8.4444444444444437E-3</v>
      </c>
      <c r="AQ312" s="233">
        <f t="shared" si="51"/>
        <v>2.0277777777777777E-3</v>
      </c>
      <c r="AR312" s="233">
        <f t="shared" si="52"/>
        <v>1.7083333333333333E-4</v>
      </c>
      <c r="AS312" s="233">
        <f t="shared" si="53"/>
        <v>2.0833333333333335E-4</v>
      </c>
      <c r="AT312" s="233">
        <f t="shared" si="54"/>
        <v>1.2962962962962963E-3</v>
      </c>
      <c r="AU312" s="235">
        <f>SUM(tabParametros[[#This Row],[Ausência por Doença]:[Férias, Adicional de Férias e 13º  com empregada em gozo de Licença Maternidade]])*SUM(tabParametros[[#This Row],[INSS]:[SEBRAE]])</f>
        <v>4.5918250000000008E-3</v>
      </c>
      <c r="AV312"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312" s="232">
        <f>IF(tabParametros[[#This Row],[Vagas contratadas]]&gt;0,(SUM(tabParametros[[#This Row],[Salário Base]:[Adicional de Acúmulo de função]])*30%+SUM(tabParametros[[#This Row],[Vale - Alimentação]:[Seguro de Vida]]))/tabParametros[[#This Row],[Vagas contratadas]]*tabParametros[[#This Row],[Vagas suspensas]],0)</f>
        <v>0</v>
      </c>
      <c r="AX312" s="232">
        <f>SUMIF(tabUniformes[Cargo],tabParametros[[#This Row],[Função]],tabUniformes[Valor unit. Mensal])</f>
        <v>56.642978962543395</v>
      </c>
      <c r="AY31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2" s="232">
        <v>0</v>
      </c>
      <c r="BC312" s="234" t="e">
        <f ca="1">VLOOKUP(tabParametros[[#Headers],[Custos Indiretos]],tabOutrosCustos[],3,0)</f>
        <v>#NAME?</v>
      </c>
      <c r="BD312" s="234" t="e">
        <f ca="1">VLOOKUP(tabParametros[[#Headers],[Lucro]],tabOutrosCustos[],3,0)</f>
        <v>#NAME?</v>
      </c>
      <c r="BE312" s="233">
        <f>VLOOKUP(tabParametros[[#Headers],[COFINS]],tabImpostosNacionais[],2,0)</f>
        <v>7.5999999999999998E-2</v>
      </c>
      <c r="BF312" s="233">
        <f>VLOOKUP(tabParametros[[#Headers],[PIS]],tabImpostosNacionais[],2,0)</f>
        <v>1.6500000000000001E-2</v>
      </c>
      <c r="BG312" s="233">
        <f>VLOOKUP(tabParametros[[#This Row],[Comarca]],tabComarca[],4,0)</f>
        <v>0.03</v>
      </c>
      <c r="BH312" s="236">
        <f>VLOOKUP(tabParametros[[#This Row],[CCT DA CATEGORIA]],tabSindicatos[],11,0)</f>
        <v>45658</v>
      </c>
      <c r="BI312" s="282" t="str">
        <f>VLOOKUP(tabParametros[[#This Row],[CCT DA CATEGORIA]],tabSindicatos[],12,0)</f>
        <v>-</v>
      </c>
      <c r="BJ312" s="285" t="str">
        <f>VLOOKUP(tabParametros[[#This Row],[CCT DA CATEGORIA]],tabSindicatos[],13,0)</f>
        <v>-</v>
      </c>
    </row>
    <row r="313" spans="1:62">
      <c r="A313" s="231" t="s">
        <v>1511</v>
      </c>
      <c r="B313" s="197" t="s">
        <v>1069</v>
      </c>
      <c r="C313" s="197" t="s">
        <v>200</v>
      </c>
      <c r="D313" s="197" t="str">
        <f>VLOOKUP(tabParametros[[#This Row],[Código do Posto]],tabPostos[],4,0)</f>
        <v>Uberaba</v>
      </c>
      <c r="E313" s="282" t="str">
        <f>VLOOKUP(tabParametros[[#This Row],[Código do Posto]],tabPostos[],5,0)</f>
        <v>Apoio</v>
      </c>
      <c r="F313" s="282" t="str">
        <f>VLOOKUP(tabParametros[[#This Row],[Código do Posto]],tabPostos[],6,0)</f>
        <v>PGJ</v>
      </c>
      <c r="G313" s="282">
        <f>VLOOKUP(tabParametros[[#This Row],[Código do Posto]],tabPostos[],7,0)</f>
        <v>1</v>
      </c>
      <c r="H313" s="282">
        <f>VLOOKUP(tabParametros[[#This Row],[Código do Posto]],tabPostos[],8,0)</f>
        <v>0</v>
      </c>
      <c r="I313" s="232">
        <f>VLOOKUP(tabParametros[[#This Row],[Código do Posto]],tabPostos[],9,0)</f>
        <v>1649.1153464738998</v>
      </c>
      <c r="J313" s="232">
        <f>IF(ISNUMBER(SEARCH("Eletricista",tabParametros[[#This Row],[Função]],1)),0.3*tabParametros[[#This Row],[Salário Base]],0)</f>
        <v>0</v>
      </c>
      <c r="K31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3" s="232">
        <f>IF(AND(ISNUMBER(SEARCH("Noturno",tabParametros[[#This Row],[Função]],1)),tabParametros[[#This Row],[Comarca]]&lt;&gt;"Juiz de Fora"),tabParametros[[#This Row],[Salário Base]]/210*0.39*7*15.5,IF(ISNUMBER(SEARCH("Noturno",tabParametros[[#This Row],[Função]],1)),tabParametros[[#This Row],[Salário Base]]/210*0.2*8*15.5,0))</f>
        <v>0</v>
      </c>
      <c r="M313" s="232">
        <f>IF(ISNUMBER(SEARCH("Motorista II",tabParametros[[#This Row],[Função]],1)),0.3022*tabParametros[[#This Row],[Salário Base]],0)</f>
        <v>0</v>
      </c>
      <c r="N313" s="254">
        <v>0</v>
      </c>
      <c r="O313" s="254">
        <f>IF(ISNUMBER(SEARCH("TECNOLOGIA DA INFORMACAO",tabParametros[[#This Row],[Função]],1)),0.056*tabParametros[[#This Row],[Salário Base]],0)</f>
        <v>0</v>
      </c>
      <c r="P313" s="232">
        <f>IF(tabParametros[[#This Row],[Função]]="Operador de Midia Audiovisual - 150 h",tabParametros[[#This Row],[Salário Base]]/150*50*30%,IF(tabParametros[[#This Row],[Função]]="Supervisor de Manutencao de Veiculos II - 220 h",12%*tabParametros[[#This Row],[Salário Base]],0))</f>
        <v>0</v>
      </c>
      <c r="Q313" s="233">
        <f>VLOOKUP(tabParametros[[#Headers],[INSS]],tabImpostosNacionais[],2,0)</f>
        <v>0.2</v>
      </c>
      <c r="R313" s="233">
        <f>VLOOKUP(tabParametros[[#Headers],[SESI OU SESC]],tabImpostosNacionais[],2,0)</f>
        <v>1.4999999999999999E-2</v>
      </c>
      <c r="S313" s="233">
        <f>VLOOKUP(tabParametros[[#Headers],[SENAI OU SENAC]],tabImpostosNacionais[],2,0)</f>
        <v>0.01</v>
      </c>
      <c r="T313" s="233">
        <f>VLOOKUP(tabParametros[[#Headers],[INCRA]],tabImpostosNacionais[],2,0)</f>
        <v>2E-3</v>
      </c>
      <c r="U313" s="233">
        <f>VLOOKUP(tabParametros[[#Headers],[Salário Educação]],tabImpostosNacionais[],2,0)</f>
        <v>2.5000000000000001E-2</v>
      </c>
      <c r="V313" s="233">
        <f>VLOOKUP(tabParametros[[#Headers],[FGTS]],tabImpostosNacionais[],2,0)</f>
        <v>0.08</v>
      </c>
      <c r="W313" s="233">
        <f>VLOOKUP(tabParametros[[#Headers],[RAT Ajustado]],tabImpostosNacionais[],2,0)</f>
        <v>0.04</v>
      </c>
      <c r="X313" s="233">
        <f>VLOOKUP(tabParametros[[#Headers],[SEBRAE]],tabImpostosNacionais[],2,0)</f>
        <v>6.0000000000000001E-3</v>
      </c>
      <c r="Y313" s="233">
        <f t="shared" si="44"/>
        <v>8.3333333333333329E-2</v>
      </c>
      <c r="Z313" s="233">
        <f t="shared" si="45"/>
        <v>0.1111111111111111</v>
      </c>
      <c r="AA313" s="232">
        <f>VLOOKUP(tabParametros[[#This Row],[Comarca]],tabComarca[],5,0)</f>
        <v>6.4</v>
      </c>
      <c r="AB313" s="232">
        <f>VLOOKUP(tabParametros[[#This Row],[CCT DA CATEGORIA]],tabSindicatos[],6,0)</f>
        <v>29.15</v>
      </c>
      <c r="AC313" s="232">
        <f>VLOOKUP(tabParametros[[#This Row],[CCT DA CATEGORIA]],tabSindicatos[],7,0)</f>
        <v>0</v>
      </c>
      <c r="AD313" s="232" cm="1">
        <f t="array" ref="AD31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313" s="232">
        <f>VLOOKUP(tabParametros[[#This Row],[CCT DA CATEGORIA]],tabSindicatos[],9,0)</f>
        <v>0</v>
      </c>
      <c r="AF313" s="232">
        <f>VLOOKUP(tabParametros[[#This Row],[CCT DA CATEGORIA]],tabSindicatos[],10,0)</f>
        <v>0</v>
      </c>
      <c r="AG313" s="234">
        <f>VLOOKUP(tabParametros[[#Headers],[Seguro de Vida]],tabOutrosCustos[],3,0)</f>
        <v>3.36</v>
      </c>
      <c r="AH313" s="234">
        <f>IF(ISNUMBER(SEARCH("MOTORISTA",tabParametros[[#This Row],[Função]],1)),VLOOKUP("MOTORISTAS",tabDiarias[],2,0),IF(tabParametros[[#This Row],[Comarca]]="Belo Horizonte",VLOOKUP("APOIO",tabDiarias[],2,0),0))</f>
        <v>0</v>
      </c>
      <c r="AI313" s="233">
        <f t="shared" si="46"/>
        <v>7.011766975308642E-3</v>
      </c>
      <c r="AJ313" s="235">
        <f>tabParametros[[#This Row],[FGTS]]*tabParametros[[#This Row],[Aviso Prévio Indenizado (API) e Reflexo do Aviso Prévio Indenizado]]</f>
        <v>5.609413580246914E-4</v>
      </c>
      <c r="AK313" s="235">
        <f>tabParametros[[#This Row],[FGTS]]*tabParametros[[#This Row],[Aviso Prévio Indenizado (API) e Reflexo do Aviso Prévio Indenizado]]*40%</f>
        <v>2.2437654320987658E-4</v>
      </c>
      <c r="AL313" s="233">
        <f t="shared" si="47"/>
        <v>3.5000000000000005E-3</v>
      </c>
      <c r="AM313" s="233">
        <f>tabParametros[[#This Row],[Aviso Prévio Trabalhado - APT]]*SUM(tabParametros[[#This Row],[INSS]:[SEBRAE]])</f>
        <v>1.3230000000000004E-3</v>
      </c>
      <c r="AN313" s="233">
        <f t="shared" si="48"/>
        <v>3.0577777777777773E-2</v>
      </c>
      <c r="AO313" s="233">
        <f t="shared" si="49"/>
        <v>8.3333333333333339E-4</v>
      </c>
      <c r="AP313" s="233">
        <f t="shared" si="50"/>
        <v>8.4444444444444437E-3</v>
      </c>
      <c r="AQ313" s="233">
        <f t="shared" si="51"/>
        <v>2.0277777777777777E-3</v>
      </c>
      <c r="AR313" s="233">
        <f t="shared" si="52"/>
        <v>1.7083333333333333E-4</v>
      </c>
      <c r="AS313" s="233">
        <f t="shared" si="53"/>
        <v>2.0833333333333335E-4</v>
      </c>
      <c r="AT313" s="233">
        <f t="shared" si="54"/>
        <v>1.2962962962962963E-3</v>
      </c>
      <c r="AU313" s="235">
        <f>SUM(tabParametros[[#This Row],[Ausência por Doença]:[Férias, Adicional de Férias e 13º  com empregada em gozo de Licença Maternidade]])*SUM(tabParametros[[#This Row],[INSS]:[SEBRAE]])</f>
        <v>4.5918250000000008E-3</v>
      </c>
      <c r="AV313" s="254">
        <f>IF(tabParametros[[#This Row],[Função]]="Porteiro - 220 h",SUM(tabParametros[[#This Row],[Salário Base]:[Adicional de Acúmulo de função]])/220*20*1.5,IF(ISNUMBER(SEARCH("12 x 36",tabParametros[[#This Row],[Função]],1)),SUM(tabParametros[[#This Row],[Salário Base]:[Adicional de Acúmulo de função]])/210*15.5*1.5,0))</f>
        <v>0</v>
      </c>
      <c r="AW313" s="232">
        <f>IF(tabParametros[[#This Row],[Vagas contratadas]]&gt;0,(SUM(tabParametros[[#This Row],[Salário Base]:[Adicional de Acúmulo de função]])*30%+SUM(tabParametros[[#This Row],[Vale - Alimentação]:[Seguro de Vida]]))/tabParametros[[#This Row],[Vagas contratadas]]*tabParametros[[#This Row],[Vagas suspensas]],0)</f>
        <v>0</v>
      </c>
      <c r="AX313" s="232">
        <f>SUMIF(tabUniformes[Cargo],tabParametros[[#This Row],[Função]],tabUniformes[Valor unit. Mensal])</f>
        <v>56.141713661989918</v>
      </c>
      <c r="AY31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3" s="232">
        <v>0</v>
      </c>
      <c r="BC313" s="234" t="e">
        <f ca="1">VLOOKUP(tabParametros[[#Headers],[Custos Indiretos]],tabOutrosCustos[],3,0)</f>
        <v>#NAME?</v>
      </c>
      <c r="BD313" s="234" t="e">
        <f ca="1">VLOOKUP(tabParametros[[#Headers],[Lucro]],tabOutrosCustos[],3,0)</f>
        <v>#NAME?</v>
      </c>
      <c r="BE313" s="233">
        <f>VLOOKUP(tabParametros[[#Headers],[COFINS]],tabImpostosNacionais[],2,0)</f>
        <v>7.5999999999999998E-2</v>
      </c>
      <c r="BF313" s="233">
        <f>VLOOKUP(tabParametros[[#Headers],[PIS]],tabImpostosNacionais[],2,0)</f>
        <v>1.6500000000000001E-2</v>
      </c>
      <c r="BG313" s="233">
        <f>VLOOKUP(tabParametros[[#This Row],[Comarca]],tabComarca[],4,0)</f>
        <v>0.03</v>
      </c>
      <c r="BH313" s="236">
        <f>VLOOKUP(tabParametros[[#This Row],[CCT DA CATEGORIA]],tabSindicatos[],11,0)</f>
        <v>45658</v>
      </c>
      <c r="BI313" s="282" t="str">
        <f>VLOOKUP(tabParametros[[#This Row],[CCT DA CATEGORIA]],tabSindicatos[],12,0)</f>
        <v>-</v>
      </c>
      <c r="BJ313" s="285" t="str">
        <f>VLOOKUP(tabParametros[[#This Row],[CCT DA CATEGORIA]],tabSindicatos[],13,0)</f>
        <v>-</v>
      </c>
    </row>
    <row r="314" spans="1:62">
      <c r="A314" s="231" t="s">
        <v>1512</v>
      </c>
      <c r="B314" s="197" t="s">
        <v>1069</v>
      </c>
      <c r="C314" s="197" t="s">
        <v>214</v>
      </c>
      <c r="D314" s="197" t="str">
        <f>VLOOKUP(tabParametros[[#This Row],[Código do Posto]],tabPostos[],4,0)</f>
        <v>SETTASPOC</v>
      </c>
      <c r="E314" s="282" t="str">
        <f>VLOOKUP(tabParametros[[#This Row],[Código do Posto]],tabPostos[],5,0)</f>
        <v>Apoio</v>
      </c>
      <c r="F314" s="282" t="str">
        <f>VLOOKUP(tabParametros[[#This Row],[Código do Posto]],tabPostos[],6,0)</f>
        <v>PGJ</v>
      </c>
      <c r="G314" s="282">
        <f>VLOOKUP(tabParametros[[#This Row],[Código do Posto]],tabPostos[],7,0)</f>
        <v>5</v>
      </c>
      <c r="H314" s="282">
        <f>VLOOKUP(tabParametros[[#This Row],[Código do Posto]],tabPostos[],8,0)</f>
        <v>0</v>
      </c>
      <c r="I314" s="232">
        <f>VLOOKUP(tabParametros[[#This Row],[Código do Posto]],tabPostos[],9,0)</f>
        <v>1836.5985119240554</v>
      </c>
      <c r="J314" s="232">
        <f>IF(ISNUMBER(SEARCH("Eletricista",tabParametros[[#This Row],[Função]],1)),0.3*tabParametros[[#This Row],[Salário Base]],0)</f>
        <v>0</v>
      </c>
      <c r="K31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4" s="232">
        <f>IF(AND(ISNUMBER(SEARCH("Noturno",tabParametros[[#This Row],[Função]],1)),tabParametros[[#This Row],[Comarca]]&lt;&gt;"Juiz de Fora"),tabParametros[[#This Row],[Salário Base]]/210*0.39*7*15.5,IF(ISNUMBER(SEARCH("Noturno",tabParametros[[#This Row],[Função]],1)),tabParametros[[#This Row],[Salário Base]]/210*0.2*8*15.5,0))</f>
        <v>0</v>
      </c>
      <c r="M314" s="232">
        <f>IF(ISNUMBER(SEARCH("Motorista II",tabParametros[[#This Row],[Função]],1)),0.3022*tabParametros[[#This Row],[Salário Base]],0)</f>
        <v>0</v>
      </c>
      <c r="N314" s="254">
        <v>0</v>
      </c>
      <c r="O314" s="254">
        <f>IF(ISNUMBER(SEARCH("TECNOLOGIA DA INFORMACAO",tabParametros[[#This Row],[Função]],1)),0.056*tabParametros[[#This Row],[Salário Base]],0)</f>
        <v>0</v>
      </c>
      <c r="P314" s="232">
        <f>IF(tabParametros[[#This Row],[Função]]="Operador de Midia Audiovisual - 150 h",tabParametros[[#This Row],[Salário Base]]/150*50*30%,IF(tabParametros[[#This Row],[Função]]="Supervisor de Manutencao de Veiculos II - 220 h",12%*tabParametros[[#This Row],[Salário Base]],0))</f>
        <v>0</v>
      </c>
      <c r="Q314" s="233">
        <f>VLOOKUP(tabParametros[[#Headers],[INSS]],tabImpostosNacionais[],2,0)</f>
        <v>0.2</v>
      </c>
      <c r="R314" s="233">
        <f>VLOOKUP(tabParametros[[#Headers],[SESI OU SESC]],tabImpostosNacionais[],2,0)</f>
        <v>1.4999999999999999E-2</v>
      </c>
      <c r="S314" s="233">
        <f>VLOOKUP(tabParametros[[#Headers],[SENAI OU SENAC]],tabImpostosNacionais[],2,0)</f>
        <v>0.01</v>
      </c>
      <c r="T314" s="233">
        <f>VLOOKUP(tabParametros[[#Headers],[INCRA]],tabImpostosNacionais[],2,0)</f>
        <v>2E-3</v>
      </c>
      <c r="U314" s="233">
        <f>VLOOKUP(tabParametros[[#Headers],[Salário Educação]],tabImpostosNacionais[],2,0)</f>
        <v>2.5000000000000001E-2</v>
      </c>
      <c r="V314" s="233">
        <f>VLOOKUP(tabParametros[[#Headers],[FGTS]],tabImpostosNacionais[],2,0)</f>
        <v>0.08</v>
      </c>
      <c r="W314" s="233">
        <f>VLOOKUP(tabParametros[[#Headers],[RAT Ajustado]],tabImpostosNacionais[],2,0)</f>
        <v>0.04</v>
      </c>
      <c r="X314" s="233">
        <f>VLOOKUP(tabParametros[[#Headers],[SEBRAE]],tabImpostosNacionais[],2,0)</f>
        <v>6.0000000000000001E-3</v>
      </c>
      <c r="Y314" s="233">
        <f t="shared" si="44"/>
        <v>8.3333333333333329E-2</v>
      </c>
      <c r="Z314" s="233">
        <f t="shared" si="45"/>
        <v>0.1111111111111111</v>
      </c>
      <c r="AA314" s="232">
        <f>VLOOKUP(tabParametros[[#This Row],[Comarca]],tabComarca[],5,0)</f>
        <v>6.4</v>
      </c>
      <c r="AB314" s="232">
        <f>VLOOKUP(tabParametros[[#This Row],[CCT DA CATEGORIA]],tabSindicatos[],6,0)</f>
        <v>29.14</v>
      </c>
      <c r="AC314" s="232">
        <f>VLOOKUP(tabParametros[[#This Row],[CCT DA CATEGORIA]],tabSindicatos[],7,0)</f>
        <v>0</v>
      </c>
      <c r="AD314" s="232" cm="1">
        <f t="array" ref="AD31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314" s="232">
        <f>VLOOKUP(tabParametros[[#This Row],[CCT DA CATEGORIA]],tabSindicatos[],9,0)</f>
        <v>0</v>
      </c>
      <c r="AF314" s="232">
        <f>VLOOKUP(tabParametros[[#This Row],[CCT DA CATEGORIA]],tabSindicatos[],10,0)</f>
        <v>0</v>
      </c>
      <c r="AG314" s="234">
        <f>VLOOKUP(tabParametros[[#Headers],[Seguro de Vida]],tabOutrosCustos[],3,0)</f>
        <v>3.36</v>
      </c>
      <c r="AH314" s="234">
        <f>IF(ISNUMBER(SEARCH("MOTORISTA",tabParametros[[#This Row],[Função]],1)),VLOOKUP("MOTORISTAS",tabDiarias[],2,0),IF(tabParametros[[#This Row],[Comarca]]="Belo Horizonte",VLOOKUP("APOIO",tabDiarias[],2,0),0))</f>
        <v>0</v>
      </c>
      <c r="AI314" s="233">
        <f t="shared" si="46"/>
        <v>7.011766975308642E-3</v>
      </c>
      <c r="AJ314" s="235">
        <f>tabParametros[[#This Row],[FGTS]]*tabParametros[[#This Row],[Aviso Prévio Indenizado (API) e Reflexo do Aviso Prévio Indenizado]]</f>
        <v>5.609413580246914E-4</v>
      </c>
      <c r="AK314" s="235">
        <f>tabParametros[[#This Row],[FGTS]]*tabParametros[[#This Row],[Aviso Prévio Indenizado (API) e Reflexo do Aviso Prévio Indenizado]]*40%</f>
        <v>2.2437654320987658E-4</v>
      </c>
      <c r="AL314" s="233">
        <f t="shared" si="47"/>
        <v>3.5000000000000005E-3</v>
      </c>
      <c r="AM314" s="233">
        <f>tabParametros[[#This Row],[Aviso Prévio Trabalhado - APT]]*SUM(tabParametros[[#This Row],[INSS]:[SEBRAE]])</f>
        <v>1.3230000000000004E-3</v>
      </c>
      <c r="AN314" s="233">
        <f t="shared" si="48"/>
        <v>3.0577777777777773E-2</v>
      </c>
      <c r="AO314" s="233">
        <f t="shared" si="49"/>
        <v>8.3333333333333339E-4</v>
      </c>
      <c r="AP314" s="233">
        <f t="shared" si="50"/>
        <v>8.4444444444444437E-3</v>
      </c>
      <c r="AQ314" s="233">
        <f t="shared" si="51"/>
        <v>2.0277777777777777E-3</v>
      </c>
      <c r="AR314" s="233">
        <f t="shared" si="52"/>
        <v>1.7083333333333333E-4</v>
      </c>
      <c r="AS314" s="233">
        <f t="shared" si="53"/>
        <v>2.0833333333333335E-4</v>
      </c>
      <c r="AT314" s="233">
        <f t="shared" si="54"/>
        <v>1.2962962962962963E-3</v>
      </c>
      <c r="AU314" s="235">
        <f>SUM(tabParametros[[#This Row],[Ausência por Doença]:[Férias, Adicional de Férias e 13º  com empregada em gozo de Licença Maternidade]])*SUM(tabParametros[[#This Row],[INSS]:[SEBRAE]])</f>
        <v>4.5918250000000008E-3</v>
      </c>
      <c r="AV314" s="254">
        <f>IF(tabParametros[[#This Row],[Função]]="Porteiro - 220 h",SUM(tabParametros[[#This Row],[Salário Base]:[Adicional de Acúmulo de função]])/220*20*1.5,IF(ISNUMBER(SEARCH("12 x 36",tabParametros[[#This Row],[Função]],1)),SUM(tabParametros[[#This Row],[Salário Base]:[Adicional de Acúmulo de função]])/210*15.5*1.5,0))</f>
        <v>0</v>
      </c>
      <c r="AW314" s="232">
        <f>IF(tabParametros[[#This Row],[Vagas contratadas]]&gt;0,(SUM(tabParametros[[#This Row],[Salário Base]:[Adicional de Acúmulo de função]])*30%+SUM(tabParametros[[#This Row],[Vale - Alimentação]:[Seguro de Vida]]))/tabParametros[[#This Row],[Vagas contratadas]]*tabParametros[[#This Row],[Vagas suspensas]],0)</f>
        <v>0</v>
      </c>
      <c r="AX314" s="232">
        <f>SUMIF(tabUniformes[Cargo],tabParametros[[#This Row],[Função]],tabUniformes[Valor unit. Mensal])</f>
        <v>44.111346448706357</v>
      </c>
      <c r="AY31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4" s="232">
        <v>0</v>
      </c>
      <c r="BC314" s="234" t="e">
        <f ca="1">VLOOKUP(tabParametros[[#Headers],[Custos Indiretos]],tabOutrosCustos[],3,0)</f>
        <v>#NAME?</v>
      </c>
      <c r="BD314" s="234" t="e">
        <f ca="1">VLOOKUP(tabParametros[[#Headers],[Lucro]],tabOutrosCustos[],3,0)</f>
        <v>#NAME?</v>
      </c>
      <c r="BE314" s="233">
        <f>VLOOKUP(tabParametros[[#Headers],[COFINS]],tabImpostosNacionais[],2,0)</f>
        <v>7.5999999999999998E-2</v>
      </c>
      <c r="BF314" s="233">
        <f>VLOOKUP(tabParametros[[#Headers],[PIS]],tabImpostosNacionais[],2,0)</f>
        <v>1.6500000000000001E-2</v>
      </c>
      <c r="BG314" s="233">
        <f>VLOOKUP(tabParametros[[#This Row],[Comarca]],tabComarca[],4,0)</f>
        <v>0.03</v>
      </c>
      <c r="BH314" s="236">
        <f>VLOOKUP(tabParametros[[#This Row],[CCT DA CATEGORIA]],tabSindicatos[],11,0)</f>
        <v>45658</v>
      </c>
      <c r="BI314" s="282" t="str">
        <f>VLOOKUP(tabParametros[[#This Row],[CCT DA CATEGORIA]],tabSindicatos[],12,0)</f>
        <v>-</v>
      </c>
      <c r="BJ314" s="285" t="str">
        <f>VLOOKUP(tabParametros[[#This Row],[CCT DA CATEGORIA]],tabSindicatos[],13,0)</f>
        <v>-</v>
      </c>
    </row>
    <row r="315" spans="1:62">
      <c r="A315" s="231" t="s">
        <v>1726</v>
      </c>
      <c r="B315" s="197" t="s">
        <v>1069</v>
      </c>
      <c r="C315" s="197" t="s">
        <v>244</v>
      </c>
      <c r="D315" s="197" t="str">
        <f>VLOOKUP(tabParametros[[#This Row],[Código do Posto]],tabPostos[],4,0)</f>
        <v>Uberaba</v>
      </c>
      <c r="E315" s="282" t="str">
        <f>VLOOKUP(tabParametros[[#This Row],[Código do Posto]],tabPostos[],5,0)</f>
        <v>Apoio</v>
      </c>
      <c r="F315" s="282" t="str">
        <f>VLOOKUP(tabParametros[[#This Row],[Código do Posto]],tabPostos[],6,0)</f>
        <v>PGJ</v>
      </c>
      <c r="G315" s="282">
        <f>VLOOKUP(tabParametros[[#This Row],[Código do Posto]],tabPostos[],7,0)</f>
        <v>1</v>
      </c>
      <c r="H315" s="282">
        <f>VLOOKUP(tabParametros[[#This Row],[Código do Posto]],tabPostos[],8,0)</f>
        <v>0</v>
      </c>
      <c r="I315" s="232">
        <f>VLOOKUP(tabParametros[[#This Row],[Código do Posto]],tabPostos[],9,0)</f>
        <v>2296.1756892610078</v>
      </c>
      <c r="J315" s="232">
        <f>IF(ISNUMBER(SEARCH("Eletricista",tabParametros[[#This Row],[Função]],1)),0.3*tabParametros[[#This Row],[Salário Base]],0)</f>
        <v>0</v>
      </c>
      <c r="K31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315" s="232">
        <f>IF(AND(ISNUMBER(SEARCH("Noturno",tabParametros[[#This Row],[Função]],1)),tabParametros[[#This Row],[Comarca]]&lt;&gt;"Juiz de Fora"),tabParametros[[#This Row],[Salário Base]]/210*0.39*7*15.5,IF(ISNUMBER(SEARCH("Noturno",tabParametros[[#This Row],[Função]],1)),tabParametros[[#This Row],[Salário Base]]/210*0.2*8*15.5,0))</f>
        <v>0</v>
      </c>
      <c r="M315" s="232">
        <f>IF(ISNUMBER(SEARCH("Motorista II",tabParametros[[#This Row],[Função]],1)),0.3022*tabParametros[[#This Row],[Salário Base]],0)</f>
        <v>0</v>
      </c>
      <c r="N315" s="254">
        <v>0</v>
      </c>
      <c r="O315" s="254">
        <f>IF(ISNUMBER(SEARCH("TECNOLOGIA DA INFORMACAO",tabParametros[[#This Row],[Função]],1)),0.056*tabParametros[[#This Row],[Salário Base]],0)</f>
        <v>0</v>
      </c>
      <c r="P315" s="232">
        <f>IF(tabParametros[[#This Row],[Função]]="Operador de Midia Audiovisual - 150 h",tabParametros[[#This Row],[Salário Base]]/150*50*30%,IF(tabParametros[[#This Row],[Função]]="Supervisor de Manutencao de Veiculos II - 220 h",12%*tabParametros[[#This Row],[Salário Base]],0))</f>
        <v>0</v>
      </c>
      <c r="Q315" s="233">
        <f>VLOOKUP(tabParametros[[#Headers],[INSS]],tabImpostosNacionais[],2,0)</f>
        <v>0.2</v>
      </c>
      <c r="R315" s="233">
        <f>VLOOKUP(tabParametros[[#Headers],[SESI OU SESC]],tabImpostosNacionais[],2,0)</f>
        <v>1.4999999999999999E-2</v>
      </c>
      <c r="S315" s="233">
        <f>VLOOKUP(tabParametros[[#Headers],[SENAI OU SENAC]],tabImpostosNacionais[],2,0)</f>
        <v>0.01</v>
      </c>
      <c r="T315" s="233">
        <f>VLOOKUP(tabParametros[[#Headers],[INCRA]],tabImpostosNacionais[],2,0)</f>
        <v>2E-3</v>
      </c>
      <c r="U315" s="233">
        <f>VLOOKUP(tabParametros[[#Headers],[Salário Educação]],tabImpostosNacionais[],2,0)</f>
        <v>2.5000000000000001E-2</v>
      </c>
      <c r="V315" s="233">
        <f>VLOOKUP(tabParametros[[#Headers],[FGTS]],tabImpostosNacionais[],2,0)</f>
        <v>0.08</v>
      </c>
      <c r="W315" s="233">
        <f>VLOOKUP(tabParametros[[#Headers],[RAT Ajustado]],tabImpostosNacionais[],2,0)</f>
        <v>0.04</v>
      </c>
      <c r="X315" s="233">
        <f>VLOOKUP(tabParametros[[#Headers],[SEBRAE]],tabImpostosNacionais[],2,0)</f>
        <v>6.0000000000000001E-3</v>
      </c>
      <c r="Y315" s="233">
        <f t="shared" si="44"/>
        <v>8.3333333333333329E-2</v>
      </c>
      <c r="Z315" s="233">
        <f t="shared" si="45"/>
        <v>0.1111111111111111</v>
      </c>
      <c r="AA315" s="232">
        <f>VLOOKUP(tabParametros[[#This Row],[Comarca]],tabComarca[],5,0)</f>
        <v>6.4</v>
      </c>
      <c r="AB315" s="232">
        <f>VLOOKUP(tabParametros[[#This Row],[CCT DA CATEGORIA]],tabSindicatos[],6,0)</f>
        <v>29.15</v>
      </c>
      <c r="AC315" s="232">
        <f>VLOOKUP(tabParametros[[#This Row],[CCT DA CATEGORIA]],tabSindicatos[],7,0)</f>
        <v>0</v>
      </c>
      <c r="AD315" s="232" cm="1">
        <f t="array" ref="AD31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315" s="232">
        <f>VLOOKUP(tabParametros[[#This Row],[CCT DA CATEGORIA]],tabSindicatos[],9,0)</f>
        <v>0</v>
      </c>
      <c r="AF315" s="232">
        <f>VLOOKUP(tabParametros[[#This Row],[CCT DA CATEGORIA]],tabSindicatos[],10,0)</f>
        <v>0</v>
      </c>
      <c r="AG315" s="234">
        <f>VLOOKUP(tabParametros[[#Headers],[Seguro de Vida]],tabOutrosCustos[],3,0)</f>
        <v>3.36</v>
      </c>
      <c r="AH315" s="234">
        <f>IF(ISNUMBER(SEARCH("MOTORISTA",tabParametros[[#This Row],[Função]],1)),VLOOKUP("MOTORISTAS",tabDiarias[],2,0),IF(tabParametros[[#This Row],[Comarca]]="Belo Horizonte",VLOOKUP("APOIO",tabDiarias[],2,0),0))</f>
        <v>0</v>
      </c>
      <c r="AI315" s="233">
        <f t="shared" si="46"/>
        <v>7.011766975308642E-3</v>
      </c>
      <c r="AJ315" s="235">
        <f>tabParametros[[#This Row],[FGTS]]*tabParametros[[#This Row],[Aviso Prévio Indenizado (API) e Reflexo do Aviso Prévio Indenizado]]</f>
        <v>5.609413580246914E-4</v>
      </c>
      <c r="AK315" s="235">
        <f>tabParametros[[#This Row],[FGTS]]*tabParametros[[#This Row],[Aviso Prévio Indenizado (API) e Reflexo do Aviso Prévio Indenizado]]*40%</f>
        <v>2.2437654320987658E-4</v>
      </c>
      <c r="AL315" s="233">
        <f t="shared" si="47"/>
        <v>3.5000000000000005E-3</v>
      </c>
      <c r="AM315" s="233">
        <f>tabParametros[[#This Row],[Aviso Prévio Trabalhado - APT]]*SUM(tabParametros[[#This Row],[INSS]:[SEBRAE]])</f>
        <v>1.3230000000000004E-3</v>
      </c>
      <c r="AN315" s="233">
        <f t="shared" si="48"/>
        <v>3.0577777777777773E-2</v>
      </c>
      <c r="AO315" s="233">
        <f t="shared" si="49"/>
        <v>8.3333333333333339E-4</v>
      </c>
      <c r="AP315" s="233">
        <f t="shared" si="50"/>
        <v>8.4444444444444437E-3</v>
      </c>
      <c r="AQ315" s="233">
        <f t="shared" si="51"/>
        <v>2.0277777777777777E-3</v>
      </c>
      <c r="AR315" s="233">
        <f t="shared" si="52"/>
        <v>1.7083333333333333E-4</v>
      </c>
      <c r="AS315" s="233">
        <f t="shared" si="53"/>
        <v>2.0833333333333335E-4</v>
      </c>
      <c r="AT315" s="233">
        <f t="shared" si="54"/>
        <v>1.2962962962962963E-3</v>
      </c>
      <c r="AU315" s="235">
        <f>SUM(tabParametros[[#This Row],[Ausência por Doença]:[Férias, Adicional de Férias e 13º  com empregada em gozo de Licença Maternidade]])*SUM(tabParametros[[#This Row],[INSS]:[SEBRAE]])</f>
        <v>4.5918250000000008E-3</v>
      </c>
      <c r="AV315" s="254">
        <f>IF(tabParametros[[#This Row],[Função]]="Porteiro - 220 h",SUM(tabParametros[[#This Row],[Salário Base]:[Adicional de Acúmulo de função]])/220*20*1.5,IF(ISNUMBER(SEARCH("12 x 36",tabParametros[[#This Row],[Função]],1)),SUM(tabParametros[[#This Row],[Salário Base]:[Adicional de Acúmulo de função]])/210*15.5*1.5,0))</f>
        <v>0</v>
      </c>
      <c r="AW315" s="232">
        <f>IF(tabParametros[[#This Row],[Vagas contratadas]]&gt;0,(SUM(tabParametros[[#This Row],[Salário Base]:[Adicional de Acúmulo de função]])*30%+SUM(tabParametros[[#This Row],[Vale - Alimentação]:[Seguro de Vida]]))/tabParametros[[#This Row],[Vagas contratadas]]*tabParametros[[#This Row],[Vagas suspensas]],0)</f>
        <v>0</v>
      </c>
      <c r="AX315" s="232">
        <f>SUMIF(tabUniformes[Cargo],tabParametros[[#This Row],[Função]],tabUniformes[Valor unit. Mensal])</f>
        <v>226.33322732312172</v>
      </c>
      <c r="AY31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31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31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5" s="232">
        <v>0</v>
      </c>
      <c r="BC315" s="234" t="e">
        <f ca="1">VLOOKUP(tabParametros[[#Headers],[Custos Indiretos]],tabOutrosCustos[],3,0)</f>
        <v>#NAME?</v>
      </c>
      <c r="BD315" s="234" t="e">
        <f ca="1">VLOOKUP(tabParametros[[#Headers],[Lucro]],tabOutrosCustos[],3,0)</f>
        <v>#NAME?</v>
      </c>
      <c r="BE315" s="233">
        <f>VLOOKUP(tabParametros[[#Headers],[COFINS]],tabImpostosNacionais[],2,0)</f>
        <v>7.5999999999999998E-2</v>
      </c>
      <c r="BF315" s="233">
        <f>VLOOKUP(tabParametros[[#Headers],[PIS]],tabImpostosNacionais[],2,0)</f>
        <v>1.6500000000000001E-2</v>
      </c>
      <c r="BG315" s="233">
        <f>VLOOKUP(tabParametros[[#This Row],[Comarca]],tabComarca[],4,0)</f>
        <v>0.03</v>
      </c>
      <c r="BH315" s="236">
        <f>VLOOKUP(tabParametros[[#This Row],[CCT DA CATEGORIA]],tabSindicatos[],11,0)</f>
        <v>45658</v>
      </c>
      <c r="BI315" s="282" t="str">
        <f>VLOOKUP(tabParametros[[#This Row],[CCT DA CATEGORIA]],tabSindicatos[],12,0)</f>
        <v>-</v>
      </c>
      <c r="BJ315" s="285" t="str">
        <f>VLOOKUP(tabParametros[[#This Row],[CCT DA CATEGORIA]],tabSindicatos[],13,0)</f>
        <v>-</v>
      </c>
    </row>
    <row r="316" spans="1:62">
      <c r="A316" s="231" t="s">
        <v>1727</v>
      </c>
      <c r="B316" s="197" t="s">
        <v>1069</v>
      </c>
      <c r="C316" s="197" t="s">
        <v>274</v>
      </c>
      <c r="D316" s="197" t="str">
        <f>VLOOKUP(tabParametros[[#This Row],[Código do Posto]],tabPostos[],4,0)</f>
        <v>Rodoviarios de Uberaba + SEAC-MG</v>
      </c>
      <c r="E316" s="282" t="str">
        <f>VLOOKUP(tabParametros[[#This Row],[Código do Posto]],tabPostos[],5,0)</f>
        <v>Apoio</v>
      </c>
      <c r="F316" s="282" t="str">
        <f>VLOOKUP(tabParametros[[#This Row],[Código do Posto]],tabPostos[],6,0)</f>
        <v>PGJ</v>
      </c>
      <c r="G316" s="282">
        <f>VLOOKUP(tabParametros[[#This Row],[Código do Posto]],tabPostos[],7,0)</f>
        <v>4</v>
      </c>
      <c r="H316" s="282">
        <f>VLOOKUP(tabParametros[[#This Row],[Código do Posto]],tabPostos[],8,0)</f>
        <v>0</v>
      </c>
      <c r="I316" s="232">
        <f>VLOOKUP(tabParametros[[#This Row],[Código do Posto]],tabPostos[],9,0)</f>
        <v>4599.5952808034681</v>
      </c>
      <c r="J316" s="232">
        <f>IF(ISNUMBER(SEARCH("Eletricista",tabParametros[[#This Row],[Função]],1)),0.3*tabParametros[[#This Row],[Salário Base]],0)</f>
        <v>0</v>
      </c>
      <c r="K31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6" s="232">
        <f>IF(AND(ISNUMBER(SEARCH("Noturno",tabParametros[[#This Row],[Função]],1)),tabParametros[[#This Row],[Comarca]]&lt;&gt;"Juiz de Fora"),tabParametros[[#This Row],[Salário Base]]/210*0.39*7*15.5,IF(ISNUMBER(SEARCH("Noturno",tabParametros[[#This Row],[Função]],1)),tabParametros[[#This Row],[Salário Base]]/210*0.2*8*15.5,0))</f>
        <v>0</v>
      </c>
      <c r="M316" s="232">
        <f>IF(ISNUMBER(SEARCH("Motorista II",tabParametros[[#This Row],[Função]],1)),0.3022*tabParametros[[#This Row],[Salário Base]],0)</f>
        <v>0</v>
      </c>
      <c r="N316" s="254">
        <v>0</v>
      </c>
      <c r="O316" s="254">
        <f>IF(ISNUMBER(SEARCH("TECNOLOGIA DA INFORMACAO",tabParametros[[#This Row],[Função]],1)),0.056*tabParametros[[#This Row],[Salário Base]],0)</f>
        <v>0</v>
      </c>
      <c r="P316" s="232">
        <f>IF(tabParametros[[#This Row],[Função]]="Operador de Midia Audiovisual - 150 h",tabParametros[[#This Row],[Salário Base]]/150*50*30%,IF(tabParametros[[#This Row],[Função]]="Supervisor de Manutencao de Veiculos II - 220 h",12%*tabParametros[[#This Row],[Salário Base]],0))</f>
        <v>0</v>
      </c>
      <c r="Q316" s="233">
        <f>VLOOKUP(tabParametros[[#Headers],[INSS]],tabImpostosNacionais[],2,0)</f>
        <v>0.2</v>
      </c>
      <c r="R316" s="233">
        <f>VLOOKUP(tabParametros[[#Headers],[SESI OU SESC]],tabImpostosNacionais[],2,0)</f>
        <v>1.4999999999999999E-2</v>
      </c>
      <c r="S316" s="233">
        <f>VLOOKUP(tabParametros[[#Headers],[SENAI OU SENAC]],tabImpostosNacionais[],2,0)</f>
        <v>0.01</v>
      </c>
      <c r="T316" s="233">
        <f>VLOOKUP(tabParametros[[#Headers],[INCRA]],tabImpostosNacionais[],2,0)</f>
        <v>2E-3</v>
      </c>
      <c r="U316" s="233">
        <f>VLOOKUP(tabParametros[[#Headers],[Salário Educação]],tabImpostosNacionais[],2,0)</f>
        <v>2.5000000000000001E-2</v>
      </c>
      <c r="V316" s="233">
        <f>VLOOKUP(tabParametros[[#Headers],[FGTS]],tabImpostosNacionais[],2,0)</f>
        <v>0.08</v>
      </c>
      <c r="W316" s="233">
        <f>VLOOKUP(tabParametros[[#Headers],[RAT Ajustado]],tabImpostosNacionais[],2,0)</f>
        <v>0.04</v>
      </c>
      <c r="X316" s="233">
        <f>VLOOKUP(tabParametros[[#Headers],[SEBRAE]],tabImpostosNacionais[],2,0)</f>
        <v>6.0000000000000001E-3</v>
      </c>
      <c r="Y316" s="233">
        <f t="shared" si="44"/>
        <v>8.3333333333333329E-2</v>
      </c>
      <c r="Z316" s="233">
        <f t="shared" si="45"/>
        <v>0.1111111111111111</v>
      </c>
      <c r="AA316" s="232">
        <f>VLOOKUP(tabParametros[[#This Row],[Comarca]],tabComarca[],5,0)</f>
        <v>6.4</v>
      </c>
      <c r="AB316" s="232">
        <f>VLOOKUP(tabParametros[[#This Row],[CCT DA CATEGORIA]],tabSindicatos[],6,0)</f>
        <v>28.97</v>
      </c>
      <c r="AC316" s="232">
        <f>VLOOKUP(tabParametros[[#This Row],[CCT DA CATEGORIA]],tabSindicatos[],7,0)</f>
        <v>0</v>
      </c>
      <c r="AD316" s="232" cm="1">
        <f t="array" ref="AD31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16" s="232">
        <f>VLOOKUP(tabParametros[[#This Row],[CCT DA CATEGORIA]],tabSindicatos[],9,0)</f>
        <v>0</v>
      </c>
      <c r="AF316" s="232">
        <f>VLOOKUP(tabParametros[[#This Row],[CCT DA CATEGORIA]],tabSindicatos[],10,0)</f>
        <v>0</v>
      </c>
      <c r="AG316" s="234">
        <f>VLOOKUP(tabParametros[[#Headers],[Seguro de Vida]],tabOutrosCustos[],3,0)</f>
        <v>3.36</v>
      </c>
      <c r="AH316" s="234">
        <f>IF(ISNUMBER(SEARCH("MOTORISTA",tabParametros[[#This Row],[Função]],1)),VLOOKUP("MOTORISTAS",tabDiarias[],2,0),IF(tabParametros[[#This Row],[Comarca]]="Belo Horizonte",VLOOKUP("APOIO",tabDiarias[],2,0),0))</f>
        <v>662.42</v>
      </c>
      <c r="AI316" s="233">
        <f t="shared" si="46"/>
        <v>7.011766975308642E-3</v>
      </c>
      <c r="AJ316" s="235">
        <f>tabParametros[[#This Row],[FGTS]]*tabParametros[[#This Row],[Aviso Prévio Indenizado (API) e Reflexo do Aviso Prévio Indenizado]]</f>
        <v>5.609413580246914E-4</v>
      </c>
      <c r="AK316" s="235">
        <f>tabParametros[[#This Row],[FGTS]]*tabParametros[[#This Row],[Aviso Prévio Indenizado (API) e Reflexo do Aviso Prévio Indenizado]]*40%</f>
        <v>2.2437654320987658E-4</v>
      </c>
      <c r="AL316" s="233">
        <f t="shared" si="47"/>
        <v>3.5000000000000005E-3</v>
      </c>
      <c r="AM316" s="233">
        <f>tabParametros[[#This Row],[Aviso Prévio Trabalhado - APT]]*SUM(tabParametros[[#This Row],[INSS]:[SEBRAE]])</f>
        <v>1.3230000000000004E-3</v>
      </c>
      <c r="AN316" s="233">
        <f t="shared" si="48"/>
        <v>3.0577777777777773E-2</v>
      </c>
      <c r="AO316" s="233">
        <f t="shared" si="49"/>
        <v>8.3333333333333339E-4</v>
      </c>
      <c r="AP316" s="233">
        <f t="shared" si="50"/>
        <v>8.4444444444444437E-3</v>
      </c>
      <c r="AQ316" s="233">
        <f t="shared" si="51"/>
        <v>2.0277777777777777E-3</v>
      </c>
      <c r="AR316" s="233">
        <f t="shared" si="52"/>
        <v>1.7083333333333333E-4</v>
      </c>
      <c r="AS316" s="233">
        <f t="shared" si="53"/>
        <v>2.0833333333333335E-4</v>
      </c>
      <c r="AT316" s="233">
        <f t="shared" si="54"/>
        <v>1.2962962962962963E-3</v>
      </c>
      <c r="AU316" s="235">
        <f>SUM(tabParametros[[#This Row],[Ausência por Doença]:[Férias, Adicional de Férias e 13º  com empregada em gozo de Licença Maternidade]])*SUM(tabParametros[[#This Row],[INSS]:[SEBRAE]])</f>
        <v>4.5918250000000008E-3</v>
      </c>
      <c r="AV316" s="254">
        <f>IF(tabParametros[[#This Row],[Função]]="Porteiro - 220 h",SUM(tabParametros[[#This Row],[Salário Base]:[Adicional de Acúmulo de função]])/220*20*1.5,IF(ISNUMBER(SEARCH("12 x 36",tabParametros[[#This Row],[Função]],1)),SUM(tabParametros[[#This Row],[Salário Base]:[Adicional de Acúmulo de função]])/210*15.5*1.5,0))</f>
        <v>0</v>
      </c>
      <c r="AW316" s="232">
        <f>IF(tabParametros[[#This Row],[Vagas contratadas]]&gt;0,(SUM(tabParametros[[#This Row],[Salário Base]:[Adicional de Acúmulo de função]])*30%+SUM(tabParametros[[#This Row],[Vale - Alimentação]:[Seguro de Vida]]))/tabParametros[[#This Row],[Vagas contratadas]]*tabParametros[[#This Row],[Vagas suspensas]],0)</f>
        <v>0</v>
      </c>
      <c r="AX316" s="232">
        <f>SUMIF(tabUniformes[Cargo],tabParametros[[#This Row],[Função]],tabUniformes[Valor unit. Mensal])</f>
        <v>92.100763771570698</v>
      </c>
      <c r="AY31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6" s="232">
        <v>0</v>
      </c>
      <c r="BC316" s="234" t="e">
        <f ca="1">VLOOKUP(tabParametros[[#Headers],[Custos Indiretos]],tabOutrosCustos[],3,0)</f>
        <v>#NAME?</v>
      </c>
      <c r="BD316" s="234" t="e">
        <f ca="1">VLOOKUP(tabParametros[[#Headers],[Lucro]],tabOutrosCustos[],3,0)</f>
        <v>#NAME?</v>
      </c>
      <c r="BE316" s="233">
        <f>VLOOKUP(tabParametros[[#Headers],[COFINS]],tabImpostosNacionais[],2,0)</f>
        <v>7.5999999999999998E-2</v>
      </c>
      <c r="BF316" s="233">
        <f>VLOOKUP(tabParametros[[#Headers],[PIS]],tabImpostosNacionais[],2,0)</f>
        <v>1.6500000000000001E-2</v>
      </c>
      <c r="BG316" s="233">
        <f>VLOOKUP(tabParametros[[#This Row],[Comarca]],tabComarca[],4,0)</f>
        <v>0.03</v>
      </c>
      <c r="BH316" s="236">
        <f>VLOOKUP(tabParametros[[#This Row],[CCT DA CATEGORIA]],tabSindicatos[],11,0)</f>
        <v>45658</v>
      </c>
      <c r="BI316" s="282" t="str">
        <f>VLOOKUP(tabParametros[[#This Row],[CCT DA CATEGORIA]],tabSindicatos[],12,0)</f>
        <v>-</v>
      </c>
      <c r="BJ316" s="285" t="str">
        <f>VLOOKUP(tabParametros[[#This Row],[CCT DA CATEGORIA]],tabSindicatos[],13,0)</f>
        <v>-</v>
      </c>
    </row>
    <row r="317" spans="1:62">
      <c r="A317" s="231" t="s">
        <v>1513</v>
      </c>
      <c r="B317" s="197" t="s">
        <v>1069</v>
      </c>
      <c r="C317" s="197" t="s">
        <v>314</v>
      </c>
      <c r="D317" s="197" t="str">
        <f>VLOOKUP(tabParametros[[#This Row],[Código do Posto]],tabPostos[],4,0)</f>
        <v>Uberaba</v>
      </c>
      <c r="E317" s="282" t="str">
        <f>VLOOKUP(tabParametros[[#This Row],[Código do Posto]],tabPostos[],5,0)</f>
        <v>Apoio</v>
      </c>
      <c r="F317" s="282" t="str">
        <f>VLOOKUP(tabParametros[[#This Row],[Código do Posto]],tabPostos[],6,0)</f>
        <v>PGJ</v>
      </c>
      <c r="G317" s="282">
        <f>VLOOKUP(tabParametros[[#This Row],[Código do Posto]],tabPostos[],7,0)</f>
        <v>1</v>
      </c>
      <c r="H317" s="282">
        <f>VLOOKUP(tabParametros[[#This Row],[Código do Posto]],tabPostos[],8,0)</f>
        <v>0</v>
      </c>
      <c r="I317" s="232">
        <f>VLOOKUP(tabParametros[[#This Row],[Código do Posto]],tabPostos[],9,0)</f>
        <v>2134.8041615332936</v>
      </c>
      <c r="J317" s="232">
        <f>IF(ISNUMBER(SEARCH("Eletricista",tabParametros[[#This Row],[Função]],1)),0.3*tabParametros[[#This Row],[Salário Base]],0)</f>
        <v>0</v>
      </c>
      <c r="K31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7" s="232">
        <f>IF(AND(ISNUMBER(SEARCH("Noturno",tabParametros[[#This Row],[Função]],1)),tabParametros[[#This Row],[Comarca]]&lt;&gt;"Juiz de Fora"),tabParametros[[#This Row],[Salário Base]]/210*0.39*7*15.5,IF(ISNUMBER(SEARCH("Noturno",tabParametros[[#This Row],[Função]],1)),tabParametros[[#This Row],[Salário Base]]/210*0.2*8*15.5,0))</f>
        <v>0</v>
      </c>
      <c r="M317" s="232">
        <f>IF(ISNUMBER(SEARCH("Motorista II",tabParametros[[#This Row],[Função]],1)),0.3022*tabParametros[[#This Row],[Salário Base]],0)</f>
        <v>0</v>
      </c>
      <c r="N317" s="254">
        <v>0</v>
      </c>
      <c r="O317" s="254">
        <f>IF(ISNUMBER(SEARCH("TECNOLOGIA DA INFORMACAO",tabParametros[[#This Row],[Função]],1)),0.056*tabParametros[[#This Row],[Salário Base]],0)</f>
        <v>0</v>
      </c>
      <c r="P317" s="232">
        <f>IF(tabParametros[[#This Row],[Função]]="Operador de Midia Audiovisual - 150 h",tabParametros[[#This Row],[Salário Base]]/150*50*30%,IF(tabParametros[[#This Row],[Função]]="Supervisor de Manutencao de Veiculos II - 220 h",12%*tabParametros[[#This Row],[Salário Base]],0))</f>
        <v>0</v>
      </c>
      <c r="Q317" s="233">
        <f>VLOOKUP(tabParametros[[#Headers],[INSS]],tabImpostosNacionais[],2,0)</f>
        <v>0.2</v>
      </c>
      <c r="R317" s="233">
        <f>VLOOKUP(tabParametros[[#Headers],[SESI OU SESC]],tabImpostosNacionais[],2,0)</f>
        <v>1.4999999999999999E-2</v>
      </c>
      <c r="S317" s="233">
        <f>VLOOKUP(tabParametros[[#Headers],[SENAI OU SENAC]],tabImpostosNacionais[],2,0)</f>
        <v>0.01</v>
      </c>
      <c r="T317" s="233">
        <f>VLOOKUP(tabParametros[[#Headers],[INCRA]],tabImpostosNacionais[],2,0)</f>
        <v>2E-3</v>
      </c>
      <c r="U317" s="233">
        <f>VLOOKUP(tabParametros[[#Headers],[Salário Educação]],tabImpostosNacionais[],2,0)</f>
        <v>2.5000000000000001E-2</v>
      </c>
      <c r="V317" s="233">
        <f>VLOOKUP(tabParametros[[#Headers],[FGTS]],tabImpostosNacionais[],2,0)</f>
        <v>0.08</v>
      </c>
      <c r="W317" s="233">
        <f>VLOOKUP(tabParametros[[#Headers],[RAT Ajustado]],tabImpostosNacionais[],2,0)</f>
        <v>0.04</v>
      </c>
      <c r="X317" s="233">
        <f>VLOOKUP(tabParametros[[#Headers],[SEBRAE]],tabImpostosNacionais[],2,0)</f>
        <v>6.0000000000000001E-3</v>
      </c>
      <c r="Y317" s="233">
        <f t="shared" si="44"/>
        <v>8.3333333333333329E-2</v>
      </c>
      <c r="Z317" s="233">
        <f t="shared" si="45"/>
        <v>0.1111111111111111</v>
      </c>
      <c r="AA317" s="232">
        <f>VLOOKUP(tabParametros[[#This Row],[Comarca]],tabComarca[],5,0)</f>
        <v>6.4</v>
      </c>
      <c r="AB317" s="232">
        <f>VLOOKUP(tabParametros[[#This Row],[CCT DA CATEGORIA]],tabSindicatos[],6,0)</f>
        <v>29.15</v>
      </c>
      <c r="AC317" s="232">
        <f>VLOOKUP(tabParametros[[#This Row],[CCT DA CATEGORIA]],tabSindicatos[],7,0)</f>
        <v>0</v>
      </c>
      <c r="AD317" s="232" cm="1">
        <f t="array" ref="AD31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317" s="232">
        <f>VLOOKUP(tabParametros[[#This Row],[CCT DA CATEGORIA]],tabSindicatos[],9,0)</f>
        <v>0</v>
      </c>
      <c r="AF317" s="232">
        <f>VLOOKUP(tabParametros[[#This Row],[CCT DA CATEGORIA]],tabSindicatos[],10,0)</f>
        <v>0</v>
      </c>
      <c r="AG317" s="234">
        <f>VLOOKUP(tabParametros[[#Headers],[Seguro de Vida]],tabOutrosCustos[],3,0)</f>
        <v>3.36</v>
      </c>
      <c r="AH317" s="234">
        <f>IF(ISNUMBER(SEARCH("MOTORISTA",tabParametros[[#This Row],[Função]],1)),VLOOKUP("MOTORISTAS",tabDiarias[],2,0),IF(tabParametros[[#This Row],[Comarca]]="Belo Horizonte",VLOOKUP("APOIO",tabDiarias[],2,0),0))</f>
        <v>0</v>
      </c>
      <c r="AI317" s="233">
        <f t="shared" si="46"/>
        <v>7.011766975308642E-3</v>
      </c>
      <c r="AJ317" s="235">
        <f>tabParametros[[#This Row],[FGTS]]*tabParametros[[#This Row],[Aviso Prévio Indenizado (API) e Reflexo do Aviso Prévio Indenizado]]</f>
        <v>5.609413580246914E-4</v>
      </c>
      <c r="AK317" s="235">
        <f>tabParametros[[#This Row],[FGTS]]*tabParametros[[#This Row],[Aviso Prévio Indenizado (API) e Reflexo do Aviso Prévio Indenizado]]*40%</f>
        <v>2.2437654320987658E-4</v>
      </c>
      <c r="AL317" s="233">
        <f t="shared" si="47"/>
        <v>3.5000000000000005E-3</v>
      </c>
      <c r="AM317" s="233">
        <f>tabParametros[[#This Row],[Aviso Prévio Trabalhado - APT]]*SUM(tabParametros[[#This Row],[INSS]:[SEBRAE]])</f>
        <v>1.3230000000000004E-3</v>
      </c>
      <c r="AN317" s="233">
        <f t="shared" si="48"/>
        <v>3.0577777777777773E-2</v>
      </c>
      <c r="AO317" s="233">
        <f t="shared" si="49"/>
        <v>8.3333333333333339E-4</v>
      </c>
      <c r="AP317" s="233">
        <f t="shared" si="50"/>
        <v>8.4444444444444437E-3</v>
      </c>
      <c r="AQ317" s="233">
        <f t="shared" si="51"/>
        <v>2.0277777777777777E-3</v>
      </c>
      <c r="AR317" s="233">
        <f t="shared" si="52"/>
        <v>1.7083333333333333E-4</v>
      </c>
      <c r="AS317" s="233">
        <f t="shared" si="53"/>
        <v>2.0833333333333335E-4</v>
      </c>
      <c r="AT317" s="233">
        <f t="shared" si="54"/>
        <v>1.2962962962962963E-3</v>
      </c>
      <c r="AU317" s="235">
        <f>SUM(tabParametros[[#This Row],[Ausência por Doença]:[Férias, Adicional de Férias e 13º  com empregada em gozo de Licença Maternidade]])*SUM(tabParametros[[#This Row],[INSS]:[SEBRAE]])</f>
        <v>4.5918250000000008E-3</v>
      </c>
      <c r="AV317" s="254">
        <f>IF(tabParametros[[#This Row],[Função]]="Porteiro - 220 h",SUM(tabParametros[[#This Row],[Salário Base]:[Adicional de Acúmulo de função]])/220*20*1.5,IF(ISNUMBER(SEARCH("12 x 36",tabParametros[[#This Row],[Função]],1)),SUM(tabParametros[[#This Row],[Salário Base]:[Adicional de Acúmulo de função]])/210*15.5*1.5,0))</f>
        <v>291.10965839090369</v>
      </c>
      <c r="AW317" s="232">
        <f>IF(tabParametros[[#This Row],[Vagas contratadas]]&gt;0,(SUM(tabParametros[[#This Row],[Salário Base]:[Adicional de Acúmulo de função]])*30%+SUM(tabParametros[[#This Row],[Vale - Alimentação]:[Seguro de Vida]]))/tabParametros[[#This Row],[Vagas contratadas]]*tabParametros[[#This Row],[Vagas suspensas]],0)</f>
        <v>0</v>
      </c>
      <c r="AX317" s="232">
        <f>SUMIF(tabUniformes[Cargo],tabParametros[[#This Row],[Função]],tabUniformes[Valor unit. Mensal])</f>
        <v>56.642978962543395</v>
      </c>
      <c r="AY31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7" s="232">
        <v>0</v>
      </c>
      <c r="BC317" s="234" t="e">
        <f ca="1">VLOOKUP(tabParametros[[#Headers],[Custos Indiretos]],tabOutrosCustos[],3,0)</f>
        <v>#NAME?</v>
      </c>
      <c r="BD317" s="234" t="e">
        <f ca="1">VLOOKUP(tabParametros[[#Headers],[Lucro]],tabOutrosCustos[],3,0)</f>
        <v>#NAME?</v>
      </c>
      <c r="BE317" s="233">
        <f>VLOOKUP(tabParametros[[#Headers],[COFINS]],tabImpostosNacionais[],2,0)</f>
        <v>7.5999999999999998E-2</v>
      </c>
      <c r="BF317" s="233">
        <f>VLOOKUP(tabParametros[[#Headers],[PIS]],tabImpostosNacionais[],2,0)</f>
        <v>1.6500000000000001E-2</v>
      </c>
      <c r="BG317" s="233">
        <f>VLOOKUP(tabParametros[[#This Row],[Comarca]],tabComarca[],4,0)</f>
        <v>0.03</v>
      </c>
      <c r="BH317" s="236">
        <f>VLOOKUP(tabParametros[[#This Row],[CCT DA CATEGORIA]],tabSindicatos[],11,0)</f>
        <v>45658</v>
      </c>
      <c r="BI317" s="282" t="str">
        <f>VLOOKUP(tabParametros[[#This Row],[CCT DA CATEGORIA]],tabSindicatos[],12,0)</f>
        <v>-</v>
      </c>
      <c r="BJ317" s="285" t="str">
        <f>VLOOKUP(tabParametros[[#This Row],[CCT DA CATEGORIA]],tabSindicatos[],13,0)</f>
        <v>-</v>
      </c>
    </row>
    <row r="318" spans="1:62">
      <c r="A318" s="231" t="s">
        <v>1728</v>
      </c>
      <c r="B318" s="197" t="s">
        <v>1069</v>
      </c>
      <c r="C318" s="197" t="s">
        <v>324</v>
      </c>
      <c r="D318" s="197" t="str">
        <f>VLOOKUP(tabParametros[[#This Row],[Código do Posto]],tabPostos[],4,0)</f>
        <v>Uberaba</v>
      </c>
      <c r="E318" s="282" t="str">
        <f>VLOOKUP(tabParametros[[#This Row],[Código do Posto]],tabPostos[],5,0)</f>
        <v>Apoio</v>
      </c>
      <c r="F318" s="282" t="str">
        <f>VLOOKUP(tabParametros[[#This Row],[Código do Posto]],tabPostos[],6,0)</f>
        <v>PGJ</v>
      </c>
      <c r="G318" s="282">
        <f>VLOOKUP(tabParametros[[#This Row],[Código do Posto]],tabPostos[],7,0)</f>
        <v>1</v>
      </c>
      <c r="H318" s="282">
        <f>VLOOKUP(tabParametros[[#This Row],[Código do Posto]],tabPostos[],8,0)</f>
        <v>0</v>
      </c>
      <c r="I318" s="232">
        <f>VLOOKUP(tabParametros[[#This Row],[Código do Posto]],tabPostos[],9,0)</f>
        <v>3397.130467372021</v>
      </c>
      <c r="J318" s="232">
        <f>IF(ISNUMBER(SEARCH("Eletricista",tabParametros[[#This Row],[Função]],1)),0.3*tabParametros[[#This Row],[Salário Base]],0)</f>
        <v>0</v>
      </c>
      <c r="K31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8" s="232">
        <f>IF(AND(ISNUMBER(SEARCH("Noturno",tabParametros[[#This Row],[Função]],1)),tabParametros[[#This Row],[Comarca]]&lt;&gt;"Juiz de Fora"),tabParametros[[#This Row],[Salário Base]]/210*0.39*7*15.5,IF(ISNUMBER(SEARCH("Noturno",tabParametros[[#This Row],[Função]],1)),tabParametros[[#This Row],[Salário Base]]/210*0.2*8*15.5,0))</f>
        <v>0</v>
      </c>
      <c r="M318" s="232">
        <f>IF(ISNUMBER(SEARCH("Motorista II",tabParametros[[#This Row],[Função]],1)),0.3022*tabParametros[[#This Row],[Salário Base]],0)</f>
        <v>0</v>
      </c>
      <c r="N318" s="254">
        <v>0</v>
      </c>
      <c r="O318" s="254">
        <f>IF(ISNUMBER(SEARCH("TECNOLOGIA DA INFORMACAO",tabParametros[[#This Row],[Função]],1)),0.056*tabParametros[[#This Row],[Salário Base]],0)</f>
        <v>0</v>
      </c>
      <c r="P318" s="232">
        <f>IF(tabParametros[[#This Row],[Função]]="Operador de Midia Audiovisual - 150 h",tabParametros[[#This Row],[Salário Base]]/150*50*30%,IF(tabParametros[[#This Row],[Função]]="Supervisor de Manutencao de Veiculos II - 220 h",12%*tabParametros[[#This Row],[Salário Base]],0))</f>
        <v>0</v>
      </c>
      <c r="Q318" s="233">
        <f>VLOOKUP(tabParametros[[#Headers],[INSS]],tabImpostosNacionais[],2,0)</f>
        <v>0.2</v>
      </c>
      <c r="R318" s="233">
        <f>VLOOKUP(tabParametros[[#Headers],[SESI OU SESC]],tabImpostosNacionais[],2,0)</f>
        <v>1.4999999999999999E-2</v>
      </c>
      <c r="S318" s="233">
        <f>VLOOKUP(tabParametros[[#Headers],[SENAI OU SENAC]],tabImpostosNacionais[],2,0)</f>
        <v>0.01</v>
      </c>
      <c r="T318" s="233">
        <f>VLOOKUP(tabParametros[[#Headers],[INCRA]],tabImpostosNacionais[],2,0)</f>
        <v>2E-3</v>
      </c>
      <c r="U318" s="233">
        <f>VLOOKUP(tabParametros[[#Headers],[Salário Educação]],tabImpostosNacionais[],2,0)</f>
        <v>2.5000000000000001E-2</v>
      </c>
      <c r="V318" s="233">
        <f>VLOOKUP(tabParametros[[#Headers],[FGTS]],tabImpostosNacionais[],2,0)</f>
        <v>0.08</v>
      </c>
      <c r="W318" s="233">
        <f>VLOOKUP(tabParametros[[#Headers],[RAT Ajustado]],tabImpostosNacionais[],2,0)</f>
        <v>0.04</v>
      </c>
      <c r="X318" s="233">
        <f>VLOOKUP(tabParametros[[#Headers],[SEBRAE]],tabImpostosNacionais[],2,0)</f>
        <v>6.0000000000000001E-3</v>
      </c>
      <c r="Y318" s="233">
        <f t="shared" si="44"/>
        <v>8.3333333333333329E-2</v>
      </c>
      <c r="Z318" s="233">
        <f t="shared" si="45"/>
        <v>0.1111111111111111</v>
      </c>
      <c r="AA318" s="232">
        <f>VLOOKUP(tabParametros[[#This Row],[Comarca]],tabComarca[],5,0)</f>
        <v>6.4</v>
      </c>
      <c r="AB318" s="232">
        <f>VLOOKUP(tabParametros[[#This Row],[CCT DA CATEGORIA]],tabSindicatos[],6,0)</f>
        <v>29.15</v>
      </c>
      <c r="AC318" s="232">
        <f>VLOOKUP(tabParametros[[#This Row],[CCT DA CATEGORIA]],tabSindicatos[],7,0)</f>
        <v>0</v>
      </c>
      <c r="AD318" s="232" cm="1">
        <f t="array" ref="AD31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318" s="232">
        <f>VLOOKUP(tabParametros[[#This Row],[CCT DA CATEGORIA]],tabSindicatos[],9,0)</f>
        <v>0</v>
      </c>
      <c r="AF318" s="232">
        <f>VLOOKUP(tabParametros[[#This Row],[CCT DA CATEGORIA]],tabSindicatos[],10,0)</f>
        <v>0</v>
      </c>
      <c r="AG318" s="234">
        <f>VLOOKUP(tabParametros[[#Headers],[Seguro de Vida]],tabOutrosCustos[],3,0)</f>
        <v>3.36</v>
      </c>
      <c r="AH318" s="234">
        <f>IF(ISNUMBER(SEARCH("MOTORISTA",tabParametros[[#This Row],[Função]],1)),VLOOKUP("MOTORISTAS",tabDiarias[],2,0),IF(tabParametros[[#This Row],[Comarca]]="Belo Horizonte",VLOOKUP("APOIO",tabDiarias[],2,0),0))</f>
        <v>0</v>
      </c>
      <c r="AI318" s="233">
        <f t="shared" si="46"/>
        <v>7.011766975308642E-3</v>
      </c>
      <c r="AJ318" s="235">
        <f>tabParametros[[#This Row],[FGTS]]*tabParametros[[#This Row],[Aviso Prévio Indenizado (API) e Reflexo do Aviso Prévio Indenizado]]</f>
        <v>5.609413580246914E-4</v>
      </c>
      <c r="AK318" s="235">
        <f>tabParametros[[#This Row],[FGTS]]*tabParametros[[#This Row],[Aviso Prévio Indenizado (API) e Reflexo do Aviso Prévio Indenizado]]*40%</f>
        <v>2.2437654320987658E-4</v>
      </c>
      <c r="AL318" s="233">
        <f t="shared" si="47"/>
        <v>3.5000000000000005E-3</v>
      </c>
      <c r="AM318" s="233">
        <f>tabParametros[[#This Row],[Aviso Prévio Trabalhado - APT]]*SUM(tabParametros[[#This Row],[INSS]:[SEBRAE]])</f>
        <v>1.3230000000000004E-3</v>
      </c>
      <c r="AN318" s="233">
        <f t="shared" si="48"/>
        <v>3.0577777777777773E-2</v>
      </c>
      <c r="AO318" s="233">
        <f t="shared" si="49"/>
        <v>8.3333333333333339E-4</v>
      </c>
      <c r="AP318" s="233">
        <f t="shared" si="50"/>
        <v>8.4444444444444437E-3</v>
      </c>
      <c r="AQ318" s="233">
        <f t="shared" si="51"/>
        <v>2.0277777777777777E-3</v>
      </c>
      <c r="AR318" s="233">
        <f t="shared" si="52"/>
        <v>1.7083333333333333E-4</v>
      </c>
      <c r="AS318" s="233">
        <f t="shared" si="53"/>
        <v>2.0833333333333335E-4</v>
      </c>
      <c r="AT318" s="233">
        <f t="shared" si="54"/>
        <v>1.2962962962962963E-3</v>
      </c>
      <c r="AU318" s="235">
        <f>SUM(tabParametros[[#This Row],[Ausência por Doença]:[Férias, Adicional de Férias e 13º  com empregada em gozo de Licença Maternidade]])*SUM(tabParametros[[#This Row],[INSS]:[SEBRAE]])</f>
        <v>4.5918250000000008E-3</v>
      </c>
      <c r="AV318" s="254">
        <f>IF(tabParametros[[#This Row],[Função]]="Porteiro - 220 h",SUM(tabParametros[[#This Row],[Salário Base]:[Adicional de Acúmulo de função]])/220*20*1.5,IF(ISNUMBER(SEARCH("12 x 36",tabParametros[[#This Row],[Função]],1)),SUM(tabParametros[[#This Row],[Salário Base]:[Adicional de Acúmulo de função]])/210*15.5*1.5,0))</f>
        <v>0</v>
      </c>
      <c r="AW318" s="232">
        <f>IF(tabParametros[[#This Row],[Vagas contratadas]]&gt;0,(SUM(tabParametros[[#This Row],[Salário Base]:[Adicional de Acúmulo de função]])*30%+SUM(tabParametros[[#This Row],[Vale - Alimentação]:[Seguro de Vida]]))/tabParametros[[#This Row],[Vagas contratadas]]*tabParametros[[#This Row],[Vagas suspensas]],0)</f>
        <v>0</v>
      </c>
      <c r="AX318" s="232">
        <f>SUMIF(tabUniformes[Cargo],tabParametros[[#This Row],[Função]],tabUniformes[Valor unit. Mensal])</f>
        <v>56.642978962543395</v>
      </c>
      <c r="AY31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8" s="232">
        <v>0</v>
      </c>
      <c r="BC318" s="234" t="e">
        <f ca="1">VLOOKUP(tabParametros[[#Headers],[Custos Indiretos]],tabOutrosCustos[],3,0)</f>
        <v>#NAME?</v>
      </c>
      <c r="BD318" s="234" t="e">
        <f ca="1">VLOOKUP(tabParametros[[#Headers],[Lucro]],tabOutrosCustos[],3,0)</f>
        <v>#NAME?</v>
      </c>
      <c r="BE318" s="233">
        <f>VLOOKUP(tabParametros[[#Headers],[COFINS]],tabImpostosNacionais[],2,0)</f>
        <v>7.5999999999999998E-2</v>
      </c>
      <c r="BF318" s="233">
        <f>VLOOKUP(tabParametros[[#Headers],[PIS]],tabImpostosNacionais[],2,0)</f>
        <v>1.6500000000000001E-2</v>
      </c>
      <c r="BG318" s="233">
        <f>VLOOKUP(tabParametros[[#This Row],[Comarca]],tabComarca[],4,0)</f>
        <v>0.03</v>
      </c>
      <c r="BH318" s="236">
        <f>VLOOKUP(tabParametros[[#This Row],[CCT DA CATEGORIA]],tabSindicatos[],11,0)</f>
        <v>45658</v>
      </c>
      <c r="BI318" s="282" t="str">
        <f>VLOOKUP(tabParametros[[#This Row],[CCT DA CATEGORIA]],tabSindicatos[],12,0)</f>
        <v>-</v>
      </c>
      <c r="BJ318" s="285" t="str">
        <f>VLOOKUP(tabParametros[[#This Row],[CCT DA CATEGORIA]],tabSindicatos[],13,0)</f>
        <v>-</v>
      </c>
    </row>
    <row r="319" spans="1:62">
      <c r="A319" s="231" t="s">
        <v>1802</v>
      </c>
      <c r="B319" s="197" t="s">
        <v>1071</v>
      </c>
      <c r="C319" s="197" t="s">
        <v>165</v>
      </c>
      <c r="D319" s="197" t="str">
        <f>VLOOKUP(tabParametros[[#This Row],[Código do Posto]],tabPostos[],4,0)</f>
        <v>Uberlandia</v>
      </c>
      <c r="E319" s="282" t="str">
        <f>VLOOKUP(tabParametros[[#This Row],[Código do Posto]],tabPostos[],5,0)</f>
        <v>Apoio</v>
      </c>
      <c r="F319" s="282" t="str">
        <f>VLOOKUP(tabParametros[[#This Row],[Código do Posto]],tabPostos[],6,0)</f>
        <v>PGJ</v>
      </c>
      <c r="G319" s="282">
        <f>VLOOKUP(tabParametros[[#This Row],[Código do Posto]],tabPostos[],7,0)</f>
        <v>1</v>
      </c>
      <c r="H319" s="282">
        <f>VLOOKUP(tabParametros[[#This Row],[Código do Posto]],tabPostos[],8,0)</f>
        <v>0</v>
      </c>
      <c r="I319" s="232">
        <f>VLOOKUP(tabParametros[[#This Row],[Código do Posto]],tabPostos[],9,0)</f>
        <v>2443.5248674391278</v>
      </c>
      <c r="J319" s="232">
        <f>IF(ISNUMBER(SEARCH("Eletricista",tabParametros[[#This Row],[Função]],1)),0.3*tabParametros[[#This Row],[Salário Base]],0)</f>
        <v>0</v>
      </c>
      <c r="K31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19" s="232">
        <f>IF(AND(ISNUMBER(SEARCH("Noturno",tabParametros[[#This Row],[Função]],1)),tabParametros[[#This Row],[Comarca]]&lt;&gt;"Juiz de Fora"),tabParametros[[#This Row],[Salário Base]]/210*0.39*7*15.5,IF(ISNUMBER(SEARCH("Noturno",tabParametros[[#This Row],[Função]],1)),tabParametros[[#This Row],[Salário Base]]/210*0.2*8*15.5,0))</f>
        <v>0</v>
      </c>
      <c r="M319" s="232">
        <f>IF(ISNUMBER(SEARCH("Motorista II",tabParametros[[#This Row],[Função]],1)),0.3022*tabParametros[[#This Row],[Salário Base]],0)</f>
        <v>0</v>
      </c>
      <c r="N319" s="254">
        <v>0</v>
      </c>
      <c r="O319" s="254">
        <f>IF(ISNUMBER(SEARCH("TECNOLOGIA DA INFORMACAO",tabParametros[[#This Row],[Função]],1)),0.056*tabParametros[[#This Row],[Salário Base]],0)</f>
        <v>0</v>
      </c>
      <c r="P319" s="232">
        <f>IF(tabParametros[[#This Row],[Função]]="Operador de Midia Audiovisual - 150 h",tabParametros[[#This Row],[Salário Base]]/150*50*30%,IF(tabParametros[[#This Row],[Função]]="Supervisor de Manutencao de Veiculos II - 220 h",12%*tabParametros[[#This Row],[Salário Base]],0))</f>
        <v>0</v>
      </c>
      <c r="Q319" s="233">
        <f>VLOOKUP(tabParametros[[#Headers],[INSS]],tabImpostosNacionais[],2,0)</f>
        <v>0.2</v>
      </c>
      <c r="R319" s="233">
        <f>VLOOKUP(tabParametros[[#Headers],[SESI OU SESC]],tabImpostosNacionais[],2,0)</f>
        <v>1.4999999999999999E-2</v>
      </c>
      <c r="S319" s="233">
        <f>VLOOKUP(tabParametros[[#Headers],[SENAI OU SENAC]],tabImpostosNacionais[],2,0)</f>
        <v>0.01</v>
      </c>
      <c r="T319" s="233">
        <f>VLOOKUP(tabParametros[[#Headers],[INCRA]],tabImpostosNacionais[],2,0)</f>
        <v>2E-3</v>
      </c>
      <c r="U319" s="233">
        <f>VLOOKUP(tabParametros[[#Headers],[Salário Educação]],tabImpostosNacionais[],2,0)</f>
        <v>2.5000000000000001E-2</v>
      </c>
      <c r="V319" s="233">
        <f>VLOOKUP(tabParametros[[#Headers],[FGTS]],tabImpostosNacionais[],2,0)</f>
        <v>0.08</v>
      </c>
      <c r="W319" s="233">
        <f>VLOOKUP(tabParametros[[#Headers],[RAT Ajustado]],tabImpostosNacionais[],2,0)</f>
        <v>0.04</v>
      </c>
      <c r="X319" s="233">
        <f>VLOOKUP(tabParametros[[#Headers],[SEBRAE]],tabImpostosNacionais[],2,0)</f>
        <v>6.0000000000000001E-3</v>
      </c>
      <c r="Y319" s="233">
        <f t="shared" si="44"/>
        <v>8.3333333333333329E-2</v>
      </c>
      <c r="Z319" s="233">
        <f t="shared" si="45"/>
        <v>0.1111111111111111</v>
      </c>
      <c r="AA319" s="232">
        <f>VLOOKUP(tabParametros[[#This Row],[Comarca]],tabComarca[],5,0)</f>
        <v>6.4</v>
      </c>
      <c r="AB319" s="232">
        <f>VLOOKUP(tabParametros[[#This Row],[CCT DA CATEGORIA]],tabSindicatos[],6,0)</f>
        <v>0</v>
      </c>
      <c r="AC319" s="232">
        <f>VLOOKUP(tabParametros[[#This Row],[CCT DA CATEGORIA]],tabSindicatos[],7,0)</f>
        <v>387.79</v>
      </c>
      <c r="AD319" s="232" cm="1">
        <f t="array" ref="AD31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319" s="232">
        <f>VLOOKUP(tabParametros[[#This Row],[CCT DA CATEGORIA]],tabSindicatos[],9,0)</f>
        <v>0</v>
      </c>
      <c r="AF319" s="232">
        <f>VLOOKUP(tabParametros[[#This Row],[CCT DA CATEGORIA]],tabSindicatos[],10,0)</f>
        <v>0</v>
      </c>
      <c r="AG319" s="234">
        <f>VLOOKUP(tabParametros[[#Headers],[Seguro de Vida]],tabOutrosCustos[],3,0)</f>
        <v>3.36</v>
      </c>
      <c r="AH319" s="234">
        <f>IF(ISNUMBER(SEARCH("MOTORISTA",tabParametros[[#This Row],[Função]],1)),VLOOKUP("MOTORISTAS",tabDiarias[],2,0),IF(tabParametros[[#This Row],[Comarca]]="Belo Horizonte",VLOOKUP("APOIO",tabDiarias[],2,0),0))</f>
        <v>0</v>
      </c>
      <c r="AI319" s="233">
        <f t="shared" si="46"/>
        <v>7.011766975308642E-3</v>
      </c>
      <c r="AJ319" s="235">
        <f>tabParametros[[#This Row],[FGTS]]*tabParametros[[#This Row],[Aviso Prévio Indenizado (API) e Reflexo do Aviso Prévio Indenizado]]</f>
        <v>5.609413580246914E-4</v>
      </c>
      <c r="AK319" s="235">
        <f>tabParametros[[#This Row],[FGTS]]*tabParametros[[#This Row],[Aviso Prévio Indenizado (API) e Reflexo do Aviso Prévio Indenizado]]*40%</f>
        <v>2.2437654320987658E-4</v>
      </c>
      <c r="AL319" s="233">
        <f t="shared" si="47"/>
        <v>3.5000000000000005E-3</v>
      </c>
      <c r="AM319" s="233">
        <f>tabParametros[[#This Row],[Aviso Prévio Trabalhado - APT]]*SUM(tabParametros[[#This Row],[INSS]:[SEBRAE]])</f>
        <v>1.3230000000000004E-3</v>
      </c>
      <c r="AN319" s="233">
        <f t="shared" si="48"/>
        <v>3.0577777777777773E-2</v>
      </c>
      <c r="AO319" s="233">
        <f t="shared" si="49"/>
        <v>8.3333333333333339E-4</v>
      </c>
      <c r="AP319" s="233">
        <f t="shared" si="50"/>
        <v>8.4444444444444437E-3</v>
      </c>
      <c r="AQ319" s="233">
        <f t="shared" si="51"/>
        <v>2.0277777777777777E-3</v>
      </c>
      <c r="AR319" s="233">
        <f t="shared" si="52"/>
        <v>1.7083333333333333E-4</v>
      </c>
      <c r="AS319" s="233">
        <f t="shared" si="53"/>
        <v>2.0833333333333335E-4</v>
      </c>
      <c r="AT319" s="233">
        <f t="shared" si="54"/>
        <v>1.2962962962962963E-3</v>
      </c>
      <c r="AU319" s="235">
        <f>SUM(tabParametros[[#This Row],[Ausência por Doença]:[Férias, Adicional de Férias e 13º  com empregada em gozo de Licença Maternidade]])*SUM(tabParametros[[#This Row],[INSS]:[SEBRAE]])</f>
        <v>4.5918250000000008E-3</v>
      </c>
      <c r="AV319" s="254">
        <f>IF(tabParametros[[#This Row],[Função]]="Porteiro - 220 h",SUM(tabParametros[[#This Row],[Salário Base]:[Adicional de Acúmulo de função]])/220*20*1.5,IF(ISNUMBER(SEARCH("12 x 36",tabParametros[[#This Row],[Função]],1)),SUM(tabParametros[[#This Row],[Salário Base]:[Adicional de Acúmulo de função]])/210*15.5*1.5,0))</f>
        <v>0</v>
      </c>
      <c r="AW319" s="232">
        <f>IF(tabParametros[[#This Row],[Vagas contratadas]]&gt;0,(SUM(tabParametros[[#This Row],[Salário Base]:[Adicional de Acúmulo de função]])*30%+SUM(tabParametros[[#This Row],[Vale - Alimentação]:[Seguro de Vida]]))/tabParametros[[#This Row],[Vagas contratadas]]*tabParametros[[#This Row],[Vagas suspensas]],0)</f>
        <v>0</v>
      </c>
      <c r="AX319" s="232">
        <f>SUMIF(tabUniformes[Cargo],tabParametros[[#This Row],[Função]],tabUniformes[Valor unit. Mensal])</f>
        <v>190.56060491869394</v>
      </c>
      <c r="AY31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1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1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19" s="232">
        <v>0</v>
      </c>
      <c r="BC319" s="234" t="e">
        <f ca="1">VLOOKUP(tabParametros[[#Headers],[Custos Indiretos]],tabOutrosCustos[],3,0)</f>
        <v>#NAME?</v>
      </c>
      <c r="BD319" s="234" t="e">
        <f ca="1">VLOOKUP(tabParametros[[#Headers],[Lucro]],tabOutrosCustos[],3,0)</f>
        <v>#NAME?</v>
      </c>
      <c r="BE319" s="233">
        <f>VLOOKUP(tabParametros[[#Headers],[COFINS]],tabImpostosNacionais[],2,0)</f>
        <v>7.5999999999999998E-2</v>
      </c>
      <c r="BF319" s="233">
        <f>VLOOKUP(tabParametros[[#Headers],[PIS]],tabImpostosNacionais[],2,0)</f>
        <v>1.6500000000000001E-2</v>
      </c>
      <c r="BG319" s="233">
        <f>VLOOKUP(tabParametros[[#This Row],[Comarca]],tabComarca[],4,0)</f>
        <v>0.02</v>
      </c>
      <c r="BH319" s="236">
        <f>VLOOKUP(tabParametros[[#This Row],[CCT DA CATEGORIA]],tabSindicatos[],11,0)</f>
        <v>45658</v>
      </c>
      <c r="BI319" s="282" t="str">
        <f>VLOOKUP(tabParametros[[#This Row],[CCT DA CATEGORIA]],tabSindicatos[],12,0)</f>
        <v>-</v>
      </c>
      <c r="BJ319" s="285" t="str">
        <f>VLOOKUP(tabParametros[[#This Row],[CCT DA CATEGORIA]],tabSindicatos[],13,0)</f>
        <v>-</v>
      </c>
    </row>
    <row r="320" spans="1:62">
      <c r="A320" s="231" t="s">
        <v>1514</v>
      </c>
      <c r="B320" s="197" t="s">
        <v>1071</v>
      </c>
      <c r="C320" s="197" t="s">
        <v>200</v>
      </c>
      <c r="D320" s="197" t="str">
        <f>VLOOKUP(tabParametros[[#This Row],[Código do Posto]],tabPostos[],4,0)</f>
        <v>Uberlandia</v>
      </c>
      <c r="E320" s="282" t="str">
        <f>VLOOKUP(tabParametros[[#This Row],[Código do Posto]],tabPostos[],5,0)</f>
        <v>Apoio</v>
      </c>
      <c r="F320" s="282" t="str">
        <f>VLOOKUP(tabParametros[[#This Row],[Código do Posto]],tabPostos[],6,0)</f>
        <v>PGJ</v>
      </c>
      <c r="G320" s="282">
        <f>VLOOKUP(tabParametros[[#This Row],[Código do Posto]],tabPostos[],7,0)</f>
        <v>6</v>
      </c>
      <c r="H320" s="282">
        <f>VLOOKUP(tabParametros[[#This Row],[Código do Posto]],tabPostos[],8,0)</f>
        <v>0</v>
      </c>
      <c r="I320" s="232">
        <f>VLOOKUP(tabParametros[[#This Row],[Código do Posto]],tabPostos[],9,0)</f>
        <v>1649.124809193396</v>
      </c>
      <c r="J320" s="232">
        <f>IF(ISNUMBER(SEARCH("Eletricista",tabParametros[[#This Row],[Função]],1)),0.3*tabParametros[[#This Row],[Salário Base]],0)</f>
        <v>0</v>
      </c>
      <c r="K32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0" s="232">
        <f>IF(AND(ISNUMBER(SEARCH("Noturno",tabParametros[[#This Row],[Função]],1)),tabParametros[[#This Row],[Comarca]]&lt;&gt;"Juiz de Fora"),tabParametros[[#This Row],[Salário Base]]/210*0.39*7*15.5,IF(ISNUMBER(SEARCH("Noturno",tabParametros[[#This Row],[Função]],1)),tabParametros[[#This Row],[Salário Base]]/210*0.2*8*15.5,0))</f>
        <v>0</v>
      </c>
      <c r="M320" s="232">
        <f>IF(ISNUMBER(SEARCH("Motorista II",tabParametros[[#This Row],[Função]],1)),0.3022*tabParametros[[#This Row],[Salário Base]],0)</f>
        <v>0</v>
      </c>
      <c r="N320" s="254">
        <v>0</v>
      </c>
      <c r="O320" s="254">
        <f>IF(ISNUMBER(SEARCH("TECNOLOGIA DA INFORMACAO",tabParametros[[#This Row],[Função]],1)),0.056*tabParametros[[#This Row],[Salário Base]],0)</f>
        <v>0</v>
      </c>
      <c r="P320" s="232">
        <f>IF(tabParametros[[#This Row],[Função]]="Operador de Midia Audiovisual - 150 h",tabParametros[[#This Row],[Salário Base]]/150*50*30%,IF(tabParametros[[#This Row],[Função]]="Supervisor de Manutencao de Veiculos II - 220 h",12%*tabParametros[[#This Row],[Salário Base]],0))</f>
        <v>0</v>
      </c>
      <c r="Q320" s="233">
        <f>VLOOKUP(tabParametros[[#Headers],[INSS]],tabImpostosNacionais[],2,0)</f>
        <v>0.2</v>
      </c>
      <c r="R320" s="233">
        <f>VLOOKUP(tabParametros[[#Headers],[SESI OU SESC]],tabImpostosNacionais[],2,0)</f>
        <v>1.4999999999999999E-2</v>
      </c>
      <c r="S320" s="233">
        <f>VLOOKUP(tabParametros[[#Headers],[SENAI OU SENAC]],tabImpostosNacionais[],2,0)</f>
        <v>0.01</v>
      </c>
      <c r="T320" s="233">
        <f>VLOOKUP(tabParametros[[#Headers],[INCRA]],tabImpostosNacionais[],2,0)</f>
        <v>2E-3</v>
      </c>
      <c r="U320" s="233">
        <f>VLOOKUP(tabParametros[[#Headers],[Salário Educação]],tabImpostosNacionais[],2,0)</f>
        <v>2.5000000000000001E-2</v>
      </c>
      <c r="V320" s="233">
        <f>VLOOKUP(tabParametros[[#Headers],[FGTS]],tabImpostosNacionais[],2,0)</f>
        <v>0.08</v>
      </c>
      <c r="W320" s="233">
        <f>VLOOKUP(tabParametros[[#Headers],[RAT Ajustado]],tabImpostosNacionais[],2,0)</f>
        <v>0.04</v>
      </c>
      <c r="X320" s="233">
        <f>VLOOKUP(tabParametros[[#Headers],[SEBRAE]],tabImpostosNacionais[],2,0)</f>
        <v>6.0000000000000001E-3</v>
      </c>
      <c r="Y320" s="233">
        <f t="shared" si="44"/>
        <v>8.3333333333333329E-2</v>
      </c>
      <c r="Z320" s="233">
        <f t="shared" si="45"/>
        <v>0.1111111111111111</v>
      </c>
      <c r="AA320" s="232">
        <f>VLOOKUP(tabParametros[[#This Row],[Comarca]],tabComarca[],5,0)</f>
        <v>6.4</v>
      </c>
      <c r="AB320" s="232">
        <f>VLOOKUP(tabParametros[[#This Row],[CCT DA CATEGORIA]],tabSindicatos[],6,0)</f>
        <v>0</v>
      </c>
      <c r="AC320" s="232">
        <f>VLOOKUP(tabParametros[[#This Row],[CCT DA CATEGORIA]],tabSindicatos[],7,0)</f>
        <v>387.79</v>
      </c>
      <c r="AD320" s="232" cm="1">
        <f t="array" ref="AD32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320" s="232">
        <f>VLOOKUP(tabParametros[[#This Row],[CCT DA CATEGORIA]],tabSindicatos[],9,0)</f>
        <v>0</v>
      </c>
      <c r="AF320" s="232">
        <f>VLOOKUP(tabParametros[[#This Row],[CCT DA CATEGORIA]],tabSindicatos[],10,0)</f>
        <v>0</v>
      </c>
      <c r="AG320" s="234">
        <f>VLOOKUP(tabParametros[[#Headers],[Seguro de Vida]],tabOutrosCustos[],3,0)</f>
        <v>3.36</v>
      </c>
      <c r="AH320" s="234">
        <f>IF(ISNUMBER(SEARCH("MOTORISTA",tabParametros[[#This Row],[Função]],1)),VLOOKUP("MOTORISTAS",tabDiarias[],2,0),IF(tabParametros[[#This Row],[Comarca]]="Belo Horizonte",VLOOKUP("APOIO",tabDiarias[],2,0),0))</f>
        <v>0</v>
      </c>
      <c r="AI320" s="233">
        <f t="shared" si="46"/>
        <v>7.011766975308642E-3</v>
      </c>
      <c r="AJ320" s="235">
        <f>tabParametros[[#This Row],[FGTS]]*tabParametros[[#This Row],[Aviso Prévio Indenizado (API) e Reflexo do Aviso Prévio Indenizado]]</f>
        <v>5.609413580246914E-4</v>
      </c>
      <c r="AK320" s="235">
        <f>tabParametros[[#This Row],[FGTS]]*tabParametros[[#This Row],[Aviso Prévio Indenizado (API) e Reflexo do Aviso Prévio Indenizado]]*40%</f>
        <v>2.2437654320987658E-4</v>
      </c>
      <c r="AL320" s="233">
        <f t="shared" si="47"/>
        <v>3.5000000000000005E-3</v>
      </c>
      <c r="AM320" s="233">
        <f>tabParametros[[#This Row],[Aviso Prévio Trabalhado - APT]]*SUM(tabParametros[[#This Row],[INSS]:[SEBRAE]])</f>
        <v>1.3230000000000004E-3</v>
      </c>
      <c r="AN320" s="233">
        <f t="shared" si="48"/>
        <v>3.0577777777777773E-2</v>
      </c>
      <c r="AO320" s="233">
        <f t="shared" si="49"/>
        <v>8.3333333333333339E-4</v>
      </c>
      <c r="AP320" s="233">
        <f t="shared" si="50"/>
        <v>8.4444444444444437E-3</v>
      </c>
      <c r="AQ320" s="233">
        <f t="shared" si="51"/>
        <v>2.0277777777777777E-3</v>
      </c>
      <c r="AR320" s="233">
        <f t="shared" si="52"/>
        <v>1.7083333333333333E-4</v>
      </c>
      <c r="AS320" s="233">
        <f t="shared" si="53"/>
        <v>2.0833333333333335E-4</v>
      </c>
      <c r="AT320" s="233">
        <f t="shared" si="54"/>
        <v>1.2962962962962963E-3</v>
      </c>
      <c r="AU320" s="235">
        <f>SUM(tabParametros[[#This Row],[Ausência por Doença]:[Férias, Adicional de Férias e 13º  com empregada em gozo de Licença Maternidade]])*SUM(tabParametros[[#This Row],[INSS]:[SEBRAE]])</f>
        <v>4.5918250000000008E-3</v>
      </c>
      <c r="AV320" s="254">
        <f>IF(tabParametros[[#This Row],[Função]]="Porteiro - 220 h",SUM(tabParametros[[#This Row],[Salário Base]:[Adicional de Acúmulo de função]])/220*20*1.5,IF(ISNUMBER(SEARCH("12 x 36",tabParametros[[#This Row],[Função]],1)),SUM(tabParametros[[#This Row],[Salário Base]:[Adicional de Acúmulo de função]])/210*15.5*1.5,0))</f>
        <v>0</v>
      </c>
      <c r="AW320" s="232">
        <f>IF(tabParametros[[#This Row],[Vagas contratadas]]&gt;0,(SUM(tabParametros[[#This Row],[Salário Base]:[Adicional de Acúmulo de função]])*30%+SUM(tabParametros[[#This Row],[Vale - Alimentação]:[Seguro de Vida]]))/tabParametros[[#This Row],[Vagas contratadas]]*tabParametros[[#This Row],[Vagas suspensas]],0)</f>
        <v>0</v>
      </c>
      <c r="AX320" s="232">
        <f>SUMIF(tabUniformes[Cargo],tabParametros[[#This Row],[Função]],tabUniformes[Valor unit. Mensal])</f>
        <v>56.141713661989918</v>
      </c>
      <c r="AY32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0" s="232">
        <v>0</v>
      </c>
      <c r="BC320" s="234" t="e">
        <f ca="1">VLOOKUP(tabParametros[[#Headers],[Custos Indiretos]],tabOutrosCustos[],3,0)</f>
        <v>#NAME?</v>
      </c>
      <c r="BD320" s="234" t="e">
        <f ca="1">VLOOKUP(tabParametros[[#Headers],[Lucro]],tabOutrosCustos[],3,0)</f>
        <v>#NAME?</v>
      </c>
      <c r="BE320" s="233">
        <f>VLOOKUP(tabParametros[[#Headers],[COFINS]],tabImpostosNacionais[],2,0)</f>
        <v>7.5999999999999998E-2</v>
      </c>
      <c r="BF320" s="233">
        <f>VLOOKUP(tabParametros[[#Headers],[PIS]],tabImpostosNacionais[],2,0)</f>
        <v>1.6500000000000001E-2</v>
      </c>
      <c r="BG320" s="233">
        <f>VLOOKUP(tabParametros[[#This Row],[Comarca]],tabComarca[],4,0)</f>
        <v>0.02</v>
      </c>
      <c r="BH320" s="236">
        <f>VLOOKUP(tabParametros[[#This Row],[CCT DA CATEGORIA]],tabSindicatos[],11,0)</f>
        <v>45658</v>
      </c>
      <c r="BI320" s="282" t="str">
        <f>VLOOKUP(tabParametros[[#This Row],[CCT DA CATEGORIA]],tabSindicatos[],12,0)</f>
        <v>-</v>
      </c>
      <c r="BJ320" s="285" t="str">
        <f>VLOOKUP(tabParametros[[#This Row],[CCT DA CATEGORIA]],tabSindicatos[],13,0)</f>
        <v>-</v>
      </c>
    </row>
    <row r="321" spans="1:62">
      <c r="A321" s="231" t="s">
        <v>1515</v>
      </c>
      <c r="B321" s="197" t="s">
        <v>1071</v>
      </c>
      <c r="C321" s="197" t="s">
        <v>214</v>
      </c>
      <c r="D321" s="197" t="str">
        <f>VLOOKUP(tabParametros[[#This Row],[Código do Posto]],tabPostos[],4,0)</f>
        <v>SETTASPOC</v>
      </c>
      <c r="E321" s="282" t="str">
        <f>VLOOKUP(tabParametros[[#This Row],[Código do Posto]],tabPostos[],5,0)</f>
        <v>Apoio</v>
      </c>
      <c r="F321" s="282" t="str">
        <f>VLOOKUP(tabParametros[[#This Row],[Código do Posto]],tabPostos[],6,0)</f>
        <v>PGJ</v>
      </c>
      <c r="G321" s="282">
        <f>VLOOKUP(tabParametros[[#This Row],[Código do Posto]],tabPostos[],7,0)</f>
        <v>2</v>
      </c>
      <c r="H321" s="282">
        <f>VLOOKUP(tabParametros[[#This Row],[Código do Posto]],tabPostos[],8,0)</f>
        <v>0</v>
      </c>
      <c r="I321" s="232">
        <f>VLOOKUP(tabParametros[[#This Row],[Código do Posto]],tabPostos[],9,0)</f>
        <v>1836.5985119240554</v>
      </c>
      <c r="J321" s="232">
        <f>IF(ISNUMBER(SEARCH("Eletricista",tabParametros[[#This Row],[Função]],1)),0.3*tabParametros[[#This Row],[Salário Base]],0)</f>
        <v>0</v>
      </c>
      <c r="K32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1" s="232">
        <f>IF(AND(ISNUMBER(SEARCH("Noturno",tabParametros[[#This Row],[Função]],1)),tabParametros[[#This Row],[Comarca]]&lt;&gt;"Juiz de Fora"),tabParametros[[#This Row],[Salário Base]]/210*0.39*7*15.5,IF(ISNUMBER(SEARCH("Noturno",tabParametros[[#This Row],[Função]],1)),tabParametros[[#This Row],[Salário Base]]/210*0.2*8*15.5,0))</f>
        <v>0</v>
      </c>
      <c r="M321" s="232">
        <f>IF(ISNUMBER(SEARCH("Motorista II",tabParametros[[#This Row],[Função]],1)),0.3022*tabParametros[[#This Row],[Salário Base]],0)</f>
        <v>0</v>
      </c>
      <c r="N321" s="254">
        <v>0</v>
      </c>
      <c r="O321" s="254">
        <f>IF(ISNUMBER(SEARCH("TECNOLOGIA DA INFORMACAO",tabParametros[[#This Row],[Função]],1)),0.056*tabParametros[[#This Row],[Salário Base]],0)</f>
        <v>0</v>
      </c>
      <c r="P321" s="232">
        <f>IF(tabParametros[[#This Row],[Função]]="Operador de Midia Audiovisual - 150 h",tabParametros[[#This Row],[Salário Base]]/150*50*30%,IF(tabParametros[[#This Row],[Função]]="Supervisor de Manutencao de Veiculos II - 220 h",12%*tabParametros[[#This Row],[Salário Base]],0))</f>
        <v>0</v>
      </c>
      <c r="Q321" s="233">
        <f>VLOOKUP(tabParametros[[#Headers],[INSS]],tabImpostosNacionais[],2,0)</f>
        <v>0.2</v>
      </c>
      <c r="R321" s="233">
        <f>VLOOKUP(tabParametros[[#Headers],[SESI OU SESC]],tabImpostosNacionais[],2,0)</f>
        <v>1.4999999999999999E-2</v>
      </c>
      <c r="S321" s="233">
        <f>VLOOKUP(tabParametros[[#Headers],[SENAI OU SENAC]],tabImpostosNacionais[],2,0)</f>
        <v>0.01</v>
      </c>
      <c r="T321" s="233">
        <f>VLOOKUP(tabParametros[[#Headers],[INCRA]],tabImpostosNacionais[],2,0)</f>
        <v>2E-3</v>
      </c>
      <c r="U321" s="233">
        <f>VLOOKUP(tabParametros[[#Headers],[Salário Educação]],tabImpostosNacionais[],2,0)</f>
        <v>2.5000000000000001E-2</v>
      </c>
      <c r="V321" s="233">
        <f>VLOOKUP(tabParametros[[#Headers],[FGTS]],tabImpostosNacionais[],2,0)</f>
        <v>0.08</v>
      </c>
      <c r="W321" s="233">
        <f>VLOOKUP(tabParametros[[#Headers],[RAT Ajustado]],tabImpostosNacionais[],2,0)</f>
        <v>0.04</v>
      </c>
      <c r="X321" s="233">
        <f>VLOOKUP(tabParametros[[#Headers],[SEBRAE]],tabImpostosNacionais[],2,0)</f>
        <v>6.0000000000000001E-3</v>
      </c>
      <c r="Y321" s="233">
        <f t="shared" si="44"/>
        <v>8.3333333333333329E-2</v>
      </c>
      <c r="Z321" s="233">
        <f t="shared" si="45"/>
        <v>0.1111111111111111</v>
      </c>
      <c r="AA321" s="232">
        <f>VLOOKUP(tabParametros[[#This Row],[Comarca]],tabComarca[],5,0)</f>
        <v>6.4</v>
      </c>
      <c r="AB321" s="232">
        <f>VLOOKUP(tabParametros[[#This Row],[CCT DA CATEGORIA]],tabSindicatos[],6,0)</f>
        <v>29.14</v>
      </c>
      <c r="AC321" s="232">
        <f>VLOOKUP(tabParametros[[#This Row],[CCT DA CATEGORIA]],tabSindicatos[],7,0)</f>
        <v>0</v>
      </c>
      <c r="AD321" s="232" cm="1">
        <f t="array" ref="AD32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51.73</v>
      </c>
      <c r="AE321" s="232">
        <f>VLOOKUP(tabParametros[[#This Row],[CCT DA CATEGORIA]],tabSindicatos[],9,0)</f>
        <v>0</v>
      </c>
      <c r="AF321" s="232">
        <f>VLOOKUP(tabParametros[[#This Row],[CCT DA CATEGORIA]],tabSindicatos[],10,0)</f>
        <v>0</v>
      </c>
      <c r="AG321" s="234">
        <f>VLOOKUP(tabParametros[[#Headers],[Seguro de Vida]],tabOutrosCustos[],3,0)</f>
        <v>3.36</v>
      </c>
      <c r="AH321" s="234">
        <f>IF(ISNUMBER(SEARCH("MOTORISTA",tabParametros[[#This Row],[Função]],1)),VLOOKUP("MOTORISTAS",tabDiarias[],2,0),IF(tabParametros[[#This Row],[Comarca]]="Belo Horizonte",VLOOKUP("APOIO",tabDiarias[],2,0),0))</f>
        <v>0</v>
      </c>
      <c r="AI321" s="233">
        <f t="shared" si="46"/>
        <v>7.011766975308642E-3</v>
      </c>
      <c r="AJ321" s="235">
        <f>tabParametros[[#This Row],[FGTS]]*tabParametros[[#This Row],[Aviso Prévio Indenizado (API) e Reflexo do Aviso Prévio Indenizado]]</f>
        <v>5.609413580246914E-4</v>
      </c>
      <c r="AK321" s="235">
        <f>tabParametros[[#This Row],[FGTS]]*tabParametros[[#This Row],[Aviso Prévio Indenizado (API) e Reflexo do Aviso Prévio Indenizado]]*40%</f>
        <v>2.2437654320987658E-4</v>
      </c>
      <c r="AL321" s="233">
        <f t="shared" si="47"/>
        <v>3.5000000000000005E-3</v>
      </c>
      <c r="AM321" s="233">
        <f>tabParametros[[#This Row],[Aviso Prévio Trabalhado - APT]]*SUM(tabParametros[[#This Row],[INSS]:[SEBRAE]])</f>
        <v>1.3230000000000004E-3</v>
      </c>
      <c r="AN321" s="233">
        <f t="shared" si="48"/>
        <v>3.0577777777777773E-2</v>
      </c>
      <c r="AO321" s="233">
        <f t="shared" si="49"/>
        <v>8.3333333333333339E-4</v>
      </c>
      <c r="AP321" s="233">
        <f t="shared" si="50"/>
        <v>8.4444444444444437E-3</v>
      </c>
      <c r="AQ321" s="233">
        <f t="shared" si="51"/>
        <v>2.0277777777777777E-3</v>
      </c>
      <c r="AR321" s="233">
        <f t="shared" si="52"/>
        <v>1.7083333333333333E-4</v>
      </c>
      <c r="AS321" s="233">
        <f t="shared" si="53"/>
        <v>2.0833333333333335E-4</v>
      </c>
      <c r="AT321" s="233">
        <f t="shared" si="54"/>
        <v>1.2962962962962963E-3</v>
      </c>
      <c r="AU321" s="235">
        <f>SUM(tabParametros[[#This Row],[Ausência por Doença]:[Férias, Adicional de Férias e 13º  com empregada em gozo de Licença Maternidade]])*SUM(tabParametros[[#This Row],[INSS]:[SEBRAE]])</f>
        <v>4.5918250000000008E-3</v>
      </c>
      <c r="AV321" s="254">
        <f>IF(tabParametros[[#This Row],[Função]]="Porteiro - 220 h",SUM(tabParametros[[#This Row],[Salário Base]:[Adicional de Acúmulo de função]])/220*20*1.5,IF(ISNUMBER(SEARCH("12 x 36",tabParametros[[#This Row],[Função]],1)),SUM(tabParametros[[#This Row],[Salário Base]:[Adicional de Acúmulo de função]])/210*15.5*1.5,0))</f>
        <v>0</v>
      </c>
      <c r="AW321" s="232">
        <f>IF(tabParametros[[#This Row],[Vagas contratadas]]&gt;0,(SUM(tabParametros[[#This Row],[Salário Base]:[Adicional de Acúmulo de função]])*30%+SUM(tabParametros[[#This Row],[Vale - Alimentação]:[Seguro de Vida]]))/tabParametros[[#This Row],[Vagas contratadas]]*tabParametros[[#This Row],[Vagas suspensas]],0)</f>
        <v>0</v>
      </c>
      <c r="AX321" s="232">
        <f>SUMIF(tabUniformes[Cargo],tabParametros[[#This Row],[Função]],tabUniformes[Valor unit. Mensal])</f>
        <v>44.111346448706357</v>
      </c>
      <c r="AY32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1" s="232">
        <v>0</v>
      </c>
      <c r="BC321" s="234" t="e">
        <f ca="1">VLOOKUP(tabParametros[[#Headers],[Custos Indiretos]],tabOutrosCustos[],3,0)</f>
        <v>#NAME?</v>
      </c>
      <c r="BD321" s="234" t="e">
        <f ca="1">VLOOKUP(tabParametros[[#Headers],[Lucro]],tabOutrosCustos[],3,0)</f>
        <v>#NAME?</v>
      </c>
      <c r="BE321" s="233">
        <f>VLOOKUP(tabParametros[[#Headers],[COFINS]],tabImpostosNacionais[],2,0)</f>
        <v>7.5999999999999998E-2</v>
      </c>
      <c r="BF321" s="233">
        <f>VLOOKUP(tabParametros[[#Headers],[PIS]],tabImpostosNacionais[],2,0)</f>
        <v>1.6500000000000001E-2</v>
      </c>
      <c r="BG321" s="233">
        <f>VLOOKUP(tabParametros[[#This Row],[Comarca]],tabComarca[],4,0)</f>
        <v>0.02</v>
      </c>
      <c r="BH321" s="236">
        <f>VLOOKUP(tabParametros[[#This Row],[CCT DA CATEGORIA]],tabSindicatos[],11,0)</f>
        <v>45658</v>
      </c>
      <c r="BI321" s="282" t="str">
        <f>VLOOKUP(tabParametros[[#This Row],[CCT DA CATEGORIA]],tabSindicatos[],12,0)</f>
        <v>-</v>
      </c>
      <c r="BJ321" s="285" t="str">
        <f>VLOOKUP(tabParametros[[#This Row],[CCT DA CATEGORIA]],tabSindicatos[],13,0)</f>
        <v>-</v>
      </c>
    </row>
    <row r="322" spans="1:62">
      <c r="A322" s="231" t="s">
        <v>1729</v>
      </c>
      <c r="B322" s="197" t="s">
        <v>1071</v>
      </c>
      <c r="C322" s="197" t="s">
        <v>244</v>
      </c>
      <c r="D322" s="197" t="str">
        <f>VLOOKUP(tabParametros[[#This Row],[Código do Posto]],tabPostos[],4,0)</f>
        <v>Uberlandia</v>
      </c>
      <c r="E322" s="282" t="str">
        <f>VLOOKUP(tabParametros[[#This Row],[Código do Posto]],tabPostos[],5,0)</f>
        <v>Apoio</v>
      </c>
      <c r="F322" s="282" t="str">
        <f>VLOOKUP(tabParametros[[#This Row],[Código do Posto]],tabPostos[],6,0)</f>
        <v>PGJ</v>
      </c>
      <c r="G322" s="282">
        <f>VLOOKUP(tabParametros[[#This Row],[Código do Posto]],tabPostos[],7,0)</f>
        <v>1</v>
      </c>
      <c r="H322" s="282">
        <f>VLOOKUP(tabParametros[[#This Row],[Código do Posto]],tabPostos[],8,0)</f>
        <v>0</v>
      </c>
      <c r="I322" s="232">
        <f>VLOOKUP(tabParametros[[#This Row],[Código do Posto]],tabPostos[],9,0)</f>
        <v>2296.1756892610078</v>
      </c>
      <c r="J322" s="232">
        <f>IF(ISNUMBER(SEARCH("Eletricista",tabParametros[[#This Row],[Função]],1)),0.3*tabParametros[[#This Row],[Salário Base]],0)</f>
        <v>0</v>
      </c>
      <c r="K32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322" s="232">
        <f>IF(AND(ISNUMBER(SEARCH("Noturno",tabParametros[[#This Row],[Função]],1)),tabParametros[[#This Row],[Comarca]]&lt;&gt;"Juiz de Fora"),tabParametros[[#This Row],[Salário Base]]/210*0.39*7*15.5,IF(ISNUMBER(SEARCH("Noturno",tabParametros[[#This Row],[Função]],1)),tabParametros[[#This Row],[Salário Base]]/210*0.2*8*15.5,0))</f>
        <v>0</v>
      </c>
      <c r="M322" s="232">
        <f>IF(ISNUMBER(SEARCH("Motorista II",tabParametros[[#This Row],[Função]],1)),0.3022*tabParametros[[#This Row],[Salário Base]],0)</f>
        <v>0</v>
      </c>
      <c r="N322" s="254">
        <v>0</v>
      </c>
      <c r="O322" s="254">
        <f>IF(ISNUMBER(SEARCH("TECNOLOGIA DA INFORMACAO",tabParametros[[#This Row],[Função]],1)),0.056*tabParametros[[#This Row],[Salário Base]],0)</f>
        <v>0</v>
      </c>
      <c r="P322" s="232">
        <f>IF(tabParametros[[#This Row],[Função]]="Operador de Midia Audiovisual - 150 h",tabParametros[[#This Row],[Salário Base]]/150*50*30%,IF(tabParametros[[#This Row],[Função]]="Supervisor de Manutencao de Veiculos II - 220 h",12%*tabParametros[[#This Row],[Salário Base]],0))</f>
        <v>0</v>
      </c>
      <c r="Q322" s="233">
        <f>VLOOKUP(tabParametros[[#Headers],[INSS]],tabImpostosNacionais[],2,0)</f>
        <v>0.2</v>
      </c>
      <c r="R322" s="233">
        <f>VLOOKUP(tabParametros[[#Headers],[SESI OU SESC]],tabImpostosNacionais[],2,0)</f>
        <v>1.4999999999999999E-2</v>
      </c>
      <c r="S322" s="233">
        <f>VLOOKUP(tabParametros[[#Headers],[SENAI OU SENAC]],tabImpostosNacionais[],2,0)</f>
        <v>0.01</v>
      </c>
      <c r="T322" s="233">
        <f>VLOOKUP(tabParametros[[#Headers],[INCRA]],tabImpostosNacionais[],2,0)</f>
        <v>2E-3</v>
      </c>
      <c r="U322" s="233">
        <f>VLOOKUP(tabParametros[[#Headers],[Salário Educação]],tabImpostosNacionais[],2,0)</f>
        <v>2.5000000000000001E-2</v>
      </c>
      <c r="V322" s="233">
        <f>VLOOKUP(tabParametros[[#Headers],[FGTS]],tabImpostosNacionais[],2,0)</f>
        <v>0.08</v>
      </c>
      <c r="W322" s="233">
        <f>VLOOKUP(tabParametros[[#Headers],[RAT Ajustado]],tabImpostosNacionais[],2,0)</f>
        <v>0.04</v>
      </c>
      <c r="X322" s="233">
        <f>VLOOKUP(tabParametros[[#Headers],[SEBRAE]],tabImpostosNacionais[],2,0)</f>
        <v>6.0000000000000001E-3</v>
      </c>
      <c r="Y322" s="233">
        <f t="shared" si="44"/>
        <v>8.3333333333333329E-2</v>
      </c>
      <c r="Z322" s="233">
        <f t="shared" si="45"/>
        <v>0.1111111111111111</v>
      </c>
      <c r="AA322" s="232">
        <f>VLOOKUP(tabParametros[[#This Row],[Comarca]],tabComarca[],5,0)</f>
        <v>6.4</v>
      </c>
      <c r="AB322" s="232">
        <f>VLOOKUP(tabParametros[[#This Row],[CCT DA CATEGORIA]],tabSindicatos[],6,0)</f>
        <v>0</v>
      </c>
      <c r="AC322" s="232">
        <f>VLOOKUP(tabParametros[[#This Row],[CCT DA CATEGORIA]],tabSindicatos[],7,0)</f>
        <v>387.79</v>
      </c>
      <c r="AD322" s="232" cm="1">
        <f t="array" ref="AD32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322" s="232">
        <f>VLOOKUP(tabParametros[[#This Row],[CCT DA CATEGORIA]],tabSindicatos[],9,0)</f>
        <v>0</v>
      </c>
      <c r="AF322" s="232">
        <f>VLOOKUP(tabParametros[[#This Row],[CCT DA CATEGORIA]],tabSindicatos[],10,0)</f>
        <v>0</v>
      </c>
      <c r="AG322" s="234">
        <f>VLOOKUP(tabParametros[[#Headers],[Seguro de Vida]],tabOutrosCustos[],3,0)</f>
        <v>3.36</v>
      </c>
      <c r="AH322" s="234">
        <f>IF(ISNUMBER(SEARCH("MOTORISTA",tabParametros[[#This Row],[Função]],1)),VLOOKUP("MOTORISTAS",tabDiarias[],2,0),IF(tabParametros[[#This Row],[Comarca]]="Belo Horizonte",VLOOKUP("APOIO",tabDiarias[],2,0),0))</f>
        <v>0</v>
      </c>
      <c r="AI322" s="233">
        <f t="shared" si="46"/>
        <v>7.011766975308642E-3</v>
      </c>
      <c r="AJ322" s="235">
        <f>tabParametros[[#This Row],[FGTS]]*tabParametros[[#This Row],[Aviso Prévio Indenizado (API) e Reflexo do Aviso Prévio Indenizado]]</f>
        <v>5.609413580246914E-4</v>
      </c>
      <c r="AK322" s="235">
        <f>tabParametros[[#This Row],[FGTS]]*tabParametros[[#This Row],[Aviso Prévio Indenizado (API) e Reflexo do Aviso Prévio Indenizado]]*40%</f>
        <v>2.2437654320987658E-4</v>
      </c>
      <c r="AL322" s="233">
        <f t="shared" si="47"/>
        <v>3.5000000000000005E-3</v>
      </c>
      <c r="AM322" s="233">
        <f>tabParametros[[#This Row],[Aviso Prévio Trabalhado - APT]]*SUM(tabParametros[[#This Row],[INSS]:[SEBRAE]])</f>
        <v>1.3230000000000004E-3</v>
      </c>
      <c r="AN322" s="233">
        <f t="shared" si="48"/>
        <v>3.0577777777777773E-2</v>
      </c>
      <c r="AO322" s="233">
        <f t="shared" si="49"/>
        <v>8.3333333333333339E-4</v>
      </c>
      <c r="AP322" s="233">
        <f t="shared" si="50"/>
        <v>8.4444444444444437E-3</v>
      </c>
      <c r="AQ322" s="233">
        <f t="shared" si="51"/>
        <v>2.0277777777777777E-3</v>
      </c>
      <c r="AR322" s="233">
        <f t="shared" si="52"/>
        <v>1.7083333333333333E-4</v>
      </c>
      <c r="AS322" s="233">
        <f t="shared" si="53"/>
        <v>2.0833333333333335E-4</v>
      </c>
      <c r="AT322" s="233">
        <f t="shared" si="54"/>
        <v>1.2962962962962963E-3</v>
      </c>
      <c r="AU322" s="235">
        <f>SUM(tabParametros[[#This Row],[Ausência por Doença]:[Férias, Adicional de Férias e 13º  com empregada em gozo de Licença Maternidade]])*SUM(tabParametros[[#This Row],[INSS]:[SEBRAE]])</f>
        <v>4.5918250000000008E-3</v>
      </c>
      <c r="AV322" s="254">
        <f>IF(tabParametros[[#This Row],[Função]]="Porteiro - 220 h",SUM(tabParametros[[#This Row],[Salário Base]:[Adicional de Acúmulo de função]])/220*20*1.5,IF(ISNUMBER(SEARCH("12 x 36",tabParametros[[#This Row],[Função]],1)),SUM(tabParametros[[#This Row],[Salário Base]:[Adicional de Acúmulo de função]])/210*15.5*1.5,0))</f>
        <v>0</v>
      </c>
      <c r="AW322" s="232">
        <f>IF(tabParametros[[#This Row],[Vagas contratadas]]&gt;0,(SUM(tabParametros[[#This Row],[Salário Base]:[Adicional de Acúmulo de função]])*30%+SUM(tabParametros[[#This Row],[Vale - Alimentação]:[Seguro de Vida]]))/tabParametros[[#This Row],[Vagas contratadas]]*tabParametros[[#This Row],[Vagas suspensas]],0)</f>
        <v>0</v>
      </c>
      <c r="AX322" s="232">
        <f>SUMIF(tabUniformes[Cargo],tabParametros[[#This Row],[Função]],tabUniformes[Valor unit. Mensal])</f>
        <v>226.33322732312172</v>
      </c>
      <c r="AY32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32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32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2" s="232">
        <v>0</v>
      </c>
      <c r="BC322" s="234" t="e">
        <f ca="1">VLOOKUP(tabParametros[[#Headers],[Custos Indiretos]],tabOutrosCustos[],3,0)</f>
        <v>#NAME?</v>
      </c>
      <c r="BD322" s="234" t="e">
        <f ca="1">VLOOKUP(tabParametros[[#Headers],[Lucro]],tabOutrosCustos[],3,0)</f>
        <v>#NAME?</v>
      </c>
      <c r="BE322" s="233">
        <f>VLOOKUP(tabParametros[[#Headers],[COFINS]],tabImpostosNacionais[],2,0)</f>
        <v>7.5999999999999998E-2</v>
      </c>
      <c r="BF322" s="233">
        <f>VLOOKUP(tabParametros[[#Headers],[PIS]],tabImpostosNacionais[],2,0)</f>
        <v>1.6500000000000001E-2</v>
      </c>
      <c r="BG322" s="233">
        <f>VLOOKUP(tabParametros[[#This Row],[Comarca]],tabComarca[],4,0)</f>
        <v>0.02</v>
      </c>
      <c r="BH322" s="236">
        <f>VLOOKUP(tabParametros[[#This Row],[CCT DA CATEGORIA]],tabSindicatos[],11,0)</f>
        <v>45658</v>
      </c>
      <c r="BI322" s="282" t="str">
        <f>VLOOKUP(tabParametros[[#This Row],[CCT DA CATEGORIA]],tabSindicatos[],12,0)</f>
        <v>-</v>
      </c>
      <c r="BJ322" s="285" t="str">
        <f>VLOOKUP(tabParametros[[#This Row],[CCT DA CATEGORIA]],tabSindicatos[],13,0)</f>
        <v>-</v>
      </c>
    </row>
    <row r="323" spans="1:62">
      <c r="A323" s="231" t="s">
        <v>1730</v>
      </c>
      <c r="B323" s="197" t="s">
        <v>1071</v>
      </c>
      <c r="C323" s="197" t="s">
        <v>274</v>
      </c>
      <c r="D323" s="197" t="str">
        <f>VLOOKUP(tabParametros[[#This Row],[Código do Posto]],tabPostos[],4,0)</f>
        <v>Rodoviarios de Uberlandia + SEAC-MG</v>
      </c>
      <c r="E323" s="282" t="str">
        <f>VLOOKUP(tabParametros[[#This Row],[Código do Posto]],tabPostos[],5,0)</f>
        <v>Apoio</v>
      </c>
      <c r="F323" s="282" t="str">
        <f>VLOOKUP(tabParametros[[#This Row],[Código do Posto]],tabPostos[],6,0)</f>
        <v>PGJ</v>
      </c>
      <c r="G323" s="282">
        <f>VLOOKUP(tabParametros[[#This Row],[Código do Posto]],tabPostos[],7,0)</f>
        <v>5</v>
      </c>
      <c r="H323" s="282">
        <f>VLOOKUP(tabParametros[[#This Row],[Código do Posto]],tabPostos[],8,0)</f>
        <v>0</v>
      </c>
      <c r="I323" s="232">
        <f>VLOOKUP(tabParametros[[#This Row],[Código do Posto]],tabPostos[],9,0)</f>
        <v>4558.0709943632919</v>
      </c>
      <c r="J323" s="232">
        <f>IF(ISNUMBER(SEARCH("Eletricista",tabParametros[[#This Row],[Função]],1)),0.3*tabParametros[[#This Row],[Salário Base]],0)</f>
        <v>0</v>
      </c>
      <c r="K32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3" s="232">
        <f>IF(AND(ISNUMBER(SEARCH("Noturno",tabParametros[[#This Row],[Função]],1)),tabParametros[[#This Row],[Comarca]]&lt;&gt;"Juiz de Fora"),tabParametros[[#This Row],[Salário Base]]/210*0.39*7*15.5,IF(ISNUMBER(SEARCH("Noturno",tabParametros[[#This Row],[Função]],1)),tabParametros[[#This Row],[Salário Base]]/210*0.2*8*15.5,0))</f>
        <v>0</v>
      </c>
      <c r="M323" s="232">
        <f>IF(ISNUMBER(SEARCH("Motorista II",tabParametros[[#This Row],[Função]],1)),0.3022*tabParametros[[#This Row],[Salário Base]],0)</f>
        <v>0</v>
      </c>
      <c r="N323" s="254">
        <v>0</v>
      </c>
      <c r="O323" s="254">
        <f>IF(ISNUMBER(SEARCH("TECNOLOGIA DA INFORMACAO",tabParametros[[#This Row],[Função]],1)),0.056*tabParametros[[#This Row],[Salário Base]],0)</f>
        <v>0</v>
      </c>
      <c r="P323" s="232">
        <f>IF(tabParametros[[#This Row],[Função]]="Operador de Midia Audiovisual - 150 h",tabParametros[[#This Row],[Salário Base]]/150*50*30%,IF(tabParametros[[#This Row],[Função]]="Supervisor de Manutencao de Veiculos II - 220 h",12%*tabParametros[[#This Row],[Salário Base]],0))</f>
        <v>0</v>
      </c>
      <c r="Q323" s="233">
        <f>VLOOKUP(tabParametros[[#Headers],[INSS]],tabImpostosNacionais[],2,0)</f>
        <v>0.2</v>
      </c>
      <c r="R323" s="233">
        <f>VLOOKUP(tabParametros[[#Headers],[SESI OU SESC]],tabImpostosNacionais[],2,0)</f>
        <v>1.4999999999999999E-2</v>
      </c>
      <c r="S323" s="233">
        <f>VLOOKUP(tabParametros[[#Headers],[SENAI OU SENAC]],tabImpostosNacionais[],2,0)</f>
        <v>0.01</v>
      </c>
      <c r="T323" s="233">
        <f>VLOOKUP(tabParametros[[#Headers],[INCRA]],tabImpostosNacionais[],2,0)</f>
        <v>2E-3</v>
      </c>
      <c r="U323" s="233">
        <f>VLOOKUP(tabParametros[[#Headers],[Salário Educação]],tabImpostosNacionais[],2,0)</f>
        <v>2.5000000000000001E-2</v>
      </c>
      <c r="V323" s="233">
        <f>VLOOKUP(tabParametros[[#Headers],[FGTS]],tabImpostosNacionais[],2,0)</f>
        <v>0.08</v>
      </c>
      <c r="W323" s="233">
        <f>VLOOKUP(tabParametros[[#Headers],[RAT Ajustado]],tabImpostosNacionais[],2,0)</f>
        <v>0.04</v>
      </c>
      <c r="X323" s="233">
        <f>VLOOKUP(tabParametros[[#Headers],[SEBRAE]],tabImpostosNacionais[],2,0)</f>
        <v>6.0000000000000001E-3</v>
      </c>
      <c r="Y323" s="233">
        <f t="shared" si="44"/>
        <v>8.3333333333333329E-2</v>
      </c>
      <c r="Z323" s="233">
        <f t="shared" si="45"/>
        <v>0.1111111111111111</v>
      </c>
      <c r="AA323" s="232">
        <f>VLOOKUP(tabParametros[[#This Row],[Comarca]],tabComarca[],5,0)</f>
        <v>6.4</v>
      </c>
      <c r="AB323" s="232">
        <f>VLOOKUP(tabParametros[[#This Row],[CCT DA CATEGORIA]],tabSindicatos[],6,0)</f>
        <v>28.97</v>
      </c>
      <c r="AC323" s="232">
        <f>VLOOKUP(tabParametros[[#This Row],[CCT DA CATEGORIA]],tabSindicatos[],7,0)</f>
        <v>0</v>
      </c>
      <c r="AD323" s="232" cm="1">
        <f t="array" ref="AD32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323" s="232">
        <f>VLOOKUP(tabParametros[[#This Row],[CCT DA CATEGORIA]],tabSindicatos[],9,0)</f>
        <v>0</v>
      </c>
      <c r="AF323" s="232">
        <f>VLOOKUP(tabParametros[[#This Row],[CCT DA CATEGORIA]],tabSindicatos[],10,0)</f>
        <v>0</v>
      </c>
      <c r="AG323" s="234">
        <f>VLOOKUP(tabParametros[[#Headers],[Seguro de Vida]],tabOutrosCustos[],3,0)</f>
        <v>3.36</v>
      </c>
      <c r="AH323" s="234">
        <f>IF(ISNUMBER(SEARCH("MOTORISTA",tabParametros[[#This Row],[Função]],1)),VLOOKUP("MOTORISTAS",tabDiarias[],2,0),IF(tabParametros[[#This Row],[Comarca]]="Belo Horizonte",VLOOKUP("APOIO",tabDiarias[],2,0),0))</f>
        <v>662.42</v>
      </c>
      <c r="AI323" s="233">
        <f t="shared" si="46"/>
        <v>7.011766975308642E-3</v>
      </c>
      <c r="AJ323" s="235">
        <f>tabParametros[[#This Row],[FGTS]]*tabParametros[[#This Row],[Aviso Prévio Indenizado (API) e Reflexo do Aviso Prévio Indenizado]]</f>
        <v>5.609413580246914E-4</v>
      </c>
      <c r="AK323" s="235">
        <f>tabParametros[[#This Row],[FGTS]]*tabParametros[[#This Row],[Aviso Prévio Indenizado (API) e Reflexo do Aviso Prévio Indenizado]]*40%</f>
        <v>2.2437654320987658E-4</v>
      </c>
      <c r="AL323" s="233">
        <f t="shared" si="47"/>
        <v>3.5000000000000005E-3</v>
      </c>
      <c r="AM323" s="233">
        <f>tabParametros[[#This Row],[Aviso Prévio Trabalhado - APT]]*SUM(tabParametros[[#This Row],[INSS]:[SEBRAE]])</f>
        <v>1.3230000000000004E-3</v>
      </c>
      <c r="AN323" s="233">
        <f t="shared" si="48"/>
        <v>3.0577777777777773E-2</v>
      </c>
      <c r="AO323" s="233">
        <f t="shared" si="49"/>
        <v>8.3333333333333339E-4</v>
      </c>
      <c r="AP323" s="233">
        <f t="shared" si="50"/>
        <v>8.4444444444444437E-3</v>
      </c>
      <c r="AQ323" s="233">
        <f t="shared" si="51"/>
        <v>2.0277777777777777E-3</v>
      </c>
      <c r="AR323" s="233">
        <f t="shared" si="52"/>
        <v>1.7083333333333333E-4</v>
      </c>
      <c r="AS323" s="233">
        <f t="shared" si="53"/>
        <v>2.0833333333333335E-4</v>
      </c>
      <c r="AT323" s="233">
        <f t="shared" si="54"/>
        <v>1.2962962962962963E-3</v>
      </c>
      <c r="AU323" s="235">
        <f>SUM(tabParametros[[#This Row],[Ausência por Doença]:[Férias, Adicional de Férias e 13º  com empregada em gozo de Licença Maternidade]])*SUM(tabParametros[[#This Row],[INSS]:[SEBRAE]])</f>
        <v>4.5918250000000008E-3</v>
      </c>
      <c r="AV323" s="254">
        <f>IF(tabParametros[[#This Row],[Função]]="Porteiro - 220 h",SUM(tabParametros[[#This Row],[Salário Base]:[Adicional de Acúmulo de função]])/220*20*1.5,IF(ISNUMBER(SEARCH("12 x 36",tabParametros[[#This Row],[Função]],1)),SUM(tabParametros[[#This Row],[Salário Base]:[Adicional de Acúmulo de função]])/210*15.5*1.5,0))</f>
        <v>0</v>
      </c>
      <c r="AW323" s="232">
        <f>IF(tabParametros[[#This Row],[Vagas contratadas]]&gt;0,(SUM(tabParametros[[#This Row],[Salário Base]:[Adicional de Acúmulo de função]])*30%+SUM(tabParametros[[#This Row],[Vale - Alimentação]:[Seguro de Vida]]))/tabParametros[[#This Row],[Vagas contratadas]]*tabParametros[[#This Row],[Vagas suspensas]],0)</f>
        <v>0</v>
      </c>
      <c r="AX323" s="232">
        <f>SUMIF(tabUniformes[Cargo],tabParametros[[#This Row],[Função]],tabUniformes[Valor unit. Mensal])</f>
        <v>92.100763771570698</v>
      </c>
      <c r="AY32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3" s="232">
        <v>0</v>
      </c>
      <c r="BC323" s="234" t="e">
        <f ca="1">VLOOKUP(tabParametros[[#Headers],[Custos Indiretos]],tabOutrosCustos[],3,0)</f>
        <v>#NAME?</v>
      </c>
      <c r="BD323" s="234" t="e">
        <f ca="1">VLOOKUP(tabParametros[[#Headers],[Lucro]],tabOutrosCustos[],3,0)</f>
        <v>#NAME?</v>
      </c>
      <c r="BE323" s="233">
        <f>VLOOKUP(tabParametros[[#Headers],[COFINS]],tabImpostosNacionais[],2,0)</f>
        <v>7.5999999999999998E-2</v>
      </c>
      <c r="BF323" s="233">
        <f>VLOOKUP(tabParametros[[#Headers],[PIS]],tabImpostosNacionais[],2,0)</f>
        <v>1.6500000000000001E-2</v>
      </c>
      <c r="BG323" s="233">
        <f>VLOOKUP(tabParametros[[#This Row],[Comarca]],tabComarca[],4,0)</f>
        <v>0.02</v>
      </c>
      <c r="BH323" s="236">
        <f>VLOOKUP(tabParametros[[#This Row],[CCT DA CATEGORIA]],tabSindicatos[],11,0)</f>
        <v>45658</v>
      </c>
      <c r="BI323" s="282" t="str">
        <f>VLOOKUP(tabParametros[[#This Row],[CCT DA CATEGORIA]],tabSindicatos[],12,0)</f>
        <v>-</v>
      </c>
      <c r="BJ323" s="285" t="str">
        <f>VLOOKUP(tabParametros[[#This Row],[CCT DA CATEGORIA]],tabSindicatos[],13,0)</f>
        <v>-</v>
      </c>
    </row>
    <row r="324" spans="1:62">
      <c r="A324" s="231" t="s">
        <v>1731</v>
      </c>
      <c r="B324" s="197" t="s">
        <v>1071</v>
      </c>
      <c r="C324" s="197" t="s">
        <v>274</v>
      </c>
      <c r="D324" s="197" t="str">
        <f>VLOOKUP(tabParametros[[#This Row],[Código do Posto]],tabPostos[],4,0)</f>
        <v>Rodoviarios de Uberlandia + SEAC-MG</v>
      </c>
      <c r="E324" s="282" t="str">
        <f>VLOOKUP(tabParametros[[#This Row],[Código do Posto]],tabPostos[],5,0)</f>
        <v>Apoio</v>
      </c>
      <c r="F324" s="282" t="str">
        <f>VLOOKUP(tabParametros[[#This Row],[Código do Posto]],tabPostos[],6,0)</f>
        <v>FEPDC</v>
      </c>
      <c r="G324" s="282">
        <f>VLOOKUP(tabParametros[[#This Row],[Código do Posto]],tabPostos[],7,0)</f>
        <v>1</v>
      </c>
      <c r="H324" s="282">
        <f>VLOOKUP(tabParametros[[#This Row],[Código do Posto]],tabPostos[],8,0)</f>
        <v>0</v>
      </c>
      <c r="I324" s="232">
        <f>VLOOKUP(tabParametros[[#This Row],[Código do Posto]],tabPostos[],9,0)</f>
        <v>4558.0709943632919</v>
      </c>
      <c r="J324" s="232">
        <f>IF(ISNUMBER(SEARCH("Eletricista",tabParametros[[#This Row],[Função]],1)),0.3*tabParametros[[#This Row],[Salário Base]],0)</f>
        <v>0</v>
      </c>
      <c r="K32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4" s="232">
        <f>IF(AND(ISNUMBER(SEARCH("Noturno",tabParametros[[#This Row],[Função]],1)),tabParametros[[#This Row],[Comarca]]&lt;&gt;"Juiz de Fora"),tabParametros[[#This Row],[Salário Base]]/210*0.39*7*15.5,IF(ISNUMBER(SEARCH("Noturno",tabParametros[[#This Row],[Função]],1)),tabParametros[[#This Row],[Salário Base]]/210*0.2*8*15.5,0))</f>
        <v>0</v>
      </c>
      <c r="M324" s="232">
        <f>IF(ISNUMBER(SEARCH("Motorista II",tabParametros[[#This Row],[Função]],1)),0.3022*tabParametros[[#This Row],[Salário Base]],0)</f>
        <v>0</v>
      </c>
      <c r="N324" s="254">
        <v>0</v>
      </c>
      <c r="O324" s="254">
        <f>IF(ISNUMBER(SEARCH("TECNOLOGIA DA INFORMACAO",tabParametros[[#This Row],[Função]],1)),0.056*tabParametros[[#This Row],[Salário Base]],0)</f>
        <v>0</v>
      </c>
      <c r="P324" s="232">
        <f>IF(tabParametros[[#This Row],[Função]]="Operador de Midia Audiovisual - 150 h",tabParametros[[#This Row],[Salário Base]]/150*50*30%,IF(tabParametros[[#This Row],[Função]]="Supervisor de Manutencao de Veiculos II - 220 h",12%*tabParametros[[#This Row],[Salário Base]],0))</f>
        <v>0</v>
      </c>
      <c r="Q324" s="233">
        <f>VLOOKUP(tabParametros[[#Headers],[INSS]],tabImpostosNacionais[],2,0)</f>
        <v>0.2</v>
      </c>
      <c r="R324" s="233">
        <f>VLOOKUP(tabParametros[[#Headers],[SESI OU SESC]],tabImpostosNacionais[],2,0)</f>
        <v>1.4999999999999999E-2</v>
      </c>
      <c r="S324" s="233">
        <f>VLOOKUP(tabParametros[[#Headers],[SENAI OU SENAC]],tabImpostosNacionais[],2,0)</f>
        <v>0.01</v>
      </c>
      <c r="T324" s="233">
        <f>VLOOKUP(tabParametros[[#Headers],[INCRA]],tabImpostosNacionais[],2,0)</f>
        <v>2E-3</v>
      </c>
      <c r="U324" s="233">
        <f>VLOOKUP(tabParametros[[#Headers],[Salário Educação]],tabImpostosNacionais[],2,0)</f>
        <v>2.5000000000000001E-2</v>
      </c>
      <c r="V324" s="233">
        <f>VLOOKUP(tabParametros[[#Headers],[FGTS]],tabImpostosNacionais[],2,0)</f>
        <v>0.08</v>
      </c>
      <c r="W324" s="233">
        <f>VLOOKUP(tabParametros[[#Headers],[RAT Ajustado]],tabImpostosNacionais[],2,0)</f>
        <v>0.04</v>
      </c>
      <c r="X324" s="233">
        <f>VLOOKUP(tabParametros[[#Headers],[SEBRAE]],tabImpostosNacionais[],2,0)</f>
        <v>6.0000000000000001E-3</v>
      </c>
      <c r="Y324" s="233">
        <f t="shared" ref="Y324:Y341" si="55">1/12</f>
        <v>8.3333333333333329E-2</v>
      </c>
      <c r="Z324" s="233">
        <f t="shared" ref="Z324:Z341" si="56">1/12+1/12/3</f>
        <v>0.1111111111111111</v>
      </c>
      <c r="AA324" s="232">
        <f>VLOOKUP(tabParametros[[#This Row],[Comarca]],tabComarca[],5,0)</f>
        <v>6.4</v>
      </c>
      <c r="AB324" s="232">
        <f>VLOOKUP(tabParametros[[#This Row],[CCT DA CATEGORIA]],tabSindicatos[],6,0)</f>
        <v>28.97</v>
      </c>
      <c r="AC324" s="232">
        <f>VLOOKUP(tabParametros[[#This Row],[CCT DA CATEGORIA]],tabSindicatos[],7,0)</f>
        <v>0</v>
      </c>
      <c r="AD324" s="232" cm="1">
        <f t="array" ref="AD32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324" s="232">
        <f>VLOOKUP(tabParametros[[#This Row],[CCT DA CATEGORIA]],tabSindicatos[],9,0)</f>
        <v>0</v>
      </c>
      <c r="AF324" s="232">
        <f>VLOOKUP(tabParametros[[#This Row],[CCT DA CATEGORIA]],tabSindicatos[],10,0)</f>
        <v>0</v>
      </c>
      <c r="AG324" s="234">
        <f>VLOOKUP(tabParametros[[#Headers],[Seguro de Vida]],tabOutrosCustos[],3,0)</f>
        <v>3.36</v>
      </c>
      <c r="AH324" s="234">
        <f>IF(ISNUMBER(SEARCH("MOTORISTA",tabParametros[[#This Row],[Função]],1)),VLOOKUP("MOTORISTAS",tabDiarias[],2,0),IF(tabParametros[[#This Row],[Comarca]]="Belo Horizonte",VLOOKUP("APOIO",tabDiarias[],2,0),0))</f>
        <v>662.42</v>
      </c>
      <c r="AI324" s="233">
        <f t="shared" ref="AI324:AI341" si="57">(1/12*7%)+((1+1+1/3)*1/12)*(7%/12)+((1/12*0.05)+((1+1+1/3)*1/12)*(7%/12))/30*3*5/60</f>
        <v>7.011766975308642E-3</v>
      </c>
      <c r="AJ324" s="235">
        <f>tabParametros[[#This Row],[FGTS]]*tabParametros[[#This Row],[Aviso Prévio Indenizado (API) e Reflexo do Aviso Prévio Indenizado]]</f>
        <v>5.609413580246914E-4</v>
      </c>
      <c r="AK324" s="235">
        <f>tabParametros[[#This Row],[FGTS]]*tabParametros[[#This Row],[Aviso Prévio Indenizado (API) e Reflexo do Aviso Prévio Indenizado]]*40%</f>
        <v>2.2437654320987658E-4</v>
      </c>
      <c r="AL324" s="233">
        <f t="shared" ref="AL324:AL341" si="58">((1/30*7)*0.9)/60</f>
        <v>3.5000000000000005E-3</v>
      </c>
      <c r="AM324" s="233">
        <f>tabParametros[[#This Row],[Aviso Prévio Trabalhado - APT]]*SUM(tabParametros[[#This Row],[INSS]:[SEBRAE]])</f>
        <v>1.3230000000000004E-3</v>
      </c>
      <c r="AN324" s="233">
        <f t="shared" ref="AN324:AN341" si="59">0.4*0.08*0.8*(1+1/12+1/12+1/3/12)</f>
        <v>3.0577777777777773E-2</v>
      </c>
      <c r="AO324" s="233">
        <f t="shared" ref="AO324:AO341" si="60">(1*1%)/12</f>
        <v>8.3333333333333339E-4</v>
      </c>
      <c r="AP324" s="233">
        <f t="shared" ref="AP324:AP341" si="61">1/30*3.04/12</f>
        <v>8.4444444444444437E-3</v>
      </c>
      <c r="AQ324" s="233">
        <f t="shared" ref="AQ324:AQ341" si="62">0.73/30/12</f>
        <v>2.0277777777777777E-3</v>
      </c>
      <c r="AR324" s="233">
        <f t="shared" ref="AR324:AR341" si="63">5/30/12*1.23%</f>
        <v>1.7083333333333333E-4</v>
      </c>
      <c r="AS324" s="233">
        <f t="shared" ref="AS324:AS341" si="64">1/30*15*0.5%/12</f>
        <v>2.0833333333333335E-4</v>
      </c>
      <c r="AT324" s="233">
        <f t="shared" ref="AT324:AT341" si="65">((1/12+1/12+1/3/12)*4/12)*2%</f>
        <v>1.2962962962962963E-3</v>
      </c>
      <c r="AU324" s="235">
        <f>SUM(tabParametros[[#This Row],[Ausência por Doença]:[Férias, Adicional de Férias e 13º  com empregada em gozo de Licença Maternidade]])*SUM(tabParametros[[#This Row],[INSS]:[SEBRAE]])</f>
        <v>4.5918250000000008E-3</v>
      </c>
      <c r="AV324" s="254">
        <f>IF(tabParametros[[#This Row],[Função]]="Porteiro - 220 h",SUM(tabParametros[[#This Row],[Salário Base]:[Adicional de Acúmulo de função]])/220*20*1.5,IF(ISNUMBER(SEARCH("12 x 36",tabParametros[[#This Row],[Função]],1)),SUM(tabParametros[[#This Row],[Salário Base]:[Adicional de Acúmulo de função]])/210*15.5*1.5,0))</f>
        <v>0</v>
      </c>
      <c r="AW324" s="232">
        <f>IF(tabParametros[[#This Row],[Vagas contratadas]]&gt;0,(SUM(tabParametros[[#This Row],[Salário Base]:[Adicional de Acúmulo de função]])*30%+SUM(tabParametros[[#This Row],[Vale - Alimentação]:[Seguro de Vida]]))/tabParametros[[#This Row],[Vagas contratadas]]*tabParametros[[#This Row],[Vagas suspensas]],0)</f>
        <v>0</v>
      </c>
      <c r="AX324" s="232">
        <f>SUMIF(tabUniformes[Cargo],tabParametros[[#This Row],[Função]],tabUniformes[Valor unit. Mensal])</f>
        <v>92.100763771570698</v>
      </c>
      <c r="AY32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4" s="232">
        <v>0</v>
      </c>
      <c r="BC324" s="234" t="e">
        <f ca="1">VLOOKUP(tabParametros[[#Headers],[Custos Indiretos]],tabOutrosCustos[],3,0)</f>
        <v>#NAME?</v>
      </c>
      <c r="BD324" s="234" t="e">
        <f ca="1">VLOOKUP(tabParametros[[#Headers],[Lucro]],tabOutrosCustos[],3,0)</f>
        <v>#NAME?</v>
      </c>
      <c r="BE324" s="233">
        <f>VLOOKUP(tabParametros[[#Headers],[COFINS]],tabImpostosNacionais[],2,0)</f>
        <v>7.5999999999999998E-2</v>
      </c>
      <c r="BF324" s="233">
        <f>VLOOKUP(tabParametros[[#Headers],[PIS]],tabImpostosNacionais[],2,0)</f>
        <v>1.6500000000000001E-2</v>
      </c>
      <c r="BG324" s="233">
        <f>VLOOKUP(tabParametros[[#This Row],[Comarca]],tabComarca[],4,0)</f>
        <v>0.02</v>
      </c>
      <c r="BH324" s="236">
        <f>VLOOKUP(tabParametros[[#This Row],[CCT DA CATEGORIA]],tabSindicatos[],11,0)</f>
        <v>45658</v>
      </c>
      <c r="BI324" s="282" t="str">
        <f>VLOOKUP(tabParametros[[#This Row],[CCT DA CATEGORIA]],tabSindicatos[],12,0)</f>
        <v>-</v>
      </c>
      <c r="BJ324" s="285" t="str">
        <f>VLOOKUP(tabParametros[[#This Row],[CCT DA CATEGORIA]],tabSindicatos[],13,0)</f>
        <v>-</v>
      </c>
    </row>
    <row r="325" spans="1:62">
      <c r="A325" s="231" t="s">
        <v>1516</v>
      </c>
      <c r="B325" s="197" t="s">
        <v>1071</v>
      </c>
      <c r="C325" s="197" t="s">
        <v>314</v>
      </c>
      <c r="D325" s="197" t="str">
        <f>VLOOKUP(tabParametros[[#This Row],[Código do Posto]],tabPostos[],4,0)</f>
        <v>Uberlandia</v>
      </c>
      <c r="E325" s="282" t="str">
        <f>VLOOKUP(tabParametros[[#This Row],[Código do Posto]],tabPostos[],5,0)</f>
        <v>Apoio</v>
      </c>
      <c r="F325" s="282" t="str">
        <f>VLOOKUP(tabParametros[[#This Row],[Código do Posto]],tabPostos[],6,0)</f>
        <v>PGJ</v>
      </c>
      <c r="G325" s="282">
        <f>VLOOKUP(tabParametros[[#This Row],[Código do Posto]],tabPostos[],7,0)</f>
        <v>1</v>
      </c>
      <c r="H325" s="282">
        <f>VLOOKUP(tabParametros[[#This Row],[Código do Posto]],tabPostos[],8,0)</f>
        <v>0</v>
      </c>
      <c r="I325" s="232">
        <f>VLOOKUP(tabParametros[[#This Row],[Código do Posto]],tabPostos[],9,0)</f>
        <v>2134.8041615332936</v>
      </c>
      <c r="J325" s="232">
        <f>IF(ISNUMBER(SEARCH("Eletricista",tabParametros[[#This Row],[Função]],1)),0.3*tabParametros[[#This Row],[Salário Base]],0)</f>
        <v>0</v>
      </c>
      <c r="K32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5" s="232">
        <f>IF(AND(ISNUMBER(SEARCH("Noturno",tabParametros[[#This Row],[Função]],1)),tabParametros[[#This Row],[Comarca]]&lt;&gt;"Juiz de Fora"),tabParametros[[#This Row],[Salário Base]]/210*0.39*7*15.5,IF(ISNUMBER(SEARCH("Noturno",tabParametros[[#This Row],[Função]],1)),tabParametros[[#This Row],[Salário Base]]/210*0.2*8*15.5,0))</f>
        <v>0</v>
      </c>
      <c r="M325" s="232">
        <f>IF(ISNUMBER(SEARCH("Motorista II",tabParametros[[#This Row],[Função]],1)),0.3022*tabParametros[[#This Row],[Salário Base]],0)</f>
        <v>0</v>
      </c>
      <c r="N325" s="254">
        <v>0</v>
      </c>
      <c r="O325" s="254">
        <f>IF(ISNUMBER(SEARCH("TECNOLOGIA DA INFORMACAO",tabParametros[[#This Row],[Função]],1)),0.056*tabParametros[[#This Row],[Salário Base]],0)</f>
        <v>0</v>
      </c>
      <c r="P325" s="232">
        <f>IF(tabParametros[[#This Row],[Função]]="Operador de Midia Audiovisual - 150 h",tabParametros[[#This Row],[Salário Base]]/150*50*30%,IF(tabParametros[[#This Row],[Função]]="Supervisor de Manutencao de Veiculos II - 220 h",12%*tabParametros[[#This Row],[Salário Base]],0))</f>
        <v>0</v>
      </c>
      <c r="Q325" s="233">
        <f>VLOOKUP(tabParametros[[#Headers],[INSS]],tabImpostosNacionais[],2,0)</f>
        <v>0.2</v>
      </c>
      <c r="R325" s="233">
        <f>VLOOKUP(tabParametros[[#Headers],[SESI OU SESC]],tabImpostosNacionais[],2,0)</f>
        <v>1.4999999999999999E-2</v>
      </c>
      <c r="S325" s="233">
        <f>VLOOKUP(tabParametros[[#Headers],[SENAI OU SENAC]],tabImpostosNacionais[],2,0)</f>
        <v>0.01</v>
      </c>
      <c r="T325" s="233">
        <f>VLOOKUP(tabParametros[[#Headers],[INCRA]],tabImpostosNacionais[],2,0)</f>
        <v>2E-3</v>
      </c>
      <c r="U325" s="233">
        <f>VLOOKUP(tabParametros[[#Headers],[Salário Educação]],tabImpostosNacionais[],2,0)</f>
        <v>2.5000000000000001E-2</v>
      </c>
      <c r="V325" s="233">
        <f>VLOOKUP(tabParametros[[#Headers],[FGTS]],tabImpostosNacionais[],2,0)</f>
        <v>0.08</v>
      </c>
      <c r="W325" s="233">
        <f>VLOOKUP(tabParametros[[#Headers],[RAT Ajustado]],tabImpostosNacionais[],2,0)</f>
        <v>0.04</v>
      </c>
      <c r="X325" s="233">
        <f>VLOOKUP(tabParametros[[#Headers],[SEBRAE]],tabImpostosNacionais[],2,0)</f>
        <v>6.0000000000000001E-3</v>
      </c>
      <c r="Y325" s="233">
        <f t="shared" si="55"/>
        <v>8.3333333333333329E-2</v>
      </c>
      <c r="Z325" s="233">
        <f t="shared" si="56"/>
        <v>0.1111111111111111</v>
      </c>
      <c r="AA325" s="232">
        <f>VLOOKUP(tabParametros[[#This Row],[Comarca]],tabComarca[],5,0)</f>
        <v>6.4</v>
      </c>
      <c r="AB325" s="232">
        <f>VLOOKUP(tabParametros[[#This Row],[CCT DA CATEGORIA]],tabSindicatos[],6,0)</f>
        <v>0</v>
      </c>
      <c r="AC325" s="232">
        <f>VLOOKUP(tabParametros[[#This Row],[CCT DA CATEGORIA]],tabSindicatos[],7,0)</f>
        <v>387.79</v>
      </c>
      <c r="AD325" s="232" cm="1">
        <f t="array" ref="AD32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325" s="232">
        <f>VLOOKUP(tabParametros[[#This Row],[CCT DA CATEGORIA]],tabSindicatos[],9,0)</f>
        <v>0</v>
      </c>
      <c r="AF325" s="232">
        <f>VLOOKUP(tabParametros[[#This Row],[CCT DA CATEGORIA]],tabSindicatos[],10,0)</f>
        <v>0</v>
      </c>
      <c r="AG325" s="234">
        <f>VLOOKUP(tabParametros[[#Headers],[Seguro de Vida]],tabOutrosCustos[],3,0)</f>
        <v>3.36</v>
      </c>
      <c r="AH325" s="234">
        <f>IF(ISNUMBER(SEARCH("MOTORISTA",tabParametros[[#This Row],[Função]],1)),VLOOKUP("MOTORISTAS",tabDiarias[],2,0),IF(tabParametros[[#This Row],[Comarca]]="Belo Horizonte",VLOOKUP("APOIO",tabDiarias[],2,0),0))</f>
        <v>0</v>
      </c>
      <c r="AI325" s="233">
        <f t="shared" si="57"/>
        <v>7.011766975308642E-3</v>
      </c>
      <c r="AJ325" s="235">
        <f>tabParametros[[#This Row],[FGTS]]*tabParametros[[#This Row],[Aviso Prévio Indenizado (API) e Reflexo do Aviso Prévio Indenizado]]</f>
        <v>5.609413580246914E-4</v>
      </c>
      <c r="AK325" s="235">
        <f>tabParametros[[#This Row],[FGTS]]*tabParametros[[#This Row],[Aviso Prévio Indenizado (API) e Reflexo do Aviso Prévio Indenizado]]*40%</f>
        <v>2.2437654320987658E-4</v>
      </c>
      <c r="AL325" s="233">
        <f t="shared" si="58"/>
        <v>3.5000000000000005E-3</v>
      </c>
      <c r="AM325" s="233">
        <f>tabParametros[[#This Row],[Aviso Prévio Trabalhado - APT]]*SUM(tabParametros[[#This Row],[INSS]:[SEBRAE]])</f>
        <v>1.3230000000000004E-3</v>
      </c>
      <c r="AN325" s="233">
        <f t="shared" si="59"/>
        <v>3.0577777777777773E-2</v>
      </c>
      <c r="AO325" s="233">
        <f t="shared" si="60"/>
        <v>8.3333333333333339E-4</v>
      </c>
      <c r="AP325" s="233">
        <f t="shared" si="61"/>
        <v>8.4444444444444437E-3</v>
      </c>
      <c r="AQ325" s="233">
        <f t="shared" si="62"/>
        <v>2.0277777777777777E-3</v>
      </c>
      <c r="AR325" s="233">
        <f t="shared" si="63"/>
        <v>1.7083333333333333E-4</v>
      </c>
      <c r="AS325" s="233">
        <f t="shared" si="64"/>
        <v>2.0833333333333335E-4</v>
      </c>
      <c r="AT325" s="233">
        <f t="shared" si="65"/>
        <v>1.2962962962962963E-3</v>
      </c>
      <c r="AU325" s="235">
        <f>SUM(tabParametros[[#This Row],[Ausência por Doença]:[Férias, Adicional de Férias e 13º  com empregada em gozo de Licença Maternidade]])*SUM(tabParametros[[#This Row],[INSS]:[SEBRAE]])</f>
        <v>4.5918250000000008E-3</v>
      </c>
      <c r="AV325" s="254">
        <f>IF(tabParametros[[#This Row],[Função]]="Porteiro - 220 h",SUM(tabParametros[[#This Row],[Salário Base]:[Adicional de Acúmulo de função]])/220*20*1.5,IF(ISNUMBER(SEARCH("12 x 36",tabParametros[[#This Row],[Função]],1)),SUM(tabParametros[[#This Row],[Salário Base]:[Adicional de Acúmulo de função]])/210*15.5*1.5,0))</f>
        <v>291.10965839090369</v>
      </c>
      <c r="AW325" s="232">
        <f>IF(tabParametros[[#This Row],[Vagas contratadas]]&gt;0,(SUM(tabParametros[[#This Row],[Salário Base]:[Adicional de Acúmulo de função]])*30%+SUM(tabParametros[[#This Row],[Vale - Alimentação]:[Seguro de Vida]]))/tabParametros[[#This Row],[Vagas contratadas]]*tabParametros[[#This Row],[Vagas suspensas]],0)</f>
        <v>0</v>
      </c>
      <c r="AX325" s="232">
        <f>SUMIF(tabUniformes[Cargo],tabParametros[[#This Row],[Função]],tabUniformes[Valor unit. Mensal])</f>
        <v>56.642978962543395</v>
      </c>
      <c r="AY32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5" s="232">
        <v>0</v>
      </c>
      <c r="BC325" s="234" t="e">
        <f ca="1">VLOOKUP(tabParametros[[#Headers],[Custos Indiretos]],tabOutrosCustos[],3,0)</f>
        <v>#NAME?</v>
      </c>
      <c r="BD325" s="234" t="e">
        <f ca="1">VLOOKUP(tabParametros[[#Headers],[Lucro]],tabOutrosCustos[],3,0)</f>
        <v>#NAME?</v>
      </c>
      <c r="BE325" s="233">
        <f>VLOOKUP(tabParametros[[#Headers],[COFINS]],tabImpostosNacionais[],2,0)</f>
        <v>7.5999999999999998E-2</v>
      </c>
      <c r="BF325" s="233">
        <f>VLOOKUP(tabParametros[[#Headers],[PIS]],tabImpostosNacionais[],2,0)</f>
        <v>1.6500000000000001E-2</v>
      </c>
      <c r="BG325" s="233">
        <f>VLOOKUP(tabParametros[[#This Row],[Comarca]],tabComarca[],4,0)</f>
        <v>0.02</v>
      </c>
      <c r="BH325" s="236">
        <f>VLOOKUP(tabParametros[[#This Row],[CCT DA CATEGORIA]],tabSindicatos[],11,0)</f>
        <v>45658</v>
      </c>
      <c r="BI325" s="282" t="str">
        <f>VLOOKUP(tabParametros[[#This Row],[CCT DA CATEGORIA]],tabSindicatos[],12,0)</f>
        <v>-</v>
      </c>
      <c r="BJ325" s="285" t="str">
        <f>VLOOKUP(tabParametros[[#This Row],[CCT DA CATEGORIA]],tabSindicatos[],13,0)</f>
        <v>-</v>
      </c>
    </row>
    <row r="326" spans="1:62">
      <c r="A326" s="231" t="s">
        <v>1732</v>
      </c>
      <c r="B326" s="197" t="s">
        <v>1071</v>
      </c>
      <c r="C326" s="197" t="s">
        <v>324</v>
      </c>
      <c r="D326" s="197" t="str">
        <f>VLOOKUP(tabParametros[[#This Row],[Código do Posto]],tabPostos[],4,0)</f>
        <v>Uberlandia</v>
      </c>
      <c r="E326" s="282" t="str">
        <f>VLOOKUP(tabParametros[[#This Row],[Código do Posto]],tabPostos[],5,0)</f>
        <v>Apoio</v>
      </c>
      <c r="F326" s="282" t="str">
        <f>VLOOKUP(tabParametros[[#This Row],[Código do Posto]],tabPostos[],6,0)</f>
        <v>PGJ</v>
      </c>
      <c r="G326" s="282">
        <f>VLOOKUP(tabParametros[[#This Row],[Código do Posto]],tabPostos[],7,0)</f>
        <v>5</v>
      </c>
      <c r="H326" s="282">
        <f>VLOOKUP(tabParametros[[#This Row],[Código do Posto]],tabPostos[],8,0)</f>
        <v>0</v>
      </c>
      <c r="I326" s="232">
        <f>VLOOKUP(tabParametros[[#This Row],[Código do Posto]],tabPostos[],9,0)</f>
        <v>3397.130467372021</v>
      </c>
      <c r="J326" s="232">
        <f>IF(ISNUMBER(SEARCH("Eletricista",tabParametros[[#This Row],[Função]],1)),0.3*tabParametros[[#This Row],[Salário Base]],0)</f>
        <v>0</v>
      </c>
      <c r="K32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6" s="232">
        <f>IF(AND(ISNUMBER(SEARCH("Noturno",tabParametros[[#This Row],[Função]],1)),tabParametros[[#This Row],[Comarca]]&lt;&gt;"Juiz de Fora"),tabParametros[[#This Row],[Salário Base]]/210*0.39*7*15.5,IF(ISNUMBER(SEARCH("Noturno",tabParametros[[#This Row],[Função]],1)),tabParametros[[#This Row],[Salário Base]]/210*0.2*8*15.5,0))</f>
        <v>0</v>
      </c>
      <c r="M326" s="232">
        <f>IF(ISNUMBER(SEARCH("Motorista II",tabParametros[[#This Row],[Função]],1)),0.3022*tabParametros[[#This Row],[Salário Base]],0)</f>
        <v>0</v>
      </c>
      <c r="N326" s="254">
        <v>0</v>
      </c>
      <c r="O326" s="254">
        <f>IF(ISNUMBER(SEARCH("TECNOLOGIA DA INFORMACAO",tabParametros[[#This Row],[Função]],1)),0.056*tabParametros[[#This Row],[Salário Base]],0)</f>
        <v>0</v>
      </c>
      <c r="P326" s="232">
        <f>IF(tabParametros[[#This Row],[Função]]="Operador de Midia Audiovisual - 150 h",tabParametros[[#This Row],[Salário Base]]/150*50*30%,IF(tabParametros[[#This Row],[Função]]="Supervisor de Manutencao de Veiculos II - 220 h",12%*tabParametros[[#This Row],[Salário Base]],0))</f>
        <v>0</v>
      </c>
      <c r="Q326" s="233">
        <f>VLOOKUP(tabParametros[[#Headers],[INSS]],tabImpostosNacionais[],2,0)</f>
        <v>0.2</v>
      </c>
      <c r="R326" s="233">
        <f>VLOOKUP(tabParametros[[#Headers],[SESI OU SESC]],tabImpostosNacionais[],2,0)</f>
        <v>1.4999999999999999E-2</v>
      </c>
      <c r="S326" s="233">
        <f>VLOOKUP(tabParametros[[#Headers],[SENAI OU SENAC]],tabImpostosNacionais[],2,0)</f>
        <v>0.01</v>
      </c>
      <c r="T326" s="233">
        <f>VLOOKUP(tabParametros[[#Headers],[INCRA]],tabImpostosNacionais[],2,0)</f>
        <v>2E-3</v>
      </c>
      <c r="U326" s="233">
        <f>VLOOKUP(tabParametros[[#Headers],[Salário Educação]],tabImpostosNacionais[],2,0)</f>
        <v>2.5000000000000001E-2</v>
      </c>
      <c r="V326" s="233">
        <f>VLOOKUP(tabParametros[[#Headers],[FGTS]],tabImpostosNacionais[],2,0)</f>
        <v>0.08</v>
      </c>
      <c r="W326" s="233">
        <f>VLOOKUP(tabParametros[[#Headers],[RAT Ajustado]],tabImpostosNacionais[],2,0)</f>
        <v>0.04</v>
      </c>
      <c r="X326" s="233">
        <f>VLOOKUP(tabParametros[[#Headers],[SEBRAE]],tabImpostosNacionais[],2,0)</f>
        <v>6.0000000000000001E-3</v>
      </c>
      <c r="Y326" s="233">
        <f t="shared" si="55"/>
        <v>8.3333333333333329E-2</v>
      </c>
      <c r="Z326" s="233">
        <f t="shared" si="56"/>
        <v>0.1111111111111111</v>
      </c>
      <c r="AA326" s="232">
        <f>VLOOKUP(tabParametros[[#This Row],[Comarca]],tabComarca[],5,0)</f>
        <v>6.4</v>
      </c>
      <c r="AB326" s="232">
        <f>VLOOKUP(tabParametros[[#This Row],[CCT DA CATEGORIA]],tabSindicatos[],6,0)</f>
        <v>0</v>
      </c>
      <c r="AC326" s="232">
        <f>VLOOKUP(tabParametros[[#This Row],[CCT DA CATEGORIA]],tabSindicatos[],7,0)</f>
        <v>387.79</v>
      </c>
      <c r="AD326" s="232" cm="1">
        <f t="array" ref="AD32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42.97</v>
      </c>
      <c r="AE326" s="232">
        <f>VLOOKUP(tabParametros[[#This Row],[CCT DA CATEGORIA]],tabSindicatos[],9,0)</f>
        <v>0</v>
      </c>
      <c r="AF326" s="232">
        <f>VLOOKUP(tabParametros[[#This Row],[CCT DA CATEGORIA]],tabSindicatos[],10,0)</f>
        <v>0</v>
      </c>
      <c r="AG326" s="234">
        <f>VLOOKUP(tabParametros[[#Headers],[Seguro de Vida]],tabOutrosCustos[],3,0)</f>
        <v>3.36</v>
      </c>
      <c r="AH326" s="234">
        <f>IF(ISNUMBER(SEARCH("MOTORISTA",tabParametros[[#This Row],[Função]],1)),VLOOKUP("MOTORISTAS",tabDiarias[],2,0),IF(tabParametros[[#This Row],[Comarca]]="Belo Horizonte",VLOOKUP("APOIO",tabDiarias[],2,0),0))</f>
        <v>0</v>
      </c>
      <c r="AI326" s="233">
        <f t="shared" si="57"/>
        <v>7.011766975308642E-3</v>
      </c>
      <c r="AJ326" s="235">
        <f>tabParametros[[#This Row],[FGTS]]*tabParametros[[#This Row],[Aviso Prévio Indenizado (API) e Reflexo do Aviso Prévio Indenizado]]</f>
        <v>5.609413580246914E-4</v>
      </c>
      <c r="AK326" s="235">
        <f>tabParametros[[#This Row],[FGTS]]*tabParametros[[#This Row],[Aviso Prévio Indenizado (API) e Reflexo do Aviso Prévio Indenizado]]*40%</f>
        <v>2.2437654320987658E-4</v>
      </c>
      <c r="AL326" s="233">
        <f t="shared" si="58"/>
        <v>3.5000000000000005E-3</v>
      </c>
      <c r="AM326" s="233">
        <f>tabParametros[[#This Row],[Aviso Prévio Trabalhado - APT]]*SUM(tabParametros[[#This Row],[INSS]:[SEBRAE]])</f>
        <v>1.3230000000000004E-3</v>
      </c>
      <c r="AN326" s="233">
        <f t="shared" si="59"/>
        <v>3.0577777777777773E-2</v>
      </c>
      <c r="AO326" s="233">
        <f t="shared" si="60"/>
        <v>8.3333333333333339E-4</v>
      </c>
      <c r="AP326" s="233">
        <f t="shared" si="61"/>
        <v>8.4444444444444437E-3</v>
      </c>
      <c r="AQ326" s="233">
        <f t="shared" si="62"/>
        <v>2.0277777777777777E-3</v>
      </c>
      <c r="AR326" s="233">
        <f t="shared" si="63"/>
        <v>1.7083333333333333E-4</v>
      </c>
      <c r="AS326" s="233">
        <f t="shared" si="64"/>
        <v>2.0833333333333335E-4</v>
      </c>
      <c r="AT326" s="233">
        <f t="shared" si="65"/>
        <v>1.2962962962962963E-3</v>
      </c>
      <c r="AU326" s="235">
        <f>SUM(tabParametros[[#This Row],[Ausência por Doença]:[Férias, Adicional de Férias e 13º  com empregada em gozo de Licença Maternidade]])*SUM(tabParametros[[#This Row],[INSS]:[SEBRAE]])</f>
        <v>4.5918250000000008E-3</v>
      </c>
      <c r="AV326" s="254">
        <f>IF(tabParametros[[#This Row],[Função]]="Porteiro - 220 h",SUM(tabParametros[[#This Row],[Salário Base]:[Adicional de Acúmulo de função]])/220*20*1.5,IF(ISNUMBER(SEARCH("12 x 36",tabParametros[[#This Row],[Função]],1)),SUM(tabParametros[[#This Row],[Salário Base]:[Adicional de Acúmulo de função]])/210*15.5*1.5,0))</f>
        <v>0</v>
      </c>
      <c r="AW326" s="232">
        <f>IF(tabParametros[[#This Row],[Vagas contratadas]]&gt;0,(SUM(tabParametros[[#This Row],[Salário Base]:[Adicional de Acúmulo de função]])*30%+SUM(tabParametros[[#This Row],[Vale - Alimentação]:[Seguro de Vida]]))/tabParametros[[#This Row],[Vagas contratadas]]*tabParametros[[#This Row],[Vagas suspensas]],0)</f>
        <v>0</v>
      </c>
      <c r="AX326" s="232">
        <f>SUMIF(tabUniformes[Cargo],tabParametros[[#This Row],[Função]],tabUniformes[Valor unit. Mensal])</f>
        <v>56.642978962543395</v>
      </c>
      <c r="AY32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6" s="232">
        <v>0</v>
      </c>
      <c r="BC326" s="234" t="e">
        <f ca="1">VLOOKUP(tabParametros[[#Headers],[Custos Indiretos]],tabOutrosCustos[],3,0)</f>
        <v>#NAME?</v>
      </c>
      <c r="BD326" s="234" t="e">
        <f ca="1">VLOOKUP(tabParametros[[#Headers],[Lucro]],tabOutrosCustos[],3,0)</f>
        <v>#NAME?</v>
      </c>
      <c r="BE326" s="233">
        <f>VLOOKUP(tabParametros[[#Headers],[COFINS]],tabImpostosNacionais[],2,0)</f>
        <v>7.5999999999999998E-2</v>
      </c>
      <c r="BF326" s="233">
        <f>VLOOKUP(tabParametros[[#Headers],[PIS]],tabImpostosNacionais[],2,0)</f>
        <v>1.6500000000000001E-2</v>
      </c>
      <c r="BG326" s="233">
        <f>VLOOKUP(tabParametros[[#This Row],[Comarca]],tabComarca[],4,0)</f>
        <v>0.02</v>
      </c>
      <c r="BH326" s="236">
        <f>VLOOKUP(tabParametros[[#This Row],[CCT DA CATEGORIA]],tabSindicatos[],11,0)</f>
        <v>45658</v>
      </c>
      <c r="BI326" s="282" t="str">
        <f>VLOOKUP(tabParametros[[#This Row],[CCT DA CATEGORIA]],tabSindicatos[],12,0)</f>
        <v>-</v>
      </c>
      <c r="BJ326" s="285" t="str">
        <f>VLOOKUP(tabParametros[[#This Row],[CCT DA CATEGORIA]],tabSindicatos[],13,0)</f>
        <v>-</v>
      </c>
    </row>
    <row r="327" spans="1:62">
      <c r="A327" s="231" t="s">
        <v>1733</v>
      </c>
      <c r="B327" s="197" t="s">
        <v>1071</v>
      </c>
      <c r="C327" s="197" t="s">
        <v>394</v>
      </c>
      <c r="D327" s="197" t="str">
        <f>VLOOKUP(tabParametros[[#This Row],[Código do Posto]],tabPostos[],4,0)</f>
        <v>Sinttel</v>
      </c>
      <c r="E327" s="282" t="str">
        <f>VLOOKUP(tabParametros[[#This Row],[Código do Posto]],tabPostos[],5,0)</f>
        <v>Apoio</v>
      </c>
      <c r="F327" s="282" t="str">
        <f>VLOOKUP(tabParametros[[#This Row],[Código do Posto]],tabPostos[],6,0)</f>
        <v>PGJ</v>
      </c>
      <c r="G327" s="282">
        <f>VLOOKUP(tabParametros[[#This Row],[Código do Posto]],tabPostos[],7,0)</f>
        <v>1</v>
      </c>
      <c r="H327" s="282">
        <f>VLOOKUP(tabParametros[[#This Row],[Código do Posto]],tabPostos[],8,0)</f>
        <v>0</v>
      </c>
      <c r="I327" s="232">
        <f>VLOOKUP(tabParametros[[#This Row],[Código do Posto]],tabPostos[],9,0)</f>
        <v>2404.7340385572315</v>
      </c>
      <c r="J327" s="232">
        <f>IF(ISNUMBER(SEARCH("Eletricista",tabParametros[[#This Row],[Função]],1)),0.3*tabParametros[[#This Row],[Salário Base]],0)</f>
        <v>0</v>
      </c>
      <c r="K32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7" s="232">
        <f>IF(AND(ISNUMBER(SEARCH("Noturno",tabParametros[[#This Row],[Função]],1)),tabParametros[[#This Row],[Comarca]]&lt;&gt;"Juiz de Fora"),tabParametros[[#This Row],[Salário Base]]/210*0.39*7*15.5,IF(ISNUMBER(SEARCH("Noturno",tabParametros[[#This Row],[Função]],1)),tabParametros[[#This Row],[Salário Base]]/210*0.2*8*15.5,0))</f>
        <v>0</v>
      </c>
      <c r="M327" s="232">
        <f>IF(ISNUMBER(SEARCH("Motorista II",tabParametros[[#This Row],[Função]],1)),0.3022*tabParametros[[#This Row],[Salário Base]],0)</f>
        <v>0</v>
      </c>
      <c r="N327" s="254">
        <v>0</v>
      </c>
      <c r="O327" s="254">
        <f>IF(ISNUMBER(SEARCH("TECNOLOGIA DA INFORMACAO",tabParametros[[#This Row],[Função]],1)),0.056*tabParametros[[#This Row],[Salário Base]],0)</f>
        <v>0</v>
      </c>
      <c r="P327" s="232">
        <f>IF(tabParametros[[#This Row],[Função]]="Operador de Midia Audiovisual - 150 h",tabParametros[[#This Row],[Salário Base]]/150*50*30%,IF(tabParametros[[#This Row],[Função]]="Supervisor de Manutencao de Veiculos II - 220 h",12%*tabParametros[[#This Row],[Salário Base]],0))</f>
        <v>0</v>
      </c>
      <c r="Q327" s="233">
        <f>VLOOKUP(tabParametros[[#Headers],[INSS]],tabImpostosNacionais[],2,0)</f>
        <v>0.2</v>
      </c>
      <c r="R327" s="233">
        <f>VLOOKUP(tabParametros[[#Headers],[SESI OU SESC]],tabImpostosNacionais[],2,0)</f>
        <v>1.4999999999999999E-2</v>
      </c>
      <c r="S327" s="233">
        <f>VLOOKUP(tabParametros[[#Headers],[SENAI OU SENAC]],tabImpostosNacionais[],2,0)</f>
        <v>0.01</v>
      </c>
      <c r="T327" s="233">
        <f>VLOOKUP(tabParametros[[#Headers],[INCRA]],tabImpostosNacionais[],2,0)</f>
        <v>2E-3</v>
      </c>
      <c r="U327" s="233">
        <f>VLOOKUP(tabParametros[[#Headers],[Salário Educação]],tabImpostosNacionais[],2,0)</f>
        <v>2.5000000000000001E-2</v>
      </c>
      <c r="V327" s="233">
        <f>VLOOKUP(tabParametros[[#Headers],[FGTS]],tabImpostosNacionais[],2,0)</f>
        <v>0.08</v>
      </c>
      <c r="W327" s="233">
        <f>VLOOKUP(tabParametros[[#Headers],[RAT Ajustado]],tabImpostosNacionais[],2,0)</f>
        <v>0.04</v>
      </c>
      <c r="X327" s="233">
        <f>VLOOKUP(tabParametros[[#Headers],[SEBRAE]],tabImpostosNacionais[],2,0)</f>
        <v>6.0000000000000001E-3</v>
      </c>
      <c r="Y327" s="233">
        <f t="shared" si="55"/>
        <v>8.3333333333333329E-2</v>
      </c>
      <c r="Z327" s="233">
        <f t="shared" si="56"/>
        <v>0.1111111111111111</v>
      </c>
      <c r="AA327" s="232">
        <f>VLOOKUP(tabParametros[[#This Row],[Comarca]],tabComarca[],5,0)</f>
        <v>6.4</v>
      </c>
      <c r="AB327" s="232">
        <f>VLOOKUP(tabParametros[[#This Row],[CCT DA CATEGORIA]],tabSindicatos[],6,0)</f>
        <v>25.15</v>
      </c>
      <c r="AC327" s="232">
        <f>VLOOKUP(tabParametros[[#This Row],[CCT DA CATEGORIA]],tabSindicatos[],7,0)</f>
        <v>0</v>
      </c>
      <c r="AD327" s="232" cm="1">
        <f t="array" ref="AD32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27" s="232">
        <f>VLOOKUP(tabParametros[[#This Row],[CCT DA CATEGORIA]],tabSindicatos[],9,0)</f>
        <v>0</v>
      </c>
      <c r="AF327" s="232">
        <f>VLOOKUP(tabParametros[[#This Row],[CCT DA CATEGORIA]],tabSindicatos[],10,0)</f>
        <v>0</v>
      </c>
      <c r="AG327" s="234">
        <f>VLOOKUP(tabParametros[[#Headers],[Seguro de Vida]],tabOutrosCustos[],3,0)</f>
        <v>3.36</v>
      </c>
      <c r="AH327" s="234">
        <f>IF(ISNUMBER(SEARCH("MOTORISTA",tabParametros[[#This Row],[Função]],1)),VLOOKUP("MOTORISTAS",tabDiarias[],2,0),IF(tabParametros[[#This Row],[Comarca]]="Belo Horizonte",VLOOKUP("APOIO",tabDiarias[],2,0),0))</f>
        <v>0</v>
      </c>
      <c r="AI327" s="233">
        <f t="shared" si="57"/>
        <v>7.011766975308642E-3</v>
      </c>
      <c r="AJ327" s="235">
        <f>tabParametros[[#This Row],[FGTS]]*tabParametros[[#This Row],[Aviso Prévio Indenizado (API) e Reflexo do Aviso Prévio Indenizado]]</f>
        <v>5.609413580246914E-4</v>
      </c>
      <c r="AK327" s="235">
        <f>tabParametros[[#This Row],[FGTS]]*tabParametros[[#This Row],[Aviso Prévio Indenizado (API) e Reflexo do Aviso Prévio Indenizado]]*40%</f>
        <v>2.2437654320987658E-4</v>
      </c>
      <c r="AL327" s="233">
        <f t="shared" si="58"/>
        <v>3.5000000000000005E-3</v>
      </c>
      <c r="AM327" s="233">
        <f>tabParametros[[#This Row],[Aviso Prévio Trabalhado - APT]]*SUM(tabParametros[[#This Row],[INSS]:[SEBRAE]])</f>
        <v>1.3230000000000004E-3</v>
      </c>
      <c r="AN327" s="233">
        <f t="shared" si="59"/>
        <v>3.0577777777777773E-2</v>
      </c>
      <c r="AO327" s="233">
        <f t="shared" si="60"/>
        <v>8.3333333333333339E-4</v>
      </c>
      <c r="AP327" s="233">
        <f t="shared" si="61"/>
        <v>8.4444444444444437E-3</v>
      </c>
      <c r="AQ327" s="233">
        <f t="shared" si="62"/>
        <v>2.0277777777777777E-3</v>
      </c>
      <c r="AR327" s="233">
        <f t="shared" si="63"/>
        <v>1.7083333333333333E-4</v>
      </c>
      <c r="AS327" s="233">
        <f t="shared" si="64"/>
        <v>2.0833333333333335E-4</v>
      </c>
      <c r="AT327" s="233">
        <f t="shared" si="65"/>
        <v>1.2962962962962963E-3</v>
      </c>
      <c r="AU327" s="235">
        <f>SUM(tabParametros[[#This Row],[Ausência por Doença]:[Férias, Adicional de Férias e 13º  com empregada em gozo de Licença Maternidade]])*SUM(tabParametros[[#This Row],[INSS]:[SEBRAE]])</f>
        <v>4.5918250000000008E-3</v>
      </c>
      <c r="AV327" s="254">
        <f>IF(tabParametros[[#This Row],[Função]]="Porteiro - 220 h",SUM(tabParametros[[#This Row],[Salário Base]:[Adicional de Acúmulo de função]])/220*20*1.5,IF(ISNUMBER(SEARCH("12 x 36",tabParametros[[#This Row],[Função]],1)),SUM(tabParametros[[#This Row],[Salário Base]:[Adicional de Acúmulo de função]])/210*15.5*1.5,0))</f>
        <v>0</v>
      </c>
      <c r="AW327" s="232">
        <f>IF(tabParametros[[#This Row],[Vagas contratadas]]&gt;0,(SUM(tabParametros[[#This Row],[Salário Base]:[Adicional de Acúmulo de função]])*30%+SUM(tabParametros[[#This Row],[Vale - Alimentação]:[Seguro de Vida]]))/tabParametros[[#This Row],[Vagas contratadas]]*tabParametros[[#This Row],[Vagas suspensas]],0)</f>
        <v>0</v>
      </c>
      <c r="AX327" s="232">
        <f>SUMIF(tabUniformes[Cargo],tabParametros[[#This Row],[Função]],tabUniformes[Valor unit. Mensal])</f>
        <v>42.607550547045918</v>
      </c>
      <c r="AY32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7" s="232">
        <v>0</v>
      </c>
      <c r="BC327" s="234" t="e">
        <f ca="1">VLOOKUP(tabParametros[[#Headers],[Custos Indiretos]],tabOutrosCustos[],3,0)</f>
        <v>#NAME?</v>
      </c>
      <c r="BD327" s="234" t="e">
        <f ca="1">VLOOKUP(tabParametros[[#Headers],[Lucro]],tabOutrosCustos[],3,0)</f>
        <v>#NAME?</v>
      </c>
      <c r="BE327" s="233">
        <f>VLOOKUP(tabParametros[[#Headers],[COFINS]],tabImpostosNacionais[],2,0)</f>
        <v>7.5999999999999998E-2</v>
      </c>
      <c r="BF327" s="233">
        <f>VLOOKUP(tabParametros[[#Headers],[PIS]],tabImpostosNacionais[],2,0)</f>
        <v>1.6500000000000001E-2</v>
      </c>
      <c r="BG327" s="233">
        <f>VLOOKUP(tabParametros[[#This Row],[Comarca]],tabComarca[],4,0)</f>
        <v>0.02</v>
      </c>
      <c r="BH327" s="236">
        <f>VLOOKUP(tabParametros[[#This Row],[CCT DA CATEGORIA]],tabSindicatos[],11,0)</f>
        <v>45292</v>
      </c>
      <c r="BI327" s="282" t="str">
        <f>VLOOKUP(tabParametros[[#This Row],[CCT DA CATEGORIA]],tabSindicatos[],12,0)</f>
        <v>-</v>
      </c>
      <c r="BJ327" s="285" t="str">
        <f>VLOOKUP(tabParametros[[#This Row],[CCT DA CATEGORIA]],tabSindicatos[],13,0)</f>
        <v>-</v>
      </c>
    </row>
    <row r="328" spans="1:62">
      <c r="A328" s="231" t="s">
        <v>1734</v>
      </c>
      <c r="B328" s="197" t="s">
        <v>1215</v>
      </c>
      <c r="C328" s="197" t="s">
        <v>314</v>
      </c>
      <c r="D328" s="197" t="str">
        <f>VLOOKUP(tabParametros[[#This Row],[Código do Posto]],tabPostos[],4,0)</f>
        <v>Fethemg Interior</v>
      </c>
      <c r="E328" s="282" t="str">
        <f>VLOOKUP(tabParametros[[#This Row],[Código do Posto]],tabPostos[],5,0)</f>
        <v>Apoio</v>
      </c>
      <c r="F328" s="282" t="str">
        <f>VLOOKUP(tabParametros[[#This Row],[Código do Posto]],tabPostos[],6,0)</f>
        <v>PGJ</v>
      </c>
      <c r="G328" s="282">
        <f>VLOOKUP(tabParametros[[#This Row],[Código do Posto]],tabPostos[],7,0)</f>
        <v>1</v>
      </c>
      <c r="H328" s="282">
        <f>VLOOKUP(tabParametros[[#This Row],[Código do Posto]],tabPostos[],8,0)</f>
        <v>0</v>
      </c>
      <c r="I328" s="232">
        <f>VLOOKUP(tabParametros[[#This Row],[Código do Posto]],tabPostos[],9,0)</f>
        <v>1963.4110092077037</v>
      </c>
      <c r="J328" s="232">
        <f>IF(ISNUMBER(SEARCH("Eletricista",tabParametros[[#This Row],[Função]],1)),0.3*tabParametros[[#This Row],[Salário Base]],0)</f>
        <v>0</v>
      </c>
      <c r="K32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8" s="232">
        <f>IF(AND(ISNUMBER(SEARCH("Noturno",tabParametros[[#This Row],[Função]],1)),tabParametros[[#This Row],[Comarca]]&lt;&gt;"Juiz de Fora"),tabParametros[[#This Row],[Salário Base]]/210*0.39*7*15.5,IF(ISNUMBER(SEARCH("Noturno",tabParametros[[#This Row],[Função]],1)),tabParametros[[#This Row],[Salário Base]]/210*0.2*8*15.5,0))</f>
        <v>0</v>
      </c>
      <c r="M328" s="232">
        <f>IF(ISNUMBER(SEARCH("Motorista II",tabParametros[[#This Row],[Função]],1)),0.3022*tabParametros[[#This Row],[Salário Base]],0)</f>
        <v>0</v>
      </c>
      <c r="N328" s="254">
        <v>0</v>
      </c>
      <c r="O328" s="254">
        <f>IF(ISNUMBER(SEARCH("TECNOLOGIA DA INFORMACAO",tabParametros[[#This Row],[Função]],1)),0.056*tabParametros[[#This Row],[Salário Base]],0)</f>
        <v>0</v>
      </c>
      <c r="P328" s="232">
        <f>IF(tabParametros[[#This Row],[Função]]="Operador de Midia Audiovisual - 150 h",tabParametros[[#This Row],[Salário Base]]/150*50*30%,IF(tabParametros[[#This Row],[Função]]="Supervisor de Manutencao de Veiculos II - 220 h",12%*tabParametros[[#This Row],[Salário Base]],0))</f>
        <v>0</v>
      </c>
      <c r="Q328" s="233">
        <f>VLOOKUP(tabParametros[[#Headers],[INSS]],tabImpostosNacionais[],2,0)</f>
        <v>0.2</v>
      </c>
      <c r="R328" s="233">
        <f>VLOOKUP(tabParametros[[#Headers],[SESI OU SESC]],tabImpostosNacionais[],2,0)</f>
        <v>1.4999999999999999E-2</v>
      </c>
      <c r="S328" s="233">
        <f>VLOOKUP(tabParametros[[#Headers],[SENAI OU SENAC]],tabImpostosNacionais[],2,0)</f>
        <v>0.01</v>
      </c>
      <c r="T328" s="233">
        <f>VLOOKUP(tabParametros[[#Headers],[INCRA]],tabImpostosNacionais[],2,0)</f>
        <v>2E-3</v>
      </c>
      <c r="U328" s="233">
        <f>VLOOKUP(tabParametros[[#Headers],[Salário Educação]],tabImpostosNacionais[],2,0)</f>
        <v>2.5000000000000001E-2</v>
      </c>
      <c r="V328" s="233">
        <f>VLOOKUP(tabParametros[[#Headers],[FGTS]],tabImpostosNacionais[],2,0)</f>
        <v>0.08</v>
      </c>
      <c r="W328" s="233">
        <f>VLOOKUP(tabParametros[[#Headers],[RAT Ajustado]],tabImpostosNacionais[],2,0)</f>
        <v>0.04</v>
      </c>
      <c r="X328" s="233">
        <f>VLOOKUP(tabParametros[[#Headers],[SEBRAE]],tabImpostosNacionais[],2,0)</f>
        <v>6.0000000000000001E-3</v>
      </c>
      <c r="Y328" s="233">
        <f t="shared" si="55"/>
        <v>8.3333333333333329E-2</v>
      </c>
      <c r="Z328" s="233">
        <f t="shared" si="56"/>
        <v>0.1111111111111111</v>
      </c>
      <c r="AA328" s="232">
        <f>VLOOKUP(tabParametros[[#This Row],[Comarca]],tabComarca[],5,0)</f>
        <v>6.4</v>
      </c>
      <c r="AB328" s="232">
        <f>VLOOKUP(tabParametros[[#This Row],[CCT DA CATEGORIA]],tabSindicatos[],6,0)</f>
        <v>29.15</v>
      </c>
      <c r="AC328" s="232">
        <f>VLOOKUP(tabParametros[[#This Row],[CCT DA CATEGORIA]],tabSindicatos[],7,0)</f>
        <v>0</v>
      </c>
      <c r="AD328" s="232" cm="1">
        <f t="array" ref="AD32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28" s="232">
        <f>VLOOKUP(tabParametros[[#This Row],[CCT DA CATEGORIA]],tabSindicatos[],9,0)</f>
        <v>15.07</v>
      </c>
      <c r="AF328" s="232">
        <f>VLOOKUP(tabParametros[[#This Row],[CCT DA CATEGORIA]],tabSindicatos[],10,0)</f>
        <v>0</v>
      </c>
      <c r="AG328" s="234">
        <f>VLOOKUP(tabParametros[[#Headers],[Seguro de Vida]],tabOutrosCustos[],3,0)</f>
        <v>3.36</v>
      </c>
      <c r="AH328" s="234">
        <f>IF(ISNUMBER(SEARCH("MOTORISTA",tabParametros[[#This Row],[Função]],1)),VLOOKUP("MOTORISTAS",tabDiarias[],2,0),IF(tabParametros[[#This Row],[Comarca]]="Belo Horizonte",VLOOKUP("APOIO",tabDiarias[],2,0),0))</f>
        <v>0</v>
      </c>
      <c r="AI328" s="233">
        <f t="shared" si="57"/>
        <v>7.011766975308642E-3</v>
      </c>
      <c r="AJ328" s="235">
        <f>tabParametros[[#This Row],[FGTS]]*tabParametros[[#This Row],[Aviso Prévio Indenizado (API) e Reflexo do Aviso Prévio Indenizado]]</f>
        <v>5.609413580246914E-4</v>
      </c>
      <c r="AK328" s="235">
        <f>tabParametros[[#This Row],[FGTS]]*tabParametros[[#This Row],[Aviso Prévio Indenizado (API) e Reflexo do Aviso Prévio Indenizado]]*40%</f>
        <v>2.2437654320987658E-4</v>
      </c>
      <c r="AL328" s="233">
        <f t="shared" si="58"/>
        <v>3.5000000000000005E-3</v>
      </c>
      <c r="AM328" s="233">
        <f>tabParametros[[#This Row],[Aviso Prévio Trabalhado - APT]]*SUM(tabParametros[[#This Row],[INSS]:[SEBRAE]])</f>
        <v>1.3230000000000004E-3</v>
      </c>
      <c r="AN328" s="233">
        <f t="shared" si="59"/>
        <v>3.0577777777777773E-2</v>
      </c>
      <c r="AO328" s="233">
        <f t="shared" si="60"/>
        <v>8.3333333333333339E-4</v>
      </c>
      <c r="AP328" s="233">
        <f t="shared" si="61"/>
        <v>8.4444444444444437E-3</v>
      </c>
      <c r="AQ328" s="233">
        <f t="shared" si="62"/>
        <v>2.0277777777777777E-3</v>
      </c>
      <c r="AR328" s="233">
        <f t="shared" si="63"/>
        <v>1.7083333333333333E-4</v>
      </c>
      <c r="AS328" s="233">
        <f t="shared" si="64"/>
        <v>2.0833333333333335E-4</v>
      </c>
      <c r="AT328" s="233">
        <f t="shared" si="65"/>
        <v>1.2962962962962963E-3</v>
      </c>
      <c r="AU328" s="235">
        <f>SUM(tabParametros[[#This Row],[Ausência por Doença]:[Férias, Adicional de Férias e 13º  com empregada em gozo de Licença Maternidade]])*SUM(tabParametros[[#This Row],[INSS]:[SEBRAE]])</f>
        <v>4.5918250000000008E-3</v>
      </c>
      <c r="AV328"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328" s="232">
        <f>IF(tabParametros[[#This Row],[Vagas contratadas]]&gt;0,(SUM(tabParametros[[#This Row],[Salário Base]:[Adicional de Acúmulo de função]])*30%+SUM(tabParametros[[#This Row],[Vale - Alimentação]:[Seguro de Vida]]))/tabParametros[[#This Row],[Vagas contratadas]]*tabParametros[[#This Row],[Vagas suspensas]],0)</f>
        <v>0</v>
      </c>
      <c r="AX328" s="232">
        <f>SUMIF(tabUniformes[Cargo],tabParametros[[#This Row],[Função]],tabUniformes[Valor unit. Mensal])</f>
        <v>56.642978962543395</v>
      </c>
      <c r="AY32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8" s="232">
        <v>0</v>
      </c>
      <c r="BC328" s="234" t="e">
        <f ca="1">VLOOKUP(tabParametros[[#Headers],[Custos Indiretos]],tabOutrosCustos[],3,0)</f>
        <v>#NAME?</v>
      </c>
      <c r="BD328" s="234" t="e">
        <f ca="1">VLOOKUP(tabParametros[[#Headers],[Lucro]],tabOutrosCustos[],3,0)</f>
        <v>#NAME?</v>
      </c>
      <c r="BE328" s="233">
        <f>VLOOKUP(tabParametros[[#Headers],[COFINS]],tabImpostosNacionais[],2,0)</f>
        <v>7.5999999999999998E-2</v>
      </c>
      <c r="BF328" s="233">
        <f>VLOOKUP(tabParametros[[#Headers],[PIS]],tabImpostosNacionais[],2,0)</f>
        <v>1.6500000000000001E-2</v>
      </c>
      <c r="BG328" s="233">
        <f>VLOOKUP(tabParametros[[#This Row],[Comarca]],tabComarca[],4,0)</f>
        <v>0.04</v>
      </c>
      <c r="BH328" s="236">
        <f>VLOOKUP(tabParametros[[#This Row],[CCT DA CATEGORIA]],tabSindicatos[],11,0)</f>
        <v>45658</v>
      </c>
      <c r="BI328" s="282" t="str">
        <f>VLOOKUP(tabParametros[[#This Row],[CCT DA CATEGORIA]],tabSindicatos[],12,0)</f>
        <v>-</v>
      </c>
      <c r="BJ328" s="285" t="str">
        <f>VLOOKUP(tabParametros[[#This Row],[CCT DA CATEGORIA]],tabSindicatos[],13,0)</f>
        <v>-</v>
      </c>
    </row>
    <row r="329" spans="1:62">
      <c r="A329" s="231" t="s">
        <v>1735</v>
      </c>
      <c r="B329" s="197" t="s">
        <v>1216</v>
      </c>
      <c r="C329" s="197" t="s">
        <v>274</v>
      </c>
      <c r="D329" s="197" t="str">
        <f>VLOOKUP(tabParametros[[#This Row],[Código do Posto]],tabPostos[],4,0)</f>
        <v>Rodoviarios de Varginha + SEAC-MG</v>
      </c>
      <c r="E329" s="282" t="str">
        <f>VLOOKUP(tabParametros[[#This Row],[Código do Posto]],tabPostos[],5,0)</f>
        <v>Apoio</v>
      </c>
      <c r="F329" s="282" t="str">
        <f>VLOOKUP(tabParametros[[#This Row],[Código do Posto]],tabPostos[],6,0)</f>
        <v>PGJ</v>
      </c>
      <c r="G329" s="282">
        <f>VLOOKUP(tabParametros[[#This Row],[Código do Posto]],tabPostos[],7,0)</f>
        <v>1</v>
      </c>
      <c r="H329" s="282">
        <f>VLOOKUP(tabParametros[[#This Row],[Código do Posto]],tabPostos[],8,0)</f>
        <v>0</v>
      </c>
      <c r="I329" s="232">
        <f>VLOOKUP(tabParametros[[#This Row],[Código do Posto]],tabPostos[],9,0)</f>
        <v>4558.0709943632919</v>
      </c>
      <c r="J329" s="232">
        <f>IF(ISNUMBER(SEARCH("Eletricista",tabParametros[[#This Row],[Função]],1)),0.3*tabParametros[[#This Row],[Salário Base]],0)</f>
        <v>0</v>
      </c>
      <c r="K32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29" s="232">
        <f>IF(AND(ISNUMBER(SEARCH("Noturno",tabParametros[[#This Row],[Função]],1)),tabParametros[[#This Row],[Comarca]]&lt;&gt;"Juiz de Fora"),tabParametros[[#This Row],[Salário Base]]/210*0.39*7*15.5,IF(ISNUMBER(SEARCH("Noturno",tabParametros[[#This Row],[Função]],1)),tabParametros[[#This Row],[Salário Base]]/210*0.2*8*15.5,0))</f>
        <v>0</v>
      </c>
      <c r="M329" s="232">
        <f>IF(ISNUMBER(SEARCH("Motorista II",tabParametros[[#This Row],[Função]],1)),0.3022*tabParametros[[#This Row],[Salário Base]],0)</f>
        <v>0</v>
      </c>
      <c r="N329" s="254">
        <v>0</v>
      </c>
      <c r="O329" s="254">
        <f>IF(ISNUMBER(SEARCH("TECNOLOGIA DA INFORMACAO",tabParametros[[#This Row],[Função]],1)),0.056*tabParametros[[#This Row],[Salário Base]],0)</f>
        <v>0</v>
      </c>
      <c r="P329" s="232">
        <f>IF(tabParametros[[#This Row],[Função]]="Operador de Midia Audiovisual - 150 h",tabParametros[[#This Row],[Salário Base]]/150*50*30%,IF(tabParametros[[#This Row],[Função]]="Supervisor de Manutencao de Veiculos II - 220 h",12%*tabParametros[[#This Row],[Salário Base]],0))</f>
        <v>0</v>
      </c>
      <c r="Q329" s="233">
        <f>VLOOKUP(tabParametros[[#Headers],[INSS]],tabImpostosNacionais[],2,0)</f>
        <v>0.2</v>
      </c>
      <c r="R329" s="233">
        <f>VLOOKUP(tabParametros[[#Headers],[SESI OU SESC]],tabImpostosNacionais[],2,0)</f>
        <v>1.4999999999999999E-2</v>
      </c>
      <c r="S329" s="233">
        <f>VLOOKUP(tabParametros[[#Headers],[SENAI OU SENAC]],tabImpostosNacionais[],2,0)</f>
        <v>0.01</v>
      </c>
      <c r="T329" s="233">
        <f>VLOOKUP(tabParametros[[#Headers],[INCRA]],tabImpostosNacionais[],2,0)</f>
        <v>2E-3</v>
      </c>
      <c r="U329" s="233">
        <f>VLOOKUP(tabParametros[[#Headers],[Salário Educação]],tabImpostosNacionais[],2,0)</f>
        <v>2.5000000000000001E-2</v>
      </c>
      <c r="V329" s="233">
        <f>VLOOKUP(tabParametros[[#Headers],[FGTS]],tabImpostosNacionais[],2,0)</f>
        <v>0.08</v>
      </c>
      <c r="W329" s="233">
        <f>VLOOKUP(tabParametros[[#Headers],[RAT Ajustado]],tabImpostosNacionais[],2,0)</f>
        <v>0.04</v>
      </c>
      <c r="X329" s="233">
        <f>VLOOKUP(tabParametros[[#Headers],[SEBRAE]],tabImpostosNacionais[],2,0)</f>
        <v>6.0000000000000001E-3</v>
      </c>
      <c r="Y329" s="233">
        <f t="shared" si="55"/>
        <v>8.3333333333333329E-2</v>
      </c>
      <c r="Z329" s="233">
        <f t="shared" si="56"/>
        <v>0.1111111111111111</v>
      </c>
      <c r="AA329" s="232">
        <f>VLOOKUP(tabParametros[[#This Row],[Comarca]],tabComarca[],5,0)</f>
        <v>6.4</v>
      </c>
      <c r="AB329" s="232">
        <f>VLOOKUP(tabParametros[[#This Row],[CCT DA CATEGORIA]],tabSindicatos[],6,0)</f>
        <v>28.97</v>
      </c>
      <c r="AC329" s="232">
        <f>VLOOKUP(tabParametros[[#This Row],[CCT DA CATEGORIA]],tabSindicatos[],7,0)</f>
        <v>0</v>
      </c>
      <c r="AD329" s="232" cm="1">
        <f t="array" ref="AD32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29" s="232">
        <f>VLOOKUP(tabParametros[[#This Row],[CCT DA CATEGORIA]],tabSindicatos[],9,0)</f>
        <v>0</v>
      </c>
      <c r="AF329" s="232">
        <f>VLOOKUP(tabParametros[[#This Row],[CCT DA CATEGORIA]],tabSindicatos[],10,0)</f>
        <v>0</v>
      </c>
      <c r="AG329" s="234">
        <f>VLOOKUP(tabParametros[[#Headers],[Seguro de Vida]],tabOutrosCustos[],3,0)</f>
        <v>3.36</v>
      </c>
      <c r="AH329" s="234">
        <f>IF(ISNUMBER(SEARCH("MOTORISTA",tabParametros[[#This Row],[Função]],1)),VLOOKUP("MOTORISTAS",tabDiarias[],2,0),IF(tabParametros[[#This Row],[Comarca]]="Belo Horizonte",VLOOKUP("APOIO",tabDiarias[],2,0),0))</f>
        <v>662.42</v>
      </c>
      <c r="AI329" s="233">
        <f t="shared" si="57"/>
        <v>7.011766975308642E-3</v>
      </c>
      <c r="AJ329" s="235">
        <f>tabParametros[[#This Row],[FGTS]]*tabParametros[[#This Row],[Aviso Prévio Indenizado (API) e Reflexo do Aviso Prévio Indenizado]]</f>
        <v>5.609413580246914E-4</v>
      </c>
      <c r="AK329" s="235">
        <f>tabParametros[[#This Row],[FGTS]]*tabParametros[[#This Row],[Aviso Prévio Indenizado (API) e Reflexo do Aviso Prévio Indenizado]]*40%</f>
        <v>2.2437654320987658E-4</v>
      </c>
      <c r="AL329" s="233">
        <f t="shared" si="58"/>
        <v>3.5000000000000005E-3</v>
      </c>
      <c r="AM329" s="233">
        <f>tabParametros[[#This Row],[Aviso Prévio Trabalhado - APT]]*SUM(tabParametros[[#This Row],[INSS]:[SEBRAE]])</f>
        <v>1.3230000000000004E-3</v>
      </c>
      <c r="AN329" s="233">
        <f t="shared" si="59"/>
        <v>3.0577777777777773E-2</v>
      </c>
      <c r="AO329" s="233">
        <f t="shared" si="60"/>
        <v>8.3333333333333339E-4</v>
      </c>
      <c r="AP329" s="233">
        <f t="shared" si="61"/>
        <v>8.4444444444444437E-3</v>
      </c>
      <c r="AQ329" s="233">
        <f t="shared" si="62"/>
        <v>2.0277777777777777E-3</v>
      </c>
      <c r="AR329" s="233">
        <f t="shared" si="63"/>
        <v>1.7083333333333333E-4</v>
      </c>
      <c r="AS329" s="233">
        <f t="shared" si="64"/>
        <v>2.0833333333333335E-4</v>
      </c>
      <c r="AT329" s="233">
        <f t="shared" si="65"/>
        <v>1.2962962962962963E-3</v>
      </c>
      <c r="AU329" s="235">
        <f>SUM(tabParametros[[#This Row],[Ausência por Doença]:[Férias, Adicional de Férias e 13º  com empregada em gozo de Licença Maternidade]])*SUM(tabParametros[[#This Row],[INSS]:[SEBRAE]])</f>
        <v>4.5918250000000008E-3</v>
      </c>
      <c r="AV329" s="254">
        <f>IF(tabParametros[[#This Row],[Função]]="Porteiro - 220 h",SUM(tabParametros[[#This Row],[Salário Base]:[Adicional de Acúmulo de função]])/220*20*1.5,IF(ISNUMBER(SEARCH("12 x 36",tabParametros[[#This Row],[Função]],1)),SUM(tabParametros[[#This Row],[Salário Base]:[Adicional de Acúmulo de função]])/210*15.5*1.5,0))</f>
        <v>0</v>
      </c>
      <c r="AW329" s="232">
        <f>IF(tabParametros[[#This Row],[Vagas contratadas]]&gt;0,(SUM(tabParametros[[#This Row],[Salário Base]:[Adicional de Acúmulo de função]])*30%+SUM(tabParametros[[#This Row],[Vale - Alimentação]:[Seguro de Vida]]))/tabParametros[[#This Row],[Vagas contratadas]]*tabParametros[[#This Row],[Vagas suspensas]],0)</f>
        <v>0</v>
      </c>
      <c r="AX329" s="232">
        <f>SUMIF(tabUniformes[Cargo],tabParametros[[#This Row],[Função]],tabUniformes[Valor unit. Mensal])</f>
        <v>92.100763771570698</v>
      </c>
      <c r="AY32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2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2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29" s="232">
        <v>0</v>
      </c>
      <c r="BC329" s="234" t="e">
        <f ca="1">VLOOKUP(tabParametros[[#Headers],[Custos Indiretos]],tabOutrosCustos[],3,0)</f>
        <v>#NAME?</v>
      </c>
      <c r="BD329" s="234" t="e">
        <f ca="1">VLOOKUP(tabParametros[[#Headers],[Lucro]],tabOutrosCustos[],3,0)</f>
        <v>#NAME?</v>
      </c>
      <c r="BE329" s="233">
        <f>VLOOKUP(tabParametros[[#Headers],[COFINS]],tabImpostosNacionais[],2,0)</f>
        <v>7.5999999999999998E-2</v>
      </c>
      <c r="BF329" s="233">
        <f>VLOOKUP(tabParametros[[#Headers],[PIS]],tabImpostosNacionais[],2,0)</f>
        <v>1.6500000000000001E-2</v>
      </c>
      <c r="BG329" s="233">
        <f>VLOOKUP(tabParametros[[#This Row],[Comarca]],tabComarca[],4,0)</f>
        <v>0.03</v>
      </c>
      <c r="BH329" s="236">
        <f>VLOOKUP(tabParametros[[#This Row],[CCT DA CATEGORIA]],tabSindicatos[],11,0)</f>
        <v>45658</v>
      </c>
      <c r="BI329" s="282" t="str">
        <f>VLOOKUP(tabParametros[[#This Row],[CCT DA CATEGORIA]],tabSindicatos[],12,0)</f>
        <v>-</v>
      </c>
      <c r="BJ329" s="285" t="str">
        <f>VLOOKUP(tabParametros[[#This Row],[CCT DA CATEGORIA]],tabSindicatos[],13,0)</f>
        <v>-</v>
      </c>
    </row>
    <row r="330" spans="1:62">
      <c r="A330" s="231" t="s">
        <v>1736</v>
      </c>
      <c r="B330" s="197" t="s">
        <v>1216</v>
      </c>
      <c r="C330" s="197" t="s">
        <v>314</v>
      </c>
      <c r="D330" s="197" t="str">
        <f>VLOOKUP(tabParametros[[#This Row],[Código do Posto]],tabPostos[],4,0)</f>
        <v>Regiao de Sao Lourenco</v>
      </c>
      <c r="E330" s="282" t="str">
        <f>VLOOKUP(tabParametros[[#This Row],[Código do Posto]],tabPostos[],5,0)</f>
        <v>Apoio</v>
      </c>
      <c r="F330" s="282" t="str">
        <f>VLOOKUP(tabParametros[[#This Row],[Código do Posto]],tabPostos[],6,0)</f>
        <v>PGJ</v>
      </c>
      <c r="G330" s="282">
        <f>VLOOKUP(tabParametros[[#This Row],[Código do Posto]],tabPostos[],7,0)</f>
        <v>1</v>
      </c>
      <c r="H330" s="282">
        <f>VLOOKUP(tabParametros[[#This Row],[Código do Posto]],tabPostos[],8,0)</f>
        <v>0</v>
      </c>
      <c r="I330" s="232">
        <f>VLOOKUP(tabParametros[[#This Row],[Código do Posto]],tabPostos[],9,0)</f>
        <v>1963.4050319620983</v>
      </c>
      <c r="J330" s="232">
        <f>IF(ISNUMBER(SEARCH("Eletricista",tabParametros[[#This Row],[Função]],1)),0.3*tabParametros[[#This Row],[Salário Base]],0)</f>
        <v>0</v>
      </c>
      <c r="K33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30" s="232">
        <f>IF(AND(ISNUMBER(SEARCH("Noturno",tabParametros[[#This Row],[Função]],1)),tabParametros[[#This Row],[Comarca]]&lt;&gt;"Juiz de Fora"),tabParametros[[#This Row],[Salário Base]]/210*0.39*7*15.5,IF(ISNUMBER(SEARCH("Noturno",tabParametros[[#This Row],[Função]],1)),tabParametros[[#This Row],[Salário Base]]/210*0.2*8*15.5,0))</f>
        <v>0</v>
      </c>
      <c r="M330" s="232">
        <f>IF(ISNUMBER(SEARCH("Motorista II",tabParametros[[#This Row],[Função]],1)),0.3022*tabParametros[[#This Row],[Salário Base]],0)</f>
        <v>0</v>
      </c>
      <c r="N330" s="254">
        <v>0</v>
      </c>
      <c r="O330" s="254">
        <f>IF(ISNUMBER(SEARCH("TECNOLOGIA DA INFORMACAO",tabParametros[[#This Row],[Função]],1)),0.056*tabParametros[[#This Row],[Salário Base]],0)</f>
        <v>0</v>
      </c>
      <c r="P330" s="232">
        <f>IF(tabParametros[[#This Row],[Função]]="Operador de Midia Audiovisual - 150 h",tabParametros[[#This Row],[Salário Base]]/150*50*30%,IF(tabParametros[[#This Row],[Função]]="Supervisor de Manutencao de Veiculos II - 220 h",12%*tabParametros[[#This Row],[Salário Base]],0))</f>
        <v>0</v>
      </c>
      <c r="Q330" s="233">
        <f>VLOOKUP(tabParametros[[#Headers],[INSS]],tabImpostosNacionais[],2,0)</f>
        <v>0.2</v>
      </c>
      <c r="R330" s="233">
        <f>VLOOKUP(tabParametros[[#Headers],[SESI OU SESC]],tabImpostosNacionais[],2,0)</f>
        <v>1.4999999999999999E-2</v>
      </c>
      <c r="S330" s="233">
        <f>VLOOKUP(tabParametros[[#Headers],[SENAI OU SENAC]],tabImpostosNacionais[],2,0)</f>
        <v>0.01</v>
      </c>
      <c r="T330" s="233">
        <f>VLOOKUP(tabParametros[[#Headers],[INCRA]],tabImpostosNacionais[],2,0)</f>
        <v>2E-3</v>
      </c>
      <c r="U330" s="233">
        <f>VLOOKUP(tabParametros[[#Headers],[Salário Educação]],tabImpostosNacionais[],2,0)</f>
        <v>2.5000000000000001E-2</v>
      </c>
      <c r="V330" s="233">
        <f>VLOOKUP(tabParametros[[#Headers],[FGTS]],tabImpostosNacionais[],2,0)</f>
        <v>0.08</v>
      </c>
      <c r="W330" s="233">
        <f>VLOOKUP(tabParametros[[#Headers],[RAT Ajustado]],tabImpostosNacionais[],2,0)</f>
        <v>0.04</v>
      </c>
      <c r="X330" s="233">
        <f>VLOOKUP(tabParametros[[#Headers],[SEBRAE]],tabImpostosNacionais[],2,0)</f>
        <v>6.0000000000000001E-3</v>
      </c>
      <c r="Y330" s="233">
        <f t="shared" si="55"/>
        <v>8.3333333333333329E-2</v>
      </c>
      <c r="Z330" s="233">
        <f t="shared" si="56"/>
        <v>0.1111111111111111</v>
      </c>
      <c r="AA330" s="232">
        <f>VLOOKUP(tabParametros[[#This Row],[Comarca]],tabComarca[],5,0)</f>
        <v>6.4</v>
      </c>
      <c r="AB330" s="232">
        <f>VLOOKUP(tabParametros[[#This Row],[CCT DA CATEGORIA]],tabSindicatos[],6,0)</f>
        <v>29.15</v>
      </c>
      <c r="AC330" s="232">
        <f>VLOOKUP(tabParametros[[#This Row],[CCT DA CATEGORIA]],tabSindicatos[],7,0)</f>
        <v>0</v>
      </c>
      <c r="AD330" s="232" cm="1">
        <f t="array" ref="AD33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53.27</v>
      </c>
      <c r="AE330" s="232">
        <f>VLOOKUP(tabParametros[[#This Row],[CCT DA CATEGORIA]],tabSindicatos[],9,0)</f>
        <v>0</v>
      </c>
      <c r="AF330" s="232">
        <f>VLOOKUP(tabParametros[[#This Row],[CCT DA CATEGORIA]],tabSindicatos[],10,0)</f>
        <v>0</v>
      </c>
      <c r="AG330" s="234">
        <f>VLOOKUP(tabParametros[[#Headers],[Seguro de Vida]],tabOutrosCustos[],3,0)</f>
        <v>3.36</v>
      </c>
      <c r="AH330" s="234">
        <f>IF(ISNUMBER(SEARCH("MOTORISTA",tabParametros[[#This Row],[Função]],1)),VLOOKUP("MOTORISTAS",tabDiarias[],2,0),IF(tabParametros[[#This Row],[Comarca]]="Belo Horizonte",VLOOKUP("APOIO",tabDiarias[],2,0),0))</f>
        <v>0</v>
      </c>
      <c r="AI330" s="233">
        <f t="shared" si="57"/>
        <v>7.011766975308642E-3</v>
      </c>
      <c r="AJ330" s="235">
        <f>tabParametros[[#This Row],[FGTS]]*tabParametros[[#This Row],[Aviso Prévio Indenizado (API) e Reflexo do Aviso Prévio Indenizado]]</f>
        <v>5.609413580246914E-4</v>
      </c>
      <c r="AK330" s="235">
        <f>tabParametros[[#This Row],[FGTS]]*tabParametros[[#This Row],[Aviso Prévio Indenizado (API) e Reflexo do Aviso Prévio Indenizado]]*40%</f>
        <v>2.2437654320987658E-4</v>
      </c>
      <c r="AL330" s="233">
        <f t="shared" si="58"/>
        <v>3.5000000000000005E-3</v>
      </c>
      <c r="AM330" s="233">
        <f>tabParametros[[#This Row],[Aviso Prévio Trabalhado - APT]]*SUM(tabParametros[[#This Row],[INSS]:[SEBRAE]])</f>
        <v>1.3230000000000004E-3</v>
      </c>
      <c r="AN330" s="233">
        <f t="shared" si="59"/>
        <v>3.0577777777777773E-2</v>
      </c>
      <c r="AO330" s="233">
        <f t="shared" si="60"/>
        <v>8.3333333333333339E-4</v>
      </c>
      <c r="AP330" s="233">
        <f t="shared" si="61"/>
        <v>8.4444444444444437E-3</v>
      </c>
      <c r="AQ330" s="233">
        <f t="shared" si="62"/>
        <v>2.0277777777777777E-3</v>
      </c>
      <c r="AR330" s="233">
        <f t="shared" si="63"/>
        <v>1.7083333333333333E-4</v>
      </c>
      <c r="AS330" s="233">
        <f t="shared" si="64"/>
        <v>2.0833333333333335E-4</v>
      </c>
      <c r="AT330" s="233">
        <f t="shared" si="65"/>
        <v>1.2962962962962963E-3</v>
      </c>
      <c r="AU330" s="235">
        <f>SUM(tabParametros[[#This Row],[Ausência por Doença]:[Férias, Adicional de Férias e 13º  com empregada em gozo de Licença Maternidade]])*SUM(tabParametros[[#This Row],[INSS]:[SEBRAE]])</f>
        <v>4.5918250000000008E-3</v>
      </c>
      <c r="AV330" s="254">
        <f>IF(tabParametros[[#This Row],[Função]]="Porteiro - 220 h",SUM(tabParametros[[#This Row],[Salário Base]:[Adicional de Acúmulo de função]])/220*20*1.5,IF(ISNUMBER(SEARCH("12 x 36",tabParametros[[#This Row],[Função]],1)),SUM(tabParametros[[#This Row],[Salário Base]:[Adicional de Acúmulo de função]])/210*15.5*1.5,0))</f>
        <v>267.73704981301341</v>
      </c>
      <c r="AW330" s="232">
        <f>IF(tabParametros[[#This Row],[Vagas contratadas]]&gt;0,(SUM(tabParametros[[#This Row],[Salário Base]:[Adicional de Acúmulo de função]])*30%+SUM(tabParametros[[#This Row],[Vale - Alimentação]:[Seguro de Vida]]))/tabParametros[[#This Row],[Vagas contratadas]]*tabParametros[[#This Row],[Vagas suspensas]],0)</f>
        <v>0</v>
      </c>
      <c r="AX330" s="232">
        <f>SUMIF(tabUniformes[Cargo],tabParametros[[#This Row],[Função]],tabUniformes[Valor unit. Mensal])</f>
        <v>56.642978962543395</v>
      </c>
      <c r="AY33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3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3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0" s="232">
        <v>0</v>
      </c>
      <c r="BC330" s="234" t="e">
        <f ca="1">VLOOKUP(tabParametros[[#Headers],[Custos Indiretos]],tabOutrosCustos[],3,0)</f>
        <v>#NAME?</v>
      </c>
      <c r="BD330" s="234" t="e">
        <f ca="1">VLOOKUP(tabParametros[[#Headers],[Lucro]],tabOutrosCustos[],3,0)</f>
        <v>#NAME?</v>
      </c>
      <c r="BE330" s="233">
        <f>VLOOKUP(tabParametros[[#Headers],[COFINS]],tabImpostosNacionais[],2,0)</f>
        <v>7.5999999999999998E-2</v>
      </c>
      <c r="BF330" s="233">
        <f>VLOOKUP(tabParametros[[#Headers],[PIS]],tabImpostosNacionais[],2,0)</f>
        <v>1.6500000000000001E-2</v>
      </c>
      <c r="BG330" s="233">
        <f>VLOOKUP(tabParametros[[#This Row],[Comarca]],tabComarca[],4,0)</f>
        <v>0.03</v>
      </c>
      <c r="BH330" s="236">
        <f>VLOOKUP(tabParametros[[#This Row],[CCT DA CATEGORIA]],tabSindicatos[],11,0)</f>
        <v>45658</v>
      </c>
      <c r="BI330" s="282" t="str">
        <f>VLOOKUP(tabParametros[[#This Row],[CCT DA CATEGORIA]],tabSindicatos[],12,0)</f>
        <v>-</v>
      </c>
      <c r="BJ330" s="285" t="str">
        <f>VLOOKUP(tabParametros[[#This Row],[CCT DA CATEGORIA]],tabSindicatos[],13,0)</f>
        <v>-</v>
      </c>
    </row>
    <row r="331" spans="1:62">
      <c r="A331" s="231" t="s">
        <v>1737</v>
      </c>
      <c r="B331" s="197" t="s">
        <v>1074</v>
      </c>
      <c r="C331" s="197" t="s">
        <v>274</v>
      </c>
      <c r="D331" s="197" t="str">
        <f>VLOOKUP(tabParametros[[#This Row],[Código do Posto]],tabPostos[],4,0)</f>
        <v>Rodoviarios de RMBH + SEAC-MG</v>
      </c>
      <c r="E331" s="282" t="str">
        <f>VLOOKUP(tabParametros[[#This Row],[Código do Posto]],tabPostos[],5,0)</f>
        <v>Apoio</v>
      </c>
      <c r="F331" s="282" t="str">
        <f>VLOOKUP(tabParametros[[#This Row],[Código do Posto]],tabPostos[],6,0)</f>
        <v>PGJ</v>
      </c>
      <c r="G331" s="282">
        <f>VLOOKUP(tabParametros[[#This Row],[Código do Posto]],tabPostos[],7,0)</f>
        <v>1</v>
      </c>
      <c r="H331" s="282">
        <f>VLOOKUP(tabParametros[[#This Row],[Código do Posto]],tabPostos[],8,0)</f>
        <v>0</v>
      </c>
      <c r="I331" s="232">
        <f>VLOOKUP(tabParametros[[#This Row],[Código do Posto]],tabPostos[],9,0)</f>
        <v>4465.6282221988586</v>
      </c>
      <c r="J331" s="232">
        <f>IF(ISNUMBER(SEARCH("Eletricista",tabParametros[[#This Row],[Função]],1)),0.3*tabParametros[[#This Row],[Salário Base]],0)</f>
        <v>0</v>
      </c>
      <c r="K331"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31" s="232">
        <f>IF(AND(ISNUMBER(SEARCH("Noturno",tabParametros[[#This Row],[Função]],1)),tabParametros[[#This Row],[Comarca]]&lt;&gt;"Juiz de Fora"),tabParametros[[#This Row],[Salário Base]]/210*0.39*7*15.5,IF(ISNUMBER(SEARCH("Noturno",tabParametros[[#This Row],[Função]],1)),tabParametros[[#This Row],[Salário Base]]/210*0.2*8*15.5,0))</f>
        <v>0</v>
      </c>
      <c r="M331" s="232">
        <f>IF(ISNUMBER(SEARCH("Motorista II",tabParametros[[#This Row],[Função]],1)),0.3022*tabParametros[[#This Row],[Salário Base]],0)</f>
        <v>0</v>
      </c>
      <c r="N331" s="254">
        <v>0</v>
      </c>
      <c r="O331" s="254">
        <f>IF(ISNUMBER(SEARCH("TECNOLOGIA DA INFORMACAO",tabParametros[[#This Row],[Função]],1)),0.056*tabParametros[[#This Row],[Salário Base]],0)</f>
        <v>0</v>
      </c>
      <c r="P331" s="232">
        <f>IF(tabParametros[[#This Row],[Função]]="Operador de Midia Audiovisual - 150 h",tabParametros[[#This Row],[Salário Base]]/150*50*30%,IF(tabParametros[[#This Row],[Função]]="Supervisor de Manutencao de Veiculos II - 220 h",12%*tabParametros[[#This Row],[Salário Base]],0))</f>
        <v>0</v>
      </c>
      <c r="Q331" s="233">
        <f>VLOOKUP(tabParametros[[#Headers],[INSS]],tabImpostosNacionais[],2,0)</f>
        <v>0.2</v>
      </c>
      <c r="R331" s="233">
        <f>VLOOKUP(tabParametros[[#Headers],[SESI OU SESC]],tabImpostosNacionais[],2,0)</f>
        <v>1.4999999999999999E-2</v>
      </c>
      <c r="S331" s="233">
        <f>VLOOKUP(tabParametros[[#Headers],[SENAI OU SENAC]],tabImpostosNacionais[],2,0)</f>
        <v>0.01</v>
      </c>
      <c r="T331" s="233">
        <f>VLOOKUP(tabParametros[[#Headers],[INCRA]],tabImpostosNacionais[],2,0)</f>
        <v>2E-3</v>
      </c>
      <c r="U331" s="233">
        <f>VLOOKUP(tabParametros[[#Headers],[Salário Educação]],tabImpostosNacionais[],2,0)</f>
        <v>2.5000000000000001E-2</v>
      </c>
      <c r="V331" s="233">
        <f>VLOOKUP(tabParametros[[#Headers],[FGTS]],tabImpostosNacionais[],2,0)</f>
        <v>0.08</v>
      </c>
      <c r="W331" s="233">
        <f>VLOOKUP(tabParametros[[#Headers],[RAT Ajustado]],tabImpostosNacionais[],2,0)</f>
        <v>0.04</v>
      </c>
      <c r="X331" s="233">
        <f>VLOOKUP(tabParametros[[#Headers],[SEBRAE]],tabImpostosNacionais[],2,0)</f>
        <v>6.0000000000000001E-3</v>
      </c>
      <c r="Y331" s="233">
        <f t="shared" si="55"/>
        <v>8.3333333333333329E-2</v>
      </c>
      <c r="Z331" s="233">
        <f t="shared" si="56"/>
        <v>0.1111111111111111</v>
      </c>
      <c r="AA331" s="232">
        <f>VLOOKUP(tabParametros[[#This Row],[Comarca]],tabComarca[],5,0)</f>
        <v>6.4</v>
      </c>
      <c r="AB331" s="232">
        <f>VLOOKUP(tabParametros[[#This Row],[CCT DA CATEGORIA]],tabSindicatos[],6,0)</f>
        <v>28.97</v>
      </c>
      <c r="AC331" s="232">
        <f>VLOOKUP(tabParametros[[#This Row],[CCT DA CATEGORIA]],tabSindicatos[],7,0)</f>
        <v>0</v>
      </c>
      <c r="AD331" s="232" cm="1">
        <f t="array" ref="AD33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22.52</v>
      </c>
      <c r="AE331" s="232">
        <f>VLOOKUP(tabParametros[[#This Row],[CCT DA CATEGORIA]],tabSindicatos[],9,0)</f>
        <v>0</v>
      </c>
      <c r="AF331" s="232">
        <f>VLOOKUP(tabParametros[[#This Row],[CCT DA CATEGORIA]],tabSindicatos[],10,0)</f>
        <v>0</v>
      </c>
      <c r="AG331" s="234">
        <f>VLOOKUP(tabParametros[[#Headers],[Seguro de Vida]],tabOutrosCustos[],3,0)</f>
        <v>3.36</v>
      </c>
      <c r="AH331" s="234">
        <f>IF(ISNUMBER(SEARCH("MOTORISTA",tabParametros[[#This Row],[Função]],1)),VLOOKUP("MOTORISTAS",tabDiarias[],2,0),IF(tabParametros[[#This Row],[Comarca]]="Belo Horizonte",VLOOKUP("APOIO",tabDiarias[],2,0),0))</f>
        <v>662.42</v>
      </c>
      <c r="AI331" s="233">
        <f t="shared" si="57"/>
        <v>7.011766975308642E-3</v>
      </c>
      <c r="AJ331" s="235">
        <f>tabParametros[[#This Row],[FGTS]]*tabParametros[[#This Row],[Aviso Prévio Indenizado (API) e Reflexo do Aviso Prévio Indenizado]]</f>
        <v>5.609413580246914E-4</v>
      </c>
      <c r="AK331" s="235">
        <f>tabParametros[[#This Row],[FGTS]]*tabParametros[[#This Row],[Aviso Prévio Indenizado (API) e Reflexo do Aviso Prévio Indenizado]]*40%</f>
        <v>2.2437654320987658E-4</v>
      </c>
      <c r="AL331" s="233">
        <f t="shared" si="58"/>
        <v>3.5000000000000005E-3</v>
      </c>
      <c r="AM331" s="233">
        <f>tabParametros[[#This Row],[Aviso Prévio Trabalhado - APT]]*SUM(tabParametros[[#This Row],[INSS]:[SEBRAE]])</f>
        <v>1.3230000000000004E-3</v>
      </c>
      <c r="AN331" s="233">
        <f t="shared" si="59"/>
        <v>3.0577777777777773E-2</v>
      </c>
      <c r="AO331" s="233">
        <f t="shared" si="60"/>
        <v>8.3333333333333339E-4</v>
      </c>
      <c r="AP331" s="233">
        <f t="shared" si="61"/>
        <v>8.4444444444444437E-3</v>
      </c>
      <c r="AQ331" s="233">
        <f t="shared" si="62"/>
        <v>2.0277777777777777E-3</v>
      </c>
      <c r="AR331" s="233">
        <f t="shared" si="63"/>
        <v>1.7083333333333333E-4</v>
      </c>
      <c r="AS331" s="233">
        <f t="shared" si="64"/>
        <v>2.0833333333333335E-4</v>
      </c>
      <c r="AT331" s="233">
        <f t="shared" si="65"/>
        <v>1.2962962962962963E-3</v>
      </c>
      <c r="AU331" s="235">
        <f>SUM(tabParametros[[#This Row],[Ausência por Doença]:[Férias, Adicional de Férias e 13º  com empregada em gozo de Licença Maternidade]])*SUM(tabParametros[[#This Row],[INSS]:[SEBRAE]])</f>
        <v>4.5918250000000008E-3</v>
      </c>
      <c r="AV331" s="254">
        <f>IF(tabParametros[[#This Row],[Função]]="Porteiro - 220 h",SUM(tabParametros[[#This Row],[Salário Base]:[Adicional de Acúmulo de função]])/220*20*1.5,IF(ISNUMBER(SEARCH("12 x 36",tabParametros[[#This Row],[Função]],1)),SUM(tabParametros[[#This Row],[Salário Base]:[Adicional de Acúmulo de função]])/210*15.5*1.5,0))</f>
        <v>0</v>
      </c>
      <c r="AW331" s="232">
        <f>IF(tabParametros[[#This Row],[Vagas contratadas]]&gt;0,(SUM(tabParametros[[#This Row],[Salário Base]:[Adicional de Acúmulo de função]])*30%+SUM(tabParametros[[#This Row],[Vale - Alimentação]:[Seguro de Vida]]))/tabParametros[[#This Row],[Vagas contratadas]]*tabParametros[[#This Row],[Vagas suspensas]],0)</f>
        <v>0</v>
      </c>
      <c r="AX331" s="232">
        <f>SUMIF(tabUniformes[Cargo],tabParametros[[#This Row],[Função]],tabUniformes[Valor unit. Mensal])</f>
        <v>92.100763771570698</v>
      </c>
      <c r="AY331"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31"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31"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1" s="232">
        <v>0</v>
      </c>
      <c r="BC331" s="234" t="e">
        <f ca="1">VLOOKUP(tabParametros[[#Headers],[Custos Indiretos]],tabOutrosCustos[],3,0)</f>
        <v>#NAME?</v>
      </c>
      <c r="BD331" s="234" t="e">
        <f ca="1">VLOOKUP(tabParametros[[#Headers],[Lucro]],tabOutrosCustos[],3,0)</f>
        <v>#NAME?</v>
      </c>
      <c r="BE331" s="233">
        <f>VLOOKUP(tabParametros[[#Headers],[COFINS]],tabImpostosNacionais[],2,0)</f>
        <v>7.5999999999999998E-2</v>
      </c>
      <c r="BF331" s="233">
        <f>VLOOKUP(tabParametros[[#Headers],[PIS]],tabImpostosNacionais[],2,0)</f>
        <v>1.6500000000000001E-2</v>
      </c>
      <c r="BG331" s="233">
        <f>VLOOKUP(tabParametros[[#This Row],[Comarca]],tabComarca[],4,0)</f>
        <v>0.02</v>
      </c>
      <c r="BH331" s="236">
        <f>VLOOKUP(tabParametros[[#This Row],[CCT DA CATEGORIA]],tabSindicatos[],11,0)</f>
        <v>45658</v>
      </c>
      <c r="BI331" s="282" t="str">
        <f>VLOOKUP(tabParametros[[#This Row],[CCT DA CATEGORIA]],tabSindicatos[],12,0)</f>
        <v>-</v>
      </c>
      <c r="BJ331" s="285" t="str">
        <f>VLOOKUP(tabParametros[[#This Row],[CCT DA CATEGORIA]],tabSindicatos[],13,0)</f>
        <v>-</v>
      </c>
    </row>
    <row r="332" spans="1:62">
      <c r="A332" s="231" t="s">
        <v>1738</v>
      </c>
      <c r="B332" s="197" t="s">
        <v>1074</v>
      </c>
      <c r="C332" s="197" t="s">
        <v>304</v>
      </c>
      <c r="D332" s="197" t="str">
        <f>VLOOKUP(tabParametros[[#This Row],[Código do Posto]],tabPostos[],4,0)</f>
        <v>Vespasiano</v>
      </c>
      <c r="E332" s="282" t="str">
        <f>VLOOKUP(tabParametros[[#This Row],[Código do Posto]],tabPostos[],5,0)</f>
        <v>Apoio</v>
      </c>
      <c r="F332" s="282" t="str">
        <f>VLOOKUP(tabParametros[[#This Row],[Código do Posto]],tabPostos[],6,0)</f>
        <v>PGJ</v>
      </c>
      <c r="G332" s="282">
        <f>VLOOKUP(tabParametros[[#This Row],[Código do Posto]],tabPostos[],7,0)</f>
        <v>2</v>
      </c>
      <c r="H332" s="282">
        <f>VLOOKUP(tabParametros[[#This Row],[Código do Posto]],tabPostos[],8,0)</f>
        <v>0</v>
      </c>
      <c r="I332" s="232">
        <f>VLOOKUP(tabParametros[[#This Row],[Código do Posto]],tabPostos[],9,0)</f>
        <v>2134.8041615332936</v>
      </c>
      <c r="J332" s="232">
        <f>IF(ISNUMBER(SEARCH("Eletricista",tabParametros[[#This Row],[Função]],1)),0.3*tabParametros[[#This Row],[Salário Base]],0)</f>
        <v>0</v>
      </c>
      <c r="K332"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32" s="232">
        <f>IF(AND(ISNUMBER(SEARCH("Noturno",tabParametros[[#This Row],[Função]],1)),tabParametros[[#This Row],[Comarca]]&lt;&gt;"Juiz de Fora"),tabParametros[[#This Row],[Salário Base]]/210*0.39*7*15.5,IF(ISNUMBER(SEARCH("Noturno",tabParametros[[#This Row],[Função]],1)),tabParametros[[#This Row],[Salário Base]]/210*0.2*8*15.5,0))</f>
        <v>0</v>
      </c>
      <c r="M332" s="232">
        <f>IF(ISNUMBER(SEARCH("Motorista II",tabParametros[[#This Row],[Função]],1)),0.3022*tabParametros[[#This Row],[Salário Base]],0)</f>
        <v>0</v>
      </c>
      <c r="N332" s="254">
        <v>0</v>
      </c>
      <c r="O332" s="254">
        <f>IF(ISNUMBER(SEARCH("TECNOLOGIA DA INFORMACAO",tabParametros[[#This Row],[Função]],1)),0.056*tabParametros[[#This Row],[Salário Base]],0)</f>
        <v>0</v>
      </c>
      <c r="P332" s="232">
        <f>IF(tabParametros[[#This Row],[Função]]="Operador de Midia Audiovisual - 150 h",tabParametros[[#This Row],[Salário Base]]/150*50*30%,IF(tabParametros[[#This Row],[Função]]="Supervisor de Manutencao de Veiculos II - 220 h",12%*tabParametros[[#This Row],[Salário Base]],0))</f>
        <v>0</v>
      </c>
      <c r="Q332" s="233">
        <f>VLOOKUP(tabParametros[[#Headers],[INSS]],tabImpostosNacionais[],2,0)</f>
        <v>0.2</v>
      </c>
      <c r="R332" s="233">
        <f>VLOOKUP(tabParametros[[#Headers],[SESI OU SESC]],tabImpostosNacionais[],2,0)</f>
        <v>1.4999999999999999E-2</v>
      </c>
      <c r="S332" s="233">
        <f>VLOOKUP(tabParametros[[#Headers],[SENAI OU SENAC]],tabImpostosNacionais[],2,0)</f>
        <v>0.01</v>
      </c>
      <c r="T332" s="233">
        <f>VLOOKUP(tabParametros[[#Headers],[INCRA]],tabImpostosNacionais[],2,0)</f>
        <v>2E-3</v>
      </c>
      <c r="U332" s="233">
        <f>VLOOKUP(tabParametros[[#Headers],[Salário Educação]],tabImpostosNacionais[],2,0)</f>
        <v>2.5000000000000001E-2</v>
      </c>
      <c r="V332" s="233">
        <f>VLOOKUP(tabParametros[[#Headers],[FGTS]],tabImpostosNacionais[],2,0)</f>
        <v>0.08</v>
      </c>
      <c r="W332" s="233">
        <f>VLOOKUP(tabParametros[[#Headers],[RAT Ajustado]],tabImpostosNacionais[],2,0)</f>
        <v>0.04</v>
      </c>
      <c r="X332" s="233">
        <f>VLOOKUP(tabParametros[[#Headers],[SEBRAE]],tabImpostosNacionais[],2,0)</f>
        <v>6.0000000000000001E-3</v>
      </c>
      <c r="Y332" s="233">
        <f t="shared" si="55"/>
        <v>8.3333333333333329E-2</v>
      </c>
      <c r="Z332" s="233">
        <f t="shared" si="56"/>
        <v>0.1111111111111111</v>
      </c>
      <c r="AA332" s="232">
        <f>VLOOKUP(tabParametros[[#This Row],[Comarca]],tabComarca[],5,0)</f>
        <v>6.4</v>
      </c>
      <c r="AB332" s="232">
        <f>VLOOKUP(tabParametros[[#This Row],[CCT DA CATEGORIA]],tabSindicatos[],6,0)</f>
        <v>29.15</v>
      </c>
      <c r="AC332" s="232">
        <f>VLOOKUP(tabParametros[[#This Row],[CCT DA CATEGORIA]],tabSindicatos[],7,0)</f>
        <v>0</v>
      </c>
      <c r="AD332" s="232" cm="1">
        <f t="array" ref="AD33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32" s="232">
        <f>VLOOKUP(tabParametros[[#This Row],[CCT DA CATEGORIA]],tabSindicatos[],9,0)</f>
        <v>0</v>
      </c>
      <c r="AF332" s="232">
        <f>VLOOKUP(tabParametros[[#This Row],[CCT DA CATEGORIA]],tabSindicatos[],10,0)</f>
        <v>0</v>
      </c>
      <c r="AG332" s="234">
        <f>VLOOKUP(tabParametros[[#Headers],[Seguro de Vida]],tabOutrosCustos[],3,0)</f>
        <v>3.36</v>
      </c>
      <c r="AH332" s="234">
        <f>IF(ISNUMBER(SEARCH("MOTORISTA",tabParametros[[#This Row],[Função]],1)),VLOOKUP("MOTORISTAS",tabDiarias[],2,0),IF(tabParametros[[#This Row],[Comarca]]="Belo Horizonte",VLOOKUP("APOIO",tabDiarias[],2,0),0))</f>
        <v>0</v>
      </c>
      <c r="AI332" s="233">
        <f t="shared" si="57"/>
        <v>7.011766975308642E-3</v>
      </c>
      <c r="AJ332" s="235">
        <f>tabParametros[[#This Row],[FGTS]]*tabParametros[[#This Row],[Aviso Prévio Indenizado (API) e Reflexo do Aviso Prévio Indenizado]]</f>
        <v>5.609413580246914E-4</v>
      </c>
      <c r="AK332" s="235">
        <f>tabParametros[[#This Row],[FGTS]]*tabParametros[[#This Row],[Aviso Prévio Indenizado (API) e Reflexo do Aviso Prévio Indenizado]]*40%</f>
        <v>2.2437654320987658E-4</v>
      </c>
      <c r="AL332" s="233">
        <f t="shared" si="58"/>
        <v>3.5000000000000005E-3</v>
      </c>
      <c r="AM332" s="233">
        <f>tabParametros[[#This Row],[Aviso Prévio Trabalhado - APT]]*SUM(tabParametros[[#This Row],[INSS]:[SEBRAE]])</f>
        <v>1.3230000000000004E-3</v>
      </c>
      <c r="AN332" s="233">
        <f t="shared" si="59"/>
        <v>3.0577777777777773E-2</v>
      </c>
      <c r="AO332" s="233">
        <f t="shared" si="60"/>
        <v>8.3333333333333339E-4</v>
      </c>
      <c r="AP332" s="233">
        <f t="shared" si="61"/>
        <v>8.4444444444444437E-3</v>
      </c>
      <c r="AQ332" s="233">
        <f t="shared" si="62"/>
        <v>2.0277777777777777E-3</v>
      </c>
      <c r="AR332" s="233">
        <f t="shared" si="63"/>
        <v>1.7083333333333333E-4</v>
      </c>
      <c r="AS332" s="233">
        <f t="shared" si="64"/>
        <v>2.0833333333333335E-4</v>
      </c>
      <c r="AT332" s="233">
        <f t="shared" si="65"/>
        <v>1.2962962962962963E-3</v>
      </c>
      <c r="AU332" s="235">
        <f>SUM(tabParametros[[#This Row],[Ausência por Doença]:[Férias, Adicional de Férias e 13º  com empregada em gozo de Licença Maternidade]])*SUM(tabParametros[[#This Row],[INSS]:[SEBRAE]])</f>
        <v>4.5918250000000008E-3</v>
      </c>
      <c r="AV332" s="254">
        <f>IF(tabParametros[[#This Row],[Função]]="Porteiro - 220 h",SUM(tabParametros[[#This Row],[Salário Base]:[Adicional de Acúmulo de função]])/220*20*1.5,IF(ISNUMBER(SEARCH("12 x 36",tabParametros[[#This Row],[Função]],1)),SUM(tabParametros[[#This Row],[Salário Base]:[Adicional de Acúmulo de função]])/210*15.5*1.5,0))</f>
        <v>236.35331788404324</v>
      </c>
      <c r="AW332" s="232">
        <f>IF(tabParametros[[#This Row],[Vagas contratadas]]&gt;0,(SUM(tabParametros[[#This Row],[Salário Base]:[Adicional de Acúmulo de função]])*30%+SUM(tabParametros[[#This Row],[Vale - Alimentação]:[Seguro de Vida]]))/tabParametros[[#This Row],[Vagas contratadas]]*tabParametros[[#This Row],[Vagas suspensas]],0)</f>
        <v>0</v>
      </c>
      <c r="AX332" s="232">
        <f>SUMIF(tabUniformes[Cargo],tabParametros[[#This Row],[Função]],tabUniformes[Valor unit. Mensal])</f>
        <v>56.642978962543395</v>
      </c>
      <c r="AY332"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32"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32"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2" s="232">
        <v>0</v>
      </c>
      <c r="BC332" s="234" t="e">
        <f ca="1">VLOOKUP(tabParametros[[#Headers],[Custos Indiretos]],tabOutrosCustos[],3,0)</f>
        <v>#NAME?</v>
      </c>
      <c r="BD332" s="234" t="e">
        <f ca="1">VLOOKUP(tabParametros[[#Headers],[Lucro]],tabOutrosCustos[],3,0)</f>
        <v>#NAME?</v>
      </c>
      <c r="BE332" s="233">
        <f>VLOOKUP(tabParametros[[#Headers],[COFINS]],tabImpostosNacionais[],2,0)</f>
        <v>7.5999999999999998E-2</v>
      </c>
      <c r="BF332" s="233">
        <f>VLOOKUP(tabParametros[[#Headers],[PIS]],tabImpostosNacionais[],2,0)</f>
        <v>1.6500000000000001E-2</v>
      </c>
      <c r="BG332" s="233">
        <f>VLOOKUP(tabParametros[[#This Row],[Comarca]],tabComarca[],4,0)</f>
        <v>0.02</v>
      </c>
      <c r="BH332" s="236">
        <f>VLOOKUP(tabParametros[[#This Row],[CCT DA CATEGORIA]],tabSindicatos[],11,0)</f>
        <v>45658</v>
      </c>
      <c r="BI332" s="282" t="str">
        <f>VLOOKUP(tabParametros[[#This Row],[CCT DA CATEGORIA]],tabSindicatos[],12,0)</f>
        <v>-</v>
      </c>
      <c r="BJ332" s="285" t="str">
        <f>VLOOKUP(tabParametros[[#This Row],[CCT DA CATEGORIA]],tabSindicatos[],13,0)</f>
        <v>-</v>
      </c>
    </row>
    <row r="333" spans="1:62">
      <c r="A333" s="231" t="s">
        <v>1739</v>
      </c>
      <c r="B333" s="197" t="s">
        <v>1074</v>
      </c>
      <c r="C333" s="197" t="s">
        <v>309</v>
      </c>
      <c r="D333" s="197" t="str">
        <f>VLOOKUP(tabParametros[[#This Row],[Código do Posto]],tabPostos[],4,0)</f>
        <v>Vespasiano</v>
      </c>
      <c r="E333" s="282" t="str">
        <f>VLOOKUP(tabParametros[[#This Row],[Código do Posto]],tabPostos[],5,0)</f>
        <v>Apoio</v>
      </c>
      <c r="F333" s="282" t="str">
        <f>VLOOKUP(tabParametros[[#This Row],[Código do Posto]],tabPostos[],6,0)</f>
        <v>PGJ</v>
      </c>
      <c r="G333" s="282">
        <f>VLOOKUP(tabParametros[[#This Row],[Código do Posto]],tabPostos[],7,0)</f>
        <v>2</v>
      </c>
      <c r="H333" s="282">
        <f>VLOOKUP(tabParametros[[#This Row],[Código do Posto]],tabPostos[],8,0)</f>
        <v>0</v>
      </c>
      <c r="I333" s="232">
        <f>VLOOKUP(tabParametros[[#This Row],[Código do Posto]],tabPostos[],9,0)</f>
        <v>2134.8041615332936</v>
      </c>
      <c r="J333" s="232">
        <f>IF(ISNUMBER(SEARCH("Eletricista",tabParametros[[#This Row],[Função]],1)),0.3*tabParametros[[#This Row],[Salário Base]],0)</f>
        <v>0</v>
      </c>
      <c r="K333"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33" s="232">
        <f>IF(AND(ISNUMBER(SEARCH("Noturno",tabParametros[[#This Row],[Função]],1)),tabParametros[[#This Row],[Comarca]]&lt;&gt;"Juiz de Fora"),tabParametros[[#This Row],[Salário Base]]/210*0.39*7*15.5,IF(ISNUMBER(SEARCH("Noturno",tabParametros[[#This Row],[Função]],1)),tabParametros[[#This Row],[Salário Base]]/210*0.2*8*15.5,0))</f>
        <v>430.1630385489587</v>
      </c>
      <c r="M333" s="232">
        <f>IF(ISNUMBER(SEARCH("Motorista II",tabParametros[[#This Row],[Função]],1)),0.3022*tabParametros[[#This Row],[Salário Base]],0)</f>
        <v>0</v>
      </c>
      <c r="N333" s="254">
        <v>0</v>
      </c>
      <c r="O333" s="254">
        <f>IF(ISNUMBER(SEARCH("TECNOLOGIA DA INFORMACAO",tabParametros[[#This Row],[Função]],1)),0.056*tabParametros[[#This Row],[Salário Base]],0)</f>
        <v>0</v>
      </c>
      <c r="P333" s="232">
        <f>IF(tabParametros[[#This Row],[Função]]="Operador de Midia Audiovisual - 150 h",tabParametros[[#This Row],[Salário Base]]/150*50*30%,IF(tabParametros[[#This Row],[Função]]="Supervisor de Manutencao de Veiculos II - 220 h",12%*tabParametros[[#This Row],[Salário Base]],0))</f>
        <v>0</v>
      </c>
      <c r="Q333" s="233">
        <f>VLOOKUP(tabParametros[[#Headers],[INSS]],tabImpostosNacionais[],2,0)</f>
        <v>0.2</v>
      </c>
      <c r="R333" s="233">
        <f>VLOOKUP(tabParametros[[#Headers],[SESI OU SESC]],tabImpostosNacionais[],2,0)</f>
        <v>1.4999999999999999E-2</v>
      </c>
      <c r="S333" s="233">
        <f>VLOOKUP(tabParametros[[#Headers],[SENAI OU SENAC]],tabImpostosNacionais[],2,0)</f>
        <v>0.01</v>
      </c>
      <c r="T333" s="233">
        <f>VLOOKUP(tabParametros[[#Headers],[INCRA]],tabImpostosNacionais[],2,0)</f>
        <v>2E-3</v>
      </c>
      <c r="U333" s="233">
        <f>VLOOKUP(tabParametros[[#Headers],[Salário Educação]],tabImpostosNacionais[],2,0)</f>
        <v>2.5000000000000001E-2</v>
      </c>
      <c r="V333" s="233">
        <f>VLOOKUP(tabParametros[[#Headers],[FGTS]],tabImpostosNacionais[],2,0)</f>
        <v>0.08</v>
      </c>
      <c r="W333" s="233">
        <f>VLOOKUP(tabParametros[[#Headers],[RAT Ajustado]],tabImpostosNacionais[],2,0)</f>
        <v>0.04</v>
      </c>
      <c r="X333" s="233">
        <f>VLOOKUP(tabParametros[[#Headers],[SEBRAE]],tabImpostosNacionais[],2,0)</f>
        <v>6.0000000000000001E-3</v>
      </c>
      <c r="Y333" s="233">
        <f t="shared" si="55"/>
        <v>8.3333333333333329E-2</v>
      </c>
      <c r="Z333" s="233">
        <f t="shared" si="56"/>
        <v>0.1111111111111111</v>
      </c>
      <c r="AA333" s="232">
        <f>VLOOKUP(tabParametros[[#This Row],[Comarca]],tabComarca[],5,0)</f>
        <v>6.4</v>
      </c>
      <c r="AB333" s="232">
        <f>VLOOKUP(tabParametros[[#This Row],[CCT DA CATEGORIA]],tabSindicatos[],6,0)</f>
        <v>29.15</v>
      </c>
      <c r="AC333" s="232">
        <f>VLOOKUP(tabParametros[[#This Row],[CCT DA CATEGORIA]],tabSindicatos[],7,0)</f>
        <v>0</v>
      </c>
      <c r="AD333" s="232" cm="1">
        <f t="array" ref="AD33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33" s="232">
        <f>VLOOKUP(tabParametros[[#This Row],[CCT DA CATEGORIA]],tabSindicatos[],9,0)</f>
        <v>0</v>
      </c>
      <c r="AF333" s="232">
        <f>VLOOKUP(tabParametros[[#This Row],[CCT DA CATEGORIA]],tabSindicatos[],10,0)</f>
        <v>0</v>
      </c>
      <c r="AG333" s="234">
        <f>VLOOKUP(tabParametros[[#Headers],[Seguro de Vida]],tabOutrosCustos[],3,0)</f>
        <v>3.36</v>
      </c>
      <c r="AH333" s="234">
        <f>IF(ISNUMBER(SEARCH("MOTORISTA",tabParametros[[#This Row],[Função]],1)),VLOOKUP("MOTORISTAS",tabDiarias[],2,0),IF(tabParametros[[#This Row],[Comarca]]="Belo Horizonte",VLOOKUP("APOIO",tabDiarias[],2,0),0))</f>
        <v>0</v>
      </c>
      <c r="AI333" s="233">
        <f t="shared" si="57"/>
        <v>7.011766975308642E-3</v>
      </c>
      <c r="AJ333" s="235">
        <f>tabParametros[[#This Row],[FGTS]]*tabParametros[[#This Row],[Aviso Prévio Indenizado (API) e Reflexo do Aviso Prévio Indenizado]]</f>
        <v>5.609413580246914E-4</v>
      </c>
      <c r="AK333" s="235">
        <f>tabParametros[[#This Row],[FGTS]]*tabParametros[[#This Row],[Aviso Prévio Indenizado (API) e Reflexo do Aviso Prévio Indenizado]]*40%</f>
        <v>2.2437654320987658E-4</v>
      </c>
      <c r="AL333" s="233">
        <f t="shared" si="58"/>
        <v>3.5000000000000005E-3</v>
      </c>
      <c r="AM333" s="233">
        <f>tabParametros[[#This Row],[Aviso Prévio Trabalhado - APT]]*SUM(tabParametros[[#This Row],[INSS]:[SEBRAE]])</f>
        <v>1.3230000000000004E-3</v>
      </c>
      <c r="AN333" s="233">
        <f t="shared" si="59"/>
        <v>3.0577777777777773E-2</v>
      </c>
      <c r="AO333" s="233">
        <f t="shared" si="60"/>
        <v>8.3333333333333339E-4</v>
      </c>
      <c r="AP333" s="233">
        <f t="shared" si="61"/>
        <v>8.4444444444444437E-3</v>
      </c>
      <c r="AQ333" s="233">
        <f t="shared" si="62"/>
        <v>2.0277777777777777E-3</v>
      </c>
      <c r="AR333" s="233">
        <f t="shared" si="63"/>
        <v>1.7083333333333333E-4</v>
      </c>
      <c r="AS333" s="233">
        <f t="shared" si="64"/>
        <v>2.0833333333333335E-4</v>
      </c>
      <c r="AT333" s="233">
        <f t="shared" si="65"/>
        <v>1.2962962962962963E-3</v>
      </c>
      <c r="AU333" s="235">
        <f>SUM(tabParametros[[#This Row],[Ausência por Doença]:[Férias, Adicional de Férias e 13º  com empregada em gozo de Licença Maternidade]])*SUM(tabParametros[[#This Row],[INSS]:[SEBRAE]])</f>
        <v>4.5918250000000008E-3</v>
      </c>
      <c r="AV333" s="254">
        <f>IF(tabParametros[[#This Row],[Função]]="Porteiro - 220 h",SUM(tabParametros[[#This Row],[Salário Base]:[Adicional de Acúmulo de função]])/220*20*1.5,IF(ISNUMBER(SEARCH("12 x 36",tabParametros[[#This Row],[Função]],1)),SUM(tabParametros[[#This Row],[Salário Base]:[Adicional de Acúmulo de função]])/210*15.5*1.5,0))</f>
        <v>283.97851143767798</v>
      </c>
      <c r="AW333" s="232">
        <f>IF(tabParametros[[#This Row],[Vagas contratadas]]&gt;0,(SUM(tabParametros[[#This Row],[Salário Base]:[Adicional de Acúmulo de função]])*30%+SUM(tabParametros[[#This Row],[Vale - Alimentação]:[Seguro de Vida]]))/tabParametros[[#This Row],[Vagas contratadas]]*tabParametros[[#This Row],[Vagas suspensas]],0)</f>
        <v>0</v>
      </c>
      <c r="AX333" s="232">
        <f>SUMIF(tabUniformes[Cargo],tabParametros[[#This Row],[Função]],tabUniformes[Valor unit. Mensal])</f>
        <v>56.642978962543395</v>
      </c>
      <c r="AY333"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33"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33"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3" s="232">
        <v>0</v>
      </c>
      <c r="BC333" s="234" t="e">
        <f ca="1">VLOOKUP(tabParametros[[#Headers],[Custos Indiretos]],tabOutrosCustos[],3,0)</f>
        <v>#NAME?</v>
      </c>
      <c r="BD333" s="234" t="e">
        <f ca="1">VLOOKUP(tabParametros[[#Headers],[Lucro]],tabOutrosCustos[],3,0)</f>
        <v>#NAME?</v>
      </c>
      <c r="BE333" s="233">
        <f>VLOOKUP(tabParametros[[#Headers],[COFINS]],tabImpostosNacionais[],2,0)</f>
        <v>7.5999999999999998E-2</v>
      </c>
      <c r="BF333" s="233">
        <f>VLOOKUP(tabParametros[[#Headers],[PIS]],tabImpostosNacionais[],2,0)</f>
        <v>1.6500000000000001E-2</v>
      </c>
      <c r="BG333" s="233">
        <f>VLOOKUP(tabParametros[[#This Row],[Comarca]],tabComarca[],4,0)</f>
        <v>0.02</v>
      </c>
      <c r="BH333" s="236">
        <f>VLOOKUP(tabParametros[[#This Row],[CCT DA CATEGORIA]],tabSindicatos[],11,0)</f>
        <v>45658</v>
      </c>
      <c r="BI333" s="282" t="str">
        <f>VLOOKUP(tabParametros[[#This Row],[CCT DA CATEGORIA]],tabSindicatos[],12,0)</f>
        <v>-</v>
      </c>
      <c r="BJ333" s="285" t="str">
        <f>VLOOKUP(tabParametros[[#This Row],[CCT DA CATEGORIA]],tabSindicatos[],13,0)</f>
        <v>-</v>
      </c>
    </row>
    <row r="334" spans="1:62">
      <c r="A334" s="231" t="s">
        <v>1740</v>
      </c>
      <c r="B334" s="197" t="s">
        <v>1074</v>
      </c>
      <c r="C334" s="197" t="s">
        <v>324</v>
      </c>
      <c r="D334" s="197" t="str">
        <f>VLOOKUP(tabParametros[[#This Row],[Código do Posto]],tabPostos[],4,0)</f>
        <v>Vespasiano</v>
      </c>
      <c r="E334" s="282" t="str">
        <f>VLOOKUP(tabParametros[[#This Row],[Código do Posto]],tabPostos[],5,0)</f>
        <v>Apoio</v>
      </c>
      <c r="F334" s="282" t="str">
        <f>VLOOKUP(tabParametros[[#This Row],[Código do Posto]],tabPostos[],6,0)</f>
        <v>PGJ</v>
      </c>
      <c r="G334" s="282">
        <f>VLOOKUP(tabParametros[[#This Row],[Código do Posto]],tabPostos[],7,0)</f>
        <v>1</v>
      </c>
      <c r="H334" s="282">
        <f>VLOOKUP(tabParametros[[#This Row],[Código do Posto]],tabPostos[],8,0)</f>
        <v>0</v>
      </c>
      <c r="I334" s="232">
        <f>VLOOKUP(tabParametros[[#This Row],[Código do Posto]],tabPostos[],9,0)</f>
        <v>3397.130467372021</v>
      </c>
      <c r="J334" s="232">
        <f>IF(ISNUMBER(SEARCH("Eletricista",tabParametros[[#This Row],[Função]],1)),0.3*tabParametros[[#This Row],[Salário Base]],0)</f>
        <v>0</v>
      </c>
      <c r="K334"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34" s="232">
        <f>IF(AND(ISNUMBER(SEARCH("Noturno",tabParametros[[#This Row],[Função]],1)),tabParametros[[#This Row],[Comarca]]&lt;&gt;"Juiz de Fora"),tabParametros[[#This Row],[Salário Base]]/210*0.39*7*15.5,IF(ISNUMBER(SEARCH("Noturno",tabParametros[[#This Row],[Função]],1)),tabParametros[[#This Row],[Salário Base]]/210*0.2*8*15.5,0))</f>
        <v>0</v>
      </c>
      <c r="M334" s="232">
        <f>IF(ISNUMBER(SEARCH("Motorista II",tabParametros[[#This Row],[Função]],1)),0.3022*tabParametros[[#This Row],[Salário Base]],0)</f>
        <v>0</v>
      </c>
      <c r="N334" s="254">
        <v>0</v>
      </c>
      <c r="O334" s="254">
        <f>IF(ISNUMBER(SEARCH("TECNOLOGIA DA INFORMACAO",tabParametros[[#This Row],[Função]],1)),0.056*tabParametros[[#This Row],[Salário Base]],0)</f>
        <v>0</v>
      </c>
      <c r="P334" s="232">
        <f>IF(tabParametros[[#This Row],[Função]]="Operador de Midia Audiovisual - 150 h",tabParametros[[#This Row],[Salário Base]]/150*50*30%,IF(tabParametros[[#This Row],[Função]]="Supervisor de Manutencao de Veiculos II - 220 h",12%*tabParametros[[#This Row],[Salário Base]],0))</f>
        <v>0</v>
      </c>
      <c r="Q334" s="233">
        <f>VLOOKUP(tabParametros[[#Headers],[INSS]],tabImpostosNacionais[],2,0)</f>
        <v>0.2</v>
      </c>
      <c r="R334" s="233">
        <f>VLOOKUP(tabParametros[[#Headers],[SESI OU SESC]],tabImpostosNacionais[],2,0)</f>
        <v>1.4999999999999999E-2</v>
      </c>
      <c r="S334" s="233">
        <f>VLOOKUP(tabParametros[[#Headers],[SENAI OU SENAC]],tabImpostosNacionais[],2,0)</f>
        <v>0.01</v>
      </c>
      <c r="T334" s="233">
        <f>VLOOKUP(tabParametros[[#Headers],[INCRA]],tabImpostosNacionais[],2,0)</f>
        <v>2E-3</v>
      </c>
      <c r="U334" s="233">
        <f>VLOOKUP(tabParametros[[#Headers],[Salário Educação]],tabImpostosNacionais[],2,0)</f>
        <v>2.5000000000000001E-2</v>
      </c>
      <c r="V334" s="233">
        <f>VLOOKUP(tabParametros[[#Headers],[FGTS]],tabImpostosNacionais[],2,0)</f>
        <v>0.08</v>
      </c>
      <c r="W334" s="233">
        <f>VLOOKUP(tabParametros[[#Headers],[RAT Ajustado]],tabImpostosNacionais[],2,0)</f>
        <v>0.04</v>
      </c>
      <c r="X334" s="233">
        <f>VLOOKUP(tabParametros[[#Headers],[SEBRAE]],tabImpostosNacionais[],2,0)</f>
        <v>6.0000000000000001E-3</v>
      </c>
      <c r="Y334" s="233">
        <f t="shared" si="55"/>
        <v>8.3333333333333329E-2</v>
      </c>
      <c r="Z334" s="233">
        <f t="shared" si="56"/>
        <v>0.1111111111111111</v>
      </c>
      <c r="AA334" s="232">
        <f>VLOOKUP(tabParametros[[#This Row],[Comarca]],tabComarca[],5,0)</f>
        <v>6.4</v>
      </c>
      <c r="AB334" s="232">
        <f>VLOOKUP(tabParametros[[#This Row],[CCT DA CATEGORIA]],tabSindicatos[],6,0)</f>
        <v>29.15</v>
      </c>
      <c r="AC334" s="232">
        <f>VLOOKUP(tabParametros[[#This Row],[CCT DA CATEGORIA]],tabSindicatos[],7,0)</f>
        <v>0</v>
      </c>
      <c r="AD334" s="232" cm="1">
        <f t="array" ref="AD33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0</v>
      </c>
      <c r="AE334" s="232">
        <f>VLOOKUP(tabParametros[[#This Row],[CCT DA CATEGORIA]],tabSindicatos[],9,0)</f>
        <v>0</v>
      </c>
      <c r="AF334" s="232">
        <f>VLOOKUP(tabParametros[[#This Row],[CCT DA CATEGORIA]],tabSindicatos[],10,0)</f>
        <v>0</v>
      </c>
      <c r="AG334" s="234">
        <f>VLOOKUP(tabParametros[[#Headers],[Seguro de Vida]],tabOutrosCustos[],3,0)</f>
        <v>3.36</v>
      </c>
      <c r="AH334" s="234">
        <f>IF(ISNUMBER(SEARCH("MOTORISTA",tabParametros[[#This Row],[Função]],1)),VLOOKUP("MOTORISTAS",tabDiarias[],2,0),IF(tabParametros[[#This Row],[Comarca]]="Belo Horizonte",VLOOKUP("APOIO",tabDiarias[],2,0),0))</f>
        <v>0</v>
      </c>
      <c r="AI334" s="233">
        <f t="shared" si="57"/>
        <v>7.011766975308642E-3</v>
      </c>
      <c r="AJ334" s="235">
        <f>tabParametros[[#This Row],[FGTS]]*tabParametros[[#This Row],[Aviso Prévio Indenizado (API) e Reflexo do Aviso Prévio Indenizado]]</f>
        <v>5.609413580246914E-4</v>
      </c>
      <c r="AK334" s="235">
        <f>tabParametros[[#This Row],[FGTS]]*tabParametros[[#This Row],[Aviso Prévio Indenizado (API) e Reflexo do Aviso Prévio Indenizado]]*40%</f>
        <v>2.2437654320987658E-4</v>
      </c>
      <c r="AL334" s="233">
        <f t="shared" si="58"/>
        <v>3.5000000000000005E-3</v>
      </c>
      <c r="AM334" s="233">
        <f>tabParametros[[#This Row],[Aviso Prévio Trabalhado - APT]]*SUM(tabParametros[[#This Row],[INSS]:[SEBRAE]])</f>
        <v>1.3230000000000004E-3</v>
      </c>
      <c r="AN334" s="233">
        <f t="shared" si="59"/>
        <v>3.0577777777777773E-2</v>
      </c>
      <c r="AO334" s="233">
        <f t="shared" si="60"/>
        <v>8.3333333333333339E-4</v>
      </c>
      <c r="AP334" s="233">
        <f t="shared" si="61"/>
        <v>8.4444444444444437E-3</v>
      </c>
      <c r="AQ334" s="233">
        <f t="shared" si="62"/>
        <v>2.0277777777777777E-3</v>
      </c>
      <c r="AR334" s="233">
        <f t="shared" si="63"/>
        <v>1.7083333333333333E-4</v>
      </c>
      <c r="AS334" s="233">
        <f t="shared" si="64"/>
        <v>2.0833333333333335E-4</v>
      </c>
      <c r="AT334" s="233">
        <f t="shared" si="65"/>
        <v>1.2962962962962963E-3</v>
      </c>
      <c r="AU334" s="235">
        <f>SUM(tabParametros[[#This Row],[Ausência por Doença]:[Férias, Adicional de Férias e 13º  com empregada em gozo de Licença Maternidade]])*SUM(tabParametros[[#This Row],[INSS]:[SEBRAE]])</f>
        <v>4.5918250000000008E-3</v>
      </c>
      <c r="AV334" s="254">
        <f>IF(tabParametros[[#This Row],[Função]]="Porteiro - 220 h",SUM(tabParametros[[#This Row],[Salário Base]:[Adicional de Acúmulo de função]])/220*20*1.5,IF(ISNUMBER(SEARCH("12 x 36",tabParametros[[#This Row],[Função]],1)),SUM(tabParametros[[#This Row],[Salário Base]:[Adicional de Acúmulo de função]])/210*15.5*1.5,0))</f>
        <v>0</v>
      </c>
      <c r="AW334" s="232">
        <f>IF(tabParametros[[#This Row],[Vagas contratadas]]&gt;0,(SUM(tabParametros[[#This Row],[Salário Base]:[Adicional de Acúmulo de função]])*30%+SUM(tabParametros[[#This Row],[Vale - Alimentação]:[Seguro de Vida]]))/tabParametros[[#This Row],[Vagas contratadas]]*tabParametros[[#This Row],[Vagas suspensas]],0)</f>
        <v>0</v>
      </c>
      <c r="AX334" s="232">
        <f>SUMIF(tabUniformes[Cargo],tabParametros[[#This Row],[Função]],tabUniformes[Valor unit. Mensal])</f>
        <v>56.642978962543395</v>
      </c>
      <c r="AY334"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34"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34"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4" s="232">
        <v>0</v>
      </c>
      <c r="BC334" s="234" t="e">
        <f ca="1">VLOOKUP(tabParametros[[#Headers],[Custos Indiretos]],tabOutrosCustos[],3,0)</f>
        <v>#NAME?</v>
      </c>
      <c r="BD334" s="234" t="e">
        <f ca="1">VLOOKUP(tabParametros[[#Headers],[Lucro]],tabOutrosCustos[],3,0)</f>
        <v>#NAME?</v>
      </c>
      <c r="BE334" s="233">
        <f>VLOOKUP(tabParametros[[#Headers],[COFINS]],tabImpostosNacionais[],2,0)</f>
        <v>7.5999999999999998E-2</v>
      </c>
      <c r="BF334" s="233">
        <f>VLOOKUP(tabParametros[[#Headers],[PIS]],tabImpostosNacionais[],2,0)</f>
        <v>1.6500000000000001E-2</v>
      </c>
      <c r="BG334" s="233">
        <f>VLOOKUP(tabParametros[[#This Row],[Comarca]],tabComarca[],4,0)</f>
        <v>0.02</v>
      </c>
      <c r="BH334" s="236">
        <f>VLOOKUP(tabParametros[[#This Row],[CCT DA CATEGORIA]],tabSindicatos[],11,0)</f>
        <v>45658</v>
      </c>
      <c r="BI334" s="282" t="str">
        <f>VLOOKUP(tabParametros[[#This Row],[CCT DA CATEGORIA]],tabSindicatos[],12,0)</f>
        <v>-</v>
      </c>
      <c r="BJ334" s="285" t="str">
        <f>VLOOKUP(tabParametros[[#This Row],[CCT DA CATEGORIA]],tabSindicatos[],13,0)</f>
        <v>-</v>
      </c>
    </row>
    <row r="335" spans="1:62">
      <c r="A335" s="231" t="s">
        <v>1517</v>
      </c>
      <c r="B335" s="197" t="s">
        <v>1217</v>
      </c>
      <c r="C335" s="197" t="s">
        <v>1367</v>
      </c>
      <c r="D335" s="197" t="str">
        <f>VLOOKUP(tabParametros[[#This Row],[Código do Posto]],tabPostos[],4,0)</f>
        <v>Vicosa e Regiao</v>
      </c>
      <c r="E335" s="282" t="str">
        <f>VLOOKUP(tabParametros[[#This Row],[Código do Posto]],tabPostos[],5,0)</f>
        <v>Apoio</v>
      </c>
      <c r="F335" s="282" t="str">
        <f>VLOOKUP(tabParametros[[#This Row],[Código do Posto]],tabPostos[],6,0)</f>
        <v>PGJ</v>
      </c>
      <c r="G335" s="282">
        <f>VLOOKUP(tabParametros[[#This Row],[Código do Posto]],tabPostos[],7,0)</f>
        <v>1</v>
      </c>
      <c r="H335" s="282">
        <f>VLOOKUP(tabParametros[[#This Row],[Código do Posto]],tabPostos[],8,0)</f>
        <v>0</v>
      </c>
      <c r="I335" s="232">
        <f>VLOOKUP(tabParametros[[#This Row],[Código do Posto]],tabPostos[],9,0)</f>
        <v>2087.4324447827344</v>
      </c>
      <c r="J335" s="232">
        <f>IF(ISNUMBER(SEARCH("Eletricista",tabParametros[[#This Row],[Função]],1)),0.3*tabParametros[[#This Row],[Salário Base]],0)</f>
        <v>0</v>
      </c>
      <c r="K335"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335" s="232">
        <f>IF(AND(ISNUMBER(SEARCH("Noturno",tabParametros[[#This Row],[Função]],1)),tabParametros[[#This Row],[Comarca]]&lt;&gt;"Juiz de Fora"),tabParametros[[#This Row],[Salário Base]]/210*0.39*7*15.5,IF(ISNUMBER(SEARCH("Noturno",tabParametros[[#This Row],[Função]],1)),tabParametros[[#This Row],[Salário Base]]/210*0.2*8*15.5,0))</f>
        <v>0</v>
      </c>
      <c r="M335" s="232">
        <f>IF(ISNUMBER(SEARCH("Motorista II",tabParametros[[#This Row],[Função]],1)),0.3022*tabParametros[[#This Row],[Salário Base]],0)</f>
        <v>0</v>
      </c>
      <c r="N335" s="254">
        <v>0</v>
      </c>
      <c r="O335" s="254">
        <f>IF(ISNUMBER(SEARCH("TECNOLOGIA DA INFORMACAO",tabParametros[[#This Row],[Função]],1)),0.056*tabParametros[[#This Row],[Salário Base]],0)</f>
        <v>0</v>
      </c>
      <c r="P335" s="232">
        <f>IF(tabParametros[[#This Row],[Função]]="Operador de Midia Audiovisual - 150 h",tabParametros[[#This Row],[Salário Base]]/150*50*30%,IF(tabParametros[[#This Row],[Função]]="Supervisor de Manutencao de Veiculos II - 220 h",12%*tabParametros[[#This Row],[Salário Base]],0))</f>
        <v>0</v>
      </c>
      <c r="Q335" s="233">
        <f>VLOOKUP(tabParametros[[#Headers],[INSS]],tabImpostosNacionais[],2,0)</f>
        <v>0.2</v>
      </c>
      <c r="R335" s="233">
        <f>VLOOKUP(tabParametros[[#Headers],[SESI OU SESC]],tabImpostosNacionais[],2,0)</f>
        <v>1.4999999999999999E-2</v>
      </c>
      <c r="S335" s="233">
        <f>VLOOKUP(tabParametros[[#Headers],[SENAI OU SENAC]],tabImpostosNacionais[],2,0)</f>
        <v>0.01</v>
      </c>
      <c r="T335" s="233">
        <f>VLOOKUP(tabParametros[[#Headers],[INCRA]],tabImpostosNacionais[],2,0)</f>
        <v>2E-3</v>
      </c>
      <c r="U335" s="233">
        <f>VLOOKUP(tabParametros[[#Headers],[Salário Educação]],tabImpostosNacionais[],2,0)</f>
        <v>2.5000000000000001E-2</v>
      </c>
      <c r="V335" s="233">
        <f>VLOOKUP(tabParametros[[#Headers],[FGTS]],tabImpostosNacionais[],2,0)</f>
        <v>0.08</v>
      </c>
      <c r="W335" s="233">
        <f>VLOOKUP(tabParametros[[#Headers],[RAT Ajustado]],tabImpostosNacionais[],2,0)</f>
        <v>0.04</v>
      </c>
      <c r="X335" s="233">
        <f>VLOOKUP(tabParametros[[#Headers],[SEBRAE]],tabImpostosNacionais[],2,0)</f>
        <v>6.0000000000000001E-3</v>
      </c>
      <c r="Y335" s="233">
        <f t="shared" si="55"/>
        <v>8.3333333333333329E-2</v>
      </c>
      <c r="Z335" s="233">
        <f t="shared" si="56"/>
        <v>0.1111111111111111</v>
      </c>
      <c r="AA335" s="232">
        <f>VLOOKUP(tabParametros[[#This Row],[Comarca]],tabComarca[],5,0)</f>
        <v>6.4</v>
      </c>
      <c r="AB335" s="232">
        <f>VLOOKUP(tabParametros[[#This Row],[CCT DA CATEGORIA]],tabSindicatos[],6,0)</f>
        <v>29.15</v>
      </c>
      <c r="AC335" s="232">
        <f>VLOOKUP(tabParametros[[#This Row],[CCT DA CATEGORIA]],tabSindicatos[],7,0)</f>
        <v>0</v>
      </c>
      <c r="AD335" s="232" cm="1">
        <f t="array" ref="AD33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335" s="232">
        <f>VLOOKUP(tabParametros[[#This Row],[CCT DA CATEGORIA]],tabSindicatos[],9,0)</f>
        <v>0</v>
      </c>
      <c r="AF335" s="232">
        <f>VLOOKUP(tabParametros[[#This Row],[CCT DA CATEGORIA]],tabSindicatos[],10,0)</f>
        <v>0</v>
      </c>
      <c r="AG335" s="234">
        <f>VLOOKUP(tabParametros[[#Headers],[Seguro de Vida]],tabOutrosCustos[],3,0)</f>
        <v>3.36</v>
      </c>
      <c r="AH335" s="234">
        <f>IF(ISNUMBER(SEARCH("MOTORISTA",tabParametros[[#This Row],[Função]],1)),VLOOKUP("MOTORISTAS",tabDiarias[],2,0),IF(tabParametros[[#This Row],[Comarca]]="Belo Horizonte",VLOOKUP("APOIO",tabDiarias[],2,0),0))</f>
        <v>0</v>
      </c>
      <c r="AI335" s="233">
        <f t="shared" si="57"/>
        <v>7.011766975308642E-3</v>
      </c>
      <c r="AJ335" s="235">
        <f>tabParametros[[#This Row],[FGTS]]*tabParametros[[#This Row],[Aviso Prévio Indenizado (API) e Reflexo do Aviso Prévio Indenizado]]</f>
        <v>5.609413580246914E-4</v>
      </c>
      <c r="AK335" s="235">
        <f>tabParametros[[#This Row],[FGTS]]*tabParametros[[#This Row],[Aviso Prévio Indenizado (API) e Reflexo do Aviso Prévio Indenizado]]*40%</f>
        <v>2.2437654320987658E-4</v>
      </c>
      <c r="AL335" s="233">
        <f t="shared" si="58"/>
        <v>3.5000000000000005E-3</v>
      </c>
      <c r="AM335" s="233">
        <f>tabParametros[[#This Row],[Aviso Prévio Trabalhado - APT]]*SUM(tabParametros[[#This Row],[INSS]:[SEBRAE]])</f>
        <v>1.3230000000000004E-3</v>
      </c>
      <c r="AN335" s="233">
        <f t="shared" si="59"/>
        <v>3.0577777777777773E-2</v>
      </c>
      <c r="AO335" s="233">
        <f t="shared" si="60"/>
        <v>8.3333333333333339E-4</v>
      </c>
      <c r="AP335" s="233">
        <f t="shared" si="61"/>
        <v>8.4444444444444437E-3</v>
      </c>
      <c r="AQ335" s="233">
        <f t="shared" si="62"/>
        <v>2.0277777777777777E-3</v>
      </c>
      <c r="AR335" s="233">
        <f t="shared" si="63"/>
        <v>1.7083333333333333E-4</v>
      </c>
      <c r="AS335" s="233">
        <f t="shared" si="64"/>
        <v>2.0833333333333335E-4</v>
      </c>
      <c r="AT335" s="233">
        <f t="shared" si="65"/>
        <v>1.2962962962962963E-3</v>
      </c>
      <c r="AU335" s="235">
        <f>SUM(tabParametros[[#This Row],[Ausência por Doença]:[Férias, Adicional de Férias e 13º  com empregada em gozo de Licença Maternidade]])*SUM(tabParametros[[#This Row],[INSS]:[SEBRAE]])</f>
        <v>4.5918250000000008E-3</v>
      </c>
      <c r="AV335" s="254">
        <f>IF(tabParametros[[#This Row],[Função]]="Porteiro - 220 h",SUM(tabParametros[[#This Row],[Salário Base]:[Adicional de Acúmulo de função]])/220*20*1.5,IF(ISNUMBER(SEARCH("12 x 36",tabParametros[[#This Row],[Função]],1)),SUM(tabParametros[[#This Row],[Salário Base]:[Adicional de Acúmulo de função]])/210*15.5*1.5,0))</f>
        <v>0</v>
      </c>
      <c r="AW335" s="232">
        <f>IF(tabParametros[[#This Row],[Vagas contratadas]]&gt;0,(SUM(tabParametros[[#This Row],[Salário Base]:[Adicional de Acúmulo de função]])*30%+SUM(tabParametros[[#This Row],[Vale - Alimentação]:[Seguro de Vida]]))/tabParametros[[#This Row],[Vagas contratadas]]*tabParametros[[#This Row],[Vagas suspensas]],0)</f>
        <v>0</v>
      </c>
      <c r="AX335" s="232">
        <f>SUMIF(tabUniformes[Cargo],tabParametros[[#This Row],[Função]],tabUniformes[Valor unit. Mensal])</f>
        <v>253.83572732312174</v>
      </c>
      <c r="AY335"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335"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335"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5" s="232">
        <v>0</v>
      </c>
      <c r="BC335" s="234" t="e">
        <f ca="1">VLOOKUP(tabParametros[[#Headers],[Custos Indiretos]],tabOutrosCustos[],3,0)</f>
        <v>#NAME?</v>
      </c>
      <c r="BD335" s="234" t="e">
        <f ca="1">VLOOKUP(tabParametros[[#Headers],[Lucro]],tabOutrosCustos[],3,0)</f>
        <v>#NAME?</v>
      </c>
      <c r="BE335" s="233">
        <f>VLOOKUP(tabParametros[[#Headers],[COFINS]],tabImpostosNacionais[],2,0)</f>
        <v>7.5999999999999998E-2</v>
      </c>
      <c r="BF335" s="233">
        <f>VLOOKUP(tabParametros[[#Headers],[PIS]],tabImpostosNacionais[],2,0)</f>
        <v>1.6500000000000001E-2</v>
      </c>
      <c r="BG335" s="233">
        <f>VLOOKUP(tabParametros[[#This Row],[Comarca]],tabComarca[],4,0)</f>
        <v>0.03</v>
      </c>
      <c r="BH335" s="236">
        <f>VLOOKUP(tabParametros[[#This Row],[CCT DA CATEGORIA]],tabSindicatos[],11,0)</f>
        <v>45658</v>
      </c>
      <c r="BI335" s="282" t="str">
        <f>VLOOKUP(tabParametros[[#This Row],[CCT DA CATEGORIA]],tabSindicatos[],12,0)</f>
        <v>-</v>
      </c>
      <c r="BJ335" s="285" t="str">
        <f>VLOOKUP(tabParametros[[#This Row],[CCT DA CATEGORIA]],tabSindicatos[],13,0)</f>
        <v>-</v>
      </c>
    </row>
    <row r="336" spans="1:62" s="261" customFormat="1" ht="15">
      <c r="A336" s="231" t="s">
        <v>1741</v>
      </c>
      <c r="B336" s="197" t="s">
        <v>1217</v>
      </c>
      <c r="C336" s="197" t="s">
        <v>1368</v>
      </c>
      <c r="D336" s="197" t="str">
        <f>VLOOKUP(tabParametros[[#This Row],[Código do Posto]],tabPostos[],4,0)</f>
        <v>Vicosa e Regiao</v>
      </c>
      <c r="E336" s="282" t="str">
        <f>VLOOKUP(tabParametros[[#This Row],[Código do Posto]],tabPostos[],5,0)</f>
        <v>Apoio</v>
      </c>
      <c r="F336" s="282" t="str">
        <f>VLOOKUP(tabParametros[[#This Row],[Código do Posto]],tabPostos[],6,0)</f>
        <v>PGJ</v>
      </c>
      <c r="G336" s="282">
        <f>VLOOKUP(tabParametros[[#This Row],[Código do Posto]],tabPostos[],7,0)</f>
        <v>1</v>
      </c>
      <c r="H336" s="282">
        <f>VLOOKUP(tabParametros[[#This Row],[Código do Posto]],tabPostos[],8,0)</f>
        <v>0</v>
      </c>
      <c r="I336" s="232">
        <f>VLOOKUP(tabParametros[[#This Row],[Código do Posto]],tabPostos[],9,0)</f>
        <v>2296.1756892610078</v>
      </c>
      <c r="J336" s="232">
        <f>IF(ISNUMBER(SEARCH("Eletricista",tabParametros[[#This Row],[Função]],1)),0.3*tabParametros[[#This Row],[Salário Base]],0)</f>
        <v>0</v>
      </c>
      <c r="K336"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336" s="232">
        <f>IF(AND(ISNUMBER(SEARCH("Noturno",tabParametros[[#This Row],[Função]],1)),tabParametros[[#This Row],[Comarca]]&lt;&gt;"Juiz de Fora"),tabParametros[[#This Row],[Salário Base]]/210*0.39*7*15.5,IF(ISNUMBER(SEARCH("Noturno",tabParametros[[#This Row],[Função]],1)),tabParametros[[#This Row],[Salário Base]]/210*0.2*8*15.5,0))</f>
        <v>0</v>
      </c>
      <c r="M336" s="232">
        <f>IF(ISNUMBER(SEARCH("Motorista II",tabParametros[[#This Row],[Função]],1)),0.3022*tabParametros[[#This Row],[Salário Base]],0)</f>
        <v>0</v>
      </c>
      <c r="N336" s="254">
        <v>0</v>
      </c>
      <c r="O336" s="254">
        <f>IF(ISNUMBER(SEARCH("TECNOLOGIA DA INFORMACAO",tabParametros[[#This Row],[Função]],1)),0.056*tabParametros[[#This Row],[Salário Base]],0)</f>
        <v>0</v>
      </c>
      <c r="P336" s="232">
        <f>IF(tabParametros[[#This Row],[Função]]="Operador de Midia Audiovisual - 150 h",tabParametros[[#This Row],[Salário Base]]/150*50*30%,IF(tabParametros[[#This Row],[Função]]="Supervisor de Manutencao de Veiculos II - 220 h",12%*tabParametros[[#This Row],[Salário Base]],0))</f>
        <v>0</v>
      </c>
      <c r="Q336" s="233">
        <f>VLOOKUP(tabParametros[[#Headers],[INSS]],tabImpostosNacionais[],2,0)</f>
        <v>0.2</v>
      </c>
      <c r="R336" s="233">
        <f>VLOOKUP(tabParametros[[#Headers],[SESI OU SESC]],tabImpostosNacionais[],2,0)</f>
        <v>1.4999999999999999E-2</v>
      </c>
      <c r="S336" s="233">
        <f>VLOOKUP(tabParametros[[#Headers],[SENAI OU SENAC]],tabImpostosNacionais[],2,0)</f>
        <v>0.01</v>
      </c>
      <c r="T336" s="233">
        <f>VLOOKUP(tabParametros[[#Headers],[INCRA]],tabImpostosNacionais[],2,0)</f>
        <v>2E-3</v>
      </c>
      <c r="U336" s="233">
        <f>VLOOKUP(tabParametros[[#Headers],[Salário Educação]],tabImpostosNacionais[],2,0)</f>
        <v>2.5000000000000001E-2</v>
      </c>
      <c r="V336" s="233">
        <f>VLOOKUP(tabParametros[[#Headers],[FGTS]],tabImpostosNacionais[],2,0)</f>
        <v>0.08</v>
      </c>
      <c r="W336" s="233">
        <f>VLOOKUP(tabParametros[[#Headers],[RAT Ajustado]],tabImpostosNacionais[],2,0)</f>
        <v>0.04</v>
      </c>
      <c r="X336" s="233">
        <f>VLOOKUP(tabParametros[[#Headers],[SEBRAE]],tabImpostosNacionais[],2,0)</f>
        <v>6.0000000000000001E-3</v>
      </c>
      <c r="Y336" s="233">
        <f t="shared" si="55"/>
        <v>8.3333333333333329E-2</v>
      </c>
      <c r="Z336" s="233">
        <f t="shared" si="56"/>
        <v>0.1111111111111111</v>
      </c>
      <c r="AA336" s="232">
        <f>VLOOKUP(tabParametros[[#This Row],[Comarca]],tabComarca[],5,0)</f>
        <v>6.4</v>
      </c>
      <c r="AB336" s="232">
        <f>VLOOKUP(tabParametros[[#This Row],[CCT DA CATEGORIA]],tabSindicatos[],6,0)</f>
        <v>29.15</v>
      </c>
      <c r="AC336" s="232">
        <f>VLOOKUP(tabParametros[[#This Row],[CCT DA CATEGORIA]],tabSindicatos[],7,0)</f>
        <v>0</v>
      </c>
      <c r="AD336" s="232" cm="1">
        <f t="array" ref="AD33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336" s="232">
        <f>VLOOKUP(tabParametros[[#This Row],[CCT DA CATEGORIA]],tabSindicatos[],9,0)</f>
        <v>0</v>
      </c>
      <c r="AF336" s="232">
        <f>VLOOKUP(tabParametros[[#This Row],[CCT DA CATEGORIA]],tabSindicatos[],10,0)</f>
        <v>0</v>
      </c>
      <c r="AG336" s="234">
        <f>VLOOKUP(tabParametros[[#Headers],[Seguro de Vida]],tabOutrosCustos[],3,0)</f>
        <v>3.36</v>
      </c>
      <c r="AH336" s="234">
        <f>IF(ISNUMBER(SEARCH("MOTORISTA",tabParametros[[#This Row],[Função]],1)),VLOOKUP("MOTORISTAS",tabDiarias[],2,0),IF(tabParametros[[#This Row],[Comarca]]="Belo Horizonte",VLOOKUP("APOIO",tabDiarias[],2,0),0))</f>
        <v>0</v>
      </c>
      <c r="AI336" s="233">
        <f t="shared" si="57"/>
        <v>7.011766975308642E-3</v>
      </c>
      <c r="AJ336" s="235">
        <f>tabParametros[[#This Row],[FGTS]]*tabParametros[[#This Row],[Aviso Prévio Indenizado (API) e Reflexo do Aviso Prévio Indenizado]]</f>
        <v>5.609413580246914E-4</v>
      </c>
      <c r="AK336" s="235">
        <f>tabParametros[[#This Row],[FGTS]]*tabParametros[[#This Row],[Aviso Prévio Indenizado (API) e Reflexo do Aviso Prévio Indenizado]]*40%</f>
        <v>2.2437654320987658E-4</v>
      </c>
      <c r="AL336" s="233">
        <f t="shared" si="58"/>
        <v>3.5000000000000005E-3</v>
      </c>
      <c r="AM336" s="233">
        <f>tabParametros[[#This Row],[Aviso Prévio Trabalhado - APT]]*SUM(tabParametros[[#This Row],[INSS]:[SEBRAE]])</f>
        <v>1.3230000000000004E-3</v>
      </c>
      <c r="AN336" s="233">
        <f t="shared" si="59"/>
        <v>3.0577777777777773E-2</v>
      </c>
      <c r="AO336" s="233">
        <f t="shared" si="60"/>
        <v>8.3333333333333339E-4</v>
      </c>
      <c r="AP336" s="233">
        <f t="shared" si="61"/>
        <v>8.4444444444444437E-3</v>
      </c>
      <c r="AQ336" s="233">
        <f t="shared" si="62"/>
        <v>2.0277777777777777E-3</v>
      </c>
      <c r="AR336" s="233">
        <f t="shared" si="63"/>
        <v>1.7083333333333333E-4</v>
      </c>
      <c r="AS336" s="233">
        <f t="shared" si="64"/>
        <v>2.0833333333333335E-4</v>
      </c>
      <c r="AT336" s="233">
        <f t="shared" si="65"/>
        <v>1.2962962962962963E-3</v>
      </c>
      <c r="AU336" s="235">
        <f>SUM(tabParametros[[#This Row],[Ausência por Doença]:[Férias, Adicional de Férias e 13º  com empregada em gozo de Licença Maternidade]])*SUM(tabParametros[[#This Row],[INSS]:[SEBRAE]])</f>
        <v>4.5918250000000008E-3</v>
      </c>
      <c r="AV336" s="254">
        <f>IF(tabParametros[[#This Row],[Função]]="Porteiro - 220 h",SUM(tabParametros[[#This Row],[Salário Base]:[Adicional de Acúmulo de função]])/220*20*1.5,IF(ISNUMBER(SEARCH("12 x 36",tabParametros[[#This Row],[Função]],1)),SUM(tabParametros[[#This Row],[Salário Base]:[Adicional de Acúmulo de função]])/210*15.5*1.5,0))</f>
        <v>0</v>
      </c>
      <c r="AW336" s="232">
        <f>IF(tabParametros[[#This Row],[Vagas contratadas]]&gt;0,(SUM(tabParametros[[#This Row],[Salário Base]:[Adicional de Acúmulo de função]])*30%+SUM(tabParametros[[#This Row],[Vale - Alimentação]:[Seguro de Vida]]))/tabParametros[[#This Row],[Vagas contratadas]]*tabParametros[[#This Row],[Vagas suspensas]],0)</f>
        <v>0</v>
      </c>
      <c r="AX336" s="232">
        <f>SUMIF(tabUniformes[Cargo],tabParametros[[#This Row],[Função]],tabUniformes[Valor unit. Mensal])</f>
        <v>196.62072732312174</v>
      </c>
      <c r="AY336"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336"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336"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6" s="232">
        <v>0</v>
      </c>
      <c r="BC336" s="234" t="e">
        <f ca="1">VLOOKUP(tabParametros[[#Headers],[Custos Indiretos]],tabOutrosCustos[],3,0)</f>
        <v>#NAME?</v>
      </c>
      <c r="BD336" s="234" t="e">
        <f ca="1">VLOOKUP(tabParametros[[#Headers],[Lucro]],tabOutrosCustos[],3,0)</f>
        <v>#NAME?</v>
      </c>
      <c r="BE336" s="233">
        <f>VLOOKUP(tabParametros[[#Headers],[COFINS]],tabImpostosNacionais[],2,0)</f>
        <v>7.5999999999999998E-2</v>
      </c>
      <c r="BF336" s="233">
        <f>VLOOKUP(tabParametros[[#Headers],[PIS]],tabImpostosNacionais[],2,0)</f>
        <v>1.6500000000000001E-2</v>
      </c>
      <c r="BG336" s="233">
        <f>VLOOKUP(tabParametros[[#This Row],[Comarca]],tabComarca[],4,0)</f>
        <v>0.03</v>
      </c>
      <c r="BH336" s="236">
        <f>VLOOKUP(tabParametros[[#This Row],[CCT DA CATEGORIA]],tabSindicatos[],11,0)</f>
        <v>45658</v>
      </c>
      <c r="BI336" s="282" t="str">
        <f>VLOOKUP(tabParametros[[#This Row],[CCT DA CATEGORIA]],tabSindicatos[],12,0)</f>
        <v>-</v>
      </c>
      <c r="BJ336" s="285" t="str">
        <f>VLOOKUP(tabParametros[[#This Row],[CCT DA CATEGORIA]],tabSindicatos[],13,0)</f>
        <v>-</v>
      </c>
    </row>
    <row r="337" spans="1:62">
      <c r="A337" s="231" t="s">
        <v>1742</v>
      </c>
      <c r="B337" s="197" t="s">
        <v>1217</v>
      </c>
      <c r="C337" s="197" t="s">
        <v>314</v>
      </c>
      <c r="D337" s="197" t="str">
        <f>VLOOKUP(tabParametros[[#This Row],[Código do Posto]],tabPostos[],4,0)</f>
        <v>Vicosa e Regiao</v>
      </c>
      <c r="E337" s="282" t="str">
        <f>VLOOKUP(tabParametros[[#This Row],[Código do Posto]],tabPostos[],5,0)</f>
        <v>Apoio</v>
      </c>
      <c r="F337" s="282" t="str">
        <f>VLOOKUP(tabParametros[[#This Row],[Código do Posto]],tabPostos[],6,0)</f>
        <v>PGJ</v>
      </c>
      <c r="G337" s="282">
        <f>VLOOKUP(tabParametros[[#This Row],[Código do Posto]],tabPostos[],7,0)</f>
        <v>1</v>
      </c>
      <c r="H337" s="282">
        <f>VLOOKUP(tabParametros[[#This Row],[Código do Posto]],tabPostos[],8,0)</f>
        <v>0</v>
      </c>
      <c r="I337" s="232">
        <f>VLOOKUP(tabParametros[[#This Row],[Código do Posto]],tabPostos[],9,0)</f>
        <v>1963.4110092077037</v>
      </c>
      <c r="J337" s="232">
        <f>IF(ISNUMBER(SEARCH("Eletricista",tabParametros[[#This Row],[Função]],1)),0.3*tabParametros[[#This Row],[Salário Base]],0)</f>
        <v>0</v>
      </c>
      <c r="K337"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37" s="232">
        <f>IF(AND(ISNUMBER(SEARCH("Noturno",tabParametros[[#This Row],[Função]],1)),tabParametros[[#This Row],[Comarca]]&lt;&gt;"Juiz de Fora"),tabParametros[[#This Row],[Salário Base]]/210*0.39*7*15.5,IF(ISNUMBER(SEARCH("Noturno",tabParametros[[#This Row],[Função]],1)),tabParametros[[#This Row],[Salário Base]]/210*0.2*8*15.5,0))</f>
        <v>0</v>
      </c>
      <c r="M337" s="232">
        <f>IF(ISNUMBER(SEARCH("Motorista II",tabParametros[[#This Row],[Função]],1)),0.3022*tabParametros[[#This Row],[Salário Base]],0)</f>
        <v>0</v>
      </c>
      <c r="N337" s="254">
        <v>0</v>
      </c>
      <c r="O337" s="254">
        <f>IF(ISNUMBER(SEARCH("TECNOLOGIA DA INFORMACAO",tabParametros[[#This Row],[Função]],1)),0.056*tabParametros[[#This Row],[Salário Base]],0)</f>
        <v>0</v>
      </c>
      <c r="P337" s="232">
        <f>IF(tabParametros[[#This Row],[Função]]="Operador de Midia Audiovisual - 150 h",tabParametros[[#This Row],[Salário Base]]/150*50*30%,IF(tabParametros[[#This Row],[Função]]="Supervisor de Manutencao de Veiculos II - 220 h",12%*tabParametros[[#This Row],[Salário Base]],0))</f>
        <v>0</v>
      </c>
      <c r="Q337" s="233">
        <f>VLOOKUP(tabParametros[[#Headers],[INSS]],tabImpostosNacionais[],2,0)</f>
        <v>0.2</v>
      </c>
      <c r="R337" s="233">
        <f>VLOOKUP(tabParametros[[#Headers],[SESI OU SESC]],tabImpostosNacionais[],2,0)</f>
        <v>1.4999999999999999E-2</v>
      </c>
      <c r="S337" s="233">
        <f>VLOOKUP(tabParametros[[#Headers],[SENAI OU SENAC]],tabImpostosNacionais[],2,0)</f>
        <v>0.01</v>
      </c>
      <c r="T337" s="233">
        <f>VLOOKUP(tabParametros[[#Headers],[INCRA]],tabImpostosNacionais[],2,0)</f>
        <v>2E-3</v>
      </c>
      <c r="U337" s="233">
        <f>VLOOKUP(tabParametros[[#Headers],[Salário Educação]],tabImpostosNacionais[],2,0)</f>
        <v>2.5000000000000001E-2</v>
      </c>
      <c r="V337" s="233">
        <f>VLOOKUP(tabParametros[[#Headers],[FGTS]],tabImpostosNacionais[],2,0)</f>
        <v>0.08</v>
      </c>
      <c r="W337" s="233">
        <f>VLOOKUP(tabParametros[[#Headers],[RAT Ajustado]],tabImpostosNacionais[],2,0)</f>
        <v>0.04</v>
      </c>
      <c r="X337" s="233">
        <f>VLOOKUP(tabParametros[[#Headers],[SEBRAE]],tabImpostosNacionais[],2,0)</f>
        <v>6.0000000000000001E-3</v>
      </c>
      <c r="Y337" s="233">
        <f t="shared" si="55"/>
        <v>8.3333333333333329E-2</v>
      </c>
      <c r="Z337" s="233">
        <f t="shared" si="56"/>
        <v>0.1111111111111111</v>
      </c>
      <c r="AA337" s="232">
        <f>VLOOKUP(tabParametros[[#This Row],[Comarca]],tabComarca[],5,0)</f>
        <v>6.4</v>
      </c>
      <c r="AB337" s="232">
        <f>VLOOKUP(tabParametros[[#This Row],[CCT DA CATEGORIA]],tabSindicatos[],6,0)</f>
        <v>29.15</v>
      </c>
      <c r="AC337" s="232">
        <f>VLOOKUP(tabParametros[[#This Row],[CCT DA CATEGORIA]],tabSindicatos[],7,0)</f>
        <v>0</v>
      </c>
      <c r="AD337" s="232" cm="1">
        <f t="array" ref="AD33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51.86</v>
      </c>
      <c r="AE337" s="232">
        <f>VLOOKUP(tabParametros[[#This Row],[CCT DA CATEGORIA]],tabSindicatos[],9,0)</f>
        <v>0</v>
      </c>
      <c r="AF337" s="232">
        <f>VLOOKUP(tabParametros[[#This Row],[CCT DA CATEGORIA]],tabSindicatos[],10,0)</f>
        <v>0</v>
      </c>
      <c r="AG337" s="234">
        <f>VLOOKUP(tabParametros[[#Headers],[Seguro de Vida]],tabOutrosCustos[],3,0)</f>
        <v>3.36</v>
      </c>
      <c r="AH337" s="234">
        <f>IF(ISNUMBER(SEARCH("MOTORISTA",tabParametros[[#This Row],[Função]],1)),VLOOKUP("MOTORISTAS",tabDiarias[],2,0),IF(tabParametros[[#This Row],[Comarca]]="Belo Horizonte",VLOOKUP("APOIO",tabDiarias[],2,0),0))</f>
        <v>0</v>
      </c>
      <c r="AI337" s="233">
        <f t="shared" si="57"/>
        <v>7.011766975308642E-3</v>
      </c>
      <c r="AJ337" s="235">
        <f>tabParametros[[#This Row],[FGTS]]*tabParametros[[#This Row],[Aviso Prévio Indenizado (API) e Reflexo do Aviso Prévio Indenizado]]</f>
        <v>5.609413580246914E-4</v>
      </c>
      <c r="AK337" s="235">
        <f>tabParametros[[#This Row],[FGTS]]*tabParametros[[#This Row],[Aviso Prévio Indenizado (API) e Reflexo do Aviso Prévio Indenizado]]*40%</f>
        <v>2.2437654320987658E-4</v>
      </c>
      <c r="AL337" s="233">
        <f t="shared" si="58"/>
        <v>3.5000000000000005E-3</v>
      </c>
      <c r="AM337" s="233">
        <f>tabParametros[[#This Row],[Aviso Prévio Trabalhado - APT]]*SUM(tabParametros[[#This Row],[INSS]:[SEBRAE]])</f>
        <v>1.3230000000000004E-3</v>
      </c>
      <c r="AN337" s="233">
        <f t="shared" si="59"/>
        <v>3.0577777777777773E-2</v>
      </c>
      <c r="AO337" s="233">
        <f t="shared" si="60"/>
        <v>8.3333333333333339E-4</v>
      </c>
      <c r="AP337" s="233">
        <f t="shared" si="61"/>
        <v>8.4444444444444437E-3</v>
      </c>
      <c r="AQ337" s="233">
        <f t="shared" si="62"/>
        <v>2.0277777777777777E-3</v>
      </c>
      <c r="AR337" s="233">
        <f t="shared" si="63"/>
        <v>1.7083333333333333E-4</v>
      </c>
      <c r="AS337" s="233">
        <f t="shared" si="64"/>
        <v>2.0833333333333335E-4</v>
      </c>
      <c r="AT337" s="233">
        <f t="shared" si="65"/>
        <v>1.2962962962962963E-3</v>
      </c>
      <c r="AU337" s="235">
        <f>SUM(tabParametros[[#This Row],[Ausência por Doença]:[Férias, Adicional de Férias e 13º  com empregada em gozo de Licença Maternidade]])*SUM(tabParametros[[#This Row],[INSS]:[SEBRAE]])</f>
        <v>4.5918250000000008E-3</v>
      </c>
      <c r="AV337"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337" s="232">
        <f>IF(tabParametros[[#This Row],[Vagas contratadas]]&gt;0,(SUM(tabParametros[[#This Row],[Salário Base]:[Adicional de Acúmulo de função]])*30%+SUM(tabParametros[[#This Row],[Vale - Alimentação]:[Seguro de Vida]]))/tabParametros[[#This Row],[Vagas contratadas]]*tabParametros[[#This Row],[Vagas suspensas]],0)</f>
        <v>0</v>
      </c>
      <c r="AX337" s="232">
        <f>SUMIF(tabUniformes[Cargo],tabParametros[[#This Row],[Função]],tabUniformes[Valor unit. Mensal])</f>
        <v>56.642978962543395</v>
      </c>
      <c r="AY337"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37"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37"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7" s="232">
        <v>0</v>
      </c>
      <c r="BC337" s="234" t="e">
        <f ca="1">VLOOKUP(tabParametros[[#Headers],[Custos Indiretos]],tabOutrosCustos[],3,0)</f>
        <v>#NAME?</v>
      </c>
      <c r="BD337" s="234" t="e">
        <f ca="1">VLOOKUP(tabParametros[[#Headers],[Lucro]],tabOutrosCustos[],3,0)</f>
        <v>#NAME?</v>
      </c>
      <c r="BE337" s="233">
        <f>VLOOKUP(tabParametros[[#Headers],[COFINS]],tabImpostosNacionais[],2,0)</f>
        <v>7.5999999999999998E-2</v>
      </c>
      <c r="BF337" s="233">
        <f>VLOOKUP(tabParametros[[#Headers],[PIS]],tabImpostosNacionais[],2,0)</f>
        <v>1.6500000000000001E-2</v>
      </c>
      <c r="BG337" s="233">
        <f>VLOOKUP(tabParametros[[#This Row],[Comarca]],tabComarca[],4,0)</f>
        <v>0.03</v>
      </c>
      <c r="BH337" s="236">
        <f>VLOOKUP(tabParametros[[#This Row],[CCT DA CATEGORIA]],tabSindicatos[],11,0)</f>
        <v>45658</v>
      </c>
      <c r="BI337" s="282" t="str">
        <f>VLOOKUP(tabParametros[[#This Row],[CCT DA CATEGORIA]],tabSindicatos[],12,0)</f>
        <v>-</v>
      </c>
      <c r="BJ337" s="285" t="str">
        <f>VLOOKUP(tabParametros[[#This Row],[CCT DA CATEGORIA]],tabSindicatos[],13,0)</f>
        <v>-</v>
      </c>
    </row>
    <row r="338" spans="1:62">
      <c r="A338" s="231" t="s">
        <v>1518</v>
      </c>
      <c r="B338" s="197" t="s">
        <v>1218</v>
      </c>
      <c r="C338" s="197" t="s">
        <v>200</v>
      </c>
      <c r="D338" s="197" t="str">
        <f>VLOOKUP(tabParametros[[#This Row],[Código do Posto]],tabPostos[],4,0)</f>
        <v>Cataguases</v>
      </c>
      <c r="E338" s="282" t="str">
        <f>VLOOKUP(tabParametros[[#This Row],[Código do Posto]],tabPostos[],5,0)</f>
        <v>Apoio</v>
      </c>
      <c r="F338" s="282" t="str">
        <f>VLOOKUP(tabParametros[[#This Row],[Código do Posto]],tabPostos[],6,0)</f>
        <v>PGJ</v>
      </c>
      <c r="G338" s="282">
        <f>VLOOKUP(tabParametros[[#This Row],[Código do Posto]],tabPostos[],7,0)</f>
        <v>1</v>
      </c>
      <c r="H338" s="282">
        <f>VLOOKUP(tabParametros[[#This Row],[Código do Posto]],tabPostos[],8,0)</f>
        <v>0</v>
      </c>
      <c r="I338" s="232">
        <f>VLOOKUP(tabParametros[[#This Row],[Código do Posto]],tabPostos[],9,0)</f>
        <v>1596.273808921236</v>
      </c>
      <c r="J338" s="232">
        <f>IF(ISNUMBER(SEARCH("Eletricista",tabParametros[[#This Row],[Função]],1)),0.3*tabParametros[[#This Row],[Salário Base]],0)</f>
        <v>0</v>
      </c>
      <c r="K338"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38" s="232">
        <f>IF(AND(ISNUMBER(SEARCH("Noturno",tabParametros[[#This Row],[Função]],1)),tabParametros[[#This Row],[Comarca]]&lt;&gt;"Juiz de Fora"),tabParametros[[#This Row],[Salário Base]]/210*0.39*7*15.5,IF(ISNUMBER(SEARCH("Noturno",tabParametros[[#This Row],[Função]],1)),tabParametros[[#This Row],[Salário Base]]/210*0.2*8*15.5,0))</f>
        <v>0</v>
      </c>
      <c r="M338" s="232">
        <f>IF(ISNUMBER(SEARCH("Motorista II",tabParametros[[#This Row],[Função]],1)),0.3022*tabParametros[[#This Row],[Salário Base]],0)</f>
        <v>0</v>
      </c>
      <c r="N338" s="254">
        <v>0</v>
      </c>
      <c r="O338" s="254">
        <f>IF(ISNUMBER(SEARCH("TECNOLOGIA DA INFORMACAO",tabParametros[[#This Row],[Função]],1)),0.056*tabParametros[[#This Row],[Salário Base]],0)</f>
        <v>0</v>
      </c>
      <c r="P338" s="232">
        <f>IF(tabParametros[[#This Row],[Função]]="Operador de Midia Audiovisual - 150 h",tabParametros[[#This Row],[Salário Base]]/150*50*30%,IF(tabParametros[[#This Row],[Função]]="Supervisor de Manutencao de Veiculos II - 220 h",12%*tabParametros[[#This Row],[Salário Base]],0))</f>
        <v>0</v>
      </c>
      <c r="Q338" s="233">
        <f>VLOOKUP(tabParametros[[#Headers],[INSS]],tabImpostosNacionais[],2,0)</f>
        <v>0.2</v>
      </c>
      <c r="R338" s="233">
        <f>VLOOKUP(tabParametros[[#Headers],[SESI OU SESC]],tabImpostosNacionais[],2,0)</f>
        <v>1.4999999999999999E-2</v>
      </c>
      <c r="S338" s="233">
        <f>VLOOKUP(tabParametros[[#Headers],[SENAI OU SENAC]],tabImpostosNacionais[],2,0)</f>
        <v>0.01</v>
      </c>
      <c r="T338" s="233">
        <f>VLOOKUP(tabParametros[[#Headers],[INCRA]],tabImpostosNacionais[],2,0)</f>
        <v>2E-3</v>
      </c>
      <c r="U338" s="233">
        <f>VLOOKUP(tabParametros[[#Headers],[Salário Educação]],tabImpostosNacionais[],2,0)</f>
        <v>2.5000000000000001E-2</v>
      </c>
      <c r="V338" s="233">
        <f>VLOOKUP(tabParametros[[#Headers],[FGTS]],tabImpostosNacionais[],2,0)</f>
        <v>0.08</v>
      </c>
      <c r="W338" s="233">
        <f>VLOOKUP(tabParametros[[#Headers],[RAT Ajustado]],tabImpostosNacionais[],2,0)</f>
        <v>0.04</v>
      </c>
      <c r="X338" s="233">
        <f>VLOOKUP(tabParametros[[#Headers],[SEBRAE]],tabImpostosNacionais[],2,0)</f>
        <v>6.0000000000000001E-3</v>
      </c>
      <c r="Y338" s="233">
        <f t="shared" si="55"/>
        <v>8.3333333333333329E-2</v>
      </c>
      <c r="Z338" s="233">
        <f t="shared" si="56"/>
        <v>0.1111111111111111</v>
      </c>
      <c r="AA338" s="232">
        <f>VLOOKUP(tabParametros[[#This Row],[Comarca]],tabComarca[],5,0)</f>
        <v>6.4</v>
      </c>
      <c r="AB338" s="232">
        <f>VLOOKUP(tabParametros[[#This Row],[CCT DA CATEGORIA]],tabSindicatos[],6,0)</f>
        <v>29.15</v>
      </c>
      <c r="AC338" s="232">
        <f>VLOOKUP(tabParametros[[#This Row],[CCT DA CATEGORIA]],tabSindicatos[],7,0)</f>
        <v>0</v>
      </c>
      <c r="AD338" s="232" cm="1">
        <f t="array" ref="AD33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338" s="232">
        <f>VLOOKUP(tabParametros[[#This Row],[CCT DA CATEGORIA]],tabSindicatos[],9,0)</f>
        <v>0</v>
      </c>
      <c r="AF338" s="232">
        <f>VLOOKUP(tabParametros[[#This Row],[CCT DA CATEGORIA]],tabSindicatos[],10,0)</f>
        <v>0</v>
      </c>
      <c r="AG338" s="234">
        <f>VLOOKUP(tabParametros[[#Headers],[Seguro de Vida]],tabOutrosCustos[],3,0)</f>
        <v>3.36</v>
      </c>
      <c r="AH338" s="234">
        <f>IF(ISNUMBER(SEARCH("MOTORISTA",tabParametros[[#This Row],[Função]],1)),VLOOKUP("MOTORISTAS",tabDiarias[],2,0),IF(tabParametros[[#This Row],[Comarca]]="Belo Horizonte",VLOOKUP("APOIO",tabDiarias[],2,0),0))</f>
        <v>0</v>
      </c>
      <c r="AI338" s="233">
        <f t="shared" si="57"/>
        <v>7.011766975308642E-3</v>
      </c>
      <c r="AJ338" s="235">
        <f>tabParametros[[#This Row],[FGTS]]*tabParametros[[#This Row],[Aviso Prévio Indenizado (API) e Reflexo do Aviso Prévio Indenizado]]</f>
        <v>5.609413580246914E-4</v>
      </c>
      <c r="AK338" s="235">
        <f>tabParametros[[#This Row],[FGTS]]*tabParametros[[#This Row],[Aviso Prévio Indenizado (API) e Reflexo do Aviso Prévio Indenizado]]*40%</f>
        <v>2.2437654320987658E-4</v>
      </c>
      <c r="AL338" s="233">
        <f t="shared" si="58"/>
        <v>3.5000000000000005E-3</v>
      </c>
      <c r="AM338" s="233">
        <f>tabParametros[[#This Row],[Aviso Prévio Trabalhado - APT]]*SUM(tabParametros[[#This Row],[INSS]:[SEBRAE]])</f>
        <v>1.3230000000000004E-3</v>
      </c>
      <c r="AN338" s="233">
        <f t="shared" si="59"/>
        <v>3.0577777777777773E-2</v>
      </c>
      <c r="AO338" s="233">
        <f t="shared" si="60"/>
        <v>8.3333333333333339E-4</v>
      </c>
      <c r="AP338" s="233">
        <f t="shared" si="61"/>
        <v>8.4444444444444437E-3</v>
      </c>
      <c r="AQ338" s="233">
        <f t="shared" si="62"/>
        <v>2.0277777777777777E-3</v>
      </c>
      <c r="AR338" s="233">
        <f t="shared" si="63"/>
        <v>1.7083333333333333E-4</v>
      </c>
      <c r="AS338" s="233">
        <f t="shared" si="64"/>
        <v>2.0833333333333335E-4</v>
      </c>
      <c r="AT338" s="233">
        <f t="shared" si="65"/>
        <v>1.2962962962962963E-3</v>
      </c>
      <c r="AU338" s="235">
        <f>SUM(tabParametros[[#This Row],[Ausência por Doença]:[Férias, Adicional de Férias e 13º  com empregada em gozo de Licença Maternidade]])*SUM(tabParametros[[#This Row],[INSS]:[SEBRAE]])</f>
        <v>4.5918250000000008E-3</v>
      </c>
      <c r="AV338" s="254">
        <f>IF(tabParametros[[#This Row],[Função]]="Porteiro - 220 h",SUM(tabParametros[[#This Row],[Salário Base]:[Adicional de Acúmulo de função]])/220*20*1.5,IF(ISNUMBER(SEARCH("12 x 36",tabParametros[[#This Row],[Função]],1)),SUM(tabParametros[[#This Row],[Salário Base]:[Adicional de Acúmulo de função]])/210*15.5*1.5,0))</f>
        <v>0</v>
      </c>
      <c r="AW338" s="232">
        <f>IF(tabParametros[[#This Row],[Vagas contratadas]]&gt;0,(SUM(tabParametros[[#This Row],[Salário Base]:[Adicional de Acúmulo de função]])*30%+SUM(tabParametros[[#This Row],[Vale - Alimentação]:[Seguro de Vida]]))/tabParametros[[#This Row],[Vagas contratadas]]*tabParametros[[#This Row],[Vagas suspensas]],0)</f>
        <v>0</v>
      </c>
      <c r="AX338" s="232">
        <f>SUMIF(tabUniformes[Cargo],tabParametros[[#This Row],[Função]],tabUniformes[Valor unit. Mensal])</f>
        <v>56.141713661989918</v>
      </c>
      <c r="AY338"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38"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38"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8" s="232">
        <v>0</v>
      </c>
      <c r="BC338" s="234" t="e">
        <f ca="1">VLOOKUP(tabParametros[[#Headers],[Custos Indiretos]],tabOutrosCustos[],3,0)</f>
        <v>#NAME?</v>
      </c>
      <c r="BD338" s="234" t="e">
        <f ca="1">VLOOKUP(tabParametros[[#Headers],[Lucro]],tabOutrosCustos[],3,0)</f>
        <v>#NAME?</v>
      </c>
      <c r="BE338" s="233">
        <f>VLOOKUP(tabParametros[[#Headers],[COFINS]],tabImpostosNacionais[],2,0)</f>
        <v>7.5999999999999998E-2</v>
      </c>
      <c r="BF338" s="233">
        <f>VLOOKUP(tabParametros[[#Headers],[PIS]],tabImpostosNacionais[],2,0)</f>
        <v>1.6500000000000001E-2</v>
      </c>
      <c r="BG338" s="233">
        <f>VLOOKUP(tabParametros[[#This Row],[Comarca]],tabComarca[],4,0)</f>
        <v>0.03</v>
      </c>
      <c r="BH338" s="236">
        <f>VLOOKUP(tabParametros[[#This Row],[CCT DA CATEGORIA]],tabSindicatos[],11,0)</f>
        <v>45658</v>
      </c>
      <c r="BI338" s="282" t="str">
        <f>VLOOKUP(tabParametros[[#This Row],[CCT DA CATEGORIA]],tabSindicatos[],12,0)</f>
        <v>-</v>
      </c>
      <c r="BJ338" s="285" t="str">
        <f>VLOOKUP(tabParametros[[#This Row],[CCT DA CATEGORIA]],tabSindicatos[],13,0)</f>
        <v>-</v>
      </c>
    </row>
    <row r="339" spans="1:62">
      <c r="A339" s="231" t="s">
        <v>1519</v>
      </c>
      <c r="B339" s="197" t="s">
        <v>1218</v>
      </c>
      <c r="C339" s="197" t="s">
        <v>1367</v>
      </c>
      <c r="D339" s="197" t="str">
        <f>VLOOKUP(tabParametros[[#This Row],[Código do Posto]],tabPostos[],4,0)</f>
        <v>Cataguases</v>
      </c>
      <c r="E339" s="282" t="str">
        <f>VLOOKUP(tabParametros[[#This Row],[Código do Posto]],tabPostos[],5,0)</f>
        <v>Apoio</v>
      </c>
      <c r="F339" s="282" t="str">
        <f>VLOOKUP(tabParametros[[#This Row],[Código do Posto]],tabPostos[],6,0)</f>
        <v>PGJ</v>
      </c>
      <c r="G339" s="282">
        <f>VLOOKUP(tabParametros[[#This Row],[Código do Posto]],tabPostos[],7,0)</f>
        <v>1</v>
      </c>
      <c r="H339" s="282">
        <f>VLOOKUP(tabParametros[[#This Row],[Código do Posto]],tabPostos[],8,0)</f>
        <v>0</v>
      </c>
      <c r="I339" s="232">
        <f>VLOOKUP(tabParametros[[#This Row],[Código do Posto]],tabPostos[],9,0)</f>
        <v>2087.4324447827344</v>
      </c>
      <c r="J339" s="232">
        <f>IF(ISNUMBER(SEARCH("Eletricista",tabParametros[[#This Row],[Função]],1)),0.3*tabParametros[[#This Row],[Salário Base]],0)</f>
        <v>0</v>
      </c>
      <c r="K339"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339" s="232">
        <f>IF(AND(ISNUMBER(SEARCH("Noturno",tabParametros[[#This Row],[Função]],1)),tabParametros[[#This Row],[Comarca]]&lt;&gt;"Juiz de Fora"),tabParametros[[#This Row],[Salário Base]]/210*0.39*7*15.5,IF(ISNUMBER(SEARCH("Noturno",tabParametros[[#This Row],[Função]],1)),tabParametros[[#This Row],[Salário Base]]/210*0.2*8*15.5,0))</f>
        <v>0</v>
      </c>
      <c r="M339" s="232">
        <f>IF(ISNUMBER(SEARCH("Motorista II",tabParametros[[#This Row],[Função]],1)),0.3022*tabParametros[[#This Row],[Salário Base]],0)</f>
        <v>0</v>
      </c>
      <c r="N339" s="254">
        <v>0</v>
      </c>
      <c r="O339" s="254">
        <f>IF(ISNUMBER(SEARCH("TECNOLOGIA DA INFORMACAO",tabParametros[[#This Row],[Função]],1)),0.056*tabParametros[[#This Row],[Salário Base]],0)</f>
        <v>0</v>
      </c>
      <c r="P339" s="232">
        <f>IF(tabParametros[[#This Row],[Função]]="Operador de Midia Audiovisual - 150 h",tabParametros[[#This Row],[Salário Base]]/150*50*30%,IF(tabParametros[[#This Row],[Função]]="Supervisor de Manutencao de Veiculos II - 220 h",12%*tabParametros[[#This Row],[Salário Base]],0))</f>
        <v>0</v>
      </c>
      <c r="Q339" s="233">
        <f>VLOOKUP(tabParametros[[#Headers],[INSS]],tabImpostosNacionais[],2,0)</f>
        <v>0.2</v>
      </c>
      <c r="R339" s="233">
        <f>VLOOKUP(tabParametros[[#Headers],[SESI OU SESC]],tabImpostosNacionais[],2,0)</f>
        <v>1.4999999999999999E-2</v>
      </c>
      <c r="S339" s="233">
        <f>VLOOKUP(tabParametros[[#Headers],[SENAI OU SENAC]],tabImpostosNacionais[],2,0)</f>
        <v>0.01</v>
      </c>
      <c r="T339" s="233">
        <f>VLOOKUP(tabParametros[[#Headers],[INCRA]],tabImpostosNacionais[],2,0)</f>
        <v>2E-3</v>
      </c>
      <c r="U339" s="233">
        <f>VLOOKUP(tabParametros[[#Headers],[Salário Educação]],tabImpostosNacionais[],2,0)</f>
        <v>2.5000000000000001E-2</v>
      </c>
      <c r="V339" s="233">
        <f>VLOOKUP(tabParametros[[#Headers],[FGTS]],tabImpostosNacionais[],2,0)</f>
        <v>0.08</v>
      </c>
      <c r="W339" s="233">
        <f>VLOOKUP(tabParametros[[#Headers],[RAT Ajustado]],tabImpostosNacionais[],2,0)</f>
        <v>0.04</v>
      </c>
      <c r="X339" s="233">
        <f>VLOOKUP(tabParametros[[#Headers],[SEBRAE]],tabImpostosNacionais[],2,0)</f>
        <v>6.0000000000000001E-3</v>
      </c>
      <c r="Y339" s="233">
        <f t="shared" si="55"/>
        <v>8.3333333333333329E-2</v>
      </c>
      <c r="Z339" s="233">
        <f t="shared" si="56"/>
        <v>0.1111111111111111</v>
      </c>
      <c r="AA339" s="232">
        <f>VLOOKUP(tabParametros[[#This Row],[Comarca]],tabComarca[],5,0)</f>
        <v>6.4</v>
      </c>
      <c r="AB339" s="232">
        <f>VLOOKUP(tabParametros[[#This Row],[CCT DA CATEGORIA]],tabSindicatos[],6,0)</f>
        <v>29.15</v>
      </c>
      <c r="AC339" s="232">
        <f>VLOOKUP(tabParametros[[#This Row],[CCT DA CATEGORIA]],tabSindicatos[],7,0)</f>
        <v>0</v>
      </c>
      <c r="AD339" s="232" cm="1">
        <f t="array" ref="AD33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339" s="232">
        <f>VLOOKUP(tabParametros[[#This Row],[CCT DA CATEGORIA]],tabSindicatos[],9,0)</f>
        <v>0</v>
      </c>
      <c r="AF339" s="232">
        <f>VLOOKUP(tabParametros[[#This Row],[CCT DA CATEGORIA]],tabSindicatos[],10,0)</f>
        <v>0</v>
      </c>
      <c r="AG339" s="234">
        <f>VLOOKUP(tabParametros[[#Headers],[Seguro de Vida]],tabOutrosCustos[],3,0)</f>
        <v>3.36</v>
      </c>
      <c r="AH339" s="234">
        <f>IF(ISNUMBER(SEARCH("MOTORISTA",tabParametros[[#This Row],[Função]],1)),VLOOKUP("MOTORISTAS",tabDiarias[],2,0),IF(tabParametros[[#This Row],[Comarca]]="Belo Horizonte",VLOOKUP("APOIO",tabDiarias[],2,0),0))</f>
        <v>0</v>
      </c>
      <c r="AI339" s="233">
        <f t="shared" si="57"/>
        <v>7.011766975308642E-3</v>
      </c>
      <c r="AJ339" s="235">
        <f>tabParametros[[#This Row],[FGTS]]*tabParametros[[#This Row],[Aviso Prévio Indenizado (API) e Reflexo do Aviso Prévio Indenizado]]</f>
        <v>5.609413580246914E-4</v>
      </c>
      <c r="AK339" s="235">
        <f>tabParametros[[#This Row],[FGTS]]*tabParametros[[#This Row],[Aviso Prévio Indenizado (API) e Reflexo do Aviso Prévio Indenizado]]*40%</f>
        <v>2.2437654320987658E-4</v>
      </c>
      <c r="AL339" s="233">
        <f t="shared" si="58"/>
        <v>3.5000000000000005E-3</v>
      </c>
      <c r="AM339" s="233">
        <f>tabParametros[[#This Row],[Aviso Prévio Trabalhado - APT]]*SUM(tabParametros[[#This Row],[INSS]:[SEBRAE]])</f>
        <v>1.3230000000000004E-3</v>
      </c>
      <c r="AN339" s="233">
        <f t="shared" si="59"/>
        <v>3.0577777777777773E-2</v>
      </c>
      <c r="AO339" s="233">
        <f t="shared" si="60"/>
        <v>8.3333333333333339E-4</v>
      </c>
      <c r="AP339" s="233">
        <f t="shared" si="61"/>
        <v>8.4444444444444437E-3</v>
      </c>
      <c r="AQ339" s="233">
        <f t="shared" si="62"/>
        <v>2.0277777777777777E-3</v>
      </c>
      <c r="AR339" s="233">
        <f t="shared" si="63"/>
        <v>1.7083333333333333E-4</v>
      </c>
      <c r="AS339" s="233">
        <f t="shared" si="64"/>
        <v>2.0833333333333335E-4</v>
      </c>
      <c r="AT339" s="233">
        <f t="shared" si="65"/>
        <v>1.2962962962962963E-3</v>
      </c>
      <c r="AU339" s="235">
        <f>SUM(tabParametros[[#This Row],[Ausência por Doença]:[Férias, Adicional de Férias e 13º  com empregada em gozo de Licença Maternidade]])*SUM(tabParametros[[#This Row],[INSS]:[SEBRAE]])</f>
        <v>4.5918250000000008E-3</v>
      </c>
      <c r="AV339" s="254">
        <f>IF(tabParametros[[#This Row],[Função]]="Porteiro - 220 h",SUM(tabParametros[[#This Row],[Salário Base]:[Adicional de Acúmulo de função]])/220*20*1.5,IF(ISNUMBER(SEARCH("12 x 36",tabParametros[[#This Row],[Função]],1)),SUM(tabParametros[[#This Row],[Salário Base]:[Adicional de Acúmulo de função]])/210*15.5*1.5,0))</f>
        <v>0</v>
      </c>
      <c r="AW339" s="232">
        <f>IF(tabParametros[[#This Row],[Vagas contratadas]]&gt;0,(SUM(tabParametros[[#This Row],[Salário Base]:[Adicional de Acúmulo de função]])*30%+SUM(tabParametros[[#This Row],[Vale - Alimentação]:[Seguro de Vida]]))/tabParametros[[#This Row],[Vagas contratadas]]*tabParametros[[#This Row],[Vagas suspensas]],0)</f>
        <v>0</v>
      </c>
      <c r="AX339" s="232">
        <f>SUMIF(tabUniformes[Cargo],tabParametros[[#This Row],[Função]],tabUniformes[Valor unit. Mensal])</f>
        <v>253.83572732312174</v>
      </c>
      <c r="AY339"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339"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339"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39" s="232">
        <v>0</v>
      </c>
      <c r="BC339" s="234" t="e">
        <f ca="1">VLOOKUP(tabParametros[[#Headers],[Custos Indiretos]],tabOutrosCustos[],3,0)</f>
        <v>#NAME?</v>
      </c>
      <c r="BD339" s="234" t="e">
        <f ca="1">VLOOKUP(tabParametros[[#Headers],[Lucro]],tabOutrosCustos[],3,0)</f>
        <v>#NAME?</v>
      </c>
      <c r="BE339" s="233">
        <f>VLOOKUP(tabParametros[[#Headers],[COFINS]],tabImpostosNacionais[],2,0)</f>
        <v>7.5999999999999998E-2</v>
      </c>
      <c r="BF339" s="233">
        <f>VLOOKUP(tabParametros[[#Headers],[PIS]],tabImpostosNacionais[],2,0)</f>
        <v>1.6500000000000001E-2</v>
      </c>
      <c r="BG339" s="233">
        <f>VLOOKUP(tabParametros[[#This Row],[Comarca]],tabComarca[],4,0)</f>
        <v>0.03</v>
      </c>
      <c r="BH339" s="236">
        <f>VLOOKUP(tabParametros[[#This Row],[CCT DA CATEGORIA]],tabSindicatos[],11,0)</f>
        <v>45658</v>
      </c>
      <c r="BI339" s="282" t="str">
        <f>VLOOKUP(tabParametros[[#This Row],[CCT DA CATEGORIA]],tabSindicatos[],12,0)</f>
        <v>-</v>
      </c>
      <c r="BJ339" s="285" t="str">
        <f>VLOOKUP(tabParametros[[#This Row],[CCT DA CATEGORIA]],tabSindicatos[],13,0)</f>
        <v>-</v>
      </c>
    </row>
    <row r="340" spans="1:62">
      <c r="A340" s="231" t="s">
        <v>1743</v>
      </c>
      <c r="B340" s="197" t="s">
        <v>1218</v>
      </c>
      <c r="C340" s="197" t="s">
        <v>1368</v>
      </c>
      <c r="D340" s="197" t="str">
        <f>VLOOKUP(tabParametros[[#This Row],[Código do Posto]],tabPostos[],4,0)</f>
        <v>Cataguases</v>
      </c>
      <c r="E340" s="282" t="str">
        <f>VLOOKUP(tabParametros[[#This Row],[Código do Posto]],tabPostos[],5,0)</f>
        <v>Apoio</v>
      </c>
      <c r="F340" s="282" t="str">
        <f>VLOOKUP(tabParametros[[#This Row],[Código do Posto]],tabPostos[],6,0)</f>
        <v>PGJ</v>
      </c>
      <c r="G340" s="282">
        <f>VLOOKUP(tabParametros[[#This Row],[Código do Posto]],tabPostos[],7,0)</f>
        <v>1</v>
      </c>
      <c r="H340" s="282">
        <f>VLOOKUP(tabParametros[[#This Row],[Código do Posto]],tabPostos[],8,0)</f>
        <v>0</v>
      </c>
      <c r="I340" s="232">
        <f>VLOOKUP(tabParametros[[#This Row],[Código do Posto]],tabPostos[],9,0)</f>
        <v>2296.1756892610078</v>
      </c>
      <c r="J340" s="232">
        <f>IF(ISNUMBER(SEARCH("Eletricista",tabParametros[[#This Row],[Função]],1)),0.3*tabParametros[[#This Row],[Salário Base]],0)</f>
        <v>0</v>
      </c>
      <c r="K340" s="232">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303.60000000000002</v>
      </c>
      <c r="L340" s="232">
        <f>IF(AND(ISNUMBER(SEARCH("Noturno",tabParametros[[#This Row],[Função]],1)),tabParametros[[#This Row],[Comarca]]&lt;&gt;"Juiz de Fora"),tabParametros[[#This Row],[Salário Base]]/210*0.39*7*15.5,IF(ISNUMBER(SEARCH("Noturno",tabParametros[[#This Row],[Função]],1)),tabParametros[[#This Row],[Salário Base]]/210*0.2*8*15.5,0))</f>
        <v>0</v>
      </c>
      <c r="M340" s="232">
        <f>IF(ISNUMBER(SEARCH("Motorista II",tabParametros[[#This Row],[Função]],1)),0.3022*tabParametros[[#This Row],[Salário Base]],0)</f>
        <v>0</v>
      </c>
      <c r="N340" s="254"/>
      <c r="O340" s="254">
        <f>IF(ISNUMBER(SEARCH("TECNOLOGIA DA INFORMACAO",tabParametros[[#This Row],[Função]],1)),0.056*tabParametros[[#This Row],[Salário Base]],0)</f>
        <v>0</v>
      </c>
      <c r="P340" s="232">
        <f>IF(tabParametros[[#This Row],[Função]]="Operador de Midia Audiovisual - 150 h",tabParametros[[#This Row],[Salário Base]]/150*50*30%,IF(tabParametros[[#This Row],[Função]]="Supervisor de Manutencao de Veiculos II - 220 h",12%*tabParametros[[#This Row],[Salário Base]],0))</f>
        <v>0</v>
      </c>
      <c r="Q340" s="233">
        <f>VLOOKUP(tabParametros[[#Headers],[INSS]],tabImpostosNacionais[],2,0)</f>
        <v>0.2</v>
      </c>
      <c r="R340" s="233">
        <f>VLOOKUP(tabParametros[[#Headers],[SESI OU SESC]],tabImpostosNacionais[],2,0)</f>
        <v>1.4999999999999999E-2</v>
      </c>
      <c r="S340" s="233">
        <f>VLOOKUP(tabParametros[[#Headers],[SENAI OU SENAC]],tabImpostosNacionais[],2,0)</f>
        <v>0.01</v>
      </c>
      <c r="T340" s="233">
        <f>VLOOKUP(tabParametros[[#Headers],[INCRA]],tabImpostosNacionais[],2,0)</f>
        <v>2E-3</v>
      </c>
      <c r="U340" s="233">
        <f>VLOOKUP(tabParametros[[#Headers],[Salário Educação]],tabImpostosNacionais[],2,0)</f>
        <v>2.5000000000000001E-2</v>
      </c>
      <c r="V340" s="233">
        <f>VLOOKUP(tabParametros[[#Headers],[FGTS]],tabImpostosNacionais[],2,0)</f>
        <v>0.08</v>
      </c>
      <c r="W340" s="233">
        <f>VLOOKUP(tabParametros[[#Headers],[RAT Ajustado]],tabImpostosNacionais[],2,0)</f>
        <v>0.04</v>
      </c>
      <c r="X340" s="233">
        <f>VLOOKUP(tabParametros[[#Headers],[SEBRAE]],tabImpostosNacionais[],2,0)</f>
        <v>6.0000000000000001E-3</v>
      </c>
      <c r="Y340" s="233">
        <f t="shared" si="55"/>
        <v>8.3333333333333329E-2</v>
      </c>
      <c r="Z340" s="233">
        <f t="shared" si="56"/>
        <v>0.1111111111111111</v>
      </c>
      <c r="AA340" s="232">
        <f>VLOOKUP(tabParametros[[#This Row],[Comarca]],tabComarca[],5,0)</f>
        <v>6.4</v>
      </c>
      <c r="AB340" s="232">
        <f>VLOOKUP(tabParametros[[#This Row],[CCT DA CATEGORIA]],tabSindicatos[],6,0)</f>
        <v>29.15</v>
      </c>
      <c r="AC340" s="232">
        <f>VLOOKUP(tabParametros[[#This Row],[CCT DA CATEGORIA]],tabSindicatos[],7,0)</f>
        <v>0</v>
      </c>
      <c r="AD340" s="232" cm="1">
        <f t="array" ref="AD34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340" s="232">
        <f>VLOOKUP(tabParametros[[#This Row],[CCT DA CATEGORIA]],tabSindicatos[],9,0)</f>
        <v>0</v>
      </c>
      <c r="AF340" s="232">
        <f>VLOOKUP(tabParametros[[#This Row],[CCT DA CATEGORIA]],tabSindicatos[],10,0)</f>
        <v>0</v>
      </c>
      <c r="AG340" s="234">
        <f>VLOOKUP(tabParametros[[#Headers],[Seguro de Vida]],tabOutrosCustos[],3,0)</f>
        <v>3.36</v>
      </c>
      <c r="AH340" s="234">
        <f>IF(ISNUMBER(SEARCH("MOTORISTA",tabParametros[[#This Row],[Função]],1)),VLOOKUP("MOTORISTAS",tabDiarias[],2,0),IF(tabParametros[[#This Row],[Comarca]]="Belo Horizonte",VLOOKUP("APOIO",tabDiarias[],2,0),0))</f>
        <v>0</v>
      </c>
      <c r="AI340" s="233">
        <f t="shared" si="57"/>
        <v>7.011766975308642E-3</v>
      </c>
      <c r="AJ340" s="235">
        <f>tabParametros[[#This Row],[FGTS]]*tabParametros[[#This Row],[Aviso Prévio Indenizado (API) e Reflexo do Aviso Prévio Indenizado]]</f>
        <v>5.609413580246914E-4</v>
      </c>
      <c r="AK340" s="235">
        <f>tabParametros[[#This Row],[FGTS]]*tabParametros[[#This Row],[Aviso Prévio Indenizado (API) e Reflexo do Aviso Prévio Indenizado]]*40%</f>
        <v>2.2437654320987658E-4</v>
      </c>
      <c r="AL340" s="233">
        <f t="shared" si="58"/>
        <v>3.5000000000000005E-3</v>
      </c>
      <c r="AM340" s="233">
        <f>tabParametros[[#This Row],[Aviso Prévio Trabalhado - APT]]*SUM(tabParametros[[#This Row],[INSS]:[SEBRAE]])</f>
        <v>1.3230000000000004E-3</v>
      </c>
      <c r="AN340" s="233">
        <f t="shared" si="59"/>
        <v>3.0577777777777773E-2</v>
      </c>
      <c r="AO340" s="233">
        <f t="shared" si="60"/>
        <v>8.3333333333333339E-4</v>
      </c>
      <c r="AP340" s="233">
        <f t="shared" si="61"/>
        <v>8.4444444444444437E-3</v>
      </c>
      <c r="AQ340" s="233">
        <f t="shared" si="62"/>
        <v>2.0277777777777777E-3</v>
      </c>
      <c r="AR340" s="233">
        <f t="shared" si="63"/>
        <v>1.7083333333333333E-4</v>
      </c>
      <c r="AS340" s="233">
        <f t="shared" si="64"/>
        <v>2.0833333333333335E-4</v>
      </c>
      <c r="AT340" s="233">
        <f t="shared" si="65"/>
        <v>1.2962962962962963E-3</v>
      </c>
      <c r="AU340" s="235">
        <f>SUM(tabParametros[[#This Row],[Ausência por Doença]:[Férias, Adicional de Férias e 13º  com empregada em gozo de Licença Maternidade]])*SUM(tabParametros[[#This Row],[INSS]:[SEBRAE]])</f>
        <v>4.5918250000000008E-3</v>
      </c>
      <c r="AV340" s="254">
        <f>IF(tabParametros[[#This Row],[Função]]="Porteiro - 220 h",SUM(tabParametros[[#This Row],[Salário Base]:[Adicional de Acúmulo de função]])/220*20*1.5,IF(ISNUMBER(SEARCH("12 x 36",tabParametros[[#This Row],[Função]],1)),SUM(tabParametros[[#This Row],[Salário Base]:[Adicional de Acúmulo de função]])/210*15.5*1.5,0))</f>
        <v>0</v>
      </c>
      <c r="AW340" s="232">
        <f>IF(tabParametros[[#This Row],[Vagas contratadas]]&gt;0,(SUM(tabParametros[[#This Row],[Salário Base]:[Adicional de Acúmulo de função]])*30%+SUM(tabParametros[[#This Row],[Vale - Alimentação]:[Seguro de Vida]]))/tabParametros[[#This Row],[Vagas contratadas]]*tabParametros[[#This Row],[Vagas suspensas]],0)</f>
        <v>0</v>
      </c>
      <c r="AX340" s="232">
        <f>SUMIF(tabUniformes[Cargo],tabParametros[[#This Row],[Função]],tabUniformes[Valor unit. Mensal])</f>
        <v>196.62072732312174</v>
      </c>
      <c r="AY340" s="232">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441.81099462365592</v>
      </c>
      <c r="AZ340" s="232">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113.11309677419354</v>
      </c>
      <c r="BA340" s="232">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40" s="232">
        <v>0</v>
      </c>
      <c r="BC340" s="234" t="e">
        <f ca="1">VLOOKUP(tabParametros[[#Headers],[Custos Indiretos]],tabOutrosCustos[],3,0)</f>
        <v>#NAME?</v>
      </c>
      <c r="BD340" s="234" t="e">
        <f ca="1">VLOOKUP(tabParametros[[#Headers],[Lucro]],tabOutrosCustos[],3,0)</f>
        <v>#NAME?</v>
      </c>
      <c r="BE340" s="233">
        <f>VLOOKUP(tabParametros[[#Headers],[COFINS]],tabImpostosNacionais[],2,0)</f>
        <v>7.5999999999999998E-2</v>
      </c>
      <c r="BF340" s="233">
        <f>VLOOKUP(tabParametros[[#Headers],[PIS]],tabImpostosNacionais[],2,0)</f>
        <v>1.6500000000000001E-2</v>
      </c>
      <c r="BG340" s="233">
        <f>VLOOKUP(tabParametros[[#This Row],[Comarca]],tabComarca[],4,0)</f>
        <v>0.03</v>
      </c>
      <c r="BH340" s="236">
        <f>VLOOKUP(tabParametros[[#This Row],[CCT DA CATEGORIA]],tabSindicatos[],11,0)</f>
        <v>45658</v>
      </c>
      <c r="BI340" s="282" t="str">
        <f>VLOOKUP(tabParametros[[#This Row],[CCT DA CATEGORIA]],tabSindicatos[],12,0)</f>
        <v>-</v>
      </c>
      <c r="BJ340" s="285" t="str">
        <f>VLOOKUP(tabParametros[[#This Row],[CCT DA CATEGORIA]],tabSindicatos[],13,0)</f>
        <v>-</v>
      </c>
    </row>
    <row r="341" spans="1:62">
      <c r="A341" s="237" t="s">
        <v>1744</v>
      </c>
      <c r="B341" s="238" t="s">
        <v>1218</v>
      </c>
      <c r="C341" s="238" t="s">
        <v>314</v>
      </c>
      <c r="D341" s="238" t="str">
        <f>VLOOKUP(tabParametros[[#This Row],[Código do Posto]],tabPostos[],4,0)</f>
        <v>Cataguases</v>
      </c>
      <c r="E341" s="284" t="str">
        <f>VLOOKUP(tabParametros[[#This Row],[Código do Posto]],tabPostos[],5,0)</f>
        <v>Apoio</v>
      </c>
      <c r="F341" s="284" t="str">
        <f>VLOOKUP(tabParametros[[#This Row],[Código do Posto]],tabPostos[],6,0)</f>
        <v>PGJ</v>
      </c>
      <c r="G341" s="284">
        <f>VLOOKUP(tabParametros[[#This Row],[Código do Posto]],tabPostos[],7,0)</f>
        <v>1</v>
      </c>
      <c r="H341" s="284">
        <f>VLOOKUP(tabParametros[[#This Row],[Código do Posto]],tabPostos[],8,0)</f>
        <v>0</v>
      </c>
      <c r="I341" s="239">
        <f>VLOOKUP(tabParametros[[#This Row],[Código do Posto]],tabPostos[],9,0)</f>
        <v>1963.4110092077037</v>
      </c>
      <c r="J341" s="239">
        <f>IF(ISNUMBER(SEARCH("Eletricista",tabParametros[[#This Row],[Função]],1)),0.3*tabParametros[[#This Row],[Salário Base]],0)</f>
        <v>0</v>
      </c>
      <c r="K341" s="239">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GERAL'!$R$5,0)</f>
        <v>0</v>
      </c>
      <c r="L341" s="239">
        <f>IF(AND(ISNUMBER(SEARCH("Noturno",tabParametros[[#This Row],[Função]],1)),tabParametros[[#This Row],[Comarca]]&lt;&gt;"Juiz de Fora"),tabParametros[[#This Row],[Salário Base]]/210*0.39*7*15.5,IF(ISNUMBER(SEARCH("Noturno",tabParametros[[#This Row],[Função]],1)),tabParametros[[#This Row],[Salário Base]]/210*0.2*8*15.5,0))</f>
        <v>0</v>
      </c>
      <c r="M341" s="239">
        <f>IF(ISNUMBER(SEARCH("Motorista II",tabParametros[[#This Row],[Função]],1)),0.3022*tabParametros[[#This Row],[Salário Base]],0)</f>
        <v>0</v>
      </c>
      <c r="N341" s="259">
        <v>0</v>
      </c>
      <c r="O341" s="254">
        <f>IF(ISNUMBER(SEARCH("TECNOLOGIA DA INFORMACAO",tabParametros[[#This Row],[Função]],1)),0.056*tabParametros[[#This Row],[Salário Base]],0)</f>
        <v>0</v>
      </c>
      <c r="P341" s="239">
        <f>IF(tabParametros[[#This Row],[Função]]="Operador de Midia Audiovisual - 150 h",tabParametros[[#This Row],[Salário Base]]/150*50*30%,IF(tabParametros[[#This Row],[Função]]="Supervisor de Manutencao de Veiculos II - 220 h",12%*tabParametros[[#This Row],[Salário Base]],0))</f>
        <v>0</v>
      </c>
      <c r="Q341" s="240">
        <f>VLOOKUP(tabParametros[[#Headers],[INSS]],tabImpostosNacionais[],2,0)</f>
        <v>0.2</v>
      </c>
      <c r="R341" s="240">
        <f>VLOOKUP(tabParametros[[#Headers],[SESI OU SESC]],tabImpostosNacionais[],2,0)</f>
        <v>1.4999999999999999E-2</v>
      </c>
      <c r="S341" s="240">
        <f>VLOOKUP(tabParametros[[#Headers],[SENAI OU SENAC]],tabImpostosNacionais[],2,0)</f>
        <v>0.01</v>
      </c>
      <c r="T341" s="240">
        <f>VLOOKUP(tabParametros[[#Headers],[INCRA]],tabImpostosNacionais[],2,0)</f>
        <v>2E-3</v>
      </c>
      <c r="U341" s="240">
        <f>VLOOKUP(tabParametros[[#Headers],[Salário Educação]],tabImpostosNacionais[],2,0)</f>
        <v>2.5000000000000001E-2</v>
      </c>
      <c r="V341" s="240">
        <f>VLOOKUP(tabParametros[[#Headers],[FGTS]],tabImpostosNacionais[],2,0)</f>
        <v>0.08</v>
      </c>
      <c r="W341" s="240">
        <f>VLOOKUP(tabParametros[[#Headers],[RAT Ajustado]],tabImpostosNacionais[],2,0)</f>
        <v>0.04</v>
      </c>
      <c r="X341" s="240">
        <f>VLOOKUP(tabParametros[[#Headers],[SEBRAE]],tabImpostosNacionais[],2,0)</f>
        <v>6.0000000000000001E-3</v>
      </c>
      <c r="Y341" s="240">
        <f t="shared" si="55"/>
        <v>8.3333333333333329E-2</v>
      </c>
      <c r="Z341" s="240">
        <f t="shared" si="56"/>
        <v>0.1111111111111111</v>
      </c>
      <c r="AA341" s="239">
        <f>VLOOKUP(tabParametros[[#This Row],[Comarca]],tabComarca[],5,0)</f>
        <v>6.4</v>
      </c>
      <c r="AB341" s="239">
        <f>VLOOKUP(tabParametros[[#This Row],[CCT DA CATEGORIA]],tabSindicatos[],6,0)</f>
        <v>29.15</v>
      </c>
      <c r="AC341" s="239">
        <f>VLOOKUP(tabParametros[[#This Row],[CCT DA CATEGORIA]],tabSindicatos[],7,0)</f>
        <v>0</v>
      </c>
      <c r="AD341" s="239" cm="1">
        <f t="array" ref="AD34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
)</f>
        <v>57.07</v>
      </c>
      <c r="AE341" s="239">
        <f>VLOOKUP(tabParametros[[#This Row],[CCT DA CATEGORIA]],tabSindicatos[],9,0)</f>
        <v>0</v>
      </c>
      <c r="AF341" s="239">
        <f>VLOOKUP(tabParametros[[#This Row],[CCT DA CATEGORIA]],tabSindicatos[],10,0)</f>
        <v>0</v>
      </c>
      <c r="AG341" s="241">
        <f>VLOOKUP(tabParametros[[#Headers],[Seguro de Vida]],tabOutrosCustos[],3,0)</f>
        <v>3.36</v>
      </c>
      <c r="AH341" s="241">
        <f>IF(ISNUMBER(SEARCH("MOTORISTA",tabParametros[[#This Row],[Função]],1)),VLOOKUP("MOTORISTAS",tabDiarias[],2,0),IF(tabParametros[[#This Row],[Comarca]]="Belo Horizonte",VLOOKUP("APOIO",tabDiarias[],2,0),0))</f>
        <v>0</v>
      </c>
      <c r="AI341" s="240">
        <f t="shared" si="57"/>
        <v>7.011766975308642E-3</v>
      </c>
      <c r="AJ341" s="242">
        <f>tabParametros[[#This Row],[FGTS]]*tabParametros[[#This Row],[Aviso Prévio Indenizado (API) e Reflexo do Aviso Prévio Indenizado]]</f>
        <v>5.609413580246914E-4</v>
      </c>
      <c r="AK341" s="242">
        <f>tabParametros[[#This Row],[FGTS]]*tabParametros[[#This Row],[Aviso Prévio Indenizado (API) e Reflexo do Aviso Prévio Indenizado]]*40%</f>
        <v>2.2437654320987658E-4</v>
      </c>
      <c r="AL341" s="240">
        <f t="shared" si="58"/>
        <v>3.5000000000000005E-3</v>
      </c>
      <c r="AM341" s="240">
        <f>tabParametros[[#This Row],[Aviso Prévio Trabalhado - APT]]*SUM(tabParametros[[#This Row],[INSS]:[SEBRAE]])</f>
        <v>1.3230000000000004E-3</v>
      </c>
      <c r="AN341" s="240">
        <f t="shared" si="59"/>
        <v>3.0577777777777773E-2</v>
      </c>
      <c r="AO341" s="240">
        <f t="shared" si="60"/>
        <v>8.3333333333333339E-4</v>
      </c>
      <c r="AP341" s="240">
        <f t="shared" si="61"/>
        <v>8.4444444444444437E-3</v>
      </c>
      <c r="AQ341" s="240">
        <f t="shared" si="62"/>
        <v>2.0277777777777777E-3</v>
      </c>
      <c r="AR341" s="240">
        <f t="shared" si="63"/>
        <v>1.7083333333333333E-4</v>
      </c>
      <c r="AS341" s="240">
        <f t="shared" si="64"/>
        <v>2.0833333333333335E-4</v>
      </c>
      <c r="AT341" s="240">
        <f t="shared" si="65"/>
        <v>1.2962962962962963E-3</v>
      </c>
      <c r="AU341" s="242">
        <f>SUM(tabParametros[[#This Row],[Ausência por Doença]:[Férias, Adicional de Férias e 13º  com empregada em gozo de Licença Maternidade]])*SUM(tabParametros[[#This Row],[INSS]:[SEBRAE]])</f>
        <v>4.5918250000000008E-3</v>
      </c>
      <c r="AV341" s="254">
        <f>IF(tabParametros[[#This Row],[Função]]="Porteiro - 220 h",SUM(tabParametros[[#This Row],[Salário Base]:[Adicional de Acúmulo de função]])/220*20*1.5,IF(ISNUMBER(SEARCH("12 x 36",tabParametros[[#This Row],[Função]],1)),SUM(tabParametros[[#This Row],[Salário Base]:[Adicional de Acúmulo de função]])/210*15.5*1.5,0))</f>
        <v>267.73786489195959</v>
      </c>
      <c r="AW341" s="239">
        <f>IF(tabParametros[[#This Row],[Vagas contratadas]]&gt;0,(SUM(tabParametros[[#This Row],[Salário Base]:[Adicional de Acúmulo de função]])*30%+SUM(tabParametros[[#This Row],[Vale - Alimentação]:[Seguro de Vida]]))/tabParametros[[#This Row],[Vagas contratadas]]*tabParametros[[#This Row],[Vagas suspensas]],0)</f>
        <v>0</v>
      </c>
      <c r="AX341" s="239">
        <f>SUMIF(tabUniformes[Cargo],tabParametros[[#This Row],[Função]],tabUniformes[Valor unit. Mensal])</f>
        <v>56.642978962543395</v>
      </c>
      <c r="AY341" s="239">
        <f>IF(ISNUMBER(SEARCH("Jardineiro",tabParametros[[#This Row],[Função]],1)),SUMIF(tabJardinagem[TIPO],"Material",tabJardinagem[VALOR UNITÁRIO P/ POSTO (R$)]),0)+
IF(tabParametros[[#This Row],[Função]]="Lavador de Veiculos - 220 h",SUMIF(tabVeicular[TIPO],"Material",tabVeicular[VALOR UNITÁRIO P/ POSTO (R$)]),0)+IF(ISNUMBER(SEARCH("Garcom",tabParametros[[#This Row],[Função]],1)),SUMIF(tabGarcom[TIPO],"Material",tabGarcom[VALOR UNITÁRIO P/ POSTO (R$)]),0)</f>
        <v>0</v>
      </c>
      <c r="AZ341" s="239">
        <f>IF(ISNUMBER(SEARCH("Jardineiro",tabParametros[[#This Row],[Função]],1)),SUMIF(tabJardinagem[TIPO],"Equipamento",tabJardinagem[VALOR UNITÁRIO P/ POSTO (R$)]),0)+
IF(tabParametros[[#This Row],[Função]]="Lavador de Veiculos - 220 h",SUMIF(tabVeicular[TIPO],"Equipamento",tabVeicular[VALOR UNITÁRIO P/ POSTO (R$)]),0)+IF(ISNUMBER(SEARCH("Garcom",tabParametros[[#This Row],[Função]],1)),SUMIF(tabGarcom[TIPO],"Equipamento",tabGarcom[VALOR UNITÁRIO P/ POSTO (R$)]),0)</f>
        <v>0</v>
      </c>
      <c r="BA341" s="239">
        <f>IF(ISNUMBER(SEARCH("Jardineiro",tabParametros[[#This Row],[Função]],1)),SUMIF(tabJardinagem[TIPO],"Produto",tabJardinagem[VALOR UNITÁRIO P/ POSTO (R$)]),0)+
IF(tabParametros[[#This Row],[Função]]="Lavador de Veiculos - 220 h",SUMIF(tabVeicular[TIPO],"Produto",tabVeicular[VALOR UNITÁRIO P/ POSTO (R$)]),0)+IF(ISNUMBER(SEARCH("Garcom",tabParametros[[#This Row],[Função]],1)),SUMIF(tabGarcom[TIPO],"Produto",tabGarcom[VALOR UNITÁRIO P/ POSTO (R$)]),0)</f>
        <v>0</v>
      </c>
      <c r="BB341" s="232">
        <v>0</v>
      </c>
      <c r="BC341" s="241" t="e">
        <f ca="1">VLOOKUP(tabParametros[[#Headers],[Custos Indiretos]],tabOutrosCustos[],3,0)</f>
        <v>#NAME?</v>
      </c>
      <c r="BD341" s="241" t="e">
        <f ca="1">VLOOKUP(tabParametros[[#Headers],[Lucro]],tabOutrosCustos[],3,0)</f>
        <v>#NAME?</v>
      </c>
      <c r="BE341" s="240">
        <f>VLOOKUP(tabParametros[[#Headers],[COFINS]],tabImpostosNacionais[],2,0)</f>
        <v>7.5999999999999998E-2</v>
      </c>
      <c r="BF341" s="240">
        <f>VLOOKUP(tabParametros[[#Headers],[PIS]],tabImpostosNacionais[],2,0)</f>
        <v>1.6500000000000001E-2</v>
      </c>
      <c r="BG341" s="240">
        <f>VLOOKUP(tabParametros[[#This Row],[Comarca]],tabComarca[],4,0)</f>
        <v>0.03</v>
      </c>
      <c r="BH341" s="243">
        <f>VLOOKUP(tabParametros[[#This Row],[CCT DA CATEGORIA]],tabSindicatos[],11,0)</f>
        <v>45658</v>
      </c>
      <c r="BI341" s="284" t="str">
        <f>VLOOKUP(tabParametros[[#This Row],[CCT DA CATEGORIA]],tabSindicatos[],12,0)</f>
        <v>-</v>
      </c>
      <c r="BJ341" s="287" t="str">
        <f>VLOOKUP(tabParametros[[#This Row],[CCT DA CATEGORIA]],tabSindicatos[],13,0)</f>
        <v>-</v>
      </c>
    </row>
    <row r="342" spans="1:62" ht="15">
      <c r="A342" s="262" t="s">
        <v>1520</v>
      </c>
      <c r="B342" s="263"/>
      <c r="C342" s="263"/>
      <c r="D342" s="263"/>
      <c r="E342" s="264"/>
      <c r="F342" s="264"/>
      <c r="G342" s="264">
        <f>SUBTOTAL(9,tabParametros[Vagas contratadas])</f>
        <v>1304</v>
      </c>
      <c r="H342" s="264">
        <f>SUBTOTAL(9,tabParametros[Vagas suspensas])</f>
        <v>0</v>
      </c>
      <c r="I342" s="265">
        <f>SUBTOTAL(9,tabParametros[Salário Base])</f>
        <v>981388.11926325131</v>
      </c>
      <c r="J342" s="265">
        <f>SUBTOTAL(9,tabParametros[Adicional Periculosidade])</f>
        <v>1102.1409591433667</v>
      </c>
      <c r="K342" s="265">
        <f>SUBTOTAL(9,tabParametros[Adicional Insalubridade])</f>
        <v>9108.0000000000055</v>
      </c>
      <c r="L342" s="265">
        <f>SUBTOTAL(9,tabParametros[Adicional Noturno])</f>
        <v>7952.1937357216839</v>
      </c>
      <c r="M342" s="265">
        <f>SUBTOTAL(9,tabParametros[Adicional Motorista II (Gratificação)])</f>
        <v>1377.449054496587</v>
      </c>
      <c r="N342" s="265">
        <f>SUBTOTAL(9,tabParametros[Adicional de Sobreaviso])</f>
        <v>0</v>
      </c>
      <c r="O342" s="265">
        <f>SUBTOTAL(9,tabParametros[Horas Extras TI])</f>
        <v>1937.1844800000001</v>
      </c>
      <c r="P342" s="265">
        <f>SUBTOTAL(9,tabParametros[Adicional de Acúmulo de função])</f>
        <v>861.72932297807813</v>
      </c>
      <c r="Q342" s="266">
        <f>SUBTOTAL(101,tabParametros[INSS])</f>
        <v>0.20000000000000123</v>
      </c>
      <c r="R342" s="266">
        <f>SUBTOTAL(101,tabParametros[SESI OU SESC])</f>
        <v>1.4999999999999965E-2</v>
      </c>
      <c r="S342" s="266">
        <f>SUBTOTAL(101,tabParametros[SENAI OU SENAC])</f>
        <v>9.9999999999999169E-3</v>
      </c>
      <c r="T342" s="266">
        <f>SUBTOTAL(101,tabParametros[INCRA])</f>
        <v>2.0000000000000013E-3</v>
      </c>
      <c r="U342" s="266">
        <f>SUBTOTAL(101,tabParametros[Salário Educação])</f>
        <v>2.5000000000000154E-2</v>
      </c>
      <c r="V342" s="266">
        <f>SUBTOTAL(101,tabParametros[FGTS])</f>
        <v>7.9999999999999336E-2</v>
      </c>
      <c r="W342" s="266">
        <f>SUBTOTAL(101,tabParametros[RAT Ajustado])</f>
        <v>3.9999999999999668E-2</v>
      </c>
      <c r="X342" s="266">
        <f>SUBTOTAL(101,tabParametros[SEBRAE])</f>
        <v>6.000000000000001E-3</v>
      </c>
      <c r="Y342" s="266">
        <f>SUBTOTAL(101,tabParametros[SESI OU SESC])</f>
        <v>1.4999999999999965E-2</v>
      </c>
      <c r="Z342" s="266">
        <f>SUBTOTAL(101,tabParametros[SENAI OU SENAC])</f>
        <v>9.9999999999999169E-3</v>
      </c>
      <c r="AA342" s="265">
        <f>SUBTOTAL(9,tabParametros[Vale - Transporte])</f>
        <v>2459.0500000000197</v>
      </c>
      <c r="AB342" s="265">
        <f>SUBTOTAL(9,tabParametros[Vale - Alimentação])</f>
        <v>9312.4799999999486</v>
      </c>
      <c r="AC342" s="265">
        <f>SUBTOTAL(9,tabParametros[Cesta Básica])</f>
        <v>6980.22</v>
      </c>
      <c r="AD342" s="265">
        <f>SUBTOTAL(9,tabParametros[PAF])</f>
        <v>13419.039999999992</v>
      </c>
      <c r="AE342" s="265">
        <f>SUBTOTAL(9,tabParametros[PQM])</f>
        <v>571.9</v>
      </c>
      <c r="AF342" s="265">
        <f>SUBTOTAL(9,tabParametros[Abono Único e Especial])</f>
        <v>0</v>
      </c>
      <c r="AG342" s="265">
        <f>SUBTOTAL(9,tabParametros[Seguro de Vida])</f>
        <v>1135.6800000000003</v>
      </c>
      <c r="AH342" s="265">
        <f>SUBTOTAL(9,tabParametros[Despesas de Viagem])</f>
        <v>39800.539999999935</v>
      </c>
      <c r="AI342" s="266">
        <f>SUBTOTAL(101,tabParametros[Aviso Prévio Indenizado (API) e Reflexo do Aviso Prévio Indenizado])</f>
        <v>7.0117669753086516E-3</v>
      </c>
      <c r="AJ342" s="266">
        <f>SUBTOTAL(101,tabParametros[Incidência do FGTS sobre API e Reflexo do API])</f>
        <v>5.6094135802469379E-4</v>
      </c>
      <c r="AK342" s="266">
        <f>SUBTOTAL(101,tabParametros[Multa Rescisória do FGTS sobre o Aviso Prévio Indenizado])</f>
        <v>2.2437654320987783E-4</v>
      </c>
      <c r="AL342" s="266">
        <f>SUBTOTAL(101,tabParametros[Aviso Prévio Trabalhado - APT])</f>
        <v>3.4999999999999884E-3</v>
      </c>
      <c r="AM342" s="266">
        <f>SUBTOTAL(101,tabParametros[Incidência dos encargos do submódulo 2.1 sobre Aviso Prévio Trabalhado])</f>
        <v>1.3230000000000062E-3</v>
      </c>
      <c r="AN342" s="266">
        <f>SUBTOTAL(101,tabParametros[Multa Rescisória do FGTS])</f>
        <v>3.0577777777777537E-2</v>
      </c>
      <c r="AO342" s="266">
        <f>SUBTOTAL(101,tabParametros[Indenização Adicional (Art. 9º da Lei nº 7.238/84)])</f>
        <v>8.3333333333333252E-4</v>
      </c>
      <c r="AP342" s="266">
        <f>SUBTOTAL(101,tabParametros[Ausência por Doença])</f>
        <v>8.444444444444402E-3</v>
      </c>
      <c r="AQ342" s="266">
        <f>SUBTOTAL(101,tabParametros[Ausências Legais])</f>
        <v>2.0277777777777724E-3</v>
      </c>
      <c r="AR342" s="266">
        <f>SUBTOTAL(101,tabParametros[Licença Paternidade])</f>
        <v>1.708333333333339E-4</v>
      </c>
      <c r="AS342" s="266">
        <f>SUBTOTAL(101,tabParametros[Ausência por Acidente de Trabalho])</f>
        <v>2.0833333333333313E-4</v>
      </c>
      <c r="AT342" s="266">
        <f>SUBTOTAL(101,tabParametros[Férias, Adicional de Férias e 13º  com empregada em gozo de Licença Maternidade])</f>
        <v>1.2962962962962956E-3</v>
      </c>
      <c r="AU342" s="266">
        <f>SUBTOTAL(101,tabParametros[Incidência do Submódulo 2.1 sobre Ausências Legais])</f>
        <v>4.5918250000000337E-3</v>
      </c>
      <c r="AV342" s="265">
        <f>SUBTOTAL(9,tabParametros[Intervalo para Repouso ou Alimentação])</f>
        <v>27519.65567139419</v>
      </c>
      <c r="AW342" s="265">
        <f>SUBTOTAL(9,tabParametros[Suspensão Temporária do Contrato de Trabalho])</f>
        <v>0</v>
      </c>
      <c r="AX342" s="265">
        <f>SUBTOTAL(9,tabParametros[Uniformes e EPIs])</f>
        <v>29657.71018893056</v>
      </c>
      <c r="AY342" s="265">
        <f>SUBTOTAL(9,tabParametros[Materiais de Consumo])</f>
        <v>11562.285026881727</v>
      </c>
      <c r="AZ342" s="265">
        <f>SUBTOTAL(9,tabParametros[Máquinas e Equipamentos (depreciação)])</f>
        <v>3316.4391161290341</v>
      </c>
      <c r="BA342" s="265">
        <f>SUBTOTAL(9,tabParametros[Produtos de Limpeza e Materiais de Higiene Pessoal])</f>
        <v>1012.8216666666667</v>
      </c>
      <c r="BB342" s="265">
        <f>SUBTOTAL(9,tabParametros[Outros (especificar)])</f>
        <v>0</v>
      </c>
      <c r="BC342" s="265" t="e">
        <f ca="1">SUBTOTAL(9,tabParametros[Custos Indiretos])</f>
        <v>#NAME?</v>
      </c>
      <c r="BD342" s="265" t="e">
        <f ca="1">SUBTOTAL(9,tabParametros[Lucro])</f>
        <v>#NAME?</v>
      </c>
      <c r="BE342" s="266">
        <f>SUBTOTAL(101,tabParametros[COFINS])</f>
        <v>7.6000000000000303E-2</v>
      </c>
      <c r="BF342" s="266">
        <f>SUBTOTAL(101,tabParametros[PIS])</f>
        <v>1.649999999999998E-2</v>
      </c>
      <c r="BG342" s="266">
        <f>SUBTOTAL(101,tabParametros[ISS])</f>
        <v>3.4665680473372575E-2</v>
      </c>
      <c r="BH342" s="267"/>
      <c r="BI342" s="264"/>
      <c r="BJ342" s="268"/>
    </row>
    <row r="343" spans="1:62">
      <c r="A343" s="5" t="s">
        <v>1252</v>
      </c>
      <c r="B343" s="1"/>
      <c r="C343" s="1"/>
      <c r="D343" s="1"/>
      <c r="E343" s="1"/>
      <c r="F343" s="1"/>
      <c r="G343" s="1"/>
      <c r="H343" s="1"/>
      <c r="I343" s="160"/>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row>
    <row r="344" spans="1:62">
      <c r="A344" s="6"/>
      <c r="B344" s="7" t="s">
        <v>1253</v>
      </c>
      <c r="C344" s="1"/>
      <c r="D344" s="1"/>
      <c r="E344" s="1"/>
      <c r="F344" s="1"/>
      <c r="G344" s="1"/>
      <c r="H344" s="1"/>
      <c r="I344" s="160"/>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row>
    <row r="345" spans="1:62">
      <c r="A345" s="8"/>
      <c r="B345" s="9" t="s">
        <v>1254</v>
      </c>
      <c r="C345" s="1"/>
      <c r="D345" s="1"/>
      <c r="E345" s="1"/>
      <c r="F345" s="1"/>
      <c r="G345" s="1"/>
      <c r="H345" s="1"/>
      <c r="I345" s="160"/>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row>
    <row r="346" spans="1:62">
      <c r="A346" s="4"/>
      <c r="B346" s="9" t="s">
        <v>1255</v>
      </c>
      <c r="C346" s="1"/>
      <c r="D346" s="1"/>
      <c r="E346" s="1"/>
      <c r="F346" s="1"/>
      <c r="G346" s="1"/>
      <c r="H346" s="1"/>
      <c r="I346" s="160"/>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row>
    <row r="347" spans="1:62">
      <c r="A347" s="10"/>
      <c r="B347" s="9" t="s">
        <v>1256</v>
      </c>
      <c r="C347" s="1"/>
      <c r="D347" s="1"/>
      <c r="E347" s="1"/>
      <c r="F347" s="1"/>
      <c r="G347" s="1"/>
      <c r="H347" s="1"/>
      <c r="I347" s="160"/>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row>
    <row r="348" spans="1:62">
      <c r="A348" s="1"/>
      <c r="B348" s="1"/>
      <c r="C348" s="1"/>
      <c r="D348" s="1"/>
      <c r="E348" s="1"/>
      <c r="F348" s="1"/>
      <c r="G348" s="1"/>
      <c r="H348" s="1"/>
      <c r="I348" s="160"/>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60"/>
      <c r="AZ348" s="1"/>
      <c r="BA348" s="1"/>
      <c r="BB348" s="1"/>
      <c r="BC348" s="1"/>
      <c r="BD348" s="1"/>
      <c r="BE348" s="1"/>
      <c r="BF348" s="1"/>
      <c r="BG348" s="1"/>
      <c r="BH348" s="1"/>
      <c r="BI348" s="1"/>
      <c r="BJ348" s="1"/>
    </row>
    <row r="349" spans="1:62">
      <c r="A349" s="1"/>
      <c r="B349" s="1"/>
      <c r="C349" s="1"/>
      <c r="D349" s="1"/>
      <c r="E349" s="1"/>
      <c r="F349" s="1"/>
      <c r="G349" s="1"/>
      <c r="H349" s="1"/>
      <c r="I349" s="160"/>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row>
    <row r="350" spans="1:62">
      <c r="A350" s="1"/>
      <c r="B350" s="1"/>
      <c r="C350" s="1"/>
      <c r="D350" s="1"/>
      <c r="E350" s="1"/>
      <c r="F350" s="1"/>
      <c r="G350" s="1"/>
      <c r="H350" s="1"/>
      <c r="I350" s="160"/>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row>
    <row r="351" spans="1:62">
      <c r="A351" s="1"/>
      <c r="B351" s="1"/>
      <c r="C351" s="1"/>
      <c r="D351" s="1"/>
      <c r="E351" s="1"/>
      <c r="F351" s="1"/>
      <c r="G351" s="1"/>
      <c r="H351" s="1"/>
      <c r="I351" s="160"/>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row>
    <row r="352" spans="1:62">
      <c r="A352" s="1"/>
      <c r="B352" s="1"/>
      <c r="C352" s="1"/>
      <c r="D352" s="1"/>
      <c r="E352" s="1"/>
      <c r="F352" s="1"/>
      <c r="G352" s="1"/>
      <c r="H352" s="1"/>
      <c r="I352" s="160"/>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row>
    <row r="353" spans="1:62">
      <c r="A353" s="1"/>
      <c r="B353" s="1"/>
      <c r="C353" s="1"/>
      <c r="D353" s="1"/>
      <c r="E353" s="1"/>
      <c r="F353" s="1"/>
      <c r="G353" s="1"/>
      <c r="H353" s="1"/>
      <c r="I353" s="160"/>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row>
    <row r="354" spans="1:62">
      <c r="A354" s="1"/>
      <c r="B354" s="1"/>
      <c r="C354" s="1"/>
      <c r="D354" s="1"/>
      <c r="E354" s="1"/>
      <c r="F354" s="1"/>
      <c r="G354" s="1"/>
      <c r="H354" s="1"/>
      <c r="I354" s="160"/>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row>
    <row r="355" spans="1:62">
      <c r="A355" s="1"/>
      <c r="B355" s="1"/>
      <c r="C355" s="1"/>
      <c r="D355" s="1"/>
      <c r="E355" s="1"/>
      <c r="F355" s="1"/>
      <c r="G355" s="1"/>
      <c r="H355" s="1"/>
      <c r="I355" s="160"/>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row>
    <row r="356" spans="1:62">
      <c r="A356" s="1"/>
      <c r="B356" s="1"/>
      <c r="C356" s="1"/>
      <c r="D356" s="1"/>
      <c r="E356" s="1"/>
      <c r="F356" s="1"/>
      <c r="G356" s="1"/>
      <c r="H356" s="1"/>
      <c r="I356" s="160"/>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row>
    <row r="357" spans="1:62">
      <c r="A357" s="1"/>
      <c r="B357" s="1"/>
      <c r="C357" s="1"/>
      <c r="D357" s="1"/>
      <c r="E357" s="1"/>
      <c r="F357" s="1"/>
      <c r="G357" s="1"/>
      <c r="H357" s="1"/>
      <c r="I357" s="160"/>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row>
    <row r="358" spans="1:62">
      <c r="A358" s="1"/>
      <c r="B358" s="1"/>
      <c r="C358" s="1"/>
      <c r="D358" s="1"/>
      <c r="E358" s="1"/>
      <c r="F358" s="1"/>
      <c r="G358" s="1"/>
      <c r="H358" s="1"/>
      <c r="I358" s="160"/>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row>
    <row r="359" spans="1:62">
      <c r="A359" s="1"/>
      <c r="B359" s="1"/>
      <c r="C359" s="1"/>
      <c r="D359" s="1"/>
      <c r="E359" s="1"/>
      <c r="F359" s="1"/>
      <c r="G359" s="1"/>
      <c r="H359" s="1"/>
      <c r="I359" s="160"/>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row>
    <row r="360" spans="1:62">
      <c r="A360" s="1"/>
      <c r="B360" s="1"/>
      <c r="C360" s="1"/>
      <c r="D360" s="1"/>
      <c r="E360" s="1"/>
      <c r="F360" s="1"/>
      <c r="G360" s="1"/>
      <c r="H360" s="1"/>
      <c r="I360" s="160"/>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row>
    <row r="361" spans="1:62">
      <c r="A361" s="1"/>
      <c r="B361" s="1"/>
      <c r="C361" s="1"/>
      <c r="D361" s="1"/>
      <c r="E361" s="1"/>
      <c r="F361" s="1"/>
      <c r="G361" s="1"/>
      <c r="H361" s="1"/>
      <c r="I361" s="160"/>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row>
    <row r="362" spans="1:62">
      <c r="A362" s="1"/>
      <c r="B362" s="1"/>
      <c r="C362" s="1"/>
      <c r="D362" s="1"/>
      <c r="E362" s="1"/>
      <c r="F362" s="1"/>
      <c r="G362" s="1"/>
      <c r="H362" s="1"/>
      <c r="I362" s="160"/>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row>
    <row r="363" spans="1:62">
      <c r="A363" s="1"/>
      <c r="B363" s="1"/>
      <c r="C363" s="1"/>
      <c r="D363" s="1"/>
      <c r="E363" s="1"/>
      <c r="F363" s="1"/>
      <c r="G363" s="1"/>
      <c r="H363" s="1"/>
      <c r="I363" s="160"/>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row>
    <row r="364" spans="1:62">
      <c r="A364" s="1"/>
      <c r="B364" s="1"/>
      <c r="C364" s="1"/>
      <c r="D364" s="1"/>
      <c r="E364" s="1"/>
      <c r="F364" s="1"/>
      <c r="G364" s="1"/>
      <c r="H364" s="1"/>
      <c r="I364" s="160"/>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row>
    <row r="365" spans="1:62">
      <c r="A365" s="1"/>
      <c r="B365" s="1"/>
      <c r="C365" s="1"/>
      <c r="D365" s="1"/>
      <c r="E365" s="1"/>
      <c r="F365" s="1"/>
      <c r="G365" s="1"/>
      <c r="H365" s="1"/>
      <c r="I365" s="160"/>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row>
    <row r="366" spans="1:62">
      <c r="A366" s="1"/>
      <c r="B366" s="1"/>
      <c r="C366" s="1"/>
      <c r="D366" s="1"/>
      <c r="E366" s="1"/>
      <c r="F366" s="1"/>
      <c r="G366" s="1"/>
      <c r="H366" s="1"/>
      <c r="I366" s="160"/>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row>
    <row r="367" spans="1:62">
      <c r="A367" s="1"/>
      <c r="B367" s="1"/>
      <c r="C367" s="1"/>
      <c r="D367" s="1"/>
      <c r="E367" s="1"/>
      <c r="F367" s="1"/>
      <c r="G367" s="1"/>
      <c r="H367" s="1"/>
      <c r="I367" s="160"/>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row>
    <row r="368" spans="1:62">
      <c r="A368" s="1"/>
      <c r="B368" s="1"/>
      <c r="C368" s="1"/>
      <c r="D368" s="1"/>
      <c r="E368" s="1"/>
      <c r="F368" s="1"/>
      <c r="G368" s="1"/>
      <c r="H368" s="1"/>
      <c r="I368" s="160"/>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row>
    <row r="369" spans="1:62">
      <c r="A369" s="1"/>
      <c r="B369" s="1"/>
      <c r="C369" s="1"/>
      <c r="D369" s="1"/>
      <c r="E369" s="1"/>
      <c r="F369" s="1"/>
      <c r="G369" s="1"/>
      <c r="H369" s="1"/>
      <c r="I369" s="160"/>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row>
    <row r="370" spans="1:62">
      <c r="A370" s="1"/>
      <c r="B370" s="1"/>
      <c r="C370" s="1"/>
      <c r="D370" s="1"/>
      <c r="E370" s="1"/>
      <c r="F370" s="1"/>
      <c r="G370" s="1"/>
      <c r="H370" s="1"/>
      <c r="I370" s="160"/>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row>
    <row r="371" spans="1:62">
      <c r="A371" s="1"/>
      <c r="B371" s="1"/>
      <c r="C371" s="1"/>
      <c r="D371" s="1"/>
      <c r="E371" s="1"/>
      <c r="F371" s="1"/>
      <c r="G371" s="1"/>
      <c r="H371" s="1"/>
      <c r="I371" s="160"/>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row>
    <row r="372" spans="1:62">
      <c r="A372" s="1"/>
      <c r="B372" s="1"/>
      <c r="C372" s="1"/>
      <c r="D372" s="1"/>
      <c r="E372" s="1"/>
      <c r="F372" s="1"/>
      <c r="G372" s="1"/>
      <c r="H372" s="1"/>
      <c r="I372" s="160"/>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row>
    <row r="373" spans="1:62">
      <c r="A373" s="1"/>
      <c r="B373" s="1"/>
      <c r="C373" s="1"/>
      <c r="D373" s="1"/>
      <c r="E373" s="1"/>
      <c r="F373" s="1"/>
      <c r="G373" s="1"/>
      <c r="H373" s="1"/>
      <c r="I373" s="160"/>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row>
    <row r="374" spans="1:62">
      <c r="A374" s="1"/>
      <c r="B374" s="1"/>
      <c r="C374" s="1"/>
      <c r="D374" s="1"/>
      <c r="E374" s="1"/>
      <c r="F374" s="1"/>
      <c r="G374" s="1"/>
      <c r="H374" s="1"/>
      <c r="I374" s="160"/>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row>
    <row r="375" spans="1:62">
      <c r="A375" s="1"/>
      <c r="B375" s="1"/>
      <c r="C375" s="1"/>
      <c r="D375" s="1"/>
      <c r="E375" s="1"/>
      <c r="F375" s="1"/>
      <c r="G375" s="1"/>
      <c r="H375" s="1"/>
      <c r="I375" s="160"/>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row>
    <row r="376" spans="1:62">
      <c r="A376" s="1"/>
      <c r="B376" s="1"/>
      <c r="C376" s="1"/>
      <c r="D376" s="1"/>
      <c r="E376" s="1"/>
      <c r="F376" s="1"/>
      <c r="G376" s="1"/>
      <c r="H376" s="1"/>
      <c r="I376" s="160"/>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row>
  </sheetData>
  <phoneticPr fontId="9" type="noConversion"/>
  <pageMargins left="0.511811024" right="0.511811024" top="0.78740157499999996" bottom="0.78740157499999996" header="0.31496062000000002" footer="0.31496062000000002"/>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dimension ref="A1:CF406"/>
  <sheetViews>
    <sheetView zoomScale="85" zoomScaleNormal="85" workbookViewId="0">
      <pane ySplit="3" topLeftCell="A4" activePane="bottomLeft" state="frozen"/>
      <selection pane="bottomLeft" activeCell="A3" sqref="A3:CB342"/>
    </sheetView>
  </sheetViews>
  <sheetFormatPr defaultRowHeight="14.25"/>
  <cols>
    <col min="1" max="1" width="19.75" customWidth="1"/>
    <col min="2" max="2" width="22.625" customWidth="1"/>
    <col min="3" max="3" width="50.375" customWidth="1"/>
    <col min="4" max="4" width="43.125" customWidth="1"/>
    <col min="5" max="5" width="17" customWidth="1"/>
    <col min="6" max="6" width="22" bestFit="1" customWidth="1"/>
    <col min="7" max="7" width="15.625" customWidth="1"/>
    <col min="8" max="8" width="25.875" customWidth="1"/>
    <col min="9" max="9" width="24.875" customWidth="1"/>
    <col min="10" max="10" width="20.125" customWidth="1"/>
    <col min="11" max="11" width="34.25" customWidth="1"/>
    <col min="12" max="12" width="25.375" customWidth="1"/>
    <col min="13" max="13" width="17.75" customWidth="1"/>
    <col min="14" max="14" width="32.125" bestFit="1" customWidth="1"/>
    <col min="15" max="15" width="27.875" customWidth="1"/>
    <col min="16" max="16" width="14.125" customWidth="1"/>
    <col min="17" max="17" width="16.375" customWidth="1"/>
    <col min="18" max="18" width="18.75" customWidth="1"/>
    <col min="19" max="19" width="12" customWidth="1"/>
    <col min="20" max="20" width="19.25" customWidth="1"/>
    <col min="21" max="21" width="13.125" customWidth="1"/>
    <col min="22" max="22" width="16.625" customWidth="1"/>
    <col min="23" max="23" width="12" customWidth="1"/>
    <col min="24" max="24" width="17.625" customWidth="1"/>
    <col min="25" max="25" width="20.375" customWidth="1"/>
    <col min="26" max="26" width="34.875" customWidth="1"/>
    <col min="27" max="27" width="67.5" bestFit="1" customWidth="1"/>
    <col min="28" max="28" width="17.625" customWidth="1"/>
    <col min="29" max="29" width="50.75" bestFit="1" customWidth="1"/>
    <col min="30" max="30" width="51.625" customWidth="1"/>
    <col min="31" max="31" width="16" customWidth="1"/>
    <col min="32" max="32" width="13.125" customWidth="1"/>
    <col min="33" max="33" width="10.5" customWidth="1"/>
    <col min="34" max="34" width="24.625" customWidth="1"/>
    <col min="35" max="35" width="18.25" customWidth="1"/>
    <col min="36" max="36" width="23.25" customWidth="1"/>
    <col min="37" max="37" width="17.625" customWidth="1"/>
    <col min="38" max="38" width="54.125" bestFit="1" customWidth="1"/>
    <col min="39" max="39" width="61.25" customWidth="1"/>
    <col min="40" max="40" width="43.75" customWidth="1"/>
    <col min="41" max="41" width="54.125" customWidth="1"/>
    <col min="42" max="42" width="30.375" customWidth="1"/>
    <col min="43" max="43" width="67.375" customWidth="1"/>
    <col min="44" max="44" width="26.5" customWidth="1"/>
    <col min="45" max="45" width="44.5" customWidth="1"/>
    <col min="46" max="46" width="38.5" customWidth="1"/>
    <col min="47" max="47" width="23.125" customWidth="1"/>
    <col min="48" max="48" width="20.25" customWidth="1"/>
    <col min="49" max="49" width="22.125" customWidth="1"/>
    <col min="50" max="50" width="34.625" bestFit="1" customWidth="1"/>
    <col min="51" max="51" width="74.5" customWidth="1"/>
    <col min="52" max="52" width="50" customWidth="1"/>
    <col min="53" max="53" width="17.625" customWidth="1"/>
    <col min="54" max="54" width="27.375" customWidth="1"/>
    <col min="55" max="55" width="17.625" customWidth="1"/>
    <col min="56" max="56" width="45.75" bestFit="1" customWidth="1"/>
    <col min="57" max="57" width="17.625" customWidth="1"/>
    <col min="58" max="58" width="58.625" bestFit="1" customWidth="1"/>
    <col min="59" max="59" width="19.625" customWidth="1"/>
    <col min="60" max="60" width="24.375" customWidth="1"/>
    <col min="61" max="61" width="27.5" customWidth="1"/>
    <col min="62" max="62" width="49.5" customWidth="1"/>
    <col min="63" max="63" width="22" customWidth="1"/>
    <col min="64" max="64" width="32.25" bestFit="1" customWidth="1"/>
    <col min="65" max="65" width="28.375" customWidth="1"/>
    <col min="66" max="66" width="19.5" customWidth="1"/>
    <col min="67" max="67" width="10.375" customWidth="1"/>
    <col min="68" max="68" width="11.5" customWidth="1"/>
    <col min="69" max="70" width="8.25" customWidth="1"/>
    <col min="71" max="71" width="33.375" bestFit="1" customWidth="1"/>
    <col min="72" max="72" width="23.375" customWidth="1"/>
    <col min="73" max="73" width="51" bestFit="1" customWidth="1"/>
    <col min="74" max="74" width="36.75" customWidth="1"/>
    <col min="75" max="75" width="49.125" bestFit="1" customWidth="1"/>
    <col min="76" max="76" width="27" customWidth="1"/>
    <col min="77" max="77" width="25.375" bestFit="1" customWidth="1"/>
    <col min="78" max="78" width="15.625" customWidth="1"/>
    <col min="79" max="79" width="22.625" customWidth="1"/>
    <col min="80" max="80" width="35.75" bestFit="1" customWidth="1"/>
    <col min="81" max="81" width="40.375" bestFit="1" customWidth="1"/>
    <col min="82" max="88" width="25.75" customWidth="1"/>
  </cols>
  <sheetData>
    <row r="1" spans="1:80" s="147" customFormat="1" ht="18" customHeight="1">
      <c r="G1" s="322" t="s">
        <v>1257</v>
      </c>
      <c r="H1" s="323"/>
      <c r="I1" s="323"/>
      <c r="J1" s="323"/>
      <c r="K1" s="323"/>
      <c r="L1" s="323"/>
      <c r="M1" s="323"/>
      <c r="N1" s="323"/>
      <c r="O1" s="324"/>
      <c r="P1" s="340" t="s">
        <v>1258</v>
      </c>
      <c r="Q1" s="341"/>
      <c r="R1" s="341"/>
      <c r="S1" s="341"/>
      <c r="T1" s="341"/>
      <c r="U1" s="341"/>
      <c r="V1" s="341"/>
      <c r="W1" s="341"/>
      <c r="X1" s="341"/>
      <c r="Y1" s="341"/>
      <c r="Z1" s="341"/>
      <c r="AA1" s="341"/>
      <c r="AB1" s="341"/>
      <c r="AC1" s="341"/>
      <c r="AD1" s="341"/>
      <c r="AE1" s="341"/>
      <c r="AF1" s="341"/>
      <c r="AG1" s="341"/>
      <c r="AH1" s="341"/>
      <c r="AI1" s="341"/>
      <c r="AJ1" s="341"/>
      <c r="AK1" s="341"/>
      <c r="AL1" s="341"/>
      <c r="AM1" s="342" t="s">
        <v>1259</v>
      </c>
      <c r="AN1" s="343"/>
      <c r="AO1" s="343"/>
      <c r="AP1" s="343"/>
      <c r="AQ1" s="343"/>
      <c r="AR1" s="343"/>
      <c r="AS1" s="343"/>
      <c r="AT1" s="344"/>
      <c r="AU1" s="355" t="s">
        <v>1260</v>
      </c>
      <c r="AV1" s="356"/>
      <c r="AW1" s="356"/>
      <c r="AX1" s="356"/>
      <c r="AY1" s="356"/>
      <c r="AZ1" s="356"/>
      <c r="BA1" s="356"/>
      <c r="BB1" s="356"/>
      <c r="BC1" s="356"/>
      <c r="BD1" s="356"/>
      <c r="BE1" s="356"/>
      <c r="BF1" s="357"/>
      <c r="BG1" s="330" t="s">
        <v>1261</v>
      </c>
      <c r="BH1" s="330"/>
      <c r="BI1" s="330"/>
      <c r="BJ1" s="330"/>
      <c r="BK1" s="330"/>
      <c r="BL1" s="330"/>
      <c r="BN1" s="328" t="s">
        <v>1262</v>
      </c>
      <c r="BO1" s="328"/>
      <c r="BP1" s="328"/>
      <c r="BQ1" s="328"/>
      <c r="BR1" s="328"/>
      <c r="BS1" s="328"/>
      <c r="BT1" s="328"/>
      <c r="BU1" s="328"/>
      <c r="BV1" s="328"/>
      <c r="BW1" s="329"/>
    </row>
    <row r="2" spans="1:80" s="147" customFormat="1" ht="18" customHeight="1">
      <c r="G2" s="325"/>
      <c r="H2" s="326"/>
      <c r="I2" s="326"/>
      <c r="J2" s="326"/>
      <c r="K2" s="326"/>
      <c r="L2" s="326"/>
      <c r="M2" s="326"/>
      <c r="N2" s="326"/>
      <c r="O2" s="327"/>
      <c r="P2" s="337" t="s">
        <v>1263</v>
      </c>
      <c r="Q2" s="338"/>
      <c r="R2" s="338"/>
      <c r="S2" s="338"/>
      <c r="T2" s="338"/>
      <c r="U2" s="338"/>
      <c r="V2" s="338"/>
      <c r="W2" s="338"/>
      <c r="X2" s="339"/>
      <c r="Y2" s="334" t="s">
        <v>1264</v>
      </c>
      <c r="Z2" s="335"/>
      <c r="AA2" s="335"/>
      <c r="AB2" s="336"/>
      <c r="AC2" s="331" t="s">
        <v>1265</v>
      </c>
      <c r="AD2" s="332"/>
      <c r="AE2" s="332"/>
      <c r="AF2" s="332"/>
      <c r="AG2" s="332"/>
      <c r="AH2" s="332"/>
      <c r="AI2" s="332"/>
      <c r="AJ2" s="332"/>
      <c r="AK2" s="333"/>
      <c r="AL2" s="151"/>
      <c r="AM2" s="345"/>
      <c r="AN2" s="346"/>
      <c r="AO2" s="346"/>
      <c r="AP2" s="346"/>
      <c r="AQ2" s="346"/>
      <c r="AR2" s="346"/>
      <c r="AS2" s="346"/>
      <c r="AT2" s="347"/>
      <c r="AU2" s="352" t="s">
        <v>1266</v>
      </c>
      <c r="AV2" s="353"/>
      <c r="AW2" s="353"/>
      <c r="AX2" s="353"/>
      <c r="AY2" s="353"/>
      <c r="AZ2" s="353"/>
      <c r="BA2" s="354"/>
      <c r="BB2" s="350" t="s">
        <v>1267</v>
      </c>
      <c r="BC2" s="351"/>
      <c r="BD2" s="348" t="s">
        <v>1268</v>
      </c>
      <c r="BE2" s="349"/>
      <c r="BF2" s="152"/>
      <c r="BG2" s="330"/>
      <c r="BH2" s="330"/>
      <c r="BI2" s="330"/>
      <c r="BJ2" s="330"/>
      <c r="BK2" s="330"/>
      <c r="BL2" s="330"/>
      <c r="BN2" s="328"/>
      <c r="BO2" s="328"/>
      <c r="BP2" s="328"/>
      <c r="BQ2" s="328"/>
      <c r="BR2" s="328"/>
      <c r="BS2" s="328"/>
      <c r="BT2" s="328"/>
      <c r="BU2" s="328"/>
      <c r="BV2" s="328"/>
      <c r="BW2" s="329"/>
    </row>
    <row r="3" spans="1:80" s="19" customFormat="1" ht="25.5">
      <c r="A3" s="150" t="s">
        <v>1081</v>
      </c>
      <c r="B3" s="150" t="s">
        <v>1082</v>
      </c>
      <c r="C3" s="150" t="s">
        <v>1083</v>
      </c>
      <c r="D3" s="150" t="s">
        <v>1084</v>
      </c>
      <c r="E3" s="150" t="s">
        <v>1085</v>
      </c>
      <c r="F3" s="150" t="s">
        <v>1086</v>
      </c>
      <c r="G3" s="12" t="s">
        <v>1089</v>
      </c>
      <c r="H3" s="12" t="s">
        <v>1219</v>
      </c>
      <c r="I3" s="12" t="s">
        <v>1220</v>
      </c>
      <c r="J3" s="12" t="s">
        <v>1221</v>
      </c>
      <c r="K3" s="12" t="s">
        <v>1222</v>
      </c>
      <c r="L3" s="12" t="s">
        <v>1223</v>
      </c>
      <c r="M3" s="12" t="s">
        <v>1892</v>
      </c>
      <c r="N3" s="12" t="s">
        <v>1224</v>
      </c>
      <c r="O3" s="12" t="s">
        <v>1269</v>
      </c>
      <c r="P3" s="2" t="s">
        <v>129</v>
      </c>
      <c r="Q3" s="2" t="s">
        <v>138</v>
      </c>
      <c r="R3" s="2" t="s">
        <v>145</v>
      </c>
      <c r="S3" s="2" t="s">
        <v>155</v>
      </c>
      <c r="T3" s="2" t="s">
        <v>161</v>
      </c>
      <c r="U3" s="2" t="s">
        <v>167</v>
      </c>
      <c r="V3" s="2" t="s">
        <v>173</v>
      </c>
      <c r="W3" s="2" t="s">
        <v>179</v>
      </c>
      <c r="X3" s="2" t="s">
        <v>1270</v>
      </c>
      <c r="Y3" s="13" t="s">
        <v>1225</v>
      </c>
      <c r="Z3" s="13" t="s">
        <v>1226</v>
      </c>
      <c r="AA3" s="13" t="s">
        <v>1271</v>
      </c>
      <c r="AB3" s="13" t="s">
        <v>1272</v>
      </c>
      <c r="AC3" s="2" t="s">
        <v>1273</v>
      </c>
      <c r="AD3" s="2" t="s">
        <v>1274</v>
      </c>
      <c r="AE3" s="2" t="s">
        <v>892</v>
      </c>
      <c r="AF3" s="2" t="s">
        <v>893</v>
      </c>
      <c r="AG3" s="2" t="s">
        <v>894</v>
      </c>
      <c r="AH3" s="2" t="s">
        <v>1377</v>
      </c>
      <c r="AI3" s="2" t="s">
        <v>1229</v>
      </c>
      <c r="AJ3" s="2" t="s">
        <v>1230</v>
      </c>
      <c r="AK3" s="2" t="s">
        <v>1275</v>
      </c>
      <c r="AL3" s="151" t="s">
        <v>1276</v>
      </c>
      <c r="AM3" s="14" t="s">
        <v>1231</v>
      </c>
      <c r="AN3" s="14" t="s">
        <v>1232</v>
      </c>
      <c r="AO3" s="14" t="s">
        <v>1233</v>
      </c>
      <c r="AP3" s="14" t="s">
        <v>1234</v>
      </c>
      <c r="AQ3" s="14" t="s">
        <v>1235</v>
      </c>
      <c r="AR3" s="13" t="s">
        <v>1236</v>
      </c>
      <c r="AS3" s="14" t="s">
        <v>1237</v>
      </c>
      <c r="AT3" s="14" t="s">
        <v>1259</v>
      </c>
      <c r="AU3" s="15" t="s">
        <v>1238</v>
      </c>
      <c r="AV3" s="15" t="s">
        <v>1239</v>
      </c>
      <c r="AW3" s="15" t="s">
        <v>1240</v>
      </c>
      <c r="AX3" s="15" t="s">
        <v>1241</v>
      </c>
      <c r="AY3" s="15" t="s">
        <v>1242</v>
      </c>
      <c r="AZ3" s="15" t="s">
        <v>1243</v>
      </c>
      <c r="BA3" s="15" t="s">
        <v>1277</v>
      </c>
      <c r="BB3" s="201" t="s">
        <v>1244</v>
      </c>
      <c r="BC3" s="201" t="s">
        <v>1278</v>
      </c>
      <c r="BD3" s="16" t="s">
        <v>1245</v>
      </c>
      <c r="BE3" s="16" t="s">
        <v>1279</v>
      </c>
      <c r="BF3" s="152" t="s">
        <v>1260</v>
      </c>
      <c r="BG3" s="198" t="s">
        <v>1246</v>
      </c>
      <c r="BH3" s="198" t="s">
        <v>1247</v>
      </c>
      <c r="BI3" s="198" t="s">
        <v>1248</v>
      </c>
      <c r="BJ3" s="198" t="s">
        <v>1249</v>
      </c>
      <c r="BK3" s="198" t="s">
        <v>1250</v>
      </c>
      <c r="BL3" s="198" t="s">
        <v>1261</v>
      </c>
      <c r="BM3" s="153" t="s">
        <v>1280</v>
      </c>
      <c r="BN3" s="17" t="s">
        <v>137</v>
      </c>
      <c r="BO3" s="17" t="s">
        <v>144</v>
      </c>
      <c r="BP3" s="17" t="s">
        <v>185</v>
      </c>
      <c r="BQ3" s="17" t="s">
        <v>191</v>
      </c>
      <c r="BR3" s="17" t="s">
        <v>101</v>
      </c>
      <c r="BS3" s="154" t="s">
        <v>1281</v>
      </c>
      <c r="BT3" s="148" t="s">
        <v>1282</v>
      </c>
      <c r="BU3" s="148" t="s">
        <v>1283</v>
      </c>
      <c r="BV3" s="17" t="s">
        <v>1284</v>
      </c>
      <c r="BW3" s="17" t="s">
        <v>1262</v>
      </c>
      <c r="BX3" s="23" t="s">
        <v>1285</v>
      </c>
      <c r="BY3" s="155" t="s">
        <v>1286</v>
      </c>
      <c r="BZ3" s="3" t="s">
        <v>895</v>
      </c>
      <c r="CA3" s="3" t="s">
        <v>896</v>
      </c>
      <c r="CB3" s="18" t="s">
        <v>1251</v>
      </c>
    </row>
    <row r="4" spans="1:80">
      <c r="A4" s="20" t="s">
        <v>1528</v>
      </c>
      <c r="B4" t="s">
        <v>1091</v>
      </c>
      <c r="C4" t="s">
        <v>1366</v>
      </c>
      <c r="D4" t="s">
        <v>918</v>
      </c>
      <c r="E4" s="20" t="s">
        <v>1090</v>
      </c>
      <c r="F4" s="20" t="s">
        <v>120</v>
      </c>
      <c r="G4" s="418">
        <v>1043.7162000000001</v>
      </c>
      <c r="H4" s="418">
        <v>0</v>
      </c>
      <c r="I4" s="418">
        <v>303.60000000000002</v>
      </c>
      <c r="J4" s="418">
        <v>0</v>
      </c>
      <c r="K4" s="418">
        <v>0</v>
      </c>
      <c r="L4" s="418">
        <v>0</v>
      </c>
      <c r="M4" s="418">
        <v>0</v>
      </c>
      <c r="N4" s="418">
        <v>0</v>
      </c>
      <c r="O4" s="21">
        <f>SUM(tabCustoUnit[[#This Row],[Salário Base]:[Adicional de Acúmulo de função]])</f>
        <v>1347.3162000000002</v>
      </c>
      <c r="P4" s="21">
        <f>tabCustoUnit[[#This Row],[MODULO 1 - REMUNERAÇÃO ]]*SUMIFS(tabParametros[INSS],tabParametros[Código do Posto],tabCustoUnit[[#This Row],[Código do Posto]])</f>
        <v>269.46324000000004</v>
      </c>
      <c r="Q4" s="21">
        <f>tabCustoUnit[[#This Row],[MODULO 1 - REMUNERAÇÃO ]]*SUMIFS(tabParametros[SESI OU SESC],tabParametros[Código do Posto],tabCustoUnit[[#This Row],[Código do Posto]])</f>
        <v>20.209743000000003</v>
      </c>
      <c r="R4" s="21">
        <f>tabCustoUnit[[#This Row],[MODULO 1 - REMUNERAÇÃO ]]*SUMIFS(tabParametros[SENAI OU SENAC],tabParametros[Código do Posto],tabCustoUnit[[#This Row],[Código do Posto]])</f>
        <v>13.473162000000002</v>
      </c>
      <c r="S4" s="21">
        <f>tabCustoUnit[[#This Row],[MODULO 1 - REMUNERAÇÃO ]]*SUMIFS(tabParametros[INCRA],tabParametros[Código do Posto],tabCustoUnit[[#This Row],[Código do Posto]])</f>
        <v>2.6946324000000006</v>
      </c>
      <c r="T4" s="21">
        <f>tabCustoUnit[[#This Row],[MODULO 1 - REMUNERAÇÃO ]]*SUMIFS(tabParametros[Salário Educação],tabParametros[Código do Posto],tabCustoUnit[[#This Row],[Código do Posto]])</f>
        <v>33.682905000000005</v>
      </c>
      <c r="U4" s="21">
        <f>tabCustoUnit[[#This Row],[MODULO 1 - REMUNERAÇÃO ]]*SUMIFS(tabParametros[FGTS],tabParametros[Código do Posto],tabCustoUnit[[#This Row],[Código do Posto]])</f>
        <v>107.78529600000002</v>
      </c>
      <c r="V4" s="21">
        <f>tabCustoUnit[[#This Row],[MODULO 1 - REMUNERAÇÃO ]]*SUMIFS(tabParametros[RAT Ajustado],tabParametros[Código do Posto],tabCustoUnit[[#This Row],[Código do Posto]])</f>
        <v>53.892648000000008</v>
      </c>
      <c r="W4" s="21">
        <f>tabCustoUnit[[#This Row],[MODULO 1 - REMUNERAÇÃO ]]*SUMIFS(tabParametros[SEBRAE],tabParametros[Código do Posto],tabCustoUnit[[#This Row],[Código do Posto]])</f>
        <v>8.0838972000000009</v>
      </c>
      <c r="X4" s="21">
        <f>SUM(tabCustoUnit[[#This Row],[INSS]:[SEBRAE]])</f>
        <v>509.28552360000009</v>
      </c>
      <c r="Y4" s="21">
        <f>tabCustoUnit[[#This Row],[MODULO 1 - REMUNERAÇÃO ]]*SUMIFS(tabParametros[13º salário (titular)],tabParametros[Código do Posto],tabCustoUnit[[#This Row],[Código do Posto]])</f>
        <v>112.27635000000001</v>
      </c>
      <c r="Z4" s="21">
        <f>tabCustoUnit[[#This Row],[MODULO 1 - REMUNERAÇÃO ]]*SUMIFS(tabParametros[Férias e Adicional de Férias (titular)],tabParametros[Código do Posto],tabCustoUnit[[#This Row],[Código do Posto]])</f>
        <v>149.70180000000002</v>
      </c>
      <c r="AA4" s="21">
        <f>IFERROR((tabCustoUnit[[#This Row],[Submódulo 2.1]]/tabCustoUnit[[#This Row],[MODULO 1 - REMUNERAÇÃO ]])*SUM(tabCustoUnit[[#This Row],[13º salário (titular)]:[Férias e Adicional de Férias (titular)]]),0)</f>
        <v>99.02774070000001</v>
      </c>
      <c r="AB4" s="21">
        <f>SUM(tabCustoUnit[[#This Row],[13º salário (titular)]:[Incidência do Submódulo 2.1 sobre 13º Salário, Férias e Adicional de Férias]])</f>
        <v>361.00589070000001</v>
      </c>
      <c r="AC4" s="22" t="e">
        <f ca="1">_xlfn.LET(_xlpm.VT,SUMIF(tabParametros[Código do Posto],tabCustoUnit[[#This Row],[Código do Posto]],tabParametros[Vale - Transporte])*2*20,
IF((_xlpm.VT-tabCustoUnit[[#This Row],[Salário Base]]*0.06)&gt;=0,(_xlpm.VT-tabCustoUnit[[#This Row],[Salário Base]]*0.06),0)
)</f>
        <v>#NAME?</v>
      </c>
      <c r="AD4" s="22">
        <f>IF(SUMIF(tabParametros[Código do Posto],tabCustoUnit[[#This Row],[Código do Posto]],tabParametros[Vale - Alimentação])&lt;=0,0,
SUMIF(tabParametros[Código do Posto],tabCustoUnit[[#This Row],[Código do Posto]],tabParametros[Vale - Alimentação])*20-1)</f>
        <v>582</v>
      </c>
      <c r="AE4" s="22">
        <f>SUMIF(tabParametros[Código do Posto],tabCustoUnit[[#This Row],[Código do Posto]],tabParametros[Cesta Básica])</f>
        <v>0</v>
      </c>
      <c r="AF4" s="22">
        <f>SUMIF(tabParametros[Código do Posto],tabCustoUnit[[#This Row],[Código do Posto]],tabParametros[PAF])</f>
        <v>0</v>
      </c>
      <c r="AG4" s="22">
        <f>SUMIF(tabParametros[Código do Posto],tabCustoUnit[[#This Row],[Código do Posto]],tabParametros[PQM])</f>
        <v>15.07</v>
      </c>
      <c r="AH4" s="22">
        <f>SUMIF(tabParametros[Código do Posto],tabCustoUnit[[#This Row],[Código do Posto]],tabParametros[Abono Único e Especial])</f>
        <v>0</v>
      </c>
      <c r="AI4" s="22">
        <f>SUMIF(tabParametros[Código do Posto],tabCustoUnit[[#This Row],[Código do Posto]],tabParametros[Seguro de Vida])</f>
        <v>3.36</v>
      </c>
      <c r="AJ4" s="22">
        <f>SUMIF(tabParametros[Código do Posto],tabCustoUnit[[#This Row],[Código do Posto]],tabParametros[Despesas de Viagem])</f>
        <v>0</v>
      </c>
      <c r="AK4" s="22" t="e">
        <f ca="1">SUM(tabCustoUnit[[#This Row],[Vale - Transporte (Descontada parcela do empregado)]:[Despesas de Viagem]])</f>
        <v>#NAME?</v>
      </c>
      <c r="AL4" s="22" t="e">
        <f ca="1">tabCustoUnit[[#This Row],[Submódulo 2.1]]+tabCustoUnit[[#This Row],[Submódulo 2.2]]+tabCustoUnit[[#This Row],[Submódulo 2.3]]</f>
        <v>#NAME?</v>
      </c>
      <c r="AM4" s="22">
        <f>SUMIF(tabParametros[Código do Posto],tabCustoUnit[[#This Row],[Código do Posto]],tabParametros[Aviso Prévio Indenizado (API) e Reflexo do Aviso Prévio Indenizado])*tabCustoUnit[[#This Row],[MODULO 1 - REMUNERAÇÃO ]]</f>
        <v>9.4470672364583343</v>
      </c>
      <c r="AN4" s="22">
        <f>SUMIF(tabParametros[Código do Posto],tabCustoUnit[[#This Row],[Código do Posto]],tabParametros[Incidência do FGTS sobre API e Reflexo do API])*tabCustoUnit[[#This Row],[MODULO 1 - REMUNERAÇÃO ]]</f>
        <v>0.75576537891666684</v>
      </c>
      <c r="AO4" s="22">
        <f>SUMIF(tabParametros[Código do Posto],tabCustoUnit[[#This Row],[Código do Posto]],tabParametros[Multa Rescisória do FGTS sobre o Aviso Prévio Indenizado])*tabCustoUnit[[#This Row],[MODULO 1 - REMUNERAÇÃO ]]</f>
        <v>0.30230615156666679</v>
      </c>
      <c r="AP4" s="22">
        <f>SUMIF(tabParametros[Código do Posto],tabCustoUnit[[#This Row],[Código do Posto]],tabParametros[Aviso Prévio Trabalhado - APT])*tabCustoUnit[[#This Row],[MODULO 1 - REMUNERAÇÃO ]]</f>
        <v>4.7156067000000013</v>
      </c>
      <c r="AQ4" s="22">
        <f>SUMIF(tabParametros[Código do Posto],tabCustoUnit[[#This Row],[Código do Posto]],tabParametros[Incidência dos encargos do submódulo 2.1 sobre Aviso Prévio Trabalhado])*tabCustoUnit[[#This Row],[MODULO 1 - REMUNERAÇÃO ]]</f>
        <v>1.7824993326000007</v>
      </c>
      <c r="AR4" s="22">
        <f>SUMIF(tabParametros[Código do Posto],tabCustoUnit[[#This Row],[Código do Posto]],tabParametros[Multa Rescisória do FGTS])*tabCustoUnit[[#This Row],[MODULO 1 - REMUNERAÇÃO ]]</f>
        <v>41.197935360000002</v>
      </c>
      <c r="AS4" s="22">
        <f>SUMIF(tabParametros[Código do Posto],tabCustoUnit[[#This Row],[Código do Posto]],tabParametros[Indenização Adicional (Art. 9º da Lei nº 7.238/84)])*tabCustoUnit[[#This Row],[MODULO 1 - REMUNERAÇÃO ]]</f>
        <v>1.1227635000000002</v>
      </c>
      <c r="AT4" s="22">
        <f>SUM(tabCustoUnit[[#This Row],[Aviso Prévio Indenizado (API) e Reflexo do Aviso Prévio Indenizado]:[Indenização Adicional (Art. 9º da Lei nº 7.238/84)]])</f>
        <v>59.323943659541669</v>
      </c>
      <c r="AU4" s="22">
        <f>SUMIF(tabParametros[Código do Posto],tabCustoUnit[[#This Row],[Código do Posto]],tabParametros[Ausência por Doença])*tabCustoUnit[[#This Row],[MODULO 1 - REMUNERAÇÃO ]]</f>
        <v>11.3773368</v>
      </c>
      <c r="AV4" s="22">
        <f>SUMIF(tabParametros[Código do Posto],tabCustoUnit[[#This Row],[Código do Posto]],tabParametros[Ausências Legais])*tabCustoUnit[[#This Row],[MODULO 1 - REMUNERAÇÃO ]]</f>
        <v>2.7320578500000003</v>
      </c>
      <c r="AW4" s="22">
        <f>SUMIF(tabParametros[Código do Posto],tabCustoUnit[[#This Row],[Código do Posto]],tabParametros[Licença Paternidade])*tabCustoUnit[[#This Row],[MODULO 1 - REMUNERAÇÃO ]]</f>
        <v>0.23016651750000003</v>
      </c>
      <c r="AX4" s="22">
        <f>SUMIF(tabParametros[Código do Posto],tabCustoUnit[[#This Row],[Código do Posto]],tabParametros[Ausência por Acidente de Trabalho])*tabCustoUnit[[#This Row],[MODULO 1 - REMUNERAÇÃO ]]</f>
        <v>0.28069087500000006</v>
      </c>
      <c r="AY4" s="22">
        <f>SUMIF(tabParametros[Código do Posto],tabCustoUnit[[#This Row],[Código do Posto]],tabParametros[Férias, Adicional de Férias e 13º  com empregada em gozo de Licença Maternidade])*tabCustoUnit[[#This Row],[MODULO 1 - REMUNERAÇÃO ]]</f>
        <v>1.7465210000000002</v>
      </c>
      <c r="AZ4" s="22">
        <f>SUMIF(tabParametros[Código do Posto],tabCustoUnit[[#This Row],[Código do Posto]],tabParametros[Incidência do Submódulo 2.1 sobre Ausências Legais])*tabCustoUnit[[#This Row],[MODULO 1 - REMUNERAÇÃO ]]</f>
        <v>6.1866402100650024</v>
      </c>
      <c r="BA4" s="22">
        <f>SUM(tabCustoUnit[[#This Row],[Ausência por Doença]:[Incidência do Submódulo 2.1 sobre Ausências Legais]])</f>
        <v>22.553413252565001</v>
      </c>
      <c r="BB4" s="22">
        <f>SUMIF(tabParametros[Código do Posto],tabCustoUnit[[#This Row],[Código do Posto]],tabParametros[Intervalo para Repouso ou Alimentação])</f>
        <v>0</v>
      </c>
      <c r="BC4" s="22">
        <f>tabCustoUnit[[#This Row],[Intervalo para Repouso ou Alimentação]]</f>
        <v>0</v>
      </c>
      <c r="BD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 s="22">
        <f>tabCustoUnit[[#This Row],[Suspensão Temporária do Contrato de Trabalho]]</f>
        <v>0</v>
      </c>
      <c r="BF4" s="22">
        <f>tabCustoUnit[[#This Row],[Submódulo 4.1]]+tabCustoUnit[[#This Row],[Submódulo 4.2]]+tabCustoUnit[[#This Row],[Submódulo 4.3]]</f>
        <v>22.553413252565001</v>
      </c>
      <c r="BG4" s="22">
        <f>VLOOKUP(tabCustoUnit[[#This Row],[Código do Posto]],tabParametros[],MATCH(tabCustoUnit[[#Headers],[Uniformes e EPIs]],tabParametros[#Headers],0),0)</f>
        <v>196.62072732312174</v>
      </c>
      <c r="BH4" s="22">
        <f>VLOOKUP(tabCustoUnit[[#This Row],[Código do Posto]],tabParametros[],MATCH(tabCustoUnit[[#Headers],[Materiais de Consumo]],tabParametros[#Headers],0),0)</f>
        <v>441.81099462365592</v>
      </c>
      <c r="BI4" s="22">
        <f>VLOOKUP(tabCustoUnit[[#This Row],[Código do Posto]],tabParametros[],MATCH(tabCustoUnit[[#Headers],[Máquinas e Equipamentos (depreciação)]],tabParametros[#Headers],0),0)</f>
        <v>113.11309677419354</v>
      </c>
      <c r="BJ4" s="22">
        <f>VLOOKUP(tabCustoUnit[[#This Row],[Código do Posto]],tabParametros[],MATCH(tabCustoUnit[[#Headers],[Produtos de Limpeza e Materiais de Higiene Pessoal]],tabParametros[#Headers],0),0)</f>
        <v>0</v>
      </c>
      <c r="BK4" s="22">
        <f>VLOOKUP(tabCustoUnit[[#This Row],[Código do Posto]],tabParametros[],MATCH(tabCustoUnit[[#Headers],[Outros (especificar)]],tabParametros[#Headers],0),0)</f>
        <v>0</v>
      </c>
      <c r="BL4" s="22">
        <f>SUM(tabCustoUnit[[#This Row],[Uniformes e EPIs]:[Outros (especificar)]])</f>
        <v>751.54481872097119</v>
      </c>
      <c r="BM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 s="22" t="e">
        <f ca="1">VLOOKUP(tabCustoUnit[[#This Row],[Código do Posto]],tabParametros[],MATCH(tabCustoUnit[[#Headers],[Custos Indiretos]],tabParametros[#Headers],0),0)</f>
        <v>#NAME?</v>
      </c>
      <c r="BO4" s="22" t="e">
        <f ca="1">VLOOKUP(tabCustoUnit[[#This Row],[Código do Posto]],tabParametros[],MATCH(tabCustoUnit[[#Headers],[Lucro]],tabParametros[#Headers],0),0)</f>
        <v>#NAME?</v>
      </c>
      <c r="BP4" s="26">
        <f>((100/((1-tabCustoUnit[[#This Row],[Resumo de Alíquotas (PIS+CONFINS+ISS)]]))-100)*VLOOKUP(tabCustoUnit[[#This Row],[Código do Posto]],tabParametros[],MATCH(tabCustoUnit[[#Headers],[COFINS]],tabParametros[#Headers],0),0))/(tabCustoUnit[[#This Row],[Resumo de Alíquotas (PIS+CONFINS+ISS)]]*100)</f>
        <v>8.6609686609686695E-2</v>
      </c>
      <c r="BQ4" s="26">
        <f>((100/((100-(tabCustoUnit[[#This Row],[Resumo de Alíquotas (PIS+CONFINS+ISS)]]*100))%)-100)*VLOOKUP(tabCustoUnit[[#This Row],[Código do Posto]],tabParametros[],MATCH(tabCustoUnit[[#Headers],[PIS]],tabParametros[#Headers],0),0))/(tabCustoUnit[[#This Row],[Resumo de Alíquotas (PIS+CONFINS+ISS)]]*100)</f>
        <v>1.880341880341882E-2</v>
      </c>
      <c r="BR4" s="28">
        <f>VLOOKUP(tabCustoUnit[[#This Row],[Código do Posto]],tabParametros[],MATCH(tabCustoUnit[[#Headers],[ISS]],tabParametros[#Headers],0),0)</f>
        <v>0.03</v>
      </c>
      <c r="BS4" s="26">
        <f>(((100/((100-(tabCustoUnit[[#This Row],[Resumo de Alíquotas (PIS+CONFINS+ISS)]]*100))%)-100)*tabCustoUnit[[#This Row],[ISS]])/tabCustoUnit[[#This Row],[Resumo de Alíquotas (PIS+CONFINS+ISS)]])/100</f>
        <v>3.4188034188034219E-2</v>
      </c>
      <c r="BT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4" s="138">
        <f>tabCustoUnit[[#This Row],[COFINS]]+tabCustoUnit[[#This Row],[PIS]]+tabCustoUnit[[#This Row],[ISS (Conversão Alíquota s/ fatura)]]</f>
        <v>0.13960113960113973</v>
      </c>
      <c r="BV4" s="22" t="e">
        <f ca="1">(tabCustoUnit[[#This Row],[TOTAL MÓDULOS 1+2+3+4+5]]+tabCustoUnit[[#This Row],[Custos Indiretos]]+tabCustoUnit[[#This Row],[Lucro]])*tabCustoUnit[[#This Row],[PIS + COFINS + ISS (Total Conversão  Alíquota s/ Fatura)]]</f>
        <v>#NAME?</v>
      </c>
      <c r="BW4" s="22" t="e">
        <f ca="1">tabCustoUnit[[#This Row],[Custos Indiretos]]+tabCustoUnit[[#This Row],[Lucro]]+tabCustoUnit[[#This Row],[Valor dos Tributos (ISS, PIS, CONFINS)]]</f>
        <v>#NAME?</v>
      </c>
      <c r="BX4" s="22" t="e">
        <f ca="1">tabCustoUnit[[#This Row],[TOTAL MÓDULOS 1+2+3+4+5]]+tabCustoUnit[[#This Row],[MÓDULO 6 – CUSTOS INDIRETOS, TRIBUTOS E LUCRO]]</f>
        <v>#NAME?</v>
      </c>
      <c r="BY4" s="22" t="e">
        <f ca="1">tabCustoUnit[[#This Row],[CUSTO TOTAL MENSAL]]*12</f>
        <v>#NAME?</v>
      </c>
      <c r="BZ4" s="24">
        <f>VLOOKUP(tabCustoUnit[[#This Row],[Código do Posto]],tabParametros[],MATCH(tabCustoUnit[[#Headers],[ANO DA CCT]],tabParametros[#Headers],0),0)</f>
        <v>45658</v>
      </c>
      <c r="CA4" s="25" t="str">
        <f>VLOOKUP(tabCustoUnit[[#This Row],[Código do Posto]],tabParametros[],MATCH(tabCustoUnit[[#Headers],[Nº DE PEDIDO DA CCT]],tabParametros[#Headers],0),0)</f>
        <v>-</v>
      </c>
      <c r="CB4" s="25" t="str">
        <f>VLOOKUP(tabCustoUnit[[#This Row],[Código do Posto]],tabParametros[],MATCH(tabCustoUnit[[#Headers],[TERMO ADITIVO ALTERAÇÃO DA CCT]],tabParametros[#Headers],0),0)</f>
        <v>-</v>
      </c>
    </row>
    <row r="5" spans="1:80">
      <c r="A5" s="20" t="s">
        <v>1529</v>
      </c>
      <c r="B5" t="s">
        <v>1091</v>
      </c>
      <c r="C5" t="s">
        <v>1368</v>
      </c>
      <c r="D5" t="s">
        <v>918</v>
      </c>
      <c r="E5" s="20" t="s">
        <v>1090</v>
      </c>
      <c r="F5" s="20" t="s">
        <v>120</v>
      </c>
      <c r="G5" s="418">
        <v>2296.1756999999998</v>
      </c>
      <c r="H5" s="418">
        <v>0</v>
      </c>
      <c r="I5" s="418">
        <v>303.60000000000002</v>
      </c>
      <c r="J5" s="418">
        <v>0</v>
      </c>
      <c r="K5" s="418">
        <v>0</v>
      </c>
      <c r="L5" s="418">
        <v>0</v>
      </c>
      <c r="M5" s="418">
        <v>0</v>
      </c>
      <c r="N5" s="418">
        <v>0</v>
      </c>
      <c r="O5" s="21">
        <f>SUM(tabCustoUnit[[#This Row],[Salário Base]:[Adicional de Acúmulo de função]])</f>
        <v>2599.7756999999997</v>
      </c>
      <c r="P5" s="21">
        <f>tabCustoUnit[[#This Row],[MODULO 1 - REMUNERAÇÃO ]]*SUMIFS(tabParametros[INSS],tabParametros[Código do Posto],tabCustoUnit[[#This Row],[Código do Posto]])</f>
        <v>519.95513999999991</v>
      </c>
      <c r="Q5" s="21">
        <f>tabCustoUnit[[#This Row],[MODULO 1 - REMUNERAÇÃO ]]*SUMIFS(tabParametros[SESI OU SESC],tabParametros[Código do Posto],tabCustoUnit[[#This Row],[Código do Posto]])</f>
        <v>38.996635499999996</v>
      </c>
      <c r="R5" s="21">
        <f>tabCustoUnit[[#This Row],[MODULO 1 - REMUNERAÇÃO ]]*SUMIFS(tabParametros[SENAI OU SENAC],tabParametros[Código do Posto],tabCustoUnit[[#This Row],[Código do Posto]])</f>
        <v>25.997756999999996</v>
      </c>
      <c r="S5" s="21">
        <f>tabCustoUnit[[#This Row],[MODULO 1 - REMUNERAÇÃO ]]*SUMIFS(tabParametros[INCRA],tabParametros[Código do Posto],tabCustoUnit[[#This Row],[Código do Posto]])</f>
        <v>5.1995513999999998</v>
      </c>
      <c r="T5" s="21">
        <f>tabCustoUnit[[#This Row],[MODULO 1 - REMUNERAÇÃO ]]*SUMIFS(tabParametros[Salário Educação],tabParametros[Código do Posto],tabCustoUnit[[#This Row],[Código do Posto]])</f>
        <v>64.994392499999989</v>
      </c>
      <c r="U5" s="21">
        <f>tabCustoUnit[[#This Row],[MODULO 1 - REMUNERAÇÃO ]]*SUMIFS(tabParametros[FGTS],tabParametros[Código do Posto],tabCustoUnit[[#This Row],[Código do Posto]])</f>
        <v>207.98205599999997</v>
      </c>
      <c r="V5" s="21">
        <f>tabCustoUnit[[#This Row],[MODULO 1 - REMUNERAÇÃO ]]*SUMIFS(tabParametros[RAT Ajustado],tabParametros[Código do Posto],tabCustoUnit[[#This Row],[Código do Posto]])</f>
        <v>103.99102799999999</v>
      </c>
      <c r="W5" s="21">
        <f>tabCustoUnit[[#This Row],[MODULO 1 - REMUNERAÇÃO ]]*SUMIFS(tabParametros[SEBRAE],tabParametros[Código do Posto],tabCustoUnit[[#This Row],[Código do Posto]])</f>
        <v>15.598654199999999</v>
      </c>
      <c r="X5" s="21">
        <f>SUM(tabCustoUnit[[#This Row],[INSS]:[SEBRAE]])</f>
        <v>982.71521459999985</v>
      </c>
      <c r="Y5" s="21">
        <f>tabCustoUnit[[#This Row],[MODULO 1 - REMUNERAÇÃO ]]*SUMIFS(tabParametros[13º salário (titular)],tabParametros[Código do Posto],tabCustoUnit[[#This Row],[Código do Posto]])</f>
        <v>216.64797499999997</v>
      </c>
      <c r="Z5" s="21">
        <f>tabCustoUnit[[#This Row],[MODULO 1 - REMUNERAÇÃO ]]*SUMIFS(tabParametros[Férias e Adicional de Férias (titular)],tabParametros[Código do Posto],tabCustoUnit[[#This Row],[Código do Posto]])</f>
        <v>288.86396666666661</v>
      </c>
      <c r="AA5" s="21">
        <f>IFERROR((tabCustoUnit[[#This Row],[Submódulo 2.1]]/tabCustoUnit[[#This Row],[MODULO 1 - REMUNERAÇÃO ]])*SUM(tabCustoUnit[[#This Row],[13º salário (titular)]:[Férias e Adicional de Férias (titular)]]),0)</f>
        <v>191.08351394999997</v>
      </c>
      <c r="AB5" s="21">
        <f>SUM(tabCustoUnit[[#This Row],[13º salário (titular)]:[Incidência do Submódulo 2.1 sobre 13º Salário, Férias e Adicional de Férias]])</f>
        <v>696.59545561666653</v>
      </c>
      <c r="AC5" s="22" t="e">
        <f ca="1">_xlfn.LET(_xlpm.VT,SUMIF(tabParametros[Código do Posto],tabCustoUnit[[#This Row],[Código do Posto]],tabParametros[Vale - Transporte])*2*20,
IF((_xlpm.VT-tabCustoUnit[[#This Row],[Salário Base]]*0.06)&gt;=0,(_xlpm.VT-tabCustoUnit[[#This Row],[Salário Base]]*0.06),0)
)</f>
        <v>#NAME?</v>
      </c>
      <c r="AD5" s="22">
        <f>IF(SUMIF(tabParametros[Código do Posto],tabCustoUnit[[#This Row],[Código do Posto]],tabParametros[Vale - Alimentação])&lt;=0,0,
SUMIF(tabParametros[Código do Posto],tabCustoUnit[[#This Row],[Código do Posto]],tabParametros[Vale - Alimentação])*20-1)</f>
        <v>582</v>
      </c>
      <c r="AE5" s="22">
        <f>SUMIF(tabParametros[Código do Posto],tabCustoUnit[[#This Row],[Código do Posto]],tabParametros[Cesta Básica])</f>
        <v>0</v>
      </c>
      <c r="AF5" s="22">
        <f>SUMIF(tabParametros[Código do Posto],tabCustoUnit[[#This Row],[Código do Posto]],tabParametros[PAF])</f>
        <v>0</v>
      </c>
      <c r="AG5" s="22">
        <f>SUMIF(tabParametros[Código do Posto],tabCustoUnit[[#This Row],[Código do Posto]],tabParametros[PQM])</f>
        <v>15.07</v>
      </c>
      <c r="AH5" s="22">
        <f>SUMIF(tabParametros[Código do Posto],tabCustoUnit[[#This Row],[Código do Posto]],tabParametros[Abono Único e Especial])</f>
        <v>0</v>
      </c>
      <c r="AI5" s="22">
        <f>SUMIF(tabParametros[Código do Posto],tabCustoUnit[[#This Row],[Código do Posto]],tabParametros[Seguro de Vida])</f>
        <v>3.36</v>
      </c>
      <c r="AJ5" s="22">
        <f>SUMIF(tabParametros[Código do Posto],tabCustoUnit[[#This Row],[Código do Posto]],tabParametros[Despesas de Viagem])</f>
        <v>0</v>
      </c>
      <c r="AK5" s="22" t="e">
        <f ca="1">SUM(tabCustoUnit[[#This Row],[Vale - Transporte (Descontada parcela do empregado)]:[Despesas de Viagem]])</f>
        <v>#NAME?</v>
      </c>
      <c r="AL5" s="22" t="e">
        <f ca="1">tabCustoUnit[[#This Row],[Submódulo 2.1]]+tabCustoUnit[[#This Row],[Submódulo 2.2]]+tabCustoUnit[[#This Row],[Submódulo 2.3]]</f>
        <v>#NAME?</v>
      </c>
      <c r="AM5" s="22">
        <f>SUMIF(tabParametros[Código do Posto],tabCustoUnit[[#This Row],[Código do Posto]],tabParametros[Aviso Prévio Indenizado (API) e Reflexo do Aviso Prévio Indenizado])*tabCustoUnit[[#This Row],[MODULO 1 - REMUNERAÇÃO ]]</f>
        <v>18.229021396469907</v>
      </c>
      <c r="AN5" s="22">
        <f>SUMIF(tabParametros[Código do Posto],tabCustoUnit[[#This Row],[Código do Posto]],tabParametros[Incidência do FGTS sobre API e Reflexo do API])*tabCustoUnit[[#This Row],[MODULO 1 - REMUNERAÇÃO ]]</f>
        <v>1.4583217117175926</v>
      </c>
      <c r="AO5" s="22">
        <f>SUMIF(tabParametros[Código do Posto],tabCustoUnit[[#This Row],[Código do Posto]],tabParametros[Multa Rescisória do FGTS sobre o Aviso Prévio Indenizado])*tabCustoUnit[[#This Row],[MODULO 1 - REMUNERAÇÃO ]]</f>
        <v>0.58332868468703702</v>
      </c>
      <c r="AP5" s="22">
        <f>SUMIF(tabParametros[Código do Posto],tabCustoUnit[[#This Row],[Código do Posto]],tabParametros[Aviso Prévio Trabalhado - APT])*tabCustoUnit[[#This Row],[MODULO 1 - REMUNERAÇÃO ]]</f>
        <v>9.0992149500000004</v>
      </c>
      <c r="AQ5" s="22">
        <f>SUMIF(tabParametros[Código do Posto],tabCustoUnit[[#This Row],[Código do Posto]],tabParametros[Incidência dos encargos do submódulo 2.1 sobre Aviso Prévio Trabalhado])*tabCustoUnit[[#This Row],[MODULO 1 - REMUNERAÇÃO ]]</f>
        <v>3.4395032511000005</v>
      </c>
      <c r="AR5" s="22">
        <f>SUMIF(tabParametros[Código do Posto],tabCustoUnit[[#This Row],[Código do Posto]],tabParametros[Multa Rescisória do FGTS])*tabCustoUnit[[#This Row],[MODULO 1 - REMUNERAÇÃO ]]</f>
        <v>79.495363626666645</v>
      </c>
      <c r="AS5" s="22">
        <f>SUMIF(tabParametros[Código do Posto],tabCustoUnit[[#This Row],[Código do Posto]],tabParametros[Indenização Adicional (Art. 9º da Lei nº 7.238/84)])*tabCustoUnit[[#This Row],[MODULO 1 - REMUNERAÇÃO ]]</f>
        <v>2.1664797499999997</v>
      </c>
      <c r="AT5" s="22">
        <f>SUM(tabCustoUnit[[#This Row],[Aviso Prévio Indenizado (API) e Reflexo do Aviso Prévio Indenizado]:[Indenização Adicional (Art. 9º da Lei nº 7.238/84)]])</f>
        <v>114.47123337064117</v>
      </c>
      <c r="AU5" s="22">
        <f>SUMIF(tabParametros[Código do Posto],tabCustoUnit[[#This Row],[Código do Posto]],tabParametros[Ausência por Doença])*tabCustoUnit[[#This Row],[MODULO 1 - REMUNERAÇÃO ]]</f>
        <v>21.953661466666663</v>
      </c>
      <c r="AV5" s="22">
        <f>SUMIF(tabParametros[Código do Posto],tabCustoUnit[[#This Row],[Código do Posto]],tabParametros[Ausências Legais])*tabCustoUnit[[#This Row],[MODULO 1 - REMUNERAÇÃO ]]</f>
        <v>5.2717673916666659</v>
      </c>
      <c r="AW5" s="22">
        <f>SUMIF(tabParametros[Código do Posto],tabCustoUnit[[#This Row],[Código do Posto]],tabParametros[Licença Paternidade])*tabCustoUnit[[#This Row],[MODULO 1 - REMUNERAÇÃO ]]</f>
        <v>0.44412834874999996</v>
      </c>
      <c r="AX5" s="22">
        <f>SUMIF(tabParametros[Código do Posto],tabCustoUnit[[#This Row],[Código do Posto]],tabParametros[Ausência por Acidente de Trabalho])*tabCustoUnit[[#This Row],[MODULO 1 - REMUNERAÇÃO ]]</f>
        <v>0.54161993749999993</v>
      </c>
      <c r="AY5" s="22">
        <f>SUMIF(tabParametros[Código do Posto],tabCustoUnit[[#This Row],[Código do Posto]],tabParametros[Férias, Adicional de Férias e 13º  com empregada em gozo de Licença Maternidade])*tabCustoUnit[[#This Row],[MODULO 1 - REMUNERAÇÃO ]]</f>
        <v>3.3700796111111107</v>
      </c>
      <c r="AZ5" s="22">
        <f>SUMIF(tabParametros[Código do Posto],tabCustoUnit[[#This Row],[Código do Posto]],tabParametros[Incidência do Submódulo 2.1 sobre Ausências Legais])*tabCustoUnit[[#This Row],[MODULO 1 - REMUNERAÇÃO ]]</f>
        <v>11.9377150536525</v>
      </c>
      <c r="BA5" s="22">
        <f>SUM(tabCustoUnit[[#This Row],[Ausência por Doença]:[Incidência do Submódulo 2.1 sobre Ausências Legais]])</f>
        <v>43.518971809346937</v>
      </c>
      <c r="BB5" s="22">
        <f>SUMIF(tabParametros[Código do Posto],tabCustoUnit[[#This Row],[Código do Posto]],tabParametros[Intervalo para Repouso ou Alimentação])</f>
        <v>0</v>
      </c>
      <c r="BC5" s="22">
        <f>tabCustoUnit[[#This Row],[Intervalo para Repouso ou Alimentação]]</f>
        <v>0</v>
      </c>
      <c r="BD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 s="22">
        <f>tabCustoUnit[[#This Row],[Suspensão Temporária do Contrato de Trabalho]]</f>
        <v>0</v>
      </c>
      <c r="BF5" s="22">
        <f>tabCustoUnit[[#This Row],[Submódulo 4.1]]+tabCustoUnit[[#This Row],[Submódulo 4.2]]+tabCustoUnit[[#This Row],[Submódulo 4.3]]</f>
        <v>43.518971809346937</v>
      </c>
      <c r="BG5" s="22">
        <f>VLOOKUP(tabCustoUnit[[#This Row],[Código do Posto]],tabParametros[],MATCH(tabCustoUnit[[#Headers],[Uniformes e EPIs]],tabParametros[#Headers],0),0)</f>
        <v>196.62072732312174</v>
      </c>
      <c r="BH5" s="22">
        <f>VLOOKUP(tabCustoUnit[[#This Row],[Código do Posto]],tabParametros[],MATCH(tabCustoUnit[[#Headers],[Materiais de Consumo]],tabParametros[#Headers],0),0)</f>
        <v>441.81099462365592</v>
      </c>
      <c r="BI5" s="22">
        <f>VLOOKUP(tabCustoUnit[[#This Row],[Código do Posto]],tabParametros[],MATCH(tabCustoUnit[[#Headers],[Máquinas e Equipamentos (depreciação)]],tabParametros[#Headers],0),0)</f>
        <v>113.11309677419354</v>
      </c>
      <c r="BJ5" s="22">
        <f>VLOOKUP(tabCustoUnit[[#This Row],[Código do Posto]],tabParametros[],MATCH(tabCustoUnit[[#Headers],[Produtos de Limpeza e Materiais de Higiene Pessoal]],tabParametros[#Headers],0),0)</f>
        <v>0</v>
      </c>
      <c r="BK5" s="22">
        <f>VLOOKUP(tabCustoUnit[[#This Row],[Código do Posto]],tabParametros[],MATCH(tabCustoUnit[[#Headers],[Outros (especificar)]],tabParametros[#Headers],0),0)</f>
        <v>0</v>
      </c>
      <c r="BL5" s="22">
        <f>SUM(tabCustoUnit[[#This Row],[Uniformes e EPIs]:[Outros (especificar)]])</f>
        <v>751.54481872097119</v>
      </c>
      <c r="BM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 s="22" t="e">
        <f ca="1">VLOOKUP(tabCustoUnit[[#This Row],[Código do Posto]],tabParametros[],MATCH(tabCustoUnit[[#Headers],[Custos Indiretos]],tabParametros[#Headers],0),0)</f>
        <v>#NAME?</v>
      </c>
      <c r="BO5" s="22" t="e">
        <f ca="1">VLOOKUP(tabCustoUnit[[#This Row],[Código do Posto]],tabParametros[],MATCH(tabCustoUnit[[#Headers],[Lucro]],tabParametros[#Headers],0),0)</f>
        <v>#NAME?</v>
      </c>
      <c r="BP5" s="26">
        <f>((100/((1-tabCustoUnit[[#This Row],[Resumo de Alíquotas (PIS+CONFINS+ISS)]]))-100)*VLOOKUP(tabCustoUnit[[#This Row],[Código do Posto]],tabParametros[],MATCH(tabCustoUnit[[#Headers],[COFINS]],tabParametros[#Headers],0),0))/(tabCustoUnit[[#This Row],[Resumo de Alíquotas (PIS+CONFINS+ISS)]]*100)</f>
        <v>8.6609686609686695E-2</v>
      </c>
      <c r="BQ5" s="26">
        <f>((100/((100-(tabCustoUnit[[#This Row],[Resumo de Alíquotas (PIS+CONFINS+ISS)]]*100))%)-100)*VLOOKUP(tabCustoUnit[[#This Row],[Código do Posto]],tabParametros[],MATCH(tabCustoUnit[[#Headers],[PIS]],tabParametros[#Headers],0),0))/(tabCustoUnit[[#This Row],[Resumo de Alíquotas (PIS+CONFINS+ISS)]]*100)</f>
        <v>1.880341880341882E-2</v>
      </c>
      <c r="BR5" s="28">
        <f>VLOOKUP(tabCustoUnit[[#This Row],[Código do Posto]],tabParametros[],MATCH(tabCustoUnit[[#Headers],[ISS]],tabParametros[#Headers],0),0)</f>
        <v>0.03</v>
      </c>
      <c r="BS5" s="26">
        <f>(((100/((100-(tabCustoUnit[[#This Row],[Resumo de Alíquotas (PIS+CONFINS+ISS)]]*100))%)-100)*tabCustoUnit[[#This Row],[ISS]])/tabCustoUnit[[#This Row],[Resumo de Alíquotas (PIS+CONFINS+ISS)]])/100</f>
        <v>3.4188034188034219E-2</v>
      </c>
      <c r="BT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5" s="138">
        <f>tabCustoUnit[[#This Row],[COFINS]]+tabCustoUnit[[#This Row],[PIS]]+tabCustoUnit[[#This Row],[ISS (Conversão Alíquota s/ fatura)]]</f>
        <v>0.13960113960113973</v>
      </c>
      <c r="BV5" s="22" t="e">
        <f ca="1">(tabCustoUnit[[#This Row],[TOTAL MÓDULOS 1+2+3+4+5]]+tabCustoUnit[[#This Row],[Custos Indiretos]]+tabCustoUnit[[#This Row],[Lucro]])*tabCustoUnit[[#This Row],[PIS + COFINS + ISS (Total Conversão  Alíquota s/ Fatura)]]</f>
        <v>#NAME?</v>
      </c>
      <c r="BW5" s="22" t="e">
        <f ca="1">tabCustoUnit[[#This Row],[Custos Indiretos]]+tabCustoUnit[[#This Row],[Lucro]]+tabCustoUnit[[#This Row],[Valor dos Tributos (ISS, PIS, CONFINS)]]</f>
        <v>#NAME?</v>
      </c>
      <c r="BX5" s="22" t="e">
        <f ca="1">tabCustoUnit[[#This Row],[TOTAL MÓDULOS 1+2+3+4+5]]+tabCustoUnit[[#This Row],[MÓDULO 6 – CUSTOS INDIRETOS, TRIBUTOS E LUCRO]]</f>
        <v>#NAME?</v>
      </c>
      <c r="BY5" s="22" t="e">
        <f ca="1">tabCustoUnit[[#This Row],[CUSTO TOTAL MENSAL]]*12</f>
        <v>#NAME?</v>
      </c>
      <c r="BZ5" s="24">
        <f>VLOOKUP(tabCustoUnit[[#This Row],[Código do Posto]],tabParametros[],MATCH(tabCustoUnit[[#Headers],[ANO DA CCT]],tabParametros[#Headers],0),0)</f>
        <v>45658</v>
      </c>
      <c r="CA5" s="25" t="str">
        <f>VLOOKUP(tabCustoUnit[[#This Row],[Código do Posto]],tabParametros[],MATCH(tabCustoUnit[[#Headers],[Nº DE PEDIDO DA CCT]],tabParametros[#Headers],0),0)</f>
        <v>-</v>
      </c>
      <c r="CB5" s="25" t="str">
        <f>VLOOKUP(tabCustoUnit[[#This Row],[Código do Posto]],tabParametros[],MATCH(tabCustoUnit[[#Headers],[TERMO ADITIVO ALTERAÇÃO DA CCT]],tabParametros[#Headers],0),0)</f>
        <v>-</v>
      </c>
    </row>
    <row r="6" spans="1:80">
      <c r="A6" s="20" t="s">
        <v>1530</v>
      </c>
      <c r="B6" t="s">
        <v>1091</v>
      </c>
      <c r="C6" t="s">
        <v>314</v>
      </c>
      <c r="D6" t="s">
        <v>918</v>
      </c>
      <c r="E6" s="20" t="s">
        <v>1090</v>
      </c>
      <c r="F6" s="20" t="s">
        <v>120</v>
      </c>
      <c r="G6" s="418">
        <v>1963.4110000000001</v>
      </c>
      <c r="H6" s="418">
        <v>0</v>
      </c>
      <c r="I6" s="418">
        <v>0</v>
      </c>
      <c r="J6" s="418">
        <v>0</v>
      </c>
      <c r="K6" s="418">
        <v>0</v>
      </c>
      <c r="L6" s="418">
        <v>0</v>
      </c>
      <c r="M6" s="418">
        <v>0</v>
      </c>
      <c r="N6" s="418">
        <v>0</v>
      </c>
      <c r="O6" s="21">
        <f>SUM(tabCustoUnit[[#This Row],[Salário Base]:[Adicional de Acúmulo de função]])</f>
        <v>1963.4110000000001</v>
      </c>
      <c r="P6" s="21">
        <f>tabCustoUnit[[#This Row],[MODULO 1 - REMUNERAÇÃO ]]*SUMIFS(tabParametros[INSS],tabParametros[Código do Posto],tabCustoUnit[[#This Row],[Código do Posto]])</f>
        <v>392.68220000000002</v>
      </c>
      <c r="Q6" s="21">
        <f>tabCustoUnit[[#This Row],[MODULO 1 - REMUNERAÇÃO ]]*SUMIFS(tabParametros[SESI OU SESC],tabParametros[Código do Posto],tabCustoUnit[[#This Row],[Código do Posto]])</f>
        <v>29.451165</v>
      </c>
      <c r="R6" s="21">
        <f>tabCustoUnit[[#This Row],[MODULO 1 - REMUNERAÇÃO ]]*SUMIFS(tabParametros[SENAI OU SENAC],tabParametros[Código do Posto],tabCustoUnit[[#This Row],[Código do Posto]])</f>
        <v>19.63411</v>
      </c>
      <c r="S6" s="21">
        <f>tabCustoUnit[[#This Row],[MODULO 1 - REMUNERAÇÃO ]]*SUMIFS(tabParametros[INCRA],tabParametros[Código do Posto],tabCustoUnit[[#This Row],[Código do Posto]])</f>
        <v>3.926822</v>
      </c>
      <c r="T6" s="21">
        <f>tabCustoUnit[[#This Row],[MODULO 1 - REMUNERAÇÃO ]]*SUMIFS(tabParametros[Salário Educação],tabParametros[Código do Posto],tabCustoUnit[[#This Row],[Código do Posto]])</f>
        <v>49.085275000000003</v>
      </c>
      <c r="U6" s="21">
        <f>tabCustoUnit[[#This Row],[MODULO 1 - REMUNERAÇÃO ]]*SUMIFS(tabParametros[FGTS],tabParametros[Código do Posto],tabCustoUnit[[#This Row],[Código do Posto]])</f>
        <v>157.07288</v>
      </c>
      <c r="V6" s="21">
        <f>tabCustoUnit[[#This Row],[MODULO 1 - REMUNERAÇÃO ]]*SUMIFS(tabParametros[RAT Ajustado],tabParametros[Código do Posto],tabCustoUnit[[#This Row],[Código do Posto]])</f>
        <v>78.536439999999999</v>
      </c>
      <c r="W6" s="21">
        <f>tabCustoUnit[[#This Row],[MODULO 1 - REMUNERAÇÃO ]]*SUMIFS(tabParametros[SEBRAE],tabParametros[Código do Posto],tabCustoUnit[[#This Row],[Código do Posto]])</f>
        <v>11.780466000000001</v>
      </c>
      <c r="X6" s="21">
        <f>SUM(tabCustoUnit[[#This Row],[INSS]:[SEBRAE]])</f>
        <v>742.1693580000001</v>
      </c>
      <c r="Y6" s="21">
        <f>tabCustoUnit[[#This Row],[MODULO 1 - REMUNERAÇÃO ]]*SUMIFS(tabParametros[13º salário (titular)],tabParametros[Código do Posto],tabCustoUnit[[#This Row],[Código do Posto]])</f>
        <v>163.61758333333333</v>
      </c>
      <c r="Z6" s="21">
        <f>tabCustoUnit[[#This Row],[MODULO 1 - REMUNERAÇÃO ]]*SUMIFS(tabParametros[Férias e Adicional de Férias (titular)],tabParametros[Código do Posto],tabCustoUnit[[#This Row],[Código do Posto]])</f>
        <v>218.15677777777776</v>
      </c>
      <c r="AA6" s="21">
        <f>IFERROR((tabCustoUnit[[#This Row],[Submódulo 2.1]]/tabCustoUnit[[#This Row],[MODULO 1 - REMUNERAÇÃO ]])*SUM(tabCustoUnit[[#This Row],[13º salário (titular)]:[Férias e Adicional de Férias (titular)]]),0)</f>
        <v>144.3107085</v>
      </c>
      <c r="AB6" s="21">
        <f>SUM(tabCustoUnit[[#This Row],[13º salário (titular)]:[Incidência do Submódulo 2.1 sobre 13º Salário, Férias e Adicional de Férias]])</f>
        <v>526.08506961111107</v>
      </c>
      <c r="AC6" s="22" t="e">
        <f ca="1">_xlfn.LET(_xlpm.VT,SUMIF(tabParametros[Código do Posto],tabCustoUnit[[#This Row],[Código do Posto]],tabParametros[Vale - Transporte])*2*20,
IF((_xlpm.VT-tabCustoUnit[[#This Row],[Salário Base]]*0.06)&gt;=0,(_xlpm.VT-tabCustoUnit[[#This Row],[Salário Base]]*0.06),0)
)</f>
        <v>#NAME?</v>
      </c>
      <c r="AD6" s="22">
        <f>IF(SUMIF(tabParametros[Código do Posto],tabCustoUnit[[#This Row],[Código do Posto]],tabParametros[Vale - Alimentação])&lt;=0,0,
SUMIF(tabParametros[Código do Posto],tabCustoUnit[[#This Row],[Código do Posto]],tabParametros[Vale - Alimentação])*20-1)</f>
        <v>582</v>
      </c>
      <c r="AE6" s="22">
        <f>SUMIF(tabParametros[Código do Posto],tabCustoUnit[[#This Row],[Código do Posto]],tabParametros[Cesta Básica])</f>
        <v>0</v>
      </c>
      <c r="AF6" s="22">
        <f>SUMIF(tabParametros[Código do Posto],tabCustoUnit[[#This Row],[Código do Posto]],tabParametros[PAF])</f>
        <v>0</v>
      </c>
      <c r="AG6" s="22">
        <f>SUMIF(tabParametros[Código do Posto],tabCustoUnit[[#This Row],[Código do Posto]],tabParametros[PQM])</f>
        <v>15.07</v>
      </c>
      <c r="AH6" s="22">
        <f>SUMIF(tabParametros[Código do Posto],tabCustoUnit[[#This Row],[Código do Posto]],tabParametros[Abono Único e Especial])</f>
        <v>0</v>
      </c>
      <c r="AI6" s="22">
        <f>SUMIF(tabParametros[Código do Posto],tabCustoUnit[[#This Row],[Código do Posto]],tabParametros[Seguro de Vida])</f>
        <v>3.36</v>
      </c>
      <c r="AJ6" s="22">
        <f>SUMIF(tabParametros[Código do Posto],tabCustoUnit[[#This Row],[Código do Posto]],tabParametros[Despesas de Viagem])</f>
        <v>0</v>
      </c>
      <c r="AK6" s="22" t="e">
        <f ca="1">SUM(tabCustoUnit[[#This Row],[Vale - Transporte (Descontada parcela do empregado)]:[Despesas de Viagem]])</f>
        <v>#NAME?</v>
      </c>
      <c r="AL6" s="22" t="e">
        <f ca="1">tabCustoUnit[[#This Row],[Submódulo 2.1]]+tabCustoUnit[[#This Row],[Submódulo 2.2]]+tabCustoUnit[[#This Row],[Submódulo 2.3]]</f>
        <v>#NAME?</v>
      </c>
      <c r="AM6" s="22">
        <f>SUMIF(tabParametros[Código do Posto],tabCustoUnit[[#This Row],[Código do Posto]],tabParametros[Aviso Prévio Indenizado (API) e Reflexo do Aviso Prévio Indenizado])*tabCustoUnit[[#This Row],[MODULO 1 - REMUNERAÇÃO ]]</f>
        <v>13.766980408757716</v>
      </c>
      <c r="AN6" s="22">
        <f>SUMIF(tabParametros[Código do Posto],tabCustoUnit[[#This Row],[Código do Posto]],tabParametros[Incidência do FGTS sobre API e Reflexo do API])*tabCustoUnit[[#This Row],[MODULO 1 - REMUNERAÇÃO ]]</f>
        <v>1.1013584327006174</v>
      </c>
      <c r="AO6" s="22">
        <f>SUMIF(tabParametros[Código do Posto],tabCustoUnit[[#This Row],[Código do Posto]],tabParametros[Multa Rescisória do FGTS sobre o Aviso Prévio Indenizado])*tabCustoUnit[[#This Row],[MODULO 1 - REMUNERAÇÃO ]]</f>
        <v>0.44054337308024699</v>
      </c>
      <c r="AP6" s="22">
        <f>SUMIF(tabParametros[Código do Posto],tabCustoUnit[[#This Row],[Código do Posto]],tabParametros[Aviso Prévio Trabalhado - APT])*tabCustoUnit[[#This Row],[MODULO 1 - REMUNERAÇÃO ]]</f>
        <v>6.8719385000000015</v>
      </c>
      <c r="AQ6" s="22">
        <f>SUMIF(tabParametros[Código do Posto],tabCustoUnit[[#This Row],[Código do Posto]],tabParametros[Incidência dos encargos do submódulo 2.1 sobre Aviso Prévio Trabalhado])*tabCustoUnit[[#This Row],[MODULO 1 - REMUNERAÇÃO ]]</f>
        <v>2.5975927530000007</v>
      </c>
      <c r="AR6" s="22">
        <f>SUMIF(tabParametros[Código do Posto],tabCustoUnit[[#This Row],[Código do Posto]],tabParametros[Multa Rescisória do FGTS])*tabCustoUnit[[#This Row],[MODULO 1 - REMUNERAÇÃO ]]</f>
        <v>60.03674524444444</v>
      </c>
      <c r="AS6" s="22">
        <f>SUMIF(tabParametros[Código do Posto],tabCustoUnit[[#This Row],[Código do Posto]],tabParametros[Indenização Adicional (Art. 9º da Lei nº 7.238/84)])*tabCustoUnit[[#This Row],[MODULO 1 - REMUNERAÇÃO ]]</f>
        <v>1.6361758333333334</v>
      </c>
      <c r="AT6" s="22">
        <f>SUM(tabCustoUnit[[#This Row],[Aviso Prévio Indenizado (API) e Reflexo do Aviso Prévio Indenizado]:[Indenização Adicional (Art. 9º da Lei nº 7.238/84)]])</f>
        <v>86.451334545316371</v>
      </c>
      <c r="AU6" s="22">
        <f>SUMIF(tabParametros[Código do Posto],tabCustoUnit[[#This Row],[Código do Posto]],tabParametros[Ausência por Doença])*tabCustoUnit[[#This Row],[MODULO 1 - REMUNERAÇÃO ]]</f>
        <v>16.579915111111109</v>
      </c>
      <c r="AV6" s="22">
        <f>SUMIF(tabParametros[Código do Posto],tabCustoUnit[[#This Row],[Código do Posto]],tabParametros[Ausências Legais])*tabCustoUnit[[#This Row],[MODULO 1 - REMUNERAÇÃO ]]</f>
        <v>3.9813611944444443</v>
      </c>
      <c r="AW6" s="22">
        <f>SUMIF(tabParametros[Código do Posto],tabCustoUnit[[#This Row],[Código do Posto]],tabParametros[Licença Paternidade])*tabCustoUnit[[#This Row],[MODULO 1 - REMUNERAÇÃO ]]</f>
        <v>0.33541604583333334</v>
      </c>
      <c r="AX6" s="22">
        <f>SUMIF(tabParametros[Código do Posto],tabCustoUnit[[#This Row],[Código do Posto]],tabParametros[Ausência por Acidente de Trabalho])*tabCustoUnit[[#This Row],[MODULO 1 - REMUNERAÇÃO ]]</f>
        <v>0.40904395833333335</v>
      </c>
      <c r="AY6" s="22">
        <f>SUMIF(tabParametros[Código do Posto],tabCustoUnit[[#This Row],[Código do Posto]],tabParametros[Férias, Adicional de Férias e 13º  com empregada em gozo de Licença Maternidade])*tabCustoUnit[[#This Row],[MODULO 1 - REMUNERAÇÃO ]]</f>
        <v>2.5451624074074073</v>
      </c>
      <c r="AZ6" s="22">
        <f>SUMIF(tabParametros[Código do Posto],tabCustoUnit[[#This Row],[Código do Posto]],tabParametros[Incidência do Submódulo 2.1 sobre Ausências Legais])*tabCustoUnit[[#This Row],[MODULO 1 - REMUNERAÇÃO ]]</f>
        <v>9.0156397150750021</v>
      </c>
      <c r="BA6" s="22">
        <f>SUM(tabCustoUnit[[#This Row],[Ausência por Doença]:[Incidência do Submódulo 2.1 sobre Ausências Legais]])</f>
        <v>32.866538432204628</v>
      </c>
      <c r="BB6" s="22">
        <f>SUMIF(tabParametros[Código do Posto],tabCustoUnit[[#This Row],[Código do Posto]],tabParametros[Intervalo para Repouso ou Alimentação])</f>
        <v>267.73786489195959</v>
      </c>
      <c r="BC6" s="22">
        <f>tabCustoUnit[[#This Row],[Intervalo para Repouso ou Alimentação]]</f>
        <v>267.73786489195959</v>
      </c>
      <c r="BD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 s="22">
        <f>tabCustoUnit[[#This Row],[Suspensão Temporária do Contrato de Trabalho]]</f>
        <v>0</v>
      </c>
      <c r="BF6" s="22">
        <f>tabCustoUnit[[#This Row],[Submódulo 4.1]]+tabCustoUnit[[#This Row],[Submódulo 4.2]]+tabCustoUnit[[#This Row],[Submódulo 4.3]]</f>
        <v>300.6044033241642</v>
      </c>
      <c r="BG6" s="22">
        <f>VLOOKUP(tabCustoUnit[[#This Row],[Código do Posto]],tabParametros[],MATCH(tabCustoUnit[[#Headers],[Uniformes e EPIs]],tabParametros[#Headers],0),0)</f>
        <v>56.642978962543395</v>
      </c>
      <c r="BH6" s="22">
        <f>VLOOKUP(tabCustoUnit[[#This Row],[Código do Posto]],tabParametros[],MATCH(tabCustoUnit[[#Headers],[Materiais de Consumo]],tabParametros[#Headers],0),0)</f>
        <v>0</v>
      </c>
      <c r="BI6" s="22">
        <f>VLOOKUP(tabCustoUnit[[#This Row],[Código do Posto]],tabParametros[],MATCH(tabCustoUnit[[#Headers],[Máquinas e Equipamentos (depreciação)]],tabParametros[#Headers],0),0)</f>
        <v>0</v>
      </c>
      <c r="BJ6" s="22">
        <f>VLOOKUP(tabCustoUnit[[#This Row],[Código do Posto]],tabParametros[],MATCH(tabCustoUnit[[#Headers],[Produtos de Limpeza e Materiais de Higiene Pessoal]],tabParametros[#Headers],0),0)</f>
        <v>0</v>
      </c>
      <c r="BK6" s="22">
        <f>VLOOKUP(tabCustoUnit[[#This Row],[Código do Posto]],tabParametros[],MATCH(tabCustoUnit[[#Headers],[Outros (especificar)]],tabParametros[#Headers],0),0)</f>
        <v>0</v>
      </c>
      <c r="BL6" s="22">
        <f>SUM(tabCustoUnit[[#This Row],[Uniformes e EPIs]:[Outros (especificar)]])</f>
        <v>56.642978962543395</v>
      </c>
      <c r="BM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 s="22" t="e">
        <f ca="1">VLOOKUP(tabCustoUnit[[#This Row],[Código do Posto]],tabParametros[],MATCH(tabCustoUnit[[#Headers],[Custos Indiretos]],tabParametros[#Headers],0),0)</f>
        <v>#NAME?</v>
      </c>
      <c r="BO6" s="22" t="e">
        <f ca="1">VLOOKUP(tabCustoUnit[[#This Row],[Código do Posto]],tabParametros[],MATCH(tabCustoUnit[[#Headers],[Lucro]],tabParametros[#Headers],0),0)</f>
        <v>#NAME?</v>
      </c>
      <c r="BP6" s="26">
        <f>((100/((1-tabCustoUnit[[#This Row],[Resumo de Alíquotas (PIS+CONFINS+ISS)]]))-100)*VLOOKUP(tabCustoUnit[[#This Row],[Código do Posto]],tabParametros[],MATCH(tabCustoUnit[[#Headers],[COFINS]],tabParametros[#Headers],0),0))/(tabCustoUnit[[#This Row],[Resumo de Alíquotas (PIS+CONFINS+ISS)]]*100)</f>
        <v>8.6609686609686695E-2</v>
      </c>
      <c r="BQ6" s="26">
        <f>((100/((100-(tabCustoUnit[[#This Row],[Resumo de Alíquotas (PIS+CONFINS+ISS)]]*100))%)-100)*VLOOKUP(tabCustoUnit[[#This Row],[Código do Posto]],tabParametros[],MATCH(tabCustoUnit[[#Headers],[PIS]],tabParametros[#Headers],0),0))/(tabCustoUnit[[#This Row],[Resumo de Alíquotas (PIS+CONFINS+ISS)]]*100)</f>
        <v>1.880341880341882E-2</v>
      </c>
      <c r="BR6" s="28">
        <f>VLOOKUP(tabCustoUnit[[#This Row],[Código do Posto]],tabParametros[],MATCH(tabCustoUnit[[#Headers],[ISS]],tabParametros[#Headers],0),0)</f>
        <v>0.03</v>
      </c>
      <c r="BS6" s="26">
        <f>(((100/((100-(tabCustoUnit[[#This Row],[Resumo de Alíquotas (PIS+CONFINS+ISS)]]*100))%)-100)*tabCustoUnit[[#This Row],[ISS]])/tabCustoUnit[[#This Row],[Resumo de Alíquotas (PIS+CONFINS+ISS)]])/100</f>
        <v>3.4188034188034219E-2</v>
      </c>
      <c r="BT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6" s="138">
        <f>tabCustoUnit[[#This Row],[COFINS]]+tabCustoUnit[[#This Row],[PIS]]+tabCustoUnit[[#This Row],[ISS (Conversão Alíquota s/ fatura)]]</f>
        <v>0.13960113960113973</v>
      </c>
      <c r="BV6" s="22" t="e">
        <f ca="1">(tabCustoUnit[[#This Row],[TOTAL MÓDULOS 1+2+3+4+5]]+tabCustoUnit[[#This Row],[Custos Indiretos]]+tabCustoUnit[[#This Row],[Lucro]])*tabCustoUnit[[#This Row],[PIS + COFINS + ISS (Total Conversão  Alíquota s/ Fatura)]]</f>
        <v>#NAME?</v>
      </c>
      <c r="BW6" s="22" t="e">
        <f ca="1">tabCustoUnit[[#This Row],[Custos Indiretos]]+tabCustoUnit[[#This Row],[Lucro]]+tabCustoUnit[[#This Row],[Valor dos Tributos (ISS, PIS, CONFINS)]]</f>
        <v>#NAME?</v>
      </c>
      <c r="BX6" s="22" t="e">
        <f ca="1">tabCustoUnit[[#This Row],[TOTAL MÓDULOS 1+2+3+4+5]]+tabCustoUnit[[#This Row],[MÓDULO 6 – CUSTOS INDIRETOS, TRIBUTOS E LUCRO]]</f>
        <v>#NAME?</v>
      </c>
      <c r="BY6" s="22" t="e">
        <f ca="1">tabCustoUnit[[#This Row],[CUSTO TOTAL MENSAL]]*12</f>
        <v>#NAME?</v>
      </c>
      <c r="BZ6" s="24">
        <f>VLOOKUP(tabCustoUnit[[#This Row],[Código do Posto]],tabParametros[],MATCH(tabCustoUnit[[#Headers],[ANO DA CCT]],tabParametros[#Headers],0),0)</f>
        <v>45658</v>
      </c>
      <c r="CA6" s="25" t="str">
        <f>VLOOKUP(tabCustoUnit[[#This Row],[Código do Posto]],tabParametros[],MATCH(tabCustoUnit[[#Headers],[Nº DE PEDIDO DA CCT]],tabParametros[#Headers],0),0)</f>
        <v>-</v>
      </c>
      <c r="CB6" s="25" t="str">
        <f>VLOOKUP(tabCustoUnit[[#This Row],[Código do Posto]],tabParametros[],MATCH(tabCustoUnit[[#Headers],[TERMO ADITIVO ALTERAÇÃO DA CCT]],tabParametros[#Headers],0),0)</f>
        <v>-</v>
      </c>
    </row>
    <row r="7" spans="1:80">
      <c r="A7" s="20" t="s">
        <v>1531</v>
      </c>
      <c r="B7" t="s">
        <v>1092</v>
      </c>
      <c r="C7" t="s">
        <v>314</v>
      </c>
      <c r="D7" t="s">
        <v>918</v>
      </c>
      <c r="E7" s="20" t="s">
        <v>1090</v>
      </c>
      <c r="F7" s="20" t="s">
        <v>120</v>
      </c>
      <c r="G7" s="418">
        <v>1963.4110000000001</v>
      </c>
      <c r="H7" s="418">
        <v>0</v>
      </c>
      <c r="I7" s="418">
        <v>0</v>
      </c>
      <c r="J7" s="418">
        <v>0</v>
      </c>
      <c r="K7" s="418">
        <v>0</v>
      </c>
      <c r="L7" s="418">
        <v>0</v>
      </c>
      <c r="M7" s="418">
        <v>0</v>
      </c>
      <c r="N7" s="418">
        <v>0</v>
      </c>
      <c r="O7" s="21">
        <f>SUM(tabCustoUnit[[#This Row],[Salário Base]:[Adicional de Acúmulo de função]])</f>
        <v>1963.4110000000001</v>
      </c>
      <c r="P7" s="21">
        <f>tabCustoUnit[[#This Row],[MODULO 1 - REMUNERAÇÃO ]]*SUMIFS(tabParametros[INSS],tabParametros[Código do Posto],tabCustoUnit[[#This Row],[Código do Posto]])</f>
        <v>392.68220000000002</v>
      </c>
      <c r="Q7" s="21">
        <f>tabCustoUnit[[#This Row],[MODULO 1 - REMUNERAÇÃO ]]*SUMIFS(tabParametros[SESI OU SESC],tabParametros[Código do Posto],tabCustoUnit[[#This Row],[Código do Posto]])</f>
        <v>29.451165</v>
      </c>
      <c r="R7" s="21">
        <f>tabCustoUnit[[#This Row],[MODULO 1 - REMUNERAÇÃO ]]*SUMIFS(tabParametros[SENAI OU SENAC],tabParametros[Código do Posto],tabCustoUnit[[#This Row],[Código do Posto]])</f>
        <v>19.63411</v>
      </c>
      <c r="S7" s="21">
        <f>tabCustoUnit[[#This Row],[MODULO 1 - REMUNERAÇÃO ]]*SUMIFS(tabParametros[INCRA],tabParametros[Código do Posto],tabCustoUnit[[#This Row],[Código do Posto]])</f>
        <v>3.926822</v>
      </c>
      <c r="T7" s="21">
        <f>tabCustoUnit[[#This Row],[MODULO 1 - REMUNERAÇÃO ]]*SUMIFS(tabParametros[Salário Educação],tabParametros[Código do Posto],tabCustoUnit[[#This Row],[Código do Posto]])</f>
        <v>49.085275000000003</v>
      </c>
      <c r="U7" s="21">
        <f>tabCustoUnit[[#This Row],[MODULO 1 - REMUNERAÇÃO ]]*SUMIFS(tabParametros[FGTS],tabParametros[Código do Posto],tabCustoUnit[[#This Row],[Código do Posto]])</f>
        <v>157.07288</v>
      </c>
      <c r="V7" s="21">
        <f>tabCustoUnit[[#This Row],[MODULO 1 - REMUNERAÇÃO ]]*SUMIFS(tabParametros[RAT Ajustado],tabParametros[Código do Posto],tabCustoUnit[[#This Row],[Código do Posto]])</f>
        <v>78.536439999999999</v>
      </c>
      <c r="W7" s="21">
        <f>tabCustoUnit[[#This Row],[MODULO 1 - REMUNERAÇÃO ]]*SUMIFS(tabParametros[SEBRAE],tabParametros[Código do Posto],tabCustoUnit[[#This Row],[Código do Posto]])</f>
        <v>11.780466000000001</v>
      </c>
      <c r="X7" s="21">
        <f>SUM(tabCustoUnit[[#This Row],[INSS]:[SEBRAE]])</f>
        <v>742.1693580000001</v>
      </c>
      <c r="Y7" s="21">
        <f>tabCustoUnit[[#This Row],[MODULO 1 - REMUNERAÇÃO ]]*SUMIFS(tabParametros[13º salário (titular)],tabParametros[Código do Posto],tabCustoUnit[[#This Row],[Código do Posto]])</f>
        <v>163.61758333333333</v>
      </c>
      <c r="Z7" s="21">
        <f>tabCustoUnit[[#This Row],[MODULO 1 - REMUNERAÇÃO ]]*SUMIFS(tabParametros[Férias e Adicional de Férias (titular)],tabParametros[Código do Posto],tabCustoUnit[[#This Row],[Código do Posto]])</f>
        <v>218.15677777777776</v>
      </c>
      <c r="AA7" s="21">
        <f>IFERROR((tabCustoUnit[[#This Row],[Submódulo 2.1]]/tabCustoUnit[[#This Row],[MODULO 1 - REMUNERAÇÃO ]])*SUM(tabCustoUnit[[#This Row],[13º salário (titular)]:[Férias e Adicional de Férias (titular)]]),0)</f>
        <v>144.3107085</v>
      </c>
      <c r="AB7" s="21">
        <f>SUM(tabCustoUnit[[#This Row],[13º salário (titular)]:[Incidência do Submódulo 2.1 sobre 13º Salário, Férias e Adicional de Férias]])</f>
        <v>526.08506961111107</v>
      </c>
      <c r="AC7" s="22" t="e">
        <f ca="1">_xlfn.LET(_xlpm.VT,SUMIF(tabParametros[Código do Posto],tabCustoUnit[[#This Row],[Código do Posto]],tabParametros[Vale - Transporte])*2*20,
IF((_xlpm.VT-tabCustoUnit[[#This Row],[Salário Base]]*0.06)&gt;=0,(_xlpm.VT-tabCustoUnit[[#This Row],[Salário Base]]*0.06),0)
)</f>
        <v>#NAME?</v>
      </c>
      <c r="AD7" s="22">
        <f>IF(SUMIF(tabParametros[Código do Posto],tabCustoUnit[[#This Row],[Código do Posto]],tabParametros[Vale - Alimentação])&lt;=0,0,
SUMIF(tabParametros[Código do Posto],tabCustoUnit[[#This Row],[Código do Posto]],tabParametros[Vale - Alimentação])*20-1)</f>
        <v>582</v>
      </c>
      <c r="AE7" s="22">
        <f>SUMIF(tabParametros[Código do Posto],tabCustoUnit[[#This Row],[Código do Posto]],tabParametros[Cesta Básica])</f>
        <v>0</v>
      </c>
      <c r="AF7" s="22">
        <f>SUMIF(tabParametros[Código do Posto],tabCustoUnit[[#This Row],[Código do Posto]],tabParametros[PAF])</f>
        <v>0</v>
      </c>
      <c r="AG7" s="22">
        <f>SUMIF(tabParametros[Código do Posto],tabCustoUnit[[#This Row],[Código do Posto]],tabParametros[PQM])</f>
        <v>15.07</v>
      </c>
      <c r="AH7" s="22">
        <f>SUMIF(tabParametros[Código do Posto],tabCustoUnit[[#This Row],[Código do Posto]],tabParametros[Abono Único e Especial])</f>
        <v>0</v>
      </c>
      <c r="AI7" s="22">
        <f>SUMIF(tabParametros[Código do Posto],tabCustoUnit[[#This Row],[Código do Posto]],tabParametros[Seguro de Vida])</f>
        <v>3.36</v>
      </c>
      <c r="AJ7" s="22">
        <f>SUMIF(tabParametros[Código do Posto],tabCustoUnit[[#This Row],[Código do Posto]],tabParametros[Despesas de Viagem])</f>
        <v>0</v>
      </c>
      <c r="AK7" s="22" t="e">
        <f ca="1">SUM(tabCustoUnit[[#This Row],[Vale - Transporte (Descontada parcela do empregado)]:[Despesas de Viagem]])</f>
        <v>#NAME?</v>
      </c>
      <c r="AL7" s="22" t="e">
        <f ca="1">tabCustoUnit[[#This Row],[Submódulo 2.1]]+tabCustoUnit[[#This Row],[Submódulo 2.2]]+tabCustoUnit[[#This Row],[Submódulo 2.3]]</f>
        <v>#NAME?</v>
      </c>
      <c r="AM7" s="22">
        <f>SUMIF(tabParametros[Código do Posto],tabCustoUnit[[#This Row],[Código do Posto]],tabParametros[Aviso Prévio Indenizado (API) e Reflexo do Aviso Prévio Indenizado])*tabCustoUnit[[#This Row],[MODULO 1 - REMUNERAÇÃO ]]</f>
        <v>13.766980408757716</v>
      </c>
      <c r="AN7" s="22">
        <f>SUMIF(tabParametros[Código do Posto],tabCustoUnit[[#This Row],[Código do Posto]],tabParametros[Incidência do FGTS sobre API e Reflexo do API])*tabCustoUnit[[#This Row],[MODULO 1 - REMUNERAÇÃO ]]</f>
        <v>1.1013584327006174</v>
      </c>
      <c r="AO7" s="22">
        <f>SUMIF(tabParametros[Código do Posto],tabCustoUnit[[#This Row],[Código do Posto]],tabParametros[Multa Rescisória do FGTS sobre o Aviso Prévio Indenizado])*tabCustoUnit[[#This Row],[MODULO 1 - REMUNERAÇÃO ]]</f>
        <v>0.44054337308024699</v>
      </c>
      <c r="AP7" s="22">
        <f>SUMIF(tabParametros[Código do Posto],tabCustoUnit[[#This Row],[Código do Posto]],tabParametros[Aviso Prévio Trabalhado - APT])*tabCustoUnit[[#This Row],[MODULO 1 - REMUNERAÇÃO ]]</f>
        <v>6.8719385000000015</v>
      </c>
      <c r="AQ7" s="22">
        <f>SUMIF(tabParametros[Código do Posto],tabCustoUnit[[#This Row],[Código do Posto]],tabParametros[Incidência dos encargos do submódulo 2.1 sobre Aviso Prévio Trabalhado])*tabCustoUnit[[#This Row],[MODULO 1 - REMUNERAÇÃO ]]</f>
        <v>2.5975927530000007</v>
      </c>
      <c r="AR7" s="22">
        <f>SUMIF(tabParametros[Código do Posto],tabCustoUnit[[#This Row],[Código do Posto]],tabParametros[Multa Rescisória do FGTS])*tabCustoUnit[[#This Row],[MODULO 1 - REMUNERAÇÃO ]]</f>
        <v>60.03674524444444</v>
      </c>
      <c r="AS7" s="22">
        <f>SUMIF(tabParametros[Código do Posto],tabCustoUnit[[#This Row],[Código do Posto]],tabParametros[Indenização Adicional (Art. 9º da Lei nº 7.238/84)])*tabCustoUnit[[#This Row],[MODULO 1 - REMUNERAÇÃO ]]</f>
        <v>1.6361758333333334</v>
      </c>
      <c r="AT7" s="22">
        <f>SUM(tabCustoUnit[[#This Row],[Aviso Prévio Indenizado (API) e Reflexo do Aviso Prévio Indenizado]:[Indenização Adicional (Art. 9º da Lei nº 7.238/84)]])</f>
        <v>86.451334545316371</v>
      </c>
      <c r="AU7" s="22">
        <f>SUMIF(tabParametros[Código do Posto],tabCustoUnit[[#This Row],[Código do Posto]],tabParametros[Ausência por Doença])*tabCustoUnit[[#This Row],[MODULO 1 - REMUNERAÇÃO ]]</f>
        <v>16.579915111111109</v>
      </c>
      <c r="AV7" s="22">
        <f>SUMIF(tabParametros[Código do Posto],tabCustoUnit[[#This Row],[Código do Posto]],tabParametros[Ausências Legais])*tabCustoUnit[[#This Row],[MODULO 1 - REMUNERAÇÃO ]]</f>
        <v>3.9813611944444443</v>
      </c>
      <c r="AW7" s="22">
        <f>SUMIF(tabParametros[Código do Posto],tabCustoUnit[[#This Row],[Código do Posto]],tabParametros[Licença Paternidade])*tabCustoUnit[[#This Row],[MODULO 1 - REMUNERAÇÃO ]]</f>
        <v>0.33541604583333334</v>
      </c>
      <c r="AX7" s="22">
        <f>SUMIF(tabParametros[Código do Posto],tabCustoUnit[[#This Row],[Código do Posto]],tabParametros[Ausência por Acidente de Trabalho])*tabCustoUnit[[#This Row],[MODULO 1 - REMUNERAÇÃO ]]</f>
        <v>0.40904395833333335</v>
      </c>
      <c r="AY7" s="22">
        <f>SUMIF(tabParametros[Código do Posto],tabCustoUnit[[#This Row],[Código do Posto]],tabParametros[Férias, Adicional de Férias e 13º  com empregada em gozo de Licença Maternidade])*tabCustoUnit[[#This Row],[MODULO 1 - REMUNERAÇÃO ]]</f>
        <v>2.5451624074074073</v>
      </c>
      <c r="AZ7" s="22">
        <f>SUMIF(tabParametros[Código do Posto],tabCustoUnit[[#This Row],[Código do Posto]],tabParametros[Incidência do Submódulo 2.1 sobre Ausências Legais])*tabCustoUnit[[#This Row],[MODULO 1 - REMUNERAÇÃO ]]</f>
        <v>9.0156397150750021</v>
      </c>
      <c r="BA7" s="22">
        <f>SUM(tabCustoUnit[[#This Row],[Ausência por Doença]:[Incidência do Submódulo 2.1 sobre Ausências Legais]])</f>
        <v>32.866538432204628</v>
      </c>
      <c r="BB7" s="22">
        <f>SUMIF(tabParametros[Código do Posto],tabCustoUnit[[#This Row],[Código do Posto]],tabParametros[Intervalo para Repouso ou Alimentação])</f>
        <v>267.73786489195959</v>
      </c>
      <c r="BC7" s="22">
        <f>tabCustoUnit[[#This Row],[Intervalo para Repouso ou Alimentação]]</f>
        <v>267.73786489195959</v>
      </c>
      <c r="BD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 s="22">
        <f>tabCustoUnit[[#This Row],[Suspensão Temporária do Contrato de Trabalho]]</f>
        <v>0</v>
      </c>
      <c r="BF7" s="22">
        <f>tabCustoUnit[[#This Row],[Submódulo 4.1]]+tabCustoUnit[[#This Row],[Submódulo 4.2]]+tabCustoUnit[[#This Row],[Submódulo 4.3]]</f>
        <v>300.6044033241642</v>
      </c>
      <c r="BG7" s="22">
        <f>VLOOKUP(tabCustoUnit[[#This Row],[Código do Posto]],tabParametros[],MATCH(tabCustoUnit[[#Headers],[Uniformes e EPIs]],tabParametros[#Headers],0),0)</f>
        <v>56.642978962543395</v>
      </c>
      <c r="BH7" s="22">
        <f>VLOOKUP(tabCustoUnit[[#This Row],[Código do Posto]],tabParametros[],MATCH(tabCustoUnit[[#Headers],[Materiais de Consumo]],tabParametros[#Headers],0),0)</f>
        <v>0</v>
      </c>
      <c r="BI7" s="22">
        <f>VLOOKUP(tabCustoUnit[[#This Row],[Código do Posto]],tabParametros[],MATCH(tabCustoUnit[[#Headers],[Máquinas e Equipamentos (depreciação)]],tabParametros[#Headers],0),0)</f>
        <v>0</v>
      </c>
      <c r="BJ7" s="22">
        <f>VLOOKUP(tabCustoUnit[[#This Row],[Código do Posto]],tabParametros[],MATCH(tabCustoUnit[[#Headers],[Produtos de Limpeza e Materiais de Higiene Pessoal]],tabParametros[#Headers],0),0)</f>
        <v>0</v>
      </c>
      <c r="BK7" s="22">
        <f>VLOOKUP(tabCustoUnit[[#This Row],[Código do Posto]],tabParametros[],MATCH(tabCustoUnit[[#Headers],[Outros (especificar)]],tabParametros[#Headers],0),0)</f>
        <v>0</v>
      </c>
      <c r="BL7" s="22">
        <f>SUM(tabCustoUnit[[#This Row],[Uniformes e EPIs]:[Outros (especificar)]])</f>
        <v>56.642978962543395</v>
      </c>
      <c r="BM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 s="22" t="e">
        <f ca="1">VLOOKUP(tabCustoUnit[[#This Row],[Código do Posto]],tabParametros[],MATCH(tabCustoUnit[[#Headers],[Custos Indiretos]],tabParametros[#Headers],0),0)</f>
        <v>#NAME?</v>
      </c>
      <c r="BO7" s="22" t="e">
        <f ca="1">VLOOKUP(tabCustoUnit[[#This Row],[Código do Posto]],tabParametros[],MATCH(tabCustoUnit[[#Headers],[Lucro]],tabParametros[#Headers],0),0)</f>
        <v>#NAME?</v>
      </c>
      <c r="BP7" s="26">
        <f>((100/((1-tabCustoUnit[[#This Row],[Resumo de Alíquotas (PIS+CONFINS+ISS)]]))-100)*VLOOKUP(tabCustoUnit[[#This Row],[Código do Posto]],tabParametros[],MATCH(tabCustoUnit[[#Headers],[COFINS]],tabParametros[#Headers],0),0))/(tabCustoUnit[[#This Row],[Resumo de Alíquotas (PIS+CONFINS+ISS)]]*100)</f>
        <v>8.8629737609329504E-2</v>
      </c>
      <c r="BQ7" s="26">
        <f>((100/((100-(tabCustoUnit[[#This Row],[Resumo de Alíquotas (PIS+CONFINS+ISS)]]*100))%)-100)*VLOOKUP(tabCustoUnit[[#This Row],[Código do Posto]],tabParametros[],MATCH(tabCustoUnit[[#Headers],[PIS]],tabParametros[#Headers],0),0))/(tabCustoUnit[[#This Row],[Resumo de Alíquotas (PIS+CONFINS+ISS)]]*100)</f>
        <v>1.9241982507288629E-2</v>
      </c>
      <c r="BR7" s="28">
        <f>VLOOKUP(tabCustoUnit[[#This Row],[Código do Posto]],tabParametros[],MATCH(tabCustoUnit[[#Headers],[ISS]],tabParametros[#Headers],0),0)</f>
        <v>0.05</v>
      </c>
      <c r="BS7" s="26">
        <f>(((100/((100-(tabCustoUnit[[#This Row],[Resumo de Alíquotas (PIS+CONFINS+ISS)]]*100))%)-100)*tabCustoUnit[[#This Row],[ISS]])/tabCustoUnit[[#This Row],[Resumo de Alíquotas (PIS+CONFINS+ISS)]])/100</f>
        <v>5.8309037900874633E-2</v>
      </c>
      <c r="BT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 s="138">
        <f>tabCustoUnit[[#This Row],[COFINS]]+tabCustoUnit[[#This Row],[PIS]]+tabCustoUnit[[#This Row],[ISS (Conversão Alíquota s/ fatura)]]</f>
        <v>0.16618075801749277</v>
      </c>
      <c r="BV7" s="22" t="e">
        <f ca="1">(tabCustoUnit[[#This Row],[TOTAL MÓDULOS 1+2+3+4+5]]+tabCustoUnit[[#This Row],[Custos Indiretos]]+tabCustoUnit[[#This Row],[Lucro]])*tabCustoUnit[[#This Row],[PIS + COFINS + ISS (Total Conversão  Alíquota s/ Fatura)]]</f>
        <v>#NAME?</v>
      </c>
      <c r="BW7" s="22" t="e">
        <f ca="1">tabCustoUnit[[#This Row],[Custos Indiretos]]+tabCustoUnit[[#This Row],[Lucro]]+tabCustoUnit[[#This Row],[Valor dos Tributos (ISS, PIS, CONFINS)]]</f>
        <v>#NAME?</v>
      </c>
      <c r="BX7" s="22" t="e">
        <f ca="1">tabCustoUnit[[#This Row],[TOTAL MÓDULOS 1+2+3+4+5]]+tabCustoUnit[[#This Row],[MÓDULO 6 – CUSTOS INDIRETOS, TRIBUTOS E LUCRO]]</f>
        <v>#NAME?</v>
      </c>
      <c r="BY7" s="22" t="e">
        <f ca="1">tabCustoUnit[[#This Row],[CUSTO TOTAL MENSAL]]*12</f>
        <v>#NAME?</v>
      </c>
      <c r="BZ7" s="24">
        <f>VLOOKUP(tabCustoUnit[[#This Row],[Código do Posto]],tabParametros[],MATCH(tabCustoUnit[[#Headers],[ANO DA CCT]],tabParametros[#Headers],0),0)</f>
        <v>45658</v>
      </c>
      <c r="CA7" s="25" t="str">
        <f>VLOOKUP(tabCustoUnit[[#This Row],[Código do Posto]],tabParametros[],MATCH(tabCustoUnit[[#Headers],[Nº DE PEDIDO DA CCT]],tabParametros[#Headers],0),0)</f>
        <v>-</v>
      </c>
      <c r="CB7" s="25" t="str">
        <f>VLOOKUP(tabCustoUnit[[#This Row],[Código do Posto]],tabParametros[],MATCH(tabCustoUnit[[#Headers],[TERMO ADITIVO ALTERAÇÃO DA CCT]],tabParametros[#Headers],0),0)</f>
        <v>-</v>
      </c>
    </row>
    <row r="8" spans="1:80">
      <c r="A8" s="20" t="s">
        <v>1403</v>
      </c>
      <c r="B8" t="s">
        <v>1093</v>
      </c>
      <c r="C8" t="s">
        <v>200</v>
      </c>
      <c r="D8" t="s">
        <v>905</v>
      </c>
      <c r="E8" s="20" t="s">
        <v>1090</v>
      </c>
      <c r="F8" s="20" t="s">
        <v>120</v>
      </c>
      <c r="G8" s="418">
        <v>1596.2737999999999</v>
      </c>
      <c r="H8" s="418">
        <v>0</v>
      </c>
      <c r="I8" s="418">
        <v>0</v>
      </c>
      <c r="J8" s="418">
        <v>0</v>
      </c>
      <c r="K8" s="418">
        <v>0</v>
      </c>
      <c r="L8" s="418">
        <v>0</v>
      </c>
      <c r="M8" s="418">
        <v>0</v>
      </c>
      <c r="N8" s="418">
        <v>0</v>
      </c>
      <c r="O8" s="21">
        <f>SUM(tabCustoUnit[[#This Row],[Salário Base]:[Adicional de Acúmulo de função]])</f>
        <v>1596.2737999999999</v>
      </c>
      <c r="P8" s="21">
        <f>tabCustoUnit[[#This Row],[MODULO 1 - REMUNERAÇÃO ]]*SUMIFS(tabParametros[INSS],tabParametros[Código do Posto],tabCustoUnit[[#This Row],[Código do Posto]])</f>
        <v>319.25476000000003</v>
      </c>
      <c r="Q8" s="21">
        <f>tabCustoUnit[[#This Row],[MODULO 1 - REMUNERAÇÃO ]]*SUMIFS(tabParametros[SESI OU SESC],tabParametros[Código do Posto],tabCustoUnit[[#This Row],[Código do Posto]])</f>
        <v>23.944106999999999</v>
      </c>
      <c r="R8" s="21">
        <f>tabCustoUnit[[#This Row],[MODULO 1 - REMUNERAÇÃO ]]*SUMIFS(tabParametros[SENAI OU SENAC],tabParametros[Código do Posto],tabCustoUnit[[#This Row],[Código do Posto]])</f>
        <v>15.962738</v>
      </c>
      <c r="S8" s="21">
        <f>tabCustoUnit[[#This Row],[MODULO 1 - REMUNERAÇÃO ]]*SUMIFS(tabParametros[INCRA],tabParametros[Código do Posto],tabCustoUnit[[#This Row],[Código do Posto]])</f>
        <v>3.1925476000000002</v>
      </c>
      <c r="T8" s="21">
        <f>tabCustoUnit[[#This Row],[MODULO 1 - REMUNERAÇÃO ]]*SUMIFS(tabParametros[Salário Educação],tabParametros[Código do Posto],tabCustoUnit[[#This Row],[Código do Posto]])</f>
        <v>39.906845000000004</v>
      </c>
      <c r="U8" s="21">
        <f>tabCustoUnit[[#This Row],[MODULO 1 - REMUNERAÇÃO ]]*SUMIFS(tabParametros[FGTS],tabParametros[Código do Posto],tabCustoUnit[[#This Row],[Código do Posto]])</f>
        <v>127.701904</v>
      </c>
      <c r="V8" s="21">
        <f>tabCustoUnit[[#This Row],[MODULO 1 - REMUNERAÇÃO ]]*SUMIFS(tabParametros[RAT Ajustado],tabParametros[Código do Posto],tabCustoUnit[[#This Row],[Código do Posto]])</f>
        <v>63.850951999999999</v>
      </c>
      <c r="W8" s="21">
        <f>tabCustoUnit[[#This Row],[MODULO 1 - REMUNERAÇÃO ]]*SUMIFS(tabParametros[SEBRAE],tabParametros[Código do Posto],tabCustoUnit[[#This Row],[Código do Posto]])</f>
        <v>9.5776427999999996</v>
      </c>
      <c r="X8" s="21">
        <f>SUM(tabCustoUnit[[#This Row],[INSS]:[SEBRAE]])</f>
        <v>603.39149640000005</v>
      </c>
      <c r="Y8" s="21">
        <f>tabCustoUnit[[#This Row],[MODULO 1 - REMUNERAÇÃO ]]*SUMIFS(tabParametros[13º salário (titular)],tabParametros[Código do Posto],tabCustoUnit[[#This Row],[Código do Posto]])</f>
        <v>133.02281666666664</v>
      </c>
      <c r="Z8" s="21">
        <f>tabCustoUnit[[#This Row],[MODULO 1 - REMUNERAÇÃO ]]*SUMIFS(tabParametros[Férias e Adicional de Férias (titular)],tabParametros[Código do Posto],tabCustoUnit[[#This Row],[Código do Posto]])</f>
        <v>177.36375555555554</v>
      </c>
      <c r="AA8" s="21">
        <f>IFERROR((tabCustoUnit[[#This Row],[Submódulo 2.1]]/tabCustoUnit[[#This Row],[MODULO 1 - REMUNERAÇÃO ]])*SUM(tabCustoUnit[[#This Row],[13º salário (titular)]:[Férias e Adicional de Férias (titular)]]),0)</f>
        <v>117.3261243</v>
      </c>
      <c r="AB8" s="21">
        <f>SUM(tabCustoUnit[[#This Row],[13º salário (titular)]:[Incidência do Submódulo 2.1 sobre 13º Salário, Férias e Adicional de Férias]])</f>
        <v>427.71269652222219</v>
      </c>
      <c r="AC8" s="22" t="e">
        <f ca="1">_xlfn.LET(_xlpm.VT,SUMIF(tabParametros[Código do Posto],tabCustoUnit[[#This Row],[Código do Posto]],tabParametros[Vale - Transporte])*2*20,
IF((_xlpm.VT-tabCustoUnit[[#This Row],[Salário Base]]*0.06)&gt;=0,(_xlpm.VT-tabCustoUnit[[#This Row],[Salário Base]]*0.06),0)
)</f>
        <v>#NAME?</v>
      </c>
      <c r="AD8" s="22">
        <f>IF(SUMIF(tabParametros[Código do Posto],tabCustoUnit[[#This Row],[Código do Posto]],tabParametros[Vale - Alimentação])&lt;=0,0,
SUMIF(tabParametros[Código do Posto],tabCustoUnit[[#This Row],[Código do Posto]],tabParametros[Vale - Alimentação])*20-1)</f>
        <v>582</v>
      </c>
      <c r="AE8" s="22">
        <f>SUMIF(tabParametros[Código do Posto],tabCustoUnit[[#This Row],[Código do Posto]],tabParametros[Cesta Básica])</f>
        <v>0</v>
      </c>
      <c r="AF8" s="22">
        <f>SUMIF(tabParametros[Código do Posto],tabCustoUnit[[#This Row],[Código do Posto]],tabParametros[PAF])</f>
        <v>57.07</v>
      </c>
      <c r="AG8" s="22">
        <f>SUMIF(tabParametros[Código do Posto],tabCustoUnit[[#This Row],[Código do Posto]],tabParametros[PQM])</f>
        <v>0</v>
      </c>
      <c r="AH8" s="22">
        <f>SUMIF(tabParametros[Código do Posto],tabCustoUnit[[#This Row],[Código do Posto]],tabParametros[Abono Único e Especial])</f>
        <v>0</v>
      </c>
      <c r="AI8" s="22">
        <f>SUMIF(tabParametros[Código do Posto],tabCustoUnit[[#This Row],[Código do Posto]],tabParametros[Seguro de Vida])</f>
        <v>3.36</v>
      </c>
      <c r="AJ8" s="22">
        <f>SUMIF(tabParametros[Código do Posto],tabCustoUnit[[#This Row],[Código do Posto]],tabParametros[Despesas de Viagem])</f>
        <v>0</v>
      </c>
      <c r="AK8" s="22" t="e">
        <f ca="1">SUM(tabCustoUnit[[#This Row],[Vale - Transporte (Descontada parcela do empregado)]:[Despesas de Viagem]])</f>
        <v>#NAME?</v>
      </c>
      <c r="AL8" s="22" t="e">
        <f ca="1">tabCustoUnit[[#This Row],[Submódulo 2.1]]+tabCustoUnit[[#This Row],[Submódulo 2.2]]+tabCustoUnit[[#This Row],[Submódulo 2.3]]</f>
        <v>#NAME?</v>
      </c>
      <c r="AM8" s="22">
        <f>SUMIF(tabParametros[Código do Posto],tabCustoUnit[[#This Row],[Código do Posto]],tabParametros[Aviso Prévio Indenizado (API) e Reflexo do Aviso Prévio Indenizado])*tabCustoUnit[[#This Row],[MODULO 1 - REMUNERAÇÃO ]]</f>
        <v>11.192699914390431</v>
      </c>
      <c r="AN8" s="22">
        <f>SUMIF(tabParametros[Código do Posto],tabCustoUnit[[#This Row],[Código do Posto]],tabParametros[Incidência do FGTS sobre API e Reflexo do API])*tabCustoUnit[[#This Row],[MODULO 1 - REMUNERAÇÃO ]]</f>
        <v>0.89541599315123466</v>
      </c>
      <c r="AO8" s="22">
        <f>SUMIF(tabParametros[Código do Posto],tabCustoUnit[[#This Row],[Código do Posto]],tabParametros[Multa Rescisória do FGTS sobre o Aviso Prévio Indenizado])*tabCustoUnit[[#This Row],[MODULO 1 - REMUNERAÇÃO ]]</f>
        <v>0.35816639726049387</v>
      </c>
      <c r="AP8" s="22">
        <f>SUMIF(tabParametros[Código do Posto],tabCustoUnit[[#This Row],[Código do Posto]],tabParametros[Aviso Prévio Trabalhado - APT])*tabCustoUnit[[#This Row],[MODULO 1 - REMUNERAÇÃO ]]</f>
        <v>5.5869583000000009</v>
      </c>
      <c r="AQ8" s="22">
        <f>SUMIF(tabParametros[Código do Posto],tabCustoUnit[[#This Row],[Código do Posto]],tabParametros[Incidência dos encargos do submódulo 2.1 sobre Aviso Prévio Trabalhado])*tabCustoUnit[[#This Row],[MODULO 1 - REMUNERAÇÃO ]]</f>
        <v>2.1118702374000007</v>
      </c>
      <c r="AR8" s="22">
        <f>SUMIF(tabParametros[Código do Posto],tabCustoUnit[[#This Row],[Código do Posto]],tabParametros[Multa Rescisória do FGTS])*tabCustoUnit[[#This Row],[MODULO 1 - REMUNERAÇÃO ]]</f>
        <v>48.810505528888882</v>
      </c>
      <c r="AS8" s="22">
        <f>SUMIF(tabParametros[Código do Posto],tabCustoUnit[[#This Row],[Código do Posto]],tabParametros[Indenização Adicional (Art. 9º da Lei nº 7.238/84)])*tabCustoUnit[[#This Row],[MODULO 1 - REMUNERAÇÃO ]]</f>
        <v>1.3302281666666667</v>
      </c>
      <c r="AT8" s="22">
        <f>SUM(tabCustoUnit[[#This Row],[Aviso Prévio Indenizado (API) e Reflexo do Aviso Prévio Indenizado]:[Indenização Adicional (Art. 9º da Lei nº 7.238/84)]])</f>
        <v>70.285844537757711</v>
      </c>
      <c r="AU8" s="22">
        <f>SUMIF(tabParametros[Código do Posto],tabCustoUnit[[#This Row],[Código do Posto]],tabParametros[Ausência por Doença])*tabCustoUnit[[#This Row],[MODULO 1 - REMUNERAÇÃO ]]</f>
        <v>13.479645422222221</v>
      </c>
      <c r="AV8" s="22">
        <f>SUMIF(tabParametros[Código do Posto],tabCustoUnit[[#This Row],[Código do Posto]],tabParametros[Ausências Legais])*tabCustoUnit[[#This Row],[MODULO 1 - REMUNERAÇÃO ]]</f>
        <v>3.2368885388888886</v>
      </c>
      <c r="AW8" s="22">
        <f>SUMIF(tabParametros[Código do Posto],tabCustoUnit[[#This Row],[Código do Posto]],tabParametros[Licença Paternidade])*tabCustoUnit[[#This Row],[MODULO 1 - REMUNERAÇÃO ]]</f>
        <v>0.27269677416666666</v>
      </c>
      <c r="AX8" s="22">
        <f>SUMIF(tabParametros[Código do Posto],tabCustoUnit[[#This Row],[Código do Posto]],tabParametros[Ausência por Acidente de Trabalho])*tabCustoUnit[[#This Row],[MODULO 1 - REMUNERAÇÃO ]]</f>
        <v>0.33255704166666666</v>
      </c>
      <c r="AY8" s="22">
        <f>SUMIF(tabParametros[Código do Posto],tabCustoUnit[[#This Row],[Código do Posto]],tabParametros[Férias, Adicional de Férias e 13º  com empregada em gozo de Licença Maternidade])*tabCustoUnit[[#This Row],[MODULO 1 - REMUNERAÇÃO ]]</f>
        <v>2.0692438148148145</v>
      </c>
      <c r="AZ8" s="22">
        <f>SUMIF(tabParametros[Código do Posto],tabCustoUnit[[#This Row],[Código do Posto]],tabParametros[Incidência do Submódulo 2.1 sobre Ausências Legais])*tabCustoUnit[[#This Row],[MODULO 1 - REMUNERAÇÃO ]]</f>
        <v>7.3298099416850011</v>
      </c>
      <c r="BA8" s="22">
        <f>SUM(tabCustoUnit[[#This Row],[Ausência por Doença]:[Incidência do Submódulo 2.1 sobre Ausências Legais]])</f>
        <v>26.720841533444265</v>
      </c>
      <c r="BB8" s="22">
        <f>SUMIF(tabParametros[Código do Posto],tabCustoUnit[[#This Row],[Código do Posto]],tabParametros[Intervalo para Repouso ou Alimentação])</f>
        <v>0</v>
      </c>
      <c r="BC8" s="22">
        <f>tabCustoUnit[[#This Row],[Intervalo para Repouso ou Alimentação]]</f>
        <v>0</v>
      </c>
      <c r="BD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 s="22">
        <f>tabCustoUnit[[#This Row],[Suspensão Temporária do Contrato de Trabalho]]</f>
        <v>0</v>
      </c>
      <c r="BF8" s="22">
        <f>tabCustoUnit[[#This Row],[Submódulo 4.1]]+tabCustoUnit[[#This Row],[Submódulo 4.2]]+tabCustoUnit[[#This Row],[Submódulo 4.3]]</f>
        <v>26.720841533444265</v>
      </c>
      <c r="BG8" s="22">
        <f>VLOOKUP(tabCustoUnit[[#This Row],[Código do Posto]],tabParametros[],MATCH(tabCustoUnit[[#Headers],[Uniformes e EPIs]],tabParametros[#Headers],0),0)</f>
        <v>56.141713661989918</v>
      </c>
      <c r="BH8" s="22">
        <f>VLOOKUP(tabCustoUnit[[#This Row],[Código do Posto]],tabParametros[],MATCH(tabCustoUnit[[#Headers],[Materiais de Consumo]],tabParametros[#Headers],0),0)</f>
        <v>0</v>
      </c>
      <c r="BI8" s="22">
        <f>VLOOKUP(tabCustoUnit[[#This Row],[Código do Posto]],tabParametros[],MATCH(tabCustoUnit[[#Headers],[Máquinas e Equipamentos (depreciação)]],tabParametros[#Headers],0),0)</f>
        <v>0</v>
      </c>
      <c r="BJ8" s="22">
        <f>VLOOKUP(tabCustoUnit[[#This Row],[Código do Posto]],tabParametros[],MATCH(tabCustoUnit[[#Headers],[Produtos de Limpeza e Materiais de Higiene Pessoal]],tabParametros[#Headers],0),0)</f>
        <v>0</v>
      </c>
      <c r="BK8" s="22">
        <f>VLOOKUP(tabCustoUnit[[#This Row],[Código do Posto]],tabParametros[],MATCH(tabCustoUnit[[#Headers],[Outros (especificar)]],tabParametros[#Headers],0),0)</f>
        <v>0</v>
      </c>
      <c r="BL8" s="22">
        <f>SUM(tabCustoUnit[[#This Row],[Uniformes e EPIs]:[Outros (especificar)]])</f>
        <v>56.141713661989918</v>
      </c>
      <c r="BM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 s="22" t="e">
        <f ca="1">VLOOKUP(tabCustoUnit[[#This Row],[Código do Posto]],tabParametros[],MATCH(tabCustoUnit[[#Headers],[Custos Indiretos]],tabParametros[#Headers],0),0)</f>
        <v>#NAME?</v>
      </c>
      <c r="BO8" s="22" t="e">
        <f ca="1">VLOOKUP(tabCustoUnit[[#This Row],[Código do Posto]],tabParametros[],MATCH(tabCustoUnit[[#Headers],[Lucro]],tabParametros[#Headers],0),0)</f>
        <v>#NAME?</v>
      </c>
      <c r="BP8" s="26">
        <f>((100/((1-tabCustoUnit[[#This Row],[Resumo de Alíquotas (PIS+CONFINS+ISS)]]))-100)*VLOOKUP(tabCustoUnit[[#This Row],[Código do Posto]],tabParametros[],MATCH(tabCustoUnit[[#Headers],[COFINS]],tabParametros[#Headers],0),0))/(tabCustoUnit[[#This Row],[Resumo de Alíquotas (PIS+CONFINS+ISS)]]*100)</f>
        <v>8.5633802816901458E-2</v>
      </c>
      <c r="BQ8" s="26">
        <f>((100/((100-(tabCustoUnit[[#This Row],[Resumo de Alíquotas (PIS+CONFINS+ISS)]]*100))%)-100)*VLOOKUP(tabCustoUnit[[#This Row],[Código do Posto]],tabParametros[],MATCH(tabCustoUnit[[#Headers],[PIS]],tabParametros[#Headers],0),0))/(tabCustoUnit[[#This Row],[Resumo de Alíquotas (PIS+CONFINS+ISS)]]*100)</f>
        <v>1.8591549295774657E-2</v>
      </c>
      <c r="BR8" s="28">
        <f>VLOOKUP(tabCustoUnit[[#This Row],[Código do Posto]],tabParametros[],MATCH(tabCustoUnit[[#Headers],[ISS]],tabParametros[#Headers],0),0)</f>
        <v>0.02</v>
      </c>
      <c r="BS8" s="26">
        <f>(((100/((100-(tabCustoUnit[[#This Row],[Resumo de Alíquotas (PIS+CONFINS+ISS)]]*100))%)-100)*tabCustoUnit[[#This Row],[ISS]])/tabCustoUnit[[#This Row],[Resumo de Alíquotas (PIS+CONFINS+ISS)]])/100</f>
        <v>2.2535211267605645E-2</v>
      </c>
      <c r="BT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8" s="138">
        <f>tabCustoUnit[[#This Row],[COFINS]]+tabCustoUnit[[#This Row],[PIS]]+tabCustoUnit[[#This Row],[ISS (Conversão Alíquota s/ fatura)]]</f>
        <v>0.12676056338028174</v>
      </c>
      <c r="BV8" s="22" t="e">
        <f ca="1">(tabCustoUnit[[#This Row],[TOTAL MÓDULOS 1+2+3+4+5]]+tabCustoUnit[[#This Row],[Custos Indiretos]]+tabCustoUnit[[#This Row],[Lucro]])*tabCustoUnit[[#This Row],[PIS + COFINS + ISS (Total Conversão  Alíquota s/ Fatura)]]</f>
        <v>#NAME?</v>
      </c>
      <c r="BW8" s="22" t="e">
        <f ca="1">tabCustoUnit[[#This Row],[Custos Indiretos]]+tabCustoUnit[[#This Row],[Lucro]]+tabCustoUnit[[#This Row],[Valor dos Tributos (ISS, PIS, CONFINS)]]</f>
        <v>#NAME?</v>
      </c>
      <c r="BX8" s="22" t="e">
        <f ca="1">tabCustoUnit[[#This Row],[TOTAL MÓDULOS 1+2+3+4+5]]+tabCustoUnit[[#This Row],[MÓDULO 6 – CUSTOS INDIRETOS, TRIBUTOS E LUCRO]]</f>
        <v>#NAME?</v>
      </c>
      <c r="BY8" s="22" t="e">
        <f ca="1">tabCustoUnit[[#This Row],[CUSTO TOTAL MENSAL]]*12</f>
        <v>#NAME?</v>
      </c>
      <c r="BZ8" s="24">
        <f>VLOOKUP(tabCustoUnit[[#This Row],[Código do Posto]],tabParametros[],MATCH(tabCustoUnit[[#Headers],[ANO DA CCT]],tabParametros[#Headers],0),0)</f>
        <v>45658</v>
      </c>
      <c r="CA8" s="25" t="str">
        <f>VLOOKUP(tabCustoUnit[[#This Row],[Código do Posto]],tabParametros[],MATCH(tabCustoUnit[[#Headers],[Nº DE PEDIDO DA CCT]],tabParametros[#Headers],0),0)</f>
        <v>-</v>
      </c>
      <c r="CB8" s="25" t="str">
        <f>VLOOKUP(tabCustoUnit[[#This Row],[Código do Posto]],tabParametros[],MATCH(tabCustoUnit[[#Headers],[TERMO ADITIVO ALTERAÇÃO DA CCT]],tabParametros[#Headers],0),0)</f>
        <v>-</v>
      </c>
    </row>
    <row r="9" spans="1:80">
      <c r="A9" s="20" t="s">
        <v>1532</v>
      </c>
      <c r="B9" t="s">
        <v>1093</v>
      </c>
      <c r="C9" t="s">
        <v>324</v>
      </c>
      <c r="D9" t="s">
        <v>905</v>
      </c>
      <c r="E9" s="20" t="s">
        <v>1090</v>
      </c>
      <c r="F9" s="20" t="s">
        <v>120</v>
      </c>
      <c r="G9" s="418">
        <v>3397.1306</v>
      </c>
      <c r="H9" s="418">
        <v>0</v>
      </c>
      <c r="I9" s="418">
        <v>0</v>
      </c>
      <c r="J9" s="418">
        <v>0</v>
      </c>
      <c r="K9" s="418">
        <v>0</v>
      </c>
      <c r="L9" s="418">
        <v>0</v>
      </c>
      <c r="M9" s="418">
        <v>0</v>
      </c>
      <c r="N9" s="418">
        <v>0</v>
      </c>
      <c r="O9" s="21">
        <f>SUM(tabCustoUnit[[#This Row],[Salário Base]:[Adicional de Acúmulo de função]])</f>
        <v>3397.1306</v>
      </c>
      <c r="P9" s="21">
        <f>tabCustoUnit[[#This Row],[MODULO 1 - REMUNERAÇÃO ]]*SUMIFS(tabParametros[INSS],tabParametros[Código do Posto],tabCustoUnit[[#This Row],[Código do Posto]])</f>
        <v>679.42612000000008</v>
      </c>
      <c r="Q9" s="21">
        <f>tabCustoUnit[[#This Row],[MODULO 1 - REMUNERAÇÃO ]]*SUMIFS(tabParametros[SESI OU SESC],tabParametros[Código do Posto],tabCustoUnit[[#This Row],[Código do Posto]])</f>
        <v>50.956958999999998</v>
      </c>
      <c r="R9" s="21">
        <f>tabCustoUnit[[#This Row],[MODULO 1 - REMUNERAÇÃO ]]*SUMIFS(tabParametros[SENAI OU SENAC],tabParametros[Código do Posto],tabCustoUnit[[#This Row],[Código do Posto]])</f>
        <v>33.971305999999998</v>
      </c>
      <c r="S9" s="21">
        <f>tabCustoUnit[[#This Row],[MODULO 1 - REMUNERAÇÃO ]]*SUMIFS(tabParametros[INCRA],tabParametros[Código do Posto],tabCustoUnit[[#This Row],[Código do Posto]])</f>
        <v>6.7942612000000002</v>
      </c>
      <c r="T9" s="21">
        <f>tabCustoUnit[[#This Row],[MODULO 1 - REMUNERAÇÃO ]]*SUMIFS(tabParametros[Salário Educação],tabParametros[Código do Posto],tabCustoUnit[[#This Row],[Código do Posto]])</f>
        <v>84.92826500000001</v>
      </c>
      <c r="U9" s="21">
        <f>tabCustoUnit[[#This Row],[MODULO 1 - REMUNERAÇÃO ]]*SUMIFS(tabParametros[FGTS],tabParametros[Código do Posto],tabCustoUnit[[#This Row],[Código do Posto]])</f>
        <v>271.77044799999999</v>
      </c>
      <c r="V9" s="21">
        <f>tabCustoUnit[[#This Row],[MODULO 1 - REMUNERAÇÃO ]]*SUMIFS(tabParametros[RAT Ajustado],tabParametros[Código do Posto],tabCustoUnit[[#This Row],[Código do Posto]])</f>
        <v>135.88522399999999</v>
      </c>
      <c r="W9" s="21">
        <f>tabCustoUnit[[#This Row],[MODULO 1 - REMUNERAÇÃO ]]*SUMIFS(tabParametros[SEBRAE],tabParametros[Código do Posto],tabCustoUnit[[#This Row],[Código do Posto]])</f>
        <v>20.3827836</v>
      </c>
      <c r="X9" s="21">
        <f>SUM(tabCustoUnit[[#This Row],[INSS]:[SEBRAE]])</f>
        <v>1284.1153668000002</v>
      </c>
      <c r="Y9" s="21">
        <f>tabCustoUnit[[#This Row],[MODULO 1 - REMUNERAÇÃO ]]*SUMIFS(tabParametros[13º salário (titular)],tabParametros[Código do Posto],tabCustoUnit[[#This Row],[Código do Posto]])</f>
        <v>283.09421666666663</v>
      </c>
      <c r="Z9" s="21">
        <f>tabCustoUnit[[#This Row],[MODULO 1 - REMUNERAÇÃO ]]*SUMIFS(tabParametros[Férias e Adicional de Férias (titular)],tabParametros[Código do Posto],tabCustoUnit[[#This Row],[Código do Posto]])</f>
        <v>377.45895555555552</v>
      </c>
      <c r="AA9" s="21">
        <f>IFERROR((tabCustoUnit[[#This Row],[Submódulo 2.1]]/tabCustoUnit[[#This Row],[MODULO 1 - REMUNERAÇÃO ]])*SUM(tabCustoUnit[[#This Row],[13º salário (titular)]:[Férias e Adicional de Férias (titular)]]),0)</f>
        <v>249.68909910000002</v>
      </c>
      <c r="AB9" s="21">
        <f>SUM(tabCustoUnit[[#This Row],[13º salário (titular)]:[Incidência do Submódulo 2.1 sobre 13º Salário, Férias e Adicional de Férias]])</f>
        <v>910.24227132222222</v>
      </c>
      <c r="AC9" s="22" t="e">
        <f ca="1">_xlfn.LET(_xlpm.VT,SUMIF(tabParametros[Código do Posto],tabCustoUnit[[#This Row],[Código do Posto]],tabParametros[Vale - Transporte])*2*20,
IF((_xlpm.VT-tabCustoUnit[[#This Row],[Salário Base]]*0.06)&gt;=0,(_xlpm.VT-tabCustoUnit[[#This Row],[Salário Base]]*0.06),0)
)</f>
        <v>#NAME?</v>
      </c>
      <c r="AD9" s="22">
        <f>IF(SUMIF(tabParametros[Código do Posto],tabCustoUnit[[#This Row],[Código do Posto]],tabParametros[Vale - Alimentação])&lt;=0,0,
SUMIF(tabParametros[Código do Posto],tabCustoUnit[[#This Row],[Código do Posto]],tabParametros[Vale - Alimentação])*20-1)</f>
        <v>582</v>
      </c>
      <c r="AE9" s="22">
        <f>SUMIF(tabParametros[Código do Posto],tabCustoUnit[[#This Row],[Código do Posto]],tabParametros[Cesta Básica])</f>
        <v>0</v>
      </c>
      <c r="AF9" s="22">
        <f>SUMIF(tabParametros[Código do Posto],tabCustoUnit[[#This Row],[Código do Posto]],tabParametros[PAF])</f>
        <v>57.07</v>
      </c>
      <c r="AG9" s="22">
        <f>SUMIF(tabParametros[Código do Posto],tabCustoUnit[[#This Row],[Código do Posto]],tabParametros[PQM])</f>
        <v>0</v>
      </c>
      <c r="AH9" s="22">
        <f>SUMIF(tabParametros[Código do Posto],tabCustoUnit[[#This Row],[Código do Posto]],tabParametros[Abono Único e Especial])</f>
        <v>0</v>
      </c>
      <c r="AI9" s="22">
        <f>SUMIF(tabParametros[Código do Posto],tabCustoUnit[[#This Row],[Código do Posto]],tabParametros[Seguro de Vida])</f>
        <v>3.36</v>
      </c>
      <c r="AJ9" s="22">
        <f>SUMIF(tabParametros[Código do Posto],tabCustoUnit[[#This Row],[Código do Posto]],tabParametros[Despesas de Viagem])</f>
        <v>0</v>
      </c>
      <c r="AK9" s="22" t="e">
        <f ca="1">SUM(tabCustoUnit[[#This Row],[Vale - Transporte (Descontada parcela do empregado)]:[Despesas de Viagem]])</f>
        <v>#NAME?</v>
      </c>
      <c r="AL9" s="22" t="e">
        <f ca="1">tabCustoUnit[[#This Row],[Submódulo 2.1]]+tabCustoUnit[[#This Row],[Submódulo 2.2]]+tabCustoUnit[[#This Row],[Submódulo 2.3]]</f>
        <v>#NAME?</v>
      </c>
      <c r="AM9" s="22">
        <f>SUMIF(tabParametros[Código do Posto],tabCustoUnit[[#This Row],[Código do Posto]],tabParametros[Aviso Prévio Indenizado (API) e Reflexo do Aviso Prévio Indenizado])*tabCustoUnit[[#This Row],[MODULO 1 - REMUNERAÇÃO ]]</f>
        <v>23.819888151890432</v>
      </c>
      <c r="AN9" s="22">
        <f>SUMIF(tabParametros[Código do Posto],tabCustoUnit[[#This Row],[Código do Posto]],tabParametros[Incidência do FGTS sobre API e Reflexo do API])*tabCustoUnit[[#This Row],[MODULO 1 - REMUNERAÇÃO ]]</f>
        <v>1.9055910521512347</v>
      </c>
      <c r="AO9" s="22">
        <f>SUMIF(tabParametros[Código do Posto],tabCustoUnit[[#This Row],[Código do Posto]],tabParametros[Multa Rescisória do FGTS sobre o Aviso Prévio Indenizado])*tabCustoUnit[[#This Row],[MODULO 1 - REMUNERAÇÃO ]]</f>
        <v>0.76223642086049392</v>
      </c>
      <c r="AP9" s="22">
        <f>SUMIF(tabParametros[Código do Posto],tabCustoUnit[[#This Row],[Código do Posto]],tabParametros[Aviso Prévio Trabalhado - APT])*tabCustoUnit[[#This Row],[MODULO 1 - REMUNERAÇÃO ]]</f>
        <v>11.889957100000002</v>
      </c>
      <c r="AQ9" s="22">
        <f>SUMIF(tabParametros[Código do Posto],tabCustoUnit[[#This Row],[Código do Posto]],tabParametros[Incidência dos encargos do submódulo 2.1 sobre Aviso Prévio Trabalhado])*tabCustoUnit[[#This Row],[MODULO 1 - REMUNERAÇÃO ]]</f>
        <v>4.4944037838000011</v>
      </c>
      <c r="AR9" s="22">
        <f>SUMIF(tabParametros[Código do Posto],tabCustoUnit[[#This Row],[Código do Posto]],tabParametros[Multa Rescisória do FGTS])*tabCustoUnit[[#This Row],[MODULO 1 - REMUNERAÇÃO ]]</f>
        <v>103.87670456888887</v>
      </c>
      <c r="AS9" s="22">
        <f>SUMIF(tabParametros[Código do Posto],tabCustoUnit[[#This Row],[Código do Posto]],tabParametros[Indenização Adicional (Art. 9º da Lei nº 7.238/84)])*tabCustoUnit[[#This Row],[MODULO 1 - REMUNERAÇÃO ]]</f>
        <v>2.830942166666667</v>
      </c>
      <c r="AT9" s="22">
        <f>SUM(tabCustoUnit[[#This Row],[Aviso Prévio Indenizado (API) e Reflexo do Aviso Prévio Indenizado]:[Indenização Adicional (Art. 9º da Lei nº 7.238/84)]])</f>
        <v>149.57972324425771</v>
      </c>
      <c r="AU9" s="22">
        <f>SUMIF(tabParametros[Código do Posto],tabCustoUnit[[#This Row],[Código do Posto]],tabParametros[Ausência por Doença])*tabCustoUnit[[#This Row],[MODULO 1 - REMUNERAÇÃO ]]</f>
        <v>28.686880622222219</v>
      </c>
      <c r="AV9" s="22">
        <f>SUMIF(tabParametros[Código do Posto],tabCustoUnit[[#This Row],[Código do Posto]],tabParametros[Ausências Legais])*tabCustoUnit[[#This Row],[MODULO 1 - REMUNERAÇÃO ]]</f>
        <v>6.8886259388888886</v>
      </c>
      <c r="AW9" s="22">
        <f>SUMIF(tabParametros[Código do Posto],tabCustoUnit[[#This Row],[Código do Posto]],tabParametros[Licença Paternidade])*tabCustoUnit[[#This Row],[MODULO 1 - REMUNERAÇÃO ]]</f>
        <v>0.58034314416666666</v>
      </c>
      <c r="AX9" s="22">
        <f>SUMIF(tabParametros[Código do Posto],tabCustoUnit[[#This Row],[Código do Posto]],tabParametros[Ausência por Acidente de Trabalho])*tabCustoUnit[[#This Row],[MODULO 1 - REMUNERAÇÃO ]]</f>
        <v>0.70773554166666675</v>
      </c>
      <c r="AY9" s="22">
        <f>SUMIF(tabParametros[Código do Posto],tabCustoUnit[[#This Row],[Código do Posto]],tabParametros[Férias, Adicional de Férias e 13º  com empregada em gozo de Licença Maternidade])*tabCustoUnit[[#This Row],[MODULO 1 - REMUNERAÇÃO ]]</f>
        <v>4.4036878148148144</v>
      </c>
      <c r="AZ9" s="22">
        <f>SUMIF(tabParametros[Código do Posto],tabCustoUnit[[#This Row],[Código do Posto]],tabParametros[Incidência do Submódulo 2.1 sobre Ausências Legais])*tabCustoUnit[[#This Row],[MODULO 1 - REMUNERAÇÃO ]]</f>
        <v>15.599029217345002</v>
      </c>
      <c r="BA9" s="22">
        <f>SUM(tabCustoUnit[[#This Row],[Ausência por Doença]:[Incidência do Submódulo 2.1 sobre Ausências Legais]])</f>
        <v>56.866302279104261</v>
      </c>
      <c r="BB9" s="22">
        <f>SUMIF(tabParametros[Código do Posto],tabCustoUnit[[#This Row],[Código do Posto]],tabParametros[Intervalo para Repouso ou Alimentação])</f>
        <v>0</v>
      </c>
      <c r="BC9" s="22">
        <f>tabCustoUnit[[#This Row],[Intervalo para Repouso ou Alimentação]]</f>
        <v>0</v>
      </c>
      <c r="BD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 s="22">
        <f>tabCustoUnit[[#This Row],[Suspensão Temporária do Contrato de Trabalho]]</f>
        <v>0</v>
      </c>
      <c r="BF9" s="22">
        <f>tabCustoUnit[[#This Row],[Submódulo 4.1]]+tabCustoUnit[[#This Row],[Submódulo 4.2]]+tabCustoUnit[[#This Row],[Submódulo 4.3]]</f>
        <v>56.866302279104261</v>
      </c>
      <c r="BG9" s="22">
        <f>VLOOKUP(tabCustoUnit[[#This Row],[Código do Posto]],tabParametros[],MATCH(tabCustoUnit[[#Headers],[Uniformes e EPIs]],tabParametros[#Headers],0),0)</f>
        <v>56.642978962543395</v>
      </c>
      <c r="BH9" s="22">
        <f>VLOOKUP(tabCustoUnit[[#This Row],[Código do Posto]],tabParametros[],MATCH(tabCustoUnit[[#Headers],[Materiais de Consumo]],tabParametros[#Headers],0),0)</f>
        <v>0</v>
      </c>
      <c r="BI9" s="22">
        <f>VLOOKUP(tabCustoUnit[[#This Row],[Código do Posto]],tabParametros[],MATCH(tabCustoUnit[[#Headers],[Máquinas e Equipamentos (depreciação)]],tabParametros[#Headers],0),0)</f>
        <v>0</v>
      </c>
      <c r="BJ9" s="22">
        <f>VLOOKUP(tabCustoUnit[[#This Row],[Código do Posto]],tabParametros[],MATCH(tabCustoUnit[[#Headers],[Produtos de Limpeza e Materiais de Higiene Pessoal]],tabParametros[#Headers],0),0)</f>
        <v>0</v>
      </c>
      <c r="BK9" s="22">
        <f>VLOOKUP(tabCustoUnit[[#This Row],[Código do Posto]],tabParametros[],MATCH(tabCustoUnit[[#Headers],[Outros (especificar)]],tabParametros[#Headers],0),0)</f>
        <v>0</v>
      </c>
      <c r="BL9" s="22">
        <f>SUM(tabCustoUnit[[#This Row],[Uniformes e EPIs]:[Outros (especificar)]])</f>
        <v>56.642978962543395</v>
      </c>
      <c r="BM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 s="22" t="e">
        <f ca="1">VLOOKUP(tabCustoUnit[[#This Row],[Código do Posto]],tabParametros[],MATCH(tabCustoUnit[[#Headers],[Custos Indiretos]],tabParametros[#Headers],0),0)</f>
        <v>#NAME?</v>
      </c>
      <c r="BO9" s="22" t="e">
        <f ca="1">VLOOKUP(tabCustoUnit[[#This Row],[Código do Posto]],tabParametros[],MATCH(tabCustoUnit[[#Headers],[Lucro]],tabParametros[#Headers],0),0)</f>
        <v>#NAME?</v>
      </c>
      <c r="BP9" s="26">
        <f>((100/((1-tabCustoUnit[[#This Row],[Resumo de Alíquotas (PIS+CONFINS+ISS)]]))-100)*VLOOKUP(tabCustoUnit[[#This Row],[Código do Posto]],tabParametros[],MATCH(tabCustoUnit[[#Headers],[COFINS]],tabParametros[#Headers],0),0))/(tabCustoUnit[[#This Row],[Resumo de Alíquotas (PIS+CONFINS+ISS)]]*100)</f>
        <v>8.5633802816901458E-2</v>
      </c>
      <c r="BQ9" s="26">
        <f>((100/((100-(tabCustoUnit[[#This Row],[Resumo de Alíquotas (PIS+CONFINS+ISS)]]*100))%)-100)*VLOOKUP(tabCustoUnit[[#This Row],[Código do Posto]],tabParametros[],MATCH(tabCustoUnit[[#Headers],[PIS]],tabParametros[#Headers],0),0))/(tabCustoUnit[[#This Row],[Resumo de Alíquotas (PIS+CONFINS+ISS)]]*100)</f>
        <v>1.8591549295774657E-2</v>
      </c>
      <c r="BR9" s="28">
        <f>VLOOKUP(tabCustoUnit[[#This Row],[Código do Posto]],tabParametros[],MATCH(tabCustoUnit[[#Headers],[ISS]],tabParametros[#Headers],0),0)</f>
        <v>0.02</v>
      </c>
      <c r="BS9" s="26">
        <f>(((100/((100-(tabCustoUnit[[#This Row],[Resumo de Alíquotas (PIS+CONFINS+ISS)]]*100))%)-100)*tabCustoUnit[[#This Row],[ISS]])/tabCustoUnit[[#This Row],[Resumo de Alíquotas (PIS+CONFINS+ISS)]])/100</f>
        <v>2.2535211267605645E-2</v>
      </c>
      <c r="BT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 s="138">
        <f>tabCustoUnit[[#This Row],[COFINS]]+tabCustoUnit[[#This Row],[PIS]]+tabCustoUnit[[#This Row],[ISS (Conversão Alíquota s/ fatura)]]</f>
        <v>0.12676056338028174</v>
      </c>
      <c r="BV9" s="22" t="e">
        <f ca="1">(tabCustoUnit[[#This Row],[TOTAL MÓDULOS 1+2+3+4+5]]+tabCustoUnit[[#This Row],[Custos Indiretos]]+tabCustoUnit[[#This Row],[Lucro]])*tabCustoUnit[[#This Row],[PIS + COFINS + ISS (Total Conversão  Alíquota s/ Fatura)]]</f>
        <v>#NAME?</v>
      </c>
      <c r="BW9" s="22" t="e">
        <f ca="1">tabCustoUnit[[#This Row],[Custos Indiretos]]+tabCustoUnit[[#This Row],[Lucro]]+tabCustoUnit[[#This Row],[Valor dos Tributos (ISS, PIS, CONFINS)]]</f>
        <v>#NAME?</v>
      </c>
      <c r="BX9" s="22" t="e">
        <f ca="1">tabCustoUnit[[#This Row],[TOTAL MÓDULOS 1+2+3+4+5]]+tabCustoUnit[[#This Row],[MÓDULO 6 – CUSTOS INDIRETOS, TRIBUTOS E LUCRO]]</f>
        <v>#NAME?</v>
      </c>
      <c r="BY9" s="22" t="e">
        <f ca="1">tabCustoUnit[[#This Row],[CUSTO TOTAL MENSAL]]*12</f>
        <v>#NAME?</v>
      </c>
      <c r="BZ9" s="24">
        <f>VLOOKUP(tabCustoUnit[[#This Row],[Código do Posto]],tabParametros[],MATCH(tabCustoUnit[[#Headers],[ANO DA CCT]],tabParametros[#Headers],0),0)</f>
        <v>45658</v>
      </c>
      <c r="CA9" s="25" t="str">
        <f>VLOOKUP(tabCustoUnit[[#This Row],[Código do Posto]],tabParametros[],MATCH(tabCustoUnit[[#Headers],[Nº DE PEDIDO DA CCT]],tabParametros[#Headers],0),0)</f>
        <v>-</v>
      </c>
      <c r="CB9" s="25" t="str">
        <f>VLOOKUP(tabCustoUnit[[#This Row],[Código do Posto]],tabParametros[],MATCH(tabCustoUnit[[#Headers],[TERMO ADITIVO ALTERAÇÃO DA CCT]],tabParametros[#Headers],0),0)</f>
        <v>-</v>
      </c>
    </row>
    <row r="10" spans="1:80">
      <c r="A10" s="20" t="s">
        <v>1533</v>
      </c>
      <c r="B10" t="s">
        <v>1094</v>
      </c>
      <c r="C10" t="s">
        <v>244</v>
      </c>
      <c r="D10" t="s">
        <v>961</v>
      </c>
      <c r="E10" s="20" t="s">
        <v>1090</v>
      </c>
      <c r="F10" s="20" t="s">
        <v>120</v>
      </c>
      <c r="G10" s="418">
        <v>2296.1756999999998</v>
      </c>
      <c r="H10" s="418">
        <v>0</v>
      </c>
      <c r="I10" s="418">
        <v>303.60000000000002</v>
      </c>
      <c r="J10" s="418">
        <v>0</v>
      </c>
      <c r="K10" s="418">
        <v>0</v>
      </c>
      <c r="L10" s="418">
        <v>0</v>
      </c>
      <c r="M10" s="418">
        <v>0</v>
      </c>
      <c r="N10" s="418">
        <v>0</v>
      </c>
      <c r="O10" s="21">
        <f>SUM(tabCustoUnit[[#This Row],[Salário Base]:[Adicional de Acúmulo de função]])</f>
        <v>2599.7756999999997</v>
      </c>
      <c r="P10" s="21">
        <f>tabCustoUnit[[#This Row],[MODULO 1 - REMUNERAÇÃO ]]*SUMIFS(tabParametros[INSS],tabParametros[Código do Posto],tabCustoUnit[[#This Row],[Código do Posto]])</f>
        <v>519.95513999999991</v>
      </c>
      <c r="Q10" s="21">
        <f>tabCustoUnit[[#This Row],[MODULO 1 - REMUNERAÇÃO ]]*SUMIFS(tabParametros[SESI OU SESC],tabParametros[Código do Posto],tabCustoUnit[[#This Row],[Código do Posto]])</f>
        <v>38.996635499999996</v>
      </c>
      <c r="R10" s="21">
        <f>tabCustoUnit[[#This Row],[MODULO 1 - REMUNERAÇÃO ]]*SUMIFS(tabParametros[SENAI OU SENAC],tabParametros[Código do Posto],tabCustoUnit[[#This Row],[Código do Posto]])</f>
        <v>25.997756999999996</v>
      </c>
      <c r="S10" s="21">
        <f>tabCustoUnit[[#This Row],[MODULO 1 - REMUNERAÇÃO ]]*SUMIFS(tabParametros[INCRA],tabParametros[Código do Posto],tabCustoUnit[[#This Row],[Código do Posto]])</f>
        <v>5.1995513999999998</v>
      </c>
      <c r="T10" s="21">
        <f>tabCustoUnit[[#This Row],[MODULO 1 - REMUNERAÇÃO ]]*SUMIFS(tabParametros[Salário Educação],tabParametros[Código do Posto],tabCustoUnit[[#This Row],[Código do Posto]])</f>
        <v>64.994392499999989</v>
      </c>
      <c r="U10" s="21">
        <f>tabCustoUnit[[#This Row],[MODULO 1 - REMUNERAÇÃO ]]*SUMIFS(tabParametros[FGTS],tabParametros[Código do Posto],tabCustoUnit[[#This Row],[Código do Posto]])</f>
        <v>207.98205599999997</v>
      </c>
      <c r="V10" s="21">
        <f>tabCustoUnit[[#This Row],[MODULO 1 - REMUNERAÇÃO ]]*SUMIFS(tabParametros[RAT Ajustado],tabParametros[Código do Posto],tabCustoUnit[[#This Row],[Código do Posto]])</f>
        <v>103.99102799999999</v>
      </c>
      <c r="W10" s="21">
        <f>tabCustoUnit[[#This Row],[MODULO 1 - REMUNERAÇÃO ]]*SUMIFS(tabParametros[SEBRAE],tabParametros[Código do Posto],tabCustoUnit[[#This Row],[Código do Posto]])</f>
        <v>15.598654199999999</v>
      </c>
      <c r="X10" s="21">
        <f>SUM(tabCustoUnit[[#This Row],[INSS]:[SEBRAE]])</f>
        <v>982.71521459999985</v>
      </c>
      <c r="Y10" s="21">
        <f>tabCustoUnit[[#This Row],[MODULO 1 - REMUNERAÇÃO ]]*SUMIFS(tabParametros[13º salário (titular)],tabParametros[Código do Posto],tabCustoUnit[[#This Row],[Código do Posto]])</f>
        <v>216.64797499999997</v>
      </c>
      <c r="Z10" s="21">
        <f>tabCustoUnit[[#This Row],[MODULO 1 - REMUNERAÇÃO ]]*SUMIFS(tabParametros[Férias e Adicional de Férias (titular)],tabParametros[Código do Posto],tabCustoUnit[[#This Row],[Código do Posto]])</f>
        <v>288.86396666666661</v>
      </c>
      <c r="AA10" s="21">
        <f>IFERROR((tabCustoUnit[[#This Row],[Submódulo 2.1]]/tabCustoUnit[[#This Row],[MODULO 1 - REMUNERAÇÃO ]])*SUM(tabCustoUnit[[#This Row],[13º salário (titular)]:[Férias e Adicional de Férias (titular)]]),0)</f>
        <v>191.08351394999997</v>
      </c>
      <c r="AB10" s="21">
        <f>SUM(tabCustoUnit[[#This Row],[13º salário (titular)]:[Incidência do Submódulo 2.1 sobre 13º Salário, Férias e Adicional de Férias]])</f>
        <v>696.59545561666653</v>
      </c>
      <c r="AC10" s="22" t="e">
        <f ca="1">_xlfn.LET(_xlpm.VT,SUMIF(tabParametros[Código do Posto],tabCustoUnit[[#This Row],[Código do Posto]],tabParametros[Vale - Transporte])*2*20,
IF((_xlpm.VT-tabCustoUnit[[#This Row],[Salário Base]]*0.06)&gt;=0,(_xlpm.VT-tabCustoUnit[[#This Row],[Salário Base]]*0.06),0)
)</f>
        <v>#NAME?</v>
      </c>
      <c r="AD10" s="22">
        <f>IF(SUMIF(tabParametros[Código do Posto],tabCustoUnit[[#This Row],[Código do Posto]],tabParametros[Vale - Alimentação])&lt;=0,0,
SUMIF(tabParametros[Código do Posto],tabCustoUnit[[#This Row],[Código do Posto]],tabParametros[Vale - Alimentação])*20-1)</f>
        <v>582</v>
      </c>
      <c r="AE10" s="22">
        <f>SUMIF(tabParametros[Código do Posto],tabCustoUnit[[#This Row],[Código do Posto]],tabParametros[Cesta Básica])</f>
        <v>0</v>
      </c>
      <c r="AF10" s="22">
        <f>SUMIF(tabParametros[Código do Posto],tabCustoUnit[[#This Row],[Código do Posto]],tabParametros[PAF])</f>
        <v>0</v>
      </c>
      <c r="AG10" s="22">
        <f>SUMIF(tabParametros[Código do Posto],tabCustoUnit[[#This Row],[Código do Posto]],tabParametros[PQM])</f>
        <v>0</v>
      </c>
      <c r="AH10" s="22">
        <f>SUMIF(tabParametros[Código do Posto],tabCustoUnit[[#This Row],[Código do Posto]],tabParametros[Abono Único e Especial])</f>
        <v>0</v>
      </c>
      <c r="AI10" s="22">
        <f>SUMIF(tabParametros[Código do Posto],tabCustoUnit[[#This Row],[Código do Posto]],tabParametros[Seguro de Vida])</f>
        <v>3.36</v>
      </c>
      <c r="AJ10" s="22">
        <f>SUMIF(tabParametros[Código do Posto],tabCustoUnit[[#This Row],[Código do Posto]],tabParametros[Despesas de Viagem])</f>
        <v>0</v>
      </c>
      <c r="AK10" s="22" t="e">
        <f ca="1">SUM(tabCustoUnit[[#This Row],[Vale - Transporte (Descontada parcela do empregado)]:[Despesas de Viagem]])</f>
        <v>#NAME?</v>
      </c>
      <c r="AL10" s="22" t="e">
        <f ca="1">tabCustoUnit[[#This Row],[Submódulo 2.1]]+tabCustoUnit[[#This Row],[Submódulo 2.2]]+tabCustoUnit[[#This Row],[Submódulo 2.3]]</f>
        <v>#NAME?</v>
      </c>
      <c r="AM10" s="22">
        <f>SUMIF(tabParametros[Código do Posto],tabCustoUnit[[#This Row],[Código do Posto]],tabParametros[Aviso Prévio Indenizado (API) e Reflexo do Aviso Prévio Indenizado])*tabCustoUnit[[#This Row],[MODULO 1 - REMUNERAÇÃO ]]</f>
        <v>18.229021396469907</v>
      </c>
      <c r="AN10" s="22">
        <f>SUMIF(tabParametros[Código do Posto],tabCustoUnit[[#This Row],[Código do Posto]],tabParametros[Incidência do FGTS sobre API e Reflexo do API])*tabCustoUnit[[#This Row],[MODULO 1 - REMUNERAÇÃO ]]</f>
        <v>1.4583217117175926</v>
      </c>
      <c r="AO10" s="22">
        <f>SUMIF(tabParametros[Código do Posto],tabCustoUnit[[#This Row],[Código do Posto]],tabParametros[Multa Rescisória do FGTS sobre o Aviso Prévio Indenizado])*tabCustoUnit[[#This Row],[MODULO 1 - REMUNERAÇÃO ]]</f>
        <v>0.58332868468703702</v>
      </c>
      <c r="AP10" s="22">
        <f>SUMIF(tabParametros[Código do Posto],tabCustoUnit[[#This Row],[Código do Posto]],tabParametros[Aviso Prévio Trabalhado - APT])*tabCustoUnit[[#This Row],[MODULO 1 - REMUNERAÇÃO ]]</f>
        <v>9.0992149500000004</v>
      </c>
      <c r="AQ10" s="22">
        <f>SUMIF(tabParametros[Código do Posto],tabCustoUnit[[#This Row],[Código do Posto]],tabParametros[Incidência dos encargos do submódulo 2.1 sobre Aviso Prévio Trabalhado])*tabCustoUnit[[#This Row],[MODULO 1 - REMUNERAÇÃO ]]</f>
        <v>3.4395032511000005</v>
      </c>
      <c r="AR10" s="22">
        <f>SUMIF(tabParametros[Código do Posto],tabCustoUnit[[#This Row],[Código do Posto]],tabParametros[Multa Rescisória do FGTS])*tabCustoUnit[[#This Row],[MODULO 1 - REMUNERAÇÃO ]]</f>
        <v>79.495363626666645</v>
      </c>
      <c r="AS10" s="22">
        <f>SUMIF(tabParametros[Código do Posto],tabCustoUnit[[#This Row],[Código do Posto]],tabParametros[Indenização Adicional (Art. 9º da Lei nº 7.238/84)])*tabCustoUnit[[#This Row],[MODULO 1 - REMUNERAÇÃO ]]</f>
        <v>2.1664797499999997</v>
      </c>
      <c r="AT10" s="22">
        <f>SUM(tabCustoUnit[[#This Row],[Aviso Prévio Indenizado (API) e Reflexo do Aviso Prévio Indenizado]:[Indenização Adicional (Art. 9º da Lei nº 7.238/84)]])</f>
        <v>114.47123337064117</v>
      </c>
      <c r="AU10" s="22">
        <f>SUMIF(tabParametros[Código do Posto],tabCustoUnit[[#This Row],[Código do Posto]],tabParametros[Ausência por Doença])*tabCustoUnit[[#This Row],[MODULO 1 - REMUNERAÇÃO ]]</f>
        <v>21.953661466666663</v>
      </c>
      <c r="AV10" s="22">
        <f>SUMIF(tabParametros[Código do Posto],tabCustoUnit[[#This Row],[Código do Posto]],tabParametros[Ausências Legais])*tabCustoUnit[[#This Row],[MODULO 1 - REMUNERAÇÃO ]]</f>
        <v>5.2717673916666659</v>
      </c>
      <c r="AW10" s="22">
        <f>SUMIF(tabParametros[Código do Posto],tabCustoUnit[[#This Row],[Código do Posto]],tabParametros[Licença Paternidade])*tabCustoUnit[[#This Row],[MODULO 1 - REMUNERAÇÃO ]]</f>
        <v>0.44412834874999996</v>
      </c>
      <c r="AX10" s="22">
        <f>SUMIF(tabParametros[Código do Posto],tabCustoUnit[[#This Row],[Código do Posto]],tabParametros[Ausência por Acidente de Trabalho])*tabCustoUnit[[#This Row],[MODULO 1 - REMUNERAÇÃO ]]</f>
        <v>0.54161993749999993</v>
      </c>
      <c r="AY10" s="22">
        <f>SUMIF(tabParametros[Código do Posto],tabCustoUnit[[#This Row],[Código do Posto]],tabParametros[Férias, Adicional de Férias e 13º  com empregada em gozo de Licença Maternidade])*tabCustoUnit[[#This Row],[MODULO 1 - REMUNERAÇÃO ]]</f>
        <v>3.3700796111111107</v>
      </c>
      <c r="AZ10" s="22">
        <f>SUMIF(tabParametros[Código do Posto],tabCustoUnit[[#This Row],[Código do Posto]],tabParametros[Incidência do Submódulo 2.1 sobre Ausências Legais])*tabCustoUnit[[#This Row],[MODULO 1 - REMUNERAÇÃO ]]</f>
        <v>11.9377150536525</v>
      </c>
      <c r="BA10" s="22">
        <f>SUM(tabCustoUnit[[#This Row],[Ausência por Doença]:[Incidência do Submódulo 2.1 sobre Ausências Legais]])</f>
        <v>43.518971809346937</v>
      </c>
      <c r="BB10" s="22">
        <f>SUMIF(tabParametros[Código do Posto],tabCustoUnit[[#This Row],[Código do Posto]],tabParametros[Intervalo para Repouso ou Alimentação])</f>
        <v>0</v>
      </c>
      <c r="BC10" s="22">
        <f>tabCustoUnit[[#This Row],[Intervalo para Repouso ou Alimentação]]</f>
        <v>0</v>
      </c>
      <c r="BD1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 s="22">
        <f>tabCustoUnit[[#This Row],[Suspensão Temporária do Contrato de Trabalho]]</f>
        <v>0</v>
      </c>
      <c r="BF10" s="22">
        <f>tabCustoUnit[[#This Row],[Submódulo 4.1]]+tabCustoUnit[[#This Row],[Submódulo 4.2]]+tabCustoUnit[[#This Row],[Submódulo 4.3]]</f>
        <v>43.518971809346937</v>
      </c>
      <c r="BG10" s="22">
        <f>VLOOKUP(tabCustoUnit[[#This Row],[Código do Posto]],tabParametros[],MATCH(tabCustoUnit[[#Headers],[Uniformes e EPIs]],tabParametros[#Headers],0),0)</f>
        <v>226.33322732312172</v>
      </c>
      <c r="BH10" s="22">
        <f>VLOOKUP(tabCustoUnit[[#This Row],[Código do Posto]],tabParametros[],MATCH(tabCustoUnit[[#Headers],[Materiais de Consumo]],tabParametros[#Headers],0),0)</f>
        <v>441.81099462365592</v>
      </c>
      <c r="BI10" s="22">
        <f>VLOOKUP(tabCustoUnit[[#This Row],[Código do Posto]],tabParametros[],MATCH(tabCustoUnit[[#Headers],[Máquinas e Equipamentos (depreciação)]],tabParametros[#Headers],0),0)</f>
        <v>113.11309677419354</v>
      </c>
      <c r="BJ10" s="22">
        <f>VLOOKUP(tabCustoUnit[[#This Row],[Código do Posto]],tabParametros[],MATCH(tabCustoUnit[[#Headers],[Produtos de Limpeza e Materiais de Higiene Pessoal]],tabParametros[#Headers],0),0)</f>
        <v>0</v>
      </c>
      <c r="BK10" s="22">
        <f>VLOOKUP(tabCustoUnit[[#This Row],[Código do Posto]],tabParametros[],MATCH(tabCustoUnit[[#Headers],[Outros (especificar)]],tabParametros[#Headers],0),0)</f>
        <v>0</v>
      </c>
      <c r="BL10" s="22">
        <f>SUM(tabCustoUnit[[#This Row],[Uniformes e EPIs]:[Outros (especificar)]])</f>
        <v>781.25731872097117</v>
      </c>
      <c r="BM1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 s="22" t="e">
        <f ca="1">VLOOKUP(tabCustoUnit[[#This Row],[Código do Posto]],tabParametros[],MATCH(tabCustoUnit[[#Headers],[Custos Indiretos]],tabParametros[#Headers],0),0)</f>
        <v>#NAME?</v>
      </c>
      <c r="BO10" s="22" t="e">
        <f ca="1">VLOOKUP(tabCustoUnit[[#This Row],[Código do Posto]],tabParametros[],MATCH(tabCustoUnit[[#Headers],[Lucro]],tabParametros[#Headers],0),0)</f>
        <v>#NAME?</v>
      </c>
      <c r="BP10" s="26">
        <f>((100/((1-tabCustoUnit[[#This Row],[Resumo de Alíquotas (PIS+CONFINS+ISS)]]))-100)*VLOOKUP(tabCustoUnit[[#This Row],[Código do Posto]],tabParametros[],MATCH(tabCustoUnit[[#Headers],[COFINS]],tabParametros[#Headers],0),0))/(tabCustoUnit[[#This Row],[Resumo de Alíquotas (PIS+CONFINS+ISS)]]*100)</f>
        <v>8.5633802816901458E-2</v>
      </c>
      <c r="BQ10" s="26">
        <f>((100/((100-(tabCustoUnit[[#This Row],[Resumo de Alíquotas (PIS+CONFINS+ISS)]]*100))%)-100)*VLOOKUP(tabCustoUnit[[#This Row],[Código do Posto]],tabParametros[],MATCH(tabCustoUnit[[#Headers],[PIS]],tabParametros[#Headers],0),0))/(tabCustoUnit[[#This Row],[Resumo de Alíquotas (PIS+CONFINS+ISS)]]*100)</f>
        <v>1.8591549295774657E-2</v>
      </c>
      <c r="BR10" s="28">
        <f>VLOOKUP(tabCustoUnit[[#This Row],[Código do Posto]],tabParametros[],MATCH(tabCustoUnit[[#Headers],[ISS]],tabParametros[#Headers],0),0)</f>
        <v>0.02</v>
      </c>
      <c r="BS10" s="26">
        <f>(((100/((100-(tabCustoUnit[[#This Row],[Resumo de Alíquotas (PIS+CONFINS+ISS)]]*100))%)-100)*tabCustoUnit[[#This Row],[ISS]])/tabCustoUnit[[#This Row],[Resumo de Alíquotas (PIS+CONFINS+ISS)]])/100</f>
        <v>2.2535211267605645E-2</v>
      </c>
      <c r="BT1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0" s="138">
        <f>tabCustoUnit[[#This Row],[COFINS]]+tabCustoUnit[[#This Row],[PIS]]+tabCustoUnit[[#This Row],[ISS (Conversão Alíquota s/ fatura)]]</f>
        <v>0.12676056338028174</v>
      </c>
      <c r="BV10" s="22" t="e">
        <f ca="1">(tabCustoUnit[[#This Row],[TOTAL MÓDULOS 1+2+3+4+5]]+tabCustoUnit[[#This Row],[Custos Indiretos]]+tabCustoUnit[[#This Row],[Lucro]])*tabCustoUnit[[#This Row],[PIS + COFINS + ISS (Total Conversão  Alíquota s/ Fatura)]]</f>
        <v>#NAME?</v>
      </c>
      <c r="BW10" s="22" t="e">
        <f ca="1">tabCustoUnit[[#This Row],[Custos Indiretos]]+tabCustoUnit[[#This Row],[Lucro]]+tabCustoUnit[[#This Row],[Valor dos Tributos (ISS, PIS, CONFINS)]]</f>
        <v>#NAME?</v>
      </c>
      <c r="BX10" s="22" t="e">
        <f ca="1">tabCustoUnit[[#This Row],[TOTAL MÓDULOS 1+2+3+4+5]]+tabCustoUnit[[#This Row],[MÓDULO 6 – CUSTOS INDIRETOS, TRIBUTOS E LUCRO]]</f>
        <v>#NAME?</v>
      </c>
      <c r="BY10" s="22" t="e">
        <f ca="1">tabCustoUnit[[#This Row],[CUSTO TOTAL MENSAL]]*12</f>
        <v>#NAME?</v>
      </c>
      <c r="BZ10" s="24">
        <f>VLOOKUP(tabCustoUnit[[#This Row],[Código do Posto]],tabParametros[],MATCH(tabCustoUnit[[#Headers],[ANO DA CCT]],tabParametros[#Headers],0),0)</f>
        <v>45658</v>
      </c>
      <c r="CA10" s="25" t="str">
        <f>VLOOKUP(tabCustoUnit[[#This Row],[Código do Posto]],tabParametros[],MATCH(tabCustoUnit[[#Headers],[Nº DE PEDIDO DA CCT]],tabParametros[#Headers],0),0)</f>
        <v>-</v>
      </c>
      <c r="CB10" s="25" t="str">
        <f>VLOOKUP(tabCustoUnit[[#This Row],[Código do Posto]],tabParametros[],MATCH(tabCustoUnit[[#Headers],[TERMO ADITIVO ALTERAÇÃO DA CCT]],tabParametros[#Headers],0),0)</f>
        <v>-</v>
      </c>
    </row>
    <row r="11" spans="1:80">
      <c r="A11" s="20" t="s">
        <v>1534</v>
      </c>
      <c r="B11" t="s">
        <v>1094</v>
      </c>
      <c r="C11" t="s">
        <v>324</v>
      </c>
      <c r="D11" t="s">
        <v>961</v>
      </c>
      <c r="E11" s="20" t="s">
        <v>1090</v>
      </c>
      <c r="F11" s="20" t="s">
        <v>120</v>
      </c>
      <c r="G11" s="418">
        <v>3397.1305000000002</v>
      </c>
      <c r="H11" s="418">
        <v>0</v>
      </c>
      <c r="I11" s="418">
        <v>0</v>
      </c>
      <c r="J11" s="418">
        <v>0</v>
      </c>
      <c r="K11" s="418">
        <v>0</v>
      </c>
      <c r="L11" s="418">
        <v>0</v>
      </c>
      <c r="M11" s="418">
        <v>0</v>
      </c>
      <c r="N11" s="418">
        <v>0</v>
      </c>
      <c r="O11" s="21">
        <f>SUM(tabCustoUnit[[#This Row],[Salário Base]:[Adicional de Acúmulo de função]])</f>
        <v>3397.1305000000002</v>
      </c>
      <c r="P11" s="21">
        <f>tabCustoUnit[[#This Row],[MODULO 1 - REMUNERAÇÃO ]]*SUMIFS(tabParametros[INSS],tabParametros[Código do Posto],tabCustoUnit[[#This Row],[Código do Posto]])</f>
        <v>679.42610000000013</v>
      </c>
      <c r="Q11" s="21">
        <f>tabCustoUnit[[#This Row],[MODULO 1 - REMUNERAÇÃO ]]*SUMIFS(tabParametros[SESI OU SESC],tabParametros[Código do Posto],tabCustoUnit[[#This Row],[Código do Posto]])</f>
        <v>50.956957500000001</v>
      </c>
      <c r="R11" s="21">
        <f>tabCustoUnit[[#This Row],[MODULO 1 - REMUNERAÇÃO ]]*SUMIFS(tabParametros[SENAI OU SENAC],tabParametros[Código do Posto],tabCustoUnit[[#This Row],[Código do Posto]])</f>
        <v>33.971305000000001</v>
      </c>
      <c r="S11" s="21">
        <f>tabCustoUnit[[#This Row],[MODULO 1 - REMUNERAÇÃO ]]*SUMIFS(tabParametros[INCRA],tabParametros[Código do Posto],tabCustoUnit[[#This Row],[Código do Posto]])</f>
        <v>6.7942610000000005</v>
      </c>
      <c r="T11" s="21">
        <f>tabCustoUnit[[#This Row],[MODULO 1 - REMUNERAÇÃO ]]*SUMIFS(tabParametros[Salário Educação],tabParametros[Código do Posto],tabCustoUnit[[#This Row],[Código do Posto]])</f>
        <v>84.928262500000017</v>
      </c>
      <c r="U11" s="21">
        <f>tabCustoUnit[[#This Row],[MODULO 1 - REMUNERAÇÃO ]]*SUMIFS(tabParametros[FGTS],tabParametros[Código do Posto],tabCustoUnit[[#This Row],[Código do Posto]])</f>
        <v>271.77044000000001</v>
      </c>
      <c r="V11" s="21">
        <f>tabCustoUnit[[#This Row],[MODULO 1 - REMUNERAÇÃO ]]*SUMIFS(tabParametros[RAT Ajustado],tabParametros[Código do Posto],tabCustoUnit[[#This Row],[Código do Posto]])</f>
        <v>135.88522</v>
      </c>
      <c r="W11" s="21">
        <f>tabCustoUnit[[#This Row],[MODULO 1 - REMUNERAÇÃO ]]*SUMIFS(tabParametros[SEBRAE],tabParametros[Código do Posto],tabCustoUnit[[#This Row],[Código do Posto]])</f>
        <v>20.382783000000003</v>
      </c>
      <c r="X11" s="21">
        <f>SUM(tabCustoUnit[[#This Row],[INSS]:[SEBRAE]])</f>
        <v>1284.1153290000002</v>
      </c>
      <c r="Y11" s="21">
        <f>tabCustoUnit[[#This Row],[MODULO 1 - REMUNERAÇÃO ]]*SUMIFS(tabParametros[13º salário (titular)],tabParametros[Código do Posto],tabCustoUnit[[#This Row],[Código do Posto]])</f>
        <v>283.09420833333331</v>
      </c>
      <c r="Z11" s="21">
        <f>tabCustoUnit[[#This Row],[MODULO 1 - REMUNERAÇÃO ]]*SUMIFS(tabParametros[Férias e Adicional de Férias (titular)],tabParametros[Código do Posto],tabCustoUnit[[#This Row],[Código do Posto]])</f>
        <v>377.45894444444446</v>
      </c>
      <c r="AA11" s="21">
        <f>IFERROR((tabCustoUnit[[#This Row],[Submódulo 2.1]]/tabCustoUnit[[#This Row],[MODULO 1 - REMUNERAÇÃO ]])*SUM(tabCustoUnit[[#This Row],[13º salário (titular)]:[Férias e Adicional de Férias (titular)]]),0)</f>
        <v>249.68909175000005</v>
      </c>
      <c r="AB11" s="21">
        <f>SUM(tabCustoUnit[[#This Row],[13º salário (titular)]:[Incidência do Submódulo 2.1 sobre 13º Salário, Férias e Adicional de Férias]])</f>
        <v>910.24224452777776</v>
      </c>
      <c r="AC11" s="22" t="e">
        <f ca="1">_xlfn.LET(_xlpm.VT,SUMIF(tabParametros[Código do Posto],tabCustoUnit[[#This Row],[Código do Posto]],tabParametros[Vale - Transporte])*2*20,
IF((_xlpm.VT-tabCustoUnit[[#This Row],[Salário Base]]*0.06)&gt;=0,(_xlpm.VT-tabCustoUnit[[#This Row],[Salário Base]]*0.06),0)
)</f>
        <v>#NAME?</v>
      </c>
      <c r="AD11" s="22">
        <f>IF(SUMIF(tabParametros[Código do Posto],tabCustoUnit[[#This Row],[Código do Posto]],tabParametros[Vale - Alimentação])&lt;=0,0,
SUMIF(tabParametros[Código do Posto],tabCustoUnit[[#This Row],[Código do Posto]],tabParametros[Vale - Alimentação])*20-1)</f>
        <v>582</v>
      </c>
      <c r="AE11" s="22">
        <f>SUMIF(tabParametros[Código do Posto],tabCustoUnit[[#This Row],[Código do Posto]],tabParametros[Cesta Básica])</f>
        <v>0</v>
      </c>
      <c r="AF11" s="22">
        <f>SUMIF(tabParametros[Código do Posto],tabCustoUnit[[#This Row],[Código do Posto]],tabParametros[PAF])</f>
        <v>0</v>
      </c>
      <c r="AG11" s="22">
        <f>SUMIF(tabParametros[Código do Posto],tabCustoUnit[[#This Row],[Código do Posto]],tabParametros[PQM])</f>
        <v>0</v>
      </c>
      <c r="AH11" s="22">
        <f>SUMIF(tabParametros[Código do Posto],tabCustoUnit[[#This Row],[Código do Posto]],tabParametros[Abono Único e Especial])</f>
        <v>0</v>
      </c>
      <c r="AI11" s="22">
        <f>SUMIF(tabParametros[Código do Posto],tabCustoUnit[[#This Row],[Código do Posto]],tabParametros[Seguro de Vida])</f>
        <v>3.36</v>
      </c>
      <c r="AJ11" s="22">
        <f>SUMIF(tabParametros[Código do Posto],tabCustoUnit[[#This Row],[Código do Posto]],tabParametros[Despesas de Viagem])</f>
        <v>0</v>
      </c>
      <c r="AK11" s="22" t="e">
        <f ca="1">SUM(tabCustoUnit[[#This Row],[Vale - Transporte (Descontada parcela do empregado)]:[Despesas de Viagem]])</f>
        <v>#NAME?</v>
      </c>
      <c r="AL11" s="22" t="e">
        <f ca="1">tabCustoUnit[[#This Row],[Submódulo 2.1]]+tabCustoUnit[[#This Row],[Submódulo 2.2]]+tabCustoUnit[[#This Row],[Submódulo 2.3]]</f>
        <v>#NAME?</v>
      </c>
      <c r="AM11" s="22">
        <f>SUMIF(tabParametros[Código do Posto],tabCustoUnit[[#This Row],[Código do Posto]],tabParametros[Aviso Prévio Indenizado (API) e Reflexo do Aviso Prévio Indenizado])*tabCustoUnit[[#This Row],[MODULO 1 - REMUNERAÇÃO ]]</f>
        <v>23.819887450713736</v>
      </c>
      <c r="AN11" s="22">
        <f>SUMIF(tabParametros[Código do Posto],tabCustoUnit[[#This Row],[Código do Posto]],tabParametros[Incidência do FGTS sobre API e Reflexo do API])*tabCustoUnit[[#This Row],[MODULO 1 - REMUNERAÇÃO ]]</f>
        <v>1.9055909960570991</v>
      </c>
      <c r="AO11" s="22">
        <f>SUMIF(tabParametros[Código do Posto],tabCustoUnit[[#This Row],[Código do Posto]],tabParametros[Multa Rescisória do FGTS sobre o Aviso Prévio Indenizado])*tabCustoUnit[[#This Row],[MODULO 1 - REMUNERAÇÃO ]]</f>
        <v>0.76223639842283974</v>
      </c>
      <c r="AP11" s="22">
        <f>SUMIF(tabParametros[Código do Posto],tabCustoUnit[[#This Row],[Código do Posto]],tabParametros[Aviso Prévio Trabalhado - APT])*tabCustoUnit[[#This Row],[MODULO 1 - REMUNERAÇÃO ]]</f>
        <v>11.889956750000003</v>
      </c>
      <c r="AQ11" s="22">
        <f>SUMIF(tabParametros[Código do Posto],tabCustoUnit[[#This Row],[Código do Posto]],tabParametros[Incidência dos encargos do submódulo 2.1 sobre Aviso Prévio Trabalhado])*tabCustoUnit[[#This Row],[MODULO 1 - REMUNERAÇÃO ]]</f>
        <v>4.4944036515000017</v>
      </c>
      <c r="AR11" s="22">
        <f>SUMIF(tabParametros[Código do Posto],tabCustoUnit[[#This Row],[Código do Posto]],tabParametros[Multa Rescisória do FGTS])*tabCustoUnit[[#This Row],[MODULO 1 - REMUNERAÇÃO ]]</f>
        <v>103.87670151111111</v>
      </c>
      <c r="AS11" s="22">
        <f>SUMIF(tabParametros[Código do Posto],tabCustoUnit[[#This Row],[Código do Posto]],tabParametros[Indenização Adicional (Art. 9º da Lei nº 7.238/84)])*tabCustoUnit[[#This Row],[MODULO 1 - REMUNERAÇÃO ]]</f>
        <v>2.8309420833333339</v>
      </c>
      <c r="AT11" s="22">
        <f>SUM(tabCustoUnit[[#This Row],[Aviso Prévio Indenizado (API) e Reflexo do Aviso Prévio Indenizado]:[Indenização Adicional (Art. 9º da Lei nº 7.238/84)]])</f>
        <v>149.57971884113812</v>
      </c>
      <c r="AU11" s="22">
        <f>SUMIF(tabParametros[Código do Posto],tabCustoUnit[[#This Row],[Código do Posto]],tabParametros[Ausência por Doença])*tabCustoUnit[[#This Row],[MODULO 1 - REMUNERAÇÃO ]]</f>
        <v>28.686879777777776</v>
      </c>
      <c r="AV11" s="22">
        <f>SUMIF(tabParametros[Código do Posto],tabCustoUnit[[#This Row],[Código do Posto]],tabParametros[Ausências Legais])*tabCustoUnit[[#This Row],[MODULO 1 - REMUNERAÇÃO ]]</f>
        <v>6.888625736111111</v>
      </c>
      <c r="AW11" s="22">
        <f>SUMIF(tabParametros[Código do Posto],tabCustoUnit[[#This Row],[Código do Posto]],tabParametros[Licença Paternidade])*tabCustoUnit[[#This Row],[MODULO 1 - REMUNERAÇÃO ]]</f>
        <v>0.58034312708333335</v>
      </c>
      <c r="AX11" s="22">
        <f>SUMIF(tabParametros[Código do Posto],tabCustoUnit[[#This Row],[Código do Posto]],tabParametros[Ausência por Acidente de Trabalho])*tabCustoUnit[[#This Row],[MODULO 1 - REMUNERAÇÃO ]]</f>
        <v>0.70773552083333346</v>
      </c>
      <c r="AY11" s="22">
        <f>SUMIF(tabParametros[Código do Posto],tabCustoUnit[[#This Row],[Código do Posto]],tabParametros[Férias, Adicional de Férias e 13º  com empregada em gozo de Licença Maternidade])*tabCustoUnit[[#This Row],[MODULO 1 - REMUNERAÇÃO ]]</f>
        <v>4.4036876851851856</v>
      </c>
      <c r="AZ11" s="22">
        <f>SUMIF(tabParametros[Código do Posto],tabCustoUnit[[#This Row],[Código do Posto]],tabParametros[Incidência do Submódulo 2.1 sobre Ausências Legais])*tabCustoUnit[[#This Row],[MODULO 1 - REMUNERAÇÃO ]]</f>
        <v>15.599028758162504</v>
      </c>
      <c r="BA11" s="22">
        <f>SUM(tabCustoUnit[[#This Row],[Ausência por Doença]:[Incidência do Submódulo 2.1 sobre Ausências Legais]])</f>
        <v>56.866300605153235</v>
      </c>
      <c r="BB11" s="22">
        <f>SUMIF(tabParametros[Código do Posto],tabCustoUnit[[#This Row],[Código do Posto]],tabParametros[Intervalo para Repouso ou Alimentação])</f>
        <v>0</v>
      </c>
      <c r="BC11" s="22">
        <f>tabCustoUnit[[#This Row],[Intervalo para Repouso ou Alimentação]]</f>
        <v>0</v>
      </c>
      <c r="BD1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 s="22">
        <f>tabCustoUnit[[#This Row],[Suspensão Temporária do Contrato de Trabalho]]</f>
        <v>0</v>
      </c>
      <c r="BF11" s="22">
        <f>tabCustoUnit[[#This Row],[Submódulo 4.1]]+tabCustoUnit[[#This Row],[Submódulo 4.2]]+tabCustoUnit[[#This Row],[Submódulo 4.3]]</f>
        <v>56.866300605153235</v>
      </c>
      <c r="BG11" s="22">
        <f>VLOOKUP(tabCustoUnit[[#This Row],[Código do Posto]],tabParametros[],MATCH(tabCustoUnit[[#Headers],[Uniformes e EPIs]],tabParametros[#Headers],0),0)</f>
        <v>56.642978962543395</v>
      </c>
      <c r="BH11" s="22">
        <f>VLOOKUP(tabCustoUnit[[#This Row],[Código do Posto]],tabParametros[],MATCH(tabCustoUnit[[#Headers],[Materiais de Consumo]],tabParametros[#Headers],0),0)</f>
        <v>0</v>
      </c>
      <c r="BI11" s="22">
        <f>VLOOKUP(tabCustoUnit[[#This Row],[Código do Posto]],tabParametros[],MATCH(tabCustoUnit[[#Headers],[Máquinas e Equipamentos (depreciação)]],tabParametros[#Headers],0),0)</f>
        <v>0</v>
      </c>
      <c r="BJ11" s="22">
        <f>VLOOKUP(tabCustoUnit[[#This Row],[Código do Posto]],tabParametros[],MATCH(tabCustoUnit[[#Headers],[Produtos de Limpeza e Materiais de Higiene Pessoal]],tabParametros[#Headers],0),0)</f>
        <v>0</v>
      </c>
      <c r="BK11" s="22">
        <f>VLOOKUP(tabCustoUnit[[#This Row],[Código do Posto]],tabParametros[],MATCH(tabCustoUnit[[#Headers],[Outros (especificar)]],tabParametros[#Headers],0),0)</f>
        <v>0</v>
      </c>
      <c r="BL11" s="22">
        <f>SUM(tabCustoUnit[[#This Row],[Uniformes e EPIs]:[Outros (especificar)]])</f>
        <v>56.642978962543395</v>
      </c>
      <c r="BM1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 s="22" t="e">
        <f ca="1">VLOOKUP(tabCustoUnit[[#This Row],[Código do Posto]],tabParametros[],MATCH(tabCustoUnit[[#Headers],[Custos Indiretos]],tabParametros[#Headers],0),0)</f>
        <v>#NAME?</v>
      </c>
      <c r="BO11" s="22" t="e">
        <f ca="1">VLOOKUP(tabCustoUnit[[#This Row],[Código do Posto]],tabParametros[],MATCH(tabCustoUnit[[#Headers],[Lucro]],tabParametros[#Headers],0),0)</f>
        <v>#NAME?</v>
      </c>
      <c r="BP11" s="26">
        <f>((100/((1-tabCustoUnit[[#This Row],[Resumo de Alíquotas (PIS+CONFINS+ISS)]]))-100)*VLOOKUP(tabCustoUnit[[#This Row],[Código do Posto]],tabParametros[],MATCH(tabCustoUnit[[#Headers],[COFINS]],tabParametros[#Headers],0),0))/(tabCustoUnit[[#This Row],[Resumo de Alíquotas (PIS+CONFINS+ISS)]]*100)</f>
        <v>8.5633802816901458E-2</v>
      </c>
      <c r="BQ11" s="26">
        <f>((100/((100-(tabCustoUnit[[#This Row],[Resumo de Alíquotas (PIS+CONFINS+ISS)]]*100))%)-100)*VLOOKUP(tabCustoUnit[[#This Row],[Código do Posto]],tabParametros[],MATCH(tabCustoUnit[[#Headers],[PIS]],tabParametros[#Headers],0),0))/(tabCustoUnit[[#This Row],[Resumo de Alíquotas (PIS+CONFINS+ISS)]]*100)</f>
        <v>1.8591549295774657E-2</v>
      </c>
      <c r="BR11" s="28">
        <f>VLOOKUP(tabCustoUnit[[#This Row],[Código do Posto]],tabParametros[],MATCH(tabCustoUnit[[#Headers],[ISS]],tabParametros[#Headers],0),0)</f>
        <v>0.02</v>
      </c>
      <c r="BS11" s="26">
        <f>(((100/((100-(tabCustoUnit[[#This Row],[Resumo de Alíquotas (PIS+CONFINS+ISS)]]*100))%)-100)*tabCustoUnit[[#This Row],[ISS]])/tabCustoUnit[[#This Row],[Resumo de Alíquotas (PIS+CONFINS+ISS)]])/100</f>
        <v>2.2535211267605645E-2</v>
      </c>
      <c r="BT1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1" s="138">
        <f>tabCustoUnit[[#This Row],[COFINS]]+tabCustoUnit[[#This Row],[PIS]]+tabCustoUnit[[#This Row],[ISS (Conversão Alíquota s/ fatura)]]</f>
        <v>0.12676056338028174</v>
      </c>
      <c r="BV11" s="22" t="e">
        <f ca="1">(tabCustoUnit[[#This Row],[TOTAL MÓDULOS 1+2+3+4+5]]+tabCustoUnit[[#This Row],[Custos Indiretos]]+tabCustoUnit[[#This Row],[Lucro]])*tabCustoUnit[[#This Row],[PIS + COFINS + ISS (Total Conversão  Alíquota s/ Fatura)]]</f>
        <v>#NAME?</v>
      </c>
      <c r="BW11" s="22" t="e">
        <f ca="1">tabCustoUnit[[#This Row],[Custos Indiretos]]+tabCustoUnit[[#This Row],[Lucro]]+tabCustoUnit[[#This Row],[Valor dos Tributos (ISS, PIS, CONFINS)]]</f>
        <v>#NAME?</v>
      </c>
      <c r="BX11" s="22" t="e">
        <f ca="1">tabCustoUnit[[#This Row],[TOTAL MÓDULOS 1+2+3+4+5]]+tabCustoUnit[[#This Row],[MÓDULO 6 – CUSTOS INDIRETOS, TRIBUTOS E LUCRO]]</f>
        <v>#NAME?</v>
      </c>
      <c r="BY11" s="22" t="e">
        <f ca="1">tabCustoUnit[[#This Row],[CUSTO TOTAL MENSAL]]*12</f>
        <v>#NAME?</v>
      </c>
      <c r="BZ11" s="24">
        <f>VLOOKUP(tabCustoUnit[[#This Row],[Código do Posto]],tabParametros[],MATCH(tabCustoUnit[[#Headers],[ANO DA CCT]],tabParametros[#Headers],0),0)</f>
        <v>45658</v>
      </c>
      <c r="CA11" s="25" t="str">
        <f>VLOOKUP(tabCustoUnit[[#This Row],[Código do Posto]],tabParametros[],MATCH(tabCustoUnit[[#Headers],[Nº DE PEDIDO DA CCT]],tabParametros[#Headers],0),0)</f>
        <v>-</v>
      </c>
      <c r="CB11" s="25" t="str">
        <f>VLOOKUP(tabCustoUnit[[#This Row],[Código do Posto]],tabParametros[],MATCH(tabCustoUnit[[#Headers],[TERMO ADITIVO ALTERAÇÃO DA CCT]],tabParametros[#Headers],0),0)</f>
        <v>-</v>
      </c>
    </row>
    <row r="12" spans="1:80">
      <c r="A12" s="20" t="s">
        <v>1535</v>
      </c>
      <c r="B12" t="s">
        <v>1095</v>
      </c>
      <c r="C12" t="s">
        <v>324</v>
      </c>
      <c r="D12" t="s">
        <v>965</v>
      </c>
      <c r="E12" s="20" t="s">
        <v>1090</v>
      </c>
      <c r="F12" s="20" t="s">
        <v>120</v>
      </c>
      <c r="G12" s="418">
        <v>3397.1306</v>
      </c>
      <c r="H12" s="418">
        <v>0</v>
      </c>
      <c r="I12" s="418">
        <v>0</v>
      </c>
      <c r="J12" s="418">
        <v>0</v>
      </c>
      <c r="K12" s="418">
        <v>0</v>
      </c>
      <c r="L12" s="418">
        <v>0</v>
      </c>
      <c r="M12" s="418">
        <v>0</v>
      </c>
      <c r="N12" s="418">
        <v>0</v>
      </c>
      <c r="O12" s="21">
        <f>SUM(tabCustoUnit[[#This Row],[Salário Base]:[Adicional de Acúmulo de função]])</f>
        <v>3397.1306</v>
      </c>
      <c r="P12" s="21">
        <f>tabCustoUnit[[#This Row],[MODULO 1 - REMUNERAÇÃO ]]*SUMIFS(tabParametros[INSS],tabParametros[Código do Posto],tabCustoUnit[[#This Row],[Código do Posto]])</f>
        <v>679.42612000000008</v>
      </c>
      <c r="Q12" s="21">
        <f>tabCustoUnit[[#This Row],[MODULO 1 - REMUNERAÇÃO ]]*SUMIFS(tabParametros[SESI OU SESC],tabParametros[Código do Posto],tabCustoUnit[[#This Row],[Código do Posto]])</f>
        <v>50.956958999999998</v>
      </c>
      <c r="R12" s="21">
        <f>tabCustoUnit[[#This Row],[MODULO 1 - REMUNERAÇÃO ]]*SUMIFS(tabParametros[SENAI OU SENAC],tabParametros[Código do Posto],tabCustoUnit[[#This Row],[Código do Posto]])</f>
        <v>33.971305999999998</v>
      </c>
      <c r="S12" s="21">
        <f>tabCustoUnit[[#This Row],[MODULO 1 - REMUNERAÇÃO ]]*SUMIFS(tabParametros[INCRA],tabParametros[Código do Posto],tabCustoUnit[[#This Row],[Código do Posto]])</f>
        <v>6.7942612000000002</v>
      </c>
      <c r="T12" s="21">
        <f>tabCustoUnit[[#This Row],[MODULO 1 - REMUNERAÇÃO ]]*SUMIFS(tabParametros[Salário Educação],tabParametros[Código do Posto],tabCustoUnit[[#This Row],[Código do Posto]])</f>
        <v>84.92826500000001</v>
      </c>
      <c r="U12" s="21">
        <f>tabCustoUnit[[#This Row],[MODULO 1 - REMUNERAÇÃO ]]*SUMIFS(tabParametros[FGTS],tabParametros[Código do Posto],tabCustoUnit[[#This Row],[Código do Posto]])</f>
        <v>271.77044799999999</v>
      </c>
      <c r="V12" s="21">
        <f>tabCustoUnit[[#This Row],[MODULO 1 - REMUNERAÇÃO ]]*SUMIFS(tabParametros[RAT Ajustado],tabParametros[Código do Posto],tabCustoUnit[[#This Row],[Código do Posto]])</f>
        <v>135.88522399999999</v>
      </c>
      <c r="W12" s="21">
        <f>tabCustoUnit[[#This Row],[MODULO 1 - REMUNERAÇÃO ]]*SUMIFS(tabParametros[SEBRAE],tabParametros[Código do Posto],tabCustoUnit[[#This Row],[Código do Posto]])</f>
        <v>20.3827836</v>
      </c>
      <c r="X12" s="21">
        <f>SUM(tabCustoUnit[[#This Row],[INSS]:[SEBRAE]])</f>
        <v>1284.1153668000002</v>
      </c>
      <c r="Y12" s="21">
        <f>tabCustoUnit[[#This Row],[MODULO 1 - REMUNERAÇÃO ]]*SUMIFS(tabParametros[13º salário (titular)],tabParametros[Código do Posto],tabCustoUnit[[#This Row],[Código do Posto]])</f>
        <v>283.09421666666663</v>
      </c>
      <c r="Z12" s="21">
        <f>tabCustoUnit[[#This Row],[MODULO 1 - REMUNERAÇÃO ]]*SUMIFS(tabParametros[Férias e Adicional de Férias (titular)],tabParametros[Código do Posto],tabCustoUnit[[#This Row],[Código do Posto]])</f>
        <v>377.45895555555552</v>
      </c>
      <c r="AA12" s="21">
        <f>IFERROR((tabCustoUnit[[#This Row],[Submódulo 2.1]]/tabCustoUnit[[#This Row],[MODULO 1 - REMUNERAÇÃO ]])*SUM(tabCustoUnit[[#This Row],[13º salário (titular)]:[Férias e Adicional de Férias (titular)]]),0)</f>
        <v>249.68909910000002</v>
      </c>
      <c r="AB12" s="21">
        <f>SUM(tabCustoUnit[[#This Row],[13º salário (titular)]:[Incidência do Submódulo 2.1 sobre 13º Salário, Férias e Adicional de Férias]])</f>
        <v>910.24227132222222</v>
      </c>
      <c r="AC12" s="22" t="e">
        <f ca="1">_xlfn.LET(_xlpm.VT,SUMIF(tabParametros[Código do Posto],tabCustoUnit[[#This Row],[Código do Posto]],tabParametros[Vale - Transporte])*2*20,
IF((_xlpm.VT-tabCustoUnit[[#This Row],[Salário Base]]*0.06)&gt;=0,(_xlpm.VT-tabCustoUnit[[#This Row],[Salário Base]]*0.06),0)
)</f>
        <v>#NAME?</v>
      </c>
      <c r="AD12" s="22">
        <f>IF(SUMIF(tabParametros[Código do Posto],tabCustoUnit[[#This Row],[Código do Posto]],tabParametros[Vale - Alimentação])&lt;=0,0,
SUMIF(tabParametros[Código do Posto],tabCustoUnit[[#This Row],[Código do Posto]],tabParametros[Vale - Alimentação])*20-1)</f>
        <v>582</v>
      </c>
      <c r="AE12" s="22">
        <f>SUMIF(tabParametros[Código do Posto],tabCustoUnit[[#This Row],[Código do Posto]],tabParametros[Cesta Básica])</f>
        <v>0</v>
      </c>
      <c r="AF12" s="22">
        <f>SUMIF(tabParametros[Código do Posto],tabCustoUnit[[#This Row],[Código do Posto]],tabParametros[PAF])</f>
        <v>0</v>
      </c>
      <c r="AG12" s="22">
        <f>SUMIF(tabParametros[Código do Posto],tabCustoUnit[[#This Row],[Código do Posto]],tabParametros[PQM])</f>
        <v>15.07</v>
      </c>
      <c r="AH12" s="22">
        <f>SUMIF(tabParametros[Código do Posto],tabCustoUnit[[#This Row],[Código do Posto]],tabParametros[Abono Único e Especial])</f>
        <v>0</v>
      </c>
      <c r="AI12" s="22">
        <f>SUMIF(tabParametros[Código do Posto],tabCustoUnit[[#This Row],[Código do Posto]],tabParametros[Seguro de Vida])</f>
        <v>3.36</v>
      </c>
      <c r="AJ12" s="22">
        <f>SUMIF(tabParametros[Código do Posto],tabCustoUnit[[#This Row],[Código do Posto]],tabParametros[Despesas de Viagem])</f>
        <v>0</v>
      </c>
      <c r="AK12" s="22" t="e">
        <f ca="1">SUM(tabCustoUnit[[#This Row],[Vale - Transporte (Descontada parcela do empregado)]:[Despesas de Viagem]])</f>
        <v>#NAME?</v>
      </c>
      <c r="AL12" s="22" t="e">
        <f ca="1">tabCustoUnit[[#This Row],[Submódulo 2.1]]+tabCustoUnit[[#This Row],[Submódulo 2.2]]+tabCustoUnit[[#This Row],[Submódulo 2.3]]</f>
        <v>#NAME?</v>
      </c>
      <c r="AM12" s="22">
        <f>SUMIF(tabParametros[Código do Posto],tabCustoUnit[[#This Row],[Código do Posto]],tabParametros[Aviso Prévio Indenizado (API) e Reflexo do Aviso Prévio Indenizado])*tabCustoUnit[[#This Row],[MODULO 1 - REMUNERAÇÃO ]]</f>
        <v>23.819888151890432</v>
      </c>
      <c r="AN12" s="22">
        <f>SUMIF(tabParametros[Código do Posto],tabCustoUnit[[#This Row],[Código do Posto]],tabParametros[Incidência do FGTS sobre API e Reflexo do API])*tabCustoUnit[[#This Row],[MODULO 1 - REMUNERAÇÃO ]]</f>
        <v>1.9055910521512347</v>
      </c>
      <c r="AO12" s="22">
        <f>SUMIF(tabParametros[Código do Posto],tabCustoUnit[[#This Row],[Código do Posto]],tabParametros[Multa Rescisória do FGTS sobre o Aviso Prévio Indenizado])*tabCustoUnit[[#This Row],[MODULO 1 - REMUNERAÇÃO ]]</f>
        <v>0.76223642086049392</v>
      </c>
      <c r="AP12" s="22">
        <f>SUMIF(tabParametros[Código do Posto],tabCustoUnit[[#This Row],[Código do Posto]],tabParametros[Aviso Prévio Trabalhado - APT])*tabCustoUnit[[#This Row],[MODULO 1 - REMUNERAÇÃO ]]</f>
        <v>11.889957100000002</v>
      </c>
      <c r="AQ12" s="22">
        <f>SUMIF(tabParametros[Código do Posto],tabCustoUnit[[#This Row],[Código do Posto]],tabParametros[Incidência dos encargos do submódulo 2.1 sobre Aviso Prévio Trabalhado])*tabCustoUnit[[#This Row],[MODULO 1 - REMUNERAÇÃO ]]</f>
        <v>4.4944037838000011</v>
      </c>
      <c r="AR12" s="22">
        <f>SUMIF(tabParametros[Código do Posto],tabCustoUnit[[#This Row],[Código do Posto]],tabParametros[Multa Rescisória do FGTS])*tabCustoUnit[[#This Row],[MODULO 1 - REMUNERAÇÃO ]]</f>
        <v>103.87670456888887</v>
      </c>
      <c r="AS12" s="22">
        <f>SUMIF(tabParametros[Código do Posto],tabCustoUnit[[#This Row],[Código do Posto]],tabParametros[Indenização Adicional (Art. 9º da Lei nº 7.238/84)])*tabCustoUnit[[#This Row],[MODULO 1 - REMUNERAÇÃO ]]</f>
        <v>2.830942166666667</v>
      </c>
      <c r="AT12" s="22">
        <f>SUM(tabCustoUnit[[#This Row],[Aviso Prévio Indenizado (API) e Reflexo do Aviso Prévio Indenizado]:[Indenização Adicional (Art. 9º da Lei nº 7.238/84)]])</f>
        <v>149.57972324425771</v>
      </c>
      <c r="AU12" s="22">
        <f>SUMIF(tabParametros[Código do Posto],tabCustoUnit[[#This Row],[Código do Posto]],tabParametros[Ausência por Doença])*tabCustoUnit[[#This Row],[MODULO 1 - REMUNERAÇÃO ]]</f>
        <v>28.686880622222219</v>
      </c>
      <c r="AV12" s="22">
        <f>SUMIF(tabParametros[Código do Posto],tabCustoUnit[[#This Row],[Código do Posto]],tabParametros[Ausências Legais])*tabCustoUnit[[#This Row],[MODULO 1 - REMUNERAÇÃO ]]</f>
        <v>6.8886259388888886</v>
      </c>
      <c r="AW12" s="22">
        <f>SUMIF(tabParametros[Código do Posto],tabCustoUnit[[#This Row],[Código do Posto]],tabParametros[Licença Paternidade])*tabCustoUnit[[#This Row],[MODULO 1 - REMUNERAÇÃO ]]</f>
        <v>0.58034314416666666</v>
      </c>
      <c r="AX12" s="22">
        <f>SUMIF(tabParametros[Código do Posto],tabCustoUnit[[#This Row],[Código do Posto]],tabParametros[Ausência por Acidente de Trabalho])*tabCustoUnit[[#This Row],[MODULO 1 - REMUNERAÇÃO ]]</f>
        <v>0.70773554166666675</v>
      </c>
      <c r="AY12" s="22">
        <f>SUMIF(tabParametros[Código do Posto],tabCustoUnit[[#This Row],[Código do Posto]],tabParametros[Férias, Adicional de Férias e 13º  com empregada em gozo de Licença Maternidade])*tabCustoUnit[[#This Row],[MODULO 1 - REMUNERAÇÃO ]]</f>
        <v>4.4036878148148144</v>
      </c>
      <c r="AZ12" s="22">
        <f>SUMIF(tabParametros[Código do Posto],tabCustoUnit[[#This Row],[Código do Posto]],tabParametros[Incidência do Submódulo 2.1 sobre Ausências Legais])*tabCustoUnit[[#This Row],[MODULO 1 - REMUNERAÇÃO ]]</f>
        <v>15.599029217345002</v>
      </c>
      <c r="BA12" s="22">
        <f>SUM(tabCustoUnit[[#This Row],[Ausência por Doença]:[Incidência do Submódulo 2.1 sobre Ausências Legais]])</f>
        <v>56.866302279104261</v>
      </c>
      <c r="BB12" s="22">
        <f>SUMIF(tabParametros[Código do Posto],tabCustoUnit[[#This Row],[Código do Posto]],tabParametros[Intervalo para Repouso ou Alimentação])</f>
        <v>0</v>
      </c>
      <c r="BC12" s="22">
        <f>tabCustoUnit[[#This Row],[Intervalo para Repouso ou Alimentação]]</f>
        <v>0</v>
      </c>
      <c r="BD1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 s="22">
        <f>tabCustoUnit[[#This Row],[Suspensão Temporária do Contrato de Trabalho]]</f>
        <v>0</v>
      </c>
      <c r="BF12" s="22">
        <f>tabCustoUnit[[#This Row],[Submódulo 4.1]]+tabCustoUnit[[#This Row],[Submódulo 4.2]]+tabCustoUnit[[#This Row],[Submódulo 4.3]]</f>
        <v>56.866302279104261</v>
      </c>
      <c r="BG12" s="22">
        <f>VLOOKUP(tabCustoUnit[[#This Row],[Código do Posto]],tabParametros[],MATCH(tabCustoUnit[[#Headers],[Uniformes e EPIs]],tabParametros[#Headers],0),0)</f>
        <v>56.642978962543395</v>
      </c>
      <c r="BH12" s="22">
        <f>VLOOKUP(tabCustoUnit[[#This Row],[Código do Posto]],tabParametros[],MATCH(tabCustoUnit[[#Headers],[Materiais de Consumo]],tabParametros[#Headers],0),0)</f>
        <v>0</v>
      </c>
      <c r="BI12" s="22">
        <f>VLOOKUP(tabCustoUnit[[#This Row],[Código do Posto]],tabParametros[],MATCH(tabCustoUnit[[#Headers],[Máquinas e Equipamentos (depreciação)]],tabParametros[#Headers],0),0)</f>
        <v>0</v>
      </c>
      <c r="BJ12" s="22">
        <f>VLOOKUP(tabCustoUnit[[#This Row],[Código do Posto]],tabParametros[],MATCH(tabCustoUnit[[#Headers],[Produtos de Limpeza e Materiais de Higiene Pessoal]],tabParametros[#Headers],0),0)</f>
        <v>0</v>
      </c>
      <c r="BK12" s="22">
        <f>VLOOKUP(tabCustoUnit[[#This Row],[Código do Posto]],tabParametros[],MATCH(tabCustoUnit[[#Headers],[Outros (especificar)]],tabParametros[#Headers],0),0)</f>
        <v>0</v>
      </c>
      <c r="BL12" s="22">
        <f>SUM(tabCustoUnit[[#This Row],[Uniformes e EPIs]:[Outros (especificar)]])</f>
        <v>56.642978962543395</v>
      </c>
      <c r="BM1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 s="22" t="e">
        <f ca="1">VLOOKUP(tabCustoUnit[[#This Row],[Código do Posto]],tabParametros[],MATCH(tabCustoUnit[[#Headers],[Custos Indiretos]],tabParametros[#Headers],0),0)</f>
        <v>#NAME?</v>
      </c>
      <c r="BO12" s="22" t="e">
        <f ca="1">VLOOKUP(tabCustoUnit[[#This Row],[Código do Posto]],tabParametros[],MATCH(tabCustoUnit[[#Headers],[Lucro]],tabParametros[#Headers],0),0)</f>
        <v>#NAME?</v>
      </c>
      <c r="BP12" s="26">
        <f>((100/((1-tabCustoUnit[[#This Row],[Resumo de Alíquotas (PIS+CONFINS+ISS)]]))-100)*VLOOKUP(tabCustoUnit[[#This Row],[Código do Posto]],tabParametros[],MATCH(tabCustoUnit[[#Headers],[COFINS]],tabParametros[#Headers],0),0))/(tabCustoUnit[[#This Row],[Resumo de Alíquotas (PIS+CONFINS+ISS)]]*100)</f>
        <v>8.6609686609686695E-2</v>
      </c>
      <c r="BQ12" s="26">
        <f>((100/((100-(tabCustoUnit[[#This Row],[Resumo de Alíquotas (PIS+CONFINS+ISS)]]*100))%)-100)*VLOOKUP(tabCustoUnit[[#This Row],[Código do Posto]],tabParametros[],MATCH(tabCustoUnit[[#Headers],[PIS]],tabParametros[#Headers],0),0))/(tabCustoUnit[[#This Row],[Resumo de Alíquotas (PIS+CONFINS+ISS)]]*100)</f>
        <v>1.880341880341882E-2</v>
      </c>
      <c r="BR12" s="28">
        <f>VLOOKUP(tabCustoUnit[[#This Row],[Código do Posto]],tabParametros[],MATCH(tabCustoUnit[[#Headers],[ISS]],tabParametros[#Headers],0),0)</f>
        <v>0.03</v>
      </c>
      <c r="BS12" s="26">
        <f>(((100/((100-(tabCustoUnit[[#This Row],[Resumo de Alíquotas (PIS+CONFINS+ISS)]]*100))%)-100)*tabCustoUnit[[#This Row],[ISS]])/tabCustoUnit[[#This Row],[Resumo de Alíquotas (PIS+CONFINS+ISS)]])/100</f>
        <v>3.4188034188034219E-2</v>
      </c>
      <c r="BT1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2" s="138">
        <f>tabCustoUnit[[#This Row],[COFINS]]+tabCustoUnit[[#This Row],[PIS]]+tabCustoUnit[[#This Row],[ISS (Conversão Alíquota s/ fatura)]]</f>
        <v>0.13960113960113973</v>
      </c>
      <c r="BV12" s="22" t="e">
        <f ca="1">(tabCustoUnit[[#This Row],[TOTAL MÓDULOS 1+2+3+4+5]]+tabCustoUnit[[#This Row],[Custos Indiretos]]+tabCustoUnit[[#This Row],[Lucro]])*tabCustoUnit[[#This Row],[PIS + COFINS + ISS (Total Conversão  Alíquota s/ Fatura)]]</f>
        <v>#NAME?</v>
      </c>
      <c r="BW12" s="22" t="e">
        <f ca="1">tabCustoUnit[[#This Row],[Custos Indiretos]]+tabCustoUnit[[#This Row],[Lucro]]+tabCustoUnit[[#This Row],[Valor dos Tributos (ISS, PIS, CONFINS)]]</f>
        <v>#NAME?</v>
      </c>
      <c r="BX12" s="22" t="e">
        <f ca="1">tabCustoUnit[[#This Row],[TOTAL MÓDULOS 1+2+3+4+5]]+tabCustoUnit[[#This Row],[MÓDULO 6 – CUSTOS INDIRETOS, TRIBUTOS E LUCRO]]</f>
        <v>#NAME?</v>
      </c>
      <c r="BY12" s="22" t="e">
        <f ca="1">tabCustoUnit[[#This Row],[CUSTO TOTAL MENSAL]]*12</f>
        <v>#NAME?</v>
      </c>
      <c r="BZ12" s="24">
        <f>VLOOKUP(tabCustoUnit[[#This Row],[Código do Posto]],tabParametros[],MATCH(tabCustoUnit[[#Headers],[ANO DA CCT]],tabParametros[#Headers],0),0)</f>
        <v>45658</v>
      </c>
      <c r="CA12" s="25" t="str">
        <f>VLOOKUP(tabCustoUnit[[#This Row],[Código do Posto]],tabParametros[],MATCH(tabCustoUnit[[#Headers],[Nº DE PEDIDO DA CCT]],tabParametros[#Headers],0),0)</f>
        <v>-</v>
      </c>
      <c r="CB12" s="25" t="str">
        <f>VLOOKUP(tabCustoUnit[[#This Row],[Código do Posto]],tabParametros[],MATCH(tabCustoUnit[[#Headers],[TERMO ADITIVO ALTERAÇÃO DA CCT]],tabParametros[#Headers],0),0)</f>
        <v>-</v>
      </c>
    </row>
    <row r="13" spans="1:80">
      <c r="A13" s="20" t="s">
        <v>1536</v>
      </c>
      <c r="B13" t="s">
        <v>1096</v>
      </c>
      <c r="C13" t="s">
        <v>314</v>
      </c>
      <c r="D13" t="s">
        <v>961</v>
      </c>
      <c r="E13" s="20" t="s">
        <v>1090</v>
      </c>
      <c r="F13" s="20" t="s">
        <v>120</v>
      </c>
      <c r="G13" s="418">
        <v>1963.405</v>
      </c>
      <c r="H13" s="418">
        <v>0</v>
      </c>
      <c r="I13" s="418">
        <v>0</v>
      </c>
      <c r="J13" s="418">
        <v>0</v>
      </c>
      <c r="K13" s="418">
        <v>0</v>
      </c>
      <c r="L13" s="418">
        <v>0</v>
      </c>
      <c r="M13" s="418">
        <v>0</v>
      </c>
      <c r="N13" s="418">
        <v>0</v>
      </c>
      <c r="O13" s="21">
        <f>SUM(tabCustoUnit[[#This Row],[Salário Base]:[Adicional de Acúmulo de função]])</f>
        <v>1963.405</v>
      </c>
      <c r="P13" s="21">
        <f>tabCustoUnit[[#This Row],[MODULO 1 - REMUNERAÇÃO ]]*SUMIFS(tabParametros[INSS],tabParametros[Código do Posto],tabCustoUnit[[#This Row],[Código do Posto]])</f>
        <v>392.68100000000004</v>
      </c>
      <c r="Q13" s="21">
        <f>tabCustoUnit[[#This Row],[MODULO 1 - REMUNERAÇÃO ]]*SUMIFS(tabParametros[SESI OU SESC],tabParametros[Código do Posto],tabCustoUnit[[#This Row],[Código do Posto]])</f>
        <v>29.451074999999999</v>
      </c>
      <c r="R13" s="21">
        <f>tabCustoUnit[[#This Row],[MODULO 1 - REMUNERAÇÃO ]]*SUMIFS(tabParametros[SENAI OU SENAC],tabParametros[Código do Posto],tabCustoUnit[[#This Row],[Código do Posto]])</f>
        <v>19.634049999999998</v>
      </c>
      <c r="S13" s="21">
        <f>tabCustoUnit[[#This Row],[MODULO 1 - REMUNERAÇÃO ]]*SUMIFS(tabParametros[INCRA],tabParametros[Código do Posto],tabCustoUnit[[#This Row],[Código do Posto]])</f>
        <v>3.9268100000000001</v>
      </c>
      <c r="T13" s="21">
        <f>tabCustoUnit[[#This Row],[MODULO 1 - REMUNERAÇÃO ]]*SUMIFS(tabParametros[Salário Educação],tabParametros[Código do Posto],tabCustoUnit[[#This Row],[Código do Posto]])</f>
        <v>49.085125000000005</v>
      </c>
      <c r="U13" s="21">
        <f>tabCustoUnit[[#This Row],[MODULO 1 - REMUNERAÇÃO ]]*SUMIFS(tabParametros[FGTS],tabParametros[Código do Posto],tabCustoUnit[[#This Row],[Código do Posto]])</f>
        <v>157.07239999999999</v>
      </c>
      <c r="V13" s="21">
        <f>tabCustoUnit[[#This Row],[MODULO 1 - REMUNERAÇÃO ]]*SUMIFS(tabParametros[RAT Ajustado],tabParametros[Código do Posto],tabCustoUnit[[#This Row],[Código do Posto]])</f>
        <v>78.536199999999994</v>
      </c>
      <c r="W13" s="21">
        <f>tabCustoUnit[[#This Row],[MODULO 1 - REMUNERAÇÃO ]]*SUMIFS(tabParametros[SEBRAE],tabParametros[Código do Posto],tabCustoUnit[[#This Row],[Código do Posto]])</f>
        <v>11.780430000000001</v>
      </c>
      <c r="X13" s="21">
        <f>SUM(tabCustoUnit[[#This Row],[INSS]:[SEBRAE]])</f>
        <v>742.16709000000003</v>
      </c>
      <c r="Y13" s="21">
        <f>tabCustoUnit[[#This Row],[MODULO 1 - REMUNERAÇÃO ]]*SUMIFS(tabParametros[13º salário (titular)],tabParametros[Código do Posto],tabCustoUnit[[#This Row],[Código do Posto]])</f>
        <v>163.61708333333331</v>
      </c>
      <c r="Z13" s="21">
        <f>tabCustoUnit[[#This Row],[MODULO 1 - REMUNERAÇÃO ]]*SUMIFS(tabParametros[Férias e Adicional de Férias (titular)],tabParametros[Código do Posto],tabCustoUnit[[#This Row],[Código do Posto]])</f>
        <v>218.1561111111111</v>
      </c>
      <c r="AA13" s="21">
        <f>IFERROR((tabCustoUnit[[#This Row],[Submódulo 2.1]]/tabCustoUnit[[#This Row],[MODULO 1 - REMUNERAÇÃO ]])*SUM(tabCustoUnit[[#This Row],[13º salário (titular)]:[Férias e Adicional de Férias (titular)]]),0)</f>
        <v>144.31026749999998</v>
      </c>
      <c r="AB13" s="21">
        <f>SUM(tabCustoUnit[[#This Row],[13º salário (titular)]:[Incidência do Submódulo 2.1 sobre 13º Salário, Férias e Adicional de Férias]])</f>
        <v>526.08346194444437</v>
      </c>
      <c r="AC13" s="22" t="e">
        <f ca="1">_xlfn.LET(_xlpm.VT,SUMIF(tabParametros[Código do Posto],tabCustoUnit[[#This Row],[Código do Posto]],tabParametros[Vale - Transporte])*2*20,
IF((_xlpm.VT-tabCustoUnit[[#This Row],[Salário Base]]*0.06)&gt;=0,(_xlpm.VT-tabCustoUnit[[#This Row],[Salário Base]]*0.06),0)
)</f>
        <v>#NAME?</v>
      </c>
      <c r="AD13" s="22">
        <f>IF(SUMIF(tabParametros[Código do Posto],tabCustoUnit[[#This Row],[Código do Posto]],tabParametros[Vale - Alimentação])&lt;=0,0,
SUMIF(tabParametros[Código do Posto],tabCustoUnit[[#This Row],[Código do Posto]],tabParametros[Vale - Alimentação])*20-1)</f>
        <v>582</v>
      </c>
      <c r="AE13" s="22">
        <f>SUMIF(tabParametros[Código do Posto],tabCustoUnit[[#This Row],[Código do Posto]],tabParametros[Cesta Básica])</f>
        <v>0</v>
      </c>
      <c r="AF13" s="22">
        <f>SUMIF(tabParametros[Código do Posto],tabCustoUnit[[#This Row],[Código do Posto]],tabParametros[PAF])</f>
        <v>0</v>
      </c>
      <c r="AG13" s="22">
        <f>SUMIF(tabParametros[Código do Posto],tabCustoUnit[[#This Row],[Código do Posto]],tabParametros[PQM])</f>
        <v>0</v>
      </c>
      <c r="AH13" s="22">
        <f>SUMIF(tabParametros[Código do Posto],tabCustoUnit[[#This Row],[Código do Posto]],tabParametros[Abono Único e Especial])</f>
        <v>0</v>
      </c>
      <c r="AI13" s="22">
        <f>SUMIF(tabParametros[Código do Posto],tabCustoUnit[[#This Row],[Código do Posto]],tabParametros[Seguro de Vida])</f>
        <v>3.36</v>
      </c>
      <c r="AJ13" s="22">
        <f>SUMIF(tabParametros[Código do Posto],tabCustoUnit[[#This Row],[Código do Posto]],tabParametros[Despesas de Viagem])</f>
        <v>0</v>
      </c>
      <c r="AK13" s="22" t="e">
        <f ca="1">SUM(tabCustoUnit[[#This Row],[Vale - Transporte (Descontada parcela do empregado)]:[Despesas de Viagem]])</f>
        <v>#NAME?</v>
      </c>
      <c r="AL13" s="22" t="e">
        <f ca="1">tabCustoUnit[[#This Row],[Submódulo 2.1]]+tabCustoUnit[[#This Row],[Submódulo 2.2]]+tabCustoUnit[[#This Row],[Submódulo 2.3]]</f>
        <v>#NAME?</v>
      </c>
      <c r="AM13" s="22">
        <f>SUMIF(tabParametros[Código do Posto],tabCustoUnit[[#This Row],[Código do Posto]],tabParametros[Aviso Prévio Indenizado (API) e Reflexo do Aviso Prévio Indenizado])*tabCustoUnit[[#This Row],[MODULO 1 - REMUNERAÇÃO ]]</f>
        <v>13.766938338155864</v>
      </c>
      <c r="AN13" s="22">
        <f>SUMIF(tabParametros[Código do Posto],tabCustoUnit[[#This Row],[Código do Posto]],tabParametros[Incidência do FGTS sobre API e Reflexo do API])*tabCustoUnit[[#This Row],[MODULO 1 - REMUNERAÇÃO ]]</f>
        <v>1.1013550670524692</v>
      </c>
      <c r="AO13" s="22">
        <f>SUMIF(tabParametros[Código do Posto],tabCustoUnit[[#This Row],[Código do Posto]],tabParametros[Multa Rescisória do FGTS sobre o Aviso Prévio Indenizado])*tabCustoUnit[[#This Row],[MODULO 1 - REMUNERAÇÃO ]]</f>
        <v>0.44054202682098775</v>
      </c>
      <c r="AP13" s="22">
        <f>SUMIF(tabParametros[Código do Posto],tabCustoUnit[[#This Row],[Código do Posto]],tabParametros[Aviso Prévio Trabalhado - APT])*tabCustoUnit[[#This Row],[MODULO 1 - REMUNERAÇÃO ]]</f>
        <v>6.8719175000000012</v>
      </c>
      <c r="AQ13" s="22">
        <f>SUMIF(tabParametros[Código do Posto],tabCustoUnit[[#This Row],[Código do Posto]],tabParametros[Incidência dos encargos do submódulo 2.1 sobre Aviso Prévio Trabalhado])*tabCustoUnit[[#This Row],[MODULO 1 - REMUNERAÇÃO ]]</f>
        <v>2.5975848150000007</v>
      </c>
      <c r="AR13" s="22">
        <f>SUMIF(tabParametros[Código do Posto],tabCustoUnit[[#This Row],[Código do Posto]],tabParametros[Multa Rescisória do FGTS])*tabCustoUnit[[#This Row],[MODULO 1 - REMUNERAÇÃO ]]</f>
        <v>60.03656177777777</v>
      </c>
      <c r="AS13" s="22">
        <f>SUMIF(tabParametros[Código do Posto],tabCustoUnit[[#This Row],[Código do Posto]],tabParametros[Indenização Adicional (Art. 9º da Lei nº 7.238/84)])*tabCustoUnit[[#This Row],[MODULO 1 - REMUNERAÇÃO ]]</f>
        <v>1.6361708333333334</v>
      </c>
      <c r="AT13" s="22">
        <f>SUM(tabCustoUnit[[#This Row],[Aviso Prévio Indenizado (API) e Reflexo do Aviso Prévio Indenizado]:[Indenização Adicional (Art. 9º da Lei nº 7.238/84)]])</f>
        <v>86.451070358140427</v>
      </c>
      <c r="AU13" s="22">
        <f>SUMIF(tabParametros[Código do Posto],tabCustoUnit[[#This Row],[Código do Posto]],tabParametros[Ausência por Doença])*tabCustoUnit[[#This Row],[MODULO 1 - REMUNERAÇÃO ]]</f>
        <v>16.579864444444443</v>
      </c>
      <c r="AV13" s="22">
        <f>SUMIF(tabParametros[Código do Posto],tabCustoUnit[[#This Row],[Código do Posto]],tabParametros[Ausências Legais])*tabCustoUnit[[#This Row],[MODULO 1 - REMUNERAÇÃO ]]</f>
        <v>3.9813490277777777</v>
      </c>
      <c r="AW13" s="22">
        <f>SUMIF(tabParametros[Código do Posto],tabCustoUnit[[#This Row],[Código do Posto]],tabParametros[Licença Paternidade])*tabCustoUnit[[#This Row],[MODULO 1 - REMUNERAÇÃO ]]</f>
        <v>0.3354150208333333</v>
      </c>
      <c r="AX13" s="22">
        <f>SUMIF(tabParametros[Código do Posto],tabCustoUnit[[#This Row],[Código do Posto]],tabParametros[Ausência por Acidente de Trabalho])*tabCustoUnit[[#This Row],[MODULO 1 - REMUNERAÇÃO ]]</f>
        <v>0.40904270833333334</v>
      </c>
      <c r="AY13" s="22">
        <f>SUMIF(tabParametros[Código do Posto],tabCustoUnit[[#This Row],[Código do Posto]],tabParametros[Férias, Adicional de Férias e 13º  com empregada em gozo de Licença Maternidade])*tabCustoUnit[[#This Row],[MODULO 1 - REMUNERAÇÃO ]]</f>
        <v>2.5451546296296295</v>
      </c>
      <c r="AZ13" s="22">
        <f>SUMIF(tabParametros[Código do Posto],tabCustoUnit[[#This Row],[Código do Posto]],tabParametros[Incidência do Submódulo 2.1 sobre Ausências Legais])*tabCustoUnit[[#This Row],[MODULO 1 - REMUNERAÇÃO ]]</f>
        <v>9.0156121641250007</v>
      </c>
      <c r="BA13" s="22">
        <f>SUM(tabCustoUnit[[#This Row],[Ausência por Doença]:[Incidência do Submódulo 2.1 sobre Ausências Legais]])</f>
        <v>32.866437995143521</v>
      </c>
      <c r="BB13" s="22">
        <f>SUMIF(tabParametros[Código do Posto],tabCustoUnit[[#This Row],[Código do Posto]],tabParametros[Intervalo para Repouso ou Alimentação])</f>
        <v>267.73704981301341</v>
      </c>
      <c r="BC13" s="22">
        <f>tabCustoUnit[[#This Row],[Intervalo para Repouso ou Alimentação]]</f>
        <v>267.73704981301341</v>
      </c>
      <c r="BD1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 s="22">
        <f>tabCustoUnit[[#This Row],[Suspensão Temporária do Contrato de Trabalho]]</f>
        <v>0</v>
      </c>
      <c r="BF13" s="22">
        <f>tabCustoUnit[[#This Row],[Submódulo 4.1]]+tabCustoUnit[[#This Row],[Submódulo 4.2]]+tabCustoUnit[[#This Row],[Submódulo 4.3]]</f>
        <v>300.60348780815696</v>
      </c>
      <c r="BG13" s="22">
        <f>VLOOKUP(tabCustoUnit[[#This Row],[Código do Posto]],tabParametros[],MATCH(tabCustoUnit[[#Headers],[Uniformes e EPIs]],tabParametros[#Headers],0),0)</f>
        <v>56.642978962543395</v>
      </c>
      <c r="BH13" s="22">
        <f>VLOOKUP(tabCustoUnit[[#This Row],[Código do Posto]],tabParametros[],MATCH(tabCustoUnit[[#Headers],[Materiais de Consumo]],tabParametros[#Headers],0),0)</f>
        <v>0</v>
      </c>
      <c r="BI13" s="22">
        <f>VLOOKUP(tabCustoUnit[[#This Row],[Código do Posto]],tabParametros[],MATCH(tabCustoUnit[[#Headers],[Máquinas e Equipamentos (depreciação)]],tabParametros[#Headers],0),0)</f>
        <v>0</v>
      </c>
      <c r="BJ13" s="22">
        <f>VLOOKUP(tabCustoUnit[[#This Row],[Código do Posto]],tabParametros[],MATCH(tabCustoUnit[[#Headers],[Produtos de Limpeza e Materiais de Higiene Pessoal]],tabParametros[#Headers],0),0)</f>
        <v>0</v>
      </c>
      <c r="BK13" s="22">
        <f>VLOOKUP(tabCustoUnit[[#This Row],[Código do Posto]],tabParametros[],MATCH(tabCustoUnit[[#Headers],[Outros (especificar)]],tabParametros[#Headers],0),0)</f>
        <v>0</v>
      </c>
      <c r="BL13" s="22">
        <f>SUM(tabCustoUnit[[#This Row],[Uniformes e EPIs]:[Outros (especificar)]])</f>
        <v>56.642978962543395</v>
      </c>
      <c r="BM1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 s="22" t="e">
        <f ca="1">VLOOKUP(tabCustoUnit[[#This Row],[Código do Posto]],tabParametros[],MATCH(tabCustoUnit[[#Headers],[Custos Indiretos]],tabParametros[#Headers],0),0)</f>
        <v>#NAME?</v>
      </c>
      <c r="BO13" s="22" t="e">
        <f ca="1">VLOOKUP(tabCustoUnit[[#This Row],[Código do Posto]],tabParametros[],MATCH(tabCustoUnit[[#Headers],[Lucro]],tabParametros[#Headers],0),0)</f>
        <v>#NAME?</v>
      </c>
      <c r="BP13" s="26">
        <f>((100/((1-tabCustoUnit[[#This Row],[Resumo de Alíquotas (PIS+CONFINS+ISS)]]))-100)*VLOOKUP(tabCustoUnit[[#This Row],[Código do Posto]],tabParametros[],MATCH(tabCustoUnit[[#Headers],[COFINS]],tabParametros[#Headers],0),0))/(tabCustoUnit[[#This Row],[Resumo de Alíquotas (PIS+CONFINS+ISS)]]*100)</f>
        <v>8.5633802816901458E-2</v>
      </c>
      <c r="BQ13" s="26">
        <f>((100/((100-(tabCustoUnit[[#This Row],[Resumo de Alíquotas (PIS+CONFINS+ISS)]]*100))%)-100)*VLOOKUP(tabCustoUnit[[#This Row],[Código do Posto]],tabParametros[],MATCH(tabCustoUnit[[#Headers],[PIS]],tabParametros[#Headers],0),0))/(tabCustoUnit[[#This Row],[Resumo de Alíquotas (PIS+CONFINS+ISS)]]*100)</f>
        <v>1.8591549295774657E-2</v>
      </c>
      <c r="BR13" s="28">
        <f>VLOOKUP(tabCustoUnit[[#This Row],[Código do Posto]],tabParametros[],MATCH(tabCustoUnit[[#Headers],[ISS]],tabParametros[#Headers],0),0)</f>
        <v>0.02</v>
      </c>
      <c r="BS13" s="26">
        <f>(((100/((100-(tabCustoUnit[[#This Row],[Resumo de Alíquotas (PIS+CONFINS+ISS)]]*100))%)-100)*tabCustoUnit[[#This Row],[ISS]])/tabCustoUnit[[#This Row],[Resumo de Alíquotas (PIS+CONFINS+ISS)]])/100</f>
        <v>2.2535211267605645E-2</v>
      </c>
      <c r="BT1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3" s="138">
        <f>tabCustoUnit[[#This Row],[COFINS]]+tabCustoUnit[[#This Row],[PIS]]+tabCustoUnit[[#This Row],[ISS (Conversão Alíquota s/ fatura)]]</f>
        <v>0.12676056338028174</v>
      </c>
      <c r="BV13" s="22" t="e">
        <f ca="1">(tabCustoUnit[[#This Row],[TOTAL MÓDULOS 1+2+3+4+5]]+tabCustoUnit[[#This Row],[Custos Indiretos]]+tabCustoUnit[[#This Row],[Lucro]])*tabCustoUnit[[#This Row],[PIS + COFINS + ISS (Total Conversão  Alíquota s/ Fatura)]]</f>
        <v>#NAME?</v>
      </c>
      <c r="BW13" s="22" t="e">
        <f ca="1">tabCustoUnit[[#This Row],[Custos Indiretos]]+tabCustoUnit[[#This Row],[Lucro]]+tabCustoUnit[[#This Row],[Valor dos Tributos (ISS, PIS, CONFINS)]]</f>
        <v>#NAME?</v>
      </c>
      <c r="BX13" s="22" t="e">
        <f ca="1">tabCustoUnit[[#This Row],[TOTAL MÓDULOS 1+2+3+4+5]]+tabCustoUnit[[#This Row],[MÓDULO 6 – CUSTOS INDIRETOS, TRIBUTOS E LUCRO]]</f>
        <v>#NAME?</v>
      </c>
      <c r="BY13" s="22" t="e">
        <f ca="1">tabCustoUnit[[#This Row],[CUSTO TOTAL MENSAL]]*12</f>
        <v>#NAME?</v>
      </c>
      <c r="BZ13" s="24">
        <f>VLOOKUP(tabCustoUnit[[#This Row],[Código do Posto]],tabParametros[],MATCH(tabCustoUnit[[#Headers],[ANO DA CCT]],tabParametros[#Headers],0),0)</f>
        <v>45658</v>
      </c>
      <c r="CA13" s="25" t="str">
        <f>VLOOKUP(tabCustoUnit[[#This Row],[Código do Posto]],tabParametros[],MATCH(tabCustoUnit[[#Headers],[Nº DE PEDIDO DA CCT]],tabParametros[#Headers],0),0)</f>
        <v>-</v>
      </c>
      <c r="CB13" s="25" t="str">
        <f>VLOOKUP(tabCustoUnit[[#This Row],[Código do Posto]],tabParametros[],MATCH(tabCustoUnit[[#Headers],[TERMO ADITIVO ALTERAÇÃO DA CCT]],tabParametros[#Headers],0),0)</f>
        <v>-</v>
      </c>
    </row>
    <row r="14" spans="1:80">
      <c r="A14" s="20" t="s">
        <v>1537</v>
      </c>
      <c r="B14" t="s">
        <v>1097</v>
      </c>
      <c r="C14" t="s">
        <v>314</v>
      </c>
      <c r="D14" t="s">
        <v>961</v>
      </c>
      <c r="E14" s="20" t="s">
        <v>1090</v>
      </c>
      <c r="F14" s="20" t="s">
        <v>120</v>
      </c>
      <c r="G14" s="418">
        <v>1963.405</v>
      </c>
      <c r="H14" s="418">
        <v>0</v>
      </c>
      <c r="I14" s="418">
        <v>0</v>
      </c>
      <c r="J14" s="418">
        <v>0</v>
      </c>
      <c r="K14" s="418">
        <v>0</v>
      </c>
      <c r="L14" s="418">
        <v>0</v>
      </c>
      <c r="M14" s="418">
        <v>0</v>
      </c>
      <c r="N14" s="418">
        <v>0</v>
      </c>
      <c r="O14" s="21">
        <f>SUM(tabCustoUnit[[#This Row],[Salário Base]:[Adicional de Acúmulo de função]])</f>
        <v>1963.405</v>
      </c>
      <c r="P14" s="21">
        <f>tabCustoUnit[[#This Row],[MODULO 1 - REMUNERAÇÃO ]]*SUMIFS(tabParametros[INSS],tabParametros[Código do Posto],tabCustoUnit[[#This Row],[Código do Posto]])</f>
        <v>392.68100000000004</v>
      </c>
      <c r="Q14" s="21">
        <f>tabCustoUnit[[#This Row],[MODULO 1 - REMUNERAÇÃO ]]*SUMIFS(tabParametros[SESI OU SESC],tabParametros[Código do Posto],tabCustoUnit[[#This Row],[Código do Posto]])</f>
        <v>29.451074999999999</v>
      </c>
      <c r="R14" s="21">
        <f>tabCustoUnit[[#This Row],[MODULO 1 - REMUNERAÇÃO ]]*SUMIFS(tabParametros[SENAI OU SENAC],tabParametros[Código do Posto],tabCustoUnit[[#This Row],[Código do Posto]])</f>
        <v>19.634049999999998</v>
      </c>
      <c r="S14" s="21">
        <f>tabCustoUnit[[#This Row],[MODULO 1 - REMUNERAÇÃO ]]*SUMIFS(tabParametros[INCRA],tabParametros[Código do Posto],tabCustoUnit[[#This Row],[Código do Posto]])</f>
        <v>3.9268100000000001</v>
      </c>
      <c r="T14" s="21">
        <f>tabCustoUnit[[#This Row],[MODULO 1 - REMUNERAÇÃO ]]*SUMIFS(tabParametros[Salário Educação],tabParametros[Código do Posto],tabCustoUnit[[#This Row],[Código do Posto]])</f>
        <v>49.085125000000005</v>
      </c>
      <c r="U14" s="21">
        <f>tabCustoUnit[[#This Row],[MODULO 1 - REMUNERAÇÃO ]]*SUMIFS(tabParametros[FGTS],tabParametros[Código do Posto],tabCustoUnit[[#This Row],[Código do Posto]])</f>
        <v>157.07239999999999</v>
      </c>
      <c r="V14" s="21">
        <f>tabCustoUnit[[#This Row],[MODULO 1 - REMUNERAÇÃO ]]*SUMIFS(tabParametros[RAT Ajustado],tabParametros[Código do Posto],tabCustoUnit[[#This Row],[Código do Posto]])</f>
        <v>78.536199999999994</v>
      </c>
      <c r="W14" s="21">
        <f>tabCustoUnit[[#This Row],[MODULO 1 - REMUNERAÇÃO ]]*SUMIFS(tabParametros[SEBRAE],tabParametros[Código do Posto],tabCustoUnit[[#This Row],[Código do Posto]])</f>
        <v>11.780430000000001</v>
      </c>
      <c r="X14" s="21">
        <f>SUM(tabCustoUnit[[#This Row],[INSS]:[SEBRAE]])</f>
        <v>742.16709000000003</v>
      </c>
      <c r="Y14" s="21">
        <f>tabCustoUnit[[#This Row],[MODULO 1 - REMUNERAÇÃO ]]*SUMIFS(tabParametros[13º salário (titular)],tabParametros[Código do Posto],tabCustoUnit[[#This Row],[Código do Posto]])</f>
        <v>163.61708333333331</v>
      </c>
      <c r="Z14" s="21">
        <f>tabCustoUnit[[#This Row],[MODULO 1 - REMUNERAÇÃO ]]*SUMIFS(tabParametros[Férias e Adicional de Férias (titular)],tabParametros[Código do Posto],tabCustoUnit[[#This Row],[Código do Posto]])</f>
        <v>218.1561111111111</v>
      </c>
      <c r="AA14" s="21">
        <f>IFERROR((tabCustoUnit[[#This Row],[Submódulo 2.1]]/tabCustoUnit[[#This Row],[MODULO 1 - REMUNERAÇÃO ]])*SUM(tabCustoUnit[[#This Row],[13º salário (titular)]:[Férias e Adicional de Férias (titular)]]),0)</f>
        <v>144.31026749999998</v>
      </c>
      <c r="AB14" s="21">
        <f>SUM(tabCustoUnit[[#This Row],[13º salário (titular)]:[Incidência do Submódulo 2.1 sobre 13º Salário, Férias e Adicional de Férias]])</f>
        <v>526.08346194444437</v>
      </c>
      <c r="AC14" s="22" t="e">
        <f ca="1">_xlfn.LET(_xlpm.VT,SUMIF(tabParametros[Código do Posto],tabCustoUnit[[#This Row],[Código do Posto]],tabParametros[Vale - Transporte])*2*20,
IF((_xlpm.VT-tabCustoUnit[[#This Row],[Salário Base]]*0.06)&gt;=0,(_xlpm.VT-tabCustoUnit[[#This Row],[Salário Base]]*0.06),0)
)</f>
        <v>#NAME?</v>
      </c>
      <c r="AD14" s="22">
        <f>IF(SUMIF(tabParametros[Código do Posto],tabCustoUnit[[#This Row],[Código do Posto]],tabParametros[Vale - Alimentação])&lt;=0,0,
SUMIF(tabParametros[Código do Posto],tabCustoUnit[[#This Row],[Código do Posto]],tabParametros[Vale - Alimentação])*20-1)</f>
        <v>582</v>
      </c>
      <c r="AE14" s="22">
        <f>SUMIF(tabParametros[Código do Posto],tabCustoUnit[[#This Row],[Código do Posto]],tabParametros[Cesta Básica])</f>
        <v>0</v>
      </c>
      <c r="AF14" s="22">
        <f>SUMIF(tabParametros[Código do Posto],tabCustoUnit[[#This Row],[Código do Posto]],tabParametros[PAF])</f>
        <v>0</v>
      </c>
      <c r="AG14" s="22">
        <f>SUMIF(tabParametros[Código do Posto],tabCustoUnit[[#This Row],[Código do Posto]],tabParametros[PQM])</f>
        <v>0</v>
      </c>
      <c r="AH14" s="22">
        <f>SUMIF(tabParametros[Código do Posto],tabCustoUnit[[#This Row],[Código do Posto]],tabParametros[Abono Único e Especial])</f>
        <v>0</v>
      </c>
      <c r="AI14" s="22">
        <f>SUMIF(tabParametros[Código do Posto],tabCustoUnit[[#This Row],[Código do Posto]],tabParametros[Seguro de Vida])</f>
        <v>3.36</v>
      </c>
      <c r="AJ14" s="22">
        <f>SUMIF(tabParametros[Código do Posto],tabCustoUnit[[#This Row],[Código do Posto]],tabParametros[Despesas de Viagem])</f>
        <v>0</v>
      </c>
      <c r="AK14" s="22" t="e">
        <f ca="1">SUM(tabCustoUnit[[#This Row],[Vale - Transporte (Descontada parcela do empregado)]:[Despesas de Viagem]])</f>
        <v>#NAME?</v>
      </c>
      <c r="AL14" s="22" t="e">
        <f ca="1">tabCustoUnit[[#This Row],[Submódulo 2.1]]+tabCustoUnit[[#This Row],[Submódulo 2.2]]+tabCustoUnit[[#This Row],[Submódulo 2.3]]</f>
        <v>#NAME?</v>
      </c>
      <c r="AM14" s="22">
        <f>SUMIF(tabParametros[Código do Posto],tabCustoUnit[[#This Row],[Código do Posto]],tabParametros[Aviso Prévio Indenizado (API) e Reflexo do Aviso Prévio Indenizado])*tabCustoUnit[[#This Row],[MODULO 1 - REMUNERAÇÃO ]]</f>
        <v>13.766938338155864</v>
      </c>
      <c r="AN14" s="22">
        <f>SUMIF(tabParametros[Código do Posto],tabCustoUnit[[#This Row],[Código do Posto]],tabParametros[Incidência do FGTS sobre API e Reflexo do API])*tabCustoUnit[[#This Row],[MODULO 1 - REMUNERAÇÃO ]]</f>
        <v>1.1013550670524692</v>
      </c>
      <c r="AO14" s="22">
        <f>SUMIF(tabParametros[Código do Posto],tabCustoUnit[[#This Row],[Código do Posto]],tabParametros[Multa Rescisória do FGTS sobre o Aviso Prévio Indenizado])*tabCustoUnit[[#This Row],[MODULO 1 - REMUNERAÇÃO ]]</f>
        <v>0.44054202682098775</v>
      </c>
      <c r="AP14" s="22">
        <f>SUMIF(tabParametros[Código do Posto],tabCustoUnit[[#This Row],[Código do Posto]],tabParametros[Aviso Prévio Trabalhado - APT])*tabCustoUnit[[#This Row],[MODULO 1 - REMUNERAÇÃO ]]</f>
        <v>6.8719175000000012</v>
      </c>
      <c r="AQ14" s="22">
        <f>SUMIF(tabParametros[Código do Posto],tabCustoUnit[[#This Row],[Código do Posto]],tabParametros[Incidência dos encargos do submódulo 2.1 sobre Aviso Prévio Trabalhado])*tabCustoUnit[[#This Row],[MODULO 1 - REMUNERAÇÃO ]]</f>
        <v>2.5975848150000007</v>
      </c>
      <c r="AR14" s="22">
        <f>SUMIF(tabParametros[Código do Posto],tabCustoUnit[[#This Row],[Código do Posto]],tabParametros[Multa Rescisória do FGTS])*tabCustoUnit[[#This Row],[MODULO 1 - REMUNERAÇÃO ]]</f>
        <v>60.03656177777777</v>
      </c>
      <c r="AS14" s="22">
        <f>SUMIF(tabParametros[Código do Posto],tabCustoUnit[[#This Row],[Código do Posto]],tabParametros[Indenização Adicional (Art. 9º da Lei nº 7.238/84)])*tabCustoUnit[[#This Row],[MODULO 1 - REMUNERAÇÃO ]]</f>
        <v>1.6361708333333334</v>
      </c>
      <c r="AT14" s="22">
        <f>SUM(tabCustoUnit[[#This Row],[Aviso Prévio Indenizado (API) e Reflexo do Aviso Prévio Indenizado]:[Indenização Adicional (Art. 9º da Lei nº 7.238/84)]])</f>
        <v>86.451070358140427</v>
      </c>
      <c r="AU14" s="22">
        <f>SUMIF(tabParametros[Código do Posto],tabCustoUnit[[#This Row],[Código do Posto]],tabParametros[Ausência por Doença])*tabCustoUnit[[#This Row],[MODULO 1 - REMUNERAÇÃO ]]</f>
        <v>16.579864444444443</v>
      </c>
      <c r="AV14" s="22">
        <f>SUMIF(tabParametros[Código do Posto],tabCustoUnit[[#This Row],[Código do Posto]],tabParametros[Ausências Legais])*tabCustoUnit[[#This Row],[MODULO 1 - REMUNERAÇÃO ]]</f>
        <v>3.9813490277777777</v>
      </c>
      <c r="AW14" s="22">
        <f>SUMIF(tabParametros[Código do Posto],tabCustoUnit[[#This Row],[Código do Posto]],tabParametros[Licença Paternidade])*tabCustoUnit[[#This Row],[MODULO 1 - REMUNERAÇÃO ]]</f>
        <v>0.3354150208333333</v>
      </c>
      <c r="AX14" s="22">
        <f>SUMIF(tabParametros[Código do Posto],tabCustoUnit[[#This Row],[Código do Posto]],tabParametros[Ausência por Acidente de Trabalho])*tabCustoUnit[[#This Row],[MODULO 1 - REMUNERAÇÃO ]]</f>
        <v>0.40904270833333334</v>
      </c>
      <c r="AY14" s="22">
        <f>SUMIF(tabParametros[Código do Posto],tabCustoUnit[[#This Row],[Código do Posto]],tabParametros[Férias, Adicional de Férias e 13º  com empregada em gozo de Licença Maternidade])*tabCustoUnit[[#This Row],[MODULO 1 - REMUNERAÇÃO ]]</f>
        <v>2.5451546296296295</v>
      </c>
      <c r="AZ14" s="22">
        <f>SUMIF(tabParametros[Código do Posto],tabCustoUnit[[#This Row],[Código do Posto]],tabParametros[Incidência do Submódulo 2.1 sobre Ausências Legais])*tabCustoUnit[[#This Row],[MODULO 1 - REMUNERAÇÃO ]]</f>
        <v>9.0156121641250007</v>
      </c>
      <c r="BA14" s="22">
        <f>SUM(tabCustoUnit[[#This Row],[Ausência por Doença]:[Incidência do Submódulo 2.1 sobre Ausências Legais]])</f>
        <v>32.866437995143521</v>
      </c>
      <c r="BB14" s="22">
        <f>SUMIF(tabParametros[Código do Posto],tabCustoUnit[[#This Row],[Código do Posto]],tabParametros[Intervalo para Repouso ou Alimentação])</f>
        <v>267.73704981301341</v>
      </c>
      <c r="BC14" s="22">
        <f>tabCustoUnit[[#This Row],[Intervalo para Repouso ou Alimentação]]</f>
        <v>267.73704981301341</v>
      </c>
      <c r="BD1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 s="22">
        <f>tabCustoUnit[[#This Row],[Suspensão Temporária do Contrato de Trabalho]]</f>
        <v>0</v>
      </c>
      <c r="BF14" s="22">
        <f>tabCustoUnit[[#This Row],[Submódulo 4.1]]+tabCustoUnit[[#This Row],[Submódulo 4.2]]+tabCustoUnit[[#This Row],[Submódulo 4.3]]</f>
        <v>300.60348780815696</v>
      </c>
      <c r="BG14" s="22">
        <f>VLOOKUP(tabCustoUnit[[#This Row],[Código do Posto]],tabParametros[],MATCH(tabCustoUnit[[#Headers],[Uniformes e EPIs]],tabParametros[#Headers],0),0)</f>
        <v>56.642978962543395</v>
      </c>
      <c r="BH14" s="22">
        <f>VLOOKUP(tabCustoUnit[[#This Row],[Código do Posto]],tabParametros[],MATCH(tabCustoUnit[[#Headers],[Materiais de Consumo]],tabParametros[#Headers],0),0)</f>
        <v>0</v>
      </c>
      <c r="BI14" s="22">
        <f>VLOOKUP(tabCustoUnit[[#This Row],[Código do Posto]],tabParametros[],MATCH(tabCustoUnit[[#Headers],[Máquinas e Equipamentos (depreciação)]],tabParametros[#Headers],0),0)</f>
        <v>0</v>
      </c>
      <c r="BJ14" s="22">
        <f>VLOOKUP(tabCustoUnit[[#This Row],[Código do Posto]],tabParametros[],MATCH(tabCustoUnit[[#Headers],[Produtos de Limpeza e Materiais de Higiene Pessoal]],tabParametros[#Headers],0),0)</f>
        <v>0</v>
      </c>
      <c r="BK14" s="22">
        <f>VLOOKUP(tabCustoUnit[[#This Row],[Código do Posto]],tabParametros[],MATCH(tabCustoUnit[[#Headers],[Outros (especificar)]],tabParametros[#Headers],0),0)</f>
        <v>0</v>
      </c>
      <c r="BL14" s="22">
        <f>SUM(tabCustoUnit[[#This Row],[Uniformes e EPIs]:[Outros (especificar)]])</f>
        <v>56.642978962543395</v>
      </c>
      <c r="BM1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 s="22" t="e">
        <f ca="1">VLOOKUP(tabCustoUnit[[#This Row],[Código do Posto]],tabParametros[],MATCH(tabCustoUnit[[#Headers],[Custos Indiretos]],tabParametros[#Headers],0),0)</f>
        <v>#NAME?</v>
      </c>
      <c r="BO14" s="22" t="e">
        <f ca="1">VLOOKUP(tabCustoUnit[[#This Row],[Código do Posto]],tabParametros[],MATCH(tabCustoUnit[[#Headers],[Lucro]],tabParametros[#Headers],0),0)</f>
        <v>#NAME?</v>
      </c>
      <c r="BP14" s="26">
        <f>((100/((1-tabCustoUnit[[#This Row],[Resumo de Alíquotas (PIS+CONFINS+ISS)]]))-100)*VLOOKUP(tabCustoUnit[[#This Row],[Código do Posto]],tabParametros[],MATCH(tabCustoUnit[[#Headers],[COFINS]],tabParametros[#Headers],0),0))/(tabCustoUnit[[#This Row],[Resumo de Alíquotas (PIS+CONFINS+ISS)]]*100)</f>
        <v>8.8629737609329504E-2</v>
      </c>
      <c r="BQ14" s="26">
        <f>((100/((100-(tabCustoUnit[[#This Row],[Resumo de Alíquotas (PIS+CONFINS+ISS)]]*100))%)-100)*VLOOKUP(tabCustoUnit[[#This Row],[Código do Posto]],tabParametros[],MATCH(tabCustoUnit[[#Headers],[PIS]],tabParametros[#Headers],0),0))/(tabCustoUnit[[#This Row],[Resumo de Alíquotas (PIS+CONFINS+ISS)]]*100)</f>
        <v>1.9241982507288629E-2</v>
      </c>
      <c r="BR14" s="28">
        <f>VLOOKUP(tabCustoUnit[[#This Row],[Código do Posto]],tabParametros[],MATCH(tabCustoUnit[[#Headers],[ISS]],tabParametros[#Headers],0),0)</f>
        <v>0.05</v>
      </c>
      <c r="BS14" s="26">
        <f>(((100/((100-(tabCustoUnit[[#This Row],[Resumo de Alíquotas (PIS+CONFINS+ISS)]]*100))%)-100)*tabCustoUnit[[#This Row],[ISS]])/tabCustoUnit[[#This Row],[Resumo de Alíquotas (PIS+CONFINS+ISS)]])/100</f>
        <v>5.8309037900874633E-2</v>
      </c>
      <c r="BT1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4" s="138">
        <f>tabCustoUnit[[#This Row],[COFINS]]+tabCustoUnit[[#This Row],[PIS]]+tabCustoUnit[[#This Row],[ISS (Conversão Alíquota s/ fatura)]]</f>
        <v>0.16618075801749277</v>
      </c>
      <c r="BV14" s="22" t="e">
        <f ca="1">(tabCustoUnit[[#This Row],[TOTAL MÓDULOS 1+2+3+4+5]]+tabCustoUnit[[#This Row],[Custos Indiretos]]+tabCustoUnit[[#This Row],[Lucro]])*tabCustoUnit[[#This Row],[PIS + COFINS + ISS (Total Conversão  Alíquota s/ Fatura)]]</f>
        <v>#NAME?</v>
      </c>
      <c r="BW14" s="22" t="e">
        <f ca="1">tabCustoUnit[[#This Row],[Custos Indiretos]]+tabCustoUnit[[#This Row],[Lucro]]+tabCustoUnit[[#This Row],[Valor dos Tributos (ISS, PIS, CONFINS)]]</f>
        <v>#NAME?</v>
      </c>
      <c r="BX14" s="22" t="e">
        <f ca="1">tabCustoUnit[[#This Row],[TOTAL MÓDULOS 1+2+3+4+5]]+tabCustoUnit[[#This Row],[MÓDULO 6 – CUSTOS INDIRETOS, TRIBUTOS E LUCRO]]</f>
        <v>#NAME?</v>
      </c>
      <c r="BY14" s="22" t="e">
        <f ca="1">tabCustoUnit[[#This Row],[CUSTO TOTAL MENSAL]]*12</f>
        <v>#NAME?</v>
      </c>
      <c r="BZ14" s="24">
        <f>VLOOKUP(tabCustoUnit[[#This Row],[Código do Posto]],tabParametros[],MATCH(tabCustoUnit[[#Headers],[ANO DA CCT]],tabParametros[#Headers],0),0)</f>
        <v>45658</v>
      </c>
      <c r="CA14" s="25" t="str">
        <f>VLOOKUP(tabCustoUnit[[#This Row],[Código do Posto]],tabParametros[],MATCH(tabCustoUnit[[#Headers],[Nº DE PEDIDO DA CCT]],tabParametros[#Headers],0),0)</f>
        <v>-</v>
      </c>
      <c r="CB14" s="25" t="str">
        <f>VLOOKUP(tabCustoUnit[[#This Row],[Código do Posto]],tabParametros[],MATCH(tabCustoUnit[[#Headers],[TERMO ADITIVO ALTERAÇÃO DA CCT]],tabParametros[#Headers],0),0)</f>
        <v>-</v>
      </c>
    </row>
    <row r="15" spans="1:80">
      <c r="A15" s="20" t="s">
        <v>1404</v>
      </c>
      <c r="B15" t="s">
        <v>1098</v>
      </c>
      <c r="C15" t="s">
        <v>200</v>
      </c>
      <c r="D15" t="s">
        <v>899</v>
      </c>
      <c r="E15" s="20" t="s">
        <v>1090</v>
      </c>
      <c r="F15" s="20" t="s">
        <v>120</v>
      </c>
      <c r="G15" s="418">
        <v>1596.2737999999999</v>
      </c>
      <c r="H15" s="418">
        <v>0</v>
      </c>
      <c r="I15" s="418">
        <v>0</v>
      </c>
      <c r="J15" s="418">
        <v>0</v>
      </c>
      <c r="K15" s="418">
        <v>0</v>
      </c>
      <c r="L15" s="418">
        <v>0</v>
      </c>
      <c r="M15" s="418">
        <v>0</v>
      </c>
      <c r="N15" s="418">
        <v>0</v>
      </c>
      <c r="O15" s="21">
        <f>SUM(tabCustoUnit[[#This Row],[Salário Base]:[Adicional de Acúmulo de função]])</f>
        <v>1596.2737999999999</v>
      </c>
      <c r="P15" s="21">
        <f>tabCustoUnit[[#This Row],[MODULO 1 - REMUNERAÇÃO ]]*SUMIFS(tabParametros[INSS],tabParametros[Código do Posto],tabCustoUnit[[#This Row],[Código do Posto]])</f>
        <v>319.25476000000003</v>
      </c>
      <c r="Q15" s="21">
        <f>tabCustoUnit[[#This Row],[MODULO 1 - REMUNERAÇÃO ]]*SUMIFS(tabParametros[SESI OU SESC],tabParametros[Código do Posto],tabCustoUnit[[#This Row],[Código do Posto]])</f>
        <v>23.944106999999999</v>
      </c>
      <c r="R15" s="21">
        <f>tabCustoUnit[[#This Row],[MODULO 1 - REMUNERAÇÃO ]]*SUMIFS(tabParametros[SENAI OU SENAC],tabParametros[Código do Posto],tabCustoUnit[[#This Row],[Código do Posto]])</f>
        <v>15.962738</v>
      </c>
      <c r="S15" s="21">
        <f>tabCustoUnit[[#This Row],[MODULO 1 - REMUNERAÇÃO ]]*SUMIFS(tabParametros[INCRA],tabParametros[Código do Posto],tabCustoUnit[[#This Row],[Código do Posto]])</f>
        <v>3.1925476000000002</v>
      </c>
      <c r="T15" s="21">
        <f>tabCustoUnit[[#This Row],[MODULO 1 - REMUNERAÇÃO ]]*SUMIFS(tabParametros[Salário Educação],tabParametros[Código do Posto],tabCustoUnit[[#This Row],[Código do Posto]])</f>
        <v>39.906845000000004</v>
      </c>
      <c r="U15" s="21">
        <f>tabCustoUnit[[#This Row],[MODULO 1 - REMUNERAÇÃO ]]*SUMIFS(tabParametros[FGTS],tabParametros[Código do Posto],tabCustoUnit[[#This Row],[Código do Posto]])</f>
        <v>127.701904</v>
      </c>
      <c r="V15" s="21">
        <f>tabCustoUnit[[#This Row],[MODULO 1 - REMUNERAÇÃO ]]*SUMIFS(tabParametros[RAT Ajustado],tabParametros[Código do Posto],tabCustoUnit[[#This Row],[Código do Posto]])</f>
        <v>63.850951999999999</v>
      </c>
      <c r="W15" s="21">
        <f>tabCustoUnit[[#This Row],[MODULO 1 - REMUNERAÇÃO ]]*SUMIFS(tabParametros[SEBRAE],tabParametros[Código do Posto],tabCustoUnit[[#This Row],[Código do Posto]])</f>
        <v>9.5776427999999996</v>
      </c>
      <c r="X15" s="21">
        <f>SUM(tabCustoUnit[[#This Row],[INSS]:[SEBRAE]])</f>
        <v>603.39149640000005</v>
      </c>
      <c r="Y15" s="21">
        <f>tabCustoUnit[[#This Row],[MODULO 1 - REMUNERAÇÃO ]]*SUMIFS(tabParametros[13º salário (titular)],tabParametros[Código do Posto],tabCustoUnit[[#This Row],[Código do Posto]])</f>
        <v>133.02281666666664</v>
      </c>
      <c r="Z15" s="21">
        <f>tabCustoUnit[[#This Row],[MODULO 1 - REMUNERAÇÃO ]]*SUMIFS(tabParametros[Férias e Adicional de Férias (titular)],tabParametros[Código do Posto],tabCustoUnit[[#This Row],[Código do Posto]])</f>
        <v>177.36375555555554</v>
      </c>
      <c r="AA15" s="21">
        <f>IFERROR((tabCustoUnit[[#This Row],[Submódulo 2.1]]/tabCustoUnit[[#This Row],[MODULO 1 - REMUNERAÇÃO ]])*SUM(tabCustoUnit[[#This Row],[13º salário (titular)]:[Férias e Adicional de Férias (titular)]]),0)</f>
        <v>117.3261243</v>
      </c>
      <c r="AB15" s="21">
        <f>SUM(tabCustoUnit[[#This Row],[13º salário (titular)]:[Incidência do Submódulo 2.1 sobre 13º Salário, Férias e Adicional de Férias]])</f>
        <v>427.71269652222219</v>
      </c>
      <c r="AC15" s="22" t="e">
        <f ca="1">_xlfn.LET(_xlpm.VT,SUMIF(tabParametros[Código do Posto],tabCustoUnit[[#This Row],[Código do Posto]],tabParametros[Vale - Transporte])*2*20,
IF((_xlpm.VT-tabCustoUnit[[#This Row],[Salário Base]]*0.06)&gt;=0,(_xlpm.VT-tabCustoUnit[[#This Row],[Salário Base]]*0.06),0)
)</f>
        <v>#NAME?</v>
      </c>
      <c r="AD15" s="22">
        <f>IF(SUMIF(tabParametros[Código do Posto],tabCustoUnit[[#This Row],[Código do Posto]],tabParametros[Vale - Alimentação])&lt;=0,0,
SUMIF(tabParametros[Código do Posto],tabCustoUnit[[#This Row],[Código do Posto]],tabParametros[Vale - Alimentação])*20-1)</f>
        <v>0</v>
      </c>
      <c r="AE15" s="22">
        <f>SUMIF(tabParametros[Código do Posto],tabCustoUnit[[#This Row],[Código do Posto]],tabParametros[Cesta Básica])</f>
        <v>387.79</v>
      </c>
      <c r="AF15" s="22">
        <f>SUMIF(tabParametros[Código do Posto],tabCustoUnit[[#This Row],[Código do Posto]],tabParametros[PAF])</f>
        <v>42.97</v>
      </c>
      <c r="AG15" s="22">
        <f>SUMIF(tabParametros[Código do Posto],tabCustoUnit[[#This Row],[Código do Posto]],tabParametros[PQM])</f>
        <v>0</v>
      </c>
      <c r="AH15" s="22">
        <f>SUMIF(tabParametros[Código do Posto],tabCustoUnit[[#This Row],[Código do Posto]],tabParametros[Abono Único e Especial])</f>
        <v>0</v>
      </c>
      <c r="AI15" s="22">
        <f>SUMIF(tabParametros[Código do Posto],tabCustoUnit[[#This Row],[Código do Posto]],tabParametros[Seguro de Vida])</f>
        <v>3.36</v>
      </c>
      <c r="AJ15" s="22">
        <f>SUMIF(tabParametros[Código do Posto],tabCustoUnit[[#This Row],[Código do Posto]],tabParametros[Despesas de Viagem])</f>
        <v>0</v>
      </c>
      <c r="AK15" s="22" t="e">
        <f ca="1">SUM(tabCustoUnit[[#This Row],[Vale - Transporte (Descontada parcela do empregado)]:[Despesas de Viagem]])</f>
        <v>#NAME?</v>
      </c>
      <c r="AL15" s="22" t="e">
        <f ca="1">tabCustoUnit[[#This Row],[Submódulo 2.1]]+tabCustoUnit[[#This Row],[Submódulo 2.2]]+tabCustoUnit[[#This Row],[Submódulo 2.3]]</f>
        <v>#NAME?</v>
      </c>
      <c r="AM15" s="22">
        <f>SUMIF(tabParametros[Código do Posto],tabCustoUnit[[#This Row],[Código do Posto]],tabParametros[Aviso Prévio Indenizado (API) e Reflexo do Aviso Prévio Indenizado])*tabCustoUnit[[#This Row],[MODULO 1 - REMUNERAÇÃO ]]</f>
        <v>11.192699914390431</v>
      </c>
      <c r="AN15" s="22">
        <f>SUMIF(tabParametros[Código do Posto],tabCustoUnit[[#This Row],[Código do Posto]],tabParametros[Incidência do FGTS sobre API e Reflexo do API])*tabCustoUnit[[#This Row],[MODULO 1 - REMUNERAÇÃO ]]</f>
        <v>0.89541599315123466</v>
      </c>
      <c r="AO15" s="22">
        <f>SUMIF(tabParametros[Código do Posto],tabCustoUnit[[#This Row],[Código do Posto]],tabParametros[Multa Rescisória do FGTS sobre o Aviso Prévio Indenizado])*tabCustoUnit[[#This Row],[MODULO 1 - REMUNERAÇÃO ]]</f>
        <v>0.35816639726049387</v>
      </c>
      <c r="AP15" s="22">
        <f>SUMIF(tabParametros[Código do Posto],tabCustoUnit[[#This Row],[Código do Posto]],tabParametros[Aviso Prévio Trabalhado - APT])*tabCustoUnit[[#This Row],[MODULO 1 - REMUNERAÇÃO ]]</f>
        <v>5.5869583000000009</v>
      </c>
      <c r="AQ15" s="22">
        <f>SUMIF(tabParametros[Código do Posto],tabCustoUnit[[#This Row],[Código do Posto]],tabParametros[Incidência dos encargos do submódulo 2.1 sobre Aviso Prévio Trabalhado])*tabCustoUnit[[#This Row],[MODULO 1 - REMUNERAÇÃO ]]</f>
        <v>2.1118702374000007</v>
      </c>
      <c r="AR15" s="22">
        <f>SUMIF(tabParametros[Código do Posto],tabCustoUnit[[#This Row],[Código do Posto]],tabParametros[Multa Rescisória do FGTS])*tabCustoUnit[[#This Row],[MODULO 1 - REMUNERAÇÃO ]]</f>
        <v>48.810505528888882</v>
      </c>
      <c r="AS15" s="22">
        <f>SUMIF(tabParametros[Código do Posto],tabCustoUnit[[#This Row],[Código do Posto]],tabParametros[Indenização Adicional (Art. 9º da Lei nº 7.238/84)])*tabCustoUnit[[#This Row],[MODULO 1 - REMUNERAÇÃO ]]</f>
        <v>1.3302281666666667</v>
      </c>
      <c r="AT15" s="22">
        <f>SUM(tabCustoUnit[[#This Row],[Aviso Prévio Indenizado (API) e Reflexo do Aviso Prévio Indenizado]:[Indenização Adicional (Art. 9º da Lei nº 7.238/84)]])</f>
        <v>70.285844537757711</v>
      </c>
      <c r="AU15" s="22">
        <f>SUMIF(tabParametros[Código do Posto],tabCustoUnit[[#This Row],[Código do Posto]],tabParametros[Ausência por Doença])*tabCustoUnit[[#This Row],[MODULO 1 - REMUNERAÇÃO ]]</f>
        <v>13.479645422222221</v>
      </c>
      <c r="AV15" s="22">
        <f>SUMIF(tabParametros[Código do Posto],tabCustoUnit[[#This Row],[Código do Posto]],tabParametros[Ausências Legais])*tabCustoUnit[[#This Row],[MODULO 1 - REMUNERAÇÃO ]]</f>
        <v>3.2368885388888886</v>
      </c>
      <c r="AW15" s="22">
        <f>SUMIF(tabParametros[Código do Posto],tabCustoUnit[[#This Row],[Código do Posto]],tabParametros[Licença Paternidade])*tabCustoUnit[[#This Row],[MODULO 1 - REMUNERAÇÃO ]]</f>
        <v>0.27269677416666666</v>
      </c>
      <c r="AX15" s="22">
        <f>SUMIF(tabParametros[Código do Posto],tabCustoUnit[[#This Row],[Código do Posto]],tabParametros[Ausência por Acidente de Trabalho])*tabCustoUnit[[#This Row],[MODULO 1 - REMUNERAÇÃO ]]</f>
        <v>0.33255704166666666</v>
      </c>
      <c r="AY15" s="22">
        <f>SUMIF(tabParametros[Código do Posto],tabCustoUnit[[#This Row],[Código do Posto]],tabParametros[Férias, Adicional de Férias e 13º  com empregada em gozo de Licença Maternidade])*tabCustoUnit[[#This Row],[MODULO 1 - REMUNERAÇÃO ]]</f>
        <v>2.0692438148148145</v>
      </c>
      <c r="AZ15" s="22">
        <f>SUMIF(tabParametros[Código do Posto],tabCustoUnit[[#This Row],[Código do Posto]],tabParametros[Incidência do Submódulo 2.1 sobre Ausências Legais])*tabCustoUnit[[#This Row],[MODULO 1 - REMUNERAÇÃO ]]</f>
        <v>7.3298099416850011</v>
      </c>
      <c r="BA15" s="22">
        <f>SUM(tabCustoUnit[[#This Row],[Ausência por Doença]:[Incidência do Submódulo 2.1 sobre Ausências Legais]])</f>
        <v>26.720841533444265</v>
      </c>
      <c r="BB15" s="22">
        <f>SUMIF(tabParametros[Código do Posto],tabCustoUnit[[#This Row],[Código do Posto]],tabParametros[Intervalo para Repouso ou Alimentação])</f>
        <v>0</v>
      </c>
      <c r="BC15" s="22">
        <f>tabCustoUnit[[#This Row],[Intervalo para Repouso ou Alimentação]]</f>
        <v>0</v>
      </c>
      <c r="BD1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 s="22">
        <f>tabCustoUnit[[#This Row],[Suspensão Temporária do Contrato de Trabalho]]</f>
        <v>0</v>
      </c>
      <c r="BF15" s="22">
        <f>tabCustoUnit[[#This Row],[Submódulo 4.1]]+tabCustoUnit[[#This Row],[Submódulo 4.2]]+tabCustoUnit[[#This Row],[Submódulo 4.3]]</f>
        <v>26.720841533444265</v>
      </c>
      <c r="BG15" s="22">
        <f>VLOOKUP(tabCustoUnit[[#This Row],[Código do Posto]],tabParametros[],MATCH(tabCustoUnit[[#Headers],[Uniformes e EPIs]],tabParametros[#Headers],0),0)</f>
        <v>56.141713661989918</v>
      </c>
      <c r="BH15" s="22">
        <f>VLOOKUP(tabCustoUnit[[#This Row],[Código do Posto]],tabParametros[],MATCH(tabCustoUnit[[#Headers],[Materiais de Consumo]],tabParametros[#Headers],0),0)</f>
        <v>0</v>
      </c>
      <c r="BI15" s="22">
        <f>VLOOKUP(tabCustoUnit[[#This Row],[Código do Posto]],tabParametros[],MATCH(tabCustoUnit[[#Headers],[Máquinas e Equipamentos (depreciação)]],tabParametros[#Headers],0),0)</f>
        <v>0</v>
      </c>
      <c r="BJ15" s="22">
        <f>VLOOKUP(tabCustoUnit[[#This Row],[Código do Posto]],tabParametros[],MATCH(tabCustoUnit[[#Headers],[Produtos de Limpeza e Materiais de Higiene Pessoal]],tabParametros[#Headers],0),0)</f>
        <v>0</v>
      </c>
      <c r="BK15" s="22">
        <f>VLOOKUP(tabCustoUnit[[#This Row],[Código do Posto]],tabParametros[],MATCH(tabCustoUnit[[#Headers],[Outros (especificar)]],tabParametros[#Headers],0),0)</f>
        <v>0</v>
      </c>
      <c r="BL15" s="22">
        <f>SUM(tabCustoUnit[[#This Row],[Uniformes e EPIs]:[Outros (especificar)]])</f>
        <v>56.141713661989918</v>
      </c>
      <c r="BM1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 s="22" t="e">
        <f ca="1">VLOOKUP(tabCustoUnit[[#This Row],[Código do Posto]],tabParametros[],MATCH(tabCustoUnit[[#Headers],[Custos Indiretos]],tabParametros[#Headers],0),0)</f>
        <v>#NAME?</v>
      </c>
      <c r="BO15" s="22" t="e">
        <f ca="1">VLOOKUP(tabCustoUnit[[#This Row],[Código do Posto]],tabParametros[],MATCH(tabCustoUnit[[#Headers],[Lucro]],tabParametros[#Headers],0),0)</f>
        <v>#NAME?</v>
      </c>
      <c r="BP15" s="26">
        <f>((100/((1-tabCustoUnit[[#This Row],[Resumo de Alíquotas (PIS+CONFINS+ISS)]]))-100)*VLOOKUP(tabCustoUnit[[#This Row],[Código do Posto]],tabParametros[],MATCH(tabCustoUnit[[#Headers],[COFINS]],tabParametros[#Headers],0),0))/(tabCustoUnit[[#This Row],[Resumo de Alíquotas (PIS+CONFINS+ISS)]]*100)</f>
        <v>8.6609686609686695E-2</v>
      </c>
      <c r="BQ15" s="26">
        <f>((100/((100-(tabCustoUnit[[#This Row],[Resumo de Alíquotas (PIS+CONFINS+ISS)]]*100))%)-100)*VLOOKUP(tabCustoUnit[[#This Row],[Código do Posto]],tabParametros[],MATCH(tabCustoUnit[[#Headers],[PIS]],tabParametros[#Headers],0),0))/(tabCustoUnit[[#This Row],[Resumo de Alíquotas (PIS+CONFINS+ISS)]]*100)</f>
        <v>1.880341880341882E-2</v>
      </c>
      <c r="BR15" s="28">
        <f>VLOOKUP(tabCustoUnit[[#This Row],[Código do Posto]],tabParametros[],MATCH(tabCustoUnit[[#Headers],[ISS]],tabParametros[#Headers],0),0)</f>
        <v>0.03</v>
      </c>
      <c r="BS15" s="26">
        <f>(((100/((100-(tabCustoUnit[[#This Row],[Resumo de Alíquotas (PIS+CONFINS+ISS)]]*100))%)-100)*tabCustoUnit[[#This Row],[ISS]])/tabCustoUnit[[#This Row],[Resumo de Alíquotas (PIS+CONFINS+ISS)]])/100</f>
        <v>3.4188034188034219E-2</v>
      </c>
      <c r="BT1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5" s="138">
        <f>tabCustoUnit[[#This Row],[COFINS]]+tabCustoUnit[[#This Row],[PIS]]+tabCustoUnit[[#This Row],[ISS (Conversão Alíquota s/ fatura)]]</f>
        <v>0.13960113960113973</v>
      </c>
      <c r="BV15" s="22" t="e">
        <f ca="1">(tabCustoUnit[[#This Row],[TOTAL MÓDULOS 1+2+3+4+5]]+tabCustoUnit[[#This Row],[Custos Indiretos]]+tabCustoUnit[[#This Row],[Lucro]])*tabCustoUnit[[#This Row],[PIS + COFINS + ISS (Total Conversão  Alíquota s/ Fatura)]]</f>
        <v>#NAME?</v>
      </c>
      <c r="BW15" s="22" t="e">
        <f ca="1">tabCustoUnit[[#This Row],[Custos Indiretos]]+tabCustoUnit[[#This Row],[Lucro]]+tabCustoUnit[[#This Row],[Valor dos Tributos (ISS, PIS, CONFINS)]]</f>
        <v>#NAME?</v>
      </c>
      <c r="BX15" s="22" t="e">
        <f ca="1">tabCustoUnit[[#This Row],[TOTAL MÓDULOS 1+2+3+4+5]]+tabCustoUnit[[#This Row],[MÓDULO 6 – CUSTOS INDIRETOS, TRIBUTOS E LUCRO]]</f>
        <v>#NAME?</v>
      </c>
      <c r="BY15" s="22" t="e">
        <f ca="1">tabCustoUnit[[#This Row],[CUSTO TOTAL MENSAL]]*12</f>
        <v>#NAME?</v>
      </c>
      <c r="BZ15" s="24">
        <f>VLOOKUP(tabCustoUnit[[#This Row],[Código do Posto]],tabParametros[],MATCH(tabCustoUnit[[#Headers],[ANO DA CCT]],tabParametros[#Headers],0),0)</f>
        <v>45658</v>
      </c>
      <c r="CA15" s="25" t="str">
        <f>VLOOKUP(tabCustoUnit[[#This Row],[Código do Posto]],tabParametros[],MATCH(tabCustoUnit[[#Headers],[Nº DE PEDIDO DA CCT]],tabParametros[#Headers],0),0)</f>
        <v>-</v>
      </c>
      <c r="CB15" s="25" t="str">
        <f>VLOOKUP(tabCustoUnit[[#This Row],[Código do Posto]],tabParametros[],MATCH(tabCustoUnit[[#Headers],[TERMO ADITIVO ALTERAÇÃO DA CCT]],tabParametros[#Headers],0),0)</f>
        <v>-</v>
      </c>
    </row>
    <row r="16" spans="1:80">
      <c r="A16" s="20" t="s">
        <v>1538</v>
      </c>
      <c r="B16" t="s">
        <v>1098</v>
      </c>
      <c r="C16" t="s">
        <v>324</v>
      </c>
      <c r="D16" t="s">
        <v>899</v>
      </c>
      <c r="E16" s="20" t="s">
        <v>1090</v>
      </c>
      <c r="F16" s="20" t="s">
        <v>120</v>
      </c>
      <c r="G16" s="418">
        <v>3397.1305000000002</v>
      </c>
      <c r="H16" s="418">
        <v>0</v>
      </c>
      <c r="I16" s="418">
        <v>0</v>
      </c>
      <c r="J16" s="418">
        <v>0</v>
      </c>
      <c r="K16" s="418">
        <v>0</v>
      </c>
      <c r="L16" s="418">
        <v>0</v>
      </c>
      <c r="M16" s="418">
        <v>0</v>
      </c>
      <c r="N16" s="418">
        <v>0</v>
      </c>
      <c r="O16" s="21">
        <f>SUM(tabCustoUnit[[#This Row],[Salário Base]:[Adicional de Acúmulo de função]])</f>
        <v>3397.1305000000002</v>
      </c>
      <c r="P16" s="21">
        <f>tabCustoUnit[[#This Row],[MODULO 1 - REMUNERAÇÃO ]]*SUMIFS(tabParametros[INSS],tabParametros[Código do Posto],tabCustoUnit[[#This Row],[Código do Posto]])</f>
        <v>679.42610000000013</v>
      </c>
      <c r="Q16" s="21">
        <f>tabCustoUnit[[#This Row],[MODULO 1 - REMUNERAÇÃO ]]*SUMIFS(tabParametros[SESI OU SESC],tabParametros[Código do Posto],tabCustoUnit[[#This Row],[Código do Posto]])</f>
        <v>50.956957500000001</v>
      </c>
      <c r="R16" s="21">
        <f>tabCustoUnit[[#This Row],[MODULO 1 - REMUNERAÇÃO ]]*SUMIFS(tabParametros[SENAI OU SENAC],tabParametros[Código do Posto],tabCustoUnit[[#This Row],[Código do Posto]])</f>
        <v>33.971305000000001</v>
      </c>
      <c r="S16" s="21">
        <f>tabCustoUnit[[#This Row],[MODULO 1 - REMUNERAÇÃO ]]*SUMIFS(tabParametros[INCRA],tabParametros[Código do Posto],tabCustoUnit[[#This Row],[Código do Posto]])</f>
        <v>6.7942610000000005</v>
      </c>
      <c r="T16" s="21">
        <f>tabCustoUnit[[#This Row],[MODULO 1 - REMUNERAÇÃO ]]*SUMIFS(tabParametros[Salário Educação],tabParametros[Código do Posto],tabCustoUnit[[#This Row],[Código do Posto]])</f>
        <v>84.928262500000017</v>
      </c>
      <c r="U16" s="21">
        <f>tabCustoUnit[[#This Row],[MODULO 1 - REMUNERAÇÃO ]]*SUMIFS(tabParametros[FGTS],tabParametros[Código do Posto],tabCustoUnit[[#This Row],[Código do Posto]])</f>
        <v>271.77044000000001</v>
      </c>
      <c r="V16" s="21">
        <f>tabCustoUnit[[#This Row],[MODULO 1 - REMUNERAÇÃO ]]*SUMIFS(tabParametros[RAT Ajustado],tabParametros[Código do Posto],tabCustoUnit[[#This Row],[Código do Posto]])</f>
        <v>135.88522</v>
      </c>
      <c r="W16" s="21">
        <f>tabCustoUnit[[#This Row],[MODULO 1 - REMUNERAÇÃO ]]*SUMIFS(tabParametros[SEBRAE],tabParametros[Código do Posto],tabCustoUnit[[#This Row],[Código do Posto]])</f>
        <v>20.382783000000003</v>
      </c>
      <c r="X16" s="21">
        <f>SUM(tabCustoUnit[[#This Row],[INSS]:[SEBRAE]])</f>
        <v>1284.1153290000002</v>
      </c>
      <c r="Y16" s="21">
        <f>tabCustoUnit[[#This Row],[MODULO 1 - REMUNERAÇÃO ]]*SUMIFS(tabParametros[13º salário (titular)],tabParametros[Código do Posto],tabCustoUnit[[#This Row],[Código do Posto]])</f>
        <v>283.09420833333331</v>
      </c>
      <c r="Z16" s="21">
        <f>tabCustoUnit[[#This Row],[MODULO 1 - REMUNERAÇÃO ]]*SUMIFS(tabParametros[Férias e Adicional de Férias (titular)],tabParametros[Código do Posto],tabCustoUnit[[#This Row],[Código do Posto]])</f>
        <v>377.45894444444446</v>
      </c>
      <c r="AA16" s="21">
        <f>IFERROR((tabCustoUnit[[#This Row],[Submódulo 2.1]]/tabCustoUnit[[#This Row],[MODULO 1 - REMUNERAÇÃO ]])*SUM(tabCustoUnit[[#This Row],[13º salário (titular)]:[Férias e Adicional de Férias (titular)]]),0)</f>
        <v>249.68909175000005</v>
      </c>
      <c r="AB16" s="21">
        <f>SUM(tabCustoUnit[[#This Row],[13º salário (titular)]:[Incidência do Submódulo 2.1 sobre 13º Salário, Férias e Adicional de Férias]])</f>
        <v>910.24224452777776</v>
      </c>
      <c r="AC16" s="22" t="e">
        <f ca="1">_xlfn.LET(_xlpm.VT,SUMIF(tabParametros[Código do Posto],tabCustoUnit[[#This Row],[Código do Posto]],tabParametros[Vale - Transporte])*2*20,
IF((_xlpm.VT-tabCustoUnit[[#This Row],[Salário Base]]*0.06)&gt;=0,(_xlpm.VT-tabCustoUnit[[#This Row],[Salário Base]]*0.06),0)
)</f>
        <v>#NAME?</v>
      </c>
      <c r="AD16" s="22">
        <f>IF(SUMIF(tabParametros[Código do Posto],tabCustoUnit[[#This Row],[Código do Posto]],tabParametros[Vale - Alimentação])&lt;=0,0,
SUMIF(tabParametros[Código do Posto],tabCustoUnit[[#This Row],[Código do Posto]],tabParametros[Vale - Alimentação])*20-1)</f>
        <v>0</v>
      </c>
      <c r="AE16" s="22">
        <f>SUMIF(tabParametros[Código do Posto],tabCustoUnit[[#This Row],[Código do Posto]],tabParametros[Cesta Básica])</f>
        <v>387.79</v>
      </c>
      <c r="AF16" s="22">
        <f>SUMIF(tabParametros[Código do Posto],tabCustoUnit[[#This Row],[Código do Posto]],tabParametros[PAF])</f>
        <v>42.97</v>
      </c>
      <c r="AG16" s="22">
        <f>SUMIF(tabParametros[Código do Posto],tabCustoUnit[[#This Row],[Código do Posto]],tabParametros[PQM])</f>
        <v>0</v>
      </c>
      <c r="AH16" s="22">
        <f>SUMIF(tabParametros[Código do Posto],tabCustoUnit[[#This Row],[Código do Posto]],tabParametros[Abono Único e Especial])</f>
        <v>0</v>
      </c>
      <c r="AI16" s="22">
        <f>SUMIF(tabParametros[Código do Posto],tabCustoUnit[[#This Row],[Código do Posto]],tabParametros[Seguro de Vida])</f>
        <v>3.36</v>
      </c>
      <c r="AJ16" s="22">
        <f>SUMIF(tabParametros[Código do Posto],tabCustoUnit[[#This Row],[Código do Posto]],tabParametros[Despesas de Viagem])</f>
        <v>0</v>
      </c>
      <c r="AK16" s="22" t="e">
        <f ca="1">SUM(tabCustoUnit[[#This Row],[Vale - Transporte (Descontada parcela do empregado)]:[Despesas de Viagem]])</f>
        <v>#NAME?</v>
      </c>
      <c r="AL16" s="22" t="e">
        <f ca="1">tabCustoUnit[[#This Row],[Submódulo 2.1]]+tabCustoUnit[[#This Row],[Submódulo 2.2]]+tabCustoUnit[[#This Row],[Submódulo 2.3]]</f>
        <v>#NAME?</v>
      </c>
      <c r="AM16" s="22">
        <f>SUMIF(tabParametros[Código do Posto],tabCustoUnit[[#This Row],[Código do Posto]],tabParametros[Aviso Prévio Indenizado (API) e Reflexo do Aviso Prévio Indenizado])*tabCustoUnit[[#This Row],[MODULO 1 - REMUNERAÇÃO ]]</f>
        <v>23.819887450713736</v>
      </c>
      <c r="AN16" s="22">
        <f>SUMIF(tabParametros[Código do Posto],tabCustoUnit[[#This Row],[Código do Posto]],tabParametros[Incidência do FGTS sobre API e Reflexo do API])*tabCustoUnit[[#This Row],[MODULO 1 - REMUNERAÇÃO ]]</f>
        <v>1.9055909960570991</v>
      </c>
      <c r="AO16" s="22">
        <f>SUMIF(tabParametros[Código do Posto],tabCustoUnit[[#This Row],[Código do Posto]],tabParametros[Multa Rescisória do FGTS sobre o Aviso Prévio Indenizado])*tabCustoUnit[[#This Row],[MODULO 1 - REMUNERAÇÃO ]]</f>
        <v>0.76223639842283974</v>
      </c>
      <c r="AP16" s="22">
        <f>SUMIF(tabParametros[Código do Posto],tabCustoUnit[[#This Row],[Código do Posto]],tabParametros[Aviso Prévio Trabalhado - APT])*tabCustoUnit[[#This Row],[MODULO 1 - REMUNERAÇÃO ]]</f>
        <v>11.889956750000003</v>
      </c>
      <c r="AQ16" s="22">
        <f>SUMIF(tabParametros[Código do Posto],tabCustoUnit[[#This Row],[Código do Posto]],tabParametros[Incidência dos encargos do submódulo 2.1 sobre Aviso Prévio Trabalhado])*tabCustoUnit[[#This Row],[MODULO 1 - REMUNERAÇÃO ]]</f>
        <v>4.4944036515000017</v>
      </c>
      <c r="AR16" s="22">
        <f>SUMIF(tabParametros[Código do Posto],tabCustoUnit[[#This Row],[Código do Posto]],tabParametros[Multa Rescisória do FGTS])*tabCustoUnit[[#This Row],[MODULO 1 - REMUNERAÇÃO ]]</f>
        <v>103.87670151111111</v>
      </c>
      <c r="AS16" s="22">
        <f>SUMIF(tabParametros[Código do Posto],tabCustoUnit[[#This Row],[Código do Posto]],tabParametros[Indenização Adicional (Art. 9º da Lei nº 7.238/84)])*tabCustoUnit[[#This Row],[MODULO 1 - REMUNERAÇÃO ]]</f>
        <v>2.8309420833333339</v>
      </c>
      <c r="AT16" s="22">
        <f>SUM(tabCustoUnit[[#This Row],[Aviso Prévio Indenizado (API) e Reflexo do Aviso Prévio Indenizado]:[Indenização Adicional (Art. 9º da Lei nº 7.238/84)]])</f>
        <v>149.57971884113812</v>
      </c>
      <c r="AU16" s="22">
        <f>SUMIF(tabParametros[Código do Posto],tabCustoUnit[[#This Row],[Código do Posto]],tabParametros[Ausência por Doença])*tabCustoUnit[[#This Row],[MODULO 1 - REMUNERAÇÃO ]]</f>
        <v>28.686879777777776</v>
      </c>
      <c r="AV16" s="22">
        <f>SUMIF(tabParametros[Código do Posto],tabCustoUnit[[#This Row],[Código do Posto]],tabParametros[Ausências Legais])*tabCustoUnit[[#This Row],[MODULO 1 - REMUNERAÇÃO ]]</f>
        <v>6.888625736111111</v>
      </c>
      <c r="AW16" s="22">
        <f>SUMIF(tabParametros[Código do Posto],tabCustoUnit[[#This Row],[Código do Posto]],tabParametros[Licença Paternidade])*tabCustoUnit[[#This Row],[MODULO 1 - REMUNERAÇÃO ]]</f>
        <v>0.58034312708333335</v>
      </c>
      <c r="AX16" s="22">
        <f>SUMIF(tabParametros[Código do Posto],tabCustoUnit[[#This Row],[Código do Posto]],tabParametros[Ausência por Acidente de Trabalho])*tabCustoUnit[[#This Row],[MODULO 1 - REMUNERAÇÃO ]]</f>
        <v>0.70773552083333346</v>
      </c>
      <c r="AY16" s="22">
        <f>SUMIF(tabParametros[Código do Posto],tabCustoUnit[[#This Row],[Código do Posto]],tabParametros[Férias, Adicional de Férias e 13º  com empregada em gozo de Licença Maternidade])*tabCustoUnit[[#This Row],[MODULO 1 - REMUNERAÇÃO ]]</f>
        <v>4.4036876851851856</v>
      </c>
      <c r="AZ16" s="22">
        <f>SUMIF(tabParametros[Código do Posto],tabCustoUnit[[#This Row],[Código do Posto]],tabParametros[Incidência do Submódulo 2.1 sobre Ausências Legais])*tabCustoUnit[[#This Row],[MODULO 1 - REMUNERAÇÃO ]]</f>
        <v>15.599028758162504</v>
      </c>
      <c r="BA16" s="22">
        <f>SUM(tabCustoUnit[[#This Row],[Ausência por Doença]:[Incidência do Submódulo 2.1 sobre Ausências Legais]])</f>
        <v>56.866300605153235</v>
      </c>
      <c r="BB16" s="22">
        <f>SUMIF(tabParametros[Código do Posto],tabCustoUnit[[#This Row],[Código do Posto]],tabParametros[Intervalo para Repouso ou Alimentação])</f>
        <v>0</v>
      </c>
      <c r="BC16" s="22">
        <f>tabCustoUnit[[#This Row],[Intervalo para Repouso ou Alimentação]]</f>
        <v>0</v>
      </c>
      <c r="BD1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 s="22">
        <f>tabCustoUnit[[#This Row],[Suspensão Temporária do Contrato de Trabalho]]</f>
        <v>0</v>
      </c>
      <c r="BF16" s="22">
        <f>tabCustoUnit[[#This Row],[Submódulo 4.1]]+tabCustoUnit[[#This Row],[Submódulo 4.2]]+tabCustoUnit[[#This Row],[Submódulo 4.3]]</f>
        <v>56.866300605153235</v>
      </c>
      <c r="BG16" s="22">
        <f>VLOOKUP(tabCustoUnit[[#This Row],[Código do Posto]],tabParametros[],MATCH(tabCustoUnit[[#Headers],[Uniformes e EPIs]],tabParametros[#Headers],0),0)</f>
        <v>56.642978962543395</v>
      </c>
      <c r="BH16" s="22">
        <f>VLOOKUP(tabCustoUnit[[#This Row],[Código do Posto]],tabParametros[],MATCH(tabCustoUnit[[#Headers],[Materiais de Consumo]],tabParametros[#Headers],0),0)</f>
        <v>0</v>
      </c>
      <c r="BI16" s="22">
        <f>VLOOKUP(tabCustoUnit[[#This Row],[Código do Posto]],tabParametros[],MATCH(tabCustoUnit[[#Headers],[Máquinas e Equipamentos (depreciação)]],tabParametros[#Headers],0),0)</f>
        <v>0</v>
      </c>
      <c r="BJ16" s="22">
        <f>VLOOKUP(tabCustoUnit[[#This Row],[Código do Posto]],tabParametros[],MATCH(tabCustoUnit[[#Headers],[Produtos de Limpeza e Materiais de Higiene Pessoal]],tabParametros[#Headers],0),0)</f>
        <v>0</v>
      </c>
      <c r="BK16" s="22">
        <f>VLOOKUP(tabCustoUnit[[#This Row],[Código do Posto]],tabParametros[],MATCH(tabCustoUnit[[#Headers],[Outros (especificar)]],tabParametros[#Headers],0),0)</f>
        <v>0</v>
      </c>
      <c r="BL16" s="22">
        <f>SUM(tabCustoUnit[[#This Row],[Uniformes e EPIs]:[Outros (especificar)]])</f>
        <v>56.642978962543395</v>
      </c>
      <c r="BM1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 s="22" t="e">
        <f ca="1">VLOOKUP(tabCustoUnit[[#This Row],[Código do Posto]],tabParametros[],MATCH(tabCustoUnit[[#Headers],[Custos Indiretos]],tabParametros[#Headers],0),0)</f>
        <v>#NAME?</v>
      </c>
      <c r="BO16" s="22" t="e">
        <f ca="1">VLOOKUP(tabCustoUnit[[#This Row],[Código do Posto]],tabParametros[],MATCH(tabCustoUnit[[#Headers],[Lucro]],tabParametros[#Headers],0),0)</f>
        <v>#NAME?</v>
      </c>
      <c r="BP16" s="26">
        <f>((100/((1-tabCustoUnit[[#This Row],[Resumo de Alíquotas (PIS+CONFINS+ISS)]]))-100)*VLOOKUP(tabCustoUnit[[#This Row],[Código do Posto]],tabParametros[],MATCH(tabCustoUnit[[#Headers],[COFINS]],tabParametros[#Headers],0),0))/(tabCustoUnit[[#This Row],[Resumo de Alíquotas (PIS+CONFINS+ISS)]]*100)</f>
        <v>8.6609686609686695E-2</v>
      </c>
      <c r="BQ16" s="26">
        <f>((100/((100-(tabCustoUnit[[#This Row],[Resumo de Alíquotas (PIS+CONFINS+ISS)]]*100))%)-100)*VLOOKUP(tabCustoUnit[[#This Row],[Código do Posto]],tabParametros[],MATCH(tabCustoUnit[[#Headers],[PIS]],tabParametros[#Headers],0),0))/(tabCustoUnit[[#This Row],[Resumo de Alíquotas (PIS+CONFINS+ISS)]]*100)</f>
        <v>1.880341880341882E-2</v>
      </c>
      <c r="BR16" s="28">
        <f>VLOOKUP(tabCustoUnit[[#This Row],[Código do Posto]],tabParametros[],MATCH(tabCustoUnit[[#Headers],[ISS]],tabParametros[#Headers],0),0)</f>
        <v>0.03</v>
      </c>
      <c r="BS16" s="26">
        <f>(((100/((100-(tabCustoUnit[[#This Row],[Resumo de Alíquotas (PIS+CONFINS+ISS)]]*100))%)-100)*tabCustoUnit[[#This Row],[ISS]])/tabCustoUnit[[#This Row],[Resumo de Alíquotas (PIS+CONFINS+ISS)]])/100</f>
        <v>3.4188034188034219E-2</v>
      </c>
      <c r="BT1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 s="138">
        <f>tabCustoUnit[[#This Row],[COFINS]]+tabCustoUnit[[#This Row],[PIS]]+tabCustoUnit[[#This Row],[ISS (Conversão Alíquota s/ fatura)]]</f>
        <v>0.13960113960113973</v>
      </c>
      <c r="BV16" s="22" t="e">
        <f ca="1">(tabCustoUnit[[#This Row],[TOTAL MÓDULOS 1+2+3+4+5]]+tabCustoUnit[[#This Row],[Custos Indiretos]]+tabCustoUnit[[#This Row],[Lucro]])*tabCustoUnit[[#This Row],[PIS + COFINS + ISS (Total Conversão  Alíquota s/ Fatura)]]</f>
        <v>#NAME?</v>
      </c>
      <c r="BW16" s="22" t="e">
        <f ca="1">tabCustoUnit[[#This Row],[Custos Indiretos]]+tabCustoUnit[[#This Row],[Lucro]]+tabCustoUnit[[#This Row],[Valor dos Tributos (ISS, PIS, CONFINS)]]</f>
        <v>#NAME?</v>
      </c>
      <c r="BX16" s="22" t="e">
        <f ca="1">tabCustoUnit[[#This Row],[TOTAL MÓDULOS 1+2+3+4+5]]+tabCustoUnit[[#This Row],[MÓDULO 6 – CUSTOS INDIRETOS, TRIBUTOS E LUCRO]]</f>
        <v>#NAME?</v>
      </c>
      <c r="BY16" s="22" t="e">
        <f ca="1">tabCustoUnit[[#This Row],[CUSTO TOTAL MENSAL]]*12</f>
        <v>#NAME?</v>
      </c>
      <c r="BZ16" s="24">
        <f>VLOOKUP(tabCustoUnit[[#This Row],[Código do Posto]],tabParametros[],MATCH(tabCustoUnit[[#Headers],[ANO DA CCT]],tabParametros[#Headers],0),0)</f>
        <v>45658</v>
      </c>
      <c r="CA16" s="25" t="str">
        <f>VLOOKUP(tabCustoUnit[[#This Row],[Código do Posto]],tabParametros[],MATCH(tabCustoUnit[[#Headers],[Nº DE PEDIDO DA CCT]],tabParametros[#Headers],0),0)</f>
        <v>-</v>
      </c>
      <c r="CB16" s="25" t="str">
        <f>VLOOKUP(tabCustoUnit[[#This Row],[Código do Posto]],tabParametros[],MATCH(tabCustoUnit[[#Headers],[TERMO ADITIVO ALTERAÇÃO DA CCT]],tabParametros[#Headers],0),0)</f>
        <v>-</v>
      </c>
    </row>
    <row r="17" spans="1:80">
      <c r="A17" s="20" t="s">
        <v>1539</v>
      </c>
      <c r="B17" t="s">
        <v>902</v>
      </c>
      <c r="C17" t="s">
        <v>274</v>
      </c>
      <c r="D17" t="s">
        <v>972</v>
      </c>
      <c r="E17" s="20" t="s">
        <v>1090</v>
      </c>
      <c r="F17" s="20" t="s">
        <v>120</v>
      </c>
      <c r="G17" s="418">
        <v>4380.5699000000004</v>
      </c>
      <c r="H17" s="418">
        <v>0</v>
      </c>
      <c r="I17" s="418">
        <v>0</v>
      </c>
      <c r="J17" s="418">
        <v>0</v>
      </c>
      <c r="K17" s="418">
        <v>0</v>
      </c>
      <c r="L17" s="418">
        <v>0</v>
      </c>
      <c r="M17" s="418">
        <v>0</v>
      </c>
      <c r="N17" s="418">
        <v>0</v>
      </c>
      <c r="O17" s="21">
        <f>SUM(tabCustoUnit[[#This Row],[Salário Base]:[Adicional de Acúmulo de função]])</f>
        <v>4380.5699000000004</v>
      </c>
      <c r="P17" s="21">
        <f>tabCustoUnit[[#This Row],[MODULO 1 - REMUNERAÇÃO ]]*SUMIFS(tabParametros[INSS],tabParametros[Código do Posto],tabCustoUnit[[#This Row],[Código do Posto]])</f>
        <v>876.11398000000008</v>
      </c>
      <c r="Q17" s="21">
        <f>tabCustoUnit[[#This Row],[MODULO 1 - REMUNERAÇÃO ]]*SUMIFS(tabParametros[SESI OU SESC],tabParametros[Código do Posto],tabCustoUnit[[#This Row],[Código do Posto]])</f>
        <v>65.708548500000006</v>
      </c>
      <c r="R17" s="21">
        <f>tabCustoUnit[[#This Row],[MODULO 1 - REMUNERAÇÃO ]]*SUMIFS(tabParametros[SENAI OU SENAC],tabParametros[Código do Posto],tabCustoUnit[[#This Row],[Código do Posto]])</f>
        <v>43.805699000000004</v>
      </c>
      <c r="S17" s="21">
        <f>tabCustoUnit[[#This Row],[MODULO 1 - REMUNERAÇÃO ]]*SUMIFS(tabParametros[INCRA],tabParametros[Código do Posto],tabCustoUnit[[#This Row],[Código do Posto]])</f>
        <v>8.7611398000000005</v>
      </c>
      <c r="T17" s="21">
        <f>tabCustoUnit[[#This Row],[MODULO 1 - REMUNERAÇÃO ]]*SUMIFS(tabParametros[Salário Educação],tabParametros[Código do Posto],tabCustoUnit[[#This Row],[Código do Posto]])</f>
        <v>109.51424750000001</v>
      </c>
      <c r="U17" s="21">
        <f>tabCustoUnit[[#This Row],[MODULO 1 - REMUNERAÇÃO ]]*SUMIFS(tabParametros[FGTS],tabParametros[Código do Posto],tabCustoUnit[[#This Row],[Código do Posto]])</f>
        <v>350.44559200000003</v>
      </c>
      <c r="V17" s="21">
        <f>tabCustoUnit[[#This Row],[MODULO 1 - REMUNERAÇÃO ]]*SUMIFS(tabParametros[RAT Ajustado],tabParametros[Código do Posto],tabCustoUnit[[#This Row],[Código do Posto]])</f>
        <v>175.22279600000002</v>
      </c>
      <c r="W17" s="21">
        <f>tabCustoUnit[[#This Row],[MODULO 1 - REMUNERAÇÃO ]]*SUMIFS(tabParametros[SEBRAE],tabParametros[Código do Posto],tabCustoUnit[[#This Row],[Código do Posto]])</f>
        <v>26.283419400000003</v>
      </c>
      <c r="X17" s="21">
        <f>SUM(tabCustoUnit[[#This Row],[INSS]:[SEBRAE]])</f>
        <v>1655.8554222</v>
      </c>
      <c r="Y17" s="21">
        <f>tabCustoUnit[[#This Row],[MODULO 1 - REMUNERAÇÃO ]]*SUMIFS(tabParametros[13º salário (titular)],tabParametros[Código do Posto],tabCustoUnit[[#This Row],[Código do Posto]])</f>
        <v>365.0474916666667</v>
      </c>
      <c r="Z17" s="21">
        <f>tabCustoUnit[[#This Row],[MODULO 1 - REMUNERAÇÃO ]]*SUMIFS(tabParametros[Férias e Adicional de Férias (titular)],tabParametros[Código do Posto],tabCustoUnit[[#This Row],[Código do Posto]])</f>
        <v>486.7299888888889</v>
      </c>
      <c r="AA17" s="21">
        <f>IFERROR((tabCustoUnit[[#This Row],[Submódulo 2.1]]/tabCustoUnit[[#This Row],[MODULO 1 - REMUNERAÇÃO ]])*SUM(tabCustoUnit[[#This Row],[13º salário (titular)]:[Férias e Adicional de Férias (titular)]]),0)</f>
        <v>321.97188764999999</v>
      </c>
      <c r="AB17" s="21">
        <f>SUM(tabCustoUnit[[#This Row],[13º salário (titular)]:[Incidência do Submódulo 2.1 sobre 13º Salário, Férias e Adicional de Férias]])</f>
        <v>1173.7493682055556</v>
      </c>
      <c r="AC17" s="22" t="e">
        <f ca="1">_xlfn.LET(_xlpm.VT,SUMIF(tabParametros[Código do Posto],tabCustoUnit[[#This Row],[Código do Posto]],tabParametros[Vale - Transporte])*2*20,
IF((_xlpm.VT-tabCustoUnit[[#This Row],[Salário Base]]*0.06)&gt;=0,(_xlpm.VT-tabCustoUnit[[#This Row],[Salário Base]]*0.06),0)
)</f>
        <v>#NAME?</v>
      </c>
      <c r="AD17" s="22">
        <f>IF(SUMIF(tabParametros[Código do Posto],tabCustoUnit[[#This Row],[Código do Posto]],tabParametros[Vale - Alimentação])&lt;=0,0,
SUMIF(tabParametros[Código do Posto],tabCustoUnit[[#This Row],[Código do Posto]],tabParametros[Vale - Alimentação])*20-1)</f>
        <v>578.4</v>
      </c>
      <c r="AE17" s="22">
        <f>SUMIF(tabParametros[Código do Posto],tabCustoUnit[[#This Row],[Código do Posto]],tabParametros[Cesta Básica])</f>
        <v>0</v>
      </c>
      <c r="AF17" s="22">
        <f>SUMIF(tabParametros[Código do Posto],tabCustoUnit[[#This Row],[Código do Posto]],tabParametros[PAF])</f>
        <v>0</v>
      </c>
      <c r="AG17" s="22">
        <f>SUMIF(tabParametros[Código do Posto],tabCustoUnit[[#This Row],[Código do Posto]],tabParametros[PQM])</f>
        <v>0</v>
      </c>
      <c r="AH17" s="22">
        <f>SUMIF(tabParametros[Código do Posto],tabCustoUnit[[#This Row],[Código do Posto]],tabParametros[Abono Único e Especial])</f>
        <v>0</v>
      </c>
      <c r="AI17" s="22">
        <f>SUMIF(tabParametros[Código do Posto],tabCustoUnit[[#This Row],[Código do Posto]],tabParametros[Seguro de Vida])</f>
        <v>3.36</v>
      </c>
      <c r="AJ17" s="22">
        <f>SUMIF(tabParametros[Código do Posto],tabCustoUnit[[#This Row],[Código do Posto]],tabParametros[Despesas de Viagem])</f>
        <v>662.42</v>
      </c>
      <c r="AK17" s="22" t="e">
        <f ca="1">SUM(tabCustoUnit[[#This Row],[Vale - Transporte (Descontada parcela do empregado)]:[Despesas de Viagem]])</f>
        <v>#NAME?</v>
      </c>
      <c r="AL17" s="22" t="e">
        <f ca="1">tabCustoUnit[[#This Row],[Submódulo 2.1]]+tabCustoUnit[[#This Row],[Submódulo 2.2]]+tabCustoUnit[[#This Row],[Submódulo 2.3]]</f>
        <v>#NAME?</v>
      </c>
      <c r="AM17" s="22">
        <f>SUMIF(tabParametros[Código do Posto],tabCustoUnit[[#This Row],[Código do Posto]],tabParametros[Aviso Prévio Indenizado (API) e Reflexo do Aviso Prévio Indenizado])*tabCustoUnit[[#This Row],[MODULO 1 - REMUNERAÇÃO ]]</f>
        <v>30.715535357851085</v>
      </c>
      <c r="AN17" s="22">
        <f>SUMIF(tabParametros[Código do Posto],tabCustoUnit[[#This Row],[Código do Posto]],tabParametros[Incidência do FGTS sobre API e Reflexo do API])*tabCustoUnit[[#This Row],[MODULO 1 - REMUNERAÇÃO ]]</f>
        <v>2.457242828628087</v>
      </c>
      <c r="AO17" s="22">
        <f>SUMIF(tabParametros[Código do Posto],tabCustoUnit[[#This Row],[Código do Posto]],tabParametros[Multa Rescisória do FGTS sobre o Aviso Prévio Indenizado])*tabCustoUnit[[#This Row],[MODULO 1 - REMUNERAÇÃO ]]</f>
        <v>0.98289713145123481</v>
      </c>
      <c r="AP17" s="22">
        <f>SUMIF(tabParametros[Código do Posto],tabCustoUnit[[#This Row],[Código do Posto]],tabParametros[Aviso Prévio Trabalhado - APT])*tabCustoUnit[[#This Row],[MODULO 1 - REMUNERAÇÃO ]]</f>
        <v>15.331994650000004</v>
      </c>
      <c r="AQ17" s="22">
        <f>SUMIF(tabParametros[Código do Posto],tabCustoUnit[[#This Row],[Código do Posto]],tabParametros[Incidência dos encargos do submódulo 2.1 sobre Aviso Prévio Trabalhado])*tabCustoUnit[[#This Row],[MODULO 1 - REMUNERAÇÃO ]]</f>
        <v>5.7954939777000023</v>
      </c>
      <c r="AR17" s="22">
        <f>SUMIF(tabParametros[Código do Posto],tabCustoUnit[[#This Row],[Código do Posto]],tabParametros[Multa Rescisória do FGTS])*tabCustoUnit[[#This Row],[MODULO 1 - REMUNERAÇÃO ]]</f>
        <v>133.94809294222222</v>
      </c>
      <c r="AS17" s="22">
        <f>SUMIF(tabParametros[Código do Posto],tabCustoUnit[[#This Row],[Código do Posto]],tabParametros[Indenização Adicional (Art. 9º da Lei nº 7.238/84)])*tabCustoUnit[[#This Row],[MODULO 1 - REMUNERAÇÃO ]]</f>
        <v>3.6504749166666675</v>
      </c>
      <c r="AT17" s="22">
        <f>SUM(tabCustoUnit[[#This Row],[Aviso Prévio Indenizado (API) e Reflexo do Aviso Prévio Indenizado]:[Indenização Adicional (Art. 9º da Lei nº 7.238/84)]])</f>
        <v>192.88173180451929</v>
      </c>
      <c r="AU17" s="22">
        <f>SUMIF(tabParametros[Código do Posto],tabCustoUnit[[#This Row],[Código do Posto]],tabParametros[Ausência por Doença])*tabCustoUnit[[#This Row],[MODULO 1 - REMUNERAÇÃO ]]</f>
        <v>36.991479155555552</v>
      </c>
      <c r="AV17" s="22">
        <f>SUMIF(tabParametros[Código do Posto],tabCustoUnit[[#This Row],[Código do Posto]],tabParametros[Ausências Legais])*tabCustoUnit[[#This Row],[MODULO 1 - REMUNERAÇÃO ]]</f>
        <v>8.8828222972222228</v>
      </c>
      <c r="AW17" s="22">
        <f>SUMIF(tabParametros[Código do Posto],tabCustoUnit[[#This Row],[Código do Posto]],tabParametros[Licença Paternidade])*tabCustoUnit[[#This Row],[MODULO 1 - REMUNERAÇÃO ]]</f>
        <v>0.74834735791666673</v>
      </c>
      <c r="AX17" s="22">
        <f>SUMIF(tabParametros[Código do Posto],tabCustoUnit[[#This Row],[Código do Posto]],tabParametros[Ausência por Acidente de Trabalho])*tabCustoUnit[[#This Row],[MODULO 1 - REMUNERAÇÃO ]]</f>
        <v>0.91261872916666686</v>
      </c>
      <c r="AY17" s="22">
        <f>SUMIF(tabParametros[Código do Posto],tabCustoUnit[[#This Row],[Código do Posto]],tabParametros[Férias, Adicional de Férias e 13º  com empregada em gozo de Licença Maternidade])*tabCustoUnit[[#This Row],[MODULO 1 - REMUNERAÇÃO ]]</f>
        <v>5.6785165370370372</v>
      </c>
      <c r="AZ17" s="22">
        <f>SUMIF(tabParametros[Código do Posto],tabCustoUnit[[#This Row],[Código do Posto]],tabParametros[Incidência do Submódulo 2.1 sobre Ausências Legais])*tabCustoUnit[[#This Row],[MODULO 1 - REMUNERAÇÃO ]]</f>
        <v>20.114810381067507</v>
      </c>
      <c r="BA17" s="22">
        <f>SUM(tabCustoUnit[[#This Row],[Ausência por Doença]:[Incidência do Submódulo 2.1 sobre Ausências Legais]])</f>
        <v>73.328594457965636</v>
      </c>
      <c r="BB17" s="22">
        <f>SUMIF(tabParametros[Código do Posto],tabCustoUnit[[#This Row],[Código do Posto]],tabParametros[Intervalo para Repouso ou Alimentação])</f>
        <v>0</v>
      </c>
      <c r="BC17" s="22">
        <f>tabCustoUnit[[#This Row],[Intervalo para Repouso ou Alimentação]]</f>
        <v>0</v>
      </c>
      <c r="BD1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 s="22">
        <f>tabCustoUnit[[#This Row],[Suspensão Temporária do Contrato de Trabalho]]</f>
        <v>0</v>
      </c>
      <c r="BF17" s="22">
        <f>tabCustoUnit[[#This Row],[Submódulo 4.1]]+tabCustoUnit[[#This Row],[Submódulo 4.2]]+tabCustoUnit[[#This Row],[Submódulo 4.3]]</f>
        <v>73.328594457965636</v>
      </c>
      <c r="BG17" s="22">
        <f>VLOOKUP(tabCustoUnit[[#This Row],[Código do Posto]],tabParametros[],MATCH(tabCustoUnit[[#Headers],[Uniformes e EPIs]],tabParametros[#Headers],0),0)</f>
        <v>92.100763771570698</v>
      </c>
      <c r="BH17" s="22">
        <f>VLOOKUP(tabCustoUnit[[#This Row],[Código do Posto]],tabParametros[],MATCH(tabCustoUnit[[#Headers],[Materiais de Consumo]],tabParametros[#Headers],0),0)</f>
        <v>0</v>
      </c>
      <c r="BI17" s="22">
        <f>VLOOKUP(tabCustoUnit[[#This Row],[Código do Posto]],tabParametros[],MATCH(tabCustoUnit[[#Headers],[Máquinas e Equipamentos (depreciação)]],tabParametros[#Headers],0),0)</f>
        <v>0</v>
      </c>
      <c r="BJ17" s="22">
        <f>VLOOKUP(tabCustoUnit[[#This Row],[Código do Posto]],tabParametros[],MATCH(tabCustoUnit[[#Headers],[Produtos de Limpeza e Materiais de Higiene Pessoal]],tabParametros[#Headers],0),0)</f>
        <v>0</v>
      </c>
      <c r="BK17" s="22">
        <f>VLOOKUP(tabCustoUnit[[#This Row],[Código do Posto]],tabParametros[],MATCH(tabCustoUnit[[#Headers],[Outros (especificar)]],tabParametros[#Headers],0),0)</f>
        <v>0</v>
      </c>
      <c r="BL17" s="22">
        <f>SUM(tabCustoUnit[[#This Row],[Uniformes e EPIs]:[Outros (especificar)]])</f>
        <v>92.100763771570698</v>
      </c>
      <c r="BM1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 s="22" t="e">
        <f ca="1">VLOOKUP(tabCustoUnit[[#This Row],[Código do Posto]],tabParametros[],MATCH(tabCustoUnit[[#Headers],[Custos Indiretos]],tabParametros[#Headers],0),0)</f>
        <v>#NAME?</v>
      </c>
      <c r="BO17" s="22" t="e">
        <f ca="1">VLOOKUP(tabCustoUnit[[#This Row],[Código do Posto]],tabParametros[],MATCH(tabCustoUnit[[#Headers],[Lucro]],tabParametros[#Headers],0),0)</f>
        <v>#NAME?</v>
      </c>
      <c r="BP17" s="26">
        <f>((100/((1-tabCustoUnit[[#This Row],[Resumo de Alíquotas (PIS+CONFINS+ISS)]]))-100)*VLOOKUP(tabCustoUnit[[#This Row],[Código do Posto]],tabParametros[],MATCH(tabCustoUnit[[#Headers],[COFINS]],tabParametros[#Headers],0),0))/(tabCustoUnit[[#This Row],[Resumo de Alíquotas (PIS+CONFINS+ISS)]]*100)</f>
        <v>8.5633802816901458E-2</v>
      </c>
      <c r="BQ17" s="26">
        <f>((100/((100-(tabCustoUnit[[#This Row],[Resumo de Alíquotas (PIS+CONFINS+ISS)]]*100))%)-100)*VLOOKUP(tabCustoUnit[[#This Row],[Código do Posto]],tabParametros[],MATCH(tabCustoUnit[[#Headers],[PIS]],tabParametros[#Headers],0),0))/(tabCustoUnit[[#This Row],[Resumo de Alíquotas (PIS+CONFINS+ISS)]]*100)</f>
        <v>1.8591549295774657E-2</v>
      </c>
      <c r="BR17" s="28">
        <f>VLOOKUP(tabCustoUnit[[#This Row],[Código do Posto]],tabParametros[],MATCH(tabCustoUnit[[#Headers],[ISS]],tabParametros[#Headers],0),0)</f>
        <v>0.02</v>
      </c>
      <c r="BS17" s="26">
        <f>(((100/((100-(tabCustoUnit[[#This Row],[Resumo de Alíquotas (PIS+CONFINS+ISS)]]*100))%)-100)*tabCustoUnit[[#This Row],[ISS]])/tabCustoUnit[[#This Row],[Resumo de Alíquotas (PIS+CONFINS+ISS)]])/100</f>
        <v>2.2535211267605645E-2</v>
      </c>
      <c r="BT1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7" s="138">
        <f>tabCustoUnit[[#This Row],[COFINS]]+tabCustoUnit[[#This Row],[PIS]]+tabCustoUnit[[#This Row],[ISS (Conversão Alíquota s/ fatura)]]</f>
        <v>0.12676056338028174</v>
      </c>
      <c r="BV17" s="22" t="e">
        <f ca="1">(tabCustoUnit[[#This Row],[TOTAL MÓDULOS 1+2+3+4+5]]+tabCustoUnit[[#This Row],[Custos Indiretos]]+tabCustoUnit[[#This Row],[Lucro]])*tabCustoUnit[[#This Row],[PIS + COFINS + ISS (Total Conversão  Alíquota s/ Fatura)]]</f>
        <v>#NAME?</v>
      </c>
      <c r="BW17" s="22" t="e">
        <f ca="1">tabCustoUnit[[#This Row],[Custos Indiretos]]+tabCustoUnit[[#This Row],[Lucro]]+tabCustoUnit[[#This Row],[Valor dos Tributos (ISS, PIS, CONFINS)]]</f>
        <v>#NAME?</v>
      </c>
      <c r="BX17" s="22" t="e">
        <f ca="1">tabCustoUnit[[#This Row],[TOTAL MÓDULOS 1+2+3+4+5]]+tabCustoUnit[[#This Row],[MÓDULO 6 – CUSTOS INDIRETOS, TRIBUTOS E LUCRO]]</f>
        <v>#NAME?</v>
      </c>
      <c r="BY17" s="22" t="e">
        <f ca="1">tabCustoUnit[[#This Row],[CUSTO TOTAL MENSAL]]*12</f>
        <v>#NAME?</v>
      </c>
      <c r="BZ17" s="24">
        <f>VLOOKUP(tabCustoUnit[[#This Row],[Código do Posto]],tabParametros[],MATCH(tabCustoUnit[[#Headers],[ANO DA CCT]],tabParametros[#Headers],0),0)</f>
        <v>45658</v>
      </c>
      <c r="CA17" s="25" t="str">
        <f>VLOOKUP(tabCustoUnit[[#This Row],[Código do Posto]],tabParametros[],MATCH(tabCustoUnit[[#Headers],[Nº DE PEDIDO DA CCT]],tabParametros[#Headers],0),0)</f>
        <v>-</v>
      </c>
      <c r="CB17" s="25" t="str">
        <f>VLOOKUP(tabCustoUnit[[#This Row],[Código do Posto]],tabParametros[],MATCH(tabCustoUnit[[#Headers],[TERMO ADITIVO ALTERAÇÃO DA CCT]],tabParametros[#Headers],0),0)</f>
        <v>-</v>
      </c>
    </row>
    <row r="18" spans="1:80">
      <c r="A18" s="20" t="s">
        <v>1540</v>
      </c>
      <c r="B18" t="s">
        <v>902</v>
      </c>
      <c r="C18" t="s">
        <v>319</v>
      </c>
      <c r="D18" t="s">
        <v>902</v>
      </c>
      <c r="E18" s="20" t="s">
        <v>1090</v>
      </c>
      <c r="F18" s="20" t="s">
        <v>120</v>
      </c>
      <c r="G18" s="418">
        <v>2316.2296999999999</v>
      </c>
      <c r="H18" s="418">
        <v>0</v>
      </c>
      <c r="I18" s="418">
        <v>0</v>
      </c>
      <c r="J18" s="418">
        <v>0</v>
      </c>
      <c r="K18" s="418">
        <v>0</v>
      </c>
      <c r="L18" s="418">
        <v>0</v>
      </c>
      <c r="M18" s="418">
        <v>0</v>
      </c>
      <c r="N18" s="418">
        <v>0</v>
      </c>
      <c r="O18" s="21">
        <f>SUM(tabCustoUnit[[#This Row],[Salário Base]:[Adicional de Acúmulo de função]])</f>
        <v>2316.2296999999999</v>
      </c>
      <c r="P18" s="21">
        <f>tabCustoUnit[[#This Row],[MODULO 1 - REMUNERAÇÃO ]]*SUMIFS(tabParametros[INSS],tabParametros[Código do Posto],tabCustoUnit[[#This Row],[Código do Posto]])</f>
        <v>463.24594000000002</v>
      </c>
      <c r="Q18" s="21">
        <f>tabCustoUnit[[#This Row],[MODULO 1 - REMUNERAÇÃO ]]*SUMIFS(tabParametros[SESI OU SESC],tabParametros[Código do Posto],tabCustoUnit[[#This Row],[Código do Posto]])</f>
        <v>34.7434455</v>
      </c>
      <c r="R18" s="21">
        <f>tabCustoUnit[[#This Row],[MODULO 1 - REMUNERAÇÃO ]]*SUMIFS(tabParametros[SENAI OU SENAC],tabParametros[Código do Posto],tabCustoUnit[[#This Row],[Código do Posto]])</f>
        <v>23.162296999999999</v>
      </c>
      <c r="S18" s="21">
        <f>tabCustoUnit[[#This Row],[MODULO 1 - REMUNERAÇÃO ]]*SUMIFS(tabParametros[INCRA],tabParametros[Código do Posto],tabCustoUnit[[#This Row],[Código do Posto]])</f>
        <v>4.6324594000000001</v>
      </c>
      <c r="T18" s="21">
        <f>tabCustoUnit[[#This Row],[MODULO 1 - REMUNERAÇÃO ]]*SUMIFS(tabParametros[Salário Educação],tabParametros[Código do Posto],tabCustoUnit[[#This Row],[Código do Posto]])</f>
        <v>57.905742500000002</v>
      </c>
      <c r="U18" s="21">
        <f>tabCustoUnit[[#This Row],[MODULO 1 - REMUNERAÇÃO ]]*SUMIFS(tabParametros[FGTS],tabParametros[Código do Posto],tabCustoUnit[[#This Row],[Código do Posto]])</f>
        <v>185.29837599999999</v>
      </c>
      <c r="V18" s="21">
        <f>tabCustoUnit[[#This Row],[MODULO 1 - REMUNERAÇÃO ]]*SUMIFS(tabParametros[RAT Ajustado],tabParametros[Código do Posto],tabCustoUnit[[#This Row],[Código do Posto]])</f>
        <v>92.649187999999995</v>
      </c>
      <c r="W18" s="21">
        <f>tabCustoUnit[[#This Row],[MODULO 1 - REMUNERAÇÃO ]]*SUMIFS(tabParametros[SEBRAE],tabParametros[Código do Posto],tabCustoUnit[[#This Row],[Código do Posto]])</f>
        <v>13.8973782</v>
      </c>
      <c r="X18" s="21">
        <f>SUM(tabCustoUnit[[#This Row],[INSS]:[SEBRAE]])</f>
        <v>875.53482659999997</v>
      </c>
      <c r="Y18" s="21">
        <f>tabCustoUnit[[#This Row],[MODULO 1 - REMUNERAÇÃO ]]*SUMIFS(tabParametros[13º salário (titular)],tabParametros[Código do Posto],tabCustoUnit[[#This Row],[Código do Posto]])</f>
        <v>193.01914166666666</v>
      </c>
      <c r="Z18" s="21">
        <f>tabCustoUnit[[#This Row],[MODULO 1 - REMUNERAÇÃO ]]*SUMIFS(tabParametros[Férias e Adicional de Férias (titular)],tabParametros[Código do Posto],tabCustoUnit[[#This Row],[Código do Posto]])</f>
        <v>257.35885555555552</v>
      </c>
      <c r="AA18" s="21">
        <f>IFERROR((tabCustoUnit[[#This Row],[Submódulo 2.1]]/tabCustoUnit[[#This Row],[MODULO 1 - REMUNERAÇÃO ]])*SUM(tabCustoUnit[[#This Row],[13º salário (titular)]:[Férias e Adicional de Férias (titular)]]),0)</f>
        <v>170.24288294999999</v>
      </c>
      <c r="AB18" s="21">
        <f>SUM(tabCustoUnit[[#This Row],[13º salário (titular)]:[Incidência do Submódulo 2.1 sobre 13º Salário, Férias e Adicional de Férias]])</f>
        <v>620.6208801722222</v>
      </c>
      <c r="AC18" s="22" t="e">
        <f ca="1">_xlfn.LET(_xlpm.VT,SUMIF(tabParametros[Código do Posto],tabCustoUnit[[#This Row],[Código do Posto]],tabParametros[Vale - Transporte])*2*20,
IF((_xlpm.VT-tabCustoUnit[[#This Row],[Salário Base]]*0.06)&gt;=0,(_xlpm.VT-tabCustoUnit[[#This Row],[Salário Base]]*0.06),0)
)</f>
        <v>#NAME?</v>
      </c>
      <c r="AD18" s="22">
        <f>IF(SUMIF(tabParametros[Código do Posto],tabCustoUnit[[#This Row],[Código do Posto]],tabParametros[Vale - Alimentação])&lt;=0,0,
SUMIF(tabParametros[Código do Posto],tabCustoUnit[[#This Row],[Código do Posto]],tabParametros[Vale - Alimentação])*20-1)</f>
        <v>582</v>
      </c>
      <c r="AE18" s="22">
        <f>SUMIF(tabParametros[Código do Posto],tabCustoUnit[[#This Row],[Código do Posto]],tabParametros[Cesta Básica])</f>
        <v>0</v>
      </c>
      <c r="AF18" s="22">
        <f>SUMIF(tabParametros[Código do Posto],tabCustoUnit[[#This Row],[Código do Posto]],tabParametros[PAF])</f>
        <v>58.96</v>
      </c>
      <c r="AG18" s="22">
        <f>SUMIF(tabParametros[Código do Posto],tabCustoUnit[[#This Row],[Código do Posto]],tabParametros[PQM])</f>
        <v>0</v>
      </c>
      <c r="AH18" s="22">
        <f>SUMIF(tabParametros[Código do Posto],tabCustoUnit[[#This Row],[Código do Posto]],tabParametros[Abono Único e Especial])</f>
        <v>0</v>
      </c>
      <c r="AI18" s="22">
        <f>SUMIF(tabParametros[Código do Posto],tabCustoUnit[[#This Row],[Código do Posto]],tabParametros[Seguro de Vida])</f>
        <v>3.36</v>
      </c>
      <c r="AJ18" s="22">
        <f>SUMIF(tabParametros[Código do Posto],tabCustoUnit[[#This Row],[Código do Posto]],tabParametros[Despesas de Viagem])</f>
        <v>0</v>
      </c>
      <c r="AK18" s="22" t="e">
        <f ca="1">SUM(tabCustoUnit[[#This Row],[Vale - Transporte (Descontada parcela do empregado)]:[Despesas de Viagem]])</f>
        <v>#NAME?</v>
      </c>
      <c r="AL18" s="22" t="e">
        <f ca="1">tabCustoUnit[[#This Row],[Submódulo 2.1]]+tabCustoUnit[[#This Row],[Submódulo 2.2]]+tabCustoUnit[[#This Row],[Submódulo 2.3]]</f>
        <v>#NAME?</v>
      </c>
      <c r="AM18" s="22">
        <f>SUMIF(tabParametros[Código do Posto],tabCustoUnit[[#This Row],[Código do Posto]],tabParametros[Aviso Prévio Indenizado (API) e Reflexo do Aviso Prévio Indenizado])*tabCustoUnit[[#This Row],[MODULO 1 - REMUNERAÇÃO ]]</f>
        <v>16.240862917689043</v>
      </c>
      <c r="AN18" s="22">
        <f>SUMIF(tabParametros[Código do Posto],tabCustoUnit[[#This Row],[Código do Posto]],tabParametros[Incidência do FGTS sobre API e Reflexo do API])*tabCustoUnit[[#This Row],[MODULO 1 - REMUNERAÇÃO ]]</f>
        <v>1.2992690334151236</v>
      </c>
      <c r="AO18" s="22">
        <f>SUMIF(tabParametros[Código do Posto],tabCustoUnit[[#This Row],[Código do Posto]],tabParametros[Multa Rescisória do FGTS sobre o Aviso Prévio Indenizado])*tabCustoUnit[[#This Row],[MODULO 1 - REMUNERAÇÃO ]]</f>
        <v>0.51970761336604943</v>
      </c>
      <c r="AP18" s="22">
        <f>SUMIF(tabParametros[Código do Posto],tabCustoUnit[[#This Row],[Código do Posto]],tabParametros[Aviso Prévio Trabalhado - APT])*tabCustoUnit[[#This Row],[MODULO 1 - REMUNERAÇÃO ]]</f>
        <v>8.1068039500000015</v>
      </c>
      <c r="AQ18" s="22">
        <f>SUMIF(tabParametros[Código do Posto],tabCustoUnit[[#This Row],[Código do Posto]],tabParametros[Incidência dos encargos do submódulo 2.1 sobre Aviso Prévio Trabalhado])*tabCustoUnit[[#This Row],[MODULO 1 - REMUNERAÇÃO ]]</f>
        <v>3.0643718931000006</v>
      </c>
      <c r="AR18" s="22">
        <f>SUMIF(tabParametros[Código do Posto],tabCustoUnit[[#This Row],[Código do Posto]],tabParametros[Multa Rescisória do FGTS])*tabCustoUnit[[#This Row],[MODULO 1 - REMUNERAÇÃO ]]</f>
        <v>70.825157048888869</v>
      </c>
      <c r="AS18" s="22">
        <f>SUMIF(tabParametros[Código do Posto],tabCustoUnit[[#This Row],[Código do Posto]],tabParametros[Indenização Adicional (Art. 9º da Lei nº 7.238/84)])*tabCustoUnit[[#This Row],[MODULO 1 - REMUNERAÇÃO ]]</f>
        <v>1.9301914166666667</v>
      </c>
      <c r="AT18" s="22">
        <f>SUM(tabCustoUnit[[#This Row],[Aviso Prévio Indenizado (API) e Reflexo do Aviso Prévio Indenizado]:[Indenização Adicional (Art. 9º da Lei nº 7.238/84)]])</f>
        <v>101.98636387312575</v>
      </c>
      <c r="AU18" s="22">
        <f>SUMIF(tabParametros[Código do Posto],tabCustoUnit[[#This Row],[Código do Posto]],tabParametros[Ausência por Doença])*tabCustoUnit[[#This Row],[MODULO 1 - REMUNERAÇÃO ]]</f>
        <v>19.559273022222218</v>
      </c>
      <c r="AV18" s="22">
        <f>SUMIF(tabParametros[Código do Posto],tabCustoUnit[[#This Row],[Código do Posto]],tabParametros[Ausências Legais])*tabCustoUnit[[#This Row],[MODULO 1 - REMUNERAÇÃO ]]</f>
        <v>4.696799113888888</v>
      </c>
      <c r="AW18" s="22">
        <f>SUMIF(tabParametros[Código do Posto],tabCustoUnit[[#This Row],[Código do Posto]],tabParametros[Licença Paternidade])*tabCustoUnit[[#This Row],[MODULO 1 - REMUNERAÇÃO ]]</f>
        <v>0.39568924041666664</v>
      </c>
      <c r="AX18" s="22">
        <f>SUMIF(tabParametros[Código do Posto],tabCustoUnit[[#This Row],[Código do Posto]],tabParametros[Ausência por Acidente de Trabalho])*tabCustoUnit[[#This Row],[MODULO 1 - REMUNERAÇÃO ]]</f>
        <v>0.48254785416666668</v>
      </c>
      <c r="AY18" s="22">
        <f>SUMIF(tabParametros[Código do Posto],tabCustoUnit[[#This Row],[Código do Posto]],tabParametros[Férias, Adicional de Férias e 13º  com empregada em gozo de Licença Maternidade])*tabCustoUnit[[#This Row],[MODULO 1 - REMUNERAÇÃO ]]</f>
        <v>3.0025199814814814</v>
      </c>
      <c r="AZ18" s="22">
        <f>SUMIF(tabParametros[Código do Posto],tabCustoUnit[[#This Row],[Código do Posto]],tabParametros[Incidência do Submódulo 2.1 sobre Ausências Legais])*tabCustoUnit[[#This Row],[MODULO 1 - REMUNERAÇÃO ]]</f>
        <v>10.635721442202501</v>
      </c>
      <c r="BA18" s="22">
        <f>SUM(tabCustoUnit[[#This Row],[Ausência por Doença]:[Incidência do Submódulo 2.1 sobre Ausências Legais]])</f>
        <v>38.772550654378421</v>
      </c>
      <c r="BB18" s="22">
        <f>SUMIF(tabParametros[Código do Posto],tabCustoUnit[[#This Row],[Código do Posto]],tabParametros[Intervalo para Repouso ou Alimentação])</f>
        <v>0</v>
      </c>
      <c r="BC18" s="22">
        <f>tabCustoUnit[[#This Row],[Intervalo para Repouso ou Alimentação]]</f>
        <v>0</v>
      </c>
      <c r="BD1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 s="22">
        <f>tabCustoUnit[[#This Row],[Suspensão Temporária do Contrato de Trabalho]]</f>
        <v>0</v>
      </c>
      <c r="BF18" s="22">
        <f>tabCustoUnit[[#This Row],[Submódulo 4.1]]+tabCustoUnit[[#This Row],[Submódulo 4.2]]+tabCustoUnit[[#This Row],[Submódulo 4.3]]</f>
        <v>38.772550654378421</v>
      </c>
      <c r="BG18" s="22">
        <f>VLOOKUP(tabCustoUnit[[#This Row],[Código do Posto]],tabParametros[],MATCH(tabCustoUnit[[#Headers],[Uniformes e EPIs]],tabParametros[#Headers],0),0)</f>
        <v>56.642978962543395</v>
      </c>
      <c r="BH18" s="22">
        <f>VLOOKUP(tabCustoUnit[[#This Row],[Código do Posto]],tabParametros[],MATCH(tabCustoUnit[[#Headers],[Materiais de Consumo]],tabParametros[#Headers],0),0)</f>
        <v>0</v>
      </c>
      <c r="BI18" s="22">
        <f>VLOOKUP(tabCustoUnit[[#This Row],[Código do Posto]],tabParametros[],MATCH(tabCustoUnit[[#Headers],[Máquinas e Equipamentos (depreciação)]],tabParametros[#Headers],0),0)</f>
        <v>0</v>
      </c>
      <c r="BJ18" s="22">
        <f>VLOOKUP(tabCustoUnit[[#This Row],[Código do Posto]],tabParametros[],MATCH(tabCustoUnit[[#Headers],[Produtos de Limpeza e Materiais de Higiene Pessoal]],tabParametros[#Headers],0),0)</f>
        <v>0</v>
      </c>
      <c r="BK18" s="22">
        <f>VLOOKUP(tabCustoUnit[[#This Row],[Código do Posto]],tabParametros[],MATCH(tabCustoUnit[[#Headers],[Outros (especificar)]],tabParametros[#Headers],0),0)</f>
        <v>0</v>
      </c>
      <c r="BL18" s="22">
        <f>SUM(tabCustoUnit[[#This Row],[Uniformes e EPIs]:[Outros (especificar)]])</f>
        <v>56.642978962543395</v>
      </c>
      <c r="BM1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 s="22" t="e">
        <f ca="1">VLOOKUP(tabCustoUnit[[#This Row],[Código do Posto]],tabParametros[],MATCH(tabCustoUnit[[#Headers],[Custos Indiretos]],tabParametros[#Headers],0),0)</f>
        <v>#NAME?</v>
      </c>
      <c r="BO18" s="22" t="e">
        <f ca="1">VLOOKUP(tabCustoUnit[[#This Row],[Código do Posto]],tabParametros[],MATCH(tabCustoUnit[[#Headers],[Lucro]],tabParametros[#Headers],0),0)</f>
        <v>#NAME?</v>
      </c>
      <c r="BP18" s="26">
        <f>((100/((1-tabCustoUnit[[#This Row],[Resumo de Alíquotas (PIS+CONFINS+ISS)]]))-100)*VLOOKUP(tabCustoUnit[[#This Row],[Código do Posto]],tabParametros[],MATCH(tabCustoUnit[[#Headers],[COFINS]],tabParametros[#Headers],0),0))/(tabCustoUnit[[#This Row],[Resumo de Alíquotas (PIS+CONFINS+ISS)]]*100)</f>
        <v>8.5633802816901458E-2</v>
      </c>
      <c r="BQ18" s="26">
        <f>((100/((100-(tabCustoUnit[[#This Row],[Resumo de Alíquotas (PIS+CONFINS+ISS)]]*100))%)-100)*VLOOKUP(tabCustoUnit[[#This Row],[Código do Posto]],tabParametros[],MATCH(tabCustoUnit[[#Headers],[PIS]],tabParametros[#Headers],0),0))/(tabCustoUnit[[#This Row],[Resumo de Alíquotas (PIS+CONFINS+ISS)]]*100)</f>
        <v>1.8591549295774657E-2</v>
      </c>
      <c r="BR18" s="28">
        <f>VLOOKUP(tabCustoUnit[[#This Row],[Código do Posto]],tabParametros[],MATCH(tabCustoUnit[[#Headers],[ISS]],tabParametros[#Headers],0),0)</f>
        <v>0.02</v>
      </c>
      <c r="BS18" s="26">
        <f>(((100/((100-(tabCustoUnit[[#This Row],[Resumo de Alíquotas (PIS+CONFINS+ISS)]]*100))%)-100)*tabCustoUnit[[#This Row],[ISS]])/tabCustoUnit[[#This Row],[Resumo de Alíquotas (PIS+CONFINS+ISS)]])/100</f>
        <v>2.2535211267605645E-2</v>
      </c>
      <c r="BT1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8" s="138">
        <f>tabCustoUnit[[#This Row],[COFINS]]+tabCustoUnit[[#This Row],[PIS]]+tabCustoUnit[[#This Row],[ISS (Conversão Alíquota s/ fatura)]]</f>
        <v>0.12676056338028174</v>
      </c>
      <c r="BV18" s="22" t="e">
        <f ca="1">(tabCustoUnit[[#This Row],[TOTAL MÓDULOS 1+2+3+4+5]]+tabCustoUnit[[#This Row],[Custos Indiretos]]+tabCustoUnit[[#This Row],[Lucro]])*tabCustoUnit[[#This Row],[PIS + COFINS + ISS (Total Conversão  Alíquota s/ Fatura)]]</f>
        <v>#NAME?</v>
      </c>
      <c r="BW18" s="22" t="e">
        <f ca="1">tabCustoUnit[[#This Row],[Custos Indiretos]]+tabCustoUnit[[#This Row],[Lucro]]+tabCustoUnit[[#This Row],[Valor dos Tributos (ISS, PIS, CONFINS)]]</f>
        <v>#NAME?</v>
      </c>
      <c r="BX18" s="22" t="e">
        <f ca="1">tabCustoUnit[[#This Row],[TOTAL MÓDULOS 1+2+3+4+5]]+tabCustoUnit[[#This Row],[MÓDULO 6 – CUSTOS INDIRETOS, TRIBUTOS E LUCRO]]</f>
        <v>#NAME?</v>
      </c>
      <c r="BY18" s="22" t="e">
        <f ca="1">tabCustoUnit[[#This Row],[CUSTO TOTAL MENSAL]]*12</f>
        <v>#NAME?</v>
      </c>
      <c r="BZ18" s="24">
        <f>VLOOKUP(tabCustoUnit[[#This Row],[Código do Posto]],tabParametros[],MATCH(tabCustoUnit[[#Headers],[ANO DA CCT]],tabParametros[#Headers],0),0)</f>
        <v>45658</v>
      </c>
      <c r="CA18" s="25" t="str">
        <f>VLOOKUP(tabCustoUnit[[#This Row],[Código do Posto]],tabParametros[],MATCH(tabCustoUnit[[#Headers],[Nº DE PEDIDO DA CCT]],tabParametros[#Headers],0),0)</f>
        <v>-</v>
      </c>
      <c r="CB18" s="25" t="str">
        <f>VLOOKUP(tabCustoUnit[[#This Row],[Código do Posto]],tabParametros[],MATCH(tabCustoUnit[[#Headers],[TERMO ADITIVO ALTERAÇÃO DA CCT]],tabParametros[#Headers],0),0)</f>
        <v>-</v>
      </c>
    </row>
    <row r="19" spans="1:80">
      <c r="A19" s="20" t="s">
        <v>1541</v>
      </c>
      <c r="B19" t="s">
        <v>902</v>
      </c>
      <c r="C19" t="s">
        <v>324</v>
      </c>
      <c r="D19" t="s">
        <v>902</v>
      </c>
      <c r="E19" s="20" t="s">
        <v>1090</v>
      </c>
      <c r="F19" s="20" t="s">
        <v>120</v>
      </c>
      <c r="G19" s="418">
        <v>3397.1306</v>
      </c>
      <c r="H19" s="418">
        <v>0</v>
      </c>
      <c r="I19" s="418">
        <v>0</v>
      </c>
      <c r="J19" s="418">
        <v>0</v>
      </c>
      <c r="K19" s="418">
        <v>0</v>
      </c>
      <c r="L19" s="418">
        <v>0</v>
      </c>
      <c r="M19" s="418">
        <v>0</v>
      </c>
      <c r="N19" s="418">
        <v>0</v>
      </c>
      <c r="O19" s="21">
        <f>SUM(tabCustoUnit[[#This Row],[Salário Base]:[Adicional de Acúmulo de função]])</f>
        <v>3397.1306</v>
      </c>
      <c r="P19" s="21">
        <f>tabCustoUnit[[#This Row],[MODULO 1 - REMUNERAÇÃO ]]*SUMIFS(tabParametros[INSS],tabParametros[Código do Posto],tabCustoUnit[[#This Row],[Código do Posto]])</f>
        <v>679.42612000000008</v>
      </c>
      <c r="Q19" s="21">
        <f>tabCustoUnit[[#This Row],[MODULO 1 - REMUNERAÇÃO ]]*SUMIFS(tabParametros[SESI OU SESC],tabParametros[Código do Posto],tabCustoUnit[[#This Row],[Código do Posto]])</f>
        <v>50.956958999999998</v>
      </c>
      <c r="R19" s="21">
        <f>tabCustoUnit[[#This Row],[MODULO 1 - REMUNERAÇÃO ]]*SUMIFS(tabParametros[SENAI OU SENAC],tabParametros[Código do Posto],tabCustoUnit[[#This Row],[Código do Posto]])</f>
        <v>33.971305999999998</v>
      </c>
      <c r="S19" s="21">
        <f>tabCustoUnit[[#This Row],[MODULO 1 - REMUNERAÇÃO ]]*SUMIFS(tabParametros[INCRA],tabParametros[Código do Posto],tabCustoUnit[[#This Row],[Código do Posto]])</f>
        <v>6.7942612000000002</v>
      </c>
      <c r="T19" s="21">
        <f>tabCustoUnit[[#This Row],[MODULO 1 - REMUNERAÇÃO ]]*SUMIFS(tabParametros[Salário Educação],tabParametros[Código do Posto],tabCustoUnit[[#This Row],[Código do Posto]])</f>
        <v>84.92826500000001</v>
      </c>
      <c r="U19" s="21">
        <f>tabCustoUnit[[#This Row],[MODULO 1 - REMUNERAÇÃO ]]*SUMIFS(tabParametros[FGTS],tabParametros[Código do Posto],tabCustoUnit[[#This Row],[Código do Posto]])</f>
        <v>271.77044799999999</v>
      </c>
      <c r="V19" s="21">
        <f>tabCustoUnit[[#This Row],[MODULO 1 - REMUNERAÇÃO ]]*SUMIFS(tabParametros[RAT Ajustado],tabParametros[Código do Posto],tabCustoUnit[[#This Row],[Código do Posto]])</f>
        <v>135.88522399999999</v>
      </c>
      <c r="W19" s="21">
        <f>tabCustoUnit[[#This Row],[MODULO 1 - REMUNERAÇÃO ]]*SUMIFS(tabParametros[SEBRAE],tabParametros[Código do Posto],tabCustoUnit[[#This Row],[Código do Posto]])</f>
        <v>20.3827836</v>
      </c>
      <c r="X19" s="21">
        <f>SUM(tabCustoUnit[[#This Row],[INSS]:[SEBRAE]])</f>
        <v>1284.1153668000002</v>
      </c>
      <c r="Y19" s="21">
        <f>tabCustoUnit[[#This Row],[MODULO 1 - REMUNERAÇÃO ]]*SUMIFS(tabParametros[13º salário (titular)],tabParametros[Código do Posto],tabCustoUnit[[#This Row],[Código do Posto]])</f>
        <v>283.09421666666663</v>
      </c>
      <c r="Z19" s="21">
        <f>tabCustoUnit[[#This Row],[MODULO 1 - REMUNERAÇÃO ]]*SUMIFS(tabParametros[Férias e Adicional de Férias (titular)],tabParametros[Código do Posto],tabCustoUnit[[#This Row],[Código do Posto]])</f>
        <v>377.45895555555552</v>
      </c>
      <c r="AA19" s="21">
        <f>IFERROR((tabCustoUnit[[#This Row],[Submódulo 2.1]]/tabCustoUnit[[#This Row],[MODULO 1 - REMUNERAÇÃO ]])*SUM(tabCustoUnit[[#This Row],[13º salário (titular)]:[Férias e Adicional de Férias (titular)]]),0)</f>
        <v>249.68909910000002</v>
      </c>
      <c r="AB19" s="21">
        <f>SUM(tabCustoUnit[[#This Row],[13º salário (titular)]:[Incidência do Submódulo 2.1 sobre 13º Salário, Férias e Adicional de Férias]])</f>
        <v>910.24227132222222</v>
      </c>
      <c r="AC19" s="22" t="e">
        <f ca="1">_xlfn.LET(_xlpm.VT,SUMIF(tabParametros[Código do Posto],tabCustoUnit[[#This Row],[Código do Posto]],tabParametros[Vale - Transporte])*2*20,
IF((_xlpm.VT-tabCustoUnit[[#This Row],[Salário Base]]*0.06)&gt;=0,(_xlpm.VT-tabCustoUnit[[#This Row],[Salário Base]]*0.06),0)
)</f>
        <v>#NAME?</v>
      </c>
      <c r="AD19" s="22">
        <f>IF(SUMIF(tabParametros[Código do Posto],tabCustoUnit[[#This Row],[Código do Posto]],tabParametros[Vale - Alimentação])&lt;=0,0,
SUMIF(tabParametros[Código do Posto],tabCustoUnit[[#This Row],[Código do Posto]],tabParametros[Vale - Alimentação])*20-1)</f>
        <v>582</v>
      </c>
      <c r="AE19" s="22">
        <f>SUMIF(tabParametros[Código do Posto],tabCustoUnit[[#This Row],[Código do Posto]],tabParametros[Cesta Básica])</f>
        <v>0</v>
      </c>
      <c r="AF19" s="22">
        <f>SUMIF(tabParametros[Código do Posto],tabCustoUnit[[#This Row],[Código do Posto]],tabParametros[PAF])</f>
        <v>58.96</v>
      </c>
      <c r="AG19" s="22">
        <f>SUMIF(tabParametros[Código do Posto],tabCustoUnit[[#This Row],[Código do Posto]],tabParametros[PQM])</f>
        <v>0</v>
      </c>
      <c r="AH19" s="22">
        <f>SUMIF(tabParametros[Código do Posto],tabCustoUnit[[#This Row],[Código do Posto]],tabParametros[Abono Único e Especial])</f>
        <v>0</v>
      </c>
      <c r="AI19" s="22">
        <f>SUMIF(tabParametros[Código do Posto],tabCustoUnit[[#This Row],[Código do Posto]],tabParametros[Seguro de Vida])</f>
        <v>3.36</v>
      </c>
      <c r="AJ19" s="22">
        <f>SUMIF(tabParametros[Código do Posto],tabCustoUnit[[#This Row],[Código do Posto]],tabParametros[Despesas de Viagem])</f>
        <v>0</v>
      </c>
      <c r="AK19" s="22" t="e">
        <f ca="1">SUM(tabCustoUnit[[#This Row],[Vale - Transporte (Descontada parcela do empregado)]:[Despesas de Viagem]])</f>
        <v>#NAME?</v>
      </c>
      <c r="AL19" s="22" t="e">
        <f ca="1">tabCustoUnit[[#This Row],[Submódulo 2.1]]+tabCustoUnit[[#This Row],[Submódulo 2.2]]+tabCustoUnit[[#This Row],[Submódulo 2.3]]</f>
        <v>#NAME?</v>
      </c>
      <c r="AM19" s="22">
        <f>SUMIF(tabParametros[Código do Posto],tabCustoUnit[[#This Row],[Código do Posto]],tabParametros[Aviso Prévio Indenizado (API) e Reflexo do Aviso Prévio Indenizado])*tabCustoUnit[[#This Row],[MODULO 1 - REMUNERAÇÃO ]]</f>
        <v>23.819888151890432</v>
      </c>
      <c r="AN19" s="22">
        <f>SUMIF(tabParametros[Código do Posto],tabCustoUnit[[#This Row],[Código do Posto]],tabParametros[Incidência do FGTS sobre API e Reflexo do API])*tabCustoUnit[[#This Row],[MODULO 1 - REMUNERAÇÃO ]]</f>
        <v>1.9055910521512347</v>
      </c>
      <c r="AO19" s="22">
        <f>SUMIF(tabParametros[Código do Posto],tabCustoUnit[[#This Row],[Código do Posto]],tabParametros[Multa Rescisória do FGTS sobre o Aviso Prévio Indenizado])*tabCustoUnit[[#This Row],[MODULO 1 - REMUNERAÇÃO ]]</f>
        <v>0.76223642086049392</v>
      </c>
      <c r="AP19" s="22">
        <f>SUMIF(tabParametros[Código do Posto],tabCustoUnit[[#This Row],[Código do Posto]],tabParametros[Aviso Prévio Trabalhado - APT])*tabCustoUnit[[#This Row],[MODULO 1 - REMUNERAÇÃO ]]</f>
        <v>11.889957100000002</v>
      </c>
      <c r="AQ19" s="22">
        <f>SUMIF(tabParametros[Código do Posto],tabCustoUnit[[#This Row],[Código do Posto]],tabParametros[Incidência dos encargos do submódulo 2.1 sobre Aviso Prévio Trabalhado])*tabCustoUnit[[#This Row],[MODULO 1 - REMUNERAÇÃO ]]</f>
        <v>4.4944037838000011</v>
      </c>
      <c r="AR19" s="22">
        <f>SUMIF(tabParametros[Código do Posto],tabCustoUnit[[#This Row],[Código do Posto]],tabParametros[Multa Rescisória do FGTS])*tabCustoUnit[[#This Row],[MODULO 1 - REMUNERAÇÃO ]]</f>
        <v>103.87670456888887</v>
      </c>
      <c r="AS19" s="22">
        <f>SUMIF(tabParametros[Código do Posto],tabCustoUnit[[#This Row],[Código do Posto]],tabParametros[Indenização Adicional (Art. 9º da Lei nº 7.238/84)])*tabCustoUnit[[#This Row],[MODULO 1 - REMUNERAÇÃO ]]</f>
        <v>2.830942166666667</v>
      </c>
      <c r="AT19" s="22">
        <f>SUM(tabCustoUnit[[#This Row],[Aviso Prévio Indenizado (API) e Reflexo do Aviso Prévio Indenizado]:[Indenização Adicional (Art. 9º da Lei nº 7.238/84)]])</f>
        <v>149.57972324425771</v>
      </c>
      <c r="AU19" s="22">
        <f>SUMIF(tabParametros[Código do Posto],tabCustoUnit[[#This Row],[Código do Posto]],tabParametros[Ausência por Doença])*tabCustoUnit[[#This Row],[MODULO 1 - REMUNERAÇÃO ]]</f>
        <v>28.686880622222219</v>
      </c>
      <c r="AV19" s="22">
        <f>SUMIF(tabParametros[Código do Posto],tabCustoUnit[[#This Row],[Código do Posto]],tabParametros[Ausências Legais])*tabCustoUnit[[#This Row],[MODULO 1 - REMUNERAÇÃO ]]</f>
        <v>6.8886259388888886</v>
      </c>
      <c r="AW19" s="22">
        <f>SUMIF(tabParametros[Código do Posto],tabCustoUnit[[#This Row],[Código do Posto]],tabParametros[Licença Paternidade])*tabCustoUnit[[#This Row],[MODULO 1 - REMUNERAÇÃO ]]</f>
        <v>0.58034314416666666</v>
      </c>
      <c r="AX19" s="22">
        <f>SUMIF(tabParametros[Código do Posto],tabCustoUnit[[#This Row],[Código do Posto]],tabParametros[Ausência por Acidente de Trabalho])*tabCustoUnit[[#This Row],[MODULO 1 - REMUNERAÇÃO ]]</f>
        <v>0.70773554166666675</v>
      </c>
      <c r="AY19" s="22">
        <f>SUMIF(tabParametros[Código do Posto],tabCustoUnit[[#This Row],[Código do Posto]],tabParametros[Férias, Adicional de Férias e 13º  com empregada em gozo de Licença Maternidade])*tabCustoUnit[[#This Row],[MODULO 1 - REMUNERAÇÃO ]]</f>
        <v>4.4036878148148144</v>
      </c>
      <c r="AZ19" s="22">
        <f>SUMIF(tabParametros[Código do Posto],tabCustoUnit[[#This Row],[Código do Posto]],tabParametros[Incidência do Submódulo 2.1 sobre Ausências Legais])*tabCustoUnit[[#This Row],[MODULO 1 - REMUNERAÇÃO ]]</f>
        <v>15.599029217345002</v>
      </c>
      <c r="BA19" s="22">
        <f>SUM(tabCustoUnit[[#This Row],[Ausência por Doença]:[Incidência do Submódulo 2.1 sobre Ausências Legais]])</f>
        <v>56.866302279104261</v>
      </c>
      <c r="BB19" s="22">
        <f>SUMIF(tabParametros[Código do Posto],tabCustoUnit[[#This Row],[Código do Posto]],tabParametros[Intervalo para Repouso ou Alimentação])</f>
        <v>0</v>
      </c>
      <c r="BC19" s="22">
        <f>tabCustoUnit[[#This Row],[Intervalo para Repouso ou Alimentação]]</f>
        <v>0</v>
      </c>
      <c r="BD1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 s="22">
        <f>tabCustoUnit[[#This Row],[Suspensão Temporária do Contrato de Trabalho]]</f>
        <v>0</v>
      </c>
      <c r="BF19" s="22">
        <f>tabCustoUnit[[#This Row],[Submódulo 4.1]]+tabCustoUnit[[#This Row],[Submódulo 4.2]]+tabCustoUnit[[#This Row],[Submódulo 4.3]]</f>
        <v>56.866302279104261</v>
      </c>
      <c r="BG19" s="22">
        <f>VLOOKUP(tabCustoUnit[[#This Row],[Código do Posto]],tabParametros[],MATCH(tabCustoUnit[[#Headers],[Uniformes e EPIs]],tabParametros[#Headers],0),0)</f>
        <v>56.642978962543395</v>
      </c>
      <c r="BH19" s="22">
        <f>VLOOKUP(tabCustoUnit[[#This Row],[Código do Posto]],tabParametros[],MATCH(tabCustoUnit[[#Headers],[Materiais de Consumo]],tabParametros[#Headers],0),0)</f>
        <v>0</v>
      </c>
      <c r="BI19" s="22">
        <f>VLOOKUP(tabCustoUnit[[#This Row],[Código do Posto]],tabParametros[],MATCH(tabCustoUnit[[#Headers],[Máquinas e Equipamentos (depreciação)]],tabParametros[#Headers],0),0)</f>
        <v>0</v>
      </c>
      <c r="BJ19" s="22">
        <f>VLOOKUP(tabCustoUnit[[#This Row],[Código do Posto]],tabParametros[],MATCH(tabCustoUnit[[#Headers],[Produtos de Limpeza e Materiais de Higiene Pessoal]],tabParametros[#Headers],0),0)</f>
        <v>0</v>
      </c>
      <c r="BK19" s="22">
        <f>VLOOKUP(tabCustoUnit[[#This Row],[Código do Posto]],tabParametros[],MATCH(tabCustoUnit[[#Headers],[Outros (especificar)]],tabParametros[#Headers],0),0)</f>
        <v>0</v>
      </c>
      <c r="BL19" s="22">
        <f>SUM(tabCustoUnit[[#This Row],[Uniformes e EPIs]:[Outros (especificar)]])</f>
        <v>56.642978962543395</v>
      </c>
      <c r="BM1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 s="22" t="e">
        <f ca="1">VLOOKUP(tabCustoUnit[[#This Row],[Código do Posto]],tabParametros[],MATCH(tabCustoUnit[[#Headers],[Custos Indiretos]],tabParametros[#Headers],0),0)</f>
        <v>#NAME?</v>
      </c>
      <c r="BO19" s="22" t="e">
        <f ca="1">VLOOKUP(tabCustoUnit[[#This Row],[Código do Posto]],tabParametros[],MATCH(tabCustoUnit[[#Headers],[Lucro]],tabParametros[#Headers],0),0)</f>
        <v>#NAME?</v>
      </c>
      <c r="BP19" s="26">
        <f>((100/((1-tabCustoUnit[[#This Row],[Resumo de Alíquotas (PIS+CONFINS+ISS)]]))-100)*VLOOKUP(tabCustoUnit[[#This Row],[Código do Posto]],tabParametros[],MATCH(tabCustoUnit[[#Headers],[COFINS]],tabParametros[#Headers],0),0))/(tabCustoUnit[[#This Row],[Resumo de Alíquotas (PIS+CONFINS+ISS)]]*100)</f>
        <v>8.5633802816901458E-2</v>
      </c>
      <c r="BQ19" s="26">
        <f>((100/((100-(tabCustoUnit[[#This Row],[Resumo de Alíquotas (PIS+CONFINS+ISS)]]*100))%)-100)*VLOOKUP(tabCustoUnit[[#This Row],[Código do Posto]],tabParametros[],MATCH(tabCustoUnit[[#Headers],[PIS]],tabParametros[#Headers],0),0))/(tabCustoUnit[[#This Row],[Resumo de Alíquotas (PIS+CONFINS+ISS)]]*100)</f>
        <v>1.8591549295774657E-2</v>
      </c>
      <c r="BR19" s="28">
        <f>VLOOKUP(tabCustoUnit[[#This Row],[Código do Posto]],tabParametros[],MATCH(tabCustoUnit[[#Headers],[ISS]],tabParametros[#Headers],0),0)</f>
        <v>0.02</v>
      </c>
      <c r="BS19" s="26">
        <f>(((100/((100-(tabCustoUnit[[#This Row],[Resumo de Alíquotas (PIS+CONFINS+ISS)]]*100))%)-100)*tabCustoUnit[[#This Row],[ISS]])/tabCustoUnit[[#This Row],[Resumo de Alíquotas (PIS+CONFINS+ISS)]])/100</f>
        <v>2.2535211267605645E-2</v>
      </c>
      <c r="BT1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9" s="138">
        <f>tabCustoUnit[[#This Row],[COFINS]]+tabCustoUnit[[#This Row],[PIS]]+tabCustoUnit[[#This Row],[ISS (Conversão Alíquota s/ fatura)]]</f>
        <v>0.12676056338028174</v>
      </c>
      <c r="BV19" s="22" t="e">
        <f ca="1">(tabCustoUnit[[#This Row],[TOTAL MÓDULOS 1+2+3+4+5]]+tabCustoUnit[[#This Row],[Custos Indiretos]]+tabCustoUnit[[#This Row],[Lucro]])*tabCustoUnit[[#This Row],[PIS + COFINS + ISS (Total Conversão  Alíquota s/ Fatura)]]</f>
        <v>#NAME?</v>
      </c>
      <c r="BW19" s="22" t="e">
        <f ca="1">tabCustoUnit[[#This Row],[Custos Indiretos]]+tabCustoUnit[[#This Row],[Lucro]]+tabCustoUnit[[#This Row],[Valor dos Tributos (ISS, PIS, CONFINS)]]</f>
        <v>#NAME?</v>
      </c>
      <c r="BX19" s="22" t="e">
        <f ca="1">tabCustoUnit[[#This Row],[TOTAL MÓDULOS 1+2+3+4+5]]+tabCustoUnit[[#This Row],[MÓDULO 6 – CUSTOS INDIRETOS, TRIBUTOS E LUCRO]]</f>
        <v>#NAME?</v>
      </c>
      <c r="BY19" s="22" t="e">
        <f ca="1">tabCustoUnit[[#This Row],[CUSTO TOTAL MENSAL]]*12</f>
        <v>#NAME?</v>
      </c>
      <c r="BZ19" s="24">
        <f>VLOOKUP(tabCustoUnit[[#This Row],[Código do Posto]],tabParametros[],MATCH(tabCustoUnit[[#Headers],[ANO DA CCT]],tabParametros[#Headers],0),0)</f>
        <v>45658</v>
      </c>
      <c r="CA19" s="25" t="str">
        <f>VLOOKUP(tabCustoUnit[[#This Row],[Código do Posto]],tabParametros[],MATCH(tabCustoUnit[[#Headers],[Nº DE PEDIDO DA CCT]],tabParametros[#Headers],0),0)</f>
        <v>-</v>
      </c>
      <c r="CB19" s="25" t="str">
        <f>VLOOKUP(tabCustoUnit[[#This Row],[Código do Posto]],tabParametros[],MATCH(tabCustoUnit[[#Headers],[TERMO ADITIVO ALTERAÇÃO DA CCT]],tabParametros[#Headers],0),0)</f>
        <v>-</v>
      </c>
    </row>
    <row r="20" spans="1:80">
      <c r="A20" s="20" t="s">
        <v>1542</v>
      </c>
      <c r="B20" t="s">
        <v>1099</v>
      </c>
      <c r="C20" t="s">
        <v>324</v>
      </c>
      <c r="D20" t="s">
        <v>942</v>
      </c>
      <c r="E20" s="20" t="s">
        <v>1090</v>
      </c>
      <c r="F20" s="20" t="s">
        <v>120</v>
      </c>
      <c r="G20" s="418">
        <v>3397.1305000000002</v>
      </c>
      <c r="H20" s="418">
        <v>0</v>
      </c>
      <c r="I20" s="418">
        <v>0</v>
      </c>
      <c r="J20" s="418">
        <v>0</v>
      </c>
      <c r="K20" s="418">
        <v>0</v>
      </c>
      <c r="L20" s="418">
        <v>0</v>
      </c>
      <c r="M20" s="418">
        <v>0</v>
      </c>
      <c r="N20" s="418">
        <v>0</v>
      </c>
      <c r="O20" s="21">
        <f>SUM(tabCustoUnit[[#This Row],[Salário Base]:[Adicional de Acúmulo de função]])</f>
        <v>3397.1305000000002</v>
      </c>
      <c r="P20" s="21">
        <f>tabCustoUnit[[#This Row],[MODULO 1 - REMUNERAÇÃO ]]*SUMIFS(tabParametros[INSS],tabParametros[Código do Posto],tabCustoUnit[[#This Row],[Código do Posto]])</f>
        <v>679.42610000000013</v>
      </c>
      <c r="Q20" s="21">
        <f>tabCustoUnit[[#This Row],[MODULO 1 - REMUNERAÇÃO ]]*SUMIFS(tabParametros[SESI OU SESC],tabParametros[Código do Posto],tabCustoUnit[[#This Row],[Código do Posto]])</f>
        <v>50.956957500000001</v>
      </c>
      <c r="R20" s="21">
        <f>tabCustoUnit[[#This Row],[MODULO 1 - REMUNERAÇÃO ]]*SUMIFS(tabParametros[SENAI OU SENAC],tabParametros[Código do Posto],tabCustoUnit[[#This Row],[Código do Posto]])</f>
        <v>33.971305000000001</v>
      </c>
      <c r="S20" s="21">
        <f>tabCustoUnit[[#This Row],[MODULO 1 - REMUNERAÇÃO ]]*SUMIFS(tabParametros[INCRA],tabParametros[Código do Posto],tabCustoUnit[[#This Row],[Código do Posto]])</f>
        <v>6.7942610000000005</v>
      </c>
      <c r="T20" s="21">
        <f>tabCustoUnit[[#This Row],[MODULO 1 - REMUNERAÇÃO ]]*SUMIFS(tabParametros[Salário Educação],tabParametros[Código do Posto],tabCustoUnit[[#This Row],[Código do Posto]])</f>
        <v>84.928262500000017</v>
      </c>
      <c r="U20" s="21">
        <f>tabCustoUnit[[#This Row],[MODULO 1 - REMUNERAÇÃO ]]*SUMIFS(tabParametros[FGTS],tabParametros[Código do Posto],tabCustoUnit[[#This Row],[Código do Posto]])</f>
        <v>271.77044000000001</v>
      </c>
      <c r="V20" s="21">
        <f>tabCustoUnit[[#This Row],[MODULO 1 - REMUNERAÇÃO ]]*SUMIFS(tabParametros[RAT Ajustado],tabParametros[Código do Posto],tabCustoUnit[[#This Row],[Código do Posto]])</f>
        <v>135.88522</v>
      </c>
      <c r="W20" s="21">
        <f>tabCustoUnit[[#This Row],[MODULO 1 - REMUNERAÇÃO ]]*SUMIFS(tabParametros[SEBRAE],tabParametros[Código do Posto],tabCustoUnit[[#This Row],[Código do Posto]])</f>
        <v>20.382783000000003</v>
      </c>
      <c r="X20" s="21">
        <f>SUM(tabCustoUnit[[#This Row],[INSS]:[SEBRAE]])</f>
        <v>1284.1153290000002</v>
      </c>
      <c r="Y20" s="21">
        <f>tabCustoUnit[[#This Row],[MODULO 1 - REMUNERAÇÃO ]]*SUMIFS(tabParametros[13º salário (titular)],tabParametros[Código do Posto],tabCustoUnit[[#This Row],[Código do Posto]])</f>
        <v>283.09420833333331</v>
      </c>
      <c r="Z20" s="21">
        <f>tabCustoUnit[[#This Row],[MODULO 1 - REMUNERAÇÃO ]]*SUMIFS(tabParametros[Férias e Adicional de Férias (titular)],tabParametros[Código do Posto],tabCustoUnit[[#This Row],[Código do Posto]])</f>
        <v>377.45894444444446</v>
      </c>
      <c r="AA20" s="21">
        <f>IFERROR((tabCustoUnit[[#This Row],[Submódulo 2.1]]/tabCustoUnit[[#This Row],[MODULO 1 - REMUNERAÇÃO ]])*SUM(tabCustoUnit[[#This Row],[13º salário (titular)]:[Férias e Adicional de Férias (titular)]]),0)</f>
        <v>249.68909175000005</v>
      </c>
      <c r="AB20" s="21">
        <f>SUM(tabCustoUnit[[#This Row],[13º salário (titular)]:[Incidência do Submódulo 2.1 sobre 13º Salário, Férias e Adicional de Férias]])</f>
        <v>910.24224452777776</v>
      </c>
      <c r="AC20" s="22" t="e">
        <f ca="1">_xlfn.LET(_xlpm.VT,SUMIF(tabParametros[Código do Posto],tabCustoUnit[[#This Row],[Código do Posto]],tabParametros[Vale - Transporte])*2*20,
IF((_xlpm.VT-tabCustoUnit[[#This Row],[Salário Base]]*0.06)&gt;=0,(_xlpm.VT-tabCustoUnit[[#This Row],[Salário Base]]*0.06),0)
)</f>
        <v>#NAME?</v>
      </c>
      <c r="AD20" s="22">
        <f>IF(SUMIF(tabParametros[Código do Posto],tabCustoUnit[[#This Row],[Código do Posto]],tabParametros[Vale - Alimentação])&lt;=0,0,
SUMIF(tabParametros[Código do Posto],tabCustoUnit[[#This Row],[Código do Posto]],tabParametros[Vale - Alimentação])*20-1)</f>
        <v>582</v>
      </c>
      <c r="AE20" s="22">
        <f>SUMIF(tabParametros[Código do Posto],tabCustoUnit[[#This Row],[Código do Posto]],tabParametros[Cesta Básica])</f>
        <v>0</v>
      </c>
      <c r="AF20" s="22">
        <f>SUMIF(tabParametros[Código do Posto],tabCustoUnit[[#This Row],[Código do Posto]],tabParametros[PAF])</f>
        <v>51.88</v>
      </c>
      <c r="AG20" s="22">
        <f>SUMIF(tabParametros[Código do Posto],tabCustoUnit[[#This Row],[Código do Posto]],tabParametros[PQM])</f>
        <v>0</v>
      </c>
      <c r="AH20" s="22">
        <f>SUMIF(tabParametros[Código do Posto],tabCustoUnit[[#This Row],[Código do Posto]],tabParametros[Abono Único e Especial])</f>
        <v>0</v>
      </c>
      <c r="AI20" s="22">
        <f>SUMIF(tabParametros[Código do Posto],tabCustoUnit[[#This Row],[Código do Posto]],tabParametros[Seguro de Vida])</f>
        <v>3.36</v>
      </c>
      <c r="AJ20" s="22">
        <f>SUMIF(tabParametros[Código do Posto],tabCustoUnit[[#This Row],[Código do Posto]],tabParametros[Despesas de Viagem])</f>
        <v>0</v>
      </c>
      <c r="AK20" s="22" t="e">
        <f ca="1">SUM(tabCustoUnit[[#This Row],[Vale - Transporte (Descontada parcela do empregado)]:[Despesas de Viagem]])</f>
        <v>#NAME?</v>
      </c>
      <c r="AL20" s="22" t="e">
        <f ca="1">tabCustoUnit[[#This Row],[Submódulo 2.1]]+tabCustoUnit[[#This Row],[Submódulo 2.2]]+tabCustoUnit[[#This Row],[Submódulo 2.3]]</f>
        <v>#NAME?</v>
      </c>
      <c r="AM20" s="22">
        <f>SUMIF(tabParametros[Código do Posto],tabCustoUnit[[#This Row],[Código do Posto]],tabParametros[Aviso Prévio Indenizado (API) e Reflexo do Aviso Prévio Indenizado])*tabCustoUnit[[#This Row],[MODULO 1 - REMUNERAÇÃO ]]</f>
        <v>23.819887450713736</v>
      </c>
      <c r="AN20" s="22">
        <f>SUMIF(tabParametros[Código do Posto],tabCustoUnit[[#This Row],[Código do Posto]],tabParametros[Incidência do FGTS sobre API e Reflexo do API])*tabCustoUnit[[#This Row],[MODULO 1 - REMUNERAÇÃO ]]</f>
        <v>1.9055909960570991</v>
      </c>
      <c r="AO20" s="22">
        <f>SUMIF(tabParametros[Código do Posto],tabCustoUnit[[#This Row],[Código do Posto]],tabParametros[Multa Rescisória do FGTS sobre o Aviso Prévio Indenizado])*tabCustoUnit[[#This Row],[MODULO 1 - REMUNERAÇÃO ]]</f>
        <v>0.76223639842283974</v>
      </c>
      <c r="AP20" s="22">
        <f>SUMIF(tabParametros[Código do Posto],tabCustoUnit[[#This Row],[Código do Posto]],tabParametros[Aviso Prévio Trabalhado - APT])*tabCustoUnit[[#This Row],[MODULO 1 - REMUNERAÇÃO ]]</f>
        <v>11.889956750000003</v>
      </c>
      <c r="AQ20" s="22">
        <f>SUMIF(tabParametros[Código do Posto],tabCustoUnit[[#This Row],[Código do Posto]],tabParametros[Incidência dos encargos do submódulo 2.1 sobre Aviso Prévio Trabalhado])*tabCustoUnit[[#This Row],[MODULO 1 - REMUNERAÇÃO ]]</f>
        <v>4.4944036515000017</v>
      </c>
      <c r="AR20" s="22">
        <f>SUMIF(tabParametros[Código do Posto],tabCustoUnit[[#This Row],[Código do Posto]],tabParametros[Multa Rescisória do FGTS])*tabCustoUnit[[#This Row],[MODULO 1 - REMUNERAÇÃO ]]</f>
        <v>103.87670151111111</v>
      </c>
      <c r="AS20" s="22">
        <f>SUMIF(tabParametros[Código do Posto],tabCustoUnit[[#This Row],[Código do Posto]],tabParametros[Indenização Adicional (Art. 9º da Lei nº 7.238/84)])*tabCustoUnit[[#This Row],[MODULO 1 - REMUNERAÇÃO ]]</f>
        <v>2.8309420833333339</v>
      </c>
      <c r="AT20" s="22">
        <f>SUM(tabCustoUnit[[#This Row],[Aviso Prévio Indenizado (API) e Reflexo do Aviso Prévio Indenizado]:[Indenização Adicional (Art. 9º da Lei nº 7.238/84)]])</f>
        <v>149.57971884113812</v>
      </c>
      <c r="AU20" s="22">
        <f>SUMIF(tabParametros[Código do Posto],tabCustoUnit[[#This Row],[Código do Posto]],tabParametros[Ausência por Doença])*tabCustoUnit[[#This Row],[MODULO 1 - REMUNERAÇÃO ]]</f>
        <v>28.686879777777776</v>
      </c>
      <c r="AV20" s="22">
        <f>SUMIF(tabParametros[Código do Posto],tabCustoUnit[[#This Row],[Código do Posto]],tabParametros[Ausências Legais])*tabCustoUnit[[#This Row],[MODULO 1 - REMUNERAÇÃO ]]</f>
        <v>6.888625736111111</v>
      </c>
      <c r="AW20" s="22">
        <f>SUMIF(tabParametros[Código do Posto],tabCustoUnit[[#This Row],[Código do Posto]],tabParametros[Licença Paternidade])*tabCustoUnit[[#This Row],[MODULO 1 - REMUNERAÇÃO ]]</f>
        <v>0.58034312708333335</v>
      </c>
      <c r="AX20" s="22">
        <f>SUMIF(tabParametros[Código do Posto],tabCustoUnit[[#This Row],[Código do Posto]],tabParametros[Ausência por Acidente de Trabalho])*tabCustoUnit[[#This Row],[MODULO 1 - REMUNERAÇÃO ]]</f>
        <v>0.70773552083333346</v>
      </c>
      <c r="AY20" s="22">
        <f>SUMIF(tabParametros[Código do Posto],tabCustoUnit[[#This Row],[Código do Posto]],tabParametros[Férias, Adicional de Férias e 13º  com empregada em gozo de Licença Maternidade])*tabCustoUnit[[#This Row],[MODULO 1 - REMUNERAÇÃO ]]</f>
        <v>4.4036876851851856</v>
      </c>
      <c r="AZ20" s="22">
        <f>SUMIF(tabParametros[Código do Posto],tabCustoUnit[[#This Row],[Código do Posto]],tabParametros[Incidência do Submódulo 2.1 sobre Ausências Legais])*tabCustoUnit[[#This Row],[MODULO 1 - REMUNERAÇÃO ]]</f>
        <v>15.599028758162504</v>
      </c>
      <c r="BA20" s="22">
        <f>SUM(tabCustoUnit[[#This Row],[Ausência por Doença]:[Incidência do Submódulo 2.1 sobre Ausências Legais]])</f>
        <v>56.866300605153235</v>
      </c>
      <c r="BB20" s="22">
        <f>SUMIF(tabParametros[Código do Posto],tabCustoUnit[[#This Row],[Código do Posto]],tabParametros[Intervalo para Repouso ou Alimentação])</f>
        <v>0</v>
      </c>
      <c r="BC20" s="22">
        <f>tabCustoUnit[[#This Row],[Intervalo para Repouso ou Alimentação]]</f>
        <v>0</v>
      </c>
      <c r="BD2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 s="22">
        <f>tabCustoUnit[[#This Row],[Suspensão Temporária do Contrato de Trabalho]]</f>
        <v>0</v>
      </c>
      <c r="BF20" s="22">
        <f>tabCustoUnit[[#This Row],[Submódulo 4.1]]+tabCustoUnit[[#This Row],[Submódulo 4.2]]+tabCustoUnit[[#This Row],[Submódulo 4.3]]</f>
        <v>56.866300605153235</v>
      </c>
      <c r="BG20" s="22">
        <f>VLOOKUP(tabCustoUnit[[#This Row],[Código do Posto]],tabParametros[],MATCH(tabCustoUnit[[#Headers],[Uniformes e EPIs]],tabParametros[#Headers],0),0)</f>
        <v>56.642978962543395</v>
      </c>
      <c r="BH20" s="22">
        <f>VLOOKUP(tabCustoUnit[[#This Row],[Código do Posto]],tabParametros[],MATCH(tabCustoUnit[[#Headers],[Materiais de Consumo]],tabParametros[#Headers],0),0)</f>
        <v>0</v>
      </c>
      <c r="BI20" s="22">
        <f>VLOOKUP(tabCustoUnit[[#This Row],[Código do Posto]],tabParametros[],MATCH(tabCustoUnit[[#Headers],[Máquinas e Equipamentos (depreciação)]],tabParametros[#Headers],0),0)</f>
        <v>0</v>
      </c>
      <c r="BJ20" s="22">
        <f>VLOOKUP(tabCustoUnit[[#This Row],[Código do Posto]],tabParametros[],MATCH(tabCustoUnit[[#Headers],[Produtos de Limpeza e Materiais de Higiene Pessoal]],tabParametros[#Headers],0),0)</f>
        <v>0</v>
      </c>
      <c r="BK20" s="22">
        <f>VLOOKUP(tabCustoUnit[[#This Row],[Código do Posto]],tabParametros[],MATCH(tabCustoUnit[[#Headers],[Outros (especificar)]],tabParametros[#Headers],0),0)</f>
        <v>0</v>
      </c>
      <c r="BL20" s="22">
        <f>SUM(tabCustoUnit[[#This Row],[Uniformes e EPIs]:[Outros (especificar)]])</f>
        <v>56.642978962543395</v>
      </c>
      <c r="BM2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 s="22" t="e">
        <f ca="1">VLOOKUP(tabCustoUnit[[#This Row],[Código do Posto]],tabParametros[],MATCH(tabCustoUnit[[#Headers],[Custos Indiretos]],tabParametros[#Headers],0),0)</f>
        <v>#NAME?</v>
      </c>
      <c r="BO20" s="22" t="e">
        <f ca="1">VLOOKUP(tabCustoUnit[[#This Row],[Código do Posto]],tabParametros[],MATCH(tabCustoUnit[[#Headers],[Lucro]],tabParametros[#Headers],0),0)</f>
        <v>#NAME?</v>
      </c>
      <c r="BP20" s="26">
        <f>((100/((1-tabCustoUnit[[#This Row],[Resumo de Alíquotas (PIS+CONFINS+ISS)]]))-100)*VLOOKUP(tabCustoUnit[[#This Row],[Código do Posto]],tabParametros[],MATCH(tabCustoUnit[[#Headers],[COFINS]],tabParametros[#Headers],0),0))/(tabCustoUnit[[#This Row],[Resumo de Alíquotas (PIS+CONFINS+ISS)]]*100)</f>
        <v>8.5633802816901458E-2</v>
      </c>
      <c r="BQ20" s="26">
        <f>((100/((100-(tabCustoUnit[[#This Row],[Resumo de Alíquotas (PIS+CONFINS+ISS)]]*100))%)-100)*VLOOKUP(tabCustoUnit[[#This Row],[Código do Posto]],tabParametros[],MATCH(tabCustoUnit[[#Headers],[PIS]],tabParametros[#Headers],0),0))/(tabCustoUnit[[#This Row],[Resumo de Alíquotas (PIS+CONFINS+ISS)]]*100)</f>
        <v>1.8591549295774657E-2</v>
      </c>
      <c r="BR20" s="28">
        <f>VLOOKUP(tabCustoUnit[[#This Row],[Código do Posto]],tabParametros[],MATCH(tabCustoUnit[[#Headers],[ISS]],tabParametros[#Headers],0),0)</f>
        <v>0.02</v>
      </c>
      <c r="BS20" s="26">
        <f>(((100/((100-(tabCustoUnit[[#This Row],[Resumo de Alíquotas (PIS+CONFINS+ISS)]]*100))%)-100)*tabCustoUnit[[#This Row],[ISS]])/tabCustoUnit[[#This Row],[Resumo de Alíquotas (PIS+CONFINS+ISS)]])/100</f>
        <v>2.2535211267605645E-2</v>
      </c>
      <c r="BT2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0" s="138">
        <f>tabCustoUnit[[#This Row],[COFINS]]+tabCustoUnit[[#This Row],[PIS]]+tabCustoUnit[[#This Row],[ISS (Conversão Alíquota s/ fatura)]]</f>
        <v>0.12676056338028174</v>
      </c>
      <c r="BV20" s="22" t="e">
        <f ca="1">(tabCustoUnit[[#This Row],[TOTAL MÓDULOS 1+2+3+4+5]]+tabCustoUnit[[#This Row],[Custos Indiretos]]+tabCustoUnit[[#This Row],[Lucro]])*tabCustoUnit[[#This Row],[PIS + COFINS + ISS (Total Conversão  Alíquota s/ Fatura)]]</f>
        <v>#NAME?</v>
      </c>
      <c r="BW20" s="22" t="e">
        <f ca="1">tabCustoUnit[[#This Row],[Custos Indiretos]]+tabCustoUnit[[#This Row],[Lucro]]+tabCustoUnit[[#This Row],[Valor dos Tributos (ISS, PIS, CONFINS)]]</f>
        <v>#NAME?</v>
      </c>
      <c r="BX20" s="22" t="e">
        <f ca="1">tabCustoUnit[[#This Row],[TOTAL MÓDULOS 1+2+3+4+5]]+tabCustoUnit[[#This Row],[MÓDULO 6 – CUSTOS INDIRETOS, TRIBUTOS E LUCRO]]</f>
        <v>#NAME?</v>
      </c>
      <c r="BY20" s="22" t="e">
        <f ca="1">tabCustoUnit[[#This Row],[CUSTO TOTAL MENSAL]]*12</f>
        <v>#NAME?</v>
      </c>
      <c r="BZ20" s="24">
        <f>VLOOKUP(tabCustoUnit[[#This Row],[Código do Posto]],tabParametros[],MATCH(tabCustoUnit[[#Headers],[ANO DA CCT]],tabParametros[#Headers],0),0)</f>
        <v>45658</v>
      </c>
      <c r="CA20" s="25" t="str">
        <f>VLOOKUP(tabCustoUnit[[#This Row],[Código do Posto]],tabParametros[],MATCH(tabCustoUnit[[#Headers],[Nº DE PEDIDO DA CCT]],tabParametros[#Headers],0),0)</f>
        <v>-</v>
      </c>
      <c r="CB20" s="25" t="str">
        <f>VLOOKUP(tabCustoUnit[[#This Row],[Código do Posto]],tabParametros[],MATCH(tabCustoUnit[[#Headers],[TERMO ADITIVO ALTERAÇÃO DA CCT]],tabParametros[#Headers],0),0)</f>
        <v>-</v>
      </c>
    </row>
    <row r="21" spans="1:80">
      <c r="A21" s="20" t="s">
        <v>1405</v>
      </c>
      <c r="B21" t="s">
        <v>1100</v>
      </c>
      <c r="C21" t="s">
        <v>200</v>
      </c>
      <c r="D21" t="s">
        <v>918</v>
      </c>
      <c r="E21" s="20" t="s">
        <v>1090</v>
      </c>
      <c r="F21" s="20" t="s">
        <v>120</v>
      </c>
      <c r="G21" s="418">
        <v>1596.2737999999999</v>
      </c>
      <c r="H21" s="418">
        <v>0</v>
      </c>
      <c r="I21" s="418">
        <v>0</v>
      </c>
      <c r="J21" s="418">
        <v>0</v>
      </c>
      <c r="K21" s="418">
        <v>0</v>
      </c>
      <c r="L21" s="418">
        <v>0</v>
      </c>
      <c r="M21" s="418">
        <v>0</v>
      </c>
      <c r="N21" s="418">
        <v>0</v>
      </c>
      <c r="O21" s="21">
        <f>SUM(tabCustoUnit[[#This Row],[Salário Base]:[Adicional de Acúmulo de função]])</f>
        <v>1596.2737999999999</v>
      </c>
      <c r="P21" s="21">
        <f>tabCustoUnit[[#This Row],[MODULO 1 - REMUNERAÇÃO ]]*SUMIFS(tabParametros[INSS],tabParametros[Código do Posto],tabCustoUnit[[#This Row],[Código do Posto]])</f>
        <v>319.25476000000003</v>
      </c>
      <c r="Q21" s="21">
        <f>tabCustoUnit[[#This Row],[MODULO 1 - REMUNERAÇÃO ]]*SUMIFS(tabParametros[SESI OU SESC],tabParametros[Código do Posto],tabCustoUnit[[#This Row],[Código do Posto]])</f>
        <v>23.944106999999999</v>
      </c>
      <c r="R21" s="21">
        <f>tabCustoUnit[[#This Row],[MODULO 1 - REMUNERAÇÃO ]]*SUMIFS(tabParametros[SENAI OU SENAC],tabParametros[Código do Posto],tabCustoUnit[[#This Row],[Código do Posto]])</f>
        <v>15.962738</v>
      </c>
      <c r="S21" s="21">
        <f>tabCustoUnit[[#This Row],[MODULO 1 - REMUNERAÇÃO ]]*SUMIFS(tabParametros[INCRA],tabParametros[Código do Posto],tabCustoUnit[[#This Row],[Código do Posto]])</f>
        <v>3.1925476000000002</v>
      </c>
      <c r="T21" s="21">
        <f>tabCustoUnit[[#This Row],[MODULO 1 - REMUNERAÇÃO ]]*SUMIFS(tabParametros[Salário Educação],tabParametros[Código do Posto],tabCustoUnit[[#This Row],[Código do Posto]])</f>
        <v>39.906845000000004</v>
      </c>
      <c r="U21" s="21">
        <f>tabCustoUnit[[#This Row],[MODULO 1 - REMUNERAÇÃO ]]*SUMIFS(tabParametros[FGTS],tabParametros[Código do Posto],tabCustoUnit[[#This Row],[Código do Posto]])</f>
        <v>127.701904</v>
      </c>
      <c r="V21" s="21">
        <f>tabCustoUnit[[#This Row],[MODULO 1 - REMUNERAÇÃO ]]*SUMIFS(tabParametros[RAT Ajustado],tabParametros[Código do Posto],tabCustoUnit[[#This Row],[Código do Posto]])</f>
        <v>63.850951999999999</v>
      </c>
      <c r="W21" s="21">
        <f>tabCustoUnit[[#This Row],[MODULO 1 - REMUNERAÇÃO ]]*SUMIFS(tabParametros[SEBRAE],tabParametros[Código do Posto],tabCustoUnit[[#This Row],[Código do Posto]])</f>
        <v>9.5776427999999996</v>
      </c>
      <c r="X21" s="21">
        <f>SUM(tabCustoUnit[[#This Row],[INSS]:[SEBRAE]])</f>
        <v>603.39149640000005</v>
      </c>
      <c r="Y21" s="21">
        <f>tabCustoUnit[[#This Row],[MODULO 1 - REMUNERAÇÃO ]]*SUMIFS(tabParametros[13º salário (titular)],tabParametros[Código do Posto],tabCustoUnit[[#This Row],[Código do Posto]])</f>
        <v>133.02281666666664</v>
      </c>
      <c r="Z21" s="21">
        <f>tabCustoUnit[[#This Row],[MODULO 1 - REMUNERAÇÃO ]]*SUMIFS(tabParametros[Férias e Adicional de Férias (titular)],tabParametros[Código do Posto],tabCustoUnit[[#This Row],[Código do Posto]])</f>
        <v>177.36375555555554</v>
      </c>
      <c r="AA21" s="21">
        <f>IFERROR((tabCustoUnit[[#This Row],[Submódulo 2.1]]/tabCustoUnit[[#This Row],[MODULO 1 - REMUNERAÇÃO ]])*SUM(tabCustoUnit[[#This Row],[13º salário (titular)]:[Férias e Adicional de Férias (titular)]]),0)</f>
        <v>117.3261243</v>
      </c>
      <c r="AB21" s="21">
        <f>SUM(tabCustoUnit[[#This Row],[13º salário (titular)]:[Incidência do Submódulo 2.1 sobre 13º Salário, Férias e Adicional de Férias]])</f>
        <v>427.71269652222219</v>
      </c>
      <c r="AC21" s="22" t="e">
        <f ca="1">_xlfn.LET(_xlpm.VT,SUMIF(tabParametros[Código do Posto],tabCustoUnit[[#This Row],[Código do Posto]],tabParametros[Vale - Transporte])*2*20,
IF((_xlpm.VT-tabCustoUnit[[#This Row],[Salário Base]]*0.06)&gt;=0,(_xlpm.VT-tabCustoUnit[[#This Row],[Salário Base]]*0.06),0)
)</f>
        <v>#NAME?</v>
      </c>
      <c r="AD21" s="22">
        <f>IF(SUMIF(tabParametros[Código do Posto],tabCustoUnit[[#This Row],[Código do Posto]],tabParametros[Vale - Alimentação])&lt;=0,0,
SUMIF(tabParametros[Código do Posto],tabCustoUnit[[#This Row],[Código do Posto]],tabParametros[Vale - Alimentação])*20-1)</f>
        <v>582</v>
      </c>
      <c r="AE21" s="22">
        <f>SUMIF(tabParametros[Código do Posto],tabCustoUnit[[#This Row],[Código do Posto]],tabParametros[Cesta Básica])</f>
        <v>0</v>
      </c>
      <c r="AF21" s="22">
        <f>SUMIF(tabParametros[Código do Posto],tabCustoUnit[[#This Row],[Código do Posto]],tabParametros[PAF])</f>
        <v>0</v>
      </c>
      <c r="AG21" s="22">
        <f>SUMIF(tabParametros[Código do Posto],tabCustoUnit[[#This Row],[Código do Posto]],tabParametros[PQM])</f>
        <v>15.07</v>
      </c>
      <c r="AH21" s="22">
        <f>SUMIF(tabParametros[Código do Posto],tabCustoUnit[[#This Row],[Código do Posto]],tabParametros[Abono Único e Especial])</f>
        <v>0</v>
      </c>
      <c r="AI21" s="22">
        <f>SUMIF(tabParametros[Código do Posto],tabCustoUnit[[#This Row],[Código do Posto]],tabParametros[Seguro de Vida])</f>
        <v>3.36</v>
      </c>
      <c r="AJ21" s="22">
        <f>SUMIF(tabParametros[Código do Posto],tabCustoUnit[[#This Row],[Código do Posto]],tabParametros[Despesas de Viagem])</f>
        <v>0</v>
      </c>
      <c r="AK21" s="22" t="e">
        <f ca="1">SUM(tabCustoUnit[[#This Row],[Vale - Transporte (Descontada parcela do empregado)]:[Despesas de Viagem]])</f>
        <v>#NAME?</v>
      </c>
      <c r="AL21" s="22" t="e">
        <f ca="1">tabCustoUnit[[#This Row],[Submódulo 2.1]]+tabCustoUnit[[#This Row],[Submódulo 2.2]]+tabCustoUnit[[#This Row],[Submódulo 2.3]]</f>
        <v>#NAME?</v>
      </c>
      <c r="AM21" s="22">
        <f>SUMIF(tabParametros[Código do Posto],tabCustoUnit[[#This Row],[Código do Posto]],tabParametros[Aviso Prévio Indenizado (API) e Reflexo do Aviso Prévio Indenizado])*tabCustoUnit[[#This Row],[MODULO 1 - REMUNERAÇÃO ]]</f>
        <v>11.192699914390431</v>
      </c>
      <c r="AN21" s="22">
        <f>SUMIF(tabParametros[Código do Posto],tabCustoUnit[[#This Row],[Código do Posto]],tabParametros[Incidência do FGTS sobre API e Reflexo do API])*tabCustoUnit[[#This Row],[MODULO 1 - REMUNERAÇÃO ]]</f>
        <v>0.89541599315123466</v>
      </c>
      <c r="AO21" s="22">
        <f>SUMIF(tabParametros[Código do Posto],tabCustoUnit[[#This Row],[Código do Posto]],tabParametros[Multa Rescisória do FGTS sobre o Aviso Prévio Indenizado])*tabCustoUnit[[#This Row],[MODULO 1 - REMUNERAÇÃO ]]</f>
        <v>0.35816639726049387</v>
      </c>
      <c r="AP21" s="22">
        <f>SUMIF(tabParametros[Código do Posto],tabCustoUnit[[#This Row],[Código do Posto]],tabParametros[Aviso Prévio Trabalhado - APT])*tabCustoUnit[[#This Row],[MODULO 1 - REMUNERAÇÃO ]]</f>
        <v>5.5869583000000009</v>
      </c>
      <c r="AQ21" s="22">
        <f>SUMIF(tabParametros[Código do Posto],tabCustoUnit[[#This Row],[Código do Posto]],tabParametros[Incidência dos encargos do submódulo 2.1 sobre Aviso Prévio Trabalhado])*tabCustoUnit[[#This Row],[MODULO 1 - REMUNERAÇÃO ]]</f>
        <v>2.1118702374000007</v>
      </c>
      <c r="AR21" s="22">
        <f>SUMIF(tabParametros[Código do Posto],tabCustoUnit[[#This Row],[Código do Posto]],tabParametros[Multa Rescisória do FGTS])*tabCustoUnit[[#This Row],[MODULO 1 - REMUNERAÇÃO ]]</f>
        <v>48.810505528888882</v>
      </c>
      <c r="AS21" s="22">
        <f>SUMIF(tabParametros[Código do Posto],tabCustoUnit[[#This Row],[Código do Posto]],tabParametros[Indenização Adicional (Art. 9º da Lei nº 7.238/84)])*tabCustoUnit[[#This Row],[MODULO 1 - REMUNERAÇÃO ]]</f>
        <v>1.3302281666666667</v>
      </c>
      <c r="AT21" s="22">
        <f>SUM(tabCustoUnit[[#This Row],[Aviso Prévio Indenizado (API) e Reflexo do Aviso Prévio Indenizado]:[Indenização Adicional (Art. 9º da Lei nº 7.238/84)]])</f>
        <v>70.285844537757711</v>
      </c>
      <c r="AU21" s="22">
        <f>SUMIF(tabParametros[Código do Posto],tabCustoUnit[[#This Row],[Código do Posto]],tabParametros[Ausência por Doença])*tabCustoUnit[[#This Row],[MODULO 1 - REMUNERAÇÃO ]]</f>
        <v>13.479645422222221</v>
      </c>
      <c r="AV21" s="22">
        <f>SUMIF(tabParametros[Código do Posto],tabCustoUnit[[#This Row],[Código do Posto]],tabParametros[Ausências Legais])*tabCustoUnit[[#This Row],[MODULO 1 - REMUNERAÇÃO ]]</f>
        <v>3.2368885388888886</v>
      </c>
      <c r="AW21" s="22">
        <f>SUMIF(tabParametros[Código do Posto],tabCustoUnit[[#This Row],[Código do Posto]],tabParametros[Licença Paternidade])*tabCustoUnit[[#This Row],[MODULO 1 - REMUNERAÇÃO ]]</f>
        <v>0.27269677416666666</v>
      </c>
      <c r="AX21" s="22">
        <f>SUMIF(tabParametros[Código do Posto],tabCustoUnit[[#This Row],[Código do Posto]],tabParametros[Ausência por Acidente de Trabalho])*tabCustoUnit[[#This Row],[MODULO 1 - REMUNERAÇÃO ]]</f>
        <v>0.33255704166666666</v>
      </c>
      <c r="AY21" s="22">
        <f>SUMIF(tabParametros[Código do Posto],tabCustoUnit[[#This Row],[Código do Posto]],tabParametros[Férias, Adicional de Férias e 13º  com empregada em gozo de Licença Maternidade])*tabCustoUnit[[#This Row],[MODULO 1 - REMUNERAÇÃO ]]</f>
        <v>2.0692438148148145</v>
      </c>
      <c r="AZ21" s="22">
        <f>SUMIF(tabParametros[Código do Posto],tabCustoUnit[[#This Row],[Código do Posto]],tabParametros[Incidência do Submódulo 2.1 sobre Ausências Legais])*tabCustoUnit[[#This Row],[MODULO 1 - REMUNERAÇÃO ]]</f>
        <v>7.3298099416850011</v>
      </c>
      <c r="BA21" s="22">
        <f>SUM(tabCustoUnit[[#This Row],[Ausência por Doença]:[Incidência do Submódulo 2.1 sobre Ausências Legais]])</f>
        <v>26.720841533444265</v>
      </c>
      <c r="BB21" s="22">
        <f>SUMIF(tabParametros[Código do Posto],tabCustoUnit[[#This Row],[Código do Posto]],tabParametros[Intervalo para Repouso ou Alimentação])</f>
        <v>0</v>
      </c>
      <c r="BC21" s="22">
        <f>tabCustoUnit[[#This Row],[Intervalo para Repouso ou Alimentação]]</f>
        <v>0</v>
      </c>
      <c r="BD2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 s="22">
        <f>tabCustoUnit[[#This Row],[Suspensão Temporária do Contrato de Trabalho]]</f>
        <v>0</v>
      </c>
      <c r="BF21" s="22">
        <f>tabCustoUnit[[#This Row],[Submódulo 4.1]]+tabCustoUnit[[#This Row],[Submódulo 4.2]]+tabCustoUnit[[#This Row],[Submódulo 4.3]]</f>
        <v>26.720841533444265</v>
      </c>
      <c r="BG21" s="22">
        <f>VLOOKUP(tabCustoUnit[[#This Row],[Código do Posto]],tabParametros[],MATCH(tabCustoUnit[[#Headers],[Uniformes e EPIs]],tabParametros[#Headers],0),0)</f>
        <v>56.141713661989918</v>
      </c>
      <c r="BH21" s="22">
        <f>VLOOKUP(tabCustoUnit[[#This Row],[Código do Posto]],tabParametros[],MATCH(tabCustoUnit[[#Headers],[Materiais de Consumo]],tabParametros[#Headers],0),0)</f>
        <v>0</v>
      </c>
      <c r="BI21" s="22">
        <f>VLOOKUP(tabCustoUnit[[#This Row],[Código do Posto]],tabParametros[],MATCH(tabCustoUnit[[#Headers],[Máquinas e Equipamentos (depreciação)]],tabParametros[#Headers],0),0)</f>
        <v>0</v>
      </c>
      <c r="BJ21" s="22">
        <f>VLOOKUP(tabCustoUnit[[#This Row],[Código do Posto]],tabParametros[],MATCH(tabCustoUnit[[#Headers],[Produtos de Limpeza e Materiais de Higiene Pessoal]],tabParametros[#Headers],0),0)</f>
        <v>0</v>
      </c>
      <c r="BK21" s="22">
        <f>VLOOKUP(tabCustoUnit[[#This Row],[Código do Posto]],tabParametros[],MATCH(tabCustoUnit[[#Headers],[Outros (especificar)]],tabParametros[#Headers],0),0)</f>
        <v>0</v>
      </c>
      <c r="BL21" s="22">
        <f>SUM(tabCustoUnit[[#This Row],[Uniformes e EPIs]:[Outros (especificar)]])</f>
        <v>56.141713661989918</v>
      </c>
      <c r="BM2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 s="22" t="e">
        <f ca="1">VLOOKUP(tabCustoUnit[[#This Row],[Código do Posto]],tabParametros[],MATCH(tabCustoUnit[[#Headers],[Custos Indiretos]],tabParametros[#Headers],0),0)</f>
        <v>#NAME?</v>
      </c>
      <c r="BO21" s="22" t="e">
        <f ca="1">VLOOKUP(tabCustoUnit[[#This Row],[Código do Posto]],tabParametros[],MATCH(tabCustoUnit[[#Headers],[Lucro]],tabParametros[#Headers],0),0)</f>
        <v>#NAME?</v>
      </c>
      <c r="BP21" s="26">
        <f>((100/((1-tabCustoUnit[[#This Row],[Resumo de Alíquotas (PIS+CONFINS+ISS)]]))-100)*VLOOKUP(tabCustoUnit[[#This Row],[Código do Posto]],tabParametros[],MATCH(tabCustoUnit[[#Headers],[COFINS]],tabParametros[#Headers],0),0))/(tabCustoUnit[[#This Row],[Resumo de Alíquotas (PIS+CONFINS+ISS)]]*100)</f>
        <v>8.6609686609686695E-2</v>
      </c>
      <c r="BQ21" s="26">
        <f>((100/((100-(tabCustoUnit[[#This Row],[Resumo de Alíquotas (PIS+CONFINS+ISS)]]*100))%)-100)*VLOOKUP(tabCustoUnit[[#This Row],[Código do Posto]],tabParametros[],MATCH(tabCustoUnit[[#Headers],[PIS]],tabParametros[#Headers],0),0))/(tabCustoUnit[[#This Row],[Resumo de Alíquotas (PIS+CONFINS+ISS)]]*100)</f>
        <v>1.880341880341882E-2</v>
      </c>
      <c r="BR21" s="28">
        <f>VLOOKUP(tabCustoUnit[[#This Row],[Código do Posto]],tabParametros[],MATCH(tabCustoUnit[[#Headers],[ISS]],tabParametros[#Headers],0),0)</f>
        <v>0.03</v>
      </c>
      <c r="BS21" s="26">
        <f>(((100/((100-(tabCustoUnit[[#This Row],[Resumo de Alíquotas (PIS+CONFINS+ISS)]]*100))%)-100)*tabCustoUnit[[#This Row],[ISS]])/tabCustoUnit[[#This Row],[Resumo de Alíquotas (PIS+CONFINS+ISS)]])/100</f>
        <v>3.4188034188034219E-2</v>
      </c>
      <c r="BT2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 s="138">
        <f>tabCustoUnit[[#This Row],[COFINS]]+tabCustoUnit[[#This Row],[PIS]]+tabCustoUnit[[#This Row],[ISS (Conversão Alíquota s/ fatura)]]</f>
        <v>0.13960113960113973</v>
      </c>
      <c r="BV21" s="22" t="e">
        <f ca="1">(tabCustoUnit[[#This Row],[TOTAL MÓDULOS 1+2+3+4+5]]+tabCustoUnit[[#This Row],[Custos Indiretos]]+tabCustoUnit[[#This Row],[Lucro]])*tabCustoUnit[[#This Row],[PIS + COFINS + ISS (Total Conversão  Alíquota s/ Fatura)]]</f>
        <v>#NAME?</v>
      </c>
      <c r="BW21" s="22" t="e">
        <f ca="1">tabCustoUnit[[#This Row],[Custos Indiretos]]+tabCustoUnit[[#This Row],[Lucro]]+tabCustoUnit[[#This Row],[Valor dos Tributos (ISS, PIS, CONFINS)]]</f>
        <v>#NAME?</v>
      </c>
      <c r="BX21" s="22" t="e">
        <f ca="1">tabCustoUnit[[#This Row],[TOTAL MÓDULOS 1+2+3+4+5]]+tabCustoUnit[[#This Row],[MÓDULO 6 – CUSTOS INDIRETOS, TRIBUTOS E LUCRO]]</f>
        <v>#NAME?</v>
      </c>
      <c r="BY21" s="22" t="e">
        <f ca="1">tabCustoUnit[[#This Row],[CUSTO TOTAL MENSAL]]*12</f>
        <v>#NAME?</v>
      </c>
      <c r="BZ21" s="24">
        <f>VLOOKUP(tabCustoUnit[[#This Row],[Código do Posto]],tabParametros[],MATCH(tabCustoUnit[[#Headers],[ANO DA CCT]],tabParametros[#Headers],0),0)</f>
        <v>45658</v>
      </c>
      <c r="CA21" s="25" t="str">
        <f>VLOOKUP(tabCustoUnit[[#This Row],[Código do Posto]],tabParametros[],MATCH(tabCustoUnit[[#Headers],[Nº DE PEDIDO DA CCT]],tabParametros[#Headers],0),0)</f>
        <v>-</v>
      </c>
      <c r="CB21" s="25" t="str">
        <f>VLOOKUP(tabCustoUnit[[#This Row],[Código do Posto]],tabParametros[],MATCH(tabCustoUnit[[#Headers],[TERMO ADITIVO ALTERAÇÃO DA CCT]],tabParametros[#Headers],0),0)</f>
        <v>-</v>
      </c>
    </row>
    <row r="22" spans="1:80">
      <c r="A22" s="20" t="s">
        <v>1543</v>
      </c>
      <c r="B22" t="s">
        <v>1100</v>
      </c>
      <c r="C22" t="s">
        <v>314</v>
      </c>
      <c r="D22" t="s">
        <v>918</v>
      </c>
      <c r="E22" s="20" t="s">
        <v>1090</v>
      </c>
      <c r="F22" s="20" t="s">
        <v>120</v>
      </c>
      <c r="G22" s="418">
        <v>1963.4110000000001</v>
      </c>
      <c r="H22" s="418">
        <v>0</v>
      </c>
      <c r="I22" s="418">
        <v>0</v>
      </c>
      <c r="J22" s="418">
        <v>0</v>
      </c>
      <c r="K22" s="418">
        <v>0</v>
      </c>
      <c r="L22" s="418">
        <v>0</v>
      </c>
      <c r="M22" s="418">
        <v>0</v>
      </c>
      <c r="N22" s="418">
        <v>0</v>
      </c>
      <c r="O22" s="21">
        <f>SUM(tabCustoUnit[[#This Row],[Salário Base]:[Adicional de Acúmulo de função]])</f>
        <v>1963.4110000000001</v>
      </c>
      <c r="P22" s="21">
        <f>tabCustoUnit[[#This Row],[MODULO 1 - REMUNERAÇÃO ]]*SUMIFS(tabParametros[INSS],tabParametros[Código do Posto],tabCustoUnit[[#This Row],[Código do Posto]])</f>
        <v>392.68220000000002</v>
      </c>
      <c r="Q22" s="21">
        <f>tabCustoUnit[[#This Row],[MODULO 1 - REMUNERAÇÃO ]]*SUMIFS(tabParametros[SESI OU SESC],tabParametros[Código do Posto],tabCustoUnit[[#This Row],[Código do Posto]])</f>
        <v>29.451165</v>
      </c>
      <c r="R22" s="21">
        <f>tabCustoUnit[[#This Row],[MODULO 1 - REMUNERAÇÃO ]]*SUMIFS(tabParametros[SENAI OU SENAC],tabParametros[Código do Posto],tabCustoUnit[[#This Row],[Código do Posto]])</f>
        <v>19.63411</v>
      </c>
      <c r="S22" s="21">
        <f>tabCustoUnit[[#This Row],[MODULO 1 - REMUNERAÇÃO ]]*SUMIFS(tabParametros[INCRA],tabParametros[Código do Posto],tabCustoUnit[[#This Row],[Código do Posto]])</f>
        <v>3.926822</v>
      </c>
      <c r="T22" s="21">
        <f>tabCustoUnit[[#This Row],[MODULO 1 - REMUNERAÇÃO ]]*SUMIFS(tabParametros[Salário Educação],tabParametros[Código do Posto],tabCustoUnit[[#This Row],[Código do Posto]])</f>
        <v>49.085275000000003</v>
      </c>
      <c r="U22" s="21">
        <f>tabCustoUnit[[#This Row],[MODULO 1 - REMUNERAÇÃO ]]*SUMIFS(tabParametros[FGTS],tabParametros[Código do Posto],tabCustoUnit[[#This Row],[Código do Posto]])</f>
        <v>157.07288</v>
      </c>
      <c r="V22" s="21">
        <f>tabCustoUnit[[#This Row],[MODULO 1 - REMUNERAÇÃO ]]*SUMIFS(tabParametros[RAT Ajustado],tabParametros[Código do Posto],tabCustoUnit[[#This Row],[Código do Posto]])</f>
        <v>78.536439999999999</v>
      </c>
      <c r="W22" s="21">
        <f>tabCustoUnit[[#This Row],[MODULO 1 - REMUNERAÇÃO ]]*SUMIFS(tabParametros[SEBRAE],tabParametros[Código do Posto],tabCustoUnit[[#This Row],[Código do Posto]])</f>
        <v>11.780466000000001</v>
      </c>
      <c r="X22" s="21">
        <f>SUM(tabCustoUnit[[#This Row],[INSS]:[SEBRAE]])</f>
        <v>742.1693580000001</v>
      </c>
      <c r="Y22" s="21">
        <f>tabCustoUnit[[#This Row],[MODULO 1 - REMUNERAÇÃO ]]*SUMIFS(tabParametros[13º salário (titular)],tabParametros[Código do Posto],tabCustoUnit[[#This Row],[Código do Posto]])</f>
        <v>163.61758333333333</v>
      </c>
      <c r="Z22" s="21">
        <f>tabCustoUnit[[#This Row],[MODULO 1 - REMUNERAÇÃO ]]*SUMIFS(tabParametros[Férias e Adicional de Férias (titular)],tabParametros[Código do Posto],tabCustoUnit[[#This Row],[Código do Posto]])</f>
        <v>218.15677777777776</v>
      </c>
      <c r="AA22" s="21">
        <f>IFERROR((tabCustoUnit[[#This Row],[Submódulo 2.1]]/tabCustoUnit[[#This Row],[MODULO 1 - REMUNERAÇÃO ]])*SUM(tabCustoUnit[[#This Row],[13º salário (titular)]:[Férias e Adicional de Férias (titular)]]),0)</f>
        <v>144.3107085</v>
      </c>
      <c r="AB22" s="21">
        <f>SUM(tabCustoUnit[[#This Row],[13º salário (titular)]:[Incidência do Submódulo 2.1 sobre 13º Salário, Férias e Adicional de Férias]])</f>
        <v>526.08506961111107</v>
      </c>
      <c r="AC22" s="22" t="e">
        <f ca="1">_xlfn.LET(_xlpm.VT,SUMIF(tabParametros[Código do Posto],tabCustoUnit[[#This Row],[Código do Posto]],tabParametros[Vale - Transporte])*2*20,
IF((_xlpm.VT-tabCustoUnit[[#This Row],[Salário Base]]*0.06)&gt;=0,(_xlpm.VT-tabCustoUnit[[#This Row],[Salário Base]]*0.06),0)
)</f>
        <v>#NAME?</v>
      </c>
      <c r="AD22" s="22">
        <f>IF(SUMIF(tabParametros[Código do Posto],tabCustoUnit[[#This Row],[Código do Posto]],tabParametros[Vale - Alimentação])&lt;=0,0,
SUMIF(tabParametros[Código do Posto],tabCustoUnit[[#This Row],[Código do Posto]],tabParametros[Vale - Alimentação])*20-1)</f>
        <v>582</v>
      </c>
      <c r="AE22" s="22">
        <f>SUMIF(tabParametros[Código do Posto],tabCustoUnit[[#This Row],[Código do Posto]],tabParametros[Cesta Básica])</f>
        <v>0</v>
      </c>
      <c r="AF22" s="22">
        <f>SUMIF(tabParametros[Código do Posto],tabCustoUnit[[#This Row],[Código do Posto]],tabParametros[PAF])</f>
        <v>0</v>
      </c>
      <c r="AG22" s="22">
        <f>SUMIF(tabParametros[Código do Posto],tabCustoUnit[[#This Row],[Código do Posto]],tabParametros[PQM])</f>
        <v>15.07</v>
      </c>
      <c r="AH22" s="22">
        <f>SUMIF(tabParametros[Código do Posto],tabCustoUnit[[#This Row],[Código do Posto]],tabParametros[Abono Único e Especial])</f>
        <v>0</v>
      </c>
      <c r="AI22" s="22">
        <f>SUMIF(tabParametros[Código do Posto],tabCustoUnit[[#This Row],[Código do Posto]],tabParametros[Seguro de Vida])</f>
        <v>3.36</v>
      </c>
      <c r="AJ22" s="22">
        <f>SUMIF(tabParametros[Código do Posto],tabCustoUnit[[#This Row],[Código do Posto]],tabParametros[Despesas de Viagem])</f>
        <v>0</v>
      </c>
      <c r="AK22" s="22" t="e">
        <f ca="1">SUM(tabCustoUnit[[#This Row],[Vale - Transporte (Descontada parcela do empregado)]:[Despesas de Viagem]])</f>
        <v>#NAME?</v>
      </c>
      <c r="AL22" s="22" t="e">
        <f ca="1">tabCustoUnit[[#This Row],[Submódulo 2.1]]+tabCustoUnit[[#This Row],[Submódulo 2.2]]+tabCustoUnit[[#This Row],[Submódulo 2.3]]</f>
        <v>#NAME?</v>
      </c>
      <c r="AM22" s="22">
        <f>SUMIF(tabParametros[Código do Posto],tabCustoUnit[[#This Row],[Código do Posto]],tabParametros[Aviso Prévio Indenizado (API) e Reflexo do Aviso Prévio Indenizado])*tabCustoUnit[[#This Row],[MODULO 1 - REMUNERAÇÃO ]]</f>
        <v>13.766980408757716</v>
      </c>
      <c r="AN22" s="22">
        <f>SUMIF(tabParametros[Código do Posto],tabCustoUnit[[#This Row],[Código do Posto]],tabParametros[Incidência do FGTS sobre API e Reflexo do API])*tabCustoUnit[[#This Row],[MODULO 1 - REMUNERAÇÃO ]]</f>
        <v>1.1013584327006174</v>
      </c>
      <c r="AO22" s="22">
        <f>SUMIF(tabParametros[Código do Posto],tabCustoUnit[[#This Row],[Código do Posto]],tabParametros[Multa Rescisória do FGTS sobre o Aviso Prévio Indenizado])*tabCustoUnit[[#This Row],[MODULO 1 - REMUNERAÇÃO ]]</f>
        <v>0.44054337308024699</v>
      </c>
      <c r="AP22" s="22">
        <f>SUMIF(tabParametros[Código do Posto],tabCustoUnit[[#This Row],[Código do Posto]],tabParametros[Aviso Prévio Trabalhado - APT])*tabCustoUnit[[#This Row],[MODULO 1 - REMUNERAÇÃO ]]</f>
        <v>6.8719385000000015</v>
      </c>
      <c r="AQ22" s="22">
        <f>SUMIF(tabParametros[Código do Posto],tabCustoUnit[[#This Row],[Código do Posto]],tabParametros[Incidência dos encargos do submódulo 2.1 sobre Aviso Prévio Trabalhado])*tabCustoUnit[[#This Row],[MODULO 1 - REMUNERAÇÃO ]]</f>
        <v>2.5975927530000007</v>
      </c>
      <c r="AR22" s="22">
        <f>SUMIF(tabParametros[Código do Posto],tabCustoUnit[[#This Row],[Código do Posto]],tabParametros[Multa Rescisória do FGTS])*tabCustoUnit[[#This Row],[MODULO 1 - REMUNERAÇÃO ]]</f>
        <v>60.03674524444444</v>
      </c>
      <c r="AS22" s="22">
        <f>SUMIF(tabParametros[Código do Posto],tabCustoUnit[[#This Row],[Código do Posto]],tabParametros[Indenização Adicional (Art. 9º da Lei nº 7.238/84)])*tabCustoUnit[[#This Row],[MODULO 1 - REMUNERAÇÃO ]]</f>
        <v>1.6361758333333334</v>
      </c>
      <c r="AT22" s="22">
        <f>SUM(tabCustoUnit[[#This Row],[Aviso Prévio Indenizado (API) e Reflexo do Aviso Prévio Indenizado]:[Indenização Adicional (Art. 9º da Lei nº 7.238/84)]])</f>
        <v>86.451334545316371</v>
      </c>
      <c r="AU22" s="22">
        <f>SUMIF(tabParametros[Código do Posto],tabCustoUnit[[#This Row],[Código do Posto]],tabParametros[Ausência por Doença])*tabCustoUnit[[#This Row],[MODULO 1 - REMUNERAÇÃO ]]</f>
        <v>16.579915111111109</v>
      </c>
      <c r="AV22" s="22">
        <f>SUMIF(tabParametros[Código do Posto],tabCustoUnit[[#This Row],[Código do Posto]],tabParametros[Ausências Legais])*tabCustoUnit[[#This Row],[MODULO 1 - REMUNERAÇÃO ]]</f>
        <v>3.9813611944444443</v>
      </c>
      <c r="AW22" s="22">
        <f>SUMIF(tabParametros[Código do Posto],tabCustoUnit[[#This Row],[Código do Posto]],tabParametros[Licença Paternidade])*tabCustoUnit[[#This Row],[MODULO 1 - REMUNERAÇÃO ]]</f>
        <v>0.33541604583333334</v>
      </c>
      <c r="AX22" s="22">
        <f>SUMIF(tabParametros[Código do Posto],tabCustoUnit[[#This Row],[Código do Posto]],tabParametros[Ausência por Acidente de Trabalho])*tabCustoUnit[[#This Row],[MODULO 1 - REMUNERAÇÃO ]]</f>
        <v>0.40904395833333335</v>
      </c>
      <c r="AY22" s="22">
        <f>SUMIF(tabParametros[Código do Posto],tabCustoUnit[[#This Row],[Código do Posto]],tabParametros[Férias, Adicional de Férias e 13º  com empregada em gozo de Licença Maternidade])*tabCustoUnit[[#This Row],[MODULO 1 - REMUNERAÇÃO ]]</f>
        <v>2.5451624074074073</v>
      </c>
      <c r="AZ22" s="22">
        <f>SUMIF(tabParametros[Código do Posto],tabCustoUnit[[#This Row],[Código do Posto]],tabParametros[Incidência do Submódulo 2.1 sobre Ausências Legais])*tabCustoUnit[[#This Row],[MODULO 1 - REMUNERAÇÃO ]]</f>
        <v>9.0156397150750021</v>
      </c>
      <c r="BA22" s="22">
        <f>SUM(tabCustoUnit[[#This Row],[Ausência por Doença]:[Incidência do Submódulo 2.1 sobre Ausências Legais]])</f>
        <v>32.866538432204628</v>
      </c>
      <c r="BB22" s="22">
        <f>SUMIF(tabParametros[Código do Posto],tabCustoUnit[[#This Row],[Código do Posto]],tabParametros[Intervalo para Repouso ou Alimentação])</f>
        <v>267.73786489195959</v>
      </c>
      <c r="BC22" s="22">
        <f>tabCustoUnit[[#This Row],[Intervalo para Repouso ou Alimentação]]</f>
        <v>267.73786489195959</v>
      </c>
      <c r="BD2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 s="22">
        <f>tabCustoUnit[[#This Row],[Suspensão Temporária do Contrato de Trabalho]]</f>
        <v>0</v>
      </c>
      <c r="BF22" s="22">
        <f>tabCustoUnit[[#This Row],[Submódulo 4.1]]+tabCustoUnit[[#This Row],[Submódulo 4.2]]+tabCustoUnit[[#This Row],[Submódulo 4.3]]</f>
        <v>300.6044033241642</v>
      </c>
      <c r="BG22" s="22">
        <f>VLOOKUP(tabCustoUnit[[#This Row],[Código do Posto]],tabParametros[],MATCH(tabCustoUnit[[#Headers],[Uniformes e EPIs]],tabParametros[#Headers],0),0)</f>
        <v>56.642978962543395</v>
      </c>
      <c r="BH22" s="22">
        <f>VLOOKUP(tabCustoUnit[[#This Row],[Código do Posto]],tabParametros[],MATCH(tabCustoUnit[[#Headers],[Materiais de Consumo]],tabParametros[#Headers],0),0)</f>
        <v>0</v>
      </c>
      <c r="BI22" s="22">
        <f>VLOOKUP(tabCustoUnit[[#This Row],[Código do Posto]],tabParametros[],MATCH(tabCustoUnit[[#Headers],[Máquinas e Equipamentos (depreciação)]],tabParametros[#Headers],0),0)</f>
        <v>0</v>
      </c>
      <c r="BJ22" s="22">
        <f>VLOOKUP(tabCustoUnit[[#This Row],[Código do Posto]],tabParametros[],MATCH(tabCustoUnit[[#Headers],[Produtos de Limpeza e Materiais de Higiene Pessoal]],tabParametros[#Headers],0),0)</f>
        <v>0</v>
      </c>
      <c r="BK22" s="22">
        <f>VLOOKUP(tabCustoUnit[[#This Row],[Código do Posto]],tabParametros[],MATCH(tabCustoUnit[[#Headers],[Outros (especificar)]],tabParametros[#Headers],0),0)</f>
        <v>0</v>
      </c>
      <c r="BL22" s="22">
        <f>SUM(tabCustoUnit[[#This Row],[Uniformes e EPIs]:[Outros (especificar)]])</f>
        <v>56.642978962543395</v>
      </c>
      <c r="BM2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 s="22" t="e">
        <f ca="1">VLOOKUP(tabCustoUnit[[#This Row],[Código do Posto]],tabParametros[],MATCH(tabCustoUnit[[#Headers],[Custos Indiretos]],tabParametros[#Headers],0),0)</f>
        <v>#NAME?</v>
      </c>
      <c r="BO22" s="22" t="e">
        <f ca="1">VLOOKUP(tabCustoUnit[[#This Row],[Código do Posto]],tabParametros[],MATCH(tabCustoUnit[[#Headers],[Lucro]],tabParametros[#Headers],0),0)</f>
        <v>#NAME?</v>
      </c>
      <c r="BP22" s="26">
        <f>((100/((1-tabCustoUnit[[#This Row],[Resumo de Alíquotas (PIS+CONFINS+ISS)]]))-100)*VLOOKUP(tabCustoUnit[[#This Row],[Código do Posto]],tabParametros[],MATCH(tabCustoUnit[[#Headers],[COFINS]],tabParametros[#Headers],0),0))/(tabCustoUnit[[#This Row],[Resumo de Alíquotas (PIS+CONFINS+ISS)]]*100)</f>
        <v>8.6609686609686695E-2</v>
      </c>
      <c r="BQ22" s="26">
        <f>((100/((100-(tabCustoUnit[[#This Row],[Resumo de Alíquotas (PIS+CONFINS+ISS)]]*100))%)-100)*VLOOKUP(tabCustoUnit[[#This Row],[Código do Posto]],tabParametros[],MATCH(tabCustoUnit[[#Headers],[PIS]],tabParametros[#Headers],0),0))/(tabCustoUnit[[#This Row],[Resumo de Alíquotas (PIS+CONFINS+ISS)]]*100)</f>
        <v>1.880341880341882E-2</v>
      </c>
      <c r="BR22" s="28">
        <f>VLOOKUP(tabCustoUnit[[#This Row],[Código do Posto]],tabParametros[],MATCH(tabCustoUnit[[#Headers],[ISS]],tabParametros[#Headers],0),0)</f>
        <v>0.03</v>
      </c>
      <c r="BS22" s="26">
        <f>(((100/((100-(tabCustoUnit[[#This Row],[Resumo de Alíquotas (PIS+CONFINS+ISS)]]*100))%)-100)*tabCustoUnit[[#This Row],[ISS]])/tabCustoUnit[[#This Row],[Resumo de Alíquotas (PIS+CONFINS+ISS)]])/100</f>
        <v>3.4188034188034219E-2</v>
      </c>
      <c r="BT2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 s="138">
        <f>tabCustoUnit[[#This Row],[COFINS]]+tabCustoUnit[[#This Row],[PIS]]+tabCustoUnit[[#This Row],[ISS (Conversão Alíquota s/ fatura)]]</f>
        <v>0.13960113960113973</v>
      </c>
      <c r="BV22" s="22" t="e">
        <f ca="1">(tabCustoUnit[[#This Row],[TOTAL MÓDULOS 1+2+3+4+5]]+tabCustoUnit[[#This Row],[Custos Indiretos]]+tabCustoUnit[[#This Row],[Lucro]])*tabCustoUnit[[#This Row],[PIS + COFINS + ISS (Total Conversão  Alíquota s/ Fatura)]]</f>
        <v>#NAME?</v>
      </c>
      <c r="BW22" s="22" t="e">
        <f ca="1">tabCustoUnit[[#This Row],[Custos Indiretos]]+tabCustoUnit[[#This Row],[Lucro]]+tabCustoUnit[[#This Row],[Valor dos Tributos (ISS, PIS, CONFINS)]]</f>
        <v>#NAME?</v>
      </c>
      <c r="BX22" s="22" t="e">
        <f ca="1">tabCustoUnit[[#This Row],[TOTAL MÓDULOS 1+2+3+4+5]]+tabCustoUnit[[#This Row],[MÓDULO 6 – CUSTOS INDIRETOS, TRIBUTOS E LUCRO]]</f>
        <v>#NAME?</v>
      </c>
      <c r="BY22" s="22" t="e">
        <f ca="1">tabCustoUnit[[#This Row],[CUSTO TOTAL MENSAL]]*12</f>
        <v>#NAME?</v>
      </c>
      <c r="BZ22" s="24">
        <f>VLOOKUP(tabCustoUnit[[#This Row],[Código do Posto]],tabParametros[],MATCH(tabCustoUnit[[#Headers],[ANO DA CCT]],tabParametros[#Headers],0),0)</f>
        <v>45658</v>
      </c>
      <c r="CA22" s="25" t="str">
        <f>VLOOKUP(tabCustoUnit[[#This Row],[Código do Posto]],tabParametros[],MATCH(tabCustoUnit[[#Headers],[Nº DE PEDIDO DA CCT]],tabParametros[#Headers],0),0)</f>
        <v>-</v>
      </c>
      <c r="CB22" s="25" t="str">
        <f>VLOOKUP(tabCustoUnit[[#This Row],[Código do Posto]],tabParametros[],MATCH(tabCustoUnit[[#Headers],[TERMO ADITIVO ALTERAÇÃO DA CCT]],tabParametros[#Headers],0),0)</f>
        <v>-</v>
      </c>
    </row>
    <row r="23" spans="1:80">
      <c r="A23" s="20" t="s">
        <v>1544</v>
      </c>
      <c r="B23" t="s">
        <v>1101</v>
      </c>
      <c r="C23" t="s">
        <v>324</v>
      </c>
      <c r="D23" t="s">
        <v>950</v>
      </c>
      <c r="E23" s="20" t="s">
        <v>1090</v>
      </c>
      <c r="F23" s="20" t="s">
        <v>120</v>
      </c>
      <c r="G23" s="418">
        <v>3397.1306</v>
      </c>
      <c r="H23" s="418">
        <v>0</v>
      </c>
      <c r="I23" s="418">
        <v>0</v>
      </c>
      <c r="J23" s="418">
        <v>0</v>
      </c>
      <c r="K23" s="418">
        <v>0</v>
      </c>
      <c r="L23" s="418">
        <v>0</v>
      </c>
      <c r="M23" s="418">
        <v>0</v>
      </c>
      <c r="N23" s="418">
        <v>0</v>
      </c>
      <c r="O23" s="21">
        <f>SUM(tabCustoUnit[[#This Row],[Salário Base]:[Adicional de Acúmulo de função]])</f>
        <v>3397.1306</v>
      </c>
      <c r="P23" s="21">
        <f>tabCustoUnit[[#This Row],[MODULO 1 - REMUNERAÇÃO ]]*SUMIFS(tabParametros[INSS],tabParametros[Código do Posto],tabCustoUnit[[#This Row],[Código do Posto]])</f>
        <v>679.42612000000008</v>
      </c>
      <c r="Q23" s="21">
        <f>tabCustoUnit[[#This Row],[MODULO 1 - REMUNERAÇÃO ]]*SUMIFS(tabParametros[SESI OU SESC],tabParametros[Código do Posto],tabCustoUnit[[#This Row],[Código do Posto]])</f>
        <v>50.956958999999998</v>
      </c>
      <c r="R23" s="21">
        <f>tabCustoUnit[[#This Row],[MODULO 1 - REMUNERAÇÃO ]]*SUMIFS(tabParametros[SENAI OU SENAC],tabParametros[Código do Posto],tabCustoUnit[[#This Row],[Código do Posto]])</f>
        <v>33.971305999999998</v>
      </c>
      <c r="S23" s="21">
        <f>tabCustoUnit[[#This Row],[MODULO 1 - REMUNERAÇÃO ]]*SUMIFS(tabParametros[INCRA],tabParametros[Código do Posto],tabCustoUnit[[#This Row],[Código do Posto]])</f>
        <v>6.7942612000000002</v>
      </c>
      <c r="T23" s="21">
        <f>tabCustoUnit[[#This Row],[MODULO 1 - REMUNERAÇÃO ]]*SUMIFS(tabParametros[Salário Educação],tabParametros[Código do Posto],tabCustoUnit[[#This Row],[Código do Posto]])</f>
        <v>84.92826500000001</v>
      </c>
      <c r="U23" s="21">
        <f>tabCustoUnit[[#This Row],[MODULO 1 - REMUNERAÇÃO ]]*SUMIFS(tabParametros[FGTS],tabParametros[Código do Posto],tabCustoUnit[[#This Row],[Código do Posto]])</f>
        <v>271.77044799999999</v>
      </c>
      <c r="V23" s="21">
        <f>tabCustoUnit[[#This Row],[MODULO 1 - REMUNERAÇÃO ]]*SUMIFS(tabParametros[RAT Ajustado],tabParametros[Código do Posto],tabCustoUnit[[#This Row],[Código do Posto]])</f>
        <v>135.88522399999999</v>
      </c>
      <c r="W23" s="21">
        <f>tabCustoUnit[[#This Row],[MODULO 1 - REMUNERAÇÃO ]]*SUMIFS(tabParametros[SEBRAE],tabParametros[Código do Posto],tabCustoUnit[[#This Row],[Código do Posto]])</f>
        <v>20.3827836</v>
      </c>
      <c r="X23" s="21">
        <f>SUM(tabCustoUnit[[#This Row],[INSS]:[SEBRAE]])</f>
        <v>1284.1153668000002</v>
      </c>
      <c r="Y23" s="21">
        <f>tabCustoUnit[[#This Row],[MODULO 1 - REMUNERAÇÃO ]]*SUMIFS(tabParametros[13º salário (titular)],tabParametros[Código do Posto],tabCustoUnit[[#This Row],[Código do Posto]])</f>
        <v>283.09421666666663</v>
      </c>
      <c r="Z23" s="21">
        <f>tabCustoUnit[[#This Row],[MODULO 1 - REMUNERAÇÃO ]]*SUMIFS(tabParametros[Férias e Adicional de Férias (titular)],tabParametros[Código do Posto],tabCustoUnit[[#This Row],[Código do Posto]])</f>
        <v>377.45895555555552</v>
      </c>
      <c r="AA23" s="21">
        <f>IFERROR((tabCustoUnit[[#This Row],[Submódulo 2.1]]/tabCustoUnit[[#This Row],[MODULO 1 - REMUNERAÇÃO ]])*SUM(tabCustoUnit[[#This Row],[13º salário (titular)]:[Férias e Adicional de Férias (titular)]]),0)</f>
        <v>249.68909910000002</v>
      </c>
      <c r="AB23" s="21">
        <f>SUM(tabCustoUnit[[#This Row],[13º salário (titular)]:[Incidência do Submódulo 2.1 sobre 13º Salário, Férias e Adicional de Férias]])</f>
        <v>910.24227132222222</v>
      </c>
      <c r="AC23" s="22" t="e">
        <f ca="1">_xlfn.LET(_xlpm.VT,SUMIF(tabParametros[Código do Posto],tabCustoUnit[[#This Row],[Código do Posto]],tabParametros[Vale - Transporte])*2*20,
IF((_xlpm.VT-tabCustoUnit[[#This Row],[Salário Base]]*0.06)&gt;=0,(_xlpm.VT-tabCustoUnit[[#This Row],[Salário Base]]*0.06),0)
)</f>
        <v>#NAME?</v>
      </c>
      <c r="AD23" s="22">
        <f>IF(SUMIF(tabParametros[Código do Posto],tabCustoUnit[[#This Row],[Código do Posto]],tabParametros[Vale - Alimentação])&lt;=0,0,
SUMIF(tabParametros[Código do Posto],tabCustoUnit[[#This Row],[Código do Posto]],tabParametros[Vale - Alimentação])*20-1)</f>
        <v>582</v>
      </c>
      <c r="AE23" s="22">
        <f>SUMIF(tabParametros[Código do Posto],tabCustoUnit[[#This Row],[Código do Posto]],tabParametros[Cesta Básica])</f>
        <v>0</v>
      </c>
      <c r="AF23" s="22">
        <f>SUMIF(tabParametros[Código do Posto],tabCustoUnit[[#This Row],[Código do Posto]],tabParametros[PAF])</f>
        <v>50.74</v>
      </c>
      <c r="AG23" s="22">
        <f>SUMIF(tabParametros[Código do Posto],tabCustoUnit[[#This Row],[Código do Posto]],tabParametros[PQM])</f>
        <v>0</v>
      </c>
      <c r="AH23" s="22">
        <f>SUMIF(tabParametros[Código do Posto],tabCustoUnit[[#This Row],[Código do Posto]],tabParametros[Abono Único e Especial])</f>
        <v>0</v>
      </c>
      <c r="AI23" s="22">
        <f>SUMIF(tabParametros[Código do Posto],tabCustoUnit[[#This Row],[Código do Posto]],tabParametros[Seguro de Vida])</f>
        <v>3.36</v>
      </c>
      <c r="AJ23" s="22">
        <f>SUMIF(tabParametros[Código do Posto],tabCustoUnit[[#This Row],[Código do Posto]],tabParametros[Despesas de Viagem])</f>
        <v>0</v>
      </c>
      <c r="AK23" s="22" t="e">
        <f ca="1">SUM(tabCustoUnit[[#This Row],[Vale - Transporte (Descontada parcela do empregado)]:[Despesas de Viagem]])</f>
        <v>#NAME?</v>
      </c>
      <c r="AL23" s="22" t="e">
        <f ca="1">tabCustoUnit[[#This Row],[Submódulo 2.1]]+tabCustoUnit[[#This Row],[Submódulo 2.2]]+tabCustoUnit[[#This Row],[Submódulo 2.3]]</f>
        <v>#NAME?</v>
      </c>
      <c r="AM23" s="22">
        <f>SUMIF(tabParametros[Código do Posto],tabCustoUnit[[#This Row],[Código do Posto]],tabParametros[Aviso Prévio Indenizado (API) e Reflexo do Aviso Prévio Indenizado])*tabCustoUnit[[#This Row],[MODULO 1 - REMUNERAÇÃO ]]</f>
        <v>23.819888151890432</v>
      </c>
      <c r="AN23" s="22">
        <f>SUMIF(tabParametros[Código do Posto],tabCustoUnit[[#This Row],[Código do Posto]],tabParametros[Incidência do FGTS sobre API e Reflexo do API])*tabCustoUnit[[#This Row],[MODULO 1 - REMUNERAÇÃO ]]</f>
        <v>1.9055910521512347</v>
      </c>
      <c r="AO23" s="22">
        <f>SUMIF(tabParametros[Código do Posto],tabCustoUnit[[#This Row],[Código do Posto]],tabParametros[Multa Rescisória do FGTS sobre o Aviso Prévio Indenizado])*tabCustoUnit[[#This Row],[MODULO 1 - REMUNERAÇÃO ]]</f>
        <v>0.76223642086049392</v>
      </c>
      <c r="AP23" s="22">
        <f>SUMIF(tabParametros[Código do Posto],tabCustoUnit[[#This Row],[Código do Posto]],tabParametros[Aviso Prévio Trabalhado - APT])*tabCustoUnit[[#This Row],[MODULO 1 - REMUNERAÇÃO ]]</f>
        <v>11.889957100000002</v>
      </c>
      <c r="AQ23" s="22">
        <f>SUMIF(tabParametros[Código do Posto],tabCustoUnit[[#This Row],[Código do Posto]],tabParametros[Incidência dos encargos do submódulo 2.1 sobre Aviso Prévio Trabalhado])*tabCustoUnit[[#This Row],[MODULO 1 - REMUNERAÇÃO ]]</f>
        <v>4.4944037838000011</v>
      </c>
      <c r="AR23" s="22">
        <f>SUMIF(tabParametros[Código do Posto],tabCustoUnit[[#This Row],[Código do Posto]],tabParametros[Multa Rescisória do FGTS])*tabCustoUnit[[#This Row],[MODULO 1 - REMUNERAÇÃO ]]</f>
        <v>103.87670456888887</v>
      </c>
      <c r="AS23" s="22">
        <f>SUMIF(tabParametros[Código do Posto],tabCustoUnit[[#This Row],[Código do Posto]],tabParametros[Indenização Adicional (Art. 9º da Lei nº 7.238/84)])*tabCustoUnit[[#This Row],[MODULO 1 - REMUNERAÇÃO ]]</f>
        <v>2.830942166666667</v>
      </c>
      <c r="AT23" s="22">
        <f>SUM(tabCustoUnit[[#This Row],[Aviso Prévio Indenizado (API) e Reflexo do Aviso Prévio Indenizado]:[Indenização Adicional (Art. 9º da Lei nº 7.238/84)]])</f>
        <v>149.57972324425771</v>
      </c>
      <c r="AU23" s="22">
        <f>SUMIF(tabParametros[Código do Posto],tabCustoUnit[[#This Row],[Código do Posto]],tabParametros[Ausência por Doença])*tabCustoUnit[[#This Row],[MODULO 1 - REMUNERAÇÃO ]]</f>
        <v>28.686880622222219</v>
      </c>
      <c r="AV23" s="22">
        <f>SUMIF(tabParametros[Código do Posto],tabCustoUnit[[#This Row],[Código do Posto]],tabParametros[Ausências Legais])*tabCustoUnit[[#This Row],[MODULO 1 - REMUNERAÇÃO ]]</f>
        <v>6.8886259388888886</v>
      </c>
      <c r="AW23" s="22">
        <f>SUMIF(tabParametros[Código do Posto],tabCustoUnit[[#This Row],[Código do Posto]],tabParametros[Licença Paternidade])*tabCustoUnit[[#This Row],[MODULO 1 - REMUNERAÇÃO ]]</f>
        <v>0.58034314416666666</v>
      </c>
      <c r="AX23" s="22">
        <f>SUMIF(tabParametros[Código do Posto],tabCustoUnit[[#This Row],[Código do Posto]],tabParametros[Ausência por Acidente de Trabalho])*tabCustoUnit[[#This Row],[MODULO 1 - REMUNERAÇÃO ]]</f>
        <v>0.70773554166666675</v>
      </c>
      <c r="AY23" s="22">
        <f>SUMIF(tabParametros[Código do Posto],tabCustoUnit[[#This Row],[Código do Posto]],tabParametros[Férias, Adicional de Férias e 13º  com empregada em gozo de Licença Maternidade])*tabCustoUnit[[#This Row],[MODULO 1 - REMUNERAÇÃO ]]</f>
        <v>4.4036878148148144</v>
      </c>
      <c r="AZ23" s="22">
        <f>SUMIF(tabParametros[Código do Posto],tabCustoUnit[[#This Row],[Código do Posto]],tabParametros[Incidência do Submódulo 2.1 sobre Ausências Legais])*tabCustoUnit[[#This Row],[MODULO 1 - REMUNERAÇÃO ]]</f>
        <v>15.599029217345002</v>
      </c>
      <c r="BA23" s="22">
        <f>SUM(tabCustoUnit[[#This Row],[Ausência por Doença]:[Incidência do Submódulo 2.1 sobre Ausências Legais]])</f>
        <v>56.866302279104261</v>
      </c>
      <c r="BB23" s="22">
        <f>SUMIF(tabParametros[Código do Posto],tabCustoUnit[[#This Row],[Código do Posto]],tabParametros[Intervalo para Repouso ou Alimentação])</f>
        <v>0</v>
      </c>
      <c r="BC23" s="22">
        <f>tabCustoUnit[[#This Row],[Intervalo para Repouso ou Alimentação]]</f>
        <v>0</v>
      </c>
      <c r="BD2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 s="22">
        <f>tabCustoUnit[[#This Row],[Suspensão Temporária do Contrato de Trabalho]]</f>
        <v>0</v>
      </c>
      <c r="BF23" s="22">
        <f>tabCustoUnit[[#This Row],[Submódulo 4.1]]+tabCustoUnit[[#This Row],[Submódulo 4.2]]+tabCustoUnit[[#This Row],[Submódulo 4.3]]</f>
        <v>56.866302279104261</v>
      </c>
      <c r="BG23" s="22">
        <f>VLOOKUP(tabCustoUnit[[#This Row],[Código do Posto]],tabParametros[],MATCH(tabCustoUnit[[#Headers],[Uniformes e EPIs]],tabParametros[#Headers],0),0)</f>
        <v>56.642978962543395</v>
      </c>
      <c r="BH23" s="22">
        <f>VLOOKUP(tabCustoUnit[[#This Row],[Código do Posto]],tabParametros[],MATCH(tabCustoUnit[[#Headers],[Materiais de Consumo]],tabParametros[#Headers],0),0)</f>
        <v>0</v>
      </c>
      <c r="BI23" s="22">
        <f>VLOOKUP(tabCustoUnit[[#This Row],[Código do Posto]],tabParametros[],MATCH(tabCustoUnit[[#Headers],[Máquinas e Equipamentos (depreciação)]],tabParametros[#Headers],0),0)</f>
        <v>0</v>
      </c>
      <c r="BJ23" s="22">
        <f>VLOOKUP(tabCustoUnit[[#This Row],[Código do Posto]],tabParametros[],MATCH(tabCustoUnit[[#Headers],[Produtos de Limpeza e Materiais de Higiene Pessoal]],tabParametros[#Headers],0),0)</f>
        <v>0</v>
      </c>
      <c r="BK23" s="22">
        <f>VLOOKUP(tabCustoUnit[[#This Row],[Código do Posto]],tabParametros[],MATCH(tabCustoUnit[[#Headers],[Outros (especificar)]],tabParametros[#Headers],0),0)</f>
        <v>0</v>
      </c>
      <c r="BL23" s="22">
        <f>SUM(tabCustoUnit[[#This Row],[Uniformes e EPIs]:[Outros (especificar)]])</f>
        <v>56.642978962543395</v>
      </c>
      <c r="BM2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 s="22" t="e">
        <f ca="1">VLOOKUP(tabCustoUnit[[#This Row],[Código do Posto]],tabParametros[],MATCH(tabCustoUnit[[#Headers],[Custos Indiretos]],tabParametros[#Headers],0),0)</f>
        <v>#NAME?</v>
      </c>
      <c r="BO23" s="22" t="e">
        <f ca="1">VLOOKUP(tabCustoUnit[[#This Row],[Código do Posto]],tabParametros[],MATCH(tabCustoUnit[[#Headers],[Lucro]],tabParametros[#Headers],0),0)</f>
        <v>#NAME?</v>
      </c>
      <c r="BP23" s="26">
        <f>((100/((1-tabCustoUnit[[#This Row],[Resumo de Alíquotas (PIS+CONFINS+ISS)]]))-100)*VLOOKUP(tabCustoUnit[[#This Row],[Código do Posto]],tabParametros[],MATCH(tabCustoUnit[[#Headers],[COFINS]],tabParametros[#Headers],0),0))/(tabCustoUnit[[#This Row],[Resumo de Alíquotas (PIS+CONFINS+ISS)]]*100)</f>
        <v>8.8629737609329504E-2</v>
      </c>
      <c r="BQ23" s="26">
        <f>((100/((100-(tabCustoUnit[[#This Row],[Resumo de Alíquotas (PIS+CONFINS+ISS)]]*100))%)-100)*VLOOKUP(tabCustoUnit[[#This Row],[Código do Posto]],tabParametros[],MATCH(tabCustoUnit[[#Headers],[PIS]],tabParametros[#Headers],0),0))/(tabCustoUnit[[#This Row],[Resumo de Alíquotas (PIS+CONFINS+ISS)]]*100)</f>
        <v>1.9241982507288629E-2</v>
      </c>
      <c r="BR23" s="28">
        <f>VLOOKUP(tabCustoUnit[[#This Row],[Código do Posto]],tabParametros[],MATCH(tabCustoUnit[[#Headers],[ISS]],tabParametros[#Headers],0),0)</f>
        <v>0.05</v>
      </c>
      <c r="BS23" s="26">
        <f>(((100/((100-(tabCustoUnit[[#This Row],[Resumo de Alíquotas (PIS+CONFINS+ISS)]]*100))%)-100)*tabCustoUnit[[#This Row],[ISS]])/tabCustoUnit[[#This Row],[Resumo de Alíquotas (PIS+CONFINS+ISS)]])/100</f>
        <v>5.8309037900874633E-2</v>
      </c>
      <c r="BT2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3" s="138">
        <f>tabCustoUnit[[#This Row],[COFINS]]+tabCustoUnit[[#This Row],[PIS]]+tabCustoUnit[[#This Row],[ISS (Conversão Alíquota s/ fatura)]]</f>
        <v>0.16618075801749277</v>
      </c>
      <c r="BV23" s="22" t="e">
        <f ca="1">(tabCustoUnit[[#This Row],[TOTAL MÓDULOS 1+2+3+4+5]]+tabCustoUnit[[#This Row],[Custos Indiretos]]+tabCustoUnit[[#This Row],[Lucro]])*tabCustoUnit[[#This Row],[PIS + COFINS + ISS (Total Conversão  Alíquota s/ Fatura)]]</f>
        <v>#NAME?</v>
      </c>
      <c r="BW23" s="22" t="e">
        <f ca="1">tabCustoUnit[[#This Row],[Custos Indiretos]]+tabCustoUnit[[#This Row],[Lucro]]+tabCustoUnit[[#This Row],[Valor dos Tributos (ISS, PIS, CONFINS)]]</f>
        <v>#NAME?</v>
      </c>
      <c r="BX23" s="22" t="e">
        <f ca="1">tabCustoUnit[[#This Row],[TOTAL MÓDULOS 1+2+3+4+5]]+tabCustoUnit[[#This Row],[MÓDULO 6 – CUSTOS INDIRETOS, TRIBUTOS E LUCRO]]</f>
        <v>#NAME?</v>
      </c>
      <c r="BY23" s="22" t="e">
        <f ca="1">tabCustoUnit[[#This Row],[CUSTO TOTAL MENSAL]]*12</f>
        <v>#NAME?</v>
      </c>
      <c r="BZ23" s="24">
        <f>VLOOKUP(tabCustoUnit[[#This Row],[Código do Posto]],tabParametros[],MATCH(tabCustoUnit[[#Headers],[ANO DA CCT]],tabParametros[#Headers],0),0)</f>
        <v>45658</v>
      </c>
      <c r="CA23" s="25" t="str">
        <f>VLOOKUP(tabCustoUnit[[#This Row],[Código do Posto]],tabParametros[],MATCH(tabCustoUnit[[#Headers],[Nº DE PEDIDO DA CCT]],tabParametros[#Headers],0),0)</f>
        <v>-</v>
      </c>
      <c r="CB23" s="25" t="str">
        <f>VLOOKUP(tabCustoUnit[[#This Row],[Código do Posto]],tabParametros[],MATCH(tabCustoUnit[[#Headers],[TERMO ADITIVO ALTERAÇÃO DA CCT]],tabParametros[#Headers],0),0)</f>
        <v>-</v>
      </c>
    </row>
    <row r="24" spans="1:80">
      <c r="A24" s="20" t="s">
        <v>1545</v>
      </c>
      <c r="B24" t="s">
        <v>1102</v>
      </c>
      <c r="C24" t="s">
        <v>274</v>
      </c>
      <c r="D24" t="s">
        <v>974</v>
      </c>
      <c r="E24" s="20" t="s">
        <v>1090</v>
      </c>
      <c r="F24" s="20" t="s">
        <v>120</v>
      </c>
      <c r="G24" s="418">
        <v>4558.0709999999999</v>
      </c>
      <c r="H24" s="418">
        <v>0</v>
      </c>
      <c r="I24" s="418">
        <v>0</v>
      </c>
      <c r="J24" s="418">
        <v>0</v>
      </c>
      <c r="K24" s="418">
        <v>0</v>
      </c>
      <c r="L24" s="418">
        <v>0</v>
      </c>
      <c r="M24" s="418">
        <v>0</v>
      </c>
      <c r="N24" s="418">
        <v>0</v>
      </c>
      <c r="O24" s="21">
        <f>SUM(tabCustoUnit[[#This Row],[Salário Base]:[Adicional de Acúmulo de função]])</f>
        <v>4558.0709999999999</v>
      </c>
      <c r="P24" s="21">
        <f>tabCustoUnit[[#This Row],[MODULO 1 - REMUNERAÇÃO ]]*SUMIFS(tabParametros[INSS],tabParametros[Código do Posto],tabCustoUnit[[#This Row],[Código do Posto]])</f>
        <v>911.61419999999998</v>
      </c>
      <c r="Q24" s="21">
        <f>tabCustoUnit[[#This Row],[MODULO 1 - REMUNERAÇÃO ]]*SUMIFS(tabParametros[SESI OU SESC],tabParametros[Código do Posto],tabCustoUnit[[#This Row],[Código do Posto]])</f>
        <v>68.371065000000002</v>
      </c>
      <c r="R24" s="21">
        <f>tabCustoUnit[[#This Row],[MODULO 1 - REMUNERAÇÃO ]]*SUMIFS(tabParametros[SENAI OU SENAC],tabParametros[Código do Posto],tabCustoUnit[[#This Row],[Código do Posto]])</f>
        <v>45.580710000000003</v>
      </c>
      <c r="S24" s="21">
        <f>tabCustoUnit[[#This Row],[MODULO 1 - REMUNERAÇÃO ]]*SUMIFS(tabParametros[INCRA],tabParametros[Código do Posto],tabCustoUnit[[#This Row],[Código do Posto]])</f>
        <v>9.116142</v>
      </c>
      <c r="T24" s="21">
        <f>tabCustoUnit[[#This Row],[MODULO 1 - REMUNERAÇÃO ]]*SUMIFS(tabParametros[Salário Educação],tabParametros[Código do Posto],tabCustoUnit[[#This Row],[Código do Posto]])</f>
        <v>113.951775</v>
      </c>
      <c r="U24" s="21">
        <f>tabCustoUnit[[#This Row],[MODULO 1 - REMUNERAÇÃO ]]*SUMIFS(tabParametros[FGTS],tabParametros[Código do Posto],tabCustoUnit[[#This Row],[Código do Posto]])</f>
        <v>364.64568000000003</v>
      </c>
      <c r="V24" s="21">
        <f>tabCustoUnit[[#This Row],[MODULO 1 - REMUNERAÇÃO ]]*SUMIFS(tabParametros[RAT Ajustado],tabParametros[Código do Posto],tabCustoUnit[[#This Row],[Código do Posto]])</f>
        <v>182.32284000000001</v>
      </c>
      <c r="W24" s="21">
        <f>tabCustoUnit[[#This Row],[MODULO 1 - REMUNERAÇÃO ]]*SUMIFS(tabParametros[SEBRAE],tabParametros[Código do Posto],tabCustoUnit[[#This Row],[Código do Posto]])</f>
        <v>27.348426</v>
      </c>
      <c r="X24" s="21">
        <f>SUM(tabCustoUnit[[#This Row],[INSS]:[SEBRAE]])</f>
        <v>1722.9508380000002</v>
      </c>
      <c r="Y24" s="21">
        <f>tabCustoUnit[[#This Row],[MODULO 1 - REMUNERAÇÃO ]]*SUMIFS(tabParametros[13º salário (titular)],tabParametros[Código do Posto],tabCustoUnit[[#This Row],[Código do Posto]])</f>
        <v>379.83924999999999</v>
      </c>
      <c r="Z24" s="21">
        <f>tabCustoUnit[[#This Row],[MODULO 1 - REMUNERAÇÃO ]]*SUMIFS(tabParametros[Férias e Adicional de Férias (titular)],tabParametros[Código do Posto],tabCustoUnit[[#This Row],[Código do Posto]])</f>
        <v>506.45233333333329</v>
      </c>
      <c r="AA24" s="21">
        <f>IFERROR((tabCustoUnit[[#This Row],[Submódulo 2.1]]/tabCustoUnit[[#This Row],[MODULO 1 - REMUNERAÇÃO ]])*SUM(tabCustoUnit[[#This Row],[13º salário (titular)]:[Férias e Adicional de Férias (titular)]]),0)</f>
        <v>335.01821850000005</v>
      </c>
      <c r="AB24" s="21">
        <f>SUM(tabCustoUnit[[#This Row],[13º salário (titular)]:[Incidência do Submódulo 2.1 sobre 13º Salário, Férias e Adicional de Férias]])</f>
        <v>1221.3098018333333</v>
      </c>
      <c r="AC24" s="22" t="e">
        <f ca="1">_xlfn.LET(_xlpm.VT,SUMIF(tabParametros[Código do Posto],tabCustoUnit[[#This Row],[Código do Posto]],tabParametros[Vale - Transporte])*2*20,
IF((_xlpm.VT-tabCustoUnit[[#This Row],[Salário Base]]*0.06)&gt;=0,(_xlpm.VT-tabCustoUnit[[#This Row],[Salário Base]]*0.06),0)
)</f>
        <v>#NAME?</v>
      </c>
      <c r="AD24" s="22">
        <f>IF(SUMIF(tabParametros[Código do Posto],tabCustoUnit[[#This Row],[Código do Posto]],tabParametros[Vale - Alimentação])&lt;=0,0,
SUMIF(tabParametros[Código do Posto],tabCustoUnit[[#This Row],[Código do Posto]],tabParametros[Vale - Alimentação])*20-1)</f>
        <v>578.4</v>
      </c>
      <c r="AE24" s="22">
        <f>SUMIF(tabParametros[Código do Posto],tabCustoUnit[[#This Row],[Código do Posto]],tabParametros[Cesta Básica])</f>
        <v>0</v>
      </c>
      <c r="AF24" s="22">
        <f>SUMIF(tabParametros[Código do Posto],tabCustoUnit[[#This Row],[Código do Posto]],tabParametros[PAF])</f>
        <v>22.52</v>
      </c>
      <c r="AG24" s="22">
        <f>SUMIF(tabParametros[Código do Posto],tabCustoUnit[[#This Row],[Código do Posto]],tabParametros[PQM])</f>
        <v>0</v>
      </c>
      <c r="AH24" s="22">
        <f>SUMIF(tabParametros[Código do Posto],tabCustoUnit[[#This Row],[Código do Posto]],tabParametros[Abono Único e Especial])</f>
        <v>0</v>
      </c>
      <c r="AI24" s="22">
        <f>SUMIF(tabParametros[Código do Posto],tabCustoUnit[[#This Row],[Código do Posto]],tabParametros[Seguro de Vida])</f>
        <v>3.36</v>
      </c>
      <c r="AJ24" s="22">
        <f>SUMIF(tabParametros[Código do Posto],tabCustoUnit[[#This Row],[Código do Posto]],tabParametros[Despesas de Viagem])</f>
        <v>662.42</v>
      </c>
      <c r="AK24" s="22" t="e">
        <f ca="1">SUM(tabCustoUnit[[#This Row],[Vale - Transporte (Descontada parcela do empregado)]:[Despesas de Viagem]])</f>
        <v>#NAME?</v>
      </c>
      <c r="AL24" s="22" t="e">
        <f ca="1">tabCustoUnit[[#This Row],[Submódulo 2.1]]+tabCustoUnit[[#This Row],[Submódulo 2.2]]+tabCustoUnit[[#This Row],[Submódulo 2.3]]</f>
        <v>#NAME?</v>
      </c>
      <c r="AM24" s="22">
        <f>SUMIF(tabParametros[Código do Posto],tabCustoUnit[[#This Row],[Código do Posto]],tabParametros[Aviso Prévio Indenizado (API) e Reflexo do Aviso Prévio Indenizado])*tabCustoUnit[[#This Row],[MODULO 1 - REMUNERAÇÃO ]]</f>
        <v>31.960131708912037</v>
      </c>
      <c r="AN24" s="22">
        <f>SUMIF(tabParametros[Código do Posto],tabCustoUnit[[#This Row],[Código do Posto]],tabParametros[Incidência do FGTS sobre API e Reflexo do API])*tabCustoUnit[[#This Row],[MODULO 1 - REMUNERAÇÃO ]]</f>
        <v>2.556810536712963</v>
      </c>
      <c r="AO24" s="22">
        <f>SUMIF(tabParametros[Código do Posto],tabCustoUnit[[#This Row],[Código do Posto]],tabParametros[Multa Rescisória do FGTS sobre o Aviso Prévio Indenizado])*tabCustoUnit[[#This Row],[MODULO 1 - REMUNERAÇÃO ]]</f>
        <v>1.0227242146851854</v>
      </c>
      <c r="AP24" s="22">
        <f>SUMIF(tabParametros[Código do Posto],tabCustoUnit[[#This Row],[Código do Posto]],tabParametros[Aviso Prévio Trabalhado - APT])*tabCustoUnit[[#This Row],[MODULO 1 - REMUNERAÇÃO ]]</f>
        <v>15.953248500000003</v>
      </c>
      <c r="AQ24" s="22">
        <f>SUMIF(tabParametros[Código do Posto],tabCustoUnit[[#This Row],[Código do Posto]],tabParametros[Incidência dos encargos do submódulo 2.1 sobre Aviso Prévio Trabalhado])*tabCustoUnit[[#This Row],[MODULO 1 - REMUNERAÇÃO ]]</f>
        <v>6.0303279330000015</v>
      </c>
      <c r="AR24" s="22">
        <f>SUMIF(tabParametros[Código do Posto],tabCustoUnit[[#This Row],[Código do Posto]],tabParametros[Multa Rescisória do FGTS])*tabCustoUnit[[#This Row],[MODULO 1 - REMUNERAÇÃO ]]</f>
        <v>139.3756821333333</v>
      </c>
      <c r="AS24" s="22">
        <f>SUMIF(tabParametros[Código do Posto],tabCustoUnit[[#This Row],[Código do Posto]],tabParametros[Indenização Adicional (Art. 9º da Lei nº 7.238/84)])*tabCustoUnit[[#This Row],[MODULO 1 - REMUNERAÇÃO ]]</f>
        <v>3.7983925000000003</v>
      </c>
      <c r="AT24" s="22">
        <f>SUM(tabCustoUnit[[#This Row],[Aviso Prévio Indenizado (API) e Reflexo do Aviso Prévio Indenizado]:[Indenização Adicional (Art. 9º da Lei nº 7.238/84)]])</f>
        <v>200.6973175266435</v>
      </c>
      <c r="AU24" s="22">
        <f>SUMIF(tabParametros[Código do Posto],tabCustoUnit[[#This Row],[Código do Posto]],tabParametros[Ausência por Doença])*tabCustoUnit[[#This Row],[MODULO 1 - REMUNERAÇÃO ]]</f>
        <v>38.490377333333328</v>
      </c>
      <c r="AV24" s="22">
        <f>SUMIF(tabParametros[Código do Posto],tabCustoUnit[[#This Row],[Código do Posto]],tabParametros[Ausências Legais])*tabCustoUnit[[#This Row],[MODULO 1 - REMUNERAÇÃO ]]</f>
        <v>9.2427550833333321</v>
      </c>
      <c r="AW24" s="22">
        <f>SUMIF(tabParametros[Código do Posto],tabCustoUnit[[#This Row],[Código do Posto]],tabParametros[Licença Paternidade])*tabCustoUnit[[#This Row],[MODULO 1 - REMUNERAÇÃO ]]</f>
        <v>0.77867046249999994</v>
      </c>
      <c r="AX24" s="22">
        <f>SUMIF(tabParametros[Código do Posto],tabCustoUnit[[#This Row],[Código do Posto]],tabParametros[Ausência por Acidente de Trabalho])*tabCustoUnit[[#This Row],[MODULO 1 - REMUNERAÇÃO ]]</f>
        <v>0.94959812500000007</v>
      </c>
      <c r="AY24" s="22">
        <f>SUMIF(tabParametros[Código do Posto],tabCustoUnit[[#This Row],[Código do Posto]],tabParametros[Férias, Adicional de Férias e 13º  com empregada em gozo de Licença Maternidade])*tabCustoUnit[[#This Row],[MODULO 1 - REMUNERAÇÃO ]]</f>
        <v>5.9086105555555557</v>
      </c>
      <c r="AZ24" s="22">
        <f>SUMIF(tabParametros[Código do Posto],tabCustoUnit[[#This Row],[Código do Posto]],tabParametros[Incidência do Submódulo 2.1 sobre Ausências Legais])*tabCustoUnit[[#This Row],[MODULO 1 - REMUNERAÇÃO ]]</f>
        <v>20.929864369575004</v>
      </c>
      <c r="BA24" s="22">
        <f>SUM(tabCustoUnit[[#This Row],[Ausência por Doença]:[Incidência do Submódulo 2.1 sobre Ausências Legais]])</f>
        <v>76.29987592929723</v>
      </c>
      <c r="BB24" s="22">
        <f>SUMIF(tabParametros[Código do Posto],tabCustoUnit[[#This Row],[Código do Posto]],tabParametros[Intervalo para Repouso ou Alimentação])</f>
        <v>0</v>
      </c>
      <c r="BC24" s="22">
        <f>tabCustoUnit[[#This Row],[Intervalo para Repouso ou Alimentação]]</f>
        <v>0</v>
      </c>
      <c r="BD2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 s="22">
        <f>tabCustoUnit[[#This Row],[Suspensão Temporária do Contrato de Trabalho]]</f>
        <v>0</v>
      </c>
      <c r="BF24" s="22">
        <f>tabCustoUnit[[#This Row],[Submódulo 4.1]]+tabCustoUnit[[#This Row],[Submódulo 4.2]]+tabCustoUnit[[#This Row],[Submódulo 4.3]]</f>
        <v>76.29987592929723</v>
      </c>
      <c r="BG24" s="22">
        <f>VLOOKUP(tabCustoUnit[[#This Row],[Código do Posto]],tabParametros[],MATCH(tabCustoUnit[[#Headers],[Uniformes e EPIs]],tabParametros[#Headers],0),0)</f>
        <v>92.100763771570698</v>
      </c>
      <c r="BH24" s="22">
        <f>VLOOKUP(tabCustoUnit[[#This Row],[Código do Posto]],tabParametros[],MATCH(tabCustoUnit[[#Headers],[Materiais de Consumo]],tabParametros[#Headers],0),0)</f>
        <v>0</v>
      </c>
      <c r="BI24" s="22">
        <f>VLOOKUP(tabCustoUnit[[#This Row],[Código do Posto]],tabParametros[],MATCH(tabCustoUnit[[#Headers],[Máquinas e Equipamentos (depreciação)]],tabParametros[#Headers],0),0)</f>
        <v>0</v>
      </c>
      <c r="BJ24" s="22">
        <f>VLOOKUP(tabCustoUnit[[#This Row],[Código do Posto]],tabParametros[],MATCH(tabCustoUnit[[#Headers],[Produtos de Limpeza e Materiais de Higiene Pessoal]],tabParametros[#Headers],0),0)</f>
        <v>0</v>
      </c>
      <c r="BK24" s="22">
        <f>VLOOKUP(tabCustoUnit[[#This Row],[Código do Posto]],tabParametros[],MATCH(tabCustoUnit[[#Headers],[Outros (especificar)]],tabParametros[#Headers],0),0)</f>
        <v>0</v>
      </c>
      <c r="BL24" s="22">
        <f>SUM(tabCustoUnit[[#This Row],[Uniformes e EPIs]:[Outros (especificar)]])</f>
        <v>92.100763771570698</v>
      </c>
      <c r="BM2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 s="22" t="e">
        <f ca="1">VLOOKUP(tabCustoUnit[[#This Row],[Código do Posto]],tabParametros[],MATCH(tabCustoUnit[[#Headers],[Custos Indiretos]],tabParametros[#Headers],0),0)</f>
        <v>#NAME?</v>
      </c>
      <c r="BO24" s="22" t="e">
        <f ca="1">VLOOKUP(tabCustoUnit[[#This Row],[Código do Posto]],tabParametros[],MATCH(tabCustoUnit[[#Headers],[Lucro]],tabParametros[#Headers],0),0)</f>
        <v>#NAME?</v>
      </c>
      <c r="BP24" s="26">
        <f>((100/((1-tabCustoUnit[[#This Row],[Resumo de Alíquotas (PIS+CONFINS+ISS)]]))-100)*VLOOKUP(tabCustoUnit[[#This Row],[Código do Posto]],tabParametros[],MATCH(tabCustoUnit[[#Headers],[COFINS]],tabParametros[#Headers],0),0))/(tabCustoUnit[[#This Row],[Resumo de Alíquotas (PIS+CONFINS+ISS)]]*100)</f>
        <v>8.7106017191977067E-2</v>
      </c>
      <c r="BQ24" s="26">
        <f>((100/((100-(tabCustoUnit[[#This Row],[Resumo de Alíquotas (PIS+CONFINS+ISS)]]*100))%)-100)*VLOOKUP(tabCustoUnit[[#This Row],[Código do Posto]],tabParametros[],MATCH(tabCustoUnit[[#Headers],[PIS]],tabParametros[#Headers],0),0))/(tabCustoUnit[[#This Row],[Resumo de Alíquotas (PIS+CONFINS+ISS)]]*100)</f>
        <v>1.8911174785100283E-2</v>
      </c>
      <c r="BR24" s="28">
        <f>VLOOKUP(tabCustoUnit[[#This Row],[Código do Posto]],tabParametros[],MATCH(tabCustoUnit[[#Headers],[ISS]],tabParametros[#Headers],0),0)</f>
        <v>3.5000000000000003E-2</v>
      </c>
      <c r="BS24" s="26">
        <f>(((100/((100-(tabCustoUnit[[#This Row],[Resumo de Alíquotas (PIS+CONFINS+ISS)]]*100))%)-100)*tabCustoUnit[[#This Row],[ISS]])/tabCustoUnit[[#This Row],[Resumo de Alíquotas (PIS+CONFINS+ISS)]])/100</f>
        <v>4.0114613180515762E-2</v>
      </c>
      <c r="BT2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0.1275</v>
      </c>
      <c r="BU24" s="138">
        <f>tabCustoUnit[[#This Row],[COFINS]]+tabCustoUnit[[#This Row],[PIS]]+tabCustoUnit[[#This Row],[ISS (Conversão Alíquota s/ fatura)]]</f>
        <v>0.14613180515759311</v>
      </c>
      <c r="BV24" s="22" t="e">
        <f ca="1">(tabCustoUnit[[#This Row],[TOTAL MÓDULOS 1+2+3+4+5]]+tabCustoUnit[[#This Row],[Custos Indiretos]]+tabCustoUnit[[#This Row],[Lucro]])*tabCustoUnit[[#This Row],[PIS + COFINS + ISS (Total Conversão  Alíquota s/ Fatura)]]</f>
        <v>#NAME?</v>
      </c>
      <c r="BW24" s="22" t="e">
        <f ca="1">tabCustoUnit[[#This Row],[Custos Indiretos]]+tabCustoUnit[[#This Row],[Lucro]]+tabCustoUnit[[#This Row],[Valor dos Tributos (ISS, PIS, CONFINS)]]</f>
        <v>#NAME?</v>
      </c>
      <c r="BX24" s="22" t="e">
        <f ca="1">tabCustoUnit[[#This Row],[TOTAL MÓDULOS 1+2+3+4+5]]+tabCustoUnit[[#This Row],[MÓDULO 6 – CUSTOS INDIRETOS, TRIBUTOS E LUCRO]]</f>
        <v>#NAME?</v>
      </c>
      <c r="BY24" s="22" t="e">
        <f ca="1">tabCustoUnit[[#This Row],[CUSTO TOTAL MENSAL]]*12</f>
        <v>#NAME?</v>
      </c>
      <c r="BZ24" s="24">
        <f>VLOOKUP(tabCustoUnit[[#This Row],[Código do Posto]],tabParametros[],MATCH(tabCustoUnit[[#Headers],[ANO DA CCT]],tabParametros[#Headers],0),0)</f>
        <v>45658</v>
      </c>
      <c r="CA24" s="25" t="str">
        <f>VLOOKUP(tabCustoUnit[[#This Row],[Código do Posto]],tabParametros[],MATCH(tabCustoUnit[[#Headers],[Nº DE PEDIDO DA CCT]],tabParametros[#Headers],0),0)</f>
        <v>-</v>
      </c>
      <c r="CB24" s="25" t="str">
        <f>VLOOKUP(tabCustoUnit[[#This Row],[Código do Posto]],tabParametros[],MATCH(tabCustoUnit[[#Headers],[TERMO ADITIVO ALTERAÇÃO DA CCT]],tabParametros[#Headers],0),0)</f>
        <v>-</v>
      </c>
    </row>
    <row r="25" spans="1:80">
      <c r="A25" s="20" t="s">
        <v>1546</v>
      </c>
      <c r="B25" t="s">
        <v>1102</v>
      </c>
      <c r="C25" t="s">
        <v>319</v>
      </c>
      <c r="D25" t="s">
        <v>954</v>
      </c>
      <c r="E25" s="20" t="s">
        <v>1090</v>
      </c>
      <c r="F25" s="20" t="s">
        <v>120</v>
      </c>
      <c r="G25" s="418">
        <v>2316.2296999999999</v>
      </c>
      <c r="H25" s="418">
        <v>0</v>
      </c>
      <c r="I25" s="418">
        <v>0</v>
      </c>
      <c r="J25" s="418">
        <v>0</v>
      </c>
      <c r="K25" s="418">
        <v>0</v>
      </c>
      <c r="L25" s="418">
        <v>0</v>
      </c>
      <c r="M25" s="418">
        <v>0</v>
      </c>
      <c r="N25" s="418">
        <v>0</v>
      </c>
      <c r="O25" s="21">
        <f>SUM(tabCustoUnit[[#This Row],[Salário Base]:[Adicional de Acúmulo de função]])</f>
        <v>2316.2296999999999</v>
      </c>
      <c r="P25" s="21">
        <f>tabCustoUnit[[#This Row],[MODULO 1 - REMUNERAÇÃO ]]*SUMIFS(tabParametros[INSS],tabParametros[Código do Posto],tabCustoUnit[[#This Row],[Código do Posto]])</f>
        <v>463.24594000000002</v>
      </c>
      <c r="Q25" s="21">
        <f>tabCustoUnit[[#This Row],[MODULO 1 - REMUNERAÇÃO ]]*SUMIFS(tabParametros[SESI OU SESC],tabParametros[Código do Posto],tabCustoUnit[[#This Row],[Código do Posto]])</f>
        <v>34.7434455</v>
      </c>
      <c r="R25" s="21">
        <f>tabCustoUnit[[#This Row],[MODULO 1 - REMUNERAÇÃO ]]*SUMIFS(tabParametros[SENAI OU SENAC],tabParametros[Código do Posto],tabCustoUnit[[#This Row],[Código do Posto]])</f>
        <v>23.162296999999999</v>
      </c>
      <c r="S25" s="21">
        <f>tabCustoUnit[[#This Row],[MODULO 1 - REMUNERAÇÃO ]]*SUMIFS(tabParametros[INCRA],tabParametros[Código do Posto],tabCustoUnit[[#This Row],[Código do Posto]])</f>
        <v>4.6324594000000001</v>
      </c>
      <c r="T25" s="21">
        <f>tabCustoUnit[[#This Row],[MODULO 1 - REMUNERAÇÃO ]]*SUMIFS(tabParametros[Salário Educação],tabParametros[Código do Posto],tabCustoUnit[[#This Row],[Código do Posto]])</f>
        <v>57.905742500000002</v>
      </c>
      <c r="U25" s="21">
        <f>tabCustoUnit[[#This Row],[MODULO 1 - REMUNERAÇÃO ]]*SUMIFS(tabParametros[FGTS],tabParametros[Código do Posto],tabCustoUnit[[#This Row],[Código do Posto]])</f>
        <v>185.29837599999999</v>
      </c>
      <c r="V25" s="21">
        <f>tabCustoUnit[[#This Row],[MODULO 1 - REMUNERAÇÃO ]]*SUMIFS(tabParametros[RAT Ajustado],tabParametros[Código do Posto],tabCustoUnit[[#This Row],[Código do Posto]])</f>
        <v>92.649187999999995</v>
      </c>
      <c r="W25" s="21">
        <f>tabCustoUnit[[#This Row],[MODULO 1 - REMUNERAÇÃO ]]*SUMIFS(tabParametros[SEBRAE],tabParametros[Código do Posto],tabCustoUnit[[#This Row],[Código do Posto]])</f>
        <v>13.8973782</v>
      </c>
      <c r="X25" s="21">
        <f>SUM(tabCustoUnit[[#This Row],[INSS]:[SEBRAE]])</f>
        <v>875.53482659999997</v>
      </c>
      <c r="Y25" s="21">
        <f>tabCustoUnit[[#This Row],[MODULO 1 - REMUNERAÇÃO ]]*SUMIFS(tabParametros[13º salário (titular)],tabParametros[Código do Posto],tabCustoUnit[[#This Row],[Código do Posto]])</f>
        <v>193.01914166666666</v>
      </c>
      <c r="Z25" s="21">
        <f>tabCustoUnit[[#This Row],[MODULO 1 - REMUNERAÇÃO ]]*SUMIFS(tabParametros[Férias e Adicional de Férias (titular)],tabParametros[Código do Posto],tabCustoUnit[[#This Row],[Código do Posto]])</f>
        <v>257.35885555555552</v>
      </c>
      <c r="AA25" s="21">
        <f>IFERROR((tabCustoUnit[[#This Row],[Submódulo 2.1]]/tabCustoUnit[[#This Row],[MODULO 1 - REMUNERAÇÃO ]])*SUM(tabCustoUnit[[#This Row],[13º salário (titular)]:[Férias e Adicional de Férias (titular)]]),0)</f>
        <v>170.24288294999999</v>
      </c>
      <c r="AB25" s="21">
        <f>SUM(tabCustoUnit[[#This Row],[13º salário (titular)]:[Incidência do Submódulo 2.1 sobre 13º Salário, Férias e Adicional de Férias]])</f>
        <v>620.6208801722222</v>
      </c>
      <c r="AC25" s="22" t="e">
        <f ca="1">_xlfn.LET(_xlpm.VT,SUMIF(tabParametros[Código do Posto],tabCustoUnit[[#This Row],[Código do Posto]],tabParametros[Vale - Transporte])*2*20,
IF((_xlpm.VT-tabCustoUnit[[#This Row],[Salário Base]]*0.06)&gt;=0,(_xlpm.VT-tabCustoUnit[[#This Row],[Salário Base]]*0.06),0)
)</f>
        <v>#NAME?</v>
      </c>
      <c r="AD25" s="22">
        <f>IF(SUMIF(tabParametros[Código do Posto],tabCustoUnit[[#This Row],[Código do Posto]],tabParametros[Vale - Alimentação])&lt;=0,0,
SUMIF(tabParametros[Código do Posto],tabCustoUnit[[#This Row],[Código do Posto]],tabParametros[Vale - Alimentação])*20-1)</f>
        <v>582</v>
      </c>
      <c r="AE25" s="22">
        <f>SUMIF(tabParametros[Código do Posto],tabCustoUnit[[#This Row],[Código do Posto]],tabParametros[Cesta Básica])</f>
        <v>0</v>
      </c>
      <c r="AF25" s="22">
        <f>SUMIF(tabParametros[Código do Posto],tabCustoUnit[[#This Row],[Código do Posto]],tabParametros[PAF])</f>
        <v>51.88</v>
      </c>
      <c r="AG25" s="22">
        <f>SUMIF(tabParametros[Código do Posto],tabCustoUnit[[#This Row],[Código do Posto]],tabParametros[PQM])</f>
        <v>0</v>
      </c>
      <c r="AH25" s="22">
        <f>SUMIF(tabParametros[Código do Posto],tabCustoUnit[[#This Row],[Código do Posto]],tabParametros[Abono Único e Especial])</f>
        <v>0</v>
      </c>
      <c r="AI25" s="22">
        <f>SUMIF(tabParametros[Código do Posto],tabCustoUnit[[#This Row],[Código do Posto]],tabParametros[Seguro de Vida])</f>
        <v>3.36</v>
      </c>
      <c r="AJ25" s="22">
        <f>SUMIF(tabParametros[Código do Posto],tabCustoUnit[[#This Row],[Código do Posto]],tabParametros[Despesas de Viagem])</f>
        <v>0</v>
      </c>
      <c r="AK25" s="22" t="e">
        <f ca="1">SUM(tabCustoUnit[[#This Row],[Vale - Transporte (Descontada parcela do empregado)]:[Despesas de Viagem]])</f>
        <v>#NAME?</v>
      </c>
      <c r="AL25" s="22" t="e">
        <f ca="1">tabCustoUnit[[#This Row],[Submódulo 2.1]]+tabCustoUnit[[#This Row],[Submódulo 2.2]]+tabCustoUnit[[#This Row],[Submódulo 2.3]]</f>
        <v>#NAME?</v>
      </c>
      <c r="AM25" s="22">
        <f>SUMIF(tabParametros[Código do Posto],tabCustoUnit[[#This Row],[Código do Posto]],tabParametros[Aviso Prévio Indenizado (API) e Reflexo do Aviso Prévio Indenizado])*tabCustoUnit[[#This Row],[MODULO 1 - REMUNERAÇÃO ]]</f>
        <v>16.240862917689043</v>
      </c>
      <c r="AN25" s="22">
        <f>SUMIF(tabParametros[Código do Posto],tabCustoUnit[[#This Row],[Código do Posto]],tabParametros[Incidência do FGTS sobre API e Reflexo do API])*tabCustoUnit[[#This Row],[MODULO 1 - REMUNERAÇÃO ]]</f>
        <v>1.2992690334151236</v>
      </c>
      <c r="AO25" s="22">
        <f>SUMIF(tabParametros[Código do Posto],tabCustoUnit[[#This Row],[Código do Posto]],tabParametros[Multa Rescisória do FGTS sobre o Aviso Prévio Indenizado])*tabCustoUnit[[#This Row],[MODULO 1 - REMUNERAÇÃO ]]</f>
        <v>0.51970761336604943</v>
      </c>
      <c r="AP25" s="22">
        <f>SUMIF(tabParametros[Código do Posto],tabCustoUnit[[#This Row],[Código do Posto]],tabParametros[Aviso Prévio Trabalhado - APT])*tabCustoUnit[[#This Row],[MODULO 1 - REMUNERAÇÃO ]]</f>
        <v>8.1068039500000015</v>
      </c>
      <c r="AQ25" s="22">
        <f>SUMIF(tabParametros[Código do Posto],tabCustoUnit[[#This Row],[Código do Posto]],tabParametros[Incidência dos encargos do submódulo 2.1 sobre Aviso Prévio Trabalhado])*tabCustoUnit[[#This Row],[MODULO 1 - REMUNERAÇÃO ]]</f>
        <v>3.0643718931000006</v>
      </c>
      <c r="AR25" s="22">
        <f>SUMIF(tabParametros[Código do Posto],tabCustoUnit[[#This Row],[Código do Posto]],tabParametros[Multa Rescisória do FGTS])*tabCustoUnit[[#This Row],[MODULO 1 - REMUNERAÇÃO ]]</f>
        <v>70.825157048888869</v>
      </c>
      <c r="AS25" s="22">
        <f>SUMIF(tabParametros[Código do Posto],tabCustoUnit[[#This Row],[Código do Posto]],tabParametros[Indenização Adicional (Art. 9º da Lei nº 7.238/84)])*tabCustoUnit[[#This Row],[MODULO 1 - REMUNERAÇÃO ]]</f>
        <v>1.9301914166666667</v>
      </c>
      <c r="AT25" s="22">
        <f>SUM(tabCustoUnit[[#This Row],[Aviso Prévio Indenizado (API) e Reflexo do Aviso Prévio Indenizado]:[Indenização Adicional (Art. 9º da Lei nº 7.238/84)]])</f>
        <v>101.98636387312575</v>
      </c>
      <c r="AU25" s="22">
        <f>SUMIF(tabParametros[Código do Posto],tabCustoUnit[[#This Row],[Código do Posto]],tabParametros[Ausência por Doença])*tabCustoUnit[[#This Row],[MODULO 1 - REMUNERAÇÃO ]]</f>
        <v>19.559273022222218</v>
      </c>
      <c r="AV25" s="22">
        <f>SUMIF(tabParametros[Código do Posto],tabCustoUnit[[#This Row],[Código do Posto]],tabParametros[Ausências Legais])*tabCustoUnit[[#This Row],[MODULO 1 - REMUNERAÇÃO ]]</f>
        <v>4.696799113888888</v>
      </c>
      <c r="AW25" s="22">
        <f>SUMIF(tabParametros[Código do Posto],tabCustoUnit[[#This Row],[Código do Posto]],tabParametros[Licença Paternidade])*tabCustoUnit[[#This Row],[MODULO 1 - REMUNERAÇÃO ]]</f>
        <v>0.39568924041666664</v>
      </c>
      <c r="AX25" s="22">
        <f>SUMIF(tabParametros[Código do Posto],tabCustoUnit[[#This Row],[Código do Posto]],tabParametros[Ausência por Acidente de Trabalho])*tabCustoUnit[[#This Row],[MODULO 1 - REMUNERAÇÃO ]]</f>
        <v>0.48254785416666668</v>
      </c>
      <c r="AY25" s="22">
        <f>SUMIF(tabParametros[Código do Posto],tabCustoUnit[[#This Row],[Código do Posto]],tabParametros[Férias, Adicional de Férias e 13º  com empregada em gozo de Licença Maternidade])*tabCustoUnit[[#This Row],[MODULO 1 - REMUNERAÇÃO ]]</f>
        <v>3.0025199814814814</v>
      </c>
      <c r="AZ25" s="22">
        <f>SUMIF(tabParametros[Código do Posto],tabCustoUnit[[#This Row],[Código do Posto]],tabParametros[Incidência do Submódulo 2.1 sobre Ausências Legais])*tabCustoUnit[[#This Row],[MODULO 1 - REMUNERAÇÃO ]]</f>
        <v>10.635721442202501</v>
      </c>
      <c r="BA25" s="22">
        <f>SUM(tabCustoUnit[[#This Row],[Ausência por Doença]:[Incidência do Submódulo 2.1 sobre Ausências Legais]])</f>
        <v>38.772550654378421</v>
      </c>
      <c r="BB25" s="22">
        <f>SUMIF(tabParametros[Código do Posto],tabCustoUnit[[#This Row],[Código do Posto]],tabParametros[Intervalo para Repouso ou Alimentação])</f>
        <v>0</v>
      </c>
      <c r="BC25" s="22">
        <f>tabCustoUnit[[#This Row],[Intervalo para Repouso ou Alimentação]]</f>
        <v>0</v>
      </c>
      <c r="BD2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 s="22">
        <f>tabCustoUnit[[#This Row],[Suspensão Temporária do Contrato de Trabalho]]</f>
        <v>0</v>
      </c>
      <c r="BF25" s="22">
        <f>tabCustoUnit[[#This Row],[Submódulo 4.1]]+tabCustoUnit[[#This Row],[Submódulo 4.2]]+tabCustoUnit[[#This Row],[Submódulo 4.3]]</f>
        <v>38.772550654378421</v>
      </c>
      <c r="BG25" s="22">
        <f>VLOOKUP(tabCustoUnit[[#This Row],[Código do Posto]],tabParametros[],MATCH(tabCustoUnit[[#Headers],[Uniformes e EPIs]],tabParametros[#Headers],0),0)</f>
        <v>56.642978962543395</v>
      </c>
      <c r="BH25" s="22">
        <f>VLOOKUP(tabCustoUnit[[#This Row],[Código do Posto]],tabParametros[],MATCH(tabCustoUnit[[#Headers],[Materiais de Consumo]],tabParametros[#Headers],0),0)</f>
        <v>0</v>
      </c>
      <c r="BI25" s="22">
        <f>VLOOKUP(tabCustoUnit[[#This Row],[Código do Posto]],tabParametros[],MATCH(tabCustoUnit[[#Headers],[Máquinas e Equipamentos (depreciação)]],tabParametros[#Headers],0),0)</f>
        <v>0</v>
      </c>
      <c r="BJ25" s="22">
        <f>VLOOKUP(tabCustoUnit[[#This Row],[Código do Posto]],tabParametros[],MATCH(tabCustoUnit[[#Headers],[Produtos de Limpeza e Materiais de Higiene Pessoal]],tabParametros[#Headers],0),0)</f>
        <v>0</v>
      </c>
      <c r="BK25" s="22">
        <f>VLOOKUP(tabCustoUnit[[#This Row],[Código do Posto]],tabParametros[],MATCH(tabCustoUnit[[#Headers],[Outros (especificar)]],tabParametros[#Headers],0),0)</f>
        <v>0</v>
      </c>
      <c r="BL25" s="22">
        <f>SUM(tabCustoUnit[[#This Row],[Uniformes e EPIs]:[Outros (especificar)]])</f>
        <v>56.642978962543395</v>
      </c>
      <c r="BM2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 s="22" t="e">
        <f ca="1">VLOOKUP(tabCustoUnit[[#This Row],[Código do Posto]],tabParametros[],MATCH(tabCustoUnit[[#Headers],[Custos Indiretos]],tabParametros[#Headers],0),0)</f>
        <v>#NAME?</v>
      </c>
      <c r="BO25" s="22" t="e">
        <f ca="1">VLOOKUP(tabCustoUnit[[#This Row],[Código do Posto]],tabParametros[],MATCH(tabCustoUnit[[#Headers],[Lucro]],tabParametros[#Headers],0),0)</f>
        <v>#NAME?</v>
      </c>
      <c r="BP25" s="26">
        <f>((100/((1-tabCustoUnit[[#This Row],[Resumo de Alíquotas (PIS+CONFINS+ISS)]]))-100)*VLOOKUP(tabCustoUnit[[#This Row],[Código do Posto]],tabParametros[],MATCH(tabCustoUnit[[#Headers],[COFINS]],tabParametros[#Headers],0),0))/(tabCustoUnit[[#This Row],[Resumo de Alíquotas (PIS+CONFINS+ISS)]]*100)</f>
        <v>8.7106017191977067E-2</v>
      </c>
      <c r="BQ25" s="26">
        <f>((100/((100-(tabCustoUnit[[#This Row],[Resumo de Alíquotas (PIS+CONFINS+ISS)]]*100))%)-100)*VLOOKUP(tabCustoUnit[[#This Row],[Código do Posto]],tabParametros[],MATCH(tabCustoUnit[[#Headers],[PIS]],tabParametros[#Headers],0),0))/(tabCustoUnit[[#This Row],[Resumo de Alíquotas (PIS+CONFINS+ISS)]]*100)</f>
        <v>1.8911174785100283E-2</v>
      </c>
      <c r="BR25" s="28">
        <f>VLOOKUP(tabCustoUnit[[#This Row],[Código do Posto]],tabParametros[],MATCH(tabCustoUnit[[#Headers],[ISS]],tabParametros[#Headers],0),0)</f>
        <v>3.5000000000000003E-2</v>
      </c>
      <c r="BS25" s="26">
        <f>(((100/((100-(tabCustoUnit[[#This Row],[Resumo de Alíquotas (PIS+CONFINS+ISS)]]*100))%)-100)*tabCustoUnit[[#This Row],[ISS]])/tabCustoUnit[[#This Row],[Resumo de Alíquotas (PIS+CONFINS+ISS)]])/100</f>
        <v>4.0114613180515762E-2</v>
      </c>
      <c r="BT2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0.1275</v>
      </c>
      <c r="BU25" s="138">
        <f>tabCustoUnit[[#This Row],[COFINS]]+tabCustoUnit[[#This Row],[PIS]]+tabCustoUnit[[#This Row],[ISS (Conversão Alíquota s/ fatura)]]</f>
        <v>0.14613180515759311</v>
      </c>
      <c r="BV25" s="22" t="e">
        <f ca="1">(tabCustoUnit[[#This Row],[TOTAL MÓDULOS 1+2+3+4+5]]+tabCustoUnit[[#This Row],[Custos Indiretos]]+tabCustoUnit[[#This Row],[Lucro]])*tabCustoUnit[[#This Row],[PIS + COFINS + ISS (Total Conversão  Alíquota s/ Fatura)]]</f>
        <v>#NAME?</v>
      </c>
      <c r="BW25" s="22" t="e">
        <f ca="1">tabCustoUnit[[#This Row],[Custos Indiretos]]+tabCustoUnit[[#This Row],[Lucro]]+tabCustoUnit[[#This Row],[Valor dos Tributos (ISS, PIS, CONFINS)]]</f>
        <v>#NAME?</v>
      </c>
      <c r="BX25" s="22" t="e">
        <f ca="1">tabCustoUnit[[#This Row],[TOTAL MÓDULOS 1+2+3+4+5]]+tabCustoUnit[[#This Row],[MÓDULO 6 – CUSTOS INDIRETOS, TRIBUTOS E LUCRO]]</f>
        <v>#NAME?</v>
      </c>
      <c r="BY25" s="22" t="e">
        <f ca="1">tabCustoUnit[[#This Row],[CUSTO TOTAL MENSAL]]*12</f>
        <v>#NAME?</v>
      </c>
      <c r="BZ25" s="24">
        <f>VLOOKUP(tabCustoUnit[[#This Row],[Código do Posto]],tabParametros[],MATCH(tabCustoUnit[[#Headers],[ANO DA CCT]],tabParametros[#Headers],0),0)</f>
        <v>45658</v>
      </c>
      <c r="CA25" s="25" t="str">
        <f>VLOOKUP(tabCustoUnit[[#This Row],[Código do Posto]],tabParametros[],MATCH(tabCustoUnit[[#Headers],[Nº DE PEDIDO DA CCT]],tabParametros[#Headers],0),0)</f>
        <v>-</v>
      </c>
      <c r="CB25" s="25" t="str">
        <f>VLOOKUP(tabCustoUnit[[#This Row],[Código do Posto]],tabParametros[],MATCH(tabCustoUnit[[#Headers],[TERMO ADITIVO ALTERAÇÃO DA CCT]],tabParametros[#Headers],0),0)</f>
        <v>-</v>
      </c>
    </row>
    <row r="26" spans="1:80">
      <c r="A26" s="20" t="s">
        <v>1406</v>
      </c>
      <c r="B26" t="s">
        <v>1103</v>
      </c>
      <c r="C26" t="s">
        <v>118</v>
      </c>
      <c r="D26" t="s">
        <v>1035</v>
      </c>
      <c r="E26" s="20" t="s">
        <v>1090</v>
      </c>
      <c r="F26" s="20" t="s">
        <v>120</v>
      </c>
      <c r="G26" s="418">
        <v>2449.21</v>
      </c>
      <c r="H26" s="418">
        <v>0</v>
      </c>
      <c r="I26" s="418">
        <v>0</v>
      </c>
      <c r="J26" s="418">
        <v>0</v>
      </c>
      <c r="K26" s="418">
        <v>0</v>
      </c>
      <c r="L26" s="418">
        <v>0</v>
      </c>
      <c r="M26" s="418">
        <v>0</v>
      </c>
      <c r="N26" s="418">
        <v>0</v>
      </c>
      <c r="O26" s="21">
        <f>SUM(tabCustoUnit[[#This Row],[Salário Base]:[Adicional de Acúmulo de função]])</f>
        <v>2449.21</v>
      </c>
      <c r="P26" s="21">
        <f>tabCustoUnit[[#This Row],[MODULO 1 - REMUNERAÇÃO ]]*SUMIFS(tabParametros[INSS],tabParametros[Código do Posto],tabCustoUnit[[#This Row],[Código do Posto]])</f>
        <v>489.84200000000004</v>
      </c>
      <c r="Q26" s="21">
        <f>tabCustoUnit[[#This Row],[MODULO 1 - REMUNERAÇÃO ]]*SUMIFS(tabParametros[SESI OU SESC],tabParametros[Código do Posto],tabCustoUnit[[#This Row],[Código do Posto]])</f>
        <v>36.738149999999997</v>
      </c>
      <c r="R26" s="21">
        <f>tabCustoUnit[[#This Row],[MODULO 1 - REMUNERAÇÃO ]]*SUMIFS(tabParametros[SENAI OU SENAC],tabParametros[Código do Posto],tabCustoUnit[[#This Row],[Código do Posto]])</f>
        <v>24.492100000000001</v>
      </c>
      <c r="S26" s="21">
        <f>tabCustoUnit[[#This Row],[MODULO 1 - REMUNERAÇÃO ]]*SUMIFS(tabParametros[INCRA],tabParametros[Código do Posto],tabCustoUnit[[#This Row],[Código do Posto]])</f>
        <v>4.8984199999999998</v>
      </c>
      <c r="T26" s="21">
        <f>tabCustoUnit[[#This Row],[MODULO 1 - REMUNERAÇÃO ]]*SUMIFS(tabParametros[Salário Educação],tabParametros[Código do Posto],tabCustoUnit[[#This Row],[Código do Posto]])</f>
        <v>61.230250000000005</v>
      </c>
      <c r="U26" s="21">
        <f>tabCustoUnit[[#This Row],[MODULO 1 - REMUNERAÇÃO ]]*SUMIFS(tabParametros[FGTS],tabParametros[Código do Posto],tabCustoUnit[[#This Row],[Código do Posto]])</f>
        <v>195.93680000000001</v>
      </c>
      <c r="V26" s="21">
        <f>tabCustoUnit[[#This Row],[MODULO 1 - REMUNERAÇÃO ]]*SUMIFS(tabParametros[RAT Ajustado],tabParametros[Código do Posto],tabCustoUnit[[#This Row],[Código do Posto]])</f>
        <v>97.968400000000003</v>
      </c>
      <c r="W26" s="21">
        <f>tabCustoUnit[[#This Row],[MODULO 1 - REMUNERAÇÃO ]]*SUMIFS(tabParametros[SEBRAE],tabParametros[Código do Posto],tabCustoUnit[[#This Row],[Código do Posto]])</f>
        <v>14.695260000000001</v>
      </c>
      <c r="X26" s="21">
        <f>SUM(tabCustoUnit[[#This Row],[INSS]:[SEBRAE]])</f>
        <v>925.80137999999988</v>
      </c>
      <c r="Y26" s="21">
        <f>tabCustoUnit[[#This Row],[MODULO 1 - REMUNERAÇÃO ]]*SUMIFS(tabParametros[13º salário (titular)],tabParametros[Código do Posto],tabCustoUnit[[#This Row],[Código do Posto]])</f>
        <v>204.10083333333333</v>
      </c>
      <c r="Z26" s="21">
        <f>tabCustoUnit[[#This Row],[MODULO 1 - REMUNERAÇÃO ]]*SUMIFS(tabParametros[Férias e Adicional de Férias (titular)],tabParametros[Código do Posto],tabCustoUnit[[#This Row],[Código do Posto]])</f>
        <v>272.13444444444445</v>
      </c>
      <c r="AA26" s="21">
        <f>IFERROR((tabCustoUnit[[#This Row],[Submódulo 2.1]]/tabCustoUnit[[#This Row],[MODULO 1 - REMUNERAÇÃO ]])*SUM(tabCustoUnit[[#This Row],[13º salário (titular)]:[Férias e Adicional de Férias (titular)]]),0)</f>
        <v>180.01693499999999</v>
      </c>
      <c r="AB26" s="21">
        <f>SUM(tabCustoUnit[[#This Row],[13º salário (titular)]:[Incidência do Submódulo 2.1 sobre 13º Salário, Férias e Adicional de Férias]])</f>
        <v>656.2522127777778</v>
      </c>
      <c r="AC26" s="22" t="e">
        <f ca="1">_xlfn.LET(_xlpm.VT,SUMIF(tabParametros[Código do Posto],tabCustoUnit[[#This Row],[Código do Posto]],tabParametros[Vale - Transporte])*2*20,
IF((_xlpm.VT-tabCustoUnit[[#This Row],[Salário Base]]*0.06)&gt;=0,(_xlpm.VT-tabCustoUnit[[#This Row],[Salário Base]]*0.06),0)
)</f>
        <v>#NAME?</v>
      </c>
      <c r="AD26" s="22">
        <f>IF(SUMIF(tabParametros[Código do Posto],tabCustoUnit[[#This Row],[Código do Posto]],tabParametros[Vale - Alimentação])&lt;=0,0,
SUMIF(tabParametros[Código do Posto],tabCustoUnit[[#This Row],[Código do Posto]],tabParametros[Vale - Alimentação])*20-1)</f>
        <v>582</v>
      </c>
      <c r="AE26" s="22">
        <f>SUMIF(tabParametros[Código do Posto],tabCustoUnit[[#This Row],[Código do Posto]],tabParametros[Cesta Básica])</f>
        <v>0</v>
      </c>
      <c r="AF26" s="22">
        <f>SUMIF(tabParametros[Código do Posto],tabCustoUnit[[#This Row],[Código do Posto]],tabParametros[PAF])</f>
        <v>95.9</v>
      </c>
      <c r="AG26" s="22">
        <f>SUMIF(tabParametros[Código do Posto],tabCustoUnit[[#This Row],[Código do Posto]],tabParametros[PQM])</f>
        <v>0</v>
      </c>
      <c r="AH26" s="22">
        <f>SUMIF(tabParametros[Código do Posto],tabCustoUnit[[#This Row],[Código do Posto]],tabParametros[Abono Único e Especial])</f>
        <v>0</v>
      </c>
      <c r="AI26" s="22">
        <f>SUMIF(tabParametros[Código do Posto],tabCustoUnit[[#This Row],[Código do Posto]],tabParametros[Seguro de Vida])</f>
        <v>3.36</v>
      </c>
      <c r="AJ26" s="22">
        <f>SUMIF(tabParametros[Código do Posto],tabCustoUnit[[#This Row],[Código do Posto]],tabParametros[Despesas de Viagem])</f>
        <v>202.08</v>
      </c>
      <c r="AK26" s="22" t="e">
        <f ca="1">SUM(tabCustoUnit[[#This Row],[Vale - Transporte (Descontada parcela do empregado)]:[Despesas de Viagem]])</f>
        <v>#NAME?</v>
      </c>
      <c r="AL26" s="22" t="e">
        <f ca="1">tabCustoUnit[[#This Row],[Submódulo 2.1]]+tabCustoUnit[[#This Row],[Submódulo 2.2]]+tabCustoUnit[[#This Row],[Submódulo 2.3]]</f>
        <v>#NAME?</v>
      </c>
      <c r="AM26" s="22">
        <f>SUMIF(tabParametros[Código do Posto],tabCustoUnit[[#This Row],[Código do Posto]],tabParametros[Aviso Prévio Indenizado (API) e Reflexo do Aviso Prévio Indenizado])*tabCustoUnit[[#This Row],[MODULO 1 - REMUNERAÇÃO ]]</f>
        <v>17.173289793595679</v>
      </c>
      <c r="AN26" s="22">
        <f>SUMIF(tabParametros[Código do Posto],tabCustoUnit[[#This Row],[Código do Posto]],tabParametros[Incidência do FGTS sobre API e Reflexo do API])*tabCustoUnit[[#This Row],[MODULO 1 - REMUNERAÇÃO ]]</f>
        <v>1.3738631834876545</v>
      </c>
      <c r="AO26" s="22">
        <f>SUMIF(tabParametros[Código do Posto],tabCustoUnit[[#This Row],[Código do Posto]],tabParametros[Multa Rescisória do FGTS sobre o Aviso Prévio Indenizado])*tabCustoUnit[[#This Row],[MODULO 1 - REMUNERAÇÃO ]]</f>
        <v>0.54954527339506187</v>
      </c>
      <c r="AP26" s="22">
        <f>SUMIF(tabParametros[Código do Posto],tabCustoUnit[[#This Row],[Código do Posto]],tabParametros[Aviso Prévio Trabalhado - APT])*tabCustoUnit[[#This Row],[MODULO 1 - REMUNERAÇÃO ]]</f>
        <v>8.5722350000000009</v>
      </c>
      <c r="AQ26" s="22">
        <f>SUMIF(tabParametros[Código do Posto],tabCustoUnit[[#This Row],[Código do Posto]],tabParametros[Incidência dos encargos do submódulo 2.1 sobre Aviso Prévio Trabalhado])*tabCustoUnit[[#This Row],[MODULO 1 - REMUNERAÇÃO ]]</f>
        <v>3.2403048300000008</v>
      </c>
      <c r="AR26" s="22">
        <f>SUMIF(tabParametros[Código do Posto],tabCustoUnit[[#This Row],[Código do Posto]],tabParametros[Multa Rescisória do FGTS])*tabCustoUnit[[#This Row],[MODULO 1 - REMUNERAÇÃO ]]</f>
        <v>74.891399111111099</v>
      </c>
      <c r="AS26" s="22">
        <f>SUMIF(tabParametros[Código do Posto],tabCustoUnit[[#This Row],[Código do Posto]],tabParametros[Indenização Adicional (Art. 9º da Lei nº 7.238/84)])*tabCustoUnit[[#This Row],[MODULO 1 - REMUNERAÇÃO ]]</f>
        <v>2.0410083333333335</v>
      </c>
      <c r="AT26" s="22">
        <f>SUM(tabCustoUnit[[#This Row],[Aviso Prévio Indenizado (API) e Reflexo do Aviso Prévio Indenizado]:[Indenização Adicional (Art. 9º da Lei nº 7.238/84)]])</f>
        <v>107.84164552492282</v>
      </c>
      <c r="AU26" s="22">
        <f>SUMIF(tabParametros[Código do Posto],tabCustoUnit[[#This Row],[Código do Posto]],tabParametros[Ausência por Doença])*tabCustoUnit[[#This Row],[MODULO 1 - REMUNERAÇÃO ]]</f>
        <v>20.682217777777776</v>
      </c>
      <c r="AV26" s="22">
        <f>SUMIF(tabParametros[Código do Posto],tabCustoUnit[[#This Row],[Código do Posto]],tabParametros[Ausências Legais])*tabCustoUnit[[#This Row],[MODULO 1 - REMUNERAÇÃO ]]</f>
        <v>4.9664536111111106</v>
      </c>
      <c r="AW26" s="22">
        <f>SUMIF(tabParametros[Código do Posto],tabCustoUnit[[#This Row],[Código do Posto]],tabParametros[Licença Paternidade])*tabCustoUnit[[#This Row],[MODULO 1 - REMUNERAÇÃO ]]</f>
        <v>0.41840670833333332</v>
      </c>
      <c r="AX26" s="22">
        <f>SUMIF(tabParametros[Código do Posto],tabCustoUnit[[#This Row],[Código do Posto]],tabParametros[Ausência por Acidente de Trabalho])*tabCustoUnit[[#This Row],[MODULO 1 - REMUNERAÇÃO ]]</f>
        <v>0.51025208333333338</v>
      </c>
      <c r="AY26" s="22">
        <f>SUMIF(tabParametros[Código do Posto],tabCustoUnit[[#This Row],[Código do Posto]],tabParametros[Férias, Adicional de Férias e 13º  com empregada em gozo de Licença Maternidade])*tabCustoUnit[[#This Row],[MODULO 1 - REMUNERAÇÃO ]]</f>
        <v>3.1749018518518519</v>
      </c>
      <c r="AZ26" s="22">
        <f>SUMIF(tabParametros[Código do Posto],tabCustoUnit[[#This Row],[Código do Posto]],tabParametros[Incidência do Submódulo 2.1 sobre Ausências Legais])*tabCustoUnit[[#This Row],[MODULO 1 - REMUNERAÇÃO ]]</f>
        <v>11.246343708250002</v>
      </c>
      <c r="BA26" s="22">
        <f>SUM(tabCustoUnit[[#This Row],[Ausência por Doença]:[Incidência do Submódulo 2.1 sobre Ausências Legais]])</f>
        <v>40.998575740657408</v>
      </c>
      <c r="BB26" s="22">
        <f>SUMIF(tabParametros[Código do Posto],tabCustoUnit[[#This Row],[Código do Posto]],tabParametros[Intervalo para Repouso ou Alimentação])</f>
        <v>0</v>
      </c>
      <c r="BC26" s="22">
        <f>tabCustoUnit[[#This Row],[Intervalo para Repouso ou Alimentação]]</f>
        <v>0</v>
      </c>
      <c r="BD2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 s="22">
        <f>tabCustoUnit[[#This Row],[Suspensão Temporária do Contrato de Trabalho]]</f>
        <v>0</v>
      </c>
      <c r="BF26" s="22">
        <f>tabCustoUnit[[#This Row],[Submódulo 4.1]]+tabCustoUnit[[#This Row],[Submódulo 4.2]]+tabCustoUnit[[#This Row],[Submódulo 4.3]]</f>
        <v>40.998575740657408</v>
      </c>
      <c r="BG26" s="22">
        <f>VLOOKUP(tabCustoUnit[[#This Row],[Código do Posto]],tabParametros[],MATCH(tabCustoUnit[[#Headers],[Uniformes e EPIs]],tabParametros[#Headers],0),0)</f>
        <v>121.1225</v>
      </c>
      <c r="BH26" s="22">
        <f>VLOOKUP(tabCustoUnit[[#This Row],[Código do Posto]],tabParametros[],MATCH(tabCustoUnit[[#Headers],[Materiais de Consumo]],tabParametros[#Headers],0),0)</f>
        <v>0</v>
      </c>
      <c r="BI26" s="22">
        <f>VLOOKUP(tabCustoUnit[[#This Row],[Código do Posto]],tabParametros[],MATCH(tabCustoUnit[[#Headers],[Máquinas e Equipamentos (depreciação)]],tabParametros[#Headers],0),0)</f>
        <v>0</v>
      </c>
      <c r="BJ26" s="22">
        <f>VLOOKUP(tabCustoUnit[[#This Row],[Código do Posto]],tabParametros[],MATCH(tabCustoUnit[[#Headers],[Produtos de Limpeza e Materiais de Higiene Pessoal]],tabParametros[#Headers],0),0)</f>
        <v>0</v>
      </c>
      <c r="BK26" s="22">
        <f>VLOOKUP(tabCustoUnit[[#This Row],[Código do Posto]],tabParametros[],MATCH(tabCustoUnit[[#Headers],[Outros (especificar)]],tabParametros[#Headers],0),0)</f>
        <v>0</v>
      </c>
      <c r="BL26" s="22">
        <f>SUM(tabCustoUnit[[#This Row],[Uniformes e EPIs]:[Outros (especificar)]])</f>
        <v>121.1225</v>
      </c>
      <c r="BM2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 s="22" t="e">
        <f ca="1">VLOOKUP(tabCustoUnit[[#This Row],[Código do Posto]],tabParametros[],MATCH(tabCustoUnit[[#Headers],[Custos Indiretos]],tabParametros[#Headers],0),0)</f>
        <v>#NAME?</v>
      </c>
      <c r="BO26" s="22" t="e">
        <f ca="1">VLOOKUP(tabCustoUnit[[#This Row],[Código do Posto]],tabParametros[],MATCH(tabCustoUnit[[#Headers],[Lucro]],tabParametros[#Headers],0),0)</f>
        <v>#NAME?</v>
      </c>
      <c r="BP26" s="26">
        <f>((100/((1-tabCustoUnit[[#This Row],[Resumo de Alíquotas (PIS+CONFINS+ISS)]]))-100)*VLOOKUP(tabCustoUnit[[#This Row],[Código do Posto]],tabParametros[],MATCH(tabCustoUnit[[#Headers],[COFINS]],tabParametros[#Headers],0),0))/(tabCustoUnit[[#This Row],[Resumo de Alíquotas (PIS+CONFINS+ISS)]]*100)</f>
        <v>8.8629737609329504E-2</v>
      </c>
      <c r="BQ26" s="26">
        <f>((100/((100-(tabCustoUnit[[#This Row],[Resumo de Alíquotas (PIS+CONFINS+ISS)]]*100))%)-100)*VLOOKUP(tabCustoUnit[[#This Row],[Código do Posto]],tabParametros[],MATCH(tabCustoUnit[[#Headers],[PIS]],tabParametros[#Headers],0),0))/(tabCustoUnit[[#This Row],[Resumo de Alíquotas (PIS+CONFINS+ISS)]]*100)</f>
        <v>1.9241982507288629E-2</v>
      </c>
      <c r="BR26" s="28">
        <f>VLOOKUP(tabCustoUnit[[#This Row],[Código do Posto]],tabParametros[],MATCH(tabCustoUnit[[#Headers],[ISS]],tabParametros[#Headers],0),0)</f>
        <v>0.05</v>
      </c>
      <c r="BS26" s="26">
        <f>(((100/((100-(tabCustoUnit[[#This Row],[Resumo de Alíquotas (PIS+CONFINS+ISS)]]*100))%)-100)*tabCustoUnit[[#This Row],[ISS]])/tabCustoUnit[[#This Row],[Resumo de Alíquotas (PIS+CONFINS+ISS)]])/100</f>
        <v>5.8309037900874633E-2</v>
      </c>
      <c r="BT2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6" s="138">
        <f>tabCustoUnit[[#This Row],[COFINS]]+tabCustoUnit[[#This Row],[PIS]]+tabCustoUnit[[#This Row],[ISS (Conversão Alíquota s/ fatura)]]</f>
        <v>0.16618075801749277</v>
      </c>
      <c r="BV26" s="22" t="e">
        <f ca="1">(tabCustoUnit[[#This Row],[TOTAL MÓDULOS 1+2+3+4+5]]+tabCustoUnit[[#This Row],[Custos Indiretos]]+tabCustoUnit[[#This Row],[Lucro]])*tabCustoUnit[[#This Row],[PIS + COFINS + ISS (Total Conversão  Alíquota s/ Fatura)]]</f>
        <v>#NAME?</v>
      </c>
      <c r="BW26" s="22" t="e">
        <f ca="1">tabCustoUnit[[#This Row],[Custos Indiretos]]+tabCustoUnit[[#This Row],[Lucro]]+tabCustoUnit[[#This Row],[Valor dos Tributos (ISS, PIS, CONFINS)]]</f>
        <v>#NAME?</v>
      </c>
      <c r="BX26" s="22" t="e">
        <f ca="1">tabCustoUnit[[#This Row],[TOTAL MÓDULOS 1+2+3+4+5]]+tabCustoUnit[[#This Row],[MÓDULO 6 – CUSTOS INDIRETOS, TRIBUTOS E LUCRO]]</f>
        <v>#NAME?</v>
      </c>
      <c r="BY26" s="22" t="e">
        <f ca="1">tabCustoUnit[[#This Row],[CUSTO TOTAL MENSAL]]*12</f>
        <v>#NAME?</v>
      </c>
      <c r="BZ26" s="24">
        <f>VLOOKUP(tabCustoUnit[[#This Row],[Código do Posto]],tabParametros[],MATCH(tabCustoUnit[[#Headers],[ANO DA CCT]],tabParametros[#Headers],0),0)</f>
        <v>45658</v>
      </c>
      <c r="CA26" s="25" t="str">
        <f>VLOOKUP(tabCustoUnit[[#This Row],[Código do Posto]],tabParametros[],MATCH(tabCustoUnit[[#Headers],[Nº DE PEDIDO DA CCT]],tabParametros[#Headers],0),0)</f>
        <v>-</v>
      </c>
      <c r="CB26" s="25" t="str">
        <f>VLOOKUP(tabCustoUnit[[#This Row],[Código do Posto]],tabParametros[],MATCH(tabCustoUnit[[#Headers],[TERMO ADITIVO ALTERAÇÃO DA CCT]],tabParametros[#Headers],0),0)</f>
        <v>-</v>
      </c>
    </row>
    <row r="27" spans="1:80">
      <c r="A27" s="20" t="s">
        <v>1407</v>
      </c>
      <c r="B27" t="s">
        <v>1103</v>
      </c>
      <c r="C27" t="s">
        <v>133</v>
      </c>
      <c r="D27" t="s">
        <v>1035</v>
      </c>
      <c r="E27" s="20" t="s">
        <v>1090</v>
      </c>
      <c r="F27" s="20" t="s">
        <v>120</v>
      </c>
      <c r="G27" s="418">
        <v>4768.66</v>
      </c>
      <c r="H27" s="418">
        <v>0</v>
      </c>
      <c r="I27" s="418">
        <v>0</v>
      </c>
      <c r="J27" s="418">
        <v>0</v>
      </c>
      <c r="K27" s="418">
        <v>0</v>
      </c>
      <c r="L27" s="418">
        <v>0</v>
      </c>
      <c r="M27" s="418">
        <v>0</v>
      </c>
      <c r="N27" s="418">
        <v>0</v>
      </c>
      <c r="O27" s="21">
        <f>SUM(tabCustoUnit[[#This Row],[Salário Base]:[Adicional de Acúmulo de função]])</f>
        <v>4768.66</v>
      </c>
      <c r="P27" s="21">
        <f>tabCustoUnit[[#This Row],[MODULO 1 - REMUNERAÇÃO ]]*SUMIFS(tabParametros[INSS],tabParametros[Código do Posto],tabCustoUnit[[#This Row],[Código do Posto]])</f>
        <v>953.73199999999997</v>
      </c>
      <c r="Q27" s="21">
        <f>tabCustoUnit[[#This Row],[MODULO 1 - REMUNERAÇÃO ]]*SUMIFS(tabParametros[SESI OU SESC],tabParametros[Código do Posto],tabCustoUnit[[#This Row],[Código do Posto]])</f>
        <v>71.529899999999998</v>
      </c>
      <c r="R27" s="21">
        <f>tabCustoUnit[[#This Row],[MODULO 1 - REMUNERAÇÃO ]]*SUMIFS(tabParametros[SENAI OU SENAC],tabParametros[Código do Posto],tabCustoUnit[[#This Row],[Código do Posto]])</f>
        <v>47.686599999999999</v>
      </c>
      <c r="S27" s="21">
        <f>tabCustoUnit[[#This Row],[MODULO 1 - REMUNERAÇÃO ]]*SUMIFS(tabParametros[INCRA],tabParametros[Código do Posto],tabCustoUnit[[#This Row],[Código do Posto]])</f>
        <v>9.5373199999999994</v>
      </c>
      <c r="T27" s="21">
        <f>tabCustoUnit[[#This Row],[MODULO 1 - REMUNERAÇÃO ]]*SUMIFS(tabParametros[Salário Educação],tabParametros[Código do Posto],tabCustoUnit[[#This Row],[Código do Posto]])</f>
        <v>119.2165</v>
      </c>
      <c r="U27" s="21">
        <f>tabCustoUnit[[#This Row],[MODULO 1 - REMUNERAÇÃO ]]*SUMIFS(tabParametros[FGTS],tabParametros[Código do Posto],tabCustoUnit[[#This Row],[Código do Posto]])</f>
        <v>381.49279999999999</v>
      </c>
      <c r="V27" s="21">
        <f>tabCustoUnit[[#This Row],[MODULO 1 - REMUNERAÇÃO ]]*SUMIFS(tabParametros[RAT Ajustado],tabParametros[Código do Posto],tabCustoUnit[[#This Row],[Código do Posto]])</f>
        <v>190.74639999999999</v>
      </c>
      <c r="W27" s="21">
        <f>tabCustoUnit[[#This Row],[MODULO 1 - REMUNERAÇÃO ]]*SUMIFS(tabParametros[SEBRAE],tabParametros[Código do Posto],tabCustoUnit[[#This Row],[Código do Posto]])</f>
        <v>28.61196</v>
      </c>
      <c r="X27" s="21">
        <f>SUM(tabCustoUnit[[#This Row],[INSS]:[SEBRAE]])</f>
        <v>1802.5534799999998</v>
      </c>
      <c r="Y27" s="21">
        <f>tabCustoUnit[[#This Row],[MODULO 1 - REMUNERAÇÃO ]]*SUMIFS(tabParametros[13º salário (titular)],tabParametros[Código do Posto],tabCustoUnit[[#This Row],[Código do Posto]])</f>
        <v>397.38833333333332</v>
      </c>
      <c r="Z27" s="21">
        <f>tabCustoUnit[[#This Row],[MODULO 1 - REMUNERAÇÃO ]]*SUMIFS(tabParametros[Férias e Adicional de Férias (titular)],tabParametros[Código do Posto],tabCustoUnit[[#This Row],[Código do Posto]])</f>
        <v>529.85111111111109</v>
      </c>
      <c r="AA27" s="21">
        <f>IFERROR((tabCustoUnit[[#This Row],[Submódulo 2.1]]/tabCustoUnit[[#This Row],[MODULO 1 - REMUNERAÇÃO ]])*SUM(tabCustoUnit[[#This Row],[13º salário (titular)]:[Férias e Adicional de Férias (titular)]]),0)</f>
        <v>350.49650999999994</v>
      </c>
      <c r="AB27" s="21">
        <f>SUM(tabCustoUnit[[#This Row],[13º salário (titular)]:[Incidência do Submódulo 2.1 sobre 13º Salário, Férias e Adicional de Férias]])</f>
        <v>1277.7359544444444</v>
      </c>
      <c r="AC27" s="22" t="e">
        <f ca="1">_xlfn.LET(_xlpm.VT,SUMIF(tabParametros[Código do Posto],tabCustoUnit[[#This Row],[Código do Posto]],tabParametros[Vale - Transporte])*2*20,
IF((_xlpm.VT-tabCustoUnit[[#This Row],[Salário Base]]*0.06)&gt;=0,(_xlpm.VT-tabCustoUnit[[#This Row],[Salário Base]]*0.06),0)
)</f>
        <v>#NAME?</v>
      </c>
      <c r="AD27" s="22">
        <f>IF(SUMIF(tabParametros[Código do Posto],tabCustoUnit[[#This Row],[Código do Posto]],tabParametros[Vale - Alimentação])&lt;=0,0,
SUMIF(tabParametros[Código do Posto],tabCustoUnit[[#This Row],[Código do Posto]],tabParametros[Vale - Alimentação])*20-1)</f>
        <v>582</v>
      </c>
      <c r="AE27" s="22">
        <f>SUMIF(tabParametros[Código do Posto],tabCustoUnit[[#This Row],[Código do Posto]],tabParametros[Cesta Básica])</f>
        <v>0</v>
      </c>
      <c r="AF27" s="22">
        <f>SUMIF(tabParametros[Código do Posto],tabCustoUnit[[#This Row],[Código do Posto]],tabParametros[PAF])</f>
        <v>95.9</v>
      </c>
      <c r="AG27" s="22">
        <f>SUMIF(tabParametros[Código do Posto],tabCustoUnit[[#This Row],[Código do Posto]],tabParametros[PQM])</f>
        <v>0</v>
      </c>
      <c r="AH27" s="22">
        <f>SUMIF(tabParametros[Código do Posto],tabCustoUnit[[#This Row],[Código do Posto]],tabParametros[Abono Único e Especial])</f>
        <v>0</v>
      </c>
      <c r="AI27" s="22">
        <f>SUMIF(tabParametros[Código do Posto],tabCustoUnit[[#This Row],[Código do Posto]],tabParametros[Seguro de Vida])</f>
        <v>3.36</v>
      </c>
      <c r="AJ27" s="22">
        <f>SUMIF(tabParametros[Código do Posto],tabCustoUnit[[#This Row],[Código do Posto]],tabParametros[Despesas de Viagem])</f>
        <v>202.08</v>
      </c>
      <c r="AK27" s="22" t="e">
        <f ca="1">SUM(tabCustoUnit[[#This Row],[Vale - Transporte (Descontada parcela do empregado)]:[Despesas de Viagem]])</f>
        <v>#NAME?</v>
      </c>
      <c r="AL27" s="22" t="e">
        <f ca="1">tabCustoUnit[[#This Row],[Submódulo 2.1]]+tabCustoUnit[[#This Row],[Submódulo 2.2]]+tabCustoUnit[[#This Row],[Submódulo 2.3]]</f>
        <v>#NAME?</v>
      </c>
      <c r="AM27" s="22">
        <f>SUMIF(tabParametros[Código do Posto],tabCustoUnit[[#This Row],[Código do Posto]],tabParametros[Aviso Prévio Indenizado (API) e Reflexo do Aviso Prévio Indenizado])*tabCustoUnit[[#This Row],[MODULO 1 - REMUNERAÇÃO ]]</f>
        <v>33.436732704475311</v>
      </c>
      <c r="AN27" s="22">
        <f>SUMIF(tabParametros[Código do Posto],tabCustoUnit[[#This Row],[Código do Posto]],tabParametros[Incidência do FGTS sobre API e Reflexo do API])*tabCustoUnit[[#This Row],[MODULO 1 - REMUNERAÇÃO ]]</f>
        <v>2.6749386163580247</v>
      </c>
      <c r="AO27" s="22">
        <f>SUMIF(tabParametros[Código do Posto],tabCustoUnit[[#This Row],[Código do Posto]],tabParametros[Multa Rescisória do FGTS sobre o Aviso Prévio Indenizado])*tabCustoUnit[[#This Row],[MODULO 1 - REMUNERAÇÃO ]]</f>
        <v>1.0699754465432101</v>
      </c>
      <c r="AP27" s="22">
        <f>SUMIF(tabParametros[Código do Posto],tabCustoUnit[[#This Row],[Código do Posto]],tabParametros[Aviso Prévio Trabalhado - APT])*tabCustoUnit[[#This Row],[MODULO 1 - REMUNERAÇÃO ]]</f>
        <v>16.69031</v>
      </c>
      <c r="AQ27" s="22">
        <f>SUMIF(tabParametros[Código do Posto],tabCustoUnit[[#This Row],[Código do Posto]],tabParametros[Incidência dos encargos do submódulo 2.1 sobre Aviso Prévio Trabalhado])*tabCustoUnit[[#This Row],[MODULO 1 - REMUNERAÇÃO ]]</f>
        <v>6.3089371800000018</v>
      </c>
      <c r="AR27" s="22">
        <f>SUMIF(tabParametros[Código do Posto],tabCustoUnit[[#This Row],[Código do Posto]],tabParametros[Multa Rescisória do FGTS])*tabCustoUnit[[#This Row],[MODULO 1 - REMUNERAÇÃO ]]</f>
        <v>145.81502577777775</v>
      </c>
      <c r="AS27" s="22">
        <f>SUMIF(tabParametros[Código do Posto],tabCustoUnit[[#This Row],[Código do Posto]],tabParametros[Indenização Adicional (Art. 9º da Lei nº 7.238/84)])*tabCustoUnit[[#This Row],[MODULO 1 - REMUNERAÇÃO ]]</f>
        <v>3.9738833333333337</v>
      </c>
      <c r="AT27" s="22">
        <f>SUM(tabCustoUnit[[#This Row],[Aviso Prévio Indenizado (API) e Reflexo do Aviso Prévio Indenizado]:[Indenização Adicional (Art. 9º da Lei nº 7.238/84)]])</f>
        <v>209.96980305848763</v>
      </c>
      <c r="AU27" s="22">
        <f>SUMIF(tabParametros[Código do Posto],tabCustoUnit[[#This Row],[Código do Posto]],tabParametros[Ausência por Doença])*tabCustoUnit[[#This Row],[MODULO 1 - REMUNERAÇÃO ]]</f>
        <v>40.268684444444439</v>
      </c>
      <c r="AV27" s="22">
        <f>SUMIF(tabParametros[Código do Posto],tabCustoUnit[[#This Row],[Código do Posto]],tabParametros[Ausências Legais])*tabCustoUnit[[#This Row],[MODULO 1 - REMUNERAÇÃO ]]</f>
        <v>9.6697827777777761</v>
      </c>
      <c r="AW27" s="22">
        <f>SUMIF(tabParametros[Código do Posto],tabCustoUnit[[#This Row],[Código do Posto]],tabParametros[Licença Paternidade])*tabCustoUnit[[#This Row],[MODULO 1 - REMUNERAÇÃO ]]</f>
        <v>0.81464608333333333</v>
      </c>
      <c r="AX27" s="22">
        <f>SUMIF(tabParametros[Código do Posto],tabCustoUnit[[#This Row],[Código do Posto]],tabParametros[Ausência por Acidente de Trabalho])*tabCustoUnit[[#This Row],[MODULO 1 - REMUNERAÇÃO ]]</f>
        <v>0.99347083333333341</v>
      </c>
      <c r="AY27" s="22">
        <f>SUMIF(tabParametros[Código do Posto],tabCustoUnit[[#This Row],[Código do Posto]],tabParametros[Férias, Adicional de Férias e 13º  com empregada em gozo de Licença Maternidade])*tabCustoUnit[[#This Row],[MODULO 1 - REMUNERAÇÃO ]]</f>
        <v>6.1815962962962958</v>
      </c>
      <c r="AZ27" s="22">
        <f>SUMIF(tabParametros[Código do Posto],tabCustoUnit[[#This Row],[Código do Posto]],tabParametros[Incidência do Submódulo 2.1 sobre Ausências Legais])*tabCustoUnit[[#This Row],[MODULO 1 - REMUNERAÇÃO ]]</f>
        <v>21.896852204500004</v>
      </c>
      <c r="BA27" s="22">
        <f>SUM(tabCustoUnit[[#This Row],[Ausência por Doença]:[Incidência do Submódulo 2.1 sobre Ausências Legais]])</f>
        <v>79.82503263968519</v>
      </c>
      <c r="BB27" s="22">
        <f>SUMIF(tabParametros[Código do Posto],tabCustoUnit[[#This Row],[Código do Posto]],tabParametros[Intervalo para Repouso ou Alimentação])</f>
        <v>0</v>
      </c>
      <c r="BC27" s="22">
        <f>tabCustoUnit[[#This Row],[Intervalo para Repouso ou Alimentação]]</f>
        <v>0</v>
      </c>
      <c r="BD2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 s="22">
        <f>tabCustoUnit[[#This Row],[Suspensão Temporária do Contrato de Trabalho]]</f>
        <v>0</v>
      </c>
      <c r="BF27" s="22">
        <f>tabCustoUnit[[#This Row],[Submódulo 4.1]]+tabCustoUnit[[#This Row],[Submódulo 4.2]]+tabCustoUnit[[#This Row],[Submódulo 4.3]]</f>
        <v>79.82503263968519</v>
      </c>
      <c r="BG27" s="22">
        <f>VLOOKUP(tabCustoUnit[[#This Row],[Código do Posto]],tabParametros[],MATCH(tabCustoUnit[[#Headers],[Uniformes e EPIs]],tabParametros[#Headers],0),0)</f>
        <v>74.449166666666656</v>
      </c>
      <c r="BH27" s="22">
        <f>VLOOKUP(tabCustoUnit[[#This Row],[Código do Posto]],tabParametros[],MATCH(tabCustoUnit[[#Headers],[Materiais de Consumo]],tabParametros[#Headers],0),0)</f>
        <v>0</v>
      </c>
      <c r="BI27" s="22">
        <f>VLOOKUP(tabCustoUnit[[#This Row],[Código do Posto]],tabParametros[],MATCH(tabCustoUnit[[#Headers],[Máquinas e Equipamentos (depreciação)]],tabParametros[#Headers],0),0)</f>
        <v>0</v>
      </c>
      <c r="BJ27" s="22">
        <f>VLOOKUP(tabCustoUnit[[#This Row],[Código do Posto]],tabParametros[],MATCH(tabCustoUnit[[#Headers],[Produtos de Limpeza e Materiais de Higiene Pessoal]],tabParametros[#Headers],0),0)</f>
        <v>0</v>
      </c>
      <c r="BK27" s="22">
        <f>VLOOKUP(tabCustoUnit[[#This Row],[Código do Posto]],tabParametros[],MATCH(tabCustoUnit[[#Headers],[Outros (especificar)]],tabParametros[#Headers],0),0)</f>
        <v>0</v>
      </c>
      <c r="BL27" s="22">
        <f>SUM(tabCustoUnit[[#This Row],[Uniformes e EPIs]:[Outros (especificar)]])</f>
        <v>74.449166666666656</v>
      </c>
      <c r="BM2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 s="22" t="e">
        <f ca="1">VLOOKUP(tabCustoUnit[[#This Row],[Código do Posto]],tabParametros[],MATCH(tabCustoUnit[[#Headers],[Custos Indiretos]],tabParametros[#Headers],0),0)</f>
        <v>#NAME?</v>
      </c>
      <c r="BO27" s="22" t="e">
        <f ca="1">VLOOKUP(tabCustoUnit[[#This Row],[Código do Posto]],tabParametros[],MATCH(tabCustoUnit[[#Headers],[Lucro]],tabParametros[#Headers],0),0)</f>
        <v>#NAME?</v>
      </c>
      <c r="BP27" s="26">
        <f>((100/((1-tabCustoUnit[[#This Row],[Resumo de Alíquotas (PIS+CONFINS+ISS)]]))-100)*VLOOKUP(tabCustoUnit[[#This Row],[Código do Posto]],tabParametros[],MATCH(tabCustoUnit[[#Headers],[COFINS]],tabParametros[#Headers],0),0))/(tabCustoUnit[[#This Row],[Resumo de Alíquotas (PIS+CONFINS+ISS)]]*100)</f>
        <v>8.8629737609329504E-2</v>
      </c>
      <c r="BQ27" s="26">
        <f>((100/((100-(tabCustoUnit[[#This Row],[Resumo de Alíquotas (PIS+CONFINS+ISS)]]*100))%)-100)*VLOOKUP(tabCustoUnit[[#This Row],[Código do Posto]],tabParametros[],MATCH(tabCustoUnit[[#Headers],[PIS]],tabParametros[#Headers],0),0))/(tabCustoUnit[[#This Row],[Resumo de Alíquotas (PIS+CONFINS+ISS)]]*100)</f>
        <v>1.9241982507288629E-2</v>
      </c>
      <c r="BR27" s="28">
        <f>VLOOKUP(tabCustoUnit[[#This Row],[Código do Posto]],tabParametros[],MATCH(tabCustoUnit[[#Headers],[ISS]],tabParametros[#Headers],0),0)</f>
        <v>0.05</v>
      </c>
      <c r="BS27" s="26">
        <f>(((100/((100-(tabCustoUnit[[#This Row],[Resumo de Alíquotas (PIS+CONFINS+ISS)]]*100))%)-100)*tabCustoUnit[[#This Row],[ISS]])/tabCustoUnit[[#This Row],[Resumo de Alíquotas (PIS+CONFINS+ISS)]])/100</f>
        <v>5.8309037900874633E-2</v>
      </c>
      <c r="BT2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7" s="138">
        <f>tabCustoUnit[[#This Row],[COFINS]]+tabCustoUnit[[#This Row],[PIS]]+tabCustoUnit[[#This Row],[ISS (Conversão Alíquota s/ fatura)]]</f>
        <v>0.16618075801749277</v>
      </c>
      <c r="BV27" s="22" t="e">
        <f ca="1">(tabCustoUnit[[#This Row],[TOTAL MÓDULOS 1+2+3+4+5]]+tabCustoUnit[[#This Row],[Custos Indiretos]]+tabCustoUnit[[#This Row],[Lucro]])*tabCustoUnit[[#This Row],[PIS + COFINS + ISS (Total Conversão  Alíquota s/ Fatura)]]</f>
        <v>#NAME?</v>
      </c>
      <c r="BW27" s="22" t="e">
        <f ca="1">tabCustoUnit[[#This Row],[Custos Indiretos]]+tabCustoUnit[[#This Row],[Lucro]]+tabCustoUnit[[#This Row],[Valor dos Tributos (ISS, PIS, CONFINS)]]</f>
        <v>#NAME?</v>
      </c>
      <c r="BX27" s="22" t="e">
        <f ca="1">tabCustoUnit[[#This Row],[TOTAL MÓDULOS 1+2+3+4+5]]+tabCustoUnit[[#This Row],[MÓDULO 6 – CUSTOS INDIRETOS, TRIBUTOS E LUCRO]]</f>
        <v>#NAME?</v>
      </c>
      <c r="BY27" s="22" t="e">
        <f ca="1">tabCustoUnit[[#This Row],[CUSTO TOTAL MENSAL]]*12</f>
        <v>#NAME?</v>
      </c>
      <c r="BZ27" s="24">
        <f>VLOOKUP(tabCustoUnit[[#This Row],[Código do Posto]],tabParametros[],MATCH(tabCustoUnit[[#Headers],[ANO DA CCT]],tabParametros[#Headers],0),0)</f>
        <v>45658</v>
      </c>
      <c r="CA27" s="25" t="str">
        <f>VLOOKUP(tabCustoUnit[[#This Row],[Código do Posto]],tabParametros[],MATCH(tabCustoUnit[[#Headers],[Nº DE PEDIDO DA CCT]],tabParametros[#Headers],0),0)</f>
        <v>-</v>
      </c>
      <c r="CB27" s="25" t="str">
        <f>VLOOKUP(tabCustoUnit[[#This Row],[Código do Posto]],tabParametros[],MATCH(tabCustoUnit[[#Headers],[TERMO ADITIVO ALTERAÇÃO DA CCT]],tabParametros[#Headers],0),0)</f>
        <v>-</v>
      </c>
    </row>
    <row r="28" spans="1:80">
      <c r="A28" s="20" t="s">
        <v>1800</v>
      </c>
      <c r="B28" t="s">
        <v>1103</v>
      </c>
      <c r="C28" t="s">
        <v>133</v>
      </c>
      <c r="D28" t="s">
        <v>1035</v>
      </c>
      <c r="E28" s="20" t="s">
        <v>1090</v>
      </c>
      <c r="F28" s="20" t="s">
        <v>135</v>
      </c>
      <c r="G28" s="418">
        <v>4768.66</v>
      </c>
      <c r="H28" s="418">
        <v>0</v>
      </c>
      <c r="I28" s="418">
        <v>0</v>
      </c>
      <c r="J28" s="418">
        <v>0</v>
      </c>
      <c r="K28" s="418">
        <v>0</v>
      </c>
      <c r="L28" s="418">
        <v>0</v>
      </c>
      <c r="M28" s="418">
        <v>0</v>
      </c>
      <c r="N28" s="418">
        <v>0</v>
      </c>
      <c r="O28" s="21">
        <f>SUM(tabCustoUnit[[#This Row],[Salário Base]:[Adicional de Acúmulo de função]])</f>
        <v>4768.66</v>
      </c>
      <c r="P28" s="21">
        <f>tabCustoUnit[[#This Row],[MODULO 1 - REMUNERAÇÃO ]]*SUMIFS(tabParametros[INSS],tabParametros[Código do Posto],tabCustoUnit[[#This Row],[Código do Posto]])</f>
        <v>953.73199999999997</v>
      </c>
      <c r="Q28" s="21">
        <f>tabCustoUnit[[#This Row],[MODULO 1 - REMUNERAÇÃO ]]*SUMIFS(tabParametros[SESI OU SESC],tabParametros[Código do Posto],tabCustoUnit[[#This Row],[Código do Posto]])</f>
        <v>71.529899999999998</v>
      </c>
      <c r="R28" s="21">
        <f>tabCustoUnit[[#This Row],[MODULO 1 - REMUNERAÇÃO ]]*SUMIFS(tabParametros[SENAI OU SENAC],tabParametros[Código do Posto],tabCustoUnit[[#This Row],[Código do Posto]])</f>
        <v>47.686599999999999</v>
      </c>
      <c r="S28" s="21">
        <f>tabCustoUnit[[#This Row],[MODULO 1 - REMUNERAÇÃO ]]*SUMIFS(tabParametros[INCRA],tabParametros[Código do Posto],tabCustoUnit[[#This Row],[Código do Posto]])</f>
        <v>9.5373199999999994</v>
      </c>
      <c r="T28" s="21">
        <f>tabCustoUnit[[#This Row],[MODULO 1 - REMUNERAÇÃO ]]*SUMIFS(tabParametros[Salário Educação],tabParametros[Código do Posto],tabCustoUnit[[#This Row],[Código do Posto]])</f>
        <v>119.2165</v>
      </c>
      <c r="U28" s="21">
        <f>tabCustoUnit[[#This Row],[MODULO 1 - REMUNERAÇÃO ]]*SUMIFS(tabParametros[FGTS],tabParametros[Código do Posto],tabCustoUnit[[#This Row],[Código do Posto]])</f>
        <v>381.49279999999999</v>
      </c>
      <c r="V28" s="21">
        <f>tabCustoUnit[[#This Row],[MODULO 1 - REMUNERAÇÃO ]]*SUMIFS(tabParametros[RAT Ajustado],tabParametros[Código do Posto],tabCustoUnit[[#This Row],[Código do Posto]])</f>
        <v>190.74639999999999</v>
      </c>
      <c r="W28" s="21">
        <f>tabCustoUnit[[#This Row],[MODULO 1 - REMUNERAÇÃO ]]*SUMIFS(tabParametros[SEBRAE],tabParametros[Código do Posto],tabCustoUnit[[#This Row],[Código do Posto]])</f>
        <v>28.61196</v>
      </c>
      <c r="X28" s="21">
        <f>SUM(tabCustoUnit[[#This Row],[INSS]:[SEBRAE]])</f>
        <v>1802.5534799999998</v>
      </c>
      <c r="Y28" s="21">
        <f>tabCustoUnit[[#This Row],[MODULO 1 - REMUNERAÇÃO ]]*SUMIFS(tabParametros[13º salário (titular)],tabParametros[Código do Posto],tabCustoUnit[[#This Row],[Código do Posto]])</f>
        <v>397.38833333333332</v>
      </c>
      <c r="Z28" s="21">
        <f>tabCustoUnit[[#This Row],[MODULO 1 - REMUNERAÇÃO ]]*SUMIFS(tabParametros[Férias e Adicional de Férias (titular)],tabParametros[Código do Posto],tabCustoUnit[[#This Row],[Código do Posto]])</f>
        <v>529.85111111111109</v>
      </c>
      <c r="AA28" s="21">
        <f>IFERROR((tabCustoUnit[[#This Row],[Submódulo 2.1]]/tabCustoUnit[[#This Row],[MODULO 1 - REMUNERAÇÃO ]])*SUM(tabCustoUnit[[#This Row],[13º salário (titular)]:[Férias e Adicional de Férias (titular)]]),0)</f>
        <v>350.49650999999994</v>
      </c>
      <c r="AB28" s="21">
        <f>SUM(tabCustoUnit[[#This Row],[13º salário (titular)]:[Incidência do Submódulo 2.1 sobre 13º Salário, Férias e Adicional de Férias]])</f>
        <v>1277.7359544444444</v>
      </c>
      <c r="AC28" s="22" t="e">
        <f ca="1">_xlfn.LET(_xlpm.VT,SUMIF(tabParametros[Código do Posto],tabCustoUnit[[#This Row],[Código do Posto]],tabParametros[Vale - Transporte])*2*20,
IF((_xlpm.VT-tabCustoUnit[[#This Row],[Salário Base]]*0.06)&gt;=0,(_xlpm.VT-tabCustoUnit[[#This Row],[Salário Base]]*0.06),0)
)</f>
        <v>#NAME?</v>
      </c>
      <c r="AD28" s="22">
        <f>IF(SUMIF(tabParametros[Código do Posto],tabCustoUnit[[#This Row],[Código do Posto]],tabParametros[Vale - Alimentação])&lt;=0,0,
SUMIF(tabParametros[Código do Posto],tabCustoUnit[[#This Row],[Código do Posto]],tabParametros[Vale - Alimentação])*20-1)</f>
        <v>582</v>
      </c>
      <c r="AE28" s="22">
        <f>SUMIF(tabParametros[Código do Posto],tabCustoUnit[[#This Row],[Código do Posto]],tabParametros[Cesta Básica])</f>
        <v>0</v>
      </c>
      <c r="AF28" s="22">
        <f>SUMIF(tabParametros[Código do Posto],tabCustoUnit[[#This Row],[Código do Posto]],tabParametros[PAF])</f>
        <v>95.9</v>
      </c>
      <c r="AG28" s="22">
        <f>SUMIF(tabParametros[Código do Posto],tabCustoUnit[[#This Row],[Código do Posto]],tabParametros[PQM])</f>
        <v>0</v>
      </c>
      <c r="AH28" s="22">
        <f>SUMIF(tabParametros[Código do Posto],tabCustoUnit[[#This Row],[Código do Posto]],tabParametros[Abono Único e Especial])</f>
        <v>0</v>
      </c>
      <c r="AI28" s="22">
        <f>SUMIF(tabParametros[Código do Posto],tabCustoUnit[[#This Row],[Código do Posto]],tabParametros[Seguro de Vida])</f>
        <v>3.36</v>
      </c>
      <c r="AJ28" s="22">
        <f>SUMIF(tabParametros[Código do Posto],tabCustoUnit[[#This Row],[Código do Posto]],tabParametros[Despesas de Viagem])</f>
        <v>202.08</v>
      </c>
      <c r="AK28" s="22" t="e">
        <f ca="1">SUM(tabCustoUnit[[#This Row],[Vale - Transporte (Descontada parcela do empregado)]:[Despesas de Viagem]])</f>
        <v>#NAME?</v>
      </c>
      <c r="AL28" s="22" t="e">
        <f ca="1">tabCustoUnit[[#This Row],[Submódulo 2.1]]+tabCustoUnit[[#This Row],[Submódulo 2.2]]+tabCustoUnit[[#This Row],[Submódulo 2.3]]</f>
        <v>#NAME?</v>
      </c>
      <c r="AM28" s="22">
        <f>SUMIF(tabParametros[Código do Posto],tabCustoUnit[[#This Row],[Código do Posto]],tabParametros[Aviso Prévio Indenizado (API) e Reflexo do Aviso Prévio Indenizado])*tabCustoUnit[[#This Row],[MODULO 1 - REMUNERAÇÃO ]]</f>
        <v>33.436732704475311</v>
      </c>
      <c r="AN28" s="22">
        <f>SUMIF(tabParametros[Código do Posto],tabCustoUnit[[#This Row],[Código do Posto]],tabParametros[Incidência do FGTS sobre API e Reflexo do API])*tabCustoUnit[[#This Row],[MODULO 1 - REMUNERAÇÃO ]]</f>
        <v>2.6749386163580247</v>
      </c>
      <c r="AO28" s="22">
        <f>SUMIF(tabParametros[Código do Posto],tabCustoUnit[[#This Row],[Código do Posto]],tabParametros[Multa Rescisória do FGTS sobre o Aviso Prévio Indenizado])*tabCustoUnit[[#This Row],[MODULO 1 - REMUNERAÇÃO ]]</f>
        <v>1.0699754465432101</v>
      </c>
      <c r="AP28" s="22">
        <f>SUMIF(tabParametros[Código do Posto],tabCustoUnit[[#This Row],[Código do Posto]],tabParametros[Aviso Prévio Trabalhado - APT])*tabCustoUnit[[#This Row],[MODULO 1 - REMUNERAÇÃO ]]</f>
        <v>16.69031</v>
      </c>
      <c r="AQ28" s="22">
        <f>SUMIF(tabParametros[Código do Posto],tabCustoUnit[[#This Row],[Código do Posto]],tabParametros[Incidência dos encargos do submódulo 2.1 sobre Aviso Prévio Trabalhado])*tabCustoUnit[[#This Row],[MODULO 1 - REMUNERAÇÃO ]]</f>
        <v>6.3089371800000018</v>
      </c>
      <c r="AR28" s="22">
        <f>SUMIF(tabParametros[Código do Posto],tabCustoUnit[[#This Row],[Código do Posto]],tabParametros[Multa Rescisória do FGTS])*tabCustoUnit[[#This Row],[MODULO 1 - REMUNERAÇÃO ]]</f>
        <v>145.81502577777775</v>
      </c>
      <c r="AS28" s="22">
        <f>SUMIF(tabParametros[Código do Posto],tabCustoUnit[[#This Row],[Código do Posto]],tabParametros[Indenização Adicional (Art. 9º da Lei nº 7.238/84)])*tabCustoUnit[[#This Row],[MODULO 1 - REMUNERAÇÃO ]]</f>
        <v>3.9738833333333337</v>
      </c>
      <c r="AT28" s="22">
        <f>SUM(tabCustoUnit[[#This Row],[Aviso Prévio Indenizado (API) e Reflexo do Aviso Prévio Indenizado]:[Indenização Adicional (Art. 9º da Lei nº 7.238/84)]])</f>
        <v>209.96980305848763</v>
      </c>
      <c r="AU28" s="22">
        <f>SUMIF(tabParametros[Código do Posto],tabCustoUnit[[#This Row],[Código do Posto]],tabParametros[Ausência por Doença])*tabCustoUnit[[#This Row],[MODULO 1 - REMUNERAÇÃO ]]</f>
        <v>40.268684444444439</v>
      </c>
      <c r="AV28" s="22">
        <f>SUMIF(tabParametros[Código do Posto],tabCustoUnit[[#This Row],[Código do Posto]],tabParametros[Ausências Legais])*tabCustoUnit[[#This Row],[MODULO 1 - REMUNERAÇÃO ]]</f>
        <v>9.6697827777777761</v>
      </c>
      <c r="AW28" s="22">
        <f>SUMIF(tabParametros[Código do Posto],tabCustoUnit[[#This Row],[Código do Posto]],tabParametros[Licença Paternidade])*tabCustoUnit[[#This Row],[MODULO 1 - REMUNERAÇÃO ]]</f>
        <v>0.81464608333333333</v>
      </c>
      <c r="AX28" s="22">
        <f>SUMIF(tabParametros[Código do Posto],tabCustoUnit[[#This Row],[Código do Posto]],tabParametros[Ausência por Acidente de Trabalho])*tabCustoUnit[[#This Row],[MODULO 1 - REMUNERAÇÃO ]]</f>
        <v>0.99347083333333341</v>
      </c>
      <c r="AY28" s="22">
        <f>SUMIF(tabParametros[Código do Posto],tabCustoUnit[[#This Row],[Código do Posto]],tabParametros[Férias, Adicional de Férias e 13º  com empregada em gozo de Licença Maternidade])*tabCustoUnit[[#This Row],[MODULO 1 - REMUNERAÇÃO ]]</f>
        <v>6.1815962962962958</v>
      </c>
      <c r="AZ28" s="22">
        <f>SUMIF(tabParametros[Código do Posto],tabCustoUnit[[#This Row],[Código do Posto]],tabParametros[Incidência do Submódulo 2.1 sobre Ausências Legais])*tabCustoUnit[[#This Row],[MODULO 1 - REMUNERAÇÃO ]]</f>
        <v>21.896852204500004</v>
      </c>
      <c r="BA28" s="22">
        <f>SUM(tabCustoUnit[[#This Row],[Ausência por Doença]:[Incidência do Submódulo 2.1 sobre Ausências Legais]])</f>
        <v>79.82503263968519</v>
      </c>
      <c r="BB28" s="22">
        <f>SUMIF(tabParametros[Código do Posto],tabCustoUnit[[#This Row],[Código do Posto]],tabParametros[Intervalo para Repouso ou Alimentação])</f>
        <v>0</v>
      </c>
      <c r="BC28" s="22">
        <f>tabCustoUnit[[#This Row],[Intervalo para Repouso ou Alimentação]]</f>
        <v>0</v>
      </c>
      <c r="BD2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 s="22">
        <f>tabCustoUnit[[#This Row],[Suspensão Temporária do Contrato de Trabalho]]</f>
        <v>0</v>
      </c>
      <c r="BF28" s="22">
        <f>tabCustoUnit[[#This Row],[Submódulo 4.1]]+tabCustoUnit[[#This Row],[Submódulo 4.2]]+tabCustoUnit[[#This Row],[Submódulo 4.3]]</f>
        <v>79.82503263968519</v>
      </c>
      <c r="BG28" s="22">
        <f>VLOOKUP(tabCustoUnit[[#This Row],[Código do Posto]],tabParametros[],MATCH(tabCustoUnit[[#Headers],[Uniformes e EPIs]],tabParametros[#Headers],0),0)</f>
        <v>74.449166666666656</v>
      </c>
      <c r="BH28" s="22">
        <f>VLOOKUP(tabCustoUnit[[#This Row],[Código do Posto]],tabParametros[],MATCH(tabCustoUnit[[#Headers],[Materiais de Consumo]],tabParametros[#Headers],0),0)</f>
        <v>0</v>
      </c>
      <c r="BI28" s="22">
        <f>VLOOKUP(tabCustoUnit[[#This Row],[Código do Posto]],tabParametros[],MATCH(tabCustoUnit[[#Headers],[Máquinas e Equipamentos (depreciação)]],tabParametros[#Headers],0),0)</f>
        <v>0</v>
      </c>
      <c r="BJ28" s="22">
        <f>VLOOKUP(tabCustoUnit[[#This Row],[Código do Posto]],tabParametros[],MATCH(tabCustoUnit[[#Headers],[Produtos de Limpeza e Materiais de Higiene Pessoal]],tabParametros[#Headers],0),0)</f>
        <v>0</v>
      </c>
      <c r="BK28" s="22">
        <f>VLOOKUP(tabCustoUnit[[#This Row],[Código do Posto]],tabParametros[],MATCH(tabCustoUnit[[#Headers],[Outros (especificar)]],tabParametros[#Headers],0),0)</f>
        <v>0</v>
      </c>
      <c r="BL28" s="22">
        <f>SUM(tabCustoUnit[[#This Row],[Uniformes e EPIs]:[Outros (especificar)]])</f>
        <v>74.449166666666656</v>
      </c>
      <c r="BM2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 s="22" t="e">
        <f ca="1">VLOOKUP(tabCustoUnit[[#This Row],[Código do Posto]],tabParametros[],MATCH(tabCustoUnit[[#Headers],[Custos Indiretos]],tabParametros[#Headers],0),0)</f>
        <v>#NAME?</v>
      </c>
      <c r="BO28" s="22" t="e">
        <f ca="1">VLOOKUP(tabCustoUnit[[#This Row],[Código do Posto]],tabParametros[],MATCH(tabCustoUnit[[#Headers],[Lucro]],tabParametros[#Headers],0),0)</f>
        <v>#NAME?</v>
      </c>
      <c r="BP28" s="26">
        <f>((100/((1-tabCustoUnit[[#This Row],[Resumo de Alíquotas (PIS+CONFINS+ISS)]]))-100)*VLOOKUP(tabCustoUnit[[#This Row],[Código do Posto]],tabParametros[],MATCH(tabCustoUnit[[#Headers],[COFINS]],tabParametros[#Headers],0),0))/(tabCustoUnit[[#This Row],[Resumo de Alíquotas (PIS+CONFINS+ISS)]]*100)</f>
        <v>8.8629737609329504E-2</v>
      </c>
      <c r="BQ28" s="26">
        <f>((100/((100-(tabCustoUnit[[#This Row],[Resumo de Alíquotas (PIS+CONFINS+ISS)]]*100))%)-100)*VLOOKUP(tabCustoUnit[[#This Row],[Código do Posto]],tabParametros[],MATCH(tabCustoUnit[[#Headers],[PIS]],tabParametros[#Headers],0),0))/(tabCustoUnit[[#This Row],[Resumo de Alíquotas (PIS+CONFINS+ISS)]]*100)</f>
        <v>1.9241982507288629E-2</v>
      </c>
      <c r="BR28" s="28">
        <f>VLOOKUP(tabCustoUnit[[#This Row],[Código do Posto]],tabParametros[],MATCH(tabCustoUnit[[#Headers],[ISS]],tabParametros[#Headers],0),0)</f>
        <v>0.05</v>
      </c>
      <c r="BS28" s="26">
        <f>(((100/((100-(tabCustoUnit[[#This Row],[Resumo de Alíquotas (PIS+CONFINS+ISS)]]*100))%)-100)*tabCustoUnit[[#This Row],[ISS]])/tabCustoUnit[[#This Row],[Resumo de Alíquotas (PIS+CONFINS+ISS)]])/100</f>
        <v>5.8309037900874633E-2</v>
      </c>
      <c r="BT2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8" s="138">
        <f>tabCustoUnit[[#This Row],[COFINS]]+tabCustoUnit[[#This Row],[PIS]]+tabCustoUnit[[#This Row],[ISS (Conversão Alíquota s/ fatura)]]</f>
        <v>0.16618075801749277</v>
      </c>
      <c r="BV28" s="22" t="e">
        <f ca="1">(tabCustoUnit[[#This Row],[TOTAL MÓDULOS 1+2+3+4+5]]+tabCustoUnit[[#This Row],[Custos Indiretos]]+tabCustoUnit[[#This Row],[Lucro]])*tabCustoUnit[[#This Row],[PIS + COFINS + ISS (Total Conversão  Alíquota s/ Fatura)]]</f>
        <v>#NAME?</v>
      </c>
      <c r="BW28" s="22" t="e">
        <f ca="1">tabCustoUnit[[#This Row],[Custos Indiretos]]+tabCustoUnit[[#This Row],[Lucro]]+tabCustoUnit[[#This Row],[Valor dos Tributos (ISS, PIS, CONFINS)]]</f>
        <v>#NAME?</v>
      </c>
      <c r="BX28" s="22" t="e">
        <f ca="1">tabCustoUnit[[#This Row],[TOTAL MÓDULOS 1+2+3+4+5]]+tabCustoUnit[[#This Row],[MÓDULO 6 – CUSTOS INDIRETOS, TRIBUTOS E LUCRO]]</f>
        <v>#NAME?</v>
      </c>
      <c r="BY28" s="22" t="e">
        <f ca="1">tabCustoUnit[[#This Row],[CUSTO TOTAL MENSAL]]*12</f>
        <v>#NAME?</v>
      </c>
      <c r="BZ28" s="24">
        <f>VLOOKUP(tabCustoUnit[[#This Row],[Código do Posto]],tabParametros[],MATCH(tabCustoUnit[[#Headers],[ANO DA CCT]],tabParametros[#Headers],0),0)</f>
        <v>45658</v>
      </c>
      <c r="CA28" s="25" t="str">
        <f>VLOOKUP(tabCustoUnit[[#This Row],[Código do Posto]],tabParametros[],MATCH(tabCustoUnit[[#Headers],[Nº DE PEDIDO DA CCT]],tabParametros[#Headers],0),0)</f>
        <v>-</v>
      </c>
      <c r="CB28" s="25" t="str">
        <f>VLOOKUP(tabCustoUnit[[#This Row],[Código do Posto]],tabParametros[],MATCH(tabCustoUnit[[#Headers],[TERMO ADITIVO ALTERAÇÃO DA CCT]],tabParametros[#Headers],0),0)</f>
        <v>-</v>
      </c>
    </row>
    <row r="29" spans="1:80">
      <c r="A29" s="20" t="s">
        <v>1408</v>
      </c>
      <c r="B29" t="s">
        <v>1103</v>
      </c>
      <c r="C29" t="s">
        <v>142</v>
      </c>
      <c r="D29" t="s">
        <v>1035</v>
      </c>
      <c r="E29" s="20" t="s">
        <v>1090</v>
      </c>
      <c r="F29" s="20" t="s">
        <v>120</v>
      </c>
      <c r="G29" s="418">
        <v>4768.66</v>
      </c>
      <c r="H29" s="418">
        <v>0</v>
      </c>
      <c r="I29" s="418">
        <v>0</v>
      </c>
      <c r="J29" s="418">
        <v>0</v>
      </c>
      <c r="K29" s="418">
        <v>0</v>
      </c>
      <c r="L29" s="418">
        <v>0</v>
      </c>
      <c r="M29" s="418">
        <v>0</v>
      </c>
      <c r="N29" s="418">
        <v>0</v>
      </c>
      <c r="O29" s="21">
        <f>SUM(tabCustoUnit[[#This Row],[Salário Base]:[Adicional de Acúmulo de função]])</f>
        <v>4768.66</v>
      </c>
      <c r="P29" s="21">
        <f>tabCustoUnit[[#This Row],[MODULO 1 - REMUNERAÇÃO ]]*SUMIFS(tabParametros[INSS],tabParametros[Código do Posto],tabCustoUnit[[#This Row],[Código do Posto]])</f>
        <v>953.73199999999997</v>
      </c>
      <c r="Q29" s="21">
        <f>tabCustoUnit[[#This Row],[MODULO 1 - REMUNERAÇÃO ]]*SUMIFS(tabParametros[SESI OU SESC],tabParametros[Código do Posto],tabCustoUnit[[#This Row],[Código do Posto]])</f>
        <v>71.529899999999998</v>
      </c>
      <c r="R29" s="21">
        <f>tabCustoUnit[[#This Row],[MODULO 1 - REMUNERAÇÃO ]]*SUMIFS(tabParametros[SENAI OU SENAC],tabParametros[Código do Posto],tabCustoUnit[[#This Row],[Código do Posto]])</f>
        <v>47.686599999999999</v>
      </c>
      <c r="S29" s="21">
        <f>tabCustoUnit[[#This Row],[MODULO 1 - REMUNERAÇÃO ]]*SUMIFS(tabParametros[INCRA],tabParametros[Código do Posto],tabCustoUnit[[#This Row],[Código do Posto]])</f>
        <v>9.5373199999999994</v>
      </c>
      <c r="T29" s="21">
        <f>tabCustoUnit[[#This Row],[MODULO 1 - REMUNERAÇÃO ]]*SUMIFS(tabParametros[Salário Educação],tabParametros[Código do Posto],tabCustoUnit[[#This Row],[Código do Posto]])</f>
        <v>119.2165</v>
      </c>
      <c r="U29" s="21">
        <f>tabCustoUnit[[#This Row],[MODULO 1 - REMUNERAÇÃO ]]*SUMIFS(tabParametros[FGTS],tabParametros[Código do Posto],tabCustoUnit[[#This Row],[Código do Posto]])</f>
        <v>381.49279999999999</v>
      </c>
      <c r="V29" s="21">
        <f>tabCustoUnit[[#This Row],[MODULO 1 - REMUNERAÇÃO ]]*SUMIFS(tabParametros[RAT Ajustado],tabParametros[Código do Posto],tabCustoUnit[[#This Row],[Código do Posto]])</f>
        <v>190.74639999999999</v>
      </c>
      <c r="W29" s="21">
        <f>tabCustoUnit[[#This Row],[MODULO 1 - REMUNERAÇÃO ]]*SUMIFS(tabParametros[SEBRAE],tabParametros[Código do Posto],tabCustoUnit[[#This Row],[Código do Posto]])</f>
        <v>28.61196</v>
      </c>
      <c r="X29" s="21">
        <f>SUM(tabCustoUnit[[#This Row],[INSS]:[SEBRAE]])</f>
        <v>1802.5534799999998</v>
      </c>
      <c r="Y29" s="21">
        <f>tabCustoUnit[[#This Row],[MODULO 1 - REMUNERAÇÃO ]]*SUMIFS(tabParametros[13º salário (titular)],tabParametros[Código do Posto],tabCustoUnit[[#This Row],[Código do Posto]])</f>
        <v>397.38833333333332</v>
      </c>
      <c r="Z29" s="21">
        <f>tabCustoUnit[[#This Row],[MODULO 1 - REMUNERAÇÃO ]]*SUMIFS(tabParametros[Férias e Adicional de Férias (titular)],tabParametros[Código do Posto],tabCustoUnit[[#This Row],[Código do Posto]])</f>
        <v>529.85111111111109</v>
      </c>
      <c r="AA29" s="21">
        <f>IFERROR((tabCustoUnit[[#This Row],[Submódulo 2.1]]/tabCustoUnit[[#This Row],[MODULO 1 - REMUNERAÇÃO ]])*SUM(tabCustoUnit[[#This Row],[13º salário (titular)]:[Férias e Adicional de Férias (titular)]]),0)</f>
        <v>350.49650999999994</v>
      </c>
      <c r="AB29" s="21">
        <f>SUM(tabCustoUnit[[#This Row],[13º salário (titular)]:[Incidência do Submódulo 2.1 sobre 13º Salário, Férias e Adicional de Férias]])</f>
        <v>1277.7359544444444</v>
      </c>
      <c r="AC29" s="22" t="e">
        <f ca="1">_xlfn.LET(_xlpm.VT,SUMIF(tabParametros[Código do Posto],tabCustoUnit[[#This Row],[Código do Posto]],tabParametros[Vale - Transporte])*2*20,
IF((_xlpm.VT-tabCustoUnit[[#This Row],[Salário Base]]*0.06)&gt;=0,(_xlpm.VT-tabCustoUnit[[#This Row],[Salário Base]]*0.06),0)
)</f>
        <v>#NAME?</v>
      </c>
      <c r="AD29" s="22">
        <f>IF(SUMIF(tabParametros[Código do Posto],tabCustoUnit[[#This Row],[Código do Posto]],tabParametros[Vale - Alimentação])&lt;=0,0,
SUMIF(tabParametros[Código do Posto],tabCustoUnit[[#This Row],[Código do Posto]],tabParametros[Vale - Alimentação])*20-1)</f>
        <v>582</v>
      </c>
      <c r="AE29" s="22">
        <f>SUMIF(tabParametros[Código do Posto],tabCustoUnit[[#This Row],[Código do Posto]],tabParametros[Cesta Básica])</f>
        <v>0</v>
      </c>
      <c r="AF29" s="22">
        <f>SUMIF(tabParametros[Código do Posto],tabCustoUnit[[#This Row],[Código do Posto]],tabParametros[PAF])</f>
        <v>95.9</v>
      </c>
      <c r="AG29" s="22">
        <f>SUMIF(tabParametros[Código do Posto],tabCustoUnit[[#This Row],[Código do Posto]],tabParametros[PQM])</f>
        <v>0</v>
      </c>
      <c r="AH29" s="22">
        <f>SUMIF(tabParametros[Código do Posto],tabCustoUnit[[#This Row],[Código do Posto]],tabParametros[Abono Único e Especial])</f>
        <v>0</v>
      </c>
      <c r="AI29" s="22">
        <f>SUMIF(tabParametros[Código do Posto],tabCustoUnit[[#This Row],[Código do Posto]],tabParametros[Seguro de Vida])</f>
        <v>3.36</v>
      </c>
      <c r="AJ29" s="22">
        <f>SUMIF(tabParametros[Código do Posto],tabCustoUnit[[#This Row],[Código do Posto]],tabParametros[Despesas de Viagem])</f>
        <v>202.08</v>
      </c>
      <c r="AK29" s="22" t="e">
        <f ca="1">SUM(tabCustoUnit[[#This Row],[Vale - Transporte (Descontada parcela do empregado)]:[Despesas de Viagem]])</f>
        <v>#NAME?</v>
      </c>
      <c r="AL29" s="22" t="e">
        <f ca="1">tabCustoUnit[[#This Row],[Submódulo 2.1]]+tabCustoUnit[[#This Row],[Submódulo 2.2]]+tabCustoUnit[[#This Row],[Submódulo 2.3]]</f>
        <v>#NAME?</v>
      </c>
      <c r="AM29" s="22">
        <f>SUMIF(tabParametros[Código do Posto],tabCustoUnit[[#This Row],[Código do Posto]],tabParametros[Aviso Prévio Indenizado (API) e Reflexo do Aviso Prévio Indenizado])*tabCustoUnit[[#This Row],[MODULO 1 - REMUNERAÇÃO ]]</f>
        <v>33.436732704475311</v>
      </c>
      <c r="AN29" s="22">
        <f>SUMIF(tabParametros[Código do Posto],tabCustoUnit[[#This Row],[Código do Posto]],tabParametros[Incidência do FGTS sobre API e Reflexo do API])*tabCustoUnit[[#This Row],[MODULO 1 - REMUNERAÇÃO ]]</f>
        <v>2.6749386163580247</v>
      </c>
      <c r="AO29" s="22">
        <f>SUMIF(tabParametros[Código do Posto],tabCustoUnit[[#This Row],[Código do Posto]],tabParametros[Multa Rescisória do FGTS sobre o Aviso Prévio Indenizado])*tabCustoUnit[[#This Row],[MODULO 1 - REMUNERAÇÃO ]]</f>
        <v>1.0699754465432101</v>
      </c>
      <c r="AP29" s="22">
        <f>SUMIF(tabParametros[Código do Posto],tabCustoUnit[[#This Row],[Código do Posto]],tabParametros[Aviso Prévio Trabalhado - APT])*tabCustoUnit[[#This Row],[MODULO 1 - REMUNERAÇÃO ]]</f>
        <v>16.69031</v>
      </c>
      <c r="AQ29" s="22">
        <f>SUMIF(tabParametros[Código do Posto],tabCustoUnit[[#This Row],[Código do Posto]],tabParametros[Incidência dos encargos do submódulo 2.1 sobre Aviso Prévio Trabalhado])*tabCustoUnit[[#This Row],[MODULO 1 - REMUNERAÇÃO ]]</f>
        <v>6.3089371800000018</v>
      </c>
      <c r="AR29" s="22">
        <f>SUMIF(tabParametros[Código do Posto],tabCustoUnit[[#This Row],[Código do Posto]],tabParametros[Multa Rescisória do FGTS])*tabCustoUnit[[#This Row],[MODULO 1 - REMUNERAÇÃO ]]</f>
        <v>145.81502577777775</v>
      </c>
      <c r="AS29" s="22">
        <f>SUMIF(tabParametros[Código do Posto],tabCustoUnit[[#This Row],[Código do Posto]],tabParametros[Indenização Adicional (Art. 9º da Lei nº 7.238/84)])*tabCustoUnit[[#This Row],[MODULO 1 - REMUNERAÇÃO ]]</f>
        <v>3.9738833333333337</v>
      </c>
      <c r="AT29" s="22">
        <f>SUM(tabCustoUnit[[#This Row],[Aviso Prévio Indenizado (API) e Reflexo do Aviso Prévio Indenizado]:[Indenização Adicional (Art. 9º da Lei nº 7.238/84)]])</f>
        <v>209.96980305848763</v>
      </c>
      <c r="AU29" s="22">
        <f>SUMIF(tabParametros[Código do Posto],tabCustoUnit[[#This Row],[Código do Posto]],tabParametros[Ausência por Doença])*tabCustoUnit[[#This Row],[MODULO 1 - REMUNERAÇÃO ]]</f>
        <v>40.268684444444439</v>
      </c>
      <c r="AV29" s="22">
        <f>SUMIF(tabParametros[Código do Posto],tabCustoUnit[[#This Row],[Código do Posto]],tabParametros[Ausências Legais])*tabCustoUnit[[#This Row],[MODULO 1 - REMUNERAÇÃO ]]</f>
        <v>9.6697827777777761</v>
      </c>
      <c r="AW29" s="22">
        <f>SUMIF(tabParametros[Código do Posto],tabCustoUnit[[#This Row],[Código do Posto]],tabParametros[Licença Paternidade])*tabCustoUnit[[#This Row],[MODULO 1 - REMUNERAÇÃO ]]</f>
        <v>0.81464608333333333</v>
      </c>
      <c r="AX29" s="22">
        <f>SUMIF(tabParametros[Código do Posto],tabCustoUnit[[#This Row],[Código do Posto]],tabParametros[Ausência por Acidente de Trabalho])*tabCustoUnit[[#This Row],[MODULO 1 - REMUNERAÇÃO ]]</f>
        <v>0.99347083333333341</v>
      </c>
      <c r="AY29" s="22">
        <f>SUMIF(tabParametros[Código do Posto],tabCustoUnit[[#This Row],[Código do Posto]],tabParametros[Férias, Adicional de Férias e 13º  com empregada em gozo de Licença Maternidade])*tabCustoUnit[[#This Row],[MODULO 1 - REMUNERAÇÃO ]]</f>
        <v>6.1815962962962958</v>
      </c>
      <c r="AZ29" s="22">
        <f>SUMIF(tabParametros[Código do Posto],tabCustoUnit[[#This Row],[Código do Posto]],tabParametros[Incidência do Submódulo 2.1 sobre Ausências Legais])*tabCustoUnit[[#This Row],[MODULO 1 - REMUNERAÇÃO ]]</f>
        <v>21.896852204500004</v>
      </c>
      <c r="BA29" s="22">
        <f>SUM(tabCustoUnit[[#This Row],[Ausência por Doença]:[Incidência do Submódulo 2.1 sobre Ausências Legais]])</f>
        <v>79.82503263968519</v>
      </c>
      <c r="BB29" s="22">
        <f>SUMIF(tabParametros[Código do Posto],tabCustoUnit[[#This Row],[Código do Posto]],tabParametros[Intervalo para Repouso ou Alimentação])</f>
        <v>0</v>
      </c>
      <c r="BC29" s="22">
        <f>tabCustoUnit[[#This Row],[Intervalo para Repouso ou Alimentação]]</f>
        <v>0</v>
      </c>
      <c r="BD2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 s="22">
        <f>tabCustoUnit[[#This Row],[Suspensão Temporária do Contrato de Trabalho]]</f>
        <v>0</v>
      </c>
      <c r="BF29" s="22">
        <f>tabCustoUnit[[#This Row],[Submódulo 4.1]]+tabCustoUnit[[#This Row],[Submódulo 4.2]]+tabCustoUnit[[#This Row],[Submódulo 4.3]]</f>
        <v>79.82503263968519</v>
      </c>
      <c r="BG29" s="22">
        <f>VLOOKUP(tabCustoUnit[[#This Row],[Código do Posto]],tabParametros[],MATCH(tabCustoUnit[[#Headers],[Uniformes e EPIs]],tabParametros[#Headers],0),0)</f>
        <v>122.88960578008744</v>
      </c>
      <c r="BH29" s="22">
        <f>VLOOKUP(tabCustoUnit[[#This Row],[Código do Posto]],tabParametros[],MATCH(tabCustoUnit[[#Headers],[Materiais de Consumo]],tabParametros[#Headers],0),0)</f>
        <v>0</v>
      </c>
      <c r="BI29" s="22">
        <f>VLOOKUP(tabCustoUnit[[#This Row],[Código do Posto]],tabParametros[],MATCH(tabCustoUnit[[#Headers],[Máquinas e Equipamentos (depreciação)]],tabParametros[#Headers],0),0)</f>
        <v>0</v>
      </c>
      <c r="BJ29" s="22">
        <f>VLOOKUP(tabCustoUnit[[#This Row],[Código do Posto]],tabParametros[],MATCH(tabCustoUnit[[#Headers],[Produtos de Limpeza e Materiais de Higiene Pessoal]],tabParametros[#Headers],0),0)</f>
        <v>0</v>
      </c>
      <c r="BK29" s="22">
        <f>VLOOKUP(tabCustoUnit[[#This Row],[Código do Posto]],tabParametros[],MATCH(tabCustoUnit[[#Headers],[Outros (especificar)]],tabParametros[#Headers],0),0)</f>
        <v>0</v>
      </c>
      <c r="BL29" s="22">
        <f>SUM(tabCustoUnit[[#This Row],[Uniformes e EPIs]:[Outros (especificar)]])</f>
        <v>122.88960578008744</v>
      </c>
      <c r="BM2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 s="22" t="e">
        <f ca="1">VLOOKUP(tabCustoUnit[[#This Row],[Código do Posto]],tabParametros[],MATCH(tabCustoUnit[[#Headers],[Custos Indiretos]],tabParametros[#Headers],0),0)</f>
        <v>#NAME?</v>
      </c>
      <c r="BO29" s="22" t="e">
        <f ca="1">VLOOKUP(tabCustoUnit[[#This Row],[Código do Posto]],tabParametros[],MATCH(tabCustoUnit[[#Headers],[Lucro]],tabParametros[#Headers],0),0)</f>
        <v>#NAME?</v>
      </c>
      <c r="BP29" s="26">
        <f>((100/((1-tabCustoUnit[[#This Row],[Resumo de Alíquotas (PIS+CONFINS+ISS)]]))-100)*VLOOKUP(tabCustoUnit[[#This Row],[Código do Posto]],tabParametros[],MATCH(tabCustoUnit[[#Headers],[COFINS]],tabParametros[#Headers],0),0))/(tabCustoUnit[[#This Row],[Resumo de Alíquotas (PIS+CONFINS+ISS)]]*100)</f>
        <v>8.8629737609329504E-2</v>
      </c>
      <c r="BQ29" s="26">
        <f>((100/((100-(tabCustoUnit[[#This Row],[Resumo de Alíquotas (PIS+CONFINS+ISS)]]*100))%)-100)*VLOOKUP(tabCustoUnit[[#This Row],[Código do Posto]],tabParametros[],MATCH(tabCustoUnit[[#Headers],[PIS]],tabParametros[#Headers],0),0))/(tabCustoUnit[[#This Row],[Resumo de Alíquotas (PIS+CONFINS+ISS)]]*100)</f>
        <v>1.9241982507288629E-2</v>
      </c>
      <c r="BR29" s="28">
        <f>VLOOKUP(tabCustoUnit[[#This Row],[Código do Posto]],tabParametros[],MATCH(tabCustoUnit[[#Headers],[ISS]],tabParametros[#Headers],0),0)</f>
        <v>0.05</v>
      </c>
      <c r="BS29" s="26">
        <f>(((100/((100-(tabCustoUnit[[#This Row],[Resumo de Alíquotas (PIS+CONFINS+ISS)]]*100))%)-100)*tabCustoUnit[[#This Row],[ISS]])/tabCustoUnit[[#This Row],[Resumo de Alíquotas (PIS+CONFINS+ISS)]])/100</f>
        <v>5.8309037900874633E-2</v>
      </c>
      <c r="BT2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9" s="138">
        <f>tabCustoUnit[[#This Row],[COFINS]]+tabCustoUnit[[#This Row],[PIS]]+tabCustoUnit[[#This Row],[ISS (Conversão Alíquota s/ fatura)]]</f>
        <v>0.16618075801749277</v>
      </c>
      <c r="BV29" s="22" t="e">
        <f ca="1">(tabCustoUnit[[#This Row],[TOTAL MÓDULOS 1+2+3+4+5]]+tabCustoUnit[[#This Row],[Custos Indiretos]]+tabCustoUnit[[#This Row],[Lucro]])*tabCustoUnit[[#This Row],[PIS + COFINS + ISS (Total Conversão  Alíquota s/ Fatura)]]</f>
        <v>#NAME?</v>
      </c>
      <c r="BW29" s="22" t="e">
        <f ca="1">tabCustoUnit[[#This Row],[Custos Indiretos]]+tabCustoUnit[[#This Row],[Lucro]]+tabCustoUnit[[#This Row],[Valor dos Tributos (ISS, PIS, CONFINS)]]</f>
        <v>#NAME?</v>
      </c>
      <c r="BX29" s="22" t="e">
        <f ca="1">tabCustoUnit[[#This Row],[TOTAL MÓDULOS 1+2+3+4+5]]+tabCustoUnit[[#This Row],[MÓDULO 6 – CUSTOS INDIRETOS, TRIBUTOS E LUCRO]]</f>
        <v>#NAME?</v>
      </c>
      <c r="BY29" s="22" t="e">
        <f ca="1">tabCustoUnit[[#This Row],[CUSTO TOTAL MENSAL]]*12</f>
        <v>#NAME?</v>
      </c>
      <c r="BZ29" s="24">
        <f>VLOOKUP(tabCustoUnit[[#This Row],[Código do Posto]],tabParametros[],MATCH(tabCustoUnit[[#Headers],[ANO DA CCT]],tabParametros[#Headers],0),0)</f>
        <v>45658</v>
      </c>
      <c r="CA29" s="25" t="str">
        <f>VLOOKUP(tabCustoUnit[[#This Row],[Código do Posto]],tabParametros[],MATCH(tabCustoUnit[[#Headers],[Nº DE PEDIDO DA CCT]],tabParametros[#Headers],0),0)</f>
        <v>-</v>
      </c>
      <c r="CB29" s="25" t="str">
        <f>VLOOKUP(tabCustoUnit[[#This Row],[Código do Posto]],tabParametros[],MATCH(tabCustoUnit[[#Headers],[TERMO ADITIVO ALTERAÇÃO DA CCT]],tabParametros[#Headers],0),0)</f>
        <v>-</v>
      </c>
    </row>
    <row r="30" spans="1:80">
      <c r="A30" s="20" t="s">
        <v>1409</v>
      </c>
      <c r="B30" t="s">
        <v>1103</v>
      </c>
      <c r="C30" t="s">
        <v>142</v>
      </c>
      <c r="D30" t="s">
        <v>1035</v>
      </c>
      <c r="E30" s="20" t="s">
        <v>1090</v>
      </c>
      <c r="F30" s="20" t="s">
        <v>135</v>
      </c>
      <c r="G30" s="418">
        <v>4768.66</v>
      </c>
      <c r="H30" s="418">
        <v>0</v>
      </c>
      <c r="I30" s="418">
        <v>0</v>
      </c>
      <c r="J30" s="418">
        <v>0</v>
      </c>
      <c r="K30" s="418">
        <v>0</v>
      </c>
      <c r="L30" s="418">
        <v>0</v>
      </c>
      <c r="M30" s="418">
        <v>0</v>
      </c>
      <c r="N30" s="418">
        <v>0</v>
      </c>
      <c r="O30" s="21">
        <f>SUM(tabCustoUnit[[#This Row],[Salário Base]:[Adicional de Acúmulo de função]])</f>
        <v>4768.66</v>
      </c>
      <c r="P30" s="21">
        <f>tabCustoUnit[[#This Row],[MODULO 1 - REMUNERAÇÃO ]]*SUMIFS(tabParametros[INSS],tabParametros[Código do Posto],tabCustoUnit[[#This Row],[Código do Posto]])</f>
        <v>953.73199999999997</v>
      </c>
      <c r="Q30" s="21">
        <f>tabCustoUnit[[#This Row],[MODULO 1 - REMUNERAÇÃO ]]*SUMIFS(tabParametros[SESI OU SESC],tabParametros[Código do Posto],tabCustoUnit[[#This Row],[Código do Posto]])</f>
        <v>71.529899999999998</v>
      </c>
      <c r="R30" s="21">
        <f>tabCustoUnit[[#This Row],[MODULO 1 - REMUNERAÇÃO ]]*SUMIFS(tabParametros[SENAI OU SENAC],tabParametros[Código do Posto],tabCustoUnit[[#This Row],[Código do Posto]])</f>
        <v>47.686599999999999</v>
      </c>
      <c r="S30" s="21">
        <f>tabCustoUnit[[#This Row],[MODULO 1 - REMUNERAÇÃO ]]*SUMIFS(tabParametros[INCRA],tabParametros[Código do Posto],tabCustoUnit[[#This Row],[Código do Posto]])</f>
        <v>9.5373199999999994</v>
      </c>
      <c r="T30" s="21">
        <f>tabCustoUnit[[#This Row],[MODULO 1 - REMUNERAÇÃO ]]*SUMIFS(tabParametros[Salário Educação],tabParametros[Código do Posto],tabCustoUnit[[#This Row],[Código do Posto]])</f>
        <v>119.2165</v>
      </c>
      <c r="U30" s="21">
        <f>tabCustoUnit[[#This Row],[MODULO 1 - REMUNERAÇÃO ]]*SUMIFS(tabParametros[FGTS],tabParametros[Código do Posto],tabCustoUnit[[#This Row],[Código do Posto]])</f>
        <v>381.49279999999999</v>
      </c>
      <c r="V30" s="21">
        <f>tabCustoUnit[[#This Row],[MODULO 1 - REMUNERAÇÃO ]]*SUMIFS(tabParametros[RAT Ajustado],tabParametros[Código do Posto],tabCustoUnit[[#This Row],[Código do Posto]])</f>
        <v>190.74639999999999</v>
      </c>
      <c r="W30" s="21">
        <f>tabCustoUnit[[#This Row],[MODULO 1 - REMUNERAÇÃO ]]*SUMIFS(tabParametros[SEBRAE],tabParametros[Código do Posto],tabCustoUnit[[#This Row],[Código do Posto]])</f>
        <v>28.61196</v>
      </c>
      <c r="X30" s="21">
        <f>SUM(tabCustoUnit[[#This Row],[INSS]:[SEBRAE]])</f>
        <v>1802.5534799999998</v>
      </c>
      <c r="Y30" s="21">
        <f>tabCustoUnit[[#This Row],[MODULO 1 - REMUNERAÇÃO ]]*SUMIFS(tabParametros[13º salário (titular)],tabParametros[Código do Posto],tabCustoUnit[[#This Row],[Código do Posto]])</f>
        <v>397.38833333333332</v>
      </c>
      <c r="Z30" s="21">
        <f>tabCustoUnit[[#This Row],[MODULO 1 - REMUNERAÇÃO ]]*SUMIFS(tabParametros[Férias e Adicional de Férias (titular)],tabParametros[Código do Posto],tabCustoUnit[[#This Row],[Código do Posto]])</f>
        <v>529.85111111111109</v>
      </c>
      <c r="AA30" s="21">
        <f>IFERROR((tabCustoUnit[[#This Row],[Submódulo 2.1]]/tabCustoUnit[[#This Row],[MODULO 1 - REMUNERAÇÃO ]])*SUM(tabCustoUnit[[#This Row],[13º salário (titular)]:[Férias e Adicional de Férias (titular)]]),0)</f>
        <v>350.49650999999994</v>
      </c>
      <c r="AB30" s="21">
        <f>SUM(tabCustoUnit[[#This Row],[13º salário (titular)]:[Incidência do Submódulo 2.1 sobre 13º Salário, Férias e Adicional de Férias]])</f>
        <v>1277.7359544444444</v>
      </c>
      <c r="AC30" s="22" t="e">
        <f ca="1">_xlfn.LET(_xlpm.VT,SUMIF(tabParametros[Código do Posto],tabCustoUnit[[#This Row],[Código do Posto]],tabParametros[Vale - Transporte])*2*20,
IF((_xlpm.VT-tabCustoUnit[[#This Row],[Salário Base]]*0.06)&gt;=0,(_xlpm.VT-tabCustoUnit[[#This Row],[Salário Base]]*0.06),0)
)</f>
        <v>#NAME?</v>
      </c>
      <c r="AD30" s="22">
        <f>IF(SUMIF(tabParametros[Código do Posto],tabCustoUnit[[#This Row],[Código do Posto]],tabParametros[Vale - Alimentação])&lt;=0,0,
SUMIF(tabParametros[Código do Posto],tabCustoUnit[[#This Row],[Código do Posto]],tabParametros[Vale - Alimentação])*20-1)</f>
        <v>582</v>
      </c>
      <c r="AE30" s="22">
        <f>SUMIF(tabParametros[Código do Posto],tabCustoUnit[[#This Row],[Código do Posto]],tabParametros[Cesta Básica])</f>
        <v>0</v>
      </c>
      <c r="AF30" s="22">
        <f>SUMIF(tabParametros[Código do Posto],tabCustoUnit[[#This Row],[Código do Posto]],tabParametros[PAF])</f>
        <v>95.9</v>
      </c>
      <c r="AG30" s="22">
        <f>SUMIF(tabParametros[Código do Posto],tabCustoUnit[[#This Row],[Código do Posto]],tabParametros[PQM])</f>
        <v>0</v>
      </c>
      <c r="AH30" s="22">
        <f>SUMIF(tabParametros[Código do Posto],tabCustoUnit[[#This Row],[Código do Posto]],tabParametros[Abono Único e Especial])</f>
        <v>0</v>
      </c>
      <c r="AI30" s="22">
        <f>SUMIF(tabParametros[Código do Posto],tabCustoUnit[[#This Row],[Código do Posto]],tabParametros[Seguro de Vida])</f>
        <v>3.36</v>
      </c>
      <c r="AJ30" s="22">
        <f>SUMIF(tabParametros[Código do Posto],tabCustoUnit[[#This Row],[Código do Posto]],tabParametros[Despesas de Viagem])</f>
        <v>202.08</v>
      </c>
      <c r="AK30" s="22" t="e">
        <f ca="1">SUM(tabCustoUnit[[#This Row],[Vale - Transporte (Descontada parcela do empregado)]:[Despesas de Viagem]])</f>
        <v>#NAME?</v>
      </c>
      <c r="AL30" s="22" t="e">
        <f ca="1">tabCustoUnit[[#This Row],[Submódulo 2.1]]+tabCustoUnit[[#This Row],[Submódulo 2.2]]+tabCustoUnit[[#This Row],[Submódulo 2.3]]</f>
        <v>#NAME?</v>
      </c>
      <c r="AM30" s="22">
        <f>SUMIF(tabParametros[Código do Posto],tabCustoUnit[[#This Row],[Código do Posto]],tabParametros[Aviso Prévio Indenizado (API) e Reflexo do Aviso Prévio Indenizado])*tabCustoUnit[[#This Row],[MODULO 1 - REMUNERAÇÃO ]]</f>
        <v>33.436732704475311</v>
      </c>
      <c r="AN30" s="22">
        <f>SUMIF(tabParametros[Código do Posto],tabCustoUnit[[#This Row],[Código do Posto]],tabParametros[Incidência do FGTS sobre API e Reflexo do API])*tabCustoUnit[[#This Row],[MODULO 1 - REMUNERAÇÃO ]]</f>
        <v>2.6749386163580247</v>
      </c>
      <c r="AO30" s="22">
        <f>SUMIF(tabParametros[Código do Posto],tabCustoUnit[[#This Row],[Código do Posto]],tabParametros[Multa Rescisória do FGTS sobre o Aviso Prévio Indenizado])*tabCustoUnit[[#This Row],[MODULO 1 - REMUNERAÇÃO ]]</f>
        <v>1.0699754465432101</v>
      </c>
      <c r="AP30" s="22">
        <f>SUMIF(tabParametros[Código do Posto],tabCustoUnit[[#This Row],[Código do Posto]],tabParametros[Aviso Prévio Trabalhado - APT])*tabCustoUnit[[#This Row],[MODULO 1 - REMUNERAÇÃO ]]</f>
        <v>16.69031</v>
      </c>
      <c r="AQ30" s="22">
        <f>SUMIF(tabParametros[Código do Posto],tabCustoUnit[[#This Row],[Código do Posto]],tabParametros[Incidência dos encargos do submódulo 2.1 sobre Aviso Prévio Trabalhado])*tabCustoUnit[[#This Row],[MODULO 1 - REMUNERAÇÃO ]]</f>
        <v>6.3089371800000018</v>
      </c>
      <c r="AR30" s="22">
        <f>SUMIF(tabParametros[Código do Posto],tabCustoUnit[[#This Row],[Código do Posto]],tabParametros[Multa Rescisória do FGTS])*tabCustoUnit[[#This Row],[MODULO 1 - REMUNERAÇÃO ]]</f>
        <v>145.81502577777775</v>
      </c>
      <c r="AS30" s="22">
        <f>SUMIF(tabParametros[Código do Posto],tabCustoUnit[[#This Row],[Código do Posto]],tabParametros[Indenização Adicional (Art. 9º da Lei nº 7.238/84)])*tabCustoUnit[[#This Row],[MODULO 1 - REMUNERAÇÃO ]]</f>
        <v>3.9738833333333337</v>
      </c>
      <c r="AT30" s="22">
        <f>SUM(tabCustoUnit[[#This Row],[Aviso Prévio Indenizado (API) e Reflexo do Aviso Prévio Indenizado]:[Indenização Adicional (Art. 9º da Lei nº 7.238/84)]])</f>
        <v>209.96980305848763</v>
      </c>
      <c r="AU30" s="22">
        <f>SUMIF(tabParametros[Código do Posto],tabCustoUnit[[#This Row],[Código do Posto]],tabParametros[Ausência por Doença])*tabCustoUnit[[#This Row],[MODULO 1 - REMUNERAÇÃO ]]</f>
        <v>40.268684444444439</v>
      </c>
      <c r="AV30" s="22">
        <f>SUMIF(tabParametros[Código do Posto],tabCustoUnit[[#This Row],[Código do Posto]],tabParametros[Ausências Legais])*tabCustoUnit[[#This Row],[MODULO 1 - REMUNERAÇÃO ]]</f>
        <v>9.6697827777777761</v>
      </c>
      <c r="AW30" s="22">
        <f>SUMIF(tabParametros[Código do Posto],tabCustoUnit[[#This Row],[Código do Posto]],tabParametros[Licença Paternidade])*tabCustoUnit[[#This Row],[MODULO 1 - REMUNERAÇÃO ]]</f>
        <v>0.81464608333333333</v>
      </c>
      <c r="AX30" s="22">
        <f>SUMIF(tabParametros[Código do Posto],tabCustoUnit[[#This Row],[Código do Posto]],tabParametros[Ausência por Acidente de Trabalho])*tabCustoUnit[[#This Row],[MODULO 1 - REMUNERAÇÃO ]]</f>
        <v>0.99347083333333341</v>
      </c>
      <c r="AY30" s="22">
        <f>SUMIF(tabParametros[Código do Posto],tabCustoUnit[[#This Row],[Código do Posto]],tabParametros[Férias, Adicional de Férias e 13º  com empregada em gozo de Licença Maternidade])*tabCustoUnit[[#This Row],[MODULO 1 - REMUNERAÇÃO ]]</f>
        <v>6.1815962962962958</v>
      </c>
      <c r="AZ30" s="22">
        <f>SUMIF(tabParametros[Código do Posto],tabCustoUnit[[#This Row],[Código do Posto]],tabParametros[Incidência do Submódulo 2.1 sobre Ausências Legais])*tabCustoUnit[[#This Row],[MODULO 1 - REMUNERAÇÃO ]]</f>
        <v>21.896852204500004</v>
      </c>
      <c r="BA30" s="22">
        <f>SUM(tabCustoUnit[[#This Row],[Ausência por Doença]:[Incidência do Submódulo 2.1 sobre Ausências Legais]])</f>
        <v>79.82503263968519</v>
      </c>
      <c r="BB30" s="22">
        <f>SUMIF(tabParametros[Código do Posto],tabCustoUnit[[#This Row],[Código do Posto]],tabParametros[Intervalo para Repouso ou Alimentação])</f>
        <v>0</v>
      </c>
      <c r="BC30" s="22">
        <f>tabCustoUnit[[#This Row],[Intervalo para Repouso ou Alimentação]]</f>
        <v>0</v>
      </c>
      <c r="BD3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 s="22">
        <f>tabCustoUnit[[#This Row],[Suspensão Temporária do Contrato de Trabalho]]</f>
        <v>0</v>
      </c>
      <c r="BF30" s="22">
        <f>tabCustoUnit[[#This Row],[Submódulo 4.1]]+tabCustoUnit[[#This Row],[Submódulo 4.2]]+tabCustoUnit[[#This Row],[Submódulo 4.3]]</f>
        <v>79.82503263968519</v>
      </c>
      <c r="BG30" s="22">
        <f>VLOOKUP(tabCustoUnit[[#This Row],[Código do Posto]],tabParametros[],MATCH(tabCustoUnit[[#Headers],[Uniformes e EPIs]],tabParametros[#Headers],0),0)</f>
        <v>122.88960578008744</v>
      </c>
      <c r="BH30" s="22">
        <f>VLOOKUP(tabCustoUnit[[#This Row],[Código do Posto]],tabParametros[],MATCH(tabCustoUnit[[#Headers],[Materiais de Consumo]],tabParametros[#Headers],0),0)</f>
        <v>0</v>
      </c>
      <c r="BI30" s="22">
        <f>VLOOKUP(tabCustoUnit[[#This Row],[Código do Posto]],tabParametros[],MATCH(tabCustoUnit[[#Headers],[Máquinas e Equipamentos (depreciação)]],tabParametros[#Headers],0),0)</f>
        <v>0</v>
      </c>
      <c r="BJ30" s="22">
        <f>VLOOKUP(tabCustoUnit[[#This Row],[Código do Posto]],tabParametros[],MATCH(tabCustoUnit[[#Headers],[Produtos de Limpeza e Materiais de Higiene Pessoal]],tabParametros[#Headers],0),0)</f>
        <v>0</v>
      </c>
      <c r="BK30" s="22">
        <f>VLOOKUP(tabCustoUnit[[#This Row],[Código do Posto]],tabParametros[],MATCH(tabCustoUnit[[#Headers],[Outros (especificar)]],tabParametros[#Headers],0),0)</f>
        <v>0</v>
      </c>
      <c r="BL30" s="22">
        <f>SUM(tabCustoUnit[[#This Row],[Uniformes e EPIs]:[Outros (especificar)]])</f>
        <v>122.88960578008744</v>
      </c>
      <c r="BM3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 s="22" t="e">
        <f ca="1">VLOOKUP(tabCustoUnit[[#This Row],[Código do Posto]],tabParametros[],MATCH(tabCustoUnit[[#Headers],[Custos Indiretos]],tabParametros[#Headers],0),0)</f>
        <v>#NAME?</v>
      </c>
      <c r="BO30" s="22" t="e">
        <f ca="1">VLOOKUP(tabCustoUnit[[#This Row],[Código do Posto]],tabParametros[],MATCH(tabCustoUnit[[#Headers],[Lucro]],tabParametros[#Headers],0),0)</f>
        <v>#NAME?</v>
      </c>
      <c r="BP30" s="26">
        <f>((100/((1-tabCustoUnit[[#This Row],[Resumo de Alíquotas (PIS+CONFINS+ISS)]]))-100)*VLOOKUP(tabCustoUnit[[#This Row],[Código do Posto]],tabParametros[],MATCH(tabCustoUnit[[#Headers],[COFINS]],tabParametros[#Headers],0),0))/(tabCustoUnit[[#This Row],[Resumo de Alíquotas (PIS+CONFINS+ISS)]]*100)</f>
        <v>8.8629737609329504E-2</v>
      </c>
      <c r="BQ30" s="26">
        <f>((100/((100-(tabCustoUnit[[#This Row],[Resumo de Alíquotas (PIS+CONFINS+ISS)]]*100))%)-100)*VLOOKUP(tabCustoUnit[[#This Row],[Código do Posto]],tabParametros[],MATCH(tabCustoUnit[[#Headers],[PIS]],tabParametros[#Headers],0),0))/(tabCustoUnit[[#This Row],[Resumo de Alíquotas (PIS+CONFINS+ISS)]]*100)</f>
        <v>1.9241982507288629E-2</v>
      </c>
      <c r="BR30" s="28">
        <f>VLOOKUP(tabCustoUnit[[#This Row],[Código do Posto]],tabParametros[],MATCH(tabCustoUnit[[#Headers],[ISS]],tabParametros[#Headers],0),0)</f>
        <v>0.05</v>
      </c>
      <c r="BS30" s="26">
        <f>(((100/((100-(tabCustoUnit[[#This Row],[Resumo de Alíquotas (PIS+CONFINS+ISS)]]*100))%)-100)*tabCustoUnit[[#This Row],[ISS]])/tabCustoUnit[[#This Row],[Resumo de Alíquotas (PIS+CONFINS+ISS)]])/100</f>
        <v>5.8309037900874633E-2</v>
      </c>
      <c r="BT3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0" s="138">
        <f>tabCustoUnit[[#This Row],[COFINS]]+tabCustoUnit[[#This Row],[PIS]]+tabCustoUnit[[#This Row],[ISS (Conversão Alíquota s/ fatura)]]</f>
        <v>0.16618075801749277</v>
      </c>
      <c r="BV30" s="22" t="e">
        <f ca="1">(tabCustoUnit[[#This Row],[TOTAL MÓDULOS 1+2+3+4+5]]+tabCustoUnit[[#This Row],[Custos Indiretos]]+tabCustoUnit[[#This Row],[Lucro]])*tabCustoUnit[[#This Row],[PIS + COFINS + ISS (Total Conversão  Alíquota s/ Fatura)]]</f>
        <v>#NAME?</v>
      </c>
      <c r="BW30" s="22" t="e">
        <f ca="1">tabCustoUnit[[#This Row],[Custos Indiretos]]+tabCustoUnit[[#This Row],[Lucro]]+tabCustoUnit[[#This Row],[Valor dos Tributos (ISS, PIS, CONFINS)]]</f>
        <v>#NAME?</v>
      </c>
      <c r="BX30" s="22" t="e">
        <f ca="1">tabCustoUnit[[#This Row],[TOTAL MÓDULOS 1+2+3+4+5]]+tabCustoUnit[[#This Row],[MÓDULO 6 – CUSTOS INDIRETOS, TRIBUTOS E LUCRO]]</f>
        <v>#NAME?</v>
      </c>
      <c r="BY30" s="22" t="e">
        <f ca="1">tabCustoUnit[[#This Row],[CUSTO TOTAL MENSAL]]*12</f>
        <v>#NAME?</v>
      </c>
      <c r="BZ30" s="24">
        <f>VLOOKUP(tabCustoUnit[[#This Row],[Código do Posto]],tabParametros[],MATCH(tabCustoUnit[[#Headers],[ANO DA CCT]],tabParametros[#Headers],0),0)</f>
        <v>45658</v>
      </c>
      <c r="CA30" s="25" t="str">
        <f>VLOOKUP(tabCustoUnit[[#This Row],[Código do Posto]],tabParametros[],MATCH(tabCustoUnit[[#Headers],[Nº DE PEDIDO DA CCT]],tabParametros[#Headers],0),0)</f>
        <v>-</v>
      </c>
      <c r="CB30" s="25" t="str">
        <f>VLOOKUP(tabCustoUnit[[#This Row],[Código do Posto]],tabParametros[],MATCH(tabCustoUnit[[#Headers],[TERMO ADITIVO ALTERAÇÃO DA CCT]],tabParametros[#Headers],0),0)</f>
        <v>-</v>
      </c>
    </row>
    <row r="31" spans="1:80">
      <c r="A31" s="20" t="s">
        <v>1410</v>
      </c>
      <c r="B31" t="s">
        <v>1103</v>
      </c>
      <c r="C31" t="s">
        <v>150</v>
      </c>
      <c r="D31" t="s">
        <v>1054</v>
      </c>
      <c r="E31" s="20" t="s">
        <v>1090</v>
      </c>
      <c r="F31" s="20" t="s">
        <v>120</v>
      </c>
      <c r="G31" s="418">
        <v>8036.7</v>
      </c>
      <c r="H31" s="418">
        <v>0</v>
      </c>
      <c r="I31" s="418">
        <v>0</v>
      </c>
      <c r="J31" s="418">
        <v>0</v>
      </c>
      <c r="K31" s="418">
        <v>0</v>
      </c>
      <c r="L31" s="418">
        <v>0</v>
      </c>
      <c r="M31" s="418">
        <v>450.05520000000001</v>
      </c>
      <c r="N31" s="418">
        <v>0</v>
      </c>
      <c r="O31" s="21">
        <f>SUM(tabCustoUnit[[#This Row],[Salário Base]:[Adicional de Acúmulo de função]])</f>
        <v>8486.7551999999996</v>
      </c>
      <c r="P31" s="21">
        <f>tabCustoUnit[[#This Row],[MODULO 1 - REMUNERAÇÃO ]]*SUMIFS(tabParametros[INSS],tabParametros[Código do Posto],tabCustoUnit[[#This Row],[Código do Posto]])</f>
        <v>1697.35104</v>
      </c>
      <c r="Q31" s="21">
        <f>tabCustoUnit[[#This Row],[MODULO 1 - REMUNERAÇÃO ]]*SUMIFS(tabParametros[SESI OU SESC],tabParametros[Código do Posto],tabCustoUnit[[#This Row],[Código do Posto]])</f>
        <v>127.30132799999998</v>
      </c>
      <c r="R31" s="21">
        <f>tabCustoUnit[[#This Row],[MODULO 1 - REMUNERAÇÃO ]]*SUMIFS(tabParametros[SENAI OU SENAC],tabParametros[Código do Posto],tabCustoUnit[[#This Row],[Código do Posto]])</f>
        <v>84.867552000000003</v>
      </c>
      <c r="S31" s="21">
        <f>tabCustoUnit[[#This Row],[MODULO 1 - REMUNERAÇÃO ]]*SUMIFS(tabParametros[INCRA],tabParametros[Código do Posto],tabCustoUnit[[#This Row],[Código do Posto]])</f>
        <v>16.973510399999999</v>
      </c>
      <c r="T31" s="21">
        <f>tabCustoUnit[[#This Row],[MODULO 1 - REMUNERAÇÃO ]]*SUMIFS(tabParametros[Salário Educação],tabParametros[Código do Posto],tabCustoUnit[[#This Row],[Código do Posto]])</f>
        <v>212.16888</v>
      </c>
      <c r="U31" s="21">
        <f>tabCustoUnit[[#This Row],[MODULO 1 - REMUNERAÇÃO ]]*SUMIFS(tabParametros[FGTS],tabParametros[Código do Posto],tabCustoUnit[[#This Row],[Código do Posto]])</f>
        <v>678.94041600000003</v>
      </c>
      <c r="V31" s="21">
        <f>tabCustoUnit[[#This Row],[MODULO 1 - REMUNERAÇÃO ]]*SUMIFS(tabParametros[RAT Ajustado],tabParametros[Código do Posto],tabCustoUnit[[#This Row],[Código do Posto]])</f>
        <v>339.47020800000001</v>
      </c>
      <c r="W31" s="21">
        <f>tabCustoUnit[[#This Row],[MODULO 1 - REMUNERAÇÃO ]]*SUMIFS(tabParametros[SEBRAE],tabParametros[Código do Posto],tabCustoUnit[[#This Row],[Código do Posto]])</f>
        <v>50.920531199999999</v>
      </c>
      <c r="X31" s="21">
        <f>SUM(tabCustoUnit[[#This Row],[INSS]:[SEBRAE]])</f>
        <v>3207.9934656</v>
      </c>
      <c r="Y31" s="21">
        <f>tabCustoUnit[[#This Row],[MODULO 1 - REMUNERAÇÃO ]]*SUMIFS(tabParametros[13º salário (titular)],tabParametros[Código do Posto],tabCustoUnit[[#This Row],[Código do Posto]])</f>
        <v>707.22959999999989</v>
      </c>
      <c r="Z31" s="21">
        <f>tabCustoUnit[[#This Row],[MODULO 1 - REMUNERAÇÃO ]]*SUMIFS(tabParametros[Férias e Adicional de Férias (titular)],tabParametros[Código do Posto],tabCustoUnit[[#This Row],[Código do Posto]])</f>
        <v>942.97279999999989</v>
      </c>
      <c r="AA31" s="21">
        <f>IFERROR((tabCustoUnit[[#This Row],[Submódulo 2.1]]/tabCustoUnit[[#This Row],[MODULO 1 - REMUNERAÇÃO ]])*SUM(tabCustoUnit[[#This Row],[13º salário (titular)]:[Férias e Adicional de Férias (titular)]]),0)</f>
        <v>623.77650719999986</v>
      </c>
      <c r="AB31" s="21">
        <f>SUM(tabCustoUnit[[#This Row],[13º salário (titular)]:[Incidência do Submódulo 2.1 sobre 13º Salário, Férias e Adicional de Férias]])</f>
        <v>2273.9789071999994</v>
      </c>
      <c r="AC31" s="22" t="e">
        <f ca="1">_xlfn.LET(_xlpm.VT,SUMIF(tabParametros[Código do Posto],tabCustoUnit[[#This Row],[Código do Posto]],tabParametros[Vale - Transporte])*2*20,
IF((_xlpm.VT-tabCustoUnit[[#This Row],[Salário Base]]*0.06)&gt;=0,(_xlpm.VT-tabCustoUnit[[#This Row],[Salário Base]]*0.06),0)
)</f>
        <v>#NAME?</v>
      </c>
      <c r="AD31" s="22">
        <f>IF(SUMIF(tabParametros[Código do Posto],tabCustoUnit[[#This Row],[Código do Posto]],tabParametros[Vale - Alimentação])&lt;=0,0,
SUMIF(tabParametros[Código do Posto],tabCustoUnit[[#This Row],[Código do Posto]],tabParametros[Vale - Alimentação])*20-1)</f>
        <v>581.79999999999995</v>
      </c>
      <c r="AE31" s="22">
        <f>SUMIF(tabParametros[Código do Posto],tabCustoUnit[[#This Row],[Código do Posto]],tabParametros[Cesta Básica])</f>
        <v>0</v>
      </c>
      <c r="AF31" s="22">
        <f>SUMIF(tabParametros[Código do Posto],tabCustoUnit[[#This Row],[Código do Posto]],tabParametros[PAF])</f>
        <v>51.73</v>
      </c>
      <c r="AG31" s="22">
        <f>SUMIF(tabParametros[Código do Posto],tabCustoUnit[[#This Row],[Código do Posto]],tabParametros[PQM])</f>
        <v>0</v>
      </c>
      <c r="AH31" s="22">
        <f>SUMIF(tabParametros[Código do Posto],tabCustoUnit[[#This Row],[Código do Posto]],tabParametros[Abono Único e Especial])</f>
        <v>0</v>
      </c>
      <c r="AI31" s="22">
        <f>SUMIF(tabParametros[Código do Posto],tabCustoUnit[[#This Row],[Código do Posto]],tabParametros[Seguro de Vida])</f>
        <v>3.36</v>
      </c>
      <c r="AJ31" s="22">
        <f>SUMIF(tabParametros[Código do Posto],tabCustoUnit[[#This Row],[Código do Posto]],tabParametros[Despesas de Viagem])</f>
        <v>202.08</v>
      </c>
      <c r="AK31" s="22" t="e">
        <f ca="1">SUM(tabCustoUnit[[#This Row],[Vale - Transporte (Descontada parcela do empregado)]:[Despesas de Viagem]])</f>
        <v>#NAME?</v>
      </c>
      <c r="AL31" s="22" t="e">
        <f ca="1">tabCustoUnit[[#This Row],[Submódulo 2.1]]+tabCustoUnit[[#This Row],[Submódulo 2.2]]+tabCustoUnit[[#This Row],[Submódulo 2.3]]</f>
        <v>#NAME?</v>
      </c>
      <c r="AM31" s="22">
        <f>SUMIF(tabParametros[Código do Posto],tabCustoUnit[[#This Row],[Código do Posto]],tabParametros[Aviso Prévio Indenizado (API) e Reflexo do Aviso Prévio Indenizado])*tabCustoUnit[[#This Row],[MODULO 1 - REMUNERAÇÃO ]]</f>
        <v>59.507149838888886</v>
      </c>
      <c r="AN31" s="22">
        <f>SUMIF(tabParametros[Código do Posto],tabCustoUnit[[#This Row],[Código do Posto]],tabParametros[Incidência do FGTS sobre API e Reflexo do API])*tabCustoUnit[[#This Row],[MODULO 1 - REMUNERAÇÃO ]]</f>
        <v>4.7605719871111116</v>
      </c>
      <c r="AO31" s="22">
        <f>SUMIF(tabParametros[Código do Posto],tabCustoUnit[[#This Row],[Código do Posto]],tabParametros[Multa Rescisória do FGTS sobre o Aviso Prévio Indenizado])*tabCustoUnit[[#This Row],[MODULO 1 - REMUNERAÇÃO ]]</f>
        <v>1.9042287948444447</v>
      </c>
      <c r="AP31" s="22">
        <f>SUMIF(tabParametros[Código do Posto],tabCustoUnit[[#This Row],[Código do Posto]],tabParametros[Aviso Prévio Trabalhado - APT])*tabCustoUnit[[#This Row],[MODULO 1 - REMUNERAÇÃO ]]</f>
        <v>29.703643200000002</v>
      </c>
      <c r="AQ31" s="22">
        <f>SUMIF(tabParametros[Código do Posto],tabCustoUnit[[#This Row],[Código do Posto]],tabParametros[Incidência dos encargos do submódulo 2.1 sobre Aviso Prévio Trabalhado])*tabCustoUnit[[#This Row],[MODULO 1 - REMUNERAÇÃO ]]</f>
        <v>11.227977129600003</v>
      </c>
      <c r="AR31" s="22">
        <f>SUMIF(tabParametros[Código do Posto],tabCustoUnit[[#This Row],[Código do Posto]],tabParametros[Multa Rescisória do FGTS])*tabCustoUnit[[#This Row],[MODULO 1 - REMUNERAÇÃO ]]</f>
        <v>259.50611455999996</v>
      </c>
      <c r="AS31" s="22">
        <f>SUMIF(tabParametros[Código do Posto],tabCustoUnit[[#This Row],[Código do Posto]],tabParametros[Indenização Adicional (Art. 9º da Lei nº 7.238/84)])*tabCustoUnit[[#This Row],[MODULO 1 - REMUNERAÇÃO ]]</f>
        <v>7.0722959999999997</v>
      </c>
      <c r="AT31" s="22">
        <f>SUM(tabCustoUnit[[#This Row],[Aviso Prévio Indenizado (API) e Reflexo do Aviso Prévio Indenizado]:[Indenização Adicional (Art. 9º da Lei nº 7.238/84)]])</f>
        <v>373.68198151044442</v>
      </c>
      <c r="AU31" s="22">
        <f>SUMIF(tabParametros[Código do Posto],tabCustoUnit[[#This Row],[Código do Posto]],tabParametros[Ausência por Doença])*tabCustoUnit[[#This Row],[MODULO 1 - REMUNERAÇÃO ]]</f>
        <v>71.665932799999993</v>
      </c>
      <c r="AV31" s="22">
        <f>SUMIF(tabParametros[Código do Posto],tabCustoUnit[[#This Row],[Código do Posto]],tabParametros[Ausências Legais])*tabCustoUnit[[#This Row],[MODULO 1 - REMUNERAÇÃO ]]</f>
        <v>17.209253599999997</v>
      </c>
      <c r="AW31" s="22">
        <f>SUMIF(tabParametros[Código do Posto],tabCustoUnit[[#This Row],[Código do Posto]],tabParametros[Licença Paternidade])*tabCustoUnit[[#This Row],[MODULO 1 - REMUNERAÇÃO ]]</f>
        <v>1.44982068</v>
      </c>
      <c r="AX31" s="22">
        <f>SUMIF(tabParametros[Código do Posto],tabCustoUnit[[#This Row],[Código do Posto]],tabParametros[Ausência por Acidente de Trabalho])*tabCustoUnit[[#This Row],[MODULO 1 - REMUNERAÇÃO ]]</f>
        <v>1.7680739999999999</v>
      </c>
      <c r="AY31" s="22">
        <f>SUMIF(tabParametros[Código do Posto],tabCustoUnit[[#This Row],[Código do Posto]],tabParametros[Férias, Adicional de Férias e 13º  com empregada em gozo de Licença Maternidade])*tabCustoUnit[[#This Row],[MODULO 1 - REMUNERAÇÃO ]]</f>
        <v>11.001349333333332</v>
      </c>
      <c r="AZ31" s="22">
        <f>SUMIF(tabParametros[Código do Posto],tabCustoUnit[[#This Row],[Código do Posto]],tabParametros[Incidência do Submódulo 2.1 sobre Ausências Legais])*tabCustoUnit[[#This Row],[MODULO 1 - REMUNERAÇÃO ]]</f>
        <v>38.969694696240005</v>
      </c>
      <c r="BA31" s="22">
        <f>SUM(tabCustoUnit[[#This Row],[Ausência por Doença]:[Incidência do Submódulo 2.1 sobre Ausências Legais]])</f>
        <v>142.06412510957333</v>
      </c>
      <c r="BB31" s="22">
        <f>SUMIF(tabParametros[Código do Posto],tabCustoUnit[[#This Row],[Código do Posto]],tabParametros[Intervalo para Repouso ou Alimentação])</f>
        <v>0</v>
      </c>
      <c r="BC31" s="22">
        <f>tabCustoUnit[[#This Row],[Intervalo para Repouso ou Alimentação]]</f>
        <v>0</v>
      </c>
      <c r="BD3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 s="22">
        <f>tabCustoUnit[[#This Row],[Suspensão Temporária do Contrato de Trabalho]]</f>
        <v>0</v>
      </c>
      <c r="BF31" s="22">
        <f>tabCustoUnit[[#This Row],[Submódulo 4.1]]+tabCustoUnit[[#This Row],[Submódulo 4.2]]+tabCustoUnit[[#This Row],[Submódulo 4.3]]</f>
        <v>142.06412510957333</v>
      </c>
      <c r="BG31" s="22">
        <f>VLOOKUP(tabCustoUnit[[#This Row],[Código do Posto]],tabParametros[],MATCH(tabCustoUnit[[#Headers],[Uniformes e EPIs]],tabParametros[#Headers],0),0)</f>
        <v>44.111346448706357</v>
      </c>
      <c r="BH31" s="22">
        <f>VLOOKUP(tabCustoUnit[[#This Row],[Código do Posto]],tabParametros[],MATCH(tabCustoUnit[[#Headers],[Materiais de Consumo]],tabParametros[#Headers],0),0)</f>
        <v>0</v>
      </c>
      <c r="BI31" s="22">
        <f>VLOOKUP(tabCustoUnit[[#This Row],[Código do Posto]],tabParametros[],MATCH(tabCustoUnit[[#Headers],[Máquinas e Equipamentos (depreciação)]],tabParametros[#Headers],0),0)</f>
        <v>0</v>
      </c>
      <c r="BJ31" s="22">
        <f>VLOOKUP(tabCustoUnit[[#This Row],[Código do Posto]],tabParametros[],MATCH(tabCustoUnit[[#Headers],[Produtos de Limpeza e Materiais de Higiene Pessoal]],tabParametros[#Headers],0),0)</f>
        <v>0</v>
      </c>
      <c r="BK31" s="22">
        <f>VLOOKUP(tabCustoUnit[[#This Row],[Código do Posto]],tabParametros[],MATCH(tabCustoUnit[[#Headers],[Outros (especificar)]],tabParametros[#Headers],0),0)</f>
        <v>0</v>
      </c>
      <c r="BL31" s="22">
        <f>SUM(tabCustoUnit[[#This Row],[Uniformes e EPIs]:[Outros (especificar)]])</f>
        <v>44.111346448706357</v>
      </c>
      <c r="BM3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 s="22" t="e">
        <f ca="1">VLOOKUP(tabCustoUnit[[#This Row],[Código do Posto]],tabParametros[],MATCH(tabCustoUnit[[#Headers],[Custos Indiretos]],tabParametros[#Headers],0),0)</f>
        <v>#NAME?</v>
      </c>
      <c r="BO31" s="22" t="e">
        <f ca="1">VLOOKUP(tabCustoUnit[[#This Row],[Código do Posto]],tabParametros[],MATCH(tabCustoUnit[[#Headers],[Lucro]],tabParametros[#Headers],0),0)</f>
        <v>#NAME?</v>
      </c>
      <c r="BP31" s="26">
        <f>((100/((1-tabCustoUnit[[#This Row],[Resumo de Alíquotas (PIS+CONFINS+ISS)]]))-100)*VLOOKUP(tabCustoUnit[[#This Row],[Código do Posto]],tabParametros[],MATCH(tabCustoUnit[[#Headers],[COFINS]],tabParametros[#Headers],0),0))/(tabCustoUnit[[#This Row],[Resumo de Alíquotas (PIS+CONFINS+ISS)]]*100)</f>
        <v>8.8629737609329504E-2</v>
      </c>
      <c r="BQ31" s="26">
        <f>((100/((100-(tabCustoUnit[[#This Row],[Resumo de Alíquotas (PIS+CONFINS+ISS)]]*100))%)-100)*VLOOKUP(tabCustoUnit[[#This Row],[Código do Posto]],tabParametros[],MATCH(tabCustoUnit[[#Headers],[PIS]],tabParametros[#Headers],0),0))/(tabCustoUnit[[#This Row],[Resumo de Alíquotas (PIS+CONFINS+ISS)]]*100)</f>
        <v>1.9241982507288629E-2</v>
      </c>
      <c r="BR31" s="28">
        <f>VLOOKUP(tabCustoUnit[[#This Row],[Código do Posto]],tabParametros[],MATCH(tabCustoUnit[[#Headers],[ISS]],tabParametros[#Headers],0),0)</f>
        <v>0.05</v>
      </c>
      <c r="BS31" s="26">
        <f>(((100/((100-(tabCustoUnit[[#This Row],[Resumo de Alíquotas (PIS+CONFINS+ISS)]]*100))%)-100)*tabCustoUnit[[#This Row],[ISS]])/tabCustoUnit[[#This Row],[Resumo de Alíquotas (PIS+CONFINS+ISS)]])/100</f>
        <v>5.8309037900874633E-2</v>
      </c>
      <c r="BT3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1" s="138">
        <f>tabCustoUnit[[#This Row],[COFINS]]+tabCustoUnit[[#This Row],[PIS]]+tabCustoUnit[[#This Row],[ISS (Conversão Alíquota s/ fatura)]]</f>
        <v>0.16618075801749277</v>
      </c>
      <c r="BV31" s="22" t="e">
        <f ca="1">(tabCustoUnit[[#This Row],[TOTAL MÓDULOS 1+2+3+4+5]]+tabCustoUnit[[#This Row],[Custos Indiretos]]+tabCustoUnit[[#This Row],[Lucro]])*tabCustoUnit[[#This Row],[PIS + COFINS + ISS (Total Conversão  Alíquota s/ Fatura)]]</f>
        <v>#NAME?</v>
      </c>
      <c r="BW31" s="22" t="e">
        <f ca="1">tabCustoUnit[[#This Row],[Custos Indiretos]]+tabCustoUnit[[#This Row],[Lucro]]+tabCustoUnit[[#This Row],[Valor dos Tributos (ISS, PIS, CONFINS)]]</f>
        <v>#NAME?</v>
      </c>
      <c r="BX31" s="22" t="e">
        <f ca="1">tabCustoUnit[[#This Row],[TOTAL MÓDULOS 1+2+3+4+5]]+tabCustoUnit[[#This Row],[MÓDULO 6 – CUSTOS INDIRETOS, TRIBUTOS E LUCRO]]</f>
        <v>#NAME?</v>
      </c>
      <c r="BY31" s="22" t="e">
        <f ca="1">tabCustoUnit[[#This Row],[CUSTO TOTAL MENSAL]]*12</f>
        <v>#NAME?</v>
      </c>
      <c r="BZ31" s="24">
        <f>VLOOKUP(tabCustoUnit[[#This Row],[Código do Posto]],tabParametros[],MATCH(tabCustoUnit[[#Headers],[ANO DA CCT]],tabParametros[#Headers],0),0)</f>
        <v>45658</v>
      </c>
      <c r="CA31" s="25" t="str">
        <f>VLOOKUP(tabCustoUnit[[#This Row],[Código do Posto]],tabParametros[],MATCH(tabCustoUnit[[#Headers],[Nº DE PEDIDO DA CCT]],tabParametros[#Headers],0),0)</f>
        <v>-</v>
      </c>
      <c r="CB31" s="25" t="str">
        <f>VLOOKUP(tabCustoUnit[[#This Row],[Código do Posto]],tabParametros[],MATCH(tabCustoUnit[[#Headers],[TERMO ADITIVO ALTERAÇÃO DA CCT]],tabParametros[#Headers],0),0)</f>
        <v>-</v>
      </c>
    </row>
    <row r="32" spans="1:80">
      <c r="A32" s="20" t="s">
        <v>1411</v>
      </c>
      <c r="B32" t="s">
        <v>1103</v>
      </c>
      <c r="C32" t="s">
        <v>159</v>
      </c>
      <c r="D32" t="s">
        <v>1054</v>
      </c>
      <c r="E32" s="20" t="s">
        <v>1090</v>
      </c>
      <c r="F32" s="20" t="s">
        <v>120</v>
      </c>
      <c r="G32" s="418">
        <v>9236.7900000000009</v>
      </c>
      <c r="H32" s="418">
        <v>0</v>
      </c>
      <c r="I32" s="418">
        <v>0</v>
      </c>
      <c r="J32" s="418">
        <v>0</v>
      </c>
      <c r="K32" s="418">
        <v>0</v>
      </c>
      <c r="L32" s="418">
        <v>0</v>
      </c>
      <c r="M32" s="418">
        <v>517.26020000000005</v>
      </c>
      <c r="N32" s="418">
        <v>0</v>
      </c>
      <c r="O32" s="21">
        <f>SUM(tabCustoUnit[[#This Row],[Salário Base]:[Adicional de Acúmulo de função]])</f>
        <v>9754.0502000000015</v>
      </c>
      <c r="P32" s="21">
        <f>tabCustoUnit[[#This Row],[MODULO 1 - REMUNERAÇÃO ]]*SUMIFS(tabParametros[INSS],tabParametros[Código do Posto],tabCustoUnit[[#This Row],[Código do Posto]])</f>
        <v>1950.8100400000003</v>
      </c>
      <c r="Q32" s="21">
        <f>tabCustoUnit[[#This Row],[MODULO 1 - REMUNERAÇÃO ]]*SUMIFS(tabParametros[SESI OU SESC],tabParametros[Código do Posto],tabCustoUnit[[#This Row],[Código do Posto]])</f>
        <v>146.31075300000001</v>
      </c>
      <c r="R32" s="21">
        <f>tabCustoUnit[[#This Row],[MODULO 1 - REMUNERAÇÃO ]]*SUMIFS(tabParametros[SENAI OU SENAC],tabParametros[Código do Posto],tabCustoUnit[[#This Row],[Código do Posto]])</f>
        <v>97.540502000000018</v>
      </c>
      <c r="S32" s="21">
        <f>tabCustoUnit[[#This Row],[MODULO 1 - REMUNERAÇÃO ]]*SUMIFS(tabParametros[INCRA],tabParametros[Código do Posto],tabCustoUnit[[#This Row],[Código do Posto]])</f>
        <v>19.508100400000004</v>
      </c>
      <c r="T32" s="21">
        <f>tabCustoUnit[[#This Row],[MODULO 1 - REMUNERAÇÃO ]]*SUMIFS(tabParametros[Salário Educação],tabParametros[Código do Posto],tabCustoUnit[[#This Row],[Código do Posto]])</f>
        <v>243.85125500000004</v>
      </c>
      <c r="U32" s="21">
        <f>tabCustoUnit[[#This Row],[MODULO 1 - REMUNERAÇÃO ]]*SUMIFS(tabParametros[FGTS],tabParametros[Código do Posto],tabCustoUnit[[#This Row],[Código do Posto]])</f>
        <v>780.32401600000014</v>
      </c>
      <c r="V32" s="21">
        <f>tabCustoUnit[[#This Row],[MODULO 1 - REMUNERAÇÃO ]]*SUMIFS(tabParametros[RAT Ajustado],tabParametros[Código do Posto],tabCustoUnit[[#This Row],[Código do Posto]])</f>
        <v>390.16200800000007</v>
      </c>
      <c r="W32" s="21">
        <f>tabCustoUnit[[#This Row],[MODULO 1 - REMUNERAÇÃO ]]*SUMIFS(tabParametros[SEBRAE],tabParametros[Código do Posto],tabCustoUnit[[#This Row],[Código do Posto]])</f>
        <v>58.524301200000011</v>
      </c>
      <c r="X32" s="21">
        <f>SUM(tabCustoUnit[[#This Row],[INSS]:[SEBRAE]])</f>
        <v>3687.0309756000006</v>
      </c>
      <c r="Y32" s="21">
        <f>tabCustoUnit[[#This Row],[MODULO 1 - REMUNERAÇÃO ]]*SUMIFS(tabParametros[13º salário (titular)],tabParametros[Código do Posto],tabCustoUnit[[#This Row],[Código do Posto]])</f>
        <v>812.83751666666672</v>
      </c>
      <c r="Z32" s="21">
        <f>tabCustoUnit[[#This Row],[MODULO 1 - REMUNERAÇÃO ]]*SUMIFS(tabParametros[Férias e Adicional de Férias (titular)],tabParametros[Código do Posto],tabCustoUnit[[#This Row],[Código do Posto]])</f>
        <v>1083.7833555555558</v>
      </c>
      <c r="AA32" s="21">
        <f>IFERROR((tabCustoUnit[[#This Row],[Submódulo 2.1]]/tabCustoUnit[[#This Row],[MODULO 1 - REMUNERAÇÃO ]])*SUM(tabCustoUnit[[#This Row],[13º salário (titular)]:[Férias e Adicional de Férias (titular)]]),0)</f>
        <v>716.92268970000009</v>
      </c>
      <c r="AB32" s="21">
        <f>SUM(tabCustoUnit[[#This Row],[13º salário (titular)]:[Incidência do Submódulo 2.1 sobre 13º Salário, Férias e Adicional de Férias]])</f>
        <v>2613.5435619222226</v>
      </c>
      <c r="AC32" s="22" t="e">
        <f ca="1">_xlfn.LET(_xlpm.VT,SUMIF(tabParametros[Código do Posto],tabCustoUnit[[#This Row],[Código do Posto]],tabParametros[Vale - Transporte])*2*20,
IF((_xlpm.VT-tabCustoUnit[[#This Row],[Salário Base]]*0.06)&gt;=0,(_xlpm.VT-tabCustoUnit[[#This Row],[Salário Base]]*0.06),0)
)</f>
        <v>#NAME?</v>
      </c>
      <c r="AD32" s="22">
        <f>IF(SUMIF(tabParametros[Código do Posto],tabCustoUnit[[#This Row],[Código do Posto]],tabParametros[Vale - Alimentação])&lt;=0,0,
SUMIF(tabParametros[Código do Posto],tabCustoUnit[[#This Row],[Código do Posto]],tabParametros[Vale - Alimentação])*20-1)</f>
        <v>581.79999999999995</v>
      </c>
      <c r="AE32" s="22">
        <f>SUMIF(tabParametros[Código do Posto],tabCustoUnit[[#This Row],[Código do Posto]],tabParametros[Cesta Básica])</f>
        <v>0</v>
      </c>
      <c r="AF32" s="22">
        <f>SUMIF(tabParametros[Código do Posto],tabCustoUnit[[#This Row],[Código do Posto]],tabParametros[PAF])</f>
        <v>51.73</v>
      </c>
      <c r="AG32" s="22">
        <f>SUMIF(tabParametros[Código do Posto],tabCustoUnit[[#This Row],[Código do Posto]],tabParametros[PQM])</f>
        <v>0</v>
      </c>
      <c r="AH32" s="22">
        <f>SUMIF(tabParametros[Código do Posto],tabCustoUnit[[#This Row],[Código do Posto]],tabParametros[Abono Único e Especial])</f>
        <v>0</v>
      </c>
      <c r="AI32" s="22">
        <f>SUMIF(tabParametros[Código do Posto],tabCustoUnit[[#This Row],[Código do Posto]],tabParametros[Seguro de Vida])</f>
        <v>3.36</v>
      </c>
      <c r="AJ32" s="22">
        <f>SUMIF(tabParametros[Código do Posto],tabCustoUnit[[#This Row],[Código do Posto]],tabParametros[Despesas de Viagem])</f>
        <v>202.08</v>
      </c>
      <c r="AK32" s="22" t="e">
        <f ca="1">SUM(tabCustoUnit[[#This Row],[Vale - Transporte (Descontada parcela do empregado)]:[Despesas de Viagem]])</f>
        <v>#NAME?</v>
      </c>
      <c r="AL32" s="22" t="e">
        <f ca="1">tabCustoUnit[[#This Row],[Submódulo 2.1]]+tabCustoUnit[[#This Row],[Submódulo 2.2]]+tabCustoUnit[[#This Row],[Submódulo 2.3]]</f>
        <v>#NAME?</v>
      </c>
      <c r="AM32" s="22">
        <f>SUMIF(tabParametros[Código do Posto],tabCustoUnit[[#This Row],[Código do Posto]],tabParametros[Aviso Prévio Indenizado (API) e Reflexo do Aviso Prévio Indenizado])*tabCustoUnit[[#This Row],[MODULO 1 - REMUNERAÇÃO ]]</f>
        <v>68.393127067862665</v>
      </c>
      <c r="AN32" s="22">
        <f>SUMIF(tabParametros[Código do Posto],tabCustoUnit[[#This Row],[Código do Posto]],tabParametros[Incidência do FGTS sobre API e Reflexo do API])*tabCustoUnit[[#This Row],[MODULO 1 - REMUNERAÇÃO ]]</f>
        <v>5.4714501654290135</v>
      </c>
      <c r="AO32" s="22">
        <f>SUMIF(tabParametros[Código do Posto],tabCustoUnit[[#This Row],[Código do Posto]],tabParametros[Multa Rescisória do FGTS sobre o Aviso Prévio Indenizado])*tabCustoUnit[[#This Row],[MODULO 1 - REMUNERAÇÃO ]]</f>
        <v>2.1885800661716055</v>
      </c>
      <c r="AP32" s="22">
        <f>SUMIF(tabParametros[Código do Posto],tabCustoUnit[[#This Row],[Código do Posto]],tabParametros[Aviso Prévio Trabalhado - APT])*tabCustoUnit[[#This Row],[MODULO 1 - REMUNERAÇÃO ]]</f>
        <v>34.13917570000001</v>
      </c>
      <c r="AQ32" s="22">
        <f>SUMIF(tabParametros[Código do Posto],tabCustoUnit[[#This Row],[Código do Posto]],tabParametros[Incidência dos encargos do submódulo 2.1 sobre Aviso Prévio Trabalhado])*tabCustoUnit[[#This Row],[MODULO 1 - REMUNERAÇÃO ]]</f>
        <v>12.904608414600006</v>
      </c>
      <c r="AR32" s="22">
        <f>SUMIF(tabParametros[Código do Posto],tabCustoUnit[[#This Row],[Código do Posto]],tabParametros[Multa Rescisória do FGTS])*tabCustoUnit[[#This Row],[MODULO 1 - REMUNERAÇÃO ]]</f>
        <v>298.25717944888891</v>
      </c>
      <c r="AS32" s="22">
        <f>SUMIF(tabParametros[Código do Posto],tabCustoUnit[[#This Row],[Código do Posto]],tabParametros[Indenização Adicional (Art. 9º da Lei nº 7.238/84)])*tabCustoUnit[[#This Row],[MODULO 1 - REMUNERAÇÃO ]]</f>
        <v>8.1283751666666682</v>
      </c>
      <c r="AT32" s="22">
        <f>SUM(tabCustoUnit[[#This Row],[Aviso Prévio Indenizado (API) e Reflexo do Aviso Prévio Indenizado]:[Indenização Adicional (Art. 9º da Lei nº 7.238/84)]])</f>
        <v>429.48249602961886</v>
      </c>
      <c r="AU32" s="22">
        <f>SUMIF(tabParametros[Código do Posto],tabCustoUnit[[#This Row],[Código do Posto]],tabParametros[Ausência por Doença])*tabCustoUnit[[#This Row],[MODULO 1 - REMUNERAÇÃO ]]</f>
        <v>82.367535022222228</v>
      </c>
      <c r="AV32" s="22">
        <f>SUMIF(tabParametros[Código do Posto],tabCustoUnit[[#This Row],[Código do Posto]],tabParametros[Ausências Legais])*tabCustoUnit[[#This Row],[MODULO 1 - REMUNERAÇÃO ]]</f>
        <v>19.779046238888892</v>
      </c>
      <c r="AW32" s="22">
        <f>SUMIF(tabParametros[Código do Posto],tabCustoUnit[[#This Row],[Código do Posto]],tabParametros[Licença Paternidade])*tabCustoUnit[[#This Row],[MODULO 1 - REMUNERAÇÃO ]]</f>
        <v>1.666316909166667</v>
      </c>
      <c r="AX32" s="22">
        <f>SUMIF(tabParametros[Código do Posto],tabCustoUnit[[#This Row],[Código do Posto]],tabParametros[Ausência por Acidente de Trabalho])*tabCustoUnit[[#This Row],[MODULO 1 - REMUNERAÇÃO ]]</f>
        <v>2.032093791666667</v>
      </c>
      <c r="AY32" s="22">
        <f>SUMIF(tabParametros[Código do Posto],tabCustoUnit[[#This Row],[Código do Posto]],tabParametros[Férias, Adicional de Férias e 13º  com empregada em gozo de Licença Maternidade])*tabCustoUnit[[#This Row],[MODULO 1 - REMUNERAÇÃO ]]</f>
        <v>12.644139148148149</v>
      </c>
      <c r="AZ32" s="22">
        <f>SUMIF(tabParametros[Código do Posto],tabCustoUnit[[#This Row],[Código do Posto]],tabParametros[Incidência do Submódulo 2.1 sobre Ausências Legais])*tabCustoUnit[[#This Row],[MODULO 1 - REMUNERAÇÃO ]]</f>
        <v>44.788891559615017</v>
      </c>
      <c r="BA32" s="22">
        <f>SUM(tabCustoUnit[[#This Row],[Ausência por Doença]:[Incidência do Submódulo 2.1 sobre Ausências Legais]])</f>
        <v>163.27802266970764</v>
      </c>
      <c r="BB32" s="22">
        <f>SUMIF(tabParametros[Código do Posto],tabCustoUnit[[#This Row],[Código do Posto]],tabParametros[Intervalo para Repouso ou Alimentação])</f>
        <v>0</v>
      </c>
      <c r="BC32" s="22">
        <f>tabCustoUnit[[#This Row],[Intervalo para Repouso ou Alimentação]]</f>
        <v>0</v>
      </c>
      <c r="BD3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 s="22">
        <f>tabCustoUnit[[#This Row],[Suspensão Temporária do Contrato de Trabalho]]</f>
        <v>0</v>
      </c>
      <c r="BF32" s="22">
        <f>tabCustoUnit[[#This Row],[Submódulo 4.1]]+tabCustoUnit[[#This Row],[Submódulo 4.2]]+tabCustoUnit[[#This Row],[Submódulo 4.3]]</f>
        <v>163.27802266970764</v>
      </c>
      <c r="BG32" s="22">
        <f>VLOOKUP(tabCustoUnit[[#This Row],[Código do Posto]],tabParametros[],MATCH(tabCustoUnit[[#Headers],[Uniformes e EPIs]],tabParametros[#Headers],0),0)</f>
        <v>44.111346448706357</v>
      </c>
      <c r="BH32" s="22">
        <f>VLOOKUP(tabCustoUnit[[#This Row],[Código do Posto]],tabParametros[],MATCH(tabCustoUnit[[#Headers],[Materiais de Consumo]],tabParametros[#Headers],0),0)</f>
        <v>0</v>
      </c>
      <c r="BI32" s="22">
        <f>VLOOKUP(tabCustoUnit[[#This Row],[Código do Posto]],tabParametros[],MATCH(tabCustoUnit[[#Headers],[Máquinas e Equipamentos (depreciação)]],tabParametros[#Headers],0),0)</f>
        <v>0</v>
      </c>
      <c r="BJ32" s="22">
        <f>VLOOKUP(tabCustoUnit[[#This Row],[Código do Posto]],tabParametros[],MATCH(tabCustoUnit[[#Headers],[Produtos de Limpeza e Materiais de Higiene Pessoal]],tabParametros[#Headers],0),0)</f>
        <v>0</v>
      </c>
      <c r="BK32" s="22">
        <f>VLOOKUP(tabCustoUnit[[#This Row],[Código do Posto]],tabParametros[],MATCH(tabCustoUnit[[#Headers],[Outros (especificar)]],tabParametros[#Headers],0),0)</f>
        <v>0</v>
      </c>
      <c r="BL32" s="22">
        <f>SUM(tabCustoUnit[[#This Row],[Uniformes e EPIs]:[Outros (especificar)]])</f>
        <v>44.111346448706357</v>
      </c>
      <c r="BM3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 s="22" t="e">
        <f ca="1">VLOOKUP(tabCustoUnit[[#This Row],[Código do Posto]],tabParametros[],MATCH(tabCustoUnit[[#Headers],[Custos Indiretos]],tabParametros[#Headers],0),0)</f>
        <v>#NAME?</v>
      </c>
      <c r="BO32" s="22" t="e">
        <f ca="1">VLOOKUP(tabCustoUnit[[#This Row],[Código do Posto]],tabParametros[],MATCH(tabCustoUnit[[#Headers],[Lucro]],tabParametros[#Headers],0),0)</f>
        <v>#NAME?</v>
      </c>
      <c r="BP32" s="26">
        <f>((100/((1-tabCustoUnit[[#This Row],[Resumo de Alíquotas (PIS+CONFINS+ISS)]]))-100)*VLOOKUP(tabCustoUnit[[#This Row],[Código do Posto]],tabParametros[],MATCH(tabCustoUnit[[#Headers],[COFINS]],tabParametros[#Headers],0),0))/(tabCustoUnit[[#This Row],[Resumo de Alíquotas (PIS+CONFINS+ISS)]]*100)</f>
        <v>8.8629737609329504E-2</v>
      </c>
      <c r="BQ32" s="26">
        <f>((100/((100-(tabCustoUnit[[#This Row],[Resumo de Alíquotas (PIS+CONFINS+ISS)]]*100))%)-100)*VLOOKUP(tabCustoUnit[[#This Row],[Código do Posto]],tabParametros[],MATCH(tabCustoUnit[[#Headers],[PIS]],tabParametros[#Headers],0),0))/(tabCustoUnit[[#This Row],[Resumo de Alíquotas (PIS+CONFINS+ISS)]]*100)</f>
        <v>1.9241982507288629E-2</v>
      </c>
      <c r="BR32" s="28">
        <f>VLOOKUP(tabCustoUnit[[#This Row],[Código do Posto]],tabParametros[],MATCH(tabCustoUnit[[#Headers],[ISS]],tabParametros[#Headers],0),0)</f>
        <v>0.05</v>
      </c>
      <c r="BS32" s="26">
        <f>(((100/((100-(tabCustoUnit[[#This Row],[Resumo de Alíquotas (PIS+CONFINS+ISS)]]*100))%)-100)*tabCustoUnit[[#This Row],[ISS]])/tabCustoUnit[[#This Row],[Resumo de Alíquotas (PIS+CONFINS+ISS)]])/100</f>
        <v>5.8309037900874633E-2</v>
      </c>
      <c r="BT3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2" s="138">
        <f>tabCustoUnit[[#This Row],[COFINS]]+tabCustoUnit[[#This Row],[PIS]]+tabCustoUnit[[#This Row],[ISS (Conversão Alíquota s/ fatura)]]</f>
        <v>0.16618075801749277</v>
      </c>
      <c r="BV32" s="22" t="e">
        <f ca="1">(tabCustoUnit[[#This Row],[TOTAL MÓDULOS 1+2+3+4+5]]+tabCustoUnit[[#This Row],[Custos Indiretos]]+tabCustoUnit[[#This Row],[Lucro]])*tabCustoUnit[[#This Row],[PIS + COFINS + ISS (Total Conversão  Alíquota s/ Fatura)]]</f>
        <v>#NAME?</v>
      </c>
      <c r="BW32" s="22" t="e">
        <f ca="1">tabCustoUnit[[#This Row],[Custos Indiretos]]+tabCustoUnit[[#This Row],[Lucro]]+tabCustoUnit[[#This Row],[Valor dos Tributos (ISS, PIS, CONFINS)]]</f>
        <v>#NAME?</v>
      </c>
      <c r="BX32" s="22" t="e">
        <f ca="1">tabCustoUnit[[#This Row],[TOTAL MÓDULOS 1+2+3+4+5]]+tabCustoUnit[[#This Row],[MÓDULO 6 – CUSTOS INDIRETOS, TRIBUTOS E LUCRO]]</f>
        <v>#NAME?</v>
      </c>
      <c r="BY32" s="22" t="e">
        <f ca="1">tabCustoUnit[[#This Row],[CUSTO TOTAL MENSAL]]*12</f>
        <v>#NAME?</v>
      </c>
      <c r="BZ32" s="24">
        <f>VLOOKUP(tabCustoUnit[[#This Row],[Código do Posto]],tabParametros[],MATCH(tabCustoUnit[[#Headers],[ANO DA CCT]],tabParametros[#Headers],0),0)</f>
        <v>45658</v>
      </c>
      <c r="CA32" s="25" t="str">
        <f>VLOOKUP(tabCustoUnit[[#This Row],[Código do Posto]],tabParametros[],MATCH(tabCustoUnit[[#Headers],[Nº DE PEDIDO DA CCT]],tabParametros[#Headers],0),0)</f>
        <v>-</v>
      </c>
      <c r="CB32" s="25" t="str">
        <f>VLOOKUP(tabCustoUnit[[#This Row],[Código do Posto]],tabParametros[],MATCH(tabCustoUnit[[#Headers],[TERMO ADITIVO ALTERAÇÃO DA CCT]],tabParametros[#Headers],0),0)</f>
        <v>-</v>
      </c>
    </row>
    <row r="33" spans="1:80">
      <c r="A33" s="20" t="s">
        <v>1412</v>
      </c>
      <c r="B33" t="s">
        <v>1103</v>
      </c>
      <c r="C33" t="s">
        <v>165</v>
      </c>
      <c r="D33" t="s">
        <v>1035</v>
      </c>
      <c r="E33" s="20" t="s">
        <v>1090</v>
      </c>
      <c r="F33" s="20" t="s">
        <v>120</v>
      </c>
      <c r="G33" s="418">
        <v>2443.5248999999999</v>
      </c>
      <c r="H33" s="418">
        <v>0</v>
      </c>
      <c r="I33" s="418">
        <v>0</v>
      </c>
      <c r="J33" s="418">
        <v>0</v>
      </c>
      <c r="K33" s="418">
        <v>0</v>
      </c>
      <c r="L33" s="418">
        <v>0</v>
      </c>
      <c r="M33" s="418">
        <v>0</v>
      </c>
      <c r="N33" s="418">
        <v>0</v>
      </c>
      <c r="O33" s="21">
        <f>SUM(tabCustoUnit[[#This Row],[Salário Base]:[Adicional de Acúmulo de função]])</f>
        <v>2443.5248999999999</v>
      </c>
      <c r="P33" s="21">
        <f>tabCustoUnit[[#This Row],[MODULO 1 - REMUNERAÇÃO ]]*SUMIFS(tabParametros[INSS],tabParametros[Código do Posto],tabCustoUnit[[#This Row],[Código do Posto]])</f>
        <v>488.70497999999998</v>
      </c>
      <c r="Q33" s="21">
        <f>tabCustoUnit[[#This Row],[MODULO 1 - REMUNERAÇÃO ]]*SUMIFS(tabParametros[SESI OU SESC],tabParametros[Código do Posto],tabCustoUnit[[#This Row],[Código do Posto]])</f>
        <v>36.652873499999998</v>
      </c>
      <c r="R33" s="21">
        <f>tabCustoUnit[[#This Row],[MODULO 1 - REMUNERAÇÃO ]]*SUMIFS(tabParametros[SENAI OU SENAC],tabParametros[Código do Posto],tabCustoUnit[[#This Row],[Código do Posto]])</f>
        <v>24.435248999999999</v>
      </c>
      <c r="S33" s="21">
        <f>tabCustoUnit[[#This Row],[MODULO 1 - REMUNERAÇÃO ]]*SUMIFS(tabParametros[INCRA],tabParametros[Código do Posto],tabCustoUnit[[#This Row],[Código do Posto]])</f>
        <v>4.8870497999999998</v>
      </c>
      <c r="T33" s="21">
        <f>tabCustoUnit[[#This Row],[MODULO 1 - REMUNERAÇÃO ]]*SUMIFS(tabParametros[Salário Educação],tabParametros[Código do Posto],tabCustoUnit[[#This Row],[Código do Posto]])</f>
        <v>61.088122499999997</v>
      </c>
      <c r="U33" s="21">
        <f>tabCustoUnit[[#This Row],[MODULO 1 - REMUNERAÇÃO ]]*SUMIFS(tabParametros[FGTS],tabParametros[Código do Posto],tabCustoUnit[[#This Row],[Código do Posto]])</f>
        <v>195.48199199999999</v>
      </c>
      <c r="V33" s="21">
        <f>tabCustoUnit[[#This Row],[MODULO 1 - REMUNERAÇÃO ]]*SUMIFS(tabParametros[RAT Ajustado],tabParametros[Código do Posto],tabCustoUnit[[#This Row],[Código do Posto]])</f>
        <v>97.740995999999996</v>
      </c>
      <c r="W33" s="21">
        <f>tabCustoUnit[[#This Row],[MODULO 1 - REMUNERAÇÃO ]]*SUMIFS(tabParametros[SEBRAE],tabParametros[Código do Posto],tabCustoUnit[[#This Row],[Código do Posto]])</f>
        <v>14.661149399999999</v>
      </c>
      <c r="X33" s="21">
        <f>SUM(tabCustoUnit[[#This Row],[INSS]:[SEBRAE]])</f>
        <v>923.65241219999996</v>
      </c>
      <c r="Y33" s="21">
        <f>tabCustoUnit[[#This Row],[MODULO 1 - REMUNERAÇÃO ]]*SUMIFS(tabParametros[13º salário (titular)],tabParametros[Código do Posto],tabCustoUnit[[#This Row],[Código do Posto]])</f>
        <v>203.62707499999999</v>
      </c>
      <c r="Z33" s="21">
        <f>tabCustoUnit[[#This Row],[MODULO 1 - REMUNERAÇÃO ]]*SUMIFS(tabParametros[Férias e Adicional de Férias (titular)],tabParametros[Código do Posto],tabCustoUnit[[#This Row],[Código do Posto]])</f>
        <v>271.50276666666662</v>
      </c>
      <c r="AA33" s="21">
        <f>IFERROR((tabCustoUnit[[#This Row],[Submódulo 2.1]]/tabCustoUnit[[#This Row],[MODULO 1 - REMUNERAÇÃO ]])*SUM(tabCustoUnit[[#This Row],[13º salário (titular)]:[Férias e Adicional de Férias (titular)]]),0)</f>
        <v>179.59908014999999</v>
      </c>
      <c r="AB33" s="21">
        <f>SUM(tabCustoUnit[[#This Row],[13º salário (titular)]:[Incidência do Submódulo 2.1 sobre 13º Salário, Férias e Adicional de Férias]])</f>
        <v>654.72892181666657</v>
      </c>
      <c r="AC33" s="22" t="e">
        <f ca="1">_xlfn.LET(_xlpm.VT,SUMIF(tabParametros[Código do Posto],tabCustoUnit[[#This Row],[Código do Posto]],tabParametros[Vale - Transporte])*2*20,
IF((_xlpm.VT-tabCustoUnit[[#This Row],[Salário Base]]*0.06)&gt;=0,(_xlpm.VT-tabCustoUnit[[#This Row],[Salário Base]]*0.06),0)
)</f>
        <v>#NAME?</v>
      </c>
      <c r="AD33" s="22">
        <f>IF(SUMIF(tabParametros[Código do Posto],tabCustoUnit[[#This Row],[Código do Posto]],tabParametros[Vale - Alimentação])&lt;=0,0,
SUMIF(tabParametros[Código do Posto],tabCustoUnit[[#This Row],[Código do Posto]],tabParametros[Vale - Alimentação])*20-1)</f>
        <v>582</v>
      </c>
      <c r="AE33" s="22">
        <f>SUMIF(tabParametros[Código do Posto],tabCustoUnit[[#This Row],[Código do Posto]],tabParametros[Cesta Básica])</f>
        <v>0</v>
      </c>
      <c r="AF33" s="22">
        <f>SUMIF(tabParametros[Código do Posto],tabCustoUnit[[#This Row],[Código do Posto]],tabParametros[PAF])</f>
        <v>95.9</v>
      </c>
      <c r="AG33" s="22">
        <f>SUMIF(tabParametros[Código do Posto],tabCustoUnit[[#This Row],[Código do Posto]],tabParametros[PQM])</f>
        <v>0</v>
      </c>
      <c r="AH33" s="22">
        <f>SUMIF(tabParametros[Código do Posto],tabCustoUnit[[#This Row],[Código do Posto]],tabParametros[Abono Único e Especial])</f>
        <v>0</v>
      </c>
      <c r="AI33" s="22">
        <f>SUMIF(tabParametros[Código do Posto],tabCustoUnit[[#This Row],[Código do Posto]],tabParametros[Seguro de Vida])</f>
        <v>3.36</v>
      </c>
      <c r="AJ33" s="22">
        <f>SUMIF(tabParametros[Código do Posto],tabCustoUnit[[#This Row],[Código do Posto]],tabParametros[Despesas de Viagem])</f>
        <v>202.08</v>
      </c>
      <c r="AK33" s="22" t="e">
        <f ca="1">SUM(tabCustoUnit[[#This Row],[Vale - Transporte (Descontada parcela do empregado)]:[Despesas de Viagem]])</f>
        <v>#NAME?</v>
      </c>
      <c r="AL33" s="22" t="e">
        <f ca="1">tabCustoUnit[[#This Row],[Submódulo 2.1]]+tabCustoUnit[[#This Row],[Submódulo 2.2]]+tabCustoUnit[[#This Row],[Submódulo 2.3]]</f>
        <v>#NAME?</v>
      </c>
      <c r="AM33" s="22">
        <f>SUMIF(tabParametros[Código do Posto],tabCustoUnit[[#This Row],[Código do Posto]],tabParametros[Aviso Prévio Indenizado (API) e Reflexo do Aviso Prévio Indenizado])*tabCustoUnit[[#This Row],[MODULO 1 - REMUNERAÇÃO ]]</f>
        <v>17.133427197164352</v>
      </c>
      <c r="AN33" s="22">
        <f>SUMIF(tabParametros[Código do Posto],tabCustoUnit[[#This Row],[Código do Posto]],tabParametros[Incidência do FGTS sobre API e Reflexo do API])*tabCustoUnit[[#This Row],[MODULO 1 - REMUNERAÇÃO ]]</f>
        <v>1.3706741757731482</v>
      </c>
      <c r="AO33" s="22">
        <f>SUMIF(tabParametros[Código do Posto],tabCustoUnit[[#This Row],[Código do Posto]],tabParametros[Multa Rescisória do FGTS sobre o Aviso Prévio Indenizado])*tabCustoUnit[[#This Row],[MODULO 1 - REMUNERAÇÃO ]]</f>
        <v>0.54826967030925933</v>
      </c>
      <c r="AP33" s="22">
        <f>SUMIF(tabParametros[Código do Posto],tabCustoUnit[[#This Row],[Código do Posto]],tabParametros[Aviso Prévio Trabalhado - APT])*tabCustoUnit[[#This Row],[MODULO 1 - REMUNERAÇÃO ]]</f>
        <v>8.5523371500000014</v>
      </c>
      <c r="AQ33" s="22">
        <f>SUMIF(tabParametros[Código do Posto],tabCustoUnit[[#This Row],[Código do Posto]],tabParametros[Incidência dos encargos do submódulo 2.1 sobre Aviso Prévio Trabalhado])*tabCustoUnit[[#This Row],[MODULO 1 - REMUNERAÇÃO ]]</f>
        <v>3.2327834427000006</v>
      </c>
      <c r="AR33" s="22">
        <f>SUMIF(tabParametros[Código do Posto],tabCustoUnit[[#This Row],[Código do Posto]],tabParametros[Multa Rescisória do FGTS])*tabCustoUnit[[#This Row],[MODULO 1 - REMUNERAÇÃO ]]</f>
        <v>74.717561386666645</v>
      </c>
      <c r="AS33" s="22">
        <f>SUMIF(tabParametros[Código do Posto],tabCustoUnit[[#This Row],[Código do Posto]],tabParametros[Indenização Adicional (Art. 9º da Lei nº 7.238/84)])*tabCustoUnit[[#This Row],[MODULO 1 - REMUNERAÇÃO ]]</f>
        <v>2.0362707499999999</v>
      </c>
      <c r="AT33" s="22">
        <f>SUM(tabCustoUnit[[#This Row],[Aviso Prévio Indenizado (API) e Reflexo do Aviso Prévio Indenizado]:[Indenização Adicional (Art. 9º da Lei nº 7.238/84)]])</f>
        <v>107.59132377261341</v>
      </c>
      <c r="AU33" s="22">
        <f>SUMIF(tabParametros[Código do Posto],tabCustoUnit[[#This Row],[Código do Posto]],tabParametros[Ausência por Doença])*tabCustoUnit[[#This Row],[MODULO 1 - REMUNERAÇÃO ]]</f>
        <v>20.634210266666663</v>
      </c>
      <c r="AV33" s="22">
        <f>SUMIF(tabParametros[Código do Posto],tabCustoUnit[[#This Row],[Código do Posto]],tabParametros[Ausências Legais])*tabCustoUnit[[#This Row],[MODULO 1 - REMUNERAÇÃO ]]</f>
        <v>4.9549254916666658</v>
      </c>
      <c r="AW33" s="22">
        <f>SUMIF(tabParametros[Código do Posto],tabCustoUnit[[#This Row],[Código do Posto]],tabParametros[Licença Paternidade])*tabCustoUnit[[#This Row],[MODULO 1 - REMUNERAÇÃO ]]</f>
        <v>0.41743550374999999</v>
      </c>
      <c r="AX33" s="22">
        <f>SUMIF(tabParametros[Código do Posto],tabCustoUnit[[#This Row],[Código do Posto]],tabParametros[Ausência por Acidente de Trabalho])*tabCustoUnit[[#This Row],[MODULO 1 - REMUNERAÇÃO ]]</f>
        <v>0.50906768749999998</v>
      </c>
      <c r="AY33" s="22">
        <f>SUMIF(tabParametros[Código do Posto],tabCustoUnit[[#This Row],[Código do Posto]],tabParametros[Férias, Adicional de Férias e 13º  com empregada em gozo de Licença Maternidade])*tabCustoUnit[[#This Row],[MODULO 1 - REMUNERAÇÃO ]]</f>
        <v>3.1675322777777777</v>
      </c>
      <c r="AZ33" s="22">
        <f>SUMIF(tabParametros[Código do Posto],tabCustoUnit[[#This Row],[Código do Posto]],tabParametros[Incidência do Submódulo 2.1 sobre Ausências Legais])*tabCustoUnit[[#This Row],[MODULO 1 - REMUNERAÇÃO ]]</f>
        <v>11.220238723942501</v>
      </c>
      <c r="BA33" s="22">
        <f>SUM(tabCustoUnit[[#This Row],[Ausência por Doença]:[Incidência do Submódulo 2.1 sobre Ausências Legais]])</f>
        <v>40.903409951303601</v>
      </c>
      <c r="BB33" s="22">
        <f>SUMIF(tabParametros[Código do Posto],tabCustoUnit[[#This Row],[Código do Posto]],tabParametros[Intervalo para Repouso ou Alimentação])</f>
        <v>0</v>
      </c>
      <c r="BC33" s="22">
        <f>tabCustoUnit[[#This Row],[Intervalo para Repouso ou Alimentação]]</f>
        <v>0</v>
      </c>
      <c r="BD3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 s="22">
        <f>tabCustoUnit[[#This Row],[Suspensão Temporária do Contrato de Trabalho]]</f>
        <v>0</v>
      </c>
      <c r="BF33" s="22">
        <f>tabCustoUnit[[#This Row],[Submódulo 4.1]]+tabCustoUnit[[#This Row],[Submódulo 4.2]]+tabCustoUnit[[#This Row],[Submódulo 4.3]]</f>
        <v>40.903409951303601</v>
      </c>
      <c r="BG33" s="22">
        <f>VLOOKUP(tabCustoUnit[[#This Row],[Código do Posto]],tabParametros[],MATCH(tabCustoUnit[[#Headers],[Uniformes e EPIs]],tabParametros[#Headers],0),0)</f>
        <v>190.56060491869394</v>
      </c>
      <c r="BH33" s="22">
        <f>VLOOKUP(tabCustoUnit[[#This Row],[Código do Posto]],tabParametros[],MATCH(tabCustoUnit[[#Headers],[Materiais de Consumo]],tabParametros[#Headers],0),0)</f>
        <v>0</v>
      </c>
      <c r="BI33" s="22">
        <f>VLOOKUP(tabCustoUnit[[#This Row],[Código do Posto]],tabParametros[],MATCH(tabCustoUnit[[#Headers],[Máquinas e Equipamentos (depreciação)]],tabParametros[#Headers],0),0)</f>
        <v>0</v>
      </c>
      <c r="BJ33" s="22">
        <f>VLOOKUP(tabCustoUnit[[#This Row],[Código do Posto]],tabParametros[],MATCH(tabCustoUnit[[#Headers],[Produtos de Limpeza e Materiais de Higiene Pessoal]],tabParametros[#Headers],0),0)</f>
        <v>0</v>
      </c>
      <c r="BK33" s="22">
        <f>VLOOKUP(tabCustoUnit[[#This Row],[Código do Posto]],tabParametros[],MATCH(tabCustoUnit[[#Headers],[Outros (especificar)]],tabParametros[#Headers],0),0)</f>
        <v>0</v>
      </c>
      <c r="BL33" s="22">
        <f>SUM(tabCustoUnit[[#This Row],[Uniformes e EPIs]:[Outros (especificar)]])</f>
        <v>190.56060491869394</v>
      </c>
      <c r="BM3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 s="22" t="e">
        <f ca="1">VLOOKUP(tabCustoUnit[[#This Row],[Código do Posto]],tabParametros[],MATCH(tabCustoUnit[[#Headers],[Custos Indiretos]],tabParametros[#Headers],0),0)</f>
        <v>#NAME?</v>
      </c>
      <c r="BO33" s="22" t="e">
        <f ca="1">VLOOKUP(tabCustoUnit[[#This Row],[Código do Posto]],tabParametros[],MATCH(tabCustoUnit[[#Headers],[Lucro]],tabParametros[#Headers],0),0)</f>
        <v>#NAME?</v>
      </c>
      <c r="BP33" s="26">
        <f>((100/((1-tabCustoUnit[[#This Row],[Resumo de Alíquotas (PIS+CONFINS+ISS)]]))-100)*VLOOKUP(tabCustoUnit[[#This Row],[Código do Posto]],tabParametros[],MATCH(tabCustoUnit[[#Headers],[COFINS]],tabParametros[#Headers],0),0))/(tabCustoUnit[[#This Row],[Resumo de Alíquotas (PIS+CONFINS+ISS)]]*100)</f>
        <v>8.8629737609329504E-2</v>
      </c>
      <c r="BQ33" s="26">
        <f>((100/((100-(tabCustoUnit[[#This Row],[Resumo de Alíquotas (PIS+CONFINS+ISS)]]*100))%)-100)*VLOOKUP(tabCustoUnit[[#This Row],[Código do Posto]],tabParametros[],MATCH(tabCustoUnit[[#Headers],[PIS]],tabParametros[#Headers],0),0))/(tabCustoUnit[[#This Row],[Resumo de Alíquotas (PIS+CONFINS+ISS)]]*100)</f>
        <v>1.9241982507288629E-2</v>
      </c>
      <c r="BR33" s="28">
        <f>VLOOKUP(tabCustoUnit[[#This Row],[Código do Posto]],tabParametros[],MATCH(tabCustoUnit[[#Headers],[ISS]],tabParametros[#Headers],0),0)</f>
        <v>0.05</v>
      </c>
      <c r="BS33" s="26">
        <f>(((100/((100-(tabCustoUnit[[#This Row],[Resumo de Alíquotas (PIS+CONFINS+ISS)]]*100))%)-100)*tabCustoUnit[[#This Row],[ISS]])/tabCustoUnit[[#This Row],[Resumo de Alíquotas (PIS+CONFINS+ISS)]])/100</f>
        <v>5.8309037900874633E-2</v>
      </c>
      <c r="BT3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3" s="138">
        <f>tabCustoUnit[[#This Row],[COFINS]]+tabCustoUnit[[#This Row],[PIS]]+tabCustoUnit[[#This Row],[ISS (Conversão Alíquota s/ fatura)]]</f>
        <v>0.16618075801749277</v>
      </c>
      <c r="BV33" s="22" t="e">
        <f ca="1">(tabCustoUnit[[#This Row],[TOTAL MÓDULOS 1+2+3+4+5]]+tabCustoUnit[[#This Row],[Custos Indiretos]]+tabCustoUnit[[#This Row],[Lucro]])*tabCustoUnit[[#This Row],[PIS + COFINS + ISS (Total Conversão  Alíquota s/ Fatura)]]</f>
        <v>#NAME?</v>
      </c>
      <c r="BW33" s="22" t="e">
        <f ca="1">tabCustoUnit[[#This Row],[Custos Indiretos]]+tabCustoUnit[[#This Row],[Lucro]]+tabCustoUnit[[#This Row],[Valor dos Tributos (ISS, PIS, CONFINS)]]</f>
        <v>#NAME?</v>
      </c>
      <c r="BX33" s="22" t="e">
        <f ca="1">tabCustoUnit[[#This Row],[TOTAL MÓDULOS 1+2+3+4+5]]+tabCustoUnit[[#This Row],[MÓDULO 6 – CUSTOS INDIRETOS, TRIBUTOS E LUCRO]]</f>
        <v>#NAME?</v>
      </c>
      <c r="BY33" s="22" t="e">
        <f ca="1">tabCustoUnit[[#This Row],[CUSTO TOTAL MENSAL]]*12</f>
        <v>#NAME?</v>
      </c>
      <c r="BZ33" s="24">
        <f>VLOOKUP(tabCustoUnit[[#This Row],[Código do Posto]],tabParametros[],MATCH(tabCustoUnit[[#Headers],[ANO DA CCT]],tabParametros[#Headers],0),0)</f>
        <v>45658</v>
      </c>
      <c r="CA33" s="25" t="str">
        <f>VLOOKUP(tabCustoUnit[[#This Row],[Código do Posto]],tabParametros[],MATCH(tabCustoUnit[[#Headers],[Nº DE PEDIDO DA CCT]],tabParametros[#Headers],0),0)</f>
        <v>-</v>
      </c>
      <c r="CB33" s="25" t="str">
        <f>VLOOKUP(tabCustoUnit[[#This Row],[Código do Posto]],tabParametros[],MATCH(tabCustoUnit[[#Headers],[TERMO ADITIVO ALTERAÇÃO DA CCT]],tabParametros[#Headers],0),0)</f>
        <v>-</v>
      </c>
    </row>
    <row r="34" spans="1:80">
      <c r="A34" s="20" t="s">
        <v>1413</v>
      </c>
      <c r="B34" t="s">
        <v>1103</v>
      </c>
      <c r="C34" t="s">
        <v>171</v>
      </c>
      <c r="D34" t="s">
        <v>1035</v>
      </c>
      <c r="E34" s="20" t="s">
        <v>1090</v>
      </c>
      <c r="F34" s="20" t="s">
        <v>120</v>
      </c>
      <c r="G34" s="418">
        <v>4136.4688999999998</v>
      </c>
      <c r="H34" s="418">
        <v>0</v>
      </c>
      <c r="I34" s="418">
        <v>0</v>
      </c>
      <c r="J34" s="418">
        <v>0</v>
      </c>
      <c r="K34" s="418">
        <v>0</v>
      </c>
      <c r="L34" s="418">
        <v>0</v>
      </c>
      <c r="M34" s="418">
        <v>0</v>
      </c>
      <c r="N34" s="418">
        <v>0</v>
      </c>
      <c r="O34" s="21">
        <f>SUM(tabCustoUnit[[#This Row],[Salário Base]:[Adicional de Acúmulo de função]])</f>
        <v>4136.4688999999998</v>
      </c>
      <c r="P34" s="21">
        <f>tabCustoUnit[[#This Row],[MODULO 1 - REMUNERAÇÃO ]]*SUMIFS(tabParametros[INSS],tabParametros[Código do Posto],tabCustoUnit[[#This Row],[Código do Posto]])</f>
        <v>827.29377999999997</v>
      </c>
      <c r="Q34" s="21">
        <f>tabCustoUnit[[#This Row],[MODULO 1 - REMUNERAÇÃO ]]*SUMIFS(tabParametros[SESI OU SESC],tabParametros[Código do Posto],tabCustoUnit[[#This Row],[Código do Posto]])</f>
        <v>62.047033499999998</v>
      </c>
      <c r="R34" s="21">
        <f>tabCustoUnit[[#This Row],[MODULO 1 - REMUNERAÇÃO ]]*SUMIFS(tabParametros[SENAI OU SENAC],tabParametros[Código do Posto],tabCustoUnit[[#This Row],[Código do Posto]])</f>
        <v>41.364688999999998</v>
      </c>
      <c r="S34" s="21">
        <f>tabCustoUnit[[#This Row],[MODULO 1 - REMUNERAÇÃO ]]*SUMIFS(tabParametros[INCRA],tabParametros[Código do Posto],tabCustoUnit[[#This Row],[Código do Posto]])</f>
        <v>8.2729377999999993</v>
      </c>
      <c r="T34" s="21">
        <f>tabCustoUnit[[#This Row],[MODULO 1 - REMUNERAÇÃO ]]*SUMIFS(tabParametros[Salário Educação],tabParametros[Código do Posto],tabCustoUnit[[#This Row],[Código do Posto]])</f>
        <v>103.4117225</v>
      </c>
      <c r="U34" s="21">
        <f>tabCustoUnit[[#This Row],[MODULO 1 - REMUNERAÇÃO ]]*SUMIFS(tabParametros[FGTS],tabParametros[Código do Posto],tabCustoUnit[[#This Row],[Código do Posto]])</f>
        <v>330.91751199999999</v>
      </c>
      <c r="V34" s="21">
        <f>tabCustoUnit[[#This Row],[MODULO 1 - REMUNERAÇÃO ]]*SUMIFS(tabParametros[RAT Ajustado],tabParametros[Código do Posto],tabCustoUnit[[#This Row],[Código do Posto]])</f>
        <v>165.45875599999999</v>
      </c>
      <c r="W34" s="21">
        <f>tabCustoUnit[[#This Row],[MODULO 1 - REMUNERAÇÃO ]]*SUMIFS(tabParametros[SEBRAE],tabParametros[Código do Posto],tabCustoUnit[[#This Row],[Código do Posto]])</f>
        <v>24.8188134</v>
      </c>
      <c r="X34" s="21">
        <f>SUM(tabCustoUnit[[#This Row],[INSS]:[SEBRAE]])</f>
        <v>1563.5852441999998</v>
      </c>
      <c r="Y34" s="21">
        <f>tabCustoUnit[[#This Row],[MODULO 1 - REMUNERAÇÃO ]]*SUMIFS(tabParametros[13º salário (titular)],tabParametros[Código do Posto],tabCustoUnit[[#This Row],[Código do Posto]])</f>
        <v>344.70574166666665</v>
      </c>
      <c r="Z34" s="21">
        <f>tabCustoUnit[[#This Row],[MODULO 1 - REMUNERAÇÃO ]]*SUMIFS(tabParametros[Férias e Adicional de Férias (titular)],tabParametros[Código do Posto],tabCustoUnit[[#This Row],[Código do Posto]])</f>
        <v>459.60765555555554</v>
      </c>
      <c r="AA34" s="21">
        <f>IFERROR((tabCustoUnit[[#This Row],[Submódulo 2.1]]/tabCustoUnit[[#This Row],[MODULO 1 - REMUNERAÇÃO ]])*SUM(tabCustoUnit[[#This Row],[13º salário (titular)]:[Férias e Adicional de Férias (titular)]]),0)</f>
        <v>304.03046414999994</v>
      </c>
      <c r="AB34" s="21">
        <f>SUM(tabCustoUnit[[#This Row],[13º salário (titular)]:[Incidência do Submódulo 2.1 sobre 13º Salário, Férias e Adicional de Férias]])</f>
        <v>1108.3438613722221</v>
      </c>
      <c r="AC34" s="22" t="e">
        <f ca="1">_xlfn.LET(_xlpm.VT,SUMIF(tabParametros[Código do Posto],tabCustoUnit[[#This Row],[Código do Posto]],tabParametros[Vale - Transporte])*2*20,
IF((_xlpm.VT-tabCustoUnit[[#This Row],[Salário Base]]*0.06)&gt;=0,(_xlpm.VT-tabCustoUnit[[#This Row],[Salário Base]]*0.06),0)
)</f>
        <v>#NAME?</v>
      </c>
      <c r="AD34" s="22">
        <f>IF(SUMIF(tabParametros[Código do Posto],tabCustoUnit[[#This Row],[Código do Posto]],tabParametros[Vale - Alimentação])&lt;=0,0,
SUMIF(tabParametros[Código do Posto],tabCustoUnit[[#This Row],[Código do Posto]],tabParametros[Vale - Alimentação])*20-1)</f>
        <v>582</v>
      </c>
      <c r="AE34" s="22">
        <f>SUMIF(tabParametros[Código do Posto],tabCustoUnit[[#This Row],[Código do Posto]],tabParametros[Cesta Básica])</f>
        <v>0</v>
      </c>
      <c r="AF34" s="22">
        <f>SUMIF(tabParametros[Código do Posto],tabCustoUnit[[#This Row],[Código do Posto]],tabParametros[PAF])</f>
        <v>95.9</v>
      </c>
      <c r="AG34" s="22">
        <f>SUMIF(tabParametros[Código do Posto],tabCustoUnit[[#This Row],[Código do Posto]],tabParametros[PQM])</f>
        <v>0</v>
      </c>
      <c r="AH34" s="22">
        <f>SUMIF(tabParametros[Código do Posto],tabCustoUnit[[#This Row],[Código do Posto]],tabParametros[Abono Único e Especial])</f>
        <v>0</v>
      </c>
      <c r="AI34" s="22">
        <f>SUMIF(tabParametros[Código do Posto],tabCustoUnit[[#This Row],[Código do Posto]],tabParametros[Seguro de Vida])</f>
        <v>3.36</v>
      </c>
      <c r="AJ34" s="22">
        <f>SUMIF(tabParametros[Código do Posto],tabCustoUnit[[#This Row],[Código do Posto]],tabParametros[Despesas de Viagem])</f>
        <v>202.08</v>
      </c>
      <c r="AK34" s="22" t="e">
        <f ca="1">SUM(tabCustoUnit[[#This Row],[Vale - Transporte (Descontada parcela do empregado)]:[Despesas de Viagem]])</f>
        <v>#NAME?</v>
      </c>
      <c r="AL34" s="22" t="e">
        <f ca="1">tabCustoUnit[[#This Row],[Submódulo 2.1]]+tabCustoUnit[[#This Row],[Submódulo 2.2]]+tabCustoUnit[[#This Row],[Submódulo 2.3]]</f>
        <v>#NAME?</v>
      </c>
      <c r="AM34" s="22">
        <f>SUMIF(tabParametros[Código do Posto],tabCustoUnit[[#This Row],[Código do Posto]],tabParametros[Aviso Prévio Indenizado (API) e Reflexo do Aviso Prévio Indenizado])*tabCustoUnit[[#This Row],[MODULO 1 - REMUNERAÇÃO ]]</f>
        <v>29.003956027411263</v>
      </c>
      <c r="AN34" s="22">
        <f>SUMIF(tabParametros[Código do Posto],tabCustoUnit[[#This Row],[Código do Posto]],tabParametros[Incidência do FGTS sobre API e Reflexo do API])*tabCustoUnit[[#This Row],[MODULO 1 - REMUNERAÇÃO ]]</f>
        <v>2.3203164821929012</v>
      </c>
      <c r="AO34" s="22">
        <f>SUMIF(tabParametros[Código do Posto],tabCustoUnit[[#This Row],[Código do Posto]],tabParametros[Multa Rescisória do FGTS sobre o Aviso Prévio Indenizado])*tabCustoUnit[[#This Row],[MODULO 1 - REMUNERAÇÃO ]]</f>
        <v>0.92812659287716059</v>
      </c>
      <c r="AP34" s="22">
        <f>SUMIF(tabParametros[Código do Posto],tabCustoUnit[[#This Row],[Código do Posto]],tabParametros[Aviso Prévio Trabalhado - APT])*tabCustoUnit[[#This Row],[MODULO 1 - REMUNERAÇÃO ]]</f>
        <v>14.477641150000002</v>
      </c>
      <c r="AQ34" s="22">
        <f>SUMIF(tabParametros[Código do Posto],tabCustoUnit[[#This Row],[Código do Posto]],tabParametros[Incidência dos encargos do submódulo 2.1 sobre Aviso Prévio Trabalhado])*tabCustoUnit[[#This Row],[MODULO 1 - REMUNERAÇÃO ]]</f>
        <v>5.4725483547000016</v>
      </c>
      <c r="AR34" s="22">
        <f>SUMIF(tabParametros[Código do Posto],tabCustoUnit[[#This Row],[Código do Posto]],tabParametros[Multa Rescisória do FGTS])*tabCustoUnit[[#This Row],[MODULO 1 - REMUNERAÇÃO ]]</f>
        <v>126.48402680888887</v>
      </c>
      <c r="AS34" s="22">
        <f>SUMIF(tabParametros[Código do Posto],tabCustoUnit[[#This Row],[Código do Posto]],tabParametros[Indenização Adicional (Art. 9º da Lei nº 7.238/84)])*tabCustoUnit[[#This Row],[MODULO 1 - REMUNERAÇÃO ]]</f>
        <v>3.4470574166666665</v>
      </c>
      <c r="AT34" s="22">
        <f>SUM(tabCustoUnit[[#This Row],[Aviso Prévio Indenizado (API) e Reflexo do Aviso Prévio Indenizado]:[Indenização Adicional (Art. 9º da Lei nº 7.238/84)]])</f>
        <v>182.13367283273686</v>
      </c>
      <c r="AU34" s="22">
        <f>SUMIF(tabParametros[Código do Posto],tabCustoUnit[[#This Row],[Código do Posto]],tabParametros[Ausência por Doença])*tabCustoUnit[[#This Row],[MODULO 1 - REMUNERAÇÃO ]]</f>
        <v>34.930181822222217</v>
      </c>
      <c r="AV34" s="22">
        <f>SUMIF(tabParametros[Código do Posto],tabCustoUnit[[#This Row],[Código do Posto]],tabParametros[Ausências Legais])*tabCustoUnit[[#This Row],[MODULO 1 - REMUNERAÇÃO ]]</f>
        <v>8.3878397138888889</v>
      </c>
      <c r="AW34" s="22">
        <f>SUMIF(tabParametros[Código do Posto],tabCustoUnit[[#This Row],[Código do Posto]],tabParametros[Licença Paternidade])*tabCustoUnit[[#This Row],[MODULO 1 - REMUNERAÇÃO ]]</f>
        <v>0.70664677041666668</v>
      </c>
      <c r="AX34" s="22">
        <f>SUMIF(tabParametros[Código do Posto],tabCustoUnit[[#This Row],[Código do Posto]],tabParametros[Ausência por Acidente de Trabalho])*tabCustoUnit[[#This Row],[MODULO 1 - REMUNERAÇÃO ]]</f>
        <v>0.86176435416666664</v>
      </c>
      <c r="AY34" s="22">
        <f>SUMIF(tabParametros[Código do Posto],tabCustoUnit[[#This Row],[Código do Posto]],tabParametros[Férias, Adicional de Férias e 13º  com empregada em gozo de Licença Maternidade])*tabCustoUnit[[#This Row],[MODULO 1 - REMUNERAÇÃO ]]</f>
        <v>5.3620893148148143</v>
      </c>
      <c r="AZ34" s="22">
        <f>SUMIF(tabParametros[Código do Posto],tabCustoUnit[[#This Row],[Código do Posto]],tabParametros[Incidência do Submódulo 2.1 sobre Ausências Legais])*tabCustoUnit[[#This Row],[MODULO 1 - REMUNERAÇÃO ]]</f>
        <v>18.993941306742503</v>
      </c>
      <c r="BA34" s="22">
        <f>SUM(tabCustoUnit[[#This Row],[Ausência por Doença]:[Incidência do Submódulo 2.1 sobre Ausências Legais]])</f>
        <v>69.242463282251762</v>
      </c>
      <c r="BB34" s="22">
        <f>SUMIF(tabParametros[Código do Posto],tabCustoUnit[[#This Row],[Código do Posto]],tabParametros[Intervalo para Repouso ou Alimentação])</f>
        <v>0</v>
      </c>
      <c r="BC34" s="22">
        <f>tabCustoUnit[[#This Row],[Intervalo para Repouso ou Alimentação]]</f>
        <v>0</v>
      </c>
      <c r="BD3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4" s="22">
        <f>tabCustoUnit[[#This Row],[Suspensão Temporária do Contrato de Trabalho]]</f>
        <v>0</v>
      </c>
      <c r="BF34" s="22">
        <f>tabCustoUnit[[#This Row],[Submódulo 4.1]]+tabCustoUnit[[#This Row],[Submódulo 4.2]]+tabCustoUnit[[#This Row],[Submódulo 4.3]]</f>
        <v>69.242463282251762</v>
      </c>
      <c r="BG34" s="22">
        <f>VLOOKUP(tabCustoUnit[[#This Row],[Código do Posto]],tabParametros[],MATCH(tabCustoUnit[[#Headers],[Uniformes e EPIs]],tabParametros[#Headers],0),0)</f>
        <v>190.56060491869394</v>
      </c>
      <c r="BH34" s="22">
        <f>VLOOKUP(tabCustoUnit[[#This Row],[Código do Posto]],tabParametros[],MATCH(tabCustoUnit[[#Headers],[Materiais de Consumo]],tabParametros[#Headers],0),0)</f>
        <v>0</v>
      </c>
      <c r="BI34" s="22">
        <f>VLOOKUP(tabCustoUnit[[#This Row],[Código do Posto]],tabParametros[],MATCH(tabCustoUnit[[#Headers],[Máquinas e Equipamentos (depreciação)]],tabParametros[#Headers],0),0)</f>
        <v>0</v>
      </c>
      <c r="BJ34" s="22">
        <f>VLOOKUP(tabCustoUnit[[#This Row],[Código do Posto]],tabParametros[],MATCH(tabCustoUnit[[#Headers],[Produtos de Limpeza e Materiais de Higiene Pessoal]],tabParametros[#Headers],0),0)</f>
        <v>0</v>
      </c>
      <c r="BK34" s="22">
        <f>VLOOKUP(tabCustoUnit[[#This Row],[Código do Posto]],tabParametros[],MATCH(tabCustoUnit[[#Headers],[Outros (especificar)]],tabParametros[#Headers],0),0)</f>
        <v>0</v>
      </c>
      <c r="BL34" s="22">
        <f>SUM(tabCustoUnit[[#This Row],[Uniformes e EPIs]:[Outros (especificar)]])</f>
        <v>190.56060491869394</v>
      </c>
      <c r="BM3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4" s="22" t="e">
        <f ca="1">VLOOKUP(tabCustoUnit[[#This Row],[Código do Posto]],tabParametros[],MATCH(tabCustoUnit[[#Headers],[Custos Indiretos]],tabParametros[#Headers],0),0)</f>
        <v>#NAME?</v>
      </c>
      <c r="BO34" s="22" t="e">
        <f ca="1">VLOOKUP(tabCustoUnit[[#This Row],[Código do Posto]],tabParametros[],MATCH(tabCustoUnit[[#Headers],[Lucro]],tabParametros[#Headers],0),0)</f>
        <v>#NAME?</v>
      </c>
      <c r="BP34" s="26">
        <f>((100/((1-tabCustoUnit[[#This Row],[Resumo de Alíquotas (PIS+CONFINS+ISS)]]))-100)*VLOOKUP(tabCustoUnit[[#This Row],[Código do Posto]],tabParametros[],MATCH(tabCustoUnit[[#Headers],[COFINS]],tabParametros[#Headers],0),0))/(tabCustoUnit[[#This Row],[Resumo de Alíquotas (PIS+CONFINS+ISS)]]*100)</f>
        <v>8.8629737609329504E-2</v>
      </c>
      <c r="BQ34" s="26">
        <f>((100/((100-(tabCustoUnit[[#This Row],[Resumo de Alíquotas (PIS+CONFINS+ISS)]]*100))%)-100)*VLOOKUP(tabCustoUnit[[#This Row],[Código do Posto]],tabParametros[],MATCH(tabCustoUnit[[#Headers],[PIS]],tabParametros[#Headers],0),0))/(tabCustoUnit[[#This Row],[Resumo de Alíquotas (PIS+CONFINS+ISS)]]*100)</f>
        <v>1.9241982507288629E-2</v>
      </c>
      <c r="BR34" s="28">
        <f>VLOOKUP(tabCustoUnit[[#This Row],[Código do Posto]],tabParametros[],MATCH(tabCustoUnit[[#Headers],[ISS]],tabParametros[#Headers],0),0)</f>
        <v>0.05</v>
      </c>
      <c r="BS34" s="26">
        <f>(((100/((100-(tabCustoUnit[[#This Row],[Resumo de Alíquotas (PIS+CONFINS+ISS)]]*100))%)-100)*tabCustoUnit[[#This Row],[ISS]])/tabCustoUnit[[#This Row],[Resumo de Alíquotas (PIS+CONFINS+ISS)]])/100</f>
        <v>5.8309037900874633E-2</v>
      </c>
      <c r="BT3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4" s="138">
        <f>tabCustoUnit[[#This Row],[COFINS]]+tabCustoUnit[[#This Row],[PIS]]+tabCustoUnit[[#This Row],[ISS (Conversão Alíquota s/ fatura)]]</f>
        <v>0.16618075801749277</v>
      </c>
      <c r="BV34" s="22" t="e">
        <f ca="1">(tabCustoUnit[[#This Row],[TOTAL MÓDULOS 1+2+3+4+5]]+tabCustoUnit[[#This Row],[Custos Indiretos]]+tabCustoUnit[[#This Row],[Lucro]])*tabCustoUnit[[#This Row],[PIS + COFINS + ISS (Total Conversão  Alíquota s/ Fatura)]]</f>
        <v>#NAME?</v>
      </c>
      <c r="BW34" s="22" t="e">
        <f ca="1">tabCustoUnit[[#This Row],[Custos Indiretos]]+tabCustoUnit[[#This Row],[Lucro]]+tabCustoUnit[[#This Row],[Valor dos Tributos (ISS, PIS, CONFINS)]]</f>
        <v>#NAME?</v>
      </c>
      <c r="BX34" s="22" t="e">
        <f ca="1">tabCustoUnit[[#This Row],[TOTAL MÓDULOS 1+2+3+4+5]]+tabCustoUnit[[#This Row],[MÓDULO 6 – CUSTOS INDIRETOS, TRIBUTOS E LUCRO]]</f>
        <v>#NAME?</v>
      </c>
      <c r="BY34" s="22" t="e">
        <f ca="1">tabCustoUnit[[#This Row],[CUSTO TOTAL MENSAL]]*12</f>
        <v>#NAME?</v>
      </c>
      <c r="BZ34" s="24">
        <f>VLOOKUP(tabCustoUnit[[#This Row],[Código do Posto]],tabParametros[],MATCH(tabCustoUnit[[#Headers],[ANO DA CCT]],tabParametros[#Headers],0),0)</f>
        <v>45658</v>
      </c>
      <c r="CA34" s="25" t="str">
        <f>VLOOKUP(tabCustoUnit[[#This Row],[Código do Posto]],tabParametros[],MATCH(tabCustoUnit[[#Headers],[Nº DE PEDIDO DA CCT]],tabParametros[#Headers],0),0)</f>
        <v>-</v>
      </c>
      <c r="CB34" s="25" t="str">
        <f>VLOOKUP(tabCustoUnit[[#This Row],[Código do Posto]],tabParametros[],MATCH(tabCustoUnit[[#Headers],[TERMO ADITIVO ALTERAÇÃO DA CCT]],tabParametros[#Headers],0),0)</f>
        <v>-</v>
      </c>
    </row>
    <row r="35" spans="1:80">
      <c r="A35" s="20" t="s">
        <v>1414</v>
      </c>
      <c r="B35" t="s">
        <v>1103</v>
      </c>
      <c r="C35" t="s">
        <v>1799</v>
      </c>
      <c r="D35" t="s">
        <v>1035</v>
      </c>
      <c r="E35" s="20" t="s">
        <v>1090</v>
      </c>
      <c r="F35" s="20" t="s">
        <v>120</v>
      </c>
      <c r="G35" s="418">
        <v>3755.4</v>
      </c>
      <c r="H35" s="418">
        <v>0</v>
      </c>
      <c r="I35" s="418">
        <v>0</v>
      </c>
      <c r="J35" s="418">
        <v>0</v>
      </c>
      <c r="K35" s="418">
        <v>0</v>
      </c>
      <c r="L35" s="418">
        <v>0</v>
      </c>
      <c r="M35" s="418">
        <v>0</v>
      </c>
      <c r="N35" s="418">
        <v>0</v>
      </c>
      <c r="O35" s="21">
        <f>SUM(tabCustoUnit[[#This Row],[Salário Base]:[Adicional de Acúmulo de função]])</f>
        <v>3755.4</v>
      </c>
      <c r="P35" s="21">
        <f>tabCustoUnit[[#This Row],[MODULO 1 - REMUNERAÇÃO ]]*SUMIFS(tabParametros[INSS],tabParametros[Código do Posto],tabCustoUnit[[#This Row],[Código do Posto]])</f>
        <v>751.08</v>
      </c>
      <c r="Q35" s="21">
        <f>tabCustoUnit[[#This Row],[MODULO 1 - REMUNERAÇÃO ]]*SUMIFS(tabParametros[SESI OU SESC],tabParametros[Código do Posto],tabCustoUnit[[#This Row],[Código do Posto]])</f>
        <v>56.330999999999996</v>
      </c>
      <c r="R35" s="21">
        <f>tabCustoUnit[[#This Row],[MODULO 1 - REMUNERAÇÃO ]]*SUMIFS(tabParametros[SENAI OU SENAC],tabParametros[Código do Posto],tabCustoUnit[[#This Row],[Código do Posto]])</f>
        <v>37.554000000000002</v>
      </c>
      <c r="S35" s="21">
        <f>tabCustoUnit[[#This Row],[MODULO 1 - REMUNERAÇÃO ]]*SUMIFS(tabParametros[INCRA],tabParametros[Código do Posto],tabCustoUnit[[#This Row],[Código do Posto]])</f>
        <v>7.5108000000000006</v>
      </c>
      <c r="T35" s="21">
        <f>tabCustoUnit[[#This Row],[MODULO 1 - REMUNERAÇÃO ]]*SUMIFS(tabParametros[Salário Educação],tabParametros[Código do Posto],tabCustoUnit[[#This Row],[Código do Posto]])</f>
        <v>93.885000000000005</v>
      </c>
      <c r="U35" s="21">
        <f>tabCustoUnit[[#This Row],[MODULO 1 - REMUNERAÇÃO ]]*SUMIFS(tabParametros[FGTS],tabParametros[Código do Posto],tabCustoUnit[[#This Row],[Código do Posto]])</f>
        <v>300.43200000000002</v>
      </c>
      <c r="V35" s="21">
        <f>tabCustoUnit[[#This Row],[MODULO 1 - REMUNERAÇÃO ]]*SUMIFS(tabParametros[RAT Ajustado],tabParametros[Código do Posto],tabCustoUnit[[#This Row],[Código do Posto]])</f>
        <v>150.21600000000001</v>
      </c>
      <c r="W35" s="21">
        <f>tabCustoUnit[[#This Row],[MODULO 1 - REMUNERAÇÃO ]]*SUMIFS(tabParametros[SEBRAE],tabParametros[Código do Posto],tabCustoUnit[[#This Row],[Código do Posto]])</f>
        <v>22.532400000000003</v>
      </c>
      <c r="X35" s="21">
        <f>SUM(tabCustoUnit[[#This Row],[INSS]:[SEBRAE]])</f>
        <v>1419.5412000000001</v>
      </c>
      <c r="Y35" s="21">
        <f>tabCustoUnit[[#This Row],[MODULO 1 - REMUNERAÇÃO ]]*SUMIFS(tabParametros[13º salário (titular)],tabParametros[Código do Posto],tabCustoUnit[[#This Row],[Código do Posto]])</f>
        <v>312.95</v>
      </c>
      <c r="Z35" s="21">
        <f>tabCustoUnit[[#This Row],[MODULO 1 - REMUNERAÇÃO ]]*SUMIFS(tabParametros[Férias e Adicional de Férias (titular)],tabParametros[Código do Posto],tabCustoUnit[[#This Row],[Código do Posto]])</f>
        <v>417.26666666666665</v>
      </c>
      <c r="AA35" s="21">
        <f>IFERROR((tabCustoUnit[[#This Row],[Submódulo 2.1]]/tabCustoUnit[[#This Row],[MODULO 1 - REMUNERAÇÃO ]])*SUM(tabCustoUnit[[#This Row],[13º salário (titular)]:[Férias e Adicional de Férias (titular)]]),0)</f>
        <v>276.02190000000002</v>
      </c>
      <c r="AB35" s="21">
        <f>SUM(tabCustoUnit[[#This Row],[13º salário (titular)]:[Incidência do Submódulo 2.1 sobre 13º Salário, Férias e Adicional de Férias]])</f>
        <v>1006.2385666666667</v>
      </c>
      <c r="AC35" s="22" t="e">
        <f ca="1">_xlfn.LET(_xlpm.VT,SUMIF(tabParametros[Código do Posto],tabCustoUnit[[#This Row],[Código do Posto]],tabParametros[Vale - Transporte])*2*20,
IF((_xlpm.VT-tabCustoUnit[[#This Row],[Salário Base]]*0.06)&gt;=0,(_xlpm.VT-tabCustoUnit[[#This Row],[Salário Base]]*0.06),0)
)</f>
        <v>#NAME?</v>
      </c>
      <c r="AD35" s="22">
        <f>IF(SUMIF(tabParametros[Código do Posto],tabCustoUnit[[#This Row],[Código do Posto]],tabParametros[Vale - Alimentação])&lt;=0,0,
SUMIF(tabParametros[Código do Posto],tabCustoUnit[[#This Row],[Código do Posto]],tabParametros[Vale - Alimentação])*20-1)</f>
        <v>582</v>
      </c>
      <c r="AE35" s="22">
        <f>SUMIF(tabParametros[Código do Posto],tabCustoUnit[[#This Row],[Código do Posto]],tabParametros[Cesta Básica])</f>
        <v>0</v>
      </c>
      <c r="AF35" s="22">
        <f>SUMIF(tabParametros[Código do Posto],tabCustoUnit[[#This Row],[Código do Posto]],tabParametros[PAF])</f>
        <v>95.9</v>
      </c>
      <c r="AG35" s="22">
        <f>SUMIF(tabParametros[Código do Posto],tabCustoUnit[[#This Row],[Código do Posto]],tabParametros[PQM])</f>
        <v>0</v>
      </c>
      <c r="AH35" s="22">
        <f>SUMIF(tabParametros[Código do Posto],tabCustoUnit[[#This Row],[Código do Posto]],tabParametros[Abono Único e Especial])</f>
        <v>0</v>
      </c>
      <c r="AI35" s="22">
        <f>SUMIF(tabParametros[Código do Posto],tabCustoUnit[[#This Row],[Código do Posto]],tabParametros[Seguro de Vida])</f>
        <v>3.36</v>
      </c>
      <c r="AJ35" s="22">
        <f>SUMIF(tabParametros[Código do Posto],tabCustoUnit[[#This Row],[Código do Posto]],tabParametros[Despesas de Viagem])</f>
        <v>202.08</v>
      </c>
      <c r="AK35" s="22" t="e">
        <f ca="1">SUM(tabCustoUnit[[#This Row],[Vale - Transporte (Descontada parcela do empregado)]:[Despesas de Viagem]])</f>
        <v>#NAME?</v>
      </c>
      <c r="AL35" s="22" t="e">
        <f ca="1">tabCustoUnit[[#This Row],[Submódulo 2.1]]+tabCustoUnit[[#This Row],[Submódulo 2.2]]+tabCustoUnit[[#This Row],[Submódulo 2.3]]</f>
        <v>#NAME?</v>
      </c>
      <c r="AM35" s="22">
        <f>SUMIF(tabParametros[Código do Posto],tabCustoUnit[[#This Row],[Código do Posto]],tabParametros[Aviso Prévio Indenizado (API) e Reflexo do Aviso Prévio Indenizado])*tabCustoUnit[[#This Row],[MODULO 1 - REMUNERAÇÃO ]]</f>
        <v>26.331989699074075</v>
      </c>
      <c r="AN35" s="22">
        <f>SUMIF(tabParametros[Código do Posto],tabCustoUnit[[#This Row],[Código do Posto]],tabParametros[Incidência do FGTS sobre API e Reflexo do API])*tabCustoUnit[[#This Row],[MODULO 1 - REMUNERAÇÃO ]]</f>
        <v>2.1065591759259261</v>
      </c>
      <c r="AO35" s="22">
        <f>SUMIF(tabParametros[Código do Posto],tabCustoUnit[[#This Row],[Código do Posto]],tabParametros[Multa Rescisória do FGTS sobre o Aviso Prévio Indenizado])*tabCustoUnit[[#This Row],[MODULO 1 - REMUNERAÇÃO ]]</f>
        <v>0.84262367037037056</v>
      </c>
      <c r="AP35" s="22">
        <f>SUMIF(tabParametros[Código do Posto],tabCustoUnit[[#This Row],[Código do Posto]],tabParametros[Aviso Prévio Trabalhado - APT])*tabCustoUnit[[#This Row],[MODULO 1 - REMUNERAÇÃO ]]</f>
        <v>13.143900000000002</v>
      </c>
      <c r="AQ35" s="22">
        <f>SUMIF(tabParametros[Código do Posto],tabCustoUnit[[#This Row],[Código do Posto]],tabParametros[Incidência dos encargos do submódulo 2.1 sobre Aviso Prévio Trabalhado])*tabCustoUnit[[#This Row],[MODULO 1 - REMUNERAÇÃO ]]</f>
        <v>4.9683942000000014</v>
      </c>
      <c r="AR35" s="22">
        <f>SUMIF(tabParametros[Código do Posto],tabCustoUnit[[#This Row],[Código do Posto]],tabParametros[Multa Rescisória do FGTS])*tabCustoUnit[[#This Row],[MODULO 1 - REMUNERAÇÃO ]]</f>
        <v>114.83178666666666</v>
      </c>
      <c r="AS35" s="22">
        <f>SUMIF(tabParametros[Código do Posto],tabCustoUnit[[#This Row],[Código do Posto]],tabParametros[Indenização Adicional (Art. 9º da Lei nº 7.238/84)])*tabCustoUnit[[#This Row],[MODULO 1 - REMUNERAÇÃO ]]</f>
        <v>3.1295000000000002</v>
      </c>
      <c r="AT35" s="22">
        <f>SUM(tabCustoUnit[[#This Row],[Aviso Prévio Indenizado (API) e Reflexo do Aviso Prévio Indenizado]:[Indenização Adicional (Art. 9º da Lei nº 7.238/84)]])</f>
        <v>165.35475341203704</v>
      </c>
      <c r="AU35" s="22">
        <f>SUMIF(tabParametros[Código do Posto],tabCustoUnit[[#This Row],[Código do Posto]],tabParametros[Ausência por Doença])*tabCustoUnit[[#This Row],[MODULO 1 - REMUNERAÇÃO ]]</f>
        <v>31.712266666666665</v>
      </c>
      <c r="AV35" s="22">
        <f>SUMIF(tabParametros[Código do Posto],tabCustoUnit[[#This Row],[Código do Posto]],tabParametros[Ausências Legais])*tabCustoUnit[[#This Row],[MODULO 1 - REMUNERAÇÃO ]]</f>
        <v>7.6151166666666663</v>
      </c>
      <c r="AW35" s="22">
        <f>SUMIF(tabParametros[Código do Posto],tabCustoUnit[[#This Row],[Código do Posto]],tabParametros[Licença Paternidade])*tabCustoUnit[[#This Row],[MODULO 1 - REMUNERAÇÃO ]]</f>
        <v>0.64154750000000005</v>
      </c>
      <c r="AX35" s="22">
        <f>SUMIF(tabParametros[Código do Posto],tabCustoUnit[[#This Row],[Código do Posto]],tabParametros[Ausência por Acidente de Trabalho])*tabCustoUnit[[#This Row],[MODULO 1 - REMUNERAÇÃO ]]</f>
        <v>0.78237500000000004</v>
      </c>
      <c r="AY35" s="22">
        <f>SUMIF(tabParametros[Código do Posto],tabCustoUnit[[#This Row],[Código do Posto]],tabParametros[Férias, Adicional de Férias e 13º  com empregada em gozo de Licença Maternidade])*tabCustoUnit[[#This Row],[MODULO 1 - REMUNERAÇÃO ]]</f>
        <v>4.8681111111111113</v>
      </c>
      <c r="AZ35" s="22">
        <f>SUMIF(tabParametros[Código do Posto],tabCustoUnit[[#This Row],[Código do Posto]],tabParametros[Incidência do Submódulo 2.1 sobre Ausências Legais])*tabCustoUnit[[#This Row],[MODULO 1 - REMUNERAÇÃO ]]</f>
        <v>17.244139605000004</v>
      </c>
      <c r="BA35" s="22">
        <f>SUM(tabCustoUnit[[#This Row],[Ausência por Doença]:[Incidência do Submódulo 2.1 sobre Ausências Legais]])</f>
        <v>62.863556549444453</v>
      </c>
      <c r="BB35" s="22">
        <f>SUMIF(tabParametros[Código do Posto],tabCustoUnit[[#This Row],[Código do Posto]],tabParametros[Intervalo para Repouso ou Alimentação])</f>
        <v>0</v>
      </c>
      <c r="BC35" s="22">
        <f>tabCustoUnit[[#This Row],[Intervalo para Repouso ou Alimentação]]</f>
        <v>0</v>
      </c>
      <c r="BD3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5" s="22">
        <f>tabCustoUnit[[#This Row],[Suspensão Temporária do Contrato de Trabalho]]</f>
        <v>0</v>
      </c>
      <c r="BF35" s="22">
        <f>tabCustoUnit[[#This Row],[Submódulo 4.1]]+tabCustoUnit[[#This Row],[Submódulo 4.2]]+tabCustoUnit[[#This Row],[Submódulo 4.3]]</f>
        <v>62.863556549444453</v>
      </c>
      <c r="BG35" s="22">
        <f>VLOOKUP(tabCustoUnit[[#This Row],[Código do Posto]],tabParametros[],MATCH(tabCustoUnit[[#Headers],[Uniformes e EPIs]],tabParametros[#Headers],0),0)</f>
        <v>223.1825</v>
      </c>
      <c r="BH35" s="22">
        <f>VLOOKUP(tabCustoUnit[[#This Row],[Código do Posto]],tabParametros[],MATCH(tabCustoUnit[[#Headers],[Materiais de Consumo]],tabParametros[#Headers],0),0)</f>
        <v>0</v>
      </c>
      <c r="BI35" s="22">
        <f>VLOOKUP(tabCustoUnit[[#This Row],[Código do Posto]],tabParametros[],MATCH(tabCustoUnit[[#Headers],[Máquinas e Equipamentos (depreciação)]],tabParametros[#Headers],0),0)</f>
        <v>0</v>
      </c>
      <c r="BJ35" s="22">
        <f>VLOOKUP(tabCustoUnit[[#This Row],[Código do Posto]],tabParametros[],MATCH(tabCustoUnit[[#Headers],[Produtos de Limpeza e Materiais de Higiene Pessoal]],tabParametros[#Headers],0),0)</f>
        <v>0</v>
      </c>
      <c r="BK35" s="22">
        <f>VLOOKUP(tabCustoUnit[[#This Row],[Código do Posto]],tabParametros[],MATCH(tabCustoUnit[[#Headers],[Outros (especificar)]],tabParametros[#Headers],0),0)</f>
        <v>0</v>
      </c>
      <c r="BL35" s="22">
        <f>SUM(tabCustoUnit[[#This Row],[Uniformes e EPIs]:[Outros (especificar)]])</f>
        <v>223.1825</v>
      </c>
      <c r="BM3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5" s="22" t="e">
        <f ca="1">VLOOKUP(tabCustoUnit[[#This Row],[Código do Posto]],tabParametros[],MATCH(tabCustoUnit[[#Headers],[Custos Indiretos]],tabParametros[#Headers],0),0)</f>
        <v>#NAME?</v>
      </c>
      <c r="BO35" s="22" t="e">
        <f ca="1">VLOOKUP(tabCustoUnit[[#This Row],[Código do Posto]],tabParametros[],MATCH(tabCustoUnit[[#Headers],[Lucro]],tabParametros[#Headers],0),0)</f>
        <v>#NAME?</v>
      </c>
      <c r="BP35" s="26">
        <f>((100/((1-tabCustoUnit[[#This Row],[Resumo de Alíquotas (PIS+CONFINS+ISS)]]))-100)*VLOOKUP(tabCustoUnit[[#This Row],[Código do Posto]],tabParametros[],MATCH(tabCustoUnit[[#Headers],[COFINS]],tabParametros[#Headers],0),0))/(tabCustoUnit[[#This Row],[Resumo de Alíquotas (PIS+CONFINS+ISS)]]*100)</f>
        <v>8.8629737609329504E-2</v>
      </c>
      <c r="BQ35" s="26">
        <f>((100/((100-(tabCustoUnit[[#This Row],[Resumo de Alíquotas (PIS+CONFINS+ISS)]]*100))%)-100)*VLOOKUP(tabCustoUnit[[#This Row],[Código do Posto]],tabParametros[],MATCH(tabCustoUnit[[#Headers],[PIS]],tabParametros[#Headers],0),0))/(tabCustoUnit[[#This Row],[Resumo de Alíquotas (PIS+CONFINS+ISS)]]*100)</f>
        <v>1.9241982507288629E-2</v>
      </c>
      <c r="BR35" s="28">
        <f>VLOOKUP(tabCustoUnit[[#This Row],[Código do Posto]],tabParametros[],MATCH(tabCustoUnit[[#Headers],[ISS]],tabParametros[#Headers],0),0)</f>
        <v>0.05</v>
      </c>
      <c r="BS35" s="26">
        <f>(((100/((100-(tabCustoUnit[[#This Row],[Resumo de Alíquotas (PIS+CONFINS+ISS)]]*100))%)-100)*tabCustoUnit[[#This Row],[ISS]])/tabCustoUnit[[#This Row],[Resumo de Alíquotas (PIS+CONFINS+ISS)]])/100</f>
        <v>5.8309037900874633E-2</v>
      </c>
      <c r="BT3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5" s="138">
        <f>tabCustoUnit[[#This Row],[COFINS]]+tabCustoUnit[[#This Row],[PIS]]+tabCustoUnit[[#This Row],[ISS (Conversão Alíquota s/ fatura)]]</f>
        <v>0.16618075801749277</v>
      </c>
      <c r="BV35" s="22" t="e">
        <f ca="1">(tabCustoUnit[[#This Row],[TOTAL MÓDULOS 1+2+3+4+5]]+tabCustoUnit[[#This Row],[Custos Indiretos]]+tabCustoUnit[[#This Row],[Lucro]])*tabCustoUnit[[#This Row],[PIS + COFINS + ISS (Total Conversão  Alíquota s/ Fatura)]]</f>
        <v>#NAME?</v>
      </c>
      <c r="BW35" s="22" t="e">
        <f ca="1">tabCustoUnit[[#This Row],[Custos Indiretos]]+tabCustoUnit[[#This Row],[Lucro]]+tabCustoUnit[[#This Row],[Valor dos Tributos (ISS, PIS, CONFINS)]]</f>
        <v>#NAME?</v>
      </c>
      <c r="BX35" s="22" t="e">
        <f ca="1">tabCustoUnit[[#This Row],[TOTAL MÓDULOS 1+2+3+4+5]]+tabCustoUnit[[#This Row],[MÓDULO 6 – CUSTOS INDIRETOS, TRIBUTOS E LUCRO]]</f>
        <v>#NAME?</v>
      </c>
      <c r="BY35" s="22" t="e">
        <f ca="1">tabCustoUnit[[#This Row],[CUSTO TOTAL MENSAL]]*12</f>
        <v>#NAME?</v>
      </c>
      <c r="BZ35" s="24">
        <f>VLOOKUP(tabCustoUnit[[#This Row],[Código do Posto]],tabParametros[],MATCH(tabCustoUnit[[#Headers],[ANO DA CCT]],tabParametros[#Headers],0),0)</f>
        <v>45658</v>
      </c>
      <c r="CA35" s="25" t="str">
        <f>VLOOKUP(tabCustoUnit[[#This Row],[Código do Posto]],tabParametros[],MATCH(tabCustoUnit[[#Headers],[Nº DE PEDIDO DA CCT]],tabParametros[#Headers],0),0)</f>
        <v>-</v>
      </c>
      <c r="CB35" s="25" t="str">
        <f>VLOOKUP(tabCustoUnit[[#This Row],[Código do Posto]],tabParametros[],MATCH(tabCustoUnit[[#Headers],[TERMO ADITIVO ALTERAÇÃO DA CCT]],tabParametros[#Headers],0),0)</f>
        <v>-</v>
      </c>
    </row>
    <row r="36" spans="1:80">
      <c r="A36" s="20" t="s">
        <v>1415</v>
      </c>
      <c r="B36" t="s">
        <v>1103</v>
      </c>
      <c r="C36" t="s">
        <v>177</v>
      </c>
      <c r="D36" t="s">
        <v>1035</v>
      </c>
      <c r="E36" s="20" t="s">
        <v>1090</v>
      </c>
      <c r="F36" s="20" t="s">
        <v>120</v>
      </c>
      <c r="G36" s="418">
        <v>2443.5248999999999</v>
      </c>
      <c r="H36" s="418">
        <v>0</v>
      </c>
      <c r="I36" s="418">
        <v>0</v>
      </c>
      <c r="J36" s="418">
        <v>0</v>
      </c>
      <c r="K36" s="418">
        <v>0</v>
      </c>
      <c r="L36" s="418">
        <v>0</v>
      </c>
      <c r="M36" s="418">
        <v>0</v>
      </c>
      <c r="N36" s="418">
        <v>0</v>
      </c>
      <c r="O36" s="21">
        <f>SUM(tabCustoUnit[[#This Row],[Salário Base]:[Adicional de Acúmulo de função]])</f>
        <v>2443.5248999999999</v>
      </c>
      <c r="P36" s="21">
        <f>tabCustoUnit[[#This Row],[MODULO 1 - REMUNERAÇÃO ]]*SUMIFS(tabParametros[INSS],tabParametros[Código do Posto],tabCustoUnit[[#This Row],[Código do Posto]])</f>
        <v>488.70497999999998</v>
      </c>
      <c r="Q36" s="21">
        <f>tabCustoUnit[[#This Row],[MODULO 1 - REMUNERAÇÃO ]]*SUMIFS(tabParametros[SESI OU SESC],tabParametros[Código do Posto],tabCustoUnit[[#This Row],[Código do Posto]])</f>
        <v>36.652873499999998</v>
      </c>
      <c r="R36" s="21">
        <f>tabCustoUnit[[#This Row],[MODULO 1 - REMUNERAÇÃO ]]*SUMIFS(tabParametros[SENAI OU SENAC],tabParametros[Código do Posto],tabCustoUnit[[#This Row],[Código do Posto]])</f>
        <v>24.435248999999999</v>
      </c>
      <c r="S36" s="21">
        <f>tabCustoUnit[[#This Row],[MODULO 1 - REMUNERAÇÃO ]]*SUMIFS(tabParametros[INCRA],tabParametros[Código do Posto],tabCustoUnit[[#This Row],[Código do Posto]])</f>
        <v>4.8870497999999998</v>
      </c>
      <c r="T36" s="21">
        <f>tabCustoUnit[[#This Row],[MODULO 1 - REMUNERAÇÃO ]]*SUMIFS(tabParametros[Salário Educação],tabParametros[Código do Posto],tabCustoUnit[[#This Row],[Código do Posto]])</f>
        <v>61.088122499999997</v>
      </c>
      <c r="U36" s="21">
        <f>tabCustoUnit[[#This Row],[MODULO 1 - REMUNERAÇÃO ]]*SUMIFS(tabParametros[FGTS],tabParametros[Código do Posto],tabCustoUnit[[#This Row],[Código do Posto]])</f>
        <v>195.48199199999999</v>
      </c>
      <c r="V36" s="21">
        <f>tabCustoUnit[[#This Row],[MODULO 1 - REMUNERAÇÃO ]]*SUMIFS(tabParametros[RAT Ajustado],tabParametros[Código do Posto],tabCustoUnit[[#This Row],[Código do Posto]])</f>
        <v>97.740995999999996</v>
      </c>
      <c r="W36" s="21">
        <f>tabCustoUnit[[#This Row],[MODULO 1 - REMUNERAÇÃO ]]*SUMIFS(tabParametros[SEBRAE],tabParametros[Código do Posto],tabCustoUnit[[#This Row],[Código do Posto]])</f>
        <v>14.661149399999999</v>
      </c>
      <c r="X36" s="21">
        <f>SUM(tabCustoUnit[[#This Row],[INSS]:[SEBRAE]])</f>
        <v>923.65241219999996</v>
      </c>
      <c r="Y36" s="21">
        <f>tabCustoUnit[[#This Row],[MODULO 1 - REMUNERAÇÃO ]]*SUMIFS(tabParametros[13º salário (titular)],tabParametros[Código do Posto],tabCustoUnit[[#This Row],[Código do Posto]])</f>
        <v>203.62707499999999</v>
      </c>
      <c r="Z36" s="21">
        <f>tabCustoUnit[[#This Row],[MODULO 1 - REMUNERAÇÃO ]]*SUMIFS(tabParametros[Férias e Adicional de Férias (titular)],tabParametros[Código do Posto],tabCustoUnit[[#This Row],[Código do Posto]])</f>
        <v>271.50276666666662</v>
      </c>
      <c r="AA36" s="21">
        <f>IFERROR((tabCustoUnit[[#This Row],[Submódulo 2.1]]/tabCustoUnit[[#This Row],[MODULO 1 - REMUNERAÇÃO ]])*SUM(tabCustoUnit[[#This Row],[13º salário (titular)]:[Férias e Adicional de Férias (titular)]]),0)</f>
        <v>179.59908014999999</v>
      </c>
      <c r="AB36" s="21">
        <f>SUM(tabCustoUnit[[#This Row],[13º salário (titular)]:[Incidência do Submódulo 2.1 sobre 13º Salário, Férias e Adicional de Férias]])</f>
        <v>654.72892181666657</v>
      </c>
      <c r="AC36" s="22" t="e">
        <f ca="1">_xlfn.LET(_xlpm.VT,SUMIF(tabParametros[Código do Posto],tabCustoUnit[[#This Row],[Código do Posto]],tabParametros[Vale - Transporte])*2*20,
IF((_xlpm.VT-tabCustoUnit[[#This Row],[Salário Base]]*0.06)&gt;=0,(_xlpm.VT-tabCustoUnit[[#This Row],[Salário Base]]*0.06),0)
)</f>
        <v>#NAME?</v>
      </c>
      <c r="AD36" s="22">
        <f>IF(SUMIF(tabParametros[Código do Posto],tabCustoUnit[[#This Row],[Código do Posto]],tabParametros[Vale - Alimentação])&lt;=0,0,
SUMIF(tabParametros[Código do Posto],tabCustoUnit[[#This Row],[Código do Posto]],tabParametros[Vale - Alimentação])*20-1)</f>
        <v>582</v>
      </c>
      <c r="AE36" s="22">
        <f>SUMIF(tabParametros[Código do Posto],tabCustoUnit[[#This Row],[Código do Posto]],tabParametros[Cesta Básica])</f>
        <v>0</v>
      </c>
      <c r="AF36" s="22">
        <f>SUMIF(tabParametros[Código do Posto],tabCustoUnit[[#This Row],[Código do Posto]],tabParametros[PAF])</f>
        <v>95.9</v>
      </c>
      <c r="AG36" s="22">
        <f>SUMIF(tabParametros[Código do Posto],tabCustoUnit[[#This Row],[Código do Posto]],tabParametros[PQM])</f>
        <v>0</v>
      </c>
      <c r="AH36" s="22">
        <f>SUMIF(tabParametros[Código do Posto],tabCustoUnit[[#This Row],[Código do Posto]],tabParametros[Abono Único e Especial])</f>
        <v>0</v>
      </c>
      <c r="AI36" s="22">
        <f>SUMIF(tabParametros[Código do Posto],tabCustoUnit[[#This Row],[Código do Posto]],tabParametros[Seguro de Vida])</f>
        <v>3.36</v>
      </c>
      <c r="AJ36" s="22">
        <f>SUMIF(tabParametros[Código do Posto],tabCustoUnit[[#This Row],[Código do Posto]],tabParametros[Despesas de Viagem])</f>
        <v>202.08</v>
      </c>
      <c r="AK36" s="22" t="e">
        <f ca="1">SUM(tabCustoUnit[[#This Row],[Vale - Transporte (Descontada parcela do empregado)]:[Despesas de Viagem]])</f>
        <v>#NAME?</v>
      </c>
      <c r="AL36" s="22" t="e">
        <f ca="1">tabCustoUnit[[#This Row],[Submódulo 2.1]]+tabCustoUnit[[#This Row],[Submódulo 2.2]]+tabCustoUnit[[#This Row],[Submódulo 2.3]]</f>
        <v>#NAME?</v>
      </c>
      <c r="AM36" s="22">
        <f>SUMIF(tabParametros[Código do Posto],tabCustoUnit[[#This Row],[Código do Posto]],tabParametros[Aviso Prévio Indenizado (API) e Reflexo do Aviso Prévio Indenizado])*tabCustoUnit[[#This Row],[MODULO 1 - REMUNERAÇÃO ]]</f>
        <v>17.133427197164352</v>
      </c>
      <c r="AN36" s="22">
        <f>SUMIF(tabParametros[Código do Posto],tabCustoUnit[[#This Row],[Código do Posto]],tabParametros[Incidência do FGTS sobre API e Reflexo do API])*tabCustoUnit[[#This Row],[MODULO 1 - REMUNERAÇÃO ]]</f>
        <v>1.3706741757731482</v>
      </c>
      <c r="AO36" s="22">
        <f>SUMIF(tabParametros[Código do Posto],tabCustoUnit[[#This Row],[Código do Posto]],tabParametros[Multa Rescisória do FGTS sobre o Aviso Prévio Indenizado])*tabCustoUnit[[#This Row],[MODULO 1 - REMUNERAÇÃO ]]</f>
        <v>0.54826967030925933</v>
      </c>
      <c r="AP36" s="22">
        <f>SUMIF(tabParametros[Código do Posto],tabCustoUnit[[#This Row],[Código do Posto]],tabParametros[Aviso Prévio Trabalhado - APT])*tabCustoUnit[[#This Row],[MODULO 1 - REMUNERAÇÃO ]]</f>
        <v>8.5523371500000014</v>
      </c>
      <c r="AQ36" s="22">
        <f>SUMIF(tabParametros[Código do Posto],tabCustoUnit[[#This Row],[Código do Posto]],tabParametros[Incidência dos encargos do submódulo 2.1 sobre Aviso Prévio Trabalhado])*tabCustoUnit[[#This Row],[MODULO 1 - REMUNERAÇÃO ]]</f>
        <v>3.2327834427000006</v>
      </c>
      <c r="AR36" s="22">
        <f>SUMIF(tabParametros[Código do Posto],tabCustoUnit[[#This Row],[Código do Posto]],tabParametros[Multa Rescisória do FGTS])*tabCustoUnit[[#This Row],[MODULO 1 - REMUNERAÇÃO ]]</f>
        <v>74.717561386666645</v>
      </c>
      <c r="AS36" s="22">
        <f>SUMIF(tabParametros[Código do Posto],tabCustoUnit[[#This Row],[Código do Posto]],tabParametros[Indenização Adicional (Art. 9º da Lei nº 7.238/84)])*tabCustoUnit[[#This Row],[MODULO 1 - REMUNERAÇÃO ]]</f>
        <v>2.0362707499999999</v>
      </c>
      <c r="AT36" s="22">
        <f>SUM(tabCustoUnit[[#This Row],[Aviso Prévio Indenizado (API) e Reflexo do Aviso Prévio Indenizado]:[Indenização Adicional (Art. 9º da Lei nº 7.238/84)]])</f>
        <v>107.59132377261341</v>
      </c>
      <c r="AU36" s="22">
        <f>SUMIF(tabParametros[Código do Posto],tabCustoUnit[[#This Row],[Código do Posto]],tabParametros[Ausência por Doença])*tabCustoUnit[[#This Row],[MODULO 1 - REMUNERAÇÃO ]]</f>
        <v>20.634210266666663</v>
      </c>
      <c r="AV36" s="22">
        <f>SUMIF(tabParametros[Código do Posto],tabCustoUnit[[#This Row],[Código do Posto]],tabParametros[Ausências Legais])*tabCustoUnit[[#This Row],[MODULO 1 - REMUNERAÇÃO ]]</f>
        <v>4.9549254916666658</v>
      </c>
      <c r="AW36" s="22">
        <f>SUMIF(tabParametros[Código do Posto],tabCustoUnit[[#This Row],[Código do Posto]],tabParametros[Licença Paternidade])*tabCustoUnit[[#This Row],[MODULO 1 - REMUNERAÇÃO ]]</f>
        <v>0.41743550374999999</v>
      </c>
      <c r="AX36" s="22">
        <f>SUMIF(tabParametros[Código do Posto],tabCustoUnit[[#This Row],[Código do Posto]],tabParametros[Ausência por Acidente de Trabalho])*tabCustoUnit[[#This Row],[MODULO 1 - REMUNERAÇÃO ]]</f>
        <v>0.50906768749999998</v>
      </c>
      <c r="AY36" s="22">
        <f>SUMIF(tabParametros[Código do Posto],tabCustoUnit[[#This Row],[Código do Posto]],tabParametros[Férias, Adicional de Férias e 13º  com empregada em gozo de Licença Maternidade])*tabCustoUnit[[#This Row],[MODULO 1 - REMUNERAÇÃO ]]</f>
        <v>3.1675322777777777</v>
      </c>
      <c r="AZ36" s="22">
        <f>SUMIF(tabParametros[Código do Posto],tabCustoUnit[[#This Row],[Código do Posto]],tabParametros[Incidência do Submódulo 2.1 sobre Ausências Legais])*tabCustoUnit[[#This Row],[MODULO 1 - REMUNERAÇÃO ]]</f>
        <v>11.220238723942501</v>
      </c>
      <c r="BA36" s="22">
        <f>SUM(tabCustoUnit[[#This Row],[Ausência por Doença]:[Incidência do Submódulo 2.1 sobre Ausências Legais]])</f>
        <v>40.903409951303601</v>
      </c>
      <c r="BB36" s="22">
        <f>SUMIF(tabParametros[Código do Posto],tabCustoUnit[[#This Row],[Código do Posto]],tabParametros[Intervalo para Repouso ou Alimentação])</f>
        <v>0</v>
      </c>
      <c r="BC36" s="22">
        <f>tabCustoUnit[[#This Row],[Intervalo para Repouso ou Alimentação]]</f>
        <v>0</v>
      </c>
      <c r="BD3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6" s="22">
        <f>tabCustoUnit[[#This Row],[Suspensão Temporária do Contrato de Trabalho]]</f>
        <v>0</v>
      </c>
      <c r="BF36" s="22">
        <f>tabCustoUnit[[#This Row],[Submódulo 4.1]]+tabCustoUnit[[#This Row],[Submódulo 4.2]]+tabCustoUnit[[#This Row],[Submódulo 4.3]]</f>
        <v>40.903409951303601</v>
      </c>
      <c r="BG36" s="22">
        <f>VLOOKUP(tabCustoUnit[[#This Row],[Código do Posto]],tabParametros[],MATCH(tabCustoUnit[[#Headers],[Uniformes e EPIs]],tabParametros[#Headers],0),0)</f>
        <v>90.784679782039703</v>
      </c>
      <c r="BH36" s="22">
        <f>VLOOKUP(tabCustoUnit[[#This Row],[Código do Posto]],tabParametros[],MATCH(tabCustoUnit[[#Headers],[Materiais de Consumo]],tabParametros[#Headers],0),0)</f>
        <v>0</v>
      </c>
      <c r="BI36" s="22">
        <f>VLOOKUP(tabCustoUnit[[#This Row],[Código do Posto]],tabParametros[],MATCH(tabCustoUnit[[#Headers],[Máquinas e Equipamentos (depreciação)]],tabParametros[#Headers],0),0)</f>
        <v>0</v>
      </c>
      <c r="BJ36" s="22">
        <f>VLOOKUP(tabCustoUnit[[#This Row],[Código do Posto]],tabParametros[],MATCH(tabCustoUnit[[#Headers],[Produtos de Limpeza e Materiais de Higiene Pessoal]],tabParametros[#Headers],0),0)</f>
        <v>0</v>
      </c>
      <c r="BK36" s="22">
        <f>VLOOKUP(tabCustoUnit[[#This Row],[Código do Posto]],tabParametros[],MATCH(tabCustoUnit[[#Headers],[Outros (especificar)]],tabParametros[#Headers],0),0)</f>
        <v>0</v>
      </c>
      <c r="BL36" s="22">
        <f>SUM(tabCustoUnit[[#This Row],[Uniformes e EPIs]:[Outros (especificar)]])</f>
        <v>90.784679782039703</v>
      </c>
      <c r="BM3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6" s="22" t="e">
        <f ca="1">VLOOKUP(tabCustoUnit[[#This Row],[Código do Posto]],tabParametros[],MATCH(tabCustoUnit[[#Headers],[Custos Indiretos]],tabParametros[#Headers],0),0)</f>
        <v>#NAME?</v>
      </c>
      <c r="BO36" s="22" t="e">
        <f ca="1">VLOOKUP(tabCustoUnit[[#This Row],[Código do Posto]],tabParametros[],MATCH(tabCustoUnit[[#Headers],[Lucro]],tabParametros[#Headers],0),0)</f>
        <v>#NAME?</v>
      </c>
      <c r="BP36" s="26">
        <f>((100/((1-tabCustoUnit[[#This Row],[Resumo de Alíquotas (PIS+CONFINS+ISS)]]))-100)*VLOOKUP(tabCustoUnit[[#This Row],[Código do Posto]],tabParametros[],MATCH(tabCustoUnit[[#Headers],[COFINS]],tabParametros[#Headers],0),0))/(tabCustoUnit[[#This Row],[Resumo de Alíquotas (PIS+CONFINS+ISS)]]*100)</f>
        <v>8.8629737609329504E-2</v>
      </c>
      <c r="BQ36" s="26">
        <f>((100/((100-(tabCustoUnit[[#This Row],[Resumo de Alíquotas (PIS+CONFINS+ISS)]]*100))%)-100)*VLOOKUP(tabCustoUnit[[#This Row],[Código do Posto]],tabParametros[],MATCH(tabCustoUnit[[#Headers],[PIS]],tabParametros[#Headers],0),0))/(tabCustoUnit[[#This Row],[Resumo de Alíquotas (PIS+CONFINS+ISS)]]*100)</f>
        <v>1.9241982507288629E-2</v>
      </c>
      <c r="BR36" s="28">
        <f>VLOOKUP(tabCustoUnit[[#This Row],[Código do Posto]],tabParametros[],MATCH(tabCustoUnit[[#Headers],[ISS]],tabParametros[#Headers],0),0)</f>
        <v>0.05</v>
      </c>
      <c r="BS36" s="26">
        <f>(((100/((100-(tabCustoUnit[[#This Row],[Resumo de Alíquotas (PIS+CONFINS+ISS)]]*100))%)-100)*tabCustoUnit[[#This Row],[ISS]])/tabCustoUnit[[#This Row],[Resumo de Alíquotas (PIS+CONFINS+ISS)]])/100</f>
        <v>5.8309037900874633E-2</v>
      </c>
      <c r="BT3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6" s="138">
        <f>tabCustoUnit[[#This Row],[COFINS]]+tabCustoUnit[[#This Row],[PIS]]+tabCustoUnit[[#This Row],[ISS (Conversão Alíquota s/ fatura)]]</f>
        <v>0.16618075801749277</v>
      </c>
      <c r="BV36" s="22" t="e">
        <f ca="1">(tabCustoUnit[[#This Row],[TOTAL MÓDULOS 1+2+3+4+5]]+tabCustoUnit[[#This Row],[Custos Indiretos]]+tabCustoUnit[[#This Row],[Lucro]])*tabCustoUnit[[#This Row],[PIS + COFINS + ISS (Total Conversão  Alíquota s/ Fatura)]]</f>
        <v>#NAME?</v>
      </c>
      <c r="BW36" s="22" t="e">
        <f ca="1">tabCustoUnit[[#This Row],[Custos Indiretos]]+tabCustoUnit[[#This Row],[Lucro]]+tabCustoUnit[[#This Row],[Valor dos Tributos (ISS, PIS, CONFINS)]]</f>
        <v>#NAME?</v>
      </c>
      <c r="BX36" s="22" t="e">
        <f ca="1">tabCustoUnit[[#This Row],[TOTAL MÓDULOS 1+2+3+4+5]]+tabCustoUnit[[#This Row],[MÓDULO 6 – CUSTOS INDIRETOS, TRIBUTOS E LUCRO]]</f>
        <v>#NAME?</v>
      </c>
      <c r="BY36" s="22" t="e">
        <f ca="1">tabCustoUnit[[#This Row],[CUSTO TOTAL MENSAL]]*12</f>
        <v>#NAME?</v>
      </c>
      <c r="BZ36" s="24">
        <f>VLOOKUP(tabCustoUnit[[#This Row],[Código do Posto]],tabParametros[],MATCH(tabCustoUnit[[#Headers],[ANO DA CCT]],tabParametros[#Headers],0),0)</f>
        <v>45658</v>
      </c>
      <c r="CA36" s="25" t="str">
        <f>VLOOKUP(tabCustoUnit[[#This Row],[Código do Posto]],tabParametros[],MATCH(tabCustoUnit[[#Headers],[Nº DE PEDIDO DA CCT]],tabParametros[#Headers],0),0)</f>
        <v>-</v>
      </c>
      <c r="CB36" s="25" t="str">
        <f>VLOOKUP(tabCustoUnit[[#This Row],[Código do Posto]],tabParametros[],MATCH(tabCustoUnit[[#Headers],[TERMO ADITIVO ALTERAÇÃO DA CCT]],tabParametros[#Headers],0),0)</f>
        <v>-</v>
      </c>
    </row>
    <row r="37" spans="1:80">
      <c r="A37" s="20" t="s">
        <v>1416</v>
      </c>
      <c r="B37" t="s">
        <v>1103</v>
      </c>
      <c r="C37" t="s">
        <v>183</v>
      </c>
      <c r="D37" t="s">
        <v>1035</v>
      </c>
      <c r="E37" s="20" t="s">
        <v>1090</v>
      </c>
      <c r="F37" s="20" t="s">
        <v>120</v>
      </c>
      <c r="G37" s="418">
        <v>2449.2066</v>
      </c>
      <c r="H37" s="418">
        <v>0</v>
      </c>
      <c r="I37" s="418">
        <v>0</v>
      </c>
      <c r="J37" s="418">
        <v>0</v>
      </c>
      <c r="K37" s="418">
        <v>0</v>
      </c>
      <c r="L37" s="418">
        <v>0</v>
      </c>
      <c r="M37" s="418">
        <v>0</v>
      </c>
      <c r="N37" s="418">
        <v>0</v>
      </c>
      <c r="O37" s="21">
        <f>SUM(tabCustoUnit[[#This Row],[Salário Base]:[Adicional de Acúmulo de função]])</f>
        <v>2449.2066</v>
      </c>
      <c r="P37" s="21">
        <f>tabCustoUnit[[#This Row],[MODULO 1 - REMUNERAÇÃO ]]*SUMIFS(tabParametros[INSS],tabParametros[Código do Posto],tabCustoUnit[[#This Row],[Código do Posto]])</f>
        <v>489.84132</v>
      </c>
      <c r="Q37" s="21">
        <f>tabCustoUnit[[#This Row],[MODULO 1 - REMUNERAÇÃO ]]*SUMIFS(tabParametros[SESI OU SESC],tabParametros[Código do Posto],tabCustoUnit[[#This Row],[Código do Posto]])</f>
        <v>36.738098999999998</v>
      </c>
      <c r="R37" s="21">
        <f>tabCustoUnit[[#This Row],[MODULO 1 - REMUNERAÇÃO ]]*SUMIFS(tabParametros[SENAI OU SENAC],tabParametros[Código do Posto],tabCustoUnit[[#This Row],[Código do Posto]])</f>
        <v>24.492066000000001</v>
      </c>
      <c r="S37" s="21">
        <f>tabCustoUnit[[#This Row],[MODULO 1 - REMUNERAÇÃO ]]*SUMIFS(tabParametros[INCRA],tabParametros[Código do Posto],tabCustoUnit[[#This Row],[Código do Posto]])</f>
        <v>4.8984132000000002</v>
      </c>
      <c r="T37" s="21">
        <f>tabCustoUnit[[#This Row],[MODULO 1 - REMUNERAÇÃO ]]*SUMIFS(tabParametros[Salário Educação],tabParametros[Código do Posto],tabCustoUnit[[#This Row],[Código do Posto]])</f>
        <v>61.230165</v>
      </c>
      <c r="U37" s="21">
        <f>tabCustoUnit[[#This Row],[MODULO 1 - REMUNERAÇÃO ]]*SUMIFS(tabParametros[FGTS],tabParametros[Código do Posto],tabCustoUnit[[#This Row],[Código do Posto]])</f>
        <v>195.93652800000001</v>
      </c>
      <c r="V37" s="21">
        <f>tabCustoUnit[[#This Row],[MODULO 1 - REMUNERAÇÃO ]]*SUMIFS(tabParametros[RAT Ajustado],tabParametros[Código do Posto],tabCustoUnit[[#This Row],[Código do Posto]])</f>
        <v>97.968264000000005</v>
      </c>
      <c r="W37" s="21">
        <f>tabCustoUnit[[#This Row],[MODULO 1 - REMUNERAÇÃO ]]*SUMIFS(tabParametros[SEBRAE],tabParametros[Código do Posto],tabCustoUnit[[#This Row],[Código do Posto]])</f>
        <v>14.695239600000001</v>
      </c>
      <c r="X37" s="21">
        <f>SUM(tabCustoUnit[[#This Row],[INSS]:[SEBRAE]])</f>
        <v>925.80009480000012</v>
      </c>
      <c r="Y37" s="21">
        <f>tabCustoUnit[[#This Row],[MODULO 1 - REMUNERAÇÃO ]]*SUMIFS(tabParametros[13º salário (titular)],tabParametros[Código do Posto],tabCustoUnit[[#This Row],[Código do Posto]])</f>
        <v>204.10055</v>
      </c>
      <c r="Z37" s="21">
        <f>tabCustoUnit[[#This Row],[MODULO 1 - REMUNERAÇÃO ]]*SUMIFS(tabParametros[Férias e Adicional de Férias (titular)],tabParametros[Código do Posto],tabCustoUnit[[#This Row],[Código do Posto]])</f>
        <v>272.13406666666663</v>
      </c>
      <c r="AA37" s="21">
        <f>IFERROR((tabCustoUnit[[#This Row],[Submódulo 2.1]]/tabCustoUnit[[#This Row],[MODULO 1 - REMUNERAÇÃO ]])*SUM(tabCustoUnit[[#This Row],[13º salário (titular)]:[Férias e Adicional de Férias (titular)]]),0)</f>
        <v>180.01668510000002</v>
      </c>
      <c r="AB37" s="21">
        <f>SUM(tabCustoUnit[[#This Row],[13º salário (titular)]:[Incidência do Submódulo 2.1 sobre 13º Salário, Férias e Adicional de Férias]])</f>
        <v>656.25130176666664</v>
      </c>
      <c r="AC37" s="22" t="e">
        <f ca="1">_xlfn.LET(_xlpm.VT,SUMIF(tabParametros[Código do Posto],tabCustoUnit[[#This Row],[Código do Posto]],tabParametros[Vale - Transporte])*2*20,
IF((_xlpm.VT-tabCustoUnit[[#This Row],[Salário Base]]*0.06)&gt;=0,(_xlpm.VT-tabCustoUnit[[#This Row],[Salário Base]]*0.06),0)
)</f>
        <v>#NAME?</v>
      </c>
      <c r="AD37" s="22">
        <f>IF(SUMIF(tabParametros[Código do Posto],tabCustoUnit[[#This Row],[Código do Posto]],tabParametros[Vale - Alimentação])&lt;=0,0,
SUMIF(tabParametros[Código do Posto],tabCustoUnit[[#This Row],[Código do Posto]],tabParametros[Vale - Alimentação])*20-1)</f>
        <v>582</v>
      </c>
      <c r="AE37" s="22">
        <f>SUMIF(tabParametros[Código do Posto],tabCustoUnit[[#This Row],[Código do Posto]],tabParametros[Cesta Básica])</f>
        <v>0</v>
      </c>
      <c r="AF37" s="22">
        <f>SUMIF(tabParametros[Código do Posto],tabCustoUnit[[#This Row],[Código do Posto]],tabParametros[PAF])</f>
        <v>95.9</v>
      </c>
      <c r="AG37" s="22">
        <f>SUMIF(tabParametros[Código do Posto],tabCustoUnit[[#This Row],[Código do Posto]],tabParametros[PQM])</f>
        <v>0</v>
      </c>
      <c r="AH37" s="22">
        <f>SUMIF(tabParametros[Código do Posto],tabCustoUnit[[#This Row],[Código do Posto]],tabParametros[Abono Único e Especial])</f>
        <v>0</v>
      </c>
      <c r="AI37" s="22">
        <f>SUMIF(tabParametros[Código do Posto],tabCustoUnit[[#This Row],[Código do Posto]],tabParametros[Seguro de Vida])</f>
        <v>3.36</v>
      </c>
      <c r="AJ37" s="22">
        <f>SUMIF(tabParametros[Código do Posto],tabCustoUnit[[#This Row],[Código do Posto]],tabParametros[Despesas de Viagem])</f>
        <v>202.08</v>
      </c>
      <c r="AK37" s="22" t="e">
        <f ca="1">SUM(tabCustoUnit[[#This Row],[Vale - Transporte (Descontada parcela do empregado)]:[Despesas de Viagem]])</f>
        <v>#NAME?</v>
      </c>
      <c r="AL37" s="22" t="e">
        <f ca="1">tabCustoUnit[[#This Row],[Submódulo 2.1]]+tabCustoUnit[[#This Row],[Submódulo 2.2]]+tabCustoUnit[[#This Row],[Submódulo 2.3]]</f>
        <v>#NAME?</v>
      </c>
      <c r="AM37" s="22">
        <f>SUMIF(tabParametros[Código do Posto],tabCustoUnit[[#This Row],[Código do Posto]],tabParametros[Aviso Prévio Indenizado (API) e Reflexo do Aviso Prévio Indenizado])*tabCustoUnit[[#This Row],[MODULO 1 - REMUNERAÇÃO ]]</f>
        <v>17.173265953587961</v>
      </c>
      <c r="AN37" s="22">
        <f>SUMIF(tabParametros[Código do Posto],tabCustoUnit[[#This Row],[Código do Posto]],tabParametros[Incidência do FGTS sobre API e Reflexo do API])*tabCustoUnit[[#This Row],[MODULO 1 - REMUNERAÇÃO ]]</f>
        <v>1.3738612762870372</v>
      </c>
      <c r="AO37" s="22">
        <f>SUMIF(tabParametros[Código do Posto],tabCustoUnit[[#This Row],[Código do Posto]],tabParametros[Multa Rescisória do FGTS sobre o Aviso Prévio Indenizado])*tabCustoUnit[[#This Row],[MODULO 1 - REMUNERAÇÃO ]]</f>
        <v>0.5495445105148149</v>
      </c>
      <c r="AP37" s="22">
        <f>SUMIF(tabParametros[Código do Posto],tabCustoUnit[[#This Row],[Código do Posto]],tabParametros[Aviso Prévio Trabalhado - APT])*tabCustoUnit[[#This Row],[MODULO 1 - REMUNERAÇÃO ]]</f>
        <v>8.5722231000000004</v>
      </c>
      <c r="AQ37" s="22">
        <f>SUMIF(tabParametros[Código do Posto],tabCustoUnit[[#This Row],[Código do Posto]],tabParametros[Incidência dos encargos do submódulo 2.1 sobre Aviso Prévio Trabalhado])*tabCustoUnit[[#This Row],[MODULO 1 - REMUNERAÇÃO ]]</f>
        <v>3.2403003318000008</v>
      </c>
      <c r="AR37" s="22">
        <f>SUMIF(tabParametros[Código do Posto],tabCustoUnit[[#This Row],[Código do Posto]],tabParametros[Multa Rescisória do FGTS])*tabCustoUnit[[#This Row],[MODULO 1 - REMUNERAÇÃO ]]</f>
        <v>74.89129514666665</v>
      </c>
      <c r="AS37" s="22">
        <f>SUMIF(tabParametros[Código do Posto],tabCustoUnit[[#This Row],[Código do Posto]],tabParametros[Indenização Adicional (Art. 9º da Lei nº 7.238/84)])*tabCustoUnit[[#This Row],[MODULO 1 - REMUNERAÇÃO ]]</f>
        <v>2.0410055000000003</v>
      </c>
      <c r="AT37" s="22">
        <f>SUM(tabCustoUnit[[#This Row],[Aviso Prévio Indenizado (API) e Reflexo do Aviso Prévio Indenizado]:[Indenização Adicional (Art. 9º da Lei nº 7.238/84)]])</f>
        <v>107.84149581885646</v>
      </c>
      <c r="AU37" s="22">
        <f>SUMIF(tabParametros[Código do Posto],tabCustoUnit[[#This Row],[Código do Posto]],tabParametros[Ausência por Doença])*tabCustoUnit[[#This Row],[MODULO 1 - REMUNERAÇÃO ]]</f>
        <v>20.682189066666666</v>
      </c>
      <c r="AV37" s="22">
        <f>SUMIF(tabParametros[Código do Posto],tabCustoUnit[[#This Row],[Código do Posto]],tabParametros[Ausências Legais])*tabCustoUnit[[#This Row],[MODULO 1 - REMUNERAÇÃO ]]</f>
        <v>4.9664467166666659</v>
      </c>
      <c r="AW37" s="22">
        <f>SUMIF(tabParametros[Código do Posto],tabCustoUnit[[#This Row],[Código do Posto]],tabParametros[Licença Paternidade])*tabCustoUnit[[#This Row],[MODULO 1 - REMUNERAÇÃO ]]</f>
        <v>0.4184061275</v>
      </c>
      <c r="AX37" s="22">
        <f>SUMIF(tabParametros[Código do Posto],tabCustoUnit[[#This Row],[Código do Posto]],tabParametros[Ausência por Acidente de Trabalho])*tabCustoUnit[[#This Row],[MODULO 1 - REMUNERAÇÃO ]]</f>
        <v>0.51025137500000006</v>
      </c>
      <c r="AY37" s="22">
        <f>SUMIF(tabParametros[Código do Posto],tabCustoUnit[[#This Row],[Código do Posto]],tabParametros[Férias, Adicional de Férias e 13º  com empregada em gozo de Licença Maternidade])*tabCustoUnit[[#This Row],[MODULO 1 - REMUNERAÇÃO ]]</f>
        <v>3.1748974444444444</v>
      </c>
      <c r="AZ37" s="22">
        <f>SUMIF(tabParametros[Código do Posto],tabCustoUnit[[#This Row],[Código do Posto]],tabParametros[Incidência do Submódulo 2.1 sobre Ausências Legais])*tabCustoUnit[[#This Row],[MODULO 1 - REMUNERAÇÃO ]]</f>
        <v>11.246328096045001</v>
      </c>
      <c r="BA37" s="22">
        <f>SUM(tabCustoUnit[[#This Row],[Ausência por Doença]:[Incidência do Submódulo 2.1 sobre Ausências Legais]])</f>
        <v>40.99851882632278</v>
      </c>
      <c r="BB37" s="22">
        <f>SUMIF(tabParametros[Código do Posto],tabCustoUnit[[#This Row],[Código do Posto]],tabParametros[Intervalo para Repouso ou Alimentação])</f>
        <v>0</v>
      </c>
      <c r="BC37" s="22">
        <f>tabCustoUnit[[#This Row],[Intervalo para Repouso ou Alimentação]]</f>
        <v>0</v>
      </c>
      <c r="BD3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7" s="22">
        <f>tabCustoUnit[[#This Row],[Suspensão Temporária do Contrato de Trabalho]]</f>
        <v>0</v>
      </c>
      <c r="BF37" s="22">
        <f>tabCustoUnit[[#This Row],[Submódulo 4.1]]+tabCustoUnit[[#This Row],[Submódulo 4.2]]+tabCustoUnit[[#This Row],[Submódulo 4.3]]</f>
        <v>40.99851882632278</v>
      </c>
      <c r="BG37" s="22">
        <f>VLOOKUP(tabCustoUnit[[#This Row],[Código do Posto]],tabParametros[],MATCH(tabCustoUnit[[#Headers],[Uniformes e EPIs]],tabParametros[#Headers],0),0)</f>
        <v>578.61233278757447</v>
      </c>
      <c r="BH37" s="22">
        <f>VLOOKUP(tabCustoUnit[[#This Row],[Código do Posto]],tabParametros[],MATCH(tabCustoUnit[[#Headers],[Materiais de Consumo]],tabParametros[#Headers],0),0)</f>
        <v>0</v>
      </c>
      <c r="BI37" s="22">
        <f>VLOOKUP(tabCustoUnit[[#This Row],[Código do Posto]],tabParametros[],MATCH(tabCustoUnit[[#Headers],[Máquinas e Equipamentos (depreciação)]],tabParametros[#Headers],0),0)</f>
        <v>0</v>
      </c>
      <c r="BJ37" s="22">
        <f>VLOOKUP(tabCustoUnit[[#This Row],[Código do Posto]],tabParametros[],MATCH(tabCustoUnit[[#Headers],[Produtos de Limpeza e Materiais de Higiene Pessoal]],tabParametros[#Headers],0),0)</f>
        <v>0</v>
      </c>
      <c r="BK37" s="22">
        <f>VLOOKUP(tabCustoUnit[[#This Row],[Código do Posto]],tabParametros[],MATCH(tabCustoUnit[[#Headers],[Outros (especificar)]],tabParametros[#Headers],0),0)</f>
        <v>0</v>
      </c>
      <c r="BL37" s="22">
        <f>SUM(tabCustoUnit[[#This Row],[Uniformes e EPIs]:[Outros (especificar)]])</f>
        <v>578.61233278757447</v>
      </c>
      <c r="BM3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7" s="22" t="e">
        <f ca="1">VLOOKUP(tabCustoUnit[[#This Row],[Código do Posto]],tabParametros[],MATCH(tabCustoUnit[[#Headers],[Custos Indiretos]],tabParametros[#Headers],0),0)</f>
        <v>#NAME?</v>
      </c>
      <c r="BO37" s="22" t="e">
        <f ca="1">VLOOKUP(tabCustoUnit[[#This Row],[Código do Posto]],tabParametros[],MATCH(tabCustoUnit[[#Headers],[Lucro]],tabParametros[#Headers],0),0)</f>
        <v>#NAME?</v>
      </c>
      <c r="BP37" s="26">
        <f>((100/((1-tabCustoUnit[[#This Row],[Resumo de Alíquotas (PIS+CONFINS+ISS)]]))-100)*VLOOKUP(tabCustoUnit[[#This Row],[Código do Posto]],tabParametros[],MATCH(tabCustoUnit[[#Headers],[COFINS]],tabParametros[#Headers],0),0))/(tabCustoUnit[[#This Row],[Resumo de Alíquotas (PIS+CONFINS+ISS)]]*100)</f>
        <v>8.8629737609329504E-2</v>
      </c>
      <c r="BQ37" s="26">
        <f>((100/((100-(tabCustoUnit[[#This Row],[Resumo de Alíquotas (PIS+CONFINS+ISS)]]*100))%)-100)*VLOOKUP(tabCustoUnit[[#This Row],[Código do Posto]],tabParametros[],MATCH(tabCustoUnit[[#Headers],[PIS]],tabParametros[#Headers],0),0))/(tabCustoUnit[[#This Row],[Resumo de Alíquotas (PIS+CONFINS+ISS)]]*100)</f>
        <v>1.9241982507288629E-2</v>
      </c>
      <c r="BR37" s="28">
        <f>VLOOKUP(tabCustoUnit[[#This Row],[Código do Posto]],tabParametros[],MATCH(tabCustoUnit[[#Headers],[ISS]],tabParametros[#Headers],0),0)</f>
        <v>0.05</v>
      </c>
      <c r="BS37" s="26">
        <f>(((100/((100-(tabCustoUnit[[#This Row],[Resumo de Alíquotas (PIS+CONFINS+ISS)]]*100))%)-100)*tabCustoUnit[[#This Row],[ISS]])/tabCustoUnit[[#This Row],[Resumo de Alíquotas (PIS+CONFINS+ISS)]])/100</f>
        <v>5.8309037900874633E-2</v>
      </c>
      <c r="BT3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7" s="138">
        <f>tabCustoUnit[[#This Row],[COFINS]]+tabCustoUnit[[#This Row],[PIS]]+tabCustoUnit[[#This Row],[ISS (Conversão Alíquota s/ fatura)]]</f>
        <v>0.16618075801749277</v>
      </c>
      <c r="BV37" s="22" t="e">
        <f ca="1">(tabCustoUnit[[#This Row],[TOTAL MÓDULOS 1+2+3+4+5]]+tabCustoUnit[[#This Row],[Custos Indiretos]]+tabCustoUnit[[#This Row],[Lucro]])*tabCustoUnit[[#This Row],[PIS + COFINS + ISS (Total Conversão  Alíquota s/ Fatura)]]</f>
        <v>#NAME?</v>
      </c>
      <c r="BW37" s="22" t="e">
        <f ca="1">tabCustoUnit[[#This Row],[Custos Indiretos]]+tabCustoUnit[[#This Row],[Lucro]]+tabCustoUnit[[#This Row],[Valor dos Tributos (ISS, PIS, CONFINS)]]</f>
        <v>#NAME?</v>
      </c>
      <c r="BX37" s="22" t="e">
        <f ca="1">tabCustoUnit[[#This Row],[TOTAL MÓDULOS 1+2+3+4+5]]+tabCustoUnit[[#This Row],[MÓDULO 6 – CUSTOS INDIRETOS, TRIBUTOS E LUCRO]]</f>
        <v>#NAME?</v>
      </c>
      <c r="BY37" s="22" t="e">
        <f ca="1">tabCustoUnit[[#This Row],[CUSTO TOTAL MENSAL]]*12</f>
        <v>#NAME?</v>
      </c>
      <c r="BZ37" s="24">
        <f>VLOOKUP(tabCustoUnit[[#This Row],[Código do Posto]],tabParametros[],MATCH(tabCustoUnit[[#Headers],[ANO DA CCT]],tabParametros[#Headers],0),0)</f>
        <v>45658</v>
      </c>
      <c r="CA37" s="25" t="str">
        <f>VLOOKUP(tabCustoUnit[[#This Row],[Código do Posto]],tabParametros[],MATCH(tabCustoUnit[[#Headers],[Nº DE PEDIDO DA CCT]],tabParametros[#Headers],0),0)</f>
        <v>-</v>
      </c>
      <c r="CB37" s="25" t="str">
        <f>VLOOKUP(tabCustoUnit[[#This Row],[Código do Posto]],tabParametros[],MATCH(tabCustoUnit[[#Headers],[TERMO ADITIVO ALTERAÇÃO DA CCT]],tabParametros[#Headers],0),0)</f>
        <v>-</v>
      </c>
    </row>
    <row r="38" spans="1:80">
      <c r="A38" s="20" t="s">
        <v>1417</v>
      </c>
      <c r="B38" t="s">
        <v>1103</v>
      </c>
      <c r="C38" t="s">
        <v>189</v>
      </c>
      <c r="D38" t="s">
        <v>1035</v>
      </c>
      <c r="E38" s="20" t="s">
        <v>1090</v>
      </c>
      <c r="F38" s="20" t="s">
        <v>120</v>
      </c>
      <c r="G38" s="418">
        <v>3673.8031999999998</v>
      </c>
      <c r="H38" s="418">
        <v>0</v>
      </c>
      <c r="I38" s="418">
        <v>303.60000000000002</v>
      </c>
      <c r="J38" s="418">
        <v>0</v>
      </c>
      <c r="K38" s="418">
        <v>0</v>
      </c>
      <c r="L38" s="418">
        <v>0</v>
      </c>
      <c r="M38" s="418">
        <v>0</v>
      </c>
      <c r="N38" s="418">
        <v>0</v>
      </c>
      <c r="O38" s="21">
        <f>SUM(tabCustoUnit[[#This Row],[Salário Base]:[Adicional de Acúmulo de função]])</f>
        <v>3977.4031999999997</v>
      </c>
      <c r="P38" s="21">
        <f>tabCustoUnit[[#This Row],[MODULO 1 - REMUNERAÇÃO ]]*SUMIFS(tabParametros[INSS],tabParametros[Código do Posto],tabCustoUnit[[#This Row],[Código do Posto]])</f>
        <v>795.48063999999999</v>
      </c>
      <c r="Q38" s="21">
        <f>tabCustoUnit[[#This Row],[MODULO 1 - REMUNERAÇÃO ]]*SUMIFS(tabParametros[SESI OU SESC],tabParametros[Código do Posto],tabCustoUnit[[#This Row],[Código do Posto]])</f>
        <v>59.661047999999994</v>
      </c>
      <c r="R38" s="21">
        <f>tabCustoUnit[[#This Row],[MODULO 1 - REMUNERAÇÃO ]]*SUMIFS(tabParametros[SENAI OU SENAC],tabParametros[Código do Posto],tabCustoUnit[[#This Row],[Código do Posto]])</f>
        <v>39.774031999999998</v>
      </c>
      <c r="S38" s="21">
        <f>tabCustoUnit[[#This Row],[MODULO 1 - REMUNERAÇÃO ]]*SUMIFS(tabParametros[INCRA],tabParametros[Código do Posto],tabCustoUnit[[#This Row],[Código do Posto]])</f>
        <v>7.9548063999999998</v>
      </c>
      <c r="T38" s="21">
        <f>tabCustoUnit[[#This Row],[MODULO 1 - REMUNERAÇÃO ]]*SUMIFS(tabParametros[Salário Educação],tabParametros[Código do Posto],tabCustoUnit[[#This Row],[Código do Posto]])</f>
        <v>99.435079999999999</v>
      </c>
      <c r="U38" s="21">
        <f>tabCustoUnit[[#This Row],[MODULO 1 - REMUNERAÇÃO ]]*SUMIFS(tabParametros[FGTS],tabParametros[Código do Posto],tabCustoUnit[[#This Row],[Código do Posto]])</f>
        <v>318.19225599999999</v>
      </c>
      <c r="V38" s="21">
        <f>tabCustoUnit[[#This Row],[MODULO 1 - REMUNERAÇÃO ]]*SUMIFS(tabParametros[RAT Ajustado],tabParametros[Código do Posto],tabCustoUnit[[#This Row],[Código do Posto]])</f>
        <v>159.09612799999999</v>
      </c>
      <c r="W38" s="21">
        <f>tabCustoUnit[[#This Row],[MODULO 1 - REMUNERAÇÃO ]]*SUMIFS(tabParametros[SEBRAE],tabParametros[Código do Posto],tabCustoUnit[[#This Row],[Código do Posto]])</f>
        <v>23.8644192</v>
      </c>
      <c r="X38" s="21">
        <f>SUM(tabCustoUnit[[#This Row],[INSS]:[SEBRAE]])</f>
        <v>1503.4584095999999</v>
      </c>
      <c r="Y38" s="21">
        <f>tabCustoUnit[[#This Row],[MODULO 1 - REMUNERAÇÃO ]]*SUMIFS(tabParametros[13º salário (titular)],tabParametros[Código do Posto],tabCustoUnit[[#This Row],[Código do Posto]])</f>
        <v>331.45026666666661</v>
      </c>
      <c r="Z38" s="21">
        <f>tabCustoUnit[[#This Row],[MODULO 1 - REMUNERAÇÃO ]]*SUMIFS(tabParametros[Férias e Adicional de Férias (titular)],tabParametros[Código do Posto],tabCustoUnit[[#This Row],[Código do Posto]])</f>
        <v>441.93368888888881</v>
      </c>
      <c r="AA38" s="21">
        <f>IFERROR((tabCustoUnit[[#This Row],[Submódulo 2.1]]/tabCustoUnit[[#This Row],[MODULO 1 - REMUNERAÇÃO ]])*SUM(tabCustoUnit[[#This Row],[13º salário (titular)]:[Férias e Adicional de Férias (titular)]]),0)</f>
        <v>292.33913519999993</v>
      </c>
      <c r="AB38" s="21">
        <f>SUM(tabCustoUnit[[#This Row],[13º salário (titular)]:[Incidência do Submódulo 2.1 sobre 13º Salário, Férias e Adicional de Férias]])</f>
        <v>1065.7230907555554</v>
      </c>
      <c r="AC38" s="22" t="e">
        <f ca="1">_xlfn.LET(_xlpm.VT,SUMIF(tabParametros[Código do Posto],tabCustoUnit[[#This Row],[Código do Posto]],tabParametros[Vale - Transporte])*2*20,
IF((_xlpm.VT-tabCustoUnit[[#This Row],[Salário Base]]*0.06)&gt;=0,(_xlpm.VT-tabCustoUnit[[#This Row],[Salário Base]]*0.06),0)
)</f>
        <v>#NAME?</v>
      </c>
      <c r="AD38" s="22">
        <f>IF(SUMIF(tabParametros[Código do Posto],tabCustoUnit[[#This Row],[Código do Posto]],tabParametros[Vale - Alimentação])&lt;=0,0,
SUMIF(tabParametros[Código do Posto],tabCustoUnit[[#This Row],[Código do Posto]],tabParametros[Vale - Alimentação])*20-1)</f>
        <v>582</v>
      </c>
      <c r="AE38" s="22">
        <f>SUMIF(tabParametros[Código do Posto],tabCustoUnit[[#This Row],[Código do Posto]],tabParametros[Cesta Básica])</f>
        <v>0</v>
      </c>
      <c r="AF38" s="22">
        <f>SUMIF(tabParametros[Código do Posto],tabCustoUnit[[#This Row],[Código do Posto]],tabParametros[PAF])</f>
        <v>95.9</v>
      </c>
      <c r="AG38" s="22">
        <f>SUMIF(tabParametros[Código do Posto],tabCustoUnit[[#This Row],[Código do Posto]],tabParametros[PQM])</f>
        <v>0</v>
      </c>
      <c r="AH38" s="22">
        <f>SUMIF(tabParametros[Código do Posto],tabCustoUnit[[#This Row],[Código do Posto]],tabParametros[Abono Único e Especial])</f>
        <v>0</v>
      </c>
      <c r="AI38" s="22">
        <f>SUMIF(tabParametros[Código do Posto],tabCustoUnit[[#This Row],[Código do Posto]],tabParametros[Seguro de Vida])</f>
        <v>3.36</v>
      </c>
      <c r="AJ38" s="22">
        <f>SUMIF(tabParametros[Código do Posto],tabCustoUnit[[#This Row],[Código do Posto]],tabParametros[Despesas de Viagem])</f>
        <v>202.08</v>
      </c>
      <c r="AK38" s="22" t="e">
        <f ca="1">SUM(tabCustoUnit[[#This Row],[Vale - Transporte (Descontada parcela do empregado)]:[Despesas de Viagem]])</f>
        <v>#NAME?</v>
      </c>
      <c r="AL38" s="22" t="e">
        <f ca="1">tabCustoUnit[[#This Row],[Submódulo 2.1]]+tabCustoUnit[[#This Row],[Submódulo 2.2]]+tabCustoUnit[[#This Row],[Submódulo 2.3]]</f>
        <v>#NAME?</v>
      </c>
      <c r="AM38" s="22">
        <f>SUMIF(tabParametros[Código do Posto],tabCustoUnit[[#This Row],[Código do Posto]],tabParametros[Aviso Prévio Indenizado (API) e Reflexo do Aviso Prévio Indenizado])*tabCustoUnit[[#This Row],[MODULO 1 - REMUNERAÇÃO ]]</f>
        <v>27.888624405246912</v>
      </c>
      <c r="AN38" s="22">
        <f>SUMIF(tabParametros[Código do Posto],tabCustoUnit[[#This Row],[Código do Posto]],tabParametros[Incidência do FGTS sobre API e Reflexo do API])*tabCustoUnit[[#This Row],[MODULO 1 - REMUNERAÇÃO ]]</f>
        <v>2.2310899524197532</v>
      </c>
      <c r="AO38" s="22">
        <f>SUMIF(tabParametros[Código do Posto],tabCustoUnit[[#This Row],[Código do Posto]],tabParametros[Multa Rescisória do FGTS sobre o Aviso Prévio Indenizado])*tabCustoUnit[[#This Row],[MODULO 1 - REMUNERAÇÃO ]]</f>
        <v>0.89243598096790133</v>
      </c>
      <c r="AP38" s="22">
        <f>SUMIF(tabParametros[Código do Posto],tabCustoUnit[[#This Row],[Código do Posto]],tabParametros[Aviso Prévio Trabalhado - APT])*tabCustoUnit[[#This Row],[MODULO 1 - REMUNERAÇÃO ]]</f>
        <v>13.920911200000001</v>
      </c>
      <c r="AQ38" s="22">
        <f>SUMIF(tabParametros[Código do Posto],tabCustoUnit[[#This Row],[Código do Posto]],tabParametros[Incidência dos encargos do submódulo 2.1 sobre Aviso Prévio Trabalhado])*tabCustoUnit[[#This Row],[MODULO 1 - REMUNERAÇÃO ]]</f>
        <v>5.2621044336000011</v>
      </c>
      <c r="AR38" s="22">
        <f>SUMIF(tabParametros[Código do Posto],tabCustoUnit[[#This Row],[Código do Posto]],tabParametros[Multa Rescisória do FGTS])*tabCustoUnit[[#This Row],[MODULO 1 - REMUNERAÇÃO ]]</f>
        <v>121.6201511822222</v>
      </c>
      <c r="AS38" s="22">
        <f>SUMIF(tabParametros[Código do Posto],tabCustoUnit[[#This Row],[Código do Posto]],tabParametros[Indenização Adicional (Art. 9º da Lei nº 7.238/84)])*tabCustoUnit[[#This Row],[MODULO 1 - REMUNERAÇÃO ]]</f>
        <v>3.3145026666666668</v>
      </c>
      <c r="AT38" s="22">
        <f>SUM(tabCustoUnit[[#This Row],[Aviso Prévio Indenizado (API) e Reflexo do Aviso Prévio Indenizado]:[Indenização Adicional (Art. 9º da Lei nº 7.238/84)]])</f>
        <v>175.12981982112345</v>
      </c>
      <c r="AU38" s="22">
        <f>SUMIF(tabParametros[Código do Posto],tabCustoUnit[[#This Row],[Código do Posto]],tabParametros[Ausência por Doença])*tabCustoUnit[[#This Row],[MODULO 1 - REMUNERAÇÃO ]]</f>
        <v>33.586960355555547</v>
      </c>
      <c r="AV38" s="22">
        <f>SUMIF(tabParametros[Código do Posto],tabCustoUnit[[#This Row],[Código do Posto]],tabParametros[Ausências Legais])*tabCustoUnit[[#This Row],[MODULO 1 - REMUNERAÇÃO ]]</f>
        <v>8.0652898222222209</v>
      </c>
      <c r="AW38" s="22">
        <f>SUMIF(tabParametros[Código do Posto],tabCustoUnit[[#This Row],[Código do Posto]],tabParametros[Licença Paternidade])*tabCustoUnit[[#This Row],[MODULO 1 - REMUNERAÇÃO ]]</f>
        <v>0.67947304666666664</v>
      </c>
      <c r="AX38" s="22">
        <f>SUMIF(tabParametros[Código do Posto],tabCustoUnit[[#This Row],[Código do Posto]],tabParametros[Ausência por Acidente de Trabalho])*tabCustoUnit[[#This Row],[MODULO 1 - REMUNERAÇÃO ]]</f>
        <v>0.8286256666666667</v>
      </c>
      <c r="AY38" s="22">
        <f>SUMIF(tabParametros[Código do Posto],tabCustoUnit[[#This Row],[Código do Posto]],tabParametros[Férias, Adicional de Férias e 13º  com empregada em gozo de Licença Maternidade])*tabCustoUnit[[#This Row],[MODULO 1 - REMUNERAÇÃO ]]</f>
        <v>5.1558930370370364</v>
      </c>
      <c r="AZ38" s="22">
        <f>SUMIF(tabParametros[Código do Posto],tabCustoUnit[[#This Row],[Código do Posto]],tabParametros[Incidência do Submódulo 2.1 sobre Ausências Legais])*tabCustoUnit[[#This Row],[MODULO 1 - REMUNERAÇÃO ]]</f>
        <v>18.263539448840003</v>
      </c>
      <c r="BA38" s="22">
        <f>SUM(tabCustoUnit[[#This Row],[Ausência por Doença]:[Incidência do Submódulo 2.1 sobre Ausências Legais]])</f>
        <v>66.579781376988137</v>
      </c>
      <c r="BB38" s="22">
        <f>SUMIF(tabParametros[Código do Posto],tabCustoUnit[[#This Row],[Código do Posto]],tabParametros[Intervalo para Repouso ou Alimentação])</f>
        <v>0</v>
      </c>
      <c r="BC38" s="22">
        <f>tabCustoUnit[[#This Row],[Intervalo para Repouso ou Alimentação]]</f>
        <v>0</v>
      </c>
      <c r="BD3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8" s="22">
        <f>tabCustoUnit[[#This Row],[Suspensão Temporária do Contrato de Trabalho]]</f>
        <v>0</v>
      </c>
      <c r="BF38" s="22">
        <f>tabCustoUnit[[#This Row],[Submódulo 4.1]]+tabCustoUnit[[#This Row],[Submódulo 4.2]]+tabCustoUnit[[#This Row],[Submódulo 4.3]]</f>
        <v>66.579781376988137</v>
      </c>
      <c r="BG38" s="22">
        <f>VLOOKUP(tabCustoUnit[[#This Row],[Código do Posto]],tabParametros[],MATCH(tabCustoUnit[[#Headers],[Uniformes e EPIs]],tabParametros[#Headers],0),0)</f>
        <v>659.85501639421614</v>
      </c>
      <c r="BH38" s="22">
        <f>VLOOKUP(tabCustoUnit[[#This Row],[Código do Posto]],tabParametros[],MATCH(tabCustoUnit[[#Headers],[Materiais de Consumo]],tabParametros[#Headers],0),0)</f>
        <v>0</v>
      </c>
      <c r="BI38" s="22">
        <f>VLOOKUP(tabCustoUnit[[#This Row],[Código do Posto]],tabParametros[],MATCH(tabCustoUnit[[#Headers],[Máquinas e Equipamentos (depreciação)]],tabParametros[#Headers],0),0)</f>
        <v>0</v>
      </c>
      <c r="BJ38" s="22">
        <f>VLOOKUP(tabCustoUnit[[#This Row],[Código do Posto]],tabParametros[],MATCH(tabCustoUnit[[#Headers],[Produtos de Limpeza e Materiais de Higiene Pessoal]],tabParametros[#Headers],0),0)</f>
        <v>0</v>
      </c>
      <c r="BK38" s="22">
        <f>VLOOKUP(tabCustoUnit[[#This Row],[Código do Posto]],tabParametros[],MATCH(tabCustoUnit[[#Headers],[Outros (especificar)]],tabParametros[#Headers],0),0)</f>
        <v>0</v>
      </c>
      <c r="BL38" s="22">
        <f>SUM(tabCustoUnit[[#This Row],[Uniformes e EPIs]:[Outros (especificar)]])</f>
        <v>659.85501639421614</v>
      </c>
      <c r="BM3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8" s="22" t="e">
        <f ca="1">VLOOKUP(tabCustoUnit[[#This Row],[Código do Posto]],tabParametros[],MATCH(tabCustoUnit[[#Headers],[Custos Indiretos]],tabParametros[#Headers],0),0)</f>
        <v>#NAME?</v>
      </c>
      <c r="BO38" s="22" t="e">
        <f ca="1">VLOOKUP(tabCustoUnit[[#This Row],[Código do Posto]],tabParametros[],MATCH(tabCustoUnit[[#Headers],[Lucro]],tabParametros[#Headers],0),0)</f>
        <v>#NAME?</v>
      </c>
      <c r="BP38" s="26">
        <f>((100/((1-tabCustoUnit[[#This Row],[Resumo de Alíquotas (PIS+CONFINS+ISS)]]))-100)*VLOOKUP(tabCustoUnit[[#This Row],[Código do Posto]],tabParametros[],MATCH(tabCustoUnit[[#Headers],[COFINS]],tabParametros[#Headers],0),0))/(tabCustoUnit[[#This Row],[Resumo de Alíquotas (PIS+CONFINS+ISS)]]*100)</f>
        <v>8.8629737609329504E-2</v>
      </c>
      <c r="BQ38" s="26">
        <f>((100/((100-(tabCustoUnit[[#This Row],[Resumo de Alíquotas (PIS+CONFINS+ISS)]]*100))%)-100)*VLOOKUP(tabCustoUnit[[#This Row],[Código do Posto]],tabParametros[],MATCH(tabCustoUnit[[#Headers],[PIS]],tabParametros[#Headers],0),0))/(tabCustoUnit[[#This Row],[Resumo de Alíquotas (PIS+CONFINS+ISS)]]*100)</f>
        <v>1.9241982507288629E-2</v>
      </c>
      <c r="BR38" s="28">
        <f>VLOOKUP(tabCustoUnit[[#This Row],[Código do Posto]],tabParametros[],MATCH(tabCustoUnit[[#Headers],[ISS]],tabParametros[#Headers],0),0)</f>
        <v>0.05</v>
      </c>
      <c r="BS38" s="26">
        <f>(((100/((100-(tabCustoUnit[[#This Row],[Resumo de Alíquotas (PIS+CONFINS+ISS)]]*100))%)-100)*tabCustoUnit[[#This Row],[ISS]])/tabCustoUnit[[#This Row],[Resumo de Alíquotas (PIS+CONFINS+ISS)]])/100</f>
        <v>5.8309037900874633E-2</v>
      </c>
      <c r="BT3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8" s="138">
        <f>tabCustoUnit[[#This Row],[COFINS]]+tabCustoUnit[[#This Row],[PIS]]+tabCustoUnit[[#This Row],[ISS (Conversão Alíquota s/ fatura)]]</f>
        <v>0.16618075801749277</v>
      </c>
      <c r="BV38" s="22" t="e">
        <f ca="1">(tabCustoUnit[[#This Row],[TOTAL MÓDULOS 1+2+3+4+5]]+tabCustoUnit[[#This Row],[Custos Indiretos]]+tabCustoUnit[[#This Row],[Lucro]])*tabCustoUnit[[#This Row],[PIS + COFINS + ISS (Total Conversão  Alíquota s/ Fatura)]]</f>
        <v>#NAME?</v>
      </c>
      <c r="BW38" s="22" t="e">
        <f ca="1">tabCustoUnit[[#This Row],[Custos Indiretos]]+tabCustoUnit[[#This Row],[Lucro]]+tabCustoUnit[[#This Row],[Valor dos Tributos (ISS, PIS, CONFINS)]]</f>
        <v>#NAME?</v>
      </c>
      <c r="BX38" s="22" t="e">
        <f ca="1">tabCustoUnit[[#This Row],[TOTAL MÓDULOS 1+2+3+4+5]]+tabCustoUnit[[#This Row],[MÓDULO 6 – CUSTOS INDIRETOS, TRIBUTOS E LUCRO]]</f>
        <v>#NAME?</v>
      </c>
      <c r="BY38" s="22" t="e">
        <f ca="1">tabCustoUnit[[#This Row],[CUSTO TOTAL MENSAL]]*12</f>
        <v>#NAME?</v>
      </c>
      <c r="BZ38" s="24">
        <f>VLOOKUP(tabCustoUnit[[#This Row],[Código do Posto]],tabParametros[],MATCH(tabCustoUnit[[#Headers],[ANO DA CCT]],tabParametros[#Headers],0),0)</f>
        <v>45658</v>
      </c>
      <c r="CA38" s="25" t="str">
        <f>VLOOKUP(tabCustoUnit[[#This Row],[Código do Posto]],tabParametros[],MATCH(tabCustoUnit[[#Headers],[Nº DE PEDIDO DA CCT]],tabParametros[#Headers],0),0)</f>
        <v>-</v>
      </c>
      <c r="CB38" s="25" t="str">
        <f>VLOOKUP(tabCustoUnit[[#This Row],[Código do Posto]],tabParametros[],MATCH(tabCustoUnit[[#Headers],[TERMO ADITIVO ALTERAÇÃO DA CCT]],tabParametros[#Headers],0),0)</f>
        <v>-</v>
      </c>
    </row>
    <row r="39" spans="1:80">
      <c r="A39" s="20" t="s">
        <v>1418</v>
      </c>
      <c r="B39" t="s">
        <v>1103</v>
      </c>
      <c r="C39" t="s">
        <v>195</v>
      </c>
      <c r="D39" t="s">
        <v>1035</v>
      </c>
      <c r="E39" s="20" t="s">
        <v>1090</v>
      </c>
      <c r="F39" s="20" t="s">
        <v>120</v>
      </c>
      <c r="G39" s="418">
        <v>1649.1152999999999</v>
      </c>
      <c r="H39" s="418">
        <v>0</v>
      </c>
      <c r="I39" s="418">
        <v>0</v>
      </c>
      <c r="J39" s="418">
        <v>0</v>
      </c>
      <c r="K39" s="418">
        <v>0</v>
      </c>
      <c r="L39" s="418">
        <v>0</v>
      </c>
      <c r="M39" s="418">
        <v>0</v>
      </c>
      <c r="N39" s="418">
        <v>0</v>
      </c>
      <c r="O39" s="21">
        <f>SUM(tabCustoUnit[[#This Row],[Salário Base]:[Adicional de Acúmulo de função]])</f>
        <v>1649.1152999999999</v>
      </c>
      <c r="P39" s="21">
        <f>tabCustoUnit[[#This Row],[MODULO 1 - REMUNERAÇÃO ]]*SUMIFS(tabParametros[INSS],tabParametros[Código do Posto],tabCustoUnit[[#This Row],[Código do Posto]])</f>
        <v>329.82306</v>
      </c>
      <c r="Q39" s="21">
        <f>tabCustoUnit[[#This Row],[MODULO 1 - REMUNERAÇÃO ]]*SUMIFS(tabParametros[SESI OU SESC],tabParametros[Código do Posto],tabCustoUnit[[#This Row],[Código do Posto]])</f>
        <v>24.736729499999999</v>
      </c>
      <c r="R39" s="21">
        <f>tabCustoUnit[[#This Row],[MODULO 1 - REMUNERAÇÃO ]]*SUMIFS(tabParametros[SENAI OU SENAC],tabParametros[Código do Posto],tabCustoUnit[[#This Row],[Código do Posto]])</f>
        <v>16.491153000000001</v>
      </c>
      <c r="S39" s="21">
        <f>tabCustoUnit[[#This Row],[MODULO 1 - REMUNERAÇÃO ]]*SUMIFS(tabParametros[INCRA],tabParametros[Código do Posto],tabCustoUnit[[#This Row],[Código do Posto]])</f>
        <v>3.2982306000000001</v>
      </c>
      <c r="T39" s="21">
        <f>tabCustoUnit[[#This Row],[MODULO 1 - REMUNERAÇÃO ]]*SUMIFS(tabParametros[Salário Educação],tabParametros[Código do Posto],tabCustoUnit[[#This Row],[Código do Posto]])</f>
        <v>41.2278825</v>
      </c>
      <c r="U39" s="21">
        <f>tabCustoUnit[[#This Row],[MODULO 1 - REMUNERAÇÃO ]]*SUMIFS(tabParametros[FGTS],tabParametros[Código do Posto],tabCustoUnit[[#This Row],[Código do Posto]])</f>
        <v>131.929224</v>
      </c>
      <c r="V39" s="21">
        <f>tabCustoUnit[[#This Row],[MODULO 1 - REMUNERAÇÃO ]]*SUMIFS(tabParametros[RAT Ajustado],tabParametros[Código do Posto],tabCustoUnit[[#This Row],[Código do Posto]])</f>
        <v>65.964612000000002</v>
      </c>
      <c r="W39" s="21">
        <f>tabCustoUnit[[#This Row],[MODULO 1 - REMUNERAÇÃO ]]*SUMIFS(tabParametros[SEBRAE],tabParametros[Código do Posto],tabCustoUnit[[#This Row],[Código do Posto]])</f>
        <v>9.8946918000000004</v>
      </c>
      <c r="X39" s="21">
        <f>SUM(tabCustoUnit[[#This Row],[INSS]:[SEBRAE]])</f>
        <v>623.36558340000011</v>
      </c>
      <c r="Y39" s="21">
        <f>tabCustoUnit[[#This Row],[MODULO 1 - REMUNERAÇÃO ]]*SUMIFS(tabParametros[13º salário (titular)],tabParametros[Código do Posto],tabCustoUnit[[#This Row],[Código do Posto]])</f>
        <v>137.42627499999998</v>
      </c>
      <c r="Z39" s="21">
        <f>tabCustoUnit[[#This Row],[MODULO 1 - REMUNERAÇÃO ]]*SUMIFS(tabParametros[Férias e Adicional de Férias (titular)],tabParametros[Código do Posto],tabCustoUnit[[#This Row],[Código do Posto]])</f>
        <v>183.23503333333332</v>
      </c>
      <c r="AA39" s="21">
        <f>IFERROR((tabCustoUnit[[#This Row],[Submódulo 2.1]]/tabCustoUnit[[#This Row],[MODULO 1 - REMUNERAÇÃO ]])*SUM(tabCustoUnit[[#This Row],[13º salário (titular)]:[Férias e Adicional de Férias (titular)]]),0)</f>
        <v>121.20997455</v>
      </c>
      <c r="AB39" s="21">
        <f>SUM(tabCustoUnit[[#This Row],[13º salário (titular)]:[Incidência do Submódulo 2.1 sobre 13º Salário, Férias e Adicional de Férias]])</f>
        <v>441.87128288333327</v>
      </c>
      <c r="AC39" s="22" t="e">
        <f ca="1">_xlfn.LET(_xlpm.VT,SUMIF(tabParametros[Código do Posto],tabCustoUnit[[#This Row],[Código do Posto]],tabParametros[Vale - Transporte])*2*20,
IF((_xlpm.VT-tabCustoUnit[[#This Row],[Salário Base]]*0.06)&gt;=0,(_xlpm.VT-tabCustoUnit[[#This Row],[Salário Base]]*0.06),0)
)</f>
        <v>#NAME?</v>
      </c>
      <c r="AD39" s="22">
        <f>IF(SUMIF(tabParametros[Código do Posto],tabCustoUnit[[#This Row],[Código do Posto]],tabParametros[Vale - Alimentação])&lt;=0,0,
SUMIF(tabParametros[Código do Posto],tabCustoUnit[[#This Row],[Código do Posto]],tabParametros[Vale - Alimentação])*20-1)</f>
        <v>582</v>
      </c>
      <c r="AE39" s="22">
        <f>SUMIF(tabParametros[Código do Posto],tabCustoUnit[[#This Row],[Código do Posto]],tabParametros[Cesta Básica])</f>
        <v>0</v>
      </c>
      <c r="AF39" s="22">
        <f>SUMIF(tabParametros[Código do Posto],tabCustoUnit[[#This Row],[Código do Posto]],tabParametros[PAF])</f>
        <v>95.9</v>
      </c>
      <c r="AG39" s="22">
        <f>SUMIF(tabParametros[Código do Posto],tabCustoUnit[[#This Row],[Código do Posto]],tabParametros[PQM])</f>
        <v>0</v>
      </c>
      <c r="AH39" s="22">
        <f>SUMIF(tabParametros[Código do Posto],tabCustoUnit[[#This Row],[Código do Posto]],tabParametros[Abono Único e Especial])</f>
        <v>0</v>
      </c>
      <c r="AI39" s="22">
        <f>SUMIF(tabParametros[Código do Posto],tabCustoUnit[[#This Row],[Código do Posto]],tabParametros[Seguro de Vida])</f>
        <v>3.36</v>
      </c>
      <c r="AJ39" s="22">
        <f>SUMIF(tabParametros[Código do Posto],tabCustoUnit[[#This Row],[Código do Posto]],tabParametros[Despesas de Viagem])</f>
        <v>202.08</v>
      </c>
      <c r="AK39" s="22" t="e">
        <f ca="1">SUM(tabCustoUnit[[#This Row],[Vale - Transporte (Descontada parcela do empregado)]:[Despesas de Viagem]])</f>
        <v>#NAME?</v>
      </c>
      <c r="AL39" s="22" t="e">
        <f ca="1">tabCustoUnit[[#This Row],[Submódulo 2.1]]+tabCustoUnit[[#This Row],[Submódulo 2.2]]+tabCustoUnit[[#This Row],[Submódulo 2.3]]</f>
        <v>#NAME?</v>
      </c>
      <c r="AM39" s="22">
        <f>SUMIF(tabParametros[Código do Posto],tabCustoUnit[[#This Row],[Código do Posto]],tabParametros[Aviso Prévio Indenizado (API) e Reflexo do Aviso Prévio Indenizado])*tabCustoUnit[[#This Row],[MODULO 1 - REMUNERAÇÃO ]]</f>
        <v>11.563212199016203</v>
      </c>
      <c r="AN39" s="22">
        <f>SUMIF(tabParametros[Código do Posto],tabCustoUnit[[#This Row],[Código do Posto]],tabParametros[Incidência do FGTS sobre API e Reflexo do API])*tabCustoUnit[[#This Row],[MODULO 1 - REMUNERAÇÃO ]]</f>
        <v>0.92505697592129632</v>
      </c>
      <c r="AO39" s="22">
        <f>SUMIF(tabParametros[Código do Posto],tabCustoUnit[[#This Row],[Código do Posto]],tabParametros[Multa Rescisória do FGTS sobre o Aviso Prévio Indenizado])*tabCustoUnit[[#This Row],[MODULO 1 - REMUNERAÇÃO ]]</f>
        <v>0.37002279036851859</v>
      </c>
      <c r="AP39" s="22">
        <f>SUMIF(tabParametros[Código do Posto],tabCustoUnit[[#This Row],[Código do Posto]],tabParametros[Aviso Prévio Trabalhado - APT])*tabCustoUnit[[#This Row],[MODULO 1 - REMUNERAÇÃO ]]</f>
        <v>5.7719035500000002</v>
      </c>
      <c r="AQ39" s="22">
        <f>SUMIF(tabParametros[Código do Posto],tabCustoUnit[[#This Row],[Código do Posto]],tabParametros[Incidência dos encargos do submódulo 2.1 sobre Aviso Prévio Trabalhado])*tabCustoUnit[[#This Row],[MODULO 1 - REMUNERAÇÃO ]]</f>
        <v>2.1817795419000006</v>
      </c>
      <c r="AR39" s="22">
        <f>SUMIF(tabParametros[Código do Posto],tabCustoUnit[[#This Row],[Código do Posto]],tabParametros[Multa Rescisória do FGTS])*tabCustoUnit[[#This Row],[MODULO 1 - REMUNERAÇÃO ]]</f>
        <v>50.426281173333322</v>
      </c>
      <c r="AS39" s="22">
        <f>SUMIF(tabParametros[Código do Posto],tabCustoUnit[[#This Row],[Código do Posto]],tabParametros[Indenização Adicional (Art. 9º da Lei nº 7.238/84)])*tabCustoUnit[[#This Row],[MODULO 1 - REMUNERAÇÃO ]]</f>
        <v>1.37426275</v>
      </c>
      <c r="AT39" s="22">
        <f>SUM(tabCustoUnit[[#This Row],[Aviso Prévio Indenizado (API) e Reflexo do Aviso Prévio Indenizado]:[Indenização Adicional (Art. 9º da Lei nº 7.238/84)]])</f>
        <v>72.612518980539335</v>
      </c>
      <c r="AU39" s="22">
        <f>SUMIF(tabParametros[Código do Posto],tabCustoUnit[[#This Row],[Código do Posto]],tabParametros[Ausência por Doença])*tabCustoUnit[[#This Row],[MODULO 1 - REMUNERAÇÃO ]]</f>
        <v>13.925862533333332</v>
      </c>
      <c r="AV39" s="22">
        <f>SUMIF(tabParametros[Código do Posto],tabCustoUnit[[#This Row],[Código do Posto]],tabParametros[Ausências Legais])*tabCustoUnit[[#This Row],[MODULO 1 - REMUNERAÇÃO ]]</f>
        <v>3.3440393583333332</v>
      </c>
      <c r="AW39" s="22">
        <f>SUMIF(tabParametros[Código do Posto],tabCustoUnit[[#This Row],[Código do Posto]],tabParametros[Licença Paternidade])*tabCustoUnit[[#This Row],[MODULO 1 - REMUNERAÇÃO ]]</f>
        <v>0.28172386374999997</v>
      </c>
      <c r="AX39" s="22">
        <f>SUMIF(tabParametros[Código do Posto],tabCustoUnit[[#This Row],[Código do Posto]],tabParametros[Ausência por Acidente de Trabalho])*tabCustoUnit[[#This Row],[MODULO 1 - REMUNERAÇÃO ]]</f>
        <v>0.34356568749999999</v>
      </c>
      <c r="AY39" s="22">
        <f>SUMIF(tabParametros[Código do Posto],tabCustoUnit[[#This Row],[Código do Posto]],tabParametros[Férias, Adicional de Férias e 13º  com empregada em gozo de Licença Maternidade])*tabCustoUnit[[#This Row],[MODULO 1 - REMUNERAÇÃO ]]</f>
        <v>2.1377420555555555</v>
      </c>
      <c r="AZ39" s="22">
        <f>SUMIF(tabParametros[Código do Posto],tabCustoUnit[[#This Row],[Código do Posto]],tabParametros[Incidência do Submódulo 2.1 sobre Ausências Legais])*tabCustoUnit[[#This Row],[MODULO 1 - REMUNERAÇÃO ]]</f>
        <v>7.572448862422501</v>
      </c>
      <c r="BA39" s="22">
        <f>SUM(tabCustoUnit[[#This Row],[Ausência por Doença]:[Incidência do Submódulo 2.1 sobre Ausências Legais]])</f>
        <v>27.605382360894719</v>
      </c>
      <c r="BB39" s="22">
        <f>SUMIF(tabParametros[Código do Posto],tabCustoUnit[[#This Row],[Código do Posto]],tabParametros[Intervalo para Repouso ou Alimentação])</f>
        <v>0</v>
      </c>
      <c r="BC39" s="22">
        <f>tabCustoUnit[[#This Row],[Intervalo para Repouso ou Alimentação]]</f>
        <v>0</v>
      </c>
      <c r="BD3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9" s="22">
        <f>tabCustoUnit[[#This Row],[Suspensão Temporária do Contrato de Trabalho]]</f>
        <v>0</v>
      </c>
      <c r="BF39" s="22">
        <f>tabCustoUnit[[#This Row],[Submódulo 4.1]]+tabCustoUnit[[#This Row],[Submódulo 4.2]]+tabCustoUnit[[#This Row],[Submódulo 4.3]]</f>
        <v>27.605382360894719</v>
      </c>
      <c r="BG39" s="22">
        <f>VLOOKUP(tabCustoUnit[[#This Row],[Código do Posto]],tabParametros[],MATCH(tabCustoUnit[[#Headers],[Uniformes e EPIs]],tabParametros[#Headers],0),0)</f>
        <v>101.67869344317154</v>
      </c>
      <c r="BH39" s="22">
        <f>VLOOKUP(tabCustoUnit[[#This Row],[Código do Posto]],tabParametros[],MATCH(tabCustoUnit[[#Headers],[Materiais de Consumo]],tabParametros[#Headers],0),0)</f>
        <v>0</v>
      </c>
      <c r="BI39" s="22">
        <f>VLOOKUP(tabCustoUnit[[#This Row],[Código do Posto]],tabParametros[],MATCH(tabCustoUnit[[#Headers],[Máquinas e Equipamentos (depreciação)]],tabParametros[#Headers],0),0)</f>
        <v>0</v>
      </c>
      <c r="BJ39" s="22">
        <f>VLOOKUP(tabCustoUnit[[#This Row],[Código do Posto]],tabParametros[],MATCH(tabCustoUnit[[#Headers],[Produtos de Limpeza e Materiais de Higiene Pessoal]],tabParametros[#Headers],0),0)</f>
        <v>0</v>
      </c>
      <c r="BK39" s="22">
        <f>VLOOKUP(tabCustoUnit[[#This Row],[Código do Posto]],tabParametros[],MATCH(tabCustoUnit[[#Headers],[Outros (especificar)]],tabParametros[#Headers],0),0)</f>
        <v>0</v>
      </c>
      <c r="BL39" s="22">
        <f>SUM(tabCustoUnit[[#This Row],[Uniformes e EPIs]:[Outros (especificar)]])</f>
        <v>101.67869344317154</v>
      </c>
      <c r="BM3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9" s="22" t="e">
        <f ca="1">VLOOKUP(tabCustoUnit[[#This Row],[Código do Posto]],tabParametros[],MATCH(tabCustoUnit[[#Headers],[Custos Indiretos]],tabParametros[#Headers],0),0)</f>
        <v>#NAME?</v>
      </c>
      <c r="BO39" s="22" t="e">
        <f ca="1">VLOOKUP(tabCustoUnit[[#This Row],[Código do Posto]],tabParametros[],MATCH(tabCustoUnit[[#Headers],[Lucro]],tabParametros[#Headers],0),0)</f>
        <v>#NAME?</v>
      </c>
      <c r="BP39" s="26">
        <f>((100/((1-tabCustoUnit[[#This Row],[Resumo de Alíquotas (PIS+CONFINS+ISS)]]))-100)*VLOOKUP(tabCustoUnit[[#This Row],[Código do Posto]],tabParametros[],MATCH(tabCustoUnit[[#Headers],[COFINS]],tabParametros[#Headers],0),0))/(tabCustoUnit[[#This Row],[Resumo de Alíquotas (PIS+CONFINS+ISS)]]*100)</f>
        <v>8.8629737609329504E-2</v>
      </c>
      <c r="BQ39" s="26">
        <f>((100/((100-(tabCustoUnit[[#This Row],[Resumo de Alíquotas (PIS+CONFINS+ISS)]]*100))%)-100)*VLOOKUP(tabCustoUnit[[#This Row],[Código do Posto]],tabParametros[],MATCH(tabCustoUnit[[#Headers],[PIS]],tabParametros[#Headers],0),0))/(tabCustoUnit[[#This Row],[Resumo de Alíquotas (PIS+CONFINS+ISS)]]*100)</f>
        <v>1.9241982507288629E-2</v>
      </c>
      <c r="BR39" s="28">
        <f>VLOOKUP(tabCustoUnit[[#This Row],[Código do Posto]],tabParametros[],MATCH(tabCustoUnit[[#Headers],[ISS]],tabParametros[#Headers],0),0)</f>
        <v>0.05</v>
      </c>
      <c r="BS39" s="26">
        <f>(((100/((100-(tabCustoUnit[[#This Row],[Resumo de Alíquotas (PIS+CONFINS+ISS)]]*100))%)-100)*tabCustoUnit[[#This Row],[ISS]])/tabCustoUnit[[#This Row],[Resumo de Alíquotas (PIS+CONFINS+ISS)]])/100</f>
        <v>5.8309037900874633E-2</v>
      </c>
      <c r="BT3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9" s="138">
        <f>tabCustoUnit[[#This Row],[COFINS]]+tabCustoUnit[[#This Row],[PIS]]+tabCustoUnit[[#This Row],[ISS (Conversão Alíquota s/ fatura)]]</f>
        <v>0.16618075801749277</v>
      </c>
      <c r="BV39" s="22" t="e">
        <f ca="1">(tabCustoUnit[[#This Row],[TOTAL MÓDULOS 1+2+3+4+5]]+tabCustoUnit[[#This Row],[Custos Indiretos]]+tabCustoUnit[[#This Row],[Lucro]])*tabCustoUnit[[#This Row],[PIS + COFINS + ISS (Total Conversão  Alíquota s/ Fatura)]]</f>
        <v>#NAME?</v>
      </c>
      <c r="BW39" s="22" t="e">
        <f ca="1">tabCustoUnit[[#This Row],[Custos Indiretos]]+tabCustoUnit[[#This Row],[Lucro]]+tabCustoUnit[[#This Row],[Valor dos Tributos (ISS, PIS, CONFINS)]]</f>
        <v>#NAME?</v>
      </c>
      <c r="BX39" s="22" t="e">
        <f ca="1">tabCustoUnit[[#This Row],[TOTAL MÓDULOS 1+2+3+4+5]]+tabCustoUnit[[#This Row],[MÓDULO 6 – CUSTOS INDIRETOS, TRIBUTOS E LUCRO]]</f>
        <v>#NAME?</v>
      </c>
      <c r="BY39" s="22" t="e">
        <f ca="1">tabCustoUnit[[#This Row],[CUSTO TOTAL MENSAL]]*12</f>
        <v>#NAME?</v>
      </c>
      <c r="BZ39" s="24">
        <f>VLOOKUP(tabCustoUnit[[#This Row],[Código do Posto]],tabParametros[],MATCH(tabCustoUnit[[#Headers],[ANO DA CCT]],tabParametros[#Headers],0),0)</f>
        <v>45658</v>
      </c>
      <c r="CA39" s="25" t="str">
        <f>VLOOKUP(tabCustoUnit[[#This Row],[Código do Posto]],tabParametros[],MATCH(tabCustoUnit[[#Headers],[Nº DE PEDIDO DA CCT]],tabParametros[#Headers],0),0)</f>
        <v>-</v>
      </c>
      <c r="CB39" s="25" t="str">
        <f>VLOOKUP(tabCustoUnit[[#This Row],[Código do Posto]],tabParametros[],MATCH(tabCustoUnit[[#Headers],[TERMO ADITIVO ALTERAÇÃO DA CCT]],tabParametros[#Headers],0),0)</f>
        <v>-</v>
      </c>
    </row>
    <row r="40" spans="1:80">
      <c r="A40" s="20" t="s">
        <v>1419</v>
      </c>
      <c r="B40" t="s">
        <v>1103</v>
      </c>
      <c r="C40" t="s">
        <v>200</v>
      </c>
      <c r="D40" t="s">
        <v>1035</v>
      </c>
      <c r="E40" s="20" t="s">
        <v>1090</v>
      </c>
      <c r="F40" s="20" t="s">
        <v>120</v>
      </c>
      <c r="G40" s="418">
        <v>1649.1152999999999</v>
      </c>
      <c r="H40" s="418">
        <v>0</v>
      </c>
      <c r="I40" s="418">
        <v>0</v>
      </c>
      <c r="J40" s="418">
        <v>0</v>
      </c>
      <c r="K40" s="418">
        <v>0</v>
      </c>
      <c r="L40" s="418">
        <v>0</v>
      </c>
      <c r="M40" s="418">
        <v>0</v>
      </c>
      <c r="N40" s="418">
        <v>0</v>
      </c>
      <c r="O40" s="21">
        <f>SUM(tabCustoUnit[[#This Row],[Salário Base]:[Adicional de Acúmulo de função]])</f>
        <v>1649.1152999999999</v>
      </c>
      <c r="P40" s="21">
        <f>tabCustoUnit[[#This Row],[MODULO 1 - REMUNERAÇÃO ]]*SUMIFS(tabParametros[INSS],tabParametros[Código do Posto],tabCustoUnit[[#This Row],[Código do Posto]])</f>
        <v>329.82306</v>
      </c>
      <c r="Q40" s="21">
        <f>tabCustoUnit[[#This Row],[MODULO 1 - REMUNERAÇÃO ]]*SUMIFS(tabParametros[SESI OU SESC],tabParametros[Código do Posto],tabCustoUnit[[#This Row],[Código do Posto]])</f>
        <v>24.736729499999999</v>
      </c>
      <c r="R40" s="21">
        <f>tabCustoUnit[[#This Row],[MODULO 1 - REMUNERAÇÃO ]]*SUMIFS(tabParametros[SENAI OU SENAC],tabParametros[Código do Posto],tabCustoUnit[[#This Row],[Código do Posto]])</f>
        <v>16.491153000000001</v>
      </c>
      <c r="S40" s="21">
        <f>tabCustoUnit[[#This Row],[MODULO 1 - REMUNERAÇÃO ]]*SUMIFS(tabParametros[INCRA],tabParametros[Código do Posto],tabCustoUnit[[#This Row],[Código do Posto]])</f>
        <v>3.2982306000000001</v>
      </c>
      <c r="T40" s="21">
        <f>tabCustoUnit[[#This Row],[MODULO 1 - REMUNERAÇÃO ]]*SUMIFS(tabParametros[Salário Educação],tabParametros[Código do Posto],tabCustoUnit[[#This Row],[Código do Posto]])</f>
        <v>41.2278825</v>
      </c>
      <c r="U40" s="21">
        <f>tabCustoUnit[[#This Row],[MODULO 1 - REMUNERAÇÃO ]]*SUMIFS(tabParametros[FGTS],tabParametros[Código do Posto],tabCustoUnit[[#This Row],[Código do Posto]])</f>
        <v>131.929224</v>
      </c>
      <c r="V40" s="21">
        <f>tabCustoUnit[[#This Row],[MODULO 1 - REMUNERAÇÃO ]]*SUMIFS(tabParametros[RAT Ajustado],tabParametros[Código do Posto],tabCustoUnit[[#This Row],[Código do Posto]])</f>
        <v>65.964612000000002</v>
      </c>
      <c r="W40" s="21">
        <f>tabCustoUnit[[#This Row],[MODULO 1 - REMUNERAÇÃO ]]*SUMIFS(tabParametros[SEBRAE],tabParametros[Código do Posto],tabCustoUnit[[#This Row],[Código do Posto]])</f>
        <v>9.8946918000000004</v>
      </c>
      <c r="X40" s="21">
        <f>SUM(tabCustoUnit[[#This Row],[INSS]:[SEBRAE]])</f>
        <v>623.36558340000011</v>
      </c>
      <c r="Y40" s="21">
        <f>tabCustoUnit[[#This Row],[MODULO 1 - REMUNERAÇÃO ]]*SUMIFS(tabParametros[13º salário (titular)],tabParametros[Código do Posto],tabCustoUnit[[#This Row],[Código do Posto]])</f>
        <v>137.42627499999998</v>
      </c>
      <c r="Z40" s="21">
        <f>tabCustoUnit[[#This Row],[MODULO 1 - REMUNERAÇÃO ]]*SUMIFS(tabParametros[Férias e Adicional de Férias (titular)],tabParametros[Código do Posto],tabCustoUnit[[#This Row],[Código do Posto]])</f>
        <v>183.23503333333332</v>
      </c>
      <c r="AA40" s="21">
        <f>IFERROR((tabCustoUnit[[#This Row],[Submódulo 2.1]]/tabCustoUnit[[#This Row],[MODULO 1 - REMUNERAÇÃO ]])*SUM(tabCustoUnit[[#This Row],[13º salário (titular)]:[Férias e Adicional de Férias (titular)]]),0)</f>
        <v>121.20997455</v>
      </c>
      <c r="AB40" s="21">
        <f>SUM(tabCustoUnit[[#This Row],[13º salário (titular)]:[Incidência do Submódulo 2.1 sobre 13º Salário, Férias e Adicional de Férias]])</f>
        <v>441.87128288333327</v>
      </c>
      <c r="AC40" s="22" t="e">
        <f ca="1">_xlfn.LET(_xlpm.VT,SUMIF(tabParametros[Código do Posto],tabCustoUnit[[#This Row],[Código do Posto]],tabParametros[Vale - Transporte])*2*20,
IF((_xlpm.VT-tabCustoUnit[[#This Row],[Salário Base]]*0.06)&gt;=0,(_xlpm.VT-tabCustoUnit[[#This Row],[Salário Base]]*0.06),0)
)</f>
        <v>#NAME?</v>
      </c>
      <c r="AD40" s="22">
        <f>IF(SUMIF(tabParametros[Código do Posto],tabCustoUnit[[#This Row],[Código do Posto]],tabParametros[Vale - Alimentação])&lt;=0,0,
SUMIF(tabParametros[Código do Posto],tabCustoUnit[[#This Row],[Código do Posto]],tabParametros[Vale - Alimentação])*20-1)</f>
        <v>582</v>
      </c>
      <c r="AE40" s="22">
        <f>SUMIF(tabParametros[Código do Posto],tabCustoUnit[[#This Row],[Código do Posto]],tabParametros[Cesta Básica])</f>
        <v>0</v>
      </c>
      <c r="AF40" s="22">
        <f>SUMIF(tabParametros[Código do Posto],tabCustoUnit[[#This Row],[Código do Posto]],tabParametros[PAF])</f>
        <v>95.9</v>
      </c>
      <c r="AG40" s="22">
        <f>SUMIF(tabParametros[Código do Posto],tabCustoUnit[[#This Row],[Código do Posto]],tabParametros[PQM])</f>
        <v>0</v>
      </c>
      <c r="AH40" s="22">
        <f>SUMIF(tabParametros[Código do Posto],tabCustoUnit[[#This Row],[Código do Posto]],tabParametros[Abono Único e Especial])</f>
        <v>0</v>
      </c>
      <c r="AI40" s="22">
        <f>SUMIF(tabParametros[Código do Posto],tabCustoUnit[[#This Row],[Código do Posto]],tabParametros[Seguro de Vida])</f>
        <v>3.36</v>
      </c>
      <c r="AJ40" s="22">
        <f>SUMIF(tabParametros[Código do Posto],tabCustoUnit[[#This Row],[Código do Posto]],tabParametros[Despesas de Viagem])</f>
        <v>202.08</v>
      </c>
      <c r="AK40" s="22" t="e">
        <f ca="1">SUM(tabCustoUnit[[#This Row],[Vale - Transporte (Descontada parcela do empregado)]:[Despesas de Viagem]])</f>
        <v>#NAME?</v>
      </c>
      <c r="AL40" s="22" t="e">
        <f ca="1">tabCustoUnit[[#This Row],[Submódulo 2.1]]+tabCustoUnit[[#This Row],[Submódulo 2.2]]+tabCustoUnit[[#This Row],[Submódulo 2.3]]</f>
        <v>#NAME?</v>
      </c>
      <c r="AM40" s="22">
        <f>SUMIF(tabParametros[Código do Posto],tabCustoUnit[[#This Row],[Código do Posto]],tabParametros[Aviso Prévio Indenizado (API) e Reflexo do Aviso Prévio Indenizado])*tabCustoUnit[[#This Row],[MODULO 1 - REMUNERAÇÃO ]]</f>
        <v>11.563212199016203</v>
      </c>
      <c r="AN40" s="22">
        <f>SUMIF(tabParametros[Código do Posto],tabCustoUnit[[#This Row],[Código do Posto]],tabParametros[Incidência do FGTS sobre API e Reflexo do API])*tabCustoUnit[[#This Row],[MODULO 1 - REMUNERAÇÃO ]]</f>
        <v>0.92505697592129632</v>
      </c>
      <c r="AO40" s="22">
        <f>SUMIF(tabParametros[Código do Posto],tabCustoUnit[[#This Row],[Código do Posto]],tabParametros[Multa Rescisória do FGTS sobre o Aviso Prévio Indenizado])*tabCustoUnit[[#This Row],[MODULO 1 - REMUNERAÇÃO ]]</f>
        <v>0.37002279036851859</v>
      </c>
      <c r="AP40" s="22">
        <f>SUMIF(tabParametros[Código do Posto],tabCustoUnit[[#This Row],[Código do Posto]],tabParametros[Aviso Prévio Trabalhado - APT])*tabCustoUnit[[#This Row],[MODULO 1 - REMUNERAÇÃO ]]</f>
        <v>5.7719035500000002</v>
      </c>
      <c r="AQ40" s="22">
        <f>SUMIF(tabParametros[Código do Posto],tabCustoUnit[[#This Row],[Código do Posto]],tabParametros[Incidência dos encargos do submódulo 2.1 sobre Aviso Prévio Trabalhado])*tabCustoUnit[[#This Row],[MODULO 1 - REMUNERAÇÃO ]]</f>
        <v>2.1817795419000006</v>
      </c>
      <c r="AR40" s="22">
        <f>SUMIF(tabParametros[Código do Posto],tabCustoUnit[[#This Row],[Código do Posto]],tabParametros[Multa Rescisória do FGTS])*tabCustoUnit[[#This Row],[MODULO 1 - REMUNERAÇÃO ]]</f>
        <v>50.426281173333322</v>
      </c>
      <c r="AS40" s="22">
        <f>SUMIF(tabParametros[Código do Posto],tabCustoUnit[[#This Row],[Código do Posto]],tabParametros[Indenização Adicional (Art. 9º da Lei nº 7.238/84)])*tabCustoUnit[[#This Row],[MODULO 1 - REMUNERAÇÃO ]]</f>
        <v>1.37426275</v>
      </c>
      <c r="AT40" s="22">
        <f>SUM(tabCustoUnit[[#This Row],[Aviso Prévio Indenizado (API) e Reflexo do Aviso Prévio Indenizado]:[Indenização Adicional (Art. 9º da Lei nº 7.238/84)]])</f>
        <v>72.612518980539335</v>
      </c>
      <c r="AU40" s="22">
        <f>SUMIF(tabParametros[Código do Posto],tabCustoUnit[[#This Row],[Código do Posto]],tabParametros[Ausência por Doença])*tabCustoUnit[[#This Row],[MODULO 1 - REMUNERAÇÃO ]]</f>
        <v>13.925862533333332</v>
      </c>
      <c r="AV40" s="22">
        <f>SUMIF(tabParametros[Código do Posto],tabCustoUnit[[#This Row],[Código do Posto]],tabParametros[Ausências Legais])*tabCustoUnit[[#This Row],[MODULO 1 - REMUNERAÇÃO ]]</f>
        <v>3.3440393583333332</v>
      </c>
      <c r="AW40" s="22">
        <f>SUMIF(tabParametros[Código do Posto],tabCustoUnit[[#This Row],[Código do Posto]],tabParametros[Licença Paternidade])*tabCustoUnit[[#This Row],[MODULO 1 - REMUNERAÇÃO ]]</f>
        <v>0.28172386374999997</v>
      </c>
      <c r="AX40" s="22">
        <f>SUMIF(tabParametros[Código do Posto],tabCustoUnit[[#This Row],[Código do Posto]],tabParametros[Ausência por Acidente de Trabalho])*tabCustoUnit[[#This Row],[MODULO 1 - REMUNERAÇÃO ]]</f>
        <v>0.34356568749999999</v>
      </c>
      <c r="AY40" s="22">
        <f>SUMIF(tabParametros[Código do Posto],tabCustoUnit[[#This Row],[Código do Posto]],tabParametros[Férias, Adicional de Férias e 13º  com empregada em gozo de Licença Maternidade])*tabCustoUnit[[#This Row],[MODULO 1 - REMUNERAÇÃO ]]</f>
        <v>2.1377420555555555</v>
      </c>
      <c r="AZ40" s="22">
        <f>SUMIF(tabParametros[Código do Posto],tabCustoUnit[[#This Row],[Código do Posto]],tabParametros[Incidência do Submódulo 2.1 sobre Ausências Legais])*tabCustoUnit[[#This Row],[MODULO 1 - REMUNERAÇÃO ]]</f>
        <v>7.572448862422501</v>
      </c>
      <c r="BA40" s="22">
        <f>SUM(tabCustoUnit[[#This Row],[Ausência por Doença]:[Incidência do Submódulo 2.1 sobre Ausências Legais]])</f>
        <v>27.605382360894719</v>
      </c>
      <c r="BB40" s="22">
        <f>SUMIF(tabParametros[Código do Posto],tabCustoUnit[[#This Row],[Código do Posto]],tabParametros[Intervalo para Repouso ou Alimentação])</f>
        <v>0</v>
      </c>
      <c r="BC40" s="22">
        <f>tabCustoUnit[[#This Row],[Intervalo para Repouso ou Alimentação]]</f>
        <v>0</v>
      </c>
      <c r="BD4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0" s="22">
        <f>tabCustoUnit[[#This Row],[Suspensão Temporária do Contrato de Trabalho]]</f>
        <v>0</v>
      </c>
      <c r="BF40" s="22">
        <f>tabCustoUnit[[#This Row],[Submódulo 4.1]]+tabCustoUnit[[#This Row],[Submódulo 4.2]]+tabCustoUnit[[#This Row],[Submódulo 4.3]]</f>
        <v>27.605382360894719</v>
      </c>
      <c r="BG40" s="22">
        <f>VLOOKUP(tabCustoUnit[[#This Row],[Código do Posto]],tabParametros[],MATCH(tabCustoUnit[[#Headers],[Uniformes e EPIs]],tabParametros[#Headers],0),0)</f>
        <v>56.141713661989918</v>
      </c>
      <c r="BH40" s="22">
        <f>VLOOKUP(tabCustoUnit[[#This Row],[Código do Posto]],tabParametros[],MATCH(tabCustoUnit[[#Headers],[Materiais de Consumo]],tabParametros[#Headers],0),0)</f>
        <v>0</v>
      </c>
      <c r="BI40" s="22">
        <f>VLOOKUP(tabCustoUnit[[#This Row],[Código do Posto]],tabParametros[],MATCH(tabCustoUnit[[#Headers],[Máquinas e Equipamentos (depreciação)]],tabParametros[#Headers],0),0)</f>
        <v>0</v>
      </c>
      <c r="BJ40" s="22">
        <f>VLOOKUP(tabCustoUnit[[#This Row],[Código do Posto]],tabParametros[],MATCH(tabCustoUnit[[#Headers],[Produtos de Limpeza e Materiais de Higiene Pessoal]],tabParametros[#Headers],0),0)</f>
        <v>0</v>
      </c>
      <c r="BK40" s="22">
        <f>VLOOKUP(tabCustoUnit[[#This Row],[Código do Posto]],tabParametros[],MATCH(tabCustoUnit[[#Headers],[Outros (especificar)]],tabParametros[#Headers],0),0)</f>
        <v>0</v>
      </c>
      <c r="BL40" s="22">
        <f>SUM(tabCustoUnit[[#This Row],[Uniformes e EPIs]:[Outros (especificar)]])</f>
        <v>56.141713661989918</v>
      </c>
      <c r="BM4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0" s="22" t="e">
        <f ca="1">VLOOKUP(tabCustoUnit[[#This Row],[Código do Posto]],tabParametros[],MATCH(tabCustoUnit[[#Headers],[Custos Indiretos]],tabParametros[#Headers],0),0)</f>
        <v>#NAME?</v>
      </c>
      <c r="BO40" s="22" t="e">
        <f ca="1">VLOOKUP(tabCustoUnit[[#This Row],[Código do Posto]],tabParametros[],MATCH(tabCustoUnit[[#Headers],[Lucro]],tabParametros[#Headers],0),0)</f>
        <v>#NAME?</v>
      </c>
      <c r="BP40" s="26">
        <f>((100/((1-tabCustoUnit[[#This Row],[Resumo de Alíquotas (PIS+CONFINS+ISS)]]))-100)*VLOOKUP(tabCustoUnit[[#This Row],[Código do Posto]],tabParametros[],MATCH(tabCustoUnit[[#Headers],[COFINS]],tabParametros[#Headers],0),0))/(tabCustoUnit[[#This Row],[Resumo de Alíquotas (PIS+CONFINS+ISS)]]*100)</f>
        <v>8.8629737609329504E-2</v>
      </c>
      <c r="BQ40" s="26">
        <f>((100/((100-(tabCustoUnit[[#This Row],[Resumo de Alíquotas (PIS+CONFINS+ISS)]]*100))%)-100)*VLOOKUP(tabCustoUnit[[#This Row],[Código do Posto]],tabParametros[],MATCH(tabCustoUnit[[#Headers],[PIS]],tabParametros[#Headers],0),0))/(tabCustoUnit[[#This Row],[Resumo de Alíquotas (PIS+CONFINS+ISS)]]*100)</f>
        <v>1.9241982507288629E-2</v>
      </c>
      <c r="BR40" s="28">
        <f>VLOOKUP(tabCustoUnit[[#This Row],[Código do Posto]],tabParametros[],MATCH(tabCustoUnit[[#Headers],[ISS]],tabParametros[#Headers],0),0)</f>
        <v>0.05</v>
      </c>
      <c r="BS40" s="26">
        <f>(((100/((100-(tabCustoUnit[[#This Row],[Resumo de Alíquotas (PIS+CONFINS+ISS)]]*100))%)-100)*tabCustoUnit[[#This Row],[ISS]])/tabCustoUnit[[#This Row],[Resumo de Alíquotas (PIS+CONFINS+ISS)]])/100</f>
        <v>5.8309037900874633E-2</v>
      </c>
      <c r="BT4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0" s="138">
        <f>tabCustoUnit[[#This Row],[COFINS]]+tabCustoUnit[[#This Row],[PIS]]+tabCustoUnit[[#This Row],[ISS (Conversão Alíquota s/ fatura)]]</f>
        <v>0.16618075801749277</v>
      </c>
      <c r="BV40" s="22" t="e">
        <f ca="1">(tabCustoUnit[[#This Row],[TOTAL MÓDULOS 1+2+3+4+5]]+tabCustoUnit[[#This Row],[Custos Indiretos]]+tabCustoUnit[[#This Row],[Lucro]])*tabCustoUnit[[#This Row],[PIS + COFINS + ISS (Total Conversão  Alíquota s/ Fatura)]]</f>
        <v>#NAME?</v>
      </c>
      <c r="BW40" s="22" t="e">
        <f ca="1">tabCustoUnit[[#This Row],[Custos Indiretos]]+tabCustoUnit[[#This Row],[Lucro]]+tabCustoUnit[[#This Row],[Valor dos Tributos (ISS, PIS, CONFINS)]]</f>
        <v>#NAME?</v>
      </c>
      <c r="BX40" s="22" t="e">
        <f ca="1">tabCustoUnit[[#This Row],[TOTAL MÓDULOS 1+2+3+4+5]]+tabCustoUnit[[#This Row],[MÓDULO 6 – CUSTOS INDIRETOS, TRIBUTOS E LUCRO]]</f>
        <v>#NAME?</v>
      </c>
      <c r="BY40" s="22" t="e">
        <f ca="1">tabCustoUnit[[#This Row],[CUSTO TOTAL MENSAL]]*12</f>
        <v>#NAME?</v>
      </c>
      <c r="BZ40" s="24">
        <f>VLOOKUP(tabCustoUnit[[#This Row],[Código do Posto]],tabParametros[],MATCH(tabCustoUnit[[#Headers],[ANO DA CCT]],tabParametros[#Headers],0),0)</f>
        <v>45658</v>
      </c>
      <c r="CA40" s="25" t="str">
        <f>VLOOKUP(tabCustoUnit[[#This Row],[Código do Posto]],tabParametros[],MATCH(tabCustoUnit[[#Headers],[Nº DE PEDIDO DA CCT]],tabParametros[#Headers],0),0)</f>
        <v>-</v>
      </c>
      <c r="CB40" s="25" t="str">
        <f>VLOOKUP(tabCustoUnit[[#This Row],[Código do Posto]],tabParametros[],MATCH(tabCustoUnit[[#Headers],[TERMO ADITIVO ALTERAÇÃO DA CCT]],tabParametros[#Headers],0),0)</f>
        <v>-</v>
      </c>
    </row>
    <row r="41" spans="1:80">
      <c r="A41" s="20" t="s">
        <v>1420</v>
      </c>
      <c r="B41" t="s">
        <v>1103</v>
      </c>
      <c r="C41" t="s">
        <v>1371</v>
      </c>
      <c r="D41" t="s">
        <v>1035</v>
      </c>
      <c r="E41" s="20" t="s">
        <v>1090</v>
      </c>
      <c r="F41" s="20" t="s">
        <v>120</v>
      </c>
      <c r="G41" s="418">
        <v>6454.87</v>
      </c>
      <c r="H41" s="418">
        <v>0</v>
      </c>
      <c r="I41" s="418">
        <v>0</v>
      </c>
      <c r="J41" s="418">
        <v>0</v>
      </c>
      <c r="K41" s="418">
        <v>0</v>
      </c>
      <c r="L41" s="418">
        <v>0</v>
      </c>
      <c r="M41" s="418">
        <v>0</v>
      </c>
      <c r="N41" s="418">
        <v>0</v>
      </c>
      <c r="O41" s="21">
        <f>SUM(tabCustoUnit[[#This Row],[Salário Base]:[Adicional de Acúmulo de função]])</f>
        <v>6454.87</v>
      </c>
      <c r="P41" s="21">
        <f>tabCustoUnit[[#This Row],[MODULO 1 - REMUNERAÇÃO ]]*SUMIFS(tabParametros[INSS],tabParametros[Código do Posto],tabCustoUnit[[#This Row],[Código do Posto]])</f>
        <v>1290.9740000000002</v>
      </c>
      <c r="Q41" s="21">
        <f>tabCustoUnit[[#This Row],[MODULO 1 - REMUNERAÇÃO ]]*SUMIFS(tabParametros[SESI OU SESC],tabParametros[Código do Posto],tabCustoUnit[[#This Row],[Código do Posto]])</f>
        <v>96.823049999999995</v>
      </c>
      <c r="R41" s="21">
        <f>tabCustoUnit[[#This Row],[MODULO 1 - REMUNERAÇÃO ]]*SUMIFS(tabParametros[SENAI OU SENAC],tabParametros[Código do Posto],tabCustoUnit[[#This Row],[Código do Posto]])</f>
        <v>64.548699999999997</v>
      </c>
      <c r="S41" s="21">
        <f>tabCustoUnit[[#This Row],[MODULO 1 - REMUNERAÇÃO ]]*SUMIFS(tabParametros[INCRA],tabParametros[Código do Posto],tabCustoUnit[[#This Row],[Código do Posto]])</f>
        <v>12.909739999999999</v>
      </c>
      <c r="T41" s="21">
        <f>tabCustoUnit[[#This Row],[MODULO 1 - REMUNERAÇÃO ]]*SUMIFS(tabParametros[Salário Educação],tabParametros[Código do Posto],tabCustoUnit[[#This Row],[Código do Posto]])</f>
        <v>161.37175000000002</v>
      </c>
      <c r="U41" s="21">
        <f>tabCustoUnit[[#This Row],[MODULO 1 - REMUNERAÇÃO ]]*SUMIFS(tabParametros[FGTS],tabParametros[Código do Posto],tabCustoUnit[[#This Row],[Código do Posto]])</f>
        <v>516.38959999999997</v>
      </c>
      <c r="V41" s="21">
        <f>tabCustoUnit[[#This Row],[MODULO 1 - REMUNERAÇÃO ]]*SUMIFS(tabParametros[RAT Ajustado],tabParametros[Código do Posto],tabCustoUnit[[#This Row],[Código do Posto]])</f>
        <v>258.19479999999999</v>
      </c>
      <c r="W41" s="21">
        <f>tabCustoUnit[[#This Row],[MODULO 1 - REMUNERAÇÃO ]]*SUMIFS(tabParametros[SEBRAE],tabParametros[Código do Posto],tabCustoUnit[[#This Row],[Código do Posto]])</f>
        <v>38.729219999999998</v>
      </c>
      <c r="X41" s="21">
        <f>SUM(tabCustoUnit[[#This Row],[INSS]:[SEBRAE]])</f>
        <v>2439.9408600000006</v>
      </c>
      <c r="Y41" s="21">
        <f>tabCustoUnit[[#This Row],[MODULO 1 - REMUNERAÇÃO ]]*SUMIFS(tabParametros[13º salário (titular)],tabParametros[Código do Posto],tabCustoUnit[[#This Row],[Código do Posto]])</f>
        <v>537.90583333333325</v>
      </c>
      <c r="Z41" s="21">
        <f>tabCustoUnit[[#This Row],[MODULO 1 - REMUNERAÇÃO ]]*SUMIFS(tabParametros[Férias e Adicional de Férias (titular)],tabParametros[Código do Posto],tabCustoUnit[[#This Row],[Código do Posto]])</f>
        <v>717.20777777777778</v>
      </c>
      <c r="AA41" s="21">
        <f>IFERROR((tabCustoUnit[[#This Row],[Submódulo 2.1]]/tabCustoUnit[[#This Row],[MODULO 1 - REMUNERAÇÃO ]])*SUM(tabCustoUnit[[#This Row],[13º salário (titular)]:[Férias e Adicional de Férias (titular)]]),0)</f>
        <v>474.43294500000007</v>
      </c>
      <c r="AB41" s="21">
        <f>SUM(tabCustoUnit[[#This Row],[13º salário (titular)]:[Incidência do Submódulo 2.1 sobre 13º Salário, Férias e Adicional de Férias]])</f>
        <v>1729.5465561111109</v>
      </c>
      <c r="AC41" s="22" t="e">
        <f ca="1">_xlfn.LET(_xlpm.VT,SUMIF(tabParametros[Código do Posto],tabCustoUnit[[#This Row],[Código do Posto]],tabParametros[Vale - Transporte])*2*20,
IF((_xlpm.VT-tabCustoUnit[[#This Row],[Salário Base]]*0.06)&gt;=0,(_xlpm.VT-tabCustoUnit[[#This Row],[Salário Base]]*0.06),0)
)</f>
        <v>#NAME?</v>
      </c>
      <c r="AD41" s="22">
        <f>IF(SUMIF(tabParametros[Código do Posto],tabCustoUnit[[#This Row],[Código do Posto]],tabParametros[Vale - Alimentação])&lt;=0,0,
SUMIF(tabParametros[Código do Posto],tabCustoUnit[[#This Row],[Código do Posto]],tabParametros[Vale - Alimentação])*20-1)</f>
        <v>582</v>
      </c>
      <c r="AE41" s="22">
        <f>SUMIF(tabParametros[Código do Posto],tabCustoUnit[[#This Row],[Código do Posto]],tabParametros[Cesta Básica])</f>
        <v>0</v>
      </c>
      <c r="AF41" s="22">
        <f>SUMIF(tabParametros[Código do Posto],tabCustoUnit[[#This Row],[Código do Posto]],tabParametros[PAF])</f>
        <v>95.9</v>
      </c>
      <c r="AG41" s="22">
        <f>SUMIF(tabParametros[Código do Posto],tabCustoUnit[[#This Row],[Código do Posto]],tabParametros[PQM])</f>
        <v>0</v>
      </c>
      <c r="AH41" s="22">
        <f>SUMIF(tabParametros[Código do Posto],tabCustoUnit[[#This Row],[Código do Posto]],tabParametros[Abono Único e Especial])</f>
        <v>0</v>
      </c>
      <c r="AI41" s="22">
        <f>SUMIF(tabParametros[Código do Posto],tabCustoUnit[[#This Row],[Código do Posto]],tabParametros[Seguro de Vida])</f>
        <v>3.36</v>
      </c>
      <c r="AJ41" s="22">
        <f>SUMIF(tabParametros[Código do Posto],tabCustoUnit[[#This Row],[Código do Posto]],tabParametros[Despesas de Viagem])</f>
        <v>202.08</v>
      </c>
      <c r="AK41" s="22" t="e">
        <f ca="1">SUM(tabCustoUnit[[#This Row],[Vale - Transporte (Descontada parcela do empregado)]:[Despesas de Viagem]])</f>
        <v>#NAME?</v>
      </c>
      <c r="AL41" s="22" t="e">
        <f ca="1">tabCustoUnit[[#This Row],[Submódulo 2.1]]+tabCustoUnit[[#This Row],[Submódulo 2.2]]+tabCustoUnit[[#This Row],[Submódulo 2.3]]</f>
        <v>#NAME?</v>
      </c>
      <c r="AM41" s="22">
        <f>SUMIF(tabParametros[Código do Posto],tabCustoUnit[[#This Row],[Código do Posto]],tabParametros[Aviso Prévio Indenizado (API) e Reflexo do Aviso Prévio Indenizado])*tabCustoUnit[[#This Row],[MODULO 1 - REMUNERAÇÃO ]]</f>
        <v>45.260044295910497</v>
      </c>
      <c r="AN41" s="22">
        <f>SUMIF(tabParametros[Código do Posto],tabCustoUnit[[#This Row],[Código do Posto]],tabParametros[Incidência do FGTS sobre API e Reflexo do API])*tabCustoUnit[[#This Row],[MODULO 1 - REMUNERAÇÃO ]]</f>
        <v>3.6208035436728396</v>
      </c>
      <c r="AO41" s="22">
        <f>SUMIF(tabParametros[Código do Posto],tabCustoUnit[[#This Row],[Código do Posto]],tabParametros[Multa Rescisória do FGTS sobre o Aviso Prévio Indenizado])*tabCustoUnit[[#This Row],[MODULO 1 - REMUNERAÇÃO ]]</f>
        <v>1.4483214174691361</v>
      </c>
      <c r="AP41" s="22">
        <f>SUMIF(tabParametros[Código do Posto],tabCustoUnit[[#This Row],[Código do Posto]],tabParametros[Aviso Prévio Trabalhado - APT])*tabCustoUnit[[#This Row],[MODULO 1 - REMUNERAÇÃO ]]</f>
        <v>22.592045000000002</v>
      </c>
      <c r="AQ41" s="22">
        <f>SUMIF(tabParametros[Código do Posto],tabCustoUnit[[#This Row],[Código do Posto]],tabParametros[Incidência dos encargos do submódulo 2.1 sobre Aviso Prévio Trabalhado])*tabCustoUnit[[#This Row],[MODULO 1 - REMUNERAÇÃO ]]</f>
        <v>8.5397930100000021</v>
      </c>
      <c r="AR41" s="22">
        <f>SUMIF(tabParametros[Código do Posto],tabCustoUnit[[#This Row],[Código do Posto]],tabParametros[Multa Rescisória do FGTS])*tabCustoUnit[[#This Row],[MODULO 1 - REMUNERAÇÃO ]]</f>
        <v>197.37558044444441</v>
      </c>
      <c r="AS41" s="22">
        <f>SUMIF(tabParametros[Código do Posto],tabCustoUnit[[#This Row],[Código do Posto]],tabParametros[Indenização Adicional (Art. 9º da Lei nº 7.238/84)])*tabCustoUnit[[#This Row],[MODULO 1 - REMUNERAÇÃO ]]</f>
        <v>5.3790583333333339</v>
      </c>
      <c r="AT41" s="22">
        <f>SUM(tabCustoUnit[[#This Row],[Aviso Prévio Indenizado (API) e Reflexo do Aviso Prévio Indenizado]:[Indenização Adicional (Art. 9º da Lei nº 7.238/84)]])</f>
        <v>284.21564604483024</v>
      </c>
      <c r="AU41" s="22">
        <f>SUMIF(tabParametros[Código do Posto],tabCustoUnit[[#This Row],[Código do Posto]],tabParametros[Ausência por Doença])*tabCustoUnit[[#This Row],[MODULO 1 - REMUNERAÇÃO ]]</f>
        <v>54.507791111111104</v>
      </c>
      <c r="AV41" s="22">
        <f>SUMIF(tabParametros[Código do Posto],tabCustoUnit[[#This Row],[Código do Posto]],tabParametros[Ausências Legais])*tabCustoUnit[[#This Row],[MODULO 1 - REMUNERAÇÃO ]]</f>
        <v>13.089041944444443</v>
      </c>
      <c r="AW41" s="22">
        <f>SUMIF(tabParametros[Código do Posto],tabCustoUnit[[#This Row],[Código do Posto]],tabParametros[Licença Paternidade])*tabCustoUnit[[#This Row],[MODULO 1 - REMUNERAÇÃO ]]</f>
        <v>1.1027069583333333</v>
      </c>
      <c r="AX41" s="22">
        <f>SUMIF(tabParametros[Código do Posto],tabCustoUnit[[#This Row],[Código do Posto]],tabParametros[Ausência por Acidente de Trabalho])*tabCustoUnit[[#This Row],[MODULO 1 - REMUNERAÇÃO ]]</f>
        <v>1.3447645833333335</v>
      </c>
      <c r="AY41" s="22">
        <f>SUMIF(tabParametros[Código do Posto],tabCustoUnit[[#This Row],[Código do Posto]],tabParametros[Férias, Adicional de Férias e 13º  com empregada em gozo de Licença Maternidade])*tabCustoUnit[[#This Row],[MODULO 1 - REMUNERAÇÃO ]]</f>
        <v>8.3674240740740728</v>
      </c>
      <c r="AZ41" s="22">
        <f>SUMIF(tabParametros[Código do Posto],tabCustoUnit[[#This Row],[Código do Posto]],tabParametros[Incidência do Submódulo 2.1 sobre Ausências Legais])*tabCustoUnit[[#This Row],[MODULO 1 - REMUNERAÇÃO ]]</f>
        <v>29.639633437750003</v>
      </c>
      <c r="BA41" s="22">
        <f>SUM(tabCustoUnit[[#This Row],[Ausência por Doença]:[Incidência do Submódulo 2.1 sobre Ausências Legais]])</f>
        <v>108.05136210904629</v>
      </c>
      <c r="BB41" s="22">
        <f>SUMIF(tabParametros[Código do Posto],tabCustoUnit[[#This Row],[Código do Posto]],tabParametros[Intervalo para Repouso ou Alimentação])</f>
        <v>0</v>
      </c>
      <c r="BC41" s="22">
        <f>tabCustoUnit[[#This Row],[Intervalo para Repouso ou Alimentação]]</f>
        <v>0</v>
      </c>
      <c r="BD4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1" s="22">
        <f>tabCustoUnit[[#This Row],[Suspensão Temporária do Contrato de Trabalho]]</f>
        <v>0</v>
      </c>
      <c r="BF41" s="22">
        <f>tabCustoUnit[[#This Row],[Submódulo 4.1]]+tabCustoUnit[[#This Row],[Submódulo 4.2]]+tabCustoUnit[[#This Row],[Submódulo 4.3]]</f>
        <v>108.05136210904629</v>
      </c>
      <c r="BG41" s="22">
        <f>VLOOKUP(tabCustoUnit[[#This Row],[Código do Posto]],tabParametros[],MATCH(tabCustoUnit[[#Headers],[Uniformes e EPIs]],tabParametros[#Headers],0),0)</f>
        <v>90.784679782039703</v>
      </c>
      <c r="BH41" s="22">
        <f>VLOOKUP(tabCustoUnit[[#This Row],[Código do Posto]],tabParametros[],MATCH(tabCustoUnit[[#Headers],[Materiais de Consumo]],tabParametros[#Headers],0),0)</f>
        <v>0</v>
      </c>
      <c r="BI41" s="22">
        <f>VLOOKUP(tabCustoUnit[[#This Row],[Código do Posto]],tabParametros[],MATCH(tabCustoUnit[[#Headers],[Máquinas e Equipamentos (depreciação)]],tabParametros[#Headers],0),0)</f>
        <v>0</v>
      </c>
      <c r="BJ41" s="22">
        <f>VLOOKUP(tabCustoUnit[[#This Row],[Código do Posto]],tabParametros[],MATCH(tabCustoUnit[[#Headers],[Produtos de Limpeza e Materiais de Higiene Pessoal]],tabParametros[#Headers],0),0)</f>
        <v>0</v>
      </c>
      <c r="BK41" s="22">
        <f>VLOOKUP(tabCustoUnit[[#This Row],[Código do Posto]],tabParametros[],MATCH(tabCustoUnit[[#Headers],[Outros (especificar)]],tabParametros[#Headers],0),0)</f>
        <v>0</v>
      </c>
      <c r="BL41" s="22">
        <f>SUM(tabCustoUnit[[#This Row],[Uniformes e EPIs]:[Outros (especificar)]])</f>
        <v>90.784679782039703</v>
      </c>
      <c r="BM4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1" s="22" t="e">
        <f ca="1">VLOOKUP(tabCustoUnit[[#This Row],[Código do Posto]],tabParametros[],MATCH(tabCustoUnit[[#Headers],[Custos Indiretos]],tabParametros[#Headers],0),0)</f>
        <v>#NAME?</v>
      </c>
      <c r="BO41" s="22" t="e">
        <f ca="1">VLOOKUP(tabCustoUnit[[#This Row],[Código do Posto]],tabParametros[],MATCH(tabCustoUnit[[#Headers],[Lucro]],tabParametros[#Headers],0),0)</f>
        <v>#NAME?</v>
      </c>
      <c r="BP41" s="26">
        <f>((100/((1-tabCustoUnit[[#This Row],[Resumo de Alíquotas (PIS+CONFINS+ISS)]]))-100)*VLOOKUP(tabCustoUnit[[#This Row],[Código do Posto]],tabParametros[],MATCH(tabCustoUnit[[#Headers],[COFINS]],tabParametros[#Headers],0),0))/(tabCustoUnit[[#This Row],[Resumo de Alíquotas (PIS+CONFINS+ISS)]]*100)</f>
        <v>8.8629737609329504E-2</v>
      </c>
      <c r="BQ41" s="26">
        <f>((100/((100-(tabCustoUnit[[#This Row],[Resumo de Alíquotas (PIS+CONFINS+ISS)]]*100))%)-100)*VLOOKUP(tabCustoUnit[[#This Row],[Código do Posto]],tabParametros[],MATCH(tabCustoUnit[[#Headers],[PIS]],tabParametros[#Headers],0),0))/(tabCustoUnit[[#This Row],[Resumo de Alíquotas (PIS+CONFINS+ISS)]]*100)</f>
        <v>1.9241982507288629E-2</v>
      </c>
      <c r="BR41" s="28">
        <f>VLOOKUP(tabCustoUnit[[#This Row],[Código do Posto]],tabParametros[],MATCH(tabCustoUnit[[#Headers],[ISS]],tabParametros[#Headers],0),0)</f>
        <v>0.05</v>
      </c>
      <c r="BS41" s="26">
        <f>(((100/((100-(tabCustoUnit[[#This Row],[Resumo de Alíquotas (PIS+CONFINS+ISS)]]*100))%)-100)*tabCustoUnit[[#This Row],[ISS]])/tabCustoUnit[[#This Row],[Resumo de Alíquotas (PIS+CONFINS+ISS)]])/100</f>
        <v>5.8309037900874633E-2</v>
      </c>
      <c r="BT4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1" s="138">
        <f>tabCustoUnit[[#This Row],[COFINS]]+tabCustoUnit[[#This Row],[PIS]]+tabCustoUnit[[#This Row],[ISS (Conversão Alíquota s/ fatura)]]</f>
        <v>0.16618075801749277</v>
      </c>
      <c r="BV41" s="22" t="e">
        <f ca="1">(tabCustoUnit[[#This Row],[TOTAL MÓDULOS 1+2+3+4+5]]+tabCustoUnit[[#This Row],[Custos Indiretos]]+tabCustoUnit[[#This Row],[Lucro]])*tabCustoUnit[[#This Row],[PIS + COFINS + ISS (Total Conversão  Alíquota s/ Fatura)]]</f>
        <v>#NAME?</v>
      </c>
      <c r="BW41" s="22" t="e">
        <f ca="1">tabCustoUnit[[#This Row],[Custos Indiretos]]+tabCustoUnit[[#This Row],[Lucro]]+tabCustoUnit[[#This Row],[Valor dos Tributos (ISS, PIS, CONFINS)]]</f>
        <v>#NAME?</v>
      </c>
      <c r="BX41" s="22" t="e">
        <f ca="1">tabCustoUnit[[#This Row],[TOTAL MÓDULOS 1+2+3+4+5]]+tabCustoUnit[[#This Row],[MÓDULO 6 – CUSTOS INDIRETOS, TRIBUTOS E LUCRO]]</f>
        <v>#NAME?</v>
      </c>
      <c r="BY41" s="22" t="e">
        <f ca="1">tabCustoUnit[[#This Row],[CUSTO TOTAL MENSAL]]*12</f>
        <v>#NAME?</v>
      </c>
      <c r="BZ41" s="24">
        <f>VLOOKUP(tabCustoUnit[[#This Row],[Código do Posto]],tabParametros[],MATCH(tabCustoUnit[[#Headers],[ANO DA CCT]],tabParametros[#Headers],0),0)</f>
        <v>45658</v>
      </c>
      <c r="CA41" s="25" t="str">
        <f>VLOOKUP(tabCustoUnit[[#This Row],[Código do Posto]],tabParametros[],MATCH(tabCustoUnit[[#Headers],[Nº DE PEDIDO DA CCT]],tabParametros[#Headers],0),0)</f>
        <v>-</v>
      </c>
      <c r="CB41" s="25" t="str">
        <f>VLOOKUP(tabCustoUnit[[#This Row],[Código do Posto]],tabParametros[],MATCH(tabCustoUnit[[#Headers],[TERMO ADITIVO ALTERAÇÃO DA CCT]],tabParametros[#Headers],0),0)</f>
        <v>-</v>
      </c>
    </row>
    <row r="42" spans="1:80">
      <c r="A42" s="20" t="s">
        <v>1421</v>
      </c>
      <c r="B42" t="s">
        <v>1103</v>
      </c>
      <c r="C42" t="s">
        <v>205</v>
      </c>
      <c r="D42" t="s">
        <v>1035</v>
      </c>
      <c r="E42" s="20" t="s">
        <v>1090</v>
      </c>
      <c r="F42" s="20" t="s">
        <v>120</v>
      </c>
      <c r="G42" s="418">
        <v>1649.1152999999999</v>
      </c>
      <c r="H42" s="418">
        <v>0</v>
      </c>
      <c r="I42" s="418">
        <v>0</v>
      </c>
      <c r="J42" s="418">
        <v>0</v>
      </c>
      <c r="K42" s="418">
        <v>0</v>
      </c>
      <c r="L42" s="418">
        <v>0</v>
      </c>
      <c r="M42" s="418">
        <v>0</v>
      </c>
      <c r="N42" s="418">
        <v>0</v>
      </c>
      <c r="O42" s="21">
        <f>SUM(tabCustoUnit[[#This Row],[Salário Base]:[Adicional de Acúmulo de função]])</f>
        <v>1649.1152999999999</v>
      </c>
      <c r="P42" s="21">
        <f>tabCustoUnit[[#This Row],[MODULO 1 - REMUNERAÇÃO ]]*SUMIFS(tabParametros[INSS],tabParametros[Código do Posto],tabCustoUnit[[#This Row],[Código do Posto]])</f>
        <v>329.82306</v>
      </c>
      <c r="Q42" s="21">
        <f>tabCustoUnit[[#This Row],[MODULO 1 - REMUNERAÇÃO ]]*SUMIFS(tabParametros[SESI OU SESC],tabParametros[Código do Posto],tabCustoUnit[[#This Row],[Código do Posto]])</f>
        <v>24.736729499999999</v>
      </c>
      <c r="R42" s="21">
        <f>tabCustoUnit[[#This Row],[MODULO 1 - REMUNERAÇÃO ]]*SUMIFS(tabParametros[SENAI OU SENAC],tabParametros[Código do Posto],tabCustoUnit[[#This Row],[Código do Posto]])</f>
        <v>16.491153000000001</v>
      </c>
      <c r="S42" s="21">
        <f>tabCustoUnit[[#This Row],[MODULO 1 - REMUNERAÇÃO ]]*SUMIFS(tabParametros[INCRA],tabParametros[Código do Posto],tabCustoUnit[[#This Row],[Código do Posto]])</f>
        <v>3.2982306000000001</v>
      </c>
      <c r="T42" s="21">
        <f>tabCustoUnit[[#This Row],[MODULO 1 - REMUNERAÇÃO ]]*SUMIFS(tabParametros[Salário Educação],tabParametros[Código do Posto],tabCustoUnit[[#This Row],[Código do Posto]])</f>
        <v>41.2278825</v>
      </c>
      <c r="U42" s="21">
        <f>tabCustoUnit[[#This Row],[MODULO 1 - REMUNERAÇÃO ]]*SUMIFS(tabParametros[FGTS],tabParametros[Código do Posto],tabCustoUnit[[#This Row],[Código do Posto]])</f>
        <v>131.929224</v>
      </c>
      <c r="V42" s="21">
        <f>tabCustoUnit[[#This Row],[MODULO 1 - REMUNERAÇÃO ]]*SUMIFS(tabParametros[RAT Ajustado],tabParametros[Código do Posto],tabCustoUnit[[#This Row],[Código do Posto]])</f>
        <v>65.964612000000002</v>
      </c>
      <c r="W42" s="21">
        <f>tabCustoUnit[[#This Row],[MODULO 1 - REMUNERAÇÃO ]]*SUMIFS(tabParametros[SEBRAE],tabParametros[Código do Posto],tabCustoUnit[[#This Row],[Código do Posto]])</f>
        <v>9.8946918000000004</v>
      </c>
      <c r="X42" s="21">
        <f>SUM(tabCustoUnit[[#This Row],[INSS]:[SEBRAE]])</f>
        <v>623.36558340000011</v>
      </c>
      <c r="Y42" s="21">
        <f>tabCustoUnit[[#This Row],[MODULO 1 - REMUNERAÇÃO ]]*SUMIFS(tabParametros[13º salário (titular)],tabParametros[Código do Posto],tabCustoUnit[[#This Row],[Código do Posto]])</f>
        <v>137.42627499999998</v>
      </c>
      <c r="Z42" s="21">
        <f>tabCustoUnit[[#This Row],[MODULO 1 - REMUNERAÇÃO ]]*SUMIFS(tabParametros[Férias e Adicional de Férias (titular)],tabParametros[Código do Posto],tabCustoUnit[[#This Row],[Código do Posto]])</f>
        <v>183.23503333333332</v>
      </c>
      <c r="AA42" s="21">
        <f>IFERROR((tabCustoUnit[[#This Row],[Submódulo 2.1]]/tabCustoUnit[[#This Row],[MODULO 1 - REMUNERAÇÃO ]])*SUM(tabCustoUnit[[#This Row],[13º salário (titular)]:[Férias e Adicional de Férias (titular)]]),0)</f>
        <v>121.20997455</v>
      </c>
      <c r="AB42" s="21">
        <f>SUM(tabCustoUnit[[#This Row],[13º salário (titular)]:[Incidência do Submódulo 2.1 sobre 13º Salário, Férias e Adicional de Férias]])</f>
        <v>441.87128288333327</v>
      </c>
      <c r="AC42" s="22" t="e">
        <f ca="1">_xlfn.LET(_xlpm.VT,SUMIF(tabParametros[Código do Posto],tabCustoUnit[[#This Row],[Código do Posto]],tabParametros[Vale - Transporte])*2*20,
IF((_xlpm.VT-tabCustoUnit[[#This Row],[Salário Base]]*0.06)&gt;=0,(_xlpm.VT-tabCustoUnit[[#This Row],[Salário Base]]*0.06),0)
)</f>
        <v>#NAME?</v>
      </c>
      <c r="AD42" s="22">
        <f>IF(SUMIF(tabParametros[Código do Posto],tabCustoUnit[[#This Row],[Código do Posto]],tabParametros[Vale - Alimentação])&lt;=0,0,
SUMIF(tabParametros[Código do Posto],tabCustoUnit[[#This Row],[Código do Posto]],tabParametros[Vale - Alimentação])*20-1)</f>
        <v>582</v>
      </c>
      <c r="AE42" s="22">
        <f>SUMIF(tabParametros[Código do Posto],tabCustoUnit[[#This Row],[Código do Posto]],tabParametros[Cesta Básica])</f>
        <v>0</v>
      </c>
      <c r="AF42" s="22">
        <f>SUMIF(tabParametros[Código do Posto],tabCustoUnit[[#This Row],[Código do Posto]],tabParametros[PAF])</f>
        <v>95.9</v>
      </c>
      <c r="AG42" s="22">
        <f>SUMIF(tabParametros[Código do Posto],tabCustoUnit[[#This Row],[Código do Posto]],tabParametros[PQM])</f>
        <v>0</v>
      </c>
      <c r="AH42" s="22">
        <f>SUMIF(tabParametros[Código do Posto],tabCustoUnit[[#This Row],[Código do Posto]],tabParametros[Abono Único e Especial])</f>
        <v>0</v>
      </c>
      <c r="AI42" s="22">
        <f>SUMIF(tabParametros[Código do Posto],tabCustoUnit[[#This Row],[Código do Posto]],tabParametros[Seguro de Vida])</f>
        <v>3.36</v>
      </c>
      <c r="AJ42" s="22">
        <f>SUMIF(tabParametros[Código do Posto],tabCustoUnit[[#This Row],[Código do Posto]],tabParametros[Despesas de Viagem])</f>
        <v>202.08</v>
      </c>
      <c r="AK42" s="22" t="e">
        <f ca="1">SUM(tabCustoUnit[[#This Row],[Vale - Transporte (Descontada parcela do empregado)]:[Despesas de Viagem]])</f>
        <v>#NAME?</v>
      </c>
      <c r="AL42" s="22" t="e">
        <f ca="1">tabCustoUnit[[#This Row],[Submódulo 2.1]]+tabCustoUnit[[#This Row],[Submódulo 2.2]]+tabCustoUnit[[#This Row],[Submódulo 2.3]]</f>
        <v>#NAME?</v>
      </c>
      <c r="AM42" s="22">
        <f>SUMIF(tabParametros[Código do Posto],tabCustoUnit[[#This Row],[Código do Posto]],tabParametros[Aviso Prévio Indenizado (API) e Reflexo do Aviso Prévio Indenizado])*tabCustoUnit[[#This Row],[MODULO 1 - REMUNERAÇÃO ]]</f>
        <v>11.563212199016203</v>
      </c>
      <c r="AN42" s="22">
        <f>SUMIF(tabParametros[Código do Posto],tabCustoUnit[[#This Row],[Código do Posto]],tabParametros[Incidência do FGTS sobre API e Reflexo do API])*tabCustoUnit[[#This Row],[MODULO 1 - REMUNERAÇÃO ]]</f>
        <v>0.92505697592129632</v>
      </c>
      <c r="AO42" s="22">
        <f>SUMIF(tabParametros[Código do Posto],tabCustoUnit[[#This Row],[Código do Posto]],tabParametros[Multa Rescisória do FGTS sobre o Aviso Prévio Indenizado])*tabCustoUnit[[#This Row],[MODULO 1 - REMUNERAÇÃO ]]</f>
        <v>0.37002279036851859</v>
      </c>
      <c r="AP42" s="22">
        <f>SUMIF(tabParametros[Código do Posto],tabCustoUnit[[#This Row],[Código do Posto]],tabParametros[Aviso Prévio Trabalhado - APT])*tabCustoUnit[[#This Row],[MODULO 1 - REMUNERAÇÃO ]]</f>
        <v>5.7719035500000002</v>
      </c>
      <c r="AQ42" s="22">
        <f>SUMIF(tabParametros[Código do Posto],tabCustoUnit[[#This Row],[Código do Posto]],tabParametros[Incidência dos encargos do submódulo 2.1 sobre Aviso Prévio Trabalhado])*tabCustoUnit[[#This Row],[MODULO 1 - REMUNERAÇÃO ]]</f>
        <v>2.1817795419000006</v>
      </c>
      <c r="AR42" s="22">
        <f>SUMIF(tabParametros[Código do Posto],tabCustoUnit[[#This Row],[Código do Posto]],tabParametros[Multa Rescisória do FGTS])*tabCustoUnit[[#This Row],[MODULO 1 - REMUNERAÇÃO ]]</f>
        <v>50.426281173333322</v>
      </c>
      <c r="AS42" s="22">
        <f>SUMIF(tabParametros[Código do Posto],tabCustoUnit[[#This Row],[Código do Posto]],tabParametros[Indenização Adicional (Art. 9º da Lei nº 7.238/84)])*tabCustoUnit[[#This Row],[MODULO 1 - REMUNERAÇÃO ]]</f>
        <v>1.37426275</v>
      </c>
      <c r="AT42" s="22">
        <f>SUM(tabCustoUnit[[#This Row],[Aviso Prévio Indenizado (API) e Reflexo do Aviso Prévio Indenizado]:[Indenização Adicional (Art. 9º da Lei nº 7.238/84)]])</f>
        <v>72.612518980539335</v>
      </c>
      <c r="AU42" s="22">
        <f>SUMIF(tabParametros[Código do Posto],tabCustoUnit[[#This Row],[Código do Posto]],tabParametros[Ausência por Doença])*tabCustoUnit[[#This Row],[MODULO 1 - REMUNERAÇÃO ]]</f>
        <v>13.925862533333332</v>
      </c>
      <c r="AV42" s="22">
        <f>SUMIF(tabParametros[Código do Posto],tabCustoUnit[[#This Row],[Código do Posto]],tabParametros[Ausências Legais])*tabCustoUnit[[#This Row],[MODULO 1 - REMUNERAÇÃO ]]</f>
        <v>3.3440393583333332</v>
      </c>
      <c r="AW42" s="22">
        <f>SUMIF(tabParametros[Código do Posto],tabCustoUnit[[#This Row],[Código do Posto]],tabParametros[Licença Paternidade])*tabCustoUnit[[#This Row],[MODULO 1 - REMUNERAÇÃO ]]</f>
        <v>0.28172386374999997</v>
      </c>
      <c r="AX42" s="22">
        <f>SUMIF(tabParametros[Código do Posto],tabCustoUnit[[#This Row],[Código do Posto]],tabParametros[Ausência por Acidente de Trabalho])*tabCustoUnit[[#This Row],[MODULO 1 - REMUNERAÇÃO ]]</f>
        <v>0.34356568749999999</v>
      </c>
      <c r="AY42" s="22">
        <f>SUMIF(tabParametros[Código do Posto],tabCustoUnit[[#This Row],[Código do Posto]],tabParametros[Férias, Adicional de Férias e 13º  com empregada em gozo de Licença Maternidade])*tabCustoUnit[[#This Row],[MODULO 1 - REMUNERAÇÃO ]]</f>
        <v>2.1377420555555555</v>
      </c>
      <c r="AZ42" s="22">
        <f>SUMIF(tabParametros[Código do Posto],tabCustoUnit[[#This Row],[Código do Posto]],tabParametros[Incidência do Submódulo 2.1 sobre Ausências Legais])*tabCustoUnit[[#This Row],[MODULO 1 - REMUNERAÇÃO ]]</f>
        <v>7.572448862422501</v>
      </c>
      <c r="BA42" s="22">
        <f>SUM(tabCustoUnit[[#This Row],[Ausência por Doença]:[Incidência do Submódulo 2.1 sobre Ausências Legais]])</f>
        <v>27.605382360894719</v>
      </c>
      <c r="BB42" s="22">
        <f>SUMIF(tabParametros[Código do Posto],tabCustoUnit[[#This Row],[Código do Posto]],tabParametros[Intervalo para Repouso ou Alimentação])</f>
        <v>0</v>
      </c>
      <c r="BC42" s="22">
        <f>tabCustoUnit[[#This Row],[Intervalo para Repouso ou Alimentação]]</f>
        <v>0</v>
      </c>
      <c r="BD4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2" s="22">
        <f>tabCustoUnit[[#This Row],[Suspensão Temporária do Contrato de Trabalho]]</f>
        <v>0</v>
      </c>
      <c r="BF42" s="22">
        <f>tabCustoUnit[[#This Row],[Submódulo 4.1]]+tabCustoUnit[[#This Row],[Submódulo 4.2]]+tabCustoUnit[[#This Row],[Submódulo 4.3]]</f>
        <v>27.605382360894719</v>
      </c>
      <c r="BG42" s="22">
        <f>VLOOKUP(tabCustoUnit[[#This Row],[Código do Posto]],tabParametros[],MATCH(tabCustoUnit[[#Headers],[Uniformes e EPIs]],tabParametros[#Headers],0),0)</f>
        <v>107.69869344317156</v>
      </c>
      <c r="BH42" s="22">
        <f>VLOOKUP(tabCustoUnit[[#This Row],[Código do Posto]],tabParametros[],MATCH(tabCustoUnit[[#Headers],[Materiais de Consumo]],tabParametros[#Headers],0),0)</f>
        <v>0</v>
      </c>
      <c r="BI42" s="22">
        <f>VLOOKUP(tabCustoUnit[[#This Row],[Código do Posto]],tabParametros[],MATCH(tabCustoUnit[[#Headers],[Máquinas e Equipamentos (depreciação)]],tabParametros[#Headers],0),0)</f>
        <v>0</v>
      </c>
      <c r="BJ42" s="22">
        <f>VLOOKUP(tabCustoUnit[[#This Row],[Código do Posto]],tabParametros[],MATCH(tabCustoUnit[[#Headers],[Produtos de Limpeza e Materiais de Higiene Pessoal]],tabParametros[#Headers],0),0)</f>
        <v>0</v>
      </c>
      <c r="BK42" s="22">
        <f>VLOOKUP(tabCustoUnit[[#This Row],[Código do Posto]],tabParametros[],MATCH(tabCustoUnit[[#Headers],[Outros (especificar)]],tabParametros[#Headers],0),0)</f>
        <v>0</v>
      </c>
      <c r="BL42" s="22">
        <f>SUM(tabCustoUnit[[#This Row],[Uniformes e EPIs]:[Outros (especificar)]])</f>
        <v>107.69869344317156</v>
      </c>
      <c r="BM4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2" s="22" t="e">
        <f ca="1">VLOOKUP(tabCustoUnit[[#This Row],[Código do Posto]],tabParametros[],MATCH(tabCustoUnit[[#Headers],[Custos Indiretos]],tabParametros[#Headers],0),0)</f>
        <v>#NAME?</v>
      </c>
      <c r="BO42" s="22" t="e">
        <f ca="1">VLOOKUP(tabCustoUnit[[#This Row],[Código do Posto]],tabParametros[],MATCH(tabCustoUnit[[#Headers],[Lucro]],tabParametros[#Headers],0),0)</f>
        <v>#NAME?</v>
      </c>
      <c r="BP42" s="26">
        <f>((100/((1-tabCustoUnit[[#This Row],[Resumo de Alíquotas (PIS+CONFINS+ISS)]]))-100)*VLOOKUP(tabCustoUnit[[#This Row],[Código do Posto]],tabParametros[],MATCH(tabCustoUnit[[#Headers],[COFINS]],tabParametros[#Headers],0),0))/(tabCustoUnit[[#This Row],[Resumo de Alíquotas (PIS+CONFINS+ISS)]]*100)</f>
        <v>8.8629737609329504E-2</v>
      </c>
      <c r="BQ42" s="26">
        <f>((100/((100-(tabCustoUnit[[#This Row],[Resumo de Alíquotas (PIS+CONFINS+ISS)]]*100))%)-100)*VLOOKUP(tabCustoUnit[[#This Row],[Código do Posto]],tabParametros[],MATCH(tabCustoUnit[[#Headers],[PIS]],tabParametros[#Headers],0),0))/(tabCustoUnit[[#This Row],[Resumo de Alíquotas (PIS+CONFINS+ISS)]]*100)</f>
        <v>1.9241982507288629E-2</v>
      </c>
      <c r="BR42" s="28">
        <f>VLOOKUP(tabCustoUnit[[#This Row],[Código do Posto]],tabParametros[],MATCH(tabCustoUnit[[#Headers],[ISS]],tabParametros[#Headers],0),0)</f>
        <v>0.05</v>
      </c>
      <c r="BS42" s="26">
        <f>(((100/((100-(tabCustoUnit[[#This Row],[Resumo de Alíquotas (PIS+CONFINS+ISS)]]*100))%)-100)*tabCustoUnit[[#This Row],[ISS]])/tabCustoUnit[[#This Row],[Resumo de Alíquotas (PIS+CONFINS+ISS)]])/100</f>
        <v>5.8309037900874633E-2</v>
      </c>
      <c r="BT4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2" s="138">
        <f>tabCustoUnit[[#This Row],[COFINS]]+tabCustoUnit[[#This Row],[PIS]]+tabCustoUnit[[#This Row],[ISS (Conversão Alíquota s/ fatura)]]</f>
        <v>0.16618075801749277</v>
      </c>
      <c r="BV42" s="22" t="e">
        <f ca="1">(tabCustoUnit[[#This Row],[TOTAL MÓDULOS 1+2+3+4+5]]+tabCustoUnit[[#This Row],[Custos Indiretos]]+tabCustoUnit[[#This Row],[Lucro]])*tabCustoUnit[[#This Row],[PIS + COFINS + ISS (Total Conversão  Alíquota s/ Fatura)]]</f>
        <v>#NAME?</v>
      </c>
      <c r="BW42" s="22" t="e">
        <f ca="1">tabCustoUnit[[#This Row],[Custos Indiretos]]+tabCustoUnit[[#This Row],[Lucro]]+tabCustoUnit[[#This Row],[Valor dos Tributos (ISS, PIS, CONFINS)]]</f>
        <v>#NAME?</v>
      </c>
      <c r="BX42" s="22" t="e">
        <f ca="1">tabCustoUnit[[#This Row],[TOTAL MÓDULOS 1+2+3+4+5]]+tabCustoUnit[[#This Row],[MÓDULO 6 – CUSTOS INDIRETOS, TRIBUTOS E LUCRO]]</f>
        <v>#NAME?</v>
      </c>
      <c r="BY42" s="22" t="e">
        <f ca="1">tabCustoUnit[[#This Row],[CUSTO TOTAL MENSAL]]*12</f>
        <v>#NAME?</v>
      </c>
      <c r="BZ42" s="24">
        <f>VLOOKUP(tabCustoUnit[[#This Row],[Código do Posto]],tabParametros[],MATCH(tabCustoUnit[[#Headers],[ANO DA CCT]],tabParametros[#Headers],0),0)</f>
        <v>45658</v>
      </c>
      <c r="CA42" s="25" t="str">
        <f>VLOOKUP(tabCustoUnit[[#This Row],[Código do Posto]],tabParametros[],MATCH(tabCustoUnit[[#Headers],[Nº DE PEDIDO DA CCT]],tabParametros[#Headers],0),0)</f>
        <v>-</v>
      </c>
      <c r="CB42" s="25" t="str">
        <f>VLOOKUP(tabCustoUnit[[#This Row],[Código do Posto]],tabParametros[],MATCH(tabCustoUnit[[#Headers],[TERMO ADITIVO ALTERAÇÃO DA CCT]],tabParametros[#Headers],0),0)</f>
        <v>-</v>
      </c>
    </row>
    <row r="43" spans="1:80">
      <c r="A43" s="20" t="s">
        <v>1422</v>
      </c>
      <c r="B43" t="s">
        <v>1103</v>
      </c>
      <c r="C43" t="s">
        <v>214</v>
      </c>
      <c r="D43" t="s">
        <v>1054</v>
      </c>
      <c r="E43" s="20" t="s">
        <v>1090</v>
      </c>
      <c r="F43" s="20" t="s">
        <v>120</v>
      </c>
      <c r="G43" s="418">
        <v>1836.5985000000001</v>
      </c>
      <c r="H43" s="418">
        <v>0</v>
      </c>
      <c r="I43" s="418">
        <v>0</v>
      </c>
      <c r="J43" s="418">
        <v>0</v>
      </c>
      <c r="K43" s="418">
        <v>0</v>
      </c>
      <c r="L43" s="418">
        <v>0</v>
      </c>
      <c r="M43" s="418">
        <v>0</v>
      </c>
      <c r="N43" s="418">
        <v>0</v>
      </c>
      <c r="O43" s="21">
        <f>SUM(tabCustoUnit[[#This Row],[Salário Base]:[Adicional de Acúmulo de função]])</f>
        <v>1836.5985000000001</v>
      </c>
      <c r="P43" s="21">
        <f>tabCustoUnit[[#This Row],[MODULO 1 - REMUNERAÇÃO ]]*SUMIFS(tabParametros[INSS],tabParametros[Código do Posto],tabCustoUnit[[#This Row],[Código do Posto]])</f>
        <v>367.31970000000001</v>
      </c>
      <c r="Q43" s="21">
        <f>tabCustoUnit[[#This Row],[MODULO 1 - REMUNERAÇÃO ]]*SUMIFS(tabParametros[SESI OU SESC],tabParametros[Código do Posto],tabCustoUnit[[#This Row],[Código do Posto]])</f>
        <v>27.548977499999999</v>
      </c>
      <c r="R43" s="21">
        <f>tabCustoUnit[[#This Row],[MODULO 1 - REMUNERAÇÃO ]]*SUMIFS(tabParametros[SENAI OU SENAC],tabParametros[Código do Posto],tabCustoUnit[[#This Row],[Código do Posto]])</f>
        <v>18.365985000000002</v>
      </c>
      <c r="S43" s="21">
        <f>tabCustoUnit[[#This Row],[MODULO 1 - REMUNERAÇÃO ]]*SUMIFS(tabParametros[INCRA],tabParametros[Código do Posto],tabCustoUnit[[#This Row],[Código do Posto]])</f>
        <v>3.673197</v>
      </c>
      <c r="T43" s="21">
        <f>tabCustoUnit[[#This Row],[MODULO 1 - REMUNERAÇÃO ]]*SUMIFS(tabParametros[Salário Educação],tabParametros[Código do Posto],tabCustoUnit[[#This Row],[Código do Posto]])</f>
        <v>45.914962500000001</v>
      </c>
      <c r="U43" s="21">
        <f>tabCustoUnit[[#This Row],[MODULO 1 - REMUNERAÇÃO ]]*SUMIFS(tabParametros[FGTS],tabParametros[Código do Posto],tabCustoUnit[[#This Row],[Código do Posto]])</f>
        <v>146.92788000000002</v>
      </c>
      <c r="V43" s="21">
        <f>tabCustoUnit[[#This Row],[MODULO 1 - REMUNERAÇÃO ]]*SUMIFS(tabParametros[RAT Ajustado],tabParametros[Código do Posto],tabCustoUnit[[#This Row],[Código do Posto]])</f>
        <v>73.463940000000008</v>
      </c>
      <c r="W43" s="21">
        <f>tabCustoUnit[[#This Row],[MODULO 1 - REMUNERAÇÃO ]]*SUMIFS(tabParametros[SEBRAE],tabParametros[Código do Posto],tabCustoUnit[[#This Row],[Código do Posto]])</f>
        <v>11.019591</v>
      </c>
      <c r="X43" s="21">
        <f>SUM(tabCustoUnit[[#This Row],[INSS]:[SEBRAE]])</f>
        <v>694.23423300000002</v>
      </c>
      <c r="Y43" s="21">
        <f>tabCustoUnit[[#This Row],[MODULO 1 - REMUNERAÇÃO ]]*SUMIFS(tabParametros[13º salário (titular)],tabParametros[Código do Posto],tabCustoUnit[[#This Row],[Código do Posto]])</f>
        <v>153.04987499999999</v>
      </c>
      <c r="Z43" s="21">
        <f>tabCustoUnit[[#This Row],[MODULO 1 - REMUNERAÇÃO ]]*SUMIFS(tabParametros[Férias e Adicional de Férias (titular)],tabParametros[Código do Posto],tabCustoUnit[[#This Row],[Código do Posto]])</f>
        <v>204.06649999999999</v>
      </c>
      <c r="AA43" s="21">
        <f>IFERROR((tabCustoUnit[[#This Row],[Submódulo 2.1]]/tabCustoUnit[[#This Row],[MODULO 1 - REMUNERAÇÃO ]])*SUM(tabCustoUnit[[#This Row],[13º salário (titular)]:[Férias e Adicional de Férias (titular)]]),0)</f>
        <v>134.98998974999998</v>
      </c>
      <c r="AB43" s="21">
        <f>SUM(tabCustoUnit[[#This Row],[13º salário (titular)]:[Incidência do Submódulo 2.1 sobre 13º Salário, Férias e Adicional de Férias]])</f>
        <v>492.1063647499999</v>
      </c>
      <c r="AC43" s="22" t="e">
        <f ca="1">_xlfn.LET(_xlpm.VT,SUMIF(tabParametros[Código do Posto],tabCustoUnit[[#This Row],[Código do Posto]],tabParametros[Vale - Transporte])*2*20,
IF((_xlpm.VT-tabCustoUnit[[#This Row],[Salário Base]]*0.06)&gt;=0,(_xlpm.VT-tabCustoUnit[[#This Row],[Salário Base]]*0.06),0)
)</f>
        <v>#NAME?</v>
      </c>
      <c r="AD43" s="22">
        <f>IF(SUMIF(tabParametros[Código do Posto],tabCustoUnit[[#This Row],[Código do Posto]],tabParametros[Vale - Alimentação])&lt;=0,0,
SUMIF(tabParametros[Código do Posto],tabCustoUnit[[#This Row],[Código do Posto]],tabParametros[Vale - Alimentação])*20-1)</f>
        <v>581.79999999999995</v>
      </c>
      <c r="AE43" s="22">
        <f>SUMIF(tabParametros[Código do Posto],tabCustoUnit[[#This Row],[Código do Posto]],tabParametros[Cesta Básica])</f>
        <v>0</v>
      </c>
      <c r="AF43" s="22">
        <f>SUMIF(tabParametros[Código do Posto],tabCustoUnit[[#This Row],[Código do Posto]],tabParametros[PAF])</f>
        <v>51.73</v>
      </c>
      <c r="AG43" s="22">
        <f>SUMIF(tabParametros[Código do Posto],tabCustoUnit[[#This Row],[Código do Posto]],tabParametros[PQM])</f>
        <v>0</v>
      </c>
      <c r="AH43" s="22">
        <f>SUMIF(tabParametros[Código do Posto],tabCustoUnit[[#This Row],[Código do Posto]],tabParametros[Abono Único e Especial])</f>
        <v>0</v>
      </c>
      <c r="AI43" s="22">
        <f>SUMIF(tabParametros[Código do Posto],tabCustoUnit[[#This Row],[Código do Posto]],tabParametros[Seguro de Vida])</f>
        <v>3.36</v>
      </c>
      <c r="AJ43" s="22">
        <f>SUMIF(tabParametros[Código do Posto],tabCustoUnit[[#This Row],[Código do Posto]],tabParametros[Despesas de Viagem])</f>
        <v>202.08</v>
      </c>
      <c r="AK43" s="22" t="e">
        <f ca="1">SUM(tabCustoUnit[[#This Row],[Vale - Transporte (Descontada parcela do empregado)]:[Despesas de Viagem]])</f>
        <v>#NAME?</v>
      </c>
      <c r="AL43" s="22" t="e">
        <f ca="1">tabCustoUnit[[#This Row],[Submódulo 2.1]]+tabCustoUnit[[#This Row],[Submódulo 2.2]]+tabCustoUnit[[#This Row],[Submódulo 2.3]]</f>
        <v>#NAME?</v>
      </c>
      <c r="AM43" s="22">
        <f>SUMIF(tabParametros[Código do Posto],tabCustoUnit[[#This Row],[Código do Posto]],tabParametros[Aviso Prévio Indenizado (API) e Reflexo do Aviso Prévio Indenizado])*tabCustoUnit[[#This Row],[MODULO 1 - REMUNERAÇÃO ]]</f>
        <v>12.87780070920139</v>
      </c>
      <c r="AN43" s="22">
        <f>SUMIF(tabParametros[Código do Posto],tabCustoUnit[[#This Row],[Código do Posto]],tabParametros[Incidência do FGTS sobre API e Reflexo do API])*tabCustoUnit[[#This Row],[MODULO 1 - REMUNERAÇÃO ]]</f>
        <v>1.0302240567361112</v>
      </c>
      <c r="AO43" s="22">
        <f>SUMIF(tabParametros[Código do Posto],tabCustoUnit[[#This Row],[Código do Posto]],tabParametros[Multa Rescisória do FGTS sobre o Aviso Prévio Indenizado])*tabCustoUnit[[#This Row],[MODULO 1 - REMUNERAÇÃO ]]</f>
        <v>0.41208962269444455</v>
      </c>
      <c r="AP43" s="22">
        <f>SUMIF(tabParametros[Código do Posto],tabCustoUnit[[#This Row],[Código do Posto]],tabParametros[Aviso Prévio Trabalhado - APT])*tabCustoUnit[[#This Row],[MODULO 1 - REMUNERAÇÃO ]]</f>
        <v>6.4280947500000014</v>
      </c>
      <c r="AQ43" s="22">
        <f>SUMIF(tabParametros[Código do Posto],tabCustoUnit[[#This Row],[Código do Posto]],tabParametros[Incidência dos encargos do submódulo 2.1 sobre Aviso Prévio Trabalhado])*tabCustoUnit[[#This Row],[MODULO 1 - REMUNERAÇÃO ]]</f>
        <v>2.4298198155000006</v>
      </c>
      <c r="AR43" s="22">
        <f>SUMIF(tabParametros[Código do Posto],tabCustoUnit[[#This Row],[Código do Posto]],tabParametros[Multa Rescisória do FGTS])*tabCustoUnit[[#This Row],[MODULO 1 - REMUNERAÇÃO ]]</f>
        <v>56.15910079999999</v>
      </c>
      <c r="AS43" s="22">
        <f>SUMIF(tabParametros[Código do Posto],tabCustoUnit[[#This Row],[Código do Posto]],tabParametros[Indenização Adicional (Art. 9º da Lei nº 7.238/84)])*tabCustoUnit[[#This Row],[MODULO 1 - REMUNERAÇÃO ]]</f>
        <v>1.5304987500000002</v>
      </c>
      <c r="AT43" s="22">
        <f>SUM(tabCustoUnit[[#This Row],[Aviso Prévio Indenizado (API) e Reflexo do Aviso Prévio Indenizado]:[Indenização Adicional (Art. 9º da Lei nº 7.238/84)]])</f>
        <v>80.867628504131943</v>
      </c>
      <c r="AU43" s="22">
        <f>SUMIF(tabParametros[Código do Posto],tabCustoUnit[[#This Row],[Código do Posto]],tabParametros[Ausência por Doença])*tabCustoUnit[[#This Row],[MODULO 1 - REMUNERAÇÃO ]]</f>
        <v>15.509053999999999</v>
      </c>
      <c r="AV43" s="22">
        <f>SUMIF(tabParametros[Código do Posto],tabCustoUnit[[#This Row],[Código do Posto]],tabParametros[Ausências Legais])*tabCustoUnit[[#This Row],[MODULO 1 - REMUNERAÇÃO ]]</f>
        <v>3.724213625</v>
      </c>
      <c r="AW43" s="22">
        <f>SUMIF(tabParametros[Código do Posto],tabCustoUnit[[#This Row],[Código do Posto]],tabParametros[Licença Paternidade])*tabCustoUnit[[#This Row],[MODULO 1 - REMUNERAÇÃO ]]</f>
        <v>0.31375224374999999</v>
      </c>
      <c r="AX43" s="22">
        <f>SUMIF(tabParametros[Código do Posto],tabCustoUnit[[#This Row],[Código do Posto]],tabParametros[Ausência por Acidente de Trabalho])*tabCustoUnit[[#This Row],[MODULO 1 - REMUNERAÇÃO ]]</f>
        <v>0.38262468750000006</v>
      </c>
      <c r="AY43" s="22">
        <f>SUMIF(tabParametros[Código do Posto],tabCustoUnit[[#This Row],[Código do Posto]],tabParametros[Férias, Adicional de Férias e 13º  com empregada em gozo de Licença Maternidade])*tabCustoUnit[[#This Row],[MODULO 1 - REMUNERAÇÃO ]]</f>
        <v>2.3807758333333333</v>
      </c>
      <c r="AZ43" s="22">
        <f>SUMIF(tabParametros[Código do Posto],tabCustoUnit[[#This Row],[Código do Posto]],tabParametros[Incidência do Submódulo 2.1 sobre Ausências Legais])*tabCustoUnit[[#This Row],[MODULO 1 - REMUNERAÇÃO ]]</f>
        <v>8.4333389072625025</v>
      </c>
      <c r="BA43" s="22">
        <f>SUM(tabCustoUnit[[#This Row],[Ausência por Doença]:[Incidência do Submódulo 2.1 sobre Ausências Legais]])</f>
        <v>30.743759296845838</v>
      </c>
      <c r="BB43" s="22">
        <f>SUMIF(tabParametros[Código do Posto],tabCustoUnit[[#This Row],[Código do Posto]],tabParametros[Intervalo para Repouso ou Alimentação])</f>
        <v>0</v>
      </c>
      <c r="BC43" s="22">
        <f>tabCustoUnit[[#This Row],[Intervalo para Repouso ou Alimentação]]</f>
        <v>0</v>
      </c>
      <c r="BD4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3" s="22">
        <f>tabCustoUnit[[#This Row],[Suspensão Temporária do Contrato de Trabalho]]</f>
        <v>0</v>
      </c>
      <c r="BF43" s="22">
        <f>tabCustoUnit[[#This Row],[Submódulo 4.1]]+tabCustoUnit[[#This Row],[Submódulo 4.2]]+tabCustoUnit[[#This Row],[Submódulo 4.3]]</f>
        <v>30.743759296845838</v>
      </c>
      <c r="BG43" s="22">
        <f>VLOOKUP(tabCustoUnit[[#This Row],[Código do Posto]],tabParametros[],MATCH(tabCustoUnit[[#Headers],[Uniformes e EPIs]],tabParametros[#Headers],0),0)</f>
        <v>44.111346448706357</v>
      </c>
      <c r="BH43" s="22">
        <f>VLOOKUP(tabCustoUnit[[#This Row],[Código do Posto]],tabParametros[],MATCH(tabCustoUnit[[#Headers],[Materiais de Consumo]],tabParametros[#Headers],0),0)</f>
        <v>0</v>
      </c>
      <c r="BI43" s="22">
        <f>VLOOKUP(tabCustoUnit[[#This Row],[Código do Posto]],tabParametros[],MATCH(tabCustoUnit[[#Headers],[Máquinas e Equipamentos (depreciação)]],tabParametros[#Headers],0),0)</f>
        <v>0</v>
      </c>
      <c r="BJ43" s="22">
        <f>VLOOKUP(tabCustoUnit[[#This Row],[Código do Posto]],tabParametros[],MATCH(tabCustoUnit[[#Headers],[Produtos de Limpeza e Materiais de Higiene Pessoal]],tabParametros[#Headers],0),0)</f>
        <v>0</v>
      </c>
      <c r="BK43" s="22">
        <f>VLOOKUP(tabCustoUnit[[#This Row],[Código do Posto]],tabParametros[],MATCH(tabCustoUnit[[#Headers],[Outros (especificar)]],tabParametros[#Headers],0),0)</f>
        <v>0</v>
      </c>
      <c r="BL43" s="22">
        <f>SUM(tabCustoUnit[[#This Row],[Uniformes e EPIs]:[Outros (especificar)]])</f>
        <v>44.111346448706357</v>
      </c>
      <c r="BM4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3" s="22" t="e">
        <f ca="1">VLOOKUP(tabCustoUnit[[#This Row],[Código do Posto]],tabParametros[],MATCH(tabCustoUnit[[#Headers],[Custos Indiretos]],tabParametros[#Headers],0),0)</f>
        <v>#NAME?</v>
      </c>
      <c r="BO43" s="22" t="e">
        <f ca="1">VLOOKUP(tabCustoUnit[[#This Row],[Código do Posto]],tabParametros[],MATCH(tabCustoUnit[[#Headers],[Lucro]],tabParametros[#Headers],0),0)</f>
        <v>#NAME?</v>
      </c>
      <c r="BP43" s="26">
        <f>((100/((1-tabCustoUnit[[#This Row],[Resumo de Alíquotas (PIS+CONFINS+ISS)]]))-100)*VLOOKUP(tabCustoUnit[[#This Row],[Código do Posto]],tabParametros[],MATCH(tabCustoUnit[[#Headers],[COFINS]],tabParametros[#Headers],0),0))/(tabCustoUnit[[#This Row],[Resumo de Alíquotas (PIS+CONFINS+ISS)]]*100)</f>
        <v>8.8629737609329504E-2</v>
      </c>
      <c r="BQ43" s="26">
        <f>((100/((100-(tabCustoUnit[[#This Row],[Resumo de Alíquotas (PIS+CONFINS+ISS)]]*100))%)-100)*VLOOKUP(tabCustoUnit[[#This Row],[Código do Posto]],tabParametros[],MATCH(tabCustoUnit[[#Headers],[PIS]],tabParametros[#Headers],0),0))/(tabCustoUnit[[#This Row],[Resumo de Alíquotas (PIS+CONFINS+ISS)]]*100)</f>
        <v>1.9241982507288629E-2</v>
      </c>
      <c r="BR43" s="28">
        <f>VLOOKUP(tabCustoUnit[[#This Row],[Código do Posto]],tabParametros[],MATCH(tabCustoUnit[[#Headers],[ISS]],tabParametros[#Headers],0),0)</f>
        <v>0.05</v>
      </c>
      <c r="BS43" s="26">
        <f>(((100/((100-(tabCustoUnit[[#This Row],[Resumo de Alíquotas (PIS+CONFINS+ISS)]]*100))%)-100)*tabCustoUnit[[#This Row],[ISS]])/tabCustoUnit[[#This Row],[Resumo de Alíquotas (PIS+CONFINS+ISS)]])/100</f>
        <v>5.8309037900874633E-2</v>
      </c>
      <c r="BT4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3" s="138">
        <f>tabCustoUnit[[#This Row],[COFINS]]+tabCustoUnit[[#This Row],[PIS]]+tabCustoUnit[[#This Row],[ISS (Conversão Alíquota s/ fatura)]]</f>
        <v>0.16618075801749277</v>
      </c>
      <c r="BV43" s="22" t="e">
        <f ca="1">(tabCustoUnit[[#This Row],[TOTAL MÓDULOS 1+2+3+4+5]]+tabCustoUnit[[#This Row],[Custos Indiretos]]+tabCustoUnit[[#This Row],[Lucro]])*tabCustoUnit[[#This Row],[PIS + COFINS + ISS (Total Conversão  Alíquota s/ Fatura)]]</f>
        <v>#NAME?</v>
      </c>
      <c r="BW43" s="22" t="e">
        <f ca="1">tabCustoUnit[[#This Row],[Custos Indiretos]]+tabCustoUnit[[#This Row],[Lucro]]+tabCustoUnit[[#This Row],[Valor dos Tributos (ISS, PIS, CONFINS)]]</f>
        <v>#NAME?</v>
      </c>
      <c r="BX43" s="22" t="e">
        <f ca="1">tabCustoUnit[[#This Row],[TOTAL MÓDULOS 1+2+3+4+5]]+tabCustoUnit[[#This Row],[MÓDULO 6 – CUSTOS INDIRETOS, TRIBUTOS E LUCRO]]</f>
        <v>#NAME?</v>
      </c>
      <c r="BY43" s="22" t="e">
        <f ca="1">tabCustoUnit[[#This Row],[CUSTO TOTAL MENSAL]]*12</f>
        <v>#NAME?</v>
      </c>
      <c r="BZ43" s="24">
        <f>VLOOKUP(tabCustoUnit[[#This Row],[Código do Posto]],tabParametros[],MATCH(tabCustoUnit[[#Headers],[ANO DA CCT]],tabParametros[#Headers],0),0)</f>
        <v>45658</v>
      </c>
      <c r="CA43" s="25" t="str">
        <f>VLOOKUP(tabCustoUnit[[#This Row],[Código do Posto]],tabParametros[],MATCH(tabCustoUnit[[#Headers],[Nº DE PEDIDO DA CCT]],tabParametros[#Headers],0),0)</f>
        <v>-</v>
      </c>
      <c r="CB43" s="25" t="str">
        <f>VLOOKUP(tabCustoUnit[[#This Row],[Código do Posto]],tabParametros[],MATCH(tabCustoUnit[[#Headers],[TERMO ADITIVO ALTERAÇÃO DA CCT]],tabParametros[#Headers],0),0)</f>
        <v>-</v>
      </c>
    </row>
    <row r="44" spans="1:80">
      <c r="A44" s="20" t="s">
        <v>1423</v>
      </c>
      <c r="B44" t="s">
        <v>1103</v>
      </c>
      <c r="C44" t="s">
        <v>219</v>
      </c>
      <c r="D44" t="s">
        <v>1035</v>
      </c>
      <c r="E44" s="20" t="s">
        <v>1090</v>
      </c>
      <c r="F44" s="20" t="s">
        <v>120</v>
      </c>
      <c r="G44" s="418">
        <v>3673.8031999999998</v>
      </c>
      <c r="H44" s="418">
        <v>1102.1410000000001</v>
      </c>
      <c r="I44" s="418">
        <v>0</v>
      </c>
      <c r="J44" s="418">
        <v>0</v>
      </c>
      <c r="K44" s="418">
        <v>0</v>
      </c>
      <c r="L44" s="418">
        <v>0</v>
      </c>
      <c r="M44" s="418">
        <v>0</v>
      </c>
      <c r="N44" s="418">
        <v>0</v>
      </c>
      <c r="O44" s="21">
        <f>SUM(tabCustoUnit[[#This Row],[Salário Base]:[Adicional de Acúmulo de função]])</f>
        <v>4775.9441999999999</v>
      </c>
      <c r="P44" s="21">
        <f>tabCustoUnit[[#This Row],[MODULO 1 - REMUNERAÇÃO ]]*SUMIFS(tabParametros[INSS],tabParametros[Código do Posto],tabCustoUnit[[#This Row],[Código do Posto]])</f>
        <v>955.18884000000003</v>
      </c>
      <c r="Q44" s="21">
        <f>tabCustoUnit[[#This Row],[MODULO 1 - REMUNERAÇÃO ]]*SUMIFS(tabParametros[SESI OU SESC],tabParametros[Código do Posto],tabCustoUnit[[#This Row],[Código do Posto]])</f>
        <v>71.639162999999996</v>
      </c>
      <c r="R44" s="21">
        <f>tabCustoUnit[[#This Row],[MODULO 1 - REMUNERAÇÃO ]]*SUMIFS(tabParametros[SENAI OU SENAC],tabParametros[Código do Posto],tabCustoUnit[[#This Row],[Código do Posto]])</f>
        <v>47.759442</v>
      </c>
      <c r="S44" s="21">
        <f>tabCustoUnit[[#This Row],[MODULO 1 - REMUNERAÇÃO ]]*SUMIFS(tabParametros[INCRA],tabParametros[Código do Posto],tabCustoUnit[[#This Row],[Código do Posto]])</f>
        <v>9.5518883999999993</v>
      </c>
      <c r="T44" s="21">
        <f>tabCustoUnit[[#This Row],[MODULO 1 - REMUNERAÇÃO ]]*SUMIFS(tabParametros[Salário Educação],tabParametros[Código do Posto],tabCustoUnit[[#This Row],[Código do Posto]])</f>
        <v>119.398605</v>
      </c>
      <c r="U44" s="21">
        <f>tabCustoUnit[[#This Row],[MODULO 1 - REMUNERAÇÃO ]]*SUMIFS(tabParametros[FGTS],tabParametros[Código do Posto],tabCustoUnit[[#This Row],[Código do Posto]])</f>
        <v>382.075536</v>
      </c>
      <c r="V44" s="21">
        <f>tabCustoUnit[[#This Row],[MODULO 1 - REMUNERAÇÃO ]]*SUMIFS(tabParametros[RAT Ajustado],tabParametros[Código do Posto],tabCustoUnit[[#This Row],[Código do Posto]])</f>
        <v>191.037768</v>
      </c>
      <c r="W44" s="21">
        <f>tabCustoUnit[[#This Row],[MODULO 1 - REMUNERAÇÃO ]]*SUMIFS(tabParametros[SEBRAE],tabParametros[Código do Posto],tabCustoUnit[[#This Row],[Código do Posto]])</f>
        <v>28.655665200000001</v>
      </c>
      <c r="X44" s="21">
        <f>SUM(tabCustoUnit[[#This Row],[INSS]:[SEBRAE]])</f>
        <v>1805.3069076000002</v>
      </c>
      <c r="Y44" s="21">
        <f>tabCustoUnit[[#This Row],[MODULO 1 - REMUNERAÇÃO ]]*SUMIFS(tabParametros[13º salário (titular)],tabParametros[Código do Posto],tabCustoUnit[[#This Row],[Código do Posto]])</f>
        <v>397.99534999999997</v>
      </c>
      <c r="Z44" s="21">
        <f>tabCustoUnit[[#This Row],[MODULO 1 - REMUNERAÇÃO ]]*SUMIFS(tabParametros[Férias e Adicional de Férias (titular)],tabParametros[Código do Posto],tabCustoUnit[[#This Row],[Código do Posto]])</f>
        <v>530.66046666666659</v>
      </c>
      <c r="AA44" s="21">
        <f>IFERROR((tabCustoUnit[[#This Row],[Submódulo 2.1]]/tabCustoUnit[[#This Row],[MODULO 1 - REMUNERAÇÃO ]])*SUM(tabCustoUnit[[#This Row],[13º salário (titular)]:[Férias e Adicional de Férias (titular)]]),0)</f>
        <v>351.03189870000006</v>
      </c>
      <c r="AB44" s="21">
        <f>SUM(tabCustoUnit[[#This Row],[13º salário (titular)]:[Incidência do Submódulo 2.1 sobre 13º Salário, Férias e Adicional de Férias]])</f>
        <v>1279.6877153666667</v>
      </c>
      <c r="AC44" s="22" t="e">
        <f ca="1">_xlfn.LET(_xlpm.VT,SUMIF(tabParametros[Código do Posto],tabCustoUnit[[#This Row],[Código do Posto]],tabParametros[Vale - Transporte])*2*20,
IF((_xlpm.VT-tabCustoUnit[[#This Row],[Salário Base]]*0.06)&gt;=0,(_xlpm.VT-tabCustoUnit[[#This Row],[Salário Base]]*0.06),0)
)</f>
        <v>#NAME?</v>
      </c>
      <c r="AD44" s="22">
        <f>IF(SUMIF(tabParametros[Código do Posto],tabCustoUnit[[#This Row],[Código do Posto]],tabParametros[Vale - Alimentação])&lt;=0,0,
SUMIF(tabParametros[Código do Posto],tabCustoUnit[[#This Row],[Código do Posto]],tabParametros[Vale - Alimentação])*20-1)</f>
        <v>582</v>
      </c>
      <c r="AE44" s="22">
        <f>SUMIF(tabParametros[Código do Posto],tabCustoUnit[[#This Row],[Código do Posto]],tabParametros[Cesta Básica])</f>
        <v>0</v>
      </c>
      <c r="AF44" s="22">
        <f>SUMIF(tabParametros[Código do Posto],tabCustoUnit[[#This Row],[Código do Posto]],tabParametros[PAF])</f>
        <v>95.9</v>
      </c>
      <c r="AG44" s="22">
        <f>SUMIF(tabParametros[Código do Posto],tabCustoUnit[[#This Row],[Código do Posto]],tabParametros[PQM])</f>
        <v>0</v>
      </c>
      <c r="AH44" s="22">
        <f>SUMIF(tabParametros[Código do Posto],tabCustoUnit[[#This Row],[Código do Posto]],tabParametros[Abono Único e Especial])</f>
        <v>0</v>
      </c>
      <c r="AI44" s="22">
        <f>SUMIF(tabParametros[Código do Posto],tabCustoUnit[[#This Row],[Código do Posto]],tabParametros[Seguro de Vida])</f>
        <v>3.36</v>
      </c>
      <c r="AJ44" s="22">
        <f>SUMIF(tabParametros[Código do Posto],tabCustoUnit[[#This Row],[Código do Posto]],tabParametros[Despesas de Viagem])</f>
        <v>202.08</v>
      </c>
      <c r="AK44" s="22" t="e">
        <f ca="1">SUM(tabCustoUnit[[#This Row],[Vale - Transporte (Descontada parcela do empregado)]:[Despesas de Viagem]])</f>
        <v>#NAME?</v>
      </c>
      <c r="AL44" s="22" t="e">
        <f ca="1">tabCustoUnit[[#This Row],[Submódulo 2.1]]+tabCustoUnit[[#This Row],[Submódulo 2.2]]+tabCustoUnit[[#This Row],[Submódulo 2.3]]</f>
        <v>#NAME?</v>
      </c>
      <c r="AM44" s="22">
        <f>SUMIF(tabParametros[Código do Posto],tabCustoUnit[[#This Row],[Código do Posto]],tabParametros[Aviso Prévio Indenizado (API) e Reflexo do Aviso Prévio Indenizado])*tabCustoUnit[[#This Row],[MODULO 1 - REMUNERAÇÃO ]]</f>
        <v>33.487807817476849</v>
      </c>
      <c r="AN44" s="22">
        <f>SUMIF(tabParametros[Código do Posto],tabCustoUnit[[#This Row],[Código do Posto]],tabParametros[Incidência do FGTS sobre API e Reflexo do API])*tabCustoUnit[[#This Row],[MODULO 1 - REMUNERAÇÃO ]]</f>
        <v>2.6790246253981485</v>
      </c>
      <c r="AO44" s="22">
        <f>SUMIF(tabParametros[Código do Posto],tabCustoUnit[[#This Row],[Código do Posto]],tabParametros[Multa Rescisória do FGTS sobre o Aviso Prévio Indenizado])*tabCustoUnit[[#This Row],[MODULO 1 - REMUNERAÇÃO ]]</f>
        <v>1.0716098501592595</v>
      </c>
      <c r="AP44" s="22">
        <f>SUMIF(tabParametros[Código do Posto],tabCustoUnit[[#This Row],[Código do Posto]],tabParametros[Aviso Prévio Trabalhado - APT])*tabCustoUnit[[#This Row],[MODULO 1 - REMUNERAÇÃO ]]</f>
        <v>16.715804700000003</v>
      </c>
      <c r="AQ44" s="22">
        <f>SUMIF(tabParametros[Código do Posto],tabCustoUnit[[#This Row],[Código do Posto]],tabParametros[Incidência dos encargos do submódulo 2.1 sobre Aviso Prévio Trabalhado])*tabCustoUnit[[#This Row],[MODULO 1 - REMUNERAÇÃO ]]</f>
        <v>6.3185741766000021</v>
      </c>
      <c r="AR44" s="22">
        <f>SUMIF(tabParametros[Código do Posto],tabCustoUnit[[#This Row],[Código do Posto]],tabParametros[Multa Rescisória do FGTS])*tabCustoUnit[[#This Row],[MODULO 1 - REMUNERAÇÃO ]]</f>
        <v>146.03776042666664</v>
      </c>
      <c r="AS44" s="22">
        <f>SUMIF(tabParametros[Código do Posto],tabCustoUnit[[#This Row],[Código do Posto]],tabParametros[Indenização Adicional (Art. 9º da Lei nº 7.238/84)])*tabCustoUnit[[#This Row],[MODULO 1 - REMUNERAÇÃO ]]</f>
        <v>3.9799535000000001</v>
      </c>
      <c r="AT44" s="22">
        <f>SUM(tabCustoUnit[[#This Row],[Aviso Prévio Indenizado (API) e Reflexo do Aviso Prévio Indenizado]:[Indenização Adicional (Art. 9º da Lei nº 7.238/84)]])</f>
        <v>210.29053509630089</v>
      </c>
      <c r="AU44" s="22">
        <f>SUMIF(tabParametros[Código do Posto],tabCustoUnit[[#This Row],[Código do Posto]],tabParametros[Ausência por Doença])*tabCustoUnit[[#This Row],[MODULO 1 - REMUNERAÇÃO ]]</f>
        <v>40.330195466666659</v>
      </c>
      <c r="AV44" s="22">
        <f>SUMIF(tabParametros[Código do Posto],tabCustoUnit[[#This Row],[Código do Posto]],tabParametros[Ausências Legais])*tabCustoUnit[[#This Row],[MODULO 1 - REMUNERAÇÃO ]]</f>
        <v>9.6845535166666661</v>
      </c>
      <c r="AW44" s="22">
        <f>SUMIF(tabParametros[Código do Posto],tabCustoUnit[[#This Row],[Código do Posto]],tabParametros[Licença Paternidade])*tabCustoUnit[[#This Row],[MODULO 1 - REMUNERAÇÃO ]]</f>
        <v>0.81589046749999994</v>
      </c>
      <c r="AX44" s="22">
        <f>SUMIF(tabParametros[Código do Posto],tabCustoUnit[[#This Row],[Código do Posto]],tabParametros[Ausência por Acidente de Trabalho])*tabCustoUnit[[#This Row],[MODULO 1 - REMUNERAÇÃO ]]</f>
        <v>0.99498837500000004</v>
      </c>
      <c r="AY44" s="22">
        <f>SUMIF(tabParametros[Código do Posto],tabCustoUnit[[#This Row],[Código do Posto]],tabParametros[Férias, Adicional de Férias e 13º  com empregada em gozo de Licença Maternidade])*tabCustoUnit[[#This Row],[MODULO 1 - REMUNERAÇÃO ]]</f>
        <v>6.1910387777777771</v>
      </c>
      <c r="AZ44" s="22">
        <f>SUMIF(tabParametros[Código do Posto],tabCustoUnit[[#This Row],[Código do Posto]],tabParametros[Incidência do Submódulo 2.1 sobre Ausências Legais])*tabCustoUnit[[#This Row],[MODULO 1 - REMUNERAÇÃO ]]</f>
        <v>21.930299976165003</v>
      </c>
      <c r="BA44" s="22">
        <f>SUM(tabCustoUnit[[#This Row],[Ausência por Doença]:[Incidência do Submódulo 2.1 sobre Ausências Legais]])</f>
        <v>79.946966579776102</v>
      </c>
      <c r="BB44" s="22">
        <f>SUMIF(tabParametros[Código do Posto],tabCustoUnit[[#This Row],[Código do Posto]],tabParametros[Intervalo para Repouso ou Alimentação])</f>
        <v>0</v>
      </c>
      <c r="BC44" s="22">
        <f>tabCustoUnit[[#This Row],[Intervalo para Repouso ou Alimentação]]</f>
        <v>0</v>
      </c>
      <c r="BD4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4" s="22">
        <f>tabCustoUnit[[#This Row],[Suspensão Temporária do Contrato de Trabalho]]</f>
        <v>0</v>
      </c>
      <c r="BF44" s="22">
        <f>tabCustoUnit[[#This Row],[Submódulo 4.1]]+tabCustoUnit[[#This Row],[Submódulo 4.2]]+tabCustoUnit[[#This Row],[Submódulo 4.3]]</f>
        <v>79.946966579776102</v>
      </c>
      <c r="BG44" s="22">
        <f>VLOOKUP(tabCustoUnit[[#This Row],[Código do Posto]],tabParametros[],MATCH(tabCustoUnit[[#Headers],[Uniformes e EPIs]],tabParametros[#Headers],0),0)</f>
        <v>440.9050163942162</v>
      </c>
      <c r="BH44" s="22">
        <f>VLOOKUP(tabCustoUnit[[#This Row],[Código do Posto]],tabParametros[],MATCH(tabCustoUnit[[#Headers],[Materiais de Consumo]],tabParametros[#Headers],0),0)</f>
        <v>0</v>
      </c>
      <c r="BI44" s="22">
        <f>VLOOKUP(tabCustoUnit[[#This Row],[Código do Posto]],tabParametros[],MATCH(tabCustoUnit[[#Headers],[Máquinas e Equipamentos (depreciação)]],tabParametros[#Headers],0),0)</f>
        <v>0</v>
      </c>
      <c r="BJ44" s="22">
        <f>VLOOKUP(tabCustoUnit[[#This Row],[Código do Posto]],tabParametros[],MATCH(tabCustoUnit[[#Headers],[Produtos de Limpeza e Materiais de Higiene Pessoal]],tabParametros[#Headers],0),0)</f>
        <v>0</v>
      </c>
      <c r="BK44" s="22">
        <f>VLOOKUP(tabCustoUnit[[#This Row],[Código do Posto]],tabParametros[],MATCH(tabCustoUnit[[#Headers],[Outros (especificar)]],tabParametros[#Headers],0),0)</f>
        <v>0</v>
      </c>
      <c r="BL44" s="22">
        <f>SUM(tabCustoUnit[[#This Row],[Uniformes e EPIs]:[Outros (especificar)]])</f>
        <v>440.9050163942162</v>
      </c>
      <c r="BM4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4" s="22" t="e">
        <f ca="1">VLOOKUP(tabCustoUnit[[#This Row],[Código do Posto]],tabParametros[],MATCH(tabCustoUnit[[#Headers],[Custos Indiretos]],tabParametros[#Headers],0),0)</f>
        <v>#NAME?</v>
      </c>
      <c r="BO44" s="22" t="e">
        <f ca="1">VLOOKUP(tabCustoUnit[[#This Row],[Código do Posto]],tabParametros[],MATCH(tabCustoUnit[[#Headers],[Lucro]],tabParametros[#Headers],0),0)</f>
        <v>#NAME?</v>
      </c>
      <c r="BP44" s="26">
        <f>((100/((1-tabCustoUnit[[#This Row],[Resumo de Alíquotas (PIS+CONFINS+ISS)]]))-100)*VLOOKUP(tabCustoUnit[[#This Row],[Código do Posto]],tabParametros[],MATCH(tabCustoUnit[[#Headers],[COFINS]],tabParametros[#Headers],0),0))/(tabCustoUnit[[#This Row],[Resumo de Alíquotas (PIS+CONFINS+ISS)]]*100)</f>
        <v>8.8629737609329504E-2</v>
      </c>
      <c r="BQ44" s="26">
        <f>((100/((100-(tabCustoUnit[[#This Row],[Resumo de Alíquotas (PIS+CONFINS+ISS)]]*100))%)-100)*VLOOKUP(tabCustoUnit[[#This Row],[Código do Posto]],tabParametros[],MATCH(tabCustoUnit[[#Headers],[PIS]],tabParametros[#Headers],0),0))/(tabCustoUnit[[#This Row],[Resumo de Alíquotas (PIS+CONFINS+ISS)]]*100)</f>
        <v>1.9241982507288629E-2</v>
      </c>
      <c r="BR44" s="28">
        <f>VLOOKUP(tabCustoUnit[[#This Row],[Código do Posto]],tabParametros[],MATCH(tabCustoUnit[[#Headers],[ISS]],tabParametros[#Headers],0),0)</f>
        <v>0.05</v>
      </c>
      <c r="BS44" s="26">
        <f>(((100/((100-(tabCustoUnit[[#This Row],[Resumo de Alíquotas (PIS+CONFINS+ISS)]]*100))%)-100)*tabCustoUnit[[#This Row],[ISS]])/tabCustoUnit[[#This Row],[Resumo de Alíquotas (PIS+CONFINS+ISS)]])/100</f>
        <v>5.8309037900874633E-2</v>
      </c>
      <c r="BT4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4" s="138">
        <f>tabCustoUnit[[#This Row],[COFINS]]+tabCustoUnit[[#This Row],[PIS]]+tabCustoUnit[[#This Row],[ISS (Conversão Alíquota s/ fatura)]]</f>
        <v>0.16618075801749277</v>
      </c>
      <c r="BV44" s="22" t="e">
        <f ca="1">(tabCustoUnit[[#This Row],[TOTAL MÓDULOS 1+2+3+4+5]]+tabCustoUnit[[#This Row],[Custos Indiretos]]+tabCustoUnit[[#This Row],[Lucro]])*tabCustoUnit[[#This Row],[PIS + COFINS + ISS (Total Conversão  Alíquota s/ Fatura)]]</f>
        <v>#NAME?</v>
      </c>
      <c r="BW44" s="22" t="e">
        <f ca="1">tabCustoUnit[[#This Row],[Custos Indiretos]]+tabCustoUnit[[#This Row],[Lucro]]+tabCustoUnit[[#This Row],[Valor dos Tributos (ISS, PIS, CONFINS)]]</f>
        <v>#NAME?</v>
      </c>
      <c r="BX44" s="22" t="e">
        <f ca="1">tabCustoUnit[[#This Row],[TOTAL MÓDULOS 1+2+3+4+5]]+tabCustoUnit[[#This Row],[MÓDULO 6 – CUSTOS INDIRETOS, TRIBUTOS E LUCRO]]</f>
        <v>#NAME?</v>
      </c>
      <c r="BY44" s="22" t="e">
        <f ca="1">tabCustoUnit[[#This Row],[CUSTO TOTAL MENSAL]]*12</f>
        <v>#NAME?</v>
      </c>
      <c r="BZ44" s="24">
        <f>VLOOKUP(tabCustoUnit[[#This Row],[Código do Posto]],tabParametros[],MATCH(tabCustoUnit[[#Headers],[ANO DA CCT]],tabParametros[#Headers],0),0)</f>
        <v>45658</v>
      </c>
      <c r="CA44" s="25" t="str">
        <f>VLOOKUP(tabCustoUnit[[#This Row],[Código do Posto]],tabParametros[],MATCH(tabCustoUnit[[#Headers],[Nº DE PEDIDO DA CCT]],tabParametros[#Headers],0),0)</f>
        <v>-</v>
      </c>
      <c r="CB44" s="25" t="str">
        <f>VLOOKUP(tabCustoUnit[[#This Row],[Código do Posto]],tabParametros[],MATCH(tabCustoUnit[[#Headers],[TERMO ADITIVO ALTERAÇÃO DA CCT]],tabParametros[#Headers],0),0)</f>
        <v>-</v>
      </c>
    </row>
    <row r="45" spans="1:80">
      <c r="A45" s="20" t="s">
        <v>1424</v>
      </c>
      <c r="B45" t="s">
        <v>1103</v>
      </c>
      <c r="C45" t="s">
        <v>1364</v>
      </c>
      <c r="D45" t="s">
        <v>1035</v>
      </c>
      <c r="E45" s="20" t="s">
        <v>1090</v>
      </c>
      <c r="F45" s="20" t="s">
        <v>120</v>
      </c>
      <c r="G45" s="418">
        <v>4052.14</v>
      </c>
      <c r="H45" s="418">
        <v>0</v>
      </c>
      <c r="I45" s="418">
        <v>0</v>
      </c>
      <c r="J45" s="418">
        <v>0</v>
      </c>
      <c r="K45" s="418">
        <v>0</v>
      </c>
      <c r="L45" s="418">
        <v>0</v>
      </c>
      <c r="M45" s="418">
        <v>0</v>
      </c>
      <c r="N45" s="418">
        <v>0</v>
      </c>
      <c r="O45" s="21">
        <f>SUM(tabCustoUnit[[#This Row],[Salário Base]:[Adicional de Acúmulo de função]])</f>
        <v>4052.14</v>
      </c>
      <c r="P45" s="21">
        <f>tabCustoUnit[[#This Row],[MODULO 1 - REMUNERAÇÃO ]]*SUMIFS(tabParametros[INSS],tabParametros[Código do Posto],tabCustoUnit[[#This Row],[Código do Posto]])</f>
        <v>810.428</v>
      </c>
      <c r="Q45" s="21">
        <f>tabCustoUnit[[#This Row],[MODULO 1 - REMUNERAÇÃO ]]*SUMIFS(tabParametros[SESI OU SESC],tabParametros[Código do Posto],tabCustoUnit[[#This Row],[Código do Posto]])</f>
        <v>60.782099999999993</v>
      </c>
      <c r="R45" s="21">
        <f>tabCustoUnit[[#This Row],[MODULO 1 - REMUNERAÇÃO ]]*SUMIFS(tabParametros[SENAI OU SENAC],tabParametros[Código do Posto],tabCustoUnit[[#This Row],[Código do Posto]])</f>
        <v>40.5214</v>
      </c>
      <c r="S45" s="21">
        <f>tabCustoUnit[[#This Row],[MODULO 1 - REMUNERAÇÃO ]]*SUMIFS(tabParametros[INCRA],tabParametros[Código do Posto],tabCustoUnit[[#This Row],[Código do Posto]])</f>
        <v>8.1042799999999993</v>
      </c>
      <c r="T45" s="21">
        <f>tabCustoUnit[[#This Row],[MODULO 1 - REMUNERAÇÃO ]]*SUMIFS(tabParametros[Salário Educação],tabParametros[Código do Posto],tabCustoUnit[[#This Row],[Código do Posto]])</f>
        <v>101.3035</v>
      </c>
      <c r="U45" s="21">
        <f>tabCustoUnit[[#This Row],[MODULO 1 - REMUNERAÇÃO ]]*SUMIFS(tabParametros[FGTS],tabParametros[Código do Posto],tabCustoUnit[[#This Row],[Código do Posto]])</f>
        <v>324.1712</v>
      </c>
      <c r="V45" s="21">
        <f>tabCustoUnit[[#This Row],[MODULO 1 - REMUNERAÇÃO ]]*SUMIFS(tabParametros[RAT Ajustado],tabParametros[Código do Posto],tabCustoUnit[[#This Row],[Código do Posto]])</f>
        <v>162.0856</v>
      </c>
      <c r="W45" s="21">
        <f>tabCustoUnit[[#This Row],[MODULO 1 - REMUNERAÇÃO ]]*SUMIFS(tabParametros[SEBRAE],tabParametros[Código do Posto],tabCustoUnit[[#This Row],[Código do Posto]])</f>
        <v>24.312840000000001</v>
      </c>
      <c r="X45" s="21">
        <f>SUM(tabCustoUnit[[#This Row],[INSS]:[SEBRAE]])</f>
        <v>1531.70892</v>
      </c>
      <c r="Y45" s="21">
        <f>tabCustoUnit[[#This Row],[MODULO 1 - REMUNERAÇÃO ]]*SUMIFS(tabParametros[13º salário (titular)],tabParametros[Código do Posto],tabCustoUnit[[#This Row],[Código do Posto]])</f>
        <v>337.67833333333328</v>
      </c>
      <c r="Z45" s="21">
        <f>tabCustoUnit[[#This Row],[MODULO 1 - REMUNERAÇÃO ]]*SUMIFS(tabParametros[Férias e Adicional de Férias (titular)],tabParametros[Código do Posto],tabCustoUnit[[#This Row],[Código do Posto]])</f>
        <v>450.23777777777775</v>
      </c>
      <c r="AA45" s="21">
        <f>IFERROR((tabCustoUnit[[#This Row],[Submódulo 2.1]]/tabCustoUnit[[#This Row],[MODULO 1 - REMUNERAÇÃO ]])*SUM(tabCustoUnit[[#This Row],[13º salário (titular)]:[Férias e Adicional de Férias (titular)]]),0)</f>
        <v>297.83229</v>
      </c>
      <c r="AB45" s="21">
        <f>SUM(tabCustoUnit[[#This Row],[13º salário (titular)]:[Incidência do Submódulo 2.1 sobre 13º Salário, Férias e Adicional de Férias]])</f>
        <v>1085.748401111111</v>
      </c>
      <c r="AC45" s="22" t="e">
        <f ca="1">_xlfn.LET(_xlpm.VT,SUMIF(tabParametros[Código do Posto],tabCustoUnit[[#This Row],[Código do Posto]],tabParametros[Vale - Transporte])*2*20,
IF((_xlpm.VT-tabCustoUnit[[#This Row],[Salário Base]]*0.06)&gt;=0,(_xlpm.VT-tabCustoUnit[[#This Row],[Salário Base]]*0.06),0)
)</f>
        <v>#NAME?</v>
      </c>
      <c r="AD45" s="22">
        <f>IF(SUMIF(tabParametros[Código do Posto],tabCustoUnit[[#This Row],[Código do Posto]],tabParametros[Vale - Alimentação])&lt;=0,0,
SUMIF(tabParametros[Código do Posto],tabCustoUnit[[#This Row],[Código do Posto]],tabParametros[Vale - Alimentação])*20-1)</f>
        <v>582</v>
      </c>
      <c r="AE45" s="22">
        <f>SUMIF(tabParametros[Código do Posto],tabCustoUnit[[#This Row],[Código do Posto]],tabParametros[Cesta Básica])</f>
        <v>0</v>
      </c>
      <c r="AF45" s="22">
        <f>SUMIF(tabParametros[Código do Posto],tabCustoUnit[[#This Row],[Código do Posto]],tabParametros[PAF])</f>
        <v>95.9</v>
      </c>
      <c r="AG45" s="22">
        <f>SUMIF(tabParametros[Código do Posto],tabCustoUnit[[#This Row],[Código do Posto]],tabParametros[PQM])</f>
        <v>0</v>
      </c>
      <c r="AH45" s="22">
        <f>SUMIF(tabParametros[Código do Posto],tabCustoUnit[[#This Row],[Código do Posto]],tabParametros[Abono Único e Especial])</f>
        <v>0</v>
      </c>
      <c r="AI45" s="22">
        <f>SUMIF(tabParametros[Código do Posto],tabCustoUnit[[#This Row],[Código do Posto]],tabParametros[Seguro de Vida])</f>
        <v>3.36</v>
      </c>
      <c r="AJ45" s="22">
        <f>SUMIF(tabParametros[Código do Posto],tabCustoUnit[[#This Row],[Código do Posto]],tabParametros[Despesas de Viagem])</f>
        <v>202.08</v>
      </c>
      <c r="AK45" s="22" t="e">
        <f ca="1">SUM(tabCustoUnit[[#This Row],[Vale - Transporte (Descontada parcela do empregado)]:[Despesas de Viagem]])</f>
        <v>#NAME?</v>
      </c>
      <c r="AL45" s="22" t="e">
        <f ca="1">tabCustoUnit[[#This Row],[Submódulo 2.1]]+tabCustoUnit[[#This Row],[Submódulo 2.2]]+tabCustoUnit[[#This Row],[Submódulo 2.3]]</f>
        <v>#NAME?</v>
      </c>
      <c r="AM45" s="22">
        <f>SUMIF(tabParametros[Código do Posto],tabCustoUnit[[#This Row],[Código do Posto]],tabParametros[Aviso Prévio Indenizado (API) e Reflexo do Aviso Prévio Indenizado])*tabCustoUnit[[#This Row],[MODULO 1 - REMUNERAÇÃO ]]</f>
        <v>28.412661431327159</v>
      </c>
      <c r="AN45" s="22">
        <f>SUMIF(tabParametros[Código do Posto],tabCustoUnit[[#This Row],[Código do Posto]],tabParametros[Incidência do FGTS sobre API e Reflexo do API])*tabCustoUnit[[#This Row],[MODULO 1 - REMUNERAÇÃO ]]</f>
        <v>2.273012914506173</v>
      </c>
      <c r="AO45" s="22">
        <f>SUMIF(tabParametros[Código do Posto],tabCustoUnit[[#This Row],[Código do Posto]],tabParametros[Multa Rescisória do FGTS sobre o Aviso Prévio Indenizado])*tabCustoUnit[[#This Row],[MODULO 1 - REMUNERAÇÃO ]]</f>
        <v>0.90920516580246924</v>
      </c>
      <c r="AP45" s="22">
        <f>SUMIF(tabParametros[Código do Posto],tabCustoUnit[[#This Row],[Código do Posto]],tabParametros[Aviso Prévio Trabalhado - APT])*tabCustoUnit[[#This Row],[MODULO 1 - REMUNERAÇÃO ]]</f>
        <v>14.182490000000001</v>
      </c>
      <c r="AQ45" s="22">
        <f>SUMIF(tabParametros[Código do Posto],tabCustoUnit[[#This Row],[Código do Posto]],tabParametros[Incidência dos encargos do submódulo 2.1 sobre Aviso Prévio Trabalhado])*tabCustoUnit[[#This Row],[MODULO 1 - REMUNERAÇÃO ]]</f>
        <v>5.3609812200000011</v>
      </c>
      <c r="AR45" s="22">
        <f>SUMIF(tabParametros[Código do Posto],tabCustoUnit[[#This Row],[Código do Posto]],tabParametros[Multa Rescisória do FGTS])*tabCustoUnit[[#This Row],[MODULO 1 - REMUNERAÇÃO ]]</f>
        <v>123.90543644444442</v>
      </c>
      <c r="AS45" s="22">
        <f>SUMIF(tabParametros[Código do Posto],tabCustoUnit[[#This Row],[Código do Posto]],tabParametros[Indenização Adicional (Art. 9º da Lei nº 7.238/84)])*tabCustoUnit[[#This Row],[MODULO 1 - REMUNERAÇÃO ]]</f>
        <v>3.3767833333333335</v>
      </c>
      <c r="AT45" s="22">
        <f>SUM(tabCustoUnit[[#This Row],[Aviso Prévio Indenizado (API) e Reflexo do Aviso Prévio Indenizado]:[Indenização Adicional (Art. 9º da Lei nº 7.238/84)]])</f>
        <v>178.42057050941355</v>
      </c>
      <c r="AU45" s="22">
        <f>SUMIF(tabParametros[Código do Posto],tabCustoUnit[[#This Row],[Código do Posto]],tabParametros[Ausência por Doença])*tabCustoUnit[[#This Row],[MODULO 1 - REMUNERAÇÃO ]]</f>
        <v>34.218071111111108</v>
      </c>
      <c r="AV45" s="22">
        <f>SUMIF(tabParametros[Código do Posto],tabCustoUnit[[#This Row],[Código do Posto]],tabParametros[Ausências Legais])*tabCustoUnit[[#This Row],[MODULO 1 - REMUNERAÇÃO ]]</f>
        <v>8.2168394444444441</v>
      </c>
      <c r="AW45" s="22">
        <f>SUMIF(tabParametros[Código do Posto],tabCustoUnit[[#This Row],[Código do Posto]],tabParametros[Licença Paternidade])*tabCustoUnit[[#This Row],[MODULO 1 - REMUNERAÇÃO ]]</f>
        <v>0.69224058333333327</v>
      </c>
      <c r="AX45" s="22">
        <f>SUMIF(tabParametros[Código do Posto],tabCustoUnit[[#This Row],[Código do Posto]],tabParametros[Ausência por Acidente de Trabalho])*tabCustoUnit[[#This Row],[MODULO 1 - REMUNERAÇÃO ]]</f>
        <v>0.84419583333333337</v>
      </c>
      <c r="AY45" s="22">
        <f>SUMIF(tabParametros[Código do Posto],tabCustoUnit[[#This Row],[Código do Posto]],tabParametros[Férias, Adicional de Férias e 13º  com empregada em gozo de Licença Maternidade])*tabCustoUnit[[#This Row],[MODULO 1 - REMUNERAÇÃO ]]</f>
        <v>5.2527740740740736</v>
      </c>
      <c r="AZ45" s="22">
        <f>SUMIF(tabParametros[Código do Posto],tabCustoUnit[[#This Row],[Código do Posto]],tabParametros[Incidência do Submódulo 2.1 sobre Ausências Legais])*tabCustoUnit[[#This Row],[MODULO 1 - REMUNERAÇÃO ]]</f>
        <v>18.606717755500004</v>
      </c>
      <c r="BA45" s="22">
        <f>SUM(tabCustoUnit[[#This Row],[Ausência por Doença]:[Incidência do Submódulo 2.1 sobre Ausências Legais]])</f>
        <v>67.83083880179629</v>
      </c>
      <c r="BB45" s="22">
        <f>SUMIF(tabParametros[Código do Posto],tabCustoUnit[[#This Row],[Código do Posto]],tabParametros[Intervalo para Repouso ou Alimentação])</f>
        <v>448.62978571428567</v>
      </c>
      <c r="BC45" s="22">
        <f>tabCustoUnit[[#This Row],[Intervalo para Repouso ou Alimentação]]</f>
        <v>448.62978571428567</v>
      </c>
      <c r="BD4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5" s="22">
        <f>tabCustoUnit[[#This Row],[Suspensão Temporária do Contrato de Trabalho]]</f>
        <v>0</v>
      </c>
      <c r="BF45" s="22">
        <f>tabCustoUnit[[#This Row],[Submódulo 4.1]]+tabCustoUnit[[#This Row],[Submódulo 4.2]]+tabCustoUnit[[#This Row],[Submódulo 4.3]]</f>
        <v>516.46062451608191</v>
      </c>
      <c r="BG45" s="22">
        <f>VLOOKUP(tabCustoUnit[[#This Row],[Código do Posto]],tabParametros[],MATCH(tabCustoUnit[[#Headers],[Uniformes e EPIs]],tabParametros[#Headers],0),0)</f>
        <v>56.642978962543395</v>
      </c>
      <c r="BH45" s="22">
        <f>VLOOKUP(tabCustoUnit[[#This Row],[Código do Posto]],tabParametros[],MATCH(tabCustoUnit[[#Headers],[Materiais de Consumo]],tabParametros[#Headers],0),0)</f>
        <v>0</v>
      </c>
      <c r="BI45" s="22">
        <f>VLOOKUP(tabCustoUnit[[#This Row],[Código do Posto]],tabParametros[],MATCH(tabCustoUnit[[#Headers],[Máquinas e Equipamentos (depreciação)]],tabParametros[#Headers],0),0)</f>
        <v>0</v>
      </c>
      <c r="BJ45" s="22">
        <f>VLOOKUP(tabCustoUnit[[#This Row],[Código do Posto]],tabParametros[],MATCH(tabCustoUnit[[#Headers],[Produtos de Limpeza e Materiais de Higiene Pessoal]],tabParametros[#Headers],0),0)</f>
        <v>0</v>
      </c>
      <c r="BK45" s="22">
        <f>VLOOKUP(tabCustoUnit[[#This Row],[Código do Posto]],tabParametros[],MATCH(tabCustoUnit[[#Headers],[Outros (especificar)]],tabParametros[#Headers],0),0)</f>
        <v>0</v>
      </c>
      <c r="BL45" s="22">
        <f>SUM(tabCustoUnit[[#This Row],[Uniformes e EPIs]:[Outros (especificar)]])</f>
        <v>56.642978962543395</v>
      </c>
      <c r="BM4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5" s="22" t="e">
        <f ca="1">VLOOKUP(tabCustoUnit[[#This Row],[Código do Posto]],tabParametros[],MATCH(tabCustoUnit[[#Headers],[Custos Indiretos]],tabParametros[#Headers],0),0)</f>
        <v>#NAME?</v>
      </c>
      <c r="BO45" s="22" t="e">
        <f ca="1">VLOOKUP(tabCustoUnit[[#This Row],[Código do Posto]],tabParametros[],MATCH(tabCustoUnit[[#Headers],[Lucro]],tabParametros[#Headers],0),0)</f>
        <v>#NAME?</v>
      </c>
      <c r="BP45" s="26">
        <f>((100/((1-tabCustoUnit[[#This Row],[Resumo de Alíquotas (PIS+CONFINS+ISS)]]))-100)*VLOOKUP(tabCustoUnit[[#This Row],[Código do Posto]],tabParametros[],MATCH(tabCustoUnit[[#Headers],[COFINS]],tabParametros[#Headers],0),0))/(tabCustoUnit[[#This Row],[Resumo de Alíquotas (PIS+CONFINS+ISS)]]*100)</f>
        <v>8.8629737609329504E-2</v>
      </c>
      <c r="BQ45" s="26">
        <f>((100/((100-(tabCustoUnit[[#This Row],[Resumo de Alíquotas (PIS+CONFINS+ISS)]]*100))%)-100)*VLOOKUP(tabCustoUnit[[#This Row],[Código do Posto]],tabParametros[],MATCH(tabCustoUnit[[#Headers],[PIS]],tabParametros[#Headers],0),0))/(tabCustoUnit[[#This Row],[Resumo de Alíquotas (PIS+CONFINS+ISS)]]*100)</f>
        <v>1.9241982507288629E-2</v>
      </c>
      <c r="BR45" s="28">
        <f>VLOOKUP(tabCustoUnit[[#This Row],[Código do Posto]],tabParametros[],MATCH(tabCustoUnit[[#Headers],[ISS]],tabParametros[#Headers],0),0)</f>
        <v>0.05</v>
      </c>
      <c r="BS45" s="26">
        <f>(((100/((100-(tabCustoUnit[[#This Row],[Resumo de Alíquotas (PIS+CONFINS+ISS)]]*100))%)-100)*tabCustoUnit[[#This Row],[ISS]])/tabCustoUnit[[#This Row],[Resumo de Alíquotas (PIS+CONFINS+ISS)]])/100</f>
        <v>5.8309037900874633E-2</v>
      </c>
      <c r="BT4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5" s="138">
        <f>tabCustoUnit[[#This Row],[COFINS]]+tabCustoUnit[[#This Row],[PIS]]+tabCustoUnit[[#This Row],[ISS (Conversão Alíquota s/ fatura)]]</f>
        <v>0.16618075801749277</v>
      </c>
      <c r="BV45" s="22" t="e">
        <f ca="1">(tabCustoUnit[[#This Row],[TOTAL MÓDULOS 1+2+3+4+5]]+tabCustoUnit[[#This Row],[Custos Indiretos]]+tabCustoUnit[[#This Row],[Lucro]])*tabCustoUnit[[#This Row],[PIS + COFINS + ISS (Total Conversão  Alíquota s/ Fatura)]]</f>
        <v>#NAME?</v>
      </c>
      <c r="BW45" s="22" t="e">
        <f ca="1">tabCustoUnit[[#This Row],[Custos Indiretos]]+tabCustoUnit[[#This Row],[Lucro]]+tabCustoUnit[[#This Row],[Valor dos Tributos (ISS, PIS, CONFINS)]]</f>
        <v>#NAME?</v>
      </c>
      <c r="BX45" s="22" t="e">
        <f ca="1">tabCustoUnit[[#This Row],[TOTAL MÓDULOS 1+2+3+4+5]]+tabCustoUnit[[#This Row],[MÓDULO 6 – CUSTOS INDIRETOS, TRIBUTOS E LUCRO]]</f>
        <v>#NAME?</v>
      </c>
      <c r="BY45" s="22" t="e">
        <f ca="1">tabCustoUnit[[#This Row],[CUSTO TOTAL MENSAL]]*12</f>
        <v>#NAME?</v>
      </c>
      <c r="BZ45" s="24">
        <f>VLOOKUP(tabCustoUnit[[#This Row],[Código do Posto]],tabParametros[],MATCH(tabCustoUnit[[#Headers],[ANO DA CCT]],tabParametros[#Headers],0),0)</f>
        <v>45658</v>
      </c>
      <c r="CA45" s="25" t="str">
        <f>VLOOKUP(tabCustoUnit[[#This Row],[Código do Posto]],tabParametros[],MATCH(tabCustoUnit[[#Headers],[Nº DE PEDIDO DA CCT]],tabParametros[#Headers],0),0)</f>
        <v>-</v>
      </c>
      <c r="CB45" s="25" t="str">
        <f>VLOOKUP(tabCustoUnit[[#This Row],[Código do Posto]],tabParametros[],MATCH(tabCustoUnit[[#Headers],[TERMO ADITIVO ALTERAÇÃO DA CCT]],tabParametros[#Headers],0),0)</f>
        <v>-</v>
      </c>
    </row>
    <row r="46" spans="1:80">
      <c r="A46" s="20" t="s">
        <v>1425</v>
      </c>
      <c r="B46" t="s">
        <v>1103</v>
      </c>
      <c r="C46" t="s">
        <v>1521</v>
      </c>
      <c r="D46" t="s">
        <v>1035</v>
      </c>
      <c r="E46" s="20" t="s">
        <v>1090</v>
      </c>
      <c r="F46" s="20" t="s">
        <v>120</v>
      </c>
      <c r="G46" s="418">
        <v>4052.14</v>
      </c>
      <c r="H46" s="418">
        <v>0</v>
      </c>
      <c r="I46" s="418">
        <v>0</v>
      </c>
      <c r="J46" s="418">
        <v>816.50620000000004</v>
      </c>
      <c r="K46" s="418">
        <v>0</v>
      </c>
      <c r="L46" s="418">
        <v>0</v>
      </c>
      <c r="M46" s="418">
        <v>0</v>
      </c>
      <c r="N46" s="418">
        <v>0</v>
      </c>
      <c r="O46" s="21">
        <f>SUM(tabCustoUnit[[#This Row],[Salário Base]:[Adicional de Acúmulo de função]])</f>
        <v>4868.6462000000001</v>
      </c>
      <c r="P46" s="21">
        <f>tabCustoUnit[[#This Row],[MODULO 1 - REMUNERAÇÃO ]]*SUMIFS(tabParametros[INSS],tabParametros[Código do Posto],tabCustoUnit[[#This Row],[Código do Posto]])</f>
        <v>973.72924000000012</v>
      </c>
      <c r="Q46" s="21">
        <f>tabCustoUnit[[#This Row],[MODULO 1 - REMUNERAÇÃO ]]*SUMIFS(tabParametros[SESI OU SESC],tabParametros[Código do Posto],tabCustoUnit[[#This Row],[Código do Posto]])</f>
        <v>73.029692999999995</v>
      </c>
      <c r="R46" s="21">
        <f>tabCustoUnit[[#This Row],[MODULO 1 - REMUNERAÇÃO ]]*SUMIFS(tabParametros[SENAI OU SENAC],tabParametros[Código do Posto],tabCustoUnit[[#This Row],[Código do Posto]])</f>
        <v>48.686462000000006</v>
      </c>
      <c r="S46" s="21">
        <f>tabCustoUnit[[#This Row],[MODULO 1 - REMUNERAÇÃO ]]*SUMIFS(tabParametros[INCRA],tabParametros[Código do Posto],tabCustoUnit[[#This Row],[Código do Posto]])</f>
        <v>9.7372924000000012</v>
      </c>
      <c r="T46" s="21">
        <f>tabCustoUnit[[#This Row],[MODULO 1 - REMUNERAÇÃO ]]*SUMIFS(tabParametros[Salário Educação],tabParametros[Código do Posto],tabCustoUnit[[#This Row],[Código do Posto]])</f>
        <v>121.71615500000001</v>
      </c>
      <c r="U46" s="21">
        <f>tabCustoUnit[[#This Row],[MODULO 1 - REMUNERAÇÃO ]]*SUMIFS(tabParametros[FGTS],tabParametros[Código do Posto],tabCustoUnit[[#This Row],[Código do Posto]])</f>
        <v>389.49169600000005</v>
      </c>
      <c r="V46" s="21">
        <f>tabCustoUnit[[#This Row],[MODULO 1 - REMUNERAÇÃO ]]*SUMIFS(tabParametros[RAT Ajustado],tabParametros[Código do Posto],tabCustoUnit[[#This Row],[Código do Posto]])</f>
        <v>194.74584800000002</v>
      </c>
      <c r="W46" s="21">
        <f>tabCustoUnit[[#This Row],[MODULO 1 - REMUNERAÇÃO ]]*SUMIFS(tabParametros[SEBRAE],tabParametros[Código do Posto],tabCustoUnit[[#This Row],[Código do Posto]])</f>
        <v>29.2118772</v>
      </c>
      <c r="X46" s="21">
        <f>SUM(tabCustoUnit[[#This Row],[INSS]:[SEBRAE]])</f>
        <v>1840.3482636000003</v>
      </c>
      <c r="Y46" s="21">
        <f>tabCustoUnit[[#This Row],[MODULO 1 - REMUNERAÇÃO ]]*SUMIFS(tabParametros[13º salário (titular)],tabParametros[Código do Posto],tabCustoUnit[[#This Row],[Código do Posto]])</f>
        <v>405.72051666666664</v>
      </c>
      <c r="Z46" s="21">
        <f>tabCustoUnit[[#This Row],[MODULO 1 - REMUNERAÇÃO ]]*SUMIFS(tabParametros[Férias e Adicional de Férias (titular)],tabParametros[Código do Posto],tabCustoUnit[[#This Row],[Código do Posto]])</f>
        <v>540.96068888888885</v>
      </c>
      <c r="AA46" s="21">
        <f>IFERROR((tabCustoUnit[[#This Row],[Submódulo 2.1]]/tabCustoUnit[[#This Row],[MODULO 1 - REMUNERAÇÃO ]])*SUM(tabCustoUnit[[#This Row],[13º salário (titular)]:[Férias e Adicional de Férias (titular)]]),0)</f>
        <v>357.84549570000001</v>
      </c>
      <c r="AB46" s="21">
        <f>SUM(tabCustoUnit[[#This Row],[13º salário (titular)]:[Incidência do Submódulo 2.1 sobre 13º Salário, Férias e Adicional de Férias]])</f>
        <v>1304.5267012555555</v>
      </c>
      <c r="AC46" s="22" t="e">
        <f ca="1">_xlfn.LET(_xlpm.VT,SUMIF(tabParametros[Código do Posto],tabCustoUnit[[#This Row],[Código do Posto]],tabParametros[Vale - Transporte])*2*20,
IF((_xlpm.VT-tabCustoUnit[[#This Row],[Salário Base]]*0.06)&gt;=0,(_xlpm.VT-tabCustoUnit[[#This Row],[Salário Base]]*0.06),0)
)</f>
        <v>#NAME?</v>
      </c>
      <c r="AD46" s="22">
        <f>IF(SUMIF(tabParametros[Código do Posto],tabCustoUnit[[#This Row],[Código do Posto]],tabParametros[Vale - Alimentação])&lt;=0,0,
SUMIF(tabParametros[Código do Posto],tabCustoUnit[[#This Row],[Código do Posto]],tabParametros[Vale - Alimentação])*20-1)</f>
        <v>582</v>
      </c>
      <c r="AE46" s="22">
        <f>SUMIF(tabParametros[Código do Posto],tabCustoUnit[[#This Row],[Código do Posto]],tabParametros[Cesta Básica])</f>
        <v>0</v>
      </c>
      <c r="AF46" s="22">
        <f>SUMIF(tabParametros[Código do Posto],tabCustoUnit[[#This Row],[Código do Posto]],tabParametros[PAF])</f>
        <v>95.9</v>
      </c>
      <c r="AG46" s="22">
        <f>SUMIF(tabParametros[Código do Posto],tabCustoUnit[[#This Row],[Código do Posto]],tabParametros[PQM])</f>
        <v>0</v>
      </c>
      <c r="AH46" s="22">
        <f>SUMIF(tabParametros[Código do Posto],tabCustoUnit[[#This Row],[Código do Posto]],tabParametros[Abono Único e Especial])</f>
        <v>0</v>
      </c>
      <c r="AI46" s="22">
        <f>SUMIF(tabParametros[Código do Posto],tabCustoUnit[[#This Row],[Código do Posto]],tabParametros[Seguro de Vida])</f>
        <v>3.36</v>
      </c>
      <c r="AJ46" s="22">
        <f>SUMIF(tabParametros[Código do Posto],tabCustoUnit[[#This Row],[Código do Posto]],tabParametros[Despesas de Viagem])</f>
        <v>202.08</v>
      </c>
      <c r="AK46" s="22" t="e">
        <f ca="1">SUM(tabCustoUnit[[#This Row],[Vale - Transporte (Descontada parcela do empregado)]:[Despesas de Viagem]])</f>
        <v>#NAME?</v>
      </c>
      <c r="AL46" s="22" t="e">
        <f ca="1">tabCustoUnit[[#This Row],[Submódulo 2.1]]+tabCustoUnit[[#This Row],[Submódulo 2.2]]+tabCustoUnit[[#This Row],[Submódulo 2.3]]</f>
        <v>#NAME?</v>
      </c>
      <c r="AM46" s="22">
        <f>SUMIF(tabParametros[Código do Posto],tabCustoUnit[[#This Row],[Código do Posto]],tabParametros[Aviso Prévio Indenizado (API) e Reflexo do Aviso Prévio Indenizado])*tabCustoUnit[[#This Row],[MODULO 1 - REMUNERAÇÃO ]]</f>
        <v>34.137812639621913</v>
      </c>
      <c r="AN46" s="22">
        <f>SUMIF(tabParametros[Código do Posto],tabCustoUnit[[#This Row],[Código do Posto]],tabParametros[Incidência do FGTS sobre API e Reflexo do API])*tabCustoUnit[[#This Row],[MODULO 1 - REMUNERAÇÃO ]]</f>
        <v>2.7310250111697534</v>
      </c>
      <c r="AO46" s="22">
        <f>SUMIF(tabParametros[Código do Posto],tabCustoUnit[[#This Row],[Código do Posto]],tabParametros[Multa Rescisória do FGTS sobre o Aviso Prévio Indenizado])*tabCustoUnit[[#This Row],[MODULO 1 - REMUNERAÇÃO ]]</f>
        <v>1.0924100044679015</v>
      </c>
      <c r="AP46" s="22">
        <f>SUMIF(tabParametros[Código do Posto],tabCustoUnit[[#This Row],[Código do Posto]],tabParametros[Aviso Prévio Trabalhado - APT])*tabCustoUnit[[#This Row],[MODULO 1 - REMUNERAÇÃO ]]</f>
        <v>17.040261700000002</v>
      </c>
      <c r="AQ46" s="22">
        <f>SUMIF(tabParametros[Código do Posto],tabCustoUnit[[#This Row],[Código do Posto]],tabParametros[Incidência dos encargos do submódulo 2.1 sobre Aviso Prévio Trabalhado])*tabCustoUnit[[#This Row],[MODULO 1 - REMUNERAÇÃO ]]</f>
        <v>6.4412189226000018</v>
      </c>
      <c r="AR46" s="22">
        <f>SUMIF(tabParametros[Código do Posto],tabCustoUnit[[#This Row],[Código do Posto]],tabParametros[Multa Rescisória do FGTS])*tabCustoUnit[[#This Row],[MODULO 1 - REMUNERAÇÃO ]]</f>
        <v>148.8723815822222</v>
      </c>
      <c r="AS46" s="22">
        <f>SUMIF(tabParametros[Código do Posto],tabCustoUnit[[#This Row],[Código do Posto]],tabParametros[Indenização Adicional (Art. 9º da Lei nº 7.238/84)])*tabCustoUnit[[#This Row],[MODULO 1 - REMUNERAÇÃO ]]</f>
        <v>4.0572051666666669</v>
      </c>
      <c r="AT46" s="22">
        <f>SUM(tabCustoUnit[[#This Row],[Aviso Prévio Indenizado (API) e Reflexo do Aviso Prévio Indenizado]:[Indenização Adicional (Art. 9º da Lei nº 7.238/84)]])</f>
        <v>214.37231502674845</v>
      </c>
      <c r="AU46" s="22">
        <f>SUMIF(tabParametros[Código do Posto],tabCustoUnit[[#This Row],[Código do Posto]],tabParametros[Ausência por Doença])*tabCustoUnit[[#This Row],[MODULO 1 - REMUNERAÇÃO ]]</f>
        <v>41.113012355555554</v>
      </c>
      <c r="AV46" s="22">
        <f>SUMIF(tabParametros[Código do Posto],tabCustoUnit[[#This Row],[Código do Posto]],tabParametros[Ausências Legais])*tabCustoUnit[[#This Row],[MODULO 1 - REMUNERAÇÃO ]]</f>
        <v>9.8725325722222212</v>
      </c>
      <c r="AW46" s="22">
        <f>SUMIF(tabParametros[Código do Posto],tabCustoUnit[[#This Row],[Código do Posto]],tabParametros[Licença Paternidade])*tabCustoUnit[[#This Row],[MODULO 1 - REMUNERAÇÃO ]]</f>
        <v>0.83172705916666667</v>
      </c>
      <c r="AX46" s="22">
        <f>SUMIF(tabParametros[Código do Posto],tabCustoUnit[[#This Row],[Código do Posto]],tabParametros[Ausência por Acidente de Trabalho])*tabCustoUnit[[#This Row],[MODULO 1 - REMUNERAÇÃO ]]</f>
        <v>1.0143012916666667</v>
      </c>
      <c r="AY46" s="22">
        <f>SUMIF(tabParametros[Código do Posto],tabCustoUnit[[#This Row],[Código do Posto]],tabParametros[Férias, Adicional de Férias e 13º  com empregada em gozo de Licença Maternidade])*tabCustoUnit[[#This Row],[MODULO 1 - REMUNERAÇÃO ]]</f>
        <v>6.3112080370370371</v>
      </c>
      <c r="AZ46" s="22">
        <f>SUMIF(tabParametros[Código do Posto],tabCustoUnit[[#This Row],[Código do Posto]],tabParametros[Incidência do Submódulo 2.1 sobre Ausências Legais])*tabCustoUnit[[#This Row],[MODULO 1 - REMUNERAÇÃO ]]</f>
        <v>22.355971337315005</v>
      </c>
      <c r="BA46" s="22">
        <f>SUM(tabCustoUnit[[#This Row],[Ausência por Doença]:[Incidência do Submódulo 2.1 sobre Ausências Legais]])</f>
        <v>81.498752652963162</v>
      </c>
      <c r="BB46" s="22">
        <f>SUMIF(tabParametros[Código do Posto],tabCustoUnit[[#This Row],[Código do Posto]],tabParametros[Intervalo para Repouso ou Alimentação])</f>
        <v>539.0286875357142</v>
      </c>
      <c r="BC46" s="22">
        <f>tabCustoUnit[[#This Row],[Intervalo para Repouso ou Alimentação]]</f>
        <v>539.0286875357142</v>
      </c>
      <c r="BD4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6" s="22">
        <f>tabCustoUnit[[#This Row],[Suspensão Temporária do Contrato de Trabalho]]</f>
        <v>0</v>
      </c>
      <c r="BF46" s="22">
        <f>tabCustoUnit[[#This Row],[Submódulo 4.1]]+tabCustoUnit[[#This Row],[Submódulo 4.2]]+tabCustoUnit[[#This Row],[Submódulo 4.3]]</f>
        <v>620.52744018867736</v>
      </c>
      <c r="BG46" s="22">
        <f>VLOOKUP(tabCustoUnit[[#This Row],[Código do Posto]],tabParametros[],MATCH(tabCustoUnit[[#Headers],[Uniformes e EPIs]],tabParametros[#Headers],0),0)</f>
        <v>56.642978962543395</v>
      </c>
      <c r="BH46" s="22">
        <f>VLOOKUP(tabCustoUnit[[#This Row],[Código do Posto]],tabParametros[],MATCH(tabCustoUnit[[#Headers],[Materiais de Consumo]],tabParametros[#Headers],0),0)</f>
        <v>0</v>
      </c>
      <c r="BI46" s="22">
        <f>VLOOKUP(tabCustoUnit[[#This Row],[Código do Posto]],tabParametros[],MATCH(tabCustoUnit[[#Headers],[Máquinas e Equipamentos (depreciação)]],tabParametros[#Headers],0),0)</f>
        <v>0</v>
      </c>
      <c r="BJ46" s="22">
        <f>VLOOKUP(tabCustoUnit[[#This Row],[Código do Posto]],tabParametros[],MATCH(tabCustoUnit[[#Headers],[Produtos de Limpeza e Materiais de Higiene Pessoal]],tabParametros[#Headers],0),0)</f>
        <v>0</v>
      </c>
      <c r="BK46" s="22">
        <f>VLOOKUP(tabCustoUnit[[#This Row],[Código do Posto]],tabParametros[],MATCH(tabCustoUnit[[#Headers],[Outros (especificar)]],tabParametros[#Headers],0),0)</f>
        <v>0</v>
      </c>
      <c r="BL46" s="22">
        <f>SUM(tabCustoUnit[[#This Row],[Uniformes e EPIs]:[Outros (especificar)]])</f>
        <v>56.642978962543395</v>
      </c>
      <c r="BM4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6" s="22" t="e">
        <f ca="1">VLOOKUP(tabCustoUnit[[#This Row],[Código do Posto]],tabParametros[],MATCH(tabCustoUnit[[#Headers],[Custos Indiretos]],tabParametros[#Headers],0),0)</f>
        <v>#NAME?</v>
      </c>
      <c r="BO46" s="22" t="e">
        <f ca="1">VLOOKUP(tabCustoUnit[[#This Row],[Código do Posto]],tabParametros[],MATCH(tabCustoUnit[[#Headers],[Lucro]],tabParametros[#Headers],0),0)</f>
        <v>#NAME?</v>
      </c>
      <c r="BP46" s="26">
        <f>((100/((1-tabCustoUnit[[#This Row],[Resumo de Alíquotas (PIS+CONFINS+ISS)]]))-100)*VLOOKUP(tabCustoUnit[[#This Row],[Código do Posto]],tabParametros[],MATCH(tabCustoUnit[[#Headers],[COFINS]],tabParametros[#Headers],0),0))/(tabCustoUnit[[#This Row],[Resumo de Alíquotas (PIS+CONFINS+ISS)]]*100)</f>
        <v>8.8629737609329504E-2</v>
      </c>
      <c r="BQ46" s="26">
        <f>((100/((100-(tabCustoUnit[[#This Row],[Resumo de Alíquotas (PIS+CONFINS+ISS)]]*100))%)-100)*VLOOKUP(tabCustoUnit[[#This Row],[Código do Posto]],tabParametros[],MATCH(tabCustoUnit[[#Headers],[PIS]],tabParametros[#Headers],0),0))/(tabCustoUnit[[#This Row],[Resumo de Alíquotas (PIS+CONFINS+ISS)]]*100)</f>
        <v>1.9241982507288629E-2</v>
      </c>
      <c r="BR46" s="28">
        <f>VLOOKUP(tabCustoUnit[[#This Row],[Código do Posto]],tabParametros[],MATCH(tabCustoUnit[[#Headers],[ISS]],tabParametros[#Headers],0),0)</f>
        <v>0.05</v>
      </c>
      <c r="BS46" s="26">
        <f>(((100/((100-(tabCustoUnit[[#This Row],[Resumo de Alíquotas (PIS+CONFINS+ISS)]]*100))%)-100)*tabCustoUnit[[#This Row],[ISS]])/tabCustoUnit[[#This Row],[Resumo de Alíquotas (PIS+CONFINS+ISS)]])/100</f>
        <v>5.8309037900874633E-2</v>
      </c>
      <c r="BT4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6" s="138">
        <f>tabCustoUnit[[#This Row],[COFINS]]+tabCustoUnit[[#This Row],[PIS]]+tabCustoUnit[[#This Row],[ISS (Conversão Alíquota s/ fatura)]]</f>
        <v>0.16618075801749277</v>
      </c>
      <c r="BV46" s="22" t="e">
        <f ca="1">(tabCustoUnit[[#This Row],[TOTAL MÓDULOS 1+2+3+4+5]]+tabCustoUnit[[#This Row],[Custos Indiretos]]+tabCustoUnit[[#This Row],[Lucro]])*tabCustoUnit[[#This Row],[PIS + COFINS + ISS (Total Conversão  Alíquota s/ Fatura)]]</f>
        <v>#NAME?</v>
      </c>
      <c r="BW46" s="22" t="e">
        <f ca="1">tabCustoUnit[[#This Row],[Custos Indiretos]]+tabCustoUnit[[#This Row],[Lucro]]+tabCustoUnit[[#This Row],[Valor dos Tributos (ISS, PIS, CONFINS)]]</f>
        <v>#NAME?</v>
      </c>
      <c r="BX46" s="22" t="e">
        <f ca="1">tabCustoUnit[[#This Row],[TOTAL MÓDULOS 1+2+3+4+5]]+tabCustoUnit[[#This Row],[MÓDULO 6 – CUSTOS INDIRETOS, TRIBUTOS E LUCRO]]</f>
        <v>#NAME?</v>
      </c>
      <c r="BY46" s="22" t="e">
        <f ca="1">tabCustoUnit[[#This Row],[CUSTO TOTAL MENSAL]]*12</f>
        <v>#NAME?</v>
      </c>
      <c r="BZ46" s="24">
        <f>VLOOKUP(tabCustoUnit[[#This Row],[Código do Posto]],tabParametros[],MATCH(tabCustoUnit[[#Headers],[ANO DA CCT]],tabParametros[#Headers],0),0)</f>
        <v>45658</v>
      </c>
      <c r="CA46" s="25" t="str">
        <f>VLOOKUP(tabCustoUnit[[#This Row],[Código do Posto]],tabParametros[],MATCH(tabCustoUnit[[#Headers],[Nº DE PEDIDO DA CCT]],tabParametros[#Headers],0),0)</f>
        <v>-</v>
      </c>
      <c r="CB46" s="25" t="str">
        <f>VLOOKUP(tabCustoUnit[[#This Row],[Código do Posto]],tabParametros[],MATCH(tabCustoUnit[[#Headers],[TERMO ADITIVO ALTERAÇÃO DA CCT]],tabParametros[#Headers],0),0)</f>
        <v>-</v>
      </c>
    </row>
    <row r="47" spans="1:80">
      <c r="A47" s="20" t="s">
        <v>1426</v>
      </c>
      <c r="B47" t="s">
        <v>1103</v>
      </c>
      <c r="C47" t="s">
        <v>224</v>
      </c>
      <c r="D47" t="s">
        <v>1035</v>
      </c>
      <c r="E47" s="20" t="s">
        <v>1090</v>
      </c>
      <c r="F47" s="20" t="s">
        <v>120</v>
      </c>
      <c r="G47" s="418">
        <v>4052.14</v>
      </c>
      <c r="H47" s="418">
        <v>0</v>
      </c>
      <c r="I47" s="418">
        <v>0</v>
      </c>
      <c r="J47" s="418">
        <v>0</v>
      </c>
      <c r="K47" s="418">
        <v>0</v>
      </c>
      <c r="L47" s="418">
        <v>0</v>
      </c>
      <c r="M47" s="418">
        <v>0</v>
      </c>
      <c r="N47" s="418">
        <v>0</v>
      </c>
      <c r="O47" s="21">
        <f>SUM(tabCustoUnit[[#This Row],[Salário Base]:[Adicional de Acúmulo de função]])</f>
        <v>4052.14</v>
      </c>
      <c r="P47" s="21">
        <f>tabCustoUnit[[#This Row],[MODULO 1 - REMUNERAÇÃO ]]*SUMIFS(tabParametros[INSS],tabParametros[Código do Posto],tabCustoUnit[[#This Row],[Código do Posto]])</f>
        <v>810.428</v>
      </c>
      <c r="Q47" s="21">
        <f>tabCustoUnit[[#This Row],[MODULO 1 - REMUNERAÇÃO ]]*SUMIFS(tabParametros[SESI OU SESC],tabParametros[Código do Posto],tabCustoUnit[[#This Row],[Código do Posto]])</f>
        <v>60.782099999999993</v>
      </c>
      <c r="R47" s="21">
        <f>tabCustoUnit[[#This Row],[MODULO 1 - REMUNERAÇÃO ]]*SUMIFS(tabParametros[SENAI OU SENAC],tabParametros[Código do Posto],tabCustoUnit[[#This Row],[Código do Posto]])</f>
        <v>40.5214</v>
      </c>
      <c r="S47" s="21">
        <f>tabCustoUnit[[#This Row],[MODULO 1 - REMUNERAÇÃO ]]*SUMIFS(tabParametros[INCRA],tabParametros[Código do Posto],tabCustoUnit[[#This Row],[Código do Posto]])</f>
        <v>8.1042799999999993</v>
      </c>
      <c r="T47" s="21">
        <f>tabCustoUnit[[#This Row],[MODULO 1 - REMUNERAÇÃO ]]*SUMIFS(tabParametros[Salário Educação],tabParametros[Código do Posto],tabCustoUnit[[#This Row],[Código do Posto]])</f>
        <v>101.3035</v>
      </c>
      <c r="U47" s="21">
        <f>tabCustoUnit[[#This Row],[MODULO 1 - REMUNERAÇÃO ]]*SUMIFS(tabParametros[FGTS],tabParametros[Código do Posto],tabCustoUnit[[#This Row],[Código do Posto]])</f>
        <v>324.1712</v>
      </c>
      <c r="V47" s="21">
        <f>tabCustoUnit[[#This Row],[MODULO 1 - REMUNERAÇÃO ]]*SUMIFS(tabParametros[RAT Ajustado],tabParametros[Código do Posto],tabCustoUnit[[#This Row],[Código do Posto]])</f>
        <v>162.0856</v>
      </c>
      <c r="W47" s="21">
        <f>tabCustoUnit[[#This Row],[MODULO 1 - REMUNERAÇÃO ]]*SUMIFS(tabParametros[SEBRAE],tabParametros[Código do Posto],tabCustoUnit[[#This Row],[Código do Posto]])</f>
        <v>24.312840000000001</v>
      </c>
      <c r="X47" s="21">
        <f>SUM(tabCustoUnit[[#This Row],[INSS]:[SEBRAE]])</f>
        <v>1531.70892</v>
      </c>
      <c r="Y47" s="21">
        <f>tabCustoUnit[[#This Row],[MODULO 1 - REMUNERAÇÃO ]]*SUMIFS(tabParametros[13º salário (titular)],tabParametros[Código do Posto],tabCustoUnit[[#This Row],[Código do Posto]])</f>
        <v>337.67833333333328</v>
      </c>
      <c r="Z47" s="21">
        <f>tabCustoUnit[[#This Row],[MODULO 1 - REMUNERAÇÃO ]]*SUMIFS(tabParametros[Férias e Adicional de Férias (titular)],tabParametros[Código do Posto],tabCustoUnit[[#This Row],[Código do Posto]])</f>
        <v>450.23777777777775</v>
      </c>
      <c r="AA47" s="21">
        <f>IFERROR((tabCustoUnit[[#This Row],[Submódulo 2.1]]/tabCustoUnit[[#This Row],[MODULO 1 - REMUNERAÇÃO ]])*SUM(tabCustoUnit[[#This Row],[13º salário (titular)]:[Férias e Adicional de Férias (titular)]]),0)</f>
        <v>297.83229</v>
      </c>
      <c r="AB47" s="21">
        <f>SUM(tabCustoUnit[[#This Row],[13º salário (titular)]:[Incidência do Submódulo 2.1 sobre 13º Salário, Férias e Adicional de Férias]])</f>
        <v>1085.748401111111</v>
      </c>
      <c r="AC47" s="22" t="e">
        <f ca="1">_xlfn.LET(_xlpm.VT,SUMIF(tabParametros[Código do Posto],tabCustoUnit[[#This Row],[Código do Posto]],tabParametros[Vale - Transporte])*2*20,
IF((_xlpm.VT-tabCustoUnit[[#This Row],[Salário Base]]*0.06)&gt;=0,(_xlpm.VT-tabCustoUnit[[#This Row],[Salário Base]]*0.06),0)
)</f>
        <v>#NAME?</v>
      </c>
      <c r="AD47" s="22">
        <f>IF(SUMIF(tabParametros[Código do Posto],tabCustoUnit[[#This Row],[Código do Posto]],tabParametros[Vale - Alimentação])&lt;=0,0,
SUMIF(tabParametros[Código do Posto],tabCustoUnit[[#This Row],[Código do Posto]],tabParametros[Vale - Alimentação])*20-1)</f>
        <v>582</v>
      </c>
      <c r="AE47" s="22">
        <f>SUMIF(tabParametros[Código do Posto],tabCustoUnit[[#This Row],[Código do Posto]],tabParametros[Cesta Básica])</f>
        <v>0</v>
      </c>
      <c r="AF47" s="22">
        <f>SUMIF(tabParametros[Código do Posto],tabCustoUnit[[#This Row],[Código do Posto]],tabParametros[PAF])</f>
        <v>95.9</v>
      </c>
      <c r="AG47" s="22">
        <f>SUMIF(tabParametros[Código do Posto],tabCustoUnit[[#This Row],[Código do Posto]],tabParametros[PQM])</f>
        <v>0</v>
      </c>
      <c r="AH47" s="22">
        <f>SUMIF(tabParametros[Código do Posto],tabCustoUnit[[#This Row],[Código do Posto]],tabParametros[Abono Único e Especial])</f>
        <v>0</v>
      </c>
      <c r="AI47" s="22">
        <f>SUMIF(tabParametros[Código do Posto],tabCustoUnit[[#This Row],[Código do Posto]],tabParametros[Seguro de Vida])</f>
        <v>3.36</v>
      </c>
      <c r="AJ47" s="22">
        <f>SUMIF(tabParametros[Código do Posto],tabCustoUnit[[#This Row],[Código do Posto]],tabParametros[Despesas de Viagem])</f>
        <v>202.08</v>
      </c>
      <c r="AK47" s="22" t="e">
        <f ca="1">SUM(tabCustoUnit[[#This Row],[Vale - Transporte (Descontada parcela do empregado)]:[Despesas de Viagem]])</f>
        <v>#NAME?</v>
      </c>
      <c r="AL47" s="22" t="e">
        <f ca="1">tabCustoUnit[[#This Row],[Submódulo 2.1]]+tabCustoUnit[[#This Row],[Submódulo 2.2]]+tabCustoUnit[[#This Row],[Submódulo 2.3]]</f>
        <v>#NAME?</v>
      </c>
      <c r="AM47" s="22">
        <f>SUMIF(tabParametros[Código do Posto],tabCustoUnit[[#This Row],[Código do Posto]],tabParametros[Aviso Prévio Indenizado (API) e Reflexo do Aviso Prévio Indenizado])*tabCustoUnit[[#This Row],[MODULO 1 - REMUNERAÇÃO ]]</f>
        <v>28.412661431327159</v>
      </c>
      <c r="AN47" s="22">
        <f>SUMIF(tabParametros[Código do Posto],tabCustoUnit[[#This Row],[Código do Posto]],tabParametros[Incidência do FGTS sobre API e Reflexo do API])*tabCustoUnit[[#This Row],[MODULO 1 - REMUNERAÇÃO ]]</f>
        <v>2.273012914506173</v>
      </c>
      <c r="AO47" s="22">
        <f>SUMIF(tabParametros[Código do Posto],tabCustoUnit[[#This Row],[Código do Posto]],tabParametros[Multa Rescisória do FGTS sobre o Aviso Prévio Indenizado])*tabCustoUnit[[#This Row],[MODULO 1 - REMUNERAÇÃO ]]</f>
        <v>0.90920516580246924</v>
      </c>
      <c r="AP47" s="22">
        <f>SUMIF(tabParametros[Código do Posto],tabCustoUnit[[#This Row],[Código do Posto]],tabParametros[Aviso Prévio Trabalhado - APT])*tabCustoUnit[[#This Row],[MODULO 1 - REMUNERAÇÃO ]]</f>
        <v>14.182490000000001</v>
      </c>
      <c r="AQ47" s="22">
        <f>SUMIF(tabParametros[Código do Posto],tabCustoUnit[[#This Row],[Código do Posto]],tabParametros[Incidência dos encargos do submódulo 2.1 sobre Aviso Prévio Trabalhado])*tabCustoUnit[[#This Row],[MODULO 1 - REMUNERAÇÃO ]]</f>
        <v>5.3609812200000011</v>
      </c>
      <c r="AR47" s="22">
        <f>SUMIF(tabParametros[Código do Posto],tabCustoUnit[[#This Row],[Código do Posto]],tabParametros[Multa Rescisória do FGTS])*tabCustoUnit[[#This Row],[MODULO 1 - REMUNERAÇÃO ]]</f>
        <v>123.90543644444442</v>
      </c>
      <c r="AS47" s="22">
        <f>SUMIF(tabParametros[Código do Posto],tabCustoUnit[[#This Row],[Código do Posto]],tabParametros[Indenização Adicional (Art. 9º da Lei nº 7.238/84)])*tabCustoUnit[[#This Row],[MODULO 1 - REMUNERAÇÃO ]]</f>
        <v>3.3767833333333335</v>
      </c>
      <c r="AT47" s="22">
        <f>SUM(tabCustoUnit[[#This Row],[Aviso Prévio Indenizado (API) e Reflexo do Aviso Prévio Indenizado]:[Indenização Adicional (Art. 9º da Lei nº 7.238/84)]])</f>
        <v>178.42057050941355</v>
      </c>
      <c r="AU47" s="22">
        <f>SUMIF(tabParametros[Código do Posto],tabCustoUnit[[#This Row],[Código do Posto]],tabParametros[Ausência por Doença])*tabCustoUnit[[#This Row],[MODULO 1 - REMUNERAÇÃO ]]</f>
        <v>34.218071111111108</v>
      </c>
      <c r="AV47" s="22">
        <f>SUMIF(tabParametros[Código do Posto],tabCustoUnit[[#This Row],[Código do Posto]],tabParametros[Ausências Legais])*tabCustoUnit[[#This Row],[MODULO 1 - REMUNERAÇÃO ]]</f>
        <v>8.2168394444444441</v>
      </c>
      <c r="AW47" s="22">
        <f>SUMIF(tabParametros[Código do Posto],tabCustoUnit[[#This Row],[Código do Posto]],tabParametros[Licença Paternidade])*tabCustoUnit[[#This Row],[MODULO 1 - REMUNERAÇÃO ]]</f>
        <v>0.69224058333333327</v>
      </c>
      <c r="AX47" s="22">
        <f>SUMIF(tabParametros[Código do Posto],tabCustoUnit[[#This Row],[Código do Posto]],tabParametros[Ausência por Acidente de Trabalho])*tabCustoUnit[[#This Row],[MODULO 1 - REMUNERAÇÃO ]]</f>
        <v>0.84419583333333337</v>
      </c>
      <c r="AY47" s="22">
        <f>SUMIF(tabParametros[Código do Posto],tabCustoUnit[[#This Row],[Código do Posto]],tabParametros[Férias, Adicional de Férias e 13º  com empregada em gozo de Licença Maternidade])*tabCustoUnit[[#This Row],[MODULO 1 - REMUNERAÇÃO ]]</f>
        <v>5.2527740740740736</v>
      </c>
      <c r="AZ47" s="22">
        <f>SUMIF(tabParametros[Código do Posto],tabCustoUnit[[#This Row],[Código do Posto]],tabParametros[Incidência do Submódulo 2.1 sobre Ausências Legais])*tabCustoUnit[[#This Row],[MODULO 1 - REMUNERAÇÃO ]]</f>
        <v>18.606717755500004</v>
      </c>
      <c r="BA47" s="22">
        <f>SUM(tabCustoUnit[[#This Row],[Ausência por Doença]:[Incidência do Submódulo 2.1 sobre Ausências Legais]])</f>
        <v>67.83083880179629</v>
      </c>
      <c r="BB47" s="22">
        <f>SUMIF(tabParametros[Código do Posto],tabCustoUnit[[#This Row],[Código do Posto]],tabParametros[Intervalo para Repouso ou Alimentação])</f>
        <v>0</v>
      </c>
      <c r="BC47" s="22">
        <f>tabCustoUnit[[#This Row],[Intervalo para Repouso ou Alimentação]]</f>
        <v>0</v>
      </c>
      <c r="BD4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7" s="22">
        <f>tabCustoUnit[[#This Row],[Suspensão Temporária do Contrato de Trabalho]]</f>
        <v>0</v>
      </c>
      <c r="BF47" s="22">
        <f>tabCustoUnit[[#This Row],[Submódulo 4.1]]+tabCustoUnit[[#This Row],[Submódulo 4.2]]+tabCustoUnit[[#This Row],[Submódulo 4.3]]</f>
        <v>67.83083880179629</v>
      </c>
      <c r="BG47" s="22">
        <f>VLOOKUP(tabCustoUnit[[#This Row],[Código do Posto]],tabParametros[],MATCH(tabCustoUnit[[#Headers],[Uniformes e EPIs]],tabParametros[#Headers],0),0)</f>
        <v>56.642978962543395</v>
      </c>
      <c r="BH47" s="22">
        <f>VLOOKUP(tabCustoUnit[[#This Row],[Código do Posto]],tabParametros[],MATCH(tabCustoUnit[[#Headers],[Materiais de Consumo]],tabParametros[#Headers],0),0)</f>
        <v>0</v>
      </c>
      <c r="BI47" s="22">
        <f>VLOOKUP(tabCustoUnit[[#This Row],[Código do Posto]],tabParametros[],MATCH(tabCustoUnit[[#Headers],[Máquinas e Equipamentos (depreciação)]],tabParametros[#Headers],0),0)</f>
        <v>0</v>
      </c>
      <c r="BJ47" s="22">
        <f>VLOOKUP(tabCustoUnit[[#This Row],[Código do Posto]],tabParametros[],MATCH(tabCustoUnit[[#Headers],[Produtos de Limpeza e Materiais de Higiene Pessoal]],tabParametros[#Headers],0),0)</f>
        <v>0</v>
      </c>
      <c r="BK47" s="22">
        <f>VLOOKUP(tabCustoUnit[[#This Row],[Código do Posto]],tabParametros[],MATCH(tabCustoUnit[[#Headers],[Outros (especificar)]],tabParametros[#Headers],0),0)</f>
        <v>0</v>
      </c>
      <c r="BL47" s="22">
        <f>SUM(tabCustoUnit[[#This Row],[Uniformes e EPIs]:[Outros (especificar)]])</f>
        <v>56.642978962543395</v>
      </c>
      <c r="BM4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7" s="22" t="e">
        <f ca="1">VLOOKUP(tabCustoUnit[[#This Row],[Código do Posto]],tabParametros[],MATCH(tabCustoUnit[[#Headers],[Custos Indiretos]],tabParametros[#Headers],0),0)</f>
        <v>#NAME?</v>
      </c>
      <c r="BO47" s="22" t="e">
        <f ca="1">VLOOKUP(tabCustoUnit[[#This Row],[Código do Posto]],tabParametros[],MATCH(tabCustoUnit[[#Headers],[Lucro]],tabParametros[#Headers],0),0)</f>
        <v>#NAME?</v>
      </c>
      <c r="BP47" s="26">
        <f>((100/((1-tabCustoUnit[[#This Row],[Resumo de Alíquotas (PIS+CONFINS+ISS)]]))-100)*VLOOKUP(tabCustoUnit[[#This Row],[Código do Posto]],tabParametros[],MATCH(tabCustoUnit[[#Headers],[COFINS]],tabParametros[#Headers],0),0))/(tabCustoUnit[[#This Row],[Resumo de Alíquotas (PIS+CONFINS+ISS)]]*100)</f>
        <v>8.8629737609329504E-2</v>
      </c>
      <c r="BQ47" s="26">
        <f>((100/((100-(tabCustoUnit[[#This Row],[Resumo de Alíquotas (PIS+CONFINS+ISS)]]*100))%)-100)*VLOOKUP(tabCustoUnit[[#This Row],[Código do Posto]],tabParametros[],MATCH(tabCustoUnit[[#Headers],[PIS]],tabParametros[#Headers],0),0))/(tabCustoUnit[[#This Row],[Resumo de Alíquotas (PIS+CONFINS+ISS)]]*100)</f>
        <v>1.9241982507288629E-2</v>
      </c>
      <c r="BR47" s="28">
        <f>VLOOKUP(tabCustoUnit[[#This Row],[Código do Posto]],tabParametros[],MATCH(tabCustoUnit[[#Headers],[ISS]],tabParametros[#Headers],0),0)</f>
        <v>0.05</v>
      </c>
      <c r="BS47" s="26">
        <f>(((100/((100-(tabCustoUnit[[#This Row],[Resumo de Alíquotas (PIS+CONFINS+ISS)]]*100))%)-100)*tabCustoUnit[[#This Row],[ISS]])/tabCustoUnit[[#This Row],[Resumo de Alíquotas (PIS+CONFINS+ISS)]])/100</f>
        <v>5.8309037900874633E-2</v>
      </c>
      <c r="BT4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7" s="138">
        <f>tabCustoUnit[[#This Row],[COFINS]]+tabCustoUnit[[#This Row],[PIS]]+tabCustoUnit[[#This Row],[ISS (Conversão Alíquota s/ fatura)]]</f>
        <v>0.16618075801749277</v>
      </c>
      <c r="BV47" s="22" t="e">
        <f ca="1">(tabCustoUnit[[#This Row],[TOTAL MÓDULOS 1+2+3+4+5]]+tabCustoUnit[[#This Row],[Custos Indiretos]]+tabCustoUnit[[#This Row],[Lucro]])*tabCustoUnit[[#This Row],[PIS + COFINS + ISS (Total Conversão  Alíquota s/ Fatura)]]</f>
        <v>#NAME?</v>
      </c>
      <c r="BW47" s="22" t="e">
        <f ca="1">tabCustoUnit[[#This Row],[Custos Indiretos]]+tabCustoUnit[[#This Row],[Lucro]]+tabCustoUnit[[#This Row],[Valor dos Tributos (ISS, PIS, CONFINS)]]</f>
        <v>#NAME?</v>
      </c>
      <c r="BX47" s="22" t="e">
        <f ca="1">tabCustoUnit[[#This Row],[TOTAL MÓDULOS 1+2+3+4+5]]+tabCustoUnit[[#This Row],[MÓDULO 6 – CUSTOS INDIRETOS, TRIBUTOS E LUCRO]]</f>
        <v>#NAME?</v>
      </c>
      <c r="BY47" s="22" t="e">
        <f ca="1">tabCustoUnit[[#This Row],[CUSTO TOTAL MENSAL]]*12</f>
        <v>#NAME?</v>
      </c>
      <c r="BZ47" s="24">
        <f>VLOOKUP(tabCustoUnit[[#This Row],[Código do Posto]],tabParametros[],MATCH(tabCustoUnit[[#Headers],[ANO DA CCT]],tabParametros[#Headers],0),0)</f>
        <v>45658</v>
      </c>
      <c r="CA47" s="25" t="str">
        <f>VLOOKUP(tabCustoUnit[[#This Row],[Código do Posto]],tabParametros[],MATCH(tabCustoUnit[[#Headers],[Nº DE PEDIDO DA CCT]],tabParametros[#Headers],0),0)</f>
        <v>-</v>
      </c>
      <c r="CB47" s="25" t="str">
        <f>VLOOKUP(tabCustoUnit[[#This Row],[Código do Posto]],tabParametros[],MATCH(tabCustoUnit[[#Headers],[TERMO ADITIVO ALTERAÇÃO DA CCT]],tabParametros[#Headers],0),0)</f>
        <v>-</v>
      </c>
    </row>
    <row r="48" spans="1:80">
      <c r="A48" s="20" t="s">
        <v>1427</v>
      </c>
      <c r="B48" t="s">
        <v>1103</v>
      </c>
      <c r="C48" t="s">
        <v>229</v>
      </c>
      <c r="D48" t="s">
        <v>1035</v>
      </c>
      <c r="E48" s="20" t="s">
        <v>1090</v>
      </c>
      <c r="F48" s="20" t="s">
        <v>120</v>
      </c>
      <c r="G48" s="418">
        <v>3065.0509999999999</v>
      </c>
      <c r="H48" s="418">
        <v>0</v>
      </c>
      <c r="I48" s="418">
        <v>0</v>
      </c>
      <c r="J48" s="418">
        <v>0</v>
      </c>
      <c r="K48" s="418">
        <v>0</v>
      </c>
      <c r="L48" s="418">
        <v>0</v>
      </c>
      <c r="M48" s="418">
        <v>0</v>
      </c>
      <c r="N48" s="418">
        <v>0</v>
      </c>
      <c r="O48" s="21">
        <f>SUM(tabCustoUnit[[#This Row],[Salário Base]:[Adicional de Acúmulo de função]])</f>
        <v>3065.0509999999999</v>
      </c>
      <c r="P48" s="21">
        <f>tabCustoUnit[[#This Row],[MODULO 1 - REMUNERAÇÃO ]]*SUMIFS(tabParametros[INSS],tabParametros[Código do Posto],tabCustoUnit[[#This Row],[Código do Posto]])</f>
        <v>613.01020000000005</v>
      </c>
      <c r="Q48" s="21">
        <f>tabCustoUnit[[#This Row],[MODULO 1 - REMUNERAÇÃO ]]*SUMIFS(tabParametros[SESI OU SESC],tabParametros[Código do Posto],tabCustoUnit[[#This Row],[Código do Posto]])</f>
        <v>45.975764999999996</v>
      </c>
      <c r="R48" s="21">
        <f>tabCustoUnit[[#This Row],[MODULO 1 - REMUNERAÇÃO ]]*SUMIFS(tabParametros[SENAI OU SENAC],tabParametros[Código do Posto],tabCustoUnit[[#This Row],[Código do Posto]])</f>
        <v>30.650510000000001</v>
      </c>
      <c r="S48" s="21">
        <f>tabCustoUnit[[#This Row],[MODULO 1 - REMUNERAÇÃO ]]*SUMIFS(tabParametros[INCRA],tabParametros[Código do Posto],tabCustoUnit[[#This Row],[Código do Posto]])</f>
        <v>6.1301019999999999</v>
      </c>
      <c r="T48" s="21">
        <f>tabCustoUnit[[#This Row],[MODULO 1 - REMUNERAÇÃO ]]*SUMIFS(tabParametros[Salário Educação],tabParametros[Código do Posto],tabCustoUnit[[#This Row],[Código do Posto]])</f>
        <v>76.626275000000007</v>
      </c>
      <c r="U48" s="21">
        <f>tabCustoUnit[[#This Row],[MODULO 1 - REMUNERAÇÃO ]]*SUMIFS(tabParametros[FGTS],tabParametros[Código do Posto],tabCustoUnit[[#This Row],[Código do Posto]])</f>
        <v>245.20408</v>
      </c>
      <c r="V48" s="21">
        <f>tabCustoUnit[[#This Row],[MODULO 1 - REMUNERAÇÃO ]]*SUMIFS(tabParametros[RAT Ajustado],tabParametros[Código do Posto],tabCustoUnit[[#This Row],[Código do Posto]])</f>
        <v>122.60204</v>
      </c>
      <c r="W48" s="21">
        <f>tabCustoUnit[[#This Row],[MODULO 1 - REMUNERAÇÃO ]]*SUMIFS(tabParametros[SEBRAE],tabParametros[Código do Posto],tabCustoUnit[[#This Row],[Código do Posto]])</f>
        <v>18.390305999999999</v>
      </c>
      <c r="X48" s="21">
        <f>SUM(tabCustoUnit[[#This Row],[INSS]:[SEBRAE]])</f>
        <v>1158.5892780000001</v>
      </c>
      <c r="Y48" s="21">
        <f>tabCustoUnit[[#This Row],[MODULO 1 - REMUNERAÇÃO ]]*SUMIFS(tabParametros[13º salário (titular)],tabParametros[Código do Posto],tabCustoUnit[[#This Row],[Código do Posto]])</f>
        <v>255.42091666666664</v>
      </c>
      <c r="Z48" s="21">
        <f>tabCustoUnit[[#This Row],[MODULO 1 - REMUNERAÇÃO ]]*SUMIFS(tabParametros[Férias e Adicional de Férias (titular)],tabParametros[Código do Posto],tabCustoUnit[[#This Row],[Código do Posto]])</f>
        <v>340.56122222222217</v>
      </c>
      <c r="AA48" s="21">
        <f>IFERROR((tabCustoUnit[[#This Row],[Submódulo 2.1]]/tabCustoUnit[[#This Row],[MODULO 1 - REMUNERAÇÃO ]])*SUM(tabCustoUnit[[#This Row],[13º salário (titular)]:[Férias e Adicional de Férias (titular)]]),0)</f>
        <v>225.2812485</v>
      </c>
      <c r="AB48" s="21">
        <f>SUM(tabCustoUnit[[#This Row],[13º salário (titular)]:[Incidência do Submódulo 2.1 sobre 13º Salário, Férias e Adicional de Férias]])</f>
        <v>821.26338738888876</v>
      </c>
      <c r="AC48" s="22" t="e">
        <f ca="1">_xlfn.LET(_xlpm.VT,SUMIF(tabParametros[Código do Posto],tabCustoUnit[[#This Row],[Código do Posto]],tabParametros[Vale - Transporte])*2*20,
IF((_xlpm.VT-tabCustoUnit[[#This Row],[Salário Base]]*0.06)&gt;=0,(_xlpm.VT-tabCustoUnit[[#This Row],[Salário Base]]*0.06),0)
)</f>
        <v>#NAME?</v>
      </c>
      <c r="AD48" s="22">
        <f>IF(SUMIF(tabParametros[Código do Posto],tabCustoUnit[[#This Row],[Código do Posto]],tabParametros[Vale - Alimentação])&lt;=0,0,
SUMIF(tabParametros[Código do Posto],tabCustoUnit[[#This Row],[Código do Posto]],tabParametros[Vale - Alimentação])*20-1)</f>
        <v>582</v>
      </c>
      <c r="AE48" s="22">
        <f>SUMIF(tabParametros[Código do Posto],tabCustoUnit[[#This Row],[Código do Posto]],tabParametros[Cesta Básica])</f>
        <v>0</v>
      </c>
      <c r="AF48" s="22">
        <f>SUMIF(tabParametros[Código do Posto],tabCustoUnit[[#This Row],[Código do Posto]],tabParametros[PAF])</f>
        <v>95.9</v>
      </c>
      <c r="AG48" s="22">
        <f>SUMIF(tabParametros[Código do Posto],tabCustoUnit[[#This Row],[Código do Posto]],tabParametros[PQM])</f>
        <v>0</v>
      </c>
      <c r="AH48" s="22">
        <f>SUMIF(tabParametros[Código do Posto],tabCustoUnit[[#This Row],[Código do Posto]],tabParametros[Abono Único e Especial])</f>
        <v>0</v>
      </c>
      <c r="AI48" s="22">
        <f>SUMIF(tabParametros[Código do Posto],tabCustoUnit[[#This Row],[Código do Posto]],tabParametros[Seguro de Vida])</f>
        <v>3.36</v>
      </c>
      <c r="AJ48" s="22">
        <f>SUMIF(tabParametros[Código do Posto],tabCustoUnit[[#This Row],[Código do Posto]],tabParametros[Despesas de Viagem])</f>
        <v>202.08</v>
      </c>
      <c r="AK48" s="22" t="e">
        <f ca="1">SUM(tabCustoUnit[[#This Row],[Vale - Transporte (Descontada parcela do empregado)]:[Despesas de Viagem]])</f>
        <v>#NAME?</v>
      </c>
      <c r="AL48" s="22" t="e">
        <f ca="1">tabCustoUnit[[#This Row],[Submódulo 2.1]]+tabCustoUnit[[#This Row],[Submódulo 2.2]]+tabCustoUnit[[#This Row],[Submódulo 2.3]]</f>
        <v>#NAME?</v>
      </c>
      <c r="AM48" s="22">
        <f>SUMIF(tabParametros[Código do Posto],tabCustoUnit[[#This Row],[Código do Posto]],tabParametros[Aviso Prévio Indenizado (API) e Reflexo do Aviso Prévio Indenizado])*tabCustoUnit[[#This Row],[MODULO 1 - REMUNERAÇÃO ]]</f>
        <v>21.491423379436728</v>
      </c>
      <c r="AN48" s="22">
        <f>SUMIF(tabParametros[Código do Posto],tabCustoUnit[[#This Row],[Código do Posto]],tabParametros[Incidência do FGTS sobre API e Reflexo do API])*tabCustoUnit[[#This Row],[MODULO 1 - REMUNERAÇÃO ]]</f>
        <v>1.7193138703549384</v>
      </c>
      <c r="AO48" s="22">
        <f>SUMIF(tabParametros[Código do Posto],tabCustoUnit[[#This Row],[Código do Posto]],tabParametros[Multa Rescisória do FGTS sobre o Aviso Prévio Indenizado])*tabCustoUnit[[#This Row],[MODULO 1 - REMUNERAÇÃO ]]</f>
        <v>0.6877255481419754</v>
      </c>
      <c r="AP48" s="22">
        <f>SUMIF(tabParametros[Código do Posto],tabCustoUnit[[#This Row],[Código do Posto]],tabParametros[Aviso Prévio Trabalhado - APT])*tabCustoUnit[[#This Row],[MODULO 1 - REMUNERAÇÃO ]]</f>
        <v>10.727678500000001</v>
      </c>
      <c r="AQ48" s="22">
        <f>SUMIF(tabParametros[Código do Posto],tabCustoUnit[[#This Row],[Código do Posto]],tabParametros[Incidência dos encargos do submódulo 2.1 sobre Aviso Prévio Trabalhado])*tabCustoUnit[[#This Row],[MODULO 1 - REMUNERAÇÃO ]]</f>
        <v>4.0550624730000013</v>
      </c>
      <c r="AR48" s="22">
        <f>SUMIF(tabParametros[Código do Posto],tabCustoUnit[[#This Row],[Código do Posto]],tabParametros[Multa Rescisória do FGTS])*tabCustoUnit[[#This Row],[MODULO 1 - REMUNERAÇÃO ]]</f>
        <v>93.722448355555542</v>
      </c>
      <c r="AS48" s="22">
        <f>SUMIF(tabParametros[Código do Posto],tabCustoUnit[[#This Row],[Código do Posto]],tabParametros[Indenização Adicional (Art. 9º da Lei nº 7.238/84)])*tabCustoUnit[[#This Row],[MODULO 1 - REMUNERAÇÃO ]]</f>
        <v>2.5542091666666669</v>
      </c>
      <c r="AT48" s="22">
        <f>SUM(tabCustoUnit[[#This Row],[Aviso Prévio Indenizado (API) e Reflexo do Aviso Prévio Indenizado]:[Indenização Adicional (Art. 9º da Lei nº 7.238/84)]])</f>
        <v>134.95786129315587</v>
      </c>
      <c r="AU48" s="22">
        <f>SUMIF(tabParametros[Código do Posto],tabCustoUnit[[#This Row],[Código do Posto]],tabParametros[Ausência por Doença])*tabCustoUnit[[#This Row],[MODULO 1 - REMUNERAÇÃO ]]</f>
        <v>25.882652888888884</v>
      </c>
      <c r="AV48" s="22">
        <f>SUMIF(tabParametros[Código do Posto],tabCustoUnit[[#This Row],[Código do Posto]],tabParametros[Ausências Legais])*tabCustoUnit[[#This Row],[MODULO 1 - REMUNERAÇÃO ]]</f>
        <v>6.215242305555555</v>
      </c>
      <c r="AW48" s="22">
        <f>SUMIF(tabParametros[Código do Posto],tabCustoUnit[[#This Row],[Código do Posto]],tabParametros[Licença Paternidade])*tabCustoUnit[[#This Row],[MODULO 1 - REMUNERAÇÃO ]]</f>
        <v>0.52361287916666666</v>
      </c>
      <c r="AX48" s="22">
        <f>SUMIF(tabParametros[Código do Posto],tabCustoUnit[[#This Row],[Código do Posto]],tabParametros[Ausência por Acidente de Trabalho])*tabCustoUnit[[#This Row],[MODULO 1 - REMUNERAÇÃO ]]</f>
        <v>0.63855229166666672</v>
      </c>
      <c r="AY48" s="22">
        <f>SUMIF(tabParametros[Código do Posto],tabCustoUnit[[#This Row],[Código do Posto]],tabParametros[Férias, Adicional de Férias e 13º  com empregada em gozo de Licença Maternidade])*tabCustoUnit[[#This Row],[MODULO 1 - REMUNERAÇÃO ]]</f>
        <v>3.973214259259259</v>
      </c>
      <c r="AZ48" s="22">
        <f>SUMIF(tabParametros[Código do Posto],tabCustoUnit[[#This Row],[Código do Posto]],tabParametros[Incidência do Submódulo 2.1 sobre Ausências Legais])*tabCustoUnit[[#This Row],[MODULO 1 - REMUNERAÇÃO ]]</f>
        <v>14.074177808075001</v>
      </c>
      <c r="BA48" s="22">
        <f>SUM(tabCustoUnit[[#This Row],[Ausência por Doença]:[Incidência do Submódulo 2.1 sobre Ausências Legais]])</f>
        <v>51.307452432612038</v>
      </c>
      <c r="BB48" s="22">
        <f>SUMIF(tabParametros[Código do Posto],tabCustoUnit[[#This Row],[Código do Posto]],tabParametros[Intervalo para Repouso ou Alimentação])</f>
        <v>0</v>
      </c>
      <c r="BC48" s="22">
        <f>tabCustoUnit[[#This Row],[Intervalo para Repouso ou Alimentação]]</f>
        <v>0</v>
      </c>
      <c r="BD4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8" s="22">
        <f>tabCustoUnit[[#This Row],[Suspensão Temporária do Contrato de Trabalho]]</f>
        <v>0</v>
      </c>
      <c r="BF48" s="22">
        <f>tabCustoUnit[[#This Row],[Submódulo 4.1]]+tabCustoUnit[[#This Row],[Submódulo 4.2]]+tabCustoUnit[[#This Row],[Submódulo 4.3]]</f>
        <v>51.307452432612038</v>
      </c>
      <c r="BG48" s="22">
        <f>VLOOKUP(tabCustoUnit[[#This Row],[Código do Posto]],tabParametros[],MATCH(tabCustoUnit[[#Headers],[Uniformes e EPIs]],tabParametros[#Headers],0),0)</f>
        <v>123.55365929034191</v>
      </c>
      <c r="BH48" s="22">
        <f>VLOOKUP(tabCustoUnit[[#This Row],[Código do Posto]],tabParametros[],MATCH(tabCustoUnit[[#Headers],[Materiais de Consumo]],tabParametros[#Headers],0),0)</f>
        <v>0</v>
      </c>
      <c r="BI48" s="22">
        <f>VLOOKUP(tabCustoUnit[[#This Row],[Código do Posto]],tabParametros[],MATCH(tabCustoUnit[[#Headers],[Máquinas e Equipamentos (depreciação)]],tabParametros[#Headers],0),0)</f>
        <v>0</v>
      </c>
      <c r="BJ48" s="22">
        <f>VLOOKUP(tabCustoUnit[[#This Row],[Código do Posto]],tabParametros[],MATCH(tabCustoUnit[[#Headers],[Produtos de Limpeza e Materiais de Higiene Pessoal]],tabParametros[#Headers],0),0)</f>
        <v>0</v>
      </c>
      <c r="BK48" s="22">
        <f>VLOOKUP(tabCustoUnit[[#This Row],[Código do Posto]],tabParametros[],MATCH(tabCustoUnit[[#Headers],[Outros (especificar)]],tabParametros[#Headers],0),0)</f>
        <v>0</v>
      </c>
      <c r="BL48" s="22">
        <f>SUM(tabCustoUnit[[#This Row],[Uniformes e EPIs]:[Outros (especificar)]])</f>
        <v>123.55365929034191</v>
      </c>
      <c r="BM4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8" s="22" t="e">
        <f ca="1">VLOOKUP(tabCustoUnit[[#This Row],[Código do Posto]],tabParametros[],MATCH(tabCustoUnit[[#Headers],[Custos Indiretos]],tabParametros[#Headers],0),0)</f>
        <v>#NAME?</v>
      </c>
      <c r="BO48" s="22" t="e">
        <f ca="1">VLOOKUP(tabCustoUnit[[#This Row],[Código do Posto]],tabParametros[],MATCH(tabCustoUnit[[#Headers],[Lucro]],tabParametros[#Headers],0),0)</f>
        <v>#NAME?</v>
      </c>
      <c r="BP48" s="26">
        <f>((100/((1-tabCustoUnit[[#This Row],[Resumo de Alíquotas (PIS+CONFINS+ISS)]]))-100)*VLOOKUP(tabCustoUnit[[#This Row],[Código do Posto]],tabParametros[],MATCH(tabCustoUnit[[#Headers],[COFINS]],tabParametros[#Headers],0),0))/(tabCustoUnit[[#This Row],[Resumo de Alíquotas (PIS+CONFINS+ISS)]]*100)</f>
        <v>8.8629737609329504E-2</v>
      </c>
      <c r="BQ48" s="26">
        <f>((100/((100-(tabCustoUnit[[#This Row],[Resumo de Alíquotas (PIS+CONFINS+ISS)]]*100))%)-100)*VLOOKUP(tabCustoUnit[[#This Row],[Código do Posto]],tabParametros[],MATCH(tabCustoUnit[[#Headers],[PIS]],tabParametros[#Headers],0),0))/(tabCustoUnit[[#This Row],[Resumo de Alíquotas (PIS+CONFINS+ISS)]]*100)</f>
        <v>1.9241982507288629E-2</v>
      </c>
      <c r="BR48" s="28">
        <f>VLOOKUP(tabCustoUnit[[#This Row],[Código do Posto]],tabParametros[],MATCH(tabCustoUnit[[#Headers],[ISS]],tabParametros[#Headers],0),0)</f>
        <v>0.05</v>
      </c>
      <c r="BS48" s="26">
        <f>(((100/((100-(tabCustoUnit[[#This Row],[Resumo de Alíquotas (PIS+CONFINS+ISS)]]*100))%)-100)*tabCustoUnit[[#This Row],[ISS]])/tabCustoUnit[[#This Row],[Resumo de Alíquotas (PIS+CONFINS+ISS)]])/100</f>
        <v>5.8309037900874633E-2</v>
      </c>
      <c r="BT4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8" s="138">
        <f>tabCustoUnit[[#This Row],[COFINS]]+tabCustoUnit[[#This Row],[PIS]]+tabCustoUnit[[#This Row],[ISS (Conversão Alíquota s/ fatura)]]</f>
        <v>0.16618075801749277</v>
      </c>
      <c r="BV48" s="22" t="e">
        <f ca="1">(tabCustoUnit[[#This Row],[TOTAL MÓDULOS 1+2+3+4+5]]+tabCustoUnit[[#This Row],[Custos Indiretos]]+tabCustoUnit[[#This Row],[Lucro]])*tabCustoUnit[[#This Row],[PIS + COFINS + ISS (Total Conversão  Alíquota s/ Fatura)]]</f>
        <v>#NAME?</v>
      </c>
      <c r="BW48" s="22" t="e">
        <f ca="1">tabCustoUnit[[#This Row],[Custos Indiretos]]+tabCustoUnit[[#This Row],[Lucro]]+tabCustoUnit[[#This Row],[Valor dos Tributos (ISS, PIS, CONFINS)]]</f>
        <v>#NAME?</v>
      </c>
      <c r="BX48" s="22" t="e">
        <f ca="1">tabCustoUnit[[#This Row],[TOTAL MÓDULOS 1+2+3+4+5]]+tabCustoUnit[[#This Row],[MÓDULO 6 – CUSTOS INDIRETOS, TRIBUTOS E LUCRO]]</f>
        <v>#NAME?</v>
      </c>
      <c r="BY48" s="22" t="e">
        <f ca="1">tabCustoUnit[[#This Row],[CUSTO TOTAL MENSAL]]*12</f>
        <v>#NAME?</v>
      </c>
      <c r="BZ48" s="24">
        <f>VLOOKUP(tabCustoUnit[[#This Row],[Código do Posto]],tabParametros[],MATCH(tabCustoUnit[[#Headers],[ANO DA CCT]],tabParametros[#Headers],0),0)</f>
        <v>45658</v>
      </c>
      <c r="CA48" s="25" t="str">
        <f>VLOOKUP(tabCustoUnit[[#This Row],[Código do Posto]],tabParametros[],MATCH(tabCustoUnit[[#Headers],[Nº DE PEDIDO DA CCT]],tabParametros[#Headers],0),0)</f>
        <v>-</v>
      </c>
      <c r="CB48" s="25" t="str">
        <f>VLOOKUP(tabCustoUnit[[#This Row],[Código do Posto]],tabParametros[],MATCH(tabCustoUnit[[#Headers],[TERMO ADITIVO ALTERAÇÃO DA CCT]],tabParametros[#Headers],0),0)</f>
        <v>-</v>
      </c>
    </row>
    <row r="49" spans="1:80">
      <c r="A49" s="20" t="s">
        <v>1428</v>
      </c>
      <c r="B49" t="s">
        <v>1103</v>
      </c>
      <c r="C49" t="s">
        <v>1365</v>
      </c>
      <c r="D49" t="s">
        <v>1035</v>
      </c>
      <c r="E49" s="20" t="s">
        <v>1090</v>
      </c>
      <c r="F49" s="20" t="s">
        <v>120</v>
      </c>
      <c r="G49" s="418">
        <v>3683.7563</v>
      </c>
      <c r="H49" s="418">
        <v>0</v>
      </c>
      <c r="I49" s="418">
        <v>0</v>
      </c>
      <c r="J49" s="418">
        <v>0</v>
      </c>
      <c r="K49" s="418">
        <v>0</v>
      </c>
      <c r="L49" s="418">
        <v>0</v>
      </c>
      <c r="M49" s="418">
        <v>0</v>
      </c>
      <c r="N49" s="418">
        <v>0</v>
      </c>
      <c r="O49" s="21">
        <f>SUM(tabCustoUnit[[#This Row],[Salário Base]:[Adicional de Acúmulo de função]])</f>
        <v>3683.7563</v>
      </c>
      <c r="P49" s="21">
        <f>tabCustoUnit[[#This Row],[MODULO 1 - REMUNERAÇÃO ]]*SUMIFS(tabParametros[INSS],tabParametros[Código do Posto],tabCustoUnit[[#This Row],[Código do Posto]])</f>
        <v>736.75126</v>
      </c>
      <c r="Q49" s="21">
        <f>tabCustoUnit[[#This Row],[MODULO 1 - REMUNERAÇÃO ]]*SUMIFS(tabParametros[SESI OU SESC],tabParametros[Código do Posto],tabCustoUnit[[#This Row],[Código do Posto]])</f>
        <v>55.256344499999997</v>
      </c>
      <c r="R49" s="21">
        <f>tabCustoUnit[[#This Row],[MODULO 1 - REMUNERAÇÃO ]]*SUMIFS(tabParametros[SENAI OU SENAC],tabParametros[Código do Posto],tabCustoUnit[[#This Row],[Código do Posto]])</f>
        <v>36.837563000000003</v>
      </c>
      <c r="S49" s="21">
        <f>tabCustoUnit[[#This Row],[MODULO 1 - REMUNERAÇÃO ]]*SUMIFS(tabParametros[INCRA],tabParametros[Código do Posto],tabCustoUnit[[#This Row],[Código do Posto]])</f>
        <v>7.3675126000000004</v>
      </c>
      <c r="T49" s="21">
        <f>tabCustoUnit[[#This Row],[MODULO 1 - REMUNERAÇÃO ]]*SUMIFS(tabParametros[Salário Educação],tabParametros[Código do Posto],tabCustoUnit[[#This Row],[Código do Posto]])</f>
        <v>92.0939075</v>
      </c>
      <c r="U49" s="21">
        <f>tabCustoUnit[[#This Row],[MODULO 1 - REMUNERAÇÃO ]]*SUMIFS(tabParametros[FGTS],tabParametros[Código do Posto],tabCustoUnit[[#This Row],[Código do Posto]])</f>
        <v>294.70050400000002</v>
      </c>
      <c r="V49" s="21">
        <f>tabCustoUnit[[#This Row],[MODULO 1 - REMUNERAÇÃO ]]*SUMIFS(tabParametros[RAT Ajustado],tabParametros[Código do Posto],tabCustoUnit[[#This Row],[Código do Posto]])</f>
        <v>147.35025200000001</v>
      </c>
      <c r="W49" s="21">
        <f>tabCustoUnit[[#This Row],[MODULO 1 - REMUNERAÇÃO ]]*SUMIFS(tabParametros[SEBRAE],tabParametros[Código do Posto],tabCustoUnit[[#This Row],[Código do Posto]])</f>
        <v>22.1025378</v>
      </c>
      <c r="X49" s="21">
        <f>SUM(tabCustoUnit[[#This Row],[INSS]:[SEBRAE]])</f>
        <v>1392.4598813999999</v>
      </c>
      <c r="Y49" s="21">
        <f>tabCustoUnit[[#This Row],[MODULO 1 - REMUNERAÇÃO ]]*SUMIFS(tabParametros[13º salário (titular)],tabParametros[Código do Posto],tabCustoUnit[[#This Row],[Código do Posto]])</f>
        <v>306.97969166666667</v>
      </c>
      <c r="Z49" s="21">
        <f>tabCustoUnit[[#This Row],[MODULO 1 - REMUNERAÇÃO ]]*SUMIFS(tabParametros[Férias e Adicional de Férias (titular)],tabParametros[Código do Posto],tabCustoUnit[[#This Row],[Código do Posto]])</f>
        <v>409.30625555555554</v>
      </c>
      <c r="AA49" s="21">
        <f>IFERROR((tabCustoUnit[[#This Row],[Submódulo 2.1]]/tabCustoUnit[[#This Row],[MODULO 1 - REMUNERAÇÃO ]])*SUM(tabCustoUnit[[#This Row],[13º salário (titular)]:[Férias e Adicional de Férias (titular)]]),0)</f>
        <v>270.75608804999996</v>
      </c>
      <c r="AB49" s="21">
        <f>SUM(tabCustoUnit[[#This Row],[13º salário (titular)]:[Incidência do Submódulo 2.1 sobre 13º Salário, Férias e Adicional de Férias]])</f>
        <v>987.04203527222217</v>
      </c>
      <c r="AC49" s="22" t="e">
        <f ca="1">_xlfn.LET(_xlpm.VT,SUMIF(tabParametros[Código do Posto],tabCustoUnit[[#This Row],[Código do Posto]],tabParametros[Vale - Transporte])*2*20,
IF((_xlpm.VT-tabCustoUnit[[#This Row],[Salário Base]]*0.06)&gt;=0,(_xlpm.VT-tabCustoUnit[[#This Row],[Salário Base]]*0.06),0)
)</f>
        <v>#NAME?</v>
      </c>
      <c r="AD49" s="22">
        <f>IF(SUMIF(tabParametros[Código do Posto],tabCustoUnit[[#This Row],[Código do Posto]],tabParametros[Vale - Alimentação])&lt;=0,0,
SUMIF(tabParametros[Código do Posto],tabCustoUnit[[#This Row],[Código do Posto]],tabParametros[Vale - Alimentação])*20-1)</f>
        <v>582</v>
      </c>
      <c r="AE49" s="22">
        <f>SUMIF(tabParametros[Código do Posto],tabCustoUnit[[#This Row],[Código do Posto]],tabParametros[Cesta Básica])</f>
        <v>0</v>
      </c>
      <c r="AF49" s="22">
        <f>SUMIF(tabParametros[Código do Posto],tabCustoUnit[[#This Row],[Código do Posto]],tabParametros[PAF])</f>
        <v>95.9</v>
      </c>
      <c r="AG49" s="22">
        <f>SUMIF(tabParametros[Código do Posto],tabCustoUnit[[#This Row],[Código do Posto]],tabParametros[PQM])</f>
        <v>0</v>
      </c>
      <c r="AH49" s="22">
        <f>SUMIF(tabParametros[Código do Posto],tabCustoUnit[[#This Row],[Código do Posto]],tabParametros[Abono Único e Especial])</f>
        <v>0</v>
      </c>
      <c r="AI49" s="22">
        <f>SUMIF(tabParametros[Código do Posto],tabCustoUnit[[#This Row],[Código do Posto]],tabParametros[Seguro de Vida])</f>
        <v>3.36</v>
      </c>
      <c r="AJ49" s="22">
        <f>SUMIF(tabParametros[Código do Posto],tabCustoUnit[[#This Row],[Código do Posto]],tabParametros[Despesas de Viagem])</f>
        <v>202.08</v>
      </c>
      <c r="AK49" s="22" t="e">
        <f ca="1">SUM(tabCustoUnit[[#This Row],[Vale - Transporte (Descontada parcela do empregado)]:[Despesas de Viagem]])</f>
        <v>#NAME?</v>
      </c>
      <c r="AL49" s="22" t="e">
        <f ca="1">tabCustoUnit[[#This Row],[Submódulo 2.1]]+tabCustoUnit[[#This Row],[Submódulo 2.2]]+tabCustoUnit[[#This Row],[Submódulo 2.3]]</f>
        <v>#NAME?</v>
      </c>
      <c r="AM49" s="22">
        <f>SUMIF(tabParametros[Código do Posto],tabCustoUnit[[#This Row],[Código do Posto]],tabParametros[Aviso Prévio Indenizado (API) e Reflexo do Aviso Prévio Indenizado])*tabCustoUnit[[#This Row],[MODULO 1 - REMUNERAÇÃO ]]</f>
        <v>25.829640769425154</v>
      </c>
      <c r="AN49" s="22">
        <f>SUMIF(tabParametros[Código do Posto],tabCustoUnit[[#This Row],[Código do Posto]],tabParametros[Incidência do FGTS sobre API e Reflexo do API])*tabCustoUnit[[#This Row],[MODULO 1 - REMUNERAÇÃO ]]</f>
        <v>2.0663712615540124</v>
      </c>
      <c r="AO49" s="22">
        <f>SUMIF(tabParametros[Código do Posto],tabCustoUnit[[#This Row],[Código do Posto]],tabParametros[Multa Rescisória do FGTS sobre o Aviso Prévio Indenizado])*tabCustoUnit[[#This Row],[MODULO 1 - REMUNERAÇÃO ]]</f>
        <v>0.82654850462160512</v>
      </c>
      <c r="AP49" s="22">
        <f>SUMIF(tabParametros[Código do Posto],tabCustoUnit[[#This Row],[Código do Posto]],tabParametros[Aviso Prévio Trabalhado - APT])*tabCustoUnit[[#This Row],[MODULO 1 - REMUNERAÇÃO ]]</f>
        <v>12.893147050000001</v>
      </c>
      <c r="AQ49" s="22">
        <f>SUMIF(tabParametros[Código do Posto],tabCustoUnit[[#This Row],[Código do Posto]],tabParametros[Incidência dos encargos do submódulo 2.1 sobre Aviso Prévio Trabalhado])*tabCustoUnit[[#This Row],[MODULO 1 - REMUNERAÇÃO ]]</f>
        <v>4.8736095849000014</v>
      </c>
      <c r="AR49" s="22">
        <f>SUMIF(tabParametros[Código do Posto],tabCustoUnit[[#This Row],[Código do Posto]],tabParametros[Multa Rescisória do FGTS])*tabCustoUnit[[#This Row],[MODULO 1 - REMUNERAÇÃO ]]</f>
        <v>112.64108152888888</v>
      </c>
      <c r="AS49" s="22">
        <f>SUMIF(tabParametros[Código do Posto],tabCustoUnit[[#This Row],[Código do Posto]],tabParametros[Indenização Adicional (Art. 9º da Lei nº 7.238/84)])*tabCustoUnit[[#This Row],[MODULO 1 - REMUNERAÇÃO ]]</f>
        <v>3.0697969166666668</v>
      </c>
      <c r="AT49" s="22">
        <f>SUM(tabCustoUnit[[#This Row],[Aviso Prévio Indenizado (API) e Reflexo do Aviso Prévio Indenizado]:[Indenização Adicional (Art. 9º da Lei nº 7.238/84)]])</f>
        <v>162.20019561605631</v>
      </c>
      <c r="AU49" s="22">
        <f>SUMIF(tabParametros[Código do Posto],tabCustoUnit[[#This Row],[Código do Posto]],tabParametros[Ausência por Doença])*tabCustoUnit[[#This Row],[MODULO 1 - REMUNERAÇÃO ]]</f>
        <v>31.107275422222219</v>
      </c>
      <c r="AV49" s="22">
        <f>SUMIF(tabParametros[Código do Posto],tabCustoUnit[[#This Row],[Código do Posto]],tabParametros[Ausências Legais])*tabCustoUnit[[#This Row],[MODULO 1 - REMUNERAÇÃO ]]</f>
        <v>7.4698391638888886</v>
      </c>
      <c r="AW49" s="22">
        <f>SUMIF(tabParametros[Código do Posto],tabCustoUnit[[#This Row],[Código do Posto]],tabParametros[Licença Paternidade])*tabCustoUnit[[#This Row],[MODULO 1 - REMUNERAÇÃO ]]</f>
        <v>0.62930836791666667</v>
      </c>
      <c r="AX49" s="22">
        <f>SUMIF(tabParametros[Código do Posto],tabCustoUnit[[#This Row],[Código do Posto]],tabParametros[Ausência por Acidente de Trabalho])*tabCustoUnit[[#This Row],[MODULO 1 - REMUNERAÇÃO ]]</f>
        <v>0.76744922916666669</v>
      </c>
      <c r="AY49" s="22">
        <f>SUMIF(tabParametros[Código do Posto],tabCustoUnit[[#This Row],[Código do Posto]],tabParametros[Férias, Adicional de Férias e 13º  com empregada em gozo de Licença Maternidade])*tabCustoUnit[[#This Row],[MODULO 1 - REMUNERAÇÃO ]]</f>
        <v>4.7752396481481476</v>
      </c>
      <c r="AZ49" s="22">
        <f>SUMIF(tabParametros[Código do Posto],tabCustoUnit[[#This Row],[Código do Posto]],tabParametros[Incidência do Submódulo 2.1 sobre Ausências Legais])*tabCustoUnit[[#This Row],[MODULO 1 - REMUNERAÇÃO ]]</f>
        <v>16.915164272247502</v>
      </c>
      <c r="BA49" s="22">
        <f>SUM(tabCustoUnit[[#This Row],[Ausência por Doença]:[Incidência do Submódulo 2.1 sobre Ausências Legais]])</f>
        <v>61.66427610359009</v>
      </c>
      <c r="BB49" s="22">
        <f>SUMIF(tabParametros[Código do Posto],tabCustoUnit[[#This Row],[Código do Posto]],tabParametros[Intervalo para Repouso ou Alimentação])</f>
        <v>407.84444954579982</v>
      </c>
      <c r="BC49" s="22">
        <f>tabCustoUnit[[#This Row],[Intervalo para Repouso ou Alimentação]]</f>
        <v>407.84444954579982</v>
      </c>
      <c r="BD4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49" s="22">
        <f>tabCustoUnit[[#This Row],[Suspensão Temporária do Contrato de Trabalho]]</f>
        <v>0</v>
      </c>
      <c r="BF49" s="22">
        <f>tabCustoUnit[[#This Row],[Submódulo 4.1]]+tabCustoUnit[[#This Row],[Submódulo 4.2]]+tabCustoUnit[[#This Row],[Submódulo 4.3]]</f>
        <v>469.50872564938993</v>
      </c>
      <c r="BG49" s="22">
        <f>VLOOKUP(tabCustoUnit[[#This Row],[Código do Posto]],tabParametros[],MATCH(tabCustoUnit[[#Headers],[Uniformes e EPIs]],tabParametros[#Headers],0),0)</f>
        <v>62.658162569185173</v>
      </c>
      <c r="BH49" s="22">
        <f>VLOOKUP(tabCustoUnit[[#This Row],[Código do Posto]],tabParametros[],MATCH(tabCustoUnit[[#Headers],[Materiais de Consumo]],tabParametros[#Headers],0),0)</f>
        <v>0</v>
      </c>
      <c r="BI49" s="22">
        <f>VLOOKUP(tabCustoUnit[[#This Row],[Código do Posto]],tabParametros[],MATCH(tabCustoUnit[[#Headers],[Máquinas e Equipamentos (depreciação)]],tabParametros[#Headers],0),0)</f>
        <v>93.621200000000002</v>
      </c>
      <c r="BJ49" s="22">
        <f>VLOOKUP(tabCustoUnit[[#This Row],[Código do Posto]],tabParametros[],MATCH(tabCustoUnit[[#Headers],[Produtos de Limpeza e Materiais de Higiene Pessoal]],tabParametros[#Headers],0),0)</f>
        <v>0</v>
      </c>
      <c r="BK49" s="22">
        <f>VLOOKUP(tabCustoUnit[[#This Row],[Código do Posto]],tabParametros[],MATCH(tabCustoUnit[[#Headers],[Outros (especificar)]],tabParametros[#Headers],0),0)</f>
        <v>0</v>
      </c>
      <c r="BL49" s="22">
        <f>SUM(tabCustoUnit[[#This Row],[Uniformes e EPIs]:[Outros (especificar)]])</f>
        <v>156.27936256918517</v>
      </c>
      <c r="BM4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49" s="22" t="e">
        <f ca="1">VLOOKUP(tabCustoUnit[[#This Row],[Código do Posto]],tabParametros[],MATCH(tabCustoUnit[[#Headers],[Custos Indiretos]],tabParametros[#Headers],0),0)</f>
        <v>#NAME?</v>
      </c>
      <c r="BO49" s="22" t="e">
        <f ca="1">VLOOKUP(tabCustoUnit[[#This Row],[Código do Posto]],tabParametros[],MATCH(tabCustoUnit[[#Headers],[Lucro]],tabParametros[#Headers],0),0)</f>
        <v>#NAME?</v>
      </c>
      <c r="BP49" s="26">
        <f>((100/((1-tabCustoUnit[[#This Row],[Resumo de Alíquotas (PIS+CONFINS+ISS)]]))-100)*VLOOKUP(tabCustoUnit[[#This Row],[Código do Posto]],tabParametros[],MATCH(tabCustoUnit[[#Headers],[COFINS]],tabParametros[#Headers],0),0))/(tabCustoUnit[[#This Row],[Resumo de Alíquotas (PIS+CONFINS+ISS)]]*100)</f>
        <v>8.8629737609329504E-2</v>
      </c>
      <c r="BQ49" s="26">
        <f>((100/((100-(tabCustoUnit[[#This Row],[Resumo de Alíquotas (PIS+CONFINS+ISS)]]*100))%)-100)*VLOOKUP(tabCustoUnit[[#This Row],[Código do Posto]],tabParametros[],MATCH(tabCustoUnit[[#Headers],[PIS]],tabParametros[#Headers],0),0))/(tabCustoUnit[[#This Row],[Resumo de Alíquotas (PIS+CONFINS+ISS)]]*100)</f>
        <v>1.9241982507288629E-2</v>
      </c>
      <c r="BR49" s="28">
        <f>VLOOKUP(tabCustoUnit[[#This Row],[Código do Posto]],tabParametros[],MATCH(tabCustoUnit[[#Headers],[ISS]],tabParametros[#Headers],0),0)</f>
        <v>0.05</v>
      </c>
      <c r="BS49" s="26">
        <f>(((100/((100-(tabCustoUnit[[#This Row],[Resumo de Alíquotas (PIS+CONFINS+ISS)]]*100))%)-100)*tabCustoUnit[[#This Row],[ISS]])/tabCustoUnit[[#This Row],[Resumo de Alíquotas (PIS+CONFINS+ISS)]])/100</f>
        <v>5.8309037900874633E-2</v>
      </c>
      <c r="BT4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9" s="138">
        <f>tabCustoUnit[[#This Row],[COFINS]]+tabCustoUnit[[#This Row],[PIS]]+tabCustoUnit[[#This Row],[ISS (Conversão Alíquota s/ fatura)]]</f>
        <v>0.16618075801749277</v>
      </c>
      <c r="BV49" s="22" t="e">
        <f ca="1">(tabCustoUnit[[#This Row],[TOTAL MÓDULOS 1+2+3+4+5]]+tabCustoUnit[[#This Row],[Custos Indiretos]]+tabCustoUnit[[#This Row],[Lucro]])*tabCustoUnit[[#This Row],[PIS + COFINS + ISS (Total Conversão  Alíquota s/ Fatura)]]</f>
        <v>#NAME?</v>
      </c>
      <c r="BW49" s="22" t="e">
        <f ca="1">tabCustoUnit[[#This Row],[Custos Indiretos]]+tabCustoUnit[[#This Row],[Lucro]]+tabCustoUnit[[#This Row],[Valor dos Tributos (ISS, PIS, CONFINS)]]</f>
        <v>#NAME?</v>
      </c>
      <c r="BX49" s="22" t="e">
        <f ca="1">tabCustoUnit[[#This Row],[TOTAL MÓDULOS 1+2+3+4+5]]+tabCustoUnit[[#This Row],[MÓDULO 6 – CUSTOS INDIRETOS, TRIBUTOS E LUCRO]]</f>
        <v>#NAME?</v>
      </c>
      <c r="BY49" s="22" t="e">
        <f ca="1">tabCustoUnit[[#This Row],[CUSTO TOTAL MENSAL]]*12</f>
        <v>#NAME?</v>
      </c>
      <c r="BZ49" s="24">
        <f>VLOOKUP(tabCustoUnit[[#This Row],[Código do Posto]],tabParametros[],MATCH(tabCustoUnit[[#Headers],[ANO DA CCT]],tabParametros[#Headers],0),0)</f>
        <v>45658</v>
      </c>
      <c r="CA49" s="25" t="str">
        <f>VLOOKUP(tabCustoUnit[[#This Row],[Código do Posto]],tabParametros[],MATCH(tabCustoUnit[[#Headers],[Nº DE PEDIDO DA CCT]],tabParametros[#Headers],0),0)</f>
        <v>-</v>
      </c>
      <c r="CB49" s="25" t="str">
        <f>VLOOKUP(tabCustoUnit[[#This Row],[Código do Posto]],tabParametros[],MATCH(tabCustoUnit[[#Headers],[TERMO ADITIVO ALTERAÇÃO DA CCT]],tabParametros[#Headers],0),0)</f>
        <v>-</v>
      </c>
    </row>
    <row r="50" spans="1:80">
      <c r="A50" s="20" t="s">
        <v>1429</v>
      </c>
      <c r="B50" t="s">
        <v>1103</v>
      </c>
      <c r="C50" t="s">
        <v>1522</v>
      </c>
      <c r="D50" t="s">
        <v>1035</v>
      </c>
      <c r="E50" s="20" t="s">
        <v>1090</v>
      </c>
      <c r="F50" s="20" t="s">
        <v>120</v>
      </c>
      <c r="G50" s="418">
        <v>3683.7563</v>
      </c>
      <c r="H50" s="418">
        <v>0</v>
      </c>
      <c r="I50" s="418">
        <v>0</v>
      </c>
      <c r="J50" s="418">
        <v>742.27689999999996</v>
      </c>
      <c r="K50" s="418">
        <v>0</v>
      </c>
      <c r="L50" s="418">
        <v>0</v>
      </c>
      <c r="M50" s="418">
        <v>0</v>
      </c>
      <c r="N50" s="418">
        <v>0</v>
      </c>
      <c r="O50" s="21">
        <f>SUM(tabCustoUnit[[#This Row],[Salário Base]:[Adicional de Acúmulo de função]])</f>
        <v>4426.0331999999999</v>
      </c>
      <c r="P50" s="21">
        <f>tabCustoUnit[[#This Row],[MODULO 1 - REMUNERAÇÃO ]]*SUMIFS(tabParametros[INSS],tabParametros[Código do Posto],tabCustoUnit[[#This Row],[Código do Posto]])</f>
        <v>885.20663999999999</v>
      </c>
      <c r="Q50" s="21">
        <f>tabCustoUnit[[#This Row],[MODULO 1 - REMUNERAÇÃO ]]*SUMIFS(tabParametros[SESI OU SESC],tabParametros[Código do Posto],tabCustoUnit[[#This Row],[Código do Posto]])</f>
        <v>66.390497999999994</v>
      </c>
      <c r="R50" s="21">
        <f>tabCustoUnit[[#This Row],[MODULO 1 - REMUNERAÇÃO ]]*SUMIFS(tabParametros[SENAI OU SENAC],tabParametros[Código do Posto],tabCustoUnit[[#This Row],[Código do Posto]])</f>
        <v>44.260331999999998</v>
      </c>
      <c r="S50" s="21">
        <f>tabCustoUnit[[#This Row],[MODULO 1 - REMUNERAÇÃO ]]*SUMIFS(tabParametros[INCRA],tabParametros[Código do Posto],tabCustoUnit[[#This Row],[Código do Posto]])</f>
        <v>8.8520664</v>
      </c>
      <c r="T50" s="21">
        <f>tabCustoUnit[[#This Row],[MODULO 1 - REMUNERAÇÃO ]]*SUMIFS(tabParametros[Salário Educação],tabParametros[Código do Posto],tabCustoUnit[[#This Row],[Código do Posto]])</f>
        <v>110.65083</v>
      </c>
      <c r="U50" s="21">
        <f>tabCustoUnit[[#This Row],[MODULO 1 - REMUNERAÇÃO ]]*SUMIFS(tabParametros[FGTS],tabParametros[Código do Posto],tabCustoUnit[[#This Row],[Código do Posto]])</f>
        <v>354.08265599999999</v>
      </c>
      <c r="V50" s="21">
        <f>tabCustoUnit[[#This Row],[MODULO 1 - REMUNERAÇÃO ]]*SUMIFS(tabParametros[RAT Ajustado],tabParametros[Código do Posto],tabCustoUnit[[#This Row],[Código do Posto]])</f>
        <v>177.04132799999999</v>
      </c>
      <c r="W50" s="21">
        <f>tabCustoUnit[[#This Row],[MODULO 1 - REMUNERAÇÃO ]]*SUMIFS(tabParametros[SEBRAE],tabParametros[Código do Posto],tabCustoUnit[[#This Row],[Código do Posto]])</f>
        <v>26.556199199999998</v>
      </c>
      <c r="X50" s="21">
        <f>SUM(tabCustoUnit[[#This Row],[INSS]:[SEBRAE]])</f>
        <v>1673.0405496000001</v>
      </c>
      <c r="Y50" s="21">
        <f>tabCustoUnit[[#This Row],[MODULO 1 - REMUNERAÇÃO ]]*SUMIFS(tabParametros[13º salário (titular)],tabParametros[Código do Posto],tabCustoUnit[[#This Row],[Código do Posto]])</f>
        <v>368.83609999999999</v>
      </c>
      <c r="Z50" s="21">
        <f>tabCustoUnit[[#This Row],[MODULO 1 - REMUNERAÇÃO ]]*SUMIFS(tabParametros[Férias e Adicional de Férias (titular)],tabParametros[Código do Posto],tabCustoUnit[[#This Row],[Código do Posto]])</f>
        <v>491.78146666666663</v>
      </c>
      <c r="AA50" s="21">
        <f>IFERROR((tabCustoUnit[[#This Row],[Submódulo 2.1]]/tabCustoUnit[[#This Row],[MODULO 1 - REMUNERAÇÃO ]])*SUM(tabCustoUnit[[#This Row],[13º salário (titular)]:[Férias e Adicional de Férias (titular)]]),0)</f>
        <v>325.31344019999995</v>
      </c>
      <c r="AB50" s="21">
        <f>SUM(tabCustoUnit[[#This Row],[13º salário (titular)]:[Incidência do Submódulo 2.1 sobre 13º Salário, Férias e Adicional de Férias]])</f>
        <v>1185.9310068666664</v>
      </c>
      <c r="AC50" s="22" t="e">
        <f ca="1">_xlfn.LET(_xlpm.VT,SUMIF(tabParametros[Código do Posto],tabCustoUnit[[#This Row],[Código do Posto]],tabParametros[Vale - Transporte])*2*20,
IF((_xlpm.VT-tabCustoUnit[[#This Row],[Salário Base]]*0.06)&gt;=0,(_xlpm.VT-tabCustoUnit[[#This Row],[Salário Base]]*0.06),0)
)</f>
        <v>#NAME?</v>
      </c>
      <c r="AD50" s="22">
        <f>IF(SUMIF(tabParametros[Código do Posto],tabCustoUnit[[#This Row],[Código do Posto]],tabParametros[Vale - Alimentação])&lt;=0,0,
SUMIF(tabParametros[Código do Posto],tabCustoUnit[[#This Row],[Código do Posto]],tabParametros[Vale - Alimentação])*20-1)</f>
        <v>582</v>
      </c>
      <c r="AE50" s="22">
        <f>SUMIF(tabParametros[Código do Posto],tabCustoUnit[[#This Row],[Código do Posto]],tabParametros[Cesta Básica])</f>
        <v>0</v>
      </c>
      <c r="AF50" s="22">
        <f>SUMIF(tabParametros[Código do Posto],tabCustoUnit[[#This Row],[Código do Posto]],tabParametros[PAF])</f>
        <v>95.9</v>
      </c>
      <c r="AG50" s="22">
        <f>SUMIF(tabParametros[Código do Posto],tabCustoUnit[[#This Row],[Código do Posto]],tabParametros[PQM])</f>
        <v>0</v>
      </c>
      <c r="AH50" s="22">
        <f>SUMIF(tabParametros[Código do Posto],tabCustoUnit[[#This Row],[Código do Posto]],tabParametros[Abono Único e Especial])</f>
        <v>0</v>
      </c>
      <c r="AI50" s="22">
        <f>SUMIF(tabParametros[Código do Posto],tabCustoUnit[[#This Row],[Código do Posto]],tabParametros[Seguro de Vida])</f>
        <v>3.36</v>
      </c>
      <c r="AJ50" s="22">
        <f>SUMIF(tabParametros[Código do Posto],tabCustoUnit[[#This Row],[Código do Posto]],tabParametros[Despesas de Viagem])</f>
        <v>202.08</v>
      </c>
      <c r="AK50" s="22" t="e">
        <f ca="1">SUM(tabCustoUnit[[#This Row],[Vale - Transporte (Descontada parcela do empregado)]:[Despesas de Viagem]])</f>
        <v>#NAME?</v>
      </c>
      <c r="AL50" s="22" t="e">
        <f ca="1">tabCustoUnit[[#This Row],[Submódulo 2.1]]+tabCustoUnit[[#This Row],[Submódulo 2.2]]+tabCustoUnit[[#This Row],[Submódulo 2.3]]</f>
        <v>#NAME?</v>
      </c>
      <c r="AM50" s="22">
        <f>SUMIF(tabParametros[Código do Posto],tabCustoUnit[[#This Row],[Código do Posto]],tabParametros[Aviso Prévio Indenizado (API) e Reflexo do Aviso Prévio Indenizado])*tabCustoUnit[[#This Row],[MODULO 1 - REMUNERAÇÃO ]]</f>
        <v>31.034313423379629</v>
      </c>
      <c r="AN50" s="22">
        <f>SUMIF(tabParametros[Código do Posto],tabCustoUnit[[#This Row],[Código do Posto]],tabParametros[Incidência do FGTS sobre API e Reflexo do API])*tabCustoUnit[[#This Row],[MODULO 1 - REMUNERAÇÃO ]]</f>
        <v>2.4827450738703707</v>
      </c>
      <c r="AO50" s="22">
        <f>SUMIF(tabParametros[Código do Posto],tabCustoUnit[[#This Row],[Código do Posto]],tabParametros[Multa Rescisória do FGTS sobre o Aviso Prévio Indenizado])*tabCustoUnit[[#This Row],[MODULO 1 - REMUNERAÇÃO ]]</f>
        <v>0.9930980295481483</v>
      </c>
      <c r="AP50" s="22">
        <f>SUMIF(tabParametros[Código do Posto],tabCustoUnit[[#This Row],[Código do Posto]],tabParametros[Aviso Prévio Trabalhado - APT])*tabCustoUnit[[#This Row],[MODULO 1 - REMUNERAÇÃO ]]</f>
        <v>15.491116200000002</v>
      </c>
      <c r="AQ50" s="22">
        <f>SUMIF(tabParametros[Código do Posto],tabCustoUnit[[#This Row],[Código do Posto]],tabParametros[Incidência dos encargos do submódulo 2.1 sobre Aviso Prévio Trabalhado])*tabCustoUnit[[#This Row],[MODULO 1 - REMUNERAÇÃO ]]</f>
        <v>5.8556419236000012</v>
      </c>
      <c r="AR50" s="22">
        <f>SUMIF(tabParametros[Código do Posto],tabCustoUnit[[#This Row],[Código do Posto]],tabParametros[Multa Rescisória do FGTS])*tabCustoUnit[[#This Row],[MODULO 1 - REMUNERAÇÃO ]]</f>
        <v>135.33825962666666</v>
      </c>
      <c r="AS50" s="22">
        <f>SUMIF(tabParametros[Código do Posto],tabCustoUnit[[#This Row],[Código do Posto]],tabParametros[Indenização Adicional (Art. 9º da Lei nº 7.238/84)])*tabCustoUnit[[#This Row],[MODULO 1 - REMUNERAÇÃO ]]</f>
        <v>3.688361</v>
      </c>
      <c r="AT50" s="22">
        <f>SUM(tabCustoUnit[[#This Row],[Aviso Prévio Indenizado (API) e Reflexo do Aviso Prévio Indenizado]:[Indenização Adicional (Art. 9º da Lei nº 7.238/84)]])</f>
        <v>194.88353527706479</v>
      </c>
      <c r="AU50" s="22">
        <f>SUMIF(tabParametros[Código do Posto],tabCustoUnit[[#This Row],[Código do Posto]],tabParametros[Ausência por Doença])*tabCustoUnit[[#This Row],[MODULO 1 - REMUNERAÇÃO ]]</f>
        <v>37.375391466666663</v>
      </c>
      <c r="AV50" s="22">
        <f>SUMIF(tabParametros[Código do Posto],tabCustoUnit[[#This Row],[Código do Posto]],tabParametros[Ausências Legais])*tabCustoUnit[[#This Row],[MODULO 1 - REMUNERAÇÃO ]]</f>
        <v>8.9750117666666664</v>
      </c>
      <c r="AW50" s="22">
        <f>SUMIF(tabParametros[Código do Posto],tabCustoUnit[[#This Row],[Código do Posto]],tabParametros[Licença Paternidade])*tabCustoUnit[[#This Row],[MODULO 1 - REMUNERAÇÃO ]]</f>
        <v>0.75611400499999992</v>
      </c>
      <c r="AX50" s="22">
        <f>SUMIF(tabParametros[Código do Posto],tabCustoUnit[[#This Row],[Código do Posto]],tabParametros[Ausência por Acidente de Trabalho])*tabCustoUnit[[#This Row],[MODULO 1 - REMUNERAÇÃO ]]</f>
        <v>0.92209025</v>
      </c>
      <c r="AY50" s="22">
        <f>SUMIF(tabParametros[Código do Posto],tabCustoUnit[[#This Row],[Código do Posto]],tabParametros[Férias, Adicional de Férias e 13º  com empregada em gozo de Licença Maternidade])*tabCustoUnit[[#This Row],[MODULO 1 - REMUNERAÇÃO ]]</f>
        <v>5.7374504444444439</v>
      </c>
      <c r="AZ50" s="22">
        <f>SUMIF(tabParametros[Código do Posto],tabCustoUnit[[#This Row],[Código do Posto]],tabParametros[Incidência do Submódulo 2.1 sobre Ausências Legais])*tabCustoUnit[[#This Row],[MODULO 1 - REMUNERAÇÃO ]]</f>
        <v>20.323569898590002</v>
      </c>
      <c r="BA50" s="22">
        <f>SUM(tabCustoUnit[[#This Row],[Ausência por Doença]:[Incidência do Submódulo 2.1 sobre Ausências Legais]])</f>
        <v>74.089627831367778</v>
      </c>
      <c r="BB50" s="22">
        <f>SUMIF(tabParametros[Código do Posto],tabCustoUnit[[#This Row],[Código do Posto]],tabParametros[Intervalo para Repouso ou Alimentação])</f>
        <v>490.02510612927836</v>
      </c>
      <c r="BC50" s="22">
        <f>tabCustoUnit[[#This Row],[Intervalo para Repouso ou Alimentação]]</f>
        <v>490.02510612927836</v>
      </c>
      <c r="BD5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0" s="22">
        <f>tabCustoUnit[[#This Row],[Suspensão Temporária do Contrato de Trabalho]]</f>
        <v>0</v>
      </c>
      <c r="BF50" s="22">
        <f>tabCustoUnit[[#This Row],[Submódulo 4.1]]+tabCustoUnit[[#This Row],[Submódulo 4.2]]+tabCustoUnit[[#This Row],[Submódulo 4.3]]</f>
        <v>564.11473396064616</v>
      </c>
      <c r="BG50" s="22">
        <f>VLOOKUP(tabCustoUnit[[#This Row],[Código do Posto]],tabParametros[],MATCH(tabCustoUnit[[#Headers],[Uniformes e EPIs]],tabParametros[#Headers],0),0)</f>
        <v>62.658162569185173</v>
      </c>
      <c r="BH50" s="22">
        <f>VLOOKUP(tabCustoUnit[[#This Row],[Código do Posto]],tabParametros[],MATCH(tabCustoUnit[[#Headers],[Materiais de Consumo]],tabParametros[#Headers],0),0)</f>
        <v>0</v>
      </c>
      <c r="BI50" s="22">
        <f>VLOOKUP(tabCustoUnit[[#This Row],[Código do Posto]],tabParametros[],MATCH(tabCustoUnit[[#Headers],[Máquinas e Equipamentos (depreciação)]],tabParametros[#Headers],0),0)</f>
        <v>93.621200000000002</v>
      </c>
      <c r="BJ50" s="22">
        <f>VLOOKUP(tabCustoUnit[[#This Row],[Código do Posto]],tabParametros[],MATCH(tabCustoUnit[[#Headers],[Produtos de Limpeza e Materiais de Higiene Pessoal]],tabParametros[#Headers],0),0)</f>
        <v>0</v>
      </c>
      <c r="BK50" s="22">
        <f>VLOOKUP(tabCustoUnit[[#This Row],[Código do Posto]],tabParametros[],MATCH(tabCustoUnit[[#Headers],[Outros (especificar)]],tabParametros[#Headers],0),0)</f>
        <v>0</v>
      </c>
      <c r="BL50" s="22">
        <f>SUM(tabCustoUnit[[#This Row],[Uniformes e EPIs]:[Outros (especificar)]])</f>
        <v>156.27936256918517</v>
      </c>
      <c r="BM5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0" s="22" t="e">
        <f ca="1">VLOOKUP(tabCustoUnit[[#This Row],[Código do Posto]],tabParametros[],MATCH(tabCustoUnit[[#Headers],[Custos Indiretos]],tabParametros[#Headers],0),0)</f>
        <v>#NAME?</v>
      </c>
      <c r="BO50" s="22" t="e">
        <f ca="1">VLOOKUP(tabCustoUnit[[#This Row],[Código do Posto]],tabParametros[],MATCH(tabCustoUnit[[#Headers],[Lucro]],tabParametros[#Headers],0),0)</f>
        <v>#NAME?</v>
      </c>
      <c r="BP50" s="26">
        <f>((100/((1-tabCustoUnit[[#This Row],[Resumo de Alíquotas (PIS+CONFINS+ISS)]]))-100)*VLOOKUP(tabCustoUnit[[#This Row],[Código do Posto]],tabParametros[],MATCH(tabCustoUnit[[#Headers],[COFINS]],tabParametros[#Headers],0),0))/(tabCustoUnit[[#This Row],[Resumo de Alíquotas (PIS+CONFINS+ISS)]]*100)</f>
        <v>8.8629737609329504E-2</v>
      </c>
      <c r="BQ50" s="26">
        <f>((100/((100-(tabCustoUnit[[#This Row],[Resumo de Alíquotas (PIS+CONFINS+ISS)]]*100))%)-100)*VLOOKUP(tabCustoUnit[[#This Row],[Código do Posto]],tabParametros[],MATCH(tabCustoUnit[[#Headers],[PIS]],tabParametros[#Headers],0),0))/(tabCustoUnit[[#This Row],[Resumo de Alíquotas (PIS+CONFINS+ISS)]]*100)</f>
        <v>1.9241982507288629E-2</v>
      </c>
      <c r="BR50" s="28">
        <f>VLOOKUP(tabCustoUnit[[#This Row],[Código do Posto]],tabParametros[],MATCH(tabCustoUnit[[#Headers],[ISS]],tabParametros[#Headers],0),0)</f>
        <v>0.05</v>
      </c>
      <c r="BS50" s="26">
        <f>(((100/((100-(tabCustoUnit[[#This Row],[Resumo de Alíquotas (PIS+CONFINS+ISS)]]*100))%)-100)*tabCustoUnit[[#This Row],[ISS]])/tabCustoUnit[[#This Row],[Resumo de Alíquotas (PIS+CONFINS+ISS)]])/100</f>
        <v>5.8309037900874633E-2</v>
      </c>
      <c r="BT5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0" s="138">
        <f>tabCustoUnit[[#This Row],[COFINS]]+tabCustoUnit[[#This Row],[PIS]]+tabCustoUnit[[#This Row],[ISS (Conversão Alíquota s/ fatura)]]</f>
        <v>0.16618075801749277</v>
      </c>
      <c r="BV50" s="22" t="e">
        <f ca="1">(tabCustoUnit[[#This Row],[TOTAL MÓDULOS 1+2+3+4+5]]+tabCustoUnit[[#This Row],[Custos Indiretos]]+tabCustoUnit[[#This Row],[Lucro]])*tabCustoUnit[[#This Row],[PIS + COFINS + ISS (Total Conversão  Alíquota s/ Fatura)]]</f>
        <v>#NAME?</v>
      </c>
      <c r="BW50" s="22" t="e">
        <f ca="1">tabCustoUnit[[#This Row],[Custos Indiretos]]+tabCustoUnit[[#This Row],[Lucro]]+tabCustoUnit[[#This Row],[Valor dos Tributos (ISS, PIS, CONFINS)]]</f>
        <v>#NAME?</v>
      </c>
      <c r="BX50" s="22" t="e">
        <f ca="1">tabCustoUnit[[#This Row],[TOTAL MÓDULOS 1+2+3+4+5]]+tabCustoUnit[[#This Row],[MÓDULO 6 – CUSTOS INDIRETOS, TRIBUTOS E LUCRO]]</f>
        <v>#NAME?</v>
      </c>
      <c r="BY50" s="22" t="e">
        <f ca="1">tabCustoUnit[[#This Row],[CUSTO TOTAL MENSAL]]*12</f>
        <v>#NAME?</v>
      </c>
      <c r="BZ50" s="24">
        <f>VLOOKUP(tabCustoUnit[[#This Row],[Código do Posto]],tabParametros[],MATCH(tabCustoUnit[[#Headers],[ANO DA CCT]],tabParametros[#Headers],0),0)</f>
        <v>45658</v>
      </c>
      <c r="CA50" s="25" t="str">
        <f>VLOOKUP(tabCustoUnit[[#This Row],[Código do Posto]],tabParametros[],MATCH(tabCustoUnit[[#Headers],[Nº DE PEDIDO DA CCT]],tabParametros[#Headers],0),0)</f>
        <v>-</v>
      </c>
      <c r="CB50" s="25" t="str">
        <f>VLOOKUP(tabCustoUnit[[#This Row],[Código do Posto]],tabParametros[],MATCH(tabCustoUnit[[#Headers],[TERMO ADITIVO ALTERAÇÃO DA CCT]],tabParametros[#Headers],0),0)</f>
        <v>-</v>
      </c>
    </row>
    <row r="51" spans="1:80">
      <c r="A51" s="20" t="s">
        <v>1547</v>
      </c>
      <c r="B51" t="s">
        <v>1103</v>
      </c>
      <c r="C51" t="s">
        <v>234</v>
      </c>
      <c r="D51" t="s">
        <v>1035</v>
      </c>
      <c r="E51" s="20" t="s">
        <v>1090</v>
      </c>
      <c r="F51" s="20" t="s">
        <v>120</v>
      </c>
      <c r="G51" s="418">
        <v>3683.7563</v>
      </c>
      <c r="H51" s="418">
        <v>0</v>
      </c>
      <c r="I51" s="418">
        <v>0</v>
      </c>
      <c r="J51" s="418">
        <v>0</v>
      </c>
      <c r="K51" s="418">
        <v>0</v>
      </c>
      <c r="L51" s="418">
        <v>0</v>
      </c>
      <c r="M51" s="418">
        <v>0</v>
      </c>
      <c r="N51" s="418">
        <v>0</v>
      </c>
      <c r="O51" s="21">
        <f>SUM(tabCustoUnit[[#This Row],[Salário Base]:[Adicional de Acúmulo de função]])</f>
        <v>3683.7563</v>
      </c>
      <c r="P51" s="21">
        <f>tabCustoUnit[[#This Row],[MODULO 1 - REMUNERAÇÃO ]]*SUMIFS(tabParametros[INSS],tabParametros[Código do Posto],tabCustoUnit[[#This Row],[Código do Posto]])</f>
        <v>736.75126</v>
      </c>
      <c r="Q51" s="21">
        <f>tabCustoUnit[[#This Row],[MODULO 1 - REMUNERAÇÃO ]]*SUMIFS(tabParametros[SESI OU SESC],tabParametros[Código do Posto],tabCustoUnit[[#This Row],[Código do Posto]])</f>
        <v>55.256344499999997</v>
      </c>
      <c r="R51" s="21">
        <f>tabCustoUnit[[#This Row],[MODULO 1 - REMUNERAÇÃO ]]*SUMIFS(tabParametros[SENAI OU SENAC],tabParametros[Código do Posto],tabCustoUnit[[#This Row],[Código do Posto]])</f>
        <v>36.837563000000003</v>
      </c>
      <c r="S51" s="21">
        <f>tabCustoUnit[[#This Row],[MODULO 1 - REMUNERAÇÃO ]]*SUMIFS(tabParametros[INCRA],tabParametros[Código do Posto],tabCustoUnit[[#This Row],[Código do Posto]])</f>
        <v>7.3675126000000004</v>
      </c>
      <c r="T51" s="21">
        <f>tabCustoUnit[[#This Row],[MODULO 1 - REMUNERAÇÃO ]]*SUMIFS(tabParametros[Salário Educação],tabParametros[Código do Posto],tabCustoUnit[[#This Row],[Código do Posto]])</f>
        <v>92.0939075</v>
      </c>
      <c r="U51" s="21">
        <f>tabCustoUnit[[#This Row],[MODULO 1 - REMUNERAÇÃO ]]*SUMIFS(tabParametros[FGTS],tabParametros[Código do Posto],tabCustoUnit[[#This Row],[Código do Posto]])</f>
        <v>294.70050400000002</v>
      </c>
      <c r="V51" s="21">
        <f>tabCustoUnit[[#This Row],[MODULO 1 - REMUNERAÇÃO ]]*SUMIFS(tabParametros[RAT Ajustado],tabParametros[Código do Posto],tabCustoUnit[[#This Row],[Código do Posto]])</f>
        <v>147.35025200000001</v>
      </c>
      <c r="W51" s="21">
        <f>tabCustoUnit[[#This Row],[MODULO 1 - REMUNERAÇÃO ]]*SUMIFS(tabParametros[SEBRAE],tabParametros[Código do Posto],tabCustoUnit[[#This Row],[Código do Posto]])</f>
        <v>22.1025378</v>
      </c>
      <c r="X51" s="21">
        <f>SUM(tabCustoUnit[[#This Row],[INSS]:[SEBRAE]])</f>
        <v>1392.4598813999999</v>
      </c>
      <c r="Y51" s="21">
        <f>tabCustoUnit[[#This Row],[MODULO 1 - REMUNERAÇÃO ]]*SUMIFS(tabParametros[13º salário (titular)],tabParametros[Código do Posto],tabCustoUnit[[#This Row],[Código do Posto]])</f>
        <v>306.97969166666667</v>
      </c>
      <c r="Z51" s="21">
        <f>tabCustoUnit[[#This Row],[MODULO 1 - REMUNERAÇÃO ]]*SUMIFS(tabParametros[Férias e Adicional de Férias (titular)],tabParametros[Código do Posto],tabCustoUnit[[#This Row],[Código do Posto]])</f>
        <v>409.30625555555554</v>
      </c>
      <c r="AA51" s="21">
        <f>IFERROR((tabCustoUnit[[#This Row],[Submódulo 2.1]]/tabCustoUnit[[#This Row],[MODULO 1 - REMUNERAÇÃO ]])*SUM(tabCustoUnit[[#This Row],[13º salário (titular)]:[Férias e Adicional de Férias (titular)]]),0)</f>
        <v>270.75608804999996</v>
      </c>
      <c r="AB51" s="21">
        <f>SUM(tabCustoUnit[[#This Row],[13º salário (titular)]:[Incidência do Submódulo 2.1 sobre 13º Salário, Férias e Adicional de Férias]])</f>
        <v>987.04203527222217</v>
      </c>
      <c r="AC51" s="22" t="e">
        <f ca="1">_xlfn.LET(_xlpm.VT,SUMIF(tabParametros[Código do Posto],tabCustoUnit[[#This Row],[Código do Posto]],tabParametros[Vale - Transporte])*2*20,
IF((_xlpm.VT-tabCustoUnit[[#This Row],[Salário Base]]*0.06)&gt;=0,(_xlpm.VT-tabCustoUnit[[#This Row],[Salário Base]]*0.06),0)
)</f>
        <v>#NAME?</v>
      </c>
      <c r="AD51" s="22">
        <f>IF(SUMIF(tabParametros[Código do Posto],tabCustoUnit[[#This Row],[Código do Posto]],tabParametros[Vale - Alimentação])&lt;=0,0,
SUMIF(tabParametros[Código do Posto],tabCustoUnit[[#This Row],[Código do Posto]],tabParametros[Vale - Alimentação])*20-1)</f>
        <v>582</v>
      </c>
      <c r="AE51" s="22">
        <f>SUMIF(tabParametros[Código do Posto],tabCustoUnit[[#This Row],[Código do Posto]],tabParametros[Cesta Básica])</f>
        <v>0</v>
      </c>
      <c r="AF51" s="22">
        <f>SUMIF(tabParametros[Código do Posto],tabCustoUnit[[#This Row],[Código do Posto]],tabParametros[PAF])</f>
        <v>95.9</v>
      </c>
      <c r="AG51" s="22">
        <f>SUMIF(tabParametros[Código do Posto],tabCustoUnit[[#This Row],[Código do Posto]],tabParametros[PQM])</f>
        <v>0</v>
      </c>
      <c r="AH51" s="22">
        <f>SUMIF(tabParametros[Código do Posto],tabCustoUnit[[#This Row],[Código do Posto]],tabParametros[Abono Único e Especial])</f>
        <v>0</v>
      </c>
      <c r="AI51" s="22">
        <f>SUMIF(tabParametros[Código do Posto],tabCustoUnit[[#This Row],[Código do Posto]],tabParametros[Seguro de Vida])</f>
        <v>3.36</v>
      </c>
      <c r="AJ51" s="22">
        <f>SUMIF(tabParametros[Código do Posto],tabCustoUnit[[#This Row],[Código do Posto]],tabParametros[Despesas de Viagem])</f>
        <v>202.08</v>
      </c>
      <c r="AK51" s="22" t="e">
        <f ca="1">SUM(tabCustoUnit[[#This Row],[Vale - Transporte (Descontada parcela do empregado)]:[Despesas de Viagem]])</f>
        <v>#NAME?</v>
      </c>
      <c r="AL51" s="22" t="e">
        <f ca="1">tabCustoUnit[[#This Row],[Submódulo 2.1]]+tabCustoUnit[[#This Row],[Submódulo 2.2]]+tabCustoUnit[[#This Row],[Submódulo 2.3]]</f>
        <v>#NAME?</v>
      </c>
      <c r="AM51" s="22">
        <f>SUMIF(tabParametros[Código do Posto],tabCustoUnit[[#This Row],[Código do Posto]],tabParametros[Aviso Prévio Indenizado (API) e Reflexo do Aviso Prévio Indenizado])*tabCustoUnit[[#This Row],[MODULO 1 - REMUNERAÇÃO ]]</f>
        <v>25.829640769425154</v>
      </c>
      <c r="AN51" s="22">
        <f>SUMIF(tabParametros[Código do Posto],tabCustoUnit[[#This Row],[Código do Posto]],tabParametros[Incidência do FGTS sobre API e Reflexo do API])*tabCustoUnit[[#This Row],[MODULO 1 - REMUNERAÇÃO ]]</f>
        <v>2.0663712615540124</v>
      </c>
      <c r="AO51" s="22">
        <f>SUMIF(tabParametros[Código do Posto],tabCustoUnit[[#This Row],[Código do Posto]],tabParametros[Multa Rescisória do FGTS sobre o Aviso Prévio Indenizado])*tabCustoUnit[[#This Row],[MODULO 1 - REMUNERAÇÃO ]]</f>
        <v>0.82654850462160512</v>
      </c>
      <c r="AP51" s="22">
        <f>SUMIF(tabParametros[Código do Posto],tabCustoUnit[[#This Row],[Código do Posto]],tabParametros[Aviso Prévio Trabalhado - APT])*tabCustoUnit[[#This Row],[MODULO 1 - REMUNERAÇÃO ]]</f>
        <v>12.893147050000001</v>
      </c>
      <c r="AQ51" s="22">
        <f>SUMIF(tabParametros[Código do Posto],tabCustoUnit[[#This Row],[Código do Posto]],tabParametros[Incidência dos encargos do submódulo 2.1 sobre Aviso Prévio Trabalhado])*tabCustoUnit[[#This Row],[MODULO 1 - REMUNERAÇÃO ]]</f>
        <v>4.8736095849000014</v>
      </c>
      <c r="AR51" s="22">
        <f>SUMIF(tabParametros[Código do Posto],tabCustoUnit[[#This Row],[Código do Posto]],tabParametros[Multa Rescisória do FGTS])*tabCustoUnit[[#This Row],[MODULO 1 - REMUNERAÇÃO ]]</f>
        <v>112.64108152888888</v>
      </c>
      <c r="AS51" s="22">
        <f>SUMIF(tabParametros[Código do Posto],tabCustoUnit[[#This Row],[Código do Posto]],tabParametros[Indenização Adicional (Art. 9º da Lei nº 7.238/84)])*tabCustoUnit[[#This Row],[MODULO 1 - REMUNERAÇÃO ]]</f>
        <v>3.0697969166666668</v>
      </c>
      <c r="AT51" s="22">
        <f>SUM(tabCustoUnit[[#This Row],[Aviso Prévio Indenizado (API) e Reflexo do Aviso Prévio Indenizado]:[Indenização Adicional (Art. 9º da Lei nº 7.238/84)]])</f>
        <v>162.20019561605631</v>
      </c>
      <c r="AU51" s="22">
        <f>SUMIF(tabParametros[Código do Posto],tabCustoUnit[[#This Row],[Código do Posto]],tabParametros[Ausência por Doença])*tabCustoUnit[[#This Row],[MODULO 1 - REMUNERAÇÃO ]]</f>
        <v>31.107275422222219</v>
      </c>
      <c r="AV51" s="22">
        <f>SUMIF(tabParametros[Código do Posto],tabCustoUnit[[#This Row],[Código do Posto]],tabParametros[Ausências Legais])*tabCustoUnit[[#This Row],[MODULO 1 - REMUNERAÇÃO ]]</f>
        <v>7.4698391638888886</v>
      </c>
      <c r="AW51" s="22">
        <f>SUMIF(tabParametros[Código do Posto],tabCustoUnit[[#This Row],[Código do Posto]],tabParametros[Licença Paternidade])*tabCustoUnit[[#This Row],[MODULO 1 - REMUNERAÇÃO ]]</f>
        <v>0.62930836791666667</v>
      </c>
      <c r="AX51" s="22">
        <f>SUMIF(tabParametros[Código do Posto],tabCustoUnit[[#This Row],[Código do Posto]],tabParametros[Ausência por Acidente de Trabalho])*tabCustoUnit[[#This Row],[MODULO 1 - REMUNERAÇÃO ]]</f>
        <v>0.76744922916666669</v>
      </c>
      <c r="AY51" s="22">
        <f>SUMIF(tabParametros[Código do Posto],tabCustoUnit[[#This Row],[Código do Posto]],tabParametros[Férias, Adicional de Férias e 13º  com empregada em gozo de Licença Maternidade])*tabCustoUnit[[#This Row],[MODULO 1 - REMUNERAÇÃO ]]</f>
        <v>4.7752396481481476</v>
      </c>
      <c r="AZ51" s="22">
        <f>SUMIF(tabParametros[Código do Posto],tabCustoUnit[[#This Row],[Código do Posto]],tabParametros[Incidência do Submódulo 2.1 sobre Ausências Legais])*tabCustoUnit[[#This Row],[MODULO 1 - REMUNERAÇÃO ]]</f>
        <v>16.915164272247502</v>
      </c>
      <c r="BA51" s="22">
        <f>SUM(tabCustoUnit[[#This Row],[Ausência por Doença]:[Incidência do Submódulo 2.1 sobre Ausências Legais]])</f>
        <v>61.66427610359009</v>
      </c>
      <c r="BB51" s="22">
        <f>SUMIF(tabParametros[Código do Posto],tabCustoUnit[[#This Row],[Código do Posto]],tabParametros[Intervalo para Repouso ou Alimentação])</f>
        <v>0</v>
      </c>
      <c r="BC51" s="22">
        <f>tabCustoUnit[[#This Row],[Intervalo para Repouso ou Alimentação]]</f>
        <v>0</v>
      </c>
      <c r="BD5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1" s="22">
        <f>tabCustoUnit[[#This Row],[Suspensão Temporária do Contrato de Trabalho]]</f>
        <v>0</v>
      </c>
      <c r="BF51" s="22">
        <f>tabCustoUnit[[#This Row],[Submódulo 4.1]]+tabCustoUnit[[#This Row],[Submódulo 4.2]]+tabCustoUnit[[#This Row],[Submódulo 4.3]]</f>
        <v>61.66427610359009</v>
      </c>
      <c r="BG51" s="22">
        <f>VLOOKUP(tabCustoUnit[[#This Row],[Código do Posto]],tabParametros[],MATCH(tabCustoUnit[[#Headers],[Uniformes e EPIs]],tabParametros[#Headers],0),0)</f>
        <v>62.658162569185173</v>
      </c>
      <c r="BH51" s="22">
        <f>VLOOKUP(tabCustoUnit[[#This Row],[Código do Posto]],tabParametros[],MATCH(tabCustoUnit[[#Headers],[Materiais de Consumo]],tabParametros[#Headers],0),0)</f>
        <v>0</v>
      </c>
      <c r="BI51" s="22">
        <f>VLOOKUP(tabCustoUnit[[#This Row],[Código do Posto]],tabParametros[],MATCH(tabCustoUnit[[#Headers],[Máquinas e Equipamentos (depreciação)]],tabParametros[#Headers],0),0)</f>
        <v>93.621200000000002</v>
      </c>
      <c r="BJ51" s="22">
        <f>VLOOKUP(tabCustoUnit[[#This Row],[Código do Posto]],tabParametros[],MATCH(tabCustoUnit[[#Headers],[Produtos de Limpeza e Materiais de Higiene Pessoal]],tabParametros[#Headers],0),0)</f>
        <v>0</v>
      </c>
      <c r="BK51" s="22">
        <f>VLOOKUP(tabCustoUnit[[#This Row],[Código do Posto]],tabParametros[],MATCH(tabCustoUnit[[#Headers],[Outros (especificar)]],tabParametros[#Headers],0),0)</f>
        <v>0</v>
      </c>
      <c r="BL51" s="22">
        <f>SUM(tabCustoUnit[[#This Row],[Uniformes e EPIs]:[Outros (especificar)]])</f>
        <v>156.27936256918517</v>
      </c>
      <c r="BM5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1" s="22" t="e">
        <f ca="1">VLOOKUP(tabCustoUnit[[#This Row],[Código do Posto]],tabParametros[],MATCH(tabCustoUnit[[#Headers],[Custos Indiretos]],tabParametros[#Headers],0),0)</f>
        <v>#NAME?</v>
      </c>
      <c r="BO51" s="22" t="e">
        <f ca="1">VLOOKUP(tabCustoUnit[[#This Row],[Código do Posto]],tabParametros[],MATCH(tabCustoUnit[[#Headers],[Lucro]],tabParametros[#Headers],0),0)</f>
        <v>#NAME?</v>
      </c>
      <c r="BP51" s="26">
        <f>((100/((1-tabCustoUnit[[#This Row],[Resumo de Alíquotas (PIS+CONFINS+ISS)]]))-100)*VLOOKUP(tabCustoUnit[[#This Row],[Código do Posto]],tabParametros[],MATCH(tabCustoUnit[[#Headers],[COFINS]],tabParametros[#Headers],0),0))/(tabCustoUnit[[#This Row],[Resumo de Alíquotas (PIS+CONFINS+ISS)]]*100)</f>
        <v>8.8629737609329504E-2</v>
      </c>
      <c r="BQ51" s="26">
        <f>((100/((100-(tabCustoUnit[[#This Row],[Resumo de Alíquotas (PIS+CONFINS+ISS)]]*100))%)-100)*VLOOKUP(tabCustoUnit[[#This Row],[Código do Posto]],tabParametros[],MATCH(tabCustoUnit[[#Headers],[PIS]],tabParametros[#Headers],0),0))/(tabCustoUnit[[#This Row],[Resumo de Alíquotas (PIS+CONFINS+ISS)]]*100)</f>
        <v>1.9241982507288629E-2</v>
      </c>
      <c r="BR51" s="28">
        <f>VLOOKUP(tabCustoUnit[[#This Row],[Código do Posto]],tabParametros[],MATCH(tabCustoUnit[[#Headers],[ISS]],tabParametros[#Headers],0),0)</f>
        <v>0.05</v>
      </c>
      <c r="BS51" s="26">
        <f>(((100/((100-(tabCustoUnit[[#This Row],[Resumo de Alíquotas (PIS+CONFINS+ISS)]]*100))%)-100)*tabCustoUnit[[#This Row],[ISS]])/tabCustoUnit[[#This Row],[Resumo de Alíquotas (PIS+CONFINS+ISS)]])/100</f>
        <v>5.8309037900874633E-2</v>
      </c>
      <c r="BT5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1" s="138">
        <f>tabCustoUnit[[#This Row],[COFINS]]+tabCustoUnit[[#This Row],[PIS]]+tabCustoUnit[[#This Row],[ISS (Conversão Alíquota s/ fatura)]]</f>
        <v>0.16618075801749277</v>
      </c>
      <c r="BV51" s="22" t="e">
        <f ca="1">(tabCustoUnit[[#This Row],[TOTAL MÓDULOS 1+2+3+4+5]]+tabCustoUnit[[#This Row],[Custos Indiretos]]+tabCustoUnit[[#This Row],[Lucro]])*tabCustoUnit[[#This Row],[PIS + COFINS + ISS (Total Conversão  Alíquota s/ Fatura)]]</f>
        <v>#NAME?</v>
      </c>
      <c r="BW51" s="22" t="e">
        <f ca="1">tabCustoUnit[[#This Row],[Custos Indiretos]]+tabCustoUnit[[#This Row],[Lucro]]+tabCustoUnit[[#This Row],[Valor dos Tributos (ISS, PIS, CONFINS)]]</f>
        <v>#NAME?</v>
      </c>
      <c r="BX51" s="22" t="e">
        <f ca="1">tabCustoUnit[[#This Row],[TOTAL MÓDULOS 1+2+3+4+5]]+tabCustoUnit[[#This Row],[MÓDULO 6 – CUSTOS INDIRETOS, TRIBUTOS E LUCRO]]</f>
        <v>#NAME?</v>
      </c>
      <c r="BY51" s="22" t="e">
        <f ca="1">tabCustoUnit[[#This Row],[CUSTO TOTAL MENSAL]]*12</f>
        <v>#NAME?</v>
      </c>
      <c r="BZ51" s="24">
        <f>VLOOKUP(tabCustoUnit[[#This Row],[Código do Posto]],tabParametros[],MATCH(tabCustoUnit[[#Headers],[ANO DA CCT]],tabParametros[#Headers],0),0)</f>
        <v>45658</v>
      </c>
      <c r="CA51" s="25" t="str">
        <f>VLOOKUP(tabCustoUnit[[#This Row],[Código do Posto]],tabParametros[],MATCH(tabCustoUnit[[#Headers],[Nº DE PEDIDO DA CCT]],tabParametros[#Headers],0),0)</f>
        <v>-</v>
      </c>
      <c r="CB51" s="25" t="str">
        <f>VLOOKUP(tabCustoUnit[[#This Row],[Código do Posto]],tabParametros[],MATCH(tabCustoUnit[[#Headers],[TERMO ADITIVO ALTERAÇÃO DA CCT]],tabParametros[#Headers],0),0)</f>
        <v>-</v>
      </c>
    </row>
    <row r="52" spans="1:80">
      <c r="A52" s="20" t="s">
        <v>1430</v>
      </c>
      <c r="B52" t="s">
        <v>1103</v>
      </c>
      <c r="C52" t="s">
        <v>244</v>
      </c>
      <c r="D52" t="s">
        <v>1035</v>
      </c>
      <c r="E52" s="20" t="s">
        <v>1090</v>
      </c>
      <c r="F52" s="20" t="s">
        <v>120</v>
      </c>
      <c r="G52" s="418">
        <v>2296.1756999999998</v>
      </c>
      <c r="H52" s="418">
        <v>0</v>
      </c>
      <c r="I52" s="418">
        <v>303.60000000000002</v>
      </c>
      <c r="J52" s="418">
        <v>0</v>
      </c>
      <c r="K52" s="418">
        <v>0</v>
      </c>
      <c r="L52" s="418">
        <v>0</v>
      </c>
      <c r="M52" s="418">
        <v>0</v>
      </c>
      <c r="N52" s="418">
        <v>0</v>
      </c>
      <c r="O52" s="21">
        <f>SUM(tabCustoUnit[[#This Row],[Salário Base]:[Adicional de Acúmulo de função]])</f>
        <v>2599.7756999999997</v>
      </c>
      <c r="P52" s="21">
        <f>tabCustoUnit[[#This Row],[MODULO 1 - REMUNERAÇÃO ]]*SUMIFS(tabParametros[INSS],tabParametros[Código do Posto],tabCustoUnit[[#This Row],[Código do Posto]])</f>
        <v>519.95513999999991</v>
      </c>
      <c r="Q52" s="21">
        <f>tabCustoUnit[[#This Row],[MODULO 1 - REMUNERAÇÃO ]]*SUMIFS(tabParametros[SESI OU SESC],tabParametros[Código do Posto],tabCustoUnit[[#This Row],[Código do Posto]])</f>
        <v>38.996635499999996</v>
      </c>
      <c r="R52" s="21">
        <f>tabCustoUnit[[#This Row],[MODULO 1 - REMUNERAÇÃO ]]*SUMIFS(tabParametros[SENAI OU SENAC],tabParametros[Código do Posto],tabCustoUnit[[#This Row],[Código do Posto]])</f>
        <v>25.997756999999996</v>
      </c>
      <c r="S52" s="21">
        <f>tabCustoUnit[[#This Row],[MODULO 1 - REMUNERAÇÃO ]]*SUMIFS(tabParametros[INCRA],tabParametros[Código do Posto],tabCustoUnit[[#This Row],[Código do Posto]])</f>
        <v>5.1995513999999998</v>
      </c>
      <c r="T52" s="21">
        <f>tabCustoUnit[[#This Row],[MODULO 1 - REMUNERAÇÃO ]]*SUMIFS(tabParametros[Salário Educação],tabParametros[Código do Posto],tabCustoUnit[[#This Row],[Código do Posto]])</f>
        <v>64.994392499999989</v>
      </c>
      <c r="U52" s="21">
        <f>tabCustoUnit[[#This Row],[MODULO 1 - REMUNERAÇÃO ]]*SUMIFS(tabParametros[FGTS],tabParametros[Código do Posto],tabCustoUnit[[#This Row],[Código do Posto]])</f>
        <v>207.98205599999997</v>
      </c>
      <c r="V52" s="21">
        <f>tabCustoUnit[[#This Row],[MODULO 1 - REMUNERAÇÃO ]]*SUMIFS(tabParametros[RAT Ajustado],tabParametros[Código do Posto],tabCustoUnit[[#This Row],[Código do Posto]])</f>
        <v>103.99102799999999</v>
      </c>
      <c r="W52" s="21">
        <f>tabCustoUnit[[#This Row],[MODULO 1 - REMUNERAÇÃO ]]*SUMIFS(tabParametros[SEBRAE],tabParametros[Código do Posto],tabCustoUnit[[#This Row],[Código do Posto]])</f>
        <v>15.598654199999999</v>
      </c>
      <c r="X52" s="21">
        <f>SUM(tabCustoUnit[[#This Row],[INSS]:[SEBRAE]])</f>
        <v>982.71521459999985</v>
      </c>
      <c r="Y52" s="21">
        <f>tabCustoUnit[[#This Row],[MODULO 1 - REMUNERAÇÃO ]]*SUMIFS(tabParametros[13º salário (titular)],tabParametros[Código do Posto],tabCustoUnit[[#This Row],[Código do Posto]])</f>
        <v>216.64797499999997</v>
      </c>
      <c r="Z52" s="21">
        <f>tabCustoUnit[[#This Row],[MODULO 1 - REMUNERAÇÃO ]]*SUMIFS(tabParametros[Férias e Adicional de Férias (titular)],tabParametros[Código do Posto],tabCustoUnit[[#This Row],[Código do Posto]])</f>
        <v>288.86396666666661</v>
      </c>
      <c r="AA52" s="21">
        <f>IFERROR((tabCustoUnit[[#This Row],[Submódulo 2.1]]/tabCustoUnit[[#This Row],[MODULO 1 - REMUNERAÇÃO ]])*SUM(tabCustoUnit[[#This Row],[13º salário (titular)]:[Férias e Adicional de Férias (titular)]]),0)</f>
        <v>191.08351394999997</v>
      </c>
      <c r="AB52" s="21">
        <f>SUM(tabCustoUnit[[#This Row],[13º salário (titular)]:[Incidência do Submódulo 2.1 sobre 13º Salário, Férias e Adicional de Férias]])</f>
        <v>696.59545561666653</v>
      </c>
      <c r="AC52" s="22" t="e">
        <f ca="1">_xlfn.LET(_xlpm.VT,SUMIF(tabParametros[Código do Posto],tabCustoUnit[[#This Row],[Código do Posto]],tabParametros[Vale - Transporte])*2*20,
IF((_xlpm.VT-tabCustoUnit[[#This Row],[Salário Base]]*0.06)&gt;=0,(_xlpm.VT-tabCustoUnit[[#This Row],[Salário Base]]*0.06),0)
)</f>
        <v>#NAME?</v>
      </c>
      <c r="AD52" s="22">
        <f>IF(SUMIF(tabParametros[Código do Posto],tabCustoUnit[[#This Row],[Código do Posto]],tabParametros[Vale - Alimentação])&lt;=0,0,
SUMIF(tabParametros[Código do Posto],tabCustoUnit[[#This Row],[Código do Posto]],tabParametros[Vale - Alimentação])*20-1)</f>
        <v>582</v>
      </c>
      <c r="AE52" s="22">
        <f>SUMIF(tabParametros[Código do Posto],tabCustoUnit[[#This Row],[Código do Posto]],tabParametros[Cesta Básica])</f>
        <v>0</v>
      </c>
      <c r="AF52" s="22">
        <f>SUMIF(tabParametros[Código do Posto],tabCustoUnit[[#This Row],[Código do Posto]],tabParametros[PAF])</f>
        <v>95.9</v>
      </c>
      <c r="AG52" s="22">
        <f>SUMIF(tabParametros[Código do Posto],tabCustoUnit[[#This Row],[Código do Posto]],tabParametros[PQM])</f>
        <v>0</v>
      </c>
      <c r="AH52" s="22">
        <f>SUMIF(tabParametros[Código do Posto],tabCustoUnit[[#This Row],[Código do Posto]],tabParametros[Abono Único e Especial])</f>
        <v>0</v>
      </c>
      <c r="AI52" s="22">
        <f>SUMIF(tabParametros[Código do Posto],tabCustoUnit[[#This Row],[Código do Posto]],tabParametros[Seguro de Vida])</f>
        <v>3.36</v>
      </c>
      <c r="AJ52" s="22">
        <f>SUMIF(tabParametros[Código do Posto],tabCustoUnit[[#This Row],[Código do Posto]],tabParametros[Despesas de Viagem])</f>
        <v>202.08</v>
      </c>
      <c r="AK52" s="22" t="e">
        <f ca="1">SUM(tabCustoUnit[[#This Row],[Vale - Transporte (Descontada parcela do empregado)]:[Despesas de Viagem]])</f>
        <v>#NAME?</v>
      </c>
      <c r="AL52" s="22" t="e">
        <f ca="1">tabCustoUnit[[#This Row],[Submódulo 2.1]]+tabCustoUnit[[#This Row],[Submódulo 2.2]]+tabCustoUnit[[#This Row],[Submódulo 2.3]]</f>
        <v>#NAME?</v>
      </c>
      <c r="AM52" s="22">
        <f>SUMIF(tabParametros[Código do Posto],tabCustoUnit[[#This Row],[Código do Posto]],tabParametros[Aviso Prévio Indenizado (API) e Reflexo do Aviso Prévio Indenizado])*tabCustoUnit[[#This Row],[MODULO 1 - REMUNERAÇÃO ]]</f>
        <v>18.229021396469907</v>
      </c>
      <c r="AN52" s="22">
        <f>SUMIF(tabParametros[Código do Posto],tabCustoUnit[[#This Row],[Código do Posto]],tabParametros[Incidência do FGTS sobre API e Reflexo do API])*tabCustoUnit[[#This Row],[MODULO 1 - REMUNERAÇÃO ]]</f>
        <v>1.4583217117175926</v>
      </c>
      <c r="AO52" s="22">
        <f>SUMIF(tabParametros[Código do Posto],tabCustoUnit[[#This Row],[Código do Posto]],tabParametros[Multa Rescisória do FGTS sobre o Aviso Prévio Indenizado])*tabCustoUnit[[#This Row],[MODULO 1 - REMUNERAÇÃO ]]</f>
        <v>0.58332868468703702</v>
      </c>
      <c r="AP52" s="22">
        <f>SUMIF(tabParametros[Código do Posto],tabCustoUnit[[#This Row],[Código do Posto]],tabParametros[Aviso Prévio Trabalhado - APT])*tabCustoUnit[[#This Row],[MODULO 1 - REMUNERAÇÃO ]]</f>
        <v>9.0992149500000004</v>
      </c>
      <c r="AQ52" s="22">
        <f>SUMIF(tabParametros[Código do Posto],tabCustoUnit[[#This Row],[Código do Posto]],tabParametros[Incidência dos encargos do submódulo 2.1 sobre Aviso Prévio Trabalhado])*tabCustoUnit[[#This Row],[MODULO 1 - REMUNERAÇÃO ]]</f>
        <v>3.4395032511000005</v>
      </c>
      <c r="AR52" s="22">
        <f>SUMIF(tabParametros[Código do Posto],tabCustoUnit[[#This Row],[Código do Posto]],tabParametros[Multa Rescisória do FGTS])*tabCustoUnit[[#This Row],[MODULO 1 - REMUNERAÇÃO ]]</f>
        <v>79.495363626666645</v>
      </c>
      <c r="AS52" s="22">
        <f>SUMIF(tabParametros[Código do Posto],tabCustoUnit[[#This Row],[Código do Posto]],tabParametros[Indenização Adicional (Art. 9º da Lei nº 7.238/84)])*tabCustoUnit[[#This Row],[MODULO 1 - REMUNERAÇÃO ]]</f>
        <v>2.1664797499999997</v>
      </c>
      <c r="AT52" s="22">
        <f>SUM(tabCustoUnit[[#This Row],[Aviso Prévio Indenizado (API) e Reflexo do Aviso Prévio Indenizado]:[Indenização Adicional (Art. 9º da Lei nº 7.238/84)]])</f>
        <v>114.47123337064117</v>
      </c>
      <c r="AU52" s="22">
        <f>SUMIF(tabParametros[Código do Posto],tabCustoUnit[[#This Row],[Código do Posto]],tabParametros[Ausência por Doença])*tabCustoUnit[[#This Row],[MODULO 1 - REMUNERAÇÃO ]]</f>
        <v>21.953661466666663</v>
      </c>
      <c r="AV52" s="22">
        <f>SUMIF(tabParametros[Código do Posto],tabCustoUnit[[#This Row],[Código do Posto]],tabParametros[Ausências Legais])*tabCustoUnit[[#This Row],[MODULO 1 - REMUNERAÇÃO ]]</f>
        <v>5.2717673916666659</v>
      </c>
      <c r="AW52" s="22">
        <f>SUMIF(tabParametros[Código do Posto],tabCustoUnit[[#This Row],[Código do Posto]],tabParametros[Licença Paternidade])*tabCustoUnit[[#This Row],[MODULO 1 - REMUNERAÇÃO ]]</f>
        <v>0.44412834874999996</v>
      </c>
      <c r="AX52" s="22">
        <f>SUMIF(tabParametros[Código do Posto],tabCustoUnit[[#This Row],[Código do Posto]],tabParametros[Ausência por Acidente de Trabalho])*tabCustoUnit[[#This Row],[MODULO 1 - REMUNERAÇÃO ]]</f>
        <v>0.54161993749999993</v>
      </c>
      <c r="AY52" s="22">
        <f>SUMIF(tabParametros[Código do Posto],tabCustoUnit[[#This Row],[Código do Posto]],tabParametros[Férias, Adicional de Férias e 13º  com empregada em gozo de Licença Maternidade])*tabCustoUnit[[#This Row],[MODULO 1 - REMUNERAÇÃO ]]</f>
        <v>3.3700796111111107</v>
      </c>
      <c r="AZ52" s="22">
        <f>SUMIF(tabParametros[Código do Posto],tabCustoUnit[[#This Row],[Código do Posto]],tabParametros[Incidência do Submódulo 2.1 sobre Ausências Legais])*tabCustoUnit[[#This Row],[MODULO 1 - REMUNERAÇÃO ]]</f>
        <v>11.9377150536525</v>
      </c>
      <c r="BA52" s="22">
        <f>SUM(tabCustoUnit[[#This Row],[Ausência por Doença]:[Incidência do Submódulo 2.1 sobre Ausências Legais]])</f>
        <v>43.518971809346937</v>
      </c>
      <c r="BB52" s="22">
        <f>SUMIF(tabParametros[Código do Posto],tabCustoUnit[[#This Row],[Código do Posto]],tabParametros[Intervalo para Repouso ou Alimentação])</f>
        <v>0</v>
      </c>
      <c r="BC52" s="22">
        <f>tabCustoUnit[[#This Row],[Intervalo para Repouso ou Alimentação]]</f>
        <v>0</v>
      </c>
      <c r="BD5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2" s="22">
        <f>tabCustoUnit[[#This Row],[Suspensão Temporária do Contrato de Trabalho]]</f>
        <v>0</v>
      </c>
      <c r="BF52" s="22">
        <f>tabCustoUnit[[#This Row],[Submódulo 4.1]]+tabCustoUnit[[#This Row],[Submódulo 4.2]]+tabCustoUnit[[#This Row],[Submódulo 4.3]]</f>
        <v>43.518971809346937</v>
      </c>
      <c r="BG52" s="22">
        <f>VLOOKUP(tabCustoUnit[[#This Row],[Código do Posto]],tabParametros[],MATCH(tabCustoUnit[[#Headers],[Uniformes e EPIs]],tabParametros[#Headers],0),0)</f>
        <v>226.33322732312172</v>
      </c>
      <c r="BH52" s="22">
        <f>VLOOKUP(tabCustoUnit[[#This Row],[Código do Posto]],tabParametros[],MATCH(tabCustoUnit[[#Headers],[Materiais de Consumo]],tabParametros[#Headers],0),0)</f>
        <v>441.81099462365592</v>
      </c>
      <c r="BI52" s="22">
        <f>VLOOKUP(tabCustoUnit[[#This Row],[Código do Posto]],tabParametros[],MATCH(tabCustoUnit[[#Headers],[Máquinas e Equipamentos (depreciação)]],tabParametros[#Headers],0),0)</f>
        <v>113.11309677419354</v>
      </c>
      <c r="BJ52" s="22">
        <f>VLOOKUP(tabCustoUnit[[#This Row],[Código do Posto]],tabParametros[],MATCH(tabCustoUnit[[#Headers],[Produtos de Limpeza e Materiais de Higiene Pessoal]],tabParametros[#Headers],0),0)</f>
        <v>0</v>
      </c>
      <c r="BK52" s="22">
        <f>VLOOKUP(tabCustoUnit[[#This Row],[Código do Posto]],tabParametros[],MATCH(tabCustoUnit[[#Headers],[Outros (especificar)]],tabParametros[#Headers],0),0)</f>
        <v>0</v>
      </c>
      <c r="BL52" s="22">
        <f>SUM(tabCustoUnit[[#This Row],[Uniformes e EPIs]:[Outros (especificar)]])</f>
        <v>781.25731872097117</v>
      </c>
      <c r="BM5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2" s="22" t="e">
        <f ca="1">VLOOKUP(tabCustoUnit[[#This Row],[Código do Posto]],tabParametros[],MATCH(tabCustoUnit[[#Headers],[Custos Indiretos]],tabParametros[#Headers],0),0)</f>
        <v>#NAME?</v>
      </c>
      <c r="BO52" s="22" t="e">
        <f ca="1">VLOOKUP(tabCustoUnit[[#This Row],[Código do Posto]],tabParametros[],MATCH(tabCustoUnit[[#Headers],[Lucro]],tabParametros[#Headers],0),0)</f>
        <v>#NAME?</v>
      </c>
      <c r="BP52" s="26">
        <f>((100/((1-tabCustoUnit[[#This Row],[Resumo de Alíquotas (PIS+CONFINS+ISS)]]))-100)*VLOOKUP(tabCustoUnit[[#This Row],[Código do Posto]],tabParametros[],MATCH(tabCustoUnit[[#Headers],[COFINS]],tabParametros[#Headers],0),0))/(tabCustoUnit[[#This Row],[Resumo de Alíquotas (PIS+CONFINS+ISS)]]*100)</f>
        <v>8.8629737609329504E-2</v>
      </c>
      <c r="BQ52" s="26">
        <f>((100/((100-(tabCustoUnit[[#This Row],[Resumo de Alíquotas (PIS+CONFINS+ISS)]]*100))%)-100)*VLOOKUP(tabCustoUnit[[#This Row],[Código do Posto]],tabParametros[],MATCH(tabCustoUnit[[#Headers],[PIS]],tabParametros[#Headers],0),0))/(tabCustoUnit[[#This Row],[Resumo de Alíquotas (PIS+CONFINS+ISS)]]*100)</f>
        <v>1.9241982507288629E-2</v>
      </c>
      <c r="BR52" s="28">
        <f>VLOOKUP(tabCustoUnit[[#This Row],[Código do Posto]],tabParametros[],MATCH(tabCustoUnit[[#Headers],[ISS]],tabParametros[#Headers],0),0)</f>
        <v>0.05</v>
      </c>
      <c r="BS52" s="26">
        <f>(((100/((100-(tabCustoUnit[[#This Row],[Resumo de Alíquotas (PIS+CONFINS+ISS)]]*100))%)-100)*tabCustoUnit[[#This Row],[ISS]])/tabCustoUnit[[#This Row],[Resumo de Alíquotas (PIS+CONFINS+ISS)]])/100</f>
        <v>5.8309037900874633E-2</v>
      </c>
      <c r="BT5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2" s="138">
        <f>tabCustoUnit[[#This Row],[COFINS]]+tabCustoUnit[[#This Row],[PIS]]+tabCustoUnit[[#This Row],[ISS (Conversão Alíquota s/ fatura)]]</f>
        <v>0.16618075801749277</v>
      </c>
      <c r="BV52" s="22" t="e">
        <f ca="1">(tabCustoUnit[[#This Row],[TOTAL MÓDULOS 1+2+3+4+5]]+tabCustoUnit[[#This Row],[Custos Indiretos]]+tabCustoUnit[[#This Row],[Lucro]])*tabCustoUnit[[#This Row],[PIS + COFINS + ISS (Total Conversão  Alíquota s/ Fatura)]]</f>
        <v>#NAME?</v>
      </c>
      <c r="BW52" s="22" t="e">
        <f ca="1">tabCustoUnit[[#This Row],[Custos Indiretos]]+tabCustoUnit[[#This Row],[Lucro]]+tabCustoUnit[[#This Row],[Valor dos Tributos (ISS, PIS, CONFINS)]]</f>
        <v>#NAME?</v>
      </c>
      <c r="BX52" s="22" t="e">
        <f ca="1">tabCustoUnit[[#This Row],[TOTAL MÓDULOS 1+2+3+4+5]]+tabCustoUnit[[#This Row],[MÓDULO 6 – CUSTOS INDIRETOS, TRIBUTOS E LUCRO]]</f>
        <v>#NAME?</v>
      </c>
      <c r="BY52" s="22" t="e">
        <f ca="1">tabCustoUnit[[#This Row],[CUSTO TOTAL MENSAL]]*12</f>
        <v>#NAME?</v>
      </c>
      <c r="BZ52" s="24">
        <f>VLOOKUP(tabCustoUnit[[#This Row],[Código do Posto]],tabParametros[],MATCH(tabCustoUnit[[#Headers],[ANO DA CCT]],tabParametros[#Headers],0),0)</f>
        <v>45658</v>
      </c>
      <c r="CA52" s="25" t="str">
        <f>VLOOKUP(tabCustoUnit[[#This Row],[Código do Posto]],tabParametros[],MATCH(tabCustoUnit[[#Headers],[Nº DE PEDIDO DA CCT]],tabParametros[#Headers],0),0)</f>
        <v>-</v>
      </c>
      <c r="CB52" s="25" t="str">
        <f>VLOOKUP(tabCustoUnit[[#This Row],[Código do Posto]],tabParametros[],MATCH(tabCustoUnit[[#Headers],[TERMO ADITIVO ALTERAÇÃO DA CCT]],tabParametros[#Headers],0),0)</f>
        <v>-</v>
      </c>
    </row>
    <row r="53" spans="1:80">
      <c r="A53" s="20" t="s">
        <v>1548</v>
      </c>
      <c r="B53" t="s">
        <v>1103</v>
      </c>
      <c r="C53" t="s">
        <v>239</v>
      </c>
      <c r="D53" t="s">
        <v>1035</v>
      </c>
      <c r="E53" s="20" t="s">
        <v>1090</v>
      </c>
      <c r="F53" s="20" t="s">
        <v>120</v>
      </c>
      <c r="G53" s="418">
        <v>4804.62</v>
      </c>
      <c r="H53" s="418">
        <v>0</v>
      </c>
      <c r="I53" s="418">
        <v>0</v>
      </c>
      <c r="J53" s="418">
        <v>0</v>
      </c>
      <c r="K53" s="418">
        <v>0</v>
      </c>
      <c r="L53" s="418">
        <v>0</v>
      </c>
      <c r="M53" s="418">
        <v>0</v>
      </c>
      <c r="N53" s="418">
        <v>0</v>
      </c>
      <c r="O53" s="21">
        <f>SUM(tabCustoUnit[[#This Row],[Salário Base]:[Adicional de Acúmulo de função]])</f>
        <v>4804.62</v>
      </c>
      <c r="P53" s="21">
        <f>tabCustoUnit[[#This Row],[MODULO 1 - REMUNERAÇÃO ]]*SUMIFS(tabParametros[INSS],tabParametros[Código do Posto],tabCustoUnit[[#This Row],[Código do Posto]])</f>
        <v>960.92399999999998</v>
      </c>
      <c r="Q53" s="21">
        <f>tabCustoUnit[[#This Row],[MODULO 1 - REMUNERAÇÃO ]]*SUMIFS(tabParametros[SESI OU SESC],tabParametros[Código do Posto],tabCustoUnit[[#This Row],[Código do Posto]])</f>
        <v>72.069299999999998</v>
      </c>
      <c r="R53" s="21">
        <f>tabCustoUnit[[#This Row],[MODULO 1 - REMUNERAÇÃO ]]*SUMIFS(tabParametros[SENAI OU SENAC],tabParametros[Código do Posto],tabCustoUnit[[#This Row],[Código do Posto]])</f>
        <v>48.046199999999999</v>
      </c>
      <c r="S53" s="21">
        <f>tabCustoUnit[[#This Row],[MODULO 1 - REMUNERAÇÃO ]]*SUMIFS(tabParametros[INCRA],tabParametros[Código do Posto],tabCustoUnit[[#This Row],[Código do Posto]])</f>
        <v>9.6092399999999998</v>
      </c>
      <c r="T53" s="21">
        <f>tabCustoUnit[[#This Row],[MODULO 1 - REMUNERAÇÃO ]]*SUMIFS(tabParametros[Salário Educação],tabParametros[Código do Posto],tabCustoUnit[[#This Row],[Código do Posto]])</f>
        <v>120.1155</v>
      </c>
      <c r="U53" s="21">
        <f>tabCustoUnit[[#This Row],[MODULO 1 - REMUNERAÇÃO ]]*SUMIFS(tabParametros[FGTS],tabParametros[Código do Posto],tabCustoUnit[[#This Row],[Código do Posto]])</f>
        <v>384.36959999999999</v>
      </c>
      <c r="V53" s="21">
        <f>tabCustoUnit[[#This Row],[MODULO 1 - REMUNERAÇÃO ]]*SUMIFS(tabParametros[RAT Ajustado],tabParametros[Código do Posto],tabCustoUnit[[#This Row],[Código do Posto]])</f>
        <v>192.1848</v>
      </c>
      <c r="W53" s="21">
        <f>tabCustoUnit[[#This Row],[MODULO 1 - REMUNERAÇÃO ]]*SUMIFS(tabParametros[SEBRAE],tabParametros[Código do Posto],tabCustoUnit[[#This Row],[Código do Posto]])</f>
        <v>28.827719999999999</v>
      </c>
      <c r="X53" s="21">
        <f>SUM(tabCustoUnit[[#This Row],[INSS]:[SEBRAE]])</f>
        <v>1816.14636</v>
      </c>
      <c r="Y53" s="21">
        <f>tabCustoUnit[[#This Row],[MODULO 1 - REMUNERAÇÃO ]]*SUMIFS(tabParametros[13º salário (titular)],tabParametros[Código do Posto],tabCustoUnit[[#This Row],[Código do Posto]])</f>
        <v>400.38499999999999</v>
      </c>
      <c r="Z53" s="21">
        <f>tabCustoUnit[[#This Row],[MODULO 1 - REMUNERAÇÃO ]]*SUMIFS(tabParametros[Férias e Adicional de Férias (titular)],tabParametros[Código do Posto],tabCustoUnit[[#This Row],[Código do Posto]])</f>
        <v>533.84666666666658</v>
      </c>
      <c r="AA53" s="21">
        <f>IFERROR((tabCustoUnit[[#This Row],[Submódulo 2.1]]/tabCustoUnit[[#This Row],[MODULO 1 - REMUNERAÇÃO ]])*SUM(tabCustoUnit[[#This Row],[13º salário (titular)]:[Férias e Adicional de Férias (titular)]]),0)</f>
        <v>353.13956999999999</v>
      </c>
      <c r="AB53" s="21">
        <f>SUM(tabCustoUnit[[#This Row],[13º salário (titular)]:[Incidência do Submódulo 2.1 sobre 13º Salário, Férias e Adicional de Férias]])</f>
        <v>1287.3712366666666</v>
      </c>
      <c r="AC53" s="22" t="e">
        <f ca="1">_xlfn.LET(_xlpm.VT,SUMIF(tabParametros[Código do Posto],tabCustoUnit[[#This Row],[Código do Posto]],tabParametros[Vale - Transporte])*2*20,
IF((_xlpm.VT-tabCustoUnit[[#This Row],[Salário Base]]*0.06)&gt;=0,(_xlpm.VT-tabCustoUnit[[#This Row],[Salário Base]]*0.06),0)
)</f>
        <v>#NAME?</v>
      </c>
      <c r="AD53" s="22">
        <f>IF(SUMIF(tabParametros[Código do Posto],tabCustoUnit[[#This Row],[Código do Posto]],tabParametros[Vale - Alimentação])&lt;=0,0,
SUMIF(tabParametros[Código do Posto],tabCustoUnit[[#This Row],[Código do Posto]],tabParametros[Vale - Alimentação])*20-1)</f>
        <v>582</v>
      </c>
      <c r="AE53" s="22">
        <f>SUMIF(tabParametros[Código do Posto],tabCustoUnit[[#This Row],[Código do Posto]],tabParametros[Cesta Básica])</f>
        <v>0</v>
      </c>
      <c r="AF53" s="22">
        <f>SUMIF(tabParametros[Código do Posto],tabCustoUnit[[#This Row],[Código do Posto]],tabParametros[PAF])</f>
        <v>95.9</v>
      </c>
      <c r="AG53" s="22">
        <f>SUMIF(tabParametros[Código do Posto],tabCustoUnit[[#This Row],[Código do Posto]],tabParametros[PQM])</f>
        <v>0</v>
      </c>
      <c r="AH53" s="22">
        <f>SUMIF(tabParametros[Código do Posto],tabCustoUnit[[#This Row],[Código do Posto]],tabParametros[Abono Único e Especial])</f>
        <v>0</v>
      </c>
      <c r="AI53" s="22">
        <f>SUMIF(tabParametros[Código do Posto],tabCustoUnit[[#This Row],[Código do Posto]],tabParametros[Seguro de Vida])</f>
        <v>3.36</v>
      </c>
      <c r="AJ53" s="22">
        <f>SUMIF(tabParametros[Código do Posto],tabCustoUnit[[#This Row],[Código do Posto]],tabParametros[Despesas de Viagem])</f>
        <v>202.08</v>
      </c>
      <c r="AK53" s="22" t="e">
        <f ca="1">SUM(tabCustoUnit[[#This Row],[Vale - Transporte (Descontada parcela do empregado)]:[Despesas de Viagem]])</f>
        <v>#NAME?</v>
      </c>
      <c r="AL53" s="22" t="e">
        <f ca="1">tabCustoUnit[[#This Row],[Submódulo 2.1]]+tabCustoUnit[[#This Row],[Submódulo 2.2]]+tabCustoUnit[[#This Row],[Submódulo 2.3]]</f>
        <v>#NAME?</v>
      </c>
      <c r="AM53" s="22">
        <f>SUMIF(tabParametros[Código do Posto],tabCustoUnit[[#This Row],[Código do Posto]],tabParametros[Aviso Prévio Indenizado (API) e Reflexo do Aviso Prévio Indenizado])*tabCustoUnit[[#This Row],[MODULO 1 - REMUNERAÇÃO ]]</f>
        <v>33.688875844907407</v>
      </c>
      <c r="AN53" s="22">
        <f>SUMIF(tabParametros[Código do Posto],tabCustoUnit[[#This Row],[Código do Posto]],tabParametros[Incidência do FGTS sobre API e Reflexo do API])*tabCustoUnit[[#This Row],[MODULO 1 - REMUNERAÇÃO ]]</f>
        <v>2.695110067592593</v>
      </c>
      <c r="AO53" s="22">
        <f>SUMIF(tabParametros[Código do Posto],tabCustoUnit[[#This Row],[Código do Posto]],tabParametros[Multa Rescisória do FGTS sobre o Aviso Prévio Indenizado])*tabCustoUnit[[#This Row],[MODULO 1 - REMUNERAÇÃO ]]</f>
        <v>1.0780440270370373</v>
      </c>
      <c r="AP53" s="22">
        <f>SUMIF(tabParametros[Código do Posto],tabCustoUnit[[#This Row],[Código do Posto]],tabParametros[Aviso Prévio Trabalhado - APT])*tabCustoUnit[[#This Row],[MODULO 1 - REMUNERAÇÃO ]]</f>
        <v>16.816170000000003</v>
      </c>
      <c r="AQ53" s="22">
        <f>SUMIF(tabParametros[Código do Posto],tabCustoUnit[[#This Row],[Código do Posto]],tabParametros[Incidência dos encargos do submódulo 2.1 sobre Aviso Prévio Trabalhado])*tabCustoUnit[[#This Row],[MODULO 1 - REMUNERAÇÃO ]]</f>
        <v>6.3565122600000015</v>
      </c>
      <c r="AR53" s="22">
        <f>SUMIF(tabParametros[Código do Posto],tabCustoUnit[[#This Row],[Código do Posto]],tabParametros[Multa Rescisória do FGTS])*tabCustoUnit[[#This Row],[MODULO 1 - REMUNERAÇÃO ]]</f>
        <v>146.91460266666664</v>
      </c>
      <c r="AS53" s="22">
        <f>SUMIF(tabParametros[Código do Posto],tabCustoUnit[[#This Row],[Código do Posto]],tabParametros[Indenização Adicional (Art. 9º da Lei nº 7.238/84)])*tabCustoUnit[[#This Row],[MODULO 1 - REMUNERAÇÃO ]]</f>
        <v>4.0038499999999999</v>
      </c>
      <c r="AT53" s="22">
        <f>SUM(tabCustoUnit[[#This Row],[Aviso Prévio Indenizado (API) e Reflexo do Aviso Prévio Indenizado]:[Indenização Adicional (Art. 9º da Lei nº 7.238/84)]])</f>
        <v>211.5531648662037</v>
      </c>
      <c r="AU53" s="22">
        <f>SUMIF(tabParametros[Código do Posto],tabCustoUnit[[#This Row],[Código do Posto]],tabParametros[Ausência por Doença])*tabCustoUnit[[#This Row],[MODULO 1 - REMUNERAÇÃO ]]</f>
        <v>40.572346666666661</v>
      </c>
      <c r="AV53" s="22">
        <f>SUMIF(tabParametros[Código do Posto],tabCustoUnit[[#This Row],[Código do Posto]],tabParametros[Ausências Legais])*tabCustoUnit[[#This Row],[MODULO 1 - REMUNERAÇÃO ]]</f>
        <v>9.7427016666666653</v>
      </c>
      <c r="AW53" s="22">
        <f>SUMIF(tabParametros[Código do Posto],tabCustoUnit[[#This Row],[Código do Posto]],tabParametros[Licença Paternidade])*tabCustoUnit[[#This Row],[MODULO 1 - REMUNERAÇÃO ]]</f>
        <v>0.82078924999999991</v>
      </c>
      <c r="AX53" s="22">
        <f>SUMIF(tabParametros[Código do Posto],tabCustoUnit[[#This Row],[Código do Posto]],tabParametros[Ausência por Acidente de Trabalho])*tabCustoUnit[[#This Row],[MODULO 1 - REMUNERAÇÃO ]]</f>
        <v>1.0009625</v>
      </c>
      <c r="AY53" s="22">
        <f>SUMIF(tabParametros[Código do Posto],tabCustoUnit[[#This Row],[Código do Posto]],tabParametros[Férias, Adicional de Férias e 13º  com empregada em gozo de Licença Maternidade])*tabCustoUnit[[#This Row],[MODULO 1 - REMUNERAÇÃO ]]</f>
        <v>6.2282111111111105</v>
      </c>
      <c r="AZ53" s="22">
        <f>SUMIF(tabParametros[Código do Posto],tabCustoUnit[[#This Row],[Código do Posto]],tabParametros[Incidência do Submódulo 2.1 sobre Ausências Legais])*tabCustoUnit[[#This Row],[MODULO 1 - REMUNERAÇÃO ]]</f>
        <v>22.061974231500002</v>
      </c>
      <c r="BA53" s="22">
        <f>SUM(tabCustoUnit[[#This Row],[Ausência por Doença]:[Incidência do Submódulo 2.1 sobre Ausências Legais]])</f>
        <v>80.426985425944423</v>
      </c>
      <c r="BB53" s="22">
        <f>SUMIF(tabParametros[Código do Posto],tabCustoUnit[[#This Row],[Código do Posto]],tabParametros[Intervalo para Repouso ou Alimentação])</f>
        <v>0</v>
      </c>
      <c r="BC53" s="22">
        <f>tabCustoUnit[[#This Row],[Intervalo para Repouso ou Alimentação]]</f>
        <v>0</v>
      </c>
      <c r="BD5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3" s="22">
        <f>tabCustoUnit[[#This Row],[Suspensão Temporária do Contrato de Trabalho]]</f>
        <v>0</v>
      </c>
      <c r="BF53" s="22">
        <f>tabCustoUnit[[#This Row],[Submódulo 4.1]]+tabCustoUnit[[#This Row],[Submódulo 4.2]]+tabCustoUnit[[#This Row],[Submódulo 4.3]]</f>
        <v>80.426985425944423</v>
      </c>
      <c r="BG53" s="22">
        <f>VLOOKUP(tabCustoUnit[[#This Row],[Código do Posto]],tabParametros[],MATCH(tabCustoUnit[[#Headers],[Uniformes e EPIs]],tabParametros[#Headers],0),0)</f>
        <v>90.784679782039703</v>
      </c>
      <c r="BH53" s="22">
        <f>VLOOKUP(tabCustoUnit[[#This Row],[Código do Posto]],tabParametros[],MATCH(tabCustoUnit[[#Headers],[Materiais de Consumo]],tabParametros[#Headers],0),0)</f>
        <v>0</v>
      </c>
      <c r="BI53" s="22">
        <f>VLOOKUP(tabCustoUnit[[#This Row],[Código do Posto]],tabParametros[],MATCH(tabCustoUnit[[#Headers],[Máquinas e Equipamentos (depreciação)]],tabParametros[#Headers],0),0)</f>
        <v>0</v>
      </c>
      <c r="BJ53" s="22">
        <f>VLOOKUP(tabCustoUnit[[#This Row],[Código do Posto]],tabParametros[],MATCH(tabCustoUnit[[#Headers],[Produtos de Limpeza e Materiais de Higiene Pessoal]],tabParametros[#Headers],0),0)</f>
        <v>0</v>
      </c>
      <c r="BK53" s="22">
        <f>VLOOKUP(tabCustoUnit[[#This Row],[Código do Posto]],tabParametros[],MATCH(tabCustoUnit[[#Headers],[Outros (especificar)]],tabParametros[#Headers],0),0)</f>
        <v>0</v>
      </c>
      <c r="BL53" s="22">
        <f>SUM(tabCustoUnit[[#This Row],[Uniformes e EPIs]:[Outros (especificar)]])</f>
        <v>90.784679782039703</v>
      </c>
      <c r="BM5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3" s="22" t="e">
        <f ca="1">VLOOKUP(tabCustoUnit[[#This Row],[Código do Posto]],tabParametros[],MATCH(tabCustoUnit[[#Headers],[Custos Indiretos]],tabParametros[#Headers],0),0)</f>
        <v>#NAME?</v>
      </c>
      <c r="BO53" s="22" t="e">
        <f ca="1">VLOOKUP(tabCustoUnit[[#This Row],[Código do Posto]],tabParametros[],MATCH(tabCustoUnit[[#Headers],[Lucro]],tabParametros[#Headers],0),0)</f>
        <v>#NAME?</v>
      </c>
      <c r="BP53" s="26">
        <f>((100/((1-tabCustoUnit[[#This Row],[Resumo de Alíquotas (PIS+CONFINS+ISS)]]))-100)*VLOOKUP(tabCustoUnit[[#This Row],[Código do Posto]],tabParametros[],MATCH(tabCustoUnit[[#Headers],[COFINS]],tabParametros[#Headers],0),0))/(tabCustoUnit[[#This Row],[Resumo de Alíquotas (PIS+CONFINS+ISS)]]*100)</f>
        <v>8.8629737609329504E-2</v>
      </c>
      <c r="BQ53" s="26">
        <f>((100/((100-(tabCustoUnit[[#This Row],[Resumo de Alíquotas (PIS+CONFINS+ISS)]]*100))%)-100)*VLOOKUP(tabCustoUnit[[#This Row],[Código do Posto]],tabParametros[],MATCH(tabCustoUnit[[#Headers],[PIS]],tabParametros[#Headers],0),0))/(tabCustoUnit[[#This Row],[Resumo de Alíquotas (PIS+CONFINS+ISS)]]*100)</f>
        <v>1.9241982507288629E-2</v>
      </c>
      <c r="BR53" s="28">
        <f>VLOOKUP(tabCustoUnit[[#This Row],[Código do Posto]],tabParametros[],MATCH(tabCustoUnit[[#Headers],[ISS]],tabParametros[#Headers],0),0)</f>
        <v>0.05</v>
      </c>
      <c r="BS53" s="26">
        <f>(((100/((100-(tabCustoUnit[[#This Row],[Resumo de Alíquotas (PIS+CONFINS+ISS)]]*100))%)-100)*tabCustoUnit[[#This Row],[ISS]])/tabCustoUnit[[#This Row],[Resumo de Alíquotas (PIS+CONFINS+ISS)]])/100</f>
        <v>5.8309037900874633E-2</v>
      </c>
      <c r="BT5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3" s="138">
        <f>tabCustoUnit[[#This Row],[COFINS]]+tabCustoUnit[[#This Row],[PIS]]+tabCustoUnit[[#This Row],[ISS (Conversão Alíquota s/ fatura)]]</f>
        <v>0.16618075801749277</v>
      </c>
      <c r="BV53" s="22" t="e">
        <f ca="1">(tabCustoUnit[[#This Row],[TOTAL MÓDULOS 1+2+3+4+5]]+tabCustoUnit[[#This Row],[Custos Indiretos]]+tabCustoUnit[[#This Row],[Lucro]])*tabCustoUnit[[#This Row],[PIS + COFINS + ISS (Total Conversão  Alíquota s/ Fatura)]]</f>
        <v>#NAME?</v>
      </c>
      <c r="BW53" s="22" t="e">
        <f ca="1">tabCustoUnit[[#This Row],[Custos Indiretos]]+tabCustoUnit[[#This Row],[Lucro]]+tabCustoUnit[[#This Row],[Valor dos Tributos (ISS, PIS, CONFINS)]]</f>
        <v>#NAME?</v>
      </c>
      <c r="BX53" s="22" t="e">
        <f ca="1">tabCustoUnit[[#This Row],[TOTAL MÓDULOS 1+2+3+4+5]]+tabCustoUnit[[#This Row],[MÓDULO 6 – CUSTOS INDIRETOS, TRIBUTOS E LUCRO]]</f>
        <v>#NAME?</v>
      </c>
      <c r="BY53" s="22" t="e">
        <f ca="1">tabCustoUnit[[#This Row],[CUSTO TOTAL MENSAL]]*12</f>
        <v>#NAME?</v>
      </c>
      <c r="BZ53" s="24">
        <f>VLOOKUP(tabCustoUnit[[#This Row],[Código do Posto]],tabParametros[],MATCH(tabCustoUnit[[#Headers],[ANO DA CCT]],tabParametros[#Headers],0),0)</f>
        <v>45658</v>
      </c>
      <c r="CA53" s="25" t="str">
        <f>VLOOKUP(tabCustoUnit[[#This Row],[Código do Posto]],tabParametros[],MATCH(tabCustoUnit[[#Headers],[Nº DE PEDIDO DA CCT]],tabParametros[#Headers],0),0)</f>
        <v>-</v>
      </c>
      <c r="CB53" s="25" t="str">
        <f>VLOOKUP(tabCustoUnit[[#This Row],[Código do Posto]],tabParametros[],MATCH(tabCustoUnit[[#Headers],[TERMO ADITIVO ALTERAÇÃO DA CCT]],tabParametros[#Headers],0),0)</f>
        <v>-</v>
      </c>
    </row>
    <row r="54" spans="1:80">
      <c r="A54" s="20" t="s">
        <v>1431</v>
      </c>
      <c r="B54" t="s">
        <v>1103</v>
      </c>
      <c r="C54" t="s">
        <v>249</v>
      </c>
      <c r="D54" t="s">
        <v>1035</v>
      </c>
      <c r="E54" s="20" t="s">
        <v>1090</v>
      </c>
      <c r="F54" s="20" t="s">
        <v>120</v>
      </c>
      <c r="G54" s="418">
        <v>1649.1152999999999</v>
      </c>
      <c r="H54" s="418">
        <v>0</v>
      </c>
      <c r="I54" s="418">
        <v>303.60000000000002</v>
      </c>
      <c r="J54" s="418">
        <v>0</v>
      </c>
      <c r="K54" s="418">
        <v>0</v>
      </c>
      <c r="L54" s="418">
        <v>0</v>
      </c>
      <c r="M54" s="418">
        <v>0</v>
      </c>
      <c r="N54" s="418">
        <v>0</v>
      </c>
      <c r="O54" s="21">
        <f>SUM(tabCustoUnit[[#This Row],[Salário Base]:[Adicional de Acúmulo de função]])</f>
        <v>1952.7152999999998</v>
      </c>
      <c r="P54" s="21">
        <f>tabCustoUnit[[#This Row],[MODULO 1 - REMUNERAÇÃO ]]*SUMIFS(tabParametros[INSS],tabParametros[Código do Posto],tabCustoUnit[[#This Row],[Código do Posto]])</f>
        <v>390.54305999999997</v>
      </c>
      <c r="Q54" s="21">
        <f>tabCustoUnit[[#This Row],[MODULO 1 - REMUNERAÇÃO ]]*SUMIFS(tabParametros[SESI OU SESC],tabParametros[Código do Posto],tabCustoUnit[[#This Row],[Código do Posto]])</f>
        <v>29.290729499999998</v>
      </c>
      <c r="R54" s="21">
        <f>tabCustoUnit[[#This Row],[MODULO 1 - REMUNERAÇÃO ]]*SUMIFS(tabParametros[SENAI OU SENAC],tabParametros[Código do Posto],tabCustoUnit[[#This Row],[Código do Posto]])</f>
        <v>19.527152999999998</v>
      </c>
      <c r="S54" s="21">
        <f>tabCustoUnit[[#This Row],[MODULO 1 - REMUNERAÇÃO ]]*SUMIFS(tabParametros[INCRA],tabParametros[Código do Posto],tabCustoUnit[[#This Row],[Código do Posto]])</f>
        <v>3.9054305999999999</v>
      </c>
      <c r="T54" s="21">
        <f>tabCustoUnit[[#This Row],[MODULO 1 - REMUNERAÇÃO ]]*SUMIFS(tabParametros[Salário Educação],tabParametros[Código do Posto],tabCustoUnit[[#This Row],[Código do Posto]])</f>
        <v>48.817882499999996</v>
      </c>
      <c r="U54" s="21">
        <f>tabCustoUnit[[#This Row],[MODULO 1 - REMUNERAÇÃO ]]*SUMIFS(tabParametros[FGTS],tabParametros[Código do Posto],tabCustoUnit[[#This Row],[Código do Posto]])</f>
        <v>156.21722399999999</v>
      </c>
      <c r="V54" s="21">
        <f>tabCustoUnit[[#This Row],[MODULO 1 - REMUNERAÇÃO ]]*SUMIFS(tabParametros[RAT Ajustado],tabParametros[Código do Posto],tabCustoUnit[[#This Row],[Código do Posto]])</f>
        <v>78.108611999999994</v>
      </c>
      <c r="W54" s="21">
        <f>tabCustoUnit[[#This Row],[MODULO 1 - REMUNERAÇÃO ]]*SUMIFS(tabParametros[SEBRAE],tabParametros[Código do Posto],tabCustoUnit[[#This Row],[Código do Posto]])</f>
        <v>11.716291799999999</v>
      </c>
      <c r="X54" s="21">
        <f>SUM(tabCustoUnit[[#This Row],[INSS]:[SEBRAE]])</f>
        <v>738.12638340000001</v>
      </c>
      <c r="Y54" s="21">
        <f>tabCustoUnit[[#This Row],[MODULO 1 - REMUNERAÇÃO ]]*SUMIFS(tabParametros[13º salário (titular)],tabParametros[Código do Posto],tabCustoUnit[[#This Row],[Código do Posto]])</f>
        <v>162.72627499999999</v>
      </c>
      <c r="Z54" s="21">
        <f>tabCustoUnit[[#This Row],[MODULO 1 - REMUNERAÇÃO ]]*SUMIFS(tabParametros[Férias e Adicional de Férias (titular)],tabParametros[Código do Posto],tabCustoUnit[[#This Row],[Código do Posto]])</f>
        <v>216.96836666666664</v>
      </c>
      <c r="AA54" s="21">
        <f>IFERROR((tabCustoUnit[[#This Row],[Submódulo 2.1]]/tabCustoUnit[[#This Row],[MODULO 1 - REMUNERAÇÃO ]])*SUM(tabCustoUnit[[#This Row],[13º salário (titular)]:[Férias e Adicional de Férias (titular)]]),0)</f>
        <v>143.52457454999998</v>
      </c>
      <c r="AB54" s="21">
        <f>SUM(tabCustoUnit[[#This Row],[13º salário (titular)]:[Incidência do Submódulo 2.1 sobre 13º Salário, Férias e Adicional de Férias]])</f>
        <v>523.21921621666661</v>
      </c>
      <c r="AC54" s="22" t="e">
        <f ca="1">_xlfn.LET(_xlpm.VT,SUMIF(tabParametros[Código do Posto],tabCustoUnit[[#This Row],[Código do Posto]],tabParametros[Vale - Transporte])*2*20,
IF((_xlpm.VT-tabCustoUnit[[#This Row],[Salário Base]]*0.06)&gt;=0,(_xlpm.VT-tabCustoUnit[[#This Row],[Salário Base]]*0.06),0)
)</f>
        <v>#NAME?</v>
      </c>
      <c r="AD54" s="22">
        <f>IF(SUMIF(tabParametros[Código do Posto],tabCustoUnit[[#This Row],[Código do Posto]],tabParametros[Vale - Alimentação])&lt;=0,0,
SUMIF(tabParametros[Código do Posto],tabCustoUnit[[#This Row],[Código do Posto]],tabParametros[Vale - Alimentação])*20-1)</f>
        <v>582</v>
      </c>
      <c r="AE54" s="22">
        <f>SUMIF(tabParametros[Código do Posto],tabCustoUnit[[#This Row],[Código do Posto]],tabParametros[Cesta Básica])</f>
        <v>0</v>
      </c>
      <c r="AF54" s="22">
        <f>SUMIF(tabParametros[Código do Posto],tabCustoUnit[[#This Row],[Código do Posto]],tabParametros[PAF])</f>
        <v>95.9</v>
      </c>
      <c r="AG54" s="22">
        <f>SUMIF(tabParametros[Código do Posto],tabCustoUnit[[#This Row],[Código do Posto]],tabParametros[PQM])</f>
        <v>0</v>
      </c>
      <c r="AH54" s="22">
        <f>SUMIF(tabParametros[Código do Posto],tabCustoUnit[[#This Row],[Código do Posto]],tabParametros[Abono Único e Especial])</f>
        <v>0</v>
      </c>
      <c r="AI54" s="22">
        <f>SUMIF(tabParametros[Código do Posto],tabCustoUnit[[#This Row],[Código do Posto]],tabParametros[Seguro de Vida])</f>
        <v>3.36</v>
      </c>
      <c r="AJ54" s="22">
        <f>SUMIF(tabParametros[Código do Posto],tabCustoUnit[[#This Row],[Código do Posto]],tabParametros[Despesas de Viagem])</f>
        <v>202.08</v>
      </c>
      <c r="AK54" s="22" t="e">
        <f ca="1">SUM(tabCustoUnit[[#This Row],[Vale - Transporte (Descontada parcela do empregado)]:[Despesas de Viagem]])</f>
        <v>#NAME?</v>
      </c>
      <c r="AL54" s="22" t="e">
        <f ca="1">tabCustoUnit[[#This Row],[Submódulo 2.1]]+tabCustoUnit[[#This Row],[Submódulo 2.2]]+tabCustoUnit[[#This Row],[Submódulo 2.3]]</f>
        <v>#NAME?</v>
      </c>
      <c r="AM54" s="22">
        <f>SUMIF(tabParametros[Código do Posto],tabCustoUnit[[#This Row],[Código do Posto]],tabParametros[Aviso Prévio Indenizado (API) e Reflexo do Aviso Prévio Indenizado])*tabCustoUnit[[#This Row],[MODULO 1 - REMUNERAÇÃO ]]</f>
        <v>13.691984652719906</v>
      </c>
      <c r="AN54" s="22">
        <f>SUMIF(tabParametros[Código do Posto],tabCustoUnit[[#This Row],[Código do Posto]],tabParametros[Incidência do FGTS sobre API e Reflexo do API])*tabCustoUnit[[#This Row],[MODULO 1 - REMUNERAÇÃO ]]</f>
        <v>1.0953587722175926</v>
      </c>
      <c r="AO54" s="22">
        <f>SUMIF(tabParametros[Código do Posto],tabCustoUnit[[#This Row],[Código do Posto]],tabParametros[Multa Rescisória do FGTS sobre o Aviso Prévio Indenizado])*tabCustoUnit[[#This Row],[MODULO 1 - REMUNERAÇÃO ]]</f>
        <v>0.43814350888703707</v>
      </c>
      <c r="AP54" s="22">
        <f>SUMIF(tabParametros[Código do Posto],tabCustoUnit[[#This Row],[Código do Posto]],tabParametros[Aviso Prévio Trabalhado - APT])*tabCustoUnit[[#This Row],[MODULO 1 - REMUNERAÇÃO ]]</f>
        <v>6.8345035500000009</v>
      </c>
      <c r="AQ54" s="22">
        <f>SUMIF(tabParametros[Código do Posto],tabCustoUnit[[#This Row],[Código do Posto]],tabParametros[Incidência dos encargos do submódulo 2.1 sobre Aviso Prévio Trabalhado])*tabCustoUnit[[#This Row],[MODULO 1 - REMUNERAÇÃO ]]</f>
        <v>2.5834423419000005</v>
      </c>
      <c r="AR54" s="22">
        <f>SUMIF(tabParametros[Código do Posto],tabCustoUnit[[#This Row],[Código do Posto]],tabParametros[Multa Rescisória do FGTS])*tabCustoUnit[[#This Row],[MODULO 1 - REMUNERAÇÃO ]]</f>
        <v>59.709694506666651</v>
      </c>
      <c r="AS54" s="22">
        <f>SUMIF(tabParametros[Código do Posto],tabCustoUnit[[#This Row],[Código do Posto]],tabParametros[Indenização Adicional (Art. 9º da Lei nº 7.238/84)])*tabCustoUnit[[#This Row],[MODULO 1 - REMUNERAÇÃO ]]</f>
        <v>1.6272627499999999</v>
      </c>
      <c r="AT54" s="22">
        <f>SUM(tabCustoUnit[[#This Row],[Aviso Prévio Indenizado (API) e Reflexo do Aviso Prévio Indenizado]:[Indenização Adicional (Art. 9º da Lei nº 7.238/84)]])</f>
        <v>85.980390082391182</v>
      </c>
      <c r="AU54" s="22">
        <f>SUMIF(tabParametros[Código do Posto],tabCustoUnit[[#This Row],[Código do Posto]],tabParametros[Ausência por Doença])*tabCustoUnit[[#This Row],[MODULO 1 - REMUNERAÇÃO ]]</f>
        <v>16.489595866666665</v>
      </c>
      <c r="AV54" s="22">
        <f>SUMIF(tabParametros[Código do Posto],tabCustoUnit[[#This Row],[Código do Posto]],tabParametros[Ausências Legais])*tabCustoUnit[[#This Row],[MODULO 1 - REMUNERAÇÃO ]]</f>
        <v>3.959672691666666</v>
      </c>
      <c r="AW54" s="22">
        <f>SUMIF(tabParametros[Código do Posto],tabCustoUnit[[#This Row],[Código do Posto]],tabParametros[Licença Paternidade])*tabCustoUnit[[#This Row],[MODULO 1 - REMUNERAÇÃO ]]</f>
        <v>0.33358886374999996</v>
      </c>
      <c r="AX54" s="22">
        <f>SUMIF(tabParametros[Código do Posto],tabCustoUnit[[#This Row],[Código do Posto]],tabParametros[Ausência por Acidente de Trabalho])*tabCustoUnit[[#This Row],[MODULO 1 - REMUNERAÇÃO ]]</f>
        <v>0.40681568749999997</v>
      </c>
      <c r="AY54" s="22">
        <f>SUMIF(tabParametros[Código do Posto],tabCustoUnit[[#This Row],[Código do Posto]],tabParametros[Férias, Adicional de Férias e 13º  com empregada em gozo de Licença Maternidade])*tabCustoUnit[[#This Row],[MODULO 1 - REMUNERAÇÃO ]]</f>
        <v>2.531297611111111</v>
      </c>
      <c r="AZ54" s="22">
        <f>SUMIF(tabParametros[Código do Posto],tabCustoUnit[[#This Row],[Código do Posto]],tabParametros[Incidência do Submódulo 2.1 sobre Ausências Legais])*tabCustoUnit[[#This Row],[MODULO 1 - REMUNERAÇÃO ]]</f>
        <v>8.9665269324225001</v>
      </c>
      <c r="BA54" s="22">
        <f>SUM(tabCustoUnit[[#This Row],[Ausência por Doença]:[Incidência do Submódulo 2.1 sobre Ausências Legais]])</f>
        <v>32.687497653116935</v>
      </c>
      <c r="BB54" s="22">
        <f>SUMIF(tabParametros[Código do Posto],tabCustoUnit[[#This Row],[Código do Posto]],tabParametros[Intervalo para Repouso ou Alimentação])</f>
        <v>0</v>
      </c>
      <c r="BC54" s="22">
        <f>tabCustoUnit[[#This Row],[Intervalo para Repouso ou Alimentação]]</f>
        <v>0</v>
      </c>
      <c r="BD5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4" s="22">
        <f>tabCustoUnit[[#This Row],[Suspensão Temporária do Contrato de Trabalho]]</f>
        <v>0</v>
      </c>
      <c r="BF54" s="22">
        <f>tabCustoUnit[[#This Row],[Submódulo 4.1]]+tabCustoUnit[[#This Row],[Submódulo 4.2]]+tabCustoUnit[[#This Row],[Submódulo 4.3]]</f>
        <v>32.687497653116935</v>
      </c>
      <c r="BG54" s="22">
        <f>VLOOKUP(tabCustoUnit[[#This Row],[Código do Posto]],tabParametros[],MATCH(tabCustoUnit[[#Headers],[Uniformes e EPIs]],tabParametros[#Headers],0),0)</f>
        <v>130.12869344317153</v>
      </c>
      <c r="BH54" s="22">
        <f>VLOOKUP(tabCustoUnit[[#This Row],[Código do Posto]],tabParametros[],MATCH(tabCustoUnit[[#Headers],[Materiais de Consumo]],tabParametros[#Headers],0),0)</f>
        <v>75.19916666666667</v>
      </c>
      <c r="BI54" s="22">
        <f>VLOOKUP(tabCustoUnit[[#This Row],[Código do Posto]],tabParametros[],MATCH(tabCustoUnit[[#Headers],[Máquinas e Equipamentos (depreciação)]],tabParametros[#Headers],0),0)</f>
        <v>94.635000000000005</v>
      </c>
      <c r="BJ54" s="22">
        <f>VLOOKUP(tabCustoUnit[[#This Row],[Código do Posto]],tabParametros[],MATCH(tabCustoUnit[[#Headers],[Produtos de Limpeza e Materiais de Higiene Pessoal]],tabParametros[#Headers],0),0)</f>
        <v>1012.8216666666667</v>
      </c>
      <c r="BK54" s="22">
        <f>VLOOKUP(tabCustoUnit[[#This Row],[Código do Posto]],tabParametros[],MATCH(tabCustoUnit[[#Headers],[Outros (especificar)]],tabParametros[#Headers],0),0)</f>
        <v>0</v>
      </c>
      <c r="BL54" s="22">
        <f>SUM(tabCustoUnit[[#This Row],[Uniformes e EPIs]:[Outros (especificar)]])</f>
        <v>1312.7845267765049</v>
      </c>
      <c r="BM5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4" s="22" t="e">
        <f ca="1">VLOOKUP(tabCustoUnit[[#This Row],[Código do Posto]],tabParametros[],MATCH(tabCustoUnit[[#Headers],[Custos Indiretos]],tabParametros[#Headers],0),0)</f>
        <v>#NAME?</v>
      </c>
      <c r="BO54" s="22" t="e">
        <f ca="1">VLOOKUP(tabCustoUnit[[#This Row],[Código do Posto]],tabParametros[],MATCH(tabCustoUnit[[#Headers],[Lucro]],tabParametros[#Headers],0),0)</f>
        <v>#NAME?</v>
      </c>
      <c r="BP54" s="26">
        <f>((100/((1-tabCustoUnit[[#This Row],[Resumo de Alíquotas (PIS+CONFINS+ISS)]]))-100)*VLOOKUP(tabCustoUnit[[#This Row],[Código do Posto]],tabParametros[],MATCH(tabCustoUnit[[#Headers],[COFINS]],tabParametros[#Headers],0),0))/(tabCustoUnit[[#This Row],[Resumo de Alíquotas (PIS+CONFINS+ISS)]]*100)</f>
        <v>8.8629737609329504E-2</v>
      </c>
      <c r="BQ54" s="26">
        <f>((100/((100-(tabCustoUnit[[#This Row],[Resumo de Alíquotas (PIS+CONFINS+ISS)]]*100))%)-100)*VLOOKUP(tabCustoUnit[[#This Row],[Código do Posto]],tabParametros[],MATCH(tabCustoUnit[[#Headers],[PIS]],tabParametros[#Headers],0),0))/(tabCustoUnit[[#This Row],[Resumo de Alíquotas (PIS+CONFINS+ISS)]]*100)</f>
        <v>1.9241982507288629E-2</v>
      </c>
      <c r="BR54" s="28">
        <f>VLOOKUP(tabCustoUnit[[#This Row],[Código do Posto]],tabParametros[],MATCH(tabCustoUnit[[#Headers],[ISS]],tabParametros[#Headers],0),0)</f>
        <v>0.05</v>
      </c>
      <c r="BS54" s="26">
        <f>(((100/((100-(tabCustoUnit[[#This Row],[Resumo de Alíquotas (PIS+CONFINS+ISS)]]*100))%)-100)*tabCustoUnit[[#This Row],[ISS]])/tabCustoUnit[[#This Row],[Resumo de Alíquotas (PIS+CONFINS+ISS)]])/100</f>
        <v>5.8309037900874633E-2</v>
      </c>
      <c r="BT5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4" s="138">
        <f>tabCustoUnit[[#This Row],[COFINS]]+tabCustoUnit[[#This Row],[PIS]]+tabCustoUnit[[#This Row],[ISS (Conversão Alíquota s/ fatura)]]</f>
        <v>0.16618075801749277</v>
      </c>
      <c r="BV54" s="22" t="e">
        <f ca="1">(tabCustoUnit[[#This Row],[TOTAL MÓDULOS 1+2+3+4+5]]+tabCustoUnit[[#This Row],[Custos Indiretos]]+tabCustoUnit[[#This Row],[Lucro]])*tabCustoUnit[[#This Row],[PIS + COFINS + ISS (Total Conversão  Alíquota s/ Fatura)]]</f>
        <v>#NAME?</v>
      </c>
      <c r="BW54" s="22" t="e">
        <f ca="1">tabCustoUnit[[#This Row],[Custos Indiretos]]+tabCustoUnit[[#This Row],[Lucro]]+tabCustoUnit[[#This Row],[Valor dos Tributos (ISS, PIS, CONFINS)]]</f>
        <v>#NAME?</v>
      </c>
      <c r="BX54" s="22" t="e">
        <f ca="1">tabCustoUnit[[#This Row],[TOTAL MÓDULOS 1+2+3+4+5]]+tabCustoUnit[[#This Row],[MÓDULO 6 – CUSTOS INDIRETOS, TRIBUTOS E LUCRO]]</f>
        <v>#NAME?</v>
      </c>
      <c r="BY54" s="22" t="e">
        <f ca="1">tabCustoUnit[[#This Row],[CUSTO TOTAL MENSAL]]*12</f>
        <v>#NAME?</v>
      </c>
      <c r="BZ54" s="24">
        <f>VLOOKUP(tabCustoUnit[[#This Row],[Código do Posto]],tabParametros[],MATCH(tabCustoUnit[[#Headers],[ANO DA CCT]],tabParametros[#Headers],0),0)</f>
        <v>45658</v>
      </c>
      <c r="CA54" s="25" t="str">
        <f>VLOOKUP(tabCustoUnit[[#This Row],[Código do Posto]],tabParametros[],MATCH(tabCustoUnit[[#Headers],[Nº DE PEDIDO DA CCT]],tabParametros[#Headers],0),0)</f>
        <v>-</v>
      </c>
      <c r="CB54" s="25" t="str">
        <f>VLOOKUP(tabCustoUnit[[#This Row],[Código do Posto]],tabParametros[],MATCH(tabCustoUnit[[#Headers],[TERMO ADITIVO ALTERAÇÃO DA CCT]],tabParametros[#Headers],0),0)</f>
        <v>-</v>
      </c>
    </row>
    <row r="55" spans="1:80">
      <c r="A55" s="20" t="s">
        <v>1432</v>
      </c>
      <c r="B55" t="s">
        <v>1103</v>
      </c>
      <c r="C55" t="s">
        <v>254</v>
      </c>
      <c r="D55" t="s">
        <v>1035</v>
      </c>
      <c r="E55" s="20" t="s">
        <v>1090</v>
      </c>
      <c r="F55" s="20" t="s">
        <v>120</v>
      </c>
      <c r="G55" s="418">
        <v>2463.2934</v>
      </c>
      <c r="H55" s="418">
        <v>0</v>
      </c>
      <c r="I55" s="418">
        <v>0</v>
      </c>
      <c r="J55" s="418">
        <v>0</v>
      </c>
      <c r="K55" s="418">
        <v>0</v>
      </c>
      <c r="L55" s="418">
        <v>0</v>
      </c>
      <c r="M55" s="418">
        <v>0</v>
      </c>
      <c r="N55" s="418">
        <v>0</v>
      </c>
      <c r="O55" s="21">
        <f>SUM(tabCustoUnit[[#This Row],[Salário Base]:[Adicional de Acúmulo de função]])</f>
        <v>2463.2934</v>
      </c>
      <c r="P55" s="21">
        <f>tabCustoUnit[[#This Row],[MODULO 1 - REMUNERAÇÃO ]]*SUMIFS(tabParametros[INSS],tabParametros[Código do Posto],tabCustoUnit[[#This Row],[Código do Posto]])</f>
        <v>492.65868</v>
      </c>
      <c r="Q55" s="21">
        <f>tabCustoUnit[[#This Row],[MODULO 1 - REMUNERAÇÃO ]]*SUMIFS(tabParametros[SESI OU SESC],tabParametros[Código do Posto],tabCustoUnit[[#This Row],[Código do Posto]])</f>
        <v>36.949401000000002</v>
      </c>
      <c r="R55" s="21">
        <f>tabCustoUnit[[#This Row],[MODULO 1 - REMUNERAÇÃO ]]*SUMIFS(tabParametros[SENAI OU SENAC],tabParametros[Código do Posto],tabCustoUnit[[#This Row],[Código do Posto]])</f>
        <v>24.632934000000002</v>
      </c>
      <c r="S55" s="21">
        <f>tabCustoUnit[[#This Row],[MODULO 1 - REMUNERAÇÃO ]]*SUMIFS(tabParametros[INCRA],tabParametros[Código do Posto],tabCustoUnit[[#This Row],[Código do Posto]])</f>
        <v>4.9265867999999999</v>
      </c>
      <c r="T55" s="21">
        <f>tabCustoUnit[[#This Row],[MODULO 1 - REMUNERAÇÃO ]]*SUMIFS(tabParametros[Salário Educação],tabParametros[Código do Posto],tabCustoUnit[[#This Row],[Código do Posto]])</f>
        <v>61.582335</v>
      </c>
      <c r="U55" s="21">
        <f>tabCustoUnit[[#This Row],[MODULO 1 - REMUNERAÇÃO ]]*SUMIFS(tabParametros[FGTS],tabParametros[Código do Posto],tabCustoUnit[[#This Row],[Código do Posto]])</f>
        <v>197.06347200000002</v>
      </c>
      <c r="V55" s="21">
        <f>tabCustoUnit[[#This Row],[MODULO 1 - REMUNERAÇÃO ]]*SUMIFS(tabParametros[RAT Ajustado],tabParametros[Código do Posto],tabCustoUnit[[#This Row],[Código do Posto]])</f>
        <v>98.531736000000009</v>
      </c>
      <c r="W55" s="21">
        <f>tabCustoUnit[[#This Row],[MODULO 1 - REMUNERAÇÃO ]]*SUMIFS(tabParametros[SEBRAE],tabParametros[Código do Posto],tabCustoUnit[[#This Row],[Código do Posto]])</f>
        <v>14.779760400000001</v>
      </c>
      <c r="X55" s="21">
        <f>SUM(tabCustoUnit[[#This Row],[INSS]:[SEBRAE]])</f>
        <v>931.12490519999994</v>
      </c>
      <c r="Y55" s="21">
        <f>tabCustoUnit[[#This Row],[MODULO 1 - REMUNERAÇÃO ]]*SUMIFS(tabParametros[13º salário (titular)],tabParametros[Código do Posto],tabCustoUnit[[#This Row],[Código do Posto]])</f>
        <v>205.27445</v>
      </c>
      <c r="Z55" s="21">
        <f>tabCustoUnit[[#This Row],[MODULO 1 - REMUNERAÇÃO ]]*SUMIFS(tabParametros[Férias e Adicional de Férias (titular)],tabParametros[Código do Posto],tabCustoUnit[[#This Row],[Código do Posto]])</f>
        <v>273.69926666666663</v>
      </c>
      <c r="AA55" s="21">
        <f>IFERROR((tabCustoUnit[[#This Row],[Submódulo 2.1]]/tabCustoUnit[[#This Row],[MODULO 1 - REMUNERAÇÃO ]])*SUM(tabCustoUnit[[#This Row],[13º salário (titular)]:[Férias e Adicional de Férias (titular)]]),0)</f>
        <v>181.05206489999995</v>
      </c>
      <c r="AB55" s="21">
        <f>SUM(tabCustoUnit[[#This Row],[13º salário (titular)]:[Incidência do Submódulo 2.1 sobre 13º Salário, Férias e Adicional de Férias]])</f>
        <v>660.02578156666664</v>
      </c>
      <c r="AC55" s="22" t="e">
        <f ca="1">_xlfn.LET(_xlpm.VT,SUMIF(tabParametros[Código do Posto],tabCustoUnit[[#This Row],[Código do Posto]],tabParametros[Vale - Transporte])*2*20,
IF((_xlpm.VT-tabCustoUnit[[#This Row],[Salário Base]]*0.06)&gt;=0,(_xlpm.VT-tabCustoUnit[[#This Row],[Salário Base]]*0.06),0)
)</f>
        <v>#NAME?</v>
      </c>
      <c r="AD55" s="22">
        <f>IF(SUMIF(tabParametros[Código do Posto],tabCustoUnit[[#This Row],[Código do Posto]],tabParametros[Vale - Alimentação])&lt;=0,0,
SUMIF(tabParametros[Código do Posto],tabCustoUnit[[#This Row],[Código do Posto]],tabParametros[Vale - Alimentação])*20-1)</f>
        <v>582</v>
      </c>
      <c r="AE55" s="22">
        <f>SUMIF(tabParametros[Código do Posto],tabCustoUnit[[#This Row],[Código do Posto]],tabParametros[Cesta Básica])</f>
        <v>0</v>
      </c>
      <c r="AF55" s="22">
        <f>SUMIF(tabParametros[Código do Posto],tabCustoUnit[[#This Row],[Código do Posto]],tabParametros[PAF])</f>
        <v>95.9</v>
      </c>
      <c r="AG55" s="22">
        <f>SUMIF(tabParametros[Código do Posto],tabCustoUnit[[#This Row],[Código do Posto]],tabParametros[PQM])</f>
        <v>0</v>
      </c>
      <c r="AH55" s="22">
        <f>SUMIF(tabParametros[Código do Posto],tabCustoUnit[[#This Row],[Código do Posto]],tabParametros[Abono Único e Especial])</f>
        <v>0</v>
      </c>
      <c r="AI55" s="22">
        <f>SUMIF(tabParametros[Código do Posto],tabCustoUnit[[#This Row],[Código do Posto]],tabParametros[Seguro de Vida])</f>
        <v>3.36</v>
      </c>
      <c r="AJ55" s="22">
        <f>SUMIF(tabParametros[Código do Posto],tabCustoUnit[[#This Row],[Código do Posto]],tabParametros[Despesas de Viagem])</f>
        <v>202.08</v>
      </c>
      <c r="AK55" s="22" t="e">
        <f ca="1">SUM(tabCustoUnit[[#This Row],[Vale - Transporte (Descontada parcela do empregado)]:[Despesas de Viagem]])</f>
        <v>#NAME?</v>
      </c>
      <c r="AL55" s="22" t="e">
        <f ca="1">tabCustoUnit[[#This Row],[Submódulo 2.1]]+tabCustoUnit[[#This Row],[Submódulo 2.2]]+tabCustoUnit[[#This Row],[Submódulo 2.3]]</f>
        <v>#NAME?</v>
      </c>
      <c r="AM55" s="22">
        <f>SUMIF(tabParametros[Código do Posto],tabCustoUnit[[#This Row],[Código do Posto]],tabParametros[Aviso Prévio Indenizado (API) e Reflexo do Aviso Prévio Indenizado])*tabCustoUnit[[#This Row],[MODULO 1 - REMUNERAÇÃO ]]</f>
        <v>17.272039312615743</v>
      </c>
      <c r="AN55" s="22">
        <f>SUMIF(tabParametros[Código do Posto],tabCustoUnit[[#This Row],[Código do Posto]],tabParametros[Incidência do FGTS sobre API e Reflexo do API])*tabCustoUnit[[#This Row],[MODULO 1 - REMUNERAÇÃO ]]</f>
        <v>1.3817631450092593</v>
      </c>
      <c r="AO55" s="22">
        <f>SUMIF(tabParametros[Código do Posto],tabCustoUnit[[#This Row],[Código do Posto]],tabParametros[Multa Rescisória do FGTS sobre o Aviso Prévio Indenizado])*tabCustoUnit[[#This Row],[MODULO 1 - REMUNERAÇÃO ]]</f>
        <v>0.55270525800370385</v>
      </c>
      <c r="AP55" s="22">
        <f>SUMIF(tabParametros[Código do Posto],tabCustoUnit[[#This Row],[Código do Posto]],tabParametros[Aviso Prévio Trabalhado - APT])*tabCustoUnit[[#This Row],[MODULO 1 - REMUNERAÇÃO ]]</f>
        <v>8.621526900000001</v>
      </c>
      <c r="AQ55" s="22">
        <f>SUMIF(tabParametros[Código do Posto],tabCustoUnit[[#This Row],[Código do Posto]],tabParametros[Incidência dos encargos do submódulo 2.1 sobre Aviso Prévio Trabalhado])*tabCustoUnit[[#This Row],[MODULO 1 - REMUNERAÇÃO ]]</f>
        <v>3.258937168200001</v>
      </c>
      <c r="AR55" s="22">
        <f>SUMIF(tabParametros[Código do Posto],tabCustoUnit[[#This Row],[Código do Posto]],tabParametros[Multa Rescisória do FGTS])*tabCustoUnit[[#This Row],[MODULO 1 - REMUNERAÇÃO ]]</f>
        <v>75.32203818666666</v>
      </c>
      <c r="AS55" s="22">
        <f>SUMIF(tabParametros[Código do Posto],tabCustoUnit[[#This Row],[Código do Posto]],tabParametros[Indenização Adicional (Art. 9º da Lei nº 7.238/84)])*tabCustoUnit[[#This Row],[MODULO 1 - REMUNERAÇÃO ]]</f>
        <v>2.0527445000000002</v>
      </c>
      <c r="AT55" s="22">
        <f>SUM(tabCustoUnit[[#This Row],[Aviso Prévio Indenizado (API) e Reflexo do Aviso Prévio Indenizado]:[Indenização Adicional (Art. 9º da Lei nº 7.238/84)]])</f>
        <v>108.46175447049536</v>
      </c>
      <c r="AU55" s="22">
        <f>SUMIF(tabParametros[Código do Posto],tabCustoUnit[[#This Row],[Código do Posto]],tabParametros[Ausência por Doença])*tabCustoUnit[[#This Row],[MODULO 1 - REMUNERAÇÃO ]]</f>
        <v>20.801144266666665</v>
      </c>
      <c r="AV55" s="22">
        <f>SUMIF(tabParametros[Código do Posto],tabCustoUnit[[#This Row],[Código do Posto]],tabParametros[Ausências Legais])*tabCustoUnit[[#This Row],[MODULO 1 - REMUNERAÇÃO ]]</f>
        <v>4.995011616666666</v>
      </c>
      <c r="AW55" s="22">
        <f>SUMIF(tabParametros[Código do Posto],tabCustoUnit[[#This Row],[Código do Posto]],tabParametros[Licença Paternidade])*tabCustoUnit[[#This Row],[MODULO 1 - REMUNERAÇÃO ]]</f>
        <v>0.42081262250000001</v>
      </c>
      <c r="AX55" s="22">
        <f>SUMIF(tabParametros[Código do Posto],tabCustoUnit[[#This Row],[Código do Posto]],tabParametros[Ausência por Acidente de Trabalho])*tabCustoUnit[[#This Row],[MODULO 1 - REMUNERAÇÃO ]]</f>
        <v>0.51318612500000005</v>
      </c>
      <c r="AY55" s="22">
        <f>SUMIF(tabParametros[Código do Posto],tabCustoUnit[[#This Row],[Código do Posto]],tabParametros[Férias, Adicional de Férias e 13º  com empregada em gozo de Licença Maternidade])*tabCustoUnit[[#This Row],[MODULO 1 - REMUNERAÇÃO ]]</f>
        <v>3.1931581111111109</v>
      </c>
      <c r="AZ55" s="22">
        <f>SUMIF(tabParametros[Código do Posto],tabCustoUnit[[#This Row],[Código do Posto]],tabParametros[Incidência do Submódulo 2.1 sobre Ausências Legais])*tabCustoUnit[[#This Row],[MODULO 1 - REMUNERAÇÃO ]]</f>
        <v>11.311012216455001</v>
      </c>
      <c r="BA55" s="22">
        <f>SUM(tabCustoUnit[[#This Row],[Ausência por Doença]:[Incidência do Submódulo 2.1 sobre Ausências Legais]])</f>
        <v>41.234324958399441</v>
      </c>
      <c r="BB55" s="22">
        <f>SUMIF(tabParametros[Código do Posto],tabCustoUnit[[#This Row],[Código do Posto]],tabParametros[Intervalo para Repouso ou Alimentação])</f>
        <v>0</v>
      </c>
      <c r="BC55" s="22">
        <f>tabCustoUnit[[#This Row],[Intervalo para Repouso ou Alimentação]]</f>
        <v>0</v>
      </c>
      <c r="BD5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5" s="22">
        <f>tabCustoUnit[[#This Row],[Suspensão Temporária do Contrato de Trabalho]]</f>
        <v>0</v>
      </c>
      <c r="BF55" s="22">
        <f>tabCustoUnit[[#This Row],[Submódulo 4.1]]+tabCustoUnit[[#This Row],[Submódulo 4.2]]+tabCustoUnit[[#This Row],[Submódulo 4.3]]</f>
        <v>41.234324958399441</v>
      </c>
      <c r="BG55" s="22">
        <f>VLOOKUP(tabCustoUnit[[#This Row],[Código do Posto]],tabParametros[],MATCH(tabCustoUnit[[#Headers],[Uniformes e EPIs]],tabParametros[#Headers],0),0)</f>
        <v>98.712455192002366</v>
      </c>
      <c r="BH55" s="22">
        <f>VLOOKUP(tabCustoUnit[[#This Row],[Código do Posto]],tabParametros[],MATCH(tabCustoUnit[[#Headers],[Materiais de Consumo]],tabParametros[#Headers],0),0)</f>
        <v>0</v>
      </c>
      <c r="BI55" s="22">
        <f>VLOOKUP(tabCustoUnit[[#This Row],[Código do Posto]],tabParametros[],MATCH(tabCustoUnit[[#Headers],[Máquinas e Equipamentos (depreciação)]],tabParametros[#Headers],0),0)</f>
        <v>0</v>
      </c>
      <c r="BJ55" s="22">
        <f>VLOOKUP(tabCustoUnit[[#This Row],[Código do Posto]],tabParametros[],MATCH(tabCustoUnit[[#Headers],[Produtos de Limpeza e Materiais de Higiene Pessoal]],tabParametros[#Headers],0),0)</f>
        <v>0</v>
      </c>
      <c r="BK55" s="22">
        <f>VLOOKUP(tabCustoUnit[[#This Row],[Código do Posto]],tabParametros[],MATCH(tabCustoUnit[[#Headers],[Outros (especificar)]],tabParametros[#Headers],0),0)</f>
        <v>0</v>
      </c>
      <c r="BL55" s="22">
        <f>SUM(tabCustoUnit[[#This Row],[Uniformes e EPIs]:[Outros (especificar)]])</f>
        <v>98.712455192002366</v>
      </c>
      <c r="BM5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5" s="22" t="e">
        <f ca="1">VLOOKUP(tabCustoUnit[[#This Row],[Código do Posto]],tabParametros[],MATCH(tabCustoUnit[[#Headers],[Custos Indiretos]],tabParametros[#Headers],0),0)</f>
        <v>#NAME?</v>
      </c>
      <c r="BO55" s="22" t="e">
        <f ca="1">VLOOKUP(tabCustoUnit[[#This Row],[Código do Posto]],tabParametros[],MATCH(tabCustoUnit[[#Headers],[Lucro]],tabParametros[#Headers],0),0)</f>
        <v>#NAME?</v>
      </c>
      <c r="BP55" s="26">
        <f>((100/((1-tabCustoUnit[[#This Row],[Resumo de Alíquotas (PIS+CONFINS+ISS)]]))-100)*VLOOKUP(tabCustoUnit[[#This Row],[Código do Posto]],tabParametros[],MATCH(tabCustoUnit[[#Headers],[COFINS]],tabParametros[#Headers],0),0))/(tabCustoUnit[[#This Row],[Resumo de Alíquotas (PIS+CONFINS+ISS)]]*100)</f>
        <v>8.8629737609329504E-2</v>
      </c>
      <c r="BQ55" s="26">
        <f>((100/((100-(tabCustoUnit[[#This Row],[Resumo de Alíquotas (PIS+CONFINS+ISS)]]*100))%)-100)*VLOOKUP(tabCustoUnit[[#This Row],[Código do Posto]],tabParametros[],MATCH(tabCustoUnit[[#Headers],[PIS]],tabParametros[#Headers],0),0))/(tabCustoUnit[[#This Row],[Resumo de Alíquotas (PIS+CONFINS+ISS)]]*100)</f>
        <v>1.9241982507288629E-2</v>
      </c>
      <c r="BR55" s="28">
        <f>VLOOKUP(tabCustoUnit[[#This Row],[Código do Posto]],tabParametros[],MATCH(tabCustoUnit[[#Headers],[ISS]],tabParametros[#Headers],0),0)</f>
        <v>0.05</v>
      </c>
      <c r="BS55" s="26">
        <f>(((100/((100-(tabCustoUnit[[#This Row],[Resumo de Alíquotas (PIS+CONFINS+ISS)]]*100))%)-100)*tabCustoUnit[[#This Row],[ISS]])/tabCustoUnit[[#This Row],[Resumo de Alíquotas (PIS+CONFINS+ISS)]])/100</f>
        <v>5.8309037900874633E-2</v>
      </c>
      <c r="BT5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5" s="138">
        <f>tabCustoUnit[[#This Row],[COFINS]]+tabCustoUnit[[#This Row],[PIS]]+tabCustoUnit[[#This Row],[ISS (Conversão Alíquota s/ fatura)]]</f>
        <v>0.16618075801749277</v>
      </c>
      <c r="BV55" s="22" t="e">
        <f ca="1">(tabCustoUnit[[#This Row],[TOTAL MÓDULOS 1+2+3+4+5]]+tabCustoUnit[[#This Row],[Custos Indiretos]]+tabCustoUnit[[#This Row],[Lucro]])*tabCustoUnit[[#This Row],[PIS + COFINS + ISS (Total Conversão  Alíquota s/ Fatura)]]</f>
        <v>#NAME?</v>
      </c>
      <c r="BW55" s="22" t="e">
        <f ca="1">tabCustoUnit[[#This Row],[Custos Indiretos]]+tabCustoUnit[[#This Row],[Lucro]]+tabCustoUnit[[#This Row],[Valor dos Tributos (ISS, PIS, CONFINS)]]</f>
        <v>#NAME?</v>
      </c>
      <c r="BX55" s="22" t="e">
        <f ca="1">tabCustoUnit[[#This Row],[TOTAL MÓDULOS 1+2+3+4+5]]+tabCustoUnit[[#This Row],[MÓDULO 6 – CUSTOS INDIRETOS, TRIBUTOS E LUCRO]]</f>
        <v>#NAME?</v>
      </c>
      <c r="BY55" s="22" t="e">
        <f ca="1">tabCustoUnit[[#This Row],[CUSTO TOTAL MENSAL]]*12</f>
        <v>#NAME?</v>
      </c>
      <c r="BZ55" s="24">
        <f>VLOOKUP(tabCustoUnit[[#This Row],[Código do Posto]],tabParametros[],MATCH(tabCustoUnit[[#Headers],[ANO DA CCT]],tabParametros[#Headers],0),0)</f>
        <v>45658</v>
      </c>
      <c r="CA55" s="25" t="str">
        <f>VLOOKUP(tabCustoUnit[[#This Row],[Código do Posto]],tabParametros[],MATCH(tabCustoUnit[[#Headers],[Nº DE PEDIDO DA CCT]],tabParametros[#Headers],0),0)</f>
        <v>-</v>
      </c>
      <c r="CB55" s="25" t="str">
        <f>VLOOKUP(tabCustoUnit[[#This Row],[Código do Posto]],tabParametros[],MATCH(tabCustoUnit[[#Headers],[TERMO ADITIVO ALTERAÇÃO DA CCT]],tabParametros[#Headers],0),0)</f>
        <v>-</v>
      </c>
    </row>
    <row r="56" spans="1:80">
      <c r="A56" s="20" t="s">
        <v>1433</v>
      </c>
      <c r="B56" t="s">
        <v>1103</v>
      </c>
      <c r="C56" t="s">
        <v>259</v>
      </c>
      <c r="D56" t="s">
        <v>1035</v>
      </c>
      <c r="E56" s="20" t="s">
        <v>1090</v>
      </c>
      <c r="F56" s="20" t="s">
        <v>120</v>
      </c>
      <c r="G56" s="418">
        <v>3673.8031999999998</v>
      </c>
      <c r="H56" s="418">
        <v>0</v>
      </c>
      <c r="I56" s="418">
        <v>303.60000000000002</v>
      </c>
      <c r="J56" s="418">
        <v>0</v>
      </c>
      <c r="K56" s="418">
        <v>0</v>
      </c>
      <c r="L56" s="418">
        <v>0</v>
      </c>
      <c r="M56" s="418">
        <v>0</v>
      </c>
      <c r="N56" s="418">
        <v>0</v>
      </c>
      <c r="O56" s="21">
        <f>SUM(tabCustoUnit[[#This Row],[Salário Base]:[Adicional de Acúmulo de função]])</f>
        <v>3977.4031999999997</v>
      </c>
      <c r="P56" s="21">
        <f>tabCustoUnit[[#This Row],[MODULO 1 - REMUNERAÇÃO ]]*SUMIFS(tabParametros[INSS],tabParametros[Código do Posto],tabCustoUnit[[#This Row],[Código do Posto]])</f>
        <v>795.48063999999999</v>
      </c>
      <c r="Q56" s="21">
        <f>tabCustoUnit[[#This Row],[MODULO 1 - REMUNERAÇÃO ]]*SUMIFS(tabParametros[SESI OU SESC],tabParametros[Código do Posto],tabCustoUnit[[#This Row],[Código do Posto]])</f>
        <v>59.661047999999994</v>
      </c>
      <c r="R56" s="21">
        <f>tabCustoUnit[[#This Row],[MODULO 1 - REMUNERAÇÃO ]]*SUMIFS(tabParametros[SENAI OU SENAC],tabParametros[Código do Posto],tabCustoUnit[[#This Row],[Código do Posto]])</f>
        <v>39.774031999999998</v>
      </c>
      <c r="S56" s="21">
        <f>tabCustoUnit[[#This Row],[MODULO 1 - REMUNERAÇÃO ]]*SUMIFS(tabParametros[INCRA],tabParametros[Código do Posto],tabCustoUnit[[#This Row],[Código do Posto]])</f>
        <v>7.9548063999999998</v>
      </c>
      <c r="T56" s="21">
        <f>tabCustoUnit[[#This Row],[MODULO 1 - REMUNERAÇÃO ]]*SUMIFS(tabParametros[Salário Educação],tabParametros[Código do Posto],tabCustoUnit[[#This Row],[Código do Posto]])</f>
        <v>99.435079999999999</v>
      </c>
      <c r="U56" s="21">
        <f>tabCustoUnit[[#This Row],[MODULO 1 - REMUNERAÇÃO ]]*SUMIFS(tabParametros[FGTS],tabParametros[Código do Posto],tabCustoUnit[[#This Row],[Código do Posto]])</f>
        <v>318.19225599999999</v>
      </c>
      <c r="V56" s="21">
        <f>tabCustoUnit[[#This Row],[MODULO 1 - REMUNERAÇÃO ]]*SUMIFS(tabParametros[RAT Ajustado],tabParametros[Código do Posto],tabCustoUnit[[#This Row],[Código do Posto]])</f>
        <v>159.09612799999999</v>
      </c>
      <c r="W56" s="21">
        <f>tabCustoUnit[[#This Row],[MODULO 1 - REMUNERAÇÃO ]]*SUMIFS(tabParametros[SEBRAE],tabParametros[Código do Posto],tabCustoUnit[[#This Row],[Código do Posto]])</f>
        <v>23.8644192</v>
      </c>
      <c r="X56" s="21">
        <f>SUM(tabCustoUnit[[#This Row],[INSS]:[SEBRAE]])</f>
        <v>1503.4584095999999</v>
      </c>
      <c r="Y56" s="21">
        <f>tabCustoUnit[[#This Row],[MODULO 1 - REMUNERAÇÃO ]]*SUMIFS(tabParametros[13º salário (titular)],tabParametros[Código do Posto],tabCustoUnit[[#This Row],[Código do Posto]])</f>
        <v>331.45026666666661</v>
      </c>
      <c r="Z56" s="21">
        <f>tabCustoUnit[[#This Row],[MODULO 1 - REMUNERAÇÃO ]]*SUMIFS(tabParametros[Férias e Adicional de Férias (titular)],tabParametros[Código do Posto],tabCustoUnit[[#This Row],[Código do Posto]])</f>
        <v>441.93368888888881</v>
      </c>
      <c r="AA56" s="21">
        <f>IFERROR((tabCustoUnit[[#This Row],[Submódulo 2.1]]/tabCustoUnit[[#This Row],[MODULO 1 - REMUNERAÇÃO ]])*SUM(tabCustoUnit[[#This Row],[13º salário (titular)]:[Férias e Adicional de Férias (titular)]]),0)</f>
        <v>292.33913519999993</v>
      </c>
      <c r="AB56" s="21">
        <f>SUM(tabCustoUnit[[#This Row],[13º salário (titular)]:[Incidência do Submódulo 2.1 sobre 13º Salário, Férias e Adicional de Férias]])</f>
        <v>1065.7230907555554</v>
      </c>
      <c r="AC56" s="22" t="e">
        <f ca="1">_xlfn.LET(_xlpm.VT,SUMIF(tabParametros[Código do Posto],tabCustoUnit[[#This Row],[Código do Posto]],tabParametros[Vale - Transporte])*2*20,
IF((_xlpm.VT-tabCustoUnit[[#This Row],[Salário Base]]*0.06)&gt;=0,(_xlpm.VT-tabCustoUnit[[#This Row],[Salário Base]]*0.06),0)
)</f>
        <v>#NAME?</v>
      </c>
      <c r="AD56" s="22">
        <f>IF(SUMIF(tabParametros[Código do Posto],tabCustoUnit[[#This Row],[Código do Posto]],tabParametros[Vale - Alimentação])&lt;=0,0,
SUMIF(tabParametros[Código do Posto],tabCustoUnit[[#This Row],[Código do Posto]],tabParametros[Vale - Alimentação])*20-1)</f>
        <v>582</v>
      </c>
      <c r="AE56" s="22">
        <f>SUMIF(tabParametros[Código do Posto],tabCustoUnit[[#This Row],[Código do Posto]],tabParametros[Cesta Básica])</f>
        <v>0</v>
      </c>
      <c r="AF56" s="22">
        <f>SUMIF(tabParametros[Código do Posto],tabCustoUnit[[#This Row],[Código do Posto]],tabParametros[PAF])</f>
        <v>95.9</v>
      </c>
      <c r="AG56" s="22">
        <f>SUMIF(tabParametros[Código do Posto],tabCustoUnit[[#This Row],[Código do Posto]],tabParametros[PQM])</f>
        <v>0</v>
      </c>
      <c r="AH56" s="22">
        <f>SUMIF(tabParametros[Código do Posto],tabCustoUnit[[#This Row],[Código do Posto]],tabParametros[Abono Único e Especial])</f>
        <v>0</v>
      </c>
      <c r="AI56" s="22">
        <f>SUMIF(tabParametros[Código do Posto],tabCustoUnit[[#This Row],[Código do Posto]],tabParametros[Seguro de Vida])</f>
        <v>3.36</v>
      </c>
      <c r="AJ56" s="22">
        <f>SUMIF(tabParametros[Código do Posto],tabCustoUnit[[#This Row],[Código do Posto]],tabParametros[Despesas de Viagem])</f>
        <v>202.08</v>
      </c>
      <c r="AK56" s="22" t="e">
        <f ca="1">SUM(tabCustoUnit[[#This Row],[Vale - Transporte (Descontada parcela do empregado)]:[Despesas de Viagem]])</f>
        <v>#NAME?</v>
      </c>
      <c r="AL56" s="22" t="e">
        <f ca="1">tabCustoUnit[[#This Row],[Submódulo 2.1]]+tabCustoUnit[[#This Row],[Submódulo 2.2]]+tabCustoUnit[[#This Row],[Submódulo 2.3]]</f>
        <v>#NAME?</v>
      </c>
      <c r="AM56" s="22">
        <f>SUMIF(tabParametros[Código do Posto],tabCustoUnit[[#This Row],[Código do Posto]],tabParametros[Aviso Prévio Indenizado (API) e Reflexo do Aviso Prévio Indenizado])*tabCustoUnit[[#This Row],[MODULO 1 - REMUNERAÇÃO ]]</f>
        <v>27.888624405246912</v>
      </c>
      <c r="AN56" s="22">
        <f>SUMIF(tabParametros[Código do Posto],tabCustoUnit[[#This Row],[Código do Posto]],tabParametros[Incidência do FGTS sobre API e Reflexo do API])*tabCustoUnit[[#This Row],[MODULO 1 - REMUNERAÇÃO ]]</f>
        <v>2.2310899524197532</v>
      </c>
      <c r="AO56" s="22">
        <f>SUMIF(tabParametros[Código do Posto],tabCustoUnit[[#This Row],[Código do Posto]],tabParametros[Multa Rescisória do FGTS sobre o Aviso Prévio Indenizado])*tabCustoUnit[[#This Row],[MODULO 1 - REMUNERAÇÃO ]]</f>
        <v>0.89243598096790133</v>
      </c>
      <c r="AP56" s="22">
        <f>SUMIF(tabParametros[Código do Posto],tabCustoUnit[[#This Row],[Código do Posto]],tabParametros[Aviso Prévio Trabalhado - APT])*tabCustoUnit[[#This Row],[MODULO 1 - REMUNERAÇÃO ]]</f>
        <v>13.920911200000001</v>
      </c>
      <c r="AQ56" s="22">
        <f>SUMIF(tabParametros[Código do Posto],tabCustoUnit[[#This Row],[Código do Posto]],tabParametros[Incidência dos encargos do submódulo 2.1 sobre Aviso Prévio Trabalhado])*tabCustoUnit[[#This Row],[MODULO 1 - REMUNERAÇÃO ]]</f>
        <v>5.2621044336000011</v>
      </c>
      <c r="AR56" s="22">
        <f>SUMIF(tabParametros[Código do Posto],tabCustoUnit[[#This Row],[Código do Posto]],tabParametros[Multa Rescisória do FGTS])*tabCustoUnit[[#This Row],[MODULO 1 - REMUNERAÇÃO ]]</f>
        <v>121.6201511822222</v>
      </c>
      <c r="AS56" s="22">
        <f>SUMIF(tabParametros[Código do Posto],tabCustoUnit[[#This Row],[Código do Posto]],tabParametros[Indenização Adicional (Art. 9º da Lei nº 7.238/84)])*tabCustoUnit[[#This Row],[MODULO 1 - REMUNERAÇÃO ]]</f>
        <v>3.3145026666666668</v>
      </c>
      <c r="AT56" s="22">
        <f>SUM(tabCustoUnit[[#This Row],[Aviso Prévio Indenizado (API) e Reflexo do Aviso Prévio Indenizado]:[Indenização Adicional (Art. 9º da Lei nº 7.238/84)]])</f>
        <v>175.12981982112345</v>
      </c>
      <c r="AU56" s="22">
        <f>SUMIF(tabParametros[Código do Posto],tabCustoUnit[[#This Row],[Código do Posto]],tabParametros[Ausência por Doença])*tabCustoUnit[[#This Row],[MODULO 1 - REMUNERAÇÃO ]]</f>
        <v>33.586960355555547</v>
      </c>
      <c r="AV56" s="22">
        <f>SUMIF(tabParametros[Código do Posto],tabCustoUnit[[#This Row],[Código do Posto]],tabParametros[Ausências Legais])*tabCustoUnit[[#This Row],[MODULO 1 - REMUNERAÇÃO ]]</f>
        <v>8.0652898222222209</v>
      </c>
      <c r="AW56" s="22">
        <f>SUMIF(tabParametros[Código do Posto],tabCustoUnit[[#This Row],[Código do Posto]],tabParametros[Licença Paternidade])*tabCustoUnit[[#This Row],[MODULO 1 - REMUNERAÇÃO ]]</f>
        <v>0.67947304666666664</v>
      </c>
      <c r="AX56" s="22">
        <f>SUMIF(tabParametros[Código do Posto],tabCustoUnit[[#This Row],[Código do Posto]],tabParametros[Ausência por Acidente de Trabalho])*tabCustoUnit[[#This Row],[MODULO 1 - REMUNERAÇÃO ]]</f>
        <v>0.8286256666666667</v>
      </c>
      <c r="AY56" s="22">
        <f>SUMIF(tabParametros[Código do Posto],tabCustoUnit[[#This Row],[Código do Posto]],tabParametros[Férias, Adicional de Férias e 13º  com empregada em gozo de Licença Maternidade])*tabCustoUnit[[#This Row],[MODULO 1 - REMUNERAÇÃO ]]</f>
        <v>5.1558930370370364</v>
      </c>
      <c r="AZ56" s="22">
        <f>SUMIF(tabParametros[Código do Posto],tabCustoUnit[[#This Row],[Código do Posto]],tabParametros[Incidência do Submódulo 2.1 sobre Ausências Legais])*tabCustoUnit[[#This Row],[MODULO 1 - REMUNERAÇÃO ]]</f>
        <v>18.263539448840003</v>
      </c>
      <c r="BA56" s="22">
        <f>SUM(tabCustoUnit[[#This Row],[Ausência por Doença]:[Incidência do Submódulo 2.1 sobre Ausências Legais]])</f>
        <v>66.579781376988137</v>
      </c>
      <c r="BB56" s="22">
        <f>SUMIF(tabParametros[Código do Posto],tabCustoUnit[[#This Row],[Código do Posto]],tabParametros[Intervalo para Repouso ou Alimentação])</f>
        <v>0</v>
      </c>
      <c r="BC56" s="22">
        <f>tabCustoUnit[[#This Row],[Intervalo para Repouso ou Alimentação]]</f>
        <v>0</v>
      </c>
      <c r="BD5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6" s="22">
        <f>tabCustoUnit[[#This Row],[Suspensão Temporária do Contrato de Trabalho]]</f>
        <v>0</v>
      </c>
      <c r="BF56" s="22">
        <f>tabCustoUnit[[#This Row],[Submódulo 4.1]]+tabCustoUnit[[#This Row],[Submódulo 4.2]]+tabCustoUnit[[#This Row],[Submódulo 4.3]]</f>
        <v>66.579781376988137</v>
      </c>
      <c r="BG56" s="22">
        <f>VLOOKUP(tabCustoUnit[[#This Row],[Código do Posto]],tabParametros[],MATCH(tabCustoUnit[[#Headers],[Uniformes e EPIs]],tabParametros[#Headers],0),0)</f>
        <v>403.67168306088286</v>
      </c>
      <c r="BH56" s="22">
        <f>VLOOKUP(tabCustoUnit[[#This Row],[Código do Posto]],tabParametros[],MATCH(tabCustoUnit[[#Headers],[Materiais de Consumo]],tabParametros[#Headers],0),0)</f>
        <v>0</v>
      </c>
      <c r="BI56" s="22">
        <f>VLOOKUP(tabCustoUnit[[#This Row],[Código do Posto]],tabParametros[],MATCH(tabCustoUnit[[#Headers],[Máquinas e Equipamentos (depreciação)]],tabParametros[#Headers],0),0)</f>
        <v>0</v>
      </c>
      <c r="BJ56" s="22">
        <f>VLOOKUP(tabCustoUnit[[#This Row],[Código do Posto]],tabParametros[],MATCH(tabCustoUnit[[#Headers],[Produtos de Limpeza e Materiais de Higiene Pessoal]],tabParametros[#Headers],0),0)</f>
        <v>0</v>
      </c>
      <c r="BK56" s="22">
        <f>VLOOKUP(tabCustoUnit[[#This Row],[Código do Posto]],tabParametros[],MATCH(tabCustoUnit[[#Headers],[Outros (especificar)]],tabParametros[#Headers],0),0)</f>
        <v>0</v>
      </c>
      <c r="BL56" s="22">
        <f>SUM(tabCustoUnit[[#This Row],[Uniformes e EPIs]:[Outros (especificar)]])</f>
        <v>403.67168306088286</v>
      </c>
      <c r="BM5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6" s="22" t="e">
        <f ca="1">VLOOKUP(tabCustoUnit[[#This Row],[Código do Posto]],tabParametros[],MATCH(tabCustoUnit[[#Headers],[Custos Indiretos]],tabParametros[#Headers],0),0)</f>
        <v>#NAME?</v>
      </c>
      <c r="BO56" s="22" t="e">
        <f ca="1">VLOOKUP(tabCustoUnit[[#This Row],[Código do Posto]],tabParametros[],MATCH(tabCustoUnit[[#Headers],[Lucro]],tabParametros[#Headers],0),0)</f>
        <v>#NAME?</v>
      </c>
      <c r="BP56" s="26">
        <f>((100/((1-tabCustoUnit[[#This Row],[Resumo de Alíquotas (PIS+CONFINS+ISS)]]))-100)*VLOOKUP(tabCustoUnit[[#This Row],[Código do Posto]],tabParametros[],MATCH(tabCustoUnit[[#Headers],[COFINS]],tabParametros[#Headers],0),0))/(tabCustoUnit[[#This Row],[Resumo de Alíquotas (PIS+CONFINS+ISS)]]*100)</f>
        <v>8.8629737609329504E-2</v>
      </c>
      <c r="BQ56" s="26">
        <f>((100/((100-(tabCustoUnit[[#This Row],[Resumo de Alíquotas (PIS+CONFINS+ISS)]]*100))%)-100)*VLOOKUP(tabCustoUnit[[#This Row],[Código do Posto]],tabParametros[],MATCH(tabCustoUnit[[#Headers],[PIS]],tabParametros[#Headers],0),0))/(tabCustoUnit[[#This Row],[Resumo de Alíquotas (PIS+CONFINS+ISS)]]*100)</f>
        <v>1.9241982507288629E-2</v>
      </c>
      <c r="BR56" s="28">
        <f>VLOOKUP(tabCustoUnit[[#This Row],[Código do Posto]],tabParametros[],MATCH(tabCustoUnit[[#Headers],[ISS]],tabParametros[#Headers],0),0)</f>
        <v>0.05</v>
      </c>
      <c r="BS56" s="26">
        <f>(((100/((100-(tabCustoUnit[[#This Row],[Resumo de Alíquotas (PIS+CONFINS+ISS)]]*100))%)-100)*tabCustoUnit[[#This Row],[ISS]])/tabCustoUnit[[#This Row],[Resumo de Alíquotas (PIS+CONFINS+ISS)]])/100</f>
        <v>5.8309037900874633E-2</v>
      </c>
      <c r="BT5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6" s="138">
        <f>tabCustoUnit[[#This Row],[COFINS]]+tabCustoUnit[[#This Row],[PIS]]+tabCustoUnit[[#This Row],[ISS (Conversão Alíquota s/ fatura)]]</f>
        <v>0.16618075801749277</v>
      </c>
      <c r="BV56" s="22" t="e">
        <f ca="1">(tabCustoUnit[[#This Row],[TOTAL MÓDULOS 1+2+3+4+5]]+tabCustoUnit[[#This Row],[Custos Indiretos]]+tabCustoUnit[[#This Row],[Lucro]])*tabCustoUnit[[#This Row],[PIS + COFINS + ISS (Total Conversão  Alíquota s/ Fatura)]]</f>
        <v>#NAME?</v>
      </c>
      <c r="BW56" s="22" t="e">
        <f ca="1">tabCustoUnit[[#This Row],[Custos Indiretos]]+tabCustoUnit[[#This Row],[Lucro]]+tabCustoUnit[[#This Row],[Valor dos Tributos (ISS, PIS, CONFINS)]]</f>
        <v>#NAME?</v>
      </c>
      <c r="BX56" s="22" t="e">
        <f ca="1">tabCustoUnit[[#This Row],[TOTAL MÓDULOS 1+2+3+4+5]]+tabCustoUnit[[#This Row],[MÓDULO 6 – CUSTOS INDIRETOS, TRIBUTOS E LUCRO]]</f>
        <v>#NAME?</v>
      </c>
      <c r="BY56" s="22" t="e">
        <f ca="1">tabCustoUnit[[#This Row],[CUSTO TOTAL MENSAL]]*12</f>
        <v>#NAME?</v>
      </c>
      <c r="BZ56" s="24">
        <f>VLOOKUP(tabCustoUnit[[#This Row],[Código do Posto]],tabParametros[],MATCH(tabCustoUnit[[#Headers],[ANO DA CCT]],tabParametros[#Headers],0),0)</f>
        <v>45658</v>
      </c>
      <c r="CA56" s="25" t="str">
        <f>VLOOKUP(tabCustoUnit[[#This Row],[Código do Posto]],tabParametros[],MATCH(tabCustoUnit[[#Headers],[Nº DE PEDIDO DA CCT]],tabParametros[#Headers],0),0)</f>
        <v>-</v>
      </c>
      <c r="CB56" s="25" t="str">
        <f>VLOOKUP(tabCustoUnit[[#This Row],[Código do Posto]],tabParametros[],MATCH(tabCustoUnit[[#Headers],[TERMO ADITIVO ALTERAÇÃO DA CCT]],tabParametros[#Headers],0),0)</f>
        <v>-</v>
      </c>
    </row>
    <row r="57" spans="1:80">
      <c r="A57" s="20" t="s">
        <v>1434</v>
      </c>
      <c r="B57" t="s">
        <v>1103</v>
      </c>
      <c r="C57" t="s">
        <v>264</v>
      </c>
      <c r="D57" t="s">
        <v>977</v>
      </c>
      <c r="E57" s="20" t="s">
        <v>1090</v>
      </c>
      <c r="F57" s="20" t="s">
        <v>120</v>
      </c>
      <c r="G57" s="418">
        <v>4558.0709999999999</v>
      </c>
      <c r="H57" s="418">
        <v>0</v>
      </c>
      <c r="I57" s="418">
        <v>0</v>
      </c>
      <c r="J57" s="418">
        <v>0</v>
      </c>
      <c r="K57" s="418">
        <v>0</v>
      </c>
      <c r="L57" s="418">
        <v>0</v>
      </c>
      <c r="M57" s="418">
        <v>0</v>
      </c>
      <c r="N57" s="418">
        <v>0</v>
      </c>
      <c r="O57" s="21">
        <f>SUM(tabCustoUnit[[#This Row],[Salário Base]:[Adicional de Acúmulo de função]])</f>
        <v>4558.0709999999999</v>
      </c>
      <c r="P57" s="21">
        <f>tabCustoUnit[[#This Row],[MODULO 1 - REMUNERAÇÃO ]]*SUMIFS(tabParametros[INSS],tabParametros[Código do Posto],tabCustoUnit[[#This Row],[Código do Posto]])</f>
        <v>911.61419999999998</v>
      </c>
      <c r="Q57" s="21">
        <f>tabCustoUnit[[#This Row],[MODULO 1 - REMUNERAÇÃO ]]*SUMIFS(tabParametros[SESI OU SESC],tabParametros[Código do Posto],tabCustoUnit[[#This Row],[Código do Posto]])</f>
        <v>68.371065000000002</v>
      </c>
      <c r="R57" s="21">
        <f>tabCustoUnit[[#This Row],[MODULO 1 - REMUNERAÇÃO ]]*SUMIFS(tabParametros[SENAI OU SENAC],tabParametros[Código do Posto],tabCustoUnit[[#This Row],[Código do Posto]])</f>
        <v>45.580710000000003</v>
      </c>
      <c r="S57" s="21">
        <f>tabCustoUnit[[#This Row],[MODULO 1 - REMUNERAÇÃO ]]*SUMIFS(tabParametros[INCRA],tabParametros[Código do Posto],tabCustoUnit[[#This Row],[Código do Posto]])</f>
        <v>9.116142</v>
      </c>
      <c r="T57" s="21">
        <f>tabCustoUnit[[#This Row],[MODULO 1 - REMUNERAÇÃO ]]*SUMIFS(tabParametros[Salário Educação],tabParametros[Código do Posto],tabCustoUnit[[#This Row],[Código do Posto]])</f>
        <v>113.951775</v>
      </c>
      <c r="U57" s="21">
        <f>tabCustoUnit[[#This Row],[MODULO 1 - REMUNERAÇÃO ]]*SUMIFS(tabParametros[FGTS],tabParametros[Código do Posto],tabCustoUnit[[#This Row],[Código do Posto]])</f>
        <v>364.64568000000003</v>
      </c>
      <c r="V57" s="21">
        <f>tabCustoUnit[[#This Row],[MODULO 1 - REMUNERAÇÃO ]]*SUMIFS(tabParametros[RAT Ajustado],tabParametros[Código do Posto],tabCustoUnit[[#This Row],[Código do Posto]])</f>
        <v>182.32284000000001</v>
      </c>
      <c r="W57" s="21">
        <f>tabCustoUnit[[#This Row],[MODULO 1 - REMUNERAÇÃO ]]*SUMIFS(tabParametros[SEBRAE],tabParametros[Código do Posto],tabCustoUnit[[#This Row],[Código do Posto]])</f>
        <v>27.348426</v>
      </c>
      <c r="X57" s="21">
        <f>SUM(tabCustoUnit[[#This Row],[INSS]:[SEBRAE]])</f>
        <v>1722.9508380000002</v>
      </c>
      <c r="Y57" s="21">
        <f>tabCustoUnit[[#This Row],[MODULO 1 - REMUNERAÇÃO ]]*SUMIFS(tabParametros[13º salário (titular)],tabParametros[Código do Posto],tabCustoUnit[[#This Row],[Código do Posto]])</f>
        <v>379.83924999999999</v>
      </c>
      <c r="Z57" s="21">
        <f>tabCustoUnit[[#This Row],[MODULO 1 - REMUNERAÇÃO ]]*SUMIFS(tabParametros[Férias e Adicional de Férias (titular)],tabParametros[Código do Posto],tabCustoUnit[[#This Row],[Código do Posto]])</f>
        <v>506.45233333333329</v>
      </c>
      <c r="AA57" s="21">
        <f>IFERROR((tabCustoUnit[[#This Row],[Submódulo 2.1]]/tabCustoUnit[[#This Row],[MODULO 1 - REMUNERAÇÃO ]])*SUM(tabCustoUnit[[#This Row],[13º salário (titular)]:[Férias e Adicional de Férias (titular)]]),0)</f>
        <v>335.01821850000005</v>
      </c>
      <c r="AB57" s="21">
        <f>SUM(tabCustoUnit[[#This Row],[13º salário (titular)]:[Incidência do Submódulo 2.1 sobre 13º Salário, Férias e Adicional de Férias]])</f>
        <v>1221.3098018333333</v>
      </c>
      <c r="AC57" s="22" t="e">
        <f ca="1">_xlfn.LET(_xlpm.VT,SUMIF(tabParametros[Código do Posto],tabCustoUnit[[#This Row],[Código do Posto]],tabParametros[Vale - Transporte])*2*20,
IF((_xlpm.VT-tabCustoUnit[[#This Row],[Salário Base]]*0.06)&gt;=0,(_xlpm.VT-tabCustoUnit[[#This Row],[Salário Base]]*0.06),0)
)</f>
        <v>#NAME?</v>
      </c>
      <c r="AD57" s="22">
        <f>IF(SUMIF(tabParametros[Código do Posto],tabCustoUnit[[#This Row],[Código do Posto]],tabParametros[Vale - Alimentação])&lt;=0,0,
SUMIF(tabParametros[Código do Posto],tabCustoUnit[[#This Row],[Código do Posto]],tabParametros[Vale - Alimentação])*20-1)</f>
        <v>578.4</v>
      </c>
      <c r="AE57" s="22">
        <f>SUMIF(tabParametros[Código do Posto],tabCustoUnit[[#This Row],[Código do Posto]],tabParametros[Cesta Básica])</f>
        <v>0</v>
      </c>
      <c r="AF57" s="22">
        <f>SUMIF(tabParametros[Código do Posto],tabCustoUnit[[#This Row],[Código do Posto]],tabParametros[PAF])</f>
        <v>18.350000000000001</v>
      </c>
      <c r="AG57" s="22">
        <f>SUMIF(tabParametros[Código do Posto],tabCustoUnit[[#This Row],[Código do Posto]],tabParametros[PQM])</f>
        <v>0</v>
      </c>
      <c r="AH57" s="22">
        <f>SUMIF(tabParametros[Código do Posto],tabCustoUnit[[#This Row],[Código do Posto]],tabParametros[Abono Único e Especial])</f>
        <v>0</v>
      </c>
      <c r="AI57" s="22">
        <f>SUMIF(tabParametros[Código do Posto],tabCustoUnit[[#This Row],[Código do Posto]],tabParametros[Seguro de Vida])</f>
        <v>3.36</v>
      </c>
      <c r="AJ57" s="22">
        <f>SUMIF(tabParametros[Código do Posto],tabCustoUnit[[#This Row],[Código do Posto]],tabParametros[Despesas de Viagem])</f>
        <v>662.42</v>
      </c>
      <c r="AK57" s="22" t="e">
        <f ca="1">SUM(tabCustoUnit[[#This Row],[Vale - Transporte (Descontada parcela do empregado)]:[Despesas de Viagem]])</f>
        <v>#NAME?</v>
      </c>
      <c r="AL57" s="22" t="e">
        <f ca="1">tabCustoUnit[[#This Row],[Submódulo 2.1]]+tabCustoUnit[[#This Row],[Submódulo 2.2]]+tabCustoUnit[[#This Row],[Submódulo 2.3]]</f>
        <v>#NAME?</v>
      </c>
      <c r="AM57" s="22">
        <f>SUMIF(tabParametros[Código do Posto],tabCustoUnit[[#This Row],[Código do Posto]],tabParametros[Aviso Prévio Indenizado (API) e Reflexo do Aviso Prévio Indenizado])*tabCustoUnit[[#This Row],[MODULO 1 - REMUNERAÇÃO ]]</f>
        <v>31.960131708912037</v>
      </c>
      <c r="AN57" s="22">
        <f>SUMIF(tabParametros[Código do Posto],tabCustoUnit[[#This Row],[Código do Posto]],tabParametros[Incidência do FGTS sobre API e Reflexo do API])*tabCustoUnit[[#This Row],[MODULO 1 - REMUNERAÇÃO ]]</f>
        <v>2.556810536712963</v>
      </c>
      <c r="AO57" s="22">
        <f>SUMIF(tabParametros[Código do Posto],tabCustoUnit[[#This Row],[Código do Posto]],tabParametros[Multa Rescisória do FGTS sobre o Aviso Prévio Indenizado])*tabCustoUnit[[#This Row],[MODULO 1 - REMUNERAÇÃO ]]</f>
        <v>1.0227242146851854</v>
      </c>
      <c r="AP57" s="22">
        <f>SUMIF(tabParametros[Código do Posto],tabCustoUnit[[#This Row],[Código do Posto]],tabParametros[Aviso Prévio Trabalhado - APT])*tabCustoUnit[[#This Row],[MODULO 1 - REMUNERAÇÃO ]]</f>
        <v>15.953248500000003</v>
      </c>
      <c r="AQ57" s="22">
        <f>SUMIF(tabParametros[Código do Posto],tabCustoUnit[[#This Row],[Código do Posto]],tabParametros[Incidência dos encargos do submódulo 2.1 sobre Aviso Prévio Trabalhado])*tabCustoUnit[[#This Row],[MODULO 1 - REMUNERAÇÃO ]]</f>
        <v>6.0303279330000015</v>
      </c>
      <c r="AR57" s="22">
        <f>SUMIF(tabParametros[Código do Posto],tabCustoUnit[[#This Row],[Código do Posto]],tabParametros[Multa Rescisória do FGTS])*tabCustoUnit[[#This Row],[MODULO 1 - REMUNERAÇÃO ]]</f>
        <v>139.3756821333333</v>
      </c>
      <c r="AS57" s="22">
        <f>SUMIF(tabParametros[Código do Posto],tabCustoUnit[[#This Row],[Código do Posto]],tabParametros[Indenização Adicional (Art. 9º da Lei nº 7.238/84)])*tabCustoUnit[[#This Row],[MODULO 1 - REMUNERAÇÃO ]]</f>
        <v>3.7983925000000003</v>
      </c>
      <c r="AT57" s="22">
        <f>SUM(tabCustoUnit[[#This Row],[Aviso Prévio Indenizado (API) e Reflexo do Aviso Prévio Indenizado]:[Indenização Adicional (Art. 9º da Lei nº 7.238/84)]])</f>
        <v>200.6973175266435</v>
      </c>
      <c r="AU57" s="22">
        <f>SUMIF(tabParametros[Código do Posto],tabCustoUnit[[#This Row],[Código do Posto]],tabParametros[Ausência por Doença])*tabCustoUnit[[#This Row],[MODULO 1 - REMUNERAÇÃO ]]</f>
        <v>38.490377333333328</v>
      </c>
      <c r="AV57" s="22">
        <f>SUMIF(tabParametros[Código do Posto],tabCustoUnit[[#This Row],[Código do Posto]],tabParametros[Ausências Legais])*tabCustoUnit[[#This Row],[MODULO 1 - REMUNERAÇÃO ]]</f>
        <v>9.2427550833333321</v>
      </c>
      <c r="AW57" s="22">
        <f>SUMIF(tabParametros[Código do Posto],tabCustoUnit[[#This Row],[Código do Posto]],tabParametros[Licença Paternidade])*tabCustoUnit[[#This Row],[MODULO 1 - REMUNERAÇÃO ]]</f>
        <v>0.77867046249999994</v>
      </c>
      <c r="AX57" s="22">
        <f>SUMIF(tabParametros[Código do Posto],tabCustoUnit[[#This Row],[Código do Posto]],tabParametros[Ausência por Acidente de Trabalho])*tabCustoUnit[[#This Row],[MODULO 1 - REMUNERAÇÃO ]]</f>
        <v>0.94959812500000007</v>
      </c>
      <c r="AY57" s="22">
        <f>SUMIF(tabParametros[Código do Posto],tabCustoUnit[[#This Row],[Código do Posto]],tabParametros[Férias, Adicional de Férias e 13º  com empregada em gozo de Licença Maternidade])*tabCustoUnit[[#This Row],[MODULO 1 - REMUNERAÇÃO ]]</f>
        <v>5.9086105555555557</v>
      </c>
      <c r="AZ57" s="22">
        <f>SUMIF(tabParametros[Código do Posto],tabCustoUnit[[#This Row],[Código do Posto]],tabParametros[Incidência do Submódulo 2.1 sobre Ausências Legais])*tabCustoUnit[[#This Row],[MODULO 1 - REMUNERAÇÃO ]]</f>
        <v>20.929864369575004</v>
      </c>
      <c r="BA57" s="22">
        <f>SUM(tabCustoUnit[[#This Row],[Ausência por Doença]:[Incidência do Submódulo 2.1 sobre Ausências Legais]])</f>
        <v>76.29987592929723</v>
      </c>
      <c r="BB57" s="22">
        <f>SUMIF(tabParametros[Código do Posto],tabCustoUnit[[#This Row],[Código do Posto]],tabParametros[Intervalo para Repouso ou Alimentação])</f>
        <v>504.64357437593583</v>
      </c>
      <c r="BC57" s="22">
        <f>tabCustoUnit[[#This Row],[Intervalo para Repouso ou Alimentação]]</f>
        <v>504.64357437593583</v>
      </c>
      <c r="BD5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7" s="22">
        <f>tabCustoUnit[[#This Row],[Suspensão Temporária do Contrato de Trabalho]]</f>
        <v>0</v>
      </c>
      <c r="BF57" s="22">
        <f>tabCustoUnit[[#This Row],[Submódulo 4.1]]+tabCustoUnit[[#This Row],[Submódulo 4.2]]+tabCustoUnit[[#This Row],[Submódulo 4.3]]</f>
        <v>580.943450305233</v>
      </c>
      <c r="BG57" s="22">
        <f>VLOOKUP(tabCustoUnit[[#This Row],[Código do Posto]],tabParametros[],MATCH(tabCustoUnit[[#Headers],[Uniformes e EPIs]],tabParametros[#Headers],0),0)</f>
        <v>92.100763771570698</v>
      </c>
      <c r="BH57" s="22">
        <f>VLOOKUP(tabCustoUnit[[#This Row],[Código do Posto]],tabParametros[],MATCH(tabCustoUnit[[#Headers],[Materiais de Consumo]],tabParametros[#Headers],0),0)</f>
        <v>0</v>
      </c>
      <c r="BI57" s="22">
        <f>VLOOKUP(tabCustoUnit[[#This Row],[Código do Posto]],tabParametros[],MATCH(tabCustoUnit[[#Headers],[Máquinas e Equipamentos (depreciação)]],tabParametros[#Headers],0),0)</f>
        <v>0</v>
      </c>
      <c r="BJ57" s="22">
        <f>VLOOKUP(tabCustoUnit[[#This Row],[Código do Posto]],tabParametros[],MATCH(tabCustoUnit[[#Headers],[Produtos de Limpeza e Materiais de Higiene Pessoal]],tabParametros[#Headers],0),0)</f>
        <v>0</v>
      </c>
      <c r="BK57" s="22">
        <f>VLOOKUP(tabCustoUnit[[#This Row],[Código do Posto]],tabParametros[],MATCH(tabCustoUnit[[#Headers],[Outros (especificar)]],tabParametros[#Headers],0),0)</f>
        <v>0</v>
      </c>
      <c r="BL57" s="22">
        <f>SUM(tabCustoUnit[[#This Row],[Uniformes e EPIs]:[Outros (especificar)]])</f>
        <v>92.100763771570698</v>
      </c>
      <c r="BM5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7" s="22" t="e">
        <f ca="1">VLOOKUP(tabCustoUnit[[#This Row],[Código do Posto]],tabParametros[],MATCH(tabCustoUnit[[#Headers],[Custos Indiretos]],tabParametros[#Headers],0),0)</f>
        <v>#NAME?</v>
      </c>
      <c r="BO57" s="22" t="e">
        <f ca="1">VLOOKUP(tabCustoUnit[[#This Row],[Código do Posto]],tabParametros[],MATCH(tabCustoUnit[[#Headers],[Lucro]],tabParametros[#Headers],0),0)</f>
        <v>#NAME?</v>
      </c>
      <c r="BP57" s="26">
        <f>((100/((1-tabCustoUnit[[#This Row],[Resumo de Alíquotas (PIS+CONFINS+ISS)]]))-100)*VLOOKUP(tabCustoUnit[[#This Row],[Código do Posto]],tabParametros[],MATCH(tabCustoUnit[[#Headers],[COFINS]],tabParametros[#Headers],0),0))/(tabCustoUnit[[#This Row],[Resumo de Alíquotas (PIS+CONFINS+ISS)]]*100)</f>
        <v>8.8629737609329504E-2</v>
      </c>
      <c r="BQ57" s="26">
        <f>((100/((100-(tabCustoUnit[[#This Row],[Resumo de Alíquotas (PIS+CONFINS+ISS)]]*100))%)-100)*VLOOKUP(tabCustoUnit[[#This Row],[Código do Posto]],tabParametros[],MATCH(tabCustoUnit[[#Headers],[PIS]],tabParametros[#Headers],0),0))/(tabCustoUnit[[#This Row],[Resumo de Alíquotas (PIS+CONFINS+ISS)]]*100)</f>
        <v>1.9241982507288629E-2</v>
      </c>
      <c r="BR57" s="28">
        <f>VLOOKUP(tabCustoUnit[[#This Row],[Código do Posto]],tabParametros[],MATCH(tabCustoUnit[[#Headers],[ISS]],tabParametros[#Headers],0),0)</f>
        <v>0.05</v>
      </c>
      <c r="BS57" s="26">
        <f>(((100/((100-(tabCustoUnit[[#This Row],[Resumo de Alíquotas (PIS+CONFINS+ISS)]]*100))%)-100)*tabCustoUnit[[#This Row],[ISS]])/tabCustoUnit[[#This Row],[Resumo de Alíquotas (PIS+CONFINS+ISS)]])/100</f>
        <v>5.8309037900874633E-2</v>
      </c>
      <c r="BT5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7" s="138">
        <f>tabCustoUnit[[#This Row],[COFINS]]+tabCustoUnit[[#This Row],[PIS]]+tabCustoUnit[[#This Row],[ISS (Conversão Alíquota s/ fatura)]]</f>
        <v>0.16618075801749277</v>
      </c>
      <c r="BV57" s="22" t="e">
        <f ca="1">(tabCustoUnit[[#This Row],[TOTAL MÓDULOS 1+2+3+4+5]]+tabCustoUnit[[#This Row],[Custos Indiretos]]+tabCustoUnit[[#This Row],[Lucro]])*tabCustoUnit[[#This Row],[PIS + COFINS + ISS (Total Conversão  Alíquota s/ Fatura)]]</f>
        <v>#NAME?</v>
      </c>
      <c r="BW57" s="22" t="e">
        <f ca="1">tabCustoUnit[[#This Row],[Custos Indiretos]]+tabCustoUnit[[#This Row],[Lucro]]+tabCustoUnit[[#This Row],[Valor dos Tributos (ISS, PIS, CONFINS)]]</f>
        <v>#NAME?</v>
      </c>
      <c r="BX57" s="22" t="e">
        <f ca="1">tabCustoUnit[[#This Row],[TOTAL MÓDULOS 1+2+3+4+5]]+tabCustoUnit[[#This Row],[MÓDULO 6 – CUSTOS INDIRETOS, TRIBUTOS E LUCRO]]</f>
        <v>#NAME?</v>
      </c>
      <c r="BY57" s="22" t="e">
        <f ca="1">tabCustoUnit[[#This Row],[CUSTO TOTAL MENSAL]]*12</f>
        <v>#NAME?</v>
      </c>
      <c r="BZ57" s="24">
        <f>VLOOKUP(tabCustoUnit[[#This Row],[Código do Posto]],tabParametros[],MATCH(tabCustoUnit[[#Headers],[ANO DA CCT]],tabParametros[#Headers],0),0)</f>
        <v>45658</v>
      </c>
      <c r="CA57" s="25" t="str">
        <f>VLOOKUP(tabCustoUnit[[#This Row],[Código do Posto]],tabParametros[],MATCH(tabCustoUnit[[#Headers],[Nº DE PEDIDO DA CCT]],tabParametros[#Headers],0),0)</f>
        <v>-</v>
      </c>
      <c r="CB57" s="25" t="str">
        <f>VLOOKUP(tabCustoUnit[[#This Row],[Código do Posto]],tabParametros[],MATCH(tabCustoUnit[[#Headers],[TERMO ADITIVO ALTERAÇÃO DA CCT]],tabParametros[#Headers],0),0)</f>
        <v>-</v>
      </c>
    </row>
    <row r="58" spans="1:80">
      <c r="A58" s="20" t="s">
        <v>1435</v>
      </c>
      <c r="B58" t="s">
        <v>1103</v>
      </c>
      <c r="C58" t="s">
        <v>269</v>
      </c>
      <c r="D58" t="s">
        <v>977</v>
      </c>
      <c r="E58" s="20" t="s">
        <v>1090</v>
      </c>
      <c r="F58" s="20" t="s">
        <v>120</v>
      </c>
      <c r="G58" s="418">
        <v>3107.7757000000001</v>
      </c>
      <c r="H58" s="418">
        <v>0</v>
      </c>
      <c r="I58" s="418">
        <v>0</v>
      </c>
      <c r="J58" s="418">
        <v>0</v>
      </c>
      <c r="K58" s="418">
        <v>0</v>
      </c>
      <c r="L58" s="418">
        <v>0</v>
      </c>
      <c r="M58" s="418">
        <v>0</v>
      </c>
      <c r="N58" s="418">
        <v>0</v>
      </c>
      <c r="O58" s="21">
        <f>SUM(tabCustoUnit[[#This Row],[Salário Base]:[Adicional de Acúmulo de função]])</f>
        <v>3107.7757000000001</v>
      </c>
      <c r="P58" s="21">
        <f>tabCustoUnit[[#This Row],[MODULO 1 - REMUNERAÇÃO ]]*SUMIFS(tabParametros[INSS],tabParametros[Código do Posto],tabCustoUnit[[#This Row],[Código do Posto]])</f>
        <v>621.55514000000005</v>
      </c>
      <c r="Q58" s="21">
        <f>tabCustoUnit[[#This Row],[MODULO 1 - REMUNERAÇÃO ]]*SUMIFS(tabParametros[SESI OU SESC],tabParametros[Código do Posto],tabCustoUnit[[#This Row],[Código do Posto]])</f>
        <v>46.616635500000001</v>
      </c>
      <c r="R58" s="21">
        <f>tabCustoUnit[[#This Row],[MODULO 1 - REMUNERAÇÃO ]]*SUMIFS(tabParametros[SENAI OU SENAC],tabParametros[Código do Posto],tabCustoUnit[[#This Row],[Código do Posto]])</f>
        <v>31.077757000000002</v>
      </c>
      <c r="S58" s="21">
        <f>tabCustoUnit[[#This Row],[MODULO 1 - REMUNERAÇÃO ]]*SUMIFS(tabParametros[INCRA],tabParametros[Código do Posto],tabCustoUnit[[#This Row],[Código do Posto]])</f>
        <v>6.2155514000000007</v>
      </c>
      <c r="T58" s="21">
        <f>tabCustoUnit[[#This Row],[MODULO 1 - REMUNERAÇÃO ]]*SUMIFS(tabParametros[Salário Educação],tabParametros[Código do Posto],tabCustoUnit[[#This Row],[Código do Posto]])</f>
        <v>77.694392500000006</v>
      </c>
      <c r="U58" s="21">
        <f>tabCustoUnit[[#This Row],[MODULO 1 - REMUNERAÇÃO ]]*SUMIFS(tabParametros[FGTS],tabParametros[Código do Posto],tabCustoUnit[[#This Row],[Código do Posto]])</f>
        <v>248.62205600000001</v>
      </c>
      <c r="V58" s="21">
        <f>tabCustoUnit[[#This Row],[MODULO 1 - REMUNERAÇÃO ]]*SUMIFS(tabParametros[RAT Ajustado],tabParametros[Código do Posto],tabCustoUnit[[#This Row],[Código do Posto]])</f>
        <v>124.31102800000001</v>
      </c>
      <c r="W58" s="21">
        <f>tabCustoUnit[[#This Row],[MODULO 1 - REMUNERAÇÃO ]]*SUMIFS(tabParametros[SEBRAE],tabParametros[Código do Posto],tabCustoUnit[[#This Row],[Código do Posto]])</f>
        <v>18.6466542</v>
      </c>
      <c r="X58" s="21">
        <f>SUM(tabCustoUnit[[#This Row],[INSS]:[SEBRAE]])</f>
        <v>1174.7392146000002</v>
      </c>
      <c r="Y58" s="21">
        <f>tabCustoUnit[[#This Row],[MODULO 1 - REMUNERAÇÃO ]]*SUMIFS(tabParametros[13º salário (titular)],tabParametros[Código do Posto],tabCustoUnit[[#This Row],[Código do Posto]])</f>
        <v>258.98130833333335</v>
      </c>
      <c r="Z58" s="21">
        <f>tabCustoUnit[[#This Row],[MODULO 1 - REMUNERAÇÃO ]]*SUMIFS(tabParametros[Férias e Adicional de Férias (titular)],tabParametros[Código do Posto],tabCustoUnit[[#This Row],[Código do Posto]])</f>
        <v>345.30841111111113</v>
      </c>
      <c r="AA58" s="21">
        <f>IFERROR((tabCustoUnit[[#This Row],[Submódulo 2.1]]/tabCustoUnit[[#This Row],[MODULO 1 - REMUNERAÇÃO ]])*SUM(tabCustoUnit[[#This Row],[13º salário (titular)]:[Férias e Adicional de Férias (titular)]]),0)</f>
        <v>228.42151395000005</v>
      </c>
      <c r="AB58" s="21">
        <f>SUM(tabCustoUnit[[#This Row],[13º salário (titular)]:[Incidência do Submódulo 2.1 sobre 13º Salário, Férias e Adicional de Férias]])</f>
        <v>832.71123339444455</v>
      </c>
      <c r="AC58" s="22" t="e">
        <f ca="1">_xlfn.LET(_xlpm.VT,SUMIF(tabParametros[Código do Posto],tabCustoUnit[[#This Row],[Código do Posto]],tabParametros[Vale - Transporte])*2*20,
IF((_xlpm.VT-tabCustoUnit[[#This Row],[Salário Base]]*0.06)&gt;=0,(_xlpm.VT-tabCustoUnit[[#This Row],[Salário Base]]*0.06),0)
)</f>
        <v>#NAME?</v>
      </c>
      <c r="AD58" s="22">
        <f>IF(SUMIF(tabParametros[Código do Posto],tabCustoUnit[[#This Row],[Código do Posto]],tabParametros[Vale - Alimentação])&lt;=0,0,
SUMIF(tabParametros[Código do Posto],tabCustoUnit[[#This Row],[Código do Posto]],tabParametros[Vale - Alimentação])*20-1)</f>
        <v>578.4</v>
      </c>
      <c r="AE58" s="22">
        <f>SUMIF(tabParametros[Código do Posto],tabCustoUnit[[#This Row],[Código do Posto]],tabParametros[Cesta Básica])</f>
        <v>0</v>
      </c>
      <c r="AF58" s="22">
        <f>SUMIF(tabParametros[Código do Posto],tabCustoUnit[[#This Row],[Código do Posto]],tabParametros[PAF])</f>
        <v>18.350000000000001</v>
      </c>
      <c r="AG58" s="22">
        <f>SUMIF(tabParametros[Código do Posto],tabCustoUnit[[#This Row],[Código do Posto]],tabParametros[PQM])</f>
        <v>0</v>
      </c>
      <c r="AH58" s="22">
        <f>SUMIF(tabParametros[Código do Posto],tabCustoUnit[[#This Row],[Código do Posto]],tabParametros[Abono Único e Especial])</f>
        <v>0</v>
      </c>
      <c r="AI58" s="22">
        <f>SUMIF(tabParametros[Código do Posto],tabCustoUnit[[#This Row],[Código do Posto]],tabParametros[Seguro de Vida])</f>
        <v>3.36</v>
      </c>
      <c r="AJ58" s="22">
        <f>SUMIF(tabParametros[Código do Posto],tabCustoUnit[[#This Row],[Código do Posto]],tabParametros[Despesas de Viagem])</f>
        <v>662.42</v>
      </c>
      <c r="AK58" s="22" t="e">
        <f ca="1">SUM(tabCustoUnit[[#This Row],[Vale - Transporte (Descontada parcela do empregado)]:[Despesas de Viagem]])</f>
        <v>#NAME?</v>
      </c>
      <c r="AL58" s="22" t="e">
        <f ca="1">tabCustoUnit[[#This Row],[Submódulo 2.1]]+tabCustoUnit[[#This Row],[Submódulo 2.2]]+tabCustoUnit[[#This Row],[Submódulo 2.3]]</f>
        <v>#NAME?</v>
      </c>
      <c r="AM58" s="22">
        <f>SUMIF(tabParametros[Código do Posto],tabCustoUnit[[#This Row],[Código do Posto]],tabParametros[Aviso Prévio Indenizado (API) e Reflexo do Aviso Prévio Indenizado])*tabCustoUnit[[#This Row],[MODULO 1 - REMUNERAÇÃO ]]</f>
        <v>21.790999019926698</v>
      </c>
      <c r="AN58" s="22">
        <f>SUMIF(tabParametros[Código do Posto],tabCustoUnit[[#This Row],[Código do Posto]],tabParametros[Incidência do FGTS sobre API e Reflexo do API])*tabCustoUnit[[#This Row],[MODULO 1 - REMUNERAÇÃO ]]</f>
        <v>1.7432799215941359</v>
      </c>
      <c r="AO58" s="22">
        <f>SUMIF(tabParametros[Código do Posto],tabCustoUnit[[#This Row],[Código do Posto]],tabParametros[Multa Rescisória do FGTS sobre o Aviso Prévio Indenizado])*tabCustoUnit[[#This Row],[MODULO 1 - REMUNERAÇÃO ]]</f>
        <v>0.69731196863765443</v>
      </c>
      <c r="AP58" s="22">
        <f>SUMIF(tabParametros[Código do Posto],tabCustoUnit[[#This Row],[Código do Posto]],tabParametros[Aviso Prévio Trabalhado - APT])*tabCustoUnit[[#This Row],[MODULO 1 - REMUNERAÇÃO ]]</f>
        <v>10.877214950000003</v>
      </c>
      <c r="AQ58" s="22">
        <f>SUMIF(tabParametros[Código do Posto],tabCustoUnit[[#This Row],[Código do Posto]],tabParametros[Incidência dos encargos do submódulo 2.1 sobre Aviso Prévio Trabalhado])*tabCustoUnit[[#This Row],[MODULO 1 - REMUNERAÇÃO ]]</f>
        <v>4.1115872511000013</v>
      </c>
      <c r="AR58" s="22">
        <f>SUMIF(tabParametros[Código do Posto],tabCustoUnit[[#This Row],[Código do Posto]],tabParametros[Multa Rescisória do FGTS])*tabCustoUnit[[#This Row],[MODULO 1 - REMUNERAÇÃO ]]</f>
        <v>95.02887473777777</v>
      </c>
      <c r="AS58" s="22">
        <f>SUMIF(tabParametros[Código do Posto],tabCustoUnit[[#This Row],[Código do Posto]],tabParametros[Indenização Adicional (Art. 9º da Lei nº 7.238/84)])*tabCustoUnit[[#This Row],[MODULO 1 - REMUNERAÇÃO ]]</f>
        <v>2.5898130833333335</v>
      </c>
      <c r="AT58" s="22">
        <f>SUM(tabCustoUnit[[#This Row],[Aviso Prévio Indenizado (API) e Reflexo do Aviso Prévio Indenizado]:[Indenização Adicional (Art. 9º da Lei nº 7.238/84)]])</f>
        <v>136.83908093236957</v>
      </c>
      <c r="AU58" s="22">
        <f>SUMIF(tabParametros[Código do Posto],tabCustoUnit[[#This Row],[Código do Posto]],tabParametros[Ausência por Doença])*tabCustoUnit[[#This Row],[MODULO 1 - REMUNERAÇÃO ]]</f>
        <v>26.243439244444442</v>
      </c>
      <c r="AV58" s="22">
        <f>SUMIF(tabParametros[Código do Posto],tabCustoUnit[[#This Row],[Código do Posto]],tabParametros[Ausências Legais])*tabCustoUnit[[#This Row],[MODULO 1 - REMUNERAÇÃO ]]</f>
        <v>6.3018785027777779</v>
      </c>
      <c r="AW58" s="22">
        <f>SUMIF(tabParametros[Código do Posto],tabCustoUnit[[#This Row],[Código do Posto]],tabParametros[Licença Paternidade])*tabCustoUnit[[#This Row],[MODULO 1 - REMUNERAÇÃO ]]</f>
        <v>0.53091168208333339</v>
      </c>
      <c r="AX58" s="22">
        <f>SUMIF(tabParametros[Código do Posto],tabCustoUnit[[#This Row],[Código do Posto]],tabParametros[Ausência por Acidente de Trabalho])*tabCustoUnit[[#This Row],[MODULO 1 - REMUNERAÇÃO ]]</f>
        <v>0.64745327083333337</v>
      </c>
      <c r="AY58" s="22">
        <f>SUMIF(tabParametros[Código do Posto],tabCustoUnit[[#This Row],[Código do Posto]],tabParametros[Férias, Adicional de Férias e 13º  com empregada em gozo de Licença Maternidade])*tabCustoUnit[[#This Row],[MODULO 1 - REMUNERAÇÃO ]]</f>
        <v>4.0285981296296294</v>
      </c>
      <c r="AZ58" s="22">
        <f>SUMIF(tabParametros[Código do Posto],tabCustoUnit[[#This Row],[Código do Posto]],tabParametros[Incidência do Submódulo 2.1 sobre Ausências Legais])*tabCustoUnit[[#This Row],[MODULO 1 - REMUNERAÇÃO ]]</f>
        <v>14.270362153652503</v>
      </c>
      <c r="BA58" s="22">
        <f>SUM(tabCustoUnit[[#This Row],[Ausência por Doença]:[Incidência do Submódulo 2.1 sobre Ausências Legais]])</f>
        <v>52.022642983421022</v>
      </c>
      <c r="BB58" s="22">
        <f>SUMIF(tabParametros[Código do Posto],tabCustoUnit[[#This Row],[Código do Posto]],tabParametros[Intervalo para Repouso ou Alimentação])</f>
        <v>0</v>
      </c>
      <c r="BC58" s="22">
        <f>tabCustoUnit[[#This Row],[Intervalo para Repouso ou Alimentação]]</f>
        <v>0</v>
      </c>
      <c r="BD5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8" s="22">
        <f>tabCustoUnit[[#This Row],[Suspensão Temporária do Contrato de Trabalho]]</f>
        <v>0</v>
      </c>
      <c r="BF58" s="22">
        <f>tabCustoUnit[[#This Row],[Submódulo 4.1]]+tabCustoUnit[[#This Row],[Submódulo 4.2]]+tabCustoUnit[[#This Row],[Submódulo 4.3]]</f>
        <v>52.022642983421022</v>
      </c>
      <c r="BG58" s="22">
        <f>VLOOKUP(tabCustoUnit[[#This Row],[Código do Posto]],tabParametros[],MATCH(tabCustoUnit[[#Headers],[Uniformes e EPIs]],tabParametros[#Headers],0),0)</f>
        <v>92.100763771570698</v>
      </c>
      <c r="BH58" s="22">
        <f>VLOOKUP(tabCustoUnit[[#This Row],[Código do Posto]],tabParametros[],MATCH(tabCustoUnit[[#Headers],[Materiais de Consumo]],tabParametros[#Headers],0),0)</f>
        <v>0</v>
      </c>
      <c r="BI58" s="22">
        <f>VLOOKUP(tabCustoUnit[[#This Row],[Código do Posto]],tabParametros[],MATCH(tabCustoUnit[[#Headers],[Máquinas e Equipamentos (depreciação)]],tabParametros[#Headers],0),0)</f>
        <v>0</v>
      </c>
      <c r="BJ58" s="22">
        <f>VLOOKUP(tabCustoUnit[[#This Row],[Código do Posto]],tabParametros[],MATCH(tabCustoUnit[[#Headers],[Produtos de Limpeza e Materiais de Higiene Pessoal]],tabParametros[#Headers],0),0)</f>
        <v>0</v>
      </c>
      <c r="BK58" s="22">
        <f>VLOOKUP(tabCustoUnit[[#This Row],[Código do Posto]],tabParametros[],MATCH(tabCustoUnit[[#Headers],[Outros (especificar)]],tabParametros[#Headers],0),0)</f>
        <v>0</v>
      </c>
      <c r="BL58" s="22">
        <f>SUM(tabCustoUnit[[#This Row],[Uniformes e EPIs]:[Outros (especificar)]])</f>
        <v>92.100763771570698</v>
      </c>
      <c r="BM5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8" s="22" t="e">
        <f ca="1">VLOOKUP(tabCustoUnit[[#This Row],[Código do Posto]],tabParametros[],MATCH(tabCustoUnit[[#Headers],[Custos Indiretos]],tabParametros[#Headers],0),0)</f>
        <v>#NAME?</v>
      </c>
      <c r="BO58" s="22" t="e">
        <f ca="1">VLOOKUP(tabCustoUnit[[#This Row],[Código do Posto]],tabParametros[],MATCH(tabCustoUnit[[#Headers],[Lucro]],tabParametros[#Headers],0),0)</f>
        <v>#NAME?</v>
      </c>
      <c r="BP58" s="26">
        <f>((100/((1-tabCustoUnit[[#This Row],[Resumo de Alíquotas (PIS+CONFINS+ISS)]]))-100)*VLOOKUP(tabCustoUnit[[#This Row],[Código do Posto]],tabParametros[],MATCH(tabCustoUnit[[#Headers],[COFINS]],tabParametros[#Headers],0),0))/(tabCustoUnit[[#This Row],[Resumo de Alíquotas (PIS+CONFINS+ISS)]]*100)</f>
        <v>8.8629737609329504E-2</v>
      </c>
      <c r="BQ58" s="26">
        <f>((100/((100-(tabCustoUnit[[#This Row],[Resumo de Alíquotas (PIS+CONFINS+ISS)]]*100))%)-100)*VLOOKUP(tabCustoUnit[[#This Row],[Código do Posto]],tabParametros[],MATCH(tabCustoUnit[[#Headers],[PIS]],tabParametros[#Headers],0),0))/(tabCustoUnit[[#This Row],[Resumo de Alíquotas (PIS+CONFINS+ISS)]]*100)</f>
        <v>1.9241982507288629E-2</v>
      </c>
      <c r="BR58" s="28">
        <f>VLOOKUP(tabCustoUnit[[#This Row],[Código do Posto]],tabParametros[],MATCH(tabCustoUnit[[#Headers],[ISS]],tabParametros[#Headers],0),0)</f>
        <v>0.05</v>
      </c>
      <c r="BS58" s="26">
        <f>(((100/((100-(tabCustoUnit[[#This Row],[Resumo de Alíquotas (PIS+CONFINS+ISS)]]*100))%)-100)*tabCustoUnit[[#This Row],[ISS]])/tabCustoUnit[[#This Row],[Resumo de Alíquotas (PIS+CONFINS+ISS)]])/100</f>
        <v>5.8309037900874633E-2</v>
      </c>
      <c r="BT5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8" s="138">
        <f>tabCustoUnit[[#This Row],[COFINS]]+tabCustoUnit[[#This Row],[PIS]]+tabCustoUnit[[#This Row],[ISS (Conversão Alíquota s/ fatura)]]</f>
        <v>0.16618075801749277</v>
      </c>
      <c r="BV58" s="22" t="e">
        <f ca="1">(tabCustoUnit[[#This Row],[TOTAL MÓDULOS 1+2+3+4+5]]+tabCustoUnit[[#This Row],[Custos Indiretos]]+tabCustoUnit[[#This Row],[Lucro]])*tabCustoUnit[[#This Row],[PIS + COFINS + ISS (Total Conversão  Alíquota s/ Fatura)]]</f>
        <v>#NAME?</v>
      </c>
      <c r="BW58" s="22" t="e">
        <f ca="1">tabCustoUnit[[#This Row],[Custos Indiretos]]+tabCustoUnit[[#This Row],[Lucro]]+tabCustoUnit[[#This Row],[Valor dos Tributos (ISS, PIS, CONFINS)]]</f>
        <v>#NAME?</v>
      </c>
      <c r="BX58" s="22" t="e">
        <f ca="1">tabCustoUnit[[#This Row],[TOTAL MÓDULOS 1+2+3+4+5]]+tabCustoUnit[[#This Row],[MÓDULO 6 – CUSTOS INDIRETOS, TRIBUTOS E LUCRO]]</f>
        <v>#NAME?</v>
      </c>
      <c r="BY58" s="22" t="e">
        <f ca="1">tabCustoUnit[[#This Row],[CUSTO TOTAL MENSAL]]*12</f>
        <v>#NAME?</v>
      </c>
      <c r="BZ58" s="24">
        <f>VLOOKUP(tabCustoUnit[[#This Row],[Código do Posto]],tabParametros[],MATCH(tabCustoUnit[[#Headers],[ANO DA CCT]],tabParametros[#Headers],0),0)</f>
        <v>45658</v>
      </c>
      <c r="CA58" s="25" t="str">
        <f>VLOOKUP(tabCustoUnit[[#This Row],[Código do Posto]],tabParametros[],MATCH(tabCustoUnit[[#Headers],[Nº DE PEDIDO DA CCT]],tabParametros[#Headers],0),0)</f>
        <v>-</v>
      </c>
      <c r="CB58" s="25" t="str">
        <f>VLOOKUP(tabCustoUnit[[#This Row],[Código do Posto]],tabParametros[],MATCH(tabCustoUnit[[#Headers],[TERMO ADITIVO ALTERAÇÃO DA CCT]],tabParametros[#Headers],0),0)</f>
        <v>-</v>
      </c>
    </row>
    <row r="59" spans="1:80">
      <c r="A59" s="20" t="s">
        <v>1436</v>
      </c>
      <c r="B59" t="s">
        <v>1103</v>
      </c>
      <c r="C59" t="s">
        <v>274</v>
      </c>
      <c r="D59" t="s">
        <v>977</v>
      </c>
      <c r="E59" s="20" t="s">
        <v>1090</v>
      </c>
      <c r="F59" s="20" t="s">
        <v>120</v>
      </c>
      <c r="G59" s="418">
        <v>4558.0709999999999</v>
      </c>
      <c r="H59" s="418">
        <v>0</v>
      </c>
      <c r="I59" s="418">
        <v>0</v>
      </c>
      <c r="J59" s="418">
        <v>0</v>
      </c>
      <c r="K59" s="418">
        <v>0</v>
      </c>
      <c r="L59" s="418">
        <v>0</v>
      </c>
      <c r="M59" s="418">
        <v>0</v>
      </c>
      <c r="N59" s="418">
        <v>0</v>
      </c>
      <c r="O59" s="21">
        <f>SUM(tabCustoUnit[[#This Row],[Salário Base]:[Adicional de Acúmulo de função]])</f>
        <v>4558.0709999999999</v>
      </c>
      <c r="P59" s="21">
        <f>tabCustoUnit[[#This Row],[MODULO 1 - REMUNERAÇÃO ]]*SUMIFS(tabParametros[INSS],tabParametros[Código do Posto],tabCustoUnit[[#This Row],[Código do Posto]])</f>
        <v>911.61419999999998</v>
      </c>
      <c r="Q59" s="21">
        <f>tabCustoUnit[[#This Row],[MODULO 1 - REMUNERAÇÃO ]]*SUMIFS(tabParametros[SESI OU SESC],tabParametros[Código do Posto],tabCustoUnit[[#This Row],[Código do Posto]])</f>
        <v>68.371065000000002</v>
      </c>
      <c r="R59" s="21">
        <f>tabCustoUnit[[#This Row],[MODULO 1 - REMUNERAÇÃO ]]*SUMIFS(tabParametros[SENAI OU SENAC],tabParametros[Código do Posto],tabCustoUnit[[#This Row],[Código do Posto]])</f>
        <v>45.580710000000003</v>
      </c>
      <c r="S59" s="21">
        <f>tabCustoUnit[[#This Row],[MODULO 1 - REMUNERAÇÃO ]]*SUMIFS(tabParametros[INCRA],tabParametros[Código do Posto],tabCustoUnit[[#This Row],[Código do Posto]])</f>
        <v>9.116142</v>
      </c>
      <c r="T59" s="21">
        <f>tabCustoUnit[[#This Row],[MODULO 1 - REMUNERAÇÃO ]]*SUMIFS(tabParametros[Salário Educação],tabParametros[Código do Posto],tabCustoUnit[[#This Row],[Código do Posto]])</f>
        <v>113.951775</v>
      </c>
      <c r="U59" s="21">
        <f>tabCustoUnit[[#This Row],[MODULO 1 - REMUNERAÇÃO ]]*SUMIFS(tabParametros[FGTS],tabParametros[Código do Posto],tabCustoUnit[[#This Row],[Código do Posto]])</f>
        <v>364.64568000000003</v>
      </c>
      <c r="V59" s="21">
        <f>tabCustoUnit[[#This Row],[MODULO 1 - REMUNERAÇÃO ]]*SUMIFS(tabParametros[RAT Ajustado],tabParametros[Código do Posto],tabCustoUnit[[#This Row],[Código do Posto]])</f>
        <v>182.32284000000001</v>
      </c>
      <c r="W59" s="21">
        <f>tabCustoUnit[[#This Row],[MODULO 1 - REMUNERAÇÃO ]]*SUMIFS(tabParametros[SEBRAE],tabParametros[Código do Posto],tabCustoUnit[[#This Row],[Código do Posto]])</f>
        <v>27.348426</v>
      </c>
      <c r="X59" s="21">
        <f>SUM(tabCustoUnit[[#This Row],[INSS]:[SEBRAE]])</f>
        <v>1722.9508380000002</v>
      </c>
      <c r="Y59" s="21">
        <f>tabCustoUnit[[#This Row],[MODULO 1 - REMUNERAÇÃO ]]*SUMIFS(tabParametros[13º salário (titular)],tabParametros[Código do Posto],tabCustoUnit[[#This Row],[Código do Posto]])</f>
        <v>379.83924999999999</v>
      </c>
      <c r="Z59" s="21">
        <f>tabCustoUnit[[#This Row],[MODULO 1 - REMUNERAÇÃO ]]*SUMIFS(tabParametros[Férias e Adicional de Férias (titular)],tabParametros[Código do Posto],tabCustoUnit[[#This Row],[Código do Posto]])</f>
        <v>506.45233333333329</v>
      </c>
      <c r="AA59" s="21">
        <f>IFERROR((tabCustoUnit[[#This Row],[Submódulo 2.1]]/tabCustoUnit[[#This Row],[MODULO 1 - REMUNERAÇÃO ]])*SUM(tabCustoUnit[[#This Row],[13º salário (titular)]:[Férias e Adicional de Férias (titular)]]),0)</f>
        <v>335.01821850000005</v>
      </c>
      <c r="AB59" s="21">
        <f>SUM(tabCustoUnit[[#This Row],[13º salário (titular)]:[Incidência do Submódulo 2.1 sobre 13º Salário, Férias e Adicional de Férias]])</f>
        <v>1221.3098018333333</v>
      </c>
      <c r="AC59" s="22" t="e">
        <f ca="1">_xlfn.LET(_xlpm.VT,SUMIF(tabParametros[Código do Posto],tabCustoUnit[[#This Row],[Código do Posto]],tabParametros[Vale - Transporte])*2*20,
IF((_xlpm.VT-tabCustoUnit[[#This Row],[Salário Base]]*0.06)&gt;=0,(_xlpm.VT-tabCustoUnit[[#This Row],[Salário Base]]*0.06),0)
)</f>
        <v>#NAME?</v>
      </c>
      <c r="AD59" s="22">
        <f>IF(SUMIF(tabParametros[Código do Posto],tabCustoUnit[[#This Row],[Código do Posto]],tabParametros[Vale - Alimentação])&lt;=0,0,
SUMIF(tabParametros[Código do Posto],tabCustoUnit[[#This Row],[Código do Posto]],tabParametros[Vale - Alimentação])*20-1)</f>
        <v>578.4</v>
      </c>
      <c r="AE59" s="22">
        <f>SUMIF(tabParametros[Código do Posto],tabCustoUnit[[#This Row],[Código do Posto]],tabParametros[Cesta Básica])</f>
        <v>0</v>
      </c>
      <c r="AF59" s="22">
        <f>SUMIF(tabParametros[Código do Posto],tabCustoUnit[[#This Row],[Código do Posto]],tabParametros[PAF])</f>
        <v>18.350000000000001</v>
      </c>
      <c r="AG59" s="22">
        <f>SUMIF(tabParametros[Código do Posto],tabCustoUnit[[#This Row],[Código do Posto]],tabParametros[PQM])</f>
        <v>0</v>
      </c>
      <c r="AH59" s="22">
        <f>SUMIF(tabParametros[Código do Posto],tabCustoUnit[[#This Row],[Código do Posto]],tabParametros[Abono Único e Especial])</f>
        <v>0</v>
      </c>
      <c r="AI59" s="22">
        <f>SUMIF(tabParametros[Código do Posto],tabCustoUnit[[#This Row],[Código do Posto]],tabParametros[Seguro de Vida])</f>
        <v>3.36</v>
      </c>
      <c r="AJ59" s="22">
        <f>SUMIF(tabParametros[Código do Posto],tabCustoUnit[[#This Row],[Código do Posto]],tabParametros[Despesas de Viagem])</f>
        <v>662.42</v>
      </c>
      <c r="AK59" s="22" t="e">
        <f ca="1">SUM(tabCustoUnit[[#This Row],[Vale - Transporte (Descontada parcela do empregado)]:[Despesas de Viagem]])</f>
        <v>#NAME?</v>
      </c>
      <c r="AL59" s="22" t="e">
        <f ca="1">tabCustoUnit[[#This Row],[Submódulo 2.1]]+tabCustoUnit[[#This Row],[Submódulo 2.2]]+tabCustoUnit[[#This Row],[Submódulo 2.3]]</f>
        <v>#NAME?</v>
      </c>
      <c r="AM59" s="22">
        <f>SUMIF(tabParametros[Código do Posto],tabCustoUnit[[#This Row],[Código do Posto]],tabParametros[Aviso Prévio Indenizado (API) e Reflexo do Aviso Prévio Indenizado])*tabCustoUnit[[#This Row],[MODULO 1 - REMUNERAÇÃO ]]</f>
        <v>31.960131708912037</v>
      </c>
      <c r="AN59" s="22">
        <f>SUMIF(tabParametros[Código do Posto],tabCustoUnit[[#This Row],[Código do Posto]],tabParametros[Incidência do FGTS sobre API e Reflexo do API])*tabCustoUnit[[#This Row],[MODULO 1 - REMUNERAÇÃO ]]</f>
        <v>2.556810536712963</v>
      </c>
      <c r="AO59" s="22">
        <f>SUMIF(tabParametros[Código do Posto],tabCustoUnit[[#This Row],[Código do Posto]],tabParametros[Multa Rescisória do FGTS sobre o Aviso Prévio Indenizado])*tabCustoUnit[[#This Row],[MODULO 1 - REMUNERAÇÃO ]]</f>
        <v>1.0227242146851854</v>
      </c>
      <c r="AP59" s="22">
        <f>SUMIF(tabParametros[Código do Posto],tabCustoUnit[[#This Row],[Código do Posto]],tabParametros[Aviso Prévio Trabalhado - APT])*tabCustoUnit[[#This Row],[MODULO 1 - REMUNERAÇÃO ]]</f>
        <v>15.953248500000003</v>
      </c>
      <c r="AQ59" s="22">
        <f>SUMIF(tabParametros[Código do Posto],tabCustoUnit[[#This Row],[Código do Posto]],tabParametros[Incidência dos encargos do submódulo 2.1 sobre Aviso Prévio Trabalhado])*tabCustoUnit[[#This Row],[MODULO 1 - REMUNERAÇÃO ]]</f>
        <v>6.0303279330000015</v>
      </c>
      <c r="AR59" s="22">
        <f>SUMIF(tabParametros[Código do Posto],tabCustoUnit[[#This Row],[Código do Posto]],tabParametros[Multa Rescisória do FGTS])*tabCustoUnit[[#This Row],[MODULO 1 - REMUNERAÇÃO ]]</f>
        <v>139.3756821333333</v>
      </c>
      <c r="AS59" s="22">
        <f>SUMIF(tabParametros[Código do Posto],tabCustoUnit[[#This Row],[Código do Posto]],tabParametros[Indenização Adicional (Art. 9º da Lei nº 7.238/84)])*tabCustoUnit[[#This Row],[MODULO 1 - REMUNERAÇÃO ]]</f>
        <v>3.7983925000000003</v>
      </c>
      <c r="AT59" s="22">
        <f>SUM(tabCustoUnit[[#This Row],[Aviso Prévio Indenizado (API) e Reflexo do Aviso Prévio Indenizado]:[Indenização Adicional (Art. 9º da Lei nº 7.238/84)]])</f>
        <v>200.6973175266435</v>
      </c>
      <c r="AU59" s="22">
        <f>SUMIF(tabParametros[Código do Posto],tabCustoUnit[[#This Row],[Código do Posto]],tabParametros[Ausência por Doença])*tabCustoUnit[[#This Row],[MODULO 1 - REMUNERAÇÃO ]]</f>
        <v>38.490377333333328</v>
      </c>
      <c r="AV59" s="22">
        <f>SUMIF(tabParametros[Código do Posto],tabCustoUnit[[#This Row],[Código do Posto]],tabParametros[Ausências Legais])*tabCustoUnit[[#This Row],[MODULO 1 - REMUNERAÇÃO ]]</f>
        <v>9.2427550833333321</v>
      </c>
      <c r="AW59" s="22">
        <f>SUMIF(tabParametros[Código do Posto],tabCustoUnit[[#This Row],[Código do Posto]],tabParametros[Licença Paternidade])*tabCustoUnit[[#This Row],[MODULO 1 - REMUNERAÇÃO ]]</f>
        <v>0.77867046249999994</v>
      </c>
      <c r="AX59" s="22">
        <f>SUMIF(tabParametros[Código do Posto],tabCustoUnit[[#This Row],[Código do Posto]],tabParametros[Ausência por Acidente de Trabalho])*tabCustoUnit[[#This Row],[MODULO 1 - REMUNERAÇÃO ]]</f>
        <v>0.94959812500000007</v>
      </c>
      <c r="AY59" s="22">
        <f>SUMIF(tabParametros[Código do Posto],tabCustoUnit[[#This Row],[Código do Posto]],tabParametros[Férias, Adicional de Férias e 13º  com empregada em gozo de Licença Maternidade])*tabCustoUnit[[#This Row],[MODULO 1 - REMUNERAÇÃO ]]</f>
        <v>5.9086105555555557</v>
      </c>
      <c r="AZ59" s="22">
        <f>SUMIF(tabParametros[Código do Posto],tabCustoUnit[[#This Row],[Código do Posto]],tabParametros[Incidência do Submódulo 2.1 sobre Ausências Legais])*tabCustoUnit[[#This Row],[MODULO 1 - REMUNERAÇÃO ]]</f>
        <v>20.929864369575004</v>
      </c>
      <c r="BA59" s="22">
        <f>SUM(tabCustoUnit[[#This Row],[Ausência por Doença]:[Incidência do Submódulo 2.1 sobre Ausências Legais]])</f>
        <v>76.29987592929723</v>
      </c>
      <c r="BB59" s="22">
        <f>SUMIF(tabParametros[Código do Posto],tabCustoUnit[[#This Row],[Código do Posto]],tabParametros[Intervalo para Repouso ou Alimentação])</f>
        <v>0</v>
      </c>
      <c r="BC59" s="22">
        <f>tabCustoUnit[[#This Row],[Intervalo para Repouso ou Alimentação]]</f>
        <v>0</v>
      </c>
      <c r="BD5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59" s="22">
        <f>tabCustoUnit[[#This Row],[Suspensão Temporária do Contrato de Trabalho]]</f>
        <v>0</v>
      </c>
      <c r="BF59" s="22">
        <f>tabCustoUnit[[#This Row],[Submódulo 4.1]]+tabCustoUnit[[#This Row],[Submódulo 4.2]]+tabCustoUnit[[#This Row],[Submódulo 4.3]]</f>
        <v>76.29987592929723</v>
      </c>
      <c r="BG59" s="22">
        <f>VLOOKUP(tabCustoUnit[[#This Row],[Código do Posto]],tabParametros[],MATCH(tabCustoUnit[[#Headers],[Uniformes e EPIs]],tabParametros[#Headers],0),0)</f>
        <v>92.100763771570698</v>
      </c>
      <c r="BH59" s="22">
        <f>VLOOKUP(tabCustoUnit[[#This Row],[Código do Posto]],tabParametros[],MATCH(tabCustoUnit[[#Headers],[Materiais de Consumo]],tabParametros[#Headers],0),0)</f>
        <v>0</v>
      </c>
      <c r="BI59" s="22">
        <f>VLOOKUP(tabCustoUnit[[#This Row],[Código do Posto]],tabParametros[],MATCH(tabCustoUnit[[#Headers],[Máquinas e Equipamentos (depreciação)]],tabParametros[#Headers],0),0)</f>
        <v>0</v>
      </c>
      <c r="BJ59" s="22">
        <f>VLOOKUP(tabCustoUnit[[#This Row],[Código do Posto]],tabParametros[],MATCH(tabCustoUnit[[#Headers],[Produtos de Limpeza e Materiais de Higiene Pessoal]],tabParametros[#Headers],0),0)</f>
        <v>0</v>
      </c>
      <c r="BK59" s="22">
        <f>VLOOKUP(tabCustoUnit[[#This Row],[Código do Posto]],tabParametros[],MATCH(tabCustoUnit[[#Headers],[Outros (especificar)]],tabParametros[#Headers],0),0)</f>
        <v>0</v>
      </c>
      <c r="BL59" s="22">
        <f>SUM(tabCustoUnit[[#This Row],[Uniformes e EPIs]:[Outros (especificar)]])</f>
        <v>92.100763771570698</v>
      </c>
      <c r="BM5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59" s="22" t="e">
        <f ca="1">VLOOKUP(tabCustoUnit[[#This Row],[Código do Posto]],tabParametros[],MATCH(tabCustoUnit[[#Headers],[Custos Indiretos]],tabParametros[#Headers],0),0)</f>
        <v>#NAME?</v>
      </c>
      <c r="BO59" s="22" t="e">
        <f ca="1">VLOOKUP(tabCustoUnit[[#This Row],[Código do Posto]],tabParametros[],MATCH(tabCustoUnit[[#Headers],[Lucro]],tabParametros[#Headers],0),0)</f>
        <v>#NAME?</v>
      </c>
      <c r="BP59" s="26">
        <f>((100/((1-tabCustoUnit[[#This Row],[Resumo de Alíquotas (PIS+CONFINS+ISS)]]))-100)*VLOOKUP(tabCustoUnit[[#This Row],[Código do Posto]],tabParametros[],MATCH(tabCustoUnit[[#Headers],[COFINS]],tabParametros[#Headers],0),0))/(tabCustoUnit[[#This Row],[Resumo de Alíquotas (PIS+CONFINS+ISS)]]*100)</f>
        <v>8.8629737609329504E-2</v>
      </c>
      <c r="BQ59" s="26">
        <f>((100/((100-(tabCustoUnit[[#This Row],[Resumo de Alíquotas (PIS+CONFINS+ISS)]]*100))%)-100)*VLOOKUP(tabCustoUnit[[#This Row],[Código do Posto]],tabParametros[],MATCH(tabCustoUnit[[#Headers],[PIS]],tabParametros[#Headers],0),0))/(tabCustoUnit[[#This Row],[Resumo de Alíquotas (PIS+CONFINS+ISS)]]*100)</f>
        <v>1.9241982507288629E-2</v>
      </c>
      <c r="BR59" s="28">
        <f>VLOOKUP(tabCustoUnit[[#This Row],[Código do Posto]],tabParametros[],MATCH(tabCustoUnit[[#Headers],[ISS]],tabParametros[#Headers],0),0)</f>
        <v>0.05</v>
      </c>
      <c r="BS59" s="26">
        <f>(((100/((100-(tabCustoUnit[[#This Row],[Resumo de Alíquotas (PIS+CONFINS+ISS)]]*100))%)-100)*tabCustoUnit[[#This Row],[ISS]])/tabCustoUnit[[#This Row],[Resumo de Alíquotas (PIS+CONFINS+ISS)]])/100</f>
        <v>5.8309037900874633E-2</v>
      </c>
      <c r="BT5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9" s="138">
        <f>tabCustoUnit[[#This Row],[COFINS]]+tabCustoUnit[[#This Row],[PIS]]+tabCustoUnit[[#This Row],[ISS (Conversão Alíquota s/ fatura)]]</f>
        <v>0.16618075801749277</v>
      </c>
      <c r="BV59" s="22" t="e">
        <f ca="1">(tabCustoUnit[[#This Row],[TOTAL MÓDULOS 1+2+3+4+5]]+tabCustoUnit[[#This Row],[Custos Indiretos]]+tabCustoUnit[[#This Row],[Lucro]])*tabCustoUnit[[#This Row],[PIS + COFINS + ISS (Total Conversão  Alíquota s/ Fatura)]]</f>
        <v>#NAME?</v>
      </c>
      <c r="BW59" s="22" t="e">
        <f ca="1">tabCustoUnit[[#This Row],[Custos Indiretos]]+tabCustoUnit[[#This Row],[Lucro]]+tabCustoUnit[[#This Row],[Valor dos Tributos (ISS, PIS, CONFINS)]]</f>
        <v>#NAME?</v>
      </c>
      <c r="BX59" s="22" t="e">
        <f ca="1">tabCustoUnit[[#This Row],[TOTAL MÓDULOS 1+2+3+4+5]]+tabCustoUnit[[#This Row],[MÓDULO 6 – CUSTOS INDIRETOS, TRIBUTOS E LUCRO]]</f>
        <v>#NAME?</v>
      </c>
      <c r="BY59" s="22" t="e">
        <f ca="1">tabCustoUnit[[#This Row],[CUSTO TOTAL MENSAL]]*12</f>
        <v>#NAME?</v>
      </c>
      <c r="BZ59" s="24">
        <f>VLOOKUP(tabCustoUnit[[#This Row],[Código do Posto]],tabParametros[],MATCH(tabCustoUnit[[#Headers],[ANO DA CCT]],tabParametros[#Headers],0),0)</f>
        <v>45658</v>
      </c>
      <c r="CA59" s="25" t="str">
        <f>VLOOKUP(tabCustoUnit[[#This Row],[Código do Posto]],tabParametros[],MATCH(tabCustoUnit[[#Headers],[Nº DE PEDIDO DA CCT]],tabParametros[#Headers],0),0)</f>
        <v>-</v>
      </c>
      <c r="CB59" s="25" t="str">
        <f>VLOOKUP(tabCustoUnit[[#This Row],[Código do Posto]],tabParametros[],MATCH(tabCustoUnit[[#Headers],[TERMO ADITIVO ALTERAÇÃO DA CCT]],tabParametros[#Headers],0),0)</f>
        <v>-</v>
      </c>
    </row>
    <row r="60" spans="1:80">
      <c r="A60" s="20" t="s">
        <v>1446</v>
      </c>
      <c r="B60" t="s">
        <v>1103</v>
      </c>
      <c r="C60" t="s">
        <v>279</v>
      </c>
      <c r="D60" t="s">
        <v>977</v>
      </c>
      <c r="E60" s="20" t="s">
        <v>1090</v>
      </c>
      <c r="F60" s="20" t="s">
        <v>120</v>
      </c>
      <c r="G60" s="418">
        <v>4558.0709999999999</v>
      </c>
      <c r="H60" s="418">
        <v>0</v>
      </c>
      <c r="I60" s="418">
        <v>0</v>
      </c>
      <c r="J60" s="418">
        <v>0</v>
      </c>
      <c r="K60" s="418">
        <v>1377.4491</v>
      </c>
      <c r="L60" s="418">
        <v>0</v>
      </c>
      <c r="M60" s="418">
        <v>0</v>
      </c>
      <c r="N60" s="418">
        <v>0</v>
      </c>
      <c r="O60" s="21">
        <f>SUM(tabCustoUnit[[#This Row],[Salário Base]:[Adicional de Acúmulo de função]])</f>
        <v>5935.5200999999997</v>
      </c>
      <c r="P60" s="21">
        <f>tabCustoUnit[[#This Row],[MODULO 1 - REMUNERAÇÃO ]]*SUMIFS(tabParametros[INSS],tabParametros[Código do Posto],tabCustoUnit[[#This Row],[Código do Posto]])</f>
        <v>1187.10402</v>
      </c>
      <c r="Q60" s="21">
        <f>tabCustoUnit[[#This Row],[MODULO 1 - REMUNERAÇÃO ]]*SUMIFS(tabParametros[SESI OU SESC],tabParametros[Código do Posto],tabCustoUnit[[#This Row],[Código do Posto]])</f>
        <v>89.032801499999991</v>
      </c>
      <c r="R60" s="21">
        <f>tabCustoUnit[[#This Row],[MODULO 1 - REMUNERAÇÃO ]]*SUMIFS(tabParametros[SENAI OU SENAC],tabParametros[Código do Posto],tabCustoUnit[[#This Row],[Código do Posto]])</f>
        <v>59.355201000000001</v>
      </c>
      <c r="S60" s="21">
        <f>tabCustoUnit[[#This Row],[MODULO 1 - REMUNERAÇÃO ]]*SUMIFS(tabParametros[INCRA],tabParametros[Código do Posto],tabCustoUnit[[#This Row],[Código do Posto]])</f>
        <v>11.871040199999999</v>
      </c>
      <c r="T60" s="21">
        <f>tabCustoUnit[[#This Row],[MODULO 1 - REMUNERAÇÃO ]]*SUMIFS(tabParametros[Salário Educação],tabParametros[Código do Posto],tabCustoUnit[[#This Row],[Código do Posto]])</f>
        <v>148.3880025</v>
      </c>
      <c r="U60" s="21">
        <f>tabCustoUnit[[#This Row],[MODULO 1 - REMUNERAÇÃO ]]*SUMIFS(tabParametros[FGTS],tabParametros[Código do Posto],tabCustoUnit[[#This Row],[Código do Posto]])</f>
        <v>474.84160800000001</v>
      </c>
      <c r="V60" s="21">
        <f>tabCustoUnit[[#This Row],[MODULO 1 - REMUNERAÇÃO ]]*SUMIFS(tabParametros[RAT Ajustado],tabParametros[Código do Posto],tabCustoUnit[[#This Row],[Código do Posto]])</f>
        <v>237.420804</v>
      </c>
      <c r="W60" s="21">
        <f>tabCustoUnit[[#This Row],[MODULO 1 - REMUNERAÇÃO ]]*SUMIFS(tabParametros[SEBRAE],tabParametros[Código do Posto],tabCustoUnit[[#This Row],[Código do Posto]])</f>
        <v>35.613120600000002</v>
      </c>
      <c r="X60" s="21">
        <f>SUM(tabCustoUnit[[#This Row],[INSS]:[SEBRAE]])</f>
        <v>2243.6265978000001</v>
      </c>
      <c r="Y60" s="21">
        <f>tabCustoUnit[[#This Row],[MODULO 1 - REMUNERAÇÃO ]]*SUMIFS(tabParametros[13º salário (titular)],tabParametros[Código do Posto],tabCustoUnit[[#This Row],[Código do Posto]])</f>
        <v>494.62667499999998</v>
      </c>
      <c r="Z60" s="21">
        <f>tabCustoUnit[[#This Row],[MODULO 1 - REMUNERAÇÃO ]]*SUMIFS(tabParametros[Férias e Adicional de Férias (titular)],tabParametros[Código do Posto],tabCustoUnit[[#This Row],[Código do Posto]])</f>
        <v>659.50223333333327</v>
      </c>
      <c r="AA60" s="21">
        <f>IFERROR((tabCustoUnit[[#This Row],[Submódulo 2.1]]/tabCustoUnit[[#This Row],[MODULO 1 - REMUNERAÇÃO ]])*SUM(tabCustoUnit[[#This Row],[13º salário (titular)]:[Férias e Adicional de Férias (titular)]]),0)</f>
        <v>436.26072734999997</v>
      </c>
      <c r="AB60" s="21">
        <f>SUM(tabCustoUnit[[#This Row],[13º salário (titular)]:[Incidência do Submódulo 2.1 sobre 13º Salário, Férias e Adicional de Férias]])</f>
        <v>1590.3896356833332</v>
      </c>
      <c r="AC60" s="22" t="e">
        <f ca="1">_xlfn.LET(_xlpm.VT,SUMIF(tabParametros[Código do Posto],tabCustoUnit[[#This Row],[Código do Posto]],tabParametros[Vale - Transporte])*2*20,
IF((_xlpm.VT-tabCustoUnit[[#This Row],[Salário Base]]*0.06)&gt;=0,(_xlpm.VT-tabCustoUnit[[#This Row],[Salário Base]]*0.06),0)
)</f>
        <v>#NAME?</v>
      </c>
      <c r="AD60" s="22">
        <f>IF(SUMIF(tabParametros[Código do Posto],tabCustoUnit[[#This Row],[Código do Posto]],tabParametros[Vale - Alimentação])&lt;=0,0,
SUMIF(tabParametros[Código do Posto],tabCustoUnit[[#This Row],[Código do Posto]],tabParametros[Vale - Alimentação])*20-1)</f>
        <v>578.4</v>
      </c>
      <c r="AE60" s="22">
        <f>SUMIF(tabParametros[Código do Posto],tabCustoUnit[[#This Row],[Código do Posto]],tabParametros[Cesta Básica])</f>
        <v>0</v>
      </c>
      <c r="AF60" s="22">
        <f>SUMIF(tabParametros[Código do Posto],tabCustoUnit[[#This Row],[Código do Posto]],tabParametros[PAF])</f>
        <v>18.350000000000001</v>
      </c>
      <c r="AG60" s="22">
        <f>SUMIF(tabParametros[Código do Posto],tabCustoUnit[[#This Row],[Código do Posto]],tabParametros[PQM])</f>
        <v>0</v>
      </c>
      <c r="AH60" s="22">
        <f>SUMIF(tabParametros[Código do Posto],tabCustoUnit[[#This Row],[Código do Posto]],tabParametros[Abono Único e Especial])</f>
        <v>0</v>
      </c>
      <c r="AI60" s="22">
        <f>SUMIF(tabParametros[Código do Posto],tabCustoUnit[[#This Row],[Código do Posto]],tabParametros[Seguro de Vida])</f>
        <v>3.36</v>
      </c>
      <c r="AJ60" s="22">
        <f>SUMIF(tabParametros[Código do Posto],tabCustoUnit[[#This Row],[Código do Posto]],tabParametros[Despesas de Viagem])</f>
        <v>662.42</v>
      </c>
      <c r="AK60" s="22" t="e">
        <f ca="1">SUM(tabCustoUnit[[#This Row],[Vale - Transporte (Descontada parcela do empregado)]:[Despesas de Viagem]])</f>
        <v>#NAME?</v>
      </c>
      <c r="AL60" s="22" t="e">
        <f ca="1">tabCustoUnit[[#This Row],[Submódulo 2.1]]+tabCustoUnit[[#This Row],[Submódulo 2.2]]+tabCustoUnit[[#This Row],[Submódulo 2.3]]</f>
        <v>#NAME?</v>
      </c>
      <c r="AM60" s="22">
        <f>SUMIF(tabParametros[Código do Posto],tabCustoUnit[[#This Row],[Código do Posto]],tabParametros[Aviso Prévio Indenizado (API) e Reflexo do Aviso Prévio Indenizado])*tabCustoUnit[[#This Row],[MODULO 1 - REMUNERAÇÃO ]]</f>
        <v>41.618483818460646</v>
      </c>
      <c r="AN60" s="22">
        <f>SUMIF(tabParametros[Código do Posto],tabCustoUnit[[#This Row],[Código do Posto]],tabParametros[Incidência do FGTS sobre API e Reflexo do API])*tabCustoUnit[[#This Row],[MODULO 1 - REMUNERAÇÃO ]]</f>
        <v>3.329478705476852</v>
      </c>
      <c r="AO60" s="22">
        <f>SUMIF(tabParametros[Código do Posto],tabCustoUnit[[#This Row],[Código do Posto]],tabParametros[Multa Rescisória do FGTS sobre o Aviso Prévio Indenizado])*tabCustoUnit[[#This Row],[MODULO 1 - REMUNERAÇÃO ]]</f>
        <v>1.3317914821907408</v>
      </c>
      <c r="AP60" s="22">
        <f>SUMIF(tabParametros[Código do Posto],tabCustoUnit[[#This Row],[Código do Posto]],tabParametros[Aviso Prévio Trabalhado - APT])*tabCustoUnit[[#This Row],[MODULO 1 - REMUNERAÇÃO ]]</f>
        <v>20.774320350000004</v>
      </c>
      <c r="AQ60" s="22">
        <f>SUMIF(tabParametros[Código do Posto],tabCustoUnit[[#This Row],[Código do Posto]],tabParametros[Incidência dos encargos do submódulo 2.1 sobre Aviso Prévio Trabalhado])*tabCustoUnit[[#This Row],[MODULO 1 - REMUNERAÇÃO ]]</f>
        <v>7.8526930923000018</v>
      </c>
      <c r="AR60" s="22">
        <f>SUMIF(tabParametros[Código do Posto],tabCustoUnit[[#This Row],[Código do Posto]],tabParametros[Multa Rescisória do FGTS])*tabCustoUnit[[#This Row],[MODULO 1 - REMUNERAÇÃO ]]</f>
        <v>181.4950146133333</v>
      </c>
      <c r="AS60" s="22">
        <f>SUMIF(tabParametros[Código do Posto],tabCustoUnit[[#This Row],[Código do Posto]],tabParametros[Indenização Adicional (Art. 9º da Lei nº 7.238/84)])*tabCustoUnit[[#This Row],[MODULO 1 - REMUNERAÇÃO ]]</f>
        <v>4.9462667500000004</v>
      </c>
      <c r="AT60" s="22">
        <f>SUM(tabCustoUnit[[#This Row],[Aviso Prévio Indenizado (API) e Reflexo do Aviso Prévio Indenizado]:[Indenização Adicional (Art. 9º da Lei nº 7.238/84)]])</f>
        <v>261.34804881176154</v>
      </c>
      <c r="AU60" s="22">
        <f>SUMIF(tabParametros[Código do Posto],tabCustoUnit[[#This Row],[Código do Posto]],tabParametros[Ausência por Doença])*tabCustoUnit[[#This Row],[MODULO 1 - REMUNERAÇÃO ]]</f>
        <v>50.12216973333333</v>
      </c>
      <c r="AV60" s="22">
        <f>SUMIF(tabParametros[Código do Posto],tabCustoUnit[[#This Row],[Código do Posto]],tabParametros[Ausências Legais])*tabCustoUnit[[#This Row],[MODULO 1 - REMUNERAÇÃO ]]</f>
        <v>12.035915758333331</v>
      </c>
      <c r="AW60" s="22">
        <f>SUMIF(tabParametros[Código do Posto],tabCustoUnit[[#This Row],[Código do Posto]],tabParametros[Licença Paternidade])*tabCustoUnit[[#This Row],[MODULO 1 - REMUNERAÇÃO ]]</f>
        <v>1.0139846837499999</v>
      </c>
      <c r="AX60" s="22">
        <f>SUMIF(tabParametros[Código do Posto],tabCustoUnit[[#This Row],[Código do Posto]],tabParametros[Ausência por Acidente de Trabalho])*tabCustoUnit[[#This Row],[MODULO 1 - REMUNERAÇÃO ]]</f>
        <v>1.2365666875000001</v>
      </c>
      <c r="AY60" s="22">
        <f>SUMIF(tabParametros[Código do Posto],tabCustoUnit[[#This Row],[Código do Posto]],tabParametros[Férias, Adicional de Férias e 13º  com empregada em gozo de Licença Maternidade])*tabCustoUnit[[#This Row],[MODULO 1 - REMUNERAÇÃO ]]</f>
        <v>7.6941927222222217</v>
      </c>
      <c r="AZ60" s="22">
        <f>SUMIF(tabParametros[Código do Posto],tabCustoUnit[[#This Row],[Código do Posto]],tabParametros[Incidência do Submódulo 2.1 sobre Ausências Legais])*tabCustoUnit[[#This Row],[MODULO 1 - REMUNERAÇÃO ]]</f>
        <v>27.254869583182504</v>
      </c>
      <c r="BA60" s="22">
        <f>SUM(tabCustoUnit[[#This Row],[Ausência por Doença]:[Incidência do Submódulo 2.1 sobre Ausências Legais]])</f>
        <v>99.357699168321403</v>
      </c>
      <c r="BB60" s="22">
        <f>SUMIF(tabParametros[Código do Posto],tabCustoUnit[[#This Row],[Código do Posto]],tabParametros[Intervalo para Repouso ou Alimentação])</f>
        <v>0</v>
      </c>
      <c r="BC60" s="22">
        <f>tabCustoUnit[[#This Row],[Intervalo para Repouso ou Alimentação]]</f>
        <v>0</v>
      </c>
      <c r="BD6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0" s="22">
        <f>tabCustoUnit[[#This Row],[Suspensão Temporária do Contrato de Trabalho]]</f>
        <v>0</v>
      </c>
      <c r="BF60" s="22">
        <f>tabCustoUnit[[#This Row],[Submódulo 4.1]]+tabCustoUnit[[#This Row],[Submódulo 4.2]]+tabCustoUnit[[#This Row],[Submódulo 4.3]]</f>
        <v>99.357699168321403</v>
      </c>
      <c r="BG60" s="22">
        <f>VLOOKUP(tabCustoUnit[[#This Row],[Código do Posto]],tabParametros[],MATCH(tabCustoUnit[[#Headers],[Uniformes e EPIs]],tabParametros[#Headers],0),0)</f>
        <v>92.100763771570712</v>
      </c>
      <c r="BH60" s="22">
        <f>VLOOKUP(tabCustoUnit[[#This Row],[Código do Posto]],tabParametros[],MATCH(tabCustoUnit[[#Headers],[Materiais de Consumo]],tabParametros[#Headers],0),0)</f>
        <v>0</v>
      </c>
      <c r="BI60" s="22">
        <f>VLOOKUP(tabCustoUnit[[#This Row],[Código do Posto]],tabParametros[],MATCH(tabCustoUnit[[#Headers],[Máquinas e Equipamentos (depreciação)]],tabParametros[#Headers],0),0)</f>
        <v>0</v>
      </c>
      <c r="BJ60" s="22">
        <f>VLOOKUP(tabCustoUnit[[#This Row],[Código do Posto]],tabParametros[],MATCH(tabCustoUnit[[#Headers],[Produtos de Limpeza e Materiais de Higiene Pessoal]],tabParametros[#Headers],0),0)</f>
        <v>0</v>
      </c>
      <c r="BK60" s="22">
        <f>VLOOKUP(tabCustoUnit[[#This Row],[Código do Posto]],tabParametros[],MATCH(tabCustoUnit[[#Headers],[Outros (especificar)]],tabParametros[#Headers],0),0)</f>
        <v>0</v>
      </c>
      <c r="BL60" s="22">
        <f>SUM(tabCustoUnit[[#This Row],[Uniformes e EPIs]:[Outros (especificar)]])</f>
        <v>92.100763771570712</v>
      </c>
      <c r="BM6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0" s="22" t="e">
        <f ca="1">VLOOKUP(tabCustoUnit[[#This Row],[Código do Posto]],tabParametros[],MATCH(tabCustoUnit[[#Headers],[Custos Indiretos]],tabParametros[#Headers],0),0)</f>
        <v>#NAME?</v>
      </c>
      <c r="BO60" s="22" t="e">
        <f ca="1">VLOOKUP(tabCustoUnit[[#This Row],[Código do Posto]],tabParametros[],MATCH(tabCustoUnit[[#Headers],[Lucro]],tabParametros[#Headers],0),0)</f>
        <v>#NAME?</v>
      </c>
      <c r="BP60" s="26">
        <f>((100/((1-tabCustoUnit[[#This Row],[Resumo de Alíquotas (PIS+CONFINS+ISS)]]))-100)*VLOOKUP(tabCustoUnit[[#This Row],[Código do Posto]],tabParametros[],MATCH(tabCustoUnit[[#Headers],[COFINS]],tabParametros[#Headers],0),0))/(tabCustoUnit[[#This Row],[Resumo de Alíquotas (PIS+CONFINS+ISS)]]*100)</f>
        <v>8.8629737609329504E-2</v>
      </c>
      <c r="BQ60" s="26">
        <f>((100/((100-(tabCustoUnit[[#This Row],[Resumo de Alíquotas (PIS+CONFINS+ISS)]]*100))%)-100)*VLOOKUP(tabCustoUnit[[#This Row],[Código do Posto]],tabParametros[],MATCH(tabCustoUnit[[#Headers],[PIS]],tabParametros[#Headers],0),0))/(tabCustoUnit[[#This Row],[Resumo de Alíquotas (PIS+CONFINS+ISS)]]*100)</f>
        <v>1.9241982507288629E-2</v>
      </c>
      <c r="BR60" s="28">
        <f>VLOOKUP(tabCustoUnit[[#This Row],[Código do Posto]],tabParametros[],MATCH(tabCustoUnit[[#Headers],[ISS]],tabParametros[#Headers],0),0)</f>
        <v>0.05</v>
      </c>
      <c r="BS60" s="26">
        <f>(((100/((100-(tabCustoUnit[[#This Row],[Resumo de Alíquotas (PIS+CONFINS+ISS)]]*100))%)-100)*tabCustoUnit[[#This Row],[ISS]])/tabCustoUnit[[#This Row],[Resumo de Alíquotas (PIS+CONFINS+ISS)]])/100</f>
        <v>5.8309037900874633E-2</v>
      </c>
      <c r="BT6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0" s="138">
        <f>tabCustoUnit[[#This Row],[COFINS]]+tabCustoUnit[[#This Row],[PIS]]+tabCustoUnit[[#This Row],[ISS (Conversão Alíquota s/ fatura)]]</f>
        <v>0.16618075801749277</v>
      </c>
      <c r="BV60" s="22" t="e">
        <f ca="1">(tabCustoUnit[[#This Row],[TOTAL MÓDULOS 1+2+3+4+5]]+tabCustoUnit[[#This Row],[Custos Indiretos]]+tabCustoUnit[[#This Row],[Lucro]])*tabCustoUnit[[#This Row],[PIS + COFINS + ISS (Total Conversão  Alíquota s/ Fatura)]]</f>
        <v>#NAME?</v>
      </c>
      <c r="BW60" s="22" t="e">
        <f ca="1">tabCustoUnit[[#This Row],[Custos Indiretos]]+tabCustoUnit[[#This Row],[Lucro]]+tabCustoUnit[[#This Row],[Valor dos Tributos (ISS, PIS, CONFINS)]]</f>
        <v>#NAME?</v>
      </c>
      <c r="BX60" s="22" t="e">
        <f ca="1">tabCustoUnit[[#This Row],[TOTAL MÓDULOS 1+2+3+4+5]]+tabCustoUnit[[#This Row],[MÓDULO 6 – CUSTOS INDIRETOS, TRIBUTOS E LUCRO]]</f>
        <v>#NAME?</v>
      </c>
      <c r="BY60" s="22" t="e">
        <f ca="1">tabCustoUnit[[#This Row],[CUSTO TOTAL MENSAL]]*12</f>
        <v>#NAME?</v>
      </c>
      <c r="BZ60" s="24">
        <f>VLOOKUP(tabCustoUnit[[#This Row],[Código do Posto]],tabParametros[],MATCH(tabCustoUnit[[#Headers],[ANO DA CCT]],tabParametros[#Headers],0),0)</f>
        <v>45658</v>
      </c>
      <c r="CA60" s="25" t="str">
        <f>VLOOKUP(tabCustoUnit[[#This Row],[Código do Posto]],tabParametros[],MATCH(tabCustoUnit[[#Headers],[Nº DE PEDIDO DA CCT]],tabParametros[#Headers],0),0)</f>
        <v>-</v>
      </c>
      <c r="CB60" s="25" t="str">
        <f>VLOOKUP(tabCustoUnit[[#This Row],[Código do Posto]],tabParametros[],MATCH(tabCustoUnit[[#Headers],[TERMO ADITIVO ALTERAÇÃO DA CCT]],tabParametros[#Headers],0),0)</f>
        <v>-</v>
      </c>
    </row>
    <row r="61" spans="1:80">
      <c r="A61" s="20" t="s">
        <v>1549</v>
      </c>
      <c r="B61" t="s">
        <v>1103</v>
      </c>
      <c r="C61" t="s">
        <v>274</v>
      </c>
      <c r="D61" t="s">
        <v>977</v>
      </c>
      <c r="E61" s="20" t="s">
        <v>1090</v>
      </c>
      <c r="F61" s="20" t="s">
        <v>135</v>
      </c>
      <c r="G61" s="418">
        <v>4558.0709999999999</v>
      </c>
      <c r="H61" s="418">
        <v>0</v>
      </c>
      <c r="I61" s="418">
        <v>0</v>
      </c>
      <c r="J61" s="418">
        <v>0</v>
      </c>
      <c r="K61" s="418">
        <v>0</v>
      </c>
      <c r="L61" s="418">
        <v>0</v>
      </c>
      <c r="M61" s="418">
        <v>0</v>
      </c>
      <c r="N61" s="418">
        <v>0</v>
      </c>
      <c r="O61" s="21">
        <f>SUM(tabCustoUnit[[#This Row],[Salário Base]:[Adicional de Acúmulo de função]])</f>
        <v>4558.0709999999999</v>
      </c>
      <c r="P61" s="21">
        <f>tabCustoUnit[[#This Row],[MODULO 1 - REMUNERAÇÃO ]]*SUMIFS(tabParametros[INSS],tabParametros[Código do Posto],tabCustoUnit[[#This Row],[Código do Posto]])</f>
        <v>911.61419999999998</v>
      </c>
      <c r="Q61" s="21">
        <f>tabCustoUnit[[#This Row],[MODULO 1 - REMUNERAÇÃO ]]*SUMIFS(tabParametros[SESI OU SESC],tabParametros[Código do Posto],tabCustoUnit[[#This Row],[Código do Posto]])</f>
        <v>68.371065000000002</v>
      </c>
      <c r="R61" s="21">
        <f>tabCustoUnit[[#This Row],[MODULO 1 - REMUNERAÇÃO ]]*SUMIFS(tabParametros[SENAI OU SENAC],tabParametros[Código do Posto],tabCustoUnit[[#This Row],[Código do Posto]])</f>
        <v>45.580710000000003</v>
      </c>
      <c r="S61" s="21">
        <f>tabCustoUnit[[#This Row],[MODULO 1 - REMUNERAÇÃO ]]*SUMIFS(tabParametros[INCRA],tabParametros[Código do Posto],tabCustoUnit[[#This Row],[Código do Posto]])</f>
        <v>9.116142</v>
      </c>
      <c r="T61" s="21">
        <f>tabCustoUnit[[#This Row],[MODULO 1 - REMUNERAÇÃO ]]*SUMIFS(tabParametros[Salário Educação],tabParametros[Código do Posto],tabCustoUnit[[#This Row],[Código do Posto]])</f>
        <v>113.951775</v>
      </c>
      <c r="U61" s="21">
        <f>tabCustoUnit[[#This Row],[MODULO 1 - REMUNERAÇÃO ]]*SUMIFS(tabParametros[FGTS],tabParametros[Código do Posto],tabCustoUnit[[#This Row],[Código do Posto]])</f>
        <v>364.64568000000003</v>
      </c>
      <c r="V61" s="21">
        <f>tabCustoUnit[[#This Row],[MODULO 1 - REMUNERAÇÃO ]]*SUMIFS(tabParametros[RAT Ajustado],tabParametros[Código do Posto],tabCustoUnit[[#This Row],[Código do Posto]])</f>
        <v>182.32284000000001</v>
      </c>
      <c r="W61" s="21">
        <f>tabCustoUnit[[#This Row],[MODULO 1 - REMUNERAÇÃO ]]*SUMIFS(tabParametros[SEBRAE],tabParametros[Código do Posto],tabCustoUnit[[#This Row],[Código do Posto]])</f>
        <v>27.348426</v>
      </c>
      <c r="X61" s="21">
        <f>SUM(tabCustoUnit[[#This Row],[INSS]:[SEBRAE]])</f>
        <v>1722.9508380000002</v>
      </c>
      <c r="Y61" s="21">
        <f>tabCustoUnit[[#This Row],[MODULO 1 - REMUNERAÇÃO ]]*SUMIFS(tabParametros[13º salário (titular)],tabParametros[Código do Posto],tabCustoUnit[[#This Row],[Código do Posto]])</f>
        <v>379.83924999999999</v>
      </c>
      <c r="Z61" s="21">
        <f>tabCustoUnit[[#This Row],[MODULO 1 - REMUNERAÇÃO ]]*SUMIFS(tabParametros[Férias e Adicional de Férias (titular)],tabParametros[Código do Posto],tabCustoUnit[[#This Row],[Código do Posto]])</f>
        <v>506.45233333333329</v>
      </c>
      <c r="AA61" s="21">
        <f>IFERROR((tabCustoUnit[[#This Row],[Submódulo 2.1]]/tabCustoUnit[[#This Row],[MODULO 1 - REMUNERAÇÃO ]])*SUM(tabCustoUnit[[#This Row],[13º salário (titular)]:[Férias e Adicional de Férias (titular)]]),0)</f>
        <v>335.01821850000005</v>
      </c>
      <c r="AB61" s="21">
        <f>SUM(tabCustoUnit[[#This Row],[13º salário (titular)]:[Incidência do Submódulo 2.1 sobre 13º Salário, Férias e Adicional de Férias]])</f>
        <v>1221.3098018333333</v>
      </c>
      <c r="AC61" s="22" t="e">
        <f ca="1">_xlfn.LET(_xlpm.VT,SUMIF(tabParametros[Código do Posto],tabCustoUnit[[#This Row],[Código do Posto]],tabParametros[Vale - Transporte])*2*20,
IF((_xlpm.VT-tabCustoUnit[[#This Row],[Salário Base]]*0.06)&gt;=0,(_xlpm.VT-tabCustoUnit[[#This Row],[Salário Base]]*0.06),0)
)</f>
        <v>#NAME?</v>
      </c>
      <c r="AD61" s="22">
        <f>IF(SUMIF(tabParametros[Código do Posto],tabCustoUnit[[#This Row],[Código do Posto]],tabParametros[Vale - Alimentação])&lt;=0,0,
SUMIF(tabParametros[Código do Posto],tabCustoUnit[[#This Row],[Código do Posto]],tabParametros[Vale - Alimentação])*20-1)</f>
        <v>578.4</v>
      </c>
      <c r="AE61" s="22">
        <f>SUMIF(tabParametros[Código do Posto],tabCustoUnit[[#This Row],[Código do Posto]],tabParametros[Cesta Básica])</f>
        <v>0</v>
      </c>
      <c r="AF61" s="22">
        <f>SUMIF(tabParametros[Código do Posto],tabCustoUnit[[#This Row],[Código do Posto]],tabParametros[PAF])</f>
        <v>18.350000000000001</v>
      </c>
      <c r="AG61" s="22">
        <f>SUMIF(tabParametros[Código do Posto],tabCustoUnit[[#This Row],[Código do Posto]],tabParametros[PQM])</f>
        <v>0</v>
      </c>
      <c r="AH61" s="22">
        <f>SUMIF(tabParametros[Código do Posto],tabCustoUnit[[#This Row],[Código do Posto]],tabParametros[Abono Único e Especial])</f>
        <v>0</v>
      </c>
      <c r="AI61" s="22">
        <f>SUMIF(tabParametros[Código do Posto],tabCustoUnit[[#This Row],[Código do Posto]],tabParametros[Seguro de Vida])</f>
        <v>3.36</v>
      </c>
      <c r="AJ61" s="22">
        <f>SUMIF(tabParametros[Código do Posto],tabCustoUnit[[#This Row],[Código do Posto]],tabParametros[Despesas de Viagem])</f>
        <v>662.42</v>
      </c>
      <c r="AK61" s="22" t="e">
        <f ca="1">SUM(tabCustoUnit[[#This Row],[Vale - Transporte (Descontada parcela do empregado)]:[Despesas de Viagem]])</f>
        <v>#NAME?</v>
      </c>
      <c r="AL61" s="22" t="e">
        <f ca="1">tabCustoUnit[[#This Row],[Submódulo 2.1]]+tabCustoUnit[[#This Row],[Submódulo 2.2]]+tabCustoUnit[[#This Row],[Submódulo 2.3]]</f>
        <v>#NAME?</v>
      </c>
      <c r="AM61" s="22">
        <f>SUMIF(tabParametros[Código do Posto],tabCustoUnit[[#This Row],[Código do Posto]],tabParametros[Aviso Prévio Indenizado (API) e Reflexo do Aviso Prévio Indenizado])*tabCustoUnit[[#This Row],[MODULO 1 - REMUNERAÇÃO ]]</f>
        <v>31.960131708912037</v>
      </c>
      <c r="AN61" s="22">
        <f>SUMIF(tabParametros[Código do Posto],tabCustoUnit[[#This Row],[Código do Posto]],tabParametros[Incidência do FGTS sobre API e Reflexo do API])*tabCustoUnit[[#This Row],[MODULO 1 - REMUNERAÇÃO ]]</f>
        <v>2.556810536712963</v>
      </c>
      <c r="AO61" s="22">
        <f>SUMIF(tabParametros[Código do Posto],tabCustoUnit[[#This Row],[Código do Posto]],tabParametros[Multa Rescisória do FGTS sobre o Aviso Prévio Indenizado])*tabCustoUnit[[#This Row],[MODULO 1 - REMUNERAÇÃO ]]</f>
        <v>1.0227242146851854</v>
      </c>
      <c r="AP61" s="22">
        <f>SUMIF(tabParametros[Código do Posto],tabCustoUnit[[#This Row],[Código do Posto]],tabParametros[Aviso Prévio Trabalhado - APT])*tabCustoUnit[[#This Row],[MODULO 1 - REMUNERAÇÃO ]]</f>
        <v>15.953248500000003</v>
      </c>
      <c r="AQ61" s="22">
        <f>SUMIF(tabParametros[Código do Posto],tabCustoUnit[[#This Row],[Código do Posto]],tabParametros[Incidência dos encargos do submódulo 2.1 sobre Aviso Prévio Trabalhado])*tabCustoUnit[[#This Row],[MODULO 1 - REMUNERAÇÃO ]]</f>
        <v>6.0303279330000015</v>
      </c>
      <c r="AR61" s="22">
        <f>SUMIF(tabParametros[Código do Posto],tabCustoUnit[[#This Row],[Código do Posto]],tabParametros[Multa Rescisória do FGTS])*tabCustoUnit[[#This Row],[MODULO 1 - REMUNERAÇÃO ]]</f>
        <v>139.3756821333333</v>
      </c>
      <c r="AS61" s="22">
        <f>SUMIF(tabParametros[Código do Posto],tabCustoUnit[[#This Row],[Código do Posto]],tabParametros[Indenização Adicional (Art. 9º da Lei nº 7.238/84)])*tabCustoUnit[[#This Row],[MODULO 1 - REMUNERAÇÃO ]]</f>
        <v>3.7983925000000003</v>
      </c>
      <c r="AT61" s="22">
        <f>SUM(tabCustoUnit[[#This Row],[Aviso Prévio Indenizado (API) e Reflexo do Aviso Prévio Indenizado]:[Indenização Adicional (Art. 9º da Lei nº 7.238/84)]])</f>
        <v>200.6973175266435</v>
      </c>
      <c r="AU61" s="22">
        <f>SUMIF(tabParametros[Código do Posto],tabCustoUnit[[#This Row],[Código do Posto]],tabParametros[Ausência por Doença])*tabCustoUnit[[#This Row],[MODULO 1 - REMUNERAÇÃO ]]</f>
        <v>38.490377333333328</v>
      </c>
      <c r="AV61" s="22">
        <f>SUMIF(tabParametros[Código do Posto],tabCustoUnit[[#This Row],[Código do Posto]],tabParametros[Ausências Legais])*tabCustoUnit[[#This Row],[MODULO 1 - REMUNERAÇÃO ]]</f>
        <v>9.2427550833333321</v>
      </c>
      <c r="AW61" s="22">
        <f>SUMIF(tabParametros[Código do Posto],tabCustoUnit[[#This Row],[Código do Posto]],tabParametros[Licença Paternidade])*tabCustoUnit[[#This Row],[MODULO 1 - REMUNERAÇÃO ]]</f>
        <v>0.77867046249999994</v>
      </c>
      <c r="AX61" s="22">
        <f>SUMIF(tabParametros[Código do Posto],tabCustoUnit[[#This Row],[Código do Posto]],tabParametros[Ausência por Acidente de Trabalho])*tabCustoUnit[[#This Row],[MODULO 1 - REMUNERAÇÃO ]]</f>
        <v>0.94959812500000007</v>
      </c>
      <c r="AY61" s="22">
        <f>SUMIF(tabParametros[Código do Posto],tabCustoUnit[[#This Row],[Código do Posto]],tabParametros[Férias, Adicional de Férias e 13º  com empregada em gozo de Licença Maternidade])*tabCustoUnit[[#This Row],[MODULO 1 - REMUNERAÇÃO ]]</f>
        <v>5.9086105555555557</v>
      </c>
      <c r="AZ61" s="22">
        <f>SUMIF(tabParametros[Código do Posto],tabCustoUnit[[#This Row],[Código do Posto]],tabParametros[Incidência do Submódulo 2.1 sobre Ausências Legais])*tabCustoUnit[[#This Row],[MODULO 1 - REMUNERAÇÃO ]]</f>
        <v>20.929864369575004</v>
      </c>
      <c r="BA61" s="22">
        <f>SUM(tabCustoUnit[[#This Row],[Ausência por Doença]:[Incidência do Submódulo 2.1 sobre Ausências Legais]])</f>
        <v>76.29987592929723</v>
      </c>
      <c r="BB61" s="22">
        <f>SUMIF(tabParametros[Código do Posto],tabCustoUnit[[#This Row],[Código do Posto]],tabParametros[Intervalo para Repouso ou Alimentação])</f>
        <v>0</v>
      </c>
      <c r="BC61" s="22">
        <f>tabCustoUnit[[#This Row],[Intervalo para Repouso ou Alimentação]]</f>
        <v>0</v>
      </c>
      <c r="BD6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1" s="22">
        <f>tabCustoUnit[[#This Row],[Suspensão Temporária do Contrato de Trabalho]]</f>
        <v>0</v>
      </c>
      <c r="BF61" s="22">
        <f>tabCustoUnit[[#This Row],[Submódulo 4.1]]+tabCustoUnit[[#This Row],[Submódulo 4.2]]+tabCustoUnit[[#This Row],[Submódulo 4.3]]</f>
        <v>76.29987592929723</v>
      </c>
      <c r="BG61" s="22">
        <f>VLOOKUP(tabCustoUnit[[#This Row],[Código do Posto]],tabParametros[],MATCH(tabCustoUnit[[#Headers],[Uniformes e EPIs]],tabParametros[#Headers],0),0)</f>
        <v>92.100763771570698</v>
      </c>
      <c r="BH61" s="22">
        <f>VLOOKUP(tabCustoUnit[[#This Row],[Código do Posto]],tabParametros[],MATCH(tabCustoUnit[[#Headers],[Materiais de Consumo]],tabParametros[#Headers],0),0)</f>
        <v>0</v>
      </c>
      <c r="BI61" s="22">
        <f>VLOOKUP(tabCustoUnit[[#This Row],[Código do Posto]],tabParametros[],MATCH(tabCustoUnit[[#Headers],[Máquinas e Equipamentos (depreciação)]],tabParametros[#Headers],0),0)</f>
        <v>0</v>
      </c>
      <c r="BJ61" s="22">
        <f>VLOOKUP(tabCustoUnit[[#This Row],[Código do Posto]],tabParametros[],MATCH(tabCustoUnit[[#Headers],[Produtos de Limpeza e Materiais de Higiene Pessoal]],tabParametros[#Headers],0),0)</f>
        <v>0</v>
      </c>
      <c r="BK61" s="22">
        <f>VLOOKUP(tabCustoUnit[[#This Row],[Código do Posto]],tabParametros[],MATCH(tabCustoUnit[[#Headers],[Outros (especificar)]],tabParametros[#Headers],0),0)</f>
        <v>0</v>
      </c>
      <c r="BL61" s="22">
        <f>SUM(tabCustoUnit[[#This Row],[Uniformes e EPIs]:[Outros (especificar)]])</f>
        <v>92.100763771570698</v>
      </c>
      <c r="BM6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1" s="22" t="e">
        <f ca="1">VLOOKUP(tabCustoUnit[[#This Row],[Código do Posto]],tabParametros[],MATCH(tabCustoUnit[[#Headers],[Custos Indiretos]],tabParametros[#Headers],0),0)</f>
        <v>#NAME?</v>
      </c>
      <c r="BO61" s="22" t="e">
        <f ca="1">VLOOKUP(tabCustoUnit[[#This Row],[Código do Posto]],tabParametros[],MATCH(tabCustoUnit[[#Headers],[Lucro]],tabParametros[#Headers],0),0)</f>
        <v>#NAME?</v>
      </c>
      <c r="BP61" s="26">
        <f>((100/((1-tabCustoUnit[[#This Row],[Resumo de Alíquotas (PIS+CONFINS+ISS)]]))-100)*VLOOKUP(tabCustoUnit[[#This Row],[Código do Posto]],tabParametros[],MATCH(tabCustoUnit[[#Headers],[COFINS]],tabParametros[#Headers],0),0))/(tabCustoUnit[[#This Row],[Resumo de Alíquotas (PIS+CONFINS+ISS)]]*100)</f>
        <v>8.8629737609329504E-2</v>
      </c>
      <c r="BQ61" s="26">
        <f>((100/((100-(tabCustoUnit[[#This Row],[Resumo de Alíquotas (PIS+CONFINS+ISS)]]*100))%)-100)*VLOOKUP(tabCustoUnit[[#This Row],[Código do Posto]],tabParametros[],MATCH(tabCustoUnit[[#Headers],[PIS]],tabParametros[#Headers],0),0))/(tabCustoUnit[[#This Row],[Resumo de Alíquotas (PIS+CONFINS+ISS)]]*100)</f>
        <v>1.9241982507288629E-2</v>
      </c>
      <c r="BR61" s="28">
        <f>VLOOKUP(tabCustoUnit[[#This Row],[Código do Posto]],tabParametros[],MATCH(tabCustoUnit[[#Headers],[ISS]],tabParametros[#Headers],0),0)</f>
        <v>0.05</v>
      </c>
      <c r="BS61" s="26">
        <f>(((100/((100-(tabCustoUnit[[#This Row],[Resumo de Alíquotas (PIS+CONFINS+ISS)]]*100))%)-100)*tabCustoUnit[[#This Row],[ISS]])/tabCustoUnit[[#This Row],[Resumo de Alíquotas (PIS+CONFINS+ISS)]])/100</f>
        <v>5.8309037900874633E-2</v>
      </c>
      <c r="BT6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1" s="138">
        <f>tabCustoUnit[[#This Row],[COFINS]]+tabCustoUnit[[#This Row],[PIS]]+tabCustoUnit[[#This Row],[ISS (Conversão Alíquota s/ fatura)]]</f>
        <v>0.16618075801749277</v>
      </c>
      <c r="BV61" s="22" t="e">
        <f ca="1">(tabCustoUnit[[#This Row],[TOTAL MÓDULOS 1+2+3+4+5]]+tabCustoUnit[[#This Row],[Custos Indiretos]]+tabCustoUnit[[#This Row],[Lucro]])*tabCustoUnit[[#This Row],[PIS + COFINS + ISS (Total Conversão  Alíquota s/ Fatura)]]</f>
        <v>#NAME?</v>
      </c>
      <c r="BW61" s="22" t="e">
        <f ca="1">tabCustoUnit[[#This Row],[Custos Indiretos]]+tabCustoUnit[[#This Row],[Lucro]]+tabCustoUnit[[#This Row],[Valor dos Tributos (ISS, PIS, CONFINS)]]</f>
        <v>#NAME?</v>
      </c>
      <c r="BX61" s="22" t="e">
        <f ca="1">tabCustoUnit[[#This Row],[TOTAL MÓDULOS 1+2+3+4+5]]+tabCustoUnit[[#This Row],[MÓDULO 6 – CUSTOS INDIRETOS, TRIBUTOS E LUCRO]]</f>
        <v>#NAME?</v>
      </c>
      <c r="BY61" s="22" t="e">
        <f ca="1">tabCustoUnit[[#This Row],[CUSTO TOTAL MENSAL]]*12</f>
        <v>#NAME?</v>
      </c>
      <c r="BZ61" s="24">
        <f>VLOOKUP(tabCustoUnit[[#This Row],[Código do Posto]],tabParametros[],MATCH(tabCustoUnit[[#Headers],[ANO DA CCT]],tabParametros[#Headers],0),0)</f>
        <v>45658</v>
      </c>
      <c r="CA61" s="25" t="str">
        <f>VLOOKUP(tabCustoUnit[[#This Row],[Código do Posto]],tabParametros[],MATCH(tabCustoUnit[[#Headers],[Nº DE PEDIDO DA CCT]],tabParametros[#Headers],0),0)</f>
        <v>-</v>
      </c>
      <c r="CB61" s="25" t="str">
        <f>VLOOKUP(tabCustoUnit[[#This Row],[Código do Posto]],tabParametros[],MATCH(tabCustoUnit[[#Headers],[TERMO ADITIVO ALTERAÇÃO DA CCT]],tabParametros[#Headers],0),0)</f>
        <v>-</v>
      </c>
    </row>
    <row r="62" spans="1:80">
      <c r="A62" s="20" t="s">
        <v>1437</v>
      </c>
      <c r="B62" t="s">
        <v>1103</v>
      </c>
      <c r="C62" t="s">
        <v>284</v>
      </c>
      <c r="D62" t="s">
        <v>1054</v>
      </c>
      <c r="E62" s="20" t="s">
        <v>1090</v>
      </c>
      <c r="F62" s="20" t="s">
        <v>120</v>
      </c>
      <c r="G62" s="418">
        <v>1833.8513</v>
      </c>
      <c r="H62" s="418">
        <v>0</v>
      </c>
      <c r="I62" s="418">
        <v>0</v>
      </c>
      <c r="J62" s="418">
        <v>0</v>
      </c>
      <c r="K62" s="418">
        <v>0</v>
      </c>
      <c r="L62" s="418">
        <v>0</v>
      </c>
      <c r="M62" s="418">
        <v>0</v>
      </c>
      <c r="N62" s="418">
        <v>0</v>
      </c>
      <c r="O62" s="21">
        <f>SUM(tabCustoUnit[[#This Row],[Salário Base]:[Adicional de Acúmulo de função]])</f>
        <v>1833.8513</v>
      </c>
      <c r="P62" s="21">
        <f>tabCustoUnit[[#This Row],[MODULO 1 - REMUNERAÇÃO ]]*SUMIFS(tabParametros[INSS],tabParametros[Código do Posto],tabCustoUnit[[#This Row],[Código do Posto]])</f>
        <v>366.77026000000001</v>
      </c>
      <c r="Q62" s="21">
        <f>tabCustoUnit[[#This Row],[MODULO 1 - REMUNERAÇÃO ]]*SUMIFS(tabParametros[SESI OU SESC],tabParametros[Código do Posto],tabCustoUnit[[#This Row],[Código do Posto]])</f>
        <v>27.507769499999998</v>
      </c>
      <c r="R62" s="21">
        <f>tabCustoUnit[[#This Row],[MODULO 1 - REMUNERAÇÃO ]]*SUMIFS(tabParametros[SENAI OU SENAC],tabParametros[Código do Posto],tabCustoUnit[[#This Row],[Código do Posto]])</f>
        <v>18.338513000000003</v>
      </c>
      <c r="S62" s="21">
        <f>tabCustoUnit[[#This Row],[MODULO 1 - REMUNERAÇÃO ]]*SUMIFS(tabParametros[INCRA],tabParametros[Código do Posto],tabCustoUnit[[#This Row],[Código do Posto]])</f>
        <v>3.6677026000000001</v>
      </c>
      <c r="T62" s="21">
        <f>tabCustoUnit[[#This Row],[MODULO 1 - REMUNERAÇÃO ]]*SUMIFS(tabParametros[Salário Educação],tabParametros[Código do Posto],tabCustoUnit[[#This Row],[Código do Posto]])</f>
        <v>45.846282500000001</v>
      </c>
      <c r="U62" s="21">
        <f>tabCustoUnit[[#This Row],[MODULO 1 - REMUNERAÇÃO ]]*SUMIFS(tabParametros[FGTS],tabParametros[Código do Posto],tabCustoUnit[[#This Row],[Código do Posto]])</f>
        <v>146.70810400000002</v>
      </c>
      <c r="V62" s="21">
        <f>tabCustoUnit[[#This Row],[MODULO 1 - REMUNERAÇÃO ]]*SUMIFS(tabParametros[RAT Ajustado],tabParametros[Código do Posto],tabCustoUnit[[#This Row],[Código do Posto]])</f>
        <v>73.35405200000001</v>
      </c>
      <c r="W62" s="21">
        <f>tabCustoUnit[[#This Row],[MODULO 1 - REMUNERAÇÃO ]]*SUMIFS(tabParametros[SEBRAE],tabParametros[Código do Posto],tabCustoUnit[[#This Row],[Código do Posto]])</f>
        <v>11.0031078</v>
      </c>
      <c r="X62" s="21">
        <f>SUM(tabCustoUnit[[#This Row],[INSS]:[SEBRAE]])</f>
        <v>693.19579139999996</v>
      </c>
      <c r="Y62" s="21">
        <f>tabCustoUnit[[#This Row],[MODULO 1 - REMUNERAÇÃO ]]*SUMIFS(tabParametros[13º salário (titular)],tabParametros[Código do Posto],tabCustoUnit[[#This Row],[Código do Posto]])</f>
        <v>152.82094166666667</v>
      </c>
      <c r="Z62" s="21">
        <f>tabCustoUnit[[#This Row],[MODULO 1 - REMUNERAÇÃO ]]*SUMIFS(tabParametros[Férias e Adicional de Férias (titular)],tabParametros[Código do Posto],tabCustoUnit[[#This Row],[Código do Posto]])</f>
        <v>203.76125555555555</v>
      </c>
      <c r="AA62" s="21">
        <f>IFERROR((tabCustoUnit[[#This Row],[Submódulo 2.1]]/tabCustoUnit[[#This Row],[MODULO 1 - REMUNERAÇÃO ]])*SUM(tabCustoUnit[[#This Row],[13º salário (titular)]:[Férias e Adicional de Férias (titular)]]),0)</f>
        <v>134.78807054999999</v>
      </c>
      <c r="AB62" s="21">
        <f>SUM(tabCustoUnit[[#This Row],[13º salário (titular)]:[Incidência do Submódulo 2.1 sobre 13º Salário, Férias e Adicional de Férias]])</f>
        <v>491.37026777222223</v>
      </c>
      <c r="AC62" s="22" t="e">
        <f ca="1">_xlfn.LET(_xlpm.VT,SUMIF(tabParametros[Código do Posto],tabCustoUnit[[#This Row],[Código do Posto]],tabParametros[Vale - Transporte])*2*20,
IF((_xlpm.VT-tabCustoUnit[[#This Row],[Salário Base]]*0.06)&gt;=0,(_xlpm.VT-tabCustoUnit[[#This Row],[Salário Base]]*0.06),0)
)</f>
        <v>#NAME?</v>
      </c>
      <c r="AD62" s="22">
        <f>IF(SUMIF(tabParametros[Código do Posto],tabCustoUnit[[#This Row],[Código do Posto]],tabParametros[Vale - Alimentação])&lt;=0,0,
SUMIF(tabParametros[Código do Posto],tabCustoUnit[[#This Row],[Código do Posto]],tabParametros[Vale - Alimentação])*20-1)</f>
        <v>581.79999999999995</v>
      </c>
      <c r="AE62" s="22">
        <f>SUMIF(tabParametros[Código do Posto],tabCustoUnit[[#This Row],[Código do Posto]],tabParametros[Cesta Básica])</f>
        <v>0</v>
      </c>
      <c r="AF62" s="22">
        <f>SUMIF(tabParametros[Código do Posto],tabCustoUnit[[#This Row],[Código do Posto]],tabParametros[PAF])</f>
        <v>51.73</v>
      </c>
      <c r="AG62" s="22">
        <f>SUMIF(tabParametros[Código do Posto],tabCustoUnit[[#This Row],[Código do Posto]],tabParametros[PQM])</f>
        <v>0</v>
      </c>
      <c r="AH62" s="22">
        <f>SUMIF(tabParametros[Código do Posto],tabCustoUnit[[#This Row],[Código do Posto]],tabParametros[Abono Único e Especial])</f>
        <v>0</v>
      </c>
      <c r="AI62" s="22">
        <f>SUMIF(tabParametros[Código do Posto],tabCustoUnit[[#This Row],[Código do Posto]],tabParametros[Seguro de Vida])</f>
        <v>3.36</v>
      </c>
      <c r="AJ62" s="22">
        <f>SUMIF(tabParametros[Código do Posto],tabCustoUnit[[#This Row],[Código do Posto]],tabParametros[Despesas de Viagem])</f>
        <v>202.08</v>
      </c>
      <c r="AK62" s="22" t="e">
        <f ca="1">SUM(tabCustoUnit[[#This Row],[Vale - Transporte (Descontada parcela do empregado)]:[Despesas de Viagem]])</f>
        <v>#NAME?</v>
      </c>
      <c r="AL62" s="22" t="e">
        <f ca="1">tabCustoUnit[[#This Row],[Submódulo 2.1]]+tabCustoUnit[[#This Row],[Submódulo 2.2]]+tabCustoUnit[[#This Row],[Submódulo 2.3]]</f>
        <v>#NAME?</v>
      </c>
      <c r="AM62" s="22">
        <f>SUMIF(tabParametros[Código do Posto],tabCustoUnit[[#This Row],[Código do Posto]],tabParametros[Aviso Prévio Indenizado (API) e Reflexo do Aviso Prévio Indenizado])*tabCustoUnit[[#This Row],[MODULO 1 - REMUNERAÇÃO ]]</f>
        <v>12.858537982966821</v>
      </c>
      <c r="AN62" s="22">
        <f>SUMIF(tabParametros[Código do Posto],tabCustoUnit[[#This Row],[Código do Posto]],tabParametros[Incidência do FGTS sobre API e Reflexo do API])*tabCustoUnit[[#This Row],[MODULO 1 - REMUNERAÇÃO ]]</f>
        <v>1.0286830386373458</v>
      </c>
      <c r="AO62" s="22">
        <f>SUMIF(tabParametros[Código do Posto],tabCustoUnit[[#This Row],[Código do Posto]],tabParametros[Multa Rescisória do FGTS sobre o Aviso Prévio Indenizado])*tabCustoUnit[[#This Row],[MODULO 1 - REMUNERAÇÃO ]]</f>
        <v>0.41147321545493837</v>
      </c>
      <c r="AP62" s="22">
        <f>SUMIF(tabParametros[Código do Posto],tabCustoUnit[[#This Row],[Código do Posto]],tabParametros[Aviso Prévio Trabalhado - APT])*tabCustoUnit[[#This Row],[MODULO 1 - REMUNERAÇÃO ]]</f>
        <v>6.4184795500000007</v>
      </c>
      <c r="AQ62" s="22">
        <f>SUMIF(tabParametros[Código do Posto],tabCustoUnit[[#This Row],[Código do Posto]],tabParametros[Incidência dos encargos do submódulo 2.1 sobre Aviso Prévio Trabalhado])*tabCustoUnit[[#This Row],[MODULO 1 - REMUNERAÇÃO ]]</f>
        <v>2.4261852699000008</v>
      </c>
      <c r="AR62" s="22">
        <f>SUMIF(tabParametros[Código do Posto],tabCustoUnit[[#This Row],[Código do Posto]],tabParametros[Multa Rescisória do FGTS])*tabCustoUnit[[#This Row],[MODULO 1 - REMUNERAÇÃO ]]</f>
        <v>56.075097528888882</v>
      </c>
      <c r="AS62" s="22">
        <f>SUMIF(tabParametros[Código do Posto],tabCustoUnit[[#This Row],[Código do Posto]],tabParametros[Indenização Adicional (Art. 9º da Lei nº 7.238/84)])*tabCustoUnit[[#This Row],[MODULO 1 - REMUNERAÇÃO ]]</f>
        <v>1.5282094166666669</v>
      </c>
      <c r="AT62" s="22">
        <f>SUM(tabCustoUnit[[#This Row],[Aviso Prévio Indenizado (API) e Reflexo do Aviso Prévio Indenizado]:[Indenização Adicional (Art. 9º da Lei nº 7.238/84)]])</f>
        <v>80.746666002514658</v>
      </c>
      <c r="AU62" s="22">
        <f>SUMIF(tabParametros[Código do Posto],tabCustoUnit[[#This Row],[Código do Posto]],tabParametros[Ausência por Doença])*tabCustoUnit[[#This Row],[MODULO 1 - REMUNERAÇÃO ]]</f>
        <v>15.485855422222221</v>
      </c>
      <c r="AV62" s="22">
        <f>SUMIF(tabParametros[Código do Posto],tabCustoUnit[[#This Row],[Código do Posto]],tabParametros[Ausências Legais])*tabCustoUnit[[#This Row],[MODULO 1 - REMUNERAÇÃO ]]</f>
        <v>3.7186429138888886</v>
      </c>
      <c r="AW62" s="22">
        <f>SUMIF(tabParametros[Código do Posto],tabCustoUnit[[#This Row],[Código do Posto]],tabParametros[Licença Paternidade])*tabCustoUnit[[#This Row],[MODULO 1 - REMUNERAÇÃO ]]</f>
        <v>0.31328293041666666</v>
      </c>
      <c r="AX62" s="22">
        <f>SUMIF(tabParametros[Código do Posto],tabCustoUnit[[#This Row],[Código do Posto]],tabParametros[Ausência por Acidente de Trabalho])*tabCustoUnit[[#This Row],[MODULO 1 - REMUNERAÇÃO ]]</f>
        <v>0.38205235416666672</v>
      </c>
      <c r="AY62" s="22">
        <f>SUMIF(tabParametros[Código do Posto],tabCustoUnit[[#This Row],[Código do Posto]],tabParametros[Férias, Adicional de Férias e 13º  com empregada em gozo de Licença Maternidade])*tabCustoUnit[[#This Row],[MODULO 1 - REMUNERAÇÃO ]]</f>
        <v>2.377214648148148</v>
      </c>
      <c r="AZ62" s="22">
        <f>SUMIF(tabParametros[Código do Posto],tabCustoUnit[[#This Row],[Código do Posto]],tabParametros[Incidência do Submódulo 2.1 sobre Ausências Legais])*tabCustoUnit[[#This Row],[MODULO 1 - REMUNERAÇÃO ]]</f>
        <v>8.4207242456225018</v>
      </c>
      <c r="BA62" s="22">
        <f>SUM(tabCustoUnit[[#This Row],[Ausência por Doença]:[Incidência do Submódulo 2.1 sobre Ausências Legais]])</f>
        <v>30.69777251446509</v>
      </c>
      <c r="BB62" s="22">
        <f>SUMIF(tabParametros[Código do Posto],tabCustoUnit[[#This Row],[Código do Posto]],tabParametros[Intervalo para Repouso ou Alimentação])</f>
        <v>0</v>
      </c>
      <c r="BC62" s="22">
        <f>tabCustoUnit[[#This Row],[Intervalo para Repouso ou Alimentação]]</f>
        <v>0</v>
      </c>
      <c r="BD6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2" s="22">
        <f>tabCustoUnit[[#This Row],[Suspensão Temporária do Contrato de Trabalho]]</f>
        <v>0</v>
      </c>
      <c r="BF62" s="22">
        <f>tabCustoUnit[[#This Row],[Submódulo 4.1]]+tabCustoUnit[[#This Row],[Submódulo 4.2]]+tabCustoUnit[[#This Row],[Submódulo 4.3]]</f>
        <v>30.69777251446509</v>
      </c>
      <c r="BG62" s="22">
        <f>VLOOKUP(tabCustoUnit[[#This Row],[Código do Posto]],tabParametros[],MATCH(tabCustoUnit[[#Headers],[Uniformes e EPIs]],tabParametros[#Headers],0),0)</f>
        <v>90.784679782039703</v>
      </c>
      <c r="BH62" s="22">
        <f>VLOOKUP(tabCustoUnit[[#This Row],[Código do Posto]],tabParametros[],MATCH(tabCustoUnit[[#Headers],[Materiais de Consumo]],tabParametros[#Headers],0),0)</f>
        <v>0</v>
      </c>
      <c r="BI62" s="22">
        <f>VLOOKUP(tabCustoUnit[[#This Row],[Código do Posto]],tabParametros[],MATCH(tabCustoUnit[[#Headers],[Máquinas e Equipamentos (depreciação)]],tabParametros[#Headers],0),0)</f>
        <v>0</v>
      </c>
      <c r="BJ62" s="22">
        <f>VLOOKUP(tabCustoUnit[[#This Row],[Código do Posto]],tabParametros[],MATCH(tabCustoUnit[[#Headers],[Produtos de Limpeza e Materiais de Higiene Pessoal]],tabParametros[#Headers],0),0)</f>
        <v>0</v>
      </c>
      <c r="BK62" s="22">
        <f>VLOOKUP(tabCustoUnit[[#This Row],[Código do Posto]],tabParametros[],MATCH(tabCustoUnit[[#Headers],[Outros (especificar)]],tabParametros[#Headers],0),0)</f>
        <v>0</v>
      </c>
      <c r="BL62" s="22">
        <f>SUM(tabCustoUnit[[#This Row],[Uniformes e EPIs]:[Outros (especificar)]])</f>
        <v>90.784679782039703</v>
      </c>
      <c r="BM6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2" s="22" t="e">
        <f ca="1">VLOOKUP(tabCustoUnit[[#This Row],[Código do Posto]],tabParametros[],MATCH(tabCustoUnit[[#Headers],[Custos Indiretos]],tabParametros[#Headers],0),0)</f>
        <v>#NAME?</v>
      </c>
      <c r="BO62" s="22" t="e">
        <f ca="1">VLOOKUP(tabCustoUnit[[#This Row],[Código do Posto]],tabParametros[],MATCH(tabCustoUnit[[#Headers],[Lucro]],tabParametros[#Headers],0),0)</f>
        <v>#NAME?</v>
      </c>
      <c r="BP62" s="26">
        <f>((100/((1-tabCustoUnit[[#This Row],[Resumo de Alíquotas (PIS+CONFINS+ISS)]]))-100)*VLOOKUP(tabCustoUnit[[#This Row],[Código do Posto]],tabParametros[],MATCH(tabCustoUnit[[#Headers],[COFINS]],tabParametros[#Headers],0),0))/(tabCustoUnit[[#This Row],[Resumo de Alíquotas (PIS+CONFINS+ISS)]]*100)</f>
        <v>8.8629737609329504E-2</v>
      </c>
      <c r="BQ62" s="26">
        <f>((100/((100-(tabCustoUnit[[#This Row],[Resumo de Alíquotas (PIS+CONFINS+ISS)]]*100))%)-100)*VLOOKUP(tabCustoUnit[[#This Row],[Código do Posto]],tabParametros[],MATCH(tabCustoUnit[[#Headers],[PIS]],tabParametros[#Headers],0),0))/(tabCustoUnit[[#This Row],[Resumo de Alíquotas (PIS+CONFINS+ISS)]]*100)</f>
        <v>1.9241982507288629E-2</v>
      </c>
      <c r="BR62" s="28">
        <f>VLOOKUP(tabCustoUnit[[#This Row],[Código do Posto]],tabParametros[],MATCH(tabCustoUnit[[#Headers],[ISS]],tabParametros[#Headers],0),0)</f>
        <v>0.05</v>
      </c>
      <c r="BS62" s="26">
        <f>(((100/((100-(tabCustoUnit[[#This Row],[Resumo de Alíquotas (PIS+CONFINS+ISS)]]*100))%)-100)*tabCustoUnit[[#This Row],[ISS]])/tabCustoUnit[[#This Row],[Resumo de Alíquotas (PIS+CONFINS+ISS)]])/100</f>
        <v>5.8309037900874633E-2</v>
      </c>
      <c r="BT6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2" s="138">
        <f>tabCustoUnit[[#This Row],[COFINS]]+tabCustoUnit[[#This Row],[PIS]]+tabCustoUnit[[#This Row],[ISS (Conversão Alíquota s/ fatura)]]</f>
        <v>0.16618075801749277</v>
      </c>
      <c r="BV62" s="22" t="e">
        <f ca="1">(tabCustoUnit[[#This Row],[TOTAL MÓDULOS 1+2+3+4+5]]+tabCustoUnit[[#This Row],[Custos Indiretos]]+tabCustoUnit[[#This Row],[Lucro]])*tabCustoUnit[[#This Row],[PIS + COFINS + ISS (Total Conversão  Alíquota s/ Fatura)]]</f>
        <v>#NAME?</v>
      </c>
      <c r="BW62" s="22" t="e">
        <f ca="1">tabCustoUnit[[#This Row],[Custos Indiretos]]+tabCustoUnit[[#This Row],[Lucro]]+tabCustoUnit[[#This Row],[Valor dos Tributos (ISS, PIS, CONFINS)]]</f>
        <v>#NAME?</v>
      </c>
      <c r="BX62" s="22" t="e">
        <f ca="1">tabCustoUnit[[#This Row],[TOTAL MÓDULOS 1+2+3+4+5]]+tabCustoUnit[[#This Row],[MÓDULO 6 – CUSTOS INDIRETOS, TRIBUTOS E LUCRO]]</f>
        <v>#NAME?</v>
      </c>
      <c r="BY62" s="22" t="e">
        <f ca="1">tabCustoUnit[[#This Row],[CUSTO TOTAL MENSAL]]*12</f>
        <v>#NAME?</v>
      </c>
      <c r="BZ62" s="24">
        <f>VLOOKUP(tabCustoUnit[[#This Row],[Código do Posto]],tabParametros[],MATCH(tabCustoUnit[[#Headers],[ANO DA CCT]],tabParametros[#Headers],0),0)</f>
        <v>45658</v>
      </c>
      <c r="CA62" s="25" t="str">
        <f>VLOOKUP(tabCustoUnit[[#This Row],[Código do Posto]],tabParametros[],MATCH(tabCustoUnit[[#Headers],[Nº DE PEDIDO DA CCT]],tabParametros[#Headers],0),0)</f>
        <v>-</v>
      </c>
      <c r="CB62" s="25" t="str">
        <f>VLOOKUP(tabCustoUnit[[#This Row],[Código do Posto]],tabParametros[],MATCH(tabCustoUnit[[#Headers],[TERMO ADITIVO ALTERAÇÃO DA CCT]],tabParametros[#Headers],0),0)</f>
        <v>-</v>
      </c>
    </row>
    <row r="63" spans="1:80">
      <c r="A63" s="20" t="s">
        <v>1439</v>
      </c>
      <c r="B63" t="s">
        <v>1103</v>
      </c>
      <c r="C63" t="s">
        <v>294</v>
      </c>
      <c r="D63" t="s">
        <v>1035</v>
      </c>
      <c r="E63" s="20" t="s">
        <v>1090</v>
      </c>
      <c r="F63" s="20" t="s">
        <v>120</v>
      </c>
      <c r="G63" s="418">
        <v>3673.8031999999998</v>
      </c>
      <c r="H63" s="418">
        <v>0</v>
      </c>
      <c r="I63" s="418">
        <v>0</v>
      </c>
      <c r="J63" s="418">
        <v>0</v>
      </c>
      <c r="K63" s="418">
        <v>0</v>
      </c>
      <c r="L63" s="418">
        <v>0</v>
      </c>
      <c r="M63" s="418">
        <v>0</v>
      </c>
      <c r="N63" s="418">
        <v>0</v>
      </c>
      <c r="O63" s="21">
        <f>SUM(tabCustoUnit[[#This Row],[Salário Base]:[Adicional de Acúmulo de função]])</f>
        <v>3673.8031999999998</v>
      </c>
      <c r="P63" s="21">
        <f>tabCustoUnit[[#This Row],[MODULO 1 - REMUNERAÇÃO ]]*SUMIFS(tabParametros[INSS],tabParametros[Código do Posto],tabCustoUnit[[#This Row],[Código do Posto]])</f>
        <v>734.76063999999997</v>
      </c>
      <c r="Q63" s="21">
        <f>tabCustoUnit[[#This Row],[MODULO 1 - REMUNERAÇÃO ]]*SUMIFS(tabParametros[SESI OU SESC],tabParametros[Código do Posto],tabCustoUnit[[#This Row],[Código do Posto]])</f>
        <v>55.107047999999999</v>
      </c>
      <c r="R63" s="21">
        <f>tabCustoUnit[[#This Row],[MODULO 1 - REMUNERAÇÃO ]]*SUMIFS(tabParametros[SENAI OU SENAC],tabParametros[Código do Posto],tabCustoUnit[[#This Row],[Código do Posto]])</f>
        <v>36.738031999999997</v>
      </c>
      <c r="S63" s="21">
        <f>tabCustoUnit[[#This Row],[MODULO 1 - REMUNERAÇÃO ]]*SUMIFS(tabParametros[INCRA],tabParametros[Código do Posto],tabCustoUnit[[#This Row],[Código do Posto]])</f>
        <v>7.3476064000000001</v>
      </c>
      <c r="T63" s="21">
        <f>tabCustoUnit[[#This Row],[MODULO 1 - REMUNERAÇÃO ]]*SUMIFS(tabParametros[Salário Educação],tabParametros[Código do Posto],tabCustoUnit[[#This Row],[Código do Posto]])</f>
        <v>91.845079999999996</v>
      </c>
      <c r="U63" s="21">
        <f>tabCustoUnit[[#This Row],[MODULO 1 - REMUNERAÇÃO ]]*SUMIFS(tabParametros[FGTS],tabParametros[Código do Posto],tabCustoUnit[[#This Row],[Código do Posto]])</f>
        <v>293.90425599999998</v>
      </c>
      <c r="V63" s="21">
        <f>tabCustoUnit[[#This Row],[MODULO 1 - REMUNERAÇÃO ]]*SUMIFS(tabParametros[RAT Ajustado],tabParametros[Código do Posto],tabCustoUnit[[#This Row],[Código do Posto]])</f>
        <v>146.95212799999999</v>
      </c>
      <c r="W63" s="21">
        <f>tabCustoUnit[[#This Row],[MODULO 1 - REMUNERAÇÃO ]]*SUMIFS(tabParametros[SEBRAE],tabParametros[Código do Posto],tabCustoUnit[[#This Row],[Código do Posto]])</f>
        <v>22.0428192</v>
      </c>
      <c r="X63" s="21">
        <f>SUM(tabCustoUnit[[#This Row],[INSS]:[SEBRAE]])</f>
        <v>1388.6976095999999</v>
      </c>
      <c r="Y63" s="21">
        <f>tabCustoUnit[[#This Row],[MODULO 1 - REMUNERAÇÃO ]]*SUMIFS(tabParametros[13º salário (titular)],tabParametros[Código do Posto],tabCustoUnit[[#This Row],[Código do Posto]])</f>
        <v>306.15026666666665</v>
      </c>
      <c r="Z63" s="21">
        <f>tabCustoUnit[[#This Row],[MODULO 1 - REMUNERAÇÃO ]]*SUMIFS(tabParametros[Férias e Adicional de Férias (titular)],tabParametros[Código do Posto],tabCustoUnit[[#This Row],[Código do Posto]])</f>
        <v>408.20035555555552</v>
      </c>
      <c r="AA63" s="21">
        <f>IFERROR((tabCustoUnit[[#This Row],[Submódulo 2.1]]/tabCustoUnit[[#This Row],[MODULO 1 - REMUNERAÇÃO ]])*SUM(tabCustoUnit[[#This Row],[13º salário (titular)]:[Férias e Adicional de Férias (titular)]]),0)</f>
        <v>270.0245352</v>
      </c>
      <c r="AB63" s="21">
        <f>SUM(tabCustoUnit[[#This Row],[13º salário (titular)]:[Incidência do Submódulo 2.1 sobre 13º Salário, Férias e Adicional de Férias]])</f>
        <v>984.37515742222217</v>
      </c>
      <c r="AC63" s="22" t="e">
        <f ca="1">_xlfn.LET(_xlpm.VT,SUMIF(tabParametros[Código do Posto],tabCustoUnit[[#This Row],[Código do Posto]],tabParametros[Vale - Transporte])*2*20,
IF((_xlpm.VT-tabCustoUnit[[#This Row],[Salário Base]]*0.06)&gt;=0,(_xlpm.VT-tabCustoUnit[[#This Row],[Salário Base]]*0.06),0)
)</f>
        <v>#NAME?</v>
      </c>
      <c r="AD63" s="22">
        <f>IF(SUMIF(tabParametros[Código do Posto],tabCustoUnit[[#This Row],[Código do Posto]],tabParametros[Vale - Alimentação])&lt;=0,0,
SUMIF(tabParametros[Código do Posto],tabCustoUnit[[#This Row],[Código do Posto]],tabParametros[Vale - Alimentação])*20-1)</f>
        <v>582</v>
      </c>
      <c r="AE63" s="22">
        <f>SUMIF(tabParametros[Código do Posto],tabCustoUnit[[#This Row],[Código do Posto]],tabParametros[Cesta Básica])</f>
        <v>0</v>
      </c>
      <c r="AF63" s="22">
        <f>SUMIF(tabParametros[Código do Posto],tabCustoUnit[[#This Row],[Código do Posto]],tabParametros[PAF])</f>
        <v>95.9</v>
      </c>
      <c r="AG63" s="22">
        <f>SUMIF(tabParametros[Código do Posto],tabCustoUnit[[#This Row],[Código do Posto]],tabParametros[PQM])</f>
        <v>0</v>
      </c>
      <c r="AH63" s="22">
        <f>SUMIF(tabParametros[Código do Posto],tabCustoUnit[[#This Row],[Código do Posto]],tabParametros[Abono Único e Especial])</f>
        <v>0</v>
      </c>
      <c r="AI63" s="22">
        <f>SUMIF(tabParametros[Código do Posto],tabCustoUnit[[#This Row],[Código do Posto]],tabParametros[Seguro de Vida])</f>
        <v>3.36</v>
      </c>
      <c r="AJ63" s="22">
        <f>SUMIF(tabParametros[Código do Posto],tabCustoUnit[[#This Row],[Código do Posto]],tabParametros[Despesas de Viagem])</f>
        <v>202.08</v>
      </c>
      <c r="AK63" s="22" t="e">
        <f ca="1">SUM(tabCustoUnit[[#This Row],[Vale - Transporte (Descontada parcela do empregado)]:[Despesas de Viagem]])</f>
        <v>#NAME?</v>
      </c>
      <c r="AL63" s="22" t="e">
        <f ca="1">tabCustoUnit[[#This Row],[Submódulo 2.1]]+tabCustoUnit[[#This Row],[Submódulo 2.2]]+tabCustoUnit[[#This Row],[Submódulo 2.3]]</f>
        <v>#NAME?</v>
      </c>
      <c r="AM63" s="22">
        <f>SUMIF(tabParametros[Código do Posto],tabCustoUnit[[#This Row],[Código do Posto]],tabParametros[Aviso Prévio Indenizado (API) e Reflexo do Aviso Prévio Indenizado])*tabCustoUnit[[#This Row],[MODULO 1 - REMUNERAÇÃO ]]</f>
        <v>25.759851951543208</v>
      </c>
      <c r="AN63" s="22">
        <f>SUMIF(tabParametros[Código do Posto],tabCustoUnit[[#This Row],[Código do Posto]],tabParametros[Incidência do FGTS sobre API e Reflexo do API])*tabCustoUnit[[#This Row],[MODULO 1 - REMUNERAÇÃO ]]</f>
        <v>2.0607881561234569</v>
      </c>
      <c r="AO63" s="22">
        <f>SUMIF(tabParametros[Código do Posto],tabCustoUnit[[#This Row],[Código do Posto]],tabParametros[Multa Rescisória do FGTS sobre o Aviso Prévio Indenizado])*tabCustoUnit[[#This Row],[MODULO 1 - REMUNERAÇÃO ]]</f>
        <v>0.8243152624493828</v>
      </c>
      <c r="AP63" s="22">
        <f>SUMIF(tabParametros[Código do Posto],tabCustoUnit[[#This Row],[Código do Posto]],tabParametros[Aviso Prévio Trabalhado - APT])*tabCustoUnit[[#This Row],[MODULO 1 - REMUNERAÇÃO ]]</f>
        <v>12.858311200000001</v>
      </c>
      <c r="AQ63" s="22">
        <f>SUMIF(tabParametros[Código do Posto],tabCustoUnit[[#This Row],[Código do Posto]],tabParametros[Incidência dos encargos do submódulo 2.1 sobre Aviso Prévio Trabalhado])*tabCustoUnit[[#This Row],[MODULO 1 - REMUNERAÇÃO ]]</f>
        <v>4.8604416336000016</v>
      </c>
      <c r="AR63" s="22">
        <f>SUMIF(tabParametros[Código do Posto],tabCustoUnit[[#This Row],[Código do Posto]],tabParametros[Multa Rescisória do FGTS])*tabCustoUnit[[#This Row],[MODULO 1 - REMUNERAÇÃO ]]</f>
        <v>112.33673784888887</v>
      </c>
      <c r="AS63" s="22">
        <f>SUMIF(tabParametros[Código do Posto],tabCustoUnit[[#This Row],[Código do Posto]],tabParametros[Indenização Adicional (Art. 9º da Lei nº 7.238/84)])*tabCustoUnit[[#This Row],[MODULO 1 - REMUNERAÇÃO ]]</f>
        <v>3.0615026666666667</v>
      </c>
      <c r="AT63" s="22">
        <f>SUM(tabCustoUnit[[#This Row],[Aviso Prévio Indenizado (API) e Reflexo do Aviso Prévio Indenizado]:[Indenização Adicional (Art. 9º da Lei nº 7.238/84)]])</f>
        <v>161.76194871927157</v>
      </c>
      <c r="AU63" s="22">
        <f>SUMIF(tabParametros[Código do Posto],tabCustoUnit[[#This Row],[Código do Posto]],tabParametros[Ausência por Doença])*tabCustoUnit[[#This Row],[MODULO 1 - REMUNERAÇÃO ]]</f>
        <v>31.023227022222219</v>
      </c>
      <c r="AV63" s="22">
        <f>SUMIF(tabParametros[Código do Posto],tabCustoUnit[[#This Row],[Código do Posto]],tabParametros[Ausências Legais])*tabCustoUnit[[#This Row],[MODULO 1 - REMUNERAÇÃO ]]</f>
        <v>7.4496564888888877</v>
      </c>
      <c r="AW63" s="22">
        <f>SUMIF(tabParametros[Código do Posto],tabCustoUnit[[#This Row],[Código do Posto]],tabParametros[Licença Paternidade])*tabCustoUnit[[#This Row],[MODULO 1 - REMUNERAÇÃO ]]</f>
        <v>0.62760804666666659</v>
      </c>
      <c r="AX63" s="22">
        <f>SUMIF(tabParametros[Código do Posto],tabCustoUnit[[#This Row],[Código do Posto]],tabParametros[Ausência por Acidente de Trabalho])*tabCustoUnit[[#This Row],[MODULO 1 - REMUNERAÇÃO ]]</f>
        <v>0.76537566666666668</v>
      </c>
      <c r="AY63" s="22">
        <f>SUMIF(tabParametros[Código do Posto],tabCustoUnit[[#This Row],[Código do Posto]],tabParametros[Férias, Adicional de Férias e 13º  com empregada em gozo de Licença Maternidade])*tabCustoUnit[[#This Row],[MODULO 1 - REMUNERAÇÃO ]]</f>
        <v>4.7623374814814809</v>
      </c>
      <c r="AZ63" s="22">
        <f>SUMIF(tabParametros[Código do Posto],tabCustoUnit[[#This Row],[Código do Posto]],tabParametros[Incidência do Submódulo 2.1 sobre Ausências Legais])*tabCustoUnit[[#This Row],[MODULO 1 - REMUNERAÇÃO ]]</f>
        <v>16.869461378840001</v>
      </c>
      <c r="BA63" s="22">
        <f>SUM(tabCustoUnit[[#This Row],[Ausência por Doença]:[Incidência do Submódulo 2.1 sobre Ausências Legais]])</f>
        <v>61.497666084765918</v>
      </c>
      <c r="BB63" s="22">
        <f>SUMIF(tabParametros[Código do Posto],tabCustoUnit[[#This Row],[Código do Posto]],tabParametros[Intervalo para Repouso ou Alimentação])</f>
        <v>0</v>
      </c>
      <c r="BC63" s="22">
        <f>tabCustoUnit[[#This Row],[Intervalo para Repouso ou Alimentação]]</f>
        <v>0</v>
      </c>
      <c r="BD6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3" s="22">
        <f>tabCustoUnit[[#This Row],[Suspensão Temporária do Contrato de Trabalho]]</f>
        <v>0</v>
      </c>
      <c r="BF63" s="22">
        <f>tabCustoUnit[[#This Row],[Submódulo 4.1]]+tabCustoUnit[[#This Row],[Submódulo 4.2]]+tabCustoUnit[[#This Row],[Submódulo 4.3]]</f>
        <v>61.497666084765918</v>
      </c>
      <c r="BG63" s="22">
        <f>VLOOKUP(tabCustoUnit[[#This Row],[Código do Posto]],tabParametros[],MATCH(tabCustoUnit[[#Headers],[Uniformes e EPIs]],tabParametros[#Headers],0),0)</f>
        <v>361.43084972754951</v>
      </c>
      <c r="BH63" s="22">
        <f>VLOOKUP(tabCustoUnit[[#This Row],[Código do Posto]],tabParametros[],MATCH(tabCustoUnit[[#Headers],[Materiais de Consumo]],tabParametros[#Headers],0),0)</f>
        <v>0</v>
      </c>
      <c r="BI63" s="22">
        <f>VLOOKUP(tabCustoUnit[[#This Row],[Código do Posto]],tabParametros[],MATCH(tabCustoUnit[[#Headers],[Máquinas e Equipamentos (depreciação)]],tabParametros[#Headers],0),0)</f>
        <v>0</v>
      </c>
      <c r="BJ63" s="22">
        <f>VLOOKUP(tabCustoUnit[[#This Row],[Código do Posto]],tabParametros[],MATCH(tabCustoUnit[[#Headers],[Produtos de Limpeza e Materiais de Higiene Pessoal]],tabParametros[#Headers],0),0)</f>
        <v>0</v>
      </c>
      <c r="BK63" s="22">
        <f>VLOOKUP(tabCustoUnit[[#This Row],[Código do Posto]],tabParametros[],MATCH(tabCustoUnit[[#Headers],[Outros (especificar)]],tabParametros[#Headers],0),0)</f>
        <v>0</v>
      </c>
      <c r="BL63" s="22">
        <f>SUM(tabCustoUnit[[#This Row],[Uniformes e EPIs]:[Outros (especificar)]])</f>
        <v>361.43084972754951</v>
      </c>
      <c r="BM6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3" s="22" t="e">
        <f ca="1">VLOOKUP(tabCustoUnit[[#This Row],[Código do Posto]],tabParametros[],MATCH(tabCustoUnit[[#Headers],[Custos Indiretos]],tabParametros[#Headers],0),0)</f>
        <v>#NAME?</v>
      </c>
      <c r="BO63" s="22" t="e">
        <f ca="1">VLOOKUP(tabCustoUnit[[#This Row],[Código do Posto]],tabParametros[],MATCH(tabCustoUnit[[#Headers],[Lucro]],tabParametros[#Headers],0),0)</f>
        <v>#NAME?</v>
      </c>
      <c r="BP63" s="26">
        <f>((100/((1-tabCustoUnit[[#This Row],[Resumo de Alíquotas (PIS+CONFINS+ISS)]]))-100)*VLOOKUP(tabCustoUnit[[#This Row],[Código do Posto]],tabParametros[],MATCH(tabCustoUnit[[#Headers],[COFINS]],tabParametros[#Headers],0),0))/(tabCustoUnit[[#This Row],[Resumo de Alíquotas (PIS+CONFINS+ISS)]]*100)</f>
        <v>8.8629737609329504E-2</v>
      </c>
      <c r="BQ63" s="26">
        <f>((100/((100-(tabCustoUnit[[#This Row],[Resumo de Alíquotas (PIS+CONFINS+ISS)]]*100))%)-100)*VLOOKUP(tabCustoUnit[[#This Row],[Código do Posto]],tabParametros[],MATCH(tabCustoUnit[[#Headers],[PIS]],tabParametros[#Headers],0),0))/(tabCustoUnit[[#This Row],[Resumo de Alíquotas (PIS+CONFINS+ISS)]]*100)</f>
        <v>1.9241982507288629E-2</v>
      </c>
      <c r="BR63" s="28">
        <f>VLOOKUP(tabCustoUnit[[#This Row],[Código do Posto]],tabParametros[],MATCH(tabCustoUnit[[#Headers],[ISS]],tabParametros[#Headers],0),0)</f>
        <v>0.05</v>
      </c>
      <c r="BS63" s="26">
        <f>(((100/((100-(tabCustoUnit[[#This Row],[Resumo de Alíquotas (PIS+CONFINS+ISS)]]*100))%)-100)*tabCustoUnit[[#This Row],[ISS]])/tabCustoUnit[[#This Row],[Resumo de Alíquotas (PIS+CONFINS+ISS)]])/100</f>
        <v>5.8309037900874633E-2</v>
      </c>
      <c r="BT6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3" s="138">
        <f>tabCustoUnit[[#This Row],[COFINS]]+tabCustoUnit[[#This Row],[PIS]]+tabCustoUnit[[#This Row],[ISS (Conversão Alíquota s/ fatura)]]</f>
        <v>0.16618075801749277</v>
      </c>
      <c r="BV63" s="22" t="e">
        <f ca="1">(tabCustoUnit[[#This Row],[TOTAL MÓDULOS 1+2+3+4+5]]+tabCustoUnit[[#This Row],[Custos Indiretos]]+tabCustoUnit[[#This Row],[Lucro]])*tabCustoUnit[[#This Row],[PIS + COFINS + ISS (Total Conversão  Alíquota s/ Fatura)]]</f>
        <v>#NAME?</v>
      </c>
      <c r="BW63" s="22" t="e">
        <f ca="1">tabCustoUnit[[#This Row],[Custos Indiretos]]+tabCustoUnit[[#This Row],[Lucro]]+tabCustoUnit[[#This Row],[Valor dos Tributos (ISS, PIS, CONFINS)]]</f>
        <v>#NAME?</v>
      </c>
      <c r="BX63" s="22" t="e">
        <f ca="1">tabCustoUnit[[#This Row],[TOTAL MÓDULOS 1+2+3+4+5]]+tabCustoUnit[[#This Row],[MÓDULO 6 – CUSTOS INDIRETOS, TRIBUTOS E LUCRO]]</f>
        <v>#NAME?</v>
      </c>
      <c r="BY63" s="22" t="e">
        <f ca="1">tabCustoUnit[[#This Row],[CUSTO TOTAL MENSAL]]*12</f>
        <v>#NAME?</v>
      </c>
      <c r="BZ63" s="24">
        <f>VLOOKUP(tabCustoUnit[[#This Row],[Código do Posto]],tabParametros[],MATCH(tabCustoUnit[[#Headers],[ANO DA CCT]],tabParametros[#Headers],0),0)</f>
        <v>45658</v>
      </c>
      <c r="CA63" s="25" t="str">
        <f>VLOOKUP(tabCustoUnit[[#This Row],[Código do Posto]],tabParametros[],MATCH(tabCustoUnit[[#Headers],[Nº DE PEDIDO DA CCT]],tabParametros[#Headers],0),0)</f>
        <v>-</v>
      </c>
      <c r="CB63" s="25" t="str">
        <f>VLOOKUP(tabCustoUnit[[#This Row],[Código do Posto]],tabParametros[],MATCH(tabCustoUnit[[#Headers],[TERMO ADITIVO ALTERAÇÃO DA CCT]],tabParametros[#Headers],0),0)</f>
        <v>-</v>
      </c>
    </row>
    <row r="64" spans="1:80">
      <c r="A64" s="20" t="s">
        <v>1440</v>
      </c>
      <c r="B64" t="s">
        <v>1103</v>
      </c>
      <c r="C64" t="s">
        <v>299</v>
      </c>
      <c r="D64" t="s">
        <v>1035</v>
      </c>
      <c r="E64" s="20" t="s">
        <v>1090</v>
      </c>
      <c r="F64" s="20" t="s">
        <v>120</v>
      </c>
      <c r="G64" s="418">
        <v>3673.8031999999998</v>
      </c>
      <c r="H64" s="418">
        <v>0</v>
      </c>
      <c r="I64" s="418">
        <v>303.60000000000002</v>
      </c>
      <c r="J64" s="418">
        <v>0</v>
      </c>
      <c r="K64" s="418">
        <v>0</v>
      </c>
      <c r="L64" s="418">
        <v>0</v>
      </c>
      <c r="M64" s="418">
        <v>0</v>
      </c>
      <c r="N64" s="418">
        <v>0</v>
      </c>
      <c r="O64" s="21">
        <f>SUM(tabCustoUnit[[#This Row],[Salário Base]:[Adicional de Acúmulo de função]])</f>
        <v>3977.4031999999997</v>
      </c>
      <c r="P64" s="21">
        <f>tabCustoUnit[[#This Row],[MODULO 1 - REMUNERAÇÃO ]]*SUMIFS(tabParametros[INSS],tabParametros[Código do Posto],tabCustoUnit[[#This Row],[Código do Posto]])</f>
        <v>795.48063999999999</v>
      </c>
      <c r="Q64" s="21">
        <f>tabCustoUnit[[#This Row],[MODULO 1 - REMUNERAÇÃO ]]*SUMIFS(tabParametros[SESI OU SESC],tabParametros[Código do Posto],tabCustoUnit[[#This Row],[Código do Posto]])</f>
        <v>59.661047999999994</v>
      </c>
      <c r="R64" s="21">
        <f>tabCustoUnit[[#This Row],[MODULO 1 - REMUNERAÇÃO ]]*SUMIFS(tabParametros[SENAI OU SENAC],tabParametros[Código do Posto],tabCustoUnit[[#This Row],[Código do Posto]])</f>
        <v>39.774031999999998</v>
      </c>
      <c r="S64" s="21">
        <f>tabCustoUnit[[#This Row],[MODULO 1 - REMUNERAÇÃO ]]*SUMIFS(tabParametros[INCRA],tabParametros[Código do Posto],tabCustoUnit[[#This Row],[Código do Posto]])</f>
        <v>7.9548063999999998</v>
      </c>
      <c r="T64" s="21">
        <f>tabCustoUnit[[#This Row],[MODULO 1 - REMUNERAÇÃO ]]*SUMIFS(tabParametros[Salário Educação],tabParametros[Código do Posto],tabCustoUnit[[#This Row],[Código do Posto]])</f>
        <v>99.435079999999999</v>
      </c>
      <c r="U64" s="21">
        <f>tabCustoUnit[[#This Row],[MODULO 1 - REMUNERAÇÃO ]]*SUMIFS(tabParametros[FGTS],tabParametros[Código do Posto],tabCustoUnit[[#This Row],[Código do Posto]])</f>
        <v>318.19225599999999</v>
      </c>
      <c r="V64" s="21">
        <f>tabCustoUnit[[#This Row],[MODULO 1 - REMUNERAÇÃO ]]*SUMIFS(tabParametros[RAT Ajustado],tabParametros[Código do Posto],tabCustoUnit[[#This Row],[Código do Posto]])</f>
        <v>159.09612799999999</v>
      </c>
      <c r="W64" s="21">
        <f>tabCustoUnit[[#This Row],[MODULO 1 - REMUNERAÇÃO ]]*SUMIFS(tabParametros[SEBRAE],tabParametros[Código do Posto],tabCustoUnit[[#This Row],[Código do Posto]])</f>
        <v>23.8644192</v>
      </c>
      <c r="X64" s="21">
        <f>SUM(tabCustoUnit[[#This Row],[INSS]:[SEBRAE]])</f>
        <v>1503.4584095999999</v>
      </c>
      <c r="Y64" s="21">
        <f>tabCustoUnit[[#This Row],[MODULO 1 - REMUNERAÇÃO ]]*SUMIFS(tabParametros[13º salário (titular)],tabParametros[Código do Posto],tabCustoUnit[[#This Row],[Código do Posto]])</f>
        <v>331.45026666666661</v>
      </c>
      <c r="Z64" s="21">
        <f>tabCustoUnit[[#This Row],[MODULO 1 - REMUNERAÇÃO ]]*SUMIFS(tabParametros[Férias e Adicional de Férias (titular)],tabParametros[Código do Posto],tabCustoUnit[[#This Row],[Código do Posto]])</f>
        <v>441.93368888888881</v>
      </c>
      <c r="AA64" s="21">
        <f>IFERROR((tabCustoUnit[[#This Row],[Submódulo 2.1]]/tabCustoUnit[[#This Row],[MODULO 1 - REMUNERAÇÃO ]])*SUM(tabCustoUnit[[#This Row],[13º salário (titular)]:[Férias e Adicional de Férias (titular)]]),0)</f>
        <v>292.33913519999993</v>
      </c>
      <c r="AB64" s="21">
        <f>SUM(tabCustoUnit[[#This Row],[13º salário (titular)]:[Incidência do Submódulo 2.1 sobre 13º Salário, Férias e Adicional de Férias]])</f>
        <v>1065.7230907555554</v>
      </c>
      <c r="AC64" s="22" t="e">
        <f ca="1">_xlfn.LET(_xlpm.VT,SUMIF(tabParametros[Código do Posto],tabCustoUnit[[#This Row],[Código do Posto]],tabParametros[Vale - Transporte])*2*20,
IF((_xlpm.VT-tabCustoUnit[[#This Row],[Salário Base]]*0.06)&gt;=0,(_xlpm.VT-tabCustoUnit[[#This Row],[Salário Base]]*0.06),0)
)</f>
        <v>#NAME?</v>
      </c>
      <c r="AD64" s="22">
        <f>IF(SUMIF(tabParametros[Código do Posto],tabCustoUnit[[#This Row],[Código do Posto]],tabParametros[Vale - Alimentação])&lt;=0,0,
SUMIF(tabParametros[Código do Posto],tabCustoUnit[[#This Row],[Código do Posto]],tabParametros[Vale - Alimentação])*20-1)</f>
        <v>582</v>
      </c>
      <c r="AE64" s="22">
        <f>SUMIF(tabParametros[Código do Posto],tabCustoUnit[[#This Row],[Código do Posto]],tabParametros[Cesta Básica])</f>
        <v>0</v>
      </c>
      <c r="AF64" s="22">
        <f>SUMIF(tabParametros[Código do Posto],tabCustoUnit[[#This Row],[Código do Posto]],tabParametros[PAF])</f>
        <v>95.9</v>
      </c>
      <c r="AG64" s="22">
        <f>SUMIF(tabParametros[Código do Posto],tabCustoUnit[[#This Row],[Código do Posto]],tabParametros[PQM])</f>
        <v>0</v>
      </c>
      <c r="AH64" s="22">
        <f>SUMIF(tabParametros[Código do Posto],tabCustoUnit[[#This Row],[Código do Posto]],tabParametros[Abono Único e Especial])</f>
        <v>0</v>
      </c>
      <c r="AI64" s="22">
        <f>SUMIF(tabParametros[Código do Posto],tabCustoUnit[[#This Row],[Código do Posto]],tabParametros[Seguro de Vida])</f>
        <v>3.36</v>
      </c>
      <c r="AJ64" s="22">
        <f>SUMIF(tabParametros[Código do Posto],tabCustoUnit[[#This Row],[Código do Posto]],tabParametros[Despesas de Viagem])</f>
        <v>202.08</v>
      </c>
      <c r="AK64" s="22" t="e">
        <f ca="1">SUM(tabCustoUnit[[#This Row],[Vale - Transporte (Descontada parcela do empregado)]:[Despesas de Viagem]])</f>
        <v>#NAME?</v>
      </c>
      <c r="AL64" s="22" t="e">
        <f ca="1">tabCustoUnit[[#This Row],[Submódulo 2.1]]+tabCustoUnit[[#This Row],[Submódulo 2.2]]+tabCustoUnit[[#This Row],[Submódulo 2.3]]</f>
        <v>#NAME?</v>
      </c>
      <c r="AM64" s="22">
        <f>SUMIF(tabParametros[Código do Posto],tabCustoUnit[[#This Row],[Código do Posto]],tabParametros[Aviso Prévio Indenizado (API) e Reflexo do Aviso Prévio Indenizado])*tabCustoUnit[[#This Row],[MODULO 1 - REMUNERAÇÃO ]]</f>
        <v>27.888624405246912</v>
      </c>
      <c r="AN64" s="22">
        <f>SUMIF(tabParametros[Código do Posto],tabCustoUnit[[#This Row],[Código do Posto]],tabParametros[Incidência do FGTS sobre API e Reflexo do API])*tabCustoUnit[[#This Row],[MODULO 1 - REMUNERAÇÃO ]]</f>
        <v>2.2310899524197532</v>
      </c>
      <c r="AO64" s="22">
        <f>SUMIF(tabParametros[Código do Posto],tabCustoUnit[[#This Row],[Código do Posto]],tabParametros[Multa Rescisória do FGTS sobre o Aviso Prévio Indenizado])*tabCustoUnit[[#This Row],[MODULO 1 - REMUNERAÇÃO ]]</f>
        <v>0.89243598096790133</v>
      </c>
      <c r="AP64" s="22">
        <f>SUMIF(tabParametros[Código do Posto],tabCustoUnit[[#This Row],[Código do Posto]],tabParametros[Aviso Prévio Trabalhado - APT])*tabCustoUnit[[#This Row],[MODULO 1 - REMUNERAÇÃO ]]</f>
        <v>13.920911200000001</v>
      </c>
      <c r="AQ64" s="22">
        <f>SUMIF(tabParametros[Código do Posto],tabCustoUnit[[#This Row],[Código do Posto]],tabParametros[Incidência dos encargos do submódulo 2.1 sobre Aviso Prévio Trabalhado])*tabCustoUnit[[#This Row],[MODULO 1 - REMUNERAÇÃO ]]</f>
        <v>5.2621044336000011</v>
      </c>
      <c r="AR64" s="22">
        <f>SUMIF(tabParametros[Código do Posto],tabCustoUnit[[#This Row],[Código do Posto]],tabParametros[Multa Rescisória do FGTS])*tabCustoUnit[[#This Row],[MODULO 1 - REMUNERAÇÃO ]]</f>
        <v>121.6201511822222</v>
      </c>
      <c r="AS64" s="22">
        <f>SUMIF(tabParametros[Código do Posto],tabCustoUnit[[#This Row],[Código do Posto]],tabParametros[Indenização Adicional (Art. 9º da Lei nº 7.238/84)])*tabCustoUnit[[#This Row],[MODULO 1 - REMUNERAÇÃO ]]</f>
        <v>3.3145026666666668</v>
      </c>
      <c r="AT64" s="22">
        <f>SUM(tabCustoUnit[[#This Row],[Aviso Prévio Indenizado (API) e Reflexo do Aviso Prévio Indenizado]:[Indenização Adicional (Art. 9º da Lei nº 7.238/84)]])</f>
        <v>175.12981982112345</v>
      </c>
      <c r="AU64" s="22">
        <f>SUMIF(tabParametros[Código do Posto],tabCustoUnit[[#This Row],[Código do Posto]],tabParametros[Ausência por Doença])*tabCustoUnit[[#This Row],[MODULO 1 - REMUNERAÇÃO ]]</f>
        <v>33.586960355555547</v>
      </c>
      <c r="AV64" s="22">
        <f>SUMIF(tabParametros[Código do Posto],tabCustoUnit[[#This Row],[Código do Posto]],tabParametros[Ausências Legais])*tabCustoUnit[[#This Row],[MODULO 1 - REMUNERAÇÃO ]]</f>
        <v>8.0652898222222209</v>
      </c>
      <c r="AW64" s="22">
        <f>SUMIF(tabParametros[Código do Posto],tabCustoUnit[[#This Row],[Código do Posto]],tabParametros[Licença Paternidade])*tabCustoUnit[[#This Row],[MODULO 1 - REMUNERAÇÃO ]]</f>
        <v>0.67947304666666664</v>
      </c>
      <c r="AX64" s="22">
        <f>SUMIF(tabParametros[Código do Posto],tabCustoUnit[[#This Row],[Código do Posto]],tabParametros[Ausência por Acidente de Trabalho])*tabCustoUnit[[#This Row],[MODULO 1 - REMUNERAÇÃO ]]</f>
        <v>0.8286256666666667</v>
      </c>
      <c r="AY64" s="22">
        <f>SUMIF(tabParametros[Código do Posto],tabCustoUnit[[#This Row],[Código do Posto]],tabParametros[Férias, Adicional de Férias e 13º  com empregada em gozo de Licença Maternidade])*tabCustoUnit[[#This Row],[MODULO 1 - REMUNERAÇÃO ]]</f>
        <v>5.1558930370370364</v>
      </c>
      <c r="AZ64" s="22">
        <f>SUMIF(tabParametros[Código do Posto],tabCustoUnit[[#This Row],[Código do Posto]],tabParametros[Incidência do Submódulo 2.1 sobre Ausências Legais])*tabCustoUnit[[#This Row],[MODULO 1 - REMUNERAÇÃO ]]</f>
        <v>18.263539448840003</v>
      </c>
      <c r="BA64" s="22">
        <f>SUM(tabCustoUnit[[#This Row],[Ausência por Doença]:[Incidência do Submódulo 2.1 sobre Ausências Legais]])</f>
        <v>66.579781376988137</v>
      </c>
      <c r="BB64" s="22">
        <f>SUMIF(tabParametros[Código do Posto],tabCustoUnit[[#This Row],[Código do Posto]],tabParametros[Intervalo para Repouso ou Alimentação])</f>
        <v>0</v>
      </c>
      <c r="BC64" s="22">
        <f>tabCustoUnit[[#This Row],[Intervalo para Repouso ou Alimentação]]</f>
        <v>0</v>
      </c>
      <c r="BD6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4" s="22">
        <f>tabCustoUnit[[#This Row],[Suspensão Temporária do Contrato de Trabalho]]</f>
        <v>0</v>
      </c>
      <c r="BF64" s="22">
        <f>tabCustoUnit[[#This Row],[Submódulo 4.1]]+tabCustoUnit[[#This Row],[Submódulo 4.2]]+tabCustoUnit[[#This Row],[Submódulo 4.3]]</f>
        <v>66.579781376988137</v>
      </c>
      <c r="BG64" s="22">
        <f>VLOOKUP(tabCustoUnit[[#This Row],[Código do Posto]],tabParametros[],MATCH(tabCustoUnit[[#Headers],[Uniformes e EPIs]],tabParametros[#Headers],0),0)</f>
        <v>344.38334972754956</v>
      </c>
      <c r="BH64" s="22">
        <f>VLOOKUP(tabCustoUnit[[#This Row],[Código do Posto]],tabParametros[],MATCH(tabCustoUnit[[#Headers],[Materiais de Consumo]],tabParametros[#Headers],0),0)</f>
        <v>0</v>
      </c>
      <c r="BI64" s="22">
        <f>VLOOKUP(tabCustoUnit[[#This Row],[Código do Posto]],tabParametros[],MATCH(tabCustoUnit[[#Headers],[Máquinas e Equipamentos (depreciação)]],tabParametros[#Headers],0),0)</f>
        <v>0</v>
      </c>
      <c r="BJ64" s="22">
        <f>VLOOKUP(tabCustoUnit[[#This Row],[Código do Posto]],tabParametros[],MATCH(tabCustoUnit[[#Headers],[Produtos de Limpeza e Materiais de Higiene Pessoal]],tabParametros[#Headers],0),0)</f>
        <v>0</v>
      </c>
      <c r="BK64" s="22">
        <f>VLOOKUP(tabCustoUnit[[#This Row],[Código do Posto]],tabParametros[],MATCH(tabCustoUnit[[#Headers],[Outros (especificar)]],tabParametros[#Headers],0),0)</f>
        <v>0</v>
      </c>
      <c r="BL64" s="22">
        <f>SUM(tabCustoUnit[[#This Row],[Uniformes e EPIs]:[Outros (especificar)]])</f>
        <v>344.38334972754956</v>
      </c>
      <c r="BM6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4" s="22" t="e">
        <f ca="1">VLOOKUP(tabCustoUnit[[#This Row],[Código do Posto]],tabParametros[],MATCH(tabCustoUnit[[#Headers],[Custos Indiretos]],tabParametros[#Headers],0),0)</f>
        <v>#NAME?</v>
      </c>
      <c r="BO64" s="22" t="e">
        <f ca="1">VLOOKUP(tabCustoUnit[[#This Row],[Código do Posto]],tabParametros[],MATCH(tabCustoUnit[[#Headers],[Lucro]],tabParametros[#Headers],0),0)</f>
        <v>#NAME?</v>
      </c>
      <c r="BP64" s="26">
        <f>((100/((1-tabCustoUnit[[#This Row],[Resumo de Alíquotas (PIS+CONFINS+ISS)]]))-100)*VLOOKUP(tabCustoUnit[[#This Row],[Código do Posto]],tabParametros[],MATCH(tabCustoUnit[[#Headers],[COFINS]],tabParametros[#Headers],0),0))/(tabCustoUnit[[#This Row],[Resumo de Alíquotas (PIS+CONFINS+ISS)]]*100)</f>
        <v>8.8629737609329504E-2</v>
      </c>
      <c r="BQ64" s="26">
        <f>((100/((100-(tabCustoUnit[[#This Row],[Resumo de Alíquotas (PIS+CONFINS+ISS)]]*100))%)-100)*VLOOKUP(tabCustoUnit[[#This Row],[Código do Posto]],tabParametros[],MATCH(tabCustoUnit[[#Headers],[PIS]],tabParametros[#Headers],0),0))/(tabCustoUnit[[#This Row],[Resumo de Alíquotas (PIS+CONFINS+ISS)]]*100)</f>
        <v>1.9241982507288629E-2</v>
      </c>
      <c r="BR64" s="28">
        <f>VLOOKUP(tabCustoUnit[[#This Row],[Código do Posto]],tabParametros[],MATCH(tabCustoUnit[[#Headers],[ISS]],tabParametros[#Headers],0),0)</f>
        <v>0.05</v>
      </c>
      <c r="BS64" s="26">
        <f>(((100/((100-(tabCustoUnit[[#This Row],[Resumo de Alíquotas (PIS+CONFINS+ISS)]]*100))%)-100)*tabCustoUnit[[#This Row],[ISS]])/tabCustoUnit[[#This Row],[Resumo de Alíquotas (PIS+CONFINS+ISS)]])/100</f>
        <v>5.8309037900874633E-2</v>
      </c>
      <c r="BT6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4" s="138">
        <f>tabCustoUnit[[#This Row],[COFINS]]+tabCustoUnit[[#This Row],[PIS]]+tabCustoUnit[[#This Row],[ISS (Conversão Alíquota s/ fatura)]]</f>
        <v>0.16618075801749277</v>
      </c>
      <c r="BV64" s="22" t="e">
        <f ca="1">(tabCustoUnit[[#This Row],[TOTAL MÓDULOS 1+2+3+4+5]]+tabCustoUnit[[#This Row],[Custos Indiretos]]+tabCustoUnit[[#This Row],[Lucro]])*tabCustoUnit[[#This Row],[PIS + COFINS + ISS (Total Conversão  Alíquota s/ Fatura)]]</f>
        <v>#NAME?</v>
      </c>
      <c r="BW64" s="22" t="e">
        <f ca="1">tabCustoUnit[[#This Row],[Custos Indiretos]]+tabCustoUnit[[#This Row],[Lucro]]+tabCustoUnit[[#This Row],[Valor dos Tributos (ISS, PIS, CONFINS)]]</f>
        <v>#NAME?</v>
      </c>
      <c r="BX64" s="22" t="e">
        <f ca="1">tabCustoUnit[[#This Row],[TOTAL MÓDULOS 1+2+3+4+5]]+tabCustoUnit[[#This Row],[MÓDULO 6 – CUSTOS INDIRETOS, TRIBUTOS E LUCRO]]</f>
        <v>#NAME?</v>
      </c>
      <c r="BY64" s="22" t="e">
        <f ca="1">tabCustoUnit[[#This Row],[CUSTO TOTAL MENSAL]]*12</f>
        <v>#NAME?</v>
      </c>
      <c r="BZ64" s="24">
        <f>VLOOKUP(tabCustoUnit[[#This Row],[Código do Posto]],tabParametros[],MATCH(tabCustoUnit[[#Headers],[ANO DA CCT]],tabParametros[#Headers],0),0)</f>
        <v>45658</v>
      </c>
      <c r="CA64" s="25" t="str">
        <f>VLOOKUP(tabCustoUnit[[#This Row],[Código do Posto]],tabParametros[],MATCH(tabCustoUnit[[#Headers],[Nº DE PEDIDO DA CCT]],tabParametros[#Headers],0),0)</f>
        <v>-</v>
      </c>
      <c r="CB64" s="25" t="str">
        <f>VLOOKUP(tabCustoUnit[[#This Row],[Código do Posto]],tabParametros[],MATCH(tabCustoUnit[[#Headers],[TERMO ADITIVO ALTERAÇÃO DA CCT]],tabParametros[#Headers],0),0)</f>
        <v>-</v>
      </c>
    </row>
    <row r="65" spans="1:80">
      <c r="A65" s="20" t="s">
        <v>1441</v>
      </c>
      <c r="B65" t="s">
        <v>1103</v>
      </c>
      <c r="C65" t="s">
        <v>304</v>
      </c>
      <c r="D65" t="s">
        <v>1035</v>
      </c>
      <c r="E65" s="20" t="s">
        <v>1090</v>
      </c>
      <c r="F65" s="20" t="s">
        <v>120</v>
      </c>
      <c r="G65" s="418">
        <v>2134.8035</v>
      </c>
      <c r="H65" s="418">
        <v>0</v>
      </c>
      <c r="I65" s="418">
        <v>0</v>
      </c>
      <c r="J65" s="418">
        <v>0</v>
      </c>
      <c r="K65" s="418">
        <v>0</v>
      </c>
      <c r="L65" s="418">
        <v>0</v>
      </c>
      <c r="M65" s="418">
        <v>0</v>
      </c>
      <c r="N65" s="418">
        <v>0</v>
      </c>
      <c r="O65" s="21">
        <f>SUM(tabCustoUnit[[#This Row],[Salário Base]:[Adicional de Acúmulo de função]])</f>
        <v>2134.8035</v>
      </c>
      <c r="P65" s="21">
        <f>tabCustoUnit[[#This Row],[MODULO 1 - REMUNERAÇÃO ]]*SUMIFS(tabParametros[INSS],tabParametros[Código do Posto],tabCustoUnit[[#This Row],[Código do Posto]])</f>
        <v>426.96070000000003</v>
      </c>
      <c r="Q65" s="21">
        <f>tabCustoUnit[[#This Row],[MODULO 1 - REMUNERAÇÃO ]]*SUMIFS(tabParametros[SESI OU SESC],tabParametros[Código do Posto],tabCustoUnit[[#This Row],[Código do Posto]])</f>
        <v>32.022052500000001</v>
      </c>
      <c r="R65" s="21">
        <f>tabCustoUnit[[#This Row],[MODULO 1 - REMUNERAÇÃO ]]*SUMIFS(tabParametros[SENAI OU SENAC],tabParametros[Código do Posto],tabCustoUnit[[#This Row],[Código do Posto]])</f>
        <v>21.348034999999999</v>
      </c>
      <c r="S65" s="21">
        <f>tabCustoUnit[[#This Row],[MODULO 1 - REMUNERAÇÃO ]]*SUMIFS(tabParametros[INCRA],tabParametros[Código do Posto],tabCustoUnit[[#This Row],[Código do Posto]])</f>
        <v>4.2696069999999997</v>
      </c>
      <c r="T65" s="21">
        <f>tabCustoUnit[[#This Row],[MODULO 1 - REMUNERAÇÃO ]]*SUMIFS(tabParametros[Salário Educação],tabParametros[Código do Posto],tabCustoUnit[[#This Row],[Código do Posto]])</f>
        <v>53.370087500000004</v>
      </c>
      <c r="U65" s="21">
        <f>tabCustoUnit[[#This Row],[MODULO 1 - REMUNERAÇÃO ]]*SUMIFS(tabParametros[FGTS],tabParametros[Código do Posto],tabCustoUnit[[#This Row],[Código do Posto]])</f>
        <v>170.78428</v>
      </c>
      <c r="V65" s="21">
        <f>tabCustoUnit[[#This Row],[MODULO 1 - REMUNERAÇÃO ]]*SUMIFS(tabParametros[RAT Ajustado],tabParametros[Código do Posto],tabCustoUnit[[#This Row],[Código do Posto]])</f>
        <v>85.392139999999998</v>
      </c>
      <c r="W65" s="21">
        <f>tabCustoUnit[[#This Row],[MODULO 1 - REMUNERAÇÃO ]]*SUMIFS(tabParametros[SEBRAE],tabParametros[Código do Posto],tabCustoUnit[[#This Row],[Código do Posto]])</f>
        <v>12.808821</v>
      </c>
      <c r="X65" s="21">
        <f>SUM(tabCustoUnit[[#This Row],[INSS]:[SEBRAE]])</f>
        <v>806.95572300000003</v>
      </c>
      <c r="Y65" s="21">
        <f>tabCustoUnit[[#This Row],[MODULO 1 - REMUNERAÇÃO ]]*SUMIFS(tabParametros[13º salário (titular)],tabParametros[Código do Posto],tabCustoUnit[[#This Row],[Código do Posto]])</f>
        <v>177.90029166666665</v>
      </c>
      <c r="Z65" s="21">
        <f>tabCustoUnit[[#This Row],[MODULO 1 - REMUNERAÇÃO ]]*SUMIFS(tabParametros[Férias e Adicional de Férias (titular)],tabParametros[Código do Posto],tabCustoUnit[[#This Row],[Código do Posto]])</f>
        <v>237.20038888888888</v>
      </c>
      <c r="AA65" s="21">
        <f>IFERROR((tabCustoUnit[[#This Row],[Submódulo 2.1]]/tabCustoUnit[[#This Row],[MODULO 1 - REMUNERAÇÃO ]])*SUM(tabCustoUnit[[#This Row],[13º salário (titular)]:[Férias e Adicional de Férias (titular)]]),0)</f>
        <v>156.90805724999998</v>
      </c>
      <c r="AB65" s="21">
        <f>SUM(tabCustoUnit[[#This Row],[13º salário (titular)]:[Incidência do Submódulo 2.1 sobre 13º Salário, Férias e Adicional de Férias]])</f>
        <v>572.00873780555548</v>
      </c>
      <c r="AC65" s="22" t="e">
        <f ca="1">_xlfn.LET(_xlpm.VT,SUMIF(tabParametros[Código do Posto],tabCustoUnit[[#This Row],[Código do Posto]],tabParametros[Vale - Transporte])*2*20,
IF((_xlpm.VT-tabCustoUnit[[#This Row],[Salário Base]]*0.06)&gt;=0,(_xlpm.VT-tabCustoUnit[[#This Row],[Salário Base]]*0.06),0)
)</f>
        <v>#NAME?</v>
      </c>
      <c r="AD65" s="22">
        <f>IF(SUMIF(tabParametros[Código do Posto],tabCustoUnit[[#This Row],[Código do Posto]],tabParametros[Vale - Alimentação])&lt;=0,0,
SUMIF(tabParametros[Código do Posto],tabCustoUnit[[#This Row],[Código do Posto]],tabParametros[Vale - Alimentação])*20-1)</f>
        <v>582</v>
      </c>
      <c r="AE65" s="22">
        <f>SUMIF(tabParametros[Código do Posto],tabCustoUnit[[#This Row],[Código do Posto]],tabParametros[Cesta Básica])</f>
        <v>0</v>
      </c>
      <c r="AF65" s="22">
        <f>SUMIF(tabParametros[Código do Posto],tabCustoUnit[[#This Row],[Código do Posto]],tabParametros[PAF])</f>
        <v>95.9</v>
      </c>
      <c r="AG65" s="22">
        <f>SUMIF(tabParametros[Código do Posto],tabCustoUnit[[#This Row],[Código do Posto]],tabParametros[PQM])</f>
        <v>0</v>
      </c>
      <c r="AH65" s="22">
        <f>SUMIF(tabParametros[Código do Posto],tabCustoUnit[[#This Row],[Código do Posto]],tabParametros[Abono Único e Especial])</f>
        <v>0</v>
      </c>
      <c r="AI65" s="22">
        <f>SUMIF(tabParametros[Código do Posto],tabCustoUnit[[#This Row],[Código do Posto]],tabParametros[Seguro de Vida])</f>
        <v>3.36</v>
      </c>
      <c r="AJ65" s="22">
        <f>SUMIF(tabParametros[Código do Posto],tabCustoUnit[[#This Row],[Código do Posto]],tabParametros[Despesas de Viagem])</f>
        <v>202.08</v>
      </c>
      <c r="AK65" s="22" t="e">
        <f ca="1">SUM(tabCustoUnit[[#This Row],[Vale - Transporte (Descontada parcela do empregado)]:[Despesas de Viagem]])</f>
        <v>#NAME?</v>
      </c>
      <c r="AL65" s="22" t="e">
        <f ca="1">tabCustoUnit[[#This Row],[Submódulo 2.1]]+tabCustoUnit[[#This Row],[Submódulo 2.2]]+tabCustoUnit[[#This Row],[Submódulo 2.3]]</f>
        <v>#NAME?</v>
      </c>
      <c r="AM65" s="22">
        <f>SUMIF(tabParametros[Código do Posto],tabCustoUnit[[#This Row],[Código do Posto]],tabParametros[Aviso Prévio Indenizado (API) e Reflexo do Aviso Prévio Indenizado])*tabCustoUnit[[#This Row],[MODULO 1 - REMUNERAÇÃO ]]</f>
        <v>14.968744680073302</v>
      </c>
      <c r="AN65" s="22">
        <f>SUMIF(tabParametros[Código do Posto],tabCustoUnit[[#This Row],[Código do Posto]],tabParametros[Incidência do FGTS sobre API e Reflexo do API])*tabCustoUnit[[#This Row],[MODULO 1 - REMUNERAÇÃO ]]</f>
        <v>1.1974995744058643</v>
      </c>
      <c r="AO65" s="22">
        <f>SUMIF(tabParametros[Código do Posto],tabCustoUnit[[#This Row],[Código do Posto]],tabParametros[Multa Rescisória do FGTS sobre o Aviso Prévio Indenizado])*tabCustoUnit[[#This Row],[MODULO 1 - REMUNERAÇÃO ]]</f>
        <v>0.47899982976234579</v>
      </c>
      <c r="AP65" s="22">
        <f>SUMIF(tabParametros[Código do Posto],tabCustoUnit[[#This Row],[Código do Posto]],tabParametros[Aviso Prévio Trabalhado - APT])*tabCustoUnit[[#This Row],[MODULO 1 - REMUNERAÇÃO ]]</f>
        <v>7.471812250000001</v>
      </c>
      <c r="AQ65" s="22">
        <f>SUMIF(tabParametros[Código do Posto],tabCustoUnit[[#This Row],[Código do Posto]],tabParametros[Incidência dos encargos do submódulo 2.1 sobre Aviso Prévio Trabalhado])*tabCustoUnit[[#This Row],[MODULO 1 - REMUNERAÇÃO ]]</f>
        <v>2.8243450305000009</v>
      </c>
      <c r="AR65" s="22">
        <f>SUMIF(tabParametros[Código do Posto],tabCustoUnit[[#This Row],[Código do Posto]],tabParametros[Multa Rescisória do FGTS])*tabCustoUnit[[#This Row],[MODULO 1 - REMUNERAÇÃO ]]</f>
        <v>65.277547022222208</v>
      </c>
      <c r="AS65" s="22">
        <f>SUMIF(tabParametros[Código do Posto],tabCustoUnit[[#This Row],[Código do Posto]],tabParametros[Indenização Adicional (Art. 9º da Lei nº 7.238/84)])*tabCustoUnit[[#This Row],[MODULO 1 - REMUNERAÇÃO ]]</f>
        <v>1.7790029166666668</v>
      </c>
      <c r="AT65" s="22">
        <f>SUM(tabCustoUnit[[#This Row],[Aviso Prévio Indenizado (API) e Reflexo do Aviso Prévio Indenizado]:[Indenização Adicional (Art. 9º da Lei nº 7.238/84)]])</f>
        <v>93.997951303630387</v>
      </c>
      <c r="AU65" s="22">
        <f>SUMIF(tabParametros[Código do Posto],tabCustoUnit[[#This Row],[Código do Posto]],tabParametros[Ausência por Doença])*tabCustoUnit[[#This Row],[MODULO 1 - REMUNERAÇÃO ]]</f>
        <v>18.027229555555554</v>
      </c>
      <c r="AV65" s="22">
        <f>SUMIF(tabParametros[Código do Posto],tabCustoUnit[[#This Row],[Código do Posto]],tabParametros[Ausências Legais])*tabCustoUnit[[#This Row],[MODULO 1 - REMUNERAÇÃO ]]</f>
        <v>4.3289070972222223</v>
      </c>
      <c r="AW65" s="22">
        <f>SUMIF(tabParametros[Código do Posto],tabCustoUnit[[#This Row],[Código do Posto]],tabParametros[Licença Paternidade])*tabCustoUnit[[#This Row],[MODULO 1 - REMUNERAÇÃO ]]</f>
        <v>0.36469559791666667</v>
      </c>
      <c r="AX65" s="22">
        <f>SUMIF(tabParametros[Código do Posto],tabCustoUnit[[#This Row],[Código do Posto]],tabParametros[Ausência por Acidente de Trabalho])*tabCustoUnit[[#This Row],[MODULO 1 - REMUNERAÇÃO ]]</f>
        <v>0.44475072916666669</v>
      </c>
      <c r="AY65" s="22">
        <f>SUMIF(tabParametros[Código do Posto],tabCustoUnit[[#This Row],[Código do Posto]],tabParametros[Férias, Adicional de Férias e 13º  com empregada em gozo de Licença Maternidade])*tabCustoUnit[[#This Row],[MODULO 1 - REMUNERAÇÃO ]]</f>
        <v>2.7673378703703704</v>
      </c>
      <c r="AZ65" s="22">
        <f>SUMIF(tabParametros[Código do Posto],tabCustoUnit[[#This Row],[Código do Posto]],tabParametros[Incidência do Submódulo 2.1 sobre Ausências Legais])*tabCustoUnit[[#This Row],[MODULO 1 - REMUNERAÇÃO ]]</f>
        <v>9.802644081387502</v>
      </c>
      <c r="BA65" s="22">
        <f>SUM(tabCustoUnit[[#This Row],[Ausência por Doença]:[Incidência do Submódulo 2.1 sobre Ausências Legais]])</f>
        <v>35.735564931618981</v>
      </c>
      <c r="BB65" s="22">
        <f>SUMIF(tabParametros[Código do Posto],tabCustoUnit[[#This Row],[Código do Posto]],tabParametros[Intervalo para Repouso ou Alimentação])</f>
        <v>236.35324352825916</v>
      </c>
      <c r="BC65" s="22">
        <f>tabCustoUnit[[#This Row],[Intervalo para Repouso ou Alimentação]]</f>
        <v>236.35324352825916</v>
      </c>
      <c r="BD6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5" s="22">
        <f>tabCustoUnit[[#This Row],[Suspensão Temporária do Contrato de Trabalho]]</f>
        <v>0</v>
      </c>
      <c r="BF65" s="22">
        <f>tabCustoUnit[[#This Row],[Submódulo 4.1]]+tabCustoUnit[[#This Row],[Submódulo 4.2]]+tabCustoUnit[[#This Row],[Submódulo 4.3]]</f>
        <v>272.08880845987812</v>
      </c>
      <c r="BG65" s="22">
        <f>VLOOKUP(tabCustoUnit[[#This Row],[Código do Posto]],tabParametros[],MATCH(tabCustoUnit[[#Headers],[Uniformes e EPIs]],tabParametros[#Headers],0),0)</f>
        <v>56.642978962543395</v>
      </c>
      <c r="BH65" s="22">
        <f>VLOOKUP(tabCustoUnit[[#This Row],[Código do Posto]],tabParametros[],MATCH(tabCustoUnit[[#Headers],[Materiais de Consumo]],tabParametros[#Headers],0),0)</f>
        <v>0</v>
      </c>
      <c r="BI65" s="22">
        <f>VLOOKUP(tabCustoUnit[[#This Row],[Código do Posto]],tabParametros[],MATCH(tabCustoUnit[[#Headers],[Máquinas e Equipamentos (depreciação)]],tabParametros[#Headers],0),0)</f>
        <v>0</v>
      </c>
      <c r="BJ65" s="22">
        <f>VLOOKUP(tabCustoUnit[[#This Row],[Código do Posto]],tabParametros[],MATCH(tabCustoUnit[[#Headers],[Produtos de Limpeza e Materiais de Higiene Pessoal]],tabParametros[#Headers],0),0)</f>
        <v>0</v>
      </c>
      <c r="BK65" s="22">
        <f>VLOOKUP(tabCustoUnit[[#This Row],[Código do Posto]],tabParametros[],MATCH(tabCustoUnit[[#Headers],[Outros (especificar)]],tabParametros[#Headers],0),0)</f>
        <v>0</v>
      </c>
      <c r="BL65" s="22">
        <f>SUM(tabCustoUnit[[#This Row],[Uniformes e EPIs]:[Outros (especificar)]])</f>
        <v>56.642978962543395</v>
      </c>
      <c r="BM6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5" s="22" t="e">
        <f ca="1">VLOOKUP(tabCustoUnit[[#This Row],[Código do Posto]],tabParametros[],MATCH(tabCustoUnit[[#Headers],[Custos Indiretos]],tabParametros[#Headers],0),0)</f>
        <v>#NAME?</v>
      </c>
      <c r="BO65" s="22" t="e">
        <f ca="1">VLOOKUP(tabCustoUnit[[#This Row],[Código do Posto]],tabParametros[],MATCH(tabCustoUnit[[#Headers],[Lucro]],tabParametros[#Headers],0),0)</f>
        <v>#NAME?</v>
      </c>
      <c r="BP65" s="26">
        <f>((100/((1-tabCustoUnit[[#This Row],[Resumo de Alíquotas (PIS+CONFINS+ISS)]]))-100)*VLOOKUP(tabCustoUnit[[#This Row],[Código do Posto]],tabParametros[],MATCH(tabCustoUnit[[#Headers],[COFINS]],tabParametros[#Headers],0),0))/(tabCustoUnit[[#This Row],[Resumo de Alíquotas (PIS+CONFINS+ISS)]]*100)</f>
        <v>8.8629737609329504E-2</v>
      </c>
      <c r="BQ65" s="26">
        <f>((100/((100-(tabCustoUnit[[#This Row],[Resumo de Alíquotas (PIS+CONFINS+ISS)]]*100))%)-100)*VLOOKUP(tabCustoUnit[[#This Row],[Código do Posto]],tabParametros[],MATCH(tabCustoUnit[[#Headers],[PIS]],tabParametros[#Headers],0),0))/(tabCustoUnit[[#This Row],[Resumo de Alíquotas (PIS+CONFINS+ISS)]]*100)</f>
        <v>1.9241982507288629E-2</v>
      </c>
      <c r="BR65" s="28">
        <f>VLOOKUP(tabCustoUnit[[#This Row],[Código do Posto]],tabParametros[],MATCH(tabCustoUnit[[#Headers],[ISS]],tabParametros[#Headers],0),0)</f>
        <v>0.05</v>
      </c>
      <c r="BS65" s="26">
        <f>(((100/((100-(tabCustoUnit[[#This Row],[Resumo de Alíquotas (PIS+CONFINS+ISS)]]*100))%)-100)*tabCustoUnit[[#This Row],[ISS]])/tabCustoUnit[[#This Row],[Resumo de Alíquotas (PIS+CONFINS+ISS)]])/100</f>
        <v>5.8309037900874633E-2</v>
      </c>
      <c r="BT6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5" s="138">
        <f>tabCustoUnit[[#This Row],[COFINS]]+tabCustoUnit[[#This Row],[PIS]]+tabCustoUnit[[#This Row],[ISS (Conversão Alíquota s/ fatura)]]</f>
        <v>0.16618075801749277</v>
      </c>
      <c r="BV65" s="22" t="e">
        <f ca="1">(tabCustoUnit[[#This Row],[TOTAL MÓDULOS 1+2+3+4+5]]+tabCustoUnit[[#This Row],[Custos Indiretos]]+tabCustoUnit[[#This Row],[Lucro]])*tabCustoUnit[[#This Row],[PIS + COFINS + ISS (Total Conversão  Alíquota s/ Fatura)]]</f>
        <v>#NAME?</v>
      </c>
      <c r="BW65" s="22" t="e">
        <f ca="1">tabCustoUnit[[#This Row],[Custos Indiretos]]+tabCustoUnit[[#This Row],[Lucro]]+tabCustoUnit[[#This Row],[Valor dos Tributos (ISS, PIS, CONFINS)]]</f>
        <v>#NAME?</v>
      </c>
      <c r="BX65" s="22" t="e">
        <f ca="1">tabCustoUnit[[#This Row],[TOTAL MÓDULOS 1+2+3+4+5]]+tabCustoUnit[[#This Row],[MÓDULO 6 – CUSTOS INDIRETOS, TRIBUTOS E LUCRO]]</f>
        <v>#NAME?</v>
      </c>
      <c r="BY65" s="22" t="e">
        <f ca="1">tabCustoUnit[[#This Row],[CUSTO TOTAL MENSAL]]*12</f>
        <v>#NAME?</v>
      </c>
      <c r="BZ65" s="24">
        <f>VLOOKUP(tabCustoUnit[[#This Row],[Código do Posto]],tabParametros[],MATCH(tabCustoUnit[[#Headers],[ANO DA CCT]],tabParametros[#Headers],0),0)</f>
        <v>45658</v>
      </c>
      <c r="CA65" s="25" t="str">
        <f>VLOOKUP(tabCustoUnit[[#This Row],[Código do Posto]],tabParametros[],MATCH(tabCustoUnit[[#Headers],[Nº DE PEDIDO DA CCT]],tabParametros[#Headers],0),0)</f>
        <v>-</v>
      </c>
      <c r="CB65" s="25" t="str">
        <f>VLOOKUP(tabCustoUnit[[#This Row],[Código do Posto]],tabParametros[],MATCH(tabCustoUnit[[#Headers],[TERMO ADITIVO ALTERAÇÃO DA CCT]],tabParametros[#Headers],0),0)</f>
        <v>-</v>
      </c>
    </row>
    <row r="66" spans="1:80">
      <c r="A66" s="20" t="s">
        <v>1442</v>
      </c>
      <c r="B66" t="s">
        <v>1103</v>
      </c>
      <c r="C66" t="s">
        <v>309</v>
      </c>
      <c r="D66" t="s">
        <v>1035</v>
      </c>
      <c r="E66" s="20" t="s">
        <v>1090</v>
      </c>
      <c r="F66" s="20" t="s">
        <v>120</v>
      </c>
      <c r="G66" s="418">
        <v>2134.8035</v>
      </c>
      <c r="H66" s="418">
        <v>0</v>
      </c>
      <c r="I66" s="418">
        <v>0</v>
      </c>
      <c r="J66" s="418">
        <v>430.16289999999998</v>
      </c>
      <c r="K66" s="418">
        <v>0</v>
      </c>
      <c r="L66" s="418">
        <v>0</v>
      </c>
      <c r="M66" s="418">
        <v>0</v>
      </c>
      <c r="N66" s="418">
        <v>0</v>
      </c>
      <c r="O66" s="21">
        <f>SUM(tabCustoUnit[[#This Row],[Salário Base]:[Adicional de Acúmulo de função]])</f>
        <v>2564.9663999999998</v>
      </c>
      <c r="P66" s="21">
        <f>tabCustoUnit[[#This Row],[MODULO 1 - REMUNERAÇÃO ]]*SUMIFS(tabParametros[INSS],tabParametros[Código do Posto],tabCustoUnit[[#This Row],[Código do Posto]])</f>
        <v>512.99328000000003</v>
      </c>
      <c r="Q66" s="21">
        <f>tabCustoUnit[[#This Row],[MODULO 1 - REMUNERAÇÃO ]]*SUMIFS(tabParametros[SESI OU SESC],tabParametros[Código do Posto],tabCustoUnit[[#This Row],[Código do Posto]])</f>
        <v>38.474495999999995</v>
      </c>
      <c r="R66" s="21">
        <f>tabCustoUnit[[#This Row],[MODULO 1 - REMUNERAÇÃO ]]*SUMIFS(tabParametros[SENAI OU SENAC],tabParametros[Código do Posto],tabCustoUnit[[#This Row],[Código do Posto]])</f>
        <v>25.649663999999998</v>
      </c>
      <c r="S66" s="21">
        <f>tabCustoUnit[[#This Row],[MODULO 1 - REMUNERAÇÃO ]]*SUMIFS(tabParametros[INCRA],tabParametros[Código do Posto],tabCustoUnit[[#This Row],[Código do Posto]])</f>
        <v>5.1299327999999997</v>
      </c>
      <c r="T66" s="21">
        <f>tabCustoUnit[[#This Row],[MODULO 1 - REMUNERAÇÃO ]]*SUMIFS(tabParametros[Salário Educação],tabParametros[Código do Posto],tabCustoUnit[[#This Row],[Código do Posto]])</f>
        <v>64.124160000000003</v>
      </c>
      <c r="U66" s="21">
        <f>tabCustoUnit[[#This Row],[MODULO 1 - REMUNERAÇÃO ]]*SUMIFS(tabParametros[FGTS],tabParametros[Código do Posto],tabCustoUnit[[#This Row],[Código do Posto]])</f>
        <v>205.19731199999998</v>
      </c>
      <c r="V66" s="21">
        <f>tabCustoUnit[[#This Row],[MODULO 1 - REMUNERAÇÃO ]]*SUMIFS(tabParametros[RAT Ajustado],tabParametros[Código do Posto],tabCustoUnit[[#This Row],[Código do Posto]])</f>
        <v>102.59865599999999</v>
      </c>
      <c r="W66" s="21">
        <f>tabCustoUnit[[#This Row],[MODULO 1 - REMUNERAÇÃO ]]*SUMIFS(tabParametros[SEBRAE],tabParametros[Código do Posto],tabCustoUnit[[#This Row],[Código do Posto]])</f>
        <v>15.389798399999998</v>
      </c>
      <c r="X66" s="21">
        <f>SUM(tabCustoUnit[[#This Row],[INSS]:[SEBRAE]])</f>
        <v>969.5572992000001</v>
      </c>
      <c r="Y66" s="21">
        <f>tabCustoUnit[[#This Row],[MODULO 1 - REMUNERAÇÃO ]]*SUMIFS(tabParametros[13º salário (titular)],tabParametros[Código do Posto],tabCustoUnit[[#This Row],[Código do Posto]])</f>
        <v>213.74719999999996</v>
      </c>
      <c r="Z66" s="21">
        <f>tabCustoUnit[[#This Row],[MODULO 1 - REMUNERAÇÃO ]]*SUMIFS(tabParametros[Férias e Adicional de Férias (titular)],tabParametros[Código do Posto],tabCustoUnit[[#This Row],[Código do Posto]])</f>
        <v>284.9962666666666</v>
      </c>
      <c r="AA66" s="21">
        <f>IFERROR((tabCustoUnit[[#This Row],[Submódulo 2.1]]/tabCustoUnit[[#This Row],[MODULO 1 - REMUNERAÇÃO ]])*SUM(tabCustoUnit[[#This Row],[13º salário (titular)]:[Férias e Adicional de Férias (titular)]]),0)</f>
        <v>188.52503039999999</v>
      </c>
      <c r="AB66" s="21">
        <f>SUM(tabCustoUnit[[#This Row],[13º salário (titular)]:[Incidência do Submódulo 2.1 sobre 13º Salário, Férias e Adicional de Férias]])</f>
        <v>687.26849706666655</v>
      </c>
      <c r="AC66" s="22" t="e">
        <f ca="1">_xlfn.LET(_xlpm.VT,SUMIF(tabParametros[Código do Posto],tabCustoUnit[[#This Row],[Código do Posto]],tabParametros[Vale - Transporte])*2*20,
IF((_xlpm.VT-tabCustoUnit[[#This Row],[Salário Base]]*0.06)&gt;=0,(_xlpm.VT-tabCustoUnit[[#This Row],[Salário Base]]*0.06),0)
)</f>
        <v>#NAME?</v>
      </c>
      <c r="AD66" s="22">
        <f>IF(SUMIF(tabParametros[Código do Posto],tabCustoUnit[[#This Row],[Código do Posto]],tabParametros[Vale - Alimentação])&lt;=0,0,
SUMIF(tabParametros[Código do Posto],tabCustoUnit[[#This Row],[Código do Posto]],tabParametros[Vale - Alimentação])*20-1)</f>
        <v>582</v>
      </c>
      <c r="AE66" s="22">
        <f>SUMIF(tabParametros[Código do Posto],tabCustoUnit[[#This Row],[Código do Posto]],tabParametros[Cesta Básica])</f>
        <v>0</v>
      </c>
      <c r="AF66" s="22">
        <f>SUMIF(tabParametros[Código do Posto],tabCustoUnit[[#This Row],[Código do Posto]],tabParametros[PAF])</f>
        <v>95.9</v>
      </c>
      <c r="AG66" s="22">
        <f>SUMIF(tabParametros[Código do Posto],tabCustoUnit[[#This Row],[Código do Posto]],tabParametros[PQM])</f>
        <v>0</v>
      </c>
      <c r="AH66" s="22">
        <f>SUMIF(tabParametros[Código do Posto],tabCustoUnit[[#This Row],[Código do Posto]],tabParametros[Abono Único e Especial])</f>
        <v>0</v>
      </c>
      <c r="AI66" s="22">
        <f>SUMIF(tabParametros[Código do Posto],tabCustoUnit[[#This Row],[Código do Posto]],tabParametros[Seguro de Vida])</f>
        <v>3.36</v>
      </c>
      <c r="AJ66" s="22">
        <f>SUMIF(tabParametros[Código do Posto],tabCustoUnit[[#This Row],[Código do Posto]],tabParametros[Despesas de Viagem])</f>
        <v>202.08</v>
      </c>
      <c r="AK66" s="22" t="e">
        <f ca="1">SUM(tabCustoUnit[[#This Row],[Vale - Transporte (Descontada parcela do empregado)]:[Despesas de Viagem]])</f>
        <v>#NAME?</v>
      </c>
      <c r="AL66" s="22" t="e">
        <f ca="1">tabCustoUnit[[#This Row],[Submódulo 2.1]]+tabCustoUnit[[#This Row],[Submódulo 2.2]]+tabCustoUnit[[#This Row],[Submódulo 2.3]]</f>
        <v>#NAME?</v>
      </c>
      <c r="AM66" s="22">
        <f>SUMIF(tabParametros[Código do Posto],tabCustoUnit[[#This Row],[Código do Posto]],tabParametros[Aviso Prévio Indenizado (API) e Reflexo do Aviso Prévio Indenizado])*tabCustoUnit[[#This Row],[MODULO 1 - REMUNERAÇÃO ]]</f>
        <v>17.984946696296294</v>
      </c>
      <c r="AN66" s="22">
        <f>SUMIF(tabParametros[Código do Posto],tabCustoUnit[[#This Row],[Código do Posto]],tabParametros[Incidência do FGTS sobre API e Reflexo do API])*tabCustoUnit[[#This Row],[MODULO 1 - REMUNERAÇÃO ]]</f>
        <v>1.4387957357037038</v>
      </c>
      <c r="AO66" s="22">
        <f>SUMIF(tabParametros[Código do Posto],tabCustoUnit[[#This Row],[Código do Posto]],tabParametros[Multa Rescisória do FGTS sobre o Aviso Prévio Indenizado])*tabCustoUnit[[#This Row],[MODULO 1 - REMUNERAÇÃO ]]</f>
        <v>0.57551829428148149</v>
      </c>
      <c r="AP66" s="22">
        <f>SUMIF(tabParametros[Código do Posto],tabCustoUnit[[#This Row],[Código do Posto]],tabParametros[Aviso Prévio Trabalhado - APT])*tabCustoUnit[[#This Row],[MODULO 1 - REMUNERAÇÃO ]]</f>
        <v>8.9773823999999998</v>
      </c>
      <c r="AQ66" s="22">
        <f>SUMIF(tabParametros[Código do Posto],tabCustoUnit[[#This Row],[Código do Posto]],tabParametros[Incidência dos encargos do submódulo 2.1 sobre Aviso Prévio Trabalhado])*tabCustoUnit[[#This Row],[MODULO 1 - REMUNERAÇÃO ]]</f>
        <v>3.3934505472000009</v>
      </c>
      <c r="AR66" s="22">
        <f>SUMIF(tabParametros[Código do Posto],tabCustoUnit[[#This Row],[Código do Posto]],tabParametros[Multa Rescisória do FGTS])*tabCustoUnit[[#This Row],[MODULO 1 - REMUNERAÇÃO ]]</f>
        <v>78.430972586666655</v>
      </c>
      <c r="AS66" s="22">
        <f>SUMIF(tabParametros[Código do Posto],tabCustoUnit[[#This Row],[Código do Posto]],tabParametros[Indenização Adicional (Art. 9º da Lei nº 7.238/84)])*tabCustoUnit[[#This Row],[MODULO 1 - REMUNERAÇÃO ]]</f>
        <v>2.1374719999999998</v>
      </c>
      <c r="AT66" s="22">
        <f>SUM(tabCustoUnit[[#This Row],[Aviso Prévio Indenizado (API) e Reflexo do Aviso Prévio Indenizado]:[Indenização Adicional (Art. 9º da Lei nº 7.238/84)]])</f>
        <v>112.93853826014814</v>
      </c>
      <c r="AU66" s="22">
        <f>SUMIF(tabParametros[Código do Posto],tabCustoUnit[[#This Row],[Código do Posto]],tabParametros[Ausência por Doença])*tabCustoUnit[[#This Row],[MODULO 1 - REMUNERAÇÃO ]]</f>
        <v>21.659716266666663</v>
      </c>
      <c r="AV66" s="22">
        <f>SUMIF(tabParametros[Código do Posto],tabCustoUnit[[#This Row],[Código do Posto]],tabParametros[Ausências Legais])*tabCustoUnit[[#This Row],[MODULO 1 - REMUNERAÇÃO ]]</f>
        <v>5.2011818666666656</v>
      </c>
      <c r="AW66" s="22">
        <f>SUMIF(tabParametros[Código do Posto],tabCustoUnit[[#This Row],[Código do Posto]],tabParametros[Licença Paternidade])*tabCustoUnit[[#This Row],[MODULO 1 - REMUNERAÇÃO ]]</f>
        <v>0.43818175999999998</v>
      </c>
      <c r="AX66" s="22">
        <f>SUMIF(tabParametros[Código do Posto],tabCustoUnit[[#This Row],[Código do Posto]],tabParametros[Ausência por Acidente de Trabalho])*tabCustoUnit[[#This Row],[MODULO 1 - REMUNERAÇÃO ]]</f>
        <v>0.53436799999999995</v>
      </c>
      <c r="AY66" s="22">
        <f>SUMIF(tabParametros[Código do Posto],tabCustoUnit[[#This Row],[Código do Posto]],tabParametros[Férias, Adicional de Férias e 13º  com empregada em gozo de Licença Maternidade])*tabCustoUnit[[#This Row],[MODULO 1 - REMUNERAÇÃO ]]</f>
        <v>3.3249564444444442</v>
      </c>
      <c r="AZ66" s="22">
        <f>SUMIF(tabParametros[Código do Posto],tabCustoUnit[[#This Row],[Código do Posto]],tabParametros[Incidência do Submódulo 2.1 sobre Ausências Legais])*tabCustoUnit[[#This Row],[MODULO 1 - REMUNERAÇÃO ]]</f>
        <v>11.777876839680001</v>
      </c>
      <c r="BA66" s="22">
        <f>SUM(tabCustoUnit[[#This Row],[Ausência por Doença]:[Incidência do Submódulo 2.1 sobre Ausências Legais]])</f>
        <v>42.936281177457772</v>
      </c>
      <c r="BB66" s="22">
        <f>SUMIF(tabParametros[Código do Posto],tabCustoUnit[[#This Row],[Código do Posto]],tabParametros[Intervalo para Repouso ou Alimentação])</f>
        <v>283.97842209920344</v>
      </c>
      <c r="BC66" s="22">
        <f>tabCustoUnit[[#This Row],[Intervalo para Repouso ou Alimentação]]</f>
        <v>283.97842209920344</v>
      </c>
      <c r="BD6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6" s="22">
        <f>tabCustoUnit[[#This Row],[Suspensão Temporária do Contrato de Trabalho]]</f>
        <v>0</v>
      </c>
      <c r="BF66" s="22">
        <f>tabCustoUnit[[#This Row],[Submódulo 4.1]]+tabCustoUnit[[#This Row],[Submódulo 4.2]]+tabCustoUnit[[#This Row],[Submódulo 4.3]]</f>
        <v>326.91470327666121</v>
      </c>
      <c r="BG66" s="22">
        <f>VLOOKUP(tabCustoUnit[[#This Row],[Código do Posto]],tabParametros[],MATCH(tabCustoUnit[[#Headers],[Uniformes e EPIs]],tabParametros[#Headers],0),0)</f>
        <v>56.642978962543395</v>
      </c>
      <c r="BH66" s="22">
        <f>VLOOKUP(tabCustoUnit[[#This Row],[Código do Posto]],tabParametros[],MATCH(tabCustoUnit[[#Headers],[Materiais de Consumo]],tabParametros[#Headers],0),0)</f>
        <v>0</v>
      </c>
      <c r="BI66" s="22">
        <f>VLOOKUP(tabCustoUnit[[#This Row],[Código do Posto]],tabParametros[],MATCH(tabCustoUnit[[#Headers],[Máquinas e Equipamentos (depreciação)]],tabParametros[#Headers],0),0)</f>
        <v>0</v>
      </c>
      <c r="BJ66" s="22">
        <f>VLOOKUP(tabCustoUnit[[#This Row],[Código do Posto]],tabParametros[],MATCH(tabCustoUnit[[#Headers],[Produtos de Limpeza e Materiais de Higiene Pessoal]],tabParametros[#Headers],0),0)</f>
        <v>0</v>
      </c>
      <c r="BK66" s="22">
        <f>VLOOKUP(tabCustoUnit[[#This Row],[Código do Posto]],tabParametros[],MATCH(tabCustoUnit[[#Headers],[Outros (especificar)]],tabParametros[#Headers],0),0)</f>
        <v>0</v>
      </c>
      <c r="BL66" s="22">
        <f>SUM(tabCustoUnit[[#This Row],[Uniformes e EPIs]:[Outros (especificar)]])</f>
        <v>56.642978962543395</v>
      </c>
      <c r="BM6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6" s="22" t="e">
        <f ca="1">VLOOKUP(tabCustoUnit[[#This Row],[Código do Posto]],tabParametros[],MATCH(tabCustoUnit[[#Headers],[Custos Indiretos]],tabParametros[#Headers],0),0)</f>
        <v>#NAME?</v>
      </c>
      <c r="BO66" s="22" t="e">
        <f ca="1">VLOOKUP(tabCustoUnit[[#This Row],[Código do Posto]],tabParametros[],MATCH(tabCustoUnit[[#Headers],[Lucro]],tabParametros[#Headers],0),0)</f>
        <v>#NAME?</v>
      </c>
      <c r="BP66" s="26">
        <f>((100/((1-tabCustoUnit[[#This Row],[Resumo de Alíquotas (PIS+CONFINS+ISS)]]))-100)*VLOOKUP(tabCustoUnit[[#This Row],[Código do Posto]],tabParametros[],MATCH(tabCustoUnit[[#Headers],[COFINS]],tabParametros[#Headers],0),0))/(tabCustoUnit[[#This Row],[Resumo de Alíquotas (PIS+CONFINS+ISS)]]*100)</f>
        <v>8.8629737609329504E-2</v>
      </c>
      <c r="BQ66" s="26">
        <f>((100/((100-(tabCustoUnit[[#This Row],[Resumo de Alíquotas (PIS+CONFINS+ISS)]]*100))%)-100)*VLOOKUP(tabCustoUnit[[#This Row],[Código do Posto]],tabParametros[],MATCH(tabCustoUnit[[#Headers],[PIS]],tabParametros[#Headers],0),0))/(tabCustoUnit[[#This Row],[Resumo de Alíquotas (PIS+CONFINS+ISS)]]*100)</f>
        <v>1.9241982507288629E-2</v>
      </c>
      <c r="BR66" s="28">
        <f>VLOOKUP(tabCustoUnit[[#This Row],[Código do Posto]],tabParametros[],MATCH(tabCustoUnit[[#Headers],[ISS]],tabParametros[#Headers],0),0)</f>
        <v>0.05</v>
      </c>
      <c r="BS66" s="26">
        <f>(((100/((100-(tabCustoUnit[[#This Row],[Resumo de Alíquotas (PIS+CONFINS+ISS)]]*100))%)-100)*tabCustoUnit[[#This Row],[ISS]])/tabCustoUnit[[#This Row],[Resumo de Alíquotas (PIS+CONFINS+ISS)]])/100</f>
        <v>5.8309037900874633E-2</v>
      </c>
      <c r="BT6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6" s="138">
        <f>tabCustoUnit[[#This Row],[COFINS]]+tabCustoUnit[[#This Row],[PIS]]+tabCustoUnit[[#This Row],[ISS (Conversão Alíquota s/ fatura)]]</f>
        <v>0.16618075801749277</v>
      </c>
      <c r="BV66" s="22" t="e">
        <f ca="1">(tabCustoUnit[[#This Row],[TOTAL MÓDULOS 1+2+3+4+5]]+tabCustoUnit[[#This Row],[Custos Indiretos]]+tabCustoUnit[[#This Row],[Lucro]])*tabCustoUnit[[#This Row],[PIS + COFINS + ISS (Total Conversão  Alíquota s/ Fatura)]]</f>
        <v>#NAME?</v>
      </c>
      <c r="BW66" s="22" t="e">
        <f ca="1">tabCustoUnit[[#This Row],[Custos Indiretos]]+tabCustoUnit[[#This Row],[Lucro]]+tabCustoUnit[[#This Row],[Valor dos Tributos (ISS, PIS, CONFINS)]]</f>
        <v>#NAME?</v>
      </c>
      <c r="BX66" s="22" t="e">
        <f ca="1">tabCustoUnit[[#This Row],[TOTAL MÓDULOS 1+2+3+4+5]]+tabCustoUnit[[#This Row],[MÓDULO 6 – CUSTOS INDIRETOS, TRIBUTOS E LUCRO]]</f>
        <v>#NAME?</v>
      </c>
      <c r="BY66" s="22" t="e">
        <f ca="1">tabCustoUnit[[#This Row],[CUSTO TOTAL MENSAL]]*12</f>
        <v>#NAME?</v>
      </c>
      <c r="BZ66" s="24">
        <f>VLOOKUP(tabCustoUnit[[#This Row],[Código do Posto]],tabParametros[],MATCH(tabCustoUnit[[#Headers],[ANO DA CCT]],tabParametros[#Headers],0),0)</f>
        <v>45658</v>
      </c>
      <c r="CA66" s="25" t="str">
        <f>VLOOKUP(tabCustoUnit[[#This Row],[Código do Posto]],tabParametros[],MATCH(tabCustoUnit[[#Headers],[Nº DE PEDIDO DA CCT]],tabParametros[#Headers],0),0)</f>
        <v>-</v>
      </c>
      <c r="CB66" s="25" t="str">
        <f>VLOOKUP(tabCustoUnit[[#This Row],[Código do Posto]],tabParametros[],MATCH(tabCustoUnit[[#Headers],[TERMO ADITIVO ALTERAÇÃO DA CCT]],tabParametros[#Headers],0),0)</f>
        <v>-</v>
      </c>
    </row>
    <row r="67" spans="1:80">
      <c r="A67" s="20" t="s">
        <v>1443</v>
      </c>
      <c r="B67" t="s">
        <v>1103</v>
      </c>
      <c r="C67" t="s">
        <v>314</v>
      </c>
      <c r="D67" t="s">
        <v>1035</v>
      </c>
      <c r="E67" s="20" t="s">
        <v>1090</v>
      </c>
      <c r="F67" s="20" t="s">
        <v>120</v>
      </c>
      <c r="G67" s="418">
        <v>2134.8035</v>
      </c>
      <c r="H67" s="418">
        <v>0</v>
      </c>
      <c r="I67" s="418">
        <v>0</v>
      </c>
      <c r="J67" s="418">
        <v>0</v>
      </c>
      <c r="K67" s="418">
        <v>0</v>
      </c>
      <c r="L67" s="418">
        <v>0</v>
      </c>
      <c r="M67" s="418">
        <v>0</v>
      </c>
      <c r="N67" s="418">
        <v>0</v>
      </c>
      <c r="O67" s="21">
        <f>SUM(tabCustoUnit[[#This Row],[Salário Base]:[Adicional de Acúmulo de função]])</f>
        <v>2134.8035</v>
      </c>
      <c r="P67" s="21">
        <f>tabCustoUnit[[#This Row],[MODULO 1 - REMUNERAÇÃO ]]*SUMIFS(tabParametros[INSS],tabParametros[Código do Posto],tabCustoUnit[[#This Row],[Código do Posto]])</f>
        <v>426.96070000000003</v>
      </c>
      <c r="Q67" s="21">
        <f>tabCustoUnit[[#This Row],[MODULO 1 - REMUNERAÇÃO ]]*SUMIFS(tabParametros[SESI OU SESC],tabParametros[Código do Posto],tabCustoUnit[[#This Row],[Código do Posto]])</f>
        <v>32.022052500000001</v>
      </c>
      <c r="R67" s="21">
        <f>tabCustoUnit[[#This Row],[MODULO 1 - REMUNERAÇÃO ]]*SUMIFS(tabParametros[SENAI OU SENAC],tabParametros[Código do Posto],tabCustoUnit[[#This Row],[Código do Posto]])</f>
        <v>21.348034999999999</v>
      </c>
      <c r="S67" s="21">
        <f>tabCustoUnit[[#This Row],[MODULO 1 - REMUNERAÇÃO ]]*SUMIFS(tabParametros[INCRA],tabParametros[Código do Posto],tabCustoUnit[[#This Row],[Código do Posto]])</f>
        <v>4.2696069999999997</v>
      </c>
      <c r="T67" s="21">
        <f>tabCustoUnit[[#This Row],[MODULO 1 - REMUNERAÇÃO ]]*SUMIFS(tabParametros[Salário Educação],tabParametros[Código do Posto],tabCustoUnit[[#This Row],[Código do Posto]])</f>
        <v>53.370087500000004</v>
      </c>
      <c r="U67" s="21">
        <f>tabCustoUnit[[#This Row],[MODULO 1 - REMUNERAÇÃO ]]*SUMIFS(tabParametros[FGTS],tabParametros[Código do Posto],tabCustoUnit[[#This Row],[Código do Posto]])</f>
        <v>170.78428</v>
      </c>
      <c r="V67" s="21">
        <f>tabCustoUnit[[#This Row],[MODULO 1 - REMUNERAÇÃO ]]*SUMIFS(tabParametros[RAT Ajustado],tabParametros[Código do Posto],tabCustoUnit[[#This Row],[Código do Posto]])</f>
        <v>85.392139999999998</v>
      </c>
      <c r="W67" s="21">
        <f>tabCustoUnit[[#This Row],[MODULO 1 - REMUNERAÇÃO ]]*SUMIFS(tabParametros[SEBRAE],tabParametros[Código do Posto],tabCustoUnit[[#This Row],[Código do Posto]])</f>
        <v>12.808821</v>
      </c>
      <c r="X67" s="21">
        <f>SUM(tabCustoUnit[[#This Row],[INSS]:[SEBRAE]])</f>
        <v>806.95572300000003</v>
      </c>
      <c r="Y67" s="21">
        <f>tabCustoUnit[[#This Row],[MODULO 1 - REMUNERAÇÃO ]]*SUMIFS(tabParametros[13º salário (titular)],tabParametros[Código do Posto],tabCustoUnit[[#This Row],[Código do Posto]])</f>
        <v>177.90029166666665</v>
      </c>
      <c r="Z67" s="21">
        <f>tabCustoUnit[[#This Row],[MODULO 1 - REMUNERAÇÃO ]]*SUMIFS(tabParametros[Férias e Adicional de Férias (titular)],tabParametros[Código do Posto],tabCustoUnit[[#This Row],[Código do Posto]])</f>
        <v>237.20038888888888</v>
      </c>
      <c r="AA67" s="21">
        <f>IFERROR((tabCustoUnit[[#This Row],[Submódulo 2.1]]/tabCustoUnit[[#This Row],[MODULO 1 - REMUNERAÇÃO ]])*SUM(tabCustoUnit[[#This Row],[13º salário (titular)]:[Férias e Adicional de Férias (titular)]]),0)</f>
        <v>156.90805724999998</v>
      </c>
      <c r="AB67" s="21">
        <f>SUM(tabCustoUnit[[#This Row],[13º salário (titular)]:[Incidência do Submódulo 2.1 sobre 13º Salário, Férias e Adicional de Férias]])</f>
        <v>572.00873780555548</v>
      </c>
      <c r="AC67" s="22" t="e">
        <f ca="1">_xlfn.LET(_xlpm.VT,SUMIF(tabParametros[Código do Posto],tabCustoUnit[[#This Row],[Código do Posto]],tabParametros[Vale - Transporte])*2*20,
IF((_xlpm.VT-tabCustoUnit[[#This Row],[Salário Base]]*0.06)&gt;=0,(_xlpm.VT-tabCustoUnit[[#This Row],[Salário Base]]*0.06),0)
)</f>
        <v>#NAME?</v>
      </c>
      <c r="AD67" s="22">
        <f>IF(SUMIF(tabParametros[Código do Posto],tabCustoUnit[[#This Row],[Código do Posto]],tabParametros[Vale - Alimentação])&lt;=0,0,
SUMIF(tabParametros[Código do Posto],tabCustoUnit[[#This Row],[Código do Posto]],tabParametros[Vale - Alimentação])*20-1)</f>
        <v>582</v>
      </c>
      <c r="AE67" s="22">
        <f>SUMIF(tabParametros[Código do Posto],tabCustoUnit[[#This Row],[Código do Posto]],tabParametros[Cesta Básica])</f>
        <v>0</v>
      </c>
      <c r="AF67" s="22">
        <f>SUMIF(tabParametros[Código do Posto],tabCustoUnit[[#This Row],[Código do Posto]],tabParametros[PAF])</f>
        <v>95.9</v>
      </c>
      <c r="AG67" s="22">
        <f>SUMIF(tabParametros[Código do Posto],tabCustoUnit[[#This Row],[Código do Posto]],tabParametros[PQM])</f>
        <v>0</v>
      </c>
      <c r="AH67" s="22">
        <f>SUMIF(tabParametros[Código do Posto],tabCustoUnit[[#This Row],[Código do Posto]],tabParametros[Abono Único e Especial])</f>
        <v>0</v>
      </c>
      <c r="AI67" s="22">
        <f>SUMIF(tabParametros[Código do Posto],tabCustoUnit[[#This Row],[Código do Posto]],tabParametros[Seguro de Vida])</f>
        <v>3.36</v>
      </c>
      <c r="AJ67" s="22">
        <f>SUMIF(tabParametros[Código do Posto],tabCustoUnit[[#This Row],[Código do Posto]],tabParametros[Despesas de Viagem])</f>
        <v>202.08</v>
      </c>
      <c r="AK67" s="22" t="e">
        <f ca="1">SUM(tabCustoUnit[[#This Row],[Vale - Transporte (Descontada parcela do empregado)]:[Despesas de Viagem]])</f>
        <v>#NAME?</v>
      </c>
      <c r="AL67" s="22" t="e">
        <f ca="1">tabCustoUnit[[#This Row],[Submódulo 2.1]]+tabCustoUnit[[#This Row],[Submódulo 2.2]]+tabCustoUnit[[#This Row],[Submódulo 2.3]]</f>
        <v>#NAME?</v>
      </c>
      <c r="AM67" s="22">
        <f>SUMIF(tabParametros[Código do Posto],tabCustoUnit[[#This Row],[Código do Posto]],tabParametros[Aviso Prévio Indenizado (API) e Reflexo do Aviso Prévio Indenizado])*tabCustoUnit[[#This Row],[MODULO 1 - REMUNERAÇÃO ]]</f>
        <v>14.968744680073302</v>
      </c>
      <c r="AN67" s="22">
        <f>SUMIF(tabParametros[Código do Posto],tabCustoUnit[[#This Row],[Código do Posto]],tabParametros[Incidência do FGTS sobre API e Reflexo do API])*tabCustoUnit[[#This Row],[MODULO 1 - REMUNERAÇÃO ]]</f>
        <v>1.1974995744058643</v>
      </c>
      <c r="AO67" s="22">
        <f>SUMIF(tabParametros[Código do Posto],tabCustoUnit[[#This Row],[Código do Posto]],tabParametros[Multa Rescisória do FGTS sobre o Aviso Prévio Indenizado])*tabCustoUnit[[#This Row],[MODULO 1 - REMUNERAÇÃO ]]</f>
        <v>0.47899982976234579</v>
      </c>
      <c r="AP67" s="22">
        <f>SUMIF(tabParametros[Código do Posto],tabCustoUnit[[#This Row],[Código do Posto]],tabParametros[Aviso Prévio Trabalhado - APT])*tabCustoUnit[[#This Row],[MODULO 1 - REMUNERAÇÃO ]]</f>
        <v>7.471812250000001</v>
      </c>
      <c r="AQ67" s="22">
        <f>SUMIF(tabParametros[Código do Posto],tabCustoUnit[[#This Row],[Código do Posto]],tabParametros[Incidência dos encargos do submódulo 2.1 sobre Aviso Prévio Trabalhado])*tabCustoUnit[[#This Row],[MODULO 1 - REMUNERAÇÃO ]]</f>
        <v>2.8243450305000009</v>
      </c>
      <c r="AR67" s="22">
        <f>SUMIF(tabParametros[Código do Posto],tabCustoUnit[[#This Row],[Código do Posto]],tabParametros[Multa Rescisória do FGTS])*tabCustoUnit[[#This Row],[MODULO 1 - REMUNERAÇÃO ]]</f>
        <v>65.277547022222208</v>
      </c>
      <c r="AS67" s="22">
        <f>SUMIF(tabParametros[Código do Posto],tabCustoUnit[[#This Row],[Código do Posto]],tabParametros[Indenização Adicional (Art. 9º da Lei nº 7.238/84)])*tabCustoUnit[[#This Row],[MODULO 1 - REMUNERAÇÃO ]]</f>
        <v>1.7790029166666668</v>
      </c>
      <c r="AT67" s="22">
        <f>SUM(tabCustoUnit[[#This Row],[Aviso Prévio Indenizado (API) e Reflexo do Aviso Prévio Indenizado]:[Indenização Adicional (Art. 9º da Lei nº 7.238/84)]])</f>
        <v>93.997951303630387</v>
      </c>
      <c r="AU67" s="22">
        <f>SUMIF(tabParametros[Código do Posto],tabCustoUnit[[#This Row],[Código do Posto]],tabParametros[Ausência por Doença])*tabCustoUnit[[#This Row],[MODULO 1 - REMUNERAÇÃO ]]</f>
        <v>18.027229555555554</v>
      </c>
      <c r="AV67" s="22">
        <f>SUMIF(tabParametros[Código do Posto],tabCustoUnit[[#This Row],[Código do Posto]],tabParametros[Ausências Legais])*tabCustoUnit[[#This Row],[MODULO 1 - REMUNERAÇÃO ]]</f>
        <v>4.3289070972222223</v>
      </c>
      <c r="AW67" s="22">
        <f>SUMIF(tabParametros[Código do Posto],tabCustoUnit[[#This Row],[Código do Posto]],tabParametros[Licença Paternidade])*tabCustoUnit[[#This Row],[MODULO 1 - REMUNERAÇÃO ]]</f>
        <v>0.36469559791666667</v>
      </c>
      <c r="AX67" s="22">
        <f>SUMIF(tabParametros[Código do Posto],tabCustoUnit[[#This Row],[Código do Posto]],tabParametros[Ausência por Acidente de Trabalho])*tabCustoUnit[[#This Row],[MODULO 1 - REMUNERAÇÃO ]]</f>
        <v>0.44475072916666669</v>
      </c>
      <c r="AY67" s="22">
        <f>SUMIF(tabParametros[Código do Posto],tabCustoUnit[[#This Row],[Código do Posto]],tabParametros[Férias, Adicional de Férias e 13º  com empregada em gozo de Licença Maternidade])*tabCustoUnit[[#This Row],[MODULO 1 - REMUNERAÇÃO ]]</f>
        <v>2.7673378703703704</v>
      </c>
      <c r="AZ67" s="22">
        <f>SUMIF(tabParametros[Código do Posto],tabCustoUnit[[#This Row],[Código do Posto]],tabParametros[Incidência do Submódulo 2.1 sobre Ausências Legais])*tabCustoUnit[[#This Row],[MODULO 1 - REMUNERAÇÃO ]]</f>
        <v>9.802644081387502</v>
      </c>
      <c r="BA67" s="22">
        <f>SUM(tabCustoUnit[[#This Row],[Ausência por Doença]:[Incidência do Submódulo 2.1 sobre Ausências Legais]])</f>
        <v>35.735564931618981</v>
      </c>
      <c r="BB67" s="22">
        <f>SUMIF(tabParametros[Código do Posto],tabCustoUnit[[#This Row],[Código do Posto]],tabParametros[Intervalo para Repouso ou Alimentação])</f>
        <v>291.10956680899955</v>
      </c>
      <c r="BC67" s="22">
        <f>tabCustoUnit[[#This Row],[Intervalo para Repouso ou Alimentação]]</f>
        <v>291.10956680899955</v>
      </c>
      <c r="BD6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7" s="22">
        <f>tabCustoUnit[[#This Row],[Suspensão Temporária do Contrato de Trabalho]]</f>
        <v>0</v>
      </c>
      <c r="BF67" s="22">
        <f>tabCustoUnit[[#This Row],[Submódulo 4.1]]+tabCustoUnit[[#This Row],[Submódulo 4.2]]+tabCustoUnit[[#This Row],[Submódulo 4.3]]</f>
        <v>326.84513174061851</v>
      </c>
      <c r="BG67" s="22">
        <f>VLOOKUP(tabCustoUnit[[#This Row],[Código do Posto]],tabParametros[],MATCH(tabCustoUnit[[#Headers],[Uniformes e EPIs]],tabParametros[#Headers],0),0)</f>
        <v>56.642978962543395</v>
      </c>
      <c r="BH67" s="22">
        <f>VLOOKUP(tabCustoUnit[[#This Row],[Código do Posto]],tabParametros[],MATCH(tabCustoUnit[[#Headers],[Materiais de Consumo]],tabParametros[#Headers],0),0)</f>
        <v>0</v>
      </c>
      <c r="BI67" s="22">
        <f>VLOOKUP(tabCustoUnit[[#This Row],[Código do Posto]],tabParametros[],MATCH(tabCustoUnit[[#Headers],[Máquinas e Equipamentos (depreciação)]],tabParametros[#Headers],0),0)</f>
        <v>0</v>
      </c>
      <c r="BJ67" s="22">
        <f>VLOOKUP(tabCustoUnit[[#This Row],[Código do Posto]],tabParametros[],MATCH(tabCustoUnit[[#Headers],[Produtos de Limpeza e Materiais de Higiene Pessoal]],tabParametros[#Headers],0),0)</f>
        <v>0</v>
      </c>
      <c r="BK67" s="22">
        <f>VLOOKUP(tabCustoUnit[[#This Row],[Código do Posto]],tabParametros[],MATCH(tabCustoUnit[[#Headers],[Outros (especificar)]],tabParametros[#Headers],0),0)</f>
        <v>0</v>
      </c>
      <c r="BL67" s="22">
        <f>SUM(tabCustoUnit[[#This Row],[Uniformes e EPIs]:[Outros (especificar)]])</f>
        <v>56.642978962543395</v>
      </c>
      <c r="BM6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7" s="22" t="e">
        <f ca="1">VLOOKUP(tabCustoUnit[[#This Row],[Código do Posto]],tabParametros[],MATCH(tabCustoUnit[[#Headers],[Custos Indiretos]],tabParametros[#Headers],0),0)</f>
        <v>#NAME?</v>
      </c>
      <c r="BO67" s="22" t="e">
        <f ca="1">VLOOKUP(tabCustoUnit[[#This Row],[Código do Posto]],tabParametros[],MATCH(tabCustoUnit[[#Headers],[Lucro]],tabParametros[#Headers],0),0)</f>
        <v>#NAME?</v>
      </c>
      <c r="BP67" s="26">
        <f>((100/((1-tabCustoUnit[[#This Row],[Resumo de Alíquotas (PIS+CONFINS+ISS)]]))-100)*VLOOKUP(tabCustoUnit[[#This Row],[Código do Posto]],tabParametros[],MATCH(tabCustoUnit[[#Headers],[COFINS]],tabParametros[#Headers],0),0))/(tabCustoUnit[[#This Row],[Resumo de Alíquotas (PIS+CONFINS+ISS)]]*100)</f>
        <v>8.8629737609329504E-2</v>
      </c>
      <c r="BQ67" s="26">
        <f>((100/((100-(tabCustoUnit[[#This Row],[Resumo de Alíquotas (PIS+CONFINS+ISS)]]*100))%)-100)*VLOOKUP(tabCustoUnit[[#This Row],[Código do Posto]],tabParametros[],MATCH(tabCustoUnit[[#Headers],[PIS]],tabParametros[#Headers],0),0))/(tabCustoUnit[[#This Row],[Resumo de Alíquotas (PIS+CONFINS+ISS)]]*100)</f>
        <v>1.9241982507288629E-2</v>
      </c>
      <c r="BR67" s="28">
        <f>VLOOKUP(tabCustoUnit[[#This Row],[Código do Posto]],tabParametros[],MATCH(tabCustoUnit[[#Headers],[ISS]],tabParametros[#Headers],0),0)</f>
        <v>0.05</v>
      </c>
      <c r="BS67" s="26">
        <f>(((100/((100-(tabCustoUnit[[#This Row],[Resumo de Alíquotas (PIS+CONFINS+ISS)]]*100))%)-100)*tabCustoUnit[[#This Row],[ISS]])/tabCustoUnit[[#This Row],[Resumo de Alíquotas (PIS+CONFINS+ISS)]])/100</f>
        <v>5.8309037900874633E-2</v>
      </c>
      <c r="BT6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7" s="138">
        <f>tabCustoUnit[[#This Row],[COFINS]]+tabCustoUnit[[#This Row],[PIS]]+tabCustoUnit[[#This Row],[ISS (Conversão Alíquota s/ fatura)]]</f>
        <v>0.16618075801749277</v>
      </c>
      <c r="BV67" s="22" t="e">
        <f ca="1">(tabCustoUnit[[#This Row],[TOTAL MÓDULOS 1+2+3+4+5]]+tabCustoUnit[[#This Row],[Custos Indiretos]]+tabCustoUnit[[#This Row],[Lucro]])*tabCustoUnit[[#This Row],[PIS + COFINS + ISS (Total Conversão  Alíquota s/ Fatura)]]</f>
        <v>#NAME?</v>
      </c>
      <c r="BW67" s="22" t="e">
        <f ca="1">tabCustoUnit[[#This Row],[Custos Indiretos]]+tabCustoUnit[[#This Row],[Lucro]]+tabCustoUnit[[#This Row],[Valor dos Tributos (ISS, PIS, CONFINS)]]</f>
        <v>#NAME?</v>
      </c>
      <c r="BX67" s="22" t="e">
        <f ca="1">tabCustoUnit[[#This Row],[TOTAL MÓDULOS 1+2+3+4+5]]+tabCustoUnit[[#This Row],[MÓDULO 6 – CUSTOS INDIRETOS, TRIBUTOS E LUCRO]]</f>
        <v>#NAME?</v>
      </c>
      <c r="BY67" s="22" t="e">
        <f ca="1">tabCustoUnit[[#This Row],[CUSTO TOTAL MENSAL]]*12</f>
        <v>#NAME?</v>
      </c>
      <c r="BZ67" s="24">
        <f>VLOOKUP(tabCustoUnit[[#This Row],[Código do Posto]],tabParametros[],MATCH(tabCustoUnit[[#Headers],[ANO DA CCT]],tabParametros[#Headers],0),0)</f>
        <v>45658</v>
      </c>
      <c r="CA67" s="25" t="str">
        <f>VLOOKUP(tabCustoUnit[[#This Row],[Código do Posto]],tabParametros[],MATCH(tabCustoUnit[[#Headers],[Nº DE PEDIDO DA CCT]],tabParametros[#Headers],0),0)</f>
        <v>-</v>
      </c>
      <c r="CB67" s="25" t="str">
        <f>VLOOKUP(tabCustoUnit[[#This Row],[Código do Posto]],tabParametros[],MATCH(tabCustoUnit[[#Headers],[TERMO ADITIVO ALTERAÇÃO DA CCT]],tabParametros[#Headers],0),0)</f>
        <v>-</v>
      </c>
    </row>
    <row r="68" spans="1:80">
      <c r="A68" s="20" t="s">
        <v>1444</v>
      </c>
      <c r="B68" t="s">
        <v>1103</v>
      </c>
      <c r="C68" t="s">
        <v>319</v>
      </c>
      <c r="D68" t="s">
        <v>1035</v>
      </c>
      <c r="E68" s="20" t="s">
        <v>1090</v>
      </c>
      <c r="F68" s="20" t="s">
        <v>120</v>
      </c>
      <c r="G68" s="418">
        <v>2316.2296999999999</v>
      </c>
      <c r="H68" s="418">
        <v>0</v>
      </c>
      <c r="I68" s="418">
        <v>0</v>
      </c>
      <c r="J68" s="418">
        <v>0</v>
      </c>
      <c r="K68" s="418">
        <v>0</v>
      </c>
      <c r="L68" s="418">
        <v>0</v>
      </c>
      <c r="M68" s="418">
        <v>0</v>
      </c>
      <c r="N68" s="418">
        <v>0</v>
      </c>
      <c r="O68" s="21">
        <f>SUM(tabCustoUnit[[#This Row],[Salário Base]:[Adicional de Acúmulo de função]])</f>
        <v>2316.2296999999999</v>
      </c>
      <c r="P68" s="21">
        <f>tabCustoUnit[[#This Row],[MODULO 1 - REMUNERAÇÃO ]]*SUMIFS(tabParametros[INSS],tabParametros[Código do Posto],tabCustoUnit[[#This Row],[Código do Posto]])</f>
        <v>463.24594000000002</v>
      </c>
      <c r="Q68" s="21">
        <f>tabCustoUnit[[#This Row],[MODULO 1 - REMUNERAÇÃO ]]*SUMIFS(tabParametros[SESI OU SESC],tabParametros[Código do Posto],tabCustoUnit[[#This Row],[Código do Posto]])</f>
        <v>34.7434455</v>
      </c>
      <c r="R68" s="21">
        <f>tabCustoUnit[[#This Row],[MODULO 1 - REMUNERAÇÃO ]]*SUMIFS(tabParametros[SENAI OU SENAC],tabParametros[Código do Posto],tabCustoUnit[[#This Row],[Código do Posto]])</f>
        <v>23.162296999999999</v>
      </c>
      <c r="S68" s="21">
        <f>tabCustoUnit[[#This Row],[MODULO 1 - REMUNERAÇÃO ]]*SUMIFS(tabParametros[INCRA],tabParametros[Código do Posto],tabCustoUnit[[#This Row],[Código do Posto]])</f>
        <v>4.6324594000000001</v>
      </c>
      <c r="T68" s="21">
        <f>tabCustoUnit[[#This Row],[MODULO 1 - REMUNERAÇÃO ]]*SUMIFS(tabParametros[Salário Educação],tabParametros[Código do Posto],tabCustoUnit[[#This Row],[Código do Posto]])</f>
        <v>57.905742500000002</v>
      </c>
      <c r="U68" s="21">
        <f>tabCustoUnit[[#This Row],[MODULO 1 - REMUNERAÇÃO ]]*SUMIFS(tabParametros[FGTS],tabParametros[Código do Posto],tabCustoUnit[[#This Row],[Código do Posto]])</f>
        <v>185.29837599999999</v>
      </c>
      <c r="V68" s="21">
        <f>tabCustoUnit[[#This Row],[MODULO 1 - REMUNERAÇÃO ]]*SUMIFS(tabParametros[RAT Ajustado],tabParametros[Código do Posto],tabCustoUnit[[#This Row],[Código do Posto]])</f>
        <v>92.649187999999995</v>
      </c>
      <c r="W68" s="21">
        <f>tabCustoUnit[[#This Row],[MODULO 1 - REMUNERAÇÃO ]]*SUMIFS(tabParametros[SEBRAE],tabParametros[Código do Posto],tabCustoUnit[[#This Row],[Código do Posto]])</f>
        <v>13.8973782</v>
      </c>
      <c r="X68" s="21">
        <f>SUM(tabCustoUnit[[#This Row],[INSS]:[SEBRAE]])</f>
        <v>875.53482659999997</v>
      </c>
      <c r="Y68" s="21">
        <f>tabCustoUnit[[#This Row],[MODULO 1 - REMUNERAÇÃO ]]*SUMIFS(tabParametros[13º salário (titular)],tabParametros[Código do Posto],tabCustoUnit[[#This Row],[Código do Posto]])</f>
        <v>193.01914166666666</v>
      </c>
      <c r="Z68" s="21">
        <f>tabCustoUnit[[#This Row],[MODULO 1 - REMUNERAÇÃO ]]*SUMIFS(tabParametros[Férias e Adicional de Férias (titular)],tabParametros[Código do Posto],tabCustoUnit[[#This Row],[Código do Posto]])</f>
        <v>257.35885555555552</v>
      </c>
      <c r="AA68" s="21">
        <f>IFERROR((tabCustoUnit[[#This Row],[Submódulo 2.1]]/tabCustoUnit[[#This Row],[MODULO 1 - REMUNERAÇÃO ]])*SUM(tabCustoUnit[[#This Row],[13º salário (titular)]:[Férias e Adicional de Férias (titular)]]),0)</f>
        <v>170.24288294999999</v>
      </c>
      <c r="AB68" s="21">
        <f>SUM(tabCustoUnit[[#This Row],[13º salário (titular)]:[Incidência do Submódulo 2.1 sobre 13º Salário, Férias e Adicional de Férias]])</f>
        <v>620.6208801722222</v>
      </c>
      <c r="AC68" s="22" t="e">
        <f ca="1">_xlfn.LET(_xlpm.VT,SUMIF(tabParametros[Código do Posto],tabCustoUnit[[#This Row],[Código do Posto]],tabParametros[Vale - Transporte])*2*20,
IF((_xlpm.VT-tabCustoUnit[[#This Row],[Salário Base]]*0.06)&gt;=0,(_xlpm.VT-tabCustoUnit[[#This Row],[Salário Base]]*0.06),0)
)</f>
        <v>#NAME?</v>
      </c>
      <c r="AD68" s="22">
        <f>IF(SUMIF(tabParametros[Código do Posto],tabCustoUnit[[#This Row],[Código do Posto]],tabParametros[Vale - Alimentação])&lt;=0,0,
SUMIF(tabParametros[Código do Posto],tabCustoUnit[[#This Row],[Código do Posto]],tabParametros[Vale - Alimentação])*20-1)</f>
        <v>582</v>
      </c>
      <c r="AE68" s="22">
        <f>SUMIF(tabParametros[Código do Posto],tabCustoUnit[[#This Row],[Código do Posto]],tabParametros[Cesta Básica])</f>
        <v>0</v>
      </c>
      <c r="AF68" s="22">
        <f>SUMIF(tabParametros[Código do Posto],tabCustoUnit[[#This Row],[Código do Posto]],tabParametros[PAF])</f>
        <v>95.9</v>
      </c>
      <c r="AG68" s="22">
        <f>SUMIF(tabParametros[Código do Posto],tabCustoUnit[[#This Row],[Código do Posto]],tabParametros[PQM])</f>
        <v>0</v>
      </c>
      <c r="AH68" s="22">
        <f>SUMIF(tabParametros[Código do Posto],tabCustoUnit[[#This Row],[Código do Posto]],tabParametros[Abono Único e Especial])</f>
        <v>0</v>
      </c>
      <c r="AI68" s="22">
        <f>SUMIF(tabParametros[Código do Posto],tabCustoUnit[[#This Row],[Código do Posto]],tabParametros[Seguro de Vida])</f>
        <v>3.36</v>
      </c>
      <c r="AJ68" s="22">
        <f>SUMIF(tabParametros[Código do Posto],tabCustoUnit[[#This Row],[Código do Posto]],tabParametros[Despesas de Viagem])</f>
        <v>202.08</v>
      </c>
      <c r="AK68" s="22" t="e">
        <f ca="1">SUM(tabCustoUnit[[#This Row],[Vale - Transporte (Descontada parcela do empregado)]:[Despesas de Viagem]])</f>
        <v>#NAME?</v>
      </c>
      <c r="AL68" s="22" t="e">
        <f ca="1">tabCustoUnit[[#This Row],[Submódulo 2.1]]+tabCustoUnit[[#This Row],[Submódulo 2.2]]+tabCustoUnit[[#This Row],[Submódulo 2.3]]</f>
        <v>#NAME?</v>
      </c>
      <c r="AM68" s="22">
        <f>SUMIF(tabParametros[Código do Posto],tabCustoUnit[[#This Row],[Código do Posto]],tabParametros[Aviso Prévio Indenizado (API) e Reflexo do Aviso Prévio Indenizado])*tabCustoUnit[[#This Row],[MODULO 1 - REMUNERAÇÃO ]]</f>
        <v>16.240862917689043</v>
      </c>
      <c r="AN68" s="22">
        <f>SUMIF(tabParametros[Código do Posto],tabCustoUnit[[#This Row],[Código do Posto]],tabParametros[Incidência do FGTS sobre API e Reflexo do API])*tabCustoUnit[[#This Row],[MODULO 1 - REMUNERAÇÃO ]]</f>
        <v>1.2992690334151236</v>
      </c>
      <c r="AO68" s="22">
        <f>SUMIF(tabParametros[Código do Posto],tabCustoUnit[[#This Row],[Código do Posto]],tabParametros[Multa Rescisória do FGTS sobre o Aviso Prévio Indenizado])*tabCustoUnit[[#This Row],[MODULO 1 - REMUNERAÇÃO ]]</f>
        <v>0.51970761336604943</v>
      </c>
      <c r="AP68" s="22">
        <f>SUMIF(tabParametros[Código do Posto],tabCustoUnit[[#This Row],[Código do Posto]],tabParametros[Aviso Prévio Trabalhado - APT])*tabCustoUnit[[#This Row],[MODULO 1 - REMUNERAÇÃO ]]</f>
        <v>8.1068039500000015</v>
      </c>
      <c r="AQ68" s="22">
        <f>SUMIF(tabParametros[Código do Posto],tabCustoUnit[[#This Row],[Código do Posto]],tabParametros[Incidência dos encargos do submódulo 2.1 sobre Aviso Prévio Trabalhado])*tabCustoUnit[[#This Row],[MODULO 1 - REMUNERAÇÃO ]]</f>
        <v>3.0643718931000006</v>
      </c>
      <c r="AR68" s="22">
        <f>SUMIF(tabParametros[Código do Posto],tabCustoUnit[[#This Row],[Código do Posto]],tabParametros[Multa Rescisória do FGTS])*tabCustoUnit[[#This Row],[MODULO 1 - REMUNERAÇÃO ]]</f>
        <v>70.825157048888869</v>
      </c>
      <c r="AS68" s="22">
        <f>SUMIF(tabParametros[Código do Posto],tabCustoUnit[[#This Row],[Código do Posto]],tabParametros[Indenização Adicional (Art. 9º da Lei nº 7.238/84)])*tabCustoUnit[[#This Row],[MODULO 1 - REMUNERAÇÃO ]]</f>
        <v>1.9301914166666667</v>
      </c>
      <c r="AT68" s="22">
        <f>SUM(tabCustoUnit[[#This Row],[Aviso Prévio Indenizado (API) e Reflexo do Aviso Prévio Indenizado]:[Indenização Adicional (Art. 9º da Lei nº 7.238/84)]])</f>
        <v>101.98636387312575</v>
      </c>
      <c r="AU68" s="22">
        <f>SUMIF(tabParametros[Código do Posto],tabCustoUnit[[#This Row],[Código do Posto]],tabParametros[Ausência por Doença])*tabCustoUnit[[#This Row],[MODULO 1 - REMUNERAÇÃO ]]</f>
        <v>19.559273022222218</v>
      </c>
      <c r="AV68" s="22">
        <f>SUMIF(tabParametros[Código do Posto],tabCustoUnit[[#This Row],[Código do Posto]],tabParametros[Ausências Legais])*tabCustoUnit[[#This Row],[MODULO 1 - REMUNERAÇÃO ]]</f>
        <v>4.696799113888888</v>
      </c>
      <c r="AW68" s="22">
        <f>SUMIF(tabParametros[Código do Posto],tabCustoUnit[[#This Row],[Código do Posto]],tabParametros[Licença Paternidade])*tabCustoUnit[[#This Row],[MODULO 1 - REMUNERAÇÃO ]]</f>
        <v>0.39568924041666664</v>
      </c>
      <c r="AX68" s="22">
        <f>SUMIF(tabParametros[Código do Posto],tabCustoUnit[[#This Row],[Código do Posto]],tabParametros[Ausência por Acidente de Trabalho])*tabCustoUnit[[#This Row],[MODULO 1 - REMUNERAÇÃO ]]</f>
        <v>0.48254785416666668</v>
      </c>
      <c r="AY68" s="22">
        <f>SUMIF(tabParametros[Código do Posto],tabCustoUnit[[#This Row],[Código do Posto]],tabParametros[Férias, Adicional de Férias e 13º  com empregada em gozo de Licença Maternidade])*tabCustoUnit[[#This Row],[MODULO 1 - REMUNERAÇÃO ]]</f>
        <v>3.0025199814814814</v>
      </c>
      <c r="AZ68" s="22">
        <f>SUMIF(tabParametros[Código do Posto],tabCustoUnit[[#This Row],[Código do Posto]],tabParametros[Incidência do Submódulo 2.1 sobre Ausências Legais])*tabCustoUnit[[#This Row],[MODULO 1 - REMUNERAÇÃO ]]</f>
        <v>10.635721442202501</v>
      </c>
      <c r="BA68" s="22">
        <f>SUM(tabCustoUnit[[#This Row],[Ausência por Doença]:[Incidência do Submódulo 2.1 sobre Ausências Legais]])</f>
        <v>38.772550654378421</v>
      </c>
      <c r="BB68" s="22">
        <f>SUMIF(tabParametros[Código do Posto],tabCustoUnit[[#This Row],[Código do Posto]],tabParametros[Intervalo para Repouso ou Alimentação])</f>
        <v>0</v>
      </c>
      <c r="BC68" s="22">
        <f>tabCustoUnit[[#This Row],[Intervalo para Repouso ou Alimentação]]</f>
        <v>0</v>
      </c>
      <c r="BD6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8" s="22">
        <f>tabCustoUnit[[#This Row],[Suspensão Temporária do Contrato de Trabalho]]</f>
        <v>0</v>
      </c>
      <c r="BF68" s="22">
        <f>tabCustoUnit[[#This Row],[Submódulo 4.1]]+tabCustoUnit[[#This Row],[Submódulo 4.2]]+tabCustoUnit[[#This Row],[Submódulo 4.3]]</f>
        <v>38.772550654378421</v>
      </c>
      <c r="BG68" s="22">
        <f>VLOOKUP(tabCustoUnit[[#This Row],[Código do Posto]],tabParametros[],MATCH(tabCustoUnit[[#Headers],[Uniformes e EPIs]],tabParametros[#Headers],0),0)</f>
        <v>56.642978962543395</v>
      </c>
      <c r="BH68" s="22">
        <f>VLOOKUP(tabCustoUnit[[#This Row],[Código do Posto]],tabParametros[],MATCH(tabCustoUnit[[#Headers],[Materiais de Consumo]],tabParametros[#Headers],0),0)</f>
        <v>0</v>
      </c>
      <c r="BI68" s="22">
        <f>VLOOKUP(tabCustoUnit[[#This Row],[Código do Posto]],tabParametros[],MATCH(tabCustoUnit[[#Headers],[Máquinas e Equipamentos (depreciação)]],tabParametros[#Headers],0),0)</f>
        <v>0</v>
      </c>
      <c r="BJ68" s="22">
        <f>VLOOKUP(tabCustoUnit[[#This Row],[Código do Posto]],tabParametros[],MATCH(tabCustoUnit[[#Headers],[Produtos de Limpeza e Materiais de Higiene Pessoal]],tabParametros[#Headers],0),0)</f>
        <v>0</v>
      </c>
      <c r="BK68" s="22">
        <f>VLOOKUP(tabCustoUnit[[#This Row],[Código do Posto]],tabParametros[],MATCH(tabCustoUnit[[#Headers],[Outros (especificar)]],tabParametros[#Headers],0),0)</f>
        <v>0</v>
      </c>
      <c r="BL68" s="22">
        <f>SUM(tabCustoUnit[[#This Row],[Uniformes e EPIs]:[Outros (especificar)]])</f>
        <v>56.642978962543395</v>
      </c>
      <c r="BM6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8" s="22" t="e">
        <f ca="1">VLOOKUP(tabCustoUnit[[#This Row],[Código do Posto]],tabParametros[],MATCH(tabCustoUnit[[#Headers],[Custos Indiretos]],tabParametros[#Headers],0),0)</f>
        <v>#NAME?</v>
      </c>
      <c r="BO68" s="22" t="e">
        <f ca="1">VLOOKUP(tabCustoUnit[[#This Row],[Código do Posto]],tabParametros[],MATCH(tabCustoUnit[[#Headers],[Lucro]],tabParametros[#Headers],0),0)</f>
        <v>#NAME?</v>
      </c>
      <c r="BP68" s="26">
        <f>((100/((1-tabCustoUnit[[#This Row],[Resumo de Alíquotas (PIS+CONFINS+ISS)]]))-100)*VLOOKUP(tabCustoUnit[[#This Row],[Código do Posto]],tabParametros[],MATCH(tabCustoUnit[[#Headers],[COFINS]],tabParametros[#Headers],0),0))/(tabCustoUnit[[#This Row],[Resumo de Alíquotas (PIS+CONFINS+ISS)]]*100)</f>
        <v>8.8629737609329504E-2</v>
      </c>
      <c r="BQ68" s="26">
        <f>((100/((100-(tabCustoUnit[[#This Row],[Resumo de Alíquotas (PIS+CONFINS+ISS)]]*100))%)-100)*VLOOKUP(tabCustoUnit[[#This Row],[Código do Posto]],tabParametros[],MATCH(tabCustoUnit[[#Headers],[PIS]],tabParametros[#Headers],0),0))/(tabCustoUnit[[#This Row],[Resumo de Alíquotas (PIS+CONFINS+ISS)]]*100)</f>
        <v>1.9241982507288629E-2</v>
      </c>
      <c r="BR68" s="28">
        <f>VLOOKUP(tabCustoUnit[[#This Row],[Código do Posto]],tabParametros[],MATCH(tabCustoUnit[[#Headers],[ISS]],tabParametros[#Headers],0),0)</f>
        <v>0.05</v>
      </c>
      <c r="BS68" s="26">
        <f>(((100/((100-(tabCustoUnit[[#This Row],[Resumo de Alíquotas (PIS+CONFINS+ISS)]]*100))%)-100)*tabCustoUnit[[#This Row],[ISS]])/tabCustoUnit[[#This Row],[Resumo de Alíquotas (PIS+CONFINS+ISS)]])/100</f>
        <v>5.8309037900874633E-2</v>
      </c>
      <c r="BT6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8" s="138">
        <f>tabCustoUnit[[#This Row],[COFINS]]+tabCustoUnit[[#This Row],[PIS]]+tabCustoUnit[[#This Row],[ISS (Conversão Alíquota s/ fatura)]]</f>
        <v>0.16618075801749277</v>
      </c>
      <c r="BV68" s="22" t="e">
        <f ca="1">(tabCustoUnit[[#This Row],[TOTAL MÓDULOS 1+2+3+4+5]]+tabCustoUnit[[#This Row],[Custos Indiretos]]+tabCustoUnit[[#This Row],[Lucro]])*tabCustoUnit[[#This Row],[PIS + COFINS + ISS (Total Conversão  Alíquota s/ Fatura)]]</f>
        <v>#NAME?</v>
      </c>
      <c r="BW68" s="22" t="e">
        <f ca="1">tabCustoUnit[[#This Row],[Custos Indiretos]]+tabCustoUnit[[#This Row],[Lucro]]+tabCustoUnit[[#This Row],[Valor dos Tributos (ISS, PIS, CONFINS)]]</f>
        <v>#NAME?</v>
      </c>
      <c r="BX68" s="22" t="e">
        <f ca="1">tabCustoUnit[[#This Row],[TOTAL MÓDULOS 1+2+3+4+5]]+tabCustoUnit[[#This Row],[MÓDULO 6 – CUSTOS INDIRETOS, TRIBUTOS E LUCRO]]</f>
        <v>#NAME?</v>
      </c>
      <c r="BY68" s="22" t="e">
        <f ca="1">tabCustoUnit[[#This Row],[CUSTO TOTAL MENSAL]]*12</f>
        <v>#NAME?</v>
      </c>
      <c r="BZ68" s="24">
        <f>VLOOKUP(tabCustoUnit[[#This Row],[Código do Posto]],tabParametros[],MATCH(tabCustoUnit[[#Headers],[ANO DA CCT]],tabParametros[#Headers],0),0)</f>
        <v>45658</v>
      </c>
      <c r="CA68" s="25" t="str">
        <f>VLOOKUP(tabCustoUnit[[#This Row],[Código do Posto]],tabParametros[],MATCH(tabCustoUnit[[#Headers],[Nº DE PEDIDO DA CCT]],tabParametros[#Headers],0),0)</f>
        <v>-</v>
      </c>
      <c r="CB68" s="25" t="str">
        <f>VLOOKUP(tabCustoUnit[[#This Row],[Código do Posto]],tabParametros[],MATCH(tabCustoUnit[[#Headers],[TERMO ADITIVO ALTERAÇÃO DA CCT]],tabParametros[#Headers],0),0)</f>
        <v>-</v>
      </c>
    </row>
    <row r="69" spans="1:80">
      <c r="A69" s="20" t="s">
        <v>1445</v>
      </c>
      <c r="B69" t="s">
        <v>1103</v>
      </c>
      <c r="C69" t="s">
        <v>324</v>
      </c>
      <c r="D69" t="s">
        <v>1035</v>
      </c>
      <c r="E69" s="20" t="s">
        <v>1090</v>
      </c>
      <c r="F69" s="20" t="s">
        <v>120</v>
      </c>
      <c r="G69" s="418">
        <v>3397.1306</v>
      </c>
      <c r="H69" s="418">
        <v>0</v>
      </c>
      <c r="I69" s="418">
        <v>0</v>
      </c>
      <c r="J69" s="418">
        <v>0</v>
      </c>
      <c r="K69" s="418">
        <v>0</v>
      </c>
      <c r="L69" s="418">
        <v>0</v>
      </c>
      <c r="M69" s="418">
        <v>0</v>
      </c>
      <c r="N69" s="418">
        <v>0</v>
      </c>
      <c r="O69" s="21">
        <f>SUM(tabCustoUnit[[#This Row],[Salário Base]:[Adicional de Acúmulo de função]])</f>
        <v>3397.1306</v>
      </c>
      <c r="P69" s="21">
        <f>tabCustoUnit[[#This Row],[MODULO 1 - REMUNERAÇÃO ]]*SUMIFS(tabParametros[INSS],tabParametros[Código do Posto],tabCustoUnit[[#This Row],[Código do Posto]])</f>
        <v>679.42612000000008</v>
      </c>
      <c r="Q69" s="21">
        <f>tabCustoUnit[[#This Row],[MODULO 1 - REMUNERAÇÃO ]]*SUMIFS(tabParametros[SESI OU SESC],tabParametros[Código do Posto],tabCustoUnit[[#This Row],[Código do Posto]])</f>
        <v>50.956958999999998</v>
      </c>
      <c r="R69" s="21">
        <f>tabCustoUnit[[#This Row],[MODULO 1 - REMUNERAÇÃO ]]*SUMIFS(tabParametros[SENAI OU SENAC],tabParametros[Código do Posto],tabCustoUnit[[#This Row],[Código do Posto]])</f>
        <v>33.971305999999998</v>
      </c>
      <c r="S69" s="21">
        <f>tabCustoUnit[[#This Row],[MODULO 1 - REMUNERAÇÃO ]]*SUMIFS(tabParametros[INCRA],tabParametros[Código do Posto],tabCustoUnit[[#This Row],[Código do Posto]])</f>
        <v>6.7942612000000002</v>
      </c>
      <c r="T69" s="21">
        <f>tabCustoUnit[[#This Row],[MODULO 1 - REMUNERAÇÃO ]]*SUMIFS(tabParametros[Salário Educação],tabParametros[Código do Posto],tabCustoUnit[[#This Row],[Código do Posto]])</f>
        <v>84.92826500000001</v>
      </c>
      <c r="U69" s="21">
        <f>tabCustoUnit[[#This Row],[MODULO 1 - REMUNERAÇÃO ]]*SUMIFS(tabParametros[FGTS],tabParametros[Código do Posto],tabCustoUnit[[#This Row],[Código do Posto]])</f>
        <v>271.77044799999999</v>
      </c>
      <c r="V69" s="21">
        <f>tabCustoUnit[[#This Row],[MODULO 1 - REMUNERAÇÃO ]]*SUMIFS(tabParametros[RAT Ajustado],tabParametros[Código do Posto],tabCustoUnit[[#This Row],[Código do Posto]])</f>
        <v>135.88522399999999</v>
      </c>
      <c r="W69" s="21">
        <f>tabCustoUnit[[#This Row],[MODULO 1 - REMUNERAÇÃO ]]*SUMIFS(tabParametros[SEBRAE],tabParametros[Código do Posto],tabCustoUnit[[#This Row],[Código do Posto]])</f>
        <v>20.3827836</v>
      </c>
      <c r="X69" s="21">
        <f>SUM(tabCustoUnit[[#This Row],[INSS]:[SEBRAE]])</f>
        <v>1284.1153668000002</v>
      </c>
      <c r="Y69" s="21">
        <f>tabCustoUnit[[#This Row],[MODULO 1 - REMUNERAÇÃO ]]*SUMIFS(tabParametros[13º salário (titular)],tabParametros[Código do Posto],tabCustoUnit[[#This Row],[Código do Posto]])</f>
        <v>283.09421666666663</v>
      </c>
      <c r="Z69" s="21">
        <f>tabCustoUnit[[#This Row],[MODULO 1 - REMUNERAÇÃO ]]*SUMIFS(tabParametros[Férias e Adicional de Férias (titular)],tabParametros[Código do Posto],tabCustoUnit[[#This Row],[Código do Posto]])</f>
        <v>377.45895555555552</v>
      </c>
      <c r="AA69" s="21">
        <f>IFERROR((tabCustoUnit[[#This Row],[Submódulo 2.1]]/tabCustoUnit[[#This Row],[MODULO 1 - REMUNERAÇÃO ]])*SUM(tabCustoUnit[[#This Row],[13º salário (titular)]:[Férias e Adicional de Férias (titular)]]),0)</f>
        <v>249.68909910000002</v>
      </c>
      <c r="AB69" s="21">
        <f>SUM(tabCustoUnit[[#This Row],[13º salário (titular)]:[Incidência do Submódulo 2.1 sobre 13º Salário, Férias e Adicional de Férias]])</f>
        <v>910.24227132222222</v>
      </c>
      <c r="AC69" s="22" t="e">
        <f ca="1">_xlfn.LET(_xlpm.VT,SUMIF(tabParametros[Código do Posto],tabCustoUnit[[#This Row],[Código do Posto]],tabParametros[Vale - Transporte])*2*20,
IF((_xlpm.VT-tabCustoUnit[[#This Row],[Salário Base]]*0.06)&gt;=0,(_xlpm.VT-tabCustoUnit[[#This Row],[Salário Base]]*0.06),0)
)</f>
        <v>#NAME?</v>
      </c>
      <c r="AD69" s="22">
        <f>IF(SUMIF(tabParametros[Código do Posto],tabCustoUnit[[#This Row],[Código do Posto]],tabParametros[Vale - Alimentação])&lt;=0,0,
SUMIF(tabParametros[Código do Posto],tabCustoUnit[[#This Row],[Código do Posto]],tabParametros[Vale - Alimentação])*20-1)</f>
        <v>582</v>
      </c>
      <c r="AE69" s="22">
        <f>SUMIF(tabParametros[Código do Posto],tabCustoUnit[[#This Row],[Código do Posto]],tabParametros[Cesta Básica])</f>
        <v>0</v>
      </c>
      <c r="AF69" s="22">
        <f>SUMIF(tabParametros[Código do Posto],tabCustoUnit[[#This Row],[Código do Posto]],tabParametros[PAF])</f>
        <v>95.9</v>
      </c>
      <c r="AG69" s="22">
        <f>SUMIF(tabParametros[Código do Posto],tabCustoUnit[[#This Row],[Código do Posto]],tabParametros[PQM])</f>
        <v>0</v>
      </c>
      <c r="AH69" s="22">
        <f>SUMIF(tabParametros[Código do Posto],tabCustoUnit[[#This Row],[Código do Posto]],tabParametros[Abono Único e Especial])</f>
        <v>0</v>
      </c>
      <c r="AI69" s="22">
        <f>SUMIF(tabParametros[Código do Posto],tabCustoUnit[[#This Row],[Código do Posto]],tabParametros[Seguro de Vida])</f>
        <v>3.36</v>
      </c>
      <c r="AJ69" s="22">
        <f>SUMIF(tabParametros[Código do Posto],tabCustoUnit[[#This Row],[Código do Posto]],tabParametros[Despesas de Viagem])</f>
        <v>202.08</v>
      </c>
      <c r="AK69" s="22" t="e">
        <f ca="1">SUM(tabCustoUnit[[#This Row],[Vale - Transporte (Descontada parcela do empregado)]:[Despesas de Viagem]])</f>
        <v>#NAME?</v>
      </c>
      <c r="AL69" s="22" t="e">
        <f ca="1">tabCustoUnit[[#This Row],[Submódulo 2.1]]+tabCustoUnit[[#This Row],[Submódulo 2.2]]+tabCustoUnit[[#This Row],[Submódulo 2.3]]</f>
        <v>#NAME?</v>
      </c>
      <c r="AM69" s="22">
        <f>SUMIF(tabParametros[Código do Posto],tabCustoUnit[[#This Row],[Código do Posto]],tabParametros[Aviso Prévio Indenizado (API) e Reflexo do Aviso Prévio Indenizado])*tabCustoUnit[[#This Row],[MODULO 1 - REMUNERAÇÃO ]]</f>
        <v>23.819888151890432</v>
      </c>
      <c r="AN69" s="22">
        <f>SUMIF(tabParametros[Código do Posto],tabCustoUnit[[#This Row],[Código do Posto]],tabParametros[Incidência do FGTS sobre API e Reflexo do API])*tabCustoUnit[[#This Row],[MODULO 1 - REMUNERAÇÃO ]]</f>
        <v>1.9055910521512347</v>
      </c>
      <c r="AO69" s="22">
        <f>SUMIF(tabParametros[Código do Posto],tabCustoUnit[[#This Row],[Código do Posto]],tabParametros[Multa Rescisória do FGTS sobre o Aviso Prévio Indenizado])*tabCustoUnit[[#This Row],[MODULO 1 - REMUNERAÇÃO ]]</f>
        <v>0.76223642086049392</v>
      </c>
      <c r="AP69" s="22">
        <f>SUMIF(tabParametros[Código do Posto],tabCustoUnit[[#This Row],[Código do Posto]],tabParametros[Aviso Prévio Trabalhado - APT])*tabCustoUnit[[#This Row],[MODULO 1 - REMUNERAÇÃO ]]</f>
        <v>11.889957100000002</v>
      </c>
      <c r="AQ69" s="22">
        <f>SUMIF(tabParametros[Código do Posto],tabCustoUnit[[#This Row],[Código do Posto]],tabParametros[Incidência dos encargos do submódulo 2.1 sobre Aviso Prévio Trabalhado])*tabCustoUnit[[#This Row],[MODULO 1 - REMUNERAÇÃO ]]</f>
        <v>4.4944037838000011</v>
      </c>
      <c r="AR69" s="22">
        <f>SUMIF(tabParametros[Código do Posto],tabCustoUnit[[#This Row],[Código do Posto]],tabParametros[Multa Rescisória do FGTS])*tabCustoUnit[[#This Row],[MODULO 1 - REMUNERAÇÃO ]]</f>
        <v>103.87670456888887</v>
      </c>
      <c r="AS69" s="22">
        <f>SUMIF(tabParametros[Código do Posto],tabCustoUnit[[#This Row],[Código do Posto]],tabParametros[Indenização Adicional (Art. 9º da Lei nº 7.238/84)])*tabCustoUnit[[#This Row],[MODULO 1 - REMUNERAÇÃO ]]</f>
        <v>2.830942166666667</v>
      </c>
      <c r="AT69" s="22">
        <f>SUM(tabCustoUnit[[#This Row],[Aviso Prévio Indenizado (API) e Reflexo do Aviso Prévio Indenizado]:[Indenização Adicional (Art. 9º da Lei nº 7.238/84)]])</f>
        <v>149.57972324425771</v>
      </c>
      <c r="AU69" s="22">
        <f>SUMIF(tabParametros[Código do Posto],tabCustoUnit[[#This Row],[Código do Posto]],tabParametros[Ausência por Doença])*tabCustoUnit[[#This Row],[MODULO 1 - REMUNERAÇÃO ]]</f>
        <v>28.686880622222219</v>
      </c>
      <c r="AV69" s="22">
        <f>SUMIF(tabParametros[Código do Posto],tabCustoUnit[[#This Row],[Código do Posto]],tabParametros[Ausências Legais])*tabCustoUnit[[#This Row],[MODULO 1 - REMUNERAÇÃO ]]</f>
        <v>6.8886259388888886</v>
      </c>
      <c r="AW69" s="22">
        <f>SUMIF(tabParametros[Código do Posto],tabCustoUnit[[#This Row],[Código do Posto]],tabParametros[Licença Paternidade])*tabCustoUnit[[#This Row],[MODULO 1 - REMUNERAÇÃO ]]</f>
        <v>0.58034314416666666</v>
      </c>
      <c r="AX69" s="22">
        <f>SUMIF(tabParametros[Código do Posto],tabCustoUnit[[#This Row],[Código do Posto]],tabParametros[Ausência por Acidente de Trabalho])*tabCustoUnit[[#This Row],[MODULO 1 - REMUNERAÇÃO ]]</f>
        <v>0.70773554166666675</v>
      </c>
      <c r="AY69" s="22">
        <f>SUMIF(tabParametros[Código do Posto],tabCustoUnit[[#This Row],[Código do Posto]],tabParametros[Férias, Adicional de Férias e 13º  com empregada em gozo de Licença Maternidade])*tabCustoUnit[[#This Row],[MODULO 1 - REMUNERAÇÃO ]]</f>
        <v>4.4036878148148144</v>
      </c>
      <c r="AZ69" s="22">
        <f>SUMIF(tabParametros[Código do Posto],tabCustoUnit[[#This Row],[Código do Posto]],tabParametros[Incidência do Submódulo 2.1 sobre Ausências Legais])*tabCustoUnit[[#This Row],[MODULO 1 - REMUNERAÇÃO ]]</f>
        <v>15.599029217345002</v>
      </c>
      <c r="BA69" s="22">
        <f>SUM(tabCustoUnit[[#This Row],[Ausência por Doença]:[Incidência do Submódulo 2.1 sobre Ausências Legais]])</f>
        <v>56.866302279104261</v>
      </c>
      <c r="BB69" s="22">
        <f>SUMIF(tabParametros[Código do Posto],tabCustoUnit[[#This Row],[Código do Posto]],tabParametros[Intervalo para Repouso ou Alimentação])</f>
        <v>0</v>
      </c>
      <c r="BC69" s="22">
        <f>tabCustoUnit[[#This Row],[Intervalo para Repouso ou Alimentação]]</f>
        <v>0</v>
      </c>
      <c r="BD6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69" s="22">
        <f>tabCustoUnit[[#This Row],[Suspensão Temporária do Contrato de Trabalho]]</f>
        <v>0</v>
      </c>
      <c r="BF69" s="22">
        <f>tabCustoUnit[[#This Row],[Submódulo 4.1]]+tabCustoUnit[[#This Row],[Submódulo 4.2]]+tabCustoUnit[[#This Row],[Submódulo 4.3]]</f>
        <v>56.866302279104261</v>
      </c>
      <c r="BG69" s="22">
        <f>VLOOKUP(tabCustoUnit[[#This Row],[Código do Posto]],tabParametros[],MATCH(tabCustoUnit[[#Headers],[Uniformes e EPIs]],tabParametros[#Headers],0),0)</f>
        <v>56.642978962543395</v>
      </c>
      <c r="BH69" s="22">
        <f>VLOOKUP(tabCustoUnit[[#This Row],[Código do Posto]],tabParametros[],MATCH(tabCustoUnit[[#Headers],[Materiais de Consumo]],tabParametros[#Headers],0),0)</f>
        <v>0</v>
      </c>
      <c r="BI69" s="22">
        <f>VLOOKUP(tabCustoUnit[[#This Row],[Código do Posto]],tabParametros[],MATCH(tabCustoUnit[[#Headers],[Máquinas e Equipamentos (depreciação)]],tabParametros[#Headers],0),0)</f>
        <v>0</v>
      </c>
      <c r="BJ69" s="22">
        <f>VLOOKUP(tabCustoUnit[[#This Row],[Código do Posto]],tabParametros[],MATCH(tabCustoUnit[[#Headers],[Produtos de Limpeza e Materiais de Higiene Pessoal]],tabParametros[#Headers],0),0)</f>
        <v>0</v>
      </c>
      <c r="BK69" s="22">
        <f>VLOOKUP(tabCustoUnit[[#This Row],[Código do Posto]],tabParametros[],MATCH(tabCustoUnit[[#Headers],[Outros (especificar)]],tabParametros[#Headers],0),0)</f>
        <v>0</v>
      </c>
      <c r="BL69" s="22">
        <f>SUM(tabCustoUnit[[#This Row],[Uniformes e EPIs]:[Outros (especificar)]])</f>
        <v>56.642978962543395</v>
      </c>
      <c r="BM6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69" s="22" t="e">
        <f ca="1">VLOOKUP(tabCustoUnit[[#This Row],[Código do Posto]],tabParametros[],MATCH(tabCustoUnit[[#Headers],[Custos Indiretos]],tabParametros[#Headers],0),0)</f>
        <v>#NAME?</v>
      </c>
      <c r="BO69" s="22" t="e">
        <f ca="1">VLOOKUP(tabCustoUnit[[#This Row],[Código do Posto]],tabParametros[],MATCH(tabCustoUnit[[#Headers],[Lucro]],tabParametros[#Headers],0),0)</f>
        <v>#NAME?</v>
      </c>
      <c r="BP69" s="26">
        <f>((100/((1-tabCustoUnit[[#This Row],[Resumo de Alíquotas (PIS+CONFINS+ISS)]]))-100)*VLOOKUP(tabCustoUnit[[#This Row],[Código do Posto]],tabParametros[],MATCH(tabCustoUnit[[#Headers],[COFINS]],tabParametros[#Headers],0),0))/(tabCustoUnit[[#This Row],[Resumo de Alíquotas (PIS+CONFINS+ISS)]]*100)</f>
        <v>8.8629737609329504E-2</v>
      </c>
      <c r="BQ69" s="26">
        <f>((100/((100-(tabCustoUnit[[#This Row],[Resumo de Alíquotas (PIS+CONFINS+ISS)]]*100))%)-100)*VLOOKUP(tabCustoUnit[[#This Row],[Código do Posto]],tabParametros[],MATCH(tabCustoUnit[[#Headers],[PIS]],tabParametros[#Headers],0),0))/(tabCustoUnit[[#This Row],[Resumo de Alíquotas (PIS+CONFINS+ISS)]]*100)</f>
        <v>1.9241982507288629E-2</v>
      </c>
      <c r="BR69" s="28">
        <f>VLOOKUP(tabCustoUnit[[#This Row],[Código do Posto]],tabParametros[],MATCH(tabCustoUnit[[#Headers],[ISS]],tabParametros[#Headers],0),0)</f>
        <v>0.05</v>
      </c>
      <c r="BS69" s="26">
        <f>(((100/((100-(tabCustoUnit[[#This Row],[Resumo de Alíquotas (PIS+CONFINS+ISS)]]*100))%)-100)*tabCustoUnit[[#This Row],[ISS]])/tabCustoUnit[[#This Row],[Resumo de Alíquotas (PIS+CONFINS+ISS)]])/100</f>
        <v>5.8309037900874633E-2</v>
      </c>
      <c r="BT6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9" s="138">
        <f>tabCustoUnit[[#This Row],[COFINS]]+tabCustoUnit[[#This Row],[PIS]]+tabCustoUnit[[#This Row],[ISS (Conversão Alíquota s/ fatura)]]</f>
        <v>0.16618075801749277</v>
      </c>
      <c r="BV69" s="22" t="e">
        <f ca="1">(tabCustoUnit[[#This Row],[TOTAL MÓDULOS 1+2+3+4+5]]+tabCustoUnit[[#This Row],[Custos Indiretos]]+tabCustoUnit[[#This Row],[Lucro]])*tabCustoUnit[[#This Row],[PIS + COFINS + ISS (Total Conversão  Alíquota s/ Fatura)]]</f>
        <v>#NAME?</v>
      </c>
      <c r="BW69" s="22" t="e">
        <f ca="1">tabCustoUnit[[#This Row],[Custos Indiretos]]+tabCustoUnit[[#This Row],[Lucro]]+tabCustoUnit[[#This Row],[Valor dos Tributos (ISS, PIS, CONFINS)]]</f>
        <v>#NAME?</v>
      </c>
      <c r="BX69" s="22" t="e">
        <f ca="1">tabCustoUnit[[#This Row],[TOTAL MÓDULOS 1+2+3+4+5]]+tabCustoUnit[[#This Row],[MÓDULO 6 – CUSTOS INDIRETOS, TRIBUTOS E LUCRO]]</f>
        <v>#NAME?</v>
      </c>
      <c r="BY69" s="22" t="e">
        <f ca="1">tabCustoUnit[[#This Row],[CUSTO TOTAL MENSAL]]*12</f>
        <v>#NAME?</v>
      </c>
      <c r="BZ69" s="24">
        <f>VLOOKUP(tabCustoUnit[[#This Row],[Código do Posto]],tabParametros[],MATCH(tabCustoUnit[[#Headers],[ANO DA CCT]],tabParametros[#Headers],0),0)</f>
        <v>45658</v>
      </c>
      <c r="CA69" s="25" t="str">
        <f>VLOOKUP(tabCustoUnit[[#This Row],[Código do Posto]],tabParametros[],MATCH(tabCustoUnit[[#Headers],[Nº DE PEDIDO DA CCT]],tabParametros[#Headers],0),0)</f>
        <v>-</v>
      </c>
      <c r="CB69" s="25" t="str">
        <f>VLOOKUP(tabCustoUnit[[#This Row],[Código do Posto]],tabParametros[],MATCH(tabCustoUnit[[#Headers],[TERMO ADITIVO ALTERAÇÃO DA CCT]],tabParametros[#Headers],0),0)</f>
        <v>-</v>
      </c>
    </row>
    <row r="70" spans="1:80">
      <c r="A70" s="20" t="s">
        <v>1550</v>
      </c>
      <c r="B70" t="s">
        <v>1103</v>
      </c>
      <c r="C70" t="s">
        <v>324</v>
      </c>
      <c r="D70" t="s">
        <v>1035</v>
      </c>
      <c r="E70" s="20" t="s">
        <v>1090</v>
      </c>
      <c r="F70" s="20" t="s">
        <v>135</v>
      </c>
      <c r="G70" s="418">
        <v>3397.1306</v>
      </c>
      <c r="H70" s="418">
        <v>0</v>
      </c>
      <c r="I70" s="418">
        <v>0</v>
      </c>
      <c r="J70" s="418">
        <v>0</v>
      </c>
      <c r="K70" s="418">
        <v>0</v>
      </c>
      <c r="L70" s="418">
        <v>0</v>
      </c>
      <c r="M70" s="418">
        <v>0</v>
      </c>
      <c r="N70" s="418">
        <v>0</v>
      </c>
      <c r="O70" s="21">
        <f>SUM(tabCustoUnit[[#This Row],[Salário Base]:[Adicional de Acúmulo de função]])</f>
        <v>3397.1306</v>
      </c>
      <c r="P70" s="21">
        <f>tabCustoUnit[[#This Row],[MODULO 1 - REMUNERAÇÃO ]]*SUMIFS(tabParametros[INSS],tabParametros[Código do Posto],tabCustoUnit[[#This Row],[Código do Posto]])</f>
        <v>679.42612000000008</v>
      </c>
      <c r="Q70" s="21">
        <f>tabCustoUnit[[#This Row],[MODULO 1 - REMUNERAÇÃO ]]*SUMIFS(tabParametros[SESI OU SESC],tabParametros[Código do Posto],tabCustoUnit[[#This Row],[Código do Posto]])</f>
        <v>50.956958999999998</v>
      </c>
      <c r="R70" s="21">
        <f>tabCustoUnit[[#This Row],[MODULO 1 - REMUNERAÇÃO ]]*SUMIFS(tabParametros[SENAI OU SENAC],tabParametros[Código do Posto],tabCustoUnit[[#This Row],[Código do Posto]])</f>
        <v>33.971305999999998</v>
      </c>
      <c r="S70" s="21">
        <f>tabCustoUnit[[#This Row],[MODULO 1 - REMUNERAÇÃO ]]*SUMIFS(tabParametros[INCRA],tabParametros[Código do Posto],tabCustoUnit[[#This Row],[Código do Posto]])</f>
        <v>6.7942612000000002</v>
      </c>
      <c r="T70" s="21">
        <f>tabCustoUnit[[#This Row],[MODULO 1 - REMUNERAÇÃO ]]*SUMIFS(tabParametros[Salário Educação],tabParametros[Código do Posto],tabCustoUnit[[#This Row],[Código do Posto]])</f>
        <v>84.92826500000001</v>
      </c>
      <c r="U70" s="21">
        <f>tabCustoUnit[[#This Row],[MODULO 1 - REMUNERAÇÃO ]]*SUMIFS(tabParametros[FGTS],tabParametros[Código do Posto],tabCustoUnit[[#This Row],[Código do Posto]])</f>
        <v>271.77044799999999</v>
      </c>
      <c r="V70" s="21">
        <f>tabCustoUnit[[#This Row],[MODULO 1 - REMUNERAÇÃO ]]*SUMIFS(tabParametros[RAT Ajustado],tabParametros[Código do Posto],tabCustoUnit[[#This Row],[Código do Posto]])</f>
        <v>135.88522399999999</v>
      </c>
      <c r="W70" s="21">
        <f>tabCustoUnit[[#This Row],[MODULO 1 - REMUNERAÇÃO ]]*SUMIFS(tabParametros[SEBRAE],tabParametros[Código do Posto],tabCustoUnit[[#This Row],[Código do Posto]])</f>
        <v>20.3827836</v>
      </c>
      <c r="X70" s="21">
        <f>SUM(tabCustoUnit[[#This Row],[INSS]:[SEBRAE]])</f>
        <v>1284.1153668000002</v>
      </c>
      <c r="Y70" s="21">
        <f>tabCustoUnit[[#This Row],[MODULO 1 - REMUNERAÇÃO ]]*SUMIFS(tabParametros[13º salário (titular)],tabParametros[Código do Posto],tabCustoUnit[[#This Row],[Código do Posto]])</f>
        <v>283.09421666666663</v>
      </c>
      <c r="Z70" s="21">
        <f>tabCustoUnit[[#This Row],[MODULO 1 - REMUNERAÇÃO ]]*SUMIFS(tabParametros[Férias e Adicional de Férias (titular)],tabParametros[Código do Posto],tabCustoUnit[[#This Row],[Código do Posto]])</f>
        <v>377.45895555555552</v>
      </c>
      <c r="AA70" s="21">
        <f>IFERROR((tabCustoUnit[[#This Row],[Submódulo 2.1]]/tabCustoUnit[[#This Row],[MODULO 1 - REMUNERAÇÃO ]])*SUM(tabCustoUnit[[#This Row],[13º salário (titular)]:[Férias e Adicional de Férias (titular)]]),0)</f>
        <v>249.68909910000002</v>
      </c>
      <c r="AB70" s="21">
        <f>SUM(tabCustoUnit[[#This Row],[13º salário (titular)]:[Incidência do Submódulo 2.1 sobre 13º Salário, Férias e Adicional de Férias]])</f>
        <v>910.24227132222222</v>
      </c>
      <c r="AC70" s="22" t="e">
        <f ca="1">_xlfn.LET(_xlpm.VT,SUMIF(tabParametros[Código do Posto],tabCustoUnit[[#This Row],[Código do Posto]],tabParametros[Vale - Transporte])*2*20,
IF((_xlpm.VT-tabCustoUnit[[#This Row],[Salário Base]]*0.06)&gt;=0,(_xlpm.VT-tabCustoUnit[[#This Row],[Salário Base]]*0.06),0)
)</f>
        <v>#NAME?</v>
      </c>
      <c r="AD70" s="22">
        <f>IF(SUMIF(tabParametros[Código do Posto],tabCustoUnit[[#This Row],[Código do Posto]],tabParametros[Vale - Alimentação])&lt;=0,0,
SUMIF(tabParametros[Código do Posto],tabCustoUnit[[#This Row],[Código do Posto]],tabParametros[Vale - Alimentação])*20-1)</f>
        <v>582</v>
      </c>
      <c r="AE70" s="22">
        <f>SUMIF(tabParametros[Código do Posto],tabCustoUnit[[#This Row],[Código do Posto]],tabParametros[Cesta Básica])</f>
        <v>0</v>
      </c>
      <c r="AF70" s="22">
        <f>SUMIF(tabParametros[Código do Posto],tabCustoUnit[[#This Row],[Código do Posto]],tabParametros[PAF])</f>
        <v>95.9</v>
      </c>
      <c r="AG70" s="22">
        <f>SUMIF(tabParametros[Código do Posto],tabCustoUnit[[#This Row],[Código do Posto]],tabParametros[PQM])</f>
        <v>0</v>
      </c>
      <c r="AH70" s="22">
        <f>SUMIF(tabParametros[Código do Posto],tabCustoUnit[[#This Row],[Código do Posto]],tabParametros[Abono Único e Especial])</f>
        <v>0</v>
      </c>
      <c r="AI70" s="22">
        <f>SUMIF(tabParametros[Código do Posto],tabCustoUnit[[#This Row],[Código do Posto]],tabParametros[Seguro de Vida])</f>
        <v>3.36</v>
      </c>
      <c r="AJ70" s="22">
        <f>SUMIF(tabParametros[Código do Posto],tabCustoUnit[[#This Row],[Código do Posto]],tabParametros[Despesas de Viagem])</f>
        <v>202.08</v>
      </c>
      <c r="AK70" s="22" t="e">
        <f ca="1">SUM(tabCustoUnit[[#This Row],[Vale - Transporte (Descontada parcela do empregado)]:[Despesas de Viagem]])</f>
        <v>#NAME?</v>
      </c>
      <c r="AL70" s="22" t="e">
        <f ca="1">tabCustoUnit[[#This Row],[Submódulo 2.1]]+tabCustoUnit[[#This Row],[Submódulo 2.2]]+tabCustoUnit[[#This Row],[Submódulo 2.3]]</f>
        <v>#NAME?</v>
      </c>
      <c r="AM70" s="22">
        <f>SUMIF(tabParametros[Código do Posto],tabCustoUnit[[#This Row],[Código do Posto]],tabParametros[Aviso Prévio Indenizado (API) e Reflexo do Aviso Prévio Indenizado])*tabCustoUnit[[#This Row],[MODULO 1 - REMUNERAÇÃO ]]</f>
        <v>23.819888151890432</v>
      </c>
      <c r="AN70" s="22">
        <f>SUMIF(tabParametros[Código do Posto],tabCustoUnit[[#This Row],[Código do Posto]],tabParametros[Incidência do FGTS sobre API e Reflexo do API])*tabCustoUnit[[#This Row],[MODULO 1 - REMUNERAÇÃO ]]</f>
        <v>1.9055910521512347</v>
      </c>
      <c r="AO70" s="22">
        <f>SUMIF(tabParametros[Código do Posto],tabCustoUnit[[#This Row],[Código do Posto]],tabParametros[Multa Rescisória do FGTS sobre o Aviso Prévio Indenizado])*tabCustoUnit[[#This Row],[MODULO 1 - REMUNERAÇÃO ]]</f>
        <v>0.76223642086049392</v>
      </c>
      <c r="AP70" s="22">
        <f>SUMIF(tabParametros[Código do Posto],tabCustoUnit[[#This Row],[Código do Posto]],tabParametros[Aviso Prévio Trabalhado - APT])*tabCustoUnit[[#This Row],[MODULO 1 - REMUNERAÇÃO ]]</f>
        <v>11.889957100000002</v>
      </c>
      <c r="AQ70" s="22">
        <f>SUMIF(tabParametros[Código do Posto],tabCustoUnit[[#This Row],[Código do Posto]],tabParametros[Incidência dos encargos do submódulo 2.1 sobre Aviso Prévio Trabalhado])*tabCustoUnit[[#This Row],[MODULO 1 - REMUNERAÇÃO ]]</f>
        <v>4.4944037838000011</v>
      </c>
      <c r="AR70" s="22">
        <f>SUMIF(tabParametros[Código do Posto],tabCustoUnit[[#This Row],[Código do Posto]],tabParametros[Multa Rescisória do FGTS])*tabCustoUnit[[#This Row],[MODULO 1 - REMUNERAÇÃO ]]</f>
        <v>103.87670456888887</v>
      </c>
      <c r="AS70" s="22">
        <f>SUMIF(tabParametros[Código do Posto],tabCustoUnit[[#This Row],[Código do Posto]],tabParametros[Indenização Adicional (Art. 9º da Lei nº 7.238/84)])*tabCustoUnit[[#This Row],[MODULO 1 - REMUNERAÇÃO ]]</f>
        <v>2.830942166666667</v>
      </c>
      <c r="AT70" s="22">
        <f>SUM(tabCustoUnit[[#This Row],[Aviso Prévio Indenizado (API) e Reflexo do Aviso Prévio Indenizado]:[Indenização Adicional (Art. 9º da Lei nº 7.238/84)]])</f>
        <v>149.57972324425771</v>
      </c>
      <c r="AU70" s="22">
        <f>SUMIF(tabParametros[Código do Posto],tabCustoUnit[[#This Row],[Código do Posto]],tabParametros[Ausência por Doença])*tabCustoUnit[[#This Row],[MODULO 1 - REMUNERAÇÃO ]]</f>
        <v>28.686880622222219</v>
      </c>
      <c r="AV70" s="22">
        <f>SUMIF(tabParametros[Código do Posto],tabCustoUnit[[#This Row],[Código do Posto]],tabParametros[Ausências Legais])*tabCustoUnit[[#This Row],[MODULO 1 - REMUNERAÇÃO ]]</f>
        <v>6.8886259388888886</v>
      </c>
      <c r="AW70" s="22">
        <f>SUMIF(tabParametros[Código do Posto],tabCustoUnit[[#This Row],[Código do Posto]],tabParametros[Licença Paternidade])*tabCustoUnit[[#This Row],[MODULO 1 - REMUNERAÇÃO ]]</f>
        <v>0.58034314416666666</v>
      </c>
      <c r="AX70" s="22">
        <f>SUMIF(tabParametros[Código do Posto],tabCustoUnit[[#This Row],[Código do Posto]],tabParametros[Ausência por Acidente de Trabalho])*tabCustoUnit[[#This Row],[MODULO 1 - REMUNERAÇÃO ]]</f>
        <v>0.70773554166666675</v>
      </c>
      <c r="AY70" s="22">
        <f>SUMIF(tabParametros[Código do Posto],tabCustoUnit[[#This Row],[Código do Posto]],tabParametros[Férias, Adicional de Férias e 13º  com empregada em gozo de Licença Maternidade])*tabCustoUnit[[#This Row],[MODULO 1 - REMUNERAÇÃO ]]</f>
        <v>4.4036878148148144</v>
      </c>
      <c r="AZ70" s="22">
        <f>SUMIF(tabParametros[Código do Posto],tabCustoUnit[[#This Row],[Código do Posto]],tabParametros[Incidência do Submódulo 2.1 sobre Ausências Legais])*tabCustoUnit[[#This Row],[MODULO 1 - REMUNERAÇÃO ]]</f>
        <v>15.599029217345002</v>
      </c>
      <c r="BA70" s="22">
        <f>SUM(tabCustoUnit[[#This Row],[Ausência por Doença]:[Incidência do Submódulo 2.1 sobre Ausências Legais]])</f>
        <v>56.866302279104261</v>
      </c>
      <c r="BB70" s="22">
        <f>SUMIF(tabParametros[Código do Posto],tabCustoUnit[[#This Row],[Código do Posto]],tabParametros[Intervalo para Repouso ou Alimentação])</f>
        <v>0</v>
      </c>
      <c r="BC70" s="22">
        <f>tabCustoUnit[[#This Row],[Intervalo para Repouso ou Alimentação]]</f>
        <v>0</v>
      </c>
      <c r="BD7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0" s="22">
        <f>tabCustoUnit[[#This Row],[Suspensão Temporária do Contrato de Trabalho]]</f>
        <v>0</v>
      </c>
      <c r="BF70" s="22">
        <f>tabCustoUnit[[#This Row],[Submódulo 4.1]]+tabCustoUnit[[#This Row],[Submódulo 4.2]]+tabCustoUnit[[#This Row],[Submódulo 4.3]]</f>
        <v>56.866302279104261</v>
      </c>
      <c r="BG70" s="22">
        <f>VLOOKUP(tabCustoUnit[[#This Row],[Código do Posto]],tabParametros[],MATCH(tabCustoUnit[[#Headers],[Uniformes e EPIs]],tabParametros[#Headers],0),0)</f>
        <v>56.642978962543395</v>
      </c>
      <c r="BH70" s="22">
        <f>VLOOKUP(tabCustoUnit[[#This Row],[Código do Posto]],tabParametros[],MATCH(tabCustoUnit[[#Headers],[Materiais de Consumo]],tabParametros[#Headers],0),0)</f>
        <v>0</v>
      </c>
      <c r="BI70" s="22">
        <f>VLOOKUP(tabCustoUnit[[#This Row],[Código do Posto]],tabParametros[],MATCH(tabCustoUnit[[#Headers],[Máquinas e Equipamentos (depreciação)]],tabParametros[#Headers],0),0)</f>
        <v>0</v>
      </c>
      <c r="BJ70" s="22">
        <f>VLOOKUP(tabCustoUnit[[#This Row],[Código do Posto]],tabParametros[],MATCH(tabCustoUnit[[#Headers],[Produtos de Limpeza e Materiais de Higiene Pessoal]],tabParametros[#Headers],0),0)</f>
        <v>0</v>
      </c>
      <c r="BK70" s="22">
        <f>VLOOKUP(tabCustoUnit[[#This Row],[Código do Posto]],tabParametros[],MATCH(tabCustoUnit[[#Headers],[Outros (especificar)]],tabParametros[#Headers],0),0)</f>
        <v>0</v>
      </c>
      <c r="BL70" s="22">
        <f>SUM(tabCustoUnit[[#This Row],[Uniformes e EPIs]:[Outros (especificar)]])</f>
        <v>56.642978962543395</v>
      </c>
      <c r="BM7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0" s="22" t="e">
        <f ca="1">VLOOKUP(tabCustoUnit[[#This Row],[Código do Posto]],tabParametros[],MATCH(tabCustoUnit[[#Headers],[Custos Indiretos]],tabParametros[#Headers],0),0)</f>
        <v>#NAME?</v>
      </c>
      <c r="BO70" s="22" t="e">
        <f ca="1">VLOOKUP(tabCustoUnit[[#This Row],[Código do Posto]],tabParametros[],MATCH(tabCustoUnit[[#Headers],[Lucro]],tabParametros[#Headers],0),0)</f>
        <v>#NAME?</v>
      </c>
      <c r="BP70" s="26">
        <f>((100/((1-tabCustoUnit[[#This Row],[Resumo de Alíquotas (PIS+CONFINS+ISS)]]))-100)*VLOOKUP(tabCustoUnit[[#This Row],[Código do Posto]],tabParametros[],MATCH(tabCustoUnit[[#Headers],[COFINS]],tabParametros[#Headers],0),0))/(tabCustoUnit[[#This Row],[Resumo de Alíquotas (PIS+CONFINS+ISS)]]*100)</f>
        <v>8.8629737609329504E-2</v>
      </c>
      <c r="BQ70" s="26">
        <f>((100/((100-(tabCustoUnit[[#This Row],[Resumo de Alíquotas (PIS+CONFINS+ISS)]]*100))%)-100)*VLOOKUP(tabCustoUnit[[#This Row],[Código do Posto]],tabParametros[],MATCH(tabCustoUnit[[#Headers],[PIS]],tabParametros[#Headers],0),0))/(tabCustoUnit[[#This Row],[Resumo de Alíquotas (PIS+CONFINS+ISS)]]*100)</f>
        <v>1.9241982507288629E-2</v>
      </c>
      <c r="BR70" s="28">
        <f>VLOOKUP(tabCustoUnit[[#This Row],[Código do Posto]],tabParametros[],MATCH(tabCustoUnit[[#Headers],[ISS]],tabParametros[#Headers],0),0)</f>
        <v>0.05</v>
      </c>
      <c r="BS70" s="26">
        <f>(((100/((100-(tabCustoUnit[[#This Row],[Resumo de Alíquotas (PIS+CONFINS+ISS)]]*100))%)-100)*tabCustoUnit[[#This Row],[ISS]])/tabCustoUnit[[#This Row],[Resumo de Alíquotas (PIS+CONFINS+ISS)]])/100</f>
        <v>5.8309037900874633E-2</v>
      </c>
      <c r="BT7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0" s="138">
        <f>tabCustoUnit[[#This Row],[COFINS]]+tabCustoUnit[[#This Row],[PIS]]+tabCustoUnit[[#This Row],[ISS (Conversão Alíquota s/ fatura)]]</f>
        <v>0.16618075801749277</v>
      </c>
      <c r="BV70" s="22" t="e">
        <f ca="1">(tabCustoUnit[[#This Row],[TOTAL MÓDULOS 1+2+3+4+5]]+tabCustoUnit[[#This Row],[Custos Indiretos]]+tabCustoUnit[[#This Row],[Lucro]])*tabCustoUnit[[#This Row],[PIS + COFINS + ISS (Total Conversão  Alíquota s/ Fatura)]]</f>
        <v>#NAME?</v>
      </c>
      <c r="BW70" s="22" t="e">
        <f ca="1">tabCustoUnit[[#This Row],[Custos Indiretos]]+tabCustoUnit[[#This Row],[Lucro]]+tabCustoUnit[[#This Row],[Valor dos Tributos (ISS, PIS, CONFINS)]]</f>
        <v>#NAME?</v>
      </c>
      <c r="BX70" s="22" t="e">
        <f ca="1">tabCustoUnit[[#This Row],[TOTAL MÓDULOS 1+2+3+4+5]]+tabCustoUnit[[#This Row],[MÓDULO 6 – CUSTOS INDIRETOS, TRIBUTOS E LUCRO]]</f>
        <v>#NAME?</v>
      </c>
      <c r="BY70" s="22" t="e">
        <f ca="1">tabCustoUnit[[#This Row],[CUSTO TOTAL MENSAL]]*12</f>
        <v>#NAME?</v>
      </c>
      <c r="BZ70" s="24">
        <f>VLOOKUP(tabCustoUnit[[#This Row],[Código do Posto]],tabParametros[],MATCH(tabCustoUnit[[#Headers],[ANO DA CCT]],tabParametros[#Headers],0),0)</f>
        <v>45658</v>
      </c>
      <c r="CA70" s="25" t="str">
        <f>VLOOKUP(tabCustoUnit[[#This Row],[Código do Posto]],tabParametros[],MATCH(tabCustoUnit[[#Headers],[Nº DE PEDIDO DA CCT]],tabParametros[#Headers],0),0)</f>
        <v>-</v>
      </c>
      <c r="CB70" s="25" t="str">
        <f>VLOOKUP(tabCustoUnit[[#This Row],[Código do Posto]],tabParametros[],MATCH(tabCustoUnit[[#Headers],[TERMO ADITIVO ALTERAÇÃO DA CCT]],tabParametros[#Headers],0),0)</f>
        <v>-</v>
      </c>
    </row>
    <row r="71" spans="1:80">
      <c r="A71" s="20" t="s">
        <v>1447</v>
      </c>
      <c r="B71" t="s">
        <v>1103</v>
      </c>
      <c r="C71" t="s">
        <v>329</v>
      </c>
      <c r="D71" t="s">
        <v>1035</v>
      </c>
      <c r="E71" s="20" t="s">
        <v>1090</v>
      </c>
      <c r="F71" s="20" t="s">
        <v>120</v>
      </c>
      <c r="G71" s="418">
        <v>4451.1944000000003</v>
      </c>
      <c r="H71" s="418">
        <v>0</v>
      </c>
      <c r="I71" s="418">
        <v>0</v>
      </c>
      <c r="J71" s="418">
        <v>0</v>
      </c>
      <c r="K71" s="418">
        <v>0</v>
      </c>
      <c r="L71" s="418">
        <v>0</v>
      </c>
      <c r="M71" s="418">
        <v>0</v>
      </c>
      <c r="N71" s="418">
        <v>0</v>
      </c>
      <c r="O71" s="21">
        <f>SUM(tabCustoUnit[[#This Row],[Salário Base]:[Adicional de Acúmulo de função]])</f>
        <v>4451.1944000000003</v>
      </c>
      <c r="P71" s="21">
        <f>tabCustoUnit[[#This Row],[MODULO 1 - REMUNERAÇÃO ]]*SUMIFS(tabParametros[INSS],tabParametros[Código do Posto],tabCustoUnit[[#This Row],[Código do Posto]])</f>
        <v>890.23888000000011</v>
      </c>
      <c r="Q71" s="21">
        <f>tabCustoUnit[[#This Row],[MODULO 1 - REMUNERAÇÃO ]]*SUMIFS(tabParametros[SESI OU SESC],tabParametros[Código do Posto],tabCustoUnit[[#This Row],[Código do Posto]])</f>
        <v>66.767916</v>
      </c>
      <c r="R71" s="21">
        <f>tabCustoUnit[[#This Row],[MODULO 1 - REMUNERAÇÃO ]]*SUMIFS(tabParametros[SENAI OU SENAC],tabParametros[Código do Posto],tabCustoUnit[[#This Row],[Código do Posto]])</f>
        <v>44.511944000000007</v>
      </c>
      <c r="S71" s="21">
        <f>tabCustoUnit[[#This Row],[MODULO 1 - REMUNERAÇÃO ]]*SUMIFS(tabParametros[INCRA],tabParametros[Código do Posto],tabCustoUnit[[#This Row],[Código do Posto]])</f>
        <v>8.9023888000000007</v>
      </c>
      <c r="T71" s="21">
        <f>tabCustoUnit[[#This Row],[MODULO 1 - REMUNERAÇÃO ]]*SUMIFS(tabParametros[Salário Educação],tabParametros[Código do Posto],tabCustoUnit[[#This Row],[Código do Posto]])</f>
        <v>111.27986000000001</v>
      </c>
      <c r="U71" s="21">
        <f>tabCustoUnit[[#This Row],[MODULO 1 - REMUNERAÇÃO ]]*SUMIFS(tabParametros[FGTS],tabParametros[Código do Posto],tabCustoUnit[[#This Row],[Código do Posto]])</f>
        <v>356.09555200000005</v>
      </c>
      <c r="V71" s="21">
        <f>tabCustoUnit[[#This Row],[MODULO 1 - REMUNERAÇÃO ]]*SUMIFS(tabParametros[RAT Ajustado],tabParametros[Código do Posto],tabCustoUnit[[#This Row],[Código do Posto]])</f>
        <v>178.04777600000003</v>
      </c>
      <c r="W71" s="21">
        <f>tabCustoUnit[[#This Row],[MODULO 1 - REMUNERAÇÃO ]]*SUMIFS(tabParametros[SEBRAE],tabParametros[Código do Posto],tabCustoUnit[[#This Row],[Código do Posto]])</f>
        <v>26.707166400000002</v>
      </c>
      <c r="X71" s="21">
        <f>SUM(tabCustoUnit[[#This Row],[INSS]:[SEBRAE]])</f>
        <v>1682.5514832000003</v>
      </c>
      <c r="Y71" s="21">
        <f>tabCustoUnit[[#This Row],[MODULO 1 - REMUNERAÇÃO ]]*SUMIFS(tabParametros[13º salário (titular)],tabParametros[Código do Posto],tabCustoUnit[[#This Row],[Código do Posto]])</f>
        <v>370.93286666666665</v>
      </c>
      <c r="Z71" s="21">
        <f>tabCustoUnit[[#This Row],[MODULO 1 - REMUNERAÇÃO ]]*SUMIFS(tabParametros[Férias e Adicional de Férias (titular)],tabParametros[Código do Posto],tabCustoUnit[[#This Row],[Código do Posto]])</f>
        <v>494.57715555555558</v>
      </c>
      <c r="AA71" s="21">
        <f>IFERROR((tabCustoUnit[[#This Row],[Submódulo 2.1]]/tabCustoUnit[[#This Row],[MODULO 1 - REMUNERAÇÃO ]])*SUM(tabCustoUnit[[#This Row],[13º salário (titular)]:[Férias e Adicional de Férias (titular)]]),0)</f>
        <v>327.16278840000007</v>
      </c>
      <c r="AB71" s="21">
        <f>SUM(tabCustoUnit[[#This Row],[13º salário (titular)]:[Incidência do Submódulo 2.1 sobre 13º Salário, Férias e Adicional de Férias]])</f>
        <v>1192.6728106222222</v>
      </c>
      <c r="AC71" s="22" t="e">
        <f ca="1">_xlfn.LET(_xlpm.VT,SUMIF(tabParametros[Código do Posto],tabCustoUnit[[#This Row],[Código do Posto]],tabParametros[Vale - Transporte])*2*20,
IF((_xlpm.VT-tabCustoUnit[[#This Row],[Salário Base]]*0.06)&gt;=0,(_xlpm.VT-tabCustoUnit[[#This Row],[Salário Base]]*0.06),0)
)</f>
        <v>#NAME?</v>
      </c>
      <c r="AD71" s="22">
        <f>IF(SUMIF(tabParametros[Código do Posto],tabCustoUnit[[#This Row],[Código do Posto]],tabParametros[Vale - Alimentação])&lt;=0,0,
SUMIF(tabParametros[Código do Posto],tabCustoUnit[[#This Row],[Código do Posto]],tabParametros[Vale - Alimentação])*20-1)</f>
        <v>582</v>
      </c>
      <c r="AE71" s="22">
        <f>SUMIF(tabParametros[Código do Posto],tabCustoUnit[[#This Row],[Código do Posto]],tabParametros[Cesta Básica])</f>
        <v>0</v>
      </c>
      <c r="AF71" s="22">
        <f>SUMIF(tabParametros[Código do Posto],tabCustoUnit[[#This Row],[Código do Posto]],tabParametros[PAF])</f>
        <v>95.9</v>
      </c>
      <c r="AG71" s="22">
        <f>SUMIF(tabParametros[Código do Posto],tabCustoUnit[[#This Row],[Código do Posto]],tabParametros[PQM])</f>
        <v>0</v>
      </c>
      <c r="AH71" s="22">
        <f>SUMIF(tabParametros[Código do Posto],tabCustoUnit[[#This Row],[Código do Posto]],tabParametros[Abono Único e Especial])</f>
        <v>0</v>
      </c>
      <c r="AI71" s="22">
        <f>SUMIF(tabParametros[Código do Posto],tabCustoUnit[[#This Row],[Código do Posto]],tabParametros[Seguro de Vida])</f>
        <v>3.36</v>
      </c>
      <c r="AJ71" s="22">
        <f>SUMIF(tabParametros[Código do Posto],tabCustoUnit[[#This Row],[Código do Posto]],tabParametros[Despesas de Viagem])</f>
        <v>202.08</v>
      </c>
      <c r="AK71" s="22" t="e">
        <f ca="1">SUM(tabCustoUnit[[#This Row],[Vale - Transporte (Descontada parcela do empregado)]:[Despesas de Viagem]])</f>
        <v>#NAME?</v>
      </c>
      <c r="AL71" s="22" t="e">
        <f ca="1">tabCustoUnit[[#This Row],[Submódulo 2.1]]+tabCustoUnit[[#This Row],[Submódulo 2.2]]+tabCustoUnit[[#This Row],[Submódulo 2.3]]</f>
        <v>#NAME?</v>
      </c>
      <c r="AM71" s="22">
        <f>SUMIF(tabParametros[Código do Posto],tabCustoUnit[[#This Row],[Código do Posto]],tabParametros[Aviso Prévio Indenizado (API) e Reflexo do Aviso Prévio Indenizado])*tabCustoUnit[[#This Row],[MODULO 1 - REMUNERAÇÃO ]]</f>
        <v>31.210737894598768</v>
      </c>
      <c r="AN71" s="22">
        <f>SUMIF(tabParametros[Código do Posto],tabCustoUnit[[#This Row],[Código do Posto]],tabParametros[Incidência do FGTS sobre API e Reflexo do API])*tabCustoUnit[[#This Row],[MODULO 1 - REMUNERAÇÃO ]]</f>
        <v>2.4968590315679018</v>
      </c>
      <c r="AO71" s="22">
        <f>SUMIF(tabParametros[Código do Posto],tabCustoUnit[[#This Row],[Código do Posto]],tabParametros[Multa Rescisória do FGTS sobre o Aviso Prévio Indenizado])*tabCustoUnit[[#This Row],[MODULO 1 - REMUNERAÇÃO ]]</f>
        <v>0.99874361262716072</v>
      </c>
      <c r="AP71" s="22">
        <f>SUMIF(tabParametros[Código do Posto],tabCustoUnit[[#This Row],[Código do Posto]],tabParametros[Aviso Prévio Trabalhado - APT])*tabCustoUnit[[#This Row],[MODULO 1 - REMUNERAÇÃO ]]</f>
        <v>15.579180400000004</v>
      </c>
      <c r="AQ71" s="22">
        <f>SUMIF(tabParametros[Código do Posto],tabCustoUnit[[#This Row],[Código do Posto]],tabParametros[Incidência dos encargos do submódulo 2.1 sobre Aviso Prévio Trabalhado])*tabCustoUnit[[#This Row],[MODULO 1 - REMUNERAÇÃO ]]</f>
        <v>5.8889301912000018</v>
      </c>
      <c r="AR71" s="22">
        <f>SUMIF(tabParametros[Código do Posto],tabCustoUnit[[#This Row],[Código do Posto]],tabParametros[Multa Rescisória do FGTS])*tabCustoUnit[[#This Row],[MODULO 1 - REMUNERAÇÃO ]]</f>
        <v>136.10763320888887</v>
      </c>
      <c r="AS71" s="22">
        <f>SUMIF(tabParametros[Código do Posto],tabCustoUnit[[#This Row],[Código do Posto]],tabParametros[Indenização Adicional (Art. 9º da Lei nº 7.238/84)])*tabCustoUnit[[#This Row],[MODULO 1 - REMUNERAÇÃO ]]</f>
        <v>3.7093286666666674</v>
      </c>
      <c r="AT71" s="22">
        <f>SUM(tabCustoUnit[[#This Row],[Aviso Prévio Indenizado (API) e Reflexo do Aviso Prévio Indenizado]:[Indenização Adicional (Art. 9º da Lei nº 7.238/84)]])</f>
        <v>195.99141300554939</v>
      </c>
      <c r="AU71" s="22">
        <f>SUMIF(tabParametros[Código do Posto],tabCustoUnit[[#This Row],[Código do Posto]],tabParametros[Ausência por Doença])*tabCustoUnit[[#This Row],[MODULO 1 - REMUNERAÇÃO ]]</f>
        <v>37.587863822222218</v>
      </c>
      <c r="AV71" s="22">
        <f>SUMIF(tabParametros[Código do Posto],tabCustoUnit[[#This Row],[Código do Posto]],tabParametros[Ausências Legais])*tabCustoUnit[[#This Row],[MODULO 1 - REMUNERAÇÃO ]]</f>
        <v>9.0260330888888891</v>
      </c>
      <c r="AW71" s="22">
        <f>SUMIF(tabParametros[Código do Posto],tabCustoUnit[[#This Row],[Código do Posto]],tabParametros[Licença Paternidade])*tabCustoUnit[[#This Row],[MODULO 1 - REMUNERAÇÃO ]]</f>
        <v>0.76041237666666672</v>
      </c>
      <c r="AX71" s="22">
        <f>SUMIF(tabParametros[Código do Posto],tabCustoUnit[[#This Row],[Código do Posto]],tabParametros[Ausência por Acidente de Trabalho])*tabCustoUnit[[#This Row],[MODULO 1 - REMUNERAÇÃO ]]</f>
        <v>0.92733216666666685</v>
      </c>
      <c r="AY71" s="22">
        <f>SUMIF(tabParametros[Código do Posto],tabCustoUnit[[#This Row],[Código do Posto]],tabParametros[Férias, Adicional de Férias e 13º  com empregada em gozo de Licença Maternidade])*tabCustoUnit[[#This Row],[MODULO 1 - REMUNERAÇÃO ]]</f>
        <v>5.7700668148148146</v>
      </c>
      <c r="AZ71" s="22">
        <f>SUMIF(tabParametros[Código do Posto],tabCustoUnit[[#This Row],[Código do Posto]],tabParametros[Incidência do Submódulo 2.1 sobre Ausências Legais])*tabCustoUnit[[#This Row],[MODULO 1 - REMUNERAÇÃO ]]</f>
        <v>20.439105725780006</v>
      </c>
      <c r="BA71" s="22">
        <f>SUM(tabCustoUnit[[#This Row],[Ausência por Doença]:[Incidência do Submódulo 2.1 sobre Ausências Legais]])</f>
        <v>74.510813995039257</v>
      </c>
      <c r="BB71" s="22">
        <f>SUMIF(tabParametros[Código do Posto],tabCustoUnit[[#This Row],[Código do Posto]],tabParametros[Intervalo para Repouso ou Alimentação])</f>
        <v>0</v>
      </c>
      <c r="BC71" s="22">
        <f>tabCustoUnit[[#This Row],[Intervalo para Repouso ou Alimentação]]</f>
        <v>0</v>
      </c>
      <c r="BD7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1" s="22">
        <f>tabCustoUnit[[#This Row],[Suspensão Temporária do Contrato de Trabalho]]</f>
        <v>0</v>
      </c>
      <c r="BF71" s="22">
        <f>tabCustoUnit[[#This Row],[Submódulo 4.1]]+tabCustoUnit[[#This Row],[Submódulo 4.2]]+tabCustoUnit[[#This Row],[Submódulo 4.3]]</f>
        <v>74.510813995039257</v>
      </c>
      <c r="BG71" s="22">
        <f>VLOOKUP(tabCustoUnit[[#This Row],[Código do Posto]],tabParametros[],MATCH(tabCustoUnit[[#Headers],[Uniformes e EPIs]],tabParametros[#Headers],0),0)</f>
        <v>90.784679782039703</v>
      </c>
      <c r="BH71" s="22">
        <f>VLOOKUP(tabCustoUnit[[#This Row],[Código do Posto]],tabParametros[],MATCH(tabCustoUnit[[#Headers],[Materiais de Consumo]],tabParametros[#Headers],0),0)</f>
        <v>0</v>
      </c>
      <c r="BI71" s="22">
        <f>VLOOKUP(tabCustoUnit[[#This Row],[Código do Posto]],tabParametros[],MATCH(tabCustoUnit[[#Headers],[Máquinas e Equipamentos (depreciação)]],tabParametros[#Headers],0),0)</f>
        <v>0</v>
      </c>
      <c r="BJ71" s="22">
        <f>VLOOKUP(tabCustoUnit[[#This Row],[Código do Posto]],tabParametros[],MATCH(tabCustoUnit[[#Headers],[Produtos de Limpeza e Materiais de Higiene Pessoal]],tabParametros[#Headers],0),0)</f>
        <v>0</v>
      </c>
      <c r="BK71" s="22">
        <f>VLOOKUP(tabCustoUnit[[#This Row],[Código do Posto]],tabParametros[],MATCH(tabCustoUnit[[#Headers],[Outros (especificar)]],tabParametros[#Headers],0),0)</f>
        <v>0</v>
      </c>
      <c r="BL71" s="22">
        <f>SUM(tabCustoUnit[[#This Row],[Uniformes e EPIs]:[Outros (especificar)]])</f>
        <v>90.784679782039703</v>
      </c>
      <c r="BM7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1" s="22" t="e">
        <f ca="1">VLOOKUP(tabCustoUnit[[#This Row],[Código do Posto]],tabParametros[],MATCH(tabCustoUnit[[#Headers],[Custos Indiretos]],tabParametros[#Headers],0),0)</f>
        <v>#NAME?</v>
      </c>
      <c r="BO71" s="22" t="e">
        <f ca="1">VLOOKUP(tabCustoUnit[[#This Row],[Código do Posto]],tabParametros[],MATCH(tabCustoUnit[[#Headers],[Lucro]],tabParametros[#Headers],0),0)</f>
        <v>#NAME?</v>
      </c>
      <c r="BP71" s="26">
        <f>((100/((1-tabCustoUnit[[#This Row],[Resumo de Alíquotas (PIS+CONFINS+ISS)]]))-100)*VLOOKUP(tabCustoUnit[[#This Row],[Código do Posto]],tabParametros[],MATCH(tabCustoUnit[[#Headers],[COFINS]],tabParametros[#Headers],0),0))/(tabCustoUnit[[#This Row],[Resumo de Alíquotas (PIS+CONFINS+ISS)]]*100)</f>
        <v>8.8629737609329504E-2</v>
      </c>
      <c r="BQ71" s="26">
        <f>((100/((100-(tabCustoUnit[[#This Row],[Resumo de Alíquotas (PIS+CONFINS+ISS)]]*100))%)-100)*VLOOKUP(tabCustoUnit[[#This Row],[Código do Posto]],tabParametros[],MATCH(tabCustoUnit[[#Headers],[PIS]],tabParametros[#Headers],0),0))/(tabCustoUnit[[#This Row],[Resumo de Alíquotas (PIS+CONFINS+ISS)]]*100)</f>
        <v>1.9241982507288629E-2</v>
      </c>
      <c r="BR71" s="28">
        <f>VLOOKUP(tabCustoUnit[[#This Row],[Código do Posto]],tabParametros[],MATCH(tabCustoUnit[[#Headers],[ISS]],tabParametros[#Headers],0),0)</f>
        <v>0.05</v>
      </c>
      <c r="BS71" s="26">
        <f>(((100/((100-(tabCustoUnit[[#This Row],[Resumo de Alíquotas (PIS+CONFINS+ISS)]]*100))%)-100)*tabCustoUnit[[#This Row],[ISS]])/tabCustoUnit[[#This Row],[Resumo de Alíquotas (PIS+CONFINS+ISS)]])/100</f>
        <v>5.8309037900874633E-2</v>
      </c>
      <c r="BT7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1" s="138">
        <f>tabCustoUnit[[#This Row],[COFINS]]+tabCustoUnit[[#This Row],[PIS]]+tabCustoUnit[[#This Row],[ISS (Conversão Alíquota s/ fatura)]]</f>
        <v>0.16618075801749277</v>
      </c>
      <c r="BV71" s="22" t="e">
        <f ca="1">(tabCustoUnit[[#This Row],[TOTAL MÓDULOS 1+2+3+4+5]]+tabCustoUnit[[#This Row],[Custos Indiretos]]+tabCustoUnit[[#This Row],[Lucro]])*tabCustoUnit[[#This Row],[PIS + COFINS + ISS (Total Conversão  Alíquota s/ Fatura)]]</f>
        <v>#NAME?</v>
      </c>
      <c r="BW71" s="22" t="e">
        <f ca="1">tabCustoUnit[[#This Row],[Custos Indiretos]]+tabCustoUnit[[#This Row],[Lucro]]+tabCustoUnit[[#This Row],[Valor dos Tributos (ISS, PIS, CONFINS)]]</f>
        <v>#NAME?</v>
      </c>
      <c r="BX71" s="22" t="e">
        <f ca="1">tabCustoUnit[[#This Row],[TOTAL MÓDULOS 1+2+3+4+5]]+tabCustoUnit[[#This Row],[MÓDULO 6 – CUSTOS INDIRETOS, TRIBUTOS E LUCRO]]</f>
        <v>#NAME?</v>
      </c>
      <c r="BY71" s="22" t="e">
        <f ca="1">tabCustoUnit[[#This Row],[CUSTO TOTAL MENSAL]]*12</f>
        <v>#NAME?</v>
      </c>
      <c r="BZ71" s="24">
        <f>VLOOKUP(tabCustoUnit[[#This Row],[Código do Posto]],tabParametros[],MATCH(tabCustoUnit[[#Headers],[ANO DA CCT]],tabParametros[#Headers],0),0)</f>
        <v>45658</v>
      </c>
      <c r="CA71" s="25" t="str">
        <f>VLOOKUP(tabCustoUnit[[#This Row],[Código do Posto]],tabParametros[],MATCH(tabCustoUnit[[#Headers],[Nº DE PEDIDO DA CCT]],tabParametros[#Headers],0),0)</f>
        <v>-</v>
      </c>
      <c r="CB71" s="25" t="str">
        <f>VLOOKUP(tabCustoUnit[[#This Row],[Código do Posto]],tabParametros[],MATCH(tabCustoUnit[[#Headers],[TERMO ADITIVO ALTERAÇÃO DA CCT]],tabParametros[#Headers],0),0)</f>
        <v>-</v>
      </c>
    </row>
    <row r="72" spans="1:80">
      <c r="A72" s="20" t="s">
        <v>1448</v>
      </c>
      <c r="B72" t="s">
        <v>1103</v>
      </c>
      <c r="C72" t="s">
        <v>334</v>
      </c>
      <c r="D72" t="s">
        <v>1035</v>
      </c>
      <c r="E72" s="20" t="s">
        <v>1090</v>
      </c>
      <c r="F72" s="20" t="s">
        <v>120</v>
      </c>
      <c r="G72" s="418">
        <v>4451.1944000000003</v>
      </c>
      <c r="H72" s="418">
        <v>0</v>
      </c>
      <c r="I72" s="418">
        <v>0</v>
      </c>
      <c r="J72" s="418">
        <v>0</v>
      </c>
      <c r="K72" s="418">
        <v>0</v>
      </c>
      <c r="L72" s="418">
        <v>0</v>
      </c>
      <c r="M72" s="418">
        <v>0</v>
      </c>
      <c r="N72" s="418">
        <v>534.14329999999995</v>
      </c>
      <c r="O72" s="21">
        <f>SUM(tabCustoUnit[[#This Row],[Salário Base]:[Adicional de Acúmulo de função]])</f>
        <v>4985.3377</v>
      </c>
      <c r="P72" s="21">
        <f>tabCustoUnit[[#This Row],[MODULO 1 - REMUNERAÇÃO ]]*SUMIFS(tabParametros[INSS],tabParametros[Código do Posto],tabCustoUnit[[#This Row],[Código do Posto]])</f>
        <v>997.06754000000001</v>
      </c>
      <c r="Q72" s="21">
        <f>tabCustoUnit[[#This Row],[MODULO 1 - REMUNERAÇÃO ]]*SUMIFS(tabParametros[SESI OU SESC],tabParametros[Código do Posto],tabCustoUnit[[#This Row],[Código do Posto]])</f>
        <v>74.780065499999992</v>
      </c>
      <c r="R72" s="21">
        <f>tabCustoUnit[[#This Row],[MODULO 1 - REMUNERAÇÃO ]]*SUMIFS(tabParametros[SENAI OU SENAC],tabParametros[Código do Posto],tabCustoUnit[[#This Row],[Código do Posto]])</f>
        <v>49.853377000000002</v>
      </c>
      <c r="S72" s="21">
        <f>tabCustoUnit[[#This Row],[MODULO 1 - REMUNERAÇÃO ]]*SUMIFS(tabParametros[INCRA],tabParametros[Código do Posto],tabCustoUnit[[#This Row],[Código do Posto]])</f>
        <v>9.9706754000000011</v>
      </c>
      <c r="T72" s="21">
        <f>tabCustoUnit[[#This Row],[MODULO 1 - REMUNERAÇÃO ]]*SUMIFS(tabParametros[Salário Educação],tabParametros[Código do Posto],tabCustoUnit[[#This Row],[Código do Posto]])</f>
        <v>124.6334425</v>
      </c>
      <c r="U72" s="21">
        <f>tabCustoUnit[[#This Row],[MODULO 1 - REMUNERAÇÃO ]]*SUMIFS(tabParametros[FGTS],tabParametros[Código do Posto],tabCustoUnit[[#This Row],[Código do Posto]])</f>
        <v>398.82701600000001</v>
      </c>
      <c r="V72" s="21">
        <f>tabCustoUnit[[#This Row],[MODULO 1 - REMUNERAÇÃO ]]*SUMIFS(tabParametros[RAT Ajustado],tabParametros[Código do Posto],tabCustoUnit[[#This Row],[Código do Posto]])</f>
        <v>199.41350800000001</v>
      </c>
      <c r="W72" s="21">
        <f>tabCustoUnit[[#This Row],[MODULO 1 - REMUNERAÇÃO ]]*SUMIFS(tabParametros[SEBRAE],tabParametros[Código do Posto],tabCustoUnit[[#This Row],[Código do Posto]])</f>
        <v>29.9120262</v>
      </c>
      <c r="X72" s="21">
        <f>SUM(tabCustoUnit[[#This Row],[INSS]:[SEBRAE]])</f>
        <v>1884.4576505999999</v>
      </c>
      <c r="Y72" s="21">
        <f>tabCustoUnit[[#This Row],[MODULO 1 - REMUNERAÇÃO ]]*SUMIFS(tabParametros[13º salário (titular)],tabParametros[Código do Posto],tabCustoUnit[[#This Row],[Código do Posto]])</f>
        <v>415.4448083333333</v>
      </c>
      <c r="Z72" s="21">
        <f>tabCustoUnit[[#This Row],[MODULO 1 - REMUNERAÇÃO ]]*SUMIFS(tabParametros[Férias e Adicional de Férias (titular)],tabParametros[Código do Posto],tabCustoUnit[[#This Row],[Código do Posto]])</f>
        <v>553.92641111111107</v>
      </c>
      <c r="AA72" s="21">
        <f>IFERROR((tabCustoUnit[[#This Row],[Submódulo 2.1]]/tabCustoUnit[[#This Row],[MODULO 1 - REMUNERAÇÃO ]])*SUM(tabCustoUnit[[#This Row],[13º salário (titular)]:[Férias e Adicional de Férias (titular)]]),0)</f>
        <v>366.42232094999991</v>
      </c>
      <c r="AB72" s="21">
        <f>SUM(tabCustoUnit[[#This Row],[13º salário (titular)]:[Incidência do Submódulo 2.1 sobre 13º Salário, Férias e Adicional de Férias]])</f>
        <v>1335.7935403944443</v>
      </c>
      <c r="AC72" s="22" t="e">
        <f ca="1">_xlfn.LET(_xlpm.VT,SUMIF(tabParametros[Código do Posto],tabCustoUnit[[#This Row],[Código do Posto]],tabParametros[Vale - Transporte])*2*20,
IF((_xlpm.VT-tabCustoUnit[[#This Row],[Salário Base]]*0.06)&gt;=0,(_xlpm.VT-tabCustoUnit[[#This Row],[Salário Base]]*0.06),0)
)</f>
        <v>#NAME?</v>
      </c>
      <c r="AD72" s="22">
        <f>IF(SUMIF(tabParametros[Código do Posto],tabCustoUnit[[#This Row],[Código do Posto]],tabParametros[Vale - Alimentação])&lt;=0,0,
SUMIF(tabParametros[Código do Posto],tabCustoUnit[[#This Row],[Código do Posto]],tabParametros[Vale - Alimentação])*20-1)</f>
        <v>582</v>
      </c>
      <c r="AE72" s="22">
        <f>SUMIF(tabParametros[Código do Posto],tabCustoUnit[[#This Row],[Código do Posto]],tabParametros[Cesta Básica])</f>
        <v>0</v>
      </c>
      <c r="AF72" s="22">
        <f>SUMIF(tabParametros[Código do Posto],tabCustoUnit[[#This Row],[Código do Posto]],tabParametros[PAF])</f>
        <v>95.9</v>
      </c>
      <c r="AG72" s="22">
        <f>SUMIF(tabParametros[Código do Posto],tabCustoUnit[[#This Row],[Código do Posto]],tabParametros[PQM])</f>
        <v>0</v>
      </c>
      <c r="AH72" s="22">
        <f>SUMIF(tabParametros[Código do Posto],tabCustoUnit[[#This Row],[Código do Posto]],tabParametros[Abono Único e Especial])</f>
        <v>0</v>
      </c>
      <c r="AI72" s="22">
        <f>SUMIF(tabParametros[Código do Posto],tabCustoUnit[[#This Row],[Código do Posto]],tabParametros[Seguro de Vida])</f>
        <v>3.36</v>
      </c>
      <c r="AJ72" s="22">
        <f>SUMIF(tabParametros[Código do Posto],tabCustoUnit[[#This Row],[Código do Posto]],tabParametros[Despesas de Viagem])</f>
        <v>202.08</v>
      </c>
      <c r="AK72" s="22" t="e">
        <f ca="1">SUM(tabCustoUnit[[#This Row],[Vale - Transporte (Descontada parcela do empregado)]:[Despesas de Viagem]])</f>
        <v>#NAME?</v>
      </c>
      <c r="AL72" s="22" t="e">
        <f ca="1">tabCustoUnit[[#This Row],[Submódulo 2.1]]+tabCustoUnit[[#This Row],[Submódulo 2.2]]+tabCustoUnit[[#This Row],[Submódulo 2.3]]</f>
        <v>#NAME?</v>
      </c>
      <c r="AM72" s="22">
        <f>SUMIF(tabParametros[Código do Posto],tabCustoUnit[[#This Row],[Código do Posto]],tabParametros[Aviso Prévio Indenizado (API) e Reflexo do Aviso Prévio Indenizado])*tabCustoUnit[[#This Row],[MODULO 1 - REMUNERAÇÃO ]]</f>
        <v>34.956026245621139</v>
      </c>
      <c r="AN72" s="22">
        <f>SUMIF(tabParametros[Código do Posto],tabCustoUnit[[#This Row],[Código do Posto]],tabParametros[Incidência do FGTS sobre API e Reflexo do API])*tabCustoUnit[[#This Row],[MODULO 1 - REMUNERAÇÃO ]]</f>
        <v>2.7964820996496917</v>
      </c>
      <c r="AO72" s="22">
        <f>SUMIF(tabParametros[Código do Posto],tabCustoUnit[[#This Row],[Código do Posto]],tabParametros[Multa Rescisória do FGTS sobre o Aviso Prévio Indenizado])*tabCustoUnit[[#This Row],[MODULO 1 - REMUNERAÇÃO ]]</f>
        <v>1.1185928398598768</v>
      </c>
      <c r="AP72" s="22">
        <f>SUMIF(tabParametros[Código do Posto],tabCustoUnit[[#This Row],[Código do Posto]],tabParametros[Aviso Prévio Trabalhado - APT])*tabCustoUnit[[#This Row],[MODULO 1 - REMUNERAÇÃO ]]</f>
        <v>17.448681950000001</v>
      </c>
      <c r="AQ72" s="22">
        <f>SUMIF(tabParametros[Código do Posto],tabCustoUnit[[#This Row],[Código do Posto]],tabParametros[Incidência dos encargos do submódulo 2.1 sobre Aviso Prévio Trabalhado])*tabCustoUnit[[#This Row],[MODULO 1 - REMUNERAÇÃO ]]</f>
        <v>6.5956017771000024</v>
      </c>
      <c r="AR72" s="22">
        <f>SUMIF(tabParametros[Código do Posto],tabCustoUnit[[#This Row],[Código do Posto]],tabParametros[Multa Rescisória do FGTS])*tabCustoUnit[[#This Row],[MODULO 1 - REMUNERAÇÃO ]]</f>
        <v>152.44054833777776</v>
      </c>
      <c r="AS72" s="22">
        <f>SUMIF(tabParametros[Código do Posto],tabCustoUnit[[#This Row],[Código do Posto]],tabParametros[Indenização Adicional (Art. 9º da Lei nº 7.238/84)])*tabCustoUnit[[#This Row],[MODULO 1 - REMUNERAÇÃO ]]</f>
        <v>4.1544480833333335</v>
      </c>
      <c r="AT72" s="22">
        <f>SUM(tabCustoUnit[[#This Row],[Aviso Prévio Indenizado (API) e Reflexo do Aviso Prévio Indenizado]:[Indenização Adicional (Art. 9º da Lei nº 7.238/84)]])</f>
        <v>219.5103813333418</v>
      </c>
      <c r="AU72" s="22">
        <f>SUMIF(tabParametros[Código do Posto],tabCustoUnit[[#This Row],[Código do Posto]],tabParametros[Ausência por Doença])*tabCustoUnit[[#This Row],[MODULO 1 - REMUNERAÇÃO ]]</f>
        <v>42.098407244444438</v>
      </c>
      <c r="AV72" s="22">
        <f>SUMIF(tabParametros[Código do Posto],tabCustoUnit[[#This Row],[Código do Posto]],tabParametros[Ausências Legais])*tabCustoUnit[[#This Row],[MODULO 1 - REMUNERAÇÃO ]]</f>
        <v>10.109157002777778</v>
      </c>
      <c r="AW72" s="22">
        <f>SUMIF(tabParametros[Código do Posto],tabCustoUnit[[#This Row],[Código do Posto]],tabParametros[Licença Paternidade])*tabCustoUnit[[#This Row],[MODULO 1 - REMUNERAÇÃO ]]</f>
        <v>0.85166185708333331</v>
      </c>
      <c r="AX72" s="22">
        <f>SUMIF(tabParametros[Código do Posto],tabCustoUnit[[#This Row],[Código do Posto]],tabParametros[Ausência por Acidente de Trabalho])*tabCustoUnit[[#This Row],[MODULO 1 - REMUNERAÇÃO ]]</f>
        <v>1.0386120208333334</v>
      </c>
      <c r="AY72" s="22">
        <f>SUMIF(tabParametros[Código do Posto],tabCustoUnit[[#This Row],[Código do Posto]],tabParametros[Férias, Adicional de Férias e 13º  com empregada em gozo de Licença Maternidade])*tabCustoUnit[[#This Row],[MODULO 1 - REMUNERAÇÃO ]]</f>
        <v>6.4624747962962958</v>
      </c>
      <c r="AZ72" s="22">
        <f>SUMIF(tabParametros[Código do Posto],tabCustoUnit[[#This Row],[Código do Posto]],tabParametros[Incidência do Submódulo 2.1 sobre Ausências Legais])*tabCustoUnit[[#This Row],[MODULO 1 - REMUNERAÇÃO ]]</f>
        <v>22.891798284302503</v>
      </c>
      <c r="BA72" s="22">
        <f>SUM(tabCustoUnit[[#This Row],[Ausência por Doença]:[Incidência do Submódulo 2.1 sobre Ausências Legais]])</f>
        <v>83.45211120573768</v>
      </c>
      <c r="BB72" s="22">
        <f>SUMIF(tabParametros[Código do Posto],tabCustoUnit[[#This Row],[Código do Posto]],tabParametros[Intervalo para Repouso ou Alimentação])</f>
        <v>0</v>
      </c>
      <c r="BC72" s="22">
        <f>tabCustoUnit[[#This Row],[Intervalo para Repouso ou Alimentação]]</f>
        <v>0</v>
      </c>
      <c r="BD7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2" s="22">
        <f>tabCustoUnit[[#This Row],[Suspensão Temporária do Contrato de Trabalho]]</f>
        <v>0</v>
      </c>
      <c r="BF72" s="22">
        <f>tabCustoUnit[[#This Row],[Submódulo 4.1]]+tabCustoUnit[[#This Row],[Submódulo 4.2]]+tabCustoUnit[[#This Row],[Submódulo 4.3]]</f>
        <v>83.45211120573768</v>
      </c>
      <c r="BG72" s="22">
        <f>VLOOKUP(tabCustoUnit[[#This Row],[Código do Posto]],tabParametros[],MATCH(tabCustoUnit[[#Headers],[Uniformes e EPIs]],tabParametros[#Headers],0),0)</f>
        <v>90.784679782039703</v>
      </c>
      <c r="BH72" s="22">
        <f>VLOOKUP(tabCustoUnit[[#This Row],[Código do Posto]],tabParametros[],MATCH(tabCustoUnit[[#Headers],[Materiais de Consumo]],tabParametros[#Headers],0),0)</f>
        <v>0</v>
      </c>
      <c r="BI72" s="22">
        <f>VLOOKUP(tabCustoUnit[[#This Row],[Código do Posto]],tabParametros[],MATCH(tabCustoUnit[[#Headers],[Máquinas e Equipamentos (depreciação)]],tabParametros[#Headers],0),0)</f>
        <v>0</v>
      </c>
      <c r="BJ72" s="22">
        <f>VLOOKUP(tabCustoUnit[[#This Row],[Código do Posto]],tabParametros[],MATCH(tabCustoUnit[[#Headers],[Produtos de Limpeza e Materiais de Higiene Pessoal]],tabParametros[#Headers],0),0)</f>
        <v>0</v>
      </c>
      <c r="BK72" s="22">
        <f>VLOOKUP(tabCustoUnit[[#This Row],[Código do Posto]],tabParametros[],MATCH(tabCustoUnit[[#Headers],[Outros (especificar)]],tabParametros[#Headers],0),0)</f>
        <v>0</v>
      </c>
      <c r="BL72" s="22">
        <f>SUM(tabCustoUnit[[#This Row],[Uniformes e EPIs]:[Outros (especificar)]])</f>
        <v>90.784679782039703</v>
      </c>
      <c r="BM7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2" s="22" t="e">
        <f ca="1">VLOOKUP(tabCustoUnit[[#This Row],[Código do Posto]],tabParametros[],MATCH(tabCustoUnit[[#Headers],[Custos Indiretos]],tabParametros[#Headers],0),0)</f>
        <v>#NAME?</v>
      </c>
      <c r="BO72" s="22" t="e">
        <f ca="1">VLOOKUP(tabCustoUnit[[#This Row],[Código do Posto]],tabParametros[],MATCH(tabCustoUnit[[#Headers],[Lucro]],tabParametros[#Headers],0),0)</f>
        <v>#NAME?</v>
      </c>
      <c r="BP72" s="26">
        <f>((100/((1-tabCustoUnit[[#This Row],[Resumo de Alíquotas (PIS+CONFINS+ISS)]]))-100)*VLOOKUP(tabCustoUnit[[#This Row],[Código do Posto]],tabParametros[],MATCH(tabCustoUnit[[#Headers],[COFINS]],tabParametros[#Headers],0),0))/(tabCustoUnit[[#This Row],[Resumo de Alíquotas (PIS+CONFINS+ISS)]]*100)</f>
        <v>8.8629737609329504E-2</v>
      </c>
      <c r="BQ72" s="26">
        <f>((100/((100-(tabCustoUnit[[#This Row],[Resumo de Alíquotas (PIS+CONFINS+ISS)]]*100))%)-100)*VLOOKUP(tabCustoUnit[[#This Row],[Código do Posto]],tabParametros[],MATCH(tabCustoUnit[[#Headers],[PIS]],tabParametros[#Headers],0),0))/(tabCustoUnit[[#This Row],[Resumo de Alíquotas (PIS+CONFINS+ISS)]]*100)</f>
        <v>1.9241982507288629E-2</v>
      </c>
      <c r="BR72" s="28">
        <f>VLOOKUP(tabCustoUnit[[#This Row],[Código do Posto]],tabParametros[],MATCH(tabCustoUnit[[#Headers],[ISS]],tabParametros[#Headers],0),0)</f>
        <v>0.05</v>
      </c>
      <c r="BS72" s="26">
        <f>(((100/((100-(tabCustoUnit[[#This Row],[Resumo de Alíquotas (PIS+CONFINS+ISS)]]*100))%)-100)*tabCustoUnit[[#This Row],[ISS]])/tabCustoUnit[[#This Row],[Resumo de Alíquotas (PIS+CONFINS+ISS)]])/100</f>
        <v>5.8309037900874633E-2</v>
      </c>
      <c r="BT7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2" s="138">
        <f>tabCustoUnit[[#This Row],[COFINS]]+tabCustoUnit[[#This Row],[PIS]]+tabCustoUnit[[#This Row],[ISS (Conversão Alíquota s/ fatura)]]</f>
        <v>0.16618075801749277</v>
      </c>
      <c r="BV72" s="22" t="e">
        <f ca="1">(tabCustoUnit[[#This Row],[TOTAL MÓDULOS 1+2+3+4+5]]+tabCustoUnit[[#This Row],[Custos Indiretos]]+tabCustoUnit[[#This Row],[Lucro]])*tabCustoUnit[[#This Row],[PIS + COFINS + ISS (Total Conversão  Alíquota s/ Fatura)]]</f>
        <v>#NAME?</v>
      </c>
      <c r="BW72" s="22" t="e">
        <f ca="1">tabCustoUnit[[#This Row],[Custos Indiretos]]+tabCustoUnit[[#This Row],[Lucro]]+tabCustoUnit[[#This Row],[Valor dos Tributos (ISS, PIS, CONFINS)]]</f>
        <v>#NAME?</v>
      </c>
      <c r="BX72" s="22" t="e">
        <f ca="1">tabCustoUnit[[#This Row],[TOTAL MÓDULOS 1+2+3+4+5]]+tabCustoUnit[[#This Row],[MÓDULO 6 – CUSTOS INDIRETOS, TRIBUTOS E LUCRO]]</f>
        <v>#NAME?</v>
      </c>
      <c r="BY72" s="22" t="e">
        <f ca="1">tabCustoUnit[[#This Row],[CUSTO TOTAL MENSAL]]*12</f>
        <v>#NAME?</v>
      </c>
      <c r="BZ72" s="24">
        <f>VLOOKUP(tabCustoUnit[[#This Row],[Código do Posto]],tabParametros[],MATCH(tabCustoUnit[[#Headers],[ANO DA CCT]],tabParametros[#Headers],0),0)</f>
        <v>45658</v>
      </c>
      <c r="CA72" s="25" t="str">
        <f>VLOOKUP(tabCustoUnit[[#This Row],[Código do Posto]],tabParametros[],MATCH(tabCustoUnit[[#Headers],[Nº DE PEDIDO DA CCT]],tabParametros[#Headers],0),0)</f>
        <v>-</v>
      </c>
      <c r="CB72" s="25" t="str">
        <f>VLOOKUP(tabCustoUnit[[#This Row],[Código do Posto]],tabParametros[],MATCH(tabCustoUnit[[#Headers],[TERMO ADITIVO ALTERAÇÃO DA CCT]],tabParametros[#Headers],0),0)</f>
        <v>-</v>
      </c>
    </row>
    <row r="73" spans="1:80">
      <c r="A73" s="20" t="s">
        <v>1438</v>
      </c>
      <c r="B73" t="s">
        <v>1103</v>
      </c>
      <c r="C73" t="s">
        <v>289</v>
      </c>
      <c r="D73" t="s">
        <v>1061</v>
      </c>
      <c r="E73" s="20" t="s">
        <v>1090</v>
      </c>
      <c r="F73" s="20" t="s">
        <v>120</v>
      </c>
      <c r="G73" s="418">
        <v>3275.86</v>
      </c>
      <c r="H73" s="418">
        <v>0</v>
      </c>
      <c r="I73" s="418">
        <v>0</v>
      </c>
      <c r="J73" s="418">
        <v>0</v>
      </c>
      <c r="K73" s="418">
        <v>0</v>
      </c>
      <c r="L73" s="418">
        <v>0</v>
      </c>
      <c r="M73" s="418">
        <v>0</v>
      </c>
      <c r="N73" s="418">
        <v>327.58600000000001</v>
      </c>
      <c r="O73" s="21">
        <f>SUM(tabCustoUnit[[#This Row],[Salário Base]:[Adicional de Acúmulo de função]])</f>
        <v>3603.4459999999999</v>
      </c>
      <c r="P73" s="21">
        <f>tabCustoUnit[[#This Row],[MODULO 1 - REMUNERAÇÃO ]]*SUMIFS(tabParametros[INSS],tabParametros[Código do Posto],tabCustoUnit[[#This Row],[Código do Posto]])</f>
        <v>720.68920000000003</v>
      </c>
      <c r="Q73" s="21">
        <f>tabCustoUnit[[#This Row],[MODULO 1 - REMUNERAÇÃO ]]*SUMIFS(tabParametros[SESI OU SESC],tabParametros[Código do Posto],tabCustoUnit[[#This Row],[Código do Posto]])</f>
        <v>54.051689999999994</v>
      </c>
      <c r="R73" s="21">
        <f>tabCustoUnit[[#This Row],[MODULO 1 - REMUNERAÇÃO ]]*SUMIFS(tabParametros[SENAI OU SENAC],tabParametros[Código do Posto],tabCustoUnit[[#This Row],[Código do Posto]])</f>
        <v>36.034460000000003</v>
      </c>
      <c r="S73" s="21">
        <f>tabCustoUnit[[#This Row],[MODULO 1 - REMUNERAÇÃO ]]*SUMIFS(tabParametros[INCRA],tabParametros[Código do Posto],tabCustoUnit[[#This Row],[Código do Posto]])</f>
        <v>7.2068919999999999</v>
      </c>
      <c r="T73" s="21">
        <f>tabCustoUnit[[#This Row],[MODULO 1 - REMUNERAÇÃO ]]*SUMIFS(tabParametros[Salário Educação],tabParametros[Código do Posto],tabCustoUnit[[#This Row],[Código do Posto]])</f>
        <v>90.086150000000004</v>
      </c>
      <c r="U73" s="21">
        <f>tabCustoUnit[[#This Row],[MODULO 1 - REMUNERAÇÃO ]]*SUMIFS(tabParametros[FGTS],tabParametros[Código do Posto],tabCustoUnit[[#This Row],[Código do Posto]])</f>
        <v>288.27568000000002</v>
      </c>
      <c r="V73" s="21">
        <f>tabCustoUnit[[#This Row],[MODULO 1 - REMUNERAÇÃO ]]*SUMIFS(tabParametros[RAT Ajustado],tabParametros[Código do Posto],tabCustoUnit[[#This Row],[Código do Posto]])</f>
        <v>144.13784000000001</v>
      </c>
      <c r="W73" s="21">
        <f>tabCustoUnit[[#This Row],[MODULO 1 - REMUNERAÇÃO ]]*SUMIFS(tabParametros[SEBRAE],tabParametros[Código do Posto],tabCustoUnit[[#This Row],[Código do Posto]])</f>
        <v>21.620676</v>
      </c>
      <c r="X73" s="21">
        <f>SUM(tabCustoUnit[[#This Row],[INSS]:[SEBRAE]])</f>
        <v>1362.1025880000002</v>
      </c>
      <c r="Y73" s="21">
        <f>tabCustoUnit[[#This Row],[MODULO 1 - REMUNERAÇÃO ]]*SUMIFS(tabParametros[13º salário (titular)],tabParametros[Código do Posto],tabCustoUnit[[#This Row],[Código do Posto]])</f>
        <v>300.28716666666662</v>
      </c>
      <c r="Z73" s="21">
        <f>tabCustoUnit[[#This Row],[MODULO 1 - REMUNERAÇÃO ]]*SUMIFS(tabParametros[Férias e Adicional de Férias (titular)],tabParametros[Código do Posto],tabCustoUnit[[#This Row],[Código do Posto]])</f>
        <v>400.38288888888883</v>
      </c>
      <c r="AA73" s="21">
        <f>IFERROR((tabCustoUnit[[#This Row],[Submódulo 2.1]]/tabCustoUnit[[#This Row],[MODULO 1 - REMUNERAÇÃO ]])*SUM(tabCustoUnit[[#This Row],[13º salário (titular)]:[Férias e Adicional de Férias (titular)]]),0)</f>
        <v>264.85328099999998</v>
      </c>
      <c r="AB73" s="21">
        <f>SUM(tabCustoUnit[[#This Row],[13º salário (titular)]:[Incidência do Submódulo 2.1 sobre 13º Salário, Férias e Adicional de Férias]])</f>
        <v>965.52333655555549</v>
      </c>
      <c r="AC73" s="22" t="e">
        <f ca="1">_xlfn.LET(_xlpm.VT,SUMIF(tabParametros[Código do Posto],tabCustoUnit[[#This Row],[Código do Posto]],tabParametros[Vale - Transporte])*2*20,
IF((_xlpm.VT-tabCustoUnit[[#This Row],[Salário Base]]*0.06)&gt;=0,(_xlpm.VT-tabCustoUnit[[#This Row],[Salário Base]]*0.06),0)
)</f>
        <v>#NAME?</v>
      </c>
      <c r="AD73" s="22">
        <f>IF(SUMIF(tabParametros[Código do Posto],tabCustoUnit[[#This Row],[Código do Posto]],tabParametros[Vale - Alimentação])&lt;=0,0,
SUMIF(tabParametros[Código do Posto],tabCustoUnit[[#This Row],[Código do Posto]],tabParametros[Vale - Alimentação])*20-1)</f>
        <v>582</v>
      </c>
      <c r="AE73" s="22">
        <f>SUMIF(tabParametros[Código do Posto],tabCustoUnit[[#This Row],[Código do Posto]],tabParametros[Cesta Básica])</f>
        <v>0</v>
      </c>
      <c r="AF73" s="22">
        <f>SUMIF(tabParametros[Código do Posto],tabCustoUnit[[#This Row],[Código do Posto]],tabParametros[PAF])</f>
        <v>0</v>
      </c>
      <c r="AG73" s="22">
        <f>SUMIF(tabParametros[Código do Posto],tabCustoUnit[[#This Row],[Código do Posto]],tabParametros[PQM])</f>
        <v>0</v>
      </c>
      <c r="AH73" s="22">
        <f>SUMIF(tabParametros[Código do Posto],tabCustoUnit[[#This Row],[Código do Posto]],tabParametros[Abono Único e Especial])</f>
        <v>0</v>
      </c>
      <c r="AI73" s="22">
        <f>SUMIF(tabParametros[Código do Posto],tabCustoUnit[[#This Row],[Código do Posto]],tabParametros[Seguro de Vida])</f>
        <v>3.36</v>
      </c>
      <c r="AJ73" s="22">
        <f>SUMIF(tabParametros[Código do Posto],tabCustoUnit[[#This Row],[Código do Posto]],tabParametros[Despesas de Viagem])</f>
        <v>202.08</v>
      </c>
      <c r="AK73" s="22" t="e">
        <f ca="1">SUM(tabCustoUnit[[#This Row],[Vale - Transporte (Descontada parcela do empregado)]:[Despesas de Viagem]])</f>
        <v>#NAME?</v>
      </c>
      <c r="AL73" s="22" t="e">
        <f ca="1">tabCustoUnit[[#This Row],[Submódulo 2.1]]+tabCustoUnit[[#This Row],[Submódulo 2.2]]+tabCustoUnit[[#This Row],[Submódulo 2.3]]</f>
        <v>#NAME?</v>
      </c>
      <c r="AM73" s="22">
        <f>SUMIF(tabParametros[Código do Posto],tabCustoUnit[[#This Row],[Código do Posto]],tabParametros[Aviso Prévio Indenizado (API) e Reflexo do Aviso Prévio Indenizado])*tabCustoUnit[[#This Row],[MODULO 1 - REMUNERAÇÃO ]]</f>
        <v>25.266523660108025</v>
      </c>
      <c r="AN73" s="22">
        <f>SUMIF(tabParametros[Código do Posto],tabCustoUnit[[#This Row],[Código do Posto]],tabParametros[Incidência do FGTS sobre API e Reflexo do API])*tabCustoUnit[[#This Row],[MODULO 1 - REMUNERAÇÃO ]]</f>
        <v>2.0213218928086421</v>
      </c>
      <c r="AO73" s="22">
        <f>SUMIF(tabParametros[Código do Posto],tabCustoUnit[[#This Row],[Código do Posto]],tabParametros[Multa Rescisória do FGTS sobre o Aviso Prévio Indenizado])*tabCustoUnit[[#This Row],[MODULO 1 - REMUNERAÇÃO ]]</f>
        <v>0.80852875712345695</v>
      </c>
      <c r="AP73" s="22">
        <f>SUMIF(tabParametros[Código do Posto],tabCustoUnit[[#This Row],[Código do Posto]],tabParametros[Aviso Prévio Trabalhado - APT])*tabCustoUnit[[#This Row],[MODULO 1 - REMUNERAÇÃO ]]</f>
        <v>12.612061000000001</v>
      </c>
      <c r="AQ73" s="22">
        <f>SUMIF(tabParametros[Código do Posto],tabCustoUnit[[#This Row],[Código do Posto]],tabParametros[Incidência dos encargos do submódulo 2.1 sobre Aviso Prévio Trabalhado])*tabCustoUnit[[#This Row],[MODULO 1 - REMUNERAÇÃO ]]</f>
        <v>4.7673590580000011</v>
      </c>
      <c r="AR73" s="22">
        <f>SUMIF(tabParametros[Código do Posto],tabCustoUnit[[#This Row],[Código do Posto]],tabParametros[Multa Rescisória do FGTS])*tabCustoUnit[[#This Row],[MODULO 1 - REMUNERAÇÃO ]]</f>
        <v>110.1853710222222</v>
      </c>
      <c r="AS73" s="22">
        <f>SUMIF(tabParametros[Código do Posto],tabCustoUnit[[#This Row],[Código do Posto]],tabParametros[Indenização Adicional (Art. 9º da Lei nº 7.238/84)])*tabCustoUnit[[#This Row],[MODULO 1 - REMUNERAÇÃO ]]</f>
        <v>3.0028716666666666</v>
      </c>
      <c r="AT73" s="22">
        <f>SUM(tabCustoUnit[[#This Row],[Aviso Prévio Indenizado (API) e Reflexo do Aviso Prévio Indenizado]:[Indenização Adicional (Art. 9º da Lei nº 7.238/84)]])</f>
        <v>158.664037056929</v>
      </c>
      <c r="AU73" s="22">
        <f>SUMIF(tabParametros[Código do Posto],tabCustoUnit[[#This Row],[Código do Posto]],tabParametros[Ausência por Doença])*tabCustoUnit[[#This Row],[MODULO 1 - REMUNERAÇÃO ]]</f>
        <v>30.429099555555553</v>
      </c>
      <c r="AV73" s="22">
        <f>SUMIF(tabParametros[Código do Posto],tabCustoUnit[[#This Row],[Código do Posto]],tabParametros[Ausências Legais])*tabCustoUnit[[#This Row],[MODULO 1 - REMUNERAÇÃO ]]</f>
        <v>7.3069877222222219</v>
      </c>
      <c r="AW73" s="22">
        <f>SUMIF(tabParametros[Código do Posto],tabCustoUnit[[#This Row],[Código do Posto]],tabParametros[Licença Paternidade])*tabCustoUnit[[#This Row],[MODULO 1 - REMUNERAÇÃO ]]</f>
        <v>0.61558869166666663</v>
      </c>
      <c r="AX73" s="22">
        <f>SUMIF(tabParametros[Código do Posto],tabCustoUnit[[#This Row],[Código do Posto]],tabParametros[Ausência por Acidente de Trabalho])*tabCustoUnit[[#This Row],[MODULO 1 - REMUNERAÇÃO ]]</f>
        <v>0.75071791666666665</v>
      </c>
      <c r="AY73" s="22">
        <f>SUMIF(tabParametros[Código do Posto],tabCustoUnit[[#This Row],[Código do Posto]],tabParametros[Férias, Adicional de Férias e 13º  com empregada em gozo de Licença Maternidade])*tabCustoUnit[[#This Row],[MODULO 1 - REMUNERAÇÃO ]]</f>
        <v>4.6711337037037035</v>
      </c>
      <c r="AZ73" s="22">
        <f>SUMIF(tabParametros[Código do Posto],tabCustoUnit[[#This Row],[Código do Posto]],tabParametros[Incidência do Submódulo 2.1 sobre Ausências Legais])*tabCustoUnit[[#This Row],[MODULO 1 - REMUNERAÇÃO ]]</f>
        <v>16.546393428950001</v>
      </c>
      <c r="BA73" s="22">
        <f>SUM(tabCustoUnit[[#This Row],[Ausência por Doença]:[Incidência do Submódulo 2.1 sobre Ausências Legais]])</f>
        <v>60.319921018764816</v>
      </c>
      <c r="BB73" s="22">
        <f>SUMIF(tabParametros[Código do Posto],tabCustoUnit[[#This Row],[Código do Posto]],tabParametros[Intervalo para Repouso ou Alimentação])</f>
        <v>0</v>
      </c>
      <c r="BC73" s="22">
        <f>tabCustoUnit[[#This Row],[Intervalo para Repouso ou Alimentação]]</f>
        <v>0</v>
      </c>
      <c r="BD7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3" s="22">
        <f>tabCustoUnit[[#This Row],[Suspensão Temporária do Contrato de Trabalho]]</f>
        <v>0</v>
      </c>
      <c r="BF73" s="22">
        <f>tabCustoUnit[[#This Row],[Submódulo 4.1]]+tabCustoUnit[[#This Row],[Submódulo 4.2]]+tabCustoUnit[[#This Row],[Submódulo 4.3]]</f>
        <v>60.319921018764816</v>
      </c>
      <c r="BG73" s="22">
        <f>VLOOKUP(tabCustoUnit[[#This Row],[Código do Posto]],tabParametros[],MATCH(tabCustoUnit[[#Headers],[Uniformes e EPIs]],tabParametros[#Headers],0),0)</f>
        <v>120.61653005534812</v>
      </c>
      <c r="BH73" s="22">
        <f>VLOOKUP(tabCustoUnit[[#This Row],[Código do Posto]],tabParametros[],MATCH(tabCustoUnit[[#Headers],[Materiais de Consumo]],tabParametros[#Headers],0),0)</f>
        <v>0</v>
      </c>
      <c r="BI73" s="22">
        <f>VLOOKUP(tabCustoUnit[[#This Row],[Código do Posto]],tabParametros[],MATCH(tabCustoUnit[[#Headers],[Máquinas e Equipamentos (depreciação)]],tabParametros[#Headers],0),0)</f>
        <v>0</v>
      </c>
      <c r="BJ73" s="22">
        <f>VLOOKUP(tabCustoUnit[[#This Row],[Código do Posto]],tabParametros[],MATCH(tabCustoUnit[[#Headers],[Produtos de Limpeza e Materiais de Higiene Pessoal]],tabParametros[#Headers],0),0)</f>
        <v>0</v>
      </c>
      <c r="BK73" s="22">
        <f>VLOOKUP(tabCustoUnit[[#This Row],[Código do Posto]],tabParametros[],MATCH(tabCustoUnit[[#Headers],[Outros (especificar)]],tabParametros[#Headers],0),0)</f>
        <v>0</v>
      </c>
      <c r="BL73" s="22">
        <f>SUM(tabCustoUnit[[#This Row],[Uniformes e EPIs]:[Outros (especificar)]])</f>
        <v>120.61653005534812</v>
      </c>
      <c r="BM7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3" s="22" t="e">
        <f ca="1">VLOOKUP(tabCustoUnit[[#This Row],[Código do Posto]],tabParametros[],MATCH(tabCustoUnit[[#Headers],[Custos Indiretos]],tabParametros[#Headers],0),0)</f>
        <v>#NAME?</v>
      </c>
      <c r="BO73" s="22" t="e">
        <f ca="1">VLOOKUP(tabCustoUnit[[#This Row],[Código do Posto]],tabParametros[],MATCH(tabCustoUnit[[#Headers],[Lucro]],tabParametros[#Headers],0),0)</f>
        <v>#NAME?</v>
      </c>
      <c r="BP73" s="26">
        <f>((100/((1-tabCustoUnit[[#This Row],[Resumo de Alíquotas (PIS+CONFINS+ISS)]]))-100)*VLOOKUP(tabCustoUnit[[#This Row],[Código do Posto]],tabParametros[],MATCH(tabCustoUnit[[#Headers],[COFINS]],tabParametros[#Headers],0),0))/(tabCustoUnit[[#This Row],[Resumo de Alíquotas (PIS+CONFINS+ISS)]]*100)</f>
        <v>8.8629737609329504E-2</v>
      </c>
      <c r="BQ73" s="26">
        <f>((100/((100-(tabCustoUnit[[#This Row],[Resumo de Alíquotas (PIS+CONFINS+ISS)]]*100))%)-100)*VLOOKUP(tabCustoUnit[[#This Row],[Código do Posto]],tabParametros[],MATCH(tabCustoUnit[[#Headers],[PIS]],tabParametros[#Headers],0),0))/(tabCustoUnit[[#This Row],[Resumo de Alíquotas (PIS+CONFINS+ISS)]]*100)</f>
        <v>1.9241982507288629E-2</v>
      </c>
      <c r="BR73" s="28">
        <f>VLOOKUP(tabCustoUnit[[#This Row],[Código do Posto]],tabParametros[],MATCH(tabCustoUnit[[#Headers],[ISS]],tabParametros[#Headers],0),0)</f>
        <v>0.05</v>
      </c>
      <c r="BS73" s="26">
        <f>(((100/((100-(tabCustoUnit[[#This Row],[Resumo de Alíquotas (PIS+CONFINS+ISS)]]*100))%)-100)*tabCustoUnit[[#This Row],[ISS]])/tabCustoUnit[[#This Row],[Resumo de Alíquotas (PIS+CONFINS+ISS)]])/100</f>
        <v>5.8309037900874633E-2</v>
      </c>
      <c r="BT7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3" s="138">
        <f>tabCustoUnit[[#This Row],[COFINS]]+tabCustoUnit[[#This Row],[PIS]]+tabCustoUnit[[#This Row],[ISS (Conversão Alíquota s/ fatura)]]</f>
        <v>0.16618075801749277</v>
      </c>
      <c r="BV73" s="22" t="e">
        <f ca="1">(tabCustoUnit[[#This Row],[TOTAL MÓDULOS 1+2+3+4+5]]+tabCustoUnit[[#This Row],[Custos Indiretos]]+tabCustoUnit[[#This Row],[Lucro]])*tabCustoUnit[[#This Row],[PIS + COFINS + ISS (Total Conversão  Alíquota s/ Fatura)]]</f>
        <v>#NAME?</v>
      </c>
      <c r="BW73" s="22" t="e">
        <f ca="1">tabCustoUnit[[#This Row],[Custos Indiretos]]+tabCustoUnit[[#This Row],[Lucro]]+tabCustoUnit[[#This Row],[Valor dos Tributos (ISS, PIS, CONFINS)]]</f>
        <v>#NAME?</v>
      </c>
      <c r="BX73" s="22" t="e">
        <f ca="1">tabCustoUnit[[#This Row],[TOTAL MÓDULOS 1+2+3+4+5]]+tabCustoUnit[[#This Row],[MÓDULO 6 – CUSTOS INDIRETOS, TRIBUTOS E LUCRO]]</f>
        <v>#NAME?</v>
      </c>
      <c r="BY73" s="22" t="e">
        <f ca="1">tabCustoUnit[[#This Row],[CUSTO TOTAL MENSAL]]*12</f>
        <v>#NAME?</v>
      </c>
      <c r="BZ73" s="24">
        <f>VLOOKUP(tabCustoUnit[[#This Row],[Código do Posto]],tabParametros[],MATCH(tabCustoUnit[[#Headers],[ANO DA CCT]],tabParametros[#Headers],0),0)</f>
        <v>45658</v>
      </c>
      <c r="CA73" s="25" t="str">
        <f>VLOOKUP(tabCustoUnit[[#This Row],[Código do Posto]],tabParametros[],MATCH(tabCustoUnit[[#Headers],[Nº DE PEDIDO DA CCT]],tabParametros[#Headers],0),0)</f>
        <v>-</v>
      </c>
      <c r="CB73" s="25" t="str">
        <f>VLOOKUP(tabCustoUnit[[#This Row],[Código do Posto]],tabParametros[],MATCH(tabCustoUnit[[#Headers],[TERMO ADITIVO ALTERAÇÃO DA CCT]],tabParametros[#Headers],0),0)</f>
        <v>-</v>
      </c>
    </row>
    <row r="74" spans="1:80">
      <c r="A74" s="20" t="s">
        <v>1449</v>
      </c>
      <c r="B74" t="s">
        <v>1103</v>
      </c>
      <c r="C74" t="s">
        <v>351</v>
      </c>
      <c r="D74" t="s">
        <v>1054</v>
      </c>
      <c r="E74" s="20" t="s">
        <v>1090</v>
      </c>
      <c r="F74" s="20" t="s">
        <v>120</v>
      </c>
      <c r="G74" s="418">
        <v>4673.5828000000001</v>
      </c>
      <c r="H74" s="418">
        <v>0</v>
      </c>
      <c r="I74" s="418">
        <v>0</v>
      </c>
      <c r="J74" s="418">
        <v>0</v>
      </c>
      <c r="K74" s="418">
        <v>0</v>
      </c>
      <c r="L74" s="418">
        <v>0</v>
      </c>
      <c r="M74" s="418">
        <v>0</v>
      </c>
      <c r="N74" s="418">
        <v>0</v>
      </c>
      <c r="O74" s="21">
        <f>SUM(tabCustoUnit[[#This Row],[Salário Base]:[Adicional de Acúmulo de função]])</f>
        <v>4673.5828000000001</v>
      </c>
      <c r="P74" s="21">
        <f>tabCustoUnit[[#This Row],[MODULO 1 - REMUNERAÇÃO ]]*SUMIFS(tabParametros[INSS],tabParametros[Código do Posto],tabCustoUnit[[#This Row],[Código do Posto]])</f>
        <v>934.71656000000007</v>
      </c>
      <c r="Q74" s="21">
        <f>tabCustoUnit[[#This Row],[MODULO 1 - REMUNERAÇÃO ]]*SUMIFS(tabParametros[SESI OU SESC],tabParametros[Código do Posto],tabCustoUnit[[#This Row],[Código do Posto]])</f>
        <v>70.103741999999997</v>
      </c>
      <c r="R74" s="21">
        <f>tabCustoUnit[[#This Row],[MODULO 1 - REMUNERAÇÃO ]]*SUMIFS(tabParametros[SENAI OU SENAC],tabParametros[Código do Posto],tabCustoUnit[[#This Row],[Código do Posto]])</f>
        <v>46.735828000000005</v>
      </c>
      <c r="S74" s="21">
        <f>tabCustoUnit[[#This Row],[MODULO 1 - REMUNERAÇÃO ]]*SUMIFS(tabParametros[INCRA],tabParametros[Código do Posto],tabCustoUnit[[#This Row],[Código do Posto]])</f>
        <v>9.3471656000000003</v>
      </c>
      <c r="T74" s="21">
        <f>tabCustoUnit[[#This Row],[MODULO 1 - REMUNERAÇÃO ]]*SUMIFS(tabParametros[Salário Educação],tabParametros[Código do Posto],tabCustoUnit[[#This Row],[Código do Posto]])</f>
        <v>116.83957000000001</v>
      </c>
      <c r="U74" s="21">
        <f>tabCustoUnit[[#This Row],[MODULO 1 - REMUNERAÇÃO ]]*SUMIFS(tabParametros[FGTS],tabParametros[Código do Posto],tabCustoUnit[[#This Row],[Código do Posto]])</f>
        <v>373.88662400000004</v>
      </c>
      <c r="V74" s="21">
        <f>tabCustoUnit[[#This Row],[MODULO 1 - REMUNERAÇÃO ]]*SUMIFS(tabParametros[RAT Ajustado],tabParametros[Código do Posto],tabCustoUnit[[#This Row],[Código do Posto]])</f>
        <v>186.94331200000002</v>
      </c>
      <c r="W74" s="21">
        <f>tabCustoUnit[[#This Row],[MODULO 1 - REMUNERAÇÃO ]]*SUMIFS(tabParametros[SEBRAE],tabParametros[Código do Posto],tabCustoUnit[[#This Row],[Código do Posto]])</f>
        <v>28.041496800000001</v>
      </c>
      <c r="X74" s="21">
        <f>SUM(tabCustoUnit[[#This Row],[INSS]:[SEBRAE]])</f>
        <v>1766.6142984000003</v>
      </c>
      <c r="Y74" s="21">
        <f>tabCustoUnit[[#This Row],[MODULO 1 - REMUNERAÇÃO ]]*SUMIFS(tabParametros[13º salário (titular)],tabParametros[Código do Posto],tabCustoUnit[[#This Row],[Código do Posto]])</f>
        <v>389.46523333333334</v>
      </c>
      <c r="Z74" s="21">
        <f>tabCustoUnit[[#This Row],[MODULO 1 - REMUNERAÇÃO ]]*SUMIFS(tabParametros[Férias e Adicional de Férias (titular)],tabParametros[Código do Posto],tabCustoUnit[[#This Row],[Código do Posto]])</f>
        <v>519.28697777777779</v>
      </c>
      <c r="AA74" s="21">
        <f>IFERROR((tabCustoUnit[[#This Row],[Submódulo 2.1]]/tabCustoUnit[[#This Row],[MODULO 1 - REMUNERAÇÃO ]])*SUM(tabCustoUnit[[#This Row],[13º salário (titular)]:[Férias e Adicional de Férias (titular)]]),0)</f>
        <v>343.50833580000005</v>
      </c>
      <c r="AB74" s="21">
        <f>SUM(tabCustoUnit[[#This Row],[13º salário (titular)]:[Incidência do Submódulo 2.1 sobre 13º Salário, Férias e Adicional de Férias]])</f>
        <v>1252.2605469111113</v>
      </c>
      <c r="AC74" s="22" t="e">
        <f ca="1">_xlfn.LET(_xlpm.VT,SUMIF(tabParametros[Código do Posto],tabCustoUnit[[#This Row],[Código do Posto]],tabParametros[Vale - Transporte])*2*20,
IF((_xlpm.VT-tabCustoUnit[[#This Row],[Salário Base]]*0.06)&gt;=0,(_xlpm.VT-tabCustoUnit[[#This Row],[Salário Base]]*0.06),0)
)</f>
        <v>#NAME?</v>
      </c>
      <c r="AD74" s="22">
        <f>IF(SUMIF(tabParametros[Código do Posto],tabCustoUnit[[#This Row],[Código do Posto]],tabParametros[Vale - Alimentação])&lt;=0,0,
SUMIF(tabParametros[Código do Posto],tabCustoUnit[[#This Row],[Código do Posto]],tabParametros[Vale - Alimentação])*20-1)</f>
        <v>581.79999999999995</v>
      </c>
      <c r="AE74" s="22">
        <f>SUMIF(tabParametros[Código do Posto],tabCustoUnit[[#This Row],[Código do Posto]],tabParametros[Cesta Básica])</f>
        <v>0</v>
      </c>
      <c r="AF74" s="22">
        <f>SUMIF(tabParametros[Código do Posto],tabCustoUnit[[#This Row],[Código do Posto]],tabParametros[PAF])</f>
        <v>51.73</v>
      </c>
      <c r="AG74" s="22">
        <f>SUMIF(tabParametros[Código do Posto],tabCustoUnit[[#This Row],[Código do Posto]],tabParametros[PQM])</f>
        <v>0</v>
      </c>
      <c r="AH74" s="22">
        <f>SUMIF(tabParametros[Código do Posto],tabCustoUnit[[#This Row],[Código do Posto]],tabParametros[Abono Único e Especial])</f>
        <v>0</v>
      </c>
      <c r="AI74" s="22">
        <f>SUMIF(tabParametros[Código do Posto],tabCustoUnit[[#This Row],[Código do Posto]],tabParametros[Seguro de Vida])</f>
        <v>3.36</v>
      </c>
      <c r="AJ74" s="22">
        <f>SUMIF(tabParametros[Código do Posto],tabCustoUnit[[#This Row],[Código do Posto]],tabParametros[Despesas de Viagem])</f>
        <v>202.08</v>
      </c>
      <c r="AK74" s="22" t="e">
        <f ca="1">SUM(tabCustoUnit[[#This Row],[Vale - Transporte (Descontada parcela do empregado)]:[Despesas de Viagem]])</f>
        <v>#NAME?</v>
      </c>
      <c r="AL74" s="22" t="e">
        <f ca="1">tabCustoUnit[[#This Row],[Submódulo 2.1]]+tabCustoUnit[[#This Row],[Submódulo 2.2]]+tabCustoUnit[[#This Row],[Submódulo 2.3]]</f>
        <v>#NAME?</v>
      </c>
      <c r="AM74" s="22">
        <f>SUMIF(tabParametros[Código do Posto],tabCustoUnit[[#This Row],[Código do Posto]],tabParametros[Aviso Prévio Indenizado (API) e Reflexo do Aviso Prévio Indenizado])*tabCustoUnit[[#This Row],[MODULO 1 - REMUNERAÇÃO ]]</f>
        <v>32.770073533410496</v>
      </c>
      <c r="AN74" s="22">
        <f>SUMIF(tabParametros[Código do Posto],tabCustoUnit[[#This Row],[Código do Posto]],tabParametros[Incidência do FGTS sobre API e Reflexo do API])*tabCustoUnit[[#This Row],[MODULO 1 - REMUNERAÇÃO ]]</f>
        <v>2.6216058826728399</v>
      </c>
      <c r="AO74" s="22">
        <f>SUMIF(tabParametros[Código do Posto],tabCustoUnit[[#This Row],[Código do Posto]],tabParametros[Multa Rescisória do FGTS sobre o Aviso Prévio Indenizado])*tabCustoUnit[[#This Row],[MODULO 1 - REMUNERAÇÃO ]]</f>
        <v>1.048642353069136</v>
      </c>
      <c r="AP74" s="22">
        <f>SUMIF(tabParametros[Código do Posto],tabCustoUnit[[#This Row],[Código do Posto]],tabParametros[Aviso Prévio Trabalhado - APT])*tabCustoUnit[[#This Row],[MODULO 1 - REMUNERAÇÃO ]]</f>
        <v>16.357539800000001</v>
      </c>
      <c r="AQ74" s="22">
        <f>SUMIF(tabParametros[Código do Posto],tabCustoUnit[[#This Row],[Código do Posto]],tabParametros[Incidência dos encargos do submódulo 2.1 sobre Aviso Prévio Trabalhado])*tabCustoUnit[[#This Row],[MODULO 1 - REMUNERAÇÃO ]]</f>
        <v>6.1831500444000023</v>
      </c>
      <c r="AR74" s="22">
        <f>SUMIF(tabParametros[Código do Posto],tabCustoUnit[[#This Row],[Código do Posto]],tabParametros[Multa Rescisória do FGTS])*tabCustoUnit[[#This Row],[MODULO 1 - REMUNERAÇÃO ]]</f>
        <v>142.90777628444442</v>
      </c>
      <c r="AS74" s="22">
        <f>SUMIF(tabParametros[Código do Posto],tabCustoUnit[[#This Row],[Código do Posto]],tabParametros[Indenização Adicional (Art. 9º da Lei nº 7.238/84)])*tabCustoUnit[[#This Row],[MODULO 1 - REMUNERAÇÃO ]]</f>
        <v>3.8946523333333336</v>
      </c>
      <c r="AT74" s="22">
        <f>SUM(tabCustoUnit[[#This Row],[Aviso Prévio Indenizado (API) e Reflexo do Aviso Prévio Indenizado]:[Indenização Adicional (Art. 9º da Lei nº 7.238/84)]])</f>
        <v>205.78344023133025</v>
      </c>
      <c r="AU74" s="22">
        <f>SUMIF(tabParametros[Código do Posto],tabCustoUnit[[#This Row],[Código do Posto]],tabParametros[Ausência por Doença])*tabCustoUnit[[#This Row],[MODULO 1 - REMUNERAÇÃO ]]</f>
        <v>39.465810311111106</v>
      </c>
      <c r="AV74" s="22">
        <f>SUMIF(tabParametros[Código do Posto],tabCustoUnit[[#This Row],[Código do Posto]],tabParametros[Ausências Legais])*tabCustoUnit[[#This Row],[MODULO 1 - REMUNERAÇÃO ]]</f>
        <v>9.4769873444444439</v>
      </c>
      <c r="AW74" s="22">
        <f>SUMIF(tabParametros[Código do Posto],tabCustoUnit[[#This Row],[Código do Posto]],tabParametros[Licença Paternidade])*tabCustoUnit[[#This Row],[MODULO 1 - REMUNERAÇÃO ]]</f>
        <v>0.79840372833333328</v>
      </c>
      <c r="AX74" s="22">
        <f>SUMIF(tabParametros[Código do Posto],tabCustoUnit[[#This Row],[Código do Posto]],tabParametros[Ausência por Acidente de Trabalho])*tabCustoUnit[[#This Row],[MODULO 1 - REMUNERAÇÃO ]]</f>
        <v>0.9736630833333334</v>
      </c>
      <c r="AY74" s="22">
        <f>SUMIF(tabParametros[Código do Posto],tabCustoUnit[[#This Row],[Código do Posto]],tabParametros[Férias, Adicional de Férias e 13º  com empregada em gozo de Licença Maternidade])*tabCustoUnit[[#This Row],[MODULO 1 - REMUNERAÇÃO ]]</f>
        <v>6.0583480740740745</v>
      </c>
      <c r="AZ74" s="22">
        <f>SUMIF(tabParametros[Código do Posto],tabCustoUnit[[#This Row],[Código do Posto]],tabParametros[Incidência do Submódulo 2.1 sobre Ausências Legais])*tabCustoUnit[[#This Row],[MODULO 1 - REMUNERAÇÃO ]]</f>
        <v>21.460274340610002</v>
      </c>
      <c r="BA74" s="22">
        <f>SUM(tabCustoUnit[[#This Row],[Ausência por Doença]:[Incidência do Submódulo 2.1 sobre Ausências Legais]])</f>
        <v>78.233486881906302</v>
      </c>
      <c r="BB74" s="22">
        <f>SUMIF(tabParametros[Código do Posto],tabCustoUnit[[#This Row],[Código do Posto]],tabParametros[Intervalo para Repouso ou Alimentação])</f>
        <v>0</v>
      </c>
      <c r="BC74" s="22">
        <f>tabCustoUnit[[#This Row],[Intervalo para Repouso ou Alimentação]]</f>
        <v>0</v>
      </c>
      <c r="BD7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4" s="22">
        <f>tabCustoUnit[[#This Row],[Suspensão Temporária do Contrato de Trabalho]]</f>
        <v>0</v>
      </c>
      <c r="BF74" s="22">
        <f>tabCustoUnit[[#This Row],[Submódulo 4.1]]+tabCustoUnit[[#This Row],[Submódulo 4.2]]+tabCustoUnit[[#This Row],[Submódulo 4.3]]</f>
        <v>78.233486881906302</v>
      </c>
      <c r="BG74" s="22">
        <f>VLOOKUP(tabCustoUnit[[#This Row],[Código do Posto]],tabParametros[],MATCH(tabCustoUnit[[#Headers],[Uniformes e EPIs]],tabParametros[#Headers],0),0)</f>
        <v>90.784679782039703</v>
      </c>
      <c r="BH74" s="22">
        <f>VLOOKUP(tabCustoUnit[[#This Row],[Código do Posto]],tabParametros[],MATCH(tabCustoUnit[[#Headers],[Materiais de Consumo]],tabParametros[#Headers],0),0)</f>
        <v>0</v>
      </c>
      <c r="BI74" s="22">
        <f>VLOOKUP(tabCustoUnit[[#This Row],[Código do Posto]],tabParametros[],MATCH(tabCustoUnit[[#Headers],[Máquinas e Equipamentos (depreciação)]],tabParametros[#Headers],0),0)</f>
        <v>0</v>
      </c>
      <c r="BJ74" s="22">
        <f>VLOOKUP(tabCustoUnit[[#This Row],[Código do Posto]],tabParametros[],MATCH(tabCustoUnit[[#Headers],[Produtos de Limpeza e Materiais de Higiene Pessoal]],tabParametros[#Headers],0),0)</f>
        <v>0</v>
      </c>
      <c r="BK74" s="22">
        <f>VLOOKUP(tabCustoUnit[[#This Row],[Código do Posto]],tabParametros[],MATCH(tabCustoUnit[[#Headers],[Outros (especificar)]],tabParametros[#Headers],0),0)</f>
        <v>0</v>
      </c>
      <c r="BL74" s="22">
        <f>SUM(tabCustoUnit[[#This Row],[Uniformes e EPIs]:[Outros (especificar)]])</f>
        <v>90.784679782039703</v>
      </c>
      <c r="BM7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4" s="22" t="e">
        <f ca="1">VLOOKUP(tabCustoUnit[[#This Row],[Código do Posto]],tabParametros[],MATCH(tabCustoUnit[[#Headers],[Custos Indiretos]],tabParametros[#Headers],0),0)</f>
        <v>#NAME?</v>
      </c>
      <c r="BO74" s="22" t="e">
        <f ca="1">VLOOKUP(tabCustoUnit[[#This Row],[Código do Posto]],tabParametros[],MATCH(tabCustoUnit[[#Headers],[Lucro]],tabParametros[#Headers],0),0)</f>
        <v>#NAME?</v>
      </c>
      <c r="BP74" s="26">
        <f>((100/((1-tabCustoUnit[[#This Row],[Resumo de Alíquotas (PIS+CONFINS+ISS)]]))-100)*VLOOKUP(tabCustoUnit[[#This Row],[Código do Posto]],tabParametros[],MATCH(tabCustoUnit[[#Headers],[COFINS]],tabParametros[#Headers],0),0))/(tabCustoUnit[[#This Row],[Resumo de Alíquotas (PIS+CONFINS+ISS)]]*100)</f>
        <v>8.8629737609329504E-2</v>
      </c>
      <c r="BQ74" s="26">
        <f>((100/((100-(tabCustoUnit[[#This Row],[Resumo de Alíquotas (PIS+CONFINS+ISS)]]*100))%)-100)*VLOOKUP(tabCustoUnit[[#This Row],[Código do Posto]],tabParametros[],MATCH(tabCustoUnit[[#Headers],[PIS]],tabParametros[#Headers],0),0))/(tabCustoUnit[[#This Row],[Resumo de Alíquotas (PIS+CONFINS+ISS)]]*100)</f>
        <v>1.9241982507288629E-2</v>
      </c>
      <c r="BR74" s="28">
        <f>VLOOKUP(tabCustoUnit[[#This Row],[Código do Posto]],tabParametros[],MATCH(tabCustoUnit[[#Headers],[ISS]],tabParametros[#Headers],0),0)</f>
        <v>0.05</v>
      </c>
      <c r="BS74" s="26">
        <f>(((100/((100-(tabCustoUnit[[#This Row],[Resumo de Alíquotas (PIS+CONFINS+ISS)]]*100))%)-100)*tabCustoUnit[[#This Row],[ISS]])/tabCustoUnit[[#This Row],[Resumo de Alíquotas (PIS+CONFINS+ISS)]])/100</f>
        <v>5.8309037900874633E-2</v>
      </c>
      <c r="BT7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4" s="138">
        <f>tabCustoUnit[[#This Row],[COFINS]]+tabCustoUnit[[#This Row],[PIS]]+tabCustoUnit[[#This Row],[ISS (Conversão Alíquota s/ fatura)]]</f>
        <v>0.16618075801749277</v>
      </c>
      <c r="BV74" s="22" t="e">
        <f ca="1">(tabCustoUnit[[#This Row],[TOTAL MÓDULOS 1+2+3+4+5]]+tabCustoUnit[[#This Row],[Custos Indiretos]]+tabCustoUnit[[#This Row],[Lucro]])*tabCustoUnit[[#This Row],[PIS + COFINS + ISS (Total Conversão  Alíquota s/ Fatura)]]</f>
        <v>#NAME?</v>
      </c>
      <c r="BW74" s="22" t="e">
        <f ca="1">tabCustoUnit[[#This Row],[Custos Indiretos]]+tabCustoUnit[[#This Row],[Lucro]]+tabCustoUnit[[#This Row],[Valor dos Tributos (ISS, PIS, CONFINS)]]</f>
        <v>#NAME?</v>
      </c>
      <c r="BX74" s="22" t="e">
        <f ca="1">tabCustoUnit[[#This Row],[TOTAL MÓDULOS 1+2+3+4+5]]+tabCustoUnit[[#This Row],[MÓDULO 6 – CUSTOS INDIRETOS, TRIBUTOS E LUCRO]]</f>
        <v>#NAME?</v>
      </c>
      <c r="BY74" s="22" t="e">
        <f ca="1">tabCustoUnit[[#This Row],[CUSTO TOTAL MENSAL]]*12</f>
        <v>#NAME?</v>
      </c>
      <c r="BZ74" s="24">
        <f>VLOOKUP(tabCustoUnit[[#This Row],[Código do Posto]],tabParametros[],MATCH(tabCustoUnit[[#Headers],[ANO DA CCT]],tabParametros[#Headers],0),0)</f>
        <v>45658</v>
      </c>
      <c r="CA74" s="25" t="str">
        <f>VLOOKUP(tabCustoUnit[[#This Row],[Código do Posto]],tabParametros[],MATCH(tabCustoUnit[[#Headers],[Nº DE PEDIDO DA CCT]],tabParametros[#Headers],0),0)</f>
        <v>-</v>
      </c>
      <c r="CB74" s="25" t="str">
        <f>VLOOKUP(tabCustoUnit[[#This Row],[Código do Posto]],tabParametros[],MATCH(tabCustoUnit[[#Headers],[TERMO ADITIVO ALTERAÇÃO DA CCT]],tabParametros[#Headers],0),0)</f>
        <v>-</v>
      </c>
    </row>
    <row r="75" spans="1:80">
      <c r="A75" s="20" t="s">
        <v>1450</v>
      </c>
      <c r="B75" t="s">
        <v>1103</v>
      </c>
      <c r="C75" t="s">
        <v>356</v>
      </c>
      <c r="D75" t="s">
        <v>1054</v>
      </c>
      <c r="E75" s="20" t="s">
        <v>1090</v>
      </c>
      <c r="F75" s="20" t="s">
        <v>120</v>
      </c>
      <c r="G75" s="418">
        <v>5140.9423999999999</v>
      </c>
      <c r="H75" s="418">
        <v>0</v>
      </c>
      <c r="I75" s="418">
        <v>0</v>
      </c>
      <c r="J75" s="418">
        <v>0</v>
      </c>
      <c r="K75" s="418">
        <v>0</v>
      </c>
      <c r="L75" s="418">
        <v>0</v>
      </c>
      <c r="M75" s="418">
        <v>0</v>
      </c>
      <c r="N75" s="418">
        <v>0</v>
      </c>
      <c r="O75" s="21">
        <f>SUM(tabCustoUnit[[#This Row],[Salário Base]:[Adicional de Acúmulo de função]])</f>
        <v>5140.9423999999999</v>
      </c>
      <c r="P75" s="21">
        <f>tabCustoUnit[[#This Row],[MODULO 1 - REMUNERAÇÃO ]]*SUMIFS(tabParametros[INSS],tabParametros[Código do Posto],tabCustoUnit[[#This Row],[Código do Posto]])</f>
        <v>1028.18848</v>
      </c>
      <c r="Q75" s="21">
        <f>tabCustoUnit[[#This Row],[MODULO 1 - REMUNERAÇÃO ]]*SUMIFS(tabParametros[SESI OU SESC],tabParametros[Código do Posto],tabCustoUnit[[#This Row],[Código do Posto]])</f>
        <v>77.114136000000002</v>
      </c>
      <c r="R75" s="21">
        <f>tabCustoUnit[[#This Row],[MODULO 1 - REMUNERAÇÃO ]]*SUMIFS(tabParametros[SENAI OU SENAC],tabParametros[Código do Posto],tabCustoUnit[[#This Row],[Código do Posto]])</f>
        <v>51.409424000000001</v>
      </c>
      <c r="S75" s="21">
        <f>tabCustoUnit[[#This Row],[MODULO 1 - REMUNERAÇÃO ]]*SUMIFS(tabParametros[INCRA],tabParametros[Código do Posto],tabCustoUnit[[#This Row],[Código do Posto]])</f>
        <v>10.2818848</v>
      </c>
      <c r="T75" s="21">
        <f>tabCustoUnit[[#This Row],[MODULO 1 - REMUNERAÇÃO ]]*SUMIFS(tabParametros[Salário Educação],tabParametros[Código do Posto],tabCustoUnit[[#This Row],[Código do Posto]])</f>
        <v>128.52356</v>
      </c>
      <c r="U75" s="21">
        <f>tabCustoUnit[[#This Row],[MODULO 1 - REMUNERAÇÃO ]]*SUMIFS(tabParametros[FGTS],tabParametros[Código do Posto],tabCustoUnit[[#This Row],[Código do Posto]])</f>
        <v>411.27539200000001</v>
      </c>
      <c r="V75" s="21">
        <f>tabCustoUnit[[#This Row],[MODULO 1 - REMUNERAÇÃO ]]*SUMIFS(tabParametros[RAT Ajustado],tabParametros[Código do Posto],tabCustoUnit[[#This Row],[Código do Posto]])</f>
        <v>205.63769600000001</v>
      </c>
      <c r="W75" s="21">
        <f>tabCustoUnit[[#This Row],[MODULO 1 - REMUNERAÇÃO ]]*SUMIFS(tabParametros[SEBRAE],tabParametros[Código do Posto],tabCustoUnit[[#This Row],[Código do Posto]])</f>
        <v>30.845654400000001</v>
      </c>
      <c r="X75" s="21">
        <f>SUM(tabCustoUnit[[#This Row],[INSS]:[SEBRAE]])</f>
        <v>1943.2762272</v>
      </c>
      <c r="Y75" s="21">
        <f>tabCustoUnit[[#This Row],[MODULO 1 - REMUNERAÇÃO ]]*SUMIFS(tabParametros[13º salário (titular)],tabParametros[Código do Posto],tabCustoUnit[[#This Row],[Código do Posto]])</f>
        <v>428.41186666666664</v>
      </c>
      <c r="Z75" s="21">
        <f>tabCustoUnit[[#This Row],[MODULO 1 - REMUNERAÇÃO ]]*SUMIFS(tabParametros[Férias e Adicional de Férias (titular)],tabParametros[Código do Posto],tabCustoUnit[[#This Row],[Código do Posto]])</f>
        <v>571.21582222222219</v>
      </c>
      <c r="AA75" s="21">
        <f>IFERROR((tabCustoUnit[[#This Row],[Submódulo 2.1]]/tabCustoUnit[[#This Row],[MODULO 1 - REMUNERAÇÃO ]])*SUM(tabCustoUnit[[#This Row],[13º salário (titular)]:[Férias e Adicional de Férias (titular)]]),0)</f>
        <v>377.85926639999997</v>
      </c>
      <c r="AB75" s="21">
        <f>SUM(tabCustoUnit[[#This Row],[13º salário (titular)]:[Incidência do Submódulo 2.1 sobre 13º Salário, Férias e Adicional de Férias]])</f>
        <v>1377.4869552888888</v>
      </c>
      <c r="AC75" s="22" t="e">
        <f ca="1">_xlfn.LET(_xlpm.VT,SUMIF(tabParametros[Código do Posto],tabCustoUnit[[#This Row],[Código do Posto]],tabParametros[Vale - Transporte])*2*20,
IF((_xlpm.VT-tabCustoUnit[[#This Row],[Salário Base]]*0.06)&gt;=0,(_xlpm.VT-tabCustoUnit[[#This Row],[Salário Base]]*0.06),0)
)</f>
        <v>#NAME?</v>
      </c>
      <c r="AD75" s="22">
        <f>IF(SUMIF(tabParametros[Código do Posto],tabCustoUnit[[#This Row],[Código do Posto]],tabParametros[Vale - Alimentação])&lt;=0,0,
SUMIF(tabParametros[Código do Posto],tabCustoUnit[[#This Row],[Código do Posto]],tabParametros[Vale - Alimentação])*20-1)</f>
        <v>581.79999999999995</v>
      </c>
      <c r="AE75" s="22">
        <f>SUMIF(tabParametros[Código do Posto],tabCustoUnit[[#This Row],[Código do Posto]],tabParametros[Cesta Básica])</f>
        <v>0</v>
      </c>
      <c r="AF75" s="22">
        <f>SUMIF(tabParametros[Código do Posto],tabCustoUnit[[#This Row],[Código do Posto]],tabParametros[PAF])</f>
        <v>51.73</v>
      </c>
      <c r="AG75" s="22">
        <f>SUMIF(tabParametros[Código do Posto],tabCustoUnit[[#This Row],[Código do Posto]],tabParametros[PQM])</f>
        <v>0</v>
      </c>
      <c r="AH75" s="22">
        <f>SUMIF(tabParametros[Código do Posto],tabCustoUnit[[#This Row],[Código do Posto]],tabParametros[Abono Único e Especial])</f>
        <v>0</v>
      </c>
      <c r="AI75" s="22">
        <f>SUMIF(tabParametros[Código do Posto],tabCustoUnit[[#This Row],[Código do Posto]],tabParametros[Seguro de Vida])</f>
        <v>3.36</v>
      </c>
      <c r="AJ75" s="22">
        <f>SUMIF(tabParametros[Código do Posto],tabCustoUnit[[#This Row],[Código do Posto]],tabParametros[Despesas de Viagem])</f>
        <v>202.08</v>
      </c>
      <c r="AK75" s="22" t="e">
        <f ca="1">SUM(tabCustoUnit[[#This Row],[Vale - Transporte (Descontada parcela do empregado)]:[Despesas de Viagem]])</f>
        <v>#NAME?</v>
      </c>
      <c r="AL75" s="22" t="e">
        <f ca="1">tabCustoUnit[[#This Row],[Submódulo 2.1]]+tabCustoUnit[[#This Row],[Submódulo 2.2]]+tabCustoUnit[[#This Row],[Submódulo 2.3]]</f>
        <v>#NAME?</v>
      </c>
      <c r="AM75" s="22">
        <f>SUMIF(tabParametros[Código do Posto],tabCustoUnit[[#This Row],[Código do Posto]],tabParametros[Aviso Prévio Indenizado (API) e Reflexo do Aviso Prévio Indenizado])*tabCustoUnit[[#This Row],[MODULO 1 - REMUNERAÇÃO ]]</f>
        <v>36.047090142283949</v>
      </c>
      <c r="AN75" s="22">
        <f>SUMIF(tabParametros[Código do Posto],tabCustoUnit[[#This Row],[Código do Posto]],tabParametros[Incidência do FGTS sobre API e Reflexo do API])*tabCustoUnit[[#This Row],[MODULO 1 - REMUNERAÇÃO ]]</f>
        <v>2.8837672113827164</v>
      </c>
      <c r="AO75" s="22">
        <f>SUMIF(tabParametros[Código do Posto],tabCustoUnit[[#This Row],[Código do Posto]],tabParametros[Multa Rescisória do FGTS sobre o Aviso Prévio Indenizado])*tabCustoUnit[[#This Row],[MODULO 1 - REMUNERAÇÃO ]]</f>
        <v>1.1535068845530867</v>
      </c>
      <c r="AP75" s="22">
        <f>SUMIF(tabParametros[Código do Posto],tabCustoUnit[[#This Row],[Código do Posto]],tabParametros[Aviso Prévio Trabalhado - APT])*tabCustoUnit[[#This Row],[MODULO 1 - REMUNERAÇÃO ]]</f>
        <v>17.993298400000004</v>
      </c>
      <c r="AQ75" s="22">
        <f>SUMIF(tabParametros[Código do Posto],tabCustoUnit[[#This Row],[Código do Posto]],tabParametros[Incidência dos encargos do submódulo 2.1 sobre Aviso Prévio Trabalhado])*tabCustoUnit[[#This Row],[MODULO 1 - REMUNERAÇÃO ]]</f>
        <v>6.8014667952000023</v>
      </c>
      <c r="AR75" s="22">
        <f>SUMIF(tabParametros[Código do Posto],tabCustoUnit[[#This Row],[Código do Posto]],tabParametros[Multa Rescisória do FGTS])*tabCustoUnit[[#This Row],[MODULO 1 - REMUNERAÇÃO ]]</f>
        <v>157.19859427555554</v>
      </c>
      <c r="AS75" s="22">
        <f>SUMIF(tabParametros[Código do Posto],tabCustoUnit[[#This Row],[Código do Posto]],tabParametros[Indenização Adicional (Art. 9º da Lei nº 7.238/84)])*tabCustoUnit[[#This Row],[MODULO 1 - REMUNERAÇÃO ]]</f>
        <v>4.2841186666666671</v>
      </c>
      <c r="AT75" s="22">
        <f>SUM(tabCustoUnit[[#This Row],[Aviso Prévio Indenizado (API) e Reflexo do Aviso Prévio Indenizado]:[Indenização Adicional (Art. 9º da Lei nº 7.238/84)]])</f>
        <v>226.36184237564197</v>
      </c>
      <c r="AU75" s="22">
        <f>SUMIF(tabParametros[Código do Posto],tabCustoUnit[[#This Row],[Código do Posto]],tabParametros[Ausência por Doença])*tabCustoUnit[[#This Row],[MODULO 1 - REMUNERAÇÃO ]]</f>
        <v>43.412402488888887</v>
      </c>
      <c r="AV75" s="22">
        <f>SUMIF(tabParametros[Código do Posto],tabCustoUnit[[#This Row],[Código do Posto]],tabParametros[Ausências Legais])*tabCustoUnit[[#This Row],[MODULO 1 - REMUNERAÇÃO ]]</f>
        <v>10.424688755555554</v>
      </c>
      <c r="AW75" s="22">
        <f>SUMIF(tabParametros[Código do Posto],tabCustoUnit[[#This Row],[Código do Posto]],tabParametros[Licença Paternidade])*tabCustoUnit[[#This Row],[MODULO 1 - REMUNERAÇÃO ]]</f>
        <v>0.87824432666666663</v>
      </c>
      <c r="AX75" s="22">
        <f>SUMIF(tabParametros[Código do Posto],tabCustoUnit[[#This Row],[Código do Posto]],tabParametros[Ausência por Acidente de Trabalho])*tabCustoUnit[[#This Row],[MODULO 1 - REMUNERAÇÃO ]]</f>
        <v>1.0710296666666668</v>
      </c>
      <c r="AY75" s="22">
        <f>SUMIF(tabParametros[Código do Posto],tabCustoUnit[[#This Row],[Código do Posto]],tabParametros[Férias, Adicional de Férias e 13º  com empregada em gozo de Licença Maternidade])*tabCustoUnit[[#This Row],[MODULO 1 - REMUNERAÇÃO ]]</f>
        <v>6.6641845925925924</v>
      </c>
      <c r="AZ75" s="22">
        <f>SUMIF(tabParametros[Código do Posto],tabCustoUnit[[#This Row],[Código do Posto]],tabParametros[Incidência do Submódulo 2.1 sobre Ausências Legais])*tabCustoUnit[[#This Row],[MODULO 1 - REMUNERAÇÃO ]]</f>
        <v>23.606307835880003</v>
      </c>
      <c r="BA75" s="22">
        <f>SUM(tabCustoUnit[[#This Row],[Ausência por Doença]:[Incidência do Submódulo 2.1 sobre Ausências Legais]])</f>
        <v>86.056857666250366</v>
      </c>
      <c r="BB75" s="22">
        <f>SUMIF(tabParametros[Código do Posto],tabCustoUnit[[#This Row],[Código do Posto]],tabParametros[Intervalo para Repouso ou Alimentação])</f>
        <v>0</v>
      </c>
      <c r="BC75" s="22">
        <f>tabCustoUnit[[#This Row],[Intervalo para Repouso ou Alimentação]]</f>
        <v>0</v>
      </c>
      <c r="BD7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5" s="22">
        <f>tabCustoUnit[[#This Row],[Suspensão Temporária do Contrato de Trabalho]]</f>
        <v>0</v>
      </c>
      <c r="BF75" s="22">
        <f>tabCustoUnit[[#This Row],[Submódulo 4.1]]+tabCustoUnit[[#This Row],[Submódulo 4.2]]+tabCustoUnit[[#This Row],[Submódulo 4.3]]</f>
        <v>86.056857666250366</v>
      </c>
      <c r="BG75" s="22">
        <f>VLOOKUP(tabCustoUnit[[#This Row],[Código do Posto]],tabParametros[],MATCH(tabCustoUnit[[#Headers],[Uniformes e EPIs]],tabParametros[#Headers],0),0)</f>
        <v>90.784679782039703</v>
      </c>
      <c r="BH75" s="22">
        <f>VLOOKUP(tabCustoUnit[[#This Row],[Código do Posto]],tabParametros[],MATCH(tabCustoUnit[[#Headers],[Materiais de Consumo]],tabParametros[#Headers],0),0)</f>
        <v>0</v>
      </c>
      <c r="BI75" s="22">
        <f>VLOOKUP(tabCustoUnit[[#This Row],[Código do Posto]],tabParametros[],MATCH(tabCustoUnit[[#Headers],[Máquinas e Equipamentos (depreciação)]],tabParametros[#Headers],0),0)</f>
        <v>0</v>
      </c>
      <c r="BJ75" s="22">
        <f>VLOOKUP(tabCustoUnit[[#This Row],[Código do Posto]],tabParametros[],MATCH(tabCustoUnit[[#Headers],[Produtos de Limpeza e Materiais de Higiene Pessoal]],tabParametros[#Headers],0),0)</f>
        <v>0</v>
      </c>
      <c r="BK75" s="22">
        <f>VLOOKUP(tabCustoUnit[[#This Row],[Código do Posto]],tabParametros[],MATCH(tabCustoUnit[[#Headers],[Outros (especificar)]],tabParametros[#Headers],0),0)</f>
        <v>0</v>
      </c>
      <c r="BL75" s="22">
        <f>SUM(tabCustoUnit[[#This Row],[Uniformes e EPIs]:[Outros (especificar)]])</f>
        <v>90.784679782039703</v>
      </c>
      <c r="BM7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5" s="22" t="e">
        <f ca="1">VLOOKUP(tabCustoUnit[[#This Row],[Código do Posto]],tabParametros[],MATCH(tabCustoUnit[[#Headers],[Custos Indiretos]],tabParametros[#Headers],0),0)</f>
        <v>#NAME?</v>
      </c>
      <c r="BO75" s="22" t="e">
        <f ca="1">VLOOKUP(tabCustoUnit[[#This Row],[Código do Posto]],tabParametros[],MATCH(tabCustoUnit[[#Headers],[Lucro]],tabParametros[#Headers],0),0)</f>
        <v>#NAME?</v>
      </c>
      <c r="BP75" s="26">
        <f>((100/((1-tabCustoUnit[[#This Row],[Resumo de Alíquotas (PIS+CONFINS+ISS)]]))-100)*VLOOKUP(tabCustoUnit[[#This Row],[Código do Posto]],tabParametros[],MATCH(tabCustoUnit[[#Headers],[COFINS]],tabParametros[#Headers],0),0))/(tabCustoUnit[[#This Row],[Resumo de Alíquotas (PIS+CONFINS+ISS)]]*100)</f>
        <v>8.8629737609329504E-2</v>
      </c>
      <c r="BQ75" s="26">
        <f>((100/((100-(tabCustoUnit[[#This Row],[Resumo de Alíquotas (PIS+CONFINS+ISS)]]*100))%)-100)*VLOOKUP(tabCustoUnit[[#This Row],[Código do Posto]],tabParametros[],MATCH(tabCustoUnit[[#Headers],[PIS]],tabParametros[#Headers],0),0))/(tabCustoUnit[[#This Row],[Resumo de Alíquotas (PIS+CONFINS+ISS)]]*100)</f>
        <v>1.9241982507288629E-2</v>
      </c>
      <c r="BR75" s="28">
        <f>VLOOKUP(tabCustoUnit[[#This Row],[Código do Posto]],tabParametros[],MATCH(tabCustoUnit[[#Headers],[ISS]],tabParametros[#Headers],0),0)</f>
        <v>0.05</v>
      </c>
      <c r="BS75" s="26">
        <f>(((100/((100-(tabCustoUnit[[#This Row],[Resumo de Alíquotas (PIS+CONFINS+ISS)]]*100))%)-100)*tabCustoUnit[[#This Row],[ISS]])/tabCustoUnit[[#This Row],[Resumo de Alíquotas (PIS+CONFINS+ISS)]])/100</f>
        <v>5.8309037900874633E-2</v>
      </c>
      <c r="BT7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5" s="138">
        <f>tabCustoUnit[[#This Row],[COFINS]]+tabCustoUnit[[#This Row],[PIS]]+tabCustoUnit[[#This Row],[ISS (Conversão Alíquota s/ fatura)]]</f>
        <v>0.16618075801749277</v>
      </c>
      <c r="BV75" s="22" t="e">
        <f ca="1">(tabCustoUnit[[#This Row],[TOTAL MÓDULOS 1+2+3+4+5]]+tabCustoUnit[[#This Row],[Custos Indiretos]]+tabCustoUnit[[#This Row],[Lucro]])*tabCustoUnit[[#This Row],[PIS + COFINS + ISS (Total Conversão  Alíquota s/ Fatura)]]</f>
        <v>#NAME?</v>
      </c>
      <c r="BW75" s="22" t="e">
        <f ca="1">tabCustoUnit[[#This Row],[Custos Indiretos]]+tabCustoUnit[[#This Row],[Lucro]]+tabCustoUnit[[#This Row],[Valor dos Tributos (ISS, PIS, CONFINS)]]</f>
        <v>#NAME?</v>
      </c>
      <c r="BX75" s="22" t="e">
        <f ca="1">tabCustoUnit[[#This Row],[TOTAL MÓDULOS 1+2+3+4+5]]+tabCustoUnit[[#This Row],[MÓDULO 6 – CUSTOS INDIRETOS, TRIBUTOS E LUCRO]]</f>
        <v>#NAME?</v>
      </c>
      <c r="BY75" s="22" t="e">
        <f ca="1">tabCustoUnit[[#This Row],[CUSTO TOTAL MENSAL]]*12</f>
        <v>#NAME?</v>
      </c>
      <c r="BZ75" s="24">
        <f>VLOOKUP(tabCustoUnit[[#This Row],[Código do Posto]],tabParametros[],MATCH(tabCustoUnit[[#Headers],[ANO DA CCT]],tabParametros[#Headers],0),0)</f>
        <v>45658</v>
      </c>
      <c r="CA75" s="25" t="str">
        <f>VLOOKUP(tabCustoUnit[[#This Row],[Código do Posto]],tabParametros[],MATCH(tabCustoUnit[[#Headers],[Nº DE PEDIDO DA CCT]],tabParametros[#Headers],0),0)</f>
        <v>-</v>
      </c>
      <c r="CB75" s="25" t="str">
        <f>VLOOKUP(tabCustoUnit[[#This Row],[Código do Posto]],tabParametros[],MATCH(tabCustoUnit[[#Headers],[TERMO ADITIVO ALTERAÇÃO DA CCT]],tabParametros[#Headers],0),0)</f>
        <v>-</v>
      </c>
    </row>
    <row r="76" spans="1:80">
      <c r="A76" s="20" t="s">
        <v>1451</v>
      </c>
      <c r="B76" t="s">
        <v>1103</v>
      </c>
      <c r="C76" t="s">
        <v>361</v>
      </c>
      <c r="D76" t="s">
        <v>1054</v>
      </c>
      <c r="E76" s="20" t="s">
        <v>1090</v>
      </c>
      <c r="F76" s="20" t="s">
        <v>120</v>
      </c>
      <c r="G76" s="418">
        <v>6075.2133000000003</v>
      </c>
      <c r="H76" s="418">
        <v>0</v>
      </c>
      <c r="I76" s="418">
        <v>0</v>
      </c>
      <c r="J76" s="418">
        <v>0</v>
      </c>
      <c r="K76" s="418">
        <v>0</v>
      </c>
      <c r="L76" s="418">
        <v>0</v>
      </c>
      <c r="M76" s="418">
        <v>0</v>
      </c>
      <c r="N76" s="418">
        <v>0</v>
      </c>
      <c r="O76" s="21">
        <f>SUM(tabCustoUnit[[#This Row],[Salário Base]:[Adicional de Acúmulo de função]])</f>
        <v>6075.2133000000003</v>
      </c>
      <c r="P76" s="21">
        <f>tabCustoUnit[[#This Row],[MODULO 1 - REMUNERAÇÃO ]]*SUMIFS(tabParametros[INSS],tabParametros[Código do Posto],tabCustoUnit[[#This Row],[Código do Posto]])</f>
        <v>1215.0426600000001</v>
      </c>
      <c r="Q76" s="21">
        <f>tabCustoUnit[[#This Row],[MODULO 1 - REMUNERAÇÃO ]]*SUMIFS(tabParametros[SESI OU SESC],tabParametros[Código do Posto],tabCustoUnit[[#This Row],[Código do Posto]])</f>
        <v>91.128199500000008</v>
      </c>
      <c r="R76" s="21">
        <f>tabCustoUnit[[#This Row],[MODULO 1 - REMUNERAÇÃO ]]*SUMIFS(tabParametros[SENAI OU SENAC],tabParametros[Código do Posto],tabCustoUnit[[#This Row],[Código do Posto]])</f>
        <v>60.752133000000008</v>
      </c>
      <c r="S76" s="21">
        <f>tabCustoUnit[[#This Row],[MODULO 1 - REMUNERAÇÃO ]]*SUMIFS(tabParametros[INCRA],tabParametros[Código do Posto],tabCustoUnit[[#This Row],[Código do Posto]])</f>
        <v>12.150426600000001</v>
      </c>
      <c r="T76" s="21">
        <f>tabCustoUnit[[#This Row],[MODULO 1 - REMUNERAÇÃO ]]*SUMIFS(tabParametros[Salário Educação],tabParametros[Código do Posto],tabCustoUnit[[#This Row],[Código do Posto]])</f>
        <v>151.88033250000001</v>
      </c>
      <c r="U76" s="21">
        <f>tabCustoUnit[[#This Row],[MODULO 1 - REMUNERAÇÃO ]]*SUMIFS(tabParametros[FGTS],tabParametros[Código do Posto],tabCustoUnit[[#This Row],[Código do Posto]])</f>
        <v>486.01706400000006</v>
      </c>
      <c r="V76" s="21">
        <f>tabCustoUnit[[#This Row],[MODULO 1 - REMUNERAÇÃO ]]*SUMIFS(tabParametros[RAT Ajustado],tabParametros[Código do Posto],tabCustoUnit[[#This Row],[Código do Posto]])</f>
        <v>243.00853200000003</v>
      </c>
      <c r="W76" s="21">
        <f>tabCustoUnit[[#This Row],[MODULO 1 - REMUNERAÇÃO ]]*SUMIFS(tabParametros[SEBRAE],tabParametros[Código do Posto],tabCustoUnit[[#This Row],[Código do Posto]])</f>
        <v>36.451279800000002</v>
      </c>
      <c r="X76" s="21">
        <f>SUM(tabCustoUnit[[#This Row],[INSS]:[SEBRAE]])</f>
        <v>2296.4306274</v>
      </c>
      <c r="Y76" s="21">
        <f>tabCustoUnit[[#This Row],[MODULO 1 - REMUNERAÇÃO ]]*SUMIFS(tabParametros[13º salário (titular)],tabParametros[Código do Posto],tabCustoUnit[[#This Row],[Código do Posto]])</f>
        <v>506.26777500000003</v>
      </c>
      <c r="Z76" s="21">
        <f>tabCustoUnit[[#This Row],[MODULO 1 - REMUNERAÇÃO ]]*SUMIFS(tabParametros[Férias e Adicional de Férias (titular)],tabParametros[Código do Posto],tabCustoUnit[[#This Row],[Código do Posto]])</f>
        <v>675.02369999999996</v>
      </c>
      <c r="AA76" s="21">
        <f>IFERROR((tabCustoUnit[[#This Row],[Submódulo 2.1]]/tabCustoUnit[[#This Row],[MODULO 1 - REMUNERAÇÃO ]])*SUM(tabCustoUnit[[#This Row],[13º salário (titular)]:[Férias e Adicional de Férias (titular)]]),0)</f>
        <v>446.52817755000001</v>
      </c>
      <c r="AB76" s="21">
        <f>SUM(tabCustoUnit[[#This Row],[13º salário (titular)]:[Incidência do Submódulo 2.1 sobre 13º Salário, Férias e Adicional de Férias]])</f>
        <v>1627.81965255</v>
      </c>
      <c r="AC76" s="22" t="e">
        <f ca="1">_xlfn.LET(_xlpm.VT,SUMIF(tabParametros[Código do Posto],tabCustoUnit[[#This Row],[Código do Posto]],tabParametros[Vale - Transporte])*2*20,
IF((_xlpm.VT-tabCustoUnit[[#This Row],[Salário Base]]*0.06)&gt;=0,(_xlpm.VT-tabCustoUnit[[#This Row],[Salário Base]]*0.06),0)
)</f>
        <v>#NAME?</v>
      </c>
      <c r="AD76" s="22">
        <f>IF(SUMIF(tabParametros[Código do Posto],tabCustoUnit[[#This Row],[Código do Posto]],tabParametros[Vale - Alimentação])&lt;=0,0,
SUMIF(tabParametros[Código do Posto],tabCustoUnit[[#This Row],[Código do Posto]],tabParametros[Vale - Alimentação])*20-1)</f>
        <v>581.79999999999995</v>
      </c>
      <c r="AE76" s="22">
        <f>SUMIF(tabParametros[Código do Posto],tabCustoUnit[[#This Row],[Código do Posto]],tabParametros[Cesta Básica])</f>
        <v>0</v>
      </c>
      <c r="AF76" s="22">
        <f>SUMIF(tabParametros[Código do Posto],tabCustoUnit[[#This Row],[Código do Posto]],tabParametros[PAF])</f>
        <v>51.73</v>
      </c>
      <c r="AG76" s="22">
        <f>SUMIF(tabParametros[Código do Posto],tabCustoUnit[[#This Row],[Código do Posto]],tabParametros[PQM])</f>
        <v>0</v>
      </c>
      <c r="AH76" s="22">
        <f>SUMIF(tabParametros[Código do Posto],tabCustoUnit[[#This Row],[Código do Posto]],tabParametros[Abono Único e Especial])</f>
        <v>0</v>
      </c>
      <c r="AI76" s="22">
        <f>SUMIF(tabParametros[Código do Posto],tabCustoUnit[[#This Row],[Código do Posto]],tabParametros[Seguro de Vida])</f>
        <v>3.36</v>
      </c>
      <c r="AJ76" s="22">
        <f>SUMIF(tabParametros[Código do Posto],tabCustoUnit[[#This Row],[Código do Posto]],tabParametros[Despesas de Viagem])</f>
        <v>202.08</v>
      </c>
      <c r="AK76" s="22" t="e">
        <f ca="1">SUM(tabCustoUnit[[#This Row],[Vale - Transporte (Descontada parcela do empregado)]:[Despesas de Viagem]])</f>
        <v>#NAME?</v>
      </c>
      <c r="AL76" s="22" t="e">
        <f ca="1">tabCustoUnit[[#This Row],[Submódulo 2.1]]+tabCustoUnit[[#This Row],[Submódulo 2.2]]+tabCustoUnit[[#This Row],[Submódulo 2.3]]</f>
        <v>#NAME?</v>
      </c>
      <c r="AM76" s="22">
        <f>SUMIF(tabParametros[Código do Posto],tabCustoUnit[[#This Row],[Código do Posto]],tabParametros[Aviso Prévio Indenizado (API) e Reflexo do Aviso Prévio Indenizado])*tabCustoUnit[[#This Row],[MODULO 1 - REMUNERAÇÃO ]]</f>
        <v>42.597979984895836</v>
      </c>
      <c r="AN76" s="22">
        <f>SUMIF(tabParametros[Código do Posto],tabCustoUnit[[#This Row],[Código do Posto]],tabParametros[Incidência do FGTS sobre API e Reflexo do API])*tabCustoUnit[[#This Row],[MODULO 1 - REMUNERAÇÃO ]]</f>
        <v>3.4078383987916672</v>
      </c>
      <c r="AO76" s="22">
        <f>SUMIF(tabParametros[Código do Posto],tabCustoUnit[[#This Row],[Código do Posto]],tabParametros[Multa Rescisória do FGTS sobre o Aviso Prévio Indenizado])*tabCustoUnit[[#This Row],[MODULO 1 - REMUNERAÇÃO ]]</f>
        <v>1.3631353595166671</v>
      </c>
      <c r="AP76" s="22">
        <f>SUMIF(tabParametros[Código do Posto],tabCustoUnit[[#This Row],[Código do Posto]],tabParametros[Aviso Prévio Trabalhado - APT])*tabCustoUnit[[#This Row],[MODULO 1 - REMUNERAÇÃO ]]</f>
        <v>21.263246550000005</v>
      </c>
      <c r="AQ76" s="22">
        <f>SUMIF(tabParametros[Código do Posto],tabCustoUnit[[#This Row],[Código do Posto]],tabParametros[Incidência dos encargos do submódulo 2.1 sobre Aviso Prévio Trabalhado])*tabCustoUnit[[#This Row],[MODULO 1 - REMUNERAÇÃO ]]</f>
        <v>8.0375071959000035</v>
      </c>
      <c r="AR76" s="22">
        <f>SUMIF(tabParametros[Código do Posto],tabCustoUnit[[#This Row],[Código do Posto]],tabParametros[Multa Rescisória do FGTS])*tabCustoUnit[[#This Row],[MODULO 1 - REMUNERAÇÃO ]]</f>
        <v>185.76652223999997</v>
      </c>
      <c r="AS76" s="22">
        <f>SUMIF(tabParametros[Código do Posto],tabCustoUnit[[#This Row],[Código do Posto]],tabParametros[Indenização Adicional (Art. 9º da Lei nº 7.238/84)])*tabCustoUnit[[#This Row],[MODULO 1 - REMUNERAÇÃO ]]</f>
        <v>5.0626777500000006</v>
      </c>
      <c r="AT76" s="22">
        <f>SUM(tabCustoUnit[[#This Row],[Aviso Prévio Indenizado (API) e Reflexo do Aviso Prévio Indenizado]:[Indenização Adicional (Art. 9º da Lei nº 7.238/84)]])</f>
        <v>267.49890747910416</v>
      </c>
      <c r="AU76" s="22">
        <f>SUMIF(tabParametros[Código do Posto],tabCustoUnit[[#This Row],[Código do Posto]],tabParametros[Ausência por Doença])*tabCustoUnit[[#This Row],[MODULO 1 - REMUNERAÇÃO ]]</f>
        <v>51.3018012</v>
      </c>
      <c r="AV76" s="22">
        <f>SUMIF(tabParametros[Código do Posto],tabCustoUnit[[#This Row],[Código do Posto]],tabParametros[Ausências Legais])*tabCustoUnit[[#This Row],[MODULO 1 - REMUNERAÇÃO ]]</f>
        <v>12.319182525</v>
      </c>
      <c r="AW76" s="22">
        <f>SUMIF(tabParametros[Código do Posto],tabCustoUnit[[#This Row],[Código do Posto]],tabParametros[Licença Paternidade])*tabCustoUnit[[#This Row],[MODULO 1 - REMUNERAÇÃO ]]</f>
        <v>1.0378489387500001</v>
      </c>
      <c r="AX76" s="22">
        <f>SUMIF(tabParametros[Código do Posto],tabCustoUnit[[#This Row],[Código do Posto]],tabParametros[Ausência por Acidente de Trabalho])*tabCustoUnit[[#This Row],[MODULO 1 - REMUNERAÇÃO ]]</f>
        <v>1.2656694375000002</v>
      </c>
      <c r="AY76" s="22">
        <f>SUMIF(tabParametros[Código do Posto],tabCustoUnit[[#This Row],[Código do Posto]],tabParametros[Férias, Adicional de Férias e 13º  com empregada em gozo de Licença Maternidade])*tabCustoUnit[[#This Row],[MODULO 1 - REMUNERAÇÃO ]]</f>
        <v>7.8752765</v>
      </c>
      <c r="AZ76" s="22">
        <f>SUMIF(tabParametros[Código do Posto],tabCustoUnit[[#This Row],[Código do Posto]],tabParametros[Incidência do Submódulo 2.1 sobre Ausências Legais])*tabCustoUnit[[#This Row],[MODULO 1 - REMUNERAÇÃO ]]</f>
        <v>27.896316311272507</v>
      </c>
      <c r="BA76" s="22">
        <f>SUM(tabCustoUnit[[#This Row],[Ausência por Doença]:[Incidência do Submódulo 2.1 sobre Ausências Legais]])</f>
        <v>101.69609491252251</v>
      </c>
      <c r="BB76" s="22">
        <f>SUMIF(tabParametros[Código do Posto],tabCustoUnit[[#This Row],[Código do Posto]],tabParametros[Intervalo para Repouso ou Alimentação])</f>
        <v>0</v>
      </c>
      <c r="BC76" s="22">
        <f>tabCustoUnit[[#This Row],[Intervalo para Repouso ou Alimentação]]</f>
        <v>0</v>
      </c>
      <c r="BD7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6" s="22">
        <f>tabCustoUnit[[#This Row],[Suspensão Temporária do Contrato de Trabalho]]</f>
        <v>0</v>
      </c>
      <c r="BF76" s="22">
        <f>tabCustoUnit[[#This Row],[Submódulo 4.1]]+tabCustoUnit[[#This Row],[Submódulo 4.2]]+tabCustoUnit[[#This Row],[Submódulo 4.3]]</f>
        <v>101.69609491252251</v>
      </c>
      <c r="BG76" s="22">
        <f>VLOOKUP(tabCustoUnit[[#This Row],[Código do Posto]],tabParametros[],MATCH(tabCustoUnit[[#Headers],[Uniformes e EPIs]],tabParametros[#Headers],0),0)</f>
        <v>90.784679782039703</v>
      </c>
      <c r="BH76" s="22">
        <f>VLOOKUP(tabCustoUnit[[#This Row],[Código do Posto]],tabParametros[],MATCH(tabCustoUnit[[#Headers],[Materiais de Consumo]],tabParametros[#Headers],0),0)</f>
        <v>0</v>
      </c>
      <c r="BI76" s="22">
        <f>VLOOKUP(tabCustoUnit[[#This Row],[Código do Posto]],tabParametros[],MATCH(tabCustoUnit[[#Headers],[Máquinas e Equipamentos (depreciação)]],tabParametros[#Headers],0),0)</f>
        <v>0</v>
      </c>
      <c r="BJ76" s="22">
        <f>VLOOKUP(tabCustoUnit[[#This Row],[Código do Posto]],tabParametros[],MATCH(tabCustoUnit[[#Headers],[Produtos de Limpeza e Materiais de Higiene Pessoal]],tabParametros[#Headers],0),0)</f>
        <v>0</v>
      </c>
      <c r="BK76" s="22">
        <f>VLOOKUP(tabCustoUnit[[#This Row],[Código do Posto]],tabParametros[],MATCH(tabCustoUnit[[#Headers],[Outros (especificar)]],tabParametros[#Headers],0),0)</f>
        <v>0</v>
      </c>
      <c r="BL76" s="22">
        <f>SUM(tabCustoUnit[[#This Row],[Uniformes e EPIs]:[Outros (especificar)]])</f>
        <v>90.784679782039703</v>
      </c>
      <c r="BM7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6" s="22" t="e">
        <f ca="1">VLOOKUP(tabCustoUnit[[#This Row],[Código do Posto]],tabParametros[],MATCH(tabCustoUnit[[#Headers],[Custos Indiretos]],tabParametros[#Headers],0),0)</f>
        <v>#NAME?</v>
      </c>
      <c r="BO76" s="22" t="e">
        <f ca="1">VLOOKUP(tabCustoUnit[[#This Row],[Código do Posto]],tabParametros[],MATCH(tabCustoUnit[[#Headers],[Lucro]],tabParametros[#Headers],0),0)</f>
        <v>#NAME?</v>
      </c>
      <c r="BP76" s="26">
        <f>((100/((1-tabCustoUnit[[#This Row],[Resumo de Alíquotas (PIS+CONFINS+ISS)]]))-100)*VLOOKUP(tabCustoUnit[[#This Row],[Código do Posto]],tabParametros[],MATCH(tabCustoUnit[[#Headers],[COFINS]],tabParametros[#Headers],0),0))/(tabCustoUnit[[#This Row],[Resumo de Alíquotas (PIS+CONFINS+ISS)]]*100)</f>
        <v>8.8629737609329504E-2</v>
      </c>
      <c r="BQ76" s="26">
        <f>((100/((100-(tabCustoUnit[[#This Row],[Resumo de Alíquotas (PIS+CONFINS+ISS)]]*100))%)-100)*VLOOKUP(tabCustoUnit[[#This Row],[Código do Posto]],tabParametros[],MATCH(tabCustoUnit[[#Headers],[PIS]],tabParametros[#Headers],0),0))/(tabCustoUnit[[#This Row],[Resumo de Alíquotas (PIS+CONFINS+ISS)]]*100)</f>
        <v>1.9241982507288629E-2</v>
      </c>
      <c r="BR76" s="28">
        <f>VLOOKUP(tabCustoUnit[[#This Row],[Código do Posto]],tabParametros[],MATCH(tabCustoUnit[[#Headers],[ISS]],tabParametros[#Headers],0),0)</f>
        <v>0.05</v>
      </c>
      <c r="BS76" s="26">
        <f>(((100/((100-(tabCustoUnit[[#This Row],[Resumo de Alíquotas (PIS+CONFINS+ISS)]]*100))%)-100)*tabCustoUnit[[#This Row],[ISS]])/tabCustoUnit[[#This Row],[Resumo de Alíquotas (PIS+CONFINS+ISS)]])/100</f>
        <v>5.8309037900874633E-2</v>
      </c>
      <c r="BT7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6" s="138">
        <f>tabCustoUnit[[#This Row],[COFINS]]+tabCustoUnit[[#This Row],[PIS]]+tabCustoUnit[[#This Row],[ISS (Conversão Alíquota s/ fatura)]]</f>
        <v>0.16618075801749277</v>
      </c>
      <c r="BV76" s="22" t="e">
        <f ca="1">(tabCustoUnit[[#This Row],[TOTAL MÓDULOS 1+2+3+4+5]]+tabCustoUnit[[#This Row],[Custos Indiretos]]+tabCustoUnit[[#This Row],[Lucro]])*tabCustoUnit[[#This Row],[PIS + COFINS + ISS (Total Conversão  Alíquota s/ Fatura)]]</f>
        <v>#NAME?</v>
      </c>
      <c r="BW76" s="22" t="e">
        <f ca="1">tabCustoUnit[[#This Row],[Custos Indiretos]]+tabCustoUnit[[#This Row],[Lucro]]+tabCustoUnit[[#This Row],[Valor dos Tributos (ISS, PIS, CONFINS)]]</f>
        <v>#NAME?</v>
      </c>
      <c r="BX76" s="22" t="e">
        <f ca="1">tabCustoUnit[[#This Row],[TOTAL MÓDULOS 1+2+3+4+5]]+tabCustoUnit[[#This Row],[MÓDULO 6 – CUSTOS INDIRETOS, TRIBUTOS E LUCRO]]</f>
        <v>#NAME?</v>
      </c>
      <c r="BY76" s="22" t="e">
        <f ca="1">tabCustoUnit[[#This Row],[CUSTO TOTAL MENSAL]]*12</f>
        <v>#NAME?</v>
      </c>
      <c r="BZ76" s="24">
        <f>VLOOKUP(tabCustoUnit[[#This Row],[Código do Posto]],tabParametros[],MATCH(tabCustoUnit[[#Headers],[ANO DA CCT]],tabParametros[#Headers],0),0)</f>
        <v>45658</v>
      </c>
      <c r="CA76" s="25" t="str">
        <f>VLOOKUP(tabCustoUnit[[#This Row],[Código do Posto]],tabParametros[],MATCH(tabCustoUnit[[#Headers],[Nº DE PEDIDO DA CCT]],tabParametros[#Headers],0),0)</f>
        <v>-</v>
      </c>
      <c r="CB76" s="25" t="str">
        <f>VLOOKUP(tabCustoUnit[[#This Row],[Código do Posto]],tabParametros[],MATCH(tabCustoUnit[[#Headers],[TERMO ADITIVO ALTERAÇÃO DA CCT]],tabParametros[#Headers],0),0)</f>
        <v>-</v>
      </c>
    </row>
    <row r="77" spans="1:80">
      <c r="A77" s="20" t="s">
        <v>1452</v>
      </c>
      <c r="B77" t="s">
        <v>1103</v>
      </c>
      <c r="C77" t="s">
        <v>366</v>
      </c>
      <c r="D77" t="s">
        <v>1035</v>
      </c>
      <c r="E77" s="20" t="s">
        <v>1090</v>
      </c>
      <c r="F77" s="20" t="s">
        <v>120</v>
      </c>
      <c r="G77" s="418">
        <v>7303</v>
      </c>
      <c r="H77" s="418">
        <v>0</v>
      </c>
      <c r="I77" s="418">
        <v>0</v>
      </c>
      <c r="J77" s="418">
        <v>0</v>
      </c>
      <c r="K77" s="418">
        <v>0</v>
      </c>
      <c r="L77" s="418">
        <v>0</v>
      </c>
      <c r="M77" s="418">
        <v>0</v>
      </c>
      <c r="N77" s="418">
        <v>0</v>
      </c>
      <c r="O77" s="21">
        <f>SUM(tabCustoUnit[[#This Row],[Salário Base]:[Adicional de Acúmulo de função]])</f>
        <v>7303</v>
      </c>
      <c r="P77" s="21">
        <f>tabCustoUnit[[#This Row],[MODULO 1 - REMUNERAÇÃO ]]*SUMIFS(tabParametros[INSS],tabParametros[Código do Posto],tabCustoUnit[[#This Row],[Código do Posto]])</f>
        <v>1460.6000000000001</v>
      </c>
      <c r="Q77" s="21">
        <f>tabCustoUnit[[#This Row],[MODULO 1 - REMUNERAÇÃO ]]*SUMIFS(tabParametros[SESI OU SESC],tabParametros[Código do Posto],tabCustoUnit[[#This Row],[Código do Posto]])</f>
        <v>109.545</v>
      </c>
      <c r="R77" s="21">
        <f>tabCustoUnit[[#This Row],[MODULO 1 - REMUNERAÇÃO ]]*SUMIFS(tabParametros[SENAI OU SENAC],tabParametros[Código do Posto],tabCustoUnit[[#This Row],[Código do Posto]])</f>
        <v>73.03</v>
      </c>
      <c r="S77" s="21">
        <f>tabCustoUnit[[#This Row],[MODULO 1 - REMUNERAÇÃO ]]*SUMIFS(tabParametros[INCRA],tabParametros[Código do Posto],tabCustoUnit[[#This Row],[Código do Posto]])</f>
        <v>14.606</v>
      </c>
      <c r="T77" s="21">
        <f>tabCustoUnit[[#This Row],[MODULO 1 - REMUNERAÇÃO ]]*SUMIFS(tabParametros[Salário Educação],tabParametros[Código do Posto],tabCustoUnit[[#This Row],[Código do Posto]])</f>
        <v>182.57500000000002</v>
      </c>
      <c r="U77" s="21">
        <f>tabCustoUnit[[#This Row],[MODULO 1 - REMUNERAÇÃO ]]*SUMIFS(tabParametros[FGTS],tabParametros[Código do Posto],tabCustoUnit[[#This Row],[Código do Posto]])</f>
        <v>584.24</v>
      </c>
      <c r="V77" s="21">
        <f>tabCustoUnit[[#This Row],[MODULO 1 - REMUNERAÇÃO ]]*SUMIFS(tabParametros[RAT Ajustado],tabParametros[Código do Posto],tabCustoUnit[[#This Row],[Código do Posto]])</f>
        <v>292.12</v>
      </c>
      <c r="W77" s="21">
        <f>tabCustoUnit[[#This Row],[MODULO 1 - REMUNERAÇÃO ]]*SUMIFS(tabParametros[SEBRAE],tabParametros[Código do Posto],tabCustoUnit[[#This Row],[Código do Posto]])</f>
        <v>43.817999999999998</v>
      </c>
      <c r="X77" s="21">
        <f>SUM(tabCustoUnit[[#This Row],[INSS]:[SEBRAE]])</f>
        <v>2760.5340000000006</v>
      </c>
      <c r="Y77" s="21">
        <f>tabCustoUnit[[#This Row],[MODULO 1 - REMUNERAÇÃO ]]*SUMIFS(tabParametros[13º salário (titular)],tabParametros[Código do Posto],tabCustoUnit[[#This Row],[Código do Posto]])</f>
        <v>608.58333333333326</v>
      </c>
      <c r="Z77" s="21">
        <f>tabCustoUnit[[#This Row],[MODULO 1 - REMUNERAÇÃO ]]*SUMIFS(tabParametros[Férias e Adicional de Férias (titular)],tabParametros[Código do Posto],tabCustoUnit[[#This Row],[Código do Posto]])</f>
        <v>811.44444444444434</v>
      </c>
      <c r="AA77" s="21">
        <f>IFERROR((tabCustoUnit[[#This Row],[Submódulo 2.1]]/tabCustoUnit[[#This Row],[MODULO 1 - REMUNERAÇÃO ]])*SUM(tabCustoUnit[[#This Row],[13º salário (titular)]:[Férias e Adicional de Férias (titular)]]),0)</f>
        <v>536.77049999999997</v>
      </c>
      <c r="AB77" s="21">
        <f>SUM(tabCustoUnit[[#This Row],[13º salário (titular)]:[Incidência do Submódulo 2.1 sobre 13º Salário, Férias e Adicional de Férias]])</f>
        <v>1956.7982777777775</v>
      </c>
      <c r="AC77" s="22" t="e">
        <f ca="1">_xlfn.LET(_xlpm.VT,SUMIF(tabParametros[Código do Posto],tabCustoUnit[[#This Row],[Código do Posto]],tabParametros[Vale - Transporte])*2*20,
IF((_xlpm.VT-tabCustoUnit[[#This Row],[Salário Base]]*0.06)&gt;=0,(_xlpm.VT-tabCustoUnit[[#This Row],[Salário Base]]*0.06),0)
)</f>
        <v>#NAME?</v>
      </c>
      <c r="AD77" s="22">
        <f>IF(SUMIF(tabParametros[Código do Posto],tabCustoUnit[[#This Row],[Código do Posto]],tabParametros[Vale - Alimentação])&lt;=0,0,
SUMIF(tabParametros[Código do Posto],tabCustoUnit[[#This Row],[Código do Posto]],tabParametros[Vale - Alimentação])*20-1)</f>
        <v>582</v>
      </c>
      <c r="AE77" s="22">
        <f>SUMIF(tabParametros[Código do Posto],tabCustoUnit[[#This Row],[Código do Posto]],tabParametros[Cesta Básica])</f>
        <v>0</v>
      </c>
      <c r="AF77" s="22">
        <f>SUMIF(tabParametros[Código do Posto],tabCustoUnit[[#This Row],[Código do Posto]],tabParametros[PAF])</f>
        <v>95.9</v>
      </c>
      <c r="AG77" s="22">
        <f>SUMIF(tabParametros[Código do Posto],tabCustoUnit[[#This Row],[Código do Posto]],tabParametros[PQM])</f>
        <v>0</v>
      </c>
      <c r="AH77" s="22">
        <f>SUMIF(tabParametros[Código do Posto],tabCustoUnit[[#This Row],[Código do Posto]],tabParametros[Abono Único e Especial])</f>
        <v>0</v>
      </c>
      <c r="AI77" s="22">
        <f>SUMIF(tabParametros[Código do Posto],tabCustoUnit[[#This Row],[Código do Posto]],tabParametros[Seguro de Vida])</f>
        <v>3.36</v>
      </c>
      <c r="AJ77" s="22">
        <f>SUMIF(tabParametros[Código do Posto],tabCustoUnit[[#This Row],[Código do Posto]],tabParametros[Despesas de Viagem])</f>
        <v>202.08</v>
      </c>
      <c r="AK77" s="22" t="e">
        <f ca="1">SUM(tabCustoUnit[[#This Row],[Vale - Transporte (Descontada parcela do empregado)]:[Despesas de Viagem]])</f>
        <v>#NAME?</v>
      </c>
      <c r="AL77" s="22" t="e">
        <f ca="1">tabCustoUnit[[#This Row],[Submódulo 2.1]]+tabCustoUnit[[#This Row],[Submódulo 2.2]]+tabCustoUnit[[#This Row],[Submódulo 2.3]]</f>
        <v>#NAME?</v>
      </c>
      <c r="AM77" s="22">
        <f>SUMIF(tabParametros[Código do Posto],tabCustoUnit[[#This Row],[Código do Posto]],tabParametros[Aviso Prévio Indenizado (API) e Reflexo do Aviso Prévio Indenizado])*tabCustoUnit[[#This Row],[MODULO 1 - REMUNERAÇÃO ]]</f>
        <v>51.20693422067901</v>
      </c>
      <c r="AN77" s="22">
        <f>SUMIF(tabParametros[Código do Posto],tabCustoUnit[[#This Row],[Código do Posto]],tabParametros[Incidência do FGTS sobre API e Reflexo do API])*tabCustoUnit[[#This Row],[MODULO 1 - REMUNERAÇÃO ]]</f>
        <v>4.096554737654321</v>
      </c>
      <c r="AO77" s="22">
        <f>SUMIF(tabParametros[Código do Posto],tabCustoUnit[[#This Row],[Código do Posto]],tabParametros[Multa Rescisória do FGTS sobre o Aviso Prévio Indenizado])*tabCustoUnit[[#This Row],[MODULO 1 - REMUNERAÇÃO ]]</f>
        <v>1.6386218950617286</v>
      </c>
      <c r="AP77" s="22">
        <f>SUMIF(tabParametros[Código do Posto],tabCustoUnit[[#This Row],[Código do Posto]],tabParametros[Aviso Prévio Trabalhado - APT])*tabCustoUnit[[#This Row],[MODULO 1 - REMUNERAÇÃO ]]</f>
        <v>25.560500000000005</v>
      </c>
      <c r="AQ77" s="22">
        <f>SUMIF(tabParametros[Código do Posto],tabCustoUnit[[#This Row],[Código do Posto]],tabParametros[Incidência dos encargos do submódulo 2.1 sobre Aviso Prévio Trabalhado])*tabCustoUnit[[#This Row],[MODULO 1 - REMUNERAÇÃO ]]</f>
        <v>9.6618690000000029</v>
      </c>
      <c r="AR77" s="22">
        <f>SUMIF(tabParametros[Código do Posto],tabCustoUnit[[#This Row],[Código do Posto]],tabParametros[Multa Rescisória do FGTS])*tabCustoUnit[[#This Row],[MODULO 1 - REMUNERAÇÃO ]]</f>
        <v>223.30951111111108</v>
      </c>
      <c r="AS77" s="22">
        <f>SUMIF(tabParametros[Código do Posto],tabCustoUnit[[#This Row],[Código do Posto]],tabParametros[Indenização Adicional (Art. 9º da Lei nº 7.238/84)])*tabCustoUnit[[#This Row],[MODULO 1 - REMUNERAÇÃO ]]</f>
        <v>6.0858333333333334</v>
      </c>
      <c r="AT77" s="22">
        <f>SUM(tabCustoUnit[[#This Row],[Aviso Prévio Indenizado (API) e Reflexo do Aviso Prévio Indenizado]:[Indenização Adicional (Art. 9º da Lei nº 7.238/84)]])</f>
        <v>321.55982429783944</v>
      </c>
      <c r="AU77" s="22">
        <f>SUMIF(tabParametros[Código do Posto],tabCustoUnit[[#This Row],[Código do Posto]],tabParametros[Ausência por Doença])*tabCustoUnit[[#This Row],[MODULO 1 - REMUNERAÇÃO ]]</f>
        <v>61.669777777777774</v>
      </c>
      <c r="AV77" s="22">
        <f>SUMIF(tabParametros[Código do Posto],tabCustoUnit[[#This Row],[Código do Posto]],tabParametros[Ausências Legais])*tabCustoUnit[[#This Row],[MODULO 1 - REMUNERAÇÃO ]]</f>
        <v>14.80886111111111</v>
      </c>
      <c r="AW77" s="22">
        <f>SUMIF(tabParametros[Código do Posto],tabCustoUnit[[#This Row],[Código do Posto]],tabParametros[Licença Paternidade])*tabCustoUnit[[#This Row],[MODULO 1 - REMUNERAÇÃO ]]</f>
        <v>1.2475958333333332</v>
      </c>
      <c r="AX77" s="22">
        <f>SUMIF(tabParametros[Código do Posto],tabCustoUnit[[#This Row],[Código do Posto]],tabParametros[Ausência por Acidente de Trabalho])*tabCustoUnit[[#This Row],[MODULO 1 - REMUNERAÇÃO ]]</f>
        <v>1.5214583333333334</v>
      </c>
      <c r="AY77" s="22">
        <f>SUMIF(tabParametros[Código do Posto],tabCustoUnit[[#This Row],[Código do Posto]],tabParametros[Férias, Adicional de Férias e 13º  com empregada em gozo de Licença Maternidade])*tabCustoUnit[[#This Row],[MODULO 1 - REMUNERAÇÃO ]]</f>
        <v>9.4668518518518514</v>
      </c>
      <c r="AZ77" s="22">
        <f>SUMIF(tabParametros[Código do Posto],tabCustoUnit[[#This Row],[Código do Posto]],tabParametros[Incidência do Submódulo 2.1 sobre Ausências Legais])*tabCustoUnit[[#This Row],[MODULO 1 - REMUNERAÇÃO ]]</f>
        <v>33.534097975000009</v>
      </c>
      <c r="BA77" s="22">
        <f>SUM(tabCustoUnit[[#This Row],[Ausência por Doença]:[Incidência do Submódulo 2.1 sobre Ausências Legais]])</f>
        <v>122.24864288240741</v>
      </c>
      <c r="BB77" s="22">
        <f>SUMIF(tabParametros[Código do Posto],tabCustoUnit[[#This Row],[Código do Posto]],tabParametros[Intervalo para Repouso ou Alimentação])</f>
        <v>0</v>
      </c>
      <c r="BC77" s="22">
        <f>tabCustoUnit[[#This Row],[Intervalo para Repouso ou Alimentação]]</f>
        <v>0</v>
      </c>
      <c r="BD7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7" s="22">
        <f>tabCustoUnit[[#This Row],[Suspensão Temporária do Contrato de Trabalho]]</f>
        <v>0</v>
      </c>
      <c r="BF77" s="22">
        <f>tabCustoUnit[[#This Row],[Submódulo 4.1]]+tabCustoUnit[[#This Row],[Submódulo 4.2]]+tabCustoUnit[[#This Row],[Submódulo 4.3]]</f>
        <v>122.24864288240741</v>
      </c>
      <c r="BG77" s="22">
        <f>VLOOKUP(tabCustoUnit[[#This Row],[Código do Posto]],tabParametros[],MATCH(tabCustoUnit[[#Headers],[Uniformes e EPIs]],tabParametros[#Headers],0),0)</f>
        <v>178.37884644870635</v>
      </c>
      <c r="BH77" s="22">
        <f>VLOOKUP(tabCustoUnit[[#This Row],[Código do Posto]],tabParametros[],MATCH(tabCustoUnit[[#Headers],[Materiais de Consumo]],tabParametros[#Headers],0),0)</f>
        <v>0</v>
      </c>
      <c r="BI77" s="22">
        <f>VLOOKUP(tabCustoUnit[[#This Row],[Código do Posto]],tabParametros[],MATCH(tabCustoUnit[[#Headers],[Máquinas e Equipamentos (depreciação)]],tabParametros[#Headers],0),0)</f>
        <v>0</v>
      </c>
      <c r="BJ77" s="22">
        <f>VLOOKUP(tabCustoUnit[[#This Row],[Código do Posto]],tabParametros[],MATCH(tabCustoUnit[[#Headers],[Produtos de Limpeza e Materiais de Higiene Pessoal]],tabParametros[#Headers],0),0)</f>
        <v>0</v>
      </c>
      <c r="BK77" s="22">
        <f>VLOOKUP(tabCustoUnit[[#This Row],[Código do Posto]],tabParametros[],MATCH(tabCustoUnit[[#Headers],[Outros (especificar)]],tabParametros[#Headers],0),0)</f>
        <v>0</v>
      </c>
      <c r="BL77" s="22">
        <f>SUM(tabCustoUnit[[#This Row],[Uniformes e EPIs]:[Outros (especificar)]])</f>
        <v>178.37884644870635</v>
      </c>
      <c r="BM7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7" s="22" t="e">
        <f ca="1">VLOOKUP(tabCustoUnit[[#This Row],[Código do Posto]],tabParametros[],MATCH(tabCustoUnit[[#Headers],[Custos Indiretos]],tabParametros[#Headers],0),0)</f>
        <v>#NAME?</v>
      </c>
      <c r="BO77" s="22" t="e">
        <f ca="1">VLOOKUP(tabCustoUnit[[#This Row],[Código do Posto]],tabParametros[],MATCH(tabCustoUnit[[#Headers],[Lucro]],tabParametros[#Headers],0),0)</f>
        <v>#NAME?</v>
      </c>
      <c r="BP77" s="26">
        <f>((100/((1-tabCustoUnit[[#This Row],[Resumo de Alíquotas (PIS+CONFINS+ISS)]]))-100)*VLOOKUP(tabCustoUnit[[#This Row],[Código do Posto]],tabParametros[],MATCH(tabCustoUnit[[#Headers],[COFINS]],tabParametros[#Headers],0),0))/(tabCustoUnit[[#This Row],[Resumo de Alíquotas (PIS+CONFINS+ISS)]]*100)</f>
        <v>8.8629737609329504E-2</v>
      </c>
      <c r="BQ77" s="26">
        <f>((100/((100-(tabCustoUnit[[#This Row],[Resumo de Alíquotas (PIS+CONFINS+ISS)]]*100))%)-100)*VLOOKUP(tabCustoUnit[[#This Row],[Código do Posto]],tabParametros[],MATCH(tabCustoUnit[[#Headers],[PIS]],tabParametros[#Headers],0),0))/(tabCustoUnit[[#This Row],[Resumo de Alíquotas (PIS+CONFINS+ISS)]]*100)</f>
        <v>1.9241982507288629E-2</v>
      </c>
      <c r="BR77" s="28">
        <f>VLOOKUP(tabCustoUnit[[#This Row],[Código do Posto]],tabParametros[],MATCH(tabCustoUnit[[#Headers],[ISS]],tabParametros[#Headers],0),0)</f>
        <v>0.05</v>
      </c>
      <c r="BS77" s="26">
        <f>(((100/((100-(tabCustoUnit[[#This Row],[Resumo de Alíquotas (PIS+CONFINS+ISS)]]*100))%)-100)*tabCustoUnit[[#This Row],[ISS]])/tabCustoUnit[[#This Row],[Resumo de Alíquotas (PIS+CONFINS+ISS)]])/100</f>
        <v>5.8309037900874633E-2</v>
      </c>
      <c r="BT7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7" s="138">
        <f>tabCustoUnit[[#This Row],[COFINS]]+tabCustoUnit[[#This Row],[PIS]]+tabCustoUnit[[#This Row],[ISS (Conversão Alíquota s/ fatura)]]</f>
        <v>0.16618075801749277</v>
      </c>
      <c r="BV77" s="22" t="e">
        <f ca="1">(tabCustoUnit[[#This Row],[TOTAL MÓDULOS 1+2+3+4+5]]+tabCustoUnit[[#This Row],[Custos Indiretos]]+tabCustoUnit[[#This Row],[Lucro]])*tabCustoUnit[[#This Row],[PIS + COFINS + ISS (Total Conversão  Alíquota s/ Fatura)]]</f>
        <v>#NAME?</v>
      </c>
      <c r="BW77" s="22" t="e">
        <f ca="1">tabCustoUnit[[#This Row],[Custos Indiretos]]+tabCustoUnit[[#This Row],[Lucro]]+tabCustoUnit[[#This Row],[Valor dos Tributos (ISS, PIS, CONFINS)]]</f>
        <v>#NAME?</v>
      </c>
      <c r="BX77" s="22" t="e">
        <f ca="1">tabCustoUnit[[#This Row],[TOTAL MÓDULOS 1+2+3+4+5]]+tabCustoUnit[[#This Row],[MÓDULO 6 – CUSTOS INDIRETOS, TRIBUTOS E LUCRO]]</f>
        <v>#NAME?</v>
      </c>
      <c r="BY77" s="22" t="e">
        <f ca="1">tabCustoUnit[[#This Row],[CUSTO TOTAL MENSAL]]*12</f>
        <v>#NAME?</v>
      </c>
      <c r="BZ77" s="24">
        <f>VLOOKUP(tabCustoUnit[[#This Row],[Código do Posto]],tabParametros[],MATCH(tabCustoUnit[[#Headers],[ANO DA CCT]],tabParametros[#Headers],0),0)</f>
        <v>45658</v>
      </c>
      <c r="CA77" s="25" t="str">
        <f>VLOOKUP(tabCustoUnit[[#This Row],[Código do Posto]],tabParametros[],MATCH(tabCustoUnit[[#Headers],[Nº DE PEDIDO DA CCT]],tabParametros[#Headers],0),0)</f>
        <v>-</v>
      </c>
      <c r="CB77" s="25" t="str">
        <f>VLOOKUP(tabCustoUnit[[#This Row],[Código do Posto]],tabParametros[],MATCH(tabCustoUnit[[#Headers],[TERMO ADITIVO ALTERAÇÃO DA CCT]],tabParametros[#Headers],0),0)</f>
        <v>-</v>
      </c>
    </row>
    <row r="78" spans="1:80">
      <c r="A78" s="20" t="s">
        <v>1453</v>
      </c>
      <c r="B78" t="s">
        <v>1103</v>
      </c>
      <c r="C78" t="s">
        <v>371</v>
      </c>
      <c r="D78" t="s">
        <v>1035</v>
      </c>
      <c r="E78" s="20" t="s">
        <v>1090</v>
      </c>
      <c r="F78" s="20" t="s">
        <v>120</v>
      </c>
      <c r="G78" s="418">
        <v>7303</v>
      </c>
      <c r="H78" s="418">
        <v>0</v>
      </c>
      <c r="I78" s="418">
        <v>0</v>
      </c>
      <c r="J78" s="418">
        <v>0</v>
      </c>
      <c r="K78" s="418">
        <v>0</v>
      </c>
      <c r="L78" s="418">
        <v>0</v>
      </c>
      <c r="M78" s="418">
        <v>0</v>
      </c>
      <c r="N78" s="418">
        <v>0</v>
      </c>
      <c r="O78" s="21">
        <f>SUM(tabCustoUnit[[#This Row],[Salário Base]:[Adicional de Acúmulo de função]])</f>
        <v>7303</v>
      </c>
      <c r="P78" s="21">
        <f>tabCustoUnit[[#This Row],[MODULO 1 - REMUNERAÇÃO ]]*SUMIFS(tabParametros[INSS],tabParametros[Código do Posto],tabCustoUnit[[#This Row],[Código do Posto]])</f>
        <v>1460.6000000000001</v>
      </c>
      <c r="Q78" s="21">
        <f>tabCustoUnit[[#This Row],[MODULO 1 - REMUNERAÇÃO ]]*SUMIFS(tabParametros[SESI OU SESC],tabParametros[Código do Posto],tabCustoUnit[[#This Row],[Código do Posto]])</f>
        <v>109.545</v>
      </c>
      <c r="R78" s="21">
        <f>tabCustoUnit[[#This Row],[MODULO 1 - REMUNERAÇÃO ]]*SUMIFS(tabParametros[SENAI OU SENAC],tabParametros[Código do Posto],tabCustoUnit[[#This Row],[Código do Posto]])</f>
        <v>73.03</v>
      </c>
      <c r="S78" s="21">
        <f>tabCustoUnit[[#This Row],[MODULO 1 - REMUNERAÇÃO ]]*SUMIFS(tabParametros[INCRA],tabParametros[Código do Posto],tabCustoUnit[[#This Row],[Código do Posto]])</f>
        <v>14.606</v>
      </c>
      <c r="T78" s="21">
        <f>tabCustoUnit[[#This Row],[MODULO 1 - REMUNERAÇÃO ]]*SUMIFS(tabParametros[Salário Educação],tabParametros[Código do Posto],tabCustoUnit[[#This Row],[Código do Posto]])</f>
        <v>182.57500000000002</v>
      </c>
      <c r="U78" s="21">
        <f>tabCustoUnit[[#This Row],[MODULO 1 - REMUNERAÇÃO ]]*SUMIFS(tabParametros[FGTS],tabParametros[Código do Posto],tabCustoUnit[[#This Row],[Código do Posto]])</f>
        <v>584.24</v>
      </c>
      <c r="V78" s="21">
        <f>tabCustoUnit[[#This Row],[MODULO 1 - REMUNERAÇÃO ]]*SUMIFS(tabParametros[RAT Ajustado],tabParametros[Código do Posto],tabCustoUnit[[#This Row],[Código do Posto]])</f>
        <v>292.12</v>
      </c>
      <c r="W78" s="21">
        <f>tabCustoUnit[[#This Row],[MODULO 1 - REMUNERAÇÃO ]]*SUMIFS(tabParametros[SEBRAE],tabParametros[Código do Posto],tabCustoUnit[[#This Row],[Código do Posto]])</f>
        <v>43.817999999999998</v>
      </c>
      <c r="X78" s="21">
        <f>SUM(tabCustoUnit[[#This Row],[INSS]:[SEBRAE]])</f>
        <v>2760.5340000000006</v>
      </c>
      <c r="Y78" s="21">
        <f>tabCustoUnit[[#This Row],[MODULO 1 - REMUNERAÇÃO ]]*SUMIFS(tabParametros[13º salário (titular)],tabParametros[Código do Posto],tabCustoUnit[[#This Row],[Código do Posto]])</f>
        <v>608.58333333333326</v>
      </c>
      <c r="Z78" s="21">
        <f>tabCustoUnit[[#This Row],[MODULO 1 - REMUNERAÇÃO ]]*SUMIFS(tabParametros[Férias e Adicional de Férias (titular)],tabParametros[Código do Posto],tabCustoUnit[[#This Row],[Código do Posto]])</f>
        <v>811.44444444444434</v>
      </c>
      <c r="AA78" s="21">
        <f>IFERROR((tabCustoUnit[[#This Row],[Submódulo 2.1]]/tabCustoUnit[[#This Row],[MODULO 1 - REMUNERAÇÃO ]])*SUM(tabCustoUnit[[#This Row],[13º salário (titular)]:[Férias e Adicional de Férias (titular)]]),0)</f>
        <v>536.77049999999997</v>
      </c>
      <c r="AB78" s="21">
        <f>SUM(tabCustoUnit[[#This Row],[13º salário (titular)]:[Incidência do Submódulo 2.1 sobre 13º Salário, Férias e Adicional de Férias]])</f>
        <v>1956.7982777777775</v>
      </c>
      <c r="AC78" s="22" t="e">
        <f ca="1">_xlfn.LET(_xlpm.VT,SUMIF(tabParametros[Código do Posto],tabCustoUnit[[#This Row],[Código do Posto]],tabParametros[Vale - Transporte])*2*20,
IF((_xlpm.VT-tabCustoUnit[[#This Row],[Salário Base]]*0.06)&gt;=0,(_xlpm.VT-tabCustoUnit[[#This Row],[Salário Base]]*0.06),0)
)</f>
        <v>#NAME?</v>
      </c>
      <c r="AD78" s="22">
        <f>IF(SUMIF(tabParametros[Código do Posto],tabCustoUnit[[#This Row],[Código do Posto]],tabParametros[Vale - Alimentação])&lt;=0,0,
SUMIF(tabParametros[Código do Posto],tabCustoUnit[[#This Row],[Código do Posto]],tabParametros[Vale - Alimentação])*20-1)</f>
        <v>582</v>
      </c>
      <c r="AE78" s="22">
        <f>SUMIF(tabParametros[Código do Posto],tabCustoUnit[[#This Row],[Código do Posto]],tabParametros[Cesta Básica])</f>
        <v>0</v>
      </c>
      <c r="AF78" s="22">
        <f>SUMIF(tabParametros[Código do Posto],tabCustoUnit[[#This Row],[Código do Posto]],tabParametros[PAF])</f>
        <v>95.9</v>
      </c>
      <c r="AG78" s="22">
        <f>SUMIF(tabParametros[Código do Posto],tabCustoUnit[[#This Row],[Código do Posto]],tabParametros[PQM])</f>
        <v>0</v>
      </c>
      <c r="AH78" s="22">
        <f>SUMIF(tabParametros[Código do Posto],tabCustoUnit[[#This Row],[Código do Posto]],tabParametros[Abono Único e Especial])</f>
        <v>0</v>
      </c>
      <c r="AI78" s="22">
        <f>SUMIF(tabParametros[Código do Posto],tabCustoUnit[[#This Row],[Código do Posto]],tabParametros[Seguro de Vida])</f>
        <v>3.36</v>
      </c>
      <c r="AJ78" s="22">
        <f>SUMIF(tabParametros[Código do Posto],tabCustoUnit[[#This Row],[Código do Posto]],tabParametros[Despesas de Viagem])</f>
        <v>202.08</v>
      </c>
      <c r="AK78" s="22" t="e">
        <f ca="1">SUM(tabCustoUnit[[#This Row],[Vale - Transporte (Descontada parcela do empregado)]:[Despesas de Viagem]])</f>
        <v>#NAME?</v>
      </c>
      <c r="AL78" s="22" t="e">
        <f ca="1">tabCustoUnit[[#This Row],[Submódulo 2.1]]+tabCustoUnit[[#This Row],[Submódulo 2.2]]+tabCustoUnit[[#This Row],[Submódulo 2.3]]</f>
        <v>#NAME?</v>
      </c>
      <c r="AM78" s="22">
        <f>SUMIF(tabParametros[Código do Posto],tabCustoUnit[[#This Row],[Código do Posto]],tabParametros[Aviso Prévio Indenizado (API) e Reflexo do Aviso Prévio Indenizado])*tabCustoUnit[[#This Row],[MODULO 1 - REMUNERAÇÃO ]]</f>
        <v>51.20693422067901</v>
      </c>
      <c r="AN78" s="22">
        <f>SUMIF(tabParametros[Código do Posto],tabCustoUnit[[#This Row],[Código do Posto]],tabParametros[Incidência do FGTS sobre API e Reflexo do API])*tabCustoUnit[[#This Row],[MODULO 1 - REMUNERAÇÃO ]]</f>
        <v>4.096554737654321</v>
      </c>
      <c r="AO78" s="22">
        <f>SUMIF(tabParametros[Código do Posto],tabCustoUnit[[#This Row],[Código do Posto]],tabParametros[Multa Rescisória do FGTS sobre o Aviso Prévio Indenizado])*tabCustoUnit[[#This Row],[MODULO 1 - REMUNERAÇÃO ]]</f>
        <v>1.6386218950617286</v>
      </c>
      <c r="AP78" s="22">
        <f>SUMIF(tabParametros[Código do Posto],tabCustoUnit[[#This Row],[Código do Posto]],tabParametros[Aviso Prévio Trabalhado - APT])*tabCustoUnit[[#This Row],[MODULO 1 - REMUNERAÇÃO ]]</f>
        <v>25.560500000000005</v>
      </c>
      <c r="AQ78" s="22">
        <f>SUMIF(tabParametros[Código do Posto],tabCustoUnit[[#This Row],[Código do Posto]],tabParametros[Incidência dos encargos do submódulo 2.1 sobre Aviso Prévio Trabalhado])*tabCustoUnit[[#This Row],[MODULO 1 - REMUNERAÇÃO ]]</f>
        <v>9.6618690000000029</v>
      </c>
      <c r="AR78" s="22">
        <f>SUMIF(tabParametros[Código do Posto],tabCustoUnit[[#This Row],[Código do Posto]],tabParametros[Multa Rescisória do FGTS])*tabCustoUnit[[#This Row],[MODULO 1 - REMUNERAÇÃO ]]</f>
        <v>223.30951111111108</v>
      </c>
      <c r="AS78" s="22">
        <f>SUMIF(tabParametros[Código do Posto],tabCustoUnit[[#This Row],[Código do Posto]],tabParametros[Indenização Adicional (Art. 9º da Lei nº 7.238/84)])*tabCustoUnit[[#This Row],[MODULO 1 - REMUNERAÇÃO ]]</f>
        <v>6.0858333333333334</v>
      </c>
      <c r="AT78" s="22">
        <f>SUM(tabCustoUnit[[#This Row],[Aviso Prévio Indenizado (API) e Reflexo do Aviso Prévio Indenizado]:[Indenização Adicional (Art. 9º da Lei nº 7.238/84)]])</f>
        <v>321.55982429783944</v>
      </c>
      <c r="AU78" s="22">
        <f>SUMIF(tabParametros[Código do Posto],tabCustoUnit[[#This Row],[Código do Posto]],tabParametros[Ausência por Doença])*tabCustoUnit[[#This Row],[MODULO 1 - REMUNERAÇÃO ]]</f>
        <v>61.669777777777774</v>
      </c>
      <c r="AV78" s="22">
        <f>SUMIF(tabParametros[Código do Posto],tabCustoUnit[[#This Row],[Código do Posto]],tabParametros[Ausências Legais])*tabCustoUnit[[#This Row],[MODULO 1 - REMUNERAÇÃO ]]</f>
        <v>14.80886111111111</v>
      </c>
      <c r="AW78" s="22">
        <f>SUMIF(tabParametros[Código do Posto],tabCustoUnit[[#This Row],[Código do Posto]],tabParametros[Licença Paternidade])*tabCustoUnit[[#This Row],[MODULO 1 - REMUNERAÇÃO ]]</f>
        <v>1.2475958333333332</v>
      </c>
      <c r="AX78" s="22">
        <f>SUMIF(tabParametros[Código do Posto],tabCustoUnit[[#This Row],[Código do Posto]],tabParametros[Ausência por Acidente de Trabalho])*tabCustoUnit[[#This Row],[MODULO 1 - REMUNERAÇÃO ]]</f>
        <v>1.5214583333333334</v>
      </c>
      <c r="AY78" s="22">
        <f>SUMIF(tabParametros[Código do Posto],tabCustoUnit[[#This Row],[Código do Posto]],tabParametros[Férias, Adicional de Férias e 13º  com empregada em gozo de Licença Maternidade])*tabCustoUnit[[#This Row],[MODULO 1 - REMUNERAÇÃO ]]</f>
        <v>9.4668518518518514</v>
      </c>
      <c r="AZ78" s="22">
        <f>SUMIF(tabParametros[Código do Posto],tabCustoUnit[[#This Row],[Código do Posto]],tabParametros[Incidência do Submódulo 2.1 sobre Ausências Legais])*tabCustoUnit[[#This Row],[MODULO 1 - REMUNERAÇÃO ]]</f>
        <v>33.534097975000009</v>
      </c>
      <c r="BA78" s="22">
        <f>SUM(tabCustoUnit[[#This Row],[Ausência por Doença]:[Incidência do Submódulo 2.1 sobre Ausências Legais]])</f>
        <v>122.24864288240741</v>
      </c>
      <c r="BB78" s="22">
        <f>SUMIF(tabParametros[Código do Posto],tabCustoUnit[[#This Row],[Código do Posto]],tabParametros[Intervalo para Repouso ou Alimentação])</f>
        <v>0</v>
      </c>
      <c r="BC78" s="22">
        <f>tabCustoUnit[[#This Row],[Intervalo para Repouso ou Alimentação]]</f>
        <v>0</v>
      </c>
      <c r="BD7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8" s="22">
        <f>tabCustoUnit[[#This Row],[Suspensão Temporária do Contrato de Trabalho]]</f>
        <v>0</v>
      </c>
      <c r="BF78" s="22">
        <f>tabCustoUnit[[#This Row],[Submódulo 4.1]]+tabCustoUnit[[#This Row],[Submódulo 4.2]]+tabCustoUnit[[#This Row],[Submódulo 4.3]]</f>
        <v>122.24864288240741</v>
      </c>
      <c r="BG78" s="22">
        <f>VLOOKUP(tabCustoUnit[[#This Row],[Código do Posto]],tabParametros[],MATCH(tabCustoUnit[[#Headers],[Uniformes e EPIs]],tabParametros[#Headers],0),0)</f>
        <v>175.38717978203971</v>
      </c>
      <c r="BH78" s="22">
        <f>VLOOKUP(tabCustoUnit[[#This Row],[Código do Posto]],tabParametros[],MATCH(tabCustoUnit[[#Headers],[Materiais de Consumo]],tabParametros[#Headers],0),0)</f>
        <v>0</v>
      </c>
      <c r="BI78" s="22">
        <f>VLOOKUP(tabCustoUnit[[#This Row],[Código do Posto]],tabParametros[],MATCH(tabCustoUnit[[#Headers],[Máquinas e Equipamentos (depreciação)]],tabParametros[#Headers],0),0)</f>
        <v>0</v>
      </c>
      <c r="BJ78" s="22">
        <f>VLOOKUP(tabCustoUnit[[#This Row],[Código do Posto]],tabParametros[],MATCH(tabCustoUnit[[#Headers],[Produtos de Limpeza e Materiais de Higiene Pessoal]],tabParametros[#Headers],0),0)</f>
        <v>0</v>
      </c>
      <c r="BK78" s="22">
        <f>VLOOKUP(tabCustoUnit[[#This Row],[Código do Posto]],tabParametros[],MATCH(tabCustoUnit[[#Headers],[Outros (especificar)]],tabParametros[#Headers],0),0)</f>
        <v>0</v>
      </c>
      <c r="BL78" s="22">
        <f>SUM(tabCustoUnit[[#This Row],[Uniformes e EPIs]:[Outros (especificar)]])</f>
        <v>175.38717978203971</v>
      </c>
      <c r="BM7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8" s="22" t="e">
        <f ca="1">VLOOKUP(tabCustoUnit[[#This Row],[Código do Posto]],tabParametros[],MATCH(tabCustoUnit[[#Headers],[Custos Indiretos]],tabParametros[#Headers],0),0)</f>
        <v>#NAME?</v>
      </c>
      <c r="BO78" s="22" t="e">
        <f ca="1">VLOOKUP(tabCustoUnit[[#This Row],[Código do Posto]],tabParametros[],MATCH(tabCustoUnit[[#Headers],[Lucro]],tabParametros[#Headers],0),0)</f>
        <v>#NAME?</v>
      </c>
      <c r="BP78" s="26">
        <f>((100/((1-tabCustoUnit[[#This Row],[Resumo de Alíquotas (PIS+CONFINS+ISS)]]))-100)*VLOOKUP(tabCustoUnit[[#This Row],[Código do Posto]],tabParametros[],MATCH(tabCustoUnit[[#Headers],[COFINS]],tabParametros[#Headers],0),0))/(tabCustoUnit[[#This Row],[Resumo de Alíquotas (PIS+CONFINS+ISS)]]*100)</f>
        <v>8.8629737609329504E-2</v>
      </c>
      <c r="BQ78" s="26">
        <f>((100/((100-(tabCustoUnit[[#This Row],[Resumo de Alíquotas (PIS+CONFINS+ISS)]]*100))%)-100)*VLOOKUP(tabCustoUnit[[#This Row],[Código do Posto]],tabParametros[],MATCH(tabCustoUnit[[#Headers],[PIS]],tabParametros[#Headers],0),0))/(tabCustoUnit[[#This Row],[Resumo de Alíquotas (PIS+CONFINS+ISS)]]*100)</f>
        <v>1.9241982507288629E-2</v>
      </c>
      <c r="BR78" s="28">
        <f>VLOOKUP(tabCustoUnit[[#This Row],[Código do Posto]],tabParametros[],MATCH(tabCustoUnit[[#Headers],[ISS]],tabParametros[#Headers],0),0)</f>
        <v>0.05</v>
      </c>
      <c r="BS78" s="26">
        <f>(((100/((100-(tabCustoUnit[[#This Row],[Resumo de Alíquotas (PIS+CONFINS+ISS)]]*100))%)-100)*tabCustoUnit[[#This Row],[ISS]])/tabCustoUnit[[#This Row],[Resumo de Alíquotas (PIS+CONFINS+ISS)]])/100</f>
        <v>5.8309037900874633E-2</v>
      </c>
      <c r="BT7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8" s="138">
        <f>tabCustoUnit[[#This Row],[COFINS]]+tabCustoUnit[[#This Row],[PIS]]+tabCustoUnit[[#This Row],[ISS (Conversão Alíquota s/ fatura)]]</f>
        <v>0.16618075801749277</v>
      </c>
      <c r="BV78" s="22" t="e">
        <f ca="1">(tabCustoUnit[[#This Row],[TOTAL MÓDULOS 1+2+3+4+5]]+tabCustoUnit[[#This Row],[Custos Indiretos]]+tabCustoUnit[[#This Row],[Lucro]])*tabCustoUnit[[#This Row],[PIS + COFINS + ISS (Total Conversão  Alíquota s/ Fatura)]]</f>
        <v>#NAME?</v>
      </c>
      <c r="BW78" s="22" t="e">
        <f ca="1">tabCustoUnit[[#This Row],[Custos Indiretos]]+tabCustoUnit[[#This Row],[Lucro]]+tabCustoUnit[[#This Row],[Valor dos Tributos (ISS, PIS, CONFINS)]]</f>
        <v>#NAME?</v>
      </c>
      <c r="BX78" s="22" t="e">
        <f ca="1">tabCustoUnit[[#This Row],[TOTAL MÓDULOS 1+2+3+4+5]]+tabCustoUnit[[#This Row],[MÓDULO 6 – CUSTOS INDIRETOS, TRIBUTOS E LUCRO]]</f>
        <v>#NAME?</v>
      </c>
      <c r="BY78" s="22" t="e">
        <f ca="1">tabCustoUnit[[#This Row],[CUSTO TOTAL MENSAL]]*12</f>
        <v>#NAME?</v>
      </c>
      <c r="BZ78" s="24">
        <f>VLOOKUP(tabCustoUnit[[#This Row],[Código do Posto]],tabParametros[],MATCH(tabCustoUnit[[#Headers],[ANO DA CCT]],tabParametros[#Headers],0),0)</f>
        <v>45658</v>
      </c>
      <c r="CA78" s="25" t="str">
        <f>VLOOKUP(tabCustoUnit[[#This Row],[Código do Posto]],tabParametros[],MATCH(tabCustoUnit[[#Headers],[Nº DE PEDIDO DA CCT]],tabParametros[#Headers],0),0)</f>
        <v>-</v>
      </c>
      <c r="CB78" s="25" t="str">
        <f>VLOOKUP(tabCustoUnit[[#This Row],[Código do Posto]],tabParametros[],MATCH(tabCustoUnit[[#Headers],[TERMO ADITIVO ALTERAÇÃO DA CCT]],tabParametros[#Headers],0),0)</f>
        <v>-</v>
      </c>
    </row>
    <row r="79" spans="1:80">
      <c r="A79" s="20" t="s">
        <v>1454</v>
      </c>
      <c r="B79" t="s">
        <v>1103</v>
      </c>
      <c r="C79" t="s">
        <v>1369</v>
      </c>
      <c r="D79" t="s">
        <v>1035</v>
      </c>
      <c r="E79" s="20" t="s">
        <v>1090</v>
      </c>
      <c r="F79" s="20" t="s">
        <v>120</v>
      </c>
      <c r="G79" s="418">
        <v>4768.66</v>
      </c>
      <c r="H79" s="418">
        <v>0</v>
      </c>
      <c r="I79" s="418">
        <v>0</v>
      </c>
      <c r="J79" s="418">
        <v>0</v>
      </c>
      <c r="K79" s="418">
        <v>0</v>
      </c>
      <c r="L79" s="418">
        <v>0</v>
      </c>
      <c r="M79" s="418">
        <v>0</v>
      </c>
      <c r="N79" s="418">
        <v>0</v>
      </c>
      <c r="O79" s="21">
        <f>SUM(tabCustoUnit[[#This Row],[Salário Base]:[Adicional de Acúmulo de função]])</f>
        <v>4768.66</v>
      </c>
      <c r="P79" s="21">
        <f>tabCustoUnit[[#This Row],[MODULO 1 - REMUNERAÇÃO ]]*SUMIFS(tabParametros[INSS],tabParametros[Código do Posto],tabCustoUnit[[#This Row],[Código do Posto]])</f>
        <v>953.73199999999997</v>
      </c>
      <c r="Q79" s="21">
        <f>tabCustoUnit[[#This Row],[MODULO 1 - REMUNERAÇÃO ]]*SUMIFS(tabParametros[SESI OU SESC],tabParametros[Código do Posto],tabCustoUnit[[#This Row],[Código do Posto]])</f>
        <v>71.529899999999998</v>
      </c>
      <c r="R79" s="21">
        <f>tabCustoUnit[[#This Row],[MODULO 1 - REMUNERAÇÃO ]]*SUMIFS(tabParametros[SENAI OU SENAC],tabParametros[Código do Posto],tabCustoUnit[[#This Row],[Código do Posto]])</f>
        <v>47.686599999999999</v>
      </c>
      <c r="S79" s="21">
        <f>tabCustoUnit[[#This Row],[MODULO 1 - REMUNERAÇÃO ]]*SUMIFS(tabParametros[INCRA],tabParametros[Código do Posto],tabCustoUnit[[#This Row],[Código do Posto]])</f>
        <v>9.5373199999999994</v>
      </c>
      <c r="T79" s="21">
        <f>tabCustoUnit[[#This Row],[MODULO 1 - REMUNERAÇÃO ]]*SUMIFS(tabParametros[Salário Educação],tabParametros[Código do Posto],tabCustoUnit[[#This Row],[Código do Posto]])</f>
        <v>119.2165</v>
      </c>
      <c r="U79" s="21">
        <f>tabCustoUnit[[#This Row],[MODULO 1 - REMUNERAÇÃO ]]*SUMIFS(tabParametros[FGTS],tabParametros[Código do Posto],tabCustoUnit[[#This Row],[Código do Posto]])</f>
        <v>381.49279999999999</v>
      </c>
      <c r="V79" s="21">
        <f>tabCustoUnit[[#This Row],[MODULO 1 - REMUNERAÇÃO ]]*SUMIFS(tabParametros[RAT Ajustado],tabParametros[Código do Posto],tabCustoUnit[[#This Row],[Código do Posto]])</f>
        <v>190.74639999999999</v>
      </c>
      <c r="W79" s="21">
        <f>tabCustoUnit[[#This Row],[MODULO 1 - REMUNERAÇÃO ]]*SUMIFS(tabParametros[SEBRAE],tabParametros[Código do Posto],tabCustoUnit[[#This Row],[Código do Posto]])</f>
        <v>28.61196</v>
      </c>
      <c r="X79" s="21">
        <f>SUM(tabCustoUnit[[#This Row],[INSS]:[SEBRAE]])</f>
        <v>1802.5534799999998</v>
      </c>
      <c r="Y79" s="21">
        <f>tabCustoUnit[[#This Row],[MODULO 1 - REMUNERAÇÃO ]]*SUMIFS(tabParametros[13º salário (titular)],tabParametros[Código do Posto],tabCustoUnit[[#This Row],[Código do Posto]])</f>
        <v>397.38833333333332</v>
      </c>
      <c r="Z79" s="21">
        <f>tabCustoUnit[[#This Row],[MODULO 1 - REMUNERAÇÃO ]]*SUMIFS(tabParametros[Férias e Adicional de Férias (titular)],tabParametros[Código do Posto],tabCustoUnit[[#This Row],[Código do Posto]])</f>
        <v>529.85111111111109</v>
      </c>
      <c r="AA79" s="21">
        <f>IFERROR((tabCustoUnit[[#This Row],[Submódulo 2.1]]/tabCustoUnit[[#This Row],[MODULO 1 - REMUNERAÇÃO ]])*SUM(tabCustoUnit[[#This Row],[13º salário (titular)]:[Férias e Adicional de Férias (titular)]]),0)</f>
        <v>350.49650999999994</v>
      </c>
      <c r="AB79" s="21">
        <f>SUM(tabCustoUnit[[#This Row],[13º salário (titular)]:[Incidência do Submódulo 2.1 sobre 13º Salário, Férias e Adicional de Férias]])</f>
        <v>1277.7359544444444</v>
      </c>
      <c r="AC79" s="22" t="e">
        <f ca="1">_xlfn.LET(_xlpm.VT,SUMIF(tabParametros[Código do Posto],tabCustoUnit[[#This Row],[Código do Posto]],tabParametros[Vale - Transporte])*2*20,
IF((_xlpm.VT-tabCustoUnit[[#This Row],[Salário Base]]*0.06)&gt;=0,(_xlpm.VT-tabCustoUnit[[#This Row],[Salário Base]]*0.06),0)
)</f>
        <v>#NAME?</v>
      </c>
      <c r="AD79" s="22">
        <f>IF(SUMIF(tabParametros[Código do Posto],tabCustoUnit[[#This Row],[Código do Posto]],tabParametros[Vale - Alimentação])&lt;=0,0,
SUMIF(tabParametros[Código do Posto],tabCustoUnit[[#This Row],[Código do Posto]],tabParametros[Vale - Alimentação])*20-1)</f>
        <v>582</v>
      </c>
      <c r="AE79" s="22">
        <f>SUMIF(tabParametros[Código do Posto],tabCustoUnit[[#This Row],[Código do Posto]],tabParametros[Cesta Básica])</f>
        <v>0</v>
      </c>
      <c r="AF79" s="22">
        <f>SUMIF(tabParametros[Código do Posto],tabCustoUnit[[#This Row],[Código do Posto]],tabParametros[PAF])</f>
        <v>95.9</v>
      </c>
      <c r="AG79" s="22">
        <f>SUMIF(tabParametros[Código do Posto],tabCustoUnit[[#This Row],[Código do Posto]],tabParametros[PQM])</f>
        <v>0</v>
      </c>
      <c r="AH79" s="22">
        <f>SUMIF(tabParametros[Código do Posto],tabCustoUnit[[#This Row],[Código do Posto]],tabParametros[Abono Único e Especial])</f>
        <v>0</v>
      </c>
      <c r="AI79" s="22">
        <f>SUMIF(tabParametros[Código do Posto],tabCustoUnit[[#This Row],[Código do Posto]],tabParametros[Seguro de Vida])</f>
        <v>3.36</v>
      </c>
      <c r="AJ79" s="22">
        <f>SUMIF(tabParametros[Código do Posto],tabCustoUnit[[#This Row],[Código do Posto]],tabParametros[Despesas de Viagem])</f>
        <v>202.08</v>
      </c>
      <c r="AK79" s="22" t="e">
        <f ca="1">SUM(tabCustoUnit[[#This Row],[Vale - Transporte (Descontada parcela do empregado)]:[Despesas de Viagem]])</f>
        <v>#NAME?</v>
      </c>
      <c r="AL79" s="22" t="e">
        <f ca="1">tabCustoUnit[[#This Row],[Submódulo 2.1]]+tabCustoUnit[[#This Row],[Submódulo 2.2]]+tabCustoUnit[[#This Row],[Submódulo 2.3]]</f>
        <v>#NAME?</v>
      </c>
      <c r="AM79" s="22">
        <f>SUMIF(tabParametros[Código do Posto],tabCustoUnit[[#This Row],[Código do Posto]],tabParametros[Aviso Prévio Indenizado (API) e Reflexo do Aviso Prévio Indenizado])*tabCustoUnit[[#This Row],[MODULO 1 - REMUNERAÇÃO ]]</f>
        <v>33.436732704475311</v>
      </c>
      <c r="AN79" s="22">
        <f>SUMIF(tabParametros[Código do Posto],tabCustoUnit[[#This Row],[Código do Posto]],tabParametros[Incidência do FGTS sobre API e Reflexo do API])*tabCustoUnit[[#This Row],[MODULO 1 - REMUNERAÇÃO ]]</f>
        <v>2.6749386163580247</v>
      </c>
      <c r="AO79" s="22">
        <f>SUMIF(tabParametros[Código do Posto],tabCustoUnit[[#This Row],[Código do Posto]],tabParametros[Multa Rescisória do FGTS sobre o Aviso Prévio Indenizado])*tabCustoUnit[[#This Row],[MODULO 1 - REMUNERAÇÃO ]]</f>
        <v>1.0699754465432101</v>
      </c>
      <c r="AP79" s="22">
        <f>SUMIF(tabParametros[Código do Posto],tabCustoUnit[[#This Row],[Código do Posto]],tabParametros[Aviso Prévio Trabalhado - APT])*tabCustoUnit[[#This Row],[MODULO 1 - REMUNERAÇÃO ]]</f>
        <v>16.69031</v>
      </c>
      <c r="AQ79" s="22">
        <f>SUMIF(tabParametros[Código do Posto],tabCustoUnit[[#This Row],[Código do Posto]],tabParametros[Incidência dos encargos do submódulo 2.1 sobre Aviso Prévio Trabalhado])*tabCustoUnit[[#This Row],[MODULO 1 - REMUNERAÇÃO ]]</f>
        <v>6.3089371800000018</v>
      </c>
      <c r="AR79" s="22">
        <f>SUMIF(tabParametros[Código do Posto],tabCustoUnit[[#This Row],[Código do Posto]],tabParametros[Multa Rescisória do FGTS])*tabCustoUnit[[#This Row],[MODULO 1 - REMUNERAÇÃO ]]</f>
        <v>145.81502577777775</v>
      </c>
      <c r="AS79" s="22">
        <f>SUMIF(tabParametros[Código do Posto],tabCustoUnit[[#This Row],[Código do Posto]],tabParametros[Indenização Adicional (Art. 9º da Lei nº 7.238/84)])*tabCustoUnit[[#This Row],[MODULO 1 - REMUNERAÇÃO ]]</f>
        <v>3.9738833333333337</v>
      </c>
      <c r="AT79" s="22">
        <f>SUM(tabCustoUnit[[#This Row],[Aviso Prévio Indenizado (API) e Reflexo do Aviso Prévio Indenizado]:[Indenização Adicional (Art. 9º da Lei nº 7.238/84)]])</f>
        <v>209.96980305848763</v>
      </c>
      <c r="AU79" s="22">
        <f>SUMIF(tabParametros[Código do Posto],tabCustoUnit[[#This Row],[Código do Posto]],tabParametros[Ausência por Doença])*tabCustoUnit[[#This Row],[MODULO 1 - REMUNERAÇÃO ]]</f>
        <v>40.268684444444439</v>
      </c>
      <c r="AV79" s="22">
        <f>SUMIF(tabParametros[Código do Posto],tabCustoUnit[[#This Row],[Código do Posto]],tabParametros[Ausências Legais])*tabCustoUnit[[#This Row],[MODULO 1 - REMUNERAÇÃO ]]</f>
        <v>9.6697827777777761</v>
      </c>
      <c r="AW79" s="22">
        <f>SUMIF(tabParametros[Código do Posto],tabCustoUnit[[#This Row],[Código do Posto]],tabParametros[Licença Paternidade])*tabCustoUnit[[#This Row],[MODULO 1 - REMUNERAÇÃO ]]</f>
        <v>0.81464608333333333</v>
      </c>
      <c r="AX79" s="22">
        <f>SUMIF(tabParametros[Código do Posto],tabCustoUnit[[#This Row],[Código do Posto]],tabParametros[Ausência por Acidente de Trabalho])*tabCustoUnit[[#This Row],[MODULO 1 - REMUNERAÇÃO ]]</f>
        <v>0.99347083333333341</v>
      </c>
      <c r="AY79" s="22">
        <f>SUMIF(tabParametros[Código do Posto],tabCustoUnit[[#This Row],[Código do Posto]],tabParametros[Férias, Adicional de Férias e 13º  com empregada em gozo de Licença Maternidade])*tabCustoUnit[[#This Row],[MODULO 1 - REMUNERAÇÃO ]]</f>
        <v>6.1815962962962958</v>
      </c>
      <c r="AZ79" s="22">
        <f>SUMIF(tabParametros[Código do Posto],tabCustoUnit[[#This Row],[Código do Posto]],tabParametros[Incidência do Submódulo 2.1 sobre Ausências Legais])*tabCustoUnit[[#This Row],[MODULO 1 - REMUNERAÇÃO ]]</f>
        <v>21.896852204500004</v>
      </c>
      <c r="BA79" s="22">
        <f>SUM(tabCustoUnit[[#This Row],[Ausência por Doença]:[Incidência do Submódulo 2.1 sobre Ausências Legais]])</f>
        <v>79.82503263968519</v>
      </c>
      <c r="BB79" s="22">
        <f>SUMIF(tabParametros[Código do Posto],tabCustoUnit[[#This Row],[Código do Posto]],tabParametros[Intervalo para Repouso ou Alimentação])</f>
        <v>527.95878571428568</v>
      </c>
      <c r="BC79" s="22">
        <f>tabCustoUnit[[#This Row],[Intervalo para Repouso ou Alimentação]]</f>
        <v>527.95878571428568</v>
      </c>
      <c r="BD7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79" s="22">
        <f>tabCustoUnit[[#This Row],[Suspensão Temporária do Contrato de Trabalho]]</f>
        <v>0</v>
      </c>
      <c r="BF79" s="22">
        <f>tabCustoUnit[[#This Row],[Submódulo 4.1]]+tabCustoUnit[[#This Row],[Submódulo 4.2]]+tabCustoUnit[[#This Row],[Submódulo 4.3]]</f>
        <v>607.7838183539709</v>
      </c>
      <c r="BG79" s="22">
        <f>VLOOKUP(tabCustoUnit[[#This Row],[Código do Posto]],tabParametros[],MATCH(tabCustoUnit[[#Headers],[Uniformes e EPIs]],tabParametros[#Headers],0),0)</f>
        <v>90.784679782039703</v>
      </c>
      <c r="BH79" s="22">
        <f>VLOOKUP(tabCustoUnit[[#This Row],[Código do Posto]],tabParametros[],MATCH(tabCustoUnit[[#Headers],[Materiais de Consumo]],tabParametros[#Headers],0),0)</f>
        <v>0</v>
      </c>
      <c r="BI79" s="22">
        <f>VLOOKUP(tabCustoUnit[[#This Row],[Código do Posto]],tabParametros[],MATCH(tabCustoUnit[[#Headers],[Máquinas e Equipamentos (depreciação)]],tabParametros[#Headers],0),0)</f>
        <v>0</v>
      </c>
      <c r="BJ79" s="22">
        <f>VLOOKUP(tabCustoUnit[[#This Row],[Código do Posto]],tabParametros[],MATCH(tabCustoUnit[[#Headers],[Produtos de Limpeza e Materiais de Higiene Pessoal]],tabParametros[#Headers],0),0)</f>
        <v>0</v>
      </c>
      <c r="BK79" s="22">
        <f>VLOOKUP(tabCustoUnit[[#This Row],[Código do Posto]],tabParametros[],MATCH(tabCustoUnit[[#Headers],[Outros (especificar)]],tabParametros[#Headers],0),0)</f>
        <v>0</v>
      </c>
      <c r="BL79" s="22">
        <f>SUM(tabCustoUnit[[#This Row],[Uniformes e EPIs]:[Outros (especificar)]])</f>
        <v>90.784679782039703</v>
      </c>
      <c r="BM7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79" s="22" t="e">
        <f ca="1">VLOOKUP(tabCustoUnit[[#This Row],[Código do Posto]],tabParametros[],MATCH(tabCustoUnit[[#Headers],[Custos Indiretos]],tabParametros[#Headers],0),0)</f>
        <v>#NAME?</v>
      </c>
      <c r="BO79" s="22" t="e">
        <f ca="1">VLOOKUP(tabCustoUnit[[#This Row],[Código do Posto]],tabParametros[],MATCH(tabCustoUnit[[#Headers],[Lucro]],tabParametros[#Headers],0),0)</f>
        <v>#NAME?</v>
      </c>
      <c r="BP79" s="26">
        <f>((100/((1-tabCustoUnit[[#This Row],[Resumo de Alíquotas (PIS+CONFINS+ISS)]]))-100)*VLOOKUP(tabCustoUnit[[#This Row],[Código do Posto]],tabParametros[],MATCH(tabCustoUnit[[#Headers],[COFINS]],tabParametros[#Headers],0),0))/(tabCustoUnit[[#This Row],[Resumo de Alíquotas (PIS+CONFINS+ISS)]]*100)</f>
        <v>8.8629737609329504E-2</v>
      </c>
      <c r="BQ79" s="26">
        <f>((100/((100-(tabCustoUnit[[#This Row],[Resumo de Alíquotas (PIS+CONFINS+ISS)]]*100))%)-100)*VLOOKUP(tabCustoUnit[[#This Row],[Código do Posto]],tabParametros[],MATCH(tabCustoUnit[[#Headers],[PIS]],tabParametros[#Headers],0),0))/(tabCustoUnit[[#This Row],[Resumo de Alíquotas (PIS+CONFINS+ISS)]]*100)</f>
        <v>1.9241982507288629E-2</v>
      </c>
      <c r="BR79" s="28">
        <f>VLOOKUP(tabCustoUnit[[#This Row],[Código do Posto]],tabParametros[],MATCH(tabCustoUnit[[#Headers],[ISS]],tabParametros[#Headers],0),0)</f>
        <v>0.05</v>
      </c>
      <c r="BS79" s="26">
        <f>(((100/((100-(tabCustoUnit[[#This Row],[Resumo de Alíquotas (PIS+CONFINS+ISS)]]*100))%)-100)*tabCustoUnit[[#This Row],[ISS]])/tabCustoUnit[[#This Row],[Resumo de Alíquotas (PIS+CONFINS+ISS)]])/100</f>
        <v>5.8309037900874633E-2</v>
      </c>
      <c r="BT7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9" s="138">
        <f>tabCustoUnit[[#This Row],[COFINS]]+tabCustoUnit[[#This Row],[PIS]]+tabCustoUnit[[#This Row],[ISS (Conversão Alíquota s/ fatura)]]</f>
        <v>0.16618075801749277</v>
      </c>
      <c r="BV79" s="22" t="e">
        <f ca="1">(tabCustoUnit[[#This Row],[TOTAL MÓDULOS 1+2+3+4+5]]+tabCustoUnit[[#This Row],[Custos Indiretos]]+tabCustoUnit[[#This Row],[Lucro]])*tabCustoUnit[[#This Row],[PIS + COFINS + ISS (Total Conversão  Alíquota s/ Fatura)]]</f>
        <v>#NAME?</v>
      </c>
      <c r="BW79" s="22" t="e">
        <f ca="1">tabCustoUnit[[#This Row],[Custos Indiretos]]+tabCustoUnit[[#This Row],[Lucro]]+tabCustoUnit[[#This Row],[Valor dos Tributos (ISS, PIS, CONFINS)]]</f>
        <v>#NAME?</v>
      </c>
      <c r="BX79" s="22" t="e">
        <f ca="1">tabCustoUnit[[#This Row],[TOTAL MÓDULOS 1+2+3+4+5]]+tabCustoUnit[[#This Row],[MÓDULO 6 – CUSTOS INDIRETOS, TRIBUTOS E LUCRO]]</f>
        <v>#NAME?</v>
      </c>
      <c r="BY79" s="22" t="e">
        <f ca="1">tabCustoUnit[[#This Row],[CUSTO TOTAL MENSAL]]*12</f>
        <v>#NAME?</v>
      </c>
      <c r="BZ79" s="24">
        <f>VLOOKUP(tabCustoUnit[[#This Row],[Código do Posto]],tabParametros[],MATCH(tabCustoUnit[[#Headers],[ANO DA CCT]],tabParametros[#Headers],0),0)</f>
        <v>45658</v>
      </c>
      <c r="CA79" s="25" t="str">
        <f>VLOOKUP(tabCustoUnit[[#This Row],[Código do Posto]],tabParametros[],MATCH(tabCustoUnit[[#Headers],[Nº DE PEDIDO DA CCT]],tabParametros[#Headers],0),0)</f>
        <v>-</v>
      </c>
      <c r="CB79" s="25" t="str">
        <f>VLOOKUP(tabCustoUnit[[#This Row],[Código do Posto]],tabParametros[],MATCH(tabCustoUnit[[#Headers],[TERMO ADITIVO ALTERAÇÃO DA CCT]],tabParametros[#Headers],0),0)</f>
        <v>-</v>
      </c>
    </row>
    <row r="80" spans="1:80">
      <c r="A80" s="20" t="s">
        <v>1455</v>
      </c>
      <c r="B80" t="s">
        <v>1103</v>
      </c>
      <c r="C80" t="s">
        <v>1523</v>
      </c>
      <c r="D80" t="s">
        <v>1035</v>
      </c>
      <c r="E80" s="20" t="s">
        <v>1090</v>
      </c>
      <c r="F80" s="20" t="s">
        <v>120</v>
      </c>
      <c r="G80" s="418">
        <v>4768.66</v>
      </c>
      <c r="H80" s="418">
        <v>0</v>
      </c>
      <c r="I80" s="418">
        <v>0</v>
      </c>
      <c r="J80" s="418">
        <v>960.88499999999999</v>
      </c>
      <c r="K80" s="418">
        <v>0</v>
      </c>
      <c r="L80" s="418">
        <v>0</v>
      </c>
      <c r="M80" s="418">
        <v>0</v>
      </c>
      <c r="N80" s="418">
        <v>0</v>
      </c>
      <c r="O80" s="21">
        <f>SUM(tabCustoUnit[[#This Row],[Salário Base]:[Adicional de Acúmulo de função]])</f>
        <v>5729.5450000000001</v>
      </c>
      <c r="P80" s="21">
        <f>tabCustoUnit[[#This Row],[MODULO 1 - REMUNERAÇÃO ]]*SUMIFS(tabParametros[INSS],tabParametros[Código do Posto],tabCustoUnit[[#This Row],[Código do Posto]])</f>
        <v>1145.9090000000001</v>
      </c>
      <c r="Q80" s="21">
        <f>tabCustoUnit[[#This Row],[MODULO 1 - REMUNERAÇÃO ]]*SUMIFS(tabParametros[SESI OU SESC],tabParametros[Código do Posto],tabCustoUnit[[#This Row],[Código do Posto]])</f>
        <v>85.943174999999997</v>
      </c>
      <c r="R80" s="21">
        <f>tabCustoUnit[[#This Row],[MODULO 1 - REMUNERAÇÃO ]]*SUMIFS(tabParametros[SENAI OU SENAC],tabParametros[Código do Posto],tabCustoUnit[[#This Row],[Código do Posto]])</f>
        <v>57.295450000000002</v>
      </c>
      <c r="S80" s="21">
        <f>tabCustoUnit[[#This Row],[MODULO 1 - REMUNERAÇÃO ]]*SUMIFS(tabParametros[INCRA],tabParametros[Código do Posto],tabCustoUnit[[#This Row],[Código do Posto]])</f>
        <v>11.45909</v>
      </c>
      <c r="T80" s="21">
        <f>tabCustoUnit[[#This Row],[MODULO 1 - REMUNERAÇÃO ]]*SUMIFS(tabParametros[Salário Educação],tabParametros[Código do Posto],tabCustoUnit[[#This Row],[Código do Posto]])</f>
        <v>143.23862500000001</v>
      </c>
      <c r="U80" s="21">
        <f>tabCustoUnit[[#This Row],[MODULO 1 - REMUNERAÇÃO ]]*SUMIFS(tabParametros[FGTS],tabParametros[Código do Posto],tabCustoUnit[[#This Row],[Código do Posto]])</f>
        <v>458.36360000000002</v>
      </c>
      <c r="V80" s="21">
        <f>tabCustoUnit[[#This Row],[MODULO 1 - REMUNERAÇÃO ]]*SUMIFS(tabParametros[RAT Ajustado],tabParametros[Código do Posto],tabCustoUnit[[#This Row],[Código do Posto]])</f>
        <v>229.18180000000001</v>
      </c>
      <c r="W80" s="21">
        <f>tabCustoUnit[[#This Row],[MODULO 1 - REMUNERAÇÃO ]]*SUMIFS(tabParametros[SEBRAE],tabParametros[Código do Posto],tabCustoUnit[[#This Row],[Código do Posto]])</f>
        <v>34.377270000000003</v>
      </c>
      <c r="X80" s="21">
        <f>SUM(tabCustoUnit[[#This Row],[INSS]:[SEBRAE]])</f>
        <v>2165.7680099999998</v>
      </c>
      <c r="Y80" s="21">
        <f>tabCustoUnit[[#This Row],[MODULO 1 - REMUNERAÇÃO ]]*SUMIFS(tabParametros[13º salário (titular)],tabParametros[Código do Posto],tabCustoUnit[[#This Row],[Código do Posto]])</f>
        <v>477.46208333333334</v>
      </c>
      <c r="Z80" s="21">
        <f>tabCustoUnit[[#This Row],[MODULO 1 - REMUNERAÇÃO ]]*SUMIFS(tabParametros[Férias e Adicional de Férias (titular)],tabParametros[Código do Posto],tabCustoUnit[[#This Row],[Código do Posto]])</f>
        <v>636.61611111111108</v>
      </c>
      <c r="AA80" s="21">
        <f>IFERROR((tabCustoUnit[[#This Row],[Submódulo 2.1]]/tabCustoUnit[[#This Row],[MODULO 1 - REMUNERAÇÃO ]])*SUM(tabCustoUnit[[#This Row],[13º salário (titular)]:[Férias e Adicional de Férias (titular)]]),0)</f>
        <v>421.12155749999988</v>
      </c>
      <c r="AB80" s="21">
        <f>SUM(tabCustoUnit[[#This Row],[13º salário (titular)]:[Incidência do Submódulo 2.1 sobre 13º Salário, Férias e Adicional de Férias]])</f>
        <v>1535.1997519444442</v>
      </c>
      <c r="AC80" s="22" t="e">
        <f ca="1">_xlfn.LET(_xlpm.VT,SUMIF(tabParametros[Código do Posto],tabCustoUnit[[#This Row],[Código do Posto]],tabParametros[Vale - Transporte])*2*20,
IF((_xlpm.VT-tabCustoUnit[[#This Row],[Salário Base]]*0.06)&gt;=0,(_xlpm.VT-tabCustoUnit[[#This Row],[Salário Base]]*0.06),0)
)</f>
        <v>#NAME?</v>
      </c>
      <c r="AD80" s="22">
        <f>IF(SUMIF(tabParametros[Código do Posto],tabCustoUnit[[#This Row],[Código do Posto]],tabParametros[Vale - Alimentação])&lt;=0,0,
SUMIF(tabParametros[Código do Posto],tabCustoUnit[[#This Row],[Código do Posto]],tabParametros[Vale - Alimentação])*20-1)</f>
        <v>582</v>
      </c>
      <c r="AE80" s="22">
        <f>SUMIF(tabParametros[Código do Posto],tabCustoUnit[[#This Row],[Código do Posto]],tabParametros[Cesta Básica])</f>
        <v>0</v>
      </c>
      <c r="AF80" s="22">
        <f>SUMIF(tabParametros[Código do Posto],tabCustoUnit[[#This Row],[Código do Posto]],tabParametros[PAF])</f>
        <v>95.9</v>
      </c>
      <c r="AG80" s="22">
        <f>SUMIF(tabParametros[Código do Posto],tabCustoUnit[[#This Row],[Código do Posto]],tabParametros[PQM])</f>
        <v>0</v>
      </c>
      <c r="AH80" s="22">
        <f>SUMIF(tabParametros[Código do Posto],tabCustoUnit[[#This Row],[Código do Posto]],tabParametros[Abono Único e Especial])</f>
        <v>0</v>
      </c>
      <c r="AI80" s="22">
        <f>SUMIF(tabParametros[Código do Posto],tabCustoUnit[[#This Row],[Código do Posto]],tabParametros[Seguro de Vida])</f>
        <v>3.36</v>
      </c>
      <c r="AJ80" s="22">
        <f>SUMIF(tabParametros[Código do Posto],tabCustoUnit[[#This Row],[Código do Posto]],tabParametros[Despesas de Viagem])</f>
        <v>202.08</v>
      </c>
      <c r="AK80" s="22" t="e">
        <f ca="1">SUM(tabCustoUnit[[#This Row],[Vale - Transporte (Descontada parcela do empregado)]:[Despesas de Viagem]])</f>
        <v>#NAME?</v>
      </c>
      <c r="AL80" s="22" t="e">
        <f ca="1">tabCustoUnit[[#This Row],[Submódulo 2.1]]+tabCustoUnit[[#This Row],[Submódulo 2.2]]+tabCustoUnit[[#This Row],[Submódulo 2.3]]</f>
        <v>#NAME?</v>
      </c>
      <c r="AM80" s="22">
        <f>SUMIF(tabParametros[Código do Posto],tabCustoUnit[[#This Row],[Código do Posto]],tabParametros[Aviso Prévio Indenizado (API) e Reflexo do Aviso Prévio Indenizado])*tabCustoUnit[[#This Row],[MODULO 1 - REMUNERAÇÃO ]]</f>
        <v>40.174234414544756</v>
      </c>
      <c r="AN80" s="22">
        <f>SUMIF(tabParametros[Código do Posto],tabCustoUnit[[#This Row],[Código do Posto]],tabParametros[Incidência do FGTS sobre API e Reflexo do API])*tabCustoUnit[[#This Row],[MODULO 1 - REMUNERAÇÃO ]]</f>
        <v>3.2139387531635806</v>
      </c>
      <c r="AO80" s="22">
        <f>SUMIF(tabParametros[Código do Posto],tabCustoUnit[[#This Row],[Código do Posto]],tabParametros[Multa Rescisória do FGTS sobre o Aviso Prévio Indenizado])*tabCustoUnit[[#This Row],[MODULO 1 - REMUNERAÇÃO ]]</f>
        <v>1.2855755012654324</v>
      </c>
      <c r="AP80" s="22">
        <f>SUMIF(tabParametros[Código do Posto],tabCustoUnit[[#This Row],[Código do Posto]],tabParametros[Aviso Prévio Trabalhado - APT])*tabCustoUnit[[#This Row],[MODULO 1 - REMUNERAÇÃO ]]</f>
        <v>20.053407500000002</v>
      </c>
      <c r="AQ80" s="22">
        <f>SUMIF(tabParametros[Código do Posto],tabCustoUnit[[#This Row],[Código do Posto]],tabParametros[Incidência dos encargos do submódulo 2.1 sobre Aviso Prévio Trabalhado])*tabCustoUnit[[#This Row],[MODULO 1 - REMUNERAÇÃO ]]</f>
        <v>7.5801880350000026</v>
      </c>
      <c r="AR80" s="22">
        <f>SUMIF(tabParametros[Código do Posto],tabCustoUnit[[#This Row],[Código do Posto]],tabParametros[Multa Rescisória do FGTS])*tabCustoUnit[[#This Row],[MODULO 1 - REMUNERAÇÃO ]]</f>
        <v>175.19675377777776</v>
      </c>
      <c r="AS80" s="22">
        <f>SUMIF(tabParametros[Código do Posto],tabCustoUnit[[#This Row],[Código do Posto]],tabParametros[Indenização Adicional (Art. 9º da Lei nº 7.238/84)])*tabCustoUnit[[#This Row],[MODULO 1 - REMUNERAÇÃO ]]</f>
        <v>4.7746208333333335</v>
      </c>
      <c r="AT80" s="22">
        <f>SUM(tabCustoUnit[[#This Row],[Aviso Prévio Indenizado (API) e Reflexo do Aviso Prévio Indenizado]:[Indenização Adicional (Art. 9º da Lei nº 7.238/84)]])</f>
        <v>252.27871881508489</v>
      </c>
      <c r="AU80" s="22">
        <f>SUMIF(tabParametros[Código do Posto],tabCustoUnit[[#This Row],[Código do Posto]],tabParametros[Ausência por Doença])*tabCustoUnit[[#This Row],[MODULO 1 - REMUNERAÇÃO ]]</f>
        <v>48.382824444444438</v>
      </c>
      <c r="AV80" s="22">
        <f>SUMIF(tabParametros[Código do Posto],tabCustoUnit[[#This Row],[Código do Posto]],tabParametros[Ausências Legais])*tabCustoUnit[[#This Row],[MODULO 1 - REMUNERAÇÃO ]]</f>
        <v>11.618244027777777</v>
      </c>
      <c r="AW80" s="22">
        <f>SUMIF(tabParametros[Código do Posto],tabCustoUnit[[#This Row],[Código do Posto]],tabParametros[Licença Paternidade])*tabCustoUnit[[#This Row],[MODULO 1 - REMUNERAÇÃO ]]</f>
        <v>0.97879727083333334</v>
      </c>
      <c r="AX80" s="22">
        <f>SUMIF(tabParametros[Código do Posto],tabCustoUnit[[#This Row],[Código do Posto]],tabParametros[Ausência por Acidente de Trabalho])*tabCustoUnit[[#This Row],[MODULO 1 - REMUNERAÇÃO ]]</f>
        <v>1.1936552083333334</v>
      </c>
      <c r="AY80" s="22">
        <f>SUMIF(tabParametros[Código do Posto],tabCustoUnit[[#This Row],[Código do Posto]],tabParametros[Férias, Adicional de Férias e 13º  com empregada em gozo de Licença Maternidade])*tabCustoUnit[[#This Row],[MODULO 1 - REMUNERAÇÃO ]]</f>
        <v>7.4271879629629627</v>
      </c>
      <c r="AZ80" s="22">
        <f>SUMIF(tabParametros[Código do Posto],tabCustoUnit[[#This Row],[Código do Posto]],tabParametros[Incidência do Submódulo 2.1 sobre Ausências Legais])*tabCustoUnit[[#This Row],[MODULO 1 - REMUNERAÇÃO ]]</f>
        <v>26.309067969625005</v>
      </c>
      <c r="BA80" s="22">
        <f>SUM(tabCustoUnit[[#This Row],[Ausência por Doença]:[Incidência do Submódulo 2.1 sobre Ausências Legais]])</f>
        <v>95.909776883976846</v>
      </c>
      <c r="BB80" s="22">
        <f>SUMIF(tabParametros[Código do Posto],tabCustoUnit[[#This Row],[Código do Posto]],tabParametros[Intervalo para Repouso ou Alimentação])</f>
        <v>634.34248103571417</v>
      </c>
      <c r="BC80" s="22">
        <f>tabCustoUnit[[#This Row],[Intervalo para Repouso ou Alimentação]]</f>
        <v>634.34248103571417</v>
      </c>
      <c r="BD8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0" s="22">
        <f>tabCustoUnit[[#This Row],[Suspensão Temporária do Contrato de Trabalho]]</f>
        <v>0</v>
      </c>
      <c r="BF80" s="22">
        <f>tabCustoUnit[[#This Row],[Submódulo 4.1]]+tabCustoUnit[[#This Row],[Submódulo 4.2]]+tabCustoUnit[[#This Row],[Submódulo 4.3]]</f>
        <v>730.25225791969103</v>
      </c>
      <c r="BG80" s="22">
        <f>VLOOKUP(tabCustoUnit[[#This Row],[Código do Posto]],tabParametros[],MATCH(tabCustoUnit[[#Headers],[Uniformes e EPIs]],tabParametros[#Headers],0),0)</f>
        <v>90.784679782039703</v>
      </c>
      <c r="BH80" s="22">
        <f>VLOOKUP(tabCustoUnit[[#This Row],[Código do Posto]],tabParametros[],MATCH(tabCustoUnit[[#Headers],[Materiais de Consumo]],tabParametros[#Headers],0),0)</f>
        <v>0</v>
      </c>
      <c r="BI80" s="22">
        <f>VLOOKUP(tabCustoUnit[[#This Row],[Código do Posto]],tabParametros[],MATCH(tabCustoUnit[[#Headers],[Máquinas e Equipamentos (depreciação)]],tabParametros[#Headers],0),0)</f>
        <v>0</v>
      </c>
      <c r="BJ80" s="22">
        <f>VLOOKUP(tabCustoUnit[[#This Row],[Código do Posto]],tabParametros[],MATCH(tabCustoUnit[[#Headers],[Produtos de Limpeza e Materiais de Higiene Pessoal]],tabParametros[#Headers],0),0)</f>
        <v>0</v>
      </c>
      <c r="BK80" s="22">
        <f>VLOOKUP(tabCustoUnit[[#This Row],[Código do Posto]],tabParametros[],MATCH(tabCustoUnit[[#Headers],[Outros (especificar)]],tabParametros[#Headers],0),0)</f>
        <v>0</v>
      </c>
      <c r="BL80" s="22">
        <f>SUM(tabCustoUnit[[#This Row],[Uniformes e EPIs]:[Outros (especificar)]])</f>
        <v>90.784679782039703</v>
      </c>
      <c r="BM8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0" s="22" t="e">
        <f ca="1">VLOOKUP(tabCustoUnit[[#This Row],[Código do Posto]],tabParametros[],MATCH(tabCustoUnit[[#Headers],[Custos Indiretos]],tabParametros[#Headers],0),0)</f>
        <v>#NAME?</v>
      </c>
      <c r="BO80" s="22" t="e">
        <f ca="1">VLOOKUP(tabCustoUnit[[#This Row],[Código do Posto]],tabParametros[],MATCH(tabCustoUnit[[#Headers],[Lucro]],tabParametros[#Headers],0),0)</f>
        <v>#NAME?</v>
      </c>
      <c r="BP80" s="26">
        <f>((100/((1-tabCustoUnit[[#This Row],[Resumo de Alíquotas (PIS+CONFINS+ISS)]]))-100)*VLOOKUP(tabCustoUnit[[#This Row],[Código do Posto]],tabParametros[],MATCH(tabCustoUnit[[#Headers],[COFINS]],tabParametros[#Headers],0),0))/(tabCustoUnit[[#This Row],[Resumo de Alíquotas (PIS+CONFINS+ISS)]]*100)</f>
        <v>8.8629737609329504E-2</v>
      </c>
      <c r="BQ80" s="26">
        <f>((100/((100-(tabCustoUnit[[#This Row],[Resumo de Alíquotas (PIS+CONFINS+ISS)]]*100))%)-100)*VLOOKUP(tabCustoUnit[[#This Row],[Código do Posto]],tabParametros[],MATCH(tabCustoUnit[[#Headers],[PIS]],tabParametros[#Headers],0),0))/(tabCustoUnit[[#This Row],[Resumo de Alíquotas (PIS+CONFINS+ISS)]]*100)</f>
        <v>1.9241982507288629E-2</v>
      </c>
      <c r="BR80" s="28">
        <f>VLOOKUP(tabCustoUnit[[#This Row],[Código do Posto]],tabParametros[],MATCH(tabCustoUnit[[#Headers],[ISS]],tabParametros[#Headers],0),0)</f>
        <v>0.05</v>
      </c>
      <c r="BS80" s="26">
        <f>(((100/((100-(tabCustoUnit[[#This Row],[Resumo de Alíquotas (PIS+CONFINS+ISS)]]*100))%)-100)*tabCustoUnit[[#This Row],[ISS]])/tabCustoUnit[[#This Row],[Resumo de Alíquotas (PIS+CONFINS+ISS)]])/100</f>
        <v>5.8309037900874633E-2</v>
      </c>
      <c r="BT8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0" s="138">
        <f>tabCustoUnit[[#This Row],[COFINS]]+tabCustoUnit[[#This Row],[PIS]]+tabCustoUnit[[#This Row],[ISS (Conversão Alíquota s/ fatura)]]</f>
        <v>0.16618075801749277</v>
      </c>
      <c r="BV80" s="22" t="e">
        <f ca="1">(tabCustoUnit[[#This Row],[TOTAL MÓDULOS 1+2+3+4+5]]+tabCustoUnit[[#This Row],[Custos Indiretos]]+tabCustoUnit[[#This Row],[Lucro]])*tabCustoUnit[[#This Row],[PIS + COFINS + ISS (Total Conversão  Alíquota s/ Fatura)]]</f>
        <v>#NAME?</v>
      </c>
      <c r="BW80" s="22" t="e">
        <f ca="1">tabCustoUnit[[#This Row],[Custos Indiretos]]+tabCustoUnit[[#This Row],[Lucro]]+tabCustoUnit[[#This Row],[Valor dos Tributos (ISS, PIS, CONFINS)]]</f>
        <v>#NAME?</v>
      </c>
      <c r="BX80" s="22" t="e">
        <f ca="1">tabCustoUnit[[#This Row],[TOTAL MÓDULOS 1+2+3+4+5]]+tabCustoUnit[[#This Row],[MÓDULO 6 – CUSTOS INDIRETOS, TRIBUTOS E LUCRO]]</f>
        <v>#NAME?</v>
      </c>
      <c r="BY80" s="22" t="e">
        <f ca="1">tabCustoUnit[[#This Row],[CUSTO TOTAL MENSAL]]*12</f>
        <v>#NAME?</v>
      </c>
      <c r="BZ80" s="24">
        <f>VLOOKUP(tabCustoUnit[[#This Row],[Código do Posto]],tabParametros[],MATCH(tabCustoUnit[[#Headers],[ANO DA CCT]],tabParametros[#Headers],0),0)</f>
        <v>45658</v>
      </c>
      <c r="CA80" s="25" t="str">
        <f>VLOOKUP(tabCustoUnit[[#This Row],[Código do Posto]],tabParametros[],MATCH(tabCustoUnit[[#Headers],[Nº DE PEDIDO DA CCT]],tabParametros[#Headers],0),0)</f>
        <v>-</v>
      </c>
      <c r="CB80" s="25" t="str">
        <f>VLOOKUP(tabCustoUnit[[#This Row],[Código do Posto]],tabParametros[],MATCH(tabCustoUnit[[#Headers],[TERMO ADITIVO ALTERAÇÃO DA CCT]],tabParametros[#Headers],0),0)</f>
        <v>-</v>
      </c>
    </row>
    <row r="81" spans="1:80">
      <c r="A81" s="20" t="s">
        <v>1456</v>
      </c>
      <c r="B81" t="s">
        <v>1103</v>
      </c>
      <c r="C81" t="s">
        <v>1370</v>
      </c>
      <c r="D81" t="s">
        <v>1035</v>
      </c>
      <c r="E81" s="20" t="s">
        <v>1090</v>
      </c>
      <c r="F81" s="20" t="s">
        <v>120</v>
      </c>
      <c r="G81" s="418">
        <v>4768.66</v>
      </c>
      <c r="H81" s="418">
        <v>0</v>
      </c>
      <c r="I81" s="418">
        <v>0</v>
      </c>
      <c r="J81" s="418">
        <v>0</v>
      </c>
      <c r="K81" s="418">
        <v>0</v>
      </c>
      <c r="L81" s="418">
        <v>0</v>
      </c>
      <c r="M81" s="418">
        <v>0</v>
      </c>
      <c r="N81" s="418">
        <v>0</v>
      </c>
      <c r="O81" s="21">
        <f>SUM(tabCustoUnit[[#This Row],[Salário Base]:[Adicional de Acúmulo de função]])</f>
        <v>4768.66</v>
      </c>
      <c r="P81" s="21">
        <f>tabCustoUnit[[#This Row],[MODULO 1 - REMUNERAÇÃO ]]*SUMIFS(tabParametros[INSS],tabParametros[Código do Posto],tabCustoUnit[[#This Row],[Código do Posto]])</f>
        <v>953.73199999999997</v>
      </c>
      <c r="Q81" s="21">
        <f>tabCustoUnit[[#This Row],[MODULO 1 - REMUNERAÇÃO ]]*SUMIFS(tabParametros[SESI OU SESC],tabParametros[Código do Posto],tabCustoUnit[[#This Row],[Código do Posto]])</f>
        <v>71.529899999999998</v>
      </c>
      <c r="R81" s="21">
        <f>tabCustoUnit[[#This Row],[MODULO 1 - REMUNERAÇÃO ]]*SUMIFS(tabParametros[SENAI OU SENAC],tabParametros[Código do Posto],tabCustoUnit[[#This Row],[Código do Posto]])</f>
        <v>47.686599999999999</v>
      </c>
      <c r="S81" s="21">
        <f>tabCustoUnit[[#This Row],[MODULO 1 - REMUNERAÇÃO ]]*SUMIFS(tabParametros[INCRA],tabParametros[Código do Posto],tabCustoUnit[[#This Row],[Código do Posto]])</f>
        <v>9.5373199999999994</v>
      </c>
      <c r="T81" s="21">
        <f>tabCustoUnit[[#This Row],[MODULO 1 - REMUNERAÇÃO ]]*SUMIFS(tabParametros[Salário Educação],tabParametros[Código do Posto],tabCustoUnit[[#This Row],[Código do Posto]])</f>
        <v>119.2165</v>
      </c>
      <c r="U81" s="21">
        <f>tabCustoUnit[[#This Row],[MODULO 1 - REMUNERAÇÃO ]]*SUMIFS(tabParametros[FGTS],tabParametros[Código do Posto],tabCustoUnit[[#This Row],[Código do Posto]])</f>
        <v>381.49279999999999</v>
      </c>
      <c r="V81" s="21">
        <f>tabCustoUnit[[#This Row],[MODULO 1 - REMUNERAÇÃO ]]*SUMIFS(tabParametros[RAT Ajustado],tabParametros[Código do Posto],tabCustoUnit[[#This Row],[Código do Posto]])</f>
        <v>190.74639999999999</v>
      </c>
      <c r="W81" s="21">
        <f>tabCustoUnit[[#This Row],[MODULO 1 - REMUNERAÇÃO ]]*SUMIFS(tabParametros[SEBRAE],tabParametros[Código do Posto],tabCustoUnit[[#This Row],[Código do Posto]])</f>
        <v>28.61196</v>
      </c>
      <c r="X81" s="21">
        <f>SUM(tabCustoUnit[[#This Row],[INSS]:[SEBRAE]])</f>
        <v>1802.5534799999998</v>
      </c>
      <c r="Y81" s="21">
        <f>tabCustoUnit[[#This Row],[MODULO 1 - REMUNERAÇÃO ]]*SUMIFS(tabParametros[13º salário (titular)],tabParametros[Código do Posto],tabCustoUnit[[#This Row],[Código do Posto]])</f>
        <v>397.38833333333332</v>
      </c>
      <c r="Z81" s="21">
        <f>tabCustoUnit[[#This Row],[MODULO 1 - REMUNERAÇÃO ]]*SUMIFS(tabParametros[Férias e Adicional de Férias (titular)],tabParametros[Código do Posto],tabCustoUnit[[#This Row],[Código do Posto]])</f>
        <v>529.85111111111109</v>
      </c>
      <c r="AA81" s="21">
        <f>IFERROR((tabCustoUnit[[#This Row],[Submódulo 2.1]]/tabCustoUnit[[#This Row],[MODULO 1 - REMUNERAÇÃO ]])*SUM(tabCustoUnit[[#This Row],[13º salário (titular)]:[Férias e Adicional de Férias (titular)]]),0)</f>
        <v>350.49650999999994</v>
      </c>
      <c r="AB81" s="21">
        <f>SUM(tabCustoUnit[[#This Row],[13º salário (titular)]:[Incidência do Submódulo 2.1 sobre 13º Salário, Férias e Adicional de Férias]])</f>
        <v>1277.7359544444444</v>
      </c>
      <c r="AC81" s="22" t="e">
        <f ca="1">_xlfn.LET(_xlpm.VT,SUMIF(tabParametros[Código do Posto],tabCustoUnit[[#This Row],[Código do Posto]],tabParametros[Vale - Transporte])*2*20,
IF((_xlpm.VT-tabCustoUnit[[#This Row],[Salário Base]]*0.06)&gt;=0,(_xlpm.VT-tabCustoUnit[[#This Row],[Salário Base]]*0.06),0)
)</f>
        <v>#NAME?</v>
      </c>
      <c r="AD81" s="22">
        <f>IF(SUMIF(tabParametros[Código do Posto],tabCustoUnit[[#This Row],[Código do Posto]],tabParametros[Vale - Alimentação])&lt;=0,0,
SUMIF(tabParametros[Código do Posto],tabCustoUnit[[#This Row],[Código do Posto]],tabParametros[Vale - Alimentação])*20-1)</f>
        <v>582</v>
      </c>
      <c r="AE81" s="22">
        <f>SUMIF(tabParametros[Código do Posto],tabCustoUnit[[#This Row],[Código do Posto]],tabParametros[Cesta Básica])</f>
        <v>0</v>
      </c>
      <c r="AF81" s="22">
        <f>SUMIF(tabParametros[Código do Posto],tabCustoUnit[[#This Row],[Código do Posto]],tabParametros[PAF])</f>
        <v>95.9</v>
      </c>
      <c r="AG81" s="22">
        <f>SUMIF(tabParametros[Código do Posto],tabCustoUnit[[#This Row],[Código do Posto]],tabParametros[PQM])</f>
        <v>0</v>
      </c>
      <c r="AH81" s="22">
        <f>SUMIF(tabParametros[Código do Posto],tabCustoUnit[[#This Row],[Código do Posto]],tabParametros[Abono Único e Especial])</f>
        <v>0</v>
      </c>
      <c r="AI81" s="22">
        <f>SUMIF(tabParametros[Código do Posto],tabCustoUnit[[#This Row],[Código do Posto]],tabParametros[Seguro de Vida])</f>
        <v>3.36</v>
      </c>
      <c r="AJ81" s="22">
        <f>SUMIF(tabParametros[Código do Posto],tabCustoUnit[[#This Row],[Código do Posto]],tabParametros[Despesas de Viagem])</f>
        <v>202.08</v>
      </c>
      <c r="AK81" s="22" t="e">
        <f ca="1">SUM(tabCustoUnit[[#This Row],[Vale - Transporte (Descontada parcela do empregado)]:[Despesas de Viagem]])</f>
        <v>#NAME?</v>
      </c>
      <c r="AL81" s="22" t="e">
        <f ca="1">tabCustoUnit[[#This Row],[Submódulo 2.1]]+tabCustoUnit[[#This Row],[Submódulo 2.2]]+tabCustoUnit[[#This Row],[Submódulo 2.3]]</f>
        <v>#NAME?</v>
      </c>
      <c r="AM81" s="22">
        <f>SUMIF(tabParametros[Código do Posto],tabCustoUnit[[#This Row],[Código do Posto]],tabParametros[Aviso Prévio Indenizado (API) e Reflexo do Aviso Prévio Indenizado])*tabCustoUnit[[#This Row],[MODULO 1 - REMUNERAÇÃO ]]</f>
        <v>33.436732704475311</v>
      </c>
      <c r="AN81" s="22">
        <f>SUMIF(tabParametros[Código do Posto],tabCustoUnit[[#This Row],[Código do Posto]],tabParametros[Incidência do FGTS sobre API e Reflexo do API])*tabCustoUnit[[#This Row],[MODULO 1 - REMUNERAÇÃO ]]</f>
        <v>2.6749386163580247</v>
      </c>
      <c r="AO81" s="22">
        <f>SUMIF(tabParametros[Código do Posto],tabCustoUnit[[#This Row],[Código do Posto]],tabParametros[Multa Rescisória do FGTS sobre o Aviso Prévio Indenizado])*tabCustoUnit[[#This Row],[MODULO 1 - REMUNERAÇÃO ]]</f>
        <v>1.0699754465432101</v>
      </c>
      <c r="AP81" s="22">
        <f>SUMIF(tabParametros[Código do Posto],tabCustoUnit[[#This Row],[Código do Posto]],tabParametros[Aviso Prévio Trabalhado - APT])*tabCustoUnit[[#This Row],[MODULO 1 - REMUNERAÇÃO ]]</f>
        <v>16.69031</v>
      </c>
      <c r="AQ81" s="22">
        <f>SUMIF(tabParametros[Código do Posto],tabCustoUnit[[#This Row],[Código do Posto]],tabParametros[Incidência dos encargos do submódulo 2.1 sobre Aviso Prévio Trabalhado])*tabCustoUnit[[#This Row],[MODULO 1 - REMUNERAÇÃO ]]</f>
        <v>6.3089371800000018</v>
      </c>
      <c r="AR81" s="22">
        <f>SUMIF(tabParametros[Código do Posto],tabCustoUnit[[#This Row],[Código do Posto]],tabParametros[Multa Rescisória do FGTS])*tabCustoUnit[[#This Row],[MODULO 1 - REMUNERAÇÃO ]]</f>
        <v>145.81502577777775</v>
      </c>
      <c r="AS81" s="22">
        <f>SUMIF(tabParametros[Código do Posto],tabCustoUnit[[#This Row],[Código do Posto]],tabParametros[Indenização Adicional (Art. 9º da Lei nº 7.238/84)])*tabCustoUnit[[#This Row],[MODULO 1 - REMUNERAÇÃO ]]</f>
        <v>3.9738833333333337</v>
      </c>
      <c r="AT81" s="22">
        <f>SUM(tabCustoUnit[[#This Row],[Aviso Prévio Indenizado (API) e Reflexo do Aviso Prévio Indenizado]:[Indenização Adicional (Art. 9º da Lei nº 7.238/84)]])</f>
        <v>209.96980305848763</v>
      </c>
      <c r="AU81" s="22">
        <f>SUMIF(tabParametros[Código do Posto],tabCustoUnit[[#This Row],[Código do Posto]],tabParametros[Ausência por Doença])*tabCustoUnit[[#This Row],[MODULO 1 - REMUNERAÇÃO ]]</f>
        <v>40.268684444444439</v>
      </c>
      <c r="AV81" s="22">
        <f>SUMIF(tabParametros[Código do Posto],tabCustoUnit[[#This Row],[Código do Posto]],tabParametros[Ausências Legais])*tabCustoUnit[[#This Row],[MODULO 1 - REMUNERAÇÃO ]]</f>
        <v>9.6697827777777761</v>
      </c>
      <c r="AW81" s="22">
        <f>SUMIF(tabParametros[Código do Posto],tabCustoUnit[[#This Row],[Código do Posto]],tabParametros[Licença Paternidade])*tabCustoUnit[[#This Row],[MODULO 1 - REMUNERAÇÃO ]]</f>
        <v>0.81464608333333333</v>
      </c>
      <c r="AX81" s="22">
        <f>SUMIF(tabParametros[Código do Posto],tabCustoUnit[[#This Row],[Código do Posto]],tabParametros[Ausência por Acidente de Trabalho])*tabCustoUnit[[#This Row],[MODULO 1 - REMUNERAÇÃO ]]</f>
        <v>0.99347083333333341</v>
      </c>
      <c r="AY81" s="22">
        <f>SUMIF(tabParametros[Código do Posto],tabCustoUnit[[#This Row],[Código do Posto]],tabParametros[Férias, Adicional de Férias e 13º  com empregada em gozo de Licença Maternidade])*tabCustoUnit[[#This Row],[MODULO 1 - REMUNERAÇÃO ]]</f>
        <v>6.1815962962962958</v>
      </c>
      <c r="AZ81" s="22">
        <f>SUMIF(tabParametros[Código do Posto],tabCustoUnit[[#This Row],[Código do Posto]],tabParametros[Incidência do Submódulo 2.1 sobre Ausências Legais])*tabCustoUnit[[#This Row],[MODULO 1 - REMUNERAÇÃO ]]</f>
        <v>21.896852204500004</v>
      </c>
      <c r="BA81" s="22">
        <f>SUM(tabCustoUnit[[#This Row],[Ausência por Doença]:[Incidência do Submódulo 2.1 sobre Ausências Legais]])</f>
        <v>79.82503263968519</v>
      </c>
      <c r="BB81" s="22">
        <f>SUMIF(tabParametros[Código do Posto],tabCustoUnit[[#This Row],[Código do Posto]],tabParametros[Intervalo para Repouso ou Alimentação])</f>
        <v>0</v>
      </c>
      <c r="BC81" s="22">
        <f>tabCustoUnit[[#This Row],[Intervalo para Repouso ou Alimentação]]</f>
        <v>0</v>
      </c>
      <c r="BD8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1" s="22">
        <f>tabCustoUnit[[#This Row],[Suspensão Temporária do Contrato de Trabalho]]</f>
        <v>0</v>
      </c>
      <c r="BF81" s="22">
        <f>tabCustoUnit[[#This Row],[Submódulo 4.1]]+tabCustoUnit[[#This Row],[Submódulo 4.2]]+tabCustoUnit[[#This Row],[Submódulo 4.3]]</f>
        <v>79.82503263968519</v>
      </c>
      <c r="BG81" s="22">
        <f>VLOOKUP(tabCustoUnit[[#This Row],[Código do Posto]],tabParametros[],MATCH(tabCustoUnit[[#Headers],[Uniformes e EPIs]],tabParametros[#Headers],0),0)</f>
        <v>90.784679782039703</v>
      </c>
      <c r="BH81" s="22">
        <f>VLOOKUP(tabCustoUnit[[#This Row],[Código do Posto]],tabParametros[],MATCH(tabCustoUnit[[#Headers],[Materiais de Consumo]],tabParametros[#Headers],0),0)</f>
        <v>0</v>
      </c>
      <c r="BI81" s="22">
        <f>VLOOKUP(tabCustoUnit[[#This Row],[Código do Posto]],tabParametros[],MATCH(tabCustoUnit[[#Headers],[Máquinas e Equipamentos (depreciação)]],tabParametros[#Headers],0),0)</f>
        <v>0</v>
      </c>
      <c r="BJ81" s="22">
        <f>VLOOKUP(tabCustoUnit[[#This Row],[Código do Posto]],tabParametros[],MATCH(tabCustoUnit[[#Headers],[Produtos de Limpeza e Materiais de Higiene Pessoal]],tabParametros[#Headers],0),0)</f>
        <v>0</v>
      </c>
      <c r="BK81" s="22">
        <f>VLOOKUP(tabCustoUnit[[#This Row],[Código do Posto]],tabParametros[],MATCH(tabCustoUnit[[#Headers],[Outros (especificar)]],tabParametros[#Headers],0),0)</f>
        <v>0</v>
      </c>
      <c r="BL81" s="22">
        <f>SUM(tabCustoUnit[[#This Row],[Uniformes e EPIs]:[Outros (especificar)]])</f>
        <v>90.784679782039703</v>
      </c>
      <c r="BM8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1" s="22" t="e">
        <f ca="1">VLOOKUP(tabCustoUnit[[#This Row],[Código do Posto]],tabParametros[],MATCH(tabCustoUnit[[#Headers],[Custos Indiretos]],tabParametros[#Headers],0),0)</f>
        <v>#NAME?</v>
      </c>
      <c r="BO81" s="22" t="e">
        <f ca="1">VLOOKUP(tabCustoUnit[[#This Row],[Código do Posto]],tabParametros[],MATCH(tabCustoUnit[[#Headers],[Lucro]],tabParametros[#Headers],0),0)</f>
        <v>#NAME?</v>
      </c>
      <c r="BP81" s="26">
        <f>((100/((1-tabCustoUnit[[#This Row],[Resumo de Alíquotas (PIS+CONFINS+ISS)]]))-100)*VLOOKUP(tabCustoUnit[[#This Row],[Código do Posto]],tabParametros[],MATCH(tabCustoUnit[[#Headers],[COFINS]],tabParametros[#Headers],0),0))/(tabCustoUnit[[#This Row],[Resumo de Alíquotas (PIS+CONFINS+ISS)]]*100)</f>
        <v>8.8629737609329504E-2</v>
      </c>
      <c r="BQ81" s="26">
        <f>((100/((100-(tabCustoUnit[[#This Row],[Resumo de Alíquotas (PIS+CONFINS+ISS)]]*100))%)-100)*VLOOKUP(tabCustoUnit[[#This Row],[Código do Posto]],tabParametros[],MATCH(tabCustoUnit[[#Headers],[PIS]],tabParametros[#Headers],0),0))/(tabCustoUnit[[#This Row],[Resumo de Alíquotas (PIS+CONFINS+ISS)]]*100)</f>
        <v>1.9241982507288629E-2</v>
      </c>
      <c r="BR81" s="28">
        <f>VLOOKUP(tabCustoUnit[[#This Row],[Código do Posto]],tabParametros[],MATCH(tabCustoUnit[[#Headers],[ISS]],tabParametros[#Headers],0),0)</f>
        <v>0.05</v>
      </c>
      <c r="BS81" s="26">
        <f>(((100/((100-(tabCustoUnit[[#This Row],[Resumo de Alíquotas (PIS+CONFINS+ISS)]]*100))%)-100)*tabCustoUnit[[#This Row],[ISS]])/tabCustoUnit[[#This Row],[Resumo de Alíquotas (PIS+CONFINS+ISS)]])/100</f>
        <v>5.8309037900874633E-2</v>
      </c>
      <c r="BT8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1" s="138">
        <f>tabCustoUnit[[#This Row],[COFINS]]+tabCustoUnit[[#This Row],[PIS]]+tabCustoUnit[[#This Row],[ISS (Conversão Alíquota s/ fatura)]]</f>
        <v>0.16618075801749277</v>
      </c>
      <c r="BV81" s="22" t="e">
        <f ca="1">(tabCustoUnit[[#This Row],[TOTAL MÓDULOS 1+2+3+4+5]]+tabCustoUnit[[#This Row],[Custos Indiretos]]+tabCustoUnit[[#This Row],[Lucro]])*tabCustoUnit[[#This Row],[PIS + COFINS + ISS (Total Conversão  Alíquota s/ Fatura)]]</f>
        <v>#NAME?</v>
      </c>
      <c r="BW81" s="22" t="e">
        <f ca="1">tabCustoUnit[[#This Row],[Custos Indiretos]]+tabCustoUnit[[#This Row],[Lucro]]+tabCustoUnit[[#This Row],[Valor dos Tributos (ISS, PIS, CONFINS)]]</f>
        <v>#NAME?</v>
      </c>
      <c r="BX81" s="22" t="e">
        <f ca="1">tabCustoUnit[[#This Row],[TOTAL MÓDULOS 1+2+3+4+5]]+tabCustoUnit[[#This Row],[MÓDULO 6 – CUSTOS INDIRETOS, TRIBUTOS E LUCRO]]</f>
        <v>#NAME?</v>
      </c>
      <c r="BY81" s="22" t="e">
        <f ca="1">tabCustoUnit[[#This Row],[CUSTO TOTAL MENSAL]]*12</f>
        <v>#NAME?</v>
      </c>
      <c r="BZ81" s="24">
        <f>VLOOKUP(tabCustoUnit[[#This Row],[Código do Posto]],tabParametros[],MATCH(tabCustoUnit[[#Headers],[ANO DA CCT]],tabParametros[#Headers],0),0)</f>
        <v>45658</v>
      </c>
      <c r="CA81" s="25" t="str">
        <f>VLOOKUP(tabCustoUnit[[#This Row],[Código do Posto]],tabParametros[],MATCH(tabCustoUnit[[#Headers],[Nº DE PEDIDO DA CCT]],tabParametros[#Headers],0),0)</f>
        <v>-</v>
      </c>
      <c r="CB81" s="25" t="str">
        <f>VLOOKUP(tabCustoUnit[[#This Row],[Código do Posto]],tabParametros[],MATCH(tabCustoUnit[[#Headers],[TERMO ADITIVO ALTERAÇÃO DA CCT]],tabParametros[#Headers],0),0)</f>
        <v>-</v>
      </c>
    </row>
    <row r="82" spans="1:80">
      <c r="A82" s="20" t="s">
        <v>1457</v>
      </c>
      <c r="B82" t="s">
        <v>1103</v>
      </c>
      <c r="C82" t="s">
        <v>375</v>
      </c>
      <c r="D82" t="s">
        <v>1035</v>
      </c>
      <c r="E82" s="20" t="s">
        <v>1090</v>
      </c>
      <c r="F82" s="20" t="s">
        <v>120</v>
      </c>
      <c r="G82" s="418">
        <v>7303</v>
      </c>
      <c r="H82" s="418">
        <v>0</v>
      </c>
      <c r="I82" s="418">
        <v>0</v>
      </c>
      <c r="J82" s="418">
        <v>0</v>
      </c>
      <c r="K82" s="418">
        <v>0</v>
      </c>
      <c r="L82" s="418">
        <v>0</v>
      </c>
      <c r="M82" s="418">
        <v>0</v>
      </c>
      <c r="N82" s="418">
        <v>0</v>
      </c>
      <c r="O82" s="21">
        <f>SUM(tabCustoUnit[[#This Row],[Salário Base]:[Adicional de Acúmulo de função]])</f>
        <v>7303</v>
      </c>
      <c r="P82" s="21">
        <f>tabCustoUnit[[#This Row],[MODULO 1 - REMUNERAÇÃO ]]*SUMIFS(tabParametros[INSS],tabParametros[Código do Posto],tabCustoUnit[[#This Row],[Código do Posto]])</f>
        <v>1460.6000000000001</v>
      </c>
      <c r="Q82" s="21">
        <f>tabCustoUnit[[#This Row],[MODULO 1 - REMUNERAÇÃO ]]*SUMIFS(tabParametros[SESI OU SESC],tabParametros[Código do Posto],tabCustoUnit[[#This Row],[Código do Posto]])</f>
        <v>109.545</v>
      </c>
      <c r="R82" s="21">
        <f>tabCustoUnit[[#This Row],[MODULO 1 - REMUNERAÇÃO ]]*SUMIFS(tabParametros[SENAI OU SENAC],tabParametros[Código do Posto],tabCustoUnit[[#This Row],[Código do Posto]])</f>
        <v>73.03</v>
      </c>
      <c r="S82" s="21">
        <f>tabCustoUnit[[#This Row],[MODULO 1 - REMUNERAÇÃO ]]*SUMIFS(tabParametros[INCRA],tabParametros[Código do Posto],tabCustoUnit[[#This Row],[Código do Posto]])</f>
        <v>14.606</v>
      </c>
      <c r="T82" s="21">
        <f>tabCustoUnit[[#This Row],[MODULO 1 - REMUNERAÇÃO ]]*SUMIFS(tabParametros[Salário Educação],tabParametros[Código do Posto],tabCustoUnit[[#This Row],[Código do Posto]])</f>
        <v>182.57500000000002</v>
      </c>
      <c r="U82" s="21">
        <f>tabCustoUnit[[#This Row],[MODULO 1 - REMUNERAÇÃO ]]*SUMIFS(tabParametros[FGTS],tabParametros[Código do Posto],tabCustoUnit[[#This Row],[Código do Posto]])</f>
        <v>584.24</v>
      </c>
      <c r="V82" s="21">
        <f>tabCustoUnit[[#This Row],[MODULO 1 - REMUNERAÇÃO ]]*SUMIFS(tabParametros[RAT Ajustado],tabParametros[Código do Posto],tabCustoUnit[[#This Row],[Código do Posto]])</f>
        <v>292.12</v>
      </c>
      <c r="W82" s="21">
        <f>tabCustoUnit[[#This Row],[MODULO 1 - REMUNERAÇÃO ]]*SUMIFS(tabParametros[SEBRAE],tabParametros[Código do Posto],tabCustoUnit[[#This Row],[Código do Posto]])</f>
        <v>43.817999999999998</v>
      </c>
      <c r="X82" s="21">
        <f>SUM(tabCustoUnit[[#This Row],[INSS]:[SEBRAE]])</f>
        <v>2760.5340000000006</v>
      </c>
      <c r="Y82" s="21">
        <f>tabCustoUnit[[#This Row],[MODULO 1 - REMUNERAÇÃO ]]*SUMIFS(tabParametros[13º salário (titular)],tabParametros[Código do Posto],tabCustoUnit[[#This Row],[Código do Posto]])</f>
        <v>608.58333333333326</v>
      </c>
      <c r="Z82" s="21">
        <f>tabCustoUnit[[#This Row],[MODULO 1 - REMUNERAÇÃO ]]*SUMIFS(tabParametros[Férias e Adicional de Férias (titular)],tabParametros[Código do Posto],tabCustoUnit[[#This Row],[Código do Posto]])</f>
        <v>811.44444444444434</v>
      </c>
      <c r="AA82" s="21">
        <f>IFERROR((tabCustoUnit[[#This Row],[Submódulo 2.1]]/tabCustoUnit[[#This Row],[MODULO 1 - REMUNERAÇÃO ]])*SUM(tabCustoUnit[[#This Row],[13º salário (titular)]:[Férias e Adicional de Férias (titular)]]),0)</f>
        <v>536.77049999999997</v>
      </c>
      <c r="AB82" s="21">
        <f>SUM(tabCustoUnit[[#This Row],[13º salário (titular)]:[Incidência do Submódulo 2.1 sobre 13º Salário, Férias e Adicional de Férias]])</f>
        <v>1956.7982777777775</v>
      </c>
      <c r="AC82" s="22" t="e">
        <f ca="1">_xlfn.LET(_xlpm.VT,SUMIF(tabParametros[Código do Posto],tabCustoUnit[[#This Row],[Código do Posto]],tabParametros[Vale - Transporte])*2*20,
IF((_xlpm.VT-tabCustoUnit[[#This Row],[Salário Base]]*0.06)&gt;=0,(_xlpm.VT-tabCustoUnit[[#This Row],[Salário Base]]*0.06),0)
)</f>
        <v>#NAME?</v>
      </c>
      <c r="AD82" s="22">
        <f>IF(SUMIF(tabParametros[Código do Posto],tabCustoUnit[[#This Row],[Código do Posto]],tabParametros[Vale - Alimentação])&lt;=0,0,
SUMIF(tabParametros[Código do Posto],tabCustoUnit[[#This Row],[Código do Posto]],tabParametros[Vale - Alimentação])*20-1)</f>
        <v>582</v>
      </c>
      <c r="AE82" s="22">
        <f>SUMIF(tabParametros[Código do Posto],tabCustoUnit[[#This Row],[Código do Posto]],tabParametros[Cesta Básica])</f>
        <v>0</v>
      </c>
      <c r="AF82" s="22">
        <f>SUMIF(tabParametros[Código do Posto],tabCustoUnit[[#This Row],[Código do Posto]],tabParametros[PAF])</f>
        <v>95.9</v>
      </c>
      <c r="AG82" s="22">
        <f>SUMIF(tabParametros[Código do Posto],tabCustoUnit[[#This Row],[Código do Posto]],tabParametros[PQM])</f>
        <v>0</v>
      </c>
      <c r="AH82" s="22">
        <f>SUMIF(tabParametros[Código do Posto],tabCustoUnit[[#This Row],[Código do Posto]],tabParametros[Abono Único e Especial])</f>
        <v>0</v>
      </c>
      <c r="AI82" s="22">
        <f>SUMIF(tabParametros[Código do Posto],tabCustoUnit[[#This Row],[Código do Posto]],tabParametros[Seguro de Vida])</f>
        <v>3.36</v>
      </c>
      <c r="AJ82" s="22">
        <f>SUMIF(tabParametros[Código do Posto],tabCustoUnit[[#This Row],[Código do Posto]],tabParametros[Despesas de Viagem])</f>
        <v>202.08</v>
      </c>
      <c r="AK82" s="22" t="e">
        <f ca="1">SUM(tabCustoUnit[[#This Row],[Vale - Transporte (Descontada parcela do empregado)]:[Despesas de Viagem]])</f>
        <v>#NAME?</v>
      </c>
      <c r="AL82" s="22" t="e">
        <f ca="1">tabCustoUnit[[#This Row],[Submódulo 2.1]]+tabCustoUnit[[#This Row],[Submódulo 2.2]]+tabCustoUnit[[#This Row],[Submódulo 2.3]]</f>
        <v>#NAME?</v>
      </c>
      <c r="AM82" s="22">
        <f>SUMIF(tabParametros[Código do Posto],tabCustoUnit[[#This Row],[Código do Posto]],tabParametros[Aviso Prévio Indenizado (API) e Reflexo do Aviso Prévio Indenizado])*tabCustoUnit[[#This Row],[MODULO 1 - REMUNERAÇÃO ]]</f>
        <v>51.20693422067901</v>
      </c>
      <c r="AN82" s="22">
        <f>SUMIF(tabParametros[Código do Posto],tabCustoUnit[[#This Row],[Código do Posto]],tabParametros[Incidência do FGTS sobre API e Reflexo do API])*tabCustoUnit[[#This Row],[MODULO 1 - REMUNERAÇÃO ]]</f>
        <v>4.096554737654321</v>
      </c>
      <c r="AO82" s="22">
        <f>SUMIF(tabParametros[Código do Posto],tabCustoUnit[[#This Row],[Código do Posto]],tabParametros[Multa Rescisória do FGTS sobre o Aviso Prévio Indenizado])*tabCustoUnit[[#This Row],[MODULO 1 - REMUNERAÇÃO ]]</f>
        <v>1.6386218950617286</v>
      </c>
      <c r="AP82" s="22">
        <f>SUMIF(tabParametros[Código do Posto],tabCustoUnit[[#This Row],[Código do Posto]],tabParametros[Aviso Prévio Trabalhado - APT])*tabCustoUnit[[#This Row],[MODULO 1 - REMUNERAÇÃO ]]</f>
        <v>25.560500000000005</v>
      </c>
      <c r="AQ82" s="22">
        <f>SUMIF(tabParametros[Código do Posto],tabCustoUnit[[#This Row],[Código do Posto]],tabParametros[Incidência dos encargos do submódulo 2.1 sobre Aviso Prévio Trabalhado])*tabCustoUnit[[#This Row],[MODULO 1 - REMUNERAÇÃO ]]</f>
        <v>9.6618690000000029</v>
      </c>
      <c r="AR82" s="22">
        <f>SUMIF(tabParametros[Código do Posto],tabCustoUnit[[#This Row],[Código do Posto]],tabParametros[Multa Rescisória do FGTS])*tabCustoUnit[[#This Row],[MODULO 1 - REMUNERAÇÃO ]]</f>
        <v>223.30951111111108</v>
      </c>
      <c r="AS82" s="22">
        <f>SUMIF(tabParametros[Código do Posto],tabCustoUnit[[#This Row],[Código do Posto]],tabParametros[Indenização Adicional (Art. 9º da Lei nº 7.238/84)])*tabCustoUnit[[#This Row],[MODULO 1 - REMUNERAÇÃO ]]</f>
        <v>6.0858333333333334</v>
      </c>
      <c r="AT82" s="22">
        <f>SUM(tabCustoUnit[[#This Row],[Aviso Prévio Indenizado (API) e Reflexo do Aviso Prévio Indenizado]:[Indenização Adicional (Art. 9º da Lei nº 7.238/84)]])</f>
        <v>321.55982429783944</v>
      </c>
      <c r="AU82" s="22">
        <f>SUMIF(tabParametros[Código do Posto],tabCustoUnit[[#This Row],[Código do Posto]],tabParametros[Ausência por Doença])*tabCustoUnit[[#This Row],[MODULO 1 - REMUNERAÇÃO ]]</f>
        <v>61.669777777777774</v>
      </c>
      <c r="AV82" s="22">
        <f>SUMIF(tabParametros[Código do Posto],tabCustoUnit[[#This Row],[Código do Posto]],tabParametros[Ausências Legais])*tabCustoUnit[[#This Row],[MODULO 1 - REMUNERAÇÃO ]]</f>
        <v>14.80886111111111</v>
      </c>
      <c r="AW82" s="22">
        <f>SUMIF(tabParametros[Código do Posto],tabCustoUnit[[#This Row],[Código do Posto]],tabParametros[Licença Paternidade])*tabCustoUnit[[#This Row],[MODULO 1 - REMUNERAÇÃO ]]</f>
        <v>1.2475958333333332</v>
      </c>
      <c r="AX82" s="22">
        <f>SUMIF(tabParametros[Código do Posto],tabCustoUnit[[#This Row],[Código do Posto]],tabParametros[Ausência por Acidente de Trabalho])*tabCustoUnit[[#This Row],[MODULO 1 - REMUNERAÇÃO ]]</f>
        <v>1.5214583333333334</v>
      </c>
      <c r="AY82" s="22">
        <f>SUMIF(tabParametros[Código do Posto],tabCustoUnit[[#This Row],[Código do Posto]],tabParametros[Férias, Adicional de Férias e 13º  com empregada em gozo de Licença Maternidade])*tabCustoUnit[[#This Row],[MODULO 1 - REMUNERAÇÃO ]]</f>
        <v>9.4668518518518514</v>
      </c>
      <c r="AZ82" s="22">
        <f>SUMIF(tabParametros[Código do Posto],tabCustoUnit[[#This Row],[Código do Posto]],tabParametros[Incidência do Submódulo 2.1 sobre Ausências Legais])*tabCustoUnit[[#This Row],[MODULO 1 - REMUNERAÇÃO ]]</f>
        <v>33.534097975000009</v>
      </c>
      <c r="BA82" s="22">
        <f>SUM(tabCustoUnit[[#This Row],[Ausência por Doença]:[Incidência do Submódulo 2.1 sobre Ausências Legais]])</f>
        <v>122.24864288240741</v>
      </c>
      <c r="BB82" s="22">
        <f>SUMIF(tabParametros[Código do Posto],tabCustoUnit[[#This Row],[Código do Posto]],tabParametros[Intervalo para Repouso ou Alimentação])</f>
        <v>0</v>
      </c>
      <c r="BC82" s="22">
        <f>tabCustoUnit[[#This Row],[Intervalo para Repouso ou Alimentação]]</f>
        <v>0</v>
      </c>
      <c r="BD8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2" s="22">
        <f>tabCustoUnit[[#This Row],[Suspensão Temporária do Contrato de Trabalho]]</f>
        <v>0</v>
      </c>
      <c r="BF82" s="22">
        <f>tabCustoUnit[[#This Row],[Submódulo 4.1]]+tabCustoUnit[[#This Row],[Submódulo 4.2]]+tabCustoUnit[[#This Row],[Submódulo 4.3]]</f>
        <v>122.24864288240741</v>
      </c>
      <c r="BG82" s="22">
        <f>VLOOKUP(tabCustoUnit[[#This Row],[Código do Posto]],tabParametros[],MATCH(tabCustoUnit[[#Headers],[Uniformes e EPIs]],tabParametros[#Headers],0),0)</f>
        <v>175.38717978203965</v>
      </c>
      <c r="BH82" s="22">
        <f>VLOOKUP(tabCustoUnit[[#This Row],[Código do Posto]],tabParametros[],MATCH(tabCustoUnit[[#Headers],[Materiais de Consumo]],tabParametros[#Headers],0),0)</f>
        <v>0</v>
      </c>
      <c r="BI82" s="22">
        <f>VLOOKUP(tabCustoUnit[[#This Row],[Código do Posto]],tabParametros[],MATCH(tabCustoUnit[[#Headers],[Máquinas e Equipamentos (depreciação)]],tabParametros[#Headers],0),0)</f>
        <v>0</v>
      </c>
      <c r="BJ82" s="22">
        <f>VLOOKUP(tabCustoUnit[[#This Row],[Código do Posto]],tabParametros[],MATCH(tabCustoUnit[[#Headers],[Produtos de Limpeza e Materiais de Higiene Pessoal]],tabParametros[#Headers],0),0)</f>
        <v>0</v>
      </c>
      <c r="BK82" s="22">
        <f>VLOOKUP(tabCustoUnit[[#This Row],[Código do Posto]],tabParametros[],MATCH(tabCustoUnit[[#Headers],[Outros (especificar)]],tabParametros[#Headers],0),0)</f>
        <v>0</v>
      </c>
      <c r="BL82" s="22">
        <f>SUM(tabCustoUnit[[#This Row],[Uniformes e EPIs]:[Outros (especificar)]])</f>
        <v>175.38717978203965</v>
      </c>
      <c r="BM8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2" s="22" t="e">
        <f ca="1">VLOOKUP(tabCustoUnit[[#This Row],[Código do Posto]],tabParametros[],MATCH(tabCustoUnit[[#Headers],[Custos Indiretos]],tabParametros[#Headers],0),0)</f>
        <v>#NAME?</v>
      </c>
      <c r="BO82" s="22" t="e">
        <f ca="1">VLOOKUP(tabCustoUnit[[#This Row],[Código do Posto]],tabParametros[],MATCH(tabCustoUnit[[#Headers],[Lucro]],tabParametros[#Headers],0),0)</f>
        <v>#NAME?</v>
      </c>
      <c r="BP82" s="26">
        <f>((100/((1-tabCustoUnit[[#This Row],[Resumo de Alíquotas (PIS+CONFINS+ISS)]]))-100)*VLOOKUP(tabCustoUnit[[#This Row],[Código do Posto]],tabParametros[],MATCH(tabCustoUnit[[#Headers],[COFINS]],tabParametros[#Headers],0),0))/(tabCustoUnit[[#This Row],[Resumo de Alíquotas (PIS+CONFINS+ISS)]]*100)</f>
        <v>8.8629737609329504E-2</v>
      </c>
      <c r="BQ82" s="26">
        <f>((100/((100-(tabCustoUnit[[#This Row],[Resumo de Alíquotas (PIS+CONFINS+ISS)]]*100))%)-100)*VLOOKUP(tabCustoUnit[[#This Row],[Código do Posto]],tabParametros[],MATCH(tabCustoUnit[[#Headers],[PIS]],tabParametros[#Headers],0),0))/(tabCustoUnit[[#This Row],[Resumo de Alíquotas (PIS+CONFINS+ISS)]]*100)</f>
        <v>1.9241982507288629E-2</v>
      </c>
      <c r="BR82" s="28">
        <f>VLOOKUP(tabCustoUnit[[#This Row],[Código do Posto]],tabParametros[],MATCH(tabCustoUnit[[#Headers],[ISS]],tabParametros[#Headers],0),0)</f>
        <v>0.05</v>
      </c>
      <c r="BS82" s="26">
        <f>(((100/((100-(tabCustoUnit[[#This Row],[Resumo de Alíquotas (PIS+CONFINS+ISS)]]*100))%)-100)*tabCustoUnit[[#This Row],[ISS]])/tabCustoUnit[[#This Row],[Resumo de Alíquotas (PIS+CONFINS+ISS)]])/100</f>
        <v>5.8309037900874633E-2</v>
      </c>
      <c r="BT8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2" s="138">
        <f>tabCustoUnit[[#This Row],[COFINS]]+tabCustoUnit[[#This Row],[PIS]]+tabCustoUnit[[#This Row],[ISS (Conversão Alíquota s/ fatura)]]</f>
        <v>0.16618075801749277</v>
      </c>
      <c r="BV82" s="22" t="e">
        <f ca="1">(tabCustoUnit[[#This Row],[TOTAL MÓDULOS 1+2+3+4+5]]+tabCustoUnit[[#This Row],[Custos Indiretos]]+tabCustoUnit[[#This Row],[Lucro]])*tabCustoUnit[[#This Row],[PIS + COFINS + ISS (Total Conversão  Alíquota s/ Fatura)]]</f>
        <v>#NAME?</v>
      </c>
      <c r="BW82" s="22" t="e">
        <f ca="1">tabCustoUnit[[#This Row],[Custos Indiretos]]+tabCustoUnit[[#This Row],[Lucro]]+tabCustoUnit[[#This Row],[Valor dos Tributos (ISS, PIS, CONFINS)]]</f>
        <v>#NAME?</v>
      </c>
      <c r="BX82" s="22" t="e">
        <f ca="1">tabCustoUnit[[#This Row],[TOTAL MÓDULOS 1+2+3+4+5]]+tabCustoUnit[[#This Row],[MÓDULO 6 – CUSTOS INDIRETOS, TRIBUTOS E LUCRO]]</f>
        <v>#NAME?</v>
      </c>
      <c r="BY82" s="22" t="e">
        <f ca="1">tabCustoUnit[[#This Row],[CUSTO TOTAL MENSAL]]*12</f>
        <v>#NAME?</v>
      </c>
      <c r="BZ82" s="24">
        <f>VLOOKUP(tabCustoUnit[[#This Row],[Código do Posto]],tabParametros[],MATCH(tabCustoUnit[[#Headers],[ANO DA CCT]],tabParametros[#Headers],0),0)</f>
        <v>45658</v>
      </c>
      <c r="CA82" s="25" t="str">
        <f>VLOOKUP(tabCustoUnit[[#This Row],[Código do Posto]],tabParametros[],MATCH(tabCustoUnit[[#Headers],[Nº DE PEDIDO DA CCT]],tabParametros[#Headers],0),0)</f>
        <v>-</v>
      </c>
      <c r="CB82" s="25" t="str">
        <f>VLOOKUP(tabCustoUnit[[#This Row],[Código do Posto]],tabParametros[],MATCH(tabCustoUnit[[#Headers],[TERMO ADITIVO ALTERAÇÃO DA CCT]],tabParametros[#Headers],0),0)</f>
        <v>-</v>
      </c>
    </row>
    <row r="83" spans="1:80">
      <c r="A83" s="20" t="s">
        <v>1458</v>
      </c>
      <c r="B83" t="s">
        <v>1103</v>
      </c>
      <c r="C83" t="s">
        <v>379</v>
      </c>
      <c r="D83" t="s">
        <v>1054</v>
      </c>
      <c r="E83" s="20" t="s">
        <v>1090</v>
      </c>
      <c r="F83" s="20" t="s">
        <v>120</v>
      </c>
      <c r="G83" s="418">
        <v>4804.62</v>
      </c>
      <c r="H83" s="418">
        <v>0</v>
      </c>
      <c r="I83" s="418">
        <v>0</v>
      </c>
      <c r="J83" s="418">
        <v>0</v>
      </c>
      <c r="K83" s="418">
        <v>0</v>
      </c>
      <c r="L83" s="418">
        <v>0</v>
      </c>
      <c r="M83" s="418">
        <v>269.05869999999999</v>
      </c>
      <c r="N83" s="418">
        <v>0</v>
      </c>
      <c r="O83" s="21">
        <f>SUM(tabCustoUnit[[#This Row],[Salário Base]:[Adicional de Acúmulo de função]])</f>
        <v>5073.6786999999995</v>
      </c>
      <c r="P83" s="21">
        <f>tabCustoUnit[[#This Row],[MODULO 1 - REMUNERAÇÃO ]]*SUMIFS(tabParametros[INSS],tabParametros[Código do Posto],tabCustoUnit[[#This Row],[Código do Posto]])</f>
        <v>1014.73574</v>
      </c>
      <c r="Q83" s="21">
        <f>tabCustoUnit[[#This Row],[MODULO 1 - REMUNERAÇÃO ]]*SUMIFS(tabParametros[SESI OU SESC],tabParametros[Código do Posto],tabCustoUnit[[#This Row],[Código do Posto]])</f>
        <v>76.105180499999989</v>
      </c>
      <c r="R83" s="21">
        <f>tabCustoUnit[[#This Row],[MODULO 1 - REMUNERAÇÃO ]]*SUMIFS(tabParametros[SENAI OU SENAC],tabParametros[Código do Posto],tabCustoUnit[[#This Row],[Código do Posto]])</f>
        <v>50.736786999999993</v>
      </c>
      <c r="S83" s="21">
        <f>tabCustoUnit[[#This Row],[MODULO 1 - REMUNERAÇÃO ]]*SUMIFS(tabParametros[INCRA],tabParametros[Código do Posto],tabCustoUnit[[#This Row],[Código do Posto]])</f>
        <v>10.147357399999999</v>
      </c>
      <c r="T83" s="21">
        <f>tabCustoUnit[[#This Row],[MODULO 1 - REMUNERAÇÃO ]]*SUMIFS(tabParametros[Salário Educação],tabParametros[Código do Posto],tabCustoUnit[[#This Row],[Código do Posto]])</f>
        <v>126.8419675</v>
      </c>
      <c r="U83" s="21">
        <f>tabCustoUnit[[#This Row],[MODULO 1 - REMUNERAÇÃO ]]*SUMIFS(tabParametros[FGTS],tabParametros[Código do Posto],tabCustoUnit[[#This Row],[Código do Posto]])</f>
        <v>405.89429599999994</v>
      </c>
      <c r="V83" s="21">
        <f>tabCustoUnit[[#This Row],[MODULO 1 - REMUNERAÇÃO ]]*SUMIFS(tabParametros[RAT Ajustado],tabParametros[Código do Posto],tabCustoUnit[[#This Row],[Código do Posto]])</f>
        <v>202.94714799999997</v>
      </c>
      <c r="W83" s="21">
        <f>tabCustoUnit[[#This Row],[MODULO 1 - REMUNERAÇÃO ]]*SUMIFS(tabParametros[SEBRAE],tabParametros[Código do Posto],tabCustoUnit[[#This Row],[Código do Posto]])</f>
        <v>30.442072199999998</v>
      </c>
      <c r="X83" s="21">
        <f>SUM(tabCustoUnit[[#This Row],[INSS]:[SEBRAE]])</f>
        <v>1917.8505485999999</v>
      </c>
      <c r="Y83" s="21">
        <f>tabCustoUnit[[#This Row],[MODULO 1 - REMUNERAÇÃO ]]*SUMIFS(tabParametros[13º salário (titular)],tabParametros[Código do Posto],tabCustoUnit[[#This Row],[Código do Posto]])</f>
        <v>422.80655833333327</v>
      </c>
      <c r="Z83" s="21">
        <f>tabCustoUnit[[#This Row],[MODULO 1 - REMUNERAÇÃO ]]*SUMIFS(tabParametros[Férias e Adicional de Férias (titular)],tabParametros[Código do Posto],tabCustoUnit[[#This Row],[Código do Posto]])</f>
        <v>563.74207777777769</v>
      </c>
      <c r="AA83" s="21">
        <f>IFERROR((tabCustoUnit[[#This Row],[Submódulo 2.1]]/tabCustoUnit[[#This Row],[MODULO 1 - REMUNERAÇÃO ]])*SUM(tabCustoUnit[[#This Row],[13º salário (titular)]:[Férias e Adicional de Férias (titular)]]),0)</f>
        <v>372.91538444999992</v>
      </c>
      <c r="AB83" s="21">
        <f>SUM(tabCustoUnit[[#This Row],[13º salário (titular)]:[Incidência do Submódulo 2.1 sobre 13º Salário, Férias e Adicional de Férias]])</f>
        <v>1359.4640205611108</v>
      </c>
      <c r="AC83" s="22" t="e">
        <f ca="1">_xlfn.LET(_xlpm.VT,SUMIF(tabParametros[Código do Posto],tabCustoUnit[[#This Row],[Código do Posto]],tabParametros[Vale - Transporte])*2*20,
IF((_xlpm.VT-tabCustoUnit[[#This Row],[Salário Base]]*0.06)&gt;=0,(_xlpm.VT-tabCustoUnit[[#This Row],[Salário Base]]*0.06),0)
)</f>
        <v>#NAME?</v>
      </c>
      <c r="AD83" s="22">
        <f>IF(SUMIF(tabParametros[Código do Posto],tabCustoUnit[[#This Row],[Código do Posto]],tabParametros[Vale - Alimentação])&lt;=0,0,
SUMIF(tabParametros[Código do Posto],tabCustoUnit[[#This Row],[Código do Posto]],tabParametros[Vale - Alimentação])*20-1)</f>
        <v>581.79999999999995</v>
      </c>
      <c r="AE83" s="22">
        <f>SUMIF(tabParametros[Código do Posto],tabCustoUnit[[#This Row],[Código do Posto]],tabParametros[Cesta Básica])</f>
        <v>0</v>
      </c>
      <c r="AF83" s="22">
        <f>SUMIF(tabParametros[Código do Posto],tabCustoUnit[[#This Row],[Código do Posto]],tabParametros[PAF])</f>
        <v>51.73</v>
      </c>
      <c r="AG83" s="22">
        <f>SUMIF(tabParametros[Código do Posto],tabCustoUnit[[#This Row],[Código do Posto]],tabParametros[PQM])</f>
        <v>0</v>
      </c>
      <c r="AH83" s="22">
        <f>SUMIF(tabParametros[Código do Posto],tabCustoUnit[[#This Row],[Código do Posto]],tabParametros[Abono Único e Especial])</f>
        <v>0</v>
      </c>
      <c r="AI83" s="22">
        <f>SUMIF(tabParametros[Código do Posto],tabCustoUnit[[#This Row],[Código do Posto]],tabParametros[Seguro de Vida])</f>
        <v>3.36</v>
      </c>
      <c r="AJ83" s="22">
        <f>SUMIF(tabParametros[Código do Posto],tabCustoUnit[[#This Row],[Código do Posto]],tabParametros[Despesas de Viagem])</f>
        <v>202.08</v>
      </c>
      <c r="AK83" s="22" t="e">
        <f ca="1">SUM(tabCustoUnit[[#This Row],[Vale - Transporte (Descontada parcela do empregado)]:[Despesas de Viagem]])</f>
        <v>#NAME?</v>
      </c>
      <c r="AL83" s="22" t="e">
        <f ca="1">tabCustoUnit[[#This Row],[Submódulo 2.1]]+tabCustoUnit[[#This Row],[Submódulo 2.2]]+tabCustoUnit[[#This Row],[Submódulo 2.3]]</f>
        <v>#NAME?</v>
      </c>
      <c r="AM83" s="22">
        <f>SUMIF(tabParametros[Código do Posto],tabCustoUnit[[#This Row],[Código do Posto]],tabParametros[Aviso Prévio Indenizado (API) e Reflexo do Aviso Prévio Indenizado])*tabCustoUnit[[#This Row],[MODULO 1 - REMUNERAÇÃO ]]</f>
        <v>35.57545275198688</v>
      </c>
      <c r="AN83" s="22">
        <f>SUMIF(tabParametros[Código do Posto],tabCustoUnit[[#This Row],[Código do Posto]],tabParametros[Incidência do FGTS sobre API e Reflexo do API])*tabCustoUnit[[#This Row],[MODULO 1 - REMUNERAÇÃO ]]</f>
        <v>2.8460362201589504</v>
      </c>
      <c r="AO83" s="22">
        <f>SUMIF(tabParametros[Código do Posto],tabCustoUnit[[#This Row],[Código do Posto]],tabParametros[Multa Rescisória do FGTS sobre o Aviso Prévio Indenizado])*tabCustoUnit[[#This Row],[MODULO 1 - REMUNERAÇÃO ]]</f>
        <v>1.1384144880635803</v>
      </c>
      <c r="AP83" s="22">
        <f>SUMIF(tabParametros[Código do Posto],tabCustoUnit[[#This Row],[Código do Posto]],tabParametros[Aviso Prévio Trabalhado - APT])*tabCustoUnit[[#This Row],[MODULO 1 - REMUNERAÇÃO ]]</f>
        <v>17.75787545</v>
      </c>
      <c r="AQ83" s="22">
        <f>SUMIF(tabParametros[Código do Posto],tabCustoUnit[[#This Row],[Código do Posto]],tabParametros[Incidência dos encargos do submódulo 2.1 sobre Aviso Prévio Trabalhado])*tabCustoUnit[[#This Row],[MODULO 1 - REMUNERAÇÃO ]]</f>
        <v>6.7124769201000012</v>
      </c>
      <c r="AR83" s="22">
        <f>SUMIF(tabParametros[Código do Posto],tabCustoUnit[[#This Row],[Código do Posto]],tabParametros[Multa Rescisória do FGTS])*tabCustoUnit[[#This Row],[MODULO 1 - REMUNERAÇÃO ]]</f>
        <v>155.1418198044444</v>
      </c>
      <c r="AS83" s="22">
        <f>SUMIF(tabParametros[Código do Posto],tabCustoUnit[[#This Row],[Código do Posto]],tabParametros[Indenização Adicional (Art. 9º da Lei nº 7.238/84)])*tabCustoUnit[[#This Row],[MODULO 1 - REMUNERAÇÃO ]]</f>
        <v>4.2280655833333336</v>
      </c>
      <c r="AT83" s="22">
        <f>SUM(tabCustoUnit[[#This Row],[Aviso Prévio Indenizado (API) e Reflexo do Aviso Prévio Indenizado]:[Indenização Adicional (Art. 9º da Lei nº 7.238/84)]])</f>
        <v>223.40014121808716</v>
      </c>
      <c r="AU83" s="22">
        <f>SUMIF(tabParametros[Código do Posto],tabCustoUnit[[#This Row],[Código do Posto]],tabParametros[Ausência por Doença])*tabCustoUnit[[#This Row],[MODULO 1 - REMUNERAÇÃO ]]</f>
        <v>42.844397911111102</v>
      </c>
      <c r="AV83" s="22">
        <f>SUMIF(tabParametros[Código do Posto],tabCustoUnit[[#This Row],[Código do Posto]],tabParametros[Ausências Legais])*tabCustoUnit[[#This Row],[MODULO 1 - REMUNERAÇÃO ]]</f>
        <v>10.288292919444443</v>
      </c>
      <c r="AW83" s="22">
        <f>SUMIF(tabParametros[Código do Posto],tabCustoUnit[[#This Row],[Código do Posto]],tabParametros[Licença Paternidade])*tabCustoUnit[[#This Row],[MODULO 1 - REMUNERAÇÃO ]]</f>
        <v>0.86675344458333325</v>
      </c>
      <c r="AX83" s="22">
        <f>SUMIF(tabParametros[Código do Posto],tabCustoUnit[[#This Row],[Código do Posto]],tabParametros[Ausência por Acidente de Trabalho])*tabCustoUnit[[#This Row],[MODULO 1 - REMUNERAÇÃO ]]</f>
        <v>1.0570163958333334</v>
      </c>
      <c r="AY83" s="22">
        <f>SUMIF(tabParametros[Código do Posto],tabCustoUnit[[#This Row],[Código do Posto]],tabParametros[Férias, Adicional de Férias e 13º  com empregada em gozo de Licença Maternidade])*tabCustoUnit[[#This Row],[MODULO 1 - REMUNERAÇÃO ]]</f>
        <v>6.5769909074074064</v>
      </c>
      <c r="AZ83" s="22">
        <f>SUMIF(tabParametros[Código do Posto],tabCustoUnit[[#This Row],[Código do Posto]],tabParametros[Incidência do Submódulo 2.1 sobre Ausências Legais])*tabCustoUnit[[#This Row],[MODULO 1 - REMUNERAÇÃO ]]</f>
        <v>23.297444696627501</v>
      </c>
      <c r="BA83" s="22">
        <f>SUM(tabCustoUnit[[#This Row],[Ausência por Doença]:[Incidência do Submódulo 2.1 sobre Ausências Legais]])</f>
        <v>84.930896275007115</v>
      </c>
      <c r="BB83" s="22">
        <f>SUMIF(tabParametros[Código do Posto],tabCustoUnit[[#This Row],[Código do Posto]],tabParametros[Intervalo para Repouso ou Alimentação])</f>
        <v>0</v>
      </c>
      <c r="BC83" s="22">
        <f>tabCustoUnit[[#This Row],[Intervalo para Repouso ou Alimentação]]</f>
        <v>0</v>
      </c>
      <c r="BD8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3" s="22">
        <f>tabCustoUnit[[#This Row],[Suspensão Temporária do Contrato de Trabalho]]</f>
        <v>0</v>
      </c>
      <c r="BF83" s="22">
        <f>tabCustoUnit[[#This Row],[Submódulo 4.1]]+tabCustoUnit[[#This Row],[Submódulo 4.2]]+tabCustoUnit[[#This Row],[Submódulo 4.3]]</f>
        <v>84.930896275007115</v>
      </c>
      <c r="BG83" s="22">
        <f>VLOOKUP(tabCustoUnit[[#This Row],[Código do Posto]],tabParametros[],MATCH(tabCustoUnit[[#Headers],[Uniformes e EPIs]],tabParametros[#Headers],0),0)</f>
        <v>90.784679782039689</v>
      </c>
      <c r="BH83" s="22">
        <f>VLOOKUP(tabCustoUnit[[#This Row],[Código do Posto]],tabParametros[],MATCH(tabCustoUnit[[#Headers],[Materiais de Consumo]],tabParametros[#Headers],0),0)</f>
        <v>0</v>
      </c>
      <c r="BI83" s="22">
        <f>VLOOKUP(tabCustoUnit[[#This Row],[Código do Posto]],tabParametros[],MATCH(tabCustoUnit[[#Headers],[Máquinas e Equipamentos (depreciação)]],tabParametros[#Headers],0),0)</f>
        <v>0</v>
      </c>
      <c r="BJ83" s="22">
        <f>VLOOKUP(tabCustoUnit[[#This Row],[Código do Posto]],tabParametros[],MATCH(tabCustoUnit[[#Headers],[Produtos de Limpeza e Materiais de Higiene Pessoal]],tabParametros[#Headers],0),0)</f>
        <v>0</v>
      </c>
      <c r="BK83" s="22">
        <f>VLOOKUP(tabCustoUnit[[#This Row],[Código do Posto]],tabParametros[],MATCH(tabCustoUnit[[#Headers],[Outros (especificar)]],tabParametros[#Headers],0),0)</f>
        <v>0</v>
      </c>
      <c r="BL83" s="22">
        <f>SUM(tabCustoUnit[[#This Row],[Uniformes e EPIs]:[Outros (especificar)]])</f>
        <v>90.784679782039689</v>
      </c>
      <c r="BM8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3" s="22" t="e">
        <f ca="1">VLOOKUP(tabCustoUnit[[#This Row],[Código do Posto]],tabParametros[],MATCH(tabCustoUnit[[#Headers],[Custos Indiretos]],tabParametros[#Headers],0),0)</f>
        <v>#NAME?</v>
      </c>
      <c r="BO83" s="22" t="e">
        <f ca="1">VLOOKUP(tabCustoUnit[[#This Row],[Código do Posto]],tabParametros[],MATCH(tabCustoUnit[[#Headers],[Lucro]],tabParametros[#Headers],0),0)</f>
        <v>#NAME?</v>
      </c>
      <c r="BP83" s="26">
        <f>((100/((1-tabCustoUnit[[#This Row],[Resumo de Alíquotas (PIS+CONFINS+ISS)]]))-100)*VLOOKUP(tabCustoUnit[[#This Row],[Código do Posto]],tabParametros[],MATCH(tabCustoUnit[[#Headers],[COFINS]],tabParametros[#Headers],0),0))/(tabCustoUnit[[#This Row],[Resumo de Alíquotas (PIS+CONFINS+ISS)]]*100)</f>
        <v>8.8629737609329504E-2</v>
      </c>
      <c r="BQ83" s="26">
        <f>((100/((100-(tabCustoUnit[[#This Row],[Resumo de Alíquotas (PIS+CONFINS+ISS)]]*100))%)-100)*VLOOKUP(tabCustoUnit[[#This Row],[Código do Posto]],tabParametros[],MATCH(tabCustoUnit[[#Headers],[PIS]],tabParametros[#Headers],0),0))/(tabCustoUnit[[#This Row],[Resumo de Alíquotas (PIS+CONFINS+ISS)]]*100)</f>
        <v>1.9241982507288629E-2</v>
      </c>
      <c r="BR83" s="28">
        <f>VLOOKUP(tabCustoUnit[[#This Row],[Código do Posto]],tabParametros[],MATCH(tabCustoUnit[[#Headers],[ISS]],tabParametros[#Headers],0),0)</f>
        <v>0.05</v>
      </c>
      <c r="BS83" s="26">
        <f>(((100/((100-(tabCustoUnit[[#This Row],[Resumo de Alíquotas (PIS+CONFINS+ISS)]]*100))%)-100)*tabCustoUnit[[#This Row],[ISS]])/tabCustoUnit[[#This Row],[Resumo de Alíquotas (PIS+CONFINS+ISS)]])/100</f>
        <v>5.8309037900874633E-2</v>
      </c>
      <c r="BT8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3" s="138">
        <f>tabCustoUnit[[#This Row],[COFINS]]+tabCustoUnit[[#This Row],[PIS]]+tabCustoUnit[[#This Row],[ISS (Conversão Alíquota s/ fatura)]]</f>
        <v>0.16618075801749277</v>
      </c>
      <c r="BV83" s="22" t="e">
        <f ca="1">(tabCustoUnit[[#This Row],[TOTAL MÓDULOS 1+2+3+4+5]]+tabCustoUnit[[#This Row],[Custos Indiretos]]+tabCustoUnit[[#This Row],[Lucro]])*tabCustoUnit[[#This Row],[PIS + COFINS + ISS (Total Conversão  Alíquota s/ Fatura)]]</f>
        <v>#NAME?</v>
      </c>
      <c r="BW83" s="22" t="e">
        <f ca="1">tabCustoUnit[[#This Row],[Custos Indiretos]]+tabCustoUnit[[#This Row],[Lucro]]+tabCustoUnit[[#This Row],[Valor dos Tributos (ISS, PIS, CONFINS)]]</f>
        <v>#NAME?</v>
      </c>
      <c r="BX83" s="22" t="e">
        <f ca="1">tabCustoUnit[[#This Row],[TOTAL MÓDULOS 1+2+3+4+5]]+tabCustoUnit[[#This Row],[MÓDULO 6 – CUSTOS INDIRETOS, TRIBUTOS E LUCRO]]</f>
        <v>#NAME?</v>
      </c>
      <c r="BY83" s="22" t="e">
        <f ca="1">tabCustoUnit[[#This Row],[CUSTO TOTAL MENSAL]]*12</f>
        <v>#NAME?</v>
      </c>
      <c r="BZ83" s="24">
        <f>VLOOKUP(tabCustoUnit[[#This Row],[Código do Posto]],tabParametros[],MATCH(tabCustoUnit[[#Headers],[ANO DA CCT]],tabParametros[#Headers],0),0)</f>
        <v>45658</v>
      </c>
      <c r="CA83" s="25" t="str">
        <f>VLOOKUP(tabCustoUnit[[#This Row],[Código do Posto]],tabParametros[],MATCH(tabCustoUnit[[#Headers],[Nº DE PEDIDO DA CCT]],tabParametros[#Headers],0),0)</f>
        <v>-</v>
      </c>
      <c r="CB83" s="25" t="str">
        <f>VLOOKUP(tabCustoUnit[[#This Row],[Código do Posto]],tabParametros[],MATCH(tabCustoUnit[[#Headers],[TERMO ADITIVO ALTERAÇÃO DA CCT]],tabParametros[#Headers],0),0)</f>
        <v>-</v>
      </c>
    </row>
    <row r="84" spans="1:80">
      <c r="A84" s="20" t="s">
        <v>1551</v>
      </c>
      <c r="B84" t="s">
        <v>1103</v>
      </c>
      <c r="C84" t="s">
        <v>383</v>
      </c>
      <c r="D84" t="s">
        <v>1054</v>
      </c>
      <c r="E84" s="20" t="s">
        <v>1090</v>
      </c>
      <c r="F84" s="20" t="s">
        <v>120</v>
      </c>
      <c r="G84" s="418">
        <v>5677.77</v>
      </c>
      <c r="H84" s="418">
        <v>0</v>
      </c>
      <c r="I84" s="418">
        <v>0</v>
      </c>
      <c r="J84" s="418">
        <v>0</v>
      </c>
      <c r="K84" s="418">
        <v>0</v>
      </c>
      <c r="L84" s="418">
        <v>0</v>
      </c>
      <c r="M84" s="418">
        <v>317.95510000000002</v>
      </c>
      <c r="N84" s="418">
        <v>0</v>
      </c>
      <c r="O84" s="21">
        <f>SUM(tabCustoUnit[[#This Row],[Salário Base]:[Adicional de Acúmulo de função]])</f>
        <v>5995.7251000000006</v>
      </c>
      <c r="P84" s="21">
        <f>tabCustoUnit[[#This Row],[MODULO 1 - REMUNERAÇÃO ]]*SUMIFS(tabParametros[INSS],tabParametros[Código do Posto],tabCustoUnit[[#This Row],[Código do Posto]])</f>
        <v>1199.1450200000002</v>
      </c>
      <c r="Q84" s="21">
        <f>tabCustoUnit[[#This Row],[MODULO 1 - REMUNERAÇÃO ]]*SUMIFS(tabParametros[SESI OU SESC],tabParametros[Código do Posto],tabCustoUnit[[#This Row],[Código do Posto]])</f>
        <v>89.935876500000006</v>
      </c>
      <c r="R84" s="21">
        <f>tabCustoUnit[[#This Row],[MODULO 1 - REMUNERAÇÃO ]]*SUMIFS(tabParametros[SENAI OU SENAC],tabParametros[Código do Posto],tabCustoUnit[[#This Row],[Código do Posto]])</f>
        <v>59.957251000000007</v>
      </c>
      <c r="S84" s="21">
        <f>tabCustoUnit[[#This Row],[MODULO 1 - REMUNERAÇÃO ]]*SUMIFS(tabParametros[INCRA],tabParametros[Código do Posto],tabCustoUnit[[#This Row],[Código do Posto]])</f>
        <v>11.991450200000001</v>
      </c>
      <c r="T84" s="21">
        <f>tabCustoUnit[[#This Row],[MODULO 1 - REMUNERAÇÃO ]]*SUMIFS(tabParametros[Salário Educação],tabParametros[Código do Posto],tabCustoUnit[[#This Row],[Código do Posto]])</f>
        <v>149.89312750000002</v>
      </c>
      <c r="U84" s="21">
        <f>tabCustoUnit[[#This Row],[MODULO 1 - REMUNERAÇÃO ]]*SUMIFS(tabParametros[FGTS],tabParametros[Código do Posto],tabCustoUnit[[#This Row],[Código do Posto]])</f>
        <v>479.65800800000005</v>
      </c>
      <c r="V84" s="21">
        <f>tabCustoUnit[[#This Row],[MODULO 1 - REMUNERAÇÃO ]]*SUMIFS(tabParametros[RAT Ajustado],tabParametros[Código do Posto],tabCustoUnit[[#This Row],[Código do Posto]])</f>
        <v>239.82900400000003</v>
      </c>
      <c r="W84" s="21">
        <f>tabCustoUnit[[#This Row],[MODULO 1 - REMUNERAÇÃO ]]*SUMIFS(tabParametros[SEBRAE],tabParametros[Código do Posto],tabCustoUnit[[#This Row],[Código do Posto]])</f>
        <v>35.974350600000001</v>
      </c>
      <c r="X84" s="21">
        <f>SUM(tabCustoUnit[[#This Row],[INSS]:[SEBRAE]])</f>
        <v>2266.3840878000001</v>
      </c>
      <c r="Y84" s="21">
        <f>tabCustoUnit[[#This Row],[MODULO 1 - REMUNERAÇÃO ]]*SUMIFS(tabParametros[13º salário (titular)],tabParametros[Código do Posto],tabCustoUnit[[#This Row],[Código do Posto]])</f>
        <v>499.64375833333338</v>
      </c>
      <c r="Z84" s="21">
        <f>tabCustoUnit[[#This Row],[MODULO 1 - REMUNERAÇÃO ]]*SUMIFS(tabParametros[Férias e Adicional de Férias (titular)],tabParametros[Código do Posto],tabCustoUnit[[#This Row],[Código do Posto]])</f>
        <v>666.19167777777784</v>
      </c>
      <c r="AA84" s="21">
        <f>IFERROR((tabCustoUnit[[#This Row],[Submódulo 2.1]]/tabCustoUnit[[#This Row],[MODULO 1 - REMUNERAÇÃO ]])*SUM(tabCustoUnit[[#This Row],[13º salário (titular)]:[Férias e Adicional de Férias (titular)]]),0)</f>
        <v>440.68579485000004</v>
      </c>
      <c r="AB84" s="21">
        <f>SUM(tabCustoUnit[[#This Row],[13º salário (titular)]:[Incidência do Submódulo 2.1 sobre 13º Salário, Férias e Adicional de Férias]])</f>
        <v>1606.5212309611113</v>
      </c>
      <c r="AC84" s="22" t="e">
        <f ca="1">_xlfn.LET(_xlpm.VT,SUMIF(tabParametros[Código do Posto],tabCustoUnit[[#This Row],[Código do Posto]],tabParametros[Vale - Transporte])*2*20,
IF((_xlpm.VT-tabCustoUnit[[#This Row],[Salário Base]]*0.06)&gt;=0,(_xlpm.VT-tabCustoUnit[[#This Row],[Salário Base]]*0.06),0)
)</f>
        <v>#NAME?</v>
      </c>
      <c r="AD84" s="22">
        <f>IF(SUMIF(tabParametros[Código do Posto],tabCustoUnit[[#This Row],[Código do Posto]],tabParametros[Vale - Alimentação])&lt;=0,0,
SUMIF(tabParametros[Código do Posto],tabCustoUnit[[#This Row],[Código do Posto]],tabParametros[Vale - Alimentação])*20-1)</f>
        <v>581.79999999999995</v>
      </c>
      <c r="AE84" s="22">
        <f>SUMIF(tabParametros[Código do Posto],tabCustoUnit[[#This Row],[Código do Posto]],tabParametros[Cesta Básica])</f>
        <v>0</v>
      </c>
      <c r="AF84" s="22">
        <f>SUMIF(tabParametros[Código do Posto],tabCustoUnit[[#This Row],[Código do Posto]],tabParametros[PAF])</f>
        <v>51.73</v>
      </c>
      <c r="AG84" s="22">
        <f>SUMIF(tabParametros[Código do Posto],tabCustoUnit[[#This Row],[Código do Posto]],tabParametros[PQM])</f>
        <v>0</v>
      </c>
      <c r="AH84" s="22">
        <f>SUMIF(tabParametros[Código do Posto],tabCustoUnit[[#This Row],[Código do Posto]],tabParametros[Abono Único e Especial])</f>
        <v>0</v>
      </c>
      <c r="AI84" s="22">
        <f>SUMIF(tabParametros[Código do Posto],tabCustoUnit[[#This Row],[Código do Posto]],tabParametros[Seguro de Vida])</f>
        <v>3.36</v>
      </c>
      <c r="AJ84" s="22">
        <f>SUMIF(tabParametros[Código do Posto],tabCustoUnit[[#This Row],[Código do Posto]],tabParametros[Despesas de Viagem])</f>
        <v>202.08</v>
      </c>
      <c r="AK84" s="22" t="e">
        <f ca="1">SUM(tabCustoUnit[[#This Row],[Vale - Transporte (Descontada parcela do empregado)]:[Despesas de Viagem]])</f>
        <v>#NAME?</v>
      </c>
      <c r="AL84" s="22" t="e">
        <f ca="1">tabCustoUnit[[#This Row],[Submódulo 2.1]]+tabCustoUnit[[#This Row],[Submódulo 2.2]]+tabCustoUnit[[#This Row],[Submódulo 2.3]]</f>
        <v>#NAME?</v>
      </c>
      <c r="AM84" s="22">
        <f>SUMIF(tabParametros[Código do Posto],tabCustoUnit[[#This Row],[Código do Posto]],tabParametros[Aviso Prévio Indenizado (API) e Reflexo do Aviso Prévio Indenizado])*tabCustoUnit[[#This Row],[MODULO 1 - REMUNERAÇÃO ]]</f>
        <v>42.040627249209109</v>
      </c>
      <c r="AN84" s="22">
        <f>SUMIF(tabParametros[Código do Posto],tabCustoUnit[[#This Row],[Código do Posto]],tabParametros[Incidência do FGTS sobre API e Reflexo do API])*tabCustoUnit[[#This Row],[MODULO 1 - REMUNERAÇÃO ]]</f>
        <v>3.3632501799367289</v>
      </c>
      <c r="AO84" s="22">
        <f>SUMIF(tabParametros[Código do Posto],tabCustoUnit[[#This Row],[Código do Posto]],tabParametros[Multa Rescisória do FGTS sobre o Aviso Prévio Indenizado])*tabCustoUnit[[#This Row],[MODULO 1 - REMUNERAÇÃO ]]</f>
        <v>1.3453000719746917</v>
      </c>
      <c r="AP84" s="22">
        <f>SUMIF(tabParametros[Código do Posto],tabCustoUnit[[#This Row],[Código do Posto]],tabParametros[Aviso Prévio Trabalhado - APT])*tabCustoUnit[[#This Row],[MODULO 1 - REMUNERAÇÃO ]]</f>
        <v>20.985037850000005</v>
      </c>
      <c r="AQ84" s="22">
        <f>SUMIF(tabParametros[Código do Posto],tabCustoUnit[[#This Row],[Código do Posto]],tabParametros[Incidência dos encargos do submódulo 2.1 sobre Aviso Prévio Trabalhado])*tabCustoUnit[[#This Row],[MODULO 1 - REMUNERAÇÃO ]]</f>
        <v>7.9323443073000028</v>
      </c>
      <c r="AR84" s="22">
        <f>SUMIF(tabParametros[Código do Posto],tabCustoUnit[[#This Row],[Código do Posto]],tabParametros[Multa Rescisória do FGTS])*tabCustoUnit[[#This Row],[MODULO 1 - REMUNERAÇÃO ]]</f>
        <v>183.33594972444445</v>
      </c>
      <c r="AS84" s="22">
        <f>SUMIF(tabParametros[Código do Posto],tabCustoUnit[[#This Row],[Código do Posto]],tabParametros[Indenização Adicional (Art. 9º da Lei nº 7.238/84)])*tabCustoUnit[[#This Row],[MODULO 1 - REMUNERAÇÃO ]]</f>
        <v>4.9964375833333339</v>
      </c>
      <c r="AT84" s="22">
        <f>SUM(tabCustoUnit[[#This Row],[Aviso Prévio Indenizado (API) e Reflexo do Aviso Prévio Indenizado]:[Indenização Adicional (Art. 9º da Lei nº 7.238/84)]])</f>
        <v>263.99894696619828</v>
      </c>
      <c r="AU84" s="22">
        <f>SUMIF(tabParametros[Código do Posto],tabCustoUnit[[#This Row],[Código do Posto]],tabParametros[Ausência por Doença])*tabCustoUnit[[#This Row],[MODULO 1 - REMUNERAÇÃO ]]</f>
        <v>50.63056751111111</v>
      </c>
      <c r="AV84" s="22">
        <f>SUMIF(tabParametros[Código do Posto],tabCustoUnit[[#This Row],[Código do Posto]],tabParametros[Ausências Legais])*tabCustoUnit[[#This Row],[MODULO 1 - REMUNERAÇÃO ]]</f>
        <v>12.157998119444445</v>
      </c>
      <c r="AW84" s="22">
        <f>SUMIF(tabParametros[Código do Posto],tabCustoUnit[[#This Row],[Código do Posto]],tabParametros[Licença Paternidade])*tabCustoUnit[[#This Row],[MODULO 1 - REMUNERAÇÃO ]]</f>
        <v>1.0242697045833333</v>
      </c>
      <c r="AX84" s="22">
        <f>SUMIF(tabParametros[Código do Posto],tabCustoUnit[[#This Row],[Código do Posto]],tabParametros[Ausência por Acidente de Trabalho])*tabCustoUnit[[#This Row],[MODULO 1 - REMUNERAÇÃO ]]</f>
        <v>1.2491093958333335</v>
      </c>
      <c r="AY84" s="22">
        <f>SUMIF(tabParametros[Código do Posto],tabCustoUnit[[#This Row],[Código do Posto]],tabParametros[Férias, Adicional de Férias e 13º  com empregada em gozo de Licença Maternidade])*tabCustoUnit[[#This Row],[MODULO 1 - REMUNERAÇÃO ]]</f>
        <v>7.7722362407407415</v>
      </c>
      <c r="AZ84" s="22">
        <f>SUMIF(tabParametros[Código do Posto],tabCustoUnit[[#This Row],[Código do Posto]],tabParametros[Incidência do Submódulo 2.1 sobre Ausências Legais])*tabCustoUnit[[#This Row],[MODULO 1 - REMUNERAÇÃO ]]</f>
        <v>27.531320407307508</v>
      </c>
      <c r="BA84" s="22">
        <f>SUM(tabCustoUnit[[#This Row],[Ausência por Doença]:[Incidência do Submódulo 2.1 sobre Ausências Legais]])</f>
        <v>100.36550137902046</v>
      </c>
      <c r="BB84" s="22">
        <f>SUMIF(tabParametros[Código do Posto],tabCustoUnit[[#This Row],[Código do Posto]],tabParametros[Intervalo para Repouso ou Alimentação])</f>
        <v>0</v>
      </c>
      <c r="BC84" s="22">
        <f>tabCustoUnit[[#This Row],[Intervalo para Repouso ou Alimentação]]</f>
        <v>0</v>
      </c>
      <c r="BD8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4" s="22">
        <f>tabCustoUnit[[#This Row],[Suspensão Temporária do Contrato de Trabalho]]</f>
        <v>0</v>
      </c>
      <c r="BF84" s="22">
        <f>tabCustoUnit[[#This Row],[Submódulo 4.1]]+tabCustoUnit[[#This Row],[Submódulo 4.2]]+tabCustoUnit[[#This Row],[Submódulo 4.3]]</f>
        <v>100.36550137902046</v>
      </c>
      <c r="BG84" s="22">
        <f>VLOOKUP(tabCustoUnit[[#This Row],[Código do Posto]],tabParametros[],MATCH(tabCustoUnit[[#Headers],[Uniformes e EPIs]],tabParametros[#Headers],0),0)</f>
        <v>90.784679782039689</v>
      </c>
      <c r="BH84" s="22">
        <f>VLOOKUP(tabCustoUnit[[#This Row],[Código do Posto]],tabParametros[],MATCH(tabCustoUnit[[#Headers],[Materiais de Consumo]],tabParametros[#Headers],0),0)</f>
        <v>0</v>
      </c>
      <c r="BI84" s="22">
        <f>VLOOKUP(tabCustoUnit[[#This Row],[Código do Posto]],tabParametros[],MATCH(tabCustoUnit[[#Headers],[Máquinas e Equipamentos (depreciação)]],tabParametros[#Headers],0),0)</f>
        <v>0</v>
      </c>
      <c r="BJ84" s="22">
        <f>VLOOKUP(tabCustoUnit[[#This Row],[Código do Posto]],tabParametros[],MATCH(tabCustoUnit[[#Headers],[Produtos de Limpeza e Materiais de Higiene Pessoal]],tabParametros[#Headers],0),0)</f>
        <v>0</v>
      </c>
      <c r="BK84" s="22">
        <f>VLOOKUP(tabCustoUnit[[#This Row],[Código do Posto]],tabParametros[],MATCH(tabCustoUnit[[#Headers],[Outros (especificar)]],tabParametros[#Headers],0),0)</f>
        <v>0</v>
      </c>
      <c r="BL84" s="22">
        <f>SUM(tabCustoUnit[[#This Row],[Uniformes e EPIs]:[Outros (especificar)]])</f>
        <v>90.784679782039689</v>
      </c>
      <c r="BM8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4" s="22" t="e">
        <f ca="1">VLOOKUP(tabCustoUnit[[#This Row],[Código do Posto]],tabParametros[],MATCH(tabCustoUnit[[#Headers],[Custos Indiretos]],tabParametros[#Headers],0),0)</f>
        <v>#NAME?</v>
      </c>
      <c r="BO84" s="22" t="e">
        <f ca="1">VLOOKUP(tabCustoUnit[[#This Row],[Código do Posto]],tabParametros[],MATCH(tabCustoUnit[[#Headers],[Lucro]],tabParametros[#Headers],0),0)</f>
        <v>#NAME?</v>
      </c>
      <c r="BP84" s="26">
        <f>((100/((1-tabCustoUnit[[#This Row],[Resumo de Alíquotas (PIS+CONFINS+ISS)]]))-100)*VLOOKUP(tabCustoUnit[[#This Row],[Código do Posto]],tabParametros[],MATCH(tabCustoUnit[[#Headers],[COFINS]],tabParametros[#Headers],0),0))/(tabCustoUnit[[#This Row],[Resumo de Alíquotas (PIS+CONFINS+ISS)]]*100)</f>
        <v>8.8629737609329504E-2</v>
      </c>
      <c r="BQ84" s="26">
        <f>((100/((100-(tabCustoUnit[[#This Row],[Resumo de Alíquotas (PIS+CONFINS+ISS)]]*100))%)-100)*VLOOKUP(tabCustoUnit[[#This Row],[Código do Posto]],tabParametros[],MATCH(tabCustoUnit[[#Headers],[PIS]],tabParametros[#Headers],0),0))/(tabCustoUnit[[#This Row],[Resumo de Alíquotas (PIS+CONFINS+ISS)]]*100)</f>
        <v>1.9241982507288629E-2</v>
      </c>
      <c r="BR84" s="28">
        <f>VLOOKUP(tabCustoUnit[[#This Row],[Código do Posto]],tabParametros[],MATCH(tabCustoUnit[[#Headers],[ISS]],tabParametros[#Headers],0),0)</f>
        <v>0.05</v>
      </c>
      <c r="BS84" s="26">
        <f>(((100/((100-(tabCustoUnit[[#This Row],[Resumo de Alíquotas (PIS+CONFINS+ISS)]]*100))%)-100)*tabCustoUnit[[#This Row],[ISS]])/tabCustoUnit[[#This Row],[Resumo de Alíquotas (PIS+CONFINS+ISS)]])/100</f>
        <v>5.8309037900874633E-2</v>
      </c>
      <c r="BT8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4" s="138">
        <f>tabCustoUnit[[#This Row],[COFINS]]+tabCustoUnit[[#This Row],[PIS]]+tabCustoUnit[[#This Row],[ISS (Conversão Alíquota s/ fatura)]]</f>
        <v>0.16618075801749277</v>
      </c>
      <c r="BV84" s="22" t="e">
        <f ca="1">(tabCustoUnit[[#This Row],[TOTAL MÓDULOS 1+2+3+4+5]]+tabCustoUnit[[#This Row],[Custos Indiretos]]+tabCustoUnit[[#This Row],[Lucro]])*tabCustoUnit[[#This Row],[PIS + COFINS + ISS (Total Conversão  Alíquota s/ Fatura)]]</f>
        <v>#NAME?</v>
      </c>
      <c r="BW84" s="22" t="e">
        <f ca="1">tabCustoUnit[[#This Row],[Custos Indiretos]]+tabCustoUnit[[#This Row],[Lucro]]+tabCustoUnit[[#This Row],[Valor dos Tributos (ISS, PIS, CONFINS)]]</f>
        <v>#NAME?</v>
      </c>
      <c r="BX84" s="22" t="e">
        <f ca="1">tabCustoUnit[[#This Row],[TOTAL MÓDULOS 1+2+3+4+5]]+tabCustoUnit[[#This Row],[MÓDULO 6 – CUSTOS INDIRETOS, TRIBUTOS E LUCRO]]</f>
        <v>#NAME?</v>
      </c>
      <c r="BY84" s="22" t="e">
        <f ca="1">tabCustoUnit[[#This Row],[CUSTO TOTAL MENSAL]]*12</f>
        <v>#NAME?</v>
      </c>
      <c r="BZ84" s="24">
        <f>VLOOKUP(tabCustoUnit[[#This Row],[Código do Posto]],tabParametros[],MATCH(tabCustoUnit[[#Headers],[ANO DA CCT]],tabParametros[#Headers],0),0)</f>
        <v>45658</v>
      </c>
      <c r="CA84" s="25" t="str">
        <f>VLOOKUP(tabCustoUnit[[#This Row],[Código do Posto]],tabParametros[],MATCH(tabCustoUnit[[#Headers],[Nº DE PEDIDO DA CCT]],tabParametros[#Headers],0),0)</f>
        <v>-</v>
      </c>
      <c r="CB84" s="25" t="str">
        <f>VLOOKUP(tabCustoUnit[[#This Row],[Código do Posto]],tabParametros[],MATCH(tabCustoUnit[[#Headers],[TERMO ADITIVO ALTERAÇÃO DA CCT]],tabParametros[#Headers],0),0)</f>
        <v>-</v>
      </c>
    </row>
    <row r="85" spans="1:80">
      <c r="A85" s="20" t="s">
        <v>1552</v>
      </c>
      <c r="B85" t="s">
        <v>1103</v>
      </c>
      <c r="C85" t="s">
        <v>387</v>
      </c>
      <c r="D85" t="s">
        <v>1054</v>
      </c>
      <c r="E85" s="20" t="s">
        <v>1090</v>
      </c>
      <c r="F85" s="20" t="s">
        <v>120</v>
      </c>
      <c r="G85" s="418">
        <v>6836.7</v>
      </c>
      <c r="H85" s="418">
        <v>0</v>
      </c>
      <c r="I85" s="418">
        <v>0</v>
      </c>
      <c r="J85" s="418">
        <v>0</v>
      </c>
      <c r="K85" s="418">
        <v>0</v>
      </c>
      <c r="L85" s="418">
        <v>0</v>
      </c>
      <c r="M85" s="418">
        <v>382.85520000000002</v>
      </c>
      <c r="N85" s="418">
        <v>0</v>
      </c>
      <c r="O85" s="21">
        <f>SUM(tabCustoUnit[[#This Row],[Salário Base]:[Adicional de Acúmulo de função]])</f>
        <v>7219.5551999999998</v>
      </c>
      <c r="P85" s="21">
        <f>tabCustoUnit[[#This Row],[MODULO 1 - REMUNERAÇÃO ]]*SUMIFS(tabParametros[INSS],tabParametros[Código do Posto],tabCustoUnit[[#This Row],[Código do Posto]])</f>
        <v>1443.91104</v>
      </c>
      <c r="Q85" s="21">
        <f>tabCustoUnit[[#This Row],[MODULO 1 - REMUNERAÇÃO ]]*SUMIFS(tabParametros[SESI OU SESC],tabParametros[Código do Posto],tabCustoUnit[[#This Row],[Código do Posto]])</f>
        <v>108.29332799999999</v>
      </c>
      <c r="R85" s="21">
        <f>tabCustoUnit[[#This Row],[MODULO 1 - REMUNERAÇÃO ]]*SUMIFS(tabParametros[SENAI OU SENAC],tabParametros[Código do Posto],tabCustoUnit[[#This Row],[Código do Posto]])</f>
        <v>72.195552000000006</v>
      </c>
      <c r="S85" s="21">
        <f>tabCustoUnit[[#This Row],[MODULO 1 - REMUNERAÇÃO ]]*SUMIFS(tabParametros[INCRA],tabParametros[Código do Posto],tabCustoUnit[[#This Row],[Código do Posto]])</f>
        <v>14.439110400000001</v>
      </c>
      <c r="T85" s="21">
        <f>tabCustoUnit[[#This Row],[MODULO 1 - REMUNERAÇÃO ]]*SUMIFS(tabParametros[Salário Educação],tabParametros[Código do Posto],tabCustoUnit[[#This Row],[Código do Posto]])</f>
        <v>180.48887999999999</v>
      </c>
      <c r="U85" s="21">
        <f>tabCustoUnit[[#This Row],[MODULO 1 - REMUNERAÇÃO ]]*SUMIFS(tabParametros[FGTS],tabParametros[Código do Posto],tabCustoUnit[[#This Row],[Código do Posto]])</f>
        <v>577.56441600000005</v>
      </c>
      <c r="V85" s="21">
        <f>tabCustoUnit[[#This Row],[MODULO 1 - REMUNERAÇÃO ]]*SUMIFS(tabParametros[RAT Ajustado],tabParametros[Código do Posto],tabCustoUnit[[#This Row],[Código do Posto]])</f>
        <v>288.78220800000003</v>
      </c>
      <c r="W85" s="21">
        <f>tabCustoUnit[[#This Row],[MODULO 1 - REMUNERAÇÃO ]]*SUMIFS(tabParametros[SEBRAE],tabParametros[Código do Posto],tabCustoUnit[[#This Row],[Código do Posto]])</f>
        <v>43.317331199999998</v>
      </c>
      <c r="X85" s="21">
        <f>SUM(tabCustoUnit[[#This Row],[INSS]:[SEBRAE]])</f>
        <v>2728.9918656</v>
      </c>
      <c r="Y85" s="21">
        <f>tabCustoUnit[[#This Row],[MODULO 1 - REMUNERAÇÃO ]]*SUMIFS(tabParametros[13º salário (titular)],tabParametros[Código do Posto],tabCustoUnit[[#This Row],[Código do Posto]])</f>
        <v>601.62959999999998</v>
      </c>
      <c r="Z85" s="21">
        <f>tabCustoUnit[[#This Row],[MODULO 1 - REMUNERAÇÃO ]]*SUMIFS(tabParametros[Férias e Adicional de Férias (titular)],tabParametros[Código do Posto],tabCustoUnit[[#This Row],[Código do Posto]])</f>
        <v>802.17279999999994</v>
      </c>
      <c r="AA85" s="21">
        <f>IFERROR((tabCustoUnit[[#This Row],[Submódulo 2.1]]/tabCustoUnit[[#This Row],[MODULO 1 - REMUNERAÇÃO ]])*SUM(tabCustoUnit[[#This Row],[13º salário (titular)]:[Férias e Adicional de Férias (titular)]]),0)</f>
        <v>530.63730720000001</v>
      </c>
      <c r="AB85" s="21">
        <f>SUM(tabCustoUnit[[#This Row],[13º salário (titular)]:[Incidência do Submódulo 2.1 sobre 13º Salário, Férias e Adicional de Férias]])</f>
        <v>1934.4397072000002</v>
      </c>
      <c r="AC85" s="22" t="e">
        <f ca="1">_xlfn.LET(_xlpm.VT,SUMIF(tabParametros[Código do Posto],tabCustoUnit[[#This Row],[Código do Posto]],tabParametros[Vale - Transporte])*2*20,
IF((_xlpm.VT-tabCustoUnit[[#This Row],[Salário Base]]*0.06)&gt;=0,(_xlpm.VT-tabCustoUnit[[#This Row],[Salário Base]]*0.06),0)
)</f>
        <v>#NAME?</v>
      </c>
      <c r="AD85" s="22">
        <f>IF(SUMIF(tabParametros[Código do Posto],tabCustoUnit[[#This Row],[Código do Posto]],tabParametros[Vale - Alimentação])&lt;=0,0,
SUMIF(tabParametros[Código do Posto],tabCustoUnit[[#This Row],[Código do Posto]],tabParametros[Vale - Alimentação])*20-1)</f>
        <v>581.79999999999995</v>
      </c>
      <c r="AE85" s="22">
        <f>SUMIF(tabParametros[Código do Posto],tabCustoUnit[[#This Row],[Código do Posto]],tabParametros[Cesta Básica])</f>
        <v>0</v>
      </c>
      <c r="AF85" s="22">
        <f>SUMIF(tabParametros[Código do Posto],tabCustoUnit[[#This Row],[Código do Posto]],tabParametros[PAF])</f>
        <v>51.73</v>
      </c>
      <c r="AG85" s="22">
        <f>SUMIF(tabParametros[Código do Posto],tabCustoUnit[[#This Row],[Código do Posto]],tabParametros[PQM])</f>
        <v>0</v>
      </c>
      <c r="AH85" s="22">
        <f>SUMIF(tabParametros[Código do Posto],tabCustoUnit[[#This Row],[Código do Posto]],tabParametros[Abono Único e Especial])</f>
        <v>0</v>
      </c>
      <c r="AI85" s="22">
        <f>SUMIF(tabParametros[Código do Posto],tabCustoUnit[[#This Row],[Código do Posto]],tabParametros[Seguro de Vida])</f>
        <v>3.36</v>
      </c>
      <c r="AJ85" s="22">
        <f>SUMIF(tabParametros[Código do Posto],tabCustoUnit[[#This Row],[Código do Posto]],tabParametros[Despesas de Viagem])</f>
        <v>202.08</v>
      </c>
      <c r="AK85" s="22" t="e">
        <f ca="1">SUM(tabCustoUnit[[#This Row],[Vale - Transporte (Descontada parcela do empregado)]:[Despesas de Viagem]])</f>
        <v>#NAME?</v>
      </c>
      <c r="AL85" s="22" t="e">
        <f ca="1">tabCustoUnit[[#This Row],[Submódulo 2.1]]+tabCustoUnit[[#This Row],[Submódulo 2.2]]+tabCustoUnit[[#This Row],[Submódulo 2.3]]</f>
        <v>#NAME?</v>
      </c>
      <c r="AM85" s="22">
        <f>SUMIF(tabParametros[Código do Posto],tabCustoUnit[[#This Row],[Código do Posto]],tabParametros[Aviso Prévio Indenizado (API) e Reflexo do Aviso Prévio Indenizado])*tabCustoUnit[[#This Row],[MODULO 1 - REMUNERAÇÃO ]]</f>
        <v>50.621838727777778</v>
      </c>
      <c r="AN85" s="22">
        <f>SUMIF(tabParametros[Código do Posto],tabCustoUnit[[#This Row],[Código do Posto]],tabParametros[Incidência do FGTS sobre API e Reflexo do API])*tabCustoUnit[[#This Row],[MODULO 1 - REMUNERAÇÃO ]]</f>
        <v>4.0497470982222223</v>
      </c>
      <c r="AO85" s="22">
        <f>SUMIF(tabParametros[Código do Posto],tabCustoUnit[[#This Row],[Código do Posto]],tabParametros[Multa Rescisória do FGTS sobre o Aviso Prévio Indenizado])*tabCustoUnit[[#This Row],[MODULO 1 - REMUNERAÇÃO ]]</f>
        <v>1.6198988392888891</v>
      </c>
      <c r="AP85" s="22">
        <f>SUMIF(tabParametros[Código do Posto],tabCustoUnit[[#This Row],[Código do Posto]],tabParametros[Aviso Prévio Trabalhado - APT])*tabCustoUnit[[#This Row],[MODULO 1 - REMUNERAÇÃO ]]</f>
        <v>25.268443200000004</v>
      </c>
      <c r="AQ85" s="22">
        <f>SUMIF(tabParametros[Código do Posto],tabCustoUnit[[#This Row],[Código do Posto]],tabParametros[Incidência dos encargos do submódulo 2.1 sobre Aviso Prévio Trabalhado])*tabCustoUnit[[#This Row],[MODULO 1 - REMUNERAÇÃO ]]</f>
        <v>9.5514715296000023</v>
      </c>
      <c r="AR85" s="22">
        <f>SUMIF(tabParametros[Código do Posto],tabCustoUnit[[#This Row],[Código do Posto]],tabParametros[Multa Rescisória do FGTS])*tabCustoUnit[[#This Row],[MODULO 1 - REMUNERAÇÃO ]]</f>
        <v>220.75795455999997</v>
      </c>
      <c r="AS85" s="22">
        <f>SUMIF(tabParametros[Código do Posto],tabCustoUnit[[#This Row],[Código do Posto]],tabParametros[Indenização Adicional (Art. 9º da Lei nº 7.238/84)])*tabCustoUnit[[#This Row],[MODULO 1 - REMUNERAÇÃO ]]</f>
        <v>6.0162960000000005</v>
      </c>
      <c r="AT85" s="22">
        <f>SUM(tabCustoUnit[[#This Row],[Aviso Prévio Indenizado (API) e Reflexo do Aviso Prévio Indenizado]:[Indenização Adicional (Art. 9º da Lei nº 7.238/84)]])</f>
        <v>317.88564995488889</v>
      </c>
      <c r="AU85" s="22">
        <f>SUMIF(tabParametros[Código do Posto],tabCustoUnit[[#This Row],[Código do Posto]],tabParametros[Ausência por Doença])*tabCustoUnit[[#This Row],[MODULO 1 - REMUNERAÇÃO ]]</f>
        <v>60.965132799999992</v>
      </c>
      <c r="AV85" s="22">
        <f>SUMIF(tabParametros[Código do Posto],tabCustoUnit[[#This Row],[Código do Posto]],tabParametros[Ausências Legais])*tabCustoUnit[[#This Row],[MODULO 1 - REMUNERAÇÃO ]]</f>
        <v>14.639653599999999</v>
      </c>
      <c r="AW85" s="22">
        <f>SUMIF(tabParametros[Código do Posto],tabCustoUnit[[#This Row],[Código do Posto]],tabParametros[Licença Paternidade])*tabCustoUnit[[#This Row],[MODULO 1 - REMUNERAÇÃO ]]</f>
        <v>1.23334068</v>
      </c>
      <c r="AX85" s="22">
        <f>SUMIF(tabParametros[Código do Posto],tabCustoUnit[[#This Row],[Código do Posto]],tabParametros[Ausência por Acidente de Trabalho])*tabCustoUnit[[#This Row],[MODULO 1 - REMUNERAÇÃO ]]</f>
        <v>1.5040740000000001</v>
      </c>
      <c r="AY85" s="22">
        <f>SUMIF(tabParametros[Código do Posto],tabCustoUnit[[#This Row],[Código do Posto]],tabParametros[Férias, Adicional de Férias e 13º  com empregada em gozo de Licença Maternidade])*tabCustoUnit[[#This Row],[MODULO 1 - REMUNERAÇÃO ]]</f>
        <v>9.3586826666666667</v>
      </c>
      <c r="AZ85" s="22">
        <f>SUMIF(tabParametros[Código do Posto],tabCustoUnit[[#This Row],[Código do Posto]],tabParametros[Incidência do Submódulo 2.1 sobre Ausências Legais])*tabCustoUnit[[#This Row],[MODULO 1 - REMUNERAÇÃO ]]</f>
        <v>33.150934056240004</v>
      </c>
      <c r="BA85" s="22">
        <f>SUM(tabCustoUnit[[#This Row],[Ausência por Doença]:[Incidência do Submódulo 2.1 sobre Ausências Legais]])</f>
        <v>120.85181780290667</v>
      </c>
      <c r="BB85" s="22">
        <f>SUMIF(tabParametros[Código do Posto],tabCustoUnit[[#This Row],[Código do Posto]],tabParametros[Intervalo para Repouso ou Alimentação])</f>
        <v>0</v>
      </c>
      <c r="BC85" s="22">
        <f>tabCustoUnit[[#This Row],[Intervalo para Repouso ou Alimentação]]</f>
        <v>0</v>
      </c>
      <c r="BD8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5" s="22">
        <f>tabCustoUnit[[#This Row],[Suspensão Temporária do Contrato de Trabalho]]</f>
        <v>0</v>
      </c>
      <c r="BF85" s="22">
        <f>tabCustoUnit[[#This Row],[Submódulo 4.1]]+tabCustoUnit[[#This Row],[Submódulo 4.2]]+tabCustoUnit[[#This Row],[Submódulo 4.3]]</f>
        <v>120.85181780290667</v>
      </c>
      <c r="BG85" s="22">
        <f>VLOOKUP(tabCustoUnit[[#This Row],[Código do Posto]],tabParametros[],MATCH(tabCustoUnit[[#Headers],[Uniformes e EPIs]],tabParametros[#Headers],0),0)</f>
        <v>90.784679782039703</v>
      </c>
      <c r="BH85" s="22">
        <f>VLOOKUP(tabCustoUnit[[#This Row],[Código do Posto]],tabParametros[],MATCH(tabCustoUnit[[#Headers],[Materiais de Consumo]],tabParametros[#Headers],0),0)</f>
        <v>0</v>
      </c>
      <c r="BI85" s="22">
        <f>VLOOKUP(tabCustoUnit[[#This Row],[Código do Posto]],tabParametros[],MATCH(tabCustoUnit[[#Headers],[Máquinas e Equipamentos (depreciação)]],tabParametros[#Headers],0),0)</f>
        <v>0</v>
      </c>
      <c r="BJ85" s="22">
        <f>VLOOKUP(tabCustoUnit[[#This Row],[Código do Posto]],tabParametros[],MATCH(tabCustoUnit[[#Headers],[Produtos de Limpeza e Materiais de Higiene Pessoal]],tabParametros[#Headers],0),0)</f>
        <v>0</v>
      </c>
      <c r="BK85" s="22">
        <f>VLOOKUP(tabCustoUnit[[#This Row],[Código do Posto]],tabParametros[],MATCH(tabCustoUnit[[#Headers],[Outros (especificar)]],tabParametros[#Headers],0),0)</f>
        <v>0</v>
      </c>
      <c r="BL85" s="22">
        <f>SUM(tabCustoUnit[[#This Row],[Uniformes e EPIs]:[Outros (especificar)]])</f>
        <v>90.784679782039703</v>
      </c>
      <c r="BM8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5" s="22" t="e">
        <f ca="1">VLOOKUP(tabCustoUnit[[#This Row],[Código do Posto]],tabParametros[],MATCH(tabCustoUnit[[#Headers],[Custos Indiretos]],tabParametros[#Headers],0),0)</f>
        <v>#NAME?</v>
      </c>
      <c r="BO85" s="22" t="e">
        <f ca="1">VLOOKUP(tabCustoUnit[[#This Row],[Código do Posto]],tabParametros[],MATCH(tabCustoUnit[[#Headers],[Lucro]],tabParametros[#Headers],0),0)</f>
        <v>#NAME?</v>
      </c>
      <c r="BP85" s="26">
        <f>((100/((1-tabCustoUnit[[#This Row],[Resumo de Alíquotas (PIS+CONFINS+ISS)]]))-100)*VLOOKUP(tabCustoUnit[[#This Row],[Código do Posto]],tabParametros[],MATCH(tabCustoUnit[[#Headers],[COFINS]],tabParametros[#Headers],0),0))/(tabCustoUnit[[#This Row],[Resumo de Alíquotas (PIS+CONFINS+ISS)]]*100)</f>
        <v>8.8629737609329504E-2</v>
      </c>
      <c r="BQ85" s="26">
        <f>((100/((100-(tabCustoUnit[[#This Row],[Resumo de Alíquotas (PIS+CONFINS+ISS)]]*100))%)-100)*VLOOKUP(tabCustoUnit[[#This Row],[Código do Posto]],tabParametros[],MATCH(tabCustoUnit[[#Headers],[PIS]],tabParametros[#Headers],0),0))/(tabCustoUnit[[#This Row],[Resumo de Alíquotas (PIS+CONFINS+ISS)]]*100)</f>
        <v>1.9241982507288629E-2</v>
      </c>
      <c r="BR85" s="28">
        <f>VLOOKUP(tabCustoUnit[[#This Row],[Código do Posto]],tabParametros[],MATCH(tabCustoUnit[[#Headers],[ISS]],tabParametros[#Headers],0),0)</f>
        <v>0.05</v>
      </c>
      <c r="BS85" s="26">
        <f>(((100/((100-(tabCustoUnit[[#This Row],[Resumo de Alíquotas (PIS+CONFINS+ISS)]]*100))%)-100)*tabCustoUnit[[#This Row],[ISS]])/tabCustoUnit[[#This Row],[Resumo de Alíquotas (PIS+CONFINS+ISS)]])/100</f>
        <v>5.8309037900874633E-2</v>
      </c>
      <c r="BT8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5" s="138">
        <f>tabCustoUnit[[#This Row],[COFINS]]+tabCustoUnit[[#This Row],[PIS]]+tabCustoUnit[[#This Row],[ISS (Conversão Alíquota s/ fatura)]]</f>
        <v>0.16618075801749277</v>
      </c>
      <c r="BV85" s="22" t="e">
        <f ca="1">(tabCustoUnit[[#This Row],[TOTAL MÓDULOS 1+2+3+4+5]]+tabCustoUnit[[#This Row],[Custos Indiretos]]+tabCustoUnit[[#This Row],[Lucro]])*tabCustoUnit[[#This Row],[PIS + COFINS + ISS (Total Conversão  Alíquota s/ Fatura)]]</f>
        <v>#NAME?</v>
      </c>
      <c r="BW85" s="22" t="e">
        <f ca="1">tabCustoUnit[[#This Row],[Custos Indiretos]]+tabCustoUnit[[#This Row],[Lucro]]+tabCustoUnit[[#This Row],[Valor dos Tributos (ISS, PIS, CONFINS)]]</f>
        <v>#NAME?</v>
      </c>
      <c r="BX85" s="22" t="e">
        <f ca="1">tabCustoUnit[[#This Row],[TOTAL MÓDULOS 1+2+3+4+5]]+tabCustoUnit[[#This Row],[MÓDULO 6 – CUSTOS INDIRETOS, TRIBUTOS E LUCRO]]</f>
        <v>#NAME?</v>
      </c>
      <c r="BY85" s="22" t="e">
        <f ca="1">tabCustoUnit[[#This Row],[CUSTO TOTAL MENSAL]]*12</f>
        <v>#NAME?</v>
      </c>
      <c r="BZ85" s="24">
        <f>VLOOKUP(tabCustoUnit[[#This Row],[Código do Posto]],tabParametros[],MATCH(tabCustoUnit[[#Headers],[ANO DA CCT]],tabParametros[#Headers],0),0)</f>
        <v>45658</v>
      </c>
      <c r="CA85" s="25" t="str">
        <f>VLOOKUP(tabCustoUnit[[#This Row],[Código do Posto]],tabParametros[],MATCH(tabCustoUnit[[#Headers],[Nº DE PEDIDO DA CCT]],tabParametros[#Headers],0),0)</f>
        <v>-</v>
      </c>
      <c r="CB85" s="25" t="str">
        <f>VLOOKUP(tabCustoUnit[[#This Row],[Código do Posto]],tabParametros[],MATCH(tabCustoUnit[[#Headers],[TERMO ADITIVO ALTERAÇÃO DA CCT]],tabParametros[#Headers],0),0)</f>
        <v>-</v>
      </c>
    </row>
    <row r="86" spans="1:80">
      <c r="A86" s="20" t="s">
        <v>1553</v>
      </c>
      <c r="B86" t="s">
        <v>1103</v>
      </c>
      <c r="C86" t="s">
        <v>394</v>
      </c>
      <c r="D86" t="s">
        <v>1063</v>
      </c>
      <c r="E86" s="20" t="s">
        <v>1090</v>
      </c>
      <c r="F86" s="20" t="s">
        <v>120</v>
      </c>
      <c r="G86" s="418">
        <v>2404.7339999999999</v>
      </c>
      <c r="H86" s="418">
        <v>0</v>
      </c>
      <c r="I86" s="418">
        <v>0</v>
      </c>
      <c r="J86" s="418">
        <v>0</v>
      </c>
      <c r="K86" s="418">
        <v>0</v>
      </c>
      <c r="L86" s="418">
        <v>0</v>
      </c>
      <c r="M86" s="418">
        <v>0</v>
      </c>
      <c r="N86" s="418">
        <v>0</v>
      </c>
      <c r="O86" s="21">
        <f>SUM(tabCustoUnit[[#This Row],[Salário Base]:[Adicional de Acúmulo de função]])</f>
        <v>2404.7339999999999</v>
      </c>
      <c r="P86" s="21">
        <f>tabCustoUnit[[#This Row],[MODULO 1 - REMUNERAÇÃO ]]*SUMIFS(tabParametros[INSS],tabParametros[Código do Posto],tabCustoUnit[[#This Row],[Código do Posto]])</f>
        <v>480.9468</v>
      </c>
      <c r="Q86" s="21">
        <f>tabCustoUnit[[#This Row],[MODULO 1 - REMUNERAÇÃO ]]*SUMIFS(tabParametros[SESI OU SESC],tabParametros[Código do Posto],tabCustoUnit[[#This Row],[Código do Posto]])</f>
        <v>36.071009999999994</v>
      </c>
      <c r="R86" s="21">
        <f>tabCustoUnit[[#This Row],[MODULO 1 - REMUNERAÇÃO ]]*SUMIFS(tabParametros[SENAI OU SENAC],tabParametros[Código do Posto],tabCustoUnit[[#This Row],[Código do Posto]])</f>
        <v>24.047339999999998</v>
      </c>
      <c r="S86" s="21">
        <f>tabCustoUnit[[#This Row],[MODULO 1 - REMUNERAÇÃO ]]*SUMIFS(tabParametros[INCRA],tabParametros[Código do Posto],tabCustoUnit[[#This Row],[Código do Posto]])</f>
        <v>4.8094679999999999</v>
      </c>
      <c r="T86" s="21">
        <f>tabCustoUnit[[#This Row],[MODULO 1 - REMUNERAÇÃO ]]*SUMIFS(tabParametros[Salário Educação],tabParametros[Código do Posto],tabCustoUnit[[#This Row],[Código do Posto]])</f>
        <v>60.11835</v>
      </c>
      <c r="U86" s="21">
        <f>tabCustoUnit[[#This Row],[MODULO 1 - REMUNERAÇÃO ]]*SUMIFS(tabParametros[FGTS],tabParametros[Código do Posto],tabCustoUnit[[#This Row],[Código do Posto]])</f>
        <v>192.37871999999999</v>
      </c>
      <c r="V86" s="21">
        <f>tabCustoUnit[[#This Row],[MODULO 1 - REMUNERAÇÃO ]]*SUMIFS(tabParametros[RAT Ajustado],tabParametros[Código do Posto],tabCustoUnit[[#This Row],[Código do Posto]])</f>
        <v>96.189359999999994</v>
      </c>
      <c r="W86" s="21">
        <f>tabCustoUnit[[#This Row],[MODULO 1 - REMUNERAÇÃO ]]*SUMIFS(tabParametros[SEBRAE],tabParametros[Código do Posto],tabCustoUnit[[#This Row],[Código do Posto]])</f>
        <v>14.428404</v>
      </c>
      <c r="X86" s="21">
        <f>SUM(tabCustoUnit[[#This Row],[INSS]:[SEBRAE]])</f>
        <v>908.98945199999991</v>
      </c>
      <c r="Y86" s="21">
        <f>tabCustoUnit[[#This Row],[MODULO 1 - REMUNERAÇÃO ]]*SUMIFS(tabParametros[13º salário (titular)],tabParametros[Código do Posto],tabCustoUnit[[#This Row],[Código do Posto]])</f>
        <v>200.39449999999999</v>
      </c>
      <c r="Z86" s="21">
        <f>tabCustoUnit[[#This Row],[MODULO 1 - REMUNERAÇÃO ]]*SUMIFS(tabParametros[Férias e Adicional de Férias (titular)],tabParametros[Código do Posto],tabCustoUnit[[#This Row],[Código do Posto]])</f>
        <v>267.19266666666664</v>
      </c>
      <c r="AA86" s="21">
        <f>IFERROR((tabCustoUnit[[#This Row],[Submódulo 2.1]]/tabCustoUnit[[#This Row],[MODULO 1 - REMUNERAÇÃO ]])*SUM(tabCustoUnit[[#This Row],[13º salário (titular)]:[Férias e Adicional de Férias (titular)]]),0)</f>
        <v>176.74794899999998</v>
      </c>
      <c r="AB86" s="21">
        <f>SUM(tabCustoUnit[[#This Row],[13º salário (titular)]:[Incidência do Submódulo 2.1 sobre 13º Salário, Férias e Adicional de Férias]])</f>
        <v>644.33511566666664</v>
      </c>
      <c r="AC86" s="22" t="e">
        <f ca="1">_xlfn.LET(_xlpm.VT,SUMIF(tabParametros[Código do Posto],tabCustoUnit[[#This Row],[Código do Posto]],tabParametros[Vale - Transporte])*2*20,
IF((_xlpm.VT-tabCustoUnit[[#This Row],[Salário Base]]*0.06)&gt;=0,(_xlpm.VT-tabCustoUnit[[#This Row],[Salário Base]]*0.06),0)
)</f>
        <v>#NAME?</v>
      </c>
      <c r="AD86" s="22">
        <f>IF(SUMIF(tabParametros[Código do Posto],tabCustoUnit[[#This Row],[Código do Posto]],tabParametros[Vale - Alimentação])&lt;=0,0,
SUMIF(tabParametros[Código do Posto],tabCustoUnit[[#This Row],[Código do Posto]],tabParametros[Vale - Alimentação])*20-1)</f>
        <v>502</v>
      </c>
      <c r="AE86" s="22">
        <f>SUMIF(tabParametros[Código do Posto],tabCustoUnit[[#This Row],[Código do Posto]],tabParametros[Cesta Básica])</f>
        <v>0</v>
      </c>
      <c r="AF86" s="22">
        <f>SUMIF(tabParametros[Código do Posto],tabCustoUnit[[#This Row],[Código do Posto]],tabParametros[PAF])</f>
        <v>0</v>
      </c>
      <c r="AG86" s="22">
        <f>SUMIF(tabParametros[Código do Posto],tabCustoUnit[[#This Row],[Código do Posto]],tabParametros[PQM])</f>
        <v>0</v>
      </c>
      <c r="AH86" s="22">
        <f>SUMIF(tabParametros[Código do Posto],tabCustoUnit[[#This Row],[Código do Posto]],tabParametros[Abono Único e Especial])</f>
        <v>0</v>
      </c>
      <c r="AI86" s="22">
        <f>SUMIF(tabParametros[Código do Posto],tabCustoUnit[[#This Row],[Código do Posto]],tabParametros[Seguro de Vida])</f>
        <v>3.36</v>
      </c>
      <c r="AJ86" s="22">
        <f>SUMIF(tabParametros[Código do Posto],tabCustoUnit[[#This Row],[Código do Posto]],tabParametros[Despesas de Viagem])</f>
        <v>202.08</v>
      </c>
      <c r="AK86" s="22" t="e">
        <f ca="1">SUM(tabCustoUnit[[#This Row],[Vale - Transporte (Descontada parcela do empregado)]:[Despesas de Viagem]])</f>
        <v>#NAME?</v>
      </c>
      <c r="AL86" s="22" t="e">
        <f ca="1">tabCustoUnit[[#This Row],[Submódulo 2.1]]+tabCustoUnit[[#This Row],[Submódulo 2.2]]+tabCustoUnit[[#This Row],[Submódulo 2.3]]</f>
        <v>#NAME?</v>
      </c>
      <c r="AM86" s="22">
        <f>SUMIF(tabParametros[Código do Posto],tabCustoUnit[[#This Row],[Código do Posto]],tabParametros[Aviso Prévio Indenizado (API) e Reflexo do Aviso Prévio Indenizado])*tabCustoUnit[[#This Row],[MODULO 1 - REMUNERAÇÃO ]]</f>
        <v>16.861434445601851</v>
      </c>
      <c r="AN86" s="22">
        <f>SUMIF(tabParametros[Código do Posto],tabCustoUnit[[#This Row],[Código do Posto]],tabParametros[Incidência do FGTS sobre API e Reflexo do API])*tabCustoUnit[[#This Row],[MODULO 1 - REMUNERAÇÃO ]]</f>
        <v>1.3489147556481482</v>
      </c>
      <c r="AO86" s="22">
        <f>SUMIF(tabParametros[Código do Posto],tabCustoUnit[[#This Row],[Código do Posto]],tabParametros[Multa Rescisória do FGTS sobre o Aviso Prévio Indenizado])*tabCustoUnit[[#This Row],[MODULO 1 - REMUNERAÇÃO ]]</f>
        <v>0.53956590225925938</v>
      </c>
      <c r="AP86" s="22">
        <f>SUMIF(tabParametros[Código do Posto],tabCustoUnit[[#This Row],[Código do Posto]],tabParametros[Aviso Prévio Trabalhado - APT])*tabCustoUnit[[#This Row],[MODULO 1 - REMUNERAÇÃO ]]</f>
        <v>8.4165690000000009</v>
      </c>
      <c r="AQ86" s="22">
        <f>SUMIF(tabParametros[Código do Posto],tabCustoUnit[[#This Row],[Código do Posto]],tabParametros[Incidência dos encargos do submódulo 2.1 sobre Aviso Prévio Trabalhado])*tabCustoUnit[[#This Row],[MODULO 1 - REMUNERAÇÃO ]]</f>
        <v>3.1814630820000009</v>
      </c>
      <c r="AR86" s="22">
        <f>SUMIF(tabParametros[Código do Posto],tabCustoUnit[[#This Row],[Código do Posto]],tabParametros[Multa Rescisória do FGTS])*tabCustoUnit[[#This Row],[MODULO 1 - REMUNERAÇÃO ]]</f>
        <v>73.531421866666648</v>
      </c>
      <c r="AS86" s="22">
        <f>SUMIF(tabParametros[Código do Posto],tabCustoUnit[[#This Row],[Código do Posto]],tabParametros[Indenização Adicional (Art. 9º da Lei nº 7.238/84)])*tabCustoUnit[[#This Row],[MODULO 1 - REMUNERAÇÃO ]]</f>
        <v>2.0039449999999999</v>
      </c>
      <c r="AT86" s="22">
        <f>SUM(tabCustoUnit[[#This Row],[Aviso Prévio Indenizado (API) e Reflexo do Aviso Prévio Indenizado]:[Indenização Adicional (Art. 9º da Lei nº 7.238/84)]])</f>
        <v>105.88331405217592</v>
      </c>
      <c r="AU86" s="22">
        <f>SUMIF(tabParametros[Código do Posto],tabCustoUnit[[#This Row],[Código do Posto]],tabParametros[Ausência por Doença])*tabCustoUnit[[#This Row],[MODULO 1 - REMUNERAÇÃO ]]</f>
        <v>20.306642666666665</v>
      </c>
      <c r="AV86" s="22">
        <f>SUMIF(tabParametros[Código do Posto],tabCustoUnit[[#This Row],[Código do Posto]],tabParametros[Ausências Legais])*tabCustoUnit[[#This Row],[MODULO 1 - REMUNERAÇÃO ]]</f>
        <v>4.8762661666666665</v>
      </c>
      <c r="AW86" s="22">
        <f>SUMIF(tabParametros[Código do Posto],tabCustoUnit[[#This Row],[Código do Posto]],tabParametros[Licença Paternidade])*tabCustoUnit[[#This Row],[MODULO 1 - REMUNERAÇÃO ]]</f>
        <v>0.41080872499999999</v>
      </c>
      <c r="AX86" s="22">
        <f>SUMIF(tabParametros[Código do Posto],tabCustoUnit[[#This Row],[Código do Posto]],tabParametros[Ausência por Acidente de Trabalho])*tabCustoUnit[[#This Row],[MODULO 1 - REMUNERAÇÃO ]]</f>
        <v>0.50098624999999997</v>
      </c>
      <c r="AY86" s="22">
        <f>SUMIF(tabParametros[Código do Posto],tabCustoUnit[[#This Row],[Código do Posto]],tabParametros[Férias, Adicional de Férias e 13º  com empregada em gozo de Licença Maternidade])*tabCustoUnit[[#This Row],[MODULO 1 - REMUNERAÇÃO ]]</f>
        <v>3.1172477777777776</v>
      </c>
      <c r="AZ86" s="22">
        <f>SUMIF(tabParametros[Código do Posto],tabCustoUnit[[#This Row],[Código do Posto]],tabParametros[Incidência do Submódulo 2.1 sobre Ausências Legais])*tabCustoUnit[[#This Row],[MODULO 1 - REMUNERAÇÃO ]]</f>
        <v>11.042117699550001</v>
      </c>
      <c r="BA86" s="22">
        <f>SUM(tabCustoUnit[[#This Row],[Ausência por Doença]:[Incidência do Submódulo 2.1 sobre Ausências Legais]])</f>
        <v>40.25406928566111</v>
      </c>
      <c r="BB86" s="22">
        <f>SUMIF(tabParametros[Código do Posto],tabCustoUnit[[#This Row],[Código do Posto]],tabParametros[Intervalo para Repouso ou Alimentação])</f>
        <v>0</v>
      </c>
      <c r="BC86" s="22">
        <f>tabCustoUnit[[#This Row],[Intervalo para Repouso ou Alimentação]]</f>
        <v>0</v>
      </c>
      <c r="BD8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6" s="22">
        <f>tabCustoUnit[[#This Row],[Suspensão Temporária do Contrato de Trabalho]]</f>
        <v>0</v>
      </c>
      <c r="BF86" s="22">
        <f>tabCustoUnit[[#This Row],[Submódulo 4.1]]+tabCustoUnit[[#This Row],[Submódulo 4.2]]+tabCustoUnit[[#This Row],[Submódulo 4.3]]</f>
        <v>40.25406928566111</v>
      </c>
      <c r="BG86" s="22">
        <f>VLOOKUP(tabCustoUnit[[#This Row],[Código do Posto]],tabParametros[],MATCH(tabCustoUnit[[#Headers],[Uniformes e EPIs]],tabParametros[#Headers],0),0)</f>
        <v>42.607550547045918</v>
      </c>
      <c r="BH86" s="22">
        <f>VLOOKUP(tabCustoUnit[[#This Row],[Código do Posto]],tabParametros[],MATCH(tabCustoUnit[[#Headers],[Materiais de Consumo]],tabParametros[#Headers],0),0)</f>
        <v>0</v>
      </c>
      <c r="BI86" s="22">
        <f>VLOOKUP(tabCustoUnit[[#This Row],[Código do Posto]],tabParametros[],MATCH(tabCustoUnit[[#Headers],[Máquinas e Equipamentos (depreciação)]],tabParametros[#Headers],0),0)</f>
        <v>0</v>
      </c>
      <c r="BJ86" s="22">
        <f>VLOOKUP(tabCustoUnit[[#This Row],[Código do Posto]],tabParametros[],MATCH(tabCustoUnit[[#Headers],[Produtos de Limpeza e Materiais de Higiene Pessoal]],tabParametros[#Headers],0),0)</f>
        <v>0</v>
      </c>
      <c r="BK86" s="22">
        <f>VLOOKUP(tabCustoUnit[[#This Row],[Código do Posto]],tabParametros[],MATCH(tabCustoUnit[[#Headers],[Outros (especificar)]],tabParametros[#Headers],0),0)</f>
        <v>0</v>
      </c>
      <c r="BL86" s="22">
        <f>SUM(tabCustoUnit[[#This Row],[Uniformes e EPIs]:[Outros (especificar)]])</f>
        <v>42.607550547045918</v>
      </c>
      <c r="BM8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6" s="22" t="e">
        <f ca="1">VLOOKUP(tabCustoUnit[[#This Row],[Código do Posto]],tabParametros[],MATCH(tabCustoUnit[[#Headers],[Custos Indiretos]],tabParametros[#Headers],0),0)</f>
        <v>#NAME?</v>
      </c>
      <c r="BO86" s="22" t="e">
        <f ca="1">VLOOKUP(tabCustoUnit[[#This Row],[Código do Posto]],tabParametros[],MATCH(tabCustoUnit[[#Headers],[Lucro]],tabParametros[#Headers],0),0)</f>
        <v>#NAME?</v>
      </c>
      <c r="BP86" s="26">
        <f>((100/((1-tabCustoUnit[[#This Row],[Resumo de Alíquotas (PIS+CONFINS+ISS)]]))-100)*VLOOKUP(tabCustoUnit[[#This Row],[Código do Posto]],tabParametros[],MATCH(tabCustoUnit[[#Headers],[COFINS]],tabParametros[#Headers],0),0))/(tabCustoUnit[[#This Row],[Resumo de Alíquotas (PIS+CONFINS+ISS)]]*100)</f>
        <v>8.8629737609329504E-2</v>
      </c>
      <c r="BQ86" s="26">
        <f>((100/((100-(tabCustoUnit[[#This Row],[Resumo de Alíquotas (PIS+CONFINS+ISS)]]*100))%)-100)*VLOOKUP(tabCustoUnit[[#This Row],[Código do Posto]],tabParametros[],MATCH(tabCustoUnit[[#Headers],[PIS]],tabParametros[#Headers],0),0))/(tabCustoUnit[[#This Row],[Resumo de Alíquotas (PIS+CONFINS+ISS)]]*100)</f>
        <v>1.9241982507288629E-2</v>
      </c>
      <c r="BR86" s="28">
        <f>VLOOKUP(tabCustoUnit[[#This Row],[Código do Posto]],tabParametros[],MATCH(tabCustoUnit[[#Headers],[ISS]],tabParametros[#Headers],0),0)</f>
        <v>0.05</v>
      </c>
      <c r="BS86" s="26">
        <f>(((100/((100-(tabCustoUnit[[#This Row],[Resumo de Alíquotas (PIS+CONFINS+ISS)]]*100))%)-100)*tabCustoUnit[[#This Row],[ISS]])/tabCustoUnit[[#This Row],[Resumo de Alíquotas (PIS+CONFINS+ISS)]])/100</f>
        <v>5.8309037900874633E-2</v>
      </c>
      <c r="BT8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6" s="138">
        <f>tabCustoUnit[[#This Row],[COFINS]]+tabCustoUnit[[#This Row],[PIS]]+tabCustoUnit[[#This Row],[ISS (Conversão Alíquota s/ fatura)]]</f>
        <v>0.16618075801749277</v>
      </c>
      <c r="BV86" s="22" t="e">
        <f ca="1">(tabCustoUnit[[#This Row],[TOTAL MÓDULOS 1+2+3+4+5]]+tabCustoUnit[[#This Row],[Custos Indiretos]]+tabCustoUnit[[#This Row],[Lucro]])*tabCustoUnit[[#This Row],[PIS + COFINS + ISS (Total Conversão  Alíquota s/ Fatura)]]</f>
        <v>#NAME?</v>
      </c>
      <c r="BW86" s="22" t="e">
        <f ca="1">tabCustoUnit[[#This Row],[Custos Indiretos]]+tabCustoUnit[[#This Row],[Lucro]]+tabCustoUnit[[#This Row],[Valor dos Tributos (ISS, PIS, CONFINS)]]</f>
        <v>#NAME?</v>
      </c>
      <c r="BX86" s="22" t="e">
        <f ca="1">tabCustoUnit[[#This Row],[TOTAL MÓDULOS 1+2+3+4+5]]+tabCustoUnit[[#This Row],[MÓDULO 6 – CUSTOS INDIRETOS, TRIBUTOS E LUCRO]]</f>
        <v>#NAME?</v>
      </c>
      <c r="BY86" s="22" t="e">
        <f ca="1">tabCustoUnit[[#This Row],[CUSTO TOTAL MENSAL]]*12</f>
        <v>#NAME?</v>
      </c>
      <c r="BZ86" s="24">
        <f>VLOOKUP(tabCustoUnit[[#This Row],[Código do Posto]],tabParametros[],MATCH(tabCustoUnit[[#Headers],[ANO DA CCT]],tabParametros[#Headers],0),0)</f>
        <v>45292</v>
      </c>
      <c r="CA86" s="25" t="str">
        <f>VLOOKUP(tabCustoUnit[[#This Row],[Código do Posto]],tabParametros[],MATCH(tabCustoUnit[[#Headers],[Nº DE PEDIDO DA CCT]],tabParametros[#Headers],0),0)</f>
        <v>-</v>
      </c>
      <c r="CB86" s="25" t="str">
        <f>VLOOKUP(tabCustoUnit[[#This Row],[Código do Posto]],tabParametros[],MATCH(tabCustoUnit[[#Headers],[TERMO ADITIVO ALTERAÇÃO DA CCT]],tabParametros[#Headers],0),0)</f>
        <v>-</v>
      </c>
    </row>
    <row r="87" spans="1:80">
      <c r="A87" s="20" t="s">
        <v>1459</v>
      </c>
      <c r="B87" t="s">
        <v>1104</v>
      </c>
      <c r="C87" t="s">
        <v>200</v>
      </c>
      <c r="D87" t="s">
        <v>1058</v>
      </c>
      <c r="E87" s="20" t="s">
        <v>1090</v>
      </c>
      <c r="F87" s="20" t="s">
        <v>120</v>
      </c>
      <c r="G87" s="418">
        <v>1649.1152999999999</v>
      </c>
      <c r="H87" s="418">
        <v>0</v>
      </c>
      <c r="I87" s="418">
        <v>0</v>
      </c>
      <c r="J87" s="418">
        <v>0</v>
      </c>
      <c r="K87" s="418">
        <v>0</v>
      </c>
      <c r="L87" s="418">
        <v>0</v>
      </c>
      <c r="M87" s="418">
        <v>0</v>
      </c>
      <c r="N87" s="418">
        <v>0</v>
      </c>
      <c r="O87" s="21">
        <f>SUM(tabCustoUnit[[#This Row],[Salário Base]:[Adicional de Acúmulo de função]])</f>
        <v>1649.1152999999999</v>
      </c>
      <c r="P87" s="21">
        <f>tabCustoUnit[[#This Row],[MODULO 1 - REMUNERAÇÃO ]]*SUMIFS(tabParametros[INSS],tabParametros[Código do Posto],tabCustoUnit[[#This Row],[Código do Posto]])</f>
        <v>329.82306</v>
      </c>
      <c r="Q87" s="21">
        <f>tabCustoUnit[[#This Row],[MODULO 1 - REMUNERAÇÃO ]]*SUMIFS(tabParametros[SESI OU SESC],tabParametros[Código do Posto],tabCustoUnit[[#This Row],[Código do Posto]])</f>
        <v>24.736729499999999</v>
      </c>
      <c r="R87" s="21">
        <f>tabCustoUnit[[#This Row],[MODULO 1 - REMUNERAÇÃO ]]*SUMIFS(tabParametros[SENAI OU SENAC],tabParametros[Código do Posto],tabCustoUnit[[#This Row],[Código do Posto]])</f>
        <v>16.491153000000001</v>
      </c>
      <c r="S87" s="21">
        <f>tabCustoUnit[[#This Row],[MODULO 1 - REMUNERAÇÃO ]]*SUMIFS(tabParametros[INCRA],tabParametros[Código do Posto],tabCustoUnit[[#This Row],[Código do Posto]])</f>
        <v>3.2982306000000001</v>
      </c>
      <c r="T87" s="21">
        <f>tabCustoUnit[[#This Row],[MODULO 1 - REMUNERAÇÃO ]]*SUMIFS(tabParametros[Salário Educação],tabParametros[Código do Posto],tabCustoUnit[[#This Row],[Código do Posto]])</f>
        <v>41.2278825</v>
      </c>
      <c r="U87" s="21">
        <f>tabCustoUnit[[#This Row],[MODULO 1 - REMUNERAÇÃO ]]*SUMIFS(tabParametros[FGTS],tabParametros[Código do Posto],tabCustoUnit[[#This Row],[Código do Posto]])</f>
        <v>131.929224</v>
      </c>
      <c r="V87" s="21">
        <f>tabCustoUnit[[#This Row],[MODULO 1 - REMUNERAÇÃO ]]*SUMIFS(tabParametros[RAT Ajustado],tabParametros[Código do Posto],tabCustoUnit[[#This Row],[Código do Posto]])</f>
        <v>65.964612000000002</v>
      </c>
      <c r="W87" s="21">
        <f>tabCustoUnit[[#This Row],[MODULO 1 - REMUNERAÇÃO ]]*SUMIFS(tabParametros[SEBRAE],tabParametros[Código do Posto],tabCustoUnit[[#This Row],[Código do Posto]])</f>
        <v>9.8946918000000004</v>
      </c>
      <c r="X87" s="21">
        <f>SUM(tabCustoUnit[[#This Row],[INSS]:[SEBRAE]])</f>
        <v>623.36558340000011</v>
      </c>
      <c r="Y87" s="21">
        <f>tabCustoUnit[[#This Row],[MODULO 1 - REMUNERAÇÃO ]]*SUMIFS(tabParametros[13º salário (titular)],tabParametros[Código do Posto],tabCustoUnit[[#This Row],[Código do Posto]])</f>
        <v>137.42627499999998</v>
      </c>
      <c r="Z87" s="21">
        <f>tabCustoUnit[[#This Row],[MODULO 1 - REMUNERAÇÃO ]]*SUMIFS(tabParametros[Férias e Adicional de Férias (titular)],tabParametros[Código do Posto],tabCustoUnit[[#This Row],[Código do Posto]])</f>
        <v>183.23503333333332</v>
      </c>
      <c r="AA87" s="21">
        <f>IFERROR((tabCustoUnit[[#This Row],[Submódulo 2.1]]/tabCustoUnit[[#This Row],[MODULO 1 - REMUNERAÇÃO ]])*SUM(tabCustoUnit[[#This Row],[13º salário (titular)]:[Férias e Adicional de Férias (titular)]]),0)</f>
        <v>121.20997455</v>
      </c>
      <c r="AB87" s="21">
        <f>SUM(tabCustoUnit[[#This Row],[13º salário (titular)]:[Incidência do Submódulo 2.1 sobre 13º Salário, Férias e Adicional de Férias]])</f>
        <v>441.87128288333327</v>
      </c>
      <c r="AC87" s="22" t="e">
        <f ca="1">_xlfn.LET(_xlpm.VT,SUMIF(tabParametros[Código do Posto],tabCustoUnit[[#This Row],[Código do Posto]],tabParametros[Vale - Transporte])*2*20,
IF((_xlpm.VT-tabCustoUnit[[#This Row],[Salário Base]]*0.06)&gt;=0,(_xlpm.VT-tabCustoUnit[[#This Row],[Salário Base]]*0.06),0)
)</f>
        <v>#NAME?</v>
      </c>
      <c r="AD87" s="22">
        <f>IF(SUMIF(tabParametros[Código do Posto],tabCustoUnit[[#This Row],[Código do Posto]],tabParametros[Vale - Alimentação])&lt;=0,0,
SUMIF(tabParametros[Código do Posto],tabCustoUnit[[#This Row],[Código do Posto]],tabParametros[Vale - Alimentação])*20-1)</f>
        <v>582</v>
      </c>
      <c r="AE87" s="22">
        <f>SUMIF(tabParametros[Código do Posto],tabCustoUnit[[#This Row],[Código do Posto]],tabParametros[Cesta Básica])</f>
        <v>0</v>
      </c>
      <c r="AF87" s="22">
        <f>SUMIF(tabParametros[Código do Posto],tabCustoUnit[[#This Row],[Código do Posto]],tabParametros[PAF])</f>
        <v>77.25</v>
      </c>
      <c r="AG87" s="22">
        <f>SUMIF(tabParametros[Código do Posto],tabCustoUnit[[#This Row],[Código do Posto]],tabParametros[PQM])</f>
        <v>0</v>
      </c>
      <c r="AH87" s="22">
        <f>SUMIF(tabParametros[Código do Posto],tabCustoUnit[[#This Row],[Código do Posto]],tabParametros[Abono Único e Especial])</f>
        <v>0</v>
      </c>
      <c r="AI87" s="22">
        <f>SUMIF(tabParametros[Código do Posto],tabCustoUnit[[#This Row],[Código do Posto]],tabParametros[Seguro de Vida])</f>
        <v>3.36</v>
      </c>
      <c r="AJ87" s="22">
        <f>SUMIF(tabParametros[Código do Posto],tabCustoUnit[[#This Row],[Código do Posto]],tabParametros[Despesas de Viagem])</f>
        <v>0</v>
      </c>
      <c r="AK87" s="22" t="e">
        <f ca="1">SUM(tabCustoUnit[[#This Row],[Vale - Transporte (Descontada parcela do empregado)]:[Despesas de Viagem]])</f>
        <v>#NAME?</v>
      </c>
      <c r="AL87" s="22" t="e">
        <f ca="1">tabCustoUnit[[#This Row],[Submódulo 2.1]]+tabCustoUnit[[#This Row],[Submódulo 2.2]]+tabCustoUnit[[#This Row],[Submódulo 2.3]]</f>
        <v>#NAME?</v>
      </c>
      <c r="AM87" s="22">
        <f>SUMIF(tabParametros[Código do Posto],tabCustoUnit[[#This Row],[Código do Posto]],tabParametros[Aviso Prévio Indenizado (API) e Reflexo do Aviso Prévio Indenizado])*tabCustoUnit[[#This Row],[MODULO 1 - REMUNERAÇÃO ]]</f>
        <v>11.563212199016203</v>
      </c>
      <c r="AN87" s="22">
        <f>SUMIF(tabParametros[Código do Posto],tabCustoUnit[[#This Row],[Código do Posto]],tabParametros[Incidência do FGTS sobre API e Reflexo do API])*tabCustoUnit[[#This Row],[MODULO 1 - REMUNERAÇÃO ]]</f>
        <v>0.92505697592129632</v>
      </c>
      <c r="AO87" s="22">
        <f>SUMIF(tabParametros[Código do Posto],tabCustoUnit[[#This Row],[Código do Posto]],tabParametros[Multa Rescisória do FGTS sobre o Aviso Prévio Indenizado])*tabCustoUnit[[#This Row],[MODULO 1 - REMUNERAÇÃO ]]</f>
        <v>0.37002279036851859</v>
      </c>
      <c r="AP87" s="22">
        <f>SUMIF(tabParametros[Código do Posto],tabCustoUnit[[#This Row],[Código do Posto]],tabParametros[Aviso Prévio Trabalhado - APT])*tabCustoUnit[[#This Row],[MODULO 1 - REMUNERAÇÃO ]]</f>
        <v>5.7719035500000002</v>
      </c>
      <c r="AQ87" s="22">
        <f>SUMIF(tabParametros[Código do Posto],tabCustoUnit[[#This Row],[Código do Posto]],tabParametros[Incidência dos encargos do submódulo 2.1 sobre Aviso Prévio Trabalhado])*tabCustoUnit[[#This Row],[MODULO 1 - REMUNERAÇÃO ]]</f>
        <v>2.1817795419000006</v>
      </c>
      <c r="AR87" s="22">
        <f>SUMIF(tabParametros[Código do Posto],tabCustoUnit[[#This Row],[Código do Posto]],tabParametros[Multa Rescisória do FGTS])*tabCustoUnit[[#This Row],[MODULO 1 - REMUNERAÇÃO ]]</f>
        <v>50.426281173333322</v>
      </c>
      <c r="AS87" s="22">
        <f>SUMIF(tabParametros[Código do Posto],tabCustoUnit[[#This Row],[Código do Posto]],tabParametros[Indenização Adicional (Art. 9º da Lei nº 7.238/84)])*tabCustoUnit[[#This Row],[MODULO 1 - REMUNERAÇÃO ]]</f>
        <v>1.37426275</v>
      </c>
      <c r="AT87" s="22">
        <f>SUM(tabCustoUnit[[#This Row],[Aviso Prévio Indenizado (API) e Reflexo do Aviso Prévio Indenizado]:[Indenização Adicional (Art. 9º da Lei nº 7.238/84)]])</f>
        <v>72.612518980539335</v>
      </c>
      <c r="AU87" s="22">
        <f>SUMIF(tabParametros[Código do Posto],tabCustoUnit[[#This Row],[Código do Posto]],tabParametros[Ausência por Doença])*tabCustoUnit[[#This Row],[MODULO 1 - REMUNERAÇÃO ]]</f>
        <v>13.925862533333332</v>
      </c>
      <c r="AV87" s="22">
        <f>SUMIF(tabParametros[Código do Posto],tabCustoUnit[[#This Row],[Código do Posto]],tabParametros[Ausências Legais])*tabCustoUnit[[#This Row],[MODULO 1 - REMUNERAÇÃO ]]</f>
        <v>3.3440393583333332</v>
      </c>
      <c r="AW87" s="22">
        <f>SUMIF(tabParametros[Código do Posto],tabCustoUnit[[#This Row],[Código do Posto]],tabParametros[Licença Paternidade])*tabCustoUnit[[#This Row],[MODULO 1 - REMUNERAÇÃO ]]</f>
        <v>0.28172386374999997</v>
      </c>
      <c r="AX87" s="22">
        <f>SUMIF(tabParametros[Código do Posto],tabCustoUnit[[#This Row],[Código do Posto]],tabParametros[Ausência por Acidente de Trabalho])*tabCustoUnit[[#This Row],[MODULO 1 - REMUNERAÇÃO ]]</f>
        <v>0.34356568749999999</v>
      </c>
      <c r="AY87" s="22">
        <f>SUMIF(tabParametros[Código do Posto],tabCustoUnit[[#This Row],[Código do Posto]],tabParametros[Férias, Adicional de Férias e 13º  com empregada em gozo de Licença Maternidade])*tabCustoUnit[[#This Row],[MODULO 1 - REMUNERAÇÃO ]]</f>
        <v>2.1377420555555555</v>
      </c>
      <c r="AZ87" s="22">
        <f>SUMIF(tabParametros[Código do Posto],tabCustoUnit[[#This Row],[Código do Posto]],tabParametros[Incidência do Submódulo 2.1 sobre Ausências Legais])*tabCustoUnit[[#This Row],[MODULO 1 - REMUNERAÇÃO ]]</f>
        <v>7.572448862422501</v>
      </c>
      <c r="BA87" s="22">
        <f>SUM(tabCustoUnit[[#This Row],[Ausência por Doença]:[Incidência do Submódulo 2.1 sobre Ausências Legais]])</f>
        <v>27.605382360894719</v>
      </c>
      <c r="BB87" s="22">
        <f>SUMIF(tabParametros[Código do Posto],tabCustoUnit[[#This Row],[Código do Posto]],tabParametros[Intervalo para Repouso ou Alimentação])</f>
        <v>0</v>
      </c>
      <c r="BC87" s="22">
        <f>tabCustoUnit[[#This Row],[Intervalo para Repouso ou Alimentação]]</f>
        <v>0</v>
      </c>
      <c r="BD8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7" s="22">
        <f>tabCustoUnit[[#This Row],[Suspensão Temporária do Contrato de Trabalho]]</f>
        <v>0</v>
      </c>
      <c r="BF87" s="22">
        <f>tabCustoUnit[[#This Row],[Submódulo 4.1]]+tabCustoUnit[[#This Row],[Submódulo 4.2]]+tabCustoUnit[[#This Row],[Submódulo 4.3]]</f>
        <v>27.605382360894719</v>
      </c>
      <c r="BG87" s="22">
        <f>VLOOKUP(tabCustoUnit[[#This Row],[Código do Posto]],tabParametros[],MATCH(tabCustoUnit[[#Headers],[Uniformes e EPIs]],tabParametros[#Headers],0),0)</f>
        <v>56.141713661989918</v>
      </c>
      <c r="BH87" s="22">
        <f>VLOOKUP(tabCustoUnit[[#This Row],[Código do Posto]],tabParametros[],MATCH(tabCustoUnit[[#Headers],[Materiais de Consumo]],tabParametros[#Headers],0),0)</f>
        <v>0</v>
      </c>
      <c r="BI87" s="22">
        <f>VLOOKUP(tabCustoUnit[[#This Row],[Código do Posto]],tabParametros[],MATCH(tabCustoUnit[[#Headers],[Máquinas e Equipamentos (depreciação)]],tabParametros[#Headers],0),0)</f>
        <v>0</v>
      </c>
      <c r="BJ87" s="22">
        <f>VLOOKUP(tabCustoUnit[[#This Row],[Código do Posto]],tabParametros[],MATCH(tabCustoUnit[[#Headers],[Produtos de Limpeza e Materiais de Higiene Pessoal]],tabParametros[#Headers],0),0)</f>
        <v>0</v>
      </c>
      <c r="BK87" s="22">
        <f>VLOOKUP(tabCustoUnit[[#This Row],[Código do Posto]],tabParametros[],MATCH(tabCustoUnit[[#Headers],[Outros (especificar)]],tabParametros[#Headers],0),0)</f>
        <v>0</v>
      </c>
      <c r="BL87" s="22">
        <f>SUM(tabCustoUnit[[#This Row],[Uniformes e EPIs]:[Outros (especificar)]])</f>
        <v>56.141713661989918</v>
      </c>
      <c r="BM8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7" s="22" t="e">
        <f ca="1">VLOOKUP(tabCustoUnit[[#This Row],[Código do Posto]],tabParametros[],MATCH(tabCustoUnit[[#Headers],[Custos Indiretos]],tabParametros[#Headers],0),0)</f>
        <v>#NAME?</v>
      </c>
      <c r="BO87" s="22" t="e">
        <f ca="1">VLOOKUP(tabCustoUnit[[#This Row],[Código do Posto]],tabParametros[],MATCH(tabCustoUnit[[#Headers],[Lucro]],tabParametros[#Headers],0),0)</f>
        <v>#NAME?</v>
      </c>
      <c r="BP87" s="26">
        <f>((100/((1-tabCustoUnit[[#This Row],[Resumo de Alíquotas (PIS+CONFINS+ISS)]]))-100)*VLOOKUP(tabCustoUnit[[#This Row],[Código do Posto]],tabParametros[],MATCH(tabCustoUnit[[#Headers],[COFINS]],tabParametros[#Headers],0),0))/(tabCustoUnit[[#This Row],[Resumo de Alíquotas (PIS+CONFINS+ISS)]]*100)</f>
        <v>8.7406555491661944E-2</v>
      </c>
      <c r="BQ87" s="26">
        <f>((100/((100-(tabCustoUnit[[#This Row],[Resumo de Alíquotas (PIS+CONFINS+ISS)]]*100))%)-100)*VLOOKUP(tabCustoUnit[[#This Row],[Código do Posto]],tabParametros[],MATCH(tabCustoUnit[[#Headers],[PIS]],tabParametros[#Headers],0),0))/(tabCustoUnit[[#This Row],[Resumo de Alíquotas (PIS+CONFINS+ISS)]]*100)</f>
        <v>1.8976423231742381E-2</v>
      </c>
      <c r="BR87" s="28">
        <f>VLOOKUP(tabCustoUnit[[#This Row],[Código do Posto]],tabParametros[],MATCH(tabCustoUnit[[#Headers],[ISS]],tabParametros[#Headers],0),0)</f>
        <v>3.7999999999999999E-2</v>
      </c>
      <c r="BS87" s="26">
        <f>(((100/((100-(tabCustoUnit[[#This Row],[Resumo de Alíquotas (PIS+CONFINS+ISS)]]*100))%)-100)*tabCustoUnit[[#This Row],[ISS]])/tabCustoUnit[[#This Row],[Resumo de Alíquotas (PIS+CONFINS+ISS)]])/100</f>
        <v>4.370327774583093E-2</v>
      </c>
      <c r="BT8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0.1305</v>
      </c>
      <c r="BU87" s="138">
        <f>tabCustoUnit[[#This Row],[COFINS]]+tabCustoUnit[[#This Row],[PIS]]+tabCustoUnit[[#This Row],[ISS (Conversão Alíquota s/ fatura)]]</f>
        <v>0.15008625646923526</v>
      </c>
      <c r="BV87" s="22" t="e">
        <f ca="1">(tabCustoUnit[[#This Row],[TOTAL MÓDULOS 1+2+3+4+5]]+tabCustoUnit[[#This Row],[Custos Indiretos]]+tabCustoUnit[[#This Row],[Lucro]])*tabCustoUnit[[#This Row],[PIS + COFINS + ISS (Total Conversão  Alíquota s/ Fatura)]]</f>
        <v>#NAME?</v>
      </c>
      <c r="BW87" s="22" t="e">
        <f ca="1">tabCustoUnit[[#This Row],[Custos Indiretos]]+tabCustoUnit[[#This Row],[Lucro]]+tabCustoUnit[[#This Row],[Valor dos Tributos (ISS, PIS, CONFINS)]]</f>
        <v>#NAME?</v>
      </c>
      <c r="BX87" s="22" t="e">
        <f ca="1">tabCustoUnit[[#This Row],[TOTAL MÓDULOS 1+2+3+4+5]]+tabCustoUnit[[#This Row],[MÓDULO 6 – CUSTOS INDIRETOS, TRIBUTOS E LUCRO]]</f>
        <v>#NAME?</v>
      </c>
      <c r="BY87" s="22" t="e">
        <f ca="1">tabCustoUnit[[#This Row],[CUSTO TOTAL MENSAL]]*12</f>
        <v>#NAME?</v>
      </c>
      <c r="BZ87" s="24">
        <f>VLOOKUP(tabCustoUnit[[#This Row],[Código do Posto]],tabParametros[],MATCH(tabCustoUnit[[#Headers],[ANO DA CCT]],tabParametros[#Headers],0),0)</f>
        <v>45658</v>
      </c>
      <c r="CA87" s="25" t="str">
        <f>VLOOKUP(tabCustoUnit[[#This Row],[Código do Posto]],tabParametros[],MATCH(tabCustoUnit[[#Headers],[Nº DE PEDIDO DA CCT]],tabParametros[#Headers],0),0)</f>
        <v>-</v>
      </c>
      <c r="CB87" s="25" t="str">
        <f>VLOOKUP(tabCustoUnit[[#This Row],[Código do Posto]],tabParametros[],MATCH(tabCustoUnit[[#Headers],[TERMO ADITIVO ALTERAÇÃO DA CCT]],tabParametros[#Headers],0),0)</f>
        <v>-</v>
      </c>
    </row>
    <row r="88" spans="1:80">
      <c r="A88" s="20" t="s">
        <v>1460</v>
      </c>
      <c r="B88" t="s">
        <v>1104</v>
      </c>
      <c r="C88" t="s">
        <v>1371</v>
      </c>
      <c r="D88" t="s">
        <v>1058</v>
      </c>
      <c r="E88" s="20" t="s">
        <v>1090</v>
      </c>
      <c r="F88" s="20" t="s">
        <v>120</v>
      </c>
      <c r="G88" s="418">
        <v>6454.87</v>
      </c>
      <c r="H88" s="418">
        <v>0</v>
      </c>
      <c r="I88" s="418">
        <v>0</v>
      </c>
      <c r="J88" s="418">
        <v>0</v>
      </c>
      <c r="K88" s="418">
        <v>0</v>
      </c>
      <c r="L88" s="418">
        <v>0</v>
      </c>
      <c r="M88" s="418">
        <v>0</v>
      </c>
      <c r="N88" s="418">
        <v>0</v>
      </c>
      <c r="O88" s="21">
        <f>SUM(tabCustoUnit[[#This Row],[Salário Base]:[Adicional de Acúmulo de função]])</f>
        <v>6454.87</v>
      </c>
      <c r="P88" s="21">
        <f>tabCustoUnit[[#This Row],[MODULO 1 - REMUNERAÇÃO ]]*SUMIFS(tabParametros[INSS],tabParametros[Código do Posto],tabCustoUnit[[#This Row],[Código do Posto]])</f>
        <v>1290.9740000000002</v>
      </c>
      <c r="Q88" s="21">
        <f>tabCustoUnit[[#This Row],[MODULO 1 - REMUNERAÇÃO ]]*SUMIFS(tabParametros[SESI OU SESC],tabParametros[Código do Posto],tabCustoUnit[[#This Row],[Código do Posto]])</f>
        <v>96.823049999999995</v>
      </c>
      <c r="R88" s="21">
        <f>tabCustoUnit[[#This Row],[MODULO 1 - REMUNERAÇÃO ]]*SUMIFS(tabParametros[SENAI OU SENAC],tabParametros[Código do Posto],tabCustoUnit[[#This Row],[Código do Posto]])</f>
        <v>64.548699999999997</v>
      </c>
      <c r="S88" s="21">
        <f>tabCustoUnit[[#This Row],[MODULO 1 - REMUNERAÇÃO ]]*SUMIFS(tabParametros[INCRA],tabParametros[Código do Posto],tabCustoUnit[[#This Row],[Código do Posto]])</f>
        <v>12.909739999999999</v>
      </c>
      <c r="T88" s="21">
        <f>tabCustoUnit[[#This Row],[MODULO 1 - REMUNERAÇÃO ]]*SUMIFS(tabParametros[Salário Educação],tabParametros[Código do Posto],tabCustoUnit[[#This Row],[Código do Posto]])</f>
        <v>161.37175000000002</v>
      </c>
      <c r="U88" s="21">
        <f>tabCustoUnit[[#This Row],[MODULO 1 - REMUNERAÇÃO ]]*SUMIFS(tabParametros[FGTS],tabParametros[Código do Posto],tabCustoUnit[[#This Row],[Código do Posto]])</f>
        <v>516.38959999999997</v>
      </c>
      <c r="V88" s="21">
        <f>tabCustoUnit[[#This Row],[MODULO 1 - REMUNERAÇÃO ]]*SUMIFS(tabParametros[RAT Ajustado],tabParametros[Código do Posto],tabCustoUnit[[#This Row],[Código do Posto]])</f>
        <v>258.19479999999999</v>
      </c>
      <c r="W88" s="21">
        <f>tabCustoUnit[[#This Row],[MODULO 1 - REMUNERAÇÃO ]]*SUMIFS(tabParametros[SEBRAE],tabParametros[Código do Posto],tabCustoUnit[[#This Row],[Código do Posto]])</f>
        <v>38.729219999999998</v>
      </c>
      <c r="X88" s="21">
        <f>SUM(tabCustoUnit[[#This Row],[INSS]:[SEBRAE]])</f>
        <v>2439.9408600000006</v>
      </c>
      <c r="Y88" s="21">
        <f>tabCustoUnit[[#This Row],[MODULO 1 - REMUNERAÇÃO ]]*SUMIFS(tabParametros[13º salário (titular)],tabParametros[Código do Posto],tabCustoUnit[[#This Row],[Código do Posto]])</f>
        <v>537.90583333333325</v>
      </c>
      <c r="Z88" s="21">
        <f>tabCustoUnit[[#This Row],[MODULO 1 - REMUNERAÇÃO ]]*SUMIFS(tabParametros[Férias e Adicional de Férias (titular)],tabParametros[Código do Posto],tabCustoUnit[[#This Row],[Código do Posto]])</f>
        <v>717.20777777777778</v>
      </c>
      <c r="AA88" s="21">
        <f>IFERROR((tabCustoUnit[[#This Row],[Submódulo 2.1]]/tabCustoUnit[[#This Row],[MODULO 1 - REMUNERAÇÃO ]])*SUM(tabCustoUnit[[#This Row],[13º salário (titular)]:[Férias e Adicional de Férias (titular)]]),0)</f>
        <v>474.43294500000007</v>
      </c>
      <c r="AB88" s="21">
        <f>SUM(tabCustoUnit[[#This Row],[13º salário (titular)]:[Incidência do Submódulo 2.1 sobre 13º Salário, Férias e Adicional de Férias]])</f>
        <v>1729.5465561111109</v>
      </c>
      <c r="AC88" s="22" t="e">
        <f ca="1">_xlfn.LET(_xlpm.VT,SUMIF(tabParametros[Código do Posto],tabCustoUnit[[#This Row],[Código do Posto]],tabParametros[Vale - Transporte])*2*20,
IF((_xlpm.VT-tabCustoUnit[[#This Row],[Salário Base]]*0.06)&gt;=0,(_xlpm.VT-tabCustoUnit[[#This Row],[Salário Base]]*0.06),0)
)</f>
        <v>#NAME?</v>
      </c>
      <c r="AD88" s="22">
        <f>IF(SUMIF(tabParametros[Código do Posto],tabCustoUnit[[#This Row],[Código do Posto]],tabParametros[Vale - Alimentação])&lt;=0,0,
SUMIF(tabParametros[Código do Posto],tabCustoUnit[[#This Row],[Código do Posto]],tabParametros[Vale - Alimentação])*20-1)</f>
        <v>582</v>
      </c>
      <c r="AE88" s="22">
        <f>SUMIF(tabParametros[Código do Posto],tabCustoUnit[[#This Row],[Código do Posto]],tabParametros[Cesta Básica])</f>
        <v>0</v>
      </c>
      <c r="AF88" s="22">
        <f>SUMIF(tabParametros[Código do Posto],tabCustoUnit[[#This Row],[Código do Posto]],tabParametros[PAF])</f>
        <v>77.25</v>
      </c>
      <c r="AG88" s="22">
        <f>SUMIF(tabParametros[Código do Posto],tabCustoUnit[[#This Row],[Código do Posto]],tabParametros[PQM])</f>
        <v>0</v>
      </c>
      <c r="AH88" s="22">
        <f>SUMIF(tabParametros[Código do Posto],tabCustoUnit[[#This Row],[Código do Posto]],tabParametros[Abono Único e Especial])</f>
        <v>0</v>
      </c>
      <c r="AI88" s="22">
        <f>SUMIF(tabParametros[Código do Posto],tabCustoUnit[[#This Row],[Código do Posto]],tabParametros[Seguro de Vida])</f>
        <v>3.36</v>
      </c>
      <c r="AJ88" s="22">
        <f>SUMIF(tabParametros[Código do Posto],tabCustoUnit[[#This Row],[Código do Posto]],tabParametros[Despesas de Viagem])</f>
        <v>0</v>
      </c>
      <c r="AK88" s="22" t="e">
        <f ca="1">SUM(tabCustoUnit[[#This Row],[Vale - Transporte (Descontada parcela do empregado)]:[Despesas de Viagem]])</f>
        <v>#NAME?</v>
      </c>
      <c r="AL88" s="22" t="e">
        <f ca="1">tabCustoUnit[[#This Row],[Submódulo 2.1]]+tabCustoUnit[[#This Row],[Submódulo 2.2]]+tabCustoUnit[[#This Row],[Submódulo 2.3]]</f>
        <v>#NAME?</v>
      </c>
      <c r="AM88" s="22">
        <f>SUMIF(tabParametros[Código do Posto],tabCustoUnit[[#This Row],[Código do Posto]],tabParametros[Aviso Prévio Indenizado (API) e Reflexo do Aviso Prévio Indenizado])*tabCustoUnit[[#This Row],[MODULO 1 - REMUNERAÇÃO ]]</f>
        <v>45.260044295910497</v>
      </c>
      <c r="AN88" s="22">
        <f>SUMIF(tabParametros[Código do Posto],tabCustoUnit[[#This Row],[Código do Posto]],tabParametros[Incidência do FGTS sobre API e Reflexo do API])*tabCustoUnit[[#This Row],[MODULO 1 - REMUNERAÇÃO ]]</f>
        <v>3.6208035436728396</v>
      </c>
      <c r="AO88" s="22">
        <f>SUMIF(tabParametros[Código do Posto],tabCustoUnit[[#This Row],[Código do Posto]],tabParametros[Multa Rescisória do FGTS sobre o Aviso Prévio Indenizado])*tabCustoUnit[[#This Row],[MODULO 1 - REMUNERAÇÃO ]]</f>
        <v>1.4483214174691361</v>
      </c>
      <c r="AP88" s="22">
        <f>SUMIF(tabParametros[Código do Posto],tabCustoUnit[[#This Row],[Código do Posto]],tabParametros[Aviso Prévio Trabalhado - APT])*tabCustoUnit[[#This Row],[MODULO 1 - REMUNERAÇÃO ]]</f>
        <v>22.592045000000002</v>
      </c>
      <c r="AQ88" s="22">
        <f>SUMIF(tabParametros[Código do Posto],tabCustoUnit[[#This Row],[Código do Posto]],tabParametros[Incidência dos encargos do submódulo 2.1 sobre Aviso Prévio Trabalhado])*tabCustoUnit[[#This Row],[MODULO 1 - REMUNERAÇÃO ]]</f>
        <v>8.5397930100000021</v>
      </c>
      <c r="AR88" s="22">
        <f>SUMIF(tabParametros[Código do Posto],tabCustoUnit[[#This Row],[Código do Posto]],tabParametros[Multa Rescisória do FGTS])*tabCustoUnit[[#This Row],[MODULO 1 - REMUNERAÇÃO ]]</f>
        <v>197.37558044444441</v>
      </c>
      <c r="AS88" s="22">
        <f>SUMIF(tabParametros[Código do Posto],tabCustoUnit[[#This Row],[Código do Posto]],tabParametros[Indenização Adicional (Art. 9º da Lei nº 7.238/84)])*tabCustoUnit[[#This Row],[MODULO 1 - REMUNERAÇÃO ]]</f>
        <v>5.3790583333333339</v>
      </c>
      <c r="AT88" s="22">
        <f>SUM(tabCustoUnit[[#This Row],[Aviso Prévio Indenizado (API) e Reflexo do Aviso Prévio Indenizado]:[Indenização Adicional (Art. 9º da Lei nº 7.238/84)]])</f>
        <v>284.21564604483024</v>
      </c>
      <c r="AU88" s="22">
        <f>SUMIF(tabParametros[Código do Posto],tabCustoUnit[[#This Row],[Código do Posto]],tabParametros[Ausência por Doença])*tabCustoUnit[[#This Row],[MODULO 1 - REMUNERAÇÃO ]]</f>
        <v>54.507791111111104</v>
      </c>
      <c r="AV88" s="22">
        <f>SUMIF(tabParametros[Código do Posto],tabCustoUnit[[#This Row],[Código do Posto]],tabParametros[Ausências Legais])*tabCustoUnit[[#This Row],[MODULO 1 - REMUNERAÇÃO ]]</f>
        <v>13.089041944444443</v>
      </c>
      <c r="AW88" s="22">
        <f>SUMIF(tabParametros[Código do Posto],tabCustoUnit[[#This Row],[Código do Posto]],tabParametros[Licença Paternidade])*tabCustoUnit[[#This Row],[MODULO 1 - REMUNERAÇÃO ]]</f>
        <v>1.1027069583333333</v>
      </c>
      <c r="AX88" s="22">
        <f>SUMIF(tabParametros[Código do Posto],tabCustoUnit[[#This Row],[Código do Posto]],tabParametros[Ausência por Acidente de Trabalho])*tabCustoUnit[[#This Row],[MODULO 1 - REMUNERAÇÃO ]]</f>
        <v>1.3447645833333335</v>
      </c>
      <c r="AY88" s="22">
        <f>SUMIF(tabParametros[Código do Posto],tabCustoUnit[[#This Row],[Código do Posto]],tabParametros[Férias, Adicional de Férias e 13º  com empregada em gozo de Licença Maternidade])*tabCustoUnit[[#This Row],[MODULO 1 - REMUNERAÇÃO ]]</f>
        <v>8.3674240740740728</v>
      </c>
      <c r="AZ88" s="22">
        <f>SUMIF(tabParametros[Código do Posto],tabCustoUnit[[#This Row],[Código do Posto]],tabParametros[Incidência do Submódulo 2.1 sobre Ausências Legais])*tabCustoUnit[[#This Row],[MODULO 1 - REMUNERAÇÃO ]]</f>
        <v>29.639633437750003</v>
      </c>
      <c r="BA88" s="22">
        <f>SUM(tabCustoUnit[[#This Row],[Ausência por Doença]:[Incidência do Submódulo 2.1 sobre Ausências Legais]])</f>
        <v>108.05136210904629</v>
      </c>
      <c r="BB88" s="22">
        <f>SUMIF(tabParametros[Código do Posto],tabCustoUnit[[#This Row],[Código do Posto]],tabParametros[Intervalo para Repouso ou Alimentação])</f>
        <v>0</v>
      </c>
      <c r="BC88" s="22">
        <f>tabCustoUnit[[#This Row],[Intervalo para Repouso ou Alimentação]]</f>
        <v>0</v>
      </c>
      <c r="BD8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8" s="22">
        <f>tabCustoUnit[[#This Row],[Suspensão Temporária do Contrato de Trabalho]]</f>
        <v>0</v>
      </c>
      <c r="BF88" s="22">
        <f>tabCustoUnit[[#This Row],[Submódulo 4.1]]+tabCustoUnit[[#This Row],[Submódulo 4.2]]+tabCustoUnit[[#This Row],[Submódulo 4.3]]</f>
        <v>108.05136210904629</v>
      </c>
      <c r="BG88" s="22">
        <f>VLOOKUP(tabCustoUnit[[#This Row],[Código do Posto]],tabParametros[],MATCH(tabCustoUnit[[#Headers],[Uniformes e EPIs]],tabParametros[#Headers],0),0)</f>
        <v>90.784679782039703</v>
      </c>
      <c r="BH88" s="22">
        <f>VLOOKUP(tabCustoUnit[[#This Row],[Código do Posto]],tabParametros[],MATCH(tabCustoUnit[[#Headers],[Materiais de Consumo]],tabParametros[#Headers],0),0)</f>
        <v>0</v>
      </c>
      <c r="BI88" s="22">
        <f>VLOOKUP(tabCustoUnit[[#This Row],[Código do Posto]],tabParametros[],MATCH(tabCustoUnit[[#Headers],[Máquinas e Equipamentos (depreciação)]],tabParametros[#Headers],0),0)</f>
        <v>0</v>
      </c>
      <c r="BJ88" s="22">
        <f>VLOOKUP(tabCustoUnit[[#This Row],[Código do Posto]],tabParametros[],MATCH(tabCustoUnit[[#Headers],[Produtos de Limpeza e Materiais de Higiene Pessoal]],tabParametros[#Headers],0),0)</f>
        <v>0</v>
      </c>
      <c r="BK88" s="22">
        <f>VLOOKUP(tabCustoUnit[[#This Row],[Código do Posto]],tabParametros[],MATCH(tabCustoUnit[[#Headers],[Outros (especificar)]],tabParametros[#Headers],0),0)</f>
        <v>0</v>
      </c>
      <c r="BL88" s="22">
        <f>SUM(tabCustoUnit[[#This Row],[Uniformes e EPIs]:[Outros (especificar)]])</f>
        <v>90.784679782039703</v>
      </c>
      <c r="BM8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8" s="22" t="e">
        <f ca="1">VLOOKUP(tabCustoUnit[[#This Row],[Código do Posto]],tabParametros[],MATCH(tabCustoUnit[[#Headers],[Custos Indiretos]],tabParametros[#Headers],0),0)</f>
        <v>#NAME?</v>
      </c>
      <c r="BO88" s="22" t="e">
        <f ca="1">VLOOKUP(tabCustoUnit[[#This Row],[Código do Posto]],tabParametros[],MATCH(tabCustoUnit[[#Headers],[Lucro]],tabParametros[#Headers],0),0)</f>
        <v>#NAME?</v>
      </c>
      <c r="BP88" s="26">
        <f>((100/((1-tabCustoUnit[[#This Row],[Resumo de Alíquotas (PIS+CONFINS+ISS)]]))-100)*VLOOKUP(tabCustoUnit[[#This Row],[Código do Posto]],tabParametros[],MATCH(tabCustoUnit[[#Headers],[COFINS]],tabParametros[#Headers],0),0))/(tabCustoUnit[[#This Row],[Resumo de Alíquotas (PIS+CONFINS+ISS)]]*100)</f>
        <v>8.7406555491661944E-2</v>
      </c>
      <c r="BQ88" s="26">
        <f>((100/((100-(tabCustoUnit[[#This Row],[Resumo de Alíquotas (PIS+CONFINS+ISS)]]*100))%)-100)*VLOOKUP(tabCustoUnit[[#This Row],[Código do Posto]],tabParametros[],MATCH(tabCustoUnit[[#Headers],[PIS]],tabParametros[#Headers],0),0))/(tabCustoUnit[[#This Row],[Resumo de Alíquotas (PIS+CONFINS+ISS)]]*100)</f>
        <v>1.8976423231742381E-2</v>
      </c>
      <c r="BR88" s="28">
        <f>VLOOKUP(tabCustoUnit[[#This Row],[Código do Posto]],tabParametros[],MATCH(tabCustoUnit[[#Headers],[ISS]],tabParametros[#Headers],0),0)</f>
        <v>3.7999999999999999E-2</v>
      </c>
      <c r="BS88" s="26">
        <f>(((100/((100-(tabCustoUnit[[#This Row],[Resumo de Alíquotas (PIS+CONFINS+ISS)]]*100))%)-100)*tabCustoUnit[[#This Row],[ISS]])/tabCustoUnit[[#This Row],[Resumo de Alíquotas (PIS+CONFINS+ISS)]])/100</f>
        <v>4.370327774583093E-2</v>
      </c>
      <c r="BT8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0.1305</v>
      </c>
      <c r="BU88" s="138">
        <f>tabCustoUnit[[#This Row],[COFINS]]+tabCustoUnit[[#This Row],[PIS]]+tabCustoUnit[[#This Row],[ISS (Conversão Alíquota s/ fatura)]]</f>
        <v>0.15008625646923526</v>
      </c>
      <c r="BV88" s="22" t="e">
        <f ca="1">(tabCustoUnit[[#This Row],[TOTAL MÓDULOS 1+2+3+4+5]]+tabCustoUnit[[#This Row],[Custos Indiretos]]+tabCustoUnit[[#This Row],[Lucro]])*tabCustoUnit[[#This Row],[PIS + COFINS + ISS (Total Conversão  Alíquota s/ Fatura)]]</f>
        <v>#NAME?</v>
      </c>
      <c r="BW88" s="22" t="e">
        <f ca="1">tabCustoUnit[[#This Row],[Custos Indiretos]]+tabCustoUnit[[#This Row],[Lucro]]+tabCustoUnit[[#This Row],[Valor dos Tributos (ISS, PIS, CONFINS)]]</f>
        <v>#NAME?</v>
      </c>
      <c r="BX88" s="22" t="e">
        <f ca="1">tabCustoUnit[[#This Row],[TOTAL MÓDULOS 1+2+3+4+5]]+tabCustoUnit[[#This Row],[MÓDULO 6 – CUSTOS INDIRETOS, TRIBUTOS E LUCRO]]</f>
        <v>#NAME?</v>
      </c>
      <c r="BY88" s="22" t="e">
        <f ca="1">tabCustoUnit[[#This Row],[CUSTO TOTAL MENSAL]]*12</f>
        <v>#NAME?</v>
      </c>
      <c r="BZ88" s="24">
        <f>VLOOKUP(tabCustoUnit[[#This Row],[Código do Posto]],tabParametros[],MATCH(tabCustoUnit[[#Headers],[ANO DA CCT]],tabParametros[#Headers],0),0)</f>
        <v>45658</v>
      </c>
      <c r="CA88" s="25" t="str">
        <f>VLOOKUP(tabCustoUnit[[#This Row],[Código do Posto]],tabParametros[],MATCH(tabCustoUnit[[#Headers],[Nº DE PEDIDO DA CCT]],tabParametros[#Headers],0),0)</f>
        <v>-</v>
      </c>
      <c r="CB88" s="25" t="str">
        <f>VLOOKUP(tabCustoUnit[[#This Row],[Código do Posto]],tabParametros[],MATCH(tabCustoUnit[[#Headers],[TERMO ADITIVO ALTERAÇÃO DA CCT]],tabParametros[#Headers],0),0)</f>
        <v>-</v>
      </c>
    </row>
    <row r="89" spans="1:80">
      <c r="A89" s="20" t="s">
        <v>1554</v>
      </c>
      <c r="B89" t="s">
        <v>1104</v>
      </c>
      <c r="C89" t="s">
        <v>274</v>
      </c>
      <c r="D89" t="s">
        <v>980</v>
      </c>
      <c r="E89" s="20" t="s">
        <v>1090</v>
      </c>
      <c r="F89" s="20" t="s">
        <v>120</v>
      </c>
      <c r="G89" s="418">
        <v>4341.0200000000004</v>
      </c>
      <c r="H89" s="418">
        <v>0</v>
      </c>
      <c r="I89" s="418">
        <v>0</v>
      </c>
      <c r="J89" s="418">
        <v>0</v>
      </c>
      <c r="K89" s="418">
        <v>0</v>
      </c>
      <c r="L89" s="418">
        <v>0</v>
      </c>
      <c r="M89" s="418">
        <v>0</v>
      </c>
      <c r="N89" s="418">
        <v>0</v>
      </c>
      <c r="O89" s="21">
        <f>SUM(tabCustoUnit[[#This Row],[Salário Base]:[Adicional de Acúmulo de função]])</f>
        <v>4341.0200000000004</v>
      </c>
      <c r="P89" s="21">
        <f>tabCustoUnit[[#This Row],[MODULO 1 - REMUNERAÇÃO ]]*SUMIFS(tabParametros[INSS],tabParametros[Código do Posto],tabCustoUnit[[#This Row],[Código do Posto]])</f>
        <v>868.20400000000018</v>
      </c>
      <c r="Q89" s="21">
        <f>tabCustoUnit[[#This Row],[MODULO 1 - REMUNERAÇÃO ]]*SUMIFS(tabParametros[SESI OU SESC],tabParametros[Código do Posto],tabCustoUnit[[#This Row],[Código do Posto]])</f>
        <v>65.115300000000005</v>
      </c>
      <c r="R89" s="21">
        <f>tabCustoUnit[[#This Row],[MODULO 1 - REMUNERAÇÃO ]]*SUMIFS(tabParametros[SENAI OU SENAC],tabParametros[Código do Posto],tabCustoUnit[[#This Row],[Código do Posto]])</f>
        <v>43.410200000000003</v>
      </c>
      <c r="S89" s="21">
        <f>tabCustoUnit[[#This Row],[MODULO 1 - REMUNERAÇÃO ]]*SUMIFS(tabParametros[INCRA],tabParametros[Código do Posto],tabCustoUnit[[#This Row],[Código do Posto]])</f>
        <v>8.6820400000000006</v>
      </c>
      <c r="T89" s="21">
        <f>tabCustoUnit[[#This Row],[MODULO 1 - REMUNERAÇÃO ]]*SUMIFS(tabParametros[Salário Educação],tabParametros[Código do Posto],tabCustoUnit[[#This Row],[Código do Posto]])</f>
        <v>108.52550000000002</v>
      </c>
      <c r="U89" s="21">
        <f>tabCustoUnit[[#This Row],[MODULO 1 - REMUNERAÇÃO ]]*SUMIFS(tabParametros[FGTS],tabParametros[Código do Posto],tabCustoUnit[[#This Row],[Código do Posto]])</f>
        <v>347.28160000000003</v>
      </c>
      <c r="V89" s="21">
        <f>tabCustoUnit[[#This Row],[MODULO 1 - REMUNERAÇÃO ]]*SUMIFS(tabParametros[RAT Ajustado],tabParametros[Código do Posto],tabCustoUnit[[#This Row],[Código do Posto]])</f>
        <v>173.64080000000001</v>
      </c>
      <c r="W89" s="21">
        <f>tabCustoUnit[[#This Row],[MODULO 1 - REMUNERAÇÃO ]]*SUMIFS(tabParametros[SEBRAE],tabParametros[Código do Posto],tabCustoUnit[[#This Row],[Código do Posto]])</f>
        <v>26.046120000000002</v>
      </c>
      <c r="X89" s="21">
        <f>SUM(tabCustoUnit[[#This Row],[INSS]:[SEBRAE]])</f>
        <v>1640.9055600000002</v>
      </c>
      <c r="Y89" s="21">
        <f>tabCustoUnit[[#This Row],[MODULO 1 - REMUNERAÇÃO ]]*SUMIFS(tabParametros[13º salário (titular)],tabParametros[Código do Posto],tabCustoUnit[[#This Row],[Código do Posto]])</f>
        <v>361.75166666666667</v>
      </c>
      <c r="Z89" s="21">
        <f>tabCustoUnit[[#This Row],[MODULO 1 - REMUNERAÇÃO ]]*SUMIFS(tabParametros[Férias e Adicional de Férias (titular)],tabParametros[Código do Posto],tabCustoUnit[[#This Row],[Código do Posto]])</f>
        <v>482.33555555555557</v>
      </c>
      <c r="AA89" s="21">
        <f>IFERROR((tabCustoUnit[[#This Row],[Submódulo 2.1]]/tabCustoUnit[[#This Row],[MODULO 1 - REMUNERAÇÃO ]])*SUM(tabCustoUnit[[#This Row],[13º salário (titular)]:[Férias e Adicional de Férias (titular)]]),0)</f>
        <v>319.06496999999996</v>
      </c>
      <c r="AB89" s="21">
        <f>SUM(tabCustoUnit[[#This Row],[13º salário (titular)]:[Incidência do Submódulo 2.1 sobre 13º Salário, Férias e Adicional de Férias]])</f>
        <v>1163.1521922222221</v>
      </c>
      <c r="AC89" s="22" t="e">
        <f ca="1">_xlfn.LET(_xlpm.VT,SUMIF(tabParametros[Código do Posto],tabCustoUnit[[#This Row],[Código do Posto]],tabParametros[Vale - Transporte])*2*20,
IF((_xlpm.VT-tabCustoUnit[[#This Row],[Salário Base]]*0.06)&gt;=0,(_xlpm.VT-tabCustoUnit[[#This Row],[Salário Base]]*0.06),0)
)</f>
        <v>#NAME?</v>
      </c>
      <c r="AD89" s="22">
        <f>IF(SUMIF(tabParametros[Código do Posto],tabCustoUnit[[#This Row],[Código do Posto]],tabParametros[Vale - Alimentação])&lt;=0,0,
SUMIF(tabParametros[Código do Posto],tabCustoUnit[[#This Row],[Código do Posto]],tabParametros[Vale - Alimentação])*20-1)</f>
        <v>578.4</v>
      </c>
      <c r="AE89" s="22">
        <f>SUMIF(tabParametros[Código do Posto],tabCustoUnit[[#This Row],[Código do Posto]],tabParametros[Cesta Básica])</f>
        <v>0</v>
      </c>
      <c r="AF89" s="22">
        <f>SUMIF(tabParametros[Código do Posto],tabCustoUnit[[#This Row],[Código do Posto]],tabParametros[PAF])</f>
        <v>22.52</v>
      </c>
      <c r="AG89" s="22">
        <f>SUMIF(tabParametros[Código do Posto],tabCustoUnit[[#This Row],[Código do Posto]],tabParametros[PQM])</f>
        <v>0</v>
      </c>
      <c r="AH89" s="22">
        <f>SUMIF(tabParametros[Código do Posto],tabCustoUnit[[#This Row],[Código do Posto]],tabParametros[Abono Único e Especial])</f>
        <v>0</v>
      </c>
      <c r="AI89" s="22">
        <f>SUMIF(tabParametros[Código do Posto],tabCustoUnit[[#This Row],[Código do Posto]],tabParametros[Seguro de Vida])</f>
        <v>3.36</v>
      </c>
      <c r="AJ89" s="22">
        <f>SUMIF(tabParametros[Código do Posto],tabCustoUnit[[#This Row],[Código do Posto]],tabParametros[Despesas de Viagem])</f>
        <v>662.42</v>
      </c>
      <c r="AK89" s="22" t="e">
        <f ca="1">SUM(tabCustoUnit[[#This Row],[Vale - Transporte (Descontada parcela do empregado)]:[Despesas de Viagem]])</f>
        <v>#NAME?</v>
      </c>
      <c r="AL89" s="22" t="e">
        <f ca="1">tabCustoUnit[[#This Row],[Submódulo 2.1]]+tabCustoUnit[[#This Row],[Submódulo 2.2]]+tabCustoUnit[[#This Row],[Submódulo 2.3]]</f>
        <v>#NAME?</v>
      </c>
      <c r="AM89" s="22">
        <f>SUMIF(tabParametros[Código do Posto],tabCustoUnit[[#This Row],[Código do Posto]],tabParametros[Aviso Prévio Indenizado (API) e Reflexo do Aviso Prévio Indenizado])*tabCustoUnit[[#This Row],[MODULO 1 - REMUNERAÇÃO ]]</f>
        <v>30.438220675154323</v>
      </c>
      <c r="AN89" s="22">
        <f>SUMIF(tabParametros[Código do Posto],tabCustoUnit[[#This Row],[Código do Posto]],tabParametros[Incidência do FGTS sobre API e Reflexo do API])*tabCustoUnit[[#This Row],[MODULO 1 - REMUNERAÇÃO ]]</f>
        <v>2.4350576540123461</v>
      </c>
      <c r="AO89" s="22">
        <f>SUMIF(tabParametros[Código do Posto],tabCustoUnit[[#This Row],[Código do Posto]],tabParametros[Multa Rescisória do FGTS sobre o Aviso Prévio Indenizado])*tabCustoUnit[[#This Row],[MODULO 1 - REMUNERAÇÃO ]]</f>
        <v>0.97402306160493857</v>
      </c>
      <c r="AP89" s="22">
        <f>SUMIF(tabParametros[Código do Posto],tabCustoUnit[[#This Row],[Código do Posto]],tabParametros[Aviso Prévio Trabalhado - APT])*tabCustoUnit[[#This Row],[MODULO 1 - REMUNERAÇÃO ]]</f>
        <v>15.193570000000003</v>
      </c>
      <c r="AQ89" s="22">
        <f>SUMIF(tabParametros[Código do Posto],tabCustoUnit[[#This Row],[Código do Posto]],tabParametros[Incidência dos encargos do submódulo 2.1 sobre Aviso Prévio Trabalhado])*tabCustoUnit[[#This Row],[MODULO 1 - REMUNERAÇÃO ]]</f>
        <v>5.7431694600000025</v>
      </c>
      <c r="AR89" s="22">
        <f>SUMIF(tabParametros[Código do Posto],tabCustoUnit[[#This Row],[Código do Posto]],tabParametros[Multa Rescisória do FGTS])*tabCustoUnit[[#This Row],[MODULO 1 - REMUNERAÇÃO ]]</f>
        <v>132.73874488888887</v>
      </c>
      <c r="AS89" s="22">
        <f>SUMIF(tabParametros[Código do Posto],tabCustoUnit[[#This Row],[Código do Posto]],tabParametros[Indenização Adicional (Art. 9º da Lei nº 7.238/84)])*tabCustoUnit[[#This Row],[MODULO 1 - REMUNERAÇÃO ]]</f>
        <v>3.6175166666666674</v>
      </c>
      <c r="AT89" s="22">
        <f>SUM(tabCustoUnit[[#This Row],[Aviso Prévio Indenizado (API) e Reflexo do Aviso Prévio Indenizado]:[Indenização Adicional (Art. 9º da Lei nº 7.238/84)]])</f>
        <v>191.14030240632715</v>
      </c>
      <c r="AU89" s="22">
        <f>SUMIF(tabParametros[Código do Posto],tabCustoUnit[[#This Row],[Código do Posto]],tabParametros[Ausência por Doença])*tabCustoUnit[[#This Row],[MODULO 1 - REMUNERAÇÃO ]]</f>
        <v>36.65750222222222</v>
      </c>
      <c r="AV89" s="22">
        <f>SUMIF(tabParametros[Código do Posto],tabCustoUnit[[#This Row],[Código do Posto]],tabParametros[Ausências Legais])*tabCustoUnit[[#This Row],[MODULO 1 - REMUNERAÇÃO ]]</f>
        <v>8.8026238888888884</v>
      </c>
      <c r="AW89" s="22">
        <f>SUMIF(tabParametros[Código do Posto],tabCustoUnit[[#This Row],[Código do Posto]],tabParametros[Licença Paternidade])*tabCustoUnit[[#This Row],[MODULO 1 - REMUNERAÇÃO ]]</f>
        <v>0.74159091666666677</v>
      </c>
      <c r="AX89" s="22">
        <f>SUMIF(tabParametros[Código do Posto],tabCustoUnit[[#This Row],[Código do Posto]],tabParametros[Ausência por Acidente de Trabalho])*tabCustoUnit[[#This Row],[MODULO 1 - REMUNERAÇÃO ]]</f>
        <v>0.90437916666666684</v>
      </c>
      <c r="AY89" s="22">
        <f>SUMIF(tabParametros[Código do Posto],tabCustoUnit[[#This Row],[Código do Posto]],tabParametros[Férias, Adicional de Férias e 13º  com empregada em gozo de Licença Maternidade])*tabCustoUnit[[#This Row],[MODULO 1 - REMUNERAÇÃO ]]</f>
        <v>5.6272481481481487</v>
      </c>
      <c r="AZ89" s="22">
        <f>SUMIF(tabParametros[Código do Posto],tabCustoUnit[[#This Row],[Código do Posto]],tabParametros[Incidência do Submódulo 2.1 sobre Ausências Legais])*tabCustoUnit[[#This Row],[MODULO 1 - REMUNERAÇÃO ]]</f>
        <v>19.933204161500004</v>
      </c>
      <c r="BA89" s="22">
        <f>SUM(tabCustoUnit[[#This Row],[Ausência por Doença]:[Incidência do Submódulo 2.1 sobre Ausências Legais]])</f>
        <v>72.666548504092589</v>
      </c>
      <c r="BB89" s="22">
        <f>SUMIF(tabParametros[Código do Posto],tabCustoUnit[[#This Row],[Código do Posto]],tabParametros[Intervalo para Repouso ou Alimentação])</f>
        <v>0</v>
      </c>
      <c r="BC89" s="22">
        <f>tabCustoUnit[[#This Row],[Intervalo para Repouso ou Alimentação]]</f>
        <v>0</v>
      </c>
      <c r="BD8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89" s="22">
        <f>tabCustoUnit[[#This Row],[Suspensão Temporária do Contrato de Trabalho]]</f>
        <v>0</v>
      </c>
      <c r="BF89" s="22">
        <f>tabCustoUnit[[#This Row],[Submódulo 4.1]]+tabCustoUnit[[#This Row],[Submódulo 4.2]]+tabCustoUnit[[#This Row],[Submódulo 4.3]]</f>
        <v>72.666548504092589</v>
      </c>
      <c r="BG89" s="22">
        <f>VLOOKUP(tabCustoUnit[[#This Row],[Código do Posto]],tabParametros[],MATCH(tabCustoUnit[[#Headers],[Uniformes e EPIs]],tabParametros[#Headers],0),0)</f>
        <v>92.100763771570698</v>
      </c>
      <c r="BH89" s="22">
        <f>VLOOKUP(tabCustoUnit[[#This Row],[Código do Posto]],tabParametros[],MATCH(tabCustoUnit[[#Headers],[Materiais de Consumo]],tabParametros[#Headers],0),0)</f>
        <v>0</v>
      </c>
      <c r="BI89" s="22">
        <f>VLOOKUP(tabCustoUnit[[#This Row],[Código do Posto]],tabParametros[],MATCH(tabCustoUnit[[#Headers],[Máquinas e Equipamentos (depreciação)]],tabParametros[#Headers],0),0)</f>
        <v>0</v>
      </c>
      <c r="BJ89" s="22">
        <f>VLOOKUP(tabCustoUnit[[#This Row],[Código do Posto]],tabParametros[],MATCH(tabCustoUnit[[#Headers],[Produtos de Limpeza e Materiais de Higiene Pessoal]],tabParametros[#Headers],0),0)</f>
        <v>0</v>
      </c>
      <c r="BK89" s="22">
        <f>VLOOKUP(tabCustoUnit[[#This Row],[Código do Posto]],tabParametros[],MATCH(tabCustoUnit[[#Headers],[Outros (especificar)]],tabParametros[#Headers],0),0)</f>
        <v>0</v>
      </c>
      <c r="BL89" s="22">
        <f>SUM(tabCustoUnit[[#This Row],[Uniformes e EPIs]:[Outros (especificar)]])</f>
        <v>92.100763771570698</v>
      </c>
      <c r="BM8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89" s="22" t="e">
        <f ca="1">VLOOKUP(tabCustoUnit[[#This Row],[Código do Posto]],tabParametros[],MATCH(tabCustoUnit[[#Headers],[Custos Indiretos]],tabParametros[#Headers],0),0)</f>
        <v>#NAME?</v>
      </c>
      <c r="BO89" s="22" t="e">
        <f ca="1">VLOOKUP(tabCustoUnit[[#This Row],[Código do Posto]],tabParametros[],MATCH(tabCustoUnit[[#Headers],[Lucro]],tabParametros[#Headers],0),0)</f>
        <v>#NAME?</v>
      </c>
      <c r="BP89" s="26">
        <f>((100/((1-tabCustoUnit[[#This Row],[Resumo de Alíquotas (PIS+CONFINS+ISS)]]))-100)*VLOOKUP(tabCustoUnit[[#This Row],[Código do Posto]],tabParametros[],MATCH(tabCustoUnit[[#Headers],[COFINS]],tabParametros[#Headers],0),0))/(tabCustoUnit[[#This Row],[Resumo de Alíquotas (PIS+CONFINS+ISS)]]*100)</f>
        <v>8.7406555491661944E-2</v>
      </c>
      <c r="BQ89" s="26">
        <f>((100/((100-(tabCustoUnit[[#This Row],[Resumo de Alíquotas (PIS+CONFINS+ISS)]]*100))%)-100)*VLOOKUP(tabCustoUnit[[#This Row],[Código do Posto]],tabParametros[],MATCH(tabCustoUnit[[#Headers],[PIS]],tabParametros[#Headers],0),0))/(tabCustoUnit[[#This Row],[Resumo de Alíquotas (PIS+CONFINS+ISS)]]*100)</f>
        <v>1.8976423231742381E-2</v>
      </c>
      <c r="BR89" s="28">
        <f>VLOOKUP(tabCustoUnit[[#This Row],[Código do Posto]],tabParametros[],MATCH(tabCustoUnit[[#Headers],[ISS]],tabParametros[#Headers],0),0)</f>
        <v>3.7999999999999999E-2</v>
      </c>
      <c r="BS89" s="26">
        <f>(((100/((100-(tabCustoUnit[[#This Row],[Resumo de Alíquotas (PIS+CONFINS+ISS)]]*100))%)-100)*tabCustoUnit[[#This Row],[ISS]])/tabCustoUnit[[#This Row],[Resumo de Alíquotas (PIS+CONFINS+ISS)]])/100</f>
        <v>4.370327774583093E-2</v>
      </c>
      <c r="BT8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0.1305</v>
      </c>
      <c r="BU89" s="138">
        <f>tabCustoUnit[[#This Row],[COFINS]]+tabCustoUnit[[#This Row],[PIS]]+tabCustoUnit[[#This Row],[ISS (Conversão Alíquota s/ fatura)]]</f>
        <v>0.15008625646923526</v>
      </c>
      <c r="BV89" s="22" t="e">
        <f ca="1">(tabCustoUnit[[#This Row],[TOTAL MÓDULOS 1+2+3+4+5]]+tabCustoUnit[[#This Row],[Custos Indiretos]]+tabCustoUnit[[#This Row],[Lucro]])*tabCustoUnit[[#This Row],[PIS + COFINS + ISS (Total Conversão  Alíquota s/ Fatura)]]</f>
        <v>#NAME?</v>
      </c>
      <c r="BW89" s="22" t="e">
        <f ca="1">tabCustoUnit[[#This Row],[Custos Indiretos]]+tabCustoUnit[[#This Row],[Lucro]]+tabCustoUnit[[#This Row],[Valor dos Tributos (ISS, PIS, CONFINS)]]</f>
        <v>#NAME?</v>
      </c>
      <c r="BX89" s="22" t="e">
        <f ca="1">tabCustoUnit[[#This Row],[TOTAL MÓDULOS 1+2+3+4+5]]+tabCustoUnit[[#This Row],[MÓDULO 6 – CUSTOS INDIRETOS, TRIBUTOS E LUCRO]]</f>
        <v>#NAME?</v>
      </c>
      <c r="BY89" s="22" t="e">
        <f ca="1">tabCustoUnit[[#This Row],[CUSTO TOTAL MENSAL]]*12</f>
        <v>#NAME?</v>
      </c>
      <c r="BZ89" s="24">
        <f>VLOOKUP(tabCustoUnit[[#This Row],[Código do Posto]],tabParametros[],MATCH(tabCustoUnit[[#Headers],[ANO DA CCT]],tabParametros[#Headers],0),0)</f>
        <v>45658</v>
      </c>
      <c r="CA89" s="25" t="str">
        <f>VLOOKUP(tabCustoUnit[[#This Row],[Código do Posto]],tabParametros[],MATCH(tabCustoUnit[[#Headers],[Nº DE PEDIDO DA CCT]],tabParametros[#Headers],0),0)</f>
        <v>-</v>
      </c>
      <c r="CB89" s="25" t="str">
        <f>VLOOKUP(tabCustoUnit[[#This Row],[Código do Posto]],tabParametros[],MATCH(tabCustoUnit[[#Headers],[TERMO ADITIVO ALTERAÇÃO DA CCT]],tabParametros[#Headers],0),0)</f>
        <v>-</v>
      </c>
    </row>
    <row r="90" spans="1:80">
      <c r="A90" s="20" t="s">
        <v>1555</v>
      </c>
      <c r="B90" t="s">
        <v>1104</v>
      </c>
      <c r="C90" t="s">
        <v>319</v>
      </c>
      <c r="D90" t="s">
        <v>1058</v>
      </c>
      <c r="E90" s="20" t="s">
        <v>1090</v>
      </c>
      <c r="F90" s="20" t="s">
        <v>120</v>
      </c>
      <c r="G90" s="418">
        <v>2316.2296999999999</v>
      </c>
      <c r="H90" s="418">
        <v>0</v>
      </c>
      <c r="I90" s="418">
        <v>0</v>
      </c>
      <c r="J90" s="418">
        <v>0</v>
      </c>
      <c r="K90" s="418">
        <v>0</v>
      </c>
      <c r="L90" s="418">
        <v>0</v>
      </c>
      <c r="M90" s="418">
        <v>0</v>
      </c>
      <c r="N90" s="418">
        <v>0</v>
      </c>
      <c r="O90" s="21">
        <f>SUM(tabCustoUnit[[#This Row],[Salário Base]:[Adicional de Acúmulo de função]])</f>
        <v>2316.2296999999999</v>
      </c>
      <c r="P90" s="21">
        <f>tabCustoUnit[[#This Row],[MODULO 1 - REMUNERAÇÃO ]]*SUMIFS(tabParametros[INSS],tabParametros[Código do Posto],tabCustoUnit[[#This Row],[Código do Posto]])</f>
        <v>463.24594000000002</v>
      </c>
      <c r="Q90" s="21">
        <f>tabCustoUnit[[#This Row],[MODULO 1 - REMUNERAÇÃO ]]*SUMIFS(tabParametros[SESI OU SESC],tabParametros[Código do Posto],tabCustoUnit[[#This Row],[Código do Posto]])</f>
        <v>34.7434455</v>
      </c>
      <c r="R90" s="21">
        <f>tabCustoUnit[[#This Row],[MODULO 1 - REMUNERAÇÃO ]]*SUMIFS(tabParametros[SENAI OU SENAC],tabParametros[Código do Posto],tabCustoUnit[[#This Row],[Código do Posto]])</f>
        <v>23.162296999999999</v>
      </c>
      <c r="S90" s="21">
        <f>tabCustoUnit[[#This Row],[MODULO 1 - REMUNERAÇÃO ]]*SUMIFS(tabParametros[INCRA],tabParametros[Código do Posto],tabCustoUnit[[#This Row],[Código do Posto]])</f>
        <v>4.6324594000000001</v>
      </c>
      <c r="T90" s="21">
        <f>tabCustoUnit[[#This Row],[MODULO 1 - REMUNERAÇÃO ]]*SUMIFS(tabParametros[Salário Educação],tabParametros[Código do Posto],tabCustoUnit[[#This Row],[Código do Posto]])</f>
        <v>57.905742500000002</v>
      </c>
      <c r="U90" s="21">
        <f>tabCustoUnit[[#This Row],[MODULO 1 - REMUNERAÇÃO ]]*SUMIFS(tabParametros[FGTS],tabParametros[Código do Posto],tabCustoUnit[[#This Row],[Código do Posto]])</f>
        <v>185.29837599999999</v>
      </c>
      <c r="V90" s="21">
        <f>tabCustoUnit[[#This Row],[MODULO 1 - REMUNERAÇÃO ]]*SUMIFS(tabParametros[RAT Ajustado],tabParametros[Código do Posto],tabCustoUnit[[#This Row],[Código do Posto]])</f>
        <v>92.649187999999995</v>
      </c>
      <c r="W90" s="21">
        <f>tabCustoUnit[[#This Row],[MODULO 1 - REMUNERAÇÃO ]]*SUMIFS(tabParametros[SEBRAE],tabParametros[Código do Posto],tabCustoUnit[[#This Row],[Código do Posto]])</f>
        <v>13.8973782</v>
      </c>
      <c r="X90" s="21">
        <f>SUM(tabCustoUnit[[#This Row],[INSS]:[SEBRAE]])</f>
        <v>875.53482659999997</v>
      </c>
      <c r="Y90" s="21">
        <f>tabCustoUnit[[#This Row],[MODULO 1 - REMUNERAÇÃO ]]*SUMIFS(tabParametros[13º salário (titular)],tabParametros[Código do Posto],tabCustoUnit[[#This Row],[Código do Posto]])</f>
        <v>193.01914166666666</v>
      </c>
      <c r="Z90" s="21">
        <f>tabCustoUnit[[#This Row],[MODULO 1 - REMUNERAÇÃO ]]*SUMIFS(tabParametros[Férias e Adicional de Férias (titular)],tabParametros[Código do Posto],tabCustoUnit[[#This Row],[Código do Posto]])</f>
        <v>257.35885555555552</v>
      </c>
      <c r="AA90" s="21">
        <f>IFERROR((tabCustoUnit[[#This Row],[Submódulo 2.1]]/tabCustoUnit[[#This Row],[MODULO 1 - REMUNERAÇÃO ]])*SUM(tabCustoUnit[[#This Row],[13º salário (titular)]:[Férias e Adicional de Férias (titular)]]),0)</f>
        <v>170.24288294999999</v>
      </c>
      <c r="AB90" s="21">
        <f>SUM(tabCustoUnit[[#This Row],[13º salário (titular)]:[Incidência do Submódulo 2.1 sobre 13º Salário, Férias e Adicional de Férias]])</f>
        <v>620.6208801722222</v>
      </c>
      <c r="AC90" s="22" t="e">
        <f ca="1">_xlfn.LET(_xlpm.VT,SUMIF(tabParametros[Código do Posto],tabCustoUnit[[#This Row],[Código do Posto]],tabParametros[Vale - Transporte])*2*20,
IF((_xlpm.VT-tabCustoUnit[[#This Row],[Salário Base]]*0.06)&gt;=0,(_xlpm.VT-tabCustoUnit[[#This Row],[Salário Base]]*0.06),0)
)</f>
        <v>#NAME?</v>
      </c>
      <c r="AD90" s="22">
        <f>IF(SUMIF(tabParametros[Código do Posto],tabCustoUnit[[#This Row],[Código do Posto]],tabParametros[Vale - Alimentação])&lt;=0,0,
SUMIF(tabParametros[Código do Posto],tabCustoUnit[[#This Row],[Código do Posto]],tabParametros[Vale - Alimentação])*20-1)</f>
        <v>582</v>
      </c>
      <c r="AE90" s="22">
        <f>SUMIF(tabParametros[Código do Posto],tabCustoUnit[[#This Row],[Código do Posto]],tabParametros[Cesta Básica])</f>
        <v>0</v>
      </c>
      <c r="AF90" s="22">
        <f>SUMIF(tabParametros[Código do Posto],tabCustoUnit[[#This Row],[Código do Posto]],tabParametros[PAF])</f>
        <v>77.25</v>
      </c>
      <c r="AG90" s="22">
        <f>SUMIF(tabParametros[Código do Posto],tabCustoUnit[[#This Row],[Código do Posto]],tabParametros[PQM])</f>
        <v>0</v>
      </c>
      <c r="AH90" s="22">
        <f>SUMIF(tabParametros[Código do Posto],tabCustoUnit[[#This Row],[Código do Posto]],tabParametros[Abono Único e Especial])</f>
        <v>0</v>
      </c>
      <c r="AI90" s="22">
        <f>SUMIF(tabParametros[Código do Posto],tabCustoUnit[[#This Row],[Código do Posto]],tabParametros[Seguro de Vida])</f>
        <v>3.36</v>
      </c>
      <c r="AJ90" s="22">
        <f>SUMIF(tabParametros[Código do Posto],tabCustoUnit[[#This Row],[Código do Posto]],tabParametros[Despesas de Viagem])</f>
        <v>0</v>
      </c>
      <c r="AK90" s="22" t="e">
        <f ca="1">SUM(tabCustoUnit[[#This Row],[Vale - Transporte (Descontada parcela do empregado)]:[Despesas de Viagem]])</f>
        <v>#NAME?</v>
      </c>
      <c r="AL90" s="22" t="e">
        <f ca="1">tabCustoUnit[[#This Row],[Submódulo 2.1]]+tabCustoUnit[[#This Row],[Submódulo 2.2]]+tabCustoUnit[[#This Row],[Submódulo 2.3]]</f>
        <v>#NAME?</v>
      </c>
      <c r="AM90" s="22">
        <f>SUMIF(tabParametros[Código do Posto],tabCustoUnit[[#This Row],[Código do Posto]],tabParametros[Aviso Prévio Indenizado (API) e Reflexo do Aviso Prévio Indenizado])*tabCustoUnit[[#This Row],[MODULO 1 - REMUNERAÇÃO ]]</f>
        <v>16.240862917689043</v>
      </c>
      <c r="AN90" s="22">
        <f>SUMIF(tabParametros[Código do Posto],tabCustoUnit[[#This Row],[Código do Posto]],tabParametros[Incidência do FGTS sobre API e Reflexo do API])*tabCustoUnit[[#This Row],[MODULO 1 - REMUNERAÇÃO ]]</f>
        <v>1.2992690334151236</v>
      </c>
      <c r="AO90" s="22">
        <f>SUMIF(tabParametros[Código do Posto],tabCustoUnit[[#This Row],[Código do Posto]],tabParametros[Multa Rescisória do FGTS sobre o Aviso Prévio Indenizado])*tabCustoUnit[[#This Row],[MODULO 1 - REMUNERAÇÃO ]]</f>
        <v>0.51970761336604943</v>
      </c>
      <c r="AP90" s="22">
        <f>SUMIF(tabParametros[Código do Posto],tabCustoUnit[[#This Row],[Código do Posto]],tabParametros[Aviso Prévio Trabalhado - APT])*tabCustoUnit[[#This Row],[MODULO 1 - REMUNERAÇÃO ]]</f>
        <v>8.1068039500000015</v>
      </c>
      <c r="AQ90" s="22">
        <f>SUMIF(tabParametros[Código do Posto],tabCustoUnit[[#This Row],[Código do Posto]],tabParametros[Incidência dos encargos do submódulo 2.1 sobre Aviso Prévio Trabalhado])*tabCustoUnit[[#This Row],[MODULO 1 - REMUNERAÇÃO ]]</f>
        <v>3.0643718931000006</v>
      </c>
      <c r="AR90" s="22">
        <f>SUMIF(tabParametros[Código do Posto],tabCustoUnit[[#This Row],[Código do Posto]],tabParametros[Multa Rescisória do FGTS])*tabCustoUnit[[#This Row],[MODULO 1 - REMUNERAÇÃO ]]</f>
        <v>70.825157048888869</v>
      </c>
      <c r="AS90" s="22">
        <f>SUMIF(tabParametros[Código do Posto],tabCustoUnit[[#This Row],[Código do Posto]],tabParametros[Indenização Adicional (Art. 9º da Lei nº 7.238/84)])*tabCustoUnit[[#This Row],[MODULO 1 - REMUNERAÇÃO ]]</f>
        <v>1.9301914166666667</v>
      </c>
      <c r="AT90" s="22">
        <f>SUM(tabCustoUnit[[#This Row],[Aviso Prévio Indenizado (API) e Reflexo do Aviso Prévio Indenizado]:[Indenização Adicional (Art. 9º da Lei nº 7.238/84)]])</f>
        <v>101.98636387312575</v>
      </c>
      <c r="AU90" s="22">
        <f>SUMIF(tabParametros[Código do Posto],tabCustoUnit[[#This Row],[Código do Posto]],tabParametros[Ausência por Doença])*tabCustoUnit[[#This Row],[MODULO 1 - REMUNERAÇÃO ]]</f>
        <v>19.559273022222218</v>
      </c>
      <c r="AV90" s="22">
        <f>SUMIF(tabParametros[Código do Posto],tabCustoUnit[[#This Row],[Código do Posto]],tabParametros[Ausências Legais])*tabCustoUnit[[#This Row],[MODULO 1 - REMUNERAÇÃO ]]</f>
        <v>4.696799113888888</v>
      </c>
      <c r="AW90" s="22">
        <f>SUMIF(tabParametros[Código do Posto],tabCustoUnit[[#This Row],[Código do Posto]],tabParametros[Licença Paternidade])*tabCustoUnit[[#This Row],[MODULO 1 - REMUNERAÇÃO ]]</f>
        <v>0.39568924041666664</v>
      </c>
      <c r="AX90" s="22">
        <f>SUMIF(tabParametros[Código do Posto],tabCustoUnit[[#This Row],[Código do Posto]],tabParametros[Ausência por Acidente de Trabalho])*tabCustoUnit[[#This Row],[MODULO 1 - REMUNERAÇÃO ]]</f>
        <v>0.48254785416666668</v>
      </c>
      <c r="AY90" s="22">
        <f>SUMIF(tabParametros[Código do Posto],tabCustoUnit[[#This Row],[Código do Posto]],tabParametros[Férias, Adicional de Férias e 13º  com empregada em gozo de Licença Maternidade])*tabCustoUnit[[#This Row],[MODULO 1 - REMUNERAÇÃO ]]</f>
        <v>3.0025199814814814</v>
      </c>
      <c r="AZ90" s="22">
        <f>SUMIF(tabParametros[Código do Posto],tabCustoUnit[[#This Row],[Código do Posto]],tabParametros[Incidência do Submódulo 2.1 sobre Ausências Legais])*tabCustoUnit[[#This Row],[MODULO 1 - REMUNERAÇÃO ]]</f>
        <v>10.635721442202501</v>
      </c>
      <c r="BA90" s="22">
        <f>SUM(tabCustoUnit[[#This Row],[Ausência por Doença]:[Incidência do Submódulo 2.1 sobre Ausências Legais]])</f>
        <v>38.772550654378421</v>
      </c>
      <c r="BB90" s="22">
        <f>SUMIF(tabParametros[Código do Posto],tabCustoUnit[[#This Row],[Código do Posto]],tabParametros[Intervalo para Repouso ou Alimentação])</f>
        <v>0</v>
      </c>
      <c r="BC90" s="22">
        <f>tabCustoUnit[[#This Row],[Intervalo para Repouso ou Alimentação]]</f>
        <v>0</v>
      </c>
      <c r="BD9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0" s="22">
        <f>tabCustoUnit[[#This Row],[Suspensão Temporária do Contrato de Trabalho]]</f>
        <v>0</v>
      </c>
      <c r="BF90" s="22">
        <f>tabCustoUnit[[#This Row],[Submódulo 4.1]]+tabCustoUnit[[#This Row],[Submódulo 4.2]]+tabCustoUnit[[#This Row],[Submódulo 4.3]]</f>
        <v>38.772550654378421</v>
      </c>
      <c r="BG90" s="22">
        <f>VLOOKUP(tabCustoUnit[[#This Row],[Código do Posto]],tabParametros[],MATCH(tabCustoUnit[[#Headers],[Uniformes e EPIs]],tabParametros[#Headers],0),0)</f>
        <v>56.642978962543395</v>
      </c>
      <c r="BH90" s="22">
        <f>VLOOKUP(tabCustoUnit[[#This Row],[Código do Posto]],tabParametros[],MATCH(tabCustoUnit[[#Headers],[Materiais de Consumo]],tabParametros[#Headers],0),0)</f>
        <v>0</v>
      </c>
      <c r="BI90" s="22">
        <f>VLOOKUP(tabCustoUnit[[#This Row],[Código do Posto]],tabParametros[],MATCH(tabCustoUnit[[#Headers],[Máquinas e Equipamentos (depreciação)]],tabParametros[#Headers],0),0)</f>
        <v>0</v>
      </c>
      <c r="BJ90" s="22">
        <f>VLOOKUP(tabCustoUnit[[#This Row],[Código do Posto]],tabParametros[],MATCH(tabCustoUnit[[#Headers],[Produtos de Limpeza e Materiais de Higiene Pessoal]],tabParametros[#Headers],0),0)</f>
        <v>0</v>
      </c>
      <c r="BK90" s="22">
        <f>VLOOKUP(tabCustoUnit[[#This Row],[Código do Posto]],tabParametros[],MATCH(tabCustoUnit[[#Headers],[Outros (especificar)]],tabParametros[#Headers],0),0)</f>
        <v>0</v>
      </c>
      <c r="BL90" s="22">
        <f>SUM(tabCustoUnit[[#This Row],[Uniformes e EPIs]:[Outros (especificar)]])</f>
        <v>56.642978962543395</v>
      </c>
      <c r="BM9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0" s="22" t="e">
        <f ca="1">VLOOKUP(tabCustoUnit[[#This Row],[Código do Posto]],tabParametros[],MATCH(tabCustoUnit[[#Headers],[Custos Indiretos]],tabParametros[#Headers],0),0)</f>
        <v>#NAME?</v>
      </c>
      <c r="BO90" s="22" t="e">
        <f ca="1">VLOOKUP(tabCustoUnit[[#This Row],[Código do Posto]],tabParametros[],MATCH(tabCustoUnit[[#Headers],[Lucro]],tabParametros[#Headers],0),0)</f>
        <v>#NAME?</v>
      </c>
      <c r="BP90" s="26">
        <f>((100/((1-tabCustoUnit[[#This Row],[Resumo de Alíquotas (PIS+CONFINS+ISS)]]))-100)*VLOOKUP(tabCustoUnit[[#This Row],[Código do Posto]],tabParametros[],MATCH(tabCustoUnit[[#Headers],[COFINS]],tabParametros[#Headers],0),0))/(tabCustoUnit[[#This Row],[Resumo de Alíquotas (PIS+CONFINS+ISS)]]*100)</f>
        <v>8.7406555491661944E-2</v>
      </c>
      <c r="BQ90" s="26">
        <f>((100/((100-(tabCustoUnit[[#This Row],[Resumo de Alíquotas (PIS+CONFINS+ISS)]]*100))%)-100)*VLOOKUP(tabCustoUnit[[#This Row],[Código do Posto]],tabParametros[],MATCH(tabCustoUnit[[#Headers],[PIS]],tabParametros[#Headers],0),0))/(tabCustoUnit[[#This Row],[Resumo de Alíquotas (PIS+CONFINS+ISS)]]*100)</f>
        <v>1.8976423231742381E-2</v>
      </c>
      <c r="BR90" s="28">
        <f>VLOOKUP(tabCustoUnit[[#This Row],[Código do Posto]],tabParametros[],MATCH(tabCustoUnit[[#Headers],[ISS]],tabParametros[#Headers],0),0)</f>
        <v>3.7999999999999999E-2</v>
      </c>
      <c r="BS90" s="26">
        <f>(((100/((100-(tabCustoUnit[[#This Row],[Resumo de Alíquotas (PIS+CONFINS+ISS)]]*100))%)-100)*tabCustoUnit[[#This Row],[ISS]])/tabCustoUnit[[#This Row],[Resumo de Alíquotas (PIS+CONFINS+ISS)]])/100</f>
        <v>4.370327774583093E-2</v>
      </c>
      <c r="BT9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0.1305</v>
      </c>
      <c r="BU90" s="138">
        <f>tabCustoUnit[[#This Row],[COFINS]]+tabCustoUnit[[#This Row],[PIS]]+tabCustoUnit[[#This Row],[ISS (Conversão Alíquota s/ fatura)]]</f>
        <v>0.15008625646923526</v>
      </c>
      <c r="BV90" s="22" t="e">
        <f ca="1">(tabCustoUnit[[#This Row],[TOTAL MÓDULOS 1+2+3+4+5]]+tabCustoUnit[[#This Row],[Custos Indiretos]]+tabCustoUnit[[#This Row],[Lucro]])*tabCustoUnit[[#This Row],[PIS + COFINS + ISS (Total Conversão  Alíquota s/ Fatura)]]</f>
        <v>#NAME?</v>
      </c>
      <c r="BW90" s="22" t="e">
        <f ca="1">tabCustoUnit[[#This Row],[Custos Indiretos]]+tabCustoUnit[[#This Row],[Lucro]]+tabCustoUnit[[#This Row],[Valor dos Tributos (ISS, PIS, CONFINS)]]</f>
        <v>#NAME?</v>
      </c>
      <c r="BX90" s="22" t="e">
        <f ca="1">tabCustoUnit[[#This Row],[TOTAL MÓDULOS 1+2+3+4+5]]+tabCustoUnit[[#This Row],[MÓDULO 6 – CUSTOS INDIRETOS, TRIBUTOS E LUCRO]]</f>
        <v>#NAME?</v>
      </c>
      <c r="BY90" s="22" t="e">
        <f ca="1">tabCustoUnit[[#This Row],[CUSTO TOTAL MENSAL]]*12</f>
        <v>#NAME?</v>
      </c>
      <c r="BZ90" s="24">
        <f>VLOOKUP(tabCustoUnit[[#This Row],[Código do Posto]],tabParametros[],MATCH(tabCustoUnit[[#Headers],[ANO DA CCT]],tabParametros[#Headers],0),0)</f>
        <v>45658</v>
      </c>
      <c r="CA90" s="25" t="str">
        <f>VLOOKUP(tabCustoUnit[[#This Row],[Código do Posto]],tabParametros[],MATCH(tabCustoUnit[[#Headers],[Nº DE PEDIDO DA CCT]],tabParametros[#Headers],0),0)</f>
        <v>-</v>
      </c>
      <c r="CB90" s="25" t="str">
        <f>VLOOKUP(tabCustoUnit[[#This Row],[Código do Posto]],tabParametros[],MATCH(tabCustoUnit[[#Headers],[TERMO ADITIVO ALTERAÇÃO DA CCT]],tabParametros[#Headers],0),0)</f>
        <v>-</v>
      </c>
    </row>
    <row r="91" spans="1:80">
      <c r="A91" s="20" t="s">
        <v>1556</v>
      </c>
      <c r="B91" t="s">
        <v>1104</v>
      </c>
      <c r="C91" t="s">
        <v>324</v>
      </c>
      <c r="D91" t="s">
        <v>1058</v>
      </c>
      <c r="E91" s="20" t="s">
        <v>1090</v>
      </c>
      <c r="F91" s="20" t="s">
        <v>120</v>
      </c>
      <c r="G91" s="418">
        <v>3397.1306</v>
      </c>
      <c r="H91" s="418">
        <v>0</v>
      </c>
      <c r="I91" s="418">
        <v>0</v>
      </c>
      <c r="J91" s="418">
        <v>0</v>
      </c>
      <c r="K91" s="418">
        <v>0</v>
      </c>
      <c r="L91" s="418">
        <v>0</v>
      </c>
      <c r="M91" s="418">
        <v>0</v>
      </c>
      <c r="N91" s="418">
        <v>0</v>
      </c>
      <c r="O91" s="21">
        <f>SUM(tabCustoUnit[[#This Row],[Salário Base]:[Adicional de Acúmulo de função]])</f>
        <v>3397.1306</v>
      </c>
      <c r="P91" s="21">
        <f>tabCustoUnit[[#This Row],[MODULO 1 - REMUNERAÇÃO ]]*SUMIFS(tabParametros[INSS],tabParametros[Código do Posto],tabCustoUnit[[#This Row],[Código do Posto]])</f>
        <v>679.42612000000008</v>
      </c>
      <c r="Q91" s="21">
        <f>tabCustoUnit[[#This Row],[MODULO 1 - REMUNERAÇÃO ]]*SUMIFS(tabParametros[SESI OU SESC],tabParametros[Código do Posto],tabCustoUnit[[#This Row],[Código do Posto]])</f>
        <v>50.956958999999998</v>
      </c>
      <c r="R91" s="21">
        <f>tabCustoUnit[[#This Row],[MODULO 1 - REMUNERAÇÃO ]]*SUMIFS(tabParametros[SENAI OU SENAC],tabParametros[Código do Posto],tabCustoUnit[[#This Row],[Código do Posto]])</f>
        <v>33.971305999999998</v>
      </c>
      <c r="S91" s="21">
        <f>tabCustoUnit[[#This Row],[MODULO 1 - REMUNERAÇÃO ]]*SUMIFS(tabParametros[INCRA],tabParametros[Código do Posto],tabCustoUnit[[#This Row],[Código do Posto]])</f>
        <v>6.7942612000000002</v>
      </c>
      <c r="T91" s="21">
        <f>tabCustoUnit[[#This Row],[MODULO 1 - REMUNERAÇÃO ]]*SUMIFS(tabParametros[Salário Educação],tabParametros[Código do Posto],tabCustoUnit[[#This Row],[Código do Posto]])</f>
        <v>84.92826500000001</v>
      </c>
      <c r="U91" s="21">
        <f>tabCustoUnit[[#This Row],[MODULO 1 - REMUNERAÇÃO ]]*SUMIFS(tabParametros[FGTS],tabParametros[Código do Posto],tabCustoUnit[[#This Row],[Código do Posto]])</f>
        <v>271.77044799999999</v>
      </c>
      <c r="V91" s="21">
        <f>tabCustoUnit[[#This Row],[MODULO 1 - REMUNERAÇÃO ]]*SUMIFS(tabParametros[RAT Ajustado],tabParametros[Código do Posto],tabCustoUnit[[#This Row],[Código do Posto]])</f>
        <v>135.88522399999999</v>
      </c>
      <c r="W91" s="21">
        <f>tabCustoUnit[[#This Row],[MODULO 1 - REMUNERAÇÃO ]]*SUMIFS(tabParametros[SEBRAE],tabParametros[Código do Posto],tabCustoUnit[[#This Row],[Código do Posto]])</f>
        <v>20.3827836</v>
      </c>
      <c r="X91" s="21">
        <f>SUM(tabCustoUnit[[#This Row],[INSS]:[SEBRAE]])</f>
        <v>1284.1153668000002</v>
      </c>
      <c r="Y91" s="21">
        <f>tabCustoUnit[[#This Row],[MODULO 1 - REMUNERAÇÃO ]]*SUMIFS(tabParametros[13º salário (titular)],tabParametros[Código do Posto],tabCustoUnit[[#This Row],[Código do Posto]])</f>
        <v>283.09421666666663</v>
      </c>
      <c r="Z91" s="21">
        <f>tabCustoUnit[[#This Row],[MODULO 1 - REMUNERAÇÃO ]]*SUMIFS(tabParametros[Férias e Adicional de Férias (titular)],tabParametros[Código do Posto],tabCustoUnit[[#This Row],[Código do Posto]])</f>
        <v>377.45895555555552</v>
      </c>
      <c r="AA91" s="21">
        <f>IFERROR((tabCustoUnit[[#This Row],[Submódulo 2.1]]/tabCustoUnit[[#This Row],[MODULO 1 - REMUNERAÇÃO ]])*SUM(tabCustoUnit[[#This Row],[13º salário (titular)]:[Férias e Adicional de Férias (titular)]]),0)</f>
        <v>249.68909910000002</v>
      </c>
      <c r="AB91" s="21">
        <f>SUM(tabCustoUnit[[#This Row],[13º salário (titular)]:[Incidência do Submódulo 2.1 sobre 13º Salário, Férias e Adicional de Férias]])</f>
        <v>910.24227132222222</v>
      </c>
      <c r="AC91" s="22" t="e">
        <f ca="1">_xlfn.LET(_xlpm.VT,SUMIF(tabParametros[Código do Posto],tabCustoUnit[[#This Row],[Código do Posto]],tabParametros[Vale - Transporte])*2*20,
IF((_xlpm.VT-tabCustoUnit[[#This Row],[Salário Base]]*0.06)&gt;=0,(_xlpm.VT-tabCustoUnit[[#This Row],[Salário Base]]*0.06),0)
)</f>
        <v>#NAME?</v>
      </c>
      <c r="AD91" s="22">
        <f>IF(SUMIF(tabParametros[Código do Posto],tabCustoUnit[[#This Row],[Código do Posto]],tabParametros[Vale - Alimentação])&lt;=0,0,
SUMIF(tabParametros[Código do Posto],tabCustoUnit[[#This Row],[Código do Posto]],tabParametros[Vale - Alimentação])*20-1)</f>
        <v>582</v>
      </c>
      <c r="AE91" s="22">
        <f>SUMIF(tabParametros[Código do Posto],tabCustoUnit[[#This Row],[Código do Posto]],tabParametros[Cesta Básica])</f>
        <v>0</v>
      </c>
      <c r="AF91" s="22">
        <f>SUMIF(tabParametros[Código do Posto],tabCustoUnit[[#This Row],[Código do Posto]],tabParametros[PAF])</f>
        <v>77.25</v>
      </c>
      <c r="AG91" s="22">
        <f>SUMIF(tabParametros[Código do Posto],tabCustoUnit[[#This Row],[Código do Posto]],tabParametros[PQM])</f>
        <v>0</v>
      </c>
      <c r="AH91" s="22">
        <f>SUMIF(tabParametros[Código do Posto],tabCustoUnit[[#This Row],[Código do Posto]],tabParametros[Abono Único e Especial])</f>
        <v>0</v>
      </c>
      <c r="AI91" s="22">
        <f>SUMIF(tabParametros[Código do Posto],tabCustoUnit[[#This Row],[Código do Posto]],tabParametros[Seguro de Vida])</f>
        <v>3.36</v>
      </c>
      <c r="AJ91" s="22">
        <f>SUMIF(tabParametros[Código do Posto],tabCustoUnit[[#This Row],[Código do Posto]],tabParametros[Despesas de Viagem])</f>
        <v>0</v>
      </c>
      <c r="AK91" s="22" t="e">
        <f ca="1">SUM(tabCustoUnit[[#This Row],[Vale - Transporte (Descontada parcela do empregado)]:[Despesas de Viagem]])</f>
        <v>#NAME?</v>
      </c>
      <c r="AL91" s="22" t="e">
        <f ca="1">tabCustoUnit[[#This Row],[Submódulo 2.1]]+tabCustoUnit[[#This Row],[Submódulo 2.2]]+tabCustoUnit[[#This Row],[Submódulo 2.3]]</f>
        <v>#NAME?</v>
      </c>
      <c r="AM91" s="22">
        <f>SUMIF(tabParametros[Código do Posto],tabCustoUnit[[#This Row],[Código do Posto]],tabParametros[Aviso Prévio Indenizado (API) e Reflexo do Aviso Prévio Indenizado])*tabCustoUnit[[#This Row],[MODULO 1 - REMUNERAÇÃO ]]</f>
        <v>23.819888151890432</v>
      </c>
      <c r="AN91" s="22">
        <f>SUMIF(tabParametros[Código do Posto],tabCustoUnit[[#This Row],[Código do Posto]],tabParametros[Incidência do FGTS sobre API e Reflexo do API])*tabCustoUnit[[#This Row],[MODULO 1 - REMUNERAÇÃO ]]</f>
        <v>1.9055910521512347</v>
      </c>
      <c r="AO91" s="22">
        <f>SUMIF(tabParametros[Código do Posto],tabCustoUnit[[#This Row],[Código do Posto]],tabParametros[Multa Rescisória do FGTS sobre o Aviso Prévio Indenizado])*tabCustoUnit[[#This Row],[MODULO 1 - REMUNERAÇÃO ]]</f>
        <v>0.76223642086049392</v>
      </c>
      <c r="AP91" s="22">
        <f>SUMIF(tabParametros[Código do Posto],tabCustoUnit[[#This Row],[Código do Posto]],tabParametros[Aviso Prévio Trabalhado - APT])*tabCustoUnit[[#This Row],[MODULO 1 - REMUNERAÇÃO ]]</f>
        <v>11.889957100000002</v>
      </c>
      <c r="AQ91" s="22">
        <f>SUMIF(tabParametros[Código do Posto],tabCustoUnit[[#This Row],[Código do Posto]],tabParametros[Incidência dos encargos do submódulo 2.1 sobre Aviso Prévio Trabalhado])*tabCustoUnit[[#This Row],[MODULO 1 - REMUNERAÇÃO ]]</f>
        <v>4.4944037838000011</v>
      </c>
      <c r="AR91" s="22">
        <f>SUMIF(tabParametros[Código do Posto],tabCustoUnit[[#This Row],[Código do Posto]],tabParametros[Multa Rescisória do FGTS])*tabCustoUnit[[#This Row],[MODULO 1 - REMUNERAÇÃO ]]</f>
        <v>103.87670456888887</v>
      </c>
      <c r="AS91" s="22">
        <f>SUMIF(tabParametros[Código do Posto],tabCustoUnit[[#This Row],[Código do Posto]],tabParametros[Indenização Adicional (Art. 9º da Lei nº 7.238/84)])*tabCustoUnit[[#This Row],[MODULO 1 - REMUNERAÇÃO ]]</f>
        <v>2.830942166666667</v>
      </c>
      <c r="AT91" s="22">
        <f>SUM(tabCustoUnit[[#This Row],[Aviso Prévio Indenizado (API) e Reflexo do Aviso Prévio Indenizado]:[Indenização Adicional (Art. 9º da Lei nº 7.238/84)]])</f>
        <v>149.57972324425771</v>
      </c>
      <c r="AU91" s="22">
        <f>SUMIF(tabParametros[Código do Posto],tabCustoUnit[[#This Row],[Código do Posto]],tabParametros[Ausência por Doença])*tabCustoUnit[[#This Row],[MODULO 1 - REMUNERAÇÃO ]]</f>
        <v>28.686880622222219</v>
      </c>
      <c r="AV91" s="22">
        <f>SUMIF(tabParametros[Código do Posto],tabCustoUnit[[#This Row],[Código do Posto]],tabParametros[Ausências Legais])*tabCustoUnit[[#This Row],[MODULO 1 - REMUNERAÇÃO ]]</f>
        <v>6.8886259388888886</v>
      </c>
      <c r="AW91" s="22">
        <f>SUMIF(tabParametros[Código do Posto],tabCustoUnit[[#This Row],[Código do Posto]],tabParametros[Licença Paternidade])*tabCustoUnit[[#This Row],[MODULO 1 - REMUNERAÇÃO ]]</f>
        <v>0.58034314416666666</v>
      </c>
      <c r="AX91" s="22">
        <f>SUMIF(tabParametros[Código do Posto],tabCustoUnit[[#This Row],[Código do Posto]],tabParametros[Ausência por Acidente de Trabalho])*tabCustoUnit[[#This Row],[MODULO 1 - REMUNERAÇÃO ]]</f>
        <v>0.70773554166666675</v>
      </c>
      <c r="AY91" s="22">
        <f>SUMIF(tabParametros[Código do Posto],tabCustoUnit[[#This Row],[Código do Posto]],tabParametros[Férias, Adicional de Férias e 13º  com empregada em gozo de Licença Maternidade])*tabCustoUnit[[#This Row],[MODULO 1 - REMUNERAÇÃO ]]</f>
        <v>4.4036878148148144</v>
      </c>
      <c r="AZ91" s="22">
        <f>SUMIF(tabParametros[Código do Posto],tabCustoUnit[[#This Row],[Código do Posto]],tabParametros[Incidência do Submódulo 2.1 sobre Ausências Legais])*tabCustoUnit[[#This Row],[MODULO 1 - REMUNERAÇÃO ]]</f>
        <v>15.599029217345002</v>
      </c>
      <c r="BA91" s="22">
        <f>SUM(tabCustoUnit[[#This Row],[Ausência por Doença]:[Incidência do Submódulo 2.1 sobre Ausências Legais]])</f>
        <v>56.866302279104261</v>
      </c>
      <c r="BB91" s="22">
        <f>SUMIF(tabParametros[Código do Posto],tabCustoUnit[[#This Row],[Código do Posto]],tabParametros[Intervalo para Repouso ou Alimentação])</f>
        <v>0</v>
      </c>
      <c r="BC91" s="22">
        <f>tabCustoUnit[[#This Row],[Intervalo para Repouso ou Alimentação]]</f>
        <v>0</v>
      </c>
      <c r="BD9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1" s="22">
        <f>tabCustoUnit[[#This Row],[Suspensão Temporária do Contrato de Trabalho]]</f>
        <v>0</v>
      </c>
      <c r="BF91" s="22">
        <f>tabCustoUnit[[#This Row],[Submódulo 4.1]]+tabCustoUnit[[#This Row],[Submódulo 4.2]]+tabCustoUnit[[#This Row],[Submódulo 4.3]]</f>
        <v>56.866302279104261</v>
      </c>
      <c r="BG91" s="22">
        <f>VLOOKUP(tabCustoUnit[[#This Row],[Código do Posto]],tabParametros[],MATCH(tabCustoUnit[[#Headers],[Uniformes e EPIs]],tabParametros[#Headers],0),0)</f>
        <v>56.642978962543395</v>
      </c>
      <c r="BH91" s="22">
        <f>VLOOKUP(tabCustoUnit[[#This Row],[Código do Posto]],tabParametros[],MATCH(tabCustoUnit[[#Headers],[Materiais de Consumo]],tabParametros[#Headers],0),0)</f>
        <v>0</v>
      </c>
      <c r="BI91" s="22">
        <f>VLOOKUP(tabCustoUnit[[#This Row],[Código do Posto]],tabParametros[],MATCH(tabCustoUnit[[#Headers],[Máquinas e Equipamentos (depreciação)]],tabParametros[#Headers],0),0)</f>
        <v>0</v>
      </c>
      <c r="BJ91" s="22">
        <f>VLOOKUP(tabCustoUnit[[#This Row],[Código do Posto]],tabParametros[],MATCH(tabCustoUnit[[#Headers],[Produtos de Limpeza e Materiais de Higiene Pessoal]],tabParametros[#Headers],0),0)</f>
        <v>0</v>
      </c>
      <c r="BK91" s="22">
        <f>VLOOKUP(tabCustoUnit[[#This Row],[Código do Posto]],tabParametros[],MATCH(tabCustoUnit[[#Headers],[Outros (especificar)]],tabParametros[#Headers],0),0)</f>
        <v>0</v>
      </c>
      <c r="BL91" s="22">
        <f>SUM(tabCustoUnit[[#This Row],[Uniformes e EPIs]:[Outros (especificar)]])</f>
        <v>56.642978962543395</v>
      </c>
      <c r="BM9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1" s="22" t="e">
        <f ca="1">VLOOKUP(tabCustoUnit[[#This Row],[Código do Posto]],tabParametros[],MATCH(tabCustoUnit[[#Headers],[Custos Indiretos]],tabParametros[#Headers],0),0)</f>
        <v>#NAME?</v>
      </c>
      <c r="BO91" s="22" t="e">
        <f ca="1">VLOOKUP(tabCustoUnit[[#This Row],[Código do Posto]],tabParametros[],MATCH(tabCustoUnit[[#Headers],[Lucro]],tabParametros[#Headers],0),0)</f>
        <v>#NAME?</v>
      </c>
      <c r="BP91" s="26">
        <f>((100/((1-tabCustoUnit[[#This Row],[Resumo de Alíquotas (PIS+CONFINS+ISS)]]))-100)*VLOOKUP(tabCustoUnit[[#This Row],[Código do Posto]],tabParametros[],MATCH(tabCustoUnit[[#Headers],[COFINS]],tabParametros[#Headers],0),0))/(tabCustoUnit[[#This Row],[Resumo de Alíquotas (PIS+CONFINS+ISS)]]*100)</f>
        <v>8.7406555491661944E-2</v>
      </c>
      <c r="BQ91" s="26">
        <f>((100/((100-(tabCustoUnit[[#This Row],[Resumo de Alíquotas (PIS+CONFINS+ISS)]]*100))%)-100)*VLOOKUP(tabCustoUnit[[#This Row],[Código do Posto]],tabParametros[],MATCH(tabCustoUnit[[#Headers],[PIS]],tabParametros[#Headers],0),0))/(tabCustoUnit[[#This Row],[Resumo de Alíquotas (PIS+CONFINS+ISS)]]*100)</f>
        <v>1.8976423231742381E-2</v>
      </c>
      <c r="BR91" s="28">
        <f>VLOOKUP(tabCustoUnit[[#This Row],[Código do Posto]],tabParametros[],MATCH(tabCustoUnit[[#Headers],[ISS]],tabParametros[#Headers],0),0)</f>
        <v>3.7999999999999999E-2</v>
      </c>
      <c r="BS91" s="26">
        <f>(((100/((100-(tabCustoUnit[[#This Row],[Resumo de Alíquotas (PIS+CONFINS+ISS)]]*100))%)-100)*tabCustoUnit[[#This Row],[ISS]])/tabCustoUnit[[#This Row],[Resumo de Alíquotas (PIS+CONFINS+ISS)]])/100</f>
        <v>4.370327774583093E-2</v>
      </c>
      <c r="BT9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0.1305</v>
      </c>
      <c r="BU91" s="138">
        <f>tabCustoUnit[[#This Row],[COFINS]]+tabCustoUnit[[#This Row],[PIS]]+tabCustoUnit[[#This Row],[ISS (Conversão Alíquota s/ fatura)]]</f>
        <v>0.15008625646923526</v>
      </c>
      <c r="BV91" s="22" t="e">
        <f ca="1">(tabCustoUnit[[#This Row],[TOTAL MÓDULOS 1+2+3+4+5]]+tabCustoUnit[[#This Row],[Custos Indiretos]]+tabCustoUnit[[#This Row],[Lucro]])*tabCustoUnit[[#This Row],[PIS + COFINS + ISS (Total Conversão  Alíquota s/ Fatura)]]</f>
        <v>#NAME?</v>
      </c>
      <c r="BW91" s="22" t="e">
        <f ca="1">tabCustoUnit[[#This Row],[Custos Indiretos]]+tabCustoUnit[[#This Row],[Lucro]]+tabCustoUnit[[#This Row],[Valor dos Tributos (ISS, PIS, CONFINS)]]</f>
        <v>#NAME?</v>
      </c>
      <c r="BX91" s="22" t="e">
        <f ca="1">tabCustoUnit[[#This Row],[TOTAL MÓDULOS 1+2+3+4+5]]+tabCustoUnit[[#This Row],[MÓDULO 6 – CUSTOS INDIRETOS, TRIBUTOS E LUCRO]]</f>
        <v>#NAME?</v>
      </c>
      <c r="BY91" s="22" t="e">
        <f ca="1">tabCustoUnit[[#This Row],[CUSTO TOTAL MENSAL]]*12</f>
        <v>#NAME?</v>
      </c>
      <c r="BZ91" s="24">
        <f>VLOOKUP(tabCustoUnit[[#This Row],[Código do Posto]],tabParametros[],MATCH(tabCustoUnit[[#Headers],[ANO DA CCT]],tabParametros[#Headers],0),0)</f>
        <v>45658</v>
      </c>
      <c r="CA91" s="25" t="str">
        <f>VLOOKUP(tabCustoUnit[[#This Row],[Código do Posto]],tabParametros[],MATCH(tabCustoUnit[[#Headers],[Nº DE PEDIDO DA CCT]],tabParametros[#Headers],0),0)</f>
        <v>-</v>
      </c>
      <c r="CB91" s="25" t="str">
        <f>VLOOKUP(tabCustoUnit[[#This Row],[Código do Posto]],tabParametros[],MATCH(tabCustoUnit[[#Headers],[TERMO ADITIVO ALTERAÇÃO DA CCT]],tabParametros[#Headers],0),0)</f>
        <v>-</v>
      </c>
    </row>
    <row r="92" spans="1:80">
      <c r="A92" s="20" t="s">
        <v>1557</v>
      </c>
      <c r="B92" t="s">
        <v>1104</v>
      </c>
      <c r="C92" t="s">
        <v>1370</v>
      </c>
      <c r="D92" t="s">
        <v>1058</v>
      </c>
      <c r="E92" s="20" t="s">
        <v>1090</v>
      </c>
      <c r="F92" s="20" t="s">
        <v>120</v>
      </c>
      <c r="G92" s="418">
        <v>4768.66</v>
      </c>
      <c r="H92" s="418">
        <v>0</v>
      </c>
      <c r="I92" s="418">
        <v>0</v>
      </c>
      <c r="J92" s="418">
        <v>0</v>
      </c>
      <c r="K92" s="418">
        <v>0</v>
      </c>
      <c r="L92" s="418">
        <v>0</v>
      </c>
      <c r="M92" s="418">
        <v>0</v>
      </c>
      <c r="N92" s="418">
        <v>0</v>
      </c>
      <c r="O92" s="21">
        <f>SUM(tabCustoUnit[[#This Row],[Salário Base]:[Adicional de Acúmulo de função]])</f>
        <v>4768.66</v>
      </c>
      <c r="P92" s="21">
        <f>tabCustoUnit[[#This Row],[MODULO 1 - REMUNERAÇÃO ]]*SUMIFS(tabParametros[INSS],tabParametros[Código do Posto],tabCustoUnit[[#This Row],[Código do Posto]])</f>
        <v>953.73199999999997</v>
      </c>
      <c r="Q92" s="21">
        <f>tabCustoUnit[[#This Row],[MODULO 1 - REMUNERAÇÃO ]]*SUMIFS(tabParametros[SESI OU SESC],tabParametros[Código do Posto],tabCustoUnit[[#This Row],[Código do Posto]])</f>
        <v>71.529899999999998</v>
      </c>
      <c r="R92" s="21">
        <f>tabCustoUnit[[#This Row],[MODULO 1 - REMUNERAÇÃO ]]*SUMIFS(tabParametros[SENAI OU SENAC],tabParametros[Código do Posto],tabCustoUnit[[#This Row],[Código do Posto]])</f>
        <v>47.686599999999999</v>
      </c>
      <c r="S92" s="21">
        <f>tabCustoUnit[[#This Row],[MODULO 1 - REMUNERAÇÃO ]]*SUMIFS(tabParametros[INCRA],tabParametros[Código do Posto],tabCustoUnit[[#This Row],[Código do Posto]])</f>
        <v>9.5373199999999994</v>
      </c>
      <c r="T92" s="21">
        <f>tabCustoUnit[[#This Row],[MODULO 1 - REMUNERAÇÃO ]]*SUMIFS(tabParametros[Salário Educação],tabParametros[Código do Posto],tabCustoUnit[[#This Row],[Código do Posto]])</f>
        <v>119.2165</v>
      </c>
      <c r="U92" s="21">
        <f>tabCustoUnit[[#This Row],[MODULO 1 - REMUNERAÇÃO ]]*SUMIFS(tabParametros[FGTS],tabParametros[Código do Posto],tabCustoUnit[[#This Row],[Código do Posto]])</f>
        <v>381.49279999999999</v>
      </c>
      <c r="V92" s="21">
        <f>tabCustoUnit[[#This Row],[MODULO 1 - REMUNERAÇÃO ]]*SUMIFS(tabParametros[RAT Ajustado],tabParametros[Código do Posto],tabCustoUnit[[#This Row],[Código do Posto]])</f>
        <v>190.74639999999999</v>
      </c>
      <c r="W92" s="21">
        <f>tabCustoUnit[[#This Row],[MODULO 1 - REMUNERAÇÃO ]]*SUMIFS(tabParametros[SEBRAE],tabParametros[Código do Posto],tabCustoUnit[[#This Row],[Código do Posto]])</f>
        <v>28.61196</v>
      </c>
      <c r="X92" s="21">
        <f>SUM(tabCustoUnit[[#This Row],[INSS]:[SEBRAE]])</f>
        <v>1802.5534799999998</v>
      </c>
      <c r="Y92" s="21">
        <f>tabCustoUnit[[#This Row],[MODULO 1 - REMUNERAÇÃO ]]*SUMIFS(tabParametros[13º salário (titular)],tabParametros[Código do Posto],tabCustoUnit[[#This Row],[Código do Posto]])</f>
        <v>397.38833333333332</v>
      </c>
      <c r="Z92" s="21">
        <f>tabCustoUnit[[#This Row],[MODULO 1 - REMUNERAÇÃO ]]*SUMIFS(tabParametros[Férias e Adicional de Férias (titular)],tabParametros[Código do Posto],tabCustoUnit[[#This Row],[Código do Posto]])</f>
        <v>529.85111111111109</v>
      </c>
      <c r="AA92" s="21">
        <f>IFERROR((tabCustoUnit[[#This Row],[Submódulo 2.1]]/tabCustoUnit[[#This Row],[MODULO 1 - REMUNERAÇÃO ]])*SUM(tabCustoUnit[[#This Row],[13º salário (titular)]:[Férias e Adicional de Férias (titular)]]),0)</f>
        <v>350.49650999999994</v>
      </c>
      <c r="AB92" s="21">
        <f>SUM(tabCustoUnit[[#This Row],[13º salário (titular)]:[Incidência do Submódulo 2.1 sobre 13º Salário, Férias e Adicional de Férias]])</f>
        <v>1277.7359544444444</v>
      </c>
      <c r="AC92" s="22" t="e">
        <f ca="1">_xlfn.LET(_xlpm.VT,SUMIF(tabParametros[Código do Posto],tabCustoUnit[[#This Row],[Código do Posto]],tabParametros[Vale - Transporte])*2*20,
IF((_xlpm.VT-tabCustoUnit[[#This Row],[Salário Base]]*0.06)&gt;=0,(_xlpm.VT-tabCustoUnit[[#This Row],[Salário Base]]*0.06),0)
)</f>
        <v>#NAME?</v>
      </c>
      <c r="AD92" s="22">
        <f>IF(SUMIF(tabParametros[Código do Posto],tabCustoUnit[[#This Row],[Código do Posto]],tabParametros[Vale - Alimentação])&lt;=0,0,
SUMIF(tabParametros[Código do Posto],tabCustoUnit[[#This Row],[Código do Posto]],tabParametros[Vale - Alimentação])*20-1)</f>
        <v>582</v>
      </c>
      <c r="AE92" s="22">
        <f>SUMIF(tabParametros[Código do Posto],tabCustoUnit[[#This Row],[Código do Posto]],tabParametros[Cesta Básica])</f>
        <v>0</v>
      </c>
      <c r="AF92" s="22">
        <f>SUMIF(tabParametros[Código do Posto],tabCustoUnit[[#This Row],[Código do Posto]],tabParametros[PAF])</f>
        <v>77.25</v>
      </c>
      <c r="AG92" s="22">
        <f>SUMIF(tabParametros[Código do Posto],tabCustoUnit[[#This Row],[Código do Posto]],tabParametros[PQM])</f>
        <v>0</v>
      </c>
      <c r="AH92" s="22">
        <f>SUMIF(tabParametros[Código do Posto],tabCustoUnit[[#This Row],[Código do Posto]],tabParametros[Abono Único e Especial])</f>
        <v>0</v>
      </c>
      <c r="AI92" s="22">
        <f>SUMIF(tabParametros[Código do Posto],tabCustoUnit[[#This Row],[Código do Posto]],tabParametros[Seguro de Vida])</f>
        <v>3.36</v>
      </c>
      <c r="AJ92" s="22">
        <f>SUMIF(tabParametros[Código do Posto],tabCustoUnit[[#This Row],[Código do Posto]],tabParametros[Despesas de Viagem])</f>
        <v>0</v>
      </c>
      <c r="AK92" s="22" t="e">
        <f ca="1">SUM(tabCustoUnit[[#This Row],[Vale - Transporte (Descontada parcela do empregado)]:[Despesas de Viagem]])</f>
        <v>#NAME?</v>
      </c>
      <c r="AL92" s="22" t="e">
        <f ca="1">tabCustoUnit[[#This Row],[Submódulo 2.1]]+tabCustoUnit[[#This Row],[Submódulo 2.2]]+tabCustoUnit[[#This Row],[Submódulo 2.3]]</f>
        <v>#NAME?</v>
      </c>
      <c r="AM92" s="22">
        <f>SUMIF(tabParametros[Código do Posto],tabCustoUnit[[#This Row],[Código do Posto]],tabParametros[Aviso Prévio Indenizado (API) e Reflexo do Aviso Prévio Indenizado])*tabCustoUnit[[#This Row],[MODULO 1 - REMUNERAÇÃO ]]</f>
        <v>33.436732704475311</v>
      </c>
      <c r="AN92" s="22">
        <f>SUMIF(tabParametros[Código do Posto],tabCustoUnit[[#This Row],[Código do Posto]],tabParametros[Incidência do FGTS sobre API e Reflexo do API])*tabCustoUnit[[#This Row],[MODULO 1 - REMUNERAÇÃO ]]</f>
        <v>2.6749386163580247</v>
      </c>
      <c r="AO92" s="22">
        <f>SUMIF(tabParametros[Código do Posto],tabCustoUnit[[#This Row],[Código do Posto]],tabParametros[Multa Rescisória do FGTS sobre o Aviso Prévio Indenizado])*tabCustoUnit[[#This Row],[MODULO 1 - REMUNERAÇÃO ]]</f>
        <v>1.0699754465432101</v>
      </c>
      <c r="AP92" s="22">
        <f>SUMIF(tabParametros[Código do Posto],tabCustoUnit[[#This Row],[Código do Posto]],tabParametros[Aviso Prévio Trabalhado - APT])*tabCustoUnit[[#This Row],[MODULO 1 - REMUNERAÇÃO ]]</f>
        <v>16.69031</v>
      </c>
      <c r="AQ92" s="22">
        <f>SUMIF(tabParametros[Código do Posto],tabCustoUnit[[#This Row],[Código do Posto]],tabParametros[Incidência dos encargos do submódulo 2.1 sobre Aviso Prévio Trabalhado])*tabCustoUnit[[#This Row],[MODULO 1 - REMUNERAÇÃO ]]</f>
        <v>6.3089371800000018</v>
      </c>
      <c r="AR92" s="22">
        <f>SUMIF(tabParametros[Código do Posto],tabCustoUnit[[#This Row],[Código do Posto]],tabParametros[Multa Rescisória do FGTS])*tabCustoUnit[[#This Row],[MODULO 1 - REMUNERAÇÃO ]]</f>
        <v>145.81502577777775</v>
      </c>
      <c r="AS92" s="22">
        <f>SUMIF(tabParametros[Código do Posto],tabCustoUnit[[#This Row],[Código do Posto]],tabParametros[Indenização Adicional (Art. 9º da Lei nº 7.238/84)])*tabCustoUnit[[#This Row],[MODULO 1 - REMUNERAÇÃO ]]</f>
        <v>3.9738833333333337</v>
      </c>
      <c r="AT92" s="22">
        <f>SUM(tabCustoUnit[[#This Row],[Aviso Prévio Indenizado (API) e Reflexo do Aviso Prévio Indenizado]:[Indenização Adicional (Art. 9º da Lei nº 7.238/84)]])</f>
        <v>209.96980305848763</v>
      </c>
      <c r="AU92" s="22">
        <f>SUMIF(tabParametros[Código do Posto],tabCustoUnit[[#This Row],[Código do Posto]],tabParametros[Ausência por Doença])*tabCustoUnit[[#This Row],[MODULO 1 - REMUNERAÇÃO ]]</f>
        <v>40.268684444444439</v>
      </c>
      <c r="AV92" s="22">
        <f>SUMIF(tabParametros[Código do Posto],tabCustoUnit[[#This Row],[Código do Posto]],tabParametros[Ausências Legais])*tabCustoUnit[[#This Row],[MODULO 1 - REMUNERAÇÃO ]]</f>
        <v>9.6697827777777761</v>
      </c>
      <c r="AW92" s="22">
        <f>SUMIF(tabParametros[Código do Posto],tabCustoUnit[[#This Row],[Código do Posto]],tabParametros[Licença Paternidade])*tabCustoUnit[[#This Row],[MODULO 1 - REMUNERAÇÃO ]]</f>
        <v>0.81464608333333333</v>
      </c>
      <c r="AX92" s="22">
        <f>SUMIF(tabParametros[Código do Posto],tabCustoUnit[[#This Row],[Código do Posto]],tabParametros[Ausência por Acidente de Trabalho])*tabCustoUnit[[#This Row],[MODULO 1 - REMUNERAÇÃO ]]</f>
        <v>0.99347083333333341</v>
      </c>
      <c r="AY92" s="22">
        <f>SUMIF(tabParametros[Código do Posto],tabCustoUnit[[#This Row],[Código do Posto]],tabParametros[Férias, Adicional de Férias e 13º  com empregada em gozo de Licença Maternidade])*tabCustoUnit[[#This Row],[MODULO 1 - REMUNERAÇÃO ]]</f>
        <v>6.1815962962962958</v>
      </c>
      <c r="AZ92" s="22">
        <f>SUMIF(tabParametros[Código do Posto],tabCustoUnit[[#This Row],[Código do Posto]],tabParametros[Incidência do Submódulo 2.1 sobre Ausências Legais])*tabCustoUnit[[#This Row],[MODULO 1 - REMUNERAÇÃO ]]</f>
        <v>21.896852204500004</v>
      </c>
      <c r="BA92" s="22">
        <f>SUM(tabCustoUnit[[#This Row],[Ausência por Doença]:[Incidência do Submódulo 2.1 sobre Ausências Legais]])</f>
        <v>79.82503263968519</v>
      </c>
      <c r="BB92" s="22">
        <f>SUMIF(tabParametros[Código do Posto],tabCustoUnit[[#This Row],[Código do Posto]],tabParametros[Intervalo para Repouso ou Alimentação])</f>
        <v>0</v>
      </c>
      <c r="BC92" s="22">
        <f>tabCustoUnit[[#This Row],[Intervalo para Repouso ou Alimentação]]</f>
        <v>0</v>
      </c>
      <c r="BD9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2" s="22">
        <f>tabCustoUnit[[#This Row],[Suspensão Temporária do Contrato de Trabalho]]</f>
        <v>0</v>
      </c>
      <c r="BF92" s="22">
        <f>tabCustoUnit[[#This Row],[Submódulo 4.1]]+tabCustoUnit[[#This Row],[Submódulo 4.2]]+tabCustoUnit[[#This Row],[Submódulo 4.3]]</f>
        <v>79.82503263968519</v>
      </c>
      <c r="BG92" s="22">
        <f>VLOOKUP(tabCustoUnit[[#This Row],[Código do Posto]],tabParametros[],MATCH(tabCustoUnit[[#Headers],[Uniformes e EPIs]],tabParametros[#Headers],0),0)</f>
        <v>90.784679782039703</v>
      </c>
      <c r="BH92" s="22">
        <f>VLOOKUP(tabCustoUnit[[#This Row],[Código do Posto]],tabParametros[],MATCH(tabCustoUnit[[#Headers],[Materiais de Consumo]],tabParametros[#Headers],0),0)</f>
        <v>0</v>
      </c>
      <c r="BI92" s="22">
        <f>VLOOKUP(tabCustoUnit[[#This Row],[Código do Posto]],tabParametros[],MATCH(tabCustoUnit[[#Headers],[Máquinas e Equipamentos (depreciação)]],tabParametros[#Headers],0),0)</f>
        <v>0</v>
      </c>
      <c r="BJ92" s="22">
        <f>VLOOKUP(tabCustoUnit[[#This Row],[Código do Posto]],tabParametros[],MATCH(tabCustoUnit[[#Headers],[Produtos de Limpeza e Materiais de Higiene Pessoal]],tabParametros[#Headers],0),0)</f>
        <v>0</v>
      </c>
      <c r="BK92" s="22">
        <f>VLOOKUP(tabCustoUnit[[#This Row],[Código do Posto]],tabParametros[],MATCH(tabCustoUnit[[#Headers],[Outros (especificar)]],tabParametros[#Headers],0),0)</f>
        <v>0</v>
      </c>
      <c r="BL92" s="22">
        <f>SUM(tabCustoUnit[[#This Row],[Uniformes e EPIs]:[Outros (especificar)]])</f>
        <v>90.784679782039703</v>
      </c>
      <c r="BM9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2" s="22" t="e">
        <f ca="1">VLOOKUP(tabCustoUnit[[#This Row],[Código do Posto]],tabParametros[],MATCH(tabCustoUnit[[#Headers],[Custos Indiretos]],tabParametros[#Headers],0),0)</f>
        <v>#NAME?</v>
      </c>
      <c r="BO92" s="22" t="e">
        <f ca="1">VLOOKUP(tabCustoUnit[[#This Row],[Código do Posto]],tabParametros[],MATCH(tabCustoUnit[[#Headers],[Lucro]],tabParametros[#Headers],0),0)</f>
        <v>#NAME?</v>
      </c>
      <c r="BP92" s="26">
        <f>((100/((1-tabCustoUnit[[#This Row],[Resumo de Alíquotas (PIS+CONFINS+ISS)]]))-100)*VLOOKUP(tabCustoUnit[[#This Row],[Código do Posto]],tabParametros[],MATCH(tabCustoUnit[[#Headers],[COFINS]],tabParametros[#Headers],0),0))/(tabCustoUnit[[#This Row],[Resumo de Alíquotas (PIS+CONFINS+ISS)]]*100)</f>
        <v>8.7406555491661944E-2</v>
      </c>
      <c r="BQ92" s="26">
        <f>((100/((100-(tabCustoUnit[[#This Row],[Resumo de Alíquotas (PIS+CONFINS+ISS)]]*100))%)-100)*VLOOKUP(tabCustoUnit[[#This Row],[Código do Posto]],tabParametros[],MATCH(tabCustoUnit[[#Headers],[PIS]],tabParametros[#Headers],0),0))/(tabCustoUnit[[#This Row],[Resumo de Alíquotas (PIS+CONFINS+ISS)]]*100)</f>
        <v>1.8976423231742381E-2</v>
      </c>
      <c r="BR92" s="28">
        <f>VLOOKUP(tabCustoUnit[[#This Row],[Código do Posto]],tabParametros[],MATCH(tabCustoUnit[[#Headers],[ISS]],tabParametros[#Headers],0),0)</f>
        <v>3.7999999999999999E-2</v>
      </c>
      <c r="BS92" s="26">
        <f>(((100/((100-(tabCustoUnit[[#This Row],[Resumo de Alíquotas (PIS+CONFINS+ISS)]]*100))%)-100)*tabCustoUnit[[#This Row],[ISS]])/tabCustoUnit[[#This Row],[Resumo de Alíquotas (PIS+CONFINS+ISS)]])/100</f>
        <v>4.370327774583093E-2</v>
      </c>
      <c r="BT9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0.1305</v>
      </c>
      <c r="BU92" s="138">
        <f>tabCustoUnit[[#This Row],[COFINS]]+tabCustoUnit[[#This Row],[PIS]]+tabCustoUnit[[#This Row],[ISS (Conversão Alíquota s/ fatura)]]</f>
        <v>0.15008625646923526</v>
      </c>
      <c r="BV92" s="22" t="e">
        <f ca="1">(tabCustoUnit[[#This Row],[TOTAL MÓDULOS 1+2+3+4+5]]+tabCustoUnit[[#This Row],[Custos Indiretos]]+tabCustoUnit[[#This Row],[Lucro]])*tabCustoUnit[[#This Row],[PIS + COFINS + ISS (Total Conversão  Alíquota s/ Fatura)]]</f>
        <v>#NAME?</v>
      </c>
      <c r="BW92" s="22" t="e">
        <f ca="1">tabCustoUnit[[#This Row],[Custos Indiretos]]+tabCustoUnit[[#This Row],[Lucro]]+tabCustoUnit[[#This Row],[Valor dos Tributos (ISS, PIS, CONFINS)]]</f>
        <v>#NAME?</v>
      </c>
      <c r="BX92" s="22" t="e">
        <f ca="1">tabCustoUnit[[#This Row],[TOTAL MÓDULOS 1+2+3+4+5]]+tabCustoUnit[[#This Row],[MÓDULO 6 – CUSTOS INDIRETOS, TRIBUTOS E LUCRO]]</f>
        <v>#NAME?</v>
      </c>
      <c r="BY92" s="22" t="e">
        <f ca="1">tabCustoUnit[[#This Row],[CUSTO TOTAL MENSAL]]*12</f>
        <v>#NAME?</v>
      </c>
      <c r="BZ92" s="24">
        <f>VLOOKUP(tabCustoUnit[[#This Row],[Código do Posto]],tabParametros[],MATCH(tabCustoUnit[[#Headers],[ANO DA CCT]],tabParametros[#Headers],0),0)</f>
        <v>45658</v>
      </c>
      <c r="CA92" s="25" t="str">
        <f>VLOOKUP(tabCustoUnit[[#This Row],[Código do Posto]],tabParametros[],MATCH(tabCustoUnit[[#Headers],[Nº DE PEDIDO DA CCT]],tabParametros[#Headers],0),0)</f>
        <v>-</v>
      </c>
      <c r="CB92" s="25" t="str">
        <f>VLOOKUP(tabCustoUnit[[#This Row],[Código do Posto]],tabParametros[],MATCH(tabCustoUnit[[#Headers],[TERMO ADITIVO ALTERAÇÃO DA CCT]],tabParametros[#Headers],0),0)</f>
        <v>-</v>
      </c>
    </row>
    <row r="93" spans="1:80">
      <c r="A93" s="20" t="s">
        <v>1461</v>
      </c>
      <c r="B93" t="s">
        <v>1105</v>
      </c>
      <c r="C93" t="s">
        <v>200</v>
      </c>
      <c r="D93" t="s">
        <v>961</v>
      </c>
      <c r="E93" s="20" t="s">
        <v>1090</v>
      </c>
      <c r="F93" s="20" t="s">
        <v>120</v>
      </c>
      <c r="G93" s="418">
        <v>1596.2737999999999</v>
      </c>
      <c r="H93" s="418">
        <v>0</v>
      </c>
      <c r="I93" s="418">
        <v>0</v>
      </c>
      <c r="J93" s="418">
        <v>0</v>
      </c>
      <c r="K93" s="418">
        <v>0</v>
      </c>
      <c r="L93" s="418">
        <v>0</v>
      </c>
      <c r="M93" s="418">
        <v>0</v>
      </c>
      <c r="N93" s="418">
        <v>0</v>
      </c>
      <c r="O93" s="21">
        <f>SUM(tabCustoUnit[[#This Row],[Salário Base]:[Adicional de Acúmulo de função]])</f>
        <v>1596.2737999999999</v>
      </c>
      <c r="P93" s="21">
        <f>tabCustoUnit[[#This Row],[MODULO 1 - REMUNERAÇÃO ]]*SUMIFS(tabParametros[INSS],tabParametros[Código do Posto],tabCustoUnit[[#This Row],[Código do Posto]])</f>
        <v>319.25476000000003</v>
      </c>
      <c r="Q93" s="21">
        <f>tabCustoUnit[[#This Row],[MODULO 1 - REMUNERAÇÃO ]]*SUMIFS(tabParametros[SESI OU SESC],tabParametros[Código do Posto],tabCustoUnit[[#This Row],[Código do Posto]])</f>
        <v>23.944106999999999</v>
      </c>
      <c r="R93" s="21">
        <f>tabCustoUnit[[#This Row],[MODULO 1 - REMUNERAÇÃO ]]*SUMIFS(tabParametros[SENAI OU SENAC],tabParametros[Código do Posto],tabCustoUnit[[#This Row],[Código do Posto]])</f>
        <v>15.962738</v>
      </c>
      <c r="S93" s="21">
        <f>tabCustoUnit[[#This Row],[MODULO 1 - REMUNERAÇÃO ]]*SUMIFS(tabParametros[INCRA],tabParametros[Código do Posto],tabCustoUnit[[#This Row],[Código do Posto]])</f>
        <v>3.1925476000000002</v>
      </c>
      <c r="T93" s="21">
        <f>tabCustoUnit[[#This Row],[MODULO 1 - REMUNERAÇÃO ]]*SUMIFS(tabParametros[Salário Educação],tabParametros[Código do Posto],tabCustoUnit[[#This Row],[Código do Posto]])</f>
        <v>39.906845000000004</v>
      </c>
      <c r="U93" s="21">
        <f>tabCustoUnit[[#This Row],[MODULO 1 - REMUNERAÇÃO ]]*SUMIFS(tabParametros[FGTS],tabParametros[Código do Posto],tabCustoUnit[[#This Row],[Código do Posto]])</f>
        <v>127.701904</v>
      </c>
      <c r="V93" s="21">
        <f>tabCustoUnit[[#This Row],[MODULO 1 - REMUNERAÇÃO ]]*SUMIFS(tabParametros[RAT Ajustado],tabParametros[Código do Posto],tabCustoUnit[[#This Row],[Código do Posto]])</f>
        <v>63.850951999999999</v>
      </c>
      <c r="W93" s="21">
        <f>tabCustoUnit[[#This Row],[MODULO 1 - REMUNERAÇÃO ]]*SUMIFS(tabParametros[SEBRAE],tabParametros[Código do Posto],tabCustoUnit[[#This Row],[Código do Posto]])</f>
        <v>9.5776427999999996</v>
      </c>
      <c r="X93" s="21">
        <f>SUM(tabCustoUnit[[#This Row],[INSS]:[SEBRAE]])</f>
        <v>603.39149640000005</v>
      </c>
      <c r="Y93" s="21">
        <f>tabCustoUnit[[#This Row],[MODULO 1 - REMUNERAÇÃO ]]*SUMIFS(tabParametros[13º salário (titular)],tabParametros[Código do Posto],tabCustoUnit[[#This Row],[Código do Posto]])</f>
        <v>133.02281666666664</v>
      </c>
      <c r="Z93" s="21">
        <f>tabCustoUnit[[#This Row],[MODULO 1 - REMUNERAÇÃO ]]*SUMIFS(tabParametros[Férias e Adicional de Férias (titular)],tabParametros[Código do Posto],tabCustoUnit[[#This Row],[Código do Posto]])</f>
        <v>177.36375555555554</v>
      </c>
      <c r="AA93" s="21">
        <f>IFERROR((tabCustoUnit[[#This Row],[Submódulo 2.1]]/tabCustoUnit[[#This Row],[MODULO 1 - REMUNERAÇÃO ]])*SUM(tabCustoUnit[[#This Row],[13º salário (titular)]:[Férias e Adicional de Férias (titular)]]),0)</f>
        <v>117.3261243</v>
      </c>
      <c r="AB93" s="21">
        <f>SUM(tabCustoUnit[[#This Row],[13º salário (titular)]:[Incidência do Submódulo 2.1 sobre 13º Salário, Férias e Adicional de Férias]])</f>
        <v>427.71269652222219</v>
      </c>
      <c r="AC93" s="22" t="e">
        <f ca="1">_xlfn.LET(_xlpm.VT,SUMIF(tabParametros[Código do Posto],tabCustoUnit[[#This Row],[Código do Posto]],tabParametros[Vale - Transporte])*2*20,
IF((_xlpm.VT-tabCustoUnit[[#This Row],[Salário Base]]*0.06)&gt;=0,(_xlpm.VT-tabCustoUnit[[#This Row],[Salário Base]]*0.06),0)
)</f>
        <v>#NAME?</v>
      </c>
      <c r="AD93" s="22">
        <f>IF(SUMIF(tabParametros[Código do Posto],tabCustoUnit[[#This Row],[Código do Posto]],tabParametros[Vale - Alimentação])&lt;=0,0,
SUMIF(tabParametros[Código do Posto],tabCustoUnit[[#This Row],[Código do Posto]],tabParametros[Vale - Alimentação])*20-1)</f>
        <v>582</v>
      </c>
      <c r="AE93" s="22">
        <f>SUMIF(tabParametros[Código do Posto],tabCustoUnit[[#This Row],[Código do Posto]],tabParametros[Cesta Básica])</f>
        <v>0</v>
      </c>
      <c r="AF93" s="22">
        <f>SUMIF(tabParametros[Código do Posto],tabCustoUnit[[#This Row],[Código do Posto]],tabParametros[PAF])</f>
        <v>0</v>
      </c>
      <c r="AG93" s="22">
        <f>SUMIF(tabParametros[Código do Posto],tabCustoUnit[[#This Row],[Código do Posto]],tabParametros[PQM])</f>
        <v>0</v>
      </c>
      <c r="AH93" s="22">
        <f>SUMIF(tabParametros[Código do Posto],tabCustoUnit[[#This Row],[Código do Posto]],tabParametros[Abono Único e Especial])</f>
        <v>0</v>
      </c>
      <c r="AI93" s="22">
        <f>SUMIF(tabParametros[Código do Posto],tabCustoUnit[[#This Row],[Código do Posto]],tabParametros[Seguro de Vida])</f>
        <v>3.36</v>
      </c>
      <c r="AJ93" s="22">
        <f>SUMIF(tabParametros[Código do Posto],tabCustoUnit[[#This Row],[Código do Posto]],tabParametros[Despesas de Viagem])</f>
        <v>0</v>
      </c>
      <c r="AK93" s="22" t="e">
        <f ca="1">SUM(tabCustoUnit[[#This Row],[Vale - Transporte (Descontada parcela do empregado)]:[Despesas de Viagem]])</f>
        <v>#NAME?</v>
      </c>
      <c r="AL93" s="22" t="e">
        <f ca="1">tabCustoUnit[[#This Row],[Submódulo 2.1]]+tabCustoUnit[[#This Row],[Submódulo 2.2]]+tabCustoUnit[[#This Row],[Submódulo 2.3]]</f>
        <v>#NAME?</v>
      </c>
      <c r="AM93" s="22">
        <f>SUMIF(tabParametros[Código do Posto],tabCustoUnit[[#This Row],[Código do Posto]],tabParametros[Aviso Prévio Indenizado (API) e Reflexo do Aviso Prévio Indenizado])*tabCustoUnit[[#This Row],[MODULO 1 - REMUNERAÇÃO ]]</f>
        <v>11.192699914390431</v>
      </c>
      <c r="AN93" s="22">
        <f>SUMIF(tabParametros[Código do Posto],tabCustoUnit[[#This Row],[Código do Posto]],tabParametros[Incidência do FGTS sobre API e Reflexo do API])*tabCustoUnit[[#This Row],[MODULO 1 - REMUNERAÇÃO ]]</f>
        <v>0.89541599315123466</v>
      </c>
      <c r="AO93" s="22">
        <f>SUMIF(tabParametros[Código do Posto],tabCustoUnit[[#This Row],[Código do Posto]],tabParametros[Multa Rescisória do FGTS sobre o Aviso Prévio Indenizado])*tabCustoUnit[[#This Row],[MODULO 1 - REMUNERAÇÃO ]]</f>
        <v>0.35816639726049387</v>
      </c>
      <c r="AP93" s="22">
        <f>SUMIF(tabParametros[Código do Posto],tabCustoUnit[[#This Row],[Código do Posto]],tabParametros[Aviso Prévio Trabalhado - APT])*tabCustoUnit[[#This Row],[MODULO 1 - REMUNERAÇÃO ]]</f>
        <v>5.5869583000000009</v>
      </c>
      <c r="AQ93" s="22">
        <f>SUMIF(tabParametros[Código do Posto],tabCustoUnit[[#This Row],[Código do Posto]],tabParametros[Incidência dos encargos do submódulo 2.1 sobre Aviso Prévio Trabalhado])*tabCustoUnit[[#This Row],[MODULO 1 - REMUNERAÇÃO ]]</f>
        <v>2.1118702374000007</v>
      </c>
      <c r="AR93" s="22">
        <f>SUMIF(tabParametros[Código do Posto],tabCustoUnit[[#This Row],[Código do Posto]],tabParametros[Multa Rescisória do FGTS])*tabCustoUnit[[#This Row],[MODULO 1 - REMUNERAÇÃO ]]</f>
        <v>48.810505528888882</v>
      </c>
      <c r="AS93" s="22">
        <f>SUMIF(tabParametros[Código do Posto],tabCustoUnit[[#This Row],[Código do Posto]],tabParametros[Indenização Adicional (Art. 9º da Lei nº 7.238/84)])*tabCustoUnit[[#This Row],[MODULO 1 - REMUNERAÇÃO ]]</f>
        <v>1.3302281666666667</v>
      </c>
      <c r="AT93" s="22">
        <f>SUM(tabCustoUnit[[#This Row],[Aviso Prévio Indenizado (API) e Reflexo do Aviso Prévio Indenizado]:[Indenização Adicional (Art. 9º da Lei nº 7.238/84)]])</f>
        <v>70.285844537757711</v>
      </c>
      <c r="AU93" s="22">
        <f>SUMIF(tabParametros[Código do Posto],tabCustoUnit[[#This Row],[Código do Posto]],tabParametros[Ausência por Doença])*tabCustoUnit[[#This Row],[MODULO 1 - REMUNERAÇÃO ]]</f>
        <v>13.479645422222221</v>
      </c>
      <c r="AV93" s="22">
        <f>SUMIF(tabParametros[Código do Posto],tabCustoUnit[[#This Row],[Código do Posto]],tabParametros[Ausências Legais])*tabCustoUnit[[#This Row],[MODULO 1 - REMUNERAÇÃO ]]</f>
        <v>3.2368885388888886</v>
      </c>
      <c r="AW93" s="22">
        <f>SUMIF(tabParametros[Código do Posto],tabCustoUnit[[#This Row],[Código do Posto]],tabParametros[Licença Paternidade])*tabCustoUnit[[#This Row],[MODULO 1 - REMUNERAÇÃO ]]</f>
        <v>0.27269677416666666</v>
      </c>
      <c r="AX93" s="22">
        <f>SUMIF(tabParametros[Código do Posto],tabCustoUnit[[#This Row],[Código do Posto]],tabParametros[Ausência por Acidente de Trabalho])*tabCustoUnit[[#This Row],[MODULO 1 - REMUNERAÇÃO ]]</f>
        <v>0.33255704166666666</v>
      </c>
      <c r="AY93" s="22">
        <f>SUMIF(tabParametros[Código do Posto],tabCustoUnit[[#This Row],[Código do Posto]],tabParametros[Férias, Adicional de Férias e 13º  com empregada em gozo de Licença Maternidade])*tabCustoUnit[[#This Row],[MODULO 1 - REMUNERAÇÃO ]]</f>
        <v>2.0692438148148145</v>
      </c>
      <c r="AZ93" s="22">
        <f>SUMIF(tabParametros[Código do Posto],tabCustoUnit[[#This Row],[Código do Posto]],tabParametros[Incidência do Submódulo 2.1 sobre Ausências Legais])*tabCustoUnit[[#This Row],[MODULO 1 - REMUNERAÇÃO ]]</f>
        <v>7.3298099416850011</v>
      </c>
      <c r="BA93" s="22">
        <f>SUM(tabCustoUnit[[#This Row],[Ausência por Doença]:[Incidência do Submódulo 2.1 sobre Ausências Legais]])</f>
        <v>26.720841533444265</v>
      </c>
      <c r="BB93" s="22">
        <f>SUMIF(tabParametros[Código do Posto],tabCustoUnit[[#This Row],[Código do Posto]],tabParametros[Intervalo para Repouso ou Alimentação])</f>
        <v>0</v>
      </c>
      <c r="BC93" s="22">
        <f>tabCustoUnit[[#This Row],[Intervalo para Repouso ou Alimentação]]</f>
        <v>0</v>
      </c>
      <c r="BD9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3" s="22">
        <f>tabCustoUnit[[#This Row],[Suspensão Temporária do Contrato de Trabalho]]</f>
        <v>0</v>
      </c>
      <c r="BF93" s="22">
        <f>tabCustoUnit[[#This Row],[Submódulo 4.1]]+tabCustoUnit[[#This Row],[Submódulo 4.2]]+tabCustoUnit[[#This Row],[Submódulo 4.3]]</f>
        <v>26.720841533444265</v>
      </c>
      <c r="BG93" s="22">
        <f>VLOOKUP(tabCustoUnit[[#This Row],[Código do Posto]],tabParametros[],MATCH(tabCustoUnit[[#Headers],[Uniformes e EPIs]],tabParametros[#Headers],0),0)</f>
        <v>56.141713661989918</v>
      </c>
      <c r="BH93" s="22">
        <f>VLOOKUP(tabCustoUnit[[#This Row],[Código do Posto]],tabParametros[],MATCH(tabCustoUnit[[#Headers],[Materiais de Consumo]],tabParametros[#Headers],0),0)</f>
        <v>0</v>
      </c>
      <c r="BI93" s="22">
        <f>VLOOKUP(tabCustoUnit[[#This Row],[Código do Posto]],tabParametros[],MATCH(tabCustoUnit[[#Headers],[Máquinas e Equipamentos (depreciação)]],tabParametros[#Headers],0),0)</f>
        <v>0</v>
      </c>
      <c r="BJ93" s="22">
        <f>VLOOKUP(tabCustoUnit[[#This Row],[Código do Posto]],tabParametros[],MATCH(tabCustoUnit[[#Headers],[Produtos de Limpeza e Materiais de Higiene Pessoal]],tabParametros[#Headers],0),0)</f>
        <v>0</v>
      </c>
      <c r="BK93" s="22">
        <f>VLOOKUP(tabCustoUnit[[#This Row],[Código do Posto]],tabParametros[],MATCH(tabCustoUnit[[#Headers],[Outros (especificar)]],tabParametros[#Headers],0),0)</f>
        <v>0</v>
      </c>
      <c r="BL93" s="22">
        <f>SUM(tabCustoUnit[[#This Row],[Uniformes e EPIs]:[Outros (especificar)]])</f>
        <v>56.141713661989918</v>
      </c>
      <c r="BM9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3" s="22" t="e">
        <f ca="1">VLOOKUP(tabCustoUnit[[#This Row],[Código do Posto]],tabParametros[],MATCH(tabCustoUnit[[#Headers],[Custos Indiretos]],tabParametros[#Headers],0),0)</f>
        <v>#NAME?</v>
      </c>
      <c r="BO93" s="22" t="e">
        <f ca="1">VLOOKUP(tabCustoUnit[[#This Row],[Código do Posto]],tabParametros[],MATCH(tabCustoUnit[[#Headers],[Lucro]],tabParametros[#Headers],0),0)</f>
        <v>#NAME?</v>
      </c>
      <c r="BP93" s="26">
        <f>((100/((1-tabCustoUnit[[#This Row],[Resumo de Alíquotas (PIS+CONFINS+ISS)]]))-100)*VLOOKUP(tabCustoUnit[[#This Row],[Código do Posto]],tabParametros[],MATCH(tabCustoUnit[[#Headers],[COFINS]],tabParametros[#Headers],0),0))/(tabCustoUnit[[#This Row],[Resumo de Alíquotas (PIS+CONFINS+ISS)]]*100)</f>
        <v>8.6609686609686695E-2</v>
      </c>
      <c r="BQ93" s="26">
        <f>((100/((100-(tabCustoUnit[[#This Row],[Resumo de Alíquotas (PIS+CONFINS+ISS)]]*100))%)-100)*VLOOKUP(tabCustoUnit[[#This Row],[Código do Posto]],tabParametros[],MATCH(tabCustoUnit[[#Headers],[PIS]],tabParametros[#Headers],0),0))/(tabCustoUnit[[#This Row],[Resumo de Alíquotas (PIS+CONFINS+ISS)]]*100)</f>
        <v>1.880341880341882E-2</v>
      </c>
      <c r="BR93" s="28">
        <f>VLOOKUP(tabCustoUnit[[#This Row],[Código do Posto]],tabParametros[],MATCH(tabCustoUnit[[#Headers],[ISS]],tabParametros[#Headers],0),0)</f>
        <v>0.03</v>
      </c>
      <c r="BS93" s="26">
        <f>(((100/((100-(tabCustoUnit[[#This Row],[Resumo de Alíquotas (PIS+CONFINS+ISS)]]*100))%)-100)*tabCustoUnit[[#This Row],[ISS]])/tabCustoUnit[[#This Row],[Resumo de Alíquotas (PIS+CONFINS+ISS)]])/100</f>
        <v>3.4188034188034219E-2</v>
      </c>
      <c r="BT9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93" s="138">
        <f>tabCustoUnit[[#This Row],[COFINS]]+tabCustoUnit[[#This Row],[PIS]]+tabCustoUnit[[#This Row],[ISS (Conversão Alíquota s/ fatura)]]</f>
        <v>0.13960113960113973</v>
      </c>
      <c r="BV93" s="22" t="e">
        <f ca="1">(tabCustoUnit[[#This Row],[TOTAL MÓDULOS 1+2+3+4+5]]+tabCustoUnit[[#This Row],[Custos Indiretos]]+tabCustoUnit[[#This Row],[Lucro]])*tabCustoUnit[[#This Row],[PIS + COFINS + ISS (Total Conversão  Alíquota s/ Fatura)]]</f>
        <v>#NAME?</v>
      </c>
      <c r="BW93" s="22" t="e">
        <f ca="1">tabCustoUnit[[#This Row],[Custos Indiretos]]+tabCustoUnit[[#This Row],[Lucro]]+tabCustoUnit[[#This Row],[Valor dos Tributos (ISS, PIS, CONFINS)]]</f>
        <v>#NAME?</v>
      </c>
      <c r="BX93" s="22" t="e">
        <f ca="1">tabCustoUnit[[#This Row],[TOTAL MÓDULOS 1+2+3+4+5]]+tabCustoUnit[[#This Row],[MÓDULO 6 – CUSTOS INDIRETOS, TRIBUTOS E LUCRO]]</f>
        <v>#NAME?</v>
      </c>
      <c r="BY93" s="22" t="e">
        <f ca="1">tabCustoUnit[[#This Row],[CUSTO TOTAL MENSAL]]*12</f>
        <v>#NAME?</v>
      </c>
      <c r="BZ93" s="24">
        <f>VLOOKUP(tabCustoUnit[[#This Row],[Código do Posto]],tabParametros[],MATCH(tabCustoUnit[[#Headers],[ANO DA CCT]],tabParametros[#Headers],0),0)</f>
        <v>45658</v>
      </c>
      <c r="CA93" s="25" t="str">
        <f>VLOOKUP(tabCustoUnit[[#This Row],[Código do Posto]],tabParametros[],MATCH(tabCustoUnit[[#Headers],[Nº DE PEDIDO DA CCT]],tabParametros[#Headers],0),0)</f>
        <v>-</v>
      </c>
      <c r="CB93" s="25" t="str">
        <f>VLOOKUP(tabCustoUnit[[#This Row],[Código do Posto]],tabParametros[],MATCH(tabCustoUnit[[#Headers],[TERMO ADITIVO ALTERAÇÃO DA CCT]],tabParametros[#Headers],0),0)</f>
        <v>-</v>
      </c>
    </row>
    <row r="94" spans="1:80">
      <c r="A94" s="20" t="s">
        <v>1558</v>
      </c>
      <c r="B94" t="s">
        <v>1106</v>
      </c>
      <c r="C94" t="s">
        <v>324</v>
      </c>
      <c r="D94" t="s">
        <v>1048</v>
      </c>
      <c r="E94" s="20" t="s">
        <v>1090</v>
      </c>
      <c r="F94" s="20" t="s">
        <v>120</v>
      </c>
      <c r="G94" s="418">
        <v>3397.1306</v>
      </c>
      <c r="H94" s="418">
        <v>0</v>
      </c>
      <c r="I94" s="418">
        <v>0</v>
      </c>
      <c r="J94" s="418">
        <v>0</v>
      </c>
      <c r="K94" s="418">
        <v>0</v>
      </c>
      <c r="L94" s="418">
        <v>0</v>
      </c>
      <c r="M94" s="418">
        <v>0</v>
      </c>
      <c r="N94" s="418">
        <v>0</v>
      </c>
      <c r="O94" s="21">
        <f>SUM(tabCustoUnit[[#This Row],[Salário Base]:[Adicional de Acúmulo de função]])</f>
        <v>3397.1306</v>
      </c>
      <c r="P94" s="21">
        <f>tabCustoUnit[[#This Row],[MODULO 1 - REMUNERAÇÃO ]]*SUMIFS(tabParametros[INSS],tabParametros[Código do Posto],tabCustoUnit[[#This Row],[Código do Posto]])</f>
        <v>679.42612000000008</v>
      </c>
      <c r="Q94" s="21">
        <f>tabCustoUnit[[#This Row],[MODULO 1 - REMUNERAÇÃO ]]*SUMIFS(tabParametros[SESI OU SESC],tabParametros[Código do Posto],tabCustoUnit[[#This Row],[Código do Posto]])</f>
        <v>50.956958999999998</v>
      </c>
      <c r="R94" s="21">
        <f>tabCustoUnit[[#This Row],[MODULO 1 - REMUNERAÇÃO ]]*SUMIFS(tabParametros[SENAI OU SENAC],tabParametros[Código do Posto],tabCustoUnit[[#This Row],[Código do Posto]])</f>
        <v>33.971305999999998</v>
      </c>
      <c r="S94" s="21">
        <f>tabCustoUnit[[#This Row],[MODULO 1 - REMUNERAÇÃO ]]*SUMIFS(tabParametros[INCRA],tabParametros[Código do Posto],tabCustoUnit[[#This Row],[Código do Posto]])</f>
        <v>6.7942612000000002</v>
      </c>
      <c r="T94" s="21">
        <f>tabCustoUnit[[#This Row],[MODULO 1 - REMUNERAÇÃO ]]*SUMIFS(tabParametros[Salário Educação],tabParametros[Código do Posto],tabCustoUnit[[#This Row],[Código do Posto]])</f>
        <v>84.92826500000001</v>
      </c>
      <c r="U94" s="21">
        <f>tabCustoUnit[[#This Row],[MODULO 1 - REMUNERAÇÃO ]]*SUMIFS(tabParametros[FGTS],tabParametros[Código do Posto],tabCustoUnit[[#This Row],[Código do Posto]])</f>
        <v>271.77044799999999</v>
      </c>
      <c r="V94" s="21">
        <f>tabCustoUnit[[#This Row],[MODULO 1 - REMUNERAÇÃO ]]*SUMIFS(tabParametros[RAT Ajustado],tabParametros[Código do Posto],tabCustoUnit[[#This Row],[Código do Posto]])</f>
        <v>135.88522399999999</v>
      </c>
      <c r="W94" s="21">
        <f>tabCustoUnit[[#This Row],[MODULO 1 - REMUNERAÇÃO ]]*SUMIFS(tabParametros[SEBRAE],tabParametros[Código do Posto],tabCustoUnit[[#This Row],[Código do Posto]])</f>
        <v>20.3827836</v>
      </c>
      <c r="X94" s="21">
        <f>SUM(tabCustoUnit[[#This Row],[INSS]:[SEBRAE]])</f>
        <v>1284.1153668000002</v>
      </c>
      <c r="Y94" s="21">
        <f>tabCustoUnit[[#This Row],[MODULO 1 - REMUNERAÇÃO ]]*SUMIFS(tabParametros[13º salário (titular)],tabParametros[Código do Posto],tabCustoUnit[[#This Row],[Código do Posto]])</f>
        <v>283.09421666666663</v>
      </c>
      <c r="Z94" s="21">
        <f>tabCustoUnit[[#This Row],[MODULO 1 - REMUNERAÇÃO ]]*SUMIFS(tabParametros[Férias e Adicional de Férias (titular)],tabParametros[Código do Posto],tabCustoUnit[[#This Row],[Código do Posto]])</f>
        <v>377.45895555555552</v>
      </c>
      <c r="AA94" s="21">
        <f>IFERROR((tabCustoUnit[[#This Row],[Submódulo 2.1]]/tabCustoUnit[[#This Row],[MODULO 1 - REMUNERAÇÃO ]])*SUM(tabCustoUnit[[#This Row],[13º salário (titular)]:[Férias e Adicional de Férias (titular)]]),0)</f>
        <v>249.68909910000002</v>
      </c>
      <c r="AB94" s="21">
        <f>SUM(tabCustoUnit[[#This Row],[13º salário (titular)]:[Incidência do Submódulo 2.1 sobre 13º Salário, Férias e Adicional de Férias]])</f>
        <v>910.24227132222222</v>
      </c>
      <c r="AC94" s="22" t="e">
        <f ca="1">_xlfn.LET(_xlpm.VT,SUMIF(tabParametros[Código do Posto],tabCustoUnit[[#This Row],[Código do Posto]],tabParametros[Vale - Transporte])*2*20,
IF((_xlpm.VT-tabCustoUnit[[#This Row],[Salário Base]]*0.06)&gt;=0,(_xlpm.VT-tabCustoUnit[[#This Row],[Salário Base]]*0.06),0)
)</f>
        <v>#NAME?</v>
      </c>
      <c r="AD94" s="22">
        <f>IF(SUMIF(tabParametros[Código do Posto],tabCustoUnit[[#This Row],[Código do Posto]],tabParametros[Vale - Alimentação])&lt;=0,0,
SUMIF(tabParametros[Código do Posto],tabCustoUnit[[#This Row],[Código do Posto]],tabParametros[Vale - Alimentação])*20-1)</f>
        <v>582</v>
      </c>
      <c r="AE94" s="22">
        <f>SUMIF(tabParametros[Código do Posto],tabCustoUnit[[#This Row],[Código do Posto]],tabParametros[Cesta Básica])</f>
        <v>0</v>
      </c>
      <c r="AF94" s="22">
        <f>SUMIF(tabParametros[Código do Posto],tabCustoUnit[[#This Row],[Código do Posto]],tabParametros[PAF])</f>
        <v>51.86</v>
      </c>
      <c r="AG94" s="22">
        <f>SUMIF(tabParametros[Código do Posto],tabCustoUnit[[#This Row],[Código do Posto]],tabParametros[PQM])</f>
        <v>0</v>
      </c>
      <c r="AH94" s="22">
        <f>SUMIF(tabParametros[Código do Posto],tabCustoUnit[[#This Row],[Código do Posto]],tabParametros[Abono Único e Especial])</f>
        <v>0</v>
      </c>
      <c r="AI94" s="22">
        <f>SUMIF(tabParametros[Código do Posto],tabCustoUnit[[#This Row],[Código do Posto]],tabParametros[Seguro de Vida])</f>
        <v>3.36</v>
      </c>
      <c r="AJ94" s="22">
        <f>SUMIF(tabParametros[Código do Posto],tabCustoUnit[[#This Row],[Código do Posto]],tabParametros[Despesas de Viagem])</f>
        <v>0</v>
      </c>
      <c r="AK94" s="22" t="e">
        <f ca="1">SUM(tabCustoUnit[[#This Row],[Vale - Transporte (Descontada parcela do empregado)]:[Despesas de Viagem]])</f>
        <v>#NAME?</v>
      </c>
      <c r="AL94" s="22" t="e">
        <f ca="1">tabCustoUnit[[#This Row],[Submódulo 2.1]]+tabCustoUnit[[#This Row],[Submódulo 2.2]]+tabCustoUnit[[#This Row],[Submódulo 2.3]]</f>
        <v>#NAME?</v>
      </c>
      <c r="AM94" s="22">
        <f>SUMIF(tabParametros[Código do Posto],tabCustoUnit[[#This Row],[Código do Posto]],tabParametros[Aviso Prévio Indenizado (API) e Reflexo do Aviso Prévio Indenizado])*tabCustoUnit[[#This Row],[MODULO 1 - REMUNERAÇÃO ]]</f>
        <v>23.819888151890432</v>
      </c>
      <c r="AN94" s="22">
        <f>SUMIF(tabParametros[Código do Posto],tabCustoUnit[[#This Row],[Código do Posto]],tabParametros[Incidência do FGTS sobre API e Reflexo do API])*tabCustoUnit[[#This Row],[MODULO 1 - REMUNERAÇÃO ]]</f>
        <v>1.9055910521512347</v>
      </c>
      <c r="AO94" s="22">
        <f>SUMIF(tabParametros[Código do Posto],tabCustoUnit[[#This Row],[Código do Posto]],tabParametros[Multa Rescisória do FGTS sobre o Aviso Prévio Indenizado])*tabCustoUnit[[#This Row],[MODULO 1 - REMUNERAÇÃO ]]</f>
        <v>0.76223642086049392</v>
      </c>
      <c r="AP94" s="22">
        <f>SUMIF(tabParametros[Código do Posto],tabCustoUnit[[#This Row],[Código do Posto]],tabParametros[Aviso Prévio Trabalhado - APT])*tabCustoUnit[[#This Row],[MODULO 1 - REMUNERAÇÃO ]]</f>
        <v>11.889957100000002</v>
      </c>
      <c r="AQ94" s="22">
        <f>SUMIF(tabParametros[Código do Posto],tabCustoUnit[[#This Row],[Código do Posto]],tabParametros[Incidência dos encargos do submódulo 2.1 sobre Aviso Prévio Trabalhado])*tabCustoUnit[[#This Row],[MODULO 1 - REMUNERAÇÃO ]]</f>
        <v>4.4944037838000011</v>
      </c>
      <c r="AR94" s="22">
        <f>SUMIF(tabParametros[Código do Posto],tabCustoUnit[[#This Row],[Código do Posto]],tabParametros[Multa Rescisória do FGTS])*tabCustoUnit[[#This Row],[MODULO 1 - REMUNERAÇÃO ]]</f>
        <v>103.87670456888887</v>
      </c>
      <c r="AS94" s="22">
        <f>SUMIF(tabParametros[Código do Posto],tabCustoUnit[[#This Row],[Código do Posto]],tabParametros[Indenização Adicional (Art. 9º da Lei nº 7.238/84)])*tabCustoUnit[[#This Row],[MODULO 1 - REMUNERAÇÃO ]]</f>
        <v>2.830942166666667</v>
      </c>
      <c r="AT94" s="22">
        <f>SUM(tabCustoUnit[[#This Row],[Aviso Prévio Indenizado (API) e Reflexo do Aviso Prévio Indenizado]:[Indenização Adicional (Art. 9º da Lei nº 7.238/84)]])</f>
        <v>149.57972324425771</v>
      </c>
      <c r="AU94" s="22">
        <f>SUMIF(tabParametros[Código do Posto],tabCustoUnit[[#This Row],[Código do Posto]],tabParametros[Ausência por Doença])*tabCustoUnit[[#This Row],[MODULO 1 - REMUNERAÇÃO ]]</f>
        <v>28.686880622222219</v>
      </c>
      <c r="AV94" s="22">
        <f>SUMIF(tabParametros[Código do Posto],tabCustoUnit[[#This Row],[Código do Posto]],tabParametros[Ausências Legais])*tabCustoUnit[[#This Row],[MODULO 1 - REMUNERAÇÃO ]]</f>
        <v>6.8886259388888886</v>
      </c>
      <c r="AW94" s="22">
        <f>SUMIF(tabParametros[Código do Posto],tabCustoUnit[[#This Row],[Código do Posto]],tabParametros[Licença Paternidade])*tabCustoUnit[[#This Row],[MODULO 1 - REMUNERAÇÃO ]]</f>
        <v>0.58034314416666666</v>
      </c>
      <c r="AX94" s="22">
        <f>SUMIF(tabParametros[Código do Posto],tabCustoUnit[[#This Row],[Código do Posto]],tabParametros[Ausência por Acidente de Trabalho])*tabCustoUnit[[#This Row],[MODULO 1 - REMUNERAÇÃO ]]</f>
        <v>0.70773554166666675</v>
      </c>
      <c r="AY94" s="22">
        <f>SUMIF(tabParametros[Código do Posto],tabCustoUnit[[#This Row],[Código do Posto]],tabParametros[Férias, Adicional de Férias e 13º  com empregada em gozo de Licença Maternidade])*tabCustoUnit[[#This Row],[MODULO 1 - REMUNERAÇÃO ]]</f>
        <v>4.4036878148148144</v>
      </c>
      <c r="AZ94" s="22">
        <f>SUMIF(tabParametros[Código do Posto],tabCustoUnit[[#This Row],[Código do Posto]],tabParametros[Incidência do Submódulo 2.1 sobre Ausências Legais])*tabCustoUnit[[#This Row],[MODULO 1 - REMUNERAÇÃO ]]</f>
        <v>15.599029217345002</v>
      </c>
      <c r="BA94" s="22">
        <f>SUM(tabCustoUnit[[#This Row],[Ausência por Doença]:[Incidência do Submódulo 2.1 sobre Ausências Legais]])</f>
        <v>56.866302279104261</v>
      </c>
      <c r="BB94" s="22">
        <f>SUMIF(tabParametros[Código do Posto],tabCustoUnit[[#This Row],[Código do Posto]],tabParametros[Intervalo para Repouso ou Alimentação])</f>
        <v>0</v>
      </c>
      <c r="BC94" s="22">
        <f>tabCustoUnit[[#This Row],[Intervalo para Repouso ou Alimentação]]</f>
        <v>0</v>
      </c>
      <c r="BD9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4" s="22">
        <f>tabCustoUnit[[#This Row],[Suspensão Temporária do Contrato de Trabalho]]</f>
        <v>0</v>
      </c>
      <c r="BF94" s="22">
        <f>tabCustoUnit[[#This Row],[Submódulo 4.1]]+tabCustoUnit[[#This Row],[Submódulo 4.2]]+tabCustoUnit[[#This Row],[Submódulo 4.3]]</f>
        <v>56.866302279104261</v>
      </c>
      <c r="BG94" s="22">
        <f>VLOOKUP(tabCustoUnit[[#This Row],[Código do Posto]],tabParametros[],MATCH(tabCustoUnit[[#Headers],[Uniformes e EPIs]],tabParametros[#Headers],0),0)</f>
        <v>56.642978962543395</v>
      </c>
      <c r="BH94" s="22">
        <f>VLOOKUP(tabCustoUnit[[#This Row],[Código do Posto]],tabParametros[],MATCH(tabCustoUnit[[#Headers],[Materiais de Consumo]],tabParametros[#Headers],0),0)</f>
        <v>0</v>
      </c>
      <c r="BI94" s="22">
        <f>VLOOKUP(tabCustoUnit[[#This Row],[Código do Posto]],tabParametros[],MATCH(tabCustoUnit[[#Headers],[Máquinas e Equipamentos (depreciação)]],tabParametros[#Headers],0),0)</f>
        <v>0</v>
      </c>
      <c r="BJ94" s="22">
        <f>VLOOKUP(tabCustoUnit[[#This Row],[Código do Posto]],tabParametros[],MATCH(tabCustoUnit[[#Headers],[Produtos de Limpeza e Materiais de Higiene Pessoal]],tabParametros[#Headers],0),0)</f>
        <v>0</v>
      </c>
      <c r="BK94" s="22">
        <f>VLOOKUP(tabCustoUnit[[#This Row],[Código do Posto]],tabParametros[],MATCH(tabCustoUnit[[#Headers],[Outros (especificar)]],tabParametros[#Headers],0),0)</f>
        <v>0</v>
      </c>
      <c r="BL94" s="22">
        <f>SUM(tabCustoUnit[[#This Row],[Uniformes e EPIs]:[Outros (especificar)]])</f>
        <v>56.642978962543395</v>
      </c>
      <c r="BM9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4" s="22" t="e">
        <f ca="1">VLOOKUP(tabCustoUnit[[#This Row],[Código do Posto]],tabParametros[],MATCH(tabCustoUnit[[#Headers],[Custos Indiretos]],tabParametros[#Headers],0),0)</f>
        <v>#NAME?</v>
      </c>
      <c r="BO94" s="22" t="e">
        <f ca="1">VLOOKUP(tabCustoUnit[[#This Row],[Código do Posto]],tabParametros[],MATCH(tabCustoUnit[[#Headers],[Lucro]],tabParametros[#Headers],0),0)</f>
        <v>#NAME?</v>
      </c>
      <c r="BP94" s="26">
        <f>((100/((1-tabCustoUnit[[#This Row],[Resumo de Alíquotas (PIS+CONFINS+ISS)]]))-100)*VLOOKUP(tabCustoUnit[[#This Row],[Código do Posto]],tabParametros[],MATCH(tabCustoUnit[[#Headers],[COFINS]],tabParametros[#Headers],0),0))/(tabCustoUnit[[#This Row],[Resumo de Alíquotas (PIS+CONFINS+ISS)]]*100)</f>
        <v>8.6609686609686695E-2</v>
      </c>
      <c r="BQ94" s="26">
        <f>((100/((100-(tabCustoUnit[[#This Row],[Resumo de Alíquotas (PIS+CONFINS+ISS)]]*100))%)-100)*VLOOKUP(tabCustoUnit[[#This Row],[Código do Posto]],tabParametros[],MATCH(tabCustoUnit[[#Headers],[PIS]],tabParametros[#Headers],0),0))/(tabCustoUnit[[#This Row],[Resumo de Alíquotas (PIS+CONFINS+ISS)]]*100)</f>
        <v>1.880341880341882E-2</v>
      </c>
      <c r="BR94" s="28">
        <f>VLOOKUP(tabCustoUnit[[#This Row],[Código do Posto]],tabParametros[],MATCH(tabCustoUnit[[#Headers],[ISS]],tabParametros[#Headers],0),0)</f>
        <v>0.03</v>
      </c>
      <c r="BS94" s="26">
        <f>(((100/((100-(tabCustoUnit[[#This Row],[Resumo de Alíquotas (PIS+CONFINS+ISS)]]*100))%)-100)*tabCustoUnit[[#This Row],[ISS]])/tabCustoUnit[[#This Row],[Resumo de Alíquotas (PIS+CONFINS+ISS)]])/100</f>
        <v>3.4188034188034219E-2</v>
      </c>
      <c r="BT9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94" s="138">
        <f>tabCustoUnit[[#This Row],[COFINS]]+tabCustoUnit[[#This Row],[PIS]]+tabCustoUnit[[#This Row],[ISS (Conversão Alíquota s/ fatura)]]</f>
        <v>0.13960113960113973</v>
      </c>
      <c r="BV94" s="22" t="e">
        <f ca="1">(tabCustoUnit[[#This Row],[TOTAL MÓDULOS 1+2+3+4+5]]+tabCustoUnit[[#This Row],[Custos Indiretos]]+tabCustoUnit[[#This Row],[Lucro]])*tabCustoUnit[[#This Row],[PIS + COFINS + ISS (Total Conversão  Alíquota s/ Fatura)]]</f>
        <v>#NAME?</v>
      </c>
      <c r="BW94" s="22" t="e">
        <f ca="1">tabCustoUnit[[#This Row],[Custos Indiretos]]+tabCustoUnit[[#This Row],[Lucro]]+tabCustoUnit[[#This Row],[Valor dos Tributos (ISS, PIS, CONFINS)]]</f>
        <v>#NAME?</v>
      </c>
      <c r="BX94" s="22" t="e">
        <f ca="1">tabCustoUnit[[#This Row],[TOTAL MÓDULOS 1+2+3+4+5]]+tabCustoUnit[[#This Row],[MÓDULO 6 – CUSTOS INDIRETOS, TRIBUTOS E LUCRO]]</f>
        <v>#NAME?</v>
      </c>
      <c r="BY94" s="22" t="e">
        <f ca="1">tabCustoUnit[[#This Row],[CUSTO TOTAL MENSAL]]*12</f>
        <v>#NAME?</v>
      </c>
      <c r="BZ94" s="24">
        <f>VLOOKUP(tabCustoUnit[[#This Row],[Código do Posto]],tabParametros[],MATCH(tabCustoUnit[[#Headers],[ANO DA CCT]],tabParametros[#Headers],0),0)</f>
        <v>45658</v>
      </c>
      <c r="CA94" s="25" t="str">
        <f>VLOOKUP(tabCustoUnit[[#This Row],[Código do Posto]],tabParametros[],MATCH(tabCustoUnit[[#Headers],[Nº DE PEDIDO DA CCT]],tabParametros[#Headers],0),0)</f>
        <v>-</v>
      </c>
      <c r="CB94" s="25" t="str">
        <f>VLOOKUP(tabCustoUnit[[#This Row],[Código do Posto]],tabParametros[],MATCH(tabCustoUnit[[#Headers],[TERMO ADITIVO ALTERAÇÃO DA CCT]],tabParametros[#Headers],0),0)</f>
        <v>-</v>
      </c>
    </row>
    <row r="95" spans="1:80">
      <c r="A95" s="20" t="s">
        <v>1559</v>
      </c>
      <c r="B95" t="s">
        <v>1107</v>
      </c>
      <c r="C95" t="s">
        <v>314</v>
      </c>
      <c r="D95" t="s">
        <v>918</v>
      </c>
      <c r="E95" s="20" t="s">
        <v>1090</v>
      </c>
      <c r="F95" s="20" t="s">
        <v>120</v>
      </c>
      <c r="G95" s="418">
        <v>1963.4110000000001</v>
      </c>
      <c r="H95" s="418">
        <v>0</v>
      </c>
      <c r="I95" s="418">
        <v>0</v>
      </c>
      <c r="J95" s="418">
        <v>0</v>
      </c>
      <c r="K95" s="418">
        <v>0</v>
      </c>
      <c r="L95" s="418">
        <v>0</v>
      </c>
      <c r="M95" s="418">
        <v>0</v>
      </c>
      <c r="N95" s="418">
        <v>0</v>
      </c>
      <c r="O95" s="21">
        <f>SUM(tabCustoUnit[[#This Row],[Salário Base]:[Adicional de Acúmulo de função]])</f>
        <v>1963.4110000000001</v>
      </c>
      <c r="P95" s="21">
        <f>tabCustoUnit[[#This Row],[MODULO 1 - REMUNERAÇÃO ]]*SUMIFS(tabParametros[INSS],tabParametros[Código do Posto],tabCustoUnit[[#This Row],[Código do Posto]])</f>
        <v>392.68220000000002</v>
      </c>
      <c r="Q95" s="21">
        <f>tabCustoUnit[[#This Row],[MODULO 1 - REMUNERAÇÃO ]]*SUMIFS(tabParametros[SESI OU SESC],tabParametros[Código do Posto],tabCustoUnit[[#This Row],[Código do Posto]])</f>
        <v>29.451165</v>
      </c>
      <c r="R95" s="21">
        <f>tabCustoUnit[[#This Row],[MODULO 1 - REMUNERAÇÃO ]]*SUMIFS(tabParametros[SENAI OU SENAC],tabParametros[Código do Posto],tabCustoUnit[[#This Row],[Código do Posto]])</f>
        <v>19.63411</v>
      </c>
      <c r="S95" s="21">
        <f>tabCustoUnit[[#This Row],[MODULO 1 - REMUNERAÇÃO ]]*SUMIFS(tabParametros[INCRA],tabParametros[Código do Posto],tabCustoUnit[[#This Row],[Código do Posto]])</f>
        <v>3.926822</v>
      </c>
      <c r="T95" s="21">
        <f>tabCustoUnit[[#This Row],[MODULO 1 - REMUNERAÇÃO ]]*SUMIFS(tabParametros[Salário Educação],tabParametros[Código do Posto],tabCustoUnit[[#This Row],[Código do Posto]])</f>
        <v>49.085275000000003</v>
      </c>
      <c r="U95" s="21">
        <f>tabCustoUnit[[#This Row],[MODULO 1 - REMUNERAÇÃO ]]*SUMIFS(tabParametros[FGTS],tabParametros[Código do Posto],tabCustoUnit[[#This Row],[Código do Posto]])</f>
        <v>157.07288</v>
      </c>
      <c r="V95" s="21">
        <f>tabCustoUnit[[#This Row],[MODULO 1 - REMUNERAÇÃO ]]*SUMIFS(tabParametros[RAT Ajustado],tabParametros[Código do Posto],tabCustoUnit[[#This Row],[Código do Posto]])</f>
        <v>78.536439999999999</v>
      </c>
      <c r="W95" s="21">
        <f>tabCustoUnit[[#This Row],[MODULO 1 - REMUNERAÇÃO ]]*SUMIFS(tabParametros[SEBRAE],tabParametros[Código do Posto],tabCustoUnit[[#This Row],[Código do Posto]])</f>
        <v>11.780466000000001</v>
      </c>
      <c r="X95" s="21">
        <f>SUM(tabCustoUnit[[#This Row],[INSS]:[SEBRAE]])</f>
        <v>742.1693580000001</v>
      </c>
      <c r="Y95" s="21">
        <f>tabCustoUnit[[#This Row],[MODULO 1 - REMUNERAÇÃO ]]*SUMIFS(tabParametros[13º salário (titular)],tabParametros[Código do Posto],tabCustoUnit[[#This Row],[Código do Posto]])</f>
        <v>163.61758333333333</v>
      </c>
      <c r="Z95" s="21">
        <f>tabCustoUnit[[#This Row],[MODULO 1 - REMUNERAÇÃO ]]*SUMIFS(tabParametros[Férias e Adicional de Férias (titular)],tabParametros[Código do Posto],tabCustoUnit[[#This Row],[Código do Posto]])</f>
        <v>218.15677777777776</v>
      </c>
      <c r="AA95" s="21">
        <f>IFERROR((tabCustoUnit[[#This Row],[Submódulo 2.1]]/tabCustoUnit[[#This Row],[MODULO 1 - REMUNERAÇÃO ]])*SUM(tabCustoUnit[[#This Row],[13º salário (titular)]:[Férias e Adicional de Férias (titular)]]),0)</f>
        <v>144.3107085</v>
      </c>
      <c r="AB95" s="21">
        <f>SUM(tabCustoUnit[[#This Row],[13º salário (titular)]:[Incidência do Submódulo 2.1 sobre 13º Salário, Férias e Adicional de Férias]])</f>
        <v>526.08506961111107</v>
      </c>
      <c r="AC95" s="22" t="e">
        <f ca="1">_xlfn.LET(_xlpm.VT,SUMIF(tabParametros[Código do Posto],tabCustoUnit[[#This Row],[Código do Posto]],tabParametros[Vale - Transporte])*2*20,
IF((_xlpm.VT-tabCustoUnit[[#This Row],[Salário Base]]*0.06)&gt;=0,(_xlpm.VT-tabCustoUnit[[#This Row],[Salário Base]]*0.06),0)
)</f>
        <v>#NAME?</v>
      </c>
      <c r="AD95" s="22">
        <f>IF(SUMIF(tabParametros[Código do Posto],tabCustoUnit[[#This Row],[Código do Posto]],tabParametros[Vale - Alimentação])&lt;=0,0,
SUMIF(tabParametros[Código do Posto],tabCustoUnit[[#This Row],[Código do Posto]],tabParametros[Vale - Alimentação])*20-1)</f>
        <v>582</v>
      </c>
      <c r="AE95" s="22">
        <f>SUMIF(tabParametros[Código do Posto],tabCustoUnit[[#This Row],[Código do Posto]],tabParametros[Cesta Básica])</f>
        <v>0</v>
      </c>
      <c r="AF95" s="22">
        <f>SUMIF(tabParametros[Código do Posto],tabCustoUnit[[#This Row],[Código do Posto]],tabParametros[PAF])</f>
        <v>0</v>
      </c>
      <c r="AG95" s="22">
        <f>SUMIF(tabParametros[Código do Posto],tabCustoUnit[[#This Row],[Código do Posto]],tabParametros[PQM])</f>
        <v>15.07</v>
      </c>
      <c r="AH95" s="22">
        <f>SUMIF(tabParametros[Código do Posto],tabCustoUnit[[#This Row],[Código do Posto]],tabParametros[Abono Único e Especial])</f>
        <v>0</v>
      </c>
      <c r="AI95" s="22">
        <f>SUMIF(tabParametros[Código do Posto],tabCustoUnit[[#This Row],[Código do Posto]],tabParametros[Seguro de Vida])</f>
        <v>3.36</v>
      </c>
      <c r="AJ95" s="22">
        <f>SUMIF(tabParametros[Código do Posto],tabCustoUnit[[#This Row],[Código do Posto]],tabParametros[Despesas de Viagem])</f>
        <v>0</v>
      </c>
      <c r="AK95" s="22" t="e">
        <f ca="1">SUM(tabCustoUnit[[#This Row],[Vale - Transporte (Descontada parcela do empregado)]:[Despesas de Viagem]])</f>
        <v>#NAME?</v>
      </c>
      <c r="AL95" s="22" t="e">
        <f ca="1">tabCustoUnit[[#This Row],[Submódulo 2.1]]+tabCustoUnit[[#This Row],[Submódulo 2.2]]+tabCustoUnit[[#This Row],[Submódulo 2.3]]</f>
        <v>#NAME?</v>
      </c>
      <c r="AM95" s="22">
        <f>SUMIF(tabParametros[Código do Posto],tabCustoUnit[[#This Row],[Código do Posto]],tabParametros[Aviso Prévio Indenizado (API) e Reflexo do Aviso Prévio Indenizado])*tabCustoUnit[[#This Row],[MODULO 1 - REMUNERAÇÃO ]]</f>
        <v>13.766980408757716</v>
      </c>
      <c r="AN95" s="22">
        <f>SUMIF(tabParametros[Código do Posto],tabCustoUnit[[#This Row],[Código do Posto]],tabParametros[Incidência do FGTS sobre API e Reflexo do API])*tabCustoUnit[[#This Row],[MODULO 1 - REMUNERAÇÃO ]]</f>
        <v>1.1013584327006174</v>
      </c>
      <c r="AO95" s="22">
        <f>SUMIF(tabParametros[Código do Posto],tabCustoUnit[[#This Row],[Código do Posto]],tabParametros[Multa Rescisória do FGTS sobre o Aviso Prévio Indenizado])*tabCustoUnit[[#This Row],[MODULO 1 - REMUNERAÇÃO ]]</f>
        <v>0.44054337308024699</v>
      </c>
      <c r="AP95" s="22">
        <f>SUMIF(tabParametros[Código do Posto],tabCustoUnit[[#This Row],[Código do Posto]],tabParametros[Aviso Prévio Trabalhado - APT])*tabCustoUnit[[#This Row],[MODULO 1 - REMUNERAÇÃO ]]</f>
        <v>6.8719385000000015</v>
      </c>
      <c r="AQ95" s="22">
        <f>SUMIF(tabParametros[Código do Posto],tabCustoUnit[[#This Row],[Código do Posto]],tabParametros[Incidência dos encargos do submódulo 2.1 sobre Aviso Prévio Trabalhado])*tabCustoUnit[[#This Row],[MODULO 1 - REMUNERAÇÃO ]]</f>
        <v>2.5975927530000007</v>
      </c>
      <c r="AR95" s="22">
        <f>SUMIF(tabParametros[Código do Posto],tabCustoUnit[[#This Row],[Código do Posto]],tabParametros[Multa Rescisória do FGTS])*tabCustoUnit[[#This Row],[MODULO 1 - REMUNERAÇÃO ]]</f>
        <v>60.03674524444444</v>
      </c>
      <c r="AS95" s="22">
        <f>SUMIF(tabParametros[Código do Posto],tabCustoUnit[[#This Row],[Código do Posto]],tabParametros[Indenização Adicional (Art. 9º da Lei nº 7.238/84)])*tabCustoUnit[[#This Row],[MODULO 1 - REMUNERAÇÃO ]]</f>
        <v>1.6361758333333334</v>
      </c>
      <c r="AT95" s="22">
        <f>SUM(tabCustoUnit[[#This Row],[Aviso Prévio Indenizado (API) e Reflexo do Aviso Prévio Indenizado]:[Indenização Adicional (Art. 9º da Lei nº 7.238/84)]])</f>
        <v>86.451334545316371</v>
      </c>
      <c r="AU95" s="22">
        <f>SUMIF(tabParametros[Código do Posto],tabCustoUnit[[#This Row],[Código do Posto]],tabParametros[Ausência por Doença])*tabCustoUnit[[#This Row],[MODULO 1 - REMUNERAÇÃO ]]</f>
        <v>16.579915111111109</v>
      </c>
      <c r="AV95" s="22">
        <f>SUMIF(tabParametros[Código do Posto],tabCustoUnit[[#This Row],[Código do Posto]],tabParametros[Ausências Legais])*tabCustoUnit[[#This Row],[MODULO 1 - REMUNERAÇÃO ]]</f>
        <v>3.9813611944444443</v>
      </c>
      <c r="AW95" s="22">
        <f>SUMIF(tabParametros[Código do Posto],tabCustoUnit[[#This Row],[Código do Posto]],tabParametros[Licença Paternidade])*tabCustoUnit[[#This Row],[MODULO 1 - REMUNERAÇÃO ]]</f>
        <v>0.33541604583333334</v>
      </c>
      <c r="AX95" s="22">
        <f>SUMIF(tabParametros[Código do Posto],tabCustoUnit[[#This Row],[Código do Posto]],tabParametros[Ausência por Acidente de Trabalho])*tabCustoUnit[[#This Row],[MODULO 1 - REMUNERAÇÃO ]]</f>
        <v>0.40904395833333335</v>
      </c>
      <c r="AY95" s="22">
        <f>SUMIF(tabParametros[Código do Posto],tabCustoUnit[[#This Row],[Código do Posto]],tabParametros[Férias, Adicional de Férias e 13º  com empregada em gozo de Licença Maternidade])*tabCustoUnit[[#This Row],[MODULO 1 - REMUNERAÇÃO ]]</f>
        <v>2.5451624074074073</v>
      </c>
      <c r="AZ95" s="22">
        <f>SUMIF(tabParametros[Código do Posto],tabCustoUnit[[#This Row],[Código do Posto]],tabParametros[Incidência do Submódulo 2.1 sobre Ausências Legais])*tabCustoUnit[[#This Row],[MODULO 1 - REMUNERAÇÃO ]]</f>
        <v>9.0156397150750021</v>
      </c>
      <c r="BA95" s="22">
        <f>SUM(tabCustoUnit[[#This Row],[Ausência por Doença]:[Incidência do Submódulo 2.1 sobre Ausências Legais]])</f>
        <v>32.866538432204628</v>
      </c>
      <c r="BB95" s="22">
        <f>SUMIF(tabParametros[Código do Posto],tabCustoUnit[[#This Row],[Código do Posto]],tabParametros[Intervalo para Repouso ou Alimentação])</f>
        <v>267.73786489195959</v>
      </c>
      <c r="BC95" s="22">
        <f>tabCustoUnit[[#This Row],[Intervalo para Repouso ou Alimentação]]</f>
        <v>267.73786489195959</v>
      </c>
      <c r="BD9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5" s="22">
        <f>tabCustoUnit[[#This Row],[Suspensão Temporária do Contrato de Trabalho]]</f>
        <v>0</v>
      </c>
      <c r="BF95" s="22">
        <f>tabCustoUnit[[#This Row],[Submódulo 4.1]]+tabCustoUnit[[#This Row],[Submódulo 4.2]]+tabCustoUnit[[#This Row],[Submódulo 4.3]]</f>
        <v>300.6044033241642</v>
      </c>
      <c r="BG95" s="22">
        <f>VLOOKUP(tabCustoUnit[[#This Row],[Código do Posto]],tabParametros[],MATCH(tabCustoUnit[[#Headers],[Uniformes e EPIs]],tabParametros[#Headers],0),0)</f>
        <v>56.642978962543395</v>
      </c>
      <c r="BH95" s="22">
        <f>VLOOKUP(tabCustoUnit[[#This Row],[Código do Posto]],tabParametros[],MATCH(tabCustoUnit[[#Headers],[Materiais de Consumo]],tabParametros[#Headers],0),0)</f>
        <v>0</v>
      </c>
      <c r="BI95" s="22">
        <f>VLOOKUP(tabCustoUnit[[#This Row],[Código do Posto]],tabParametros[],MATCH(tabCustoUnit[[#Headers],[Máquinas e Equipamentos (depreciação)]],tabParametros[#Headers],0),0)</f>
        <v>0</v>
      </c>
      <c r="BJ95" s="22">
        <f>VLOOKUP(tabCustoUnit[[#This Row],[Código do Posto]],tabParametros[],MATCH(tabCustoUnit[[#Headers],[Produtos de Limpeza e Materiais de Higiene Pessoal]],tabParametros[#Headers],0),0)</f>
        <v>0</v>
      </c>
      <c r="BK95" s="22">
        <f>VLOOKUP(tabCustoUnit[[#This Row],[Código do Posto]],tabParametros[],MATCH(tabCustoUnit[[#Headers],[Outros (especificar)]],tabParametros[#Headers],0),0)</f>
        <v>0</v>
      </c>
      <c r="BL95" s="22">
        <f>SUM(tabCustoUnit[[#This Row],[Uniformes e EPIs]:[Outros (especificar)]])</f>
        <v>56.642978962543395</v>
      </c>
      <c r="BM9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5" s="22" t="e">
        <f ca="1">VLOOKUP(tabCustoUnit[[#This Row],[Código do Posto]],tabParametros[],MATCH(tabCustoUnit[[#Headers],[Custos Indiretos]],tabParametros[#Headers],0),0)</f>
        <v>#NAME?</v>
      </c>
      <c r="BO95" s="22" t="e">
        <f ca="1">VLOOKUP(tabCustoUnit[[#This Row],[Código do Posto]],tabParametros[],MATCH(tabCustoUnit[[#Headers],[Lucro]],tabParametros[#Headers],0),0)</f>
        <v>#NAME?</v>
      </c>
      <c r="BP95" s="26">
        <f>((100/((1-tabCustoUnit[[#This Row],[Resumo de Alíquotas (PIS+CONFINS+ISS)]]))-100)*VLOOKUP(tabCustoUnit[[#This Row],[Código do Posto]],tabParametros[],MATCH(tabCustoUnit[[#Headers],[COFINS]],tabParametros[#Headers],0),0))/(tabCustoUnit[[#This Row],[Resumo de Alíquotas (PIS+CONFINS+ISS)]]*100)</f>
        <v>8.6609686609686695E-2</v>
      </c>
      <c r="BQ95" s="26">
        <f>((100/((100-(tabCustoUnit[[#This Row],[Resumo de Alíquotas (PIS+CONFINS+ISS)]]*100))%)-100)*VLOOKUP(tabCustoUnit[[#This Row],[Código do Posto]],tabParametros[],MATCH(tabCustoUnit[[#Headers],[PIS]],tabParametros[#Headers],0),0))/(tabCustoUnit[[#This Row],[Resumo de Alíquotas (PIS+CONFINS+ISS)]]*100)</f>
        <v>1.880341880341882E-2</v>
      </c>
      <c r="BR95" s="28">
        <f>VLOOKUP(tabCustoUnit[[#This Row],[Código do Posto]],tabParametros[],MATCH(tabCustoUnit[[#Headers],[ISS]],tabParametros[#Headers],0),0)</f>
        <v>0.03</v>
      </c>
      <c r="BS95" s="26">
        <f>(((100/((100-(tabCustoUnit[[#This Row],[Resumo de Alíquotas (PIS+CONFINS+ISS)]]*100))%)-100)*tabCustoUnit[[#This Row],[ISS]])/tabCustoUnit[[#This Row],[Resumo de Alíquotas (PIS+CONFINS+ISS)]])/100</f>
        <v>3.4188034188034219E-2</v>
      </c>
      <c r="BT9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95" s="138">
        <f>tabCustoUnit[[#This Row],[COFINS]]+tabCustoUnit[[#This Row],[PIS]]+tabCustoUnit[[#This Row],[ISS (Conversão Alíquota s/ fatura)]]</f>
        <v>0.13960113960113973</v>
      </c>
      <c r="BV95" s="22" t="e">
        <f ca="1">(tabCustoUnit[[#This Row],[TOTAL MÓDULOS 1+2+3+4+5]]+tabCustoUnit[[#This Row],[Custos Indiretos]]+tabCustoUnit[[#This Row],[Lucro]])*tabCustoUnit[[#This Row],[PIS + COFINS + ISS (Total Conversão  Alíquota s/ Fatura)]]</f>
        <v>#NAME?</v>
      </c>
      <c r="BW95" s="22" t="e">
        <f ca="1">tabCustoUnit[[#This Row],[Custos Indiretos]]+tabCustoUnit[[#This Row],[Lucro]]+tabCustoUnit[[#This Row],[Valor dos Tributos (ISS, PIS, CONFINS)]]</f>
        <v>#NAME?</v>
      </c>
      <c r="BX95" s="22" t="e">
        <f ca="1">tabCustoUnit[[#This Row],[TOTAL MÓDULOS 1+2+3+4+5]]+tabCustoUnit[[#This Row],[MÓDULO 6 – CUSTOS INDIRETOS, TRIBUTOS E LUCRO]]</f>
        <v>#NAME?</v>
      </c>
      <c r="BY95" s="22" t="e">
        <f ca="1">tabCustoUnit[[#This Row],[CUSTO TOTAL MENSAL]]*12</f>
        <v>#NAME?</v>
      </c>
      <c r="BZ95" s="24">
        <f>VLOOKUP(tabCustoUnit[[#This Row],[Código do Posto]],tabParametros[],MATCH(tabCustoUnit[[#Headers],[ANO DA CCT]],tabParametros[#Headers],0),0)</f>
        <v>45658</v>
      </c>
      <c r="CA95" s="25" t="str">
        <f>VLOOKUP(tabCustoUnit[[#This Row],[Código do Posto]],tabParametros[],MATCH(tabCustoUnit[[#Headers],[Nº DE PEDIDO DA CCT]],tabParametros[#Headers],0),0)</f>
        <v>-</v>
      </c>
      <c r="CB95" s="25" t="str">
        <f>VLOOKUP(tabCustoUnit[[#This Row],[Código do Posto]],tabParametros[],MATCH(tabCustoUnit[[#Headers],[TERMO ADITIVO ALTERAÇÃO DA CCT]],tabParametros[#Headers],0),0)</f>
        <v>-</v>
      </c>
    </row>
    <row r="96" spans="1:80">
      <c r="A96" s="20" t="s">
        <v>1560</v>
      </c>
      <c r="B96" t="s">
        <v>1108</v>
      </c>
      <c r="C96" t="s">
        <v>324</v>
      </c>
      <c r="D96" t="s">
        <v>961</v>
      </c>
      <c r="E96" s="20" t="s">
        <v>1090</v>
      </c>
      <c r="F96" s="20" t="s">
        <v>120</v>
      </c>
      <c r="G96" s="418">
        <v>3397.1306</v>
      </c>
      <c r="H96" s="418">
        <v>0</v>
      </c>
      <c r="I96" s="418">
        <v>0</v>
      </c>
      <c r="J96" s="418">
        <v>0</v>
      </c>
      <c r="K96" s="418">
        <v>0</v>
      </c>
      <c r="L96" s="418">
        <v>0</v>
      </c>
      <c r="M96" s="418">
        <v>0</v>
      </c>
      <c r="N96" s="418">
        <v>0</v>
      </c>
      <c r="O96" s="21">
        <f>SUM(tabCustoUnit[[#This Row],[Salário Base]:[Adicional de Acúmulo de função]])</f>
        <v>3397.1306</v>
      </c>
      <c r="P96" s="21">
        <f>tabCustoUnit[[#This Row],[MODULO 1 - REMUNERAÇÃO ]]*SUMIFS(tabParametros[INSS],tabParametros[Código do Posto],tabCustoUnit[[#This Row],[Código do Posto]])</f>
        <v>679.42612000000008</v>
      </c>
      <c r="Q96" s="21">
        <f>tabCustoUnit[[#This Row],[MODULO 1 - REMUNERAÇÃO ]]*SUMIFS(tabParametros[SESI OU SESC],tabParametros[Código do Posto],tabCustoUnit[[#This Row],[Código do Posto]])</f>
        <v>50.956958999999998</v>
      </c>
      <c r="R96" s="21">
        <f>tabCustoUnit[[#This Row],[MODULO 1 - REMUNERAÇÃO ]]*SUMIFS(tabParametros[SENAI OU SENAC],tabParametros[Código do Posto],tabCustoUnit[[#This Row],[Código do Posto]])</f>
        <v>33.971305999999998</v>
      </c>
      <c r="S96" s="21">
        <f>tabCustoUnit[[#This Row],[MODULO 1 - REMUNERAÇÃO ]]*SUMIFS(tabParametros[INCRA],tabParametros[Código do Posto],tabCustoUnit[[#This Row],[Código do Posto]])</f>
        <v>6.7942612000000002</v>
      </c>
      <c r="T96" s="21">
        <f>tabCustoUnit[[#This Row],[MODULO 1 - REMUNERAÇÃO ]]*SUMIFS(tabParametros[Salário Educação],tabParametros[Código do Posto],tabCustoUnit[[#This Row],[Código do Posto]])</f>
        <v>84.92826500000001</v>
      </c>
      <c r="U96" s="21">
        <f>tabCustoUnit[[#This Row],[MODULO 1 - REMUNERAÇÃO ]]*SUMIFS(tabParametros[FGTS],tabParametros[Código do Posto],tabCustoUnit[[#This Row],[Código do Posto]])</f>
        <v>271.77044799999999</v>
      </c>
      <c r="V96" s="21">
        <f>tabCustoUnit[[#This Row],[MODULO 1 - REMUNERAÇÃO ]]*SUMIFS(tabParametros[RAT Ajustado],tabParametros[Código do Posto],tabCustoUnit[[#This Row],[Código do Posto]])</f>
        <v>135.88522399999999</v>
      </c>
      <c r="W96" s="21">
        <f>tabCustoUnit[[#This Row],[MODULO 1 - REMUNERAÇÃO ]]*SUMIFS(tabParametros[SEBRAE],tabParametros[Código do Posto],tabCustoUnit[[#This Row],[Código do Posto]])</f>
        <v>20.3827836</v>
      </c>
      <c r="X96" s="21">
        <f>SUM(tabCustoUnit[[#This Row],[INSS]:[SEBRAE]])</f>
        <v>1284.1153668000002</v>
      </c>
      <c r="Y96" s="21">
        <f>tabCustoUnit[[#This Row],[MODULO 1 - REMUNERAÇÃO ]]*SUMIFS(tabParametros[13º salário (titular)],tabParametros[Código do Posto],tabCustoUnit[[#This Row],[Código do Posto]])</f>
        <v>283.09421666666663</v>
      </c>
      <c r="Z96" s="21">
        <f>tabCustoUnit[[#This Row],[MODULO 1 - REMUNERAÇÃO ]]*SUMIFS(tabParametros[Férias e Adicional de Férias (titular)],tabParametros[Código do Posto],tabCustoUnit[[#This Row],[Código do Posto]])</f>
        <v>377.45895555555552</v>
      </c>
      <c r="AA96" s="21">
        <f>IFERROR((tabCustoUnit[[#This Row],[Submódulo 2.1]]/tabCustoUnit[[#This Row],[MODULO 1 - REMUNERAÇÃO ]])*SUM(tabCustoUnit[[#This Row],[13º salário (titular)]:[Férias e Adicional de Férias (titular)]]),0)</f>
        <v>249.68909910000002</v>
      </c>
      <c r="AB96" s="21">
        <f>SUM(tabCustoUnit[[#This Row],[13º salário (titular)]:[Incidência do Submódulo 2.1 sobre 13º Salário, Férias e Adicional de Férias]])</f>
        <v>910.24227132222222</v>
      </c>
      <c r="AC96" s="22" t="e">
        <f ca="1">_xlfn.LET(_xlpm.VT,SUMIF(tabParametros[Código do Posto],tabCustoUnit[[#This Row],[Código do Posto]],tabParametros[Vale - Transporte])*2*20,
IF((_xlpm.VT-tabCustoUnit[[#This Row],[Salário Base]]*0.06)&gt;=0,(_xlpm.VT-tabCustoUnit[[#This Row],[Salário Base]]*0.06),0)
)</f>
        <v>#NAME?</v>
      </c>
      <c r="AD96" s="22">
        <f>IF(SUMIF(tabParametros[Código do Posto],tabCustoUnit[[#This Row],[Código do Posto]],tabParametros[Vale - Alimentação])&lt;=0,0,
SUMIF(tabParametros[Código do Posto],tabCustoUnit[[#This Row],[Código do Posto]],tabParametros[Vale - Alimentação])*20-1)</f>
        <v>582</v>
      </c>
      <c r="AE96" s="22">
        <f>SUMIF(tabParametros[Código do Posto],tabCustoUnit[[#This Row],[Código do Posto]],tabParametros[Cesta Básica])</f>
        <v>0</v>
      </c>
      <c r="AF96" s="22">
        <f>SUMIF(tabParametros[Código do Posto],tabCustoUnit[[#This Row],[Código do Posto]],tabParametros[PAF])</f>
        <v>0</v>
      </c>
      <c r="AG96" s="22">
        <f>SUMIF(tabParametros[Código do Posto],tabCustoUnit[[#This Row],[Código do Posto]],tabParametros[PQM])</f>
        <v>0</v>
      </c>
      <c r="AH96" s="22">
        <f>SUMIF(tabParametros[Código do Posto],tabCustoUnit[[#This Row],[Código do Posto]],tabParametros[Abono Único e Especial])</f>
        <v>0</v>
      </c>
      <c r="AI96" s="22">
        <f>SUMIF(tabParametros[Código do Posto],tabCustoUnit[[#This Row],[Código do Posto]],tabParametros[Seguro de Vida])</f>
        <v>3.36</v>
      </c>
      <c r="AJ96" s="22">
        <f>SUMIF(tabParametros[Código do Posto],tabCustoUnit[[#This Row],[Código do Posto]],tabParametros[Despesas de Viagem])</f>
        <v>0</v>
      </c>
      <c r="AK96" s="22" t="e">
        <f ca="1">SUM(tabCustoUnit[[#This Row],[Vale - Transporte (Descontada parcela do empregado)]:[Despesas de Viagem]])</f>
        <v>#NAME?</v>
      </c>
      <c r="AL96" s="22" t="e">
        <f ca="1">tabCustoUnit[[#This Row],[Submódulo 2.1]]+tabCustoUnit[[#This Row],[Submódulo 2.2]]+tabCustoUnit[[#This Row],[Submódulo 2.3]]</f>
        <v>#NAME?</v>
      </c>
      <c r="AM96" s="22">
        <f>SUMIF(tabParametros[Código do Posto],tabCustoUnit[[#This Row],[Código do Posto]],tabParametros[Aviso Prévio Indenizado (API) e Reflexo do Aviso Prévio Indenizado])*tabCustoUnit[[#This Row],[MODULO 1 - REMUNERAÇÃO ]]</f>
        <v>23.819888151890432</v>
      </c>
      <c r="AN96" s="22">
        <f>SUMIF(tabParametros[Código do Posto],tabCustoUnit[[#This Row],[Código do Posto]],tabParametros[Incidência do FGTS sobre API e Reflexo do API])*tabCustoUnit[[#This Row],[MODULO 1 - REMUNERAÇÃO ]]</f>
        <v>1.9055910521512347</v>
      </c>
      <c r="AO96" s="22">
        <f>SUMIF(tabParametros[Código do Posto],tabCustoUnit[[#This Row],[Código do Posto]],tabParametros[Multa Rescisória do FGTS sobre o Aviso Prévio Indenizado])*tabCustoUnit[[#This Row],[MODULO 1 - REMUNERAÇÃO ]]</f>
        <v>0.76223642086049392</v>
      </c>
      <c r="AP96" s="22">
        <f>SUMIF(tabParametros[Código do Posto],tabCustoUnit[[#This Row],[Código do Posto]],tabParametros[Aviso Prévio Trabalhado - APT])*tabCustoUnit[[#This Row],[MODULO 1 - REMUNERAÇÃO ]]</f>
        <v>11.889957100000002</v>
      </c>
      <c r="AQ96" s="22">
        <f>SUMIF(tabParametros[Código do Posto],tabCustoUnit[[#This Row],[Código do Posto]],tabParametros[Incidência dos encargos do submódulo 2.1 sobre Aviso Prévio Trabalhado])*tabCustoUnit[[#This Row],[MODULO 1 - REMUNERAÇÃO ]]</f>
        <v>4.4944037838000011</v>
      </c>
      <c r="AR96" s="22">
        <f>SUMIF(tabParametros[Código do Posto],tabCustoUnit[[#This Row],[Código do Posto]],tabParametros[Multa Rescisória do FGTS])*tabCustoUnit[[#This Row],[MODULO 1 - REMUNERAÇÃO ]]</f>
        <v>103.87670456888887</v>
      </c>
      <c r="AS96" s="22">
        <f>SUMIF(tabParametros[Código do Posto],tabCustoUnit[[#This Row],[Código do Posto]],tabParametros[Indenização Adicional (Art. 9º da Lei nº 7.238/84)])*tabCustoUnit[[#This Row],[MODULO 1 - REMUNERAÇÃO ]]</f>
        <v>2.830942166666667</v>
      </c>
      <c r="AT96" s="22">
        <f>SUM(tabCustoUnit[[#This Row],[Aviso Prévio Indenizado (API) e Reflexo do Aviso Prévio Indenizado]:[Indenização Adicional (Art. 9º da Lei nº 7.238/84)]])</f>
        <v>149.57972324425771</v>
      </c>
      <c r="AU96" s="22">
        <f>SUMIF(tabParametros[Código do Posto],tabCustoUnit[[#This Row],[Código do Posto]],tabParametros[Ausência por Doença])*tabCustoUnit[[#This Row],[MODULO 1 - REMUNERAÇÃO ]]</f>
        <v>28.686880622222219</v>
      </c>
      <c r="AV96" s="22">
        <f>SUMIF(tabParametros[Código do Posto],tabCustoUnit[[#This Row],[Código do Posto]],tabParametros[Ausências Legais])*tabCustoUnit[[#This Row],[MODULO 1 - REMUNERAÇÃO ]]</f>
        <v>6.8886259388888886</v>
      </c>
      <c r="AW96" s="22">
        <f>SUMIF(tabParametros[Código do Posto],tabCustoUnit[[#This Row],[Código do Posto]],tabParametros[Licença Paternidade])*tabCustoUnit[[#This Row],[MODULO 1 - REMUNERAÇÃO ]]</f>
        <v>0.58034314416666666</v>
      </c>
      <c r="AX96" s="22">
        <f>SUMIF(tabParametros[Código do Posto],tabCustoUnit[[#This Row],[Código do Posto]],tabParametros[Ausência por Acidente de Trabalho])*tabCustoUnit[[#This Row],[MODULO 1 - REMUNERAÇÃO ]]</f>
        <v>0.70773554166666675</v>
      </c>
      <c r="AY96" s="22">
        <f>SUMIF(tabParametros[Código do Posto],tabCustoUnit[[#This Row],[Código do Posto]],tabParametros[Férias, Adicional de Férias e 13º  com empregada em gozo de Licença Maternidade])*tabCustoUnit[[#This Row],[MODULO 1 - REMUNERAÇÃO ]]</f>
        <v>4.4036878148148144</v>
      </c>
      <c r="AZ96" s="22">
        <f>SUMIF(tabParametros[Código do Posto],tabCustoUnit[[#This Row],[Código do Posto]],tabParametros[Incidência do Submódulo 2.1 sobre Ausências Legais])*tabCustoUnit[[#This Row],[MODULO 1 - REMUNERAÇÃO ]]</f>
        <v>15.599029217345002</v>
      </c>
      <c r="BA96" s="22">
        <f>SUM(tabCustoUnit[[#This Row],[Ausência por Doença]:[Incidência do Submódulo 2.1 sobre Ausências Legais]])</f>
        <v>56.866302279104261</v>
      </c>
      <c r="BB96" s="22">
        <f>SUMIF(tabParametros[Código do Posto],tabCustoUnit[[#This Row],[Código do Posto]],tabParametros[Intervalo para Repouso ou Alimentação])</f>
        <v>0</v>
      </c>
      <c r="BC96" s="22">
        <f>tabCustoUnit[[#This Row],[Intervalo para Repouso ou Alimentação]]</f>
        <v>0</v>
      </c>
      <c r="BD9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6" s="22">
        <f>tabCustoUnit[[#This Row],[Suspensão Temporária do Contrato de Trabalho]]</f>
        <v>0</v>
      </c>
      <c r="BF96" s="22">
        <f>tabCustoUnit[[#This Row],[Submódulo 4.1]]+tabCustoUnit[[#This Row],[Submódulo 4.2]]+tabCustoUnit[[#This Row],[Submódulo 4.3]]</f>
        <v>56.866302279104261</v>
      </c>
      <c r="BG96" s="22">
        <f>VLOOKUP(tabCustoUnit[[#This Row],[Código do Posto]],tabParametros[],MATCH(tabCustoUnit[[#Headers],[Uniformes e EPIs]],tabParametros[#Headers],0),0)</f>
        <v>56.642978962543395</v>
      </c>
      <c r="BH96" s="22">
        <f>VLOOKUP(tabCustoUnit[[#This Row],[Código do Posto]],tabParametros[],MATCH(tabCustoUnit[[#Headers],[Materiais de Consumo]],tabParametros[#Headers],0),0)</f>
        <v>0</v>
      </c>
      <c r="BI96" s="22">
        <f>VLOOKUP(tabCustoUnit[[#This Row],[Código do Posto]],tabParametros[],MATCH(tabCustoUnit[[#Headers],[Máquinas e Equipamentos (depreciação)]],tabParametros[#Headers],0),0)</f>
        <v>0</v>
      </c>
      <c r="BJ96" s="22">
        <f>VLOOKUP(tabCustoUnit[[#This Row],[Código do Posto]],tabParametros[],MATCH(tabCustoUnit[[#Headers],[Produtos de Limpeza e Materiais de Higiene Pessoal]],tabParametros[#Headers],0),0)</f>
        <v>0</v>
      </c>
      <c r="BK96" s="22">
        <f>VLOOKUP(tabCustoUnit[[#This Row],[Código do Posto]],tabParametros[],MATCH(tabCustoUnit[[#Headers],[Outros (especificar)]],tabParametros[#Headers],0),0)</f>
        <v>0</v>
      </c>
      <c r="BL96" s="22">
        <f>SUM(tabCustoUnit[[#This Row],[Uniformes e EPIs]:[Outros (especificar)]])</f>
        <v>56.642978962543395</v>
      </c>
      <c r="BM9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6" s="22" t="e">
        <f ca="1">VLOOKUP(tabCustoUnit[[#This Row],[Código do Posto]],tabParametros[],MATCH(tabCustoUnit[[#Headers],[Custos Indiretos]],tabParametros[#Headers],0),0)</f>
        <v>#NAME?</v>
      </c>
      <c r="BO96" s="22" t="e">
        <f ca="1">VLOOKUP(tabCustoUnit[[#This Row],[Código do Posto]],tabParametros[],MATCH(tabCustoUnit[[#Headers],[Lucro]],tabParametros[#Headers],0),0)</f>
        <v>#NAME?</v>
      </c>
      <c r="BP96" s="26">
        <f>((100/((1-tabCustoUnit[[#This Row],[Resumo de Alíquotas (PIS+CONFINS+ISS)]]))-100)*VLOOKUP(tabCustoUnit[[#This Row],[Código do Posto]],tabParametros[],MATCH(tabCustoUnit[[#Headers],[COFINS]],tabParametros[#Headers],0),0))/(tabCustoUnit[[#This Row],[Resumo de Alíquotas (PIS+CONFINS+ISS)]]*100)</f>
        <v>8.6609686609686695E-2</v>
      </c>
      <c r="BQ96" s="26">
        <f>((100/((100-(tabCustoUnit[[#This Row],[Resumo de Alíquotas (PIS+CONFINS+ISS)]]*100))%)-100)*VLOOKUP(tabCustoUnit[[#This Row],[Código do Posto]],tabParametros[],MATCH(tabCustoUnit[[#Headers],[PIS]],tabParametros[#Headers],0),0))/(tabCustoUnit[[#This Row],[Resumo de Alíquotas (PIS+CONFINS+ISS)]]*100)</f>
        <v>1.880341880341882E-2</v>
      </c>
      <c r="BR96" s="28">
        <f>VLOOKUP(tabCustoUnit[[#This Row],[Código do Posto]],tabParametros[],MATCH(tabCustoUnit[[#Headers],[ISS]],tabParametros[#Headers],0),0)</f>
        <v>0.03</v>
      </c>
      <c r="BS96" s="26">
        <f>(((100/((100-(tabCustoUnit[[#This Row],[Resumo de Alíquotas (PIS+CONFINS+ISS)]]*100))%)-100)*tabCustoUnit[[#This Row],[ISS]])/tabCustoUnit[[#This Row],[Resumo de Alíquotas (PIS+CONFINS+ISS)]])/100</f>
        <v>3.4188034188034219E-2</v>
      </c>
      <c r="BT9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96" s="138">
        <f>tabCustoUnit[[#This Row],[COFINS]]+tabCustoUnit[[#This Row],[PIS]]+tabCustoUnit[[#This Row],[ISS (Conversão Alíquota s/ fatura)]]</f>
        <v>0.13960113960113973</v>
      </c>
      <c r="BV96" s="22" t="e">
        <f ca="1">(tabCustoUnit[[#This Row],[TOTAL MÓDULOS 1+2+3+4+5]]+tabCustoUnit[[#This Row],[Custos Indiretos]]+tabCustoUnit[[#This Row],[Lucro]])*tabCustoUnit[[#This Row],[PIS + COFINS + ISS (Total Conversão  Alíquota s/ Fatura)]]</f>
        <v>#NAME?</v>
      </c>
      <c r="BW96" s="22" t="e">
        <f ca="1">tabCustoUnit[[#This Row],[Custos Indiretos]]+tabCustoUnit[[#This Row],[Lucro]]+tabCustoUnit[[#This Row],[Valor dos Tributos (ISS, PIS, CONFINS)]]</f>
        <v>#NAME?</v>
      </c>
      <c r="BX96" s="22" t="e">
        <f ca="1">tabCustoUnit[[#This Row],[TOTAL MÓDULOS 1+2+3+4+5]]+tabCustoUnit[[#This Row],[MÓDULO 6 – CUSTOS INDIRETOS, TRIBUTOS E LUCRO]]</f>
        <v>#NAME?</v>
      </c>
      <c r="BY96" s="22" t="e">
        <f ca="1">tabCustoUnit[[#This Row],[CUSTO TOTAL MENSAL]]*12</f>
        <v>#NAME?</v>
      </c>
      <c r="BZ96" s="24">
        <f>VLOOKUP(tabCustoUnit[[#This Row],[Código do Posto]],tabParametros[],MATCH(tabCustoUnit[[#Headers],[ANO DA CCT]],tabParametros[#Headers],0),0)</f>
        <v>45658</v>
      </c>
      <c r="CA96" s="25" t="str">
        <f>VLOOKUP(tabCustoUnit[[#This Row],[Código do Posto]],tabParametros[],MATCH(tabCustoUnit[[#Headers],[Nº DE PEDIDO DA CCT]],tabParametros[#Headers],0),0)</f>
        <v>-</v>
      </c>
      <c r="CB96" s="25" t="str">
        <f>VLOOKUP(tabCustoUnit[[#This Row],[Código do Posto]],tabParametros[],MATCH(tabCustoUnit[[#Headers],[TERMO ADITIVO ALTERAÇÃO DA CCT]],tabParametros[#Headers],0),0)</f>
        <v>-</v>
      </c>
    </row>
    <row r="97" spans="1:80">
      <c r="A97" s="20" t="s">
        <v>1561</v>
      </c>
      <c r="B97" t="s">
        <v>1109</v>
      </c>
      <c r="C97" t="s">
        <v>314</v>
      </c>
      <c r="D97" t="s">
        <v>1048</v>
      </c>
      <c r="E97" s="20" t="s">
        <v>1090</v>
      </c>
      <c r="F97" s="20" t="s">
        <v>120</v>
      </c>
      <c r="G97" s="418">
        <v>1963.4110000000001</v>
      </c>
      <c r="H97" s="418">
        <v>0</v>
      </c>
      <c r="I97" s="418">
        <v>0</v>
      </c>
      <c r="J97" s="418">
        <v>0</v>
      </c>
      <c r="K97" s="418">
        <v>0</v>
      </c>
      <c r="L97" s="418">
        <v>0</v>
      </c>
      <c r="M97" s="418">
        <v>0</v>
      </c>
      <c r="N97" s="418">
        <v>0</v>
      </c>
      <c r="O97" s="21">
        <f>SUM(tabCustoUnit[[#This Row],[Salário Base]:[Adicional de Acúmulo de função]])</f>
        <v>1963.4110000000001</v>
      </c>
      <c r="P97" s="21">
        <f>tabCustoUnit[[#This Row],[MODULO 1 - REMUNERAÇÃO ]]*SUMIFS(tabParametros[INSS],tabParametros[Código do Posto],tabCustoUnit[[#This Row],[Código do Posto]])</f>
        <v>392.68220000000002</v>
      </c>
      <c r="Q97" s="21">
        <f>tabCustoUnit[[#This Row],[MODULO 1 - REMUNERAÇÃO ]]*SUMIFS(tabParametros[SESI OU SESC],tabParametros[Código do Posto],tabCustoUnit[[#This Row],[Código do Posto]])</f>
        <v>29.451165</v>
      </c>
      <c r="R97" s="21">
        <f>tabCustoUnit[[#This Row],[MODULO 1 - REMUNERAÇÃO ]]*SUMIFS(tabParametros[SENAI OU SENAC],tabParametros[Código do Posto],tabCustoUnit[[#This Row],[Código do Posto]])</f>
        <v>19.63411</v>
      </c>
      <c r="S97" s="21">
        <f>tabCustoUnit[[#This Row],[MODULO 1 - REMUNERAÇÃO ]]*SUMIFS(tabParametros[INCRA],tabParametros[Código do Posto],tabCustoUnit[[#This Row],[Código do Posto]])</f>
        <v>3.926822</v>
      </c>
      <c r="T97" s="21">
        <f>tabCustoUnit[[#This Row],[MODULO 1 - REMUNERAÇÃO ]]*SUMIFS(tabParametros[Salário Educação],tabParametros[Código do Posto],tabCustoUnit[[#This Row],[Código do Posto]])</f>
        <v>49.085275000000003</v>
      </c>
      <c r="U97" s="21">
        <f>tabCustoUnit[[#This Row],[MODULO 1 - REMUNERAÇÃO ]]*SUMIFS(tabParametros[FGTS],tabParametros[Código do Posto],tabCustoUnit[[#This Row],[Código do Posto]])</f>
        <v>157.07288</v>
      </c>
      <c r="V97" s="21">
        <f>tabCustoUnit[[#This Row],[MODULO 1 - REMUNERAÇÃO ]]*SUMIFS(tabParametros[RAT Ajustado],tabParametros[Código do Posto],tabCustoUnit[[#This Row],[Código do Posto]])</f>
        <v>78.536439999999999</v>
      </c>
      <c r="W97" s="21">
        <f>tabCustoUnit[[#This Row],[MODULO 1 - REMUNERAÇÃO ]]*SUMIFS(tabParametros[SEBRAE],tabParametros[Código do Posto],tabCustoUnit[[#This Row],[Código do Posto]])</f>
        <v>11.780466000000001</v>
      </c>
      <c r="X97" s="21">
        <f>SUM(tabCustoUnit[[#This Row],[INSS]:[SEBRAE]])</f>
        <v>742.1693580000001</v>
      </c>
      <c r="Y97" s="21">
        <f>tabCustoUnit[[#This Row],[MODULO 1 - REMUNERAÇÃO ]]*SUMIFS(tabParametros[13º salário (titular)],tabParametros[Código do Posto],tabCustoUnit[[#This Row],[Código do Posto]])</f>
        <v>163.61758333333333</v>
      </c>
      <c r="Z97" s="21">
        <f>tabCustoUnit[[#This Row],[MODULO 1 - REMUNERAÇÃO ]]*SUMIFS(tabParametros[Férias e Adicional de Férias (titular)],tabParametros[Código do Posto],tabCustoUnit[[#This Row],[Código do Posto]])</f>
        <v>218.15677777777776</v>
      </c>
      <c r="AA97" s="21">
        <f>IFERROR((tabCustoUnit[[#This Row],[Submódulo 2.1]]/tabCustoUnit[[#This Row],[MODULO 1 - REMUNERAÇÃO ]])*SUM(tabCustoUnit[[#This Row],[13º salário (titular)]:[Férias e Adicional de Férias (titular)]]),0)</f>
        <v>144.3107085</v>
      </c>
      <c r="AB97" s="21">
        <f>SUM(tabCustoUnit[[#This Row],[13º salário (titular)]:[Incidência do Submódulo 2.1 sobre 13º Salário, Férias e Adicional de Férias]])</f>
        <v>526.08506961111107</v>
      </c>
      <c r="AC97" s="22" t="e">
        <f ca="1">_xlfn.LET(_xlpm.VT,SUMIF(tabParametros[Código do Posto],tabCustoUnit[[#This Row],[Código do Posto]],tabParametros[Vale - Transporte])*2*20,
IF((_xlpm.VT-tabCustoUnit[[#This Row],[Salário Base]]*0.06)&gt;=0,(_xlpm.VT-tabCustoUnit[[#This Row],[Salário Base]]*0.06),0)
)</f>
        <v>#NAME?</v>
      </c>
      <c r="AD97" s="22">
        <f>IF(SUMIF(tabParametros[Código do Posto],tabCustoUnit[[#This Row],[Código do Posto]],tabParametros[Vale - Alimentação])&lt;=0,0,
SUMIF(tabParametros[Código do Posto],tabCustoUnit[[#This Row],[Código do Posto]],tabParametros[Vale - Alimentação])*20-1)</f>
        <v>582</v>
      </c>
      <c r="AE97" s="22">
        <f>SUMIF(tabParametros[Código do Posto],tabCustoUnit[[#This Row],[Código do Posto]],tabParametros[Cesta Básica])</f>
        <v>0</v>
      </c>
      <c r="AF97" s="22">
        <f>SUMIF(tabParametros[Código do Posto],tabCustoUnit[[#This Row],[Código do Posto]],tabParametros[PAF])</f>
        <v>0</v>
      </c>
      <c r="AG97" s="22">
        <f>SUMIF(tabParametros[Código do Posto],tabCustoUnit[[#This Row],[Código do Posto]],tabParametros[PQM])</f>
        <v>0</v>
      </c>
      <c r="AH97" s="22">
        <f>SUMIF(tabParametros[Código do Posto],tabCustoUnit[[#This Row],[Código do Posto]],tabParametros[Abono Único e Especial])</f>
        <v>0</v>
      </c>
      <c r="AI97" s="22">
        <f>SUMIF(tabParametros[Código do Posto],tabCustoUnit[[#This Row],[Código do Posto]],tabParametros[Seguro de Vida])</f>
        <v>3.36</v>
      </c>
      <c r="AJ97" s="22">
        <f>SUMIF(tabParametros[Código do Posto],tabCustoUnit[[#This Row],[Código do Posto]],tabParametros[Despesas de Viagem])</f>
        <v>0</v>
      </c>
      <c r="AK97" s="22" t="e">
        <f ca="1">SUM(tabCustoUnit[[#This Row],[Vale - Transporte (Descontada parcela do empregado)]:[Despesas de Viagem]])</f>
        <v>#NAME?</v>
      </c>
      <c r="AL97" s="22" t="e">
        <f ca="1">tabCustoUnit[[#This Row],[Submódulo 2.1]]+tabCustoUnit[[#This Row],[Submódulo 2.2]]+tabCustoUnit[[#This Row],[Submódulo 2.3]]</f>
        <v>#NAME?</v>
      </c>
      <c r="AM97" s="22">
        <f>SUMIF(tabParametros[Código do Posto],tabCustoUnit[[#This Row],[Código do Posto]],tabParametros[Aviso Prévio Indenizado (API) e Reflexo do Aviso Prévio Indenizado])*tabCustoUnit[[#This Row],[MODULO 1 - REMUNERAÇÃO ]]</f>
        <v>13.766980408757716</v>
      </c>
      <c r="AN97" s="22">
        <f>SUMIF(tabParametros[Código do Posto],tabCustoUnit[[#This Row],[Código do Posto]],tabParametros[Incidência do FGTS sobre API e Reflexo do API])*tabCustoUnit[[#This Row],[MODULO 1 - REMUNERAÇÃO ]]</f>
        <v>1.1013584327006174</v>
      </c>
      <c r="AO97" s="22">
        <f>SUMIF(tabParametros[Código do Posto],tabCustoUnit[[#This Row],[Código do Posto]],tabParametros[Multa Rescisória do FGTS sobre o Aviso Prévio Indenizado])*tabCustoUnit[[#This Row],[MODULO 1 - REMUNERAÇÃO ]]</f>
        <v>0.44054337308024699</v>
      </c>
      <c r="AP97" s="22">
        <f>SUMIF(tabParametros[Código do Posto],tabCustoUnit[[#This Row],[Código do Posto]],tabParametros[Aviso Prévio Trabalhado - APT])*tabCustoUnit[[#This Row],[MODULO 1 - REMUNERAÇÃO ]]</f>
        <v>6.8719385000000015</v>
      </c>
      <c r="AQ97" s="22">
        <f>SUMIF(tabParametros[Código do Posto],tabCustoUnit[[#This Row],[Código do Posto]],tabParametros[Incidência dos encargos do submódulo 2.1 sobre Aviso Prévio Trabalhado])*tabCustoUnit[[#This Row],[MODULO 1 - REMUNERAÇÃO ]]</f>
        <v>2.5975927530000007</v>
      </c>
      <c r="AR97" s="22">
        <f>SUMIF(tabParametros[Código do Posto],tabCustoUnit[[#This Row],[Código do Posto]],tabParametros[Multa Rescisória do FGTS])*tabCustoUnit[[#This Row],[MODULO 1 - REMUNERAÇÃO ]]</f>
        <v>60.03674524444444</v>
      </c>
      <c r="AS97" s="22">
        <f>SUMIF(tabParametros[Código do Posto],tabCustoUnit[[#This Row],[Código do Posto]],tabParametros[Indenização Adicional (Art. 9º da Lei nº 7.238/84)])*tabCustoUnit[[#This Row],[MODULO 1 - REMUNERAÇÃO ]]</f>
        <v>1.6361758333333334</v>
      </c>
      <c r="AT97" s="22">
        <f>SUM(tabCustoUnit[[#This Row],[Aviso Prévio Indenizado (API) e Reflexo do Aviso Prévio Indenizado]:[Indenização Adicional (Art. 9º da Lei nº 7.238/84)]])</f>
        <v>86.451334545316371</v>
      </c>
      <c r="AU97" s="22">
        <f>SUMIF(tabParametros[Código do Posto],tabCustoUnit[[#This Row],[Código do Posto]],tabParametros[Ausência por Doença])*tabCustoUnit[[#This Row],[MODULO 1 - REMUNERAÇÃO ]]</f>
        <v>16.579915111111109</v>
      </c>
      <c r="AV97" s="22">
        <f>SUMIF(tabParametros[Código do Posto],tabCustoUnit[[#This Row],[Código do Posto]],tabParametros[Ausências Legais])*tabCustoUnit[[#This Row],[MODULO 1 - REMUNERAÇÃO ]]</f>
        <v>3.9813611944444443</v>
      </c>
      <c r="AW97" s="22">
        <f>SUMIF(tabParametros[Código do Posto],tabCustoUnit[[#This Row],[Código do Posto]],tabParametros[Licença Paternidade])*tabCustoUnit[[#This Row],[MODULO 1 - REMUNERAÇÃO ]]</f>
        <v>0.33541604583333334</v>
      </c>
      <c r="AX97" s="22">
        <f>SUMIF(tabParametros[Código do Posto],tabCustoUnit[[#This Row],[Código do Posto]],tabParametros[Ausência por Acidente de Trabalho])*tabCustoUnit[[#This Row],[MODULO 1 - REMUNERAÇÃO ]]</f>
        <v>0.40904395833333335</v>
      </c>
      <c r="AY97" s="22">
        <f>SUMIF(tabParametros[Código do Posto],tabCustoUnit[[#This Row],[Código do Posto]],tabParametros[Férias, Adicional de Férias e 13º  com empregada em gozo de Licença Maternidade])*tabCustoUnit[[#This Row],[MODULO 1 - REMUNERAÇÃO ]]</f>
        <v>2.5451624074074073</v>
      </c>
      <c r="AZ97" s="22">
        <f>SUMIF(tabParametros[Código do Posto],tabCustoUnit[[#This Row],[Código do Posto]],tabParametros[Incidência do Submódulo 2.1 sobre Ausências Legais])*tabCustoUnit[[#This Row],[MODULO 1 - REMUNERAÇÃO ]]</f>
        <v>9.0156397150750021</v>
      </c>
      <c r="BA97" s="22">
        <f>SUM(tabCustoUnit[[#This Row],[Ausência por Doença]:[Incidência do Submódulo 2.1 sobre Ausências Legais]])</f>
        <v>32.866538432204628</v>
      </c>
      <c r="BB97" s="22">
        <f>SUMIF(tabParametros[Código do Posto],tabCustoUnit[[#This Row],[Código do Posto]],tabParametros[Intervalo para Repouso ou Alimentação])</f>
        <v>267.73786489195959</v>
      </c>
      <c r="BC97" s="22">
        <f>tabCustoUnit[[#This Row],[Intervalo para Repouso ou Alimentação]]</f>
        <v>267.73786489195959</v>
      </c>
      <c r="BD9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7" s="22">
        <f>tabCustoUnit[[#This Row],[Suspensão Temporária do Contrato de Trabalho]]</f>
        <v>0</v>
      </c>
      <c r="BF97" s="22">
        <f>tabCustoUnit[[#This Row],[Submódulo 4.1]]+tabCustoUnit[[#This Row],[Submódulo 4.2]]+tabCustoUnit[[#This Row],[Submódulo 4.3]]</f>
        <v>300.6044033241642</v>
      </c>
      <c r="BG97" s="22">
        <f>VLOOKUP(tabCustoUnit[[#This Row],[Código do Posto]],tabParametros[],MATCH(tabCustoUnit[[#Headers],[Uniformes e EPIs]],tabParametros[#Headers],0),0)</f>
        <v>56.642978962543395</v>
      </c>
      <c r="BH97" s="22">
        <f>VLOOKUP(tabCustoUnit[[#This Row],[Código do Posto]],tabParametros[],MATCH(tabCustoUnit[[#Headers],[Materiais de Consumo]],tabParametros[#Headers],0),0)</f>
        <v>0</v>
      </c>
      <c r="BI97" s="22">
        <f>VLOOKUP(tabCustoUnit[[#This Row],[Código do Posto]],tabParametros[],MATCH(tabCustoUnit[[#Headers],[Máquinas e Equipamentos (depreciação)]],tabParametros[#Headers],0),0)</f>
        <v>0</v>
      </c>
      <c r="BJ97" s="22">
        <f>VLOOKUP(tabCustoUnit[[#This Row],[Código do Posto]],tabParametros[],MATCH(tabCustoUnit[[#Headers],[Produtos de Limpeza e Materiais de Higiene Pessoal]],tabParametros[#Headers],0),0)</f>
        <v>0</v>
      </c>
      <c r="BK97" s="22">
        <f>VLOOKUP(tabCustoUnit[[#This Row],[Código do Posto]],tabParametros[],MATCH(tabCustoUnit[[#Headers],[Outros (especificar)]],tabParametros[#Headers],0),0)</f>
        <v>0</v>
      </c>
      <c r="BL97" s="22">
        <f>SUM(tabCustoUnit[[#This Row],[Uniformes e EPIs]:[Outros (especificar)]])</f>
        <v>56.642978962543395</v>
      </c>
      <c r="BM9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7" s="22" t="e">
        <f ca="1">VLOOKUP(tabCustoUnit[[#This Row],[Código do Posto]],tabParametros[],MATCH(tabCustoUnit[[#Headers],[Custos Indiretos]],tabParametros[#Headers],0),0)</f>
        <v>#NAME?</v>
      </c>
      <c r="BO97" s="22" t="e">
        <f ca="1">VLOOKUP(tabCustoUnit[[#This Row],[Código do Posto]],tabParametros[],MATCH(tabCustoUnit[[#Headers],[Lucro]],tabParametros[#Headers],0),0)</f>
        <v>#NAME?</v>
      </c>
      <c r="BP97" s="26">
        <f>((100/((1-tabCustoUnit[[#This Row],[Resumo de Alíquotas (PIS+CONFINS+ISS)]]))-100)*VLOOKUP(tabCustoUnit[[#This Row],[Código do Posto]],tabParametros[],MATCH(tabCustoUnit[[#Headers],[COFINS]],tabParametros[#Headers],0),0))/(tabCustoUnit[[#This Row],[Resumo de Alíquotas (PIS+CONFINS+ISS)]]*100)</f>
        <v>8.6609686609686695E-2</v>
      </c>
      <c r="BQ97" s="26">
        <f>((100/((100-(tabCustoUnit[[#This Row],[Resumo de Alíquotas (PIS+CONFINS+ISS)]]*100))%)-100)*VLOOKUP(tabCustoUnit[[#This Row],[Código do Posto]],tabParametros[],MATCH(tabCustoUnit[[#Headers],[PIS]],tabParametros[#Headers],0),0))/(tabCustoUnit[[#This Row],[Resumo de Alíquotas (PIS+CONFINS+ISS)]]*100)</f>
        <v>1.880341880341882E-2</v>
      </c>
      <c r="BR97" s="28">
        <f>VLOOKUP(tabCustoUnit[[#This Row],[Código do Posto]],tabParametros[],MATCH(tabCustoUnit[[#Headers],[ISS]],tabParametros[#Headers],0),0)</f>
        <v>0.03</v>
      </c>
      <c r="BS97" s="26">
        <f>(((100/((100-(tabCustoUnit[[#This Row],[Resumo de Alíquotas (PIS+CONFINS+ISS)]]*100))%)-100)*tabCustoUnit[[#This Row],[ISS]])/tabCustoUnit[[#This Row],[Resumo de Alíquotas (PIS+CONFINS+ISS)]])/100</f>
        <v>3.4188034188034219E-2</v>
      </c>
      <c r="BT9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97" s="138">
        <f>tabCustoUnit[[#This Row],[COFINS]]+tabCustoUnit[[#This Row],[PIS]]+tabCustoUnit[[#This Row],[ISS (Conversão Alíquota s/ fatura)]]</f>
        <v>0.13960113960113973</v>
      </c>
      <c r="BV97" s="22" t="e">
        <f ca="1">(tabCustoUnit[[#This Row],[TOTAL MÓDULOS 1+2+3+4+5]]+tabCustoUnit[[#This Row],[Custos Indiretos]]+tabCustoUnit[[#This Row],[Lucro]])*tabCustoUnit[[#This Row],[PIS + COFINS + ISS (Total Conversão  Alíquota s/ Fatura)]]</f>
        <v>#NAME?</v>
      </c>
      <c r="BW97" s="22" t="e">
        <f ca="1">tabCustoUnit[[#This Row],[Custos Indiretos]]+tabCustoUnit[[#This Row],[Lucro]]+tabCustoUnit[[#This Row],[Valor dos Tributos (ISS, PIS, CONFINS)]]</f>
        <v>#NAME?</v>
      </c>
      <c r="BX97" s="22" t="e">
        <f ca="1">tabCustoUnit[[#This Row],[TOTAL MÓDULOS 1+2+3+4+5]]+tabCustoUnit[[#This Row],[MÓDULO 6 – CUSTOS INDIRETOS, TRIBUTOS E LUCRO]]</f>
        <v>#NAME?</v>
      </c>
      <c r="BY97" s="22" t="e">
        <f ca="1">tabCustoUnit[[#This Row],[CUSTO TOTAL MENSAL]]*12</f>
        <v>#NAME?</v>
      </c>
      <c r="BZ97" s="24">
        <f>VLOOKUP(tabCustoUnit[[#This Row],[Código do Posto]],tabParametros[],MATCH(tabCustoUnit[[#Headers],[ANO DA CCT]],tabParametros[#Headers],0),0)</f>
        <v>45658</v>
      </c>
      <c r="CA97" s="25" t="str">
        <f>VLOOKUP(tabCustoUnit[[#This Row],[Código do Posto]],tabParametros[],MATCH(tabCustoUnit[[#Headers],[Nº DE PEDIDO DA CCT]],tabParametros[#Headers],0),0)</f>
        <v>-</v>
      </c>
      <c r="CB97" s="25" t="str">
        <f>VLOOKUP(tabCustoUnit[[#This Row],[Código do Posto]],tabParametros[],MATCH(tabCustoUnit[[#Headers],[TERMO ADITIVO ALTERAÇÃO DA CCT]],tabParametros[#Headers],0),0)</f>
        <v>-</v>
      </c>
    </row>
    <row r="98" spans="1:80">
      <c r="A98" s="20" t="s">
        <v>1562</v>
      </c>
      <c r="B98" t="s">
        <v>1110</v>
      </c>
      <c r="C98" t="s">
        <v>324</v>
      </c>
      <c r="D98" t="s">
        <v>1058</v>
      </c>
      <c r="E98" s="20" t="s">
        <v>1090</v>
      </c>
      <c r="F98" s="20" t="s">
        <v>120</v>
      </c>
      <c r="G98" s="418">
        <v>3397.1306</v>
      </c>
      <c r="H98" s="418">
        <v>0</v>
      </c>
      <c r="I98" s="418">
        <v>0</v>
      </c>
      <c r="J98" s="418">
        <v>0</v>
      </c>
      <c r="K98" s="418">
        <v>0</v>
      </c>
      <c r="L98" s="418">
        <v>0</v>
      </c>
      <c r="M98" s="418">
        <v>0</v>
      </c>
      <c r="N98" s="418">
        <v>0</v>
      </c>
      <c r="O98" s="21">
        <f>SUM(tabCustoUnit[[#This Row],[Salário Base]:[Adicional de Acúmulo de função]])</f>
        <v>3397.1306</v>
      </c>
      <c r="P98" s="21">
        <f>tabCustoUnit[[#This Row],[MODULO 1 - REMUNERAÇÃO ]]*SUMIFS(tabParametros[INSS],tabParametros[Código do Posto],tabCustoUnit[[#This Row],[Código do Posto]])</f>
        <v>679.42612000000008</v>
      </c>
      <c r="Q98" s="21">
        <f>tabCustoUnit[[#This Row],[MODULO 1 - REMUNERAÇÃO ]]*SUMIFS(tabParametros[SESI OU SESC],tabParametros[Código do Posto],tabCustoUnit[[#This Row],[Código do Posto]])</f>
        <v>50.956958999999998</v>
      </c>
      <c r="R98" s="21">
        <f>tabCustoUnit[[#This Row],[MODULO 1 - REMUNERAÇÃO ]]*SUMIFS(tabParametros[SENAI OU SENAC],tabParametros[Código do Posto],tabCustoUnit[[#This Row],[Código do Posto]])</f>
        <v>33.971305999999998</v>
      </c>
      <c r="S98" s="21">
        <f>tabCustoUnit[[#This Row],[MODULO 1 - REMUNERAÇÃO ]]*SUMIFS(tabParametros[INCRA],tabParametros[Código do Posto],tabCustoUnit[[#This Row],[Código do Posto]])</f>
        <v>6.7942612000000002</v>
      </c>
      <c r="T98" s="21">
        <f>tabCustoUnit[[#This Row],[MODULO 1 - REMUNERAÇÃO ]]*SUMIFS(tabParametros[Salário Educação],tabParametros[Código do Posto],tabCustoUnit[[#This Row],[Código do Posto]])</f>
        <v>84.92826500000001</v>
      </c>
      <c r="U98" s="21">
        <f>tabCustoUnit[[#This Row],[MODULO 1 - REMUNERAÇÃO ]]*SUMIFS(tabParametros[FGTS],tabParametros[Código do Posto],tabCustoUnit[[#This Row],[Código do Posto]])</f>
        <v>271.77044799999999</v>
      </c>
      <c r="V98" s="21">
        <f>tabCustoUnit[[#This Row],[MODULO 1 - REMUNERAÇÃO ]]*SUMIFS(tabParametros[RAT Ajustado],tabParametros[Código do Posto],tabCustoUnit[[#This Row],[Código do Posto]])</f>
        <v>135.88522399999999</v>
      </c>
      <c r="W98" s="21">
        <f>tabCustoUnit[[#This Row],[MODULO 1 - REMUNERAÇÃO ]]*SUMIFS(tabParametros[SEBRAE],tabParametros[Código do Posto],tabCustoUnit[[#This Row],[Código do Posto]])</f>
        <v>20.3827836</v>
      </c>
      <c r="X98" s="21">
        <f>SUM(tabCustoUnit[[#This Row],[INSS]:[SEBRAE]])</f>
        <v>1284.1153668000002</v>
      </c>
      <c r="Y98" s="21">
        <f>tabCustoUnit[[#This Row],[MODULO 1 - REMUNERAÇÃO ]]*SUMIFS(tabParametros[13º salário (titular)],tabParametros[Código do Posto],tabCustoUnit[[#This Row],[Código do Posto]])</f>
        <v>283.09421666666663</v>
      </c>
      <c r="Z98" s="21">
        <f>tabCustoUnit[[#This Row],[MODULO 1 - REMUNERAÇÃO ]]*SUMIFS(tabParametros[Férias e Adicional de Férias (titular)],tabParametros[Código do Posto],tabCustoUnit[[#This Row],[Código do Posto]])</f>
        <v>377.45895555555552</v>
      </c>
      <c r="AA98" s="21">
        <f>IFERROR((tabCustoUnit[[#This Row],[Submódulo 2.1]]/tabCustoUnit[[#This Row],[MODULO 1 - REMUNERAÇÃO ]])*SUM(tabCustoUnit[[#This Row],[13º salário (titular)]:[Férias e Adicional de Férias (titular)]]),0)</f>
        <v>249.68909910000002</v>
      </c>
      <c r="AB98" s="21">
        <f>SUM(tabCustoUnit[[#This Row],[13º salário (titular)]:[Incidência do Submódulo 2.1 sobre 13º Salário, Férias e Adicional de Férias]])</f>
        <v>910.24227132222222</v>
      </c>
      <c r="AC98" s="22" t="e">
        <f ca="1">_xlfn.LET(_xlpm.VT,SUMIF(tabParametros[Código do Posto],tabCustoUnit[[#This Row],[Código do Posto]],tabParametros[Vale - Transporte])*2*20,
IF((_xlpm.VT-tabCustoUnit[[#This Row],[Salário Base]]*0.06)&gt;=0,(_xlpm.VT-tabCustoUnit[[#This Row],[Salário Base]]*0.06),0)
)</f>
        <v>#NAME?</v>
      </c>
      <c r="AD98" s="22">
        <f>IF(SUMIF(tabParametros[Código do Posto],tabCustoUnit[[#This Row],[Código do Posto]],tabParametros[Vale - Alimentação])&lt;=0,0,
SUMIF(tabParametros[Código do Posto],tabCustoUnit[[#This Row],[Código do Posto]],tabParametros[Vale - Alimentação])*20-1)</f>
        <v>582</v>
      </c>
      <c r="AE98" s="22">
        <f>SUMIF(tabParametros[Código do Posto],tabCustoUnit[[#This Row],[Código do Posto]],tabParametros[Cesta Básica])</f>
        <v>0</v>
      </c>
      <c r="AF98" s="22">
        <f>SUMIF(tabParametros[Código do Posto],tabCustoUnit[[#This Row],[Código do Posto]],tabParametros[PAF])</f>
        <v>77.25</v>
      </c>
      <c r="AG98" s="22">
        <f>SUMIF(tabParametros[Código do Posto],tabCustoUnit[[#This Row],[Código do Posto]],tabParametros[PQM])</f>
        <v>0</v>
      </c>
      <c r="AH98" s="22">
        <f>SUMIF(tabParametros[Código do Posto],tabCustoUnit[[#This Row],[Código do Posto]],tabParametros[Abono Único e Especial])</f>
        <v>0</v>
      </c>
      <c r="AI98" s="22">
        <f>SUMIF(tabParametros[Código do Posto],tabCustoUnit[[#This Row],[Código do Posto]],tabParametros[Seguro de Vida])</f>
        <v>3.36</v>
      </c>
      <c r="AJ98" s="22">
        <f>SUMIF(tabParametros[Código do Posto],tabCustoUnit[[#This Row],[Código do Posto]],tabParametros[Despesas de Viagem])</f>
        <v>0</v>
      </c>
      <c r="AK98" s="22" t="e">
        <f ca="1">SUM(tabCustoUnit[[#This Row],[Vale - Transporte (Descontada parcela do empregado)]:[Despesas de Viagem]])</f>
        <v>#NAME?</v>
      </c>
      <c r="AL98" s="22" t="e">
        <f ca="1">tabCustoUnit[[#This Row],[Submódulo 2.1]]+tabCustoUnit[[#This Row],[Submódulo 2.2]]+tabCustoUnit[[#This Row],[Submódulo 2.3]]</f>
        <v>#NAME?</v>
      </c>
      <c r="AM98" s="22">
        <f>SUMIF(tabParametros[Código do Posto],tabCustoUnit[[#This Row],[Código do Posto]],tabParametros[Aviso Prévio Indenizado (API) e Reflexo do Aviso Prévio Indenizado])*tabCustoUnit[[#This Row],[MODULO 1 - REMUNERAÇÃO ]]</f>
        <v>23.819888151890432</v>
      </c>
      <c r="AN98" s="22">
        <f>SUMIF(tabParametros[Código do Posto],tabCustoUnit[[#This Row],[Código do Posto]],tabParametros[Incidência do FGTS sobre API e Reflexo do API])*tabCustoUnit[[#This Row],[MODULO 1 - REMUNERAÇÃO ]]</f>
        <v>1.9055910521512347</v>
      </c>
      <c r="AO98" s="22">
        <f>SUMIF(tabParametros[Código do Posto],tabCustoUnit[[#This Row],[Código do Posto]],tabParametros[Multa Rescisória do FGTS sobre o Aviso Prévio Indenizado])*tabCustoUnit[[#This Row],[MODULO 1 - REMUNERAÇÃO ]]</f>
        <v>0.76223642086049392</v>
      </c>
      <c r="AP98" s="22">
        <f>SUMIF(tabParametros[Código do Posto],tabCustoUnit[[#This Row],[Código do Posto]],tabParametros[Aviso Prévio Trabalhado - APT])*tabCustoUnit[[#This Row],[MODULO 1 - REMUNERAÇÃO ]]</f>
        <v>11.889957100000002</v>
      </c>
      <c r="AQ98" s="22">
        <f>SUMIF(tabParametros[Código do Posto],tabCustoUnit[[#This Row],[Código do Posto]],tabParametros[Incidência dos encargos do submódulo 2.1 sobre Aviso Prévio Trabalhado])*tabCustoUnit[[#This Row],[MODULO 1 - REMUNERAÇÃO ]]</f>
        <v>4.4944037838000011</v>
      </c>
      <c r="AR98" s="22">
        <f>SUMIF(tabParametros[Código do Posto],tabCustoUnit[[#This Row],[Código do Posto]],tabParametros[Multa Rescisória do FGTS])*tabCustoUnit[[#This Row],[MODULO 1 - REMUNERAÇÃO ]]</f>
        <v>103.87670456888887</v>
      </c>
      <c r="AS98" s="22">
        <f>SUMIF(tabParametros[Código do Posto],tabCustoUnit[[#This Row],[Código do Posto]],tabParametros[Indenização Adicional (Art. 9º da Lei nº 7.238/84)])*tabCustoUnit[[#This Row],[MODULO 1 - REMUNERAÇÃO ]]</f>
        <v>2.830942166666667</v>
      </c>
      <c r="AT98" s="22">
        <f>SUM(tabCustoUnit[[#This Row],[Aviso Prévio Indenizado (API) e Reflexo do Aviso Prévio Indenizado]:[Indenização Adicional (Art. 9º da Lei nº 7.238/84)]])</f>
        <v>149.57972324425771</v>
      </c>
      <c r="AU98" s="22">
        <f>SUMIF(tabParametros[Código do Posto],tabCustoUnit[[#This Row],[Código do Posto]],tabParametros[Ausência por Doença])*tabCustoUnit[[#This Row],[MODULO 1 - REMUNERAÇÃO ]]</f>
        <v>28.686880622222219</v>
      </c>
      <c r="AV98" s="22">
        <f>SUMIF(tabParametros[Código do Posto],tabCustoUnit[[#This Row],[Código do Posto]],tabParametros[Ausências Legais])*tabCustoUnit[[#This Row],[MODULO 1 - REMUNERAÇÃO ]]</f>
        <v>6.8886259388888886</v>
      </c>
      <c r="AW98" s="22">
        <f>SUMIF(tabParametros[Código do Posto],tabCustoUnit[[#This Row],[Código do Posto]],tabParametros[Licença Paternidade])*tabCustoUnit[[#This Row],[MODULO 1 - REMUNERAÇÃO ]]</f>
        <v>0.58034314416666666</v>
      </c>
      <c r="AX98" s="22">
        <f>SUMIF(tabParametros[Código do Posto],tabCustoUnit[[#This Row],[Código do Posto]],tabParametros[Ausência por Acidente de Trabalho])*tabCustoUnit[[#This Row],[MODULO 1 - REMUNERAÇÃO ]]</f>
        <v>0.70773554166666675</v>
      </c>
      <c r="AY98" s="22">
        <f>SUMIF(tabParametros[Código do Posto],tabCustoUnit[[#This Row],[Código do Posto]],tabParametros[Férias, Adicional de Férias e 13º  com empregada em gozo de Licença Maternidade])*tabCustoUnit[[#This Row],[MODULO 1 - REMUNERAÇÃO ]]</f>
        <v>4.4036878148148144</v>
      </c>
      <c r="AZ98" s="22">
        <f>SUMIF(tabParametros[Código do Posto],tabCustoUnit[[#This Row],[Código do Posto]],tabParametros[Incidência do Submódulo 2.1 sobre Ausências Legais])*tabCustoUnit[[#This Row],[MODULO 1 - REMUNERAÇÃO ]]</f>
        <v>15.599029217345002</v>
      </c>
      <c r="BA98" s="22">
        <f>SUM(tabCustoUnit[[#This Row],[Ausência por Doença]:[Incidência do Submódulo 2.1 sobre Ausências Legais]])</f>
        <v>56.866302279104261</v>
      </c>
      <c r="BB98" s="22">
        <f>SUMIF(tabParametros[Código do Posto],tabCustoUnit[[#This Row],[Código do Posto]],tabParametros[Intervalo para Repouso ou Alimentação])</f>
        <v>0</v>
      </c>
      <c r="BC98" s="22">
        <f>tabCustoUnit[[#This Row],[Intervalo para Repouso ou Alimentação]]</f>
        <v>0</v>
      </c>
      <c r="BD9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8" s="22">
        <f>tabCustoUnit[[#This Row],[Suspensão Temporária do Contrato de Trabalho]]</f>
        <v>0</v>
      </c>
      <c r="BF98" s="22">
        <f>tabCustoUnit[[#This Row],[Submódulo 4.1]]+tabCustoUnit[[#This Row],[Submódulo 4.2]]+tabCustoUnit[[#This Row],[Submódulo 4.3]]</f>
        <v>56.866302279104261</v>
      </c>
      <c r="BG98" s="22">
        <f>VLOOKUP(tabCustoUnit[[#This Row],[Código do Posto]],tabParametros[],MATCH(tabCustoUnit[[#Headers],[Uniformes e EPIs]],tabParametros[#Headers],0),0)</f>
        <v>56.642978962543395</v>
      </c>
      <c r="BH98" s="22">
        <f>VLOOKUP(tabCustoUnit[[#This Row],[Código do Posto]],tabParametros[],MATCH(tabCustoUnit[[#Headers],[Materiais de Consumo]],tabParametros[#Headers],0),0)</f>
        <v>0</v>
      </c>
      <c r="BI98" s="22">
        <f>VLOOKUP(tabCustoUnit[[#This Row],[Código do Posto]],tabParametros[],MATCH(tabCustoUnit[[#Headers],[Máquinas e Equipamentos (depreciação)]],tabParametros[#Headers],0),0)</f>
        <v>0</v>
      </c>
      <c r="BJ98" s="22">
        <f>VLOOKUP(tabCustoUnit[[#This Row],[Código do Posto]],tabParametros[],MATCH(tabCustoUnit[[#Headers],[Produtos de Limpeza e Materiais de Higiene Pessoal]],tabParametros[#Headers],0),0)</f>
        <v>0</v>
      </c>
      <c r="BK98" s="22">
        <f>VLOOKUP(tabCustoUnit[[#This Row],[Código do Posto]],tabParametros[],MATCH(tabCustoUnit[[#Headers],[Outros (especificar)]],tabParametros[#Headers],0),0)</f>
        <v>0</v>
      </c>
      <c r="BL98" s="22">
        <f>SUM(tabCustoUnit[[#This Row],[Uniformes e EPIs]:[Outros (especificar)]])</f>
        <v>56.642978962543395</v>
      </c>
      <c r="BM9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8" s="22" t="e">
        <f ca="1">VLOOKUP(tabCustoUnit[[#This Row],[Código do Posto]],tabParametros[],MATCH(tabCustoUnit[[#Headers],[Custos Indiretos]],tabParametros[#Headers],0),0)</f>
        <v>#NAME?</v>
      </c>
      <c r="BO98" s="22" t="e">
        <f ca="1">VLOOKUP(tabCustoUnit[[#This Row],[Código do Posto]],tabParametros[],MATCH(tabCustoUnit[[#Headers],[Lucro]],tabParametros[#Headers],0),0)</f>
        <v>#NAME?</v>
      </c>
      <c r="BP98" s="26">
        <f>((100/((1-tabCustoUnit[[#This Row],[Resumo de Alíquotas (PIS+CONFINS+ISS)]]))-100)*VLOOKUP(tabCustoUnit[[#This Row],[Código do Posto]],tabParametros[],MATCH(tabCustoUnit[[#Headers],[COFINS]],tabParametros[#Headers],0),0))/(tabCustoUnit[[#This Row],[Resumo de Alíquotas (PIS+CONFINS+ISS)]]*100)</f>
        <v>8.8629737609329504E-2</v>
      </c>
      <c r="BQ98" s="26">
        <f>((100/((100-(tabCustoUnit[[#This Row],[Resumo de Alíquotas (PIS+CONFINS+ISS)]]*100))%)-100)*VLOOKUP(tabCustoUnit[[#This Row],[Código do Posto]],tabParametros[],MATCH(tabCustoUnit[[#Headers],[PIS]],tabParametros[#Headers],0),0))/(tabCustoUnit[[#This Row],[Resumo de Alíquotas (PIS+CONFINS+ISS)]]*100)</f>
        <v>1.9241982507288629E-2</v>
      </c>
      <c r="BR98" s="28">
        <f>VLOOKUP(tabCustoUnit[[#This Row],[Código do Posto]],tabParametros[],MATCH(tabCustoUnit[[#Headers],[ISS]],tabParametros[#Headers],0),0)</f>
        <v>0.05</v>
      </c>
      <c r="BS98" s="26">
        <f>(((100/((100-(tabCustoUnit[[#This Row],[Resumo de Alíquotas (PIS+CONFINS+ISS)]]*100))%)-100)*tabCustoUnit[[#This Row],[ISS]])/tabCustoUnit[[#This Row],[Resumo de Alíquotas (PIS+CONFINS+ISS)]])/100</f>
        <v>5.8309037900874633E-2</v>
      </c>
      <c r="BT9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98" s="138">
        <f>tabCustoUnit[[#This Row],[COFINS]]+tabCustoUnit[[#This Row],[PIS]]+tabCustoUnit[[#This Row],[ISS (Conversão Alíquota s/ fatura)]]</f>
        <v>0.16618075801749277</v>
      </c>
      <c r="BV98" s="22" t="e">
        <f ca="1">(tabCustoUnit[[#This Row],[TOTAL MÓDULOS 1+2+3+4+5]]+tabCustoUnit[[#This Row],[Custos Indiretos]]+tabCustoUnit[[#This Row],[Lucro]])*tabCustoUnit[[#This Row],[PIS + COFINS + ISS (Total Conversão  Alíquota s/ Fatura)]]</f>
        <v>#NAME?</v>
      </c>
      <c r="BW98" s="22" t="e">
        <f ca="1">tabCustoUnit[[#This Row],[Custos Indiretos]]+tabCustoUnit[[#This Row],[Lucro]]+tabCustoUnit[[#This Row],[Valor dos Tributos (ISS, PIS, CONFINS)]]</f>
        <v>#NAME?</v>
      </c>
      <c r="BX98" s="22" t="e">
        <f ca="1">tabCustoUnit[[#This Row],[TOTAL MÓDULOS 1+2+3+4+5]]+tabCustoUnit[[#This Row],[MÓDULO 6 – CUSTOS INDIRETOS, TRIBUTOS E LUCRO]]</f>
        <v>#NAME?</v>
      </c>
      <c r="BY98" s="22" t="e">
        <f ca="1">tabCustoUnit[[#This Row],[CUSTO TOTAL MENSAL]]*12</f>
        <v>#NAME?</v>
      </c>
      <c r="BZ98" s="24">
        <f>VLOOKUP(tabCustoUnit[[#This Row],[Código do Posto]],tabParametros[],MATCH(tabCustoUnit[[#Headers],[ANO DA CCT]],tabParametros[#Headers],0),0)</f>
        <v>45658</v>
      </c>
      <c r="CA98" s="25" t="str">
        <f>VLOOKUP(tabCustoUnit[[#This Row],[Código do Posto]],tabParametros[],MATCH(tabCustoUnit[[#Headers],[Nº DE PEDIDO DA CCT]],tabParametros[#Headers],0),0)</f>
        <v>-</v>
      </c>
      <c r="CB98" s="25" t="str">
        <f>VLOOKUP(tabCustoUnit[[#This Row],[Código do Posto]],tabParametros[],MATCH(tabCustoUnit[[#Headers],[TERMO ADITIVO ALTERAÇÃO DA CCT]],tabParametros[#Headers],0),0)</f>
        <v>-</v>
      </c>
    </row>
    <row r="99" spans="1:80">
      <c r="A99" s="20" t="s">
        <v>1563</v>
      </c>
      <c r="B99" t="s">
        <v>1111</v>
      </c>
      <c r="C99" t="s">
        <v>314</v>
      </c>
      <c r="D99" t="s">
        <v>918</v>
      </c>
      <c r="E99" s="20" t="s">
        <v>1090</v>
      </c>
      <c r="F99" s="20" t="s">
        <v>120</v>
      </c>
      <c r="G99" s="418">
        <v>1963.4110000000001</v>
      </c>
      <c r="H99" s="418">
        <v>0</v>
      </c>
      <c r="I99" s="418">
        <v>0</v>
      </c>
      <c r="J99" s="418">
        <v>0</v>
      </c>
      <c r="K99" s="418">
        <v>0</v>
      </c>
      <c r="L99" s="418">
        <v>0</v>
      </c>
      <c r="M99" s="418">
        <v>0</v>
      </c>
      <c r="N99" s="418">
        <v>0</v>
      </c>
      <c r="O99" s="21">
        <f>SUM(tabCustoUnit[[#This Row],[Salário Base]:[Adicional de Acúmulo de função]])</f>
        <v>1963.4110000000001</v>
      </c>
      <c r="P99" s="21">
        <f>tabCustoUnit[[#This Row],[MODULO 1 - REMUNERAÇÃO ]]*SUMIFS(tabParametros[INSS],tabParametros[Código do Posto],tabCustoUnit[[#This Row],[Código do Posto]])</f>
        <v>392.68220000000002</v>
      </c>
      <c r="Q99" s="21">
        <f>tabCustoUnit[[#This Row],[MODULO 1 - REMUNERAÇÃO ]]*SUMIFS(tabParametros[SESI OU SESC],tabParametros[Código do Posto],tabCustoUnit[[#This Row],[Código do Posto]])</f>
        <v>29.451165</v>
      </c>
      <c r="R99" s="21">
        <f>tabCustoUnit[[#This Row],[MODULO 1 - REMUNERAÇÃO ]]*SUMIFS(tabParametros[SENAI OU SENAC],tabParametros[Código do Posto],tabCustoUnit[[#This Row],[Código do Posto]])</f>
        <v>19.63411</v>
      </c>
      <c r="S99" s="21">
        <f>tabCustoUnit[[#This Row],[MODULO 1 - REMUNERAÇÃO ]]*SUMIFS(tabParametros[INCRA],tabParametros[Código do Posto],tabCustoUnit[[#This Row],[Código do Posto]])</f>
        <v>3.926822</v>
      </c>
      <c r="T99" s="21">
        <f>tabCustoUnit[[#This Row],[MODULO 1 - REMUNERAÇÃO ]]*SUMIFS(tabParametros[Salário Educação],tabParametros[Código do Posto],tabCustoUnit[[#This Row],[Código do Posto]])</f>
        <v>49.085275000000003</v>
      </c>
      <c r="U99" s="21">
        <f>tabCustoUnit[[#This Row],[MODULO 1 - REMUNERAÇÃO ]]*SUMIFS(tabParametros[FGTS],tabParametros[Código do Posto],tabCustoUnit[[#This Row],[Código do Posto]])</f>
        <v>157.07288</v>
      </c>
      <c r="V99" s="21">
        <f>tabCustoUnit[[#This Row],[MODULO 1 - REMUNERAÇÃO ]]*SUMIFS(tabParametros[RAT Ajustado],tabParametros[Código do Posto],tabCustoUnit[[#This Row],[Código do Posto]])</f>
        <v>78.536439999999999</v>
      </c>
      <c r="W99" s="21">
        <f>tabCustoUnit[[#This Row],[MODULO 1 - REMUNERAÇÃO ]]*SUMIFS(tabParametros[SEBRAE],tabParametros[Código do Posto],tabCustoUnit[[#This Row],[Código do Posto]])</f>
        <v>11.780466000000001</v>
      </c>
      <c r="X99" s="21">
        <f>SUM(tabCustoUnit[[#This Row],[INSS]:[SEBRAE]])</f>
        <v>742.1693580000001</v>
      </c>
      <c r="Y99" s="21">
        <f>tabCustoUnit[[#This Row],[MODULO 1 - REMUNERAÇÃO ]]*SUMIFS(tabParametros[13º salário (titular)],tabParametros[Código do Posto],tabCustoUnit[[#This Row],[Código do Posto]])</f>
        <v>163.61758333333333</v>
      </c>
      <c r="Z99" s="21">
        <f>tabCustoUnit[[#This Row],[MODULO 1 - REMUNERAÇÃO ]]*SUMIFS(tabParametros[Férias e Adicional de Férias (titular)],tabParametros[Código do Posto],tabCustoUnit[[#This Row],[Código do Posto]])</f>
        <v>218.15677777777776</v>
      </c>
      <c r="AA99" s="21">
        <f>IFERROR((tabCustoUnit[[#This Row],[Submódulo 2.1]]/tabCustoUnit[[#This Row],[MODULO 1 - REMUNERAÇÃO ]])*SUM(tabCustoUnit[[#This Row],[13º salário (titular)]:[Férias e Adicional de Férias (titular)]]),0)</f>
        <v>144.3107085</v>
      </c>
      <c r="AB99" s="21">
        <f>SUM(tabCustoUnit[[#This Row],[13º salário (titular)]:[Incidência do Submódulo 2.1 sobre 13º Salário, Férias e Adicional de Férias]])</f>
        <v>526.08506961111107</v>
      </c>
      <c r="AC99" s="22" t="e">
        <f ca="1">_xlfn.LET(_xlpm.VT,SUMIF(tabParametros[Código do Posto],tabCustoUnit[[#This Row],[Código do Posto]],tabParametros[Vale - Transporte])*2*20,
IF((_xlpm.VT-tabCustoUnit[[#This Row],[Salário Base]]*0.06)&gt;=0,(_xlpm.VT-tabCustoUnit[[#This Row],[Salário Base]]*0.06),0)
)</f>
        <v>#NAME?</v>
      </c>
      <c r="AD99" s="22">
        <f>IF(SUMIF(tabParametros[Código do Posto],tabCustoUnit[[#This Row],[Código do Posto]],tabParametros[Vale - Alimentação])&lt;=0,0,
SUMIF(tabParametros[Código do Posto],tabCustoUnit[[#This Row],[Código do Posto]],tabParametros[Vale - Alimentação])*20-1)</f>
        <v>582</v>
      </c>
      <c r="AE99" s="22">
        <f>SUMIF(tabParametros[Código do Posto],tabCustoUnit[[#This Row],[Código do Posto]],tabParametros[Cesta Básica])</f>
        <v>0</v>
      </c>
      <c r="AF99" s="22">
        <f>SUMIF(tabParametros[Código do Posto],tabCustoUnit[[#This Row],[Código do Posto]],tabParametros[PAF])</f>
        <v>0</v>
      </c>
      <c r="AG99" s="22">
        <f>SUMIF(tabParametros[Código do Posto],tabCustoUnit[[#This Row],[Código do Posto]],tabParametros[PQM])</f>
        <v>15.07</v>
      </c>
      <c r="AH99" s="22">
        <f>SUMIF(tabParametros[Código do Posto],tabCustoUnit[[#This Row],[Código do Posto]],tabParametros[Abono Único e Especial])</f>
        <v>0</v>
      </c>
      <c r="AI99" s="22">
        <f>SUMIF(tabParametros[Código do Posto],tabCustoUnit[[#This Row],[Código do Posto]],tabParametros[Seguro de Vida])</f>
        <v>3.36</v>
      </c>
      <c r="AJ99" s="22">
        <f>SUMIF(tabParametros[Código do Posto],tabCustoUnit[[#This Row],[Código do Posto]],tabParametros[Despesas de Viagem])</f>
        <v>0</v>
      </c>
      <c r="AK99" s="22" t="e">
        <f ca="1">SUM(tabCustoUnit[[#This Row],[Vale - Transporte (Descontada parcela do empregado)]:[Despesas de Viagem]])</f>
        <v>#NAME?</v>
      </c>
      <c r="AL99" s="22" t="e">
        <f ca="1">tabCustoUnit[[#This Row],[Submódulo 2.1]]+tabCustoUnit[[#This Row],[Submódulo 2.2]]+tabCustoUnit[[#This Row],[Submódulo 2.3]]</f>
        <v>#NAME?</v>
      </c>
      <c r="AM99" s="22">
        <f>SUMIF(tabParametros[Código do Posto],tabCustoUnit[[#This Row],[Código do Posto]],tabParametros[Aviso Prévio Indenizado (API) e Reflexo do Aviso Prévio Indenizado])*tabCustoUnit[[#This Row],[MODULO 1 - REMUNERAÇÃO ]]</f>
        <v>13.766980408757716</v>
      </c>
      <c r="AN99" s="22">
        <f>SUMIF(tabParametros[Código do Posto],tabCustoUnit[[#This Row],[Código do Posto]],tabParametros[Incidência do FGTS sobre API e Reflexo do API])*tabCustoUnit[[#This Row],[MODULO 1 - REMUNERAÇÃO ]]</f>
        <v>1.1013584327006174</v>
      </c>
      <c r="AO99" s="22">
        <f>SUMIF(tabParametros[Código do Posto],tabCustoUnit[[#This Row],[Código do Posto]],tabParametros[Multa Rescisória do FGTS sobre o Aviso Prévio Indenizado])*tabCustoUnit[[#This Row],[MODULO 1 - REMUNERAÇÃO ]]</f>
        <v>0.44054337308024699</v>
      </c>
      <c r="AP99" s="22">
        <f>SUMIF(tabParametros[Código do Posto],tabCustoUnit[[#This Row],[Código do Posto]],tabParametros[Aviso Prévio Trabalhado - APT])*tabCustoUnit[[#This Row],[MODULO 1 - REMUNERAÇÃO ]]</f>
        <v>6.8719385000000015</v>
      </c>
      <c r="AQ99" s="22">
        <f>SUMIF(tabParametros[Código do Posto],tabCustoUnit[[#This Row],[Código do Posto]],tabParametros[Incidência dos encargos do submódulo 2.1 sobre Aviso Prévio Trabalhado])*tabCustoUnit[[#This Row],[MODULO 1 - REMUNERAÇÃO ]]</f>
        <v>2.5975927530000007</v>
      </c>
      <c r="AR99" s="22">
        <f>SUMIF(tabParametros[Código do Posto],tabCustoUnit[[#This Row],[Código do Posto]],tabParametros[Multa Rescisória do FGTS])*tabCustoUnit[[#This Row],[MODULO 1 - REMUNERAÇÃO ]]</f>
        <v>60.03674524444444</v>
      </c>
      <c r="AS99" s="22">
        <f>SUMIF(tabParametros[Código do Posto],tabCustoUnit[[#This Row],[Código do Posto]],tabParametros[Indenização Adicional (Art. 9º da Lei nº 7.238/84)])*tabCustoUnit[[#This Row],[MODULO 1 - REMUNERAÇÃO ]]</f>
        <v>1.6361758333333334</v>
      </c>
      <c r="AT99" s="22">
        <f>SUM(tabCustoUnit[[#This Row],[Aviso Prévio Indenizado (API) e Reflexo do Aviso Prévio Indenizado]:[Indenização Adicional (Art. 9º da Lei nº 7.238/84)]])</f>
        <v>86.451334545316371</v>
      </c>
      <c r="AU99" s="22">
        <f>SUMIF(tabParametros[Código do Posto],tabCustoUnit[[#This Row],[Código do Posto]],tabParametros[Ausência por Doença])*tabCustoUnit[[#This Row],[MODULO 1 - REMUNERAÇÃO ]]</f>
        <v>16.579915111111109</v>
      </c>
      <c r="AV99" s="22">
        <f>SUMIF(tabParametros[Código do Posto],tabCustoUnit[[#This Row],[Código do Posto]],tabParametros[Ausências Legais])*tabCustoUnit[[#This Row],[MODULO 1 - REMUNERAÇÃO ]]</f>
        <v>3.9813611944444443</v>
      </c>
      <c r="AW99" s="22">
        <f>SUMIF(tabParametros[Código do Posto],tabCustoUnit[[#This Row],[Código do Posto]],tabParametros[Licença Paternidade])*tabCustoUnit[[#This Row],[MODULO 1 - REMUNERAÇÃO ]]</f>
        <v>0.33541604583333334</v>
      </c>
      <c r="AX99" s="22">
        <f>SUMIF(tabParametros[Código do Posto],tabCustoUnit[[#This Row],[Código do Posto]],tabParametros[Ausência por Acidente de Trabalho])*tabCustoUnit[[#This Row],[MODULO 1 - REMUNERAÇÃO ]]</f>
        <v>0.40904395833333335</v>
      </c>
      <c r="AY99" s="22">
        <f>SUMIF(tabParametros[Código do Posto],tabCustoUnit[[#This Row],[Código do Posto]],tabParametros[Férias, Adicional de Férias e 13º  com empregada em gozo de Licença Maternidade])*tabCustoUnit[[#This Row],[MODULO 1 - REMUNERAÇÃO ]]</f>
        <v>2.5451624074074073</v>
      </c>
      <c r="AZ99" s="22">
        <f>SUMIF(tabParametros[Código do Posto],tabCustoUnit[[#This Row],[Código do Posto]],tabParametros[Incidência do Submódulo 2.1 sobre Ausências Legais])*tabCustoUnit[[#This Row],[MODULO 1 - REMUNERAÇÃO ]]</f>
        <v>9.0156397150750021</v>
      </c>
      <c r="BA99" s="22">
        <f>SUM(tabCustoUnit[[#This Row],[Ausência por Doença]:[Incidência do Submódulo 2.1 sobre Ausências Legais]])</f>
        <v>32.866538432204628</v>
      </c>
      <c r="BB99" s="22">
        <f>SUMIF(tabParametros[Código do Posto],tabCustoUnit[[#This Row],[Código do Posto]],tabParametros[Intervalo para Repouso ou Alimentação])</f>
        <v>267.73786489195959</v>
      </c>
      <c r="BC99" s="22">
        <f>tabCustoUnit[[#This Row],[Intervalo para Repouso ou Alimentação]]</f>
        <v>267.73786489195959</v>
      </c>
      <c r="BD9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99" s="22">
        <f>tabCustoUnit[[#This Row],[Suspensão Temporária do Contrato de Trabalho]]</f>
        <v>0</v>
      </c>
      <c r="BF99" s="22">
        <f>tabCustoUnit[[#This Row],[Submódulo 4.1]]+tabCustoUnit[[#This Row],[Submódulo 4.2]]+tabCustoUnit[[#This Row],[Submódulo 4.3]]</f>
        <v>300.6044033241642</v>
      </c>
      <c r="BG99" s="22">
        <f>VLOOKUP(tabCustoUnit[[#This Row],[Código do Posto]],tabParametros[],MATCH(tabCustoUnit[[#Headers],[Uniformes e EPIs]],tabParametros[#Headers],0),0)</f>
        <v>56.642978962543395</v>
      </c>
      <c r="BH99" s="22">
        <f>VLOOKUP(tabCustoUnit[[#This Row],[Código do Posto]],tabParametros[],MATCH(tabCustoUnit[[#Headers],[Materiais de Consumo]],tabParametros[#Headers],0),0)</f>
        <v>0</v>
      </c>
      <c r="BI99" s="22">
        <f>VLOOKUP(tabCustoUnit[[#This Row],[Código do Posto]],tabParametros[],MATCH(tabCustoUnit[[#Headers],[Máquinas e Equipamentos (depreciação)]],tabParametros[#Headers],0),0)</f>
        <v>0</v>
      </c>
      <c r="BJ99" s="22">
        <f>VLOOKUP(tabCustoUnit[[#This Row],[Código do Posto]],tabParametros[],MATCH(tabCustoUnit[[#Headers],[Produtos de Limpeza e Materiais de Higiene Pessoal]],tabParametros[#Headers],0),0)</f>
        <v>0</v>
      </c>
      <c r="BK99" s="22">
        <f>VLOOKUP(tabCustoUnit[[#This Row],[Código do Posto]],tabParametros[],MATCH(tabCustoUnit[[#Headers],[Outros (especificar)]],tabParametros[#Headers],0),0)</f>
        <v>0</v>
      </c>
      <c r="BL99" s="22">
        <f>SUM(tabCustoUnit[[#This Row],[Uniformes e EPIs]:[Outros (especificar)]])</f>
        <v>56.642978962543395</v>
      </c>
      <c r="BM9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99" s="22" t="e">
        <f ca="1">VLOOKUP(tabCustoUnit[[#This Row],[Código do Posto]],tabParametros[],MATCH(tabCustoUnit[[#Headers],[Custos Indiretos]],tabParametros[#Headers],0),0)</f>
        <v>#NAME?</v>
      </c>
      <c r="BO99" s="22" t="e">
        <f ca="1">VLOOKUP(tabCustoUnit[[#This Row],[Código do Posto]],tabParametros[],MATCH(tabCustoUnit[[#Headers],[Lucro]],tabParametros[#Headers],0),0)</f>
        <v>#NAME?</v>
      </c>
      <c r="BP99" s="26">
        <f>((100/((1-tabCustoUnit[[#This Row],[Resumo de Alíquotas (PIS+CONFINS+ISS)]]))-100)*VLOOKUP(tabCustoUnit[[#This Row],[Código do Posto]],tabParametros[],MATCH(tabCustoUnit[[#Headers],[COFINS]],tabParametros[#Headers],0),0))/(tabCustoUnit[[#This Row],[Resumo de Alíquotas (PIS+CONFINS+ISS)]]*100)</f>
        <v>8.5633802816901458E-2</v>
      </c>
      <c r="BQ99" s="26">
        <f>((100/((100-(tabCustoUnit[[#This Row],[Resumo de Alíquotas (PIS+CONFINS+ISS)]]*100))%)-100)*VLOOKUP(tabCustoUnit[[#This Row],[Código do Posto]],tabParametros[],MATCH(tabCustoUnit[[#Headers],[PIS]],tabParametros[#Headers],0),0))/(tabCustoUnit[[#This Row],[Resumo de Alíquotas (PIS+CONFINS+ISS)]]*100)</f>
        <v>1.8591549295774657E-2</v>
      </c>
      <c r="BR99" s="28">
        <f>VLOOKUP(tabCustoUnit[[#This Row],[Código do Posto]],tabParametros[],MATCH(tabCustoUnit[[#Headers],[ISS]],tabParametros[#Headers],0),0)</f>
        <v>0.02</v>
      </c>
      <c r="BS99" s="26">
        <f>(((100/((100-(tabCustoUnit[[#This Row],[Resumo de Alíquotas (PIS+CONFINS+ISS)]]*100))%)-100)*tabCustoUnit[[#This Row],[ISS]])/tabCustoUnit[[#This Row],[Resumo de Alíquotas (PIS+CONFINS+ISS)]])/100</f>
        <v>2.2535211267605645E-2</v>
      </c>
      <c r="BT9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9" s="138">
        <f>tabCustoUnit[[#This Row],[COFINS]]+tabCustoUnit[[#This Row],[PIS]]+tabCustoUnit[[#This Row],[ISS (Conversão Alíquota s/ fatura)]]</f>
        <v>0.12676056338028174</v>
      </c>
      <c r="BV99" s="22" t="e">
        <f ca="1">(tabCustoUnit[[#This Row],[TOTAL MÓDULOS 1+2+3+4+5]]+tabCustoUnit[[#This Row],[Custos Indiretos]]+tabCustoUnit[[#This Row],[Lucro]])*tabCustoUnit[[#This Row],[PIS + COFINS + ISS (Total Conversão  Alíquota s/ Fatura)]]</f>
        <v>#NAME?</v>
      </c>
      <c r="BW99" s="22" t="e">
        <f ca="1">tabCustoUnit[[#This Row],[Custos Indiretos]]+tabCustoUnit[[#This Row],[Lucro]]+tabCustoUnit[[#This Row],[Valor dos Tributos (ISS, PIS, CONFINS)]]</f>
        <v>#NAME?</v>
      </c>
      <c r="BX99" s="22" t="e">
        <f ca="1">tabCustoUnit[[#This Row],[TOTAL MÓDULOS 1+2+3+4+5]]+tabCustoUnit[[#This Row],[MÓDULO 6 – CUSTOS INDIRETOS, TRIBUTOS E LUCRO]]</f>
        <v>#NAME?</v>
      </c>
      <c r="BY99" s="22" t="e">
        <f ca="1">tabCustoUnit[[#This Row],[CUSTO TOTAL MENSAL]]*12</f>
        <v>#NAME?</v>
      </c>
      <c r="BZ99" s="24">
        <f>VLOOKUP(tabCustoUnit[[#This Row],[Código do Posto]],tabParametros[],MATCH(tabCustoUnit[[#Headers],[ANO DA CCT]],tabParametros[#Headers],0),0)</f>
        <v>45658</v>
      </c>
      <c r="CA99" s="25" t="str">
        <f>VLOOKUP(tabCustoUnit[[#This Row],[Código do Posto]],tabParametros[],MATCH(tabCustoUnit[[#Headers],[Nº DE PEDIDO DA CCT]],tabParametros[#Headers],0),0)</f>
        <v>-</v>
      </c>
      <c r="CB99" s="25" t="str">
        <f>VLOOKUP(tabCustoUnit[[#This Row],[Código do Posto]],tabParametros[],MATCH(tabCustoUnit[[#Headers],[TERMO ADITIVO ALTERAÇÃO DA CCT]],tabParametros[#Headers],0),0)</f>
        <v>-</v>
      </c>
    </row>
    <row r="100" spans="1:80">
      <c r="A100" s="20" t="s">
        <v>1564</v>
      </c>
      <c r="B100" t="s">
        <v>1112</v>
      </c>
      <c r="C100" t="s">
        <v>324</v>
      </c>
      <c r="D100" t="s">
        <v>921</v>
      </c>
      <c r="E100" s="20" t="s">
        <v>1090</v>
      </c>
      <c r="F100" s="20" t="s">
        <v>120</v>
      </c>
      <c r="G100" s="418">
        <v>3397.1306</v>
      </c>
      <c r="H100" s="418">
        <v>0</v>
      </c>
      <c r="I100" s="418">
        <v>0</v>
      </c>
      <c r="J100" s="418">
        <v>0</v>
      </c>
      <c r="K100" s="418">
        <v>0</v>
      </c>
      <c r="L100" s="418">
        <v>0</v>
      </c>
      <c r="M100" s="418">
        <v>0</v>
      </c>
      <c r="N100" s="418">
        <v>0</v>
      </c>
      <c r="O100" s="21">
        <f>SUM(tabCustoUnit[[#This Row],[Salário Base]:[Adicional de Acúmulo de função]])</f>
        <v>3397.1306</v>
      </c>
      <c r="P100" s="21">
        <f>tabCustoUnit[[#This Row],[MODULO 1 - REMUNERAÇÃO ]]*SUMIFS(tabParametros[INSS],tabParametros[Código do Posto],tabCustoUnit[[#This Row],[Código do Posto]])</f>
        <v>679.42612000000008</v>
      </c>
      <c r="Q100" s="21">
        <f>tabCustoUnit[[#This Row],[MODULO 1 - REMUNERAÇÃO ]]*SUMIFS(tabParametros[SESI OU SESC],tabParametros[Código do Posto],tabCustoUnit[[#This Row],[Código do Posto]])</f>
        <v>50.956958999999998</v>
      </c>
      <c r="R100" s="21">
        <f>tabCustoUnit[[#This Row],[MODULO 1 - REMUNERAÇÃO ]]*SUMIFS(tabParametros[SENAI OU SENAC],tabParametros[Código do Posto],tabCustoUnit[[#This Row],[Código do Posto]])</f>
        <v>33.971305999999998</v>
      </c>
      <c r="S100" s="21">
        <f>tabCustoUnit[[#This Row],[MODULO 1 - REMUNERAÇÃO ]]*SUMIFS(tabParametros[INCRA],tabParametros[Código do Posto],tabCustoUnit[[#This Row],[Código do Posto]])</f>
        <v>6.7942612000000002</v>
      </c>
      <c r="T100" s="21">
        <f>tabCustoUnit[[#This Row],[MODULO 1 - REMUNERAÇÃO ]]*SUMIFS(tabParametros[Salário Educação],tabParametros[Código do Posto],tabCustoUnit[[#This Row],[Código do Posto]])</f>
        <v>84.92826500000001</v>
      </c>
      <c r="U100" s="21">
        <f>tabCustoUnit[[#This Row],[MODULO 1 - REMUNERAÇÃO ]]*SUMIFS(tabParametros[FGTS],tabParametros[Código do Posto],tabCustoUnit[[#This Row],[Código do Posto]])</f>
        <v>271.77044799999999</v>
      </c>
      <c r="V100" s="21">
        <f>tabCustoUnit[[#This Row],[MODULO 1 - REMUNERAÇÃO ]]*SUMIFS(tabParametros[RAT Ajustado],tabParametros[Código do Posto],tabCustoUnit[[#This Row],[Código do Posto]])</f>
        <v>135.88522399999999</v>
      </c>
      <c r="W100" s="21">
        <f>tabCustoUnit[[#This Row],[MODULO 1 - REMUNERAÇÃO ]]*SUMIFS(tabParametros[SEBRAE],tabParametros[Código do Posto],tabCustoUnit[[#This Row],[Código do Posto]])</f>
        <v>20.3827836</v>
      </c>
      <c r="X100" s="21">
        <f>SUM(tabCustoUnit[[#This Row],[INSS]:[SEBRAE]])</f>
        <v>1284.1153668000002</v>
      </c>
      <c r="Y100" s="21">
        <f>tabCustoUnit[[#This Row],[MODULO 1 - REMUNERAÇÃO ]]*SUMIFS(tabParametros[13º salário (titular)],tabParametros[Código do Posto],tabCustoUnit[[#This Row],[Código do Posto]])</f>
        <v>283.09421666666663</v>
      </c>
      <c r="Z100" s="21">
        <f>tabCustoUnit[[#This Row],[MODULO 1 - REMUNERAÇÃO ]]*SUMIFS(tabParametros[Férias e Adicional de Férias (titular)],tabParametros[Código do Posto],tabCustoUnit[[#This Row],[Código do Posto]])</f>
        <v>377.45895555555552</v>
      </c>
      <c r="AA100" s="21">
        <f>IFERROR((tabCustoUnit[[#This Row],[Submódulo 2.1]]/tabCustoUnit[[#This Row],[MODULO 1 - REMUNERAÇÃO ]])*SUM(tabCustoUnit[[#This Row],[13º salário (titular)]:[Férias e Adicional de Férias (titular)]]),0)</f>
        <v>249.68909910000002</v>
      </c>
      <c r="AB100" s="21">
        <f>SUM(tabCustoUnit[[#This Row],[13º salário (titular)]:[Incidência do Submódulo 2.1 sobre 13º Salário, Férias e Adicional de Férias]])</f>
        <v>910.24227132222222</v>
      </c>
      <c r="AC100" s="22" t="e">
        <f ca="1">_xlfn.LET(_xlpm.VT,SUMIF(tabParametros[Código do Posto],tabCustoUnit[[#This Row],[Código do Posto]],tabParametros[Vale - Transporte])*2*20,
IF((_xlpm.VT-tabCustoUnit[[#This Row],[Salário Base]]*0.06)&gt;=0,(_xlpm.VT-tabCustoUnit[[#This Row],[Salário Base]]*0.06),0)
)</f>
        <v>#NAME?</v>
      </c>
      <c r="AD100" s="22">
        <f>IF(SUMIF(tabParametros[Código do Posto],tabCustoUnit[[#This Row],[Código do Posto]],tabParametros[Vale - Alimentação])&lt;=0,0,
SUMIF(tabParametros[Código do Posto],tabCustoUnit[[#This Row],[Código do Posto]],tabParametros[Vale - Alimentação])*20-1)</f>
        <v>582</v>
      </c>
      <c r="AE100" s="22">
        <f>SUMIF(tabParametros[Código do Posto],tabCustoUnit[[#This Row],[Código do Posto]],tabParametros[Cesta Básica])</f>
        <v>0</v>
      </c>
      <c r="AF100" s="22">
        <f>SUMIF(tabParametros[Código do Posto],tabCustoUnit[[#This Row],[Código do Posto]],tabParametros[PAF])</f>
        <v>0</v>
      </c>
      <c r="AG100" s="22">
        <f>SUMIF(tabParametros[Código do Posto],tabCustoUnit[[#This Row],[Código do Posto]],tabParametros[PQM])</f>
        <v>15.07</v>
      </c>
      <c r="AH100" s="22">
        <f>SUMIF(tabParametros[Código do Posto],tabCustoUnit[[#This Row],[Código do Posto]],tabParametros[Abono Único e Especial])</f>
        <v>0</v>
      </c>
      <c r="AI100" s="22">
        <f>SUMIF(tabParametros[Código do Posto],tabCustoUnit[[#This Row],[Código do Posto]],tabParametros[Seguro de Vida])</f>
        <v>3.36</v>
      </c>
      <c r="AJ100" s="22">
        <f>SUMIF(tabParametros[Código do Posto],tabCustoUnit[[#This Row],[Código do Posto]],tabParametros[Despesas de Viagem])</f>
        <v>0</v>
      </c>
      <c r="AK100" s="22" t="e">
        <f ca="1">SUM(tabCustoUnit[[#This Row],[Vale - Transporte (Descontada parcela do empregado)]:[Despesas de Viagem]])</f>
        <v>#NAME?</v>
      </c>
      <c r="AL100" s="22" t="e">
        <f ca="1">tabCustoUnit[[#This Row],[Submódulo 2.1]]+tabCustoUnit[[#This Row],[Submódulo 2.2]]+tabCustoUnit[[#This Row],[Submódulo 2.3]]</f>
        <v>#NAME?</v>
      </c>
      <c r="AM100" s="22">
        <f>SUMIF(tabParametros[Código do Posto],tabCustoUnit[[#This Row],[Código do Posto]],tabParametros[Aviso Prévio Indenizado (API) e Reflexo do Aviso Prévio Indenizado])*tabCustoUnit[[#This Row],[MODULO 1 - REMUNERAÇÃO ]]</f>
        <v>23.819888151890432</v>
      </c>
      <c r="AN100" s="22">
        <f>SUMIF(tabParametros[Código do Posto],tabCustoUnit[[#This Row],[Código do Posto]],tabParametros[Incidência do FGTS sobre API e Reflexo do API])*tabCustoUnit[[#This Row],[MODULO 1 - REMUNERAÇÃO ]]</f>
        <v>1.9055910521512347</v>
      </c>
      <c r="AO100" s="22">
        <f>SUMIF(tabParametros[Código do Posto],tabCustoUnit[[#This Row],[Código do Posto]],tabParametros[Multa Rescisória do FGTS sobre o Aviso Prévio Indenizado])*tabCustoUnit[[#This Row],[MODULO 1 - REMUNERAÇÃO ]]</f>
        <v>0.76223642086049392</v>
      </c>
      <c r="AP100" s="22">
        <f>SUMIF(tabParametros[Código do Posto],tabCustoUnit[[#This Row],[Código do Posto]],tabParametros[Aviso Prévio Trabalhado - APT])*tabCustoUnit[[#This Row],[MODULO 1 - REMUNERAÇÃO ]]</f>
        <v>11.889957100000002</v>
      </c>
      <c r="AQ100" s="22">
        <f>SUMIF(tabParametros[Código do Posto],tabCustoUnit[[#This Row],[Código do Posto]],tabParametros[Incidência dos encargos do submódulo 2.1 sobre Aviso Prévio Trabalhado])*tabCustoUnit[[#This Row],[MODULO 1 - REMUNERAÇÃO ]]</f>
        <v>4.4944037838000011</v>
      </c>
      <c r="AR100" s="22">
        <f>SUMIF(tabParametros[Código do Posto],tabCustoUnit[[#This Row],[Código do Posto]],tabParametros[Multa Rescisória do FGTS])*tabCustoUnit[[#This Row],[MODULO 1 - REMUNERAÇÃO ]]</f>
        <v>103.87670456888887</v>
      </c>
      <c r="AS100" s="22">
        <f>SUMIF(tabParametros[Código do Posto],tabCustoUnit[[#This Row],[Código do Posto]],tabParametros[Indenização Adicional (Art. 9º da Lei nº 7.238/84)])*tabCustoUnit[[#This Row],[MODULO 1 - REMUNERAÇÃO ]]</f>
        <v>2.830942166666667</v>
      </c>
      <c r="AT100" s="22">
        <f>SUM(tabCustoUnit[[#This Row],[Aviso Prévio Indenizado (API) e Reflexo do Aviso Prévio Indenizado]:[Indenização Adicional (Art. 9º da Lei nº 7.238/84)]])</f>
        <v>149.57972324425771</v>
      </c>
      <c r="AU100" s="22">
        <f>SUMIF(tabParametros[Código do Posto],tabCustoUnit[[#This Row],[Código do Posto]],tabParametros[Ausência por Doença])*tabCustoUnit[[#This Row],[MODULO 1 - REMUNERAÇÃO ]]</f>
        <v>28.686880622222219</v>
      </c>
      <c r="AV100" s="22">
        <f>SUMIF(tabParametros[Código do Posto],tabCustoUnit[[#This Row],[Código do Posto]],tabParametros[Ausências Legais])*tabCustoUnit[[#This Row],[MODULO 1 - REMUNERAÇÃO ]]</f>
        <v>6.8886259388888886</v>
      </c>
      <c r="AW100" s="22">
        <f>SUMIF(tabParametros[Código do Posto],tabCustoUnit[[#This Row],[Código do Posto]],tabParametros[Licença Paternidade])*tabCustoUnit[[#This Row],[MODULO 1 - REMUNERAÇÃO ]]</f>
        <v>0.58034314416666666</v>
      </c>
      <c r="AX100" s="22">
        <f>SUMIF(tabParametros[Código do Posto],tabCustoUnit[[#This Row],[Código do Posto]],tabParametros[Ausência por Acidente de Trabalho])*tabCustoUnit[[#This Row],[MODULO 1 - REMUNERAÇÃO ]]</f>
        <v>0.70773554166666675</v>
      </c>
      <c r="AY100" s="22">
        <f>SUMIF(tabParametros[Código do Posto],tabCustoUnit[[#This Row],[Código do Posto]],tabParametros[Férias, Adicional de Férias e 13º  com empregada em gozo de Licença Maternidade])*tabCustoUnit[[#This Row],[MODULO 1 - REMUNERAÇÃO ]]</f>
        <v>4.4036878148148144</v>
      </c>
      <c r="AZ100" s="22">
        <f>SUMIF(tabParametros[Código do Posto],tabCustoUnit[[#This Row],[Código do Posto]],tabParametros[Incidência do Submódulo 2.1 sobre Ausências Legais])*tabCustoUnit[[#This Row],[MODULO 1 - REMUNERAÇÃO ]]</f>
        <v>15.599029217345002</v>
      </c>
      <c r="BA100" s="22">
        <f>SUM(tabCustoUnit[[#This Row],[Ausência por Doença]:[Incidência do Submódulo 2.1 sobre Ausências Legais]])</f>
        <v>56.866302279104261</v>
      </c>
      <c r="BB100" s="22">
        <f>SUMIF(tabParametros[Código do Posto],tabCustoUnit[[#This Row],[Código do Posto]],tabParametros[Intervalo para Repouso ou Alimentação])</f>
        <v>0</v>
      </c>
      <c r="BC100" s="22">
        <f>tabCustoUnit[[#This Row],[Intervalo para Repouso ou Alimentação]]</f>
        <v>0</v>
      </c>
      <c r="BD10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0" s="22">
        <f>tabCustoUnit[[#This Row],[Suspensão Temporária do Contrato de Trabalho]]</f>
        <v>0</v>
      </c>
      <c r="BF100" s="22">
        <f>tabCustoUnit[[#This Row],[Submódulo 4.1]]+tabCustoUnit[[#This Row],[Submódulo 4.2]]+tabCustoUnit[[#This Row],[Submódulo 4.3]]</f>
        <v>56.866302279104261</v>
      </c>
      <c r="BG100" s="22">
        <f>VLOOKUP(tabCustoUnit[[#This Row],[Código do Posto]],tabParametros[],MATCH(tabCustoUnit[[#Headers],[Uniformes e EPIs]],tabParametros[#Headers],0),0)</f>
        <v>56.642978962543395</v>
      </c>
      <c r="BH100" s="22">
        <f>VLOOKUP(tabCustoUnit[[#This Row],[Código do Posto]],tabParametros[],MATCH(tabCustoUnit[[#Headers],[Materiais de Consumo]],tabParametros[#Headers],0),0)</f>
        <v>0</v>
      </c>
      <c r="BI100" s="22">
        <f>VLOOKUP(tabCustoUnit[[#This Row],[Código do Posto]],tabParametros[],MATCH(tabCustoUnit[[#Headers],[Máquinas e Equipamentos (depreciação)]],tabParametros[#Headers],0),0)</f>
        <v>0</v>
      </c>
      <c r="BJ100" s="22">
        <f>VLOOKUP(tabCustoUnit[[#This Row],[Código do Posto]],tabParametros[],MATCH(tabCustoUnit[[#Headers],[Produtos de Limpeza e Materiais de Higiene Pessoal]],tabParametros[#Headers],0),0)</f>
        <v>0</v>
      </c>
      <c r="BK100" s="22">
        <f>VLOOKUP(tabCustoUnit[[#This Row],[Código do Posto]],tabParametros[],MATCH(tabCustoUnit[[#Headers],[Outros (especificar)]],tabParametros[#Headers],0),0)</f>
        <v>0</v>
      </c>
      <c r="BL100" s="22">
        <f>SUM(tabCustoUnit[[#This Row],[Uniformes e EPIs]:[Outros (especificar)]])</f>
        <v>56.642978962543395</v>
      </c>
      <c r="BM10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0" s="22" t="e">
        <f ca="1">VLOOKUP(tabCustoUnit[[#This Row],[Código do Posto]],tabParametros[],MATCH(tabCustoUnit[[#Headers],[Custos Indiretos]],tabParametros[#Headers],0),0)</f>
        <v>#NAME?</v>
      </c>
      <c r="BO100" s="22" t="e">
        <f ca="1">VLOOKUP(tabCustoUnit[[#This Row],[Código do Posto]],tabParametros[],MATCH(tabCustoUnit[[#Headers],[Lucro]],tabParametros[#Headers],0),0)</f>
        <v>#NAME?</v>
      </c>
      <c r="BP100" s="26">
        <f>((100/((1-tabCustoUnit[[#This Row],[Resumo de Alíquotas (PIS+CONFINS+ISS)]]))-100)*VLOOKUP(tabCustoUnit[[#This Row],[Código do Posto]],tabParametros[],MATCH(tabCustoUnit[[#Headers],[COFINS]],tabParametros[#Headers],0),0))/(tabCustoUnit[[#This Row],[Resumo de Alíquotas (PIS+CONFINS+ISS)]]*100)</f>
        <v>8.6609686609686695E-2</v>
      </c>
      <c r="BQ100" s="26">
        <f>((100/((100-(tabCustoUnit[[#This Row],[Resumo de Alíquotas (PIS+CONFINS+ISS)]]*100))%)-100)*VLOOKUP(tabCustoUnit[[#This Row],[Código do Posto]],tabParametros[],MATCH(tabCustoUnit[[#Headers],[PIS]],tabParametros[#Headers],0),0))/(tabCustoUnit[[#This Row],[Resumo de Alíquotas (PIS+CONFINS+ISS)]]*100)</f>
        <v>1.880341880341882E-2</v>
      </c>
      <c r="BR100" s="28">
        <f>VLOOKUP(tabCustoUnit[[#This Row],[Código do Posto]],tabParametros[],MATCH(tabCustoUnit[[#Headers],[ISS]],tabParametros[#Headers],0),0)</f>
        <v>0.03</v>
      </c>
      <c r="BS100" s="26">
        <f>(((100/((100-(tabCustoUnit[[#This Row],[Resumo de Alíquotas (PIS+CONFINS+ISS)]]*100))%)-100)*tabCustoUnit[[#This Row],[ISS]])/tabCustoUnit[[#This Row],[Resumo de Alíquotas (PIS+CONFINS+ISS)]])/100</f>
        <v>3.4188034188034219E-2</v>
      </c>
      <c r="BT10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00" s="138">
        <f>tabCustoUnit[[#This Row],[COFINS]]+tabCustoUnit[[#This Row],[PIS]]+tabCustoUnit[[#This Row],[ISS (Conversão Alíquota s/ fatura)]]</f>
        <v>0.13960113960113973</v>
      </c>
      <c r="BV100" s="22" t="e">
        <f ca="1">(tabCustoUnit[[#This Row],[TOTAL MÓDULOS 1+2+3+4+5]]+tabCustoUnit[[#This Row],[Custos Indiretos]]+tabCustoUnit[[#This Row],[Lucro]])*tabCustoUnit[[#This Row],[PIS + COFINS + ISS (Total Conversão  Alíquota s/ Fatura)]]</f>
        <v>#NAME?</v>
      </c>
      <c r="BW100" s="22" t="e">
        <f ca="1">tabCustoUnit[[#This Row],[Custos Indiretos]]+tabCustoUnit[[#This Row],[Lucro]]+tabCustoUnit[[#This Row],[Valor dos Tributos (ISS, PIS, CONFINS)]]</f>
        <v>#NAME?</v>
      </c>
      <c r="BX100" s="22" t="e">
        <f ca="1">tabCustoUnit[[#This Row],[TOTAL MÓDULOS 1+2+3+4+5]]+tabCustoUnit[[#This Row],[MÓDULO 6 – CUSTOS INDIRETOS, TRIBUTOS E LUCRO]]</f>
        <v>#NAME?</v>
      </c>
      <c r="BY100" s="22" t="e">
        <f ca="1">tabCustoUnit[[#This Row],[CUSTO TOTAL MENSAL]]*12</f>
        <v>#NAME?</v>
      </c>
      <c r="BZ100" s="24">
        <f>VLOOKUP(tabCustoUnit[[#This Row],[Código do Posto]],tabParametros[],MATCH(tabCustoUnit[[#Headers],[ANO DA CCT]],tabParametros[#Headers],0),0)</f>
        <v>45658</v>
      </c>
      <c r="CA100" s="25" t="str">
        <f>VLOOKUP(tabCustoUnit[[#This Row],[Código do Posto]],tabParametros[],MATCH(tabCustoUnit[[#Headers],[Nº DE PEDIDO DA CCT]],tabParametros[#Headers],0),0)</f>
        <v>-</v>
      </c>
      <c r="CB100" s="25" t="str">
        <f>VLOOKUP(tabCustoUnit[[#This Row],[Código do Posto]],tabParametros[],MATCH(tabCustoUnit[[#Headers],[TERMO ADITIVO ALTERAÇÃO DA CCT]],tabParametros[#Headers],0),0)</f>
        <v>-</v>
      </c>
    </row>
    <row r="101" spans="1:80">
      <c r="A101" s="20" t="s">
        <v>1565</v>
      </c>
      <c r="B101" t="s">
        <v>1113</v>
      </c>
      <c r="C101" t="s">
        <v>314</v>
      </c>
      <c r="D101" t="s">
        <v>918</v>
      </c>
      <c r="E101" s="20" t="s">
        <v>1090</v>
      </c>
      <c r="F101" s="20" t="s">
        <v>120</v>
      </c>
      <c r="G101" s="418">
        <v>1963.4110000000001</v>
      </c>
      <c r="H101" s="418">
        <v>0</v>
      </c>
      <c r="I101" s="418">
        <v>0</v>
      </c>
      <c r="J101" s="418">
        <v>0</v>
      </c>
      <c r="K101" s="418">
        <v>0</v>
      </c>
      <c r="L101" s="418">
        <v>0</v>
      </c>
      <c r="M101" s="418">
        <v>0</v>
      </c>
      <c r="N101" s="418">
        <v>0</v>
      </c>
      <c r="O101" s="21">
        <f>SUM(tabCustoUnit[[#This Row],[Salário Base]:[Adicional de Acúmulo de função]])</f>
        <v>1963.4110000000001</v>
      </c>
      <c r="P101" s="21">
        <f>tabCustoUnit[[#This Row],[MODULO 1 - REMUNERAÇÃO ]]*SUMIFS(tabParametros[INSS],tabParametros[Código do Posto],tabCustoUnit[[#This Row],[Código do Posto]])</f>
        <v>392.68220000000002</v>
      </c>
      <c r="Q101" s="21">
        <f>tabCustoUnit[[#This Row],[MODULO 1 - REMUNERAÇÃO ]]*SUMIFS(tabParametros[SESI OU SESC],tabParametros[Código do Posto],tabCustoUnit[[#This Row],[Código do Posto]])</f>
        <v>29.451165</v>
      </c>
      <c r="R101" s="21">
        <f>tabCustoUnit[[#This Row],[MODULO 1 - REMUNERAÇÃO ]]*SUMIFS(tabParametros[SENAI OU SENAC],tabParametros[Código do Posto],tabCustoUnit[[#This Row],[Código do Posto]])</f>
        <v>19.63411</v>
      </c>
      <c r="S101" s="21">
        <f>tabCustoUnit[[#This Row],[MODULO 1 - REMUNERAÇÃO ]]*SUMIFS(tabParametros[INCRA],tabParametros[Código do Posto],tabCustoUnit[[#This Row],[Código do Posto]])</f>
        <v>3.926822</v>
      </c>
      <c r="T101" s="21">
        <f>tabCustoUnit[[#This Row],[MODULO 1 - REMUNERAÇÃO ]]*SUMIFS(tabParametros[Salário Educação],tabParametros[Código do Posto],tabCustoUnit[[#This Row],[Código do Posto]])</f>
        <v>49.085275000000003</v>
      </c>
      <c r="U101" s="21">
        <f>tabCustoUnit[[#This Row],[MODULO 1 - REMUNERAÇÃO ]]*SUMIFS(tabParametros[FGTS],tabParametros[Código do Posto],tabCustoUnit[[#This Row],[Código do Posto]])</f>
        <v>157.07288</v>
      </c>
      <c r="V101" s="21">
        <f>tabCustoUnit[[#This Row],[MODULO 1 - REMUNERAÇÃO ]]*SUMIFS(tabParametros[RAT Ajustado],tabParametros[Código do Posto],tabCustoUnit[[#This Row],[Código do Posto]])</f>
        <v>78.536439999999999</v>
      </c>
      <c r="W101" s="21">
        <f>tabCustoUnit[[#This Row],[MODULO 1 - REMUNERAÇÃO ]]*SUMIFS(tabParametros[SEBRAE],tabParametros[Código do Posto],tabCustoUnit[[#This Row],[Código do Posto]])</f>
        <v>11.780466000000001</v>
      </c>
      <c r="X101" s="21">
        <f>SUM(tabCustoUnit[[#This Row],[INSS]:[SEBRAE]])</f>
        <v>742.1693580000001</v>
      </c>
      <c r="Y101" s="21">
        <f>tabCustoUnit[[#This Row],[MODULO 1 - REMUNERAÇÃO ]]*SUMIFS(tabParametros[13º salário (titular)],tabParametros[Código do Posto],tabCustoUnit[[#This Row],[Código do Posto]])</f>
        <v>163.61758333333333</v>
      </c>
      <c r="Z101" s="21">
        <f>tabCustoUnit[[#This Row],[MODULO 1 - REMUNERAÇÃO ]]*SUMIFS(tabParametros[Férias e Adicional de Férias (titular)],tabParametros[Código do Posto],tabCustoUnit[[#This Row],[Código do Posto]])</f>
        <v>218.15677777777776</v>
      </c>
      <c r="AA101" s="21">
        <f>IFERROR((tabCustoUnit[[#This Row],[Submódulo 2.1]]/tabCustoUnit[[#This Row],[MODULO 1 - REMUNERAÇÃO ]])*SUM(tabCustoUnit[[#This Row],[13º salário (titular)]:[Férias e Adicional de Férias (titular)]]),0)</f>
        <v>144.3107085</v>
      </c>
      <c r="AB101" s="21">
        <f>SUM(tabCustoUnit[[#This Row],[13º salário (titular)]:[Incidência do Submódulo 2.1 sobre 13º Salário, Férias e Adicional de Férias]])</f>
        <v>526.08506961111107</v>
      </c>
      <c r="AC101" s="22" t="e">
        <f ca="1">_xlfn.LET(_xlpm.VT,SUMIF(tabParametros[Código do Posto],tabCustoUnit[[#This Row],[Código do Posto]],tabParametros[Vale - Transporte])*2*20,
IF((_xlpm.VT-tabCustoUnit[[#This Row],[Salário Base]]*0.06)&gt;=0,(_xlpm.VT-tabCustoUnit[[#This Row],[Salário Base]]*0.06),0)
)</f>
        <v>#NAME?</v>
      </c>
      <c r="AD101" s="22">
        <f>IF(SUMIF(tabParametros[Código do Posto],tabCustoUnit[[#This Row],[Código do Posto]],tabParametros[Vale - Alimentação])&lt;=0,0,
SUMIF(tabParametros[Código do Posto],tabCustoUnit[[#This Row],[Código do Posto]],tabParametros[Vale - Alimentação])*20-1)</f>
        <v>582</v>
      </c>
      <c r="AE101" s="22">
        <f>SUMIF(tabParametros[Código do Posto],tabCustoUnit[[#This Row],[Código do Posto]],tabParametros[Cesta Básica])</f>
        <v>0</v>
      </c>
      <c r="AF101" s="22">
        <f>SUMIF(tabParametros[Código do Posto],tabCustoUnit[[#This Row],[Código do Posto]],tabParametros[PAF])</f>
        <v>0</v>
      </c>
      <c r="AG101" s="22">
        <f>SUMIF(tabParametros[Código do Posto],tabCustoUnit[[#This Row],[Código do Posto]],tabParametros[PQM])</f>
        <v>15.07</v>
      </c>
      <c r="AH101" s="22">
        <f>SUMIF(tabParametros[Código do Posto],tabCustoUnit[[#This Row],[Código do Posto]],tabParametros[Abono Único e Especial])</f>
        <v>0</v>
      </c>
      <c r="AI101" s="22">
        <f>SUMIF(tabParametros[Código do Posto],tabCustoUnit[[#This Row],[Código do Posto]],tabParametros[Seguro de Vida])</f>
        <v>3.36</v>
      </c>
      <c r="AJ101" s="22">
        <f>SUMIF(tabParametros[Código do Posto],tabCustoUnit[[#This Row],[Código do Posto]],tabParametros[Despesas de Viagem])</f>
        <v>0</v>
      </c>
      <c r="AK101" s="22" t="e">
        <f ca="1">SUM(tabCustoUnit[[#This Row],[Vale - Transporte (Descontada parcela do empregado)]:[Despesas de Viagem]])</f>
        <v>#NAME?</v>
      </c>
      <c r="AL101" s="22" t="e">
        <f ca="1">tabCustoUnit[[#This Row],[Submódulo 2.1]]+tabCustoUnit[[#This Row],[Submódulo 2.2]]+tabCustoUnit[[#This Row],[Submódulo 2.3]]</f>
        <v>#NAME?</v>
      </c>
      <c r="AM101" s="22">
        <f>SUMIF(tabParametros[Código do Posto],tabCustoUnit[[#This Row],[Código do Posto]],tabParametros[Aviso Prévio Indenizado (API) e Reflexo do Aviso Prévio Indenizado])*tabCustoUnit[[#This Row],[MODULO 1 - REMUNERAÇÃO ]]</f>
        <v>13.766980408757716</v>
      </c>
      <c r="AN101" s="22">
        <f>SUMIF(tabParametros[Código do Posto],tabCustoUnit[[#This Row],[Código do Posto]],tabParametros[Incidência do FGTS sobre API e Reflexo do API])*tabCustoUnit[[#This Row],[MODULO 1 - REMUNERAÇÃO ]]</f>
        <v>1.1013584327006174</v>
      </c>
      <c r="AO101" s="22">
        <f>SUMIF(tabParametros[Código do Posto],tabCustoUnit[[#This Row],[Código do Posto]],tabParametros[Multa Rescisória do FGTS sobre o Aviso Prévio Indenizado])*tabCustoUnit[[#This Row],[MODULO 1 - REMUNERAÇÃO ]]</f>
        <v>0.44054337308024699</v>
      </c>
      <c r="AP101" s="22">
        <f>SUMIF(tabParametros[Código do Posto],tabCustoUnit[[#This Row],[Código do Posto]],tabParametros[Aviso Prévio Trabalhado - APT])*tabCustoUnit[[#This Row],[MODULO 1 - REMUNERAÇÃO ]]</f>
        <v>6.8719385000000015</v>
      </c>
      <c r="AQ101" s="22">
        <f>SUMIF(tabParametros[Código do Posto],tabCustoUnit[[#This Row],[Código do Posto]],tabParametros[Incidência dos encargos do submódulo 2.1 sobre Aviso Prévio Trabalhado])*tabCustoUnit[[#This Row],[MODULO 1 - REMUNERAÇÃO ]]</f>
        <v>2.5975927530000007</v>
      </c>
      <c r="AR101" s="22">
        <f>SUMIF(tabParametros[Código do Posto],tabCustoUnit[[#This Row],[Código do Posto]],tabParametros[Multa Rescisória do FGTS])*tabCustoUnit[[#This Row],[MODULO 1 - REMUNERAÇÃO ]]</f>
        <v>60.03674524444444</v>
      </c>
      <c r="AS101" s="22">
        <f>SUMIF(tabParametros[Código do Posto],tabCustoUnit[[#This Row],[Código do Posto]],tabParametros[Indenização Adicional (Art. 9º da Lei nº 7.238/84)])*tabCustoUnit[[#This Row],[MODULO 1 - REMUNERAÇÃO ]]</f>
        <v>1.6361758333333334</v>
      </c>
      <c r="AT101" s="22">
        <f>SUM(tabCustoUnit[[#This Row],[Aviso Prévio Indenizado (API) e Reflexo do Aviso Prévio Indenizado]:[Indenização Adicional (Art. 9º da Lei nº 7.238/84)]])</f>
        <v>86.451334545316371</v>
      </c>
      <c r="AU101" s="22">
        <f>SUMIF(tabParametros[Código do Posto],tabCustoUnit[[#This Row],[Código do Posto]],tabParametros[Ausência por Doença])*tabCustoUnit[[#This Row],[MODULO 1 - REMUNERAÇÃO ]]</f>
        <v>16.579915111111109</v>
      </c>
      <c r="AV101" s="22">
        <f>SUMIF(tabParametros[Código do Posto],tabCustoUnit[[#This Row],[Código do Posto]],tabParametros[Ausências Legais])*tabCustoUnit[[#This Row],[MODULO 1 - REMUNERAÇÃO ]]</f>
        <v>3.9813611944444443</v>
      </c>
      <c r="AW101" s="22">
        <f>SUMIF(tabParametros[Código do Posto],tabCustoUnit[[#This Row],[Código do Posto]],tabParametros[Licença Paternidade])*tabCustoUnit[[#This Row],[MODULO 1 - REMUNERAÇÃO ]]</f>
        <v>0.33541604583333334</v>
      </c>
      <c r="AX101" s="22">
        <f>SUMIF(tabParametros[Código do Posto],tabCustoUnit[[#This Row],[Código do Posto]],tabParametros[Ausência por Acidente de Trabalho])*tabCustoUnit[[#This Row],[MODULO 1 - REMUNERAÇÃO ]]</f>
        <v>0.40904395833333335</v>
      </c>
      <c r="AY101" s="22">
        <f>SUMIF(tabParametros[Código do Posto],tabCustoUnit[[#This Row],[Código do Posto]],tabParametros[Férias, Adicional de Férias e 13º  com empregada em gozo de Licença Maternidade])*tabCustoUnit[[#This Row],[MODULO 1 - REMUNERAÇÃO ]]</f>
        <v>2.5451624074074073</v>
      </c>
      <c r="AZ101" s="22">
        <f>SUMIF(tabParametros[Código do Posto],tabCustoUnit[[#This Row],[Código do Posto]],tabParametros[Incidência do Submódulo 2.1 sobre Ausências Legais])*tabCustoUnit[[#This Row],[MODULO 1 - REMUNERAÇÃO ]]</f>
        <v>9.0156397150750021</v>
      </c>
      <c r="BA101" s="22">
        <f>SUM(tabCustoUnit[[#This Row],[Ausência por Doença]:[Incidência do Submódulo 2.1 sobre Ausências Legais]])</f>
        <v>32.866538432204628</v>
      </c>
      <c r="BB101" s="22">
        <f>SUMIF(tabParametros[Código do Posto],tabCustoUnit[[#This Row],[Código do Posto]],tabParametros[Intervalo para Repouso ou Alimentação])</f>
        <v>267.73786489195959</v>
      </c>
      <c r="BC101" s="22">
        <f>tabCustoUnit[[#This Row],[Intervalo para Repouso ou Alimentação]]</f>
        <v>267.73786489195959</v>
      </c>
      <c r="BD10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1" s="22">
        <f>tabCustoUnit[[#This Row],[Suspensão Temporária do Contrato de Trabalho]]</f>
        <v>0</v>
      </c>
      <c r="BF101" s="22">
        <f>tabCustoUnit[[#This Row],[Submódulo 4.1]]+tabCustoUnit[[#This Row],[Submódulo 4.2]]+tabCustoUnit[[#This Row],[Submódulo 4.3]]</f>
        <v>300.6044033241642</v>
      </c>
      <c r="BG101" s="22">
        <f>VLOOKUP(tabCustoUnit[[#This Row],[Código do Posto]],tabParametros[],MATCH(tabCustoUnit[[#Headers],[Uniformes e EPIs]],tabParametros[#Headers],0),0)</f>
        <v>56.642978962543395</v>
      </c>
      <c r="BH101" s="22">
        <f>VLOOKUP(tabCustoUnit[[#This Row],[Código do Posto]],tabParametros[],MATCH(tabCustoUnit[[#Headers],[Materiais de Consumo]],tabParametros[#Headers],0),0)</f>
        <v>0</v>
      </c>
      <c r="BI101" s="22">
        <f>VLOOKUP(tabCustoUnit[[#This Row],[Código do Posto]],tabParametros[],MATCH(tabCustoUnit[[#Headers],[Máquinas e Equipamentos (depreciação)]],tabParametros[#Headers],0),0)</f>
        <v>0</v>
      </c>
      <c r="BJ101" s="22">
        <f>VLOOKUP(tabCustoUnit[[#This Row],[Código do Posto]],tabParametros[],MATCH(tabCustoUnit[[#Headers],[Produtos de Limpeza e Materiais de Higiene Pessoal]],tabParametros[#Headers],0),0)</f>
        <v>0</v>
      </c>
      <c r="BK101" s="22">
        <f>VLOOKUP(tabCustoUnit[[#This Row],[Código do Posto]],tabParametros[],MATCH(tabCustoUnit[[#Headers],[Outros (especificar)]],tabParametros[#Headers],0),0)</f>
        <v>0</v>
      </c>
      <c r="BL101" s="22">
        <f>SUM(tabCustoUnit[[#This Row],[Uniformes e EPIs]:[Outros (especificar)]])</f>
        <v>56.642978962543395</v>
      </c>
      <c r="BM10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1" s="22" t="e">
        <f ca="1">VLOOKUP(tabCustoUnit[[#This Row],[Código do Posto]],tabParametros[],MATCH(tabCustoUnit[[#Headers],[Custos Indiretos]],tabParametros[#Headers],0),0)</f>
        <v>#NAME?</v>
      </c>
      <c r="BO101" s="22" t="e">
        <f ca="1">VLOOKUP(tabCustoUnit[[#This Row],[Código do Posto]],tabParametros[],MATCH(tabCustoUnit[[#Headers],[Lucro]],tabParametros[#Headers],0),0)</f>
        <v>#NAME?</v>
      </c>
      <c r="BP101" s="26">
        <f>((100/((1-tabCustoUnit[[#This Row],[Resumo de Alíquotas (PIS+CONFINS+ISS)]]))-100)*VLOOKUP(tabCustoUnit[[#This Row],[Código do Posto]],tabParametros[],MATCH(tabCustoUnit[[#Headers],[COFINS]],tabParametros[#Headers],0),0))/(tabCustoUnit[[#This Row],[Resumo de Alíquotas (PIS+CONFINS+ISS)]]*100)</f>
        <v>8.5633802816901458E-2</v>
      </c>
      <c r="BQ101" s="26">
        <f>((100/((100-(tabCustoUnit[[#This Row],[Resumo de Alíquotas (PIS+CONFINS+ISS)]]*100))%)-100)*VLOOKUP(tabCustoUnit[[#This Row],[Código do Posto]],tabParametros[],MATCH(tabCustoUnit[[#Headers],[PIS]],tabParametros[#Headers],0),0))/(tabCustoUnit[[#This Row],[Resumo de Alíquotas (PIS+CONFINS+ISS)]]*100)</f>
        <v>1.8591549295774657E-2</v>
      </c>
      <c r="BR101" s="28">
        <f>VLOOKUP(tabCustoUnit[[#This Row],[Código do Posto]],tabParametros[],MATCH(tabCustoUnit[[#Headers],[ISS]],tabParametros[#Headers],0),0)</f>
        <v>0.02</v>
      </c>
      <c r="BS101" s="26">
        <f>(((100/((100-(tabCustoUnit[[#This Row],[Resumo de Alíquotas (PIS+CONFINS+ISS)]]*100))%)-100)*tabCustoUnit[[#This Row],[ISS]])/tabCustoUnit[[#This Row],[Resumo de Alíquotas (PIS+CONFINS+ISS)]])/100</f>
        <v>2.2535211267605645E-2</v>
      </c>
      <c r="BT10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01" s="138">
        <f>tabCustoUnit[[#This Row],[COFINS]]+tabCustoUnit[[#This Row],[PIS]]+tabCustoUnit[[#This Row],[ISS (Conversão Alíquota s/ fatura)]]</f>
        <v>0.12676056338028174</v>
      </c>
      <c r="BV101" s="22" t="e">
        <f ca="1">(tabCustoUnit[[#This Row],[TOTAL MÓDULOS 1+2+3+4+5]]+tabCustoUnit[[#This Row],[Custos Indiretos]]+tabCustoUnit[[#This Row],[Lucro]])*tabCustoUnit[[#This Row],[PIS + COFINS + ISS (Total Conversão  Alíquota s/ Fatura)]]</f>
        <v>#NAME?</v>
      </c>
      <c r="BW101" s="22" t="e">
        <f ca="1">tabCustoUnit[[#This Row],[Custos Indiretos]]+tabCustoUnit[[#This Row],[Lucro]]+tabCustoUnit[[#This Row],[Valor dos Tributos (ISS, PIS, CONFINS)]]</f>
        <v>#NAME?</v>
      </c>
      <c r="BX101" s="22" t="e">
        <f ca="1">tabCustoUnit[[#This Row],[TOTAL MÓDULOS 1+2+3+4+5]]+tabCustoUnit[[#This Row],[MÓDULO 6 – CUSTOS INDIRETOS, TRIBUTOS E LUCRO]]</f>
        <v>#NAME?</v>
      </c>
      <c r="BY101" s="22" t="e">
        <f ca="1">tabCustoUnit[[#This Row],[CUSTO TOTAL MENSAL]]*12</f>
        <v>#NAME?</v>
      </c>
      <c r="BZ101" s="24">
        <f>VLOOKUP(tabCustoUnit[[#This Row],[Código do Posto]],tabParametros[],MATCH(tabCustoUnit[[#Headers],[ANO DA CCT]],tabParametros[#Headers],0),0)</f>
        <v>45658</v>
      </c>
      <c r="CA101" s="25" t="str">
        <f>VLOOKUP(tabCustoUnit[[#This Row],[Código do Posto]],tabParametros[],MATCH(tabCustoUnit[[#Headers],[Nº DE PEDIDO DA CCT]],tabParametros[#Headers],0),0)</f>
        <v>-</v>
      </c>
      <c r="CB101" s="25" t="str">
        <f>VLOOKUP(tabCustoUnit[[#This Row],[Código do Posto]],tabParametros[],MATCH(tabCustoUnit[[#Headers],[TERMO ADITIVO ALTERAÇÃO DA CCT]],tabParametros[#Headers],0),0)</f>
        <v>-</v>
      </c>
    </row>
    <row r="102" spans="1:80">
      <c r="A102" s="20" t="s">
        <v>1566</v>
      </c>
      <c r="B102" t="s">
        <v>1114</v>
      </c>
      <c r="C102" t="s">
        <v>314</v>
      </c>
      <c r="D102" t="s">
        <v>918</v>
      </c>
      <c r="E102" s="20" t="s">
        <v>1090</v>
      </c>
      <c r="F102" s="20" t="s">
        <v>120</v>
      </c>
      <c r="G102" s="418">
        <v>1963.4110000000001</v>
      </c>
      <c r="H102" s="418">
        <v>0</v>
      </c>
      <c r="I102" s="418">
        <v>0</v>
      </c>
      <c r="J102" s="418">
        <v>0</v>
      </c>
      <c r="K102" s="418">
        <v>0</v>
      </c>
      <c r="L102" s="418">
        <v>0</v>
      </c>
      <c r="M102" s="418">
        <v>0</v>
      </c>
      <c r="N102" s="418">
        <v>0</v>
      </c>
      <c r="O102" s="21">
        <f>SUM(tabCustoUnit[[#This Row],[Salário Base]:[Adicional de Acúmulo de função]])</f>
        <v>1963.4110000000001</v>
      </c>
      <c r="P102" s="21">
        <f>tabCustoUnit[[#This Row],[MODULO 1 - REMUNERAÇÃO ]]*SUMIFS(tabParametros[INSS],tabParametros[Código do Posto],tabCustoUnit[[#This Row],[Código do Posto]])</f>
        <v>392.68220000000002</v>
      </c>
      <c r="Q102" s="21">
        <f>tabCustoUnit[[#This Row],[MODULO 1 - REMUNERAÇÃO ]]*SUMIFS(tabParametros[SESI OU SESC],tabParametros[Código do Posto],tabCustoUnit[[#This Row],[Código do Posto]])</f>
        <v>29.451165</v>
      </c>
      <c r="R102" s="21">
        <f>tabCustoUnit[[#This Row],[MODULO 1 - REMUNERAÇÃO ]]*SUMIFS(tabParametros[SENAI OU SENAC],tabParametros[Código do Posto],tabCustoUnit[[#This Row],[Código do Posto]])</f>
        <v>19.63411</v>
      </c>
      <c r="S102" s="21">
        <f>tabCustoUnit[[#This Row],[MODULO 1 - REMUNERAÇÃO ]]*SUMIFS(tabParametros[INCRA],tabParametros[Código do Posto],tabCustoUnit[[#This Row],[Código do Posto]])</f>
        <v>3.926822</v>
      </c>
      <c r="T102" s="21">
        <f>tabCustoUnit[[#This Row],[MODULO 1 - REMUNERAÇÃO ]]*SUMIFS(tabParametros[Salário Educação],tabParametros[Código do Posto],tabCustoUnit[[#This Row],[Código do Posto]])</f>
        <v>49.085275000000003</v>
      </c>
      <c r="U102" s="21">
        <f>tabCustoUnit[[#This Row],[MODULO 1 - REMUNERAÇÃO ]]*SUMIFS(tabParametros[FGTS],tabParametros[Código do Posto],tabCustoUnit[[#This Row],[Código do Posto]])</f>
        <v>157.07288</v>
      </c>
      <c r="V102" s="21">
        <f>tabCustoUnit[[#This Row],[MODULO 1 - REMUNERAÇÃO ]]*SUMIFS(tabParametros[RAT Ajustado],tabParametros[Código do Posto],tabCustoUnit[[#This Row],[Código do Posto]])</f>
        <v>78.536439999999999</v>
      </c>
      <c r="W102" s="21">
        <f>tabCustoUnit[[#This Row],[MODULO 1 - REMUNERAÇÃO ]]*SUMIFS(tabParametros[SEBRAE],tabParametros[Código do Posto],tabCustoUnit[[#This Row],[Código do Posto]])</f>
        <v>11.780466000000001</v>
      </c>
      <c r="X102" s="21">
        <f>SUM(tabCustoUnit[[#This Row],[INSS]:[SEBRAE]])</f>
        <v>742.1693580000001</v>
      </c>
      <c r="Y102" s="21">
        <f>tabCustoUnit[[#This Row],[MODULO 1 - REMUNERAÇÃO ]]*SUMIFS(tabParametros[13º salário (titular)],tabParametros[Código do Posto],tabCustoUnit[[#This Row],[Código do Posto]])</f>
        <v>163.61758333333333</v>
      </c>
      <c r="Z102" s="21">
        <f>tabCustoUnit[[#This Row],[MODULO 1 - REMUNERAÇÃO ]]*SUMIFS(tabParametros[Férias e Adicional de Férias (titular)],tabParametros[Código do Posto],tabCustoUnit[[#This Row],[Código do Posto]])</f>
        <v>218.15677777777776</v>
      </c>
      <c r="AA102" s="21">
        <f>IFERROR((tabCustoUnit[[#This Row],[Submódulo 2.1]]/tabCustoUnit[[#This Row],[MODULO 1 - REMUNERAÇÃO ]])*SUM(tabCustoUnit[[#This Row],[13º salário (titular)]:[Férias e Adicional de Férias (titular)]]),0)</f>
        <v>144.3107085</v>
      </c>
      <c r="AB102" s="21">
        <f>SUM(tabCustoUnit[[#This Row],[13º salário (titular)]:[Incidência do Submódulo 2.1 sobre 13º Salário, Férias e Adicional de Férias]])</f>
        <v>526.08506961111107</v>
      </c>
      <c r="AC102" s="22" t="e">
        <f ca="1">_xlfn.LET(_xlpm.VT,SUMIF(tabParametros[Código do Posto],tabCustoUnit[[#This Row],[Código do Posto]],tabParametros[Vale - Transporte])*2*20,
IF((_xlpm.VT-tabCustoUnit[[#This Row],[Salário Base]]*0.06)&gt;=0,(_xlpm.VT-tabCustoUnit[[#This Row],[Salário Base]]*0.06),0)
)</f>
        <v>#NAME?</v>
      </c>
      <c r="AD102" s="22">
        <f>IF(SUMIF(tabParametros[Código do Posto],tabCustoUnit[[#This Row],[Código do Posto]],tabParametros[Vale - Alimentação])&lt;=0,0,
SUMIF(tabParametros[Código do Posto],tabCustoUnit[[#This Row],[Código do Posto]],tabParametros[Vale - Alimentação])*20-1)</f>
        <v>582</v>
      </c>
      <c r="AE102" s="22">
        <f>SUMIF(tabParametros[Código do Posto],tabCustoUnit[[#This Row],[Código do Posto]],tabParametros[Cesta Básica])</f>
        <v>0</v>
      </c>
      <c r="AF102" s="22">
        <f>SUMIF(tabParametros[Código do Posto],tabCustoUnit[[#This Row],[Código do Posto]],tabParametros[PAF])</f>
        <v>0</v>
      </c>
      <c r="AG102" s="22">
        <f>SUMIF(tabParametros[Código do Posto],tabCustoUnit[[#This Row],[Código do Posto]],tabParametros[PQM])</f>
        <v>15.07</v>
      </c>
      <c r="AH102" s="22">
        <f>SUMIF(tabParametros[Código do Posto],tabCustoUnit[[#This Row],[Código do Posto]],tabParametros[Abono Único e Especial])</f>
        <v>0</v>
      </c>
      <c r="AI102" s="22">
        <f>SUMIF(tabParametros[Código do Posto],tabCustoUnit[[#This Row],[Código do Posto]],tabParametros[Seguro de Vida])</f>
        <v>3.36</v>
      </c>
      <c r="AJ102" s="22">
        <f>SUMIF(tabParametros[Código do Posto],tabCustoUnit[[#This Row],[Código do Posto]],tabParametros[Despesas de Viagem])</f>
        <v>0</v>
      </c>
      <c r="AK102" s="22" t="e">
        <f ca="1">SUM(tabCustoUnit[[#This Row],[Vale - Transporte (Descontada parcela do empregado)]:[Despesas de Viagem]])</f>
        <v>#NAME?</v>
      </c>
      <c r="AL102" s="22" t="e">
        <f ca="1">tabCustoUnit[[#This Row],[Submódulo 2.1]]+tabCustoUnit[[#This Row],[Submódulo 2.2]]+tabCustoUnit[[#This Row],[Submódulo 2.3]]</f>
        <v>#NAME?</v>
      </c>
      <c r="AM102" s="22">
        <f>SUMIF(tabParametros[Código do Posto],tabCustoUnit[[#This Row],[Código do Posto]],tabParametros[Aviso Prévio Indenizado (API) e Reflexo do Aviso Prévio Indenizado])*tabCustoUnit[[#This Row],[MODULO 1 - REMUNERAÇÃO ]]</f>
        <v>13.766980408757716</v>
      </c>
      <c r="AN102" s="22">
        <f>SUMIF(tabParametros[Código do Posto],tabCustoUnit[[#This Row],[Código do Posto]],tabParametros[Incidência do FGTS sobre API e Reflexo do API])*tabCustoUnit[[#This Row],[MODULO 1 - REMUNERAÇÃO ]]</f>
        <v>1.1013584327006174</v>
      </c>
      <c r="AO102" s="22">
        <f>SUMIF(tabParametros[Código do Posto],tabCustoUnit[[#This Row],[Código do Posto]],tabParametros[Multa Rescisória do FGTS sobre o Aviso Prévio Indenizado])*tabCustoUnit[[#This Row],[MODULO 1 - REMUNERAÇÃO ]]</f>
        <v>0.44054337308024699</v>
      </c>
      <c r="AP102" s="22">
        <f>SUMIF(tabParametros[Código do Posto],tabCustoUnit[[#This Row],[Código do Posto]],tabParametros[Aviso Prévio Trabalhado - APT])*tabCustoUnit[[#This Row],[MODULO 1 - REMUNERAÇÃO ]]</f>
        <v>6.8719385000000015</v>
      </c>
      <c r="AQ102" s="22">
        <f>SUMIF(tabParametros[Código do Posto],tabCustoUnit[[#This Row],[Código do Posto]],tabParametros[Incidência dos encargos do submódulo 2.1 sobre Aviso Prévio Trabalhado])*tabCustoUnit[[#This Row],[MODULO 1 - REMUNERAÇÃO ]]</f>
        <v>2.5975927530000007</v>
      </c>
      <c r="AR102" s="22">
        <f>SUMIF(tabParametros[Código do Posto],tabCustoUnit[[#This Row],[Código do Posto]],tabParametros[Multa Rescisória do FGTS])*tabCustoUnit[[#This Row],[MODULO 1 - REMUNERAÇÃO ]]</f>
        <v>60.03674524444444</v>
      </c>
      <c r="AS102" s="22">
        <f>SUMIF(tabParametros[Código do Posto],tabCustoUnit[[#This Row],[Código do Posto]],tabParametros[Indenização Adicional (Art. 9º da Lei nº 7.238/84)])*tabCustoUnit[[#This Row],[MODULO 1 - REMUNERAÇÃO ]]</f>
        <v>1.6361758333333334</v>
      </c>
      <c r="AT102" s="22">
        <f>SUM(tabCustoUnit[[#This Row],[Aviso Prévio Indenizado (API) e Reflexo do Aviso Prévio Indenizado]:[Indenização Adicional (Art. 9º da Lei nº 7.238/84)]])</f>
        <v>86.451334545316371</v>
      </c>
      <c r="AU102" s="22">
        <f>SUMIF(tabParametros[Código do Posto],tabCustoUnit[[#This Row],[Código do Posto]],tabParametros[Ausência por Doença])*tabCustoUnit[[#This Row],[MODULO 1 - REMUNERAÇÃO ]]</f>
        <v>16.579915111111109</v>
      </c>
      <c r="AV102" s="22">
        <f>SUMIF(tabParametros[Código do Posto],tabCustoUnit[[#This Row],[Código do Posto]],tabParametros[Ausências Legais])*tabCustoUnit[[#This Row],[MODULO 1 - REMUNERAÇÃO ]]</f>
        <v>3.9813611944444443</v>
      </c>
      <c r="AW102" s="22">
        <f>SUMIF(tabParametros[Código do Posto],tabCustoUnit[[#This Row],[Código do Posto]],tabParametros[Licença Paternidade])*tabCustoUnit[[#This Row],[MODULO 1 - REMUNERAÇÃO ]]</f>
        <v>0.33541604583333334</v>
      </c>
      <c r="AX102" s="22">
        <f>SUMIF(tabParametros[Código do Posto],tabCustoUnit[[#This Row],[Código do Posto]],tabParametros[Ausência por Acidente de Trabalho])*tabCustoUnit[[#This Row],[MODULO 1 - REMUNERAÇÃO ]]</f>
        <v>0.40904395833333335</v>
      </c>
      <c r="AY102" s="22">
        <f>SUMIF(tabParametros[Código do Posto],tabCustoUnit[[#This Row],[Código do Posto]],tabParametros[Férias, Adicional de Férias e 13º  com empregada em gozo de Licença Maternidade])*tabCustoUnit[[#This Row],[MODULO 1 - REMUNERAÇÃO ]]</f>
        <v>2.5451624074074073</v>
      </c>
      <c r="AZ102" s="22">
        <f>SUMIF(tabParametros[Código do Posto],tabCustoUnit[[#This Row],[Código do Posto]],tabParametros[Incidência do Submódulo 2.1 sobre Ausências Legais])*tabCustoUnit[[#This Row],[MODULO 1 - REMUNERAÇÃO ]]</f>
        <v>9.0156397150750021</v>
      </c>
      <c r="BA102" s="22">
        <f>SUM(tabCustoUnit[[#This Row],[Ausência por Doença]:[Incidência do Submódulo 2.1 sobre Ausências Legais]])</f>
        <v>32.866538432204628</v>
      </c>
      <c r="BB102" s="22">
        <f>SUMIF(tabParametros[Código do Posto],tabCustoUnit[[#This Row],[Código do Posto]],tabParametros[Intervalo para Repouso ou Alimentação])</f>
        <v>267.73786489195959</v>
      </c>
      <c r="BC102" s="22">
        <f>tabCustoUnit[[#This Row],[Intervalo para Repouso ou Alimentação]]</f>
        <v>267.73786489195959</v>
      </c>
      <c r="BD10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2" s="22">
        <f>tabCustoUnit[[#This Row],[Suspensão Temporária do Contrato de Trabalho]]</f>
        <v>0</v>
      </c>
      <c r="BF102" s="22">
        <f>tabCustoUnit[[#This Row],[Submódulo 4.1]]+tabCustoUnit[[#This Row],[Submódulo 4.2]]+tabCustoUnit[[#This Row],[Submódulo 4.3]]</f>
        <v>300.6044033241642</v>
      </c>
      <c r="BG102" s="22">
        <f>VLOOKUP(tabCustoUnit[[#This Row],[Código do Posto]],tabParametros[],MATCH(tabCustoUnit[[#Headers],[Uniformes e EPIs]],tabParametros[#Headers],0),0)</f>
        <v>56.642978962543395</v>
      </c>
      <c r="BH102" s="22">
        <f>VLOOKUP(tabCustoUnit[[#This Row],[Código do Posto]],tabParametros[],MATCH(tabCustoUnit[[#Headers],[Materiais de Consumo]],tabParametros[#Headers],0),0)</f>
        <v>0</v>
      </c>
      <c r="BI102" s="22">
        <f>VLOOKUP(tabCustoUnit[[#This Row],[Código do Posto]],tabParametros[],MATCH(tabCustoUnit[[#Headers],[Máquinas e Equipamentos (depreciação)]],tabParametros[#Headers],0),0)</f>
        <v>0</v>
      </c>
      <c r="BJ102" s="22">
        <f>VLOOKUP(tabCustoUnit[[#This Row],[Código do Posto]],tabParametros[],MATCH(tabCustoUnit[[#Headers],[Produtos de Limpeza e Materiais de Higiene Pessoal]],tabParametros[#Headers],0),0)</f>
        <v>0</v>
      </c>
      <c r="BK102" s="22">
        <f>VLOOKUP(tabCustoUnit[[#This Row],[Código do Posto]],tabParametros[],MATCH(tabCustoUnit[[#Headers],[Outros (especificar)]],tabParametros[#Headers],0),0)</f>
        <v>0</v>
      </c>
      <c r="BL102" s="22">
        <f>SUM(tabCustoUnit[[#This Row],[Uniformes e EPIs]:[Outros (especificar)]])</f>
        <v>56.642978962543395</v>
      </c>
      <c r="BM10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2" s="22" t="e">
        <f ca="1">VLOOKUP(tabCustoUnit[[#This Row],[Código do Posto]],tabParametros[],MATCH(tabCustoUnit[[#Headers],[Custos Indiretos]],tabParametros[#Headers],0),0)</f>
        <v>#NAME?</v>
      </c>
      <c r="BO102" s="22" t="e">
        <f ca="1">VLOOKUP(tabCustoUnit[[#This Row],[Código do Posto]],tabParametros[],MATCH(tabCustoUnit[[#Headers],[Lucro]],tabParametros[#Headers],0),0)</f>
        <v>#NAME?</v>
      </c>
      <c r="BP102" s="26">
        <f>((100/((1-tabCustoUnit[[#This Row],[Resumo de Alíquotas (PIS+CONFINS+ISS)]]))-100)*VLOOKUP(tabCustoUnit[[#This Row],[Código do Posto]],tabParametros[],MATCH(tabCustoUnit[[#Headers],[COFINS]],tabParametros[#Headers],0),0))/(tabCustoUnit[[#This Row],[Resumo de Alíquotas (PIS+CONFINS+ISS)]]*100)</f>
        <v>8.5633802816901458E-2</v>
      </c>
      <c r="BQ102" s="26">
        <f>((100/((100-(tabCustoUnit[[#This Row],[Resumo de Alíquotas (PIS+CONFINS+ISS)]]*100))%)-100)*VLOOKUP(tabCustoUnit[[#This Row],[Código do Posto]],tabParametros[],MATCH(tabCustoUnit[[#Headers],[PIS]],tabParametros[#Headers],0),0))/(tabCustoUnit[[#This Row],[Resumo de Alíquotas (PIS+CONFINS+ISS)]]*100)</f>
        <v>1.8591549295774657E-2</v>
      </c>
      <c r="BR102" s="28">
        <f>VLOOKUP(tabCustoUnit[[#This Row],[Código do Posto]],tabParametros[],MATCH(tabCustoUnit[[#Headers],[ISS]],tabParametros[#Headers],0),0)</f>
        <v>0.02</v>
      </c>
      <c r="BS102" s="26">
        <f>(((100/((100-(tabCustoUnit[[#This Row],[Resumo de Alíquotas (PIS+CONFINS+ISS)]]*100))%)-100)*tabCustoUnit[[#This Row],[ISS]])/tabCustoUnit[[#This Row],[Resumo de Alíquotas (PIS+CONFINS+ISS)]])/100</f>
        <v>2.2535211267605645E-2</v>
      </c>
      <c r="BT10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02" s="138">
        <f>tabCustoUnit[[#This Row],[COFINS]]+tabCustoUnit[[#This Row],[PIS]]+tabCustoUnit[[#This Row],[ISS (Conversão Alíquota s/ fatura)]]</f>
        <v>0.12676056338028174</v>
      </c>
      <c r="BV102" s="22" t="e">
        <f ca="1">(tabCustoUnit[[#This Row],[TOTAL MÓDULOS 1+2+3+4+5]]+tabCustoUnit[[#This Row],[Custos Indiretos]]+tabCustoUnit[[#This Row],[Lucro]])*tabCustoUnit[[#This Row],[PIS + COFINS + ISS (Total Conversão  Alíquota s/ Fatura)]]</f>
        <v>#NAME?</v>
      </c>
      <c r="BW102" s="22" t="e">
        <f ca="1">tabCustoUnit[[#This Row],[Custos Indiretos]]+tabCustoUnit[[#This Row],[Lucro]]+tabCustoUnit[[#This Row],[Valor dos Tributos (ISS, PIS, CONFINS)]]</f>
        <v>#NAME?</v>
      </c>
      <c r="BX102" s="22" t="e">
        <f ca="1">tabCustoUnit[[#This Row],[TOTAL MÓDULOS 1+2+3+4+5]]+tabCustoUnit[[#This Row],[MÓDULO 6 – CUSTOS INDIRETOS, TRIBUTOS E LUCRO]]</f>
        <v>#NAME?</v>
      </c>
      <c r="BY102" s="22" t="e">
        <f ca="1">tabCustoUnit[[#This Row],[CUSTO TOTAL MENSAL]]*12</f>
        <v>#NAME?</v>
      </c>
      <c r="BZ102" s="24">
        <f>VLOOKUP(tabCustoUnit[[#This Row],[Código do Posto]],tabParametros[],MATCH(tabCustoUnit[[#Headers],[ANO DA CCT]],tabParametros[#Headers],0),0)</f>
        <v>45658</v>
      </c>
      <c r="CA102" s="25" t="str">
        <f>VLOOKUP(tabCustoUnit[[#This Row],[Código do Posto]],tabParametros[],MATCH(tabCustoUnit[[#Headers],[Nº DE PEDIDO DA CCT]],tabParametros[#Headers],0),0)</f>
        <v>-</v>
      </c>
      <c r="CB102" s="25" t="str">
        <f>VLOOKUP(tabCustoUnit[[#This Row],[Código do Posto]],tabParametros[],MATCH(tabCustoUnit[[#Headers],[TERMO ADITIVO ALTERAÇÃO DA CCT]],tabParametros[#Headers],0),0)</f>
        <v>-</v>
      </c>
    </row>
    <row r="103" spans="1:80">
      <c r="A103" s="20" t="s">
        <v>1567</v>
      </c>
      <c r="B103" t="s">
        <v>1115</v>
      </c>
      <c r="C103" t="s">
        <v>274</v>
      </c>
      <c r="D103" t="s">
        <v>999</v>
      </c>
      <c r="E103" s="20" t="s">
        <v>1090</v>
      </c>
      <c r="F103" s="20" t="s">
        <v>135</v>
      </c>
      <c r="G103" s="418">
        <v>4599.5983999999999</v>
      </c>
      <c r="H103" s="418">
        <v>0</v>
      </c>
      <c r="I103" s="418">
        <v>0</v>
      </c>
      <c r="J103" s="418">
        <v>0</v>
      </c>
      <c r="K103" s="418">
        <v>0</v>
      </c>
      <c r="L103" s="418">
        <v>0</v>
      </c>
      <c r="M103" s="418">
        <v>0</v>
      </c>
      <c r="N103" s="418">
        <v>0</v>
      </c>
      <c r="O103" s="21">
        <f>SUM(tabCustoUnit[[#This Row],[Salário Base]:[Adicional de Acúmulo de função]])</f>
        <v>4599.5983999999999</v>
      </c>
      <c r="P103" s="21">
        <f>tabCustoUnit[[#This Row],[MODULO 1 - REMUNERAÇÃO ]]*SUMIFS(tabParametros[INSS],tabParametros[Código do Posto],tabCustoUnit[[#This Row],[Código do Posto]])</f>
        <v>919.91967999999997</v>
      </c>
      <c r="Q103" s="21">
        <f>tabCustoUnit[[#This Row],[MODULO 1 - REMUNERAÇÃO ]]*SUMIFS(tabParametros[SESI OU SESC],tabParametros[Código do Posto],tabCustoUnit[[#This Row],[Código do Posto]])</f>
        <v>68.993975999999989</v>
      </c>
      <c r="R103" s="21">
        <f>tabCustoUnit[[#This Row],[MODULO 1 - REMUNERAÇÃO ]]*SUMIFS(tabParametros[SENAI OU SENAC],tabParametros[Código do Posto],tabCustoUnit[[#This Row],[Código do Posto]])</f>
        <v>45.995984</v>
      </c>
      <c r="S103" s="21">
        <f>tabCustoUnit[[#This Row],[MODULO 1 - REMUNERAÇÃO ]]*SUMIFS(tabParametros[INCRA],tabParametros[Código do Posto],tabCustoUnit[[#This Row],[Código do Posto]])</f>
        <v>9.1991967999999993</v>
      </c>
      <c r="T103" s="21">
        <f>tabCustoUnit[[#This Row],[MODULO 1 - REMUNERAÇÃO ]]*SUMIFS(tabParametros[Salário Educação],tabParametros[Código do Posto],tabCustoUnit[[#This Row],[Código do Posto]])</f>
        <v>114.98996</v>
      </c>
      <c r="U103" s="21">
        <f>tabCustoUnit[[#This Row],[MODULO 1 - REMUNERAÇÃO ]]*SUMIFS(tabParametros[FGTS],tabParametros[Código do Posto],tabCustoUnit[[#This Row],[Código do Posto]])</f>
        <v>367.967872</v>
      </c>
      <c r="V103" s="21">
        <f>tabCustoUnit[[#This Row],[MODULO 1 - REMUNERAÇÃO ]]*SUMIFS(tabParametros[RAT Ajustado],tabParametros[Código do Posto],tabCustoUnit[[#This Row],[Código do Posto]])</f>
        <v>183.983936</v>
      </c>
      <c r="W103" s="21">
        <f>tabCustoUnit[[#This Row],[MODULO 1 - REMUNERAÇÃO ]]*SUMIFS(tabParametros[SEBRAE],tabParametros[Código do Posto],tabCustoUnit[[#This Row],[Código do Posto]])</f>
        <v>27.597590400000001</v>
      </c>
      <c r="X103" s="21">
        <f>SUM(tabCustoUnit[[#This Row],[INSS]:[SEBRAE]])</f>
        <v>1738.6481951999999</v>
      </c>
      <c r="Y103" s="21">
        <f>tabCustoUnit[[#This Row],[MODULO 1 - REMUNERAÇÃO ]]*SUMIFS(tabParametros[13º salário (titular)],tabParametros[Código do Posto],tabCustoUnit[[#This Row],[Código do Posto]])</f>
        <v>383.29986666666662</v>
      </c>
      <c r="Z103" s="21">
        <f>tabCustoUnit[[#This Row],[MODULO 1 - REMUNERAÇÃO ]]*SUMIFS(tabParametros[Férias e Adicional de Férias (titular)],tabParametros[Código do Posto],tabCustoUnit[[#This Row],[Código do Posto]])</f>
        <v>511.06648888888884</v>
      </c>
      <c r="AA103" s="21">
        <f>IFERROR((tabCustoUnit[[#This Row],[Submódulo 2.1]]/tabCustoUnit[[#This Row],[MODULO 1 - REMUNERAÇÃO ]])*SUM(tabCustoUnit[[#This Row],[13º salário (titular)]:[Férias e Adicional de Férias (titular)]]),0)</f>
        <v>338.07048239999995</v>
      </c>
      <c r="AB103" s="21">
        <f>SUM(tabCustoUnit[[#This Row],[13º salário (titular)]:[Incidência do Submódulo 2.1 sobre 13º Salário, Férias e Adicional de Férias]])</f>
        <v>1232.4368379555553</v>
      </c>
      <c r="AC103" s="22" t="e">
        <f ca="1">_xlfn.LET(_xlpm.VT,SUMIF(tabParametros[Código do Posto],tabCustoUnit[[#This Row],[Código do Posto]],tabParametros[Vale - Transporte])*2*20,
IF((_xlpm.VT-tabCustoUnit[[#This Row],[Salário Base]]*0.06)&gt;=0,(_xlpm.VT-tabCustoUnit[[#This Row],[Salário Base]]*0.06),0)
)</f>
        <v>#NAME?</v>
      </c>
      <c r="AD103" s="22">
        <f>IF(SUMIF(tabParametros[Código do Posto],tabCustoUnit[[#This Row],[Código do Posto]],tabParametros[Vale - Alimentação])&lt;=0,0,
SUMIF(tabParametros[Código do Posto],tabCustoUnit[[#This Row],[Código do Posto]],tabParametros[Vale - Alimentação])*20-1)</f>
        <v>578.4</v>
      </c>
      <c r="AE103" s="22">
        <f>SUMIF(tabParametros[Código do Posto],tabCustoUnit[[#This Row],[Código do Posto]],tabParametros[Cesta Básica])</f>
        <v>0</v>
      </c>
      <c r="AF103" s="22">
        <f>SUMIF(tabParametros[Código do Posto],tabCustoUnit[[#This Row],[Código do Posto]],tabParametros[PAF])</f>
        <v>0</v>
      </c>
      <c r="AG103" s="22">
        <f>SUMIF(tabParametros[Código do Posto],tabCustoUnit[[#This Row],[Código do Posto]],tabParametros[PQM])</f>
        <v>0</v>
      </c>
      <c r="AH103" s="22">
        <f>SUMIF(tabParametros[Código do Posto],tabCustoUnit[[#This Row],[Código do Posto]],tabParametros[Abono Único e Especial])</f>
        <v>0</v>
      </c>
      <c r="AI103" s="22">
        <f>SUMIF(tabParametros[Código do Posto],tabCustoUnit[[#This Row],[Código do Posto]],tabParametros[Seguro de Vida])</f>
        <v>3.36</v>
      </c>
      <c r="AJ103" s="22">
        <f>SUMIF(tabParametros[Código do Posto],tabCustoUnit[[#This Row],[Código do Posto]],tabParametros[Despesas de Viagem])</f>
        <v>662.42</v>
      </c>
      <c r="AK103" s="22" t="e">
        <f ca="1">SUM(tabCustoUnit[[#This Row],[Vale - Transporte (Descontada parcela do empregado)]:[Despesas de Viagem]])</f>
        <v>#NAME?</v>
      </c>
      <c r="AL103" s="22" t="e">
        <f ca="1">tabCustoUnit[[#This Row],[Submódulo 2.1]]+tabCustoUnit[[#This Row],[Submódulo 2.2]]+tabCustoUnit[[#This Row],[Submódulo 2.3]]</f>
        <v>#NAME?</v>
      </c>
      <c r="AM103" s="22">
        <f>SUMIF(tabParametros[Código do Posto],tabCustoUnit[[#This Row],[Código do Posto]],tabParametros[Aviso Prévio Indenizado (API) e Reflexo do Aviso Prévio Indenizado])*tabCustoUnit[[#This Row],[MODULO 1 - REMUNERAÇÃO ]]</f>
        <v>32.25131216080247</v>
      </c>
      <c r="AN103" s="22">
        <f>SUMIF(tabParametros[Código do Posto],tabCustoUnit[[#This Row],[Código do Posto]],tabParametros[Incidência do FGTS sobre API e Reflexo do API])*tabCustoUnit[[#This Row],[MODULO 1 - REMUNERAÇÃO ]]</f>
        <v>2.5801049728641976</v>
      </c>
      <c r="AO103" s="22">
        <f>SUMIF(tabParametros[Código do Posto],tabCustoUnit[[#This Row],[Código do Posto]],tabParametros[Multa Rescisória do FGTS sobre o Aviso Prévio Indenizado])*tabCustoUnit[[#This Row],[MODULO 1 - REMUNERAÇÃO ]]</f>
        <v>1.0320419891456791</v>
      </c>
      <c r="AP103" s="22">
        <f>SUMIF(tabParametros[Código do Posto],tabCustoUnit[[#This Row],[Código do Posto]],tabParametros[Aviso Prévio Trabalhado - APT])*tabCustoUnit[[#This Row],[MODULO 1 - REMUNERAÇÃO ]]</f>
        <v>16.098594400000003</v>
      </c>
      <c r="AQ103" s="22">
        <f>SUMIF(tabParametros[Código do Posto],tabCustoUnit[[#This Row],[Código do Posto]],tabParametros[Incidência dos encargos do submódulo 2.1 sobre Aviso Prévio Trabalhado])*tabCustoUnit[[#This Row],[MODULO 1 - REMUNERAÇÃO ]]</f>
        <v>6.0852686832000016</v>
      </c>
      <c r="AR103" s="22">
        <f>SUMIF(tabParametros[Código do Posto],tabCustoUnit[[#This Row],[Código do Posto]],tabParametros[Multa Rescisória do FGTS])*tabCustoUnit[[#This Row],[MODULO 1 - REMUNERAÇÃO ]]</f>
        <v>140.6454977422222</v>
      </c>
      <c r="AS103" s="22">
        <f>SUMIF(tabParametros[Código do Posto],tabCustoUnit[[#This Row],[Código do Posto]],tabParametros[Indenização Adicional (Art. 9º da Lei nº 7.238/84)])*tabCustoUnit[[#This Row],[MODULO 1 - REMUNERAÇÃO ]]</f>
        <v>3.8329986666666667</v>
      </c>
      <c r="AT103" s="22">
        <f>SUM(tabCustoUnit[[#This Row],[Aviso Prévio Indenizado (API) e Reflexo do Aviso Prévio Indenizado]:[Indenização Adicional (Art. 9º da Lei nº 7.238/84)]])</f>
        <v>202.52581861490123</v>
      </c>
      <c r="AU103" s="22">
        <f>SUMIF(tabParametros[Código do Posto],tabCustoUnit[[#This Row],[Código do Posto]],tabParametros[Ausência por Doença])*tabCustoUnit[[#This Row],[MODULO 1 - REMUNERAÇÃO ]]</f>
        <v>38.841053155555549</v>
      </c>
      <c r="AV103" s="22">
        <f>SUMIF(tabParametros[Código do Posto],tabCustoUnit[[#This Row],[Código do Posto]],tabParametros[Ausências Legais])*tabCustoUnit[[#This Row],[MODULO 1 - REMUNERAÇÃO ]]</f>
        <v>9.3269634222222209</v>
      </c>
      <c r="AW103" s="22">
        <f>SUMIF(tabParametros[Código do Posto],tabCustoUnit[[#This Row],[Código do Posto]],tabParametros[Licença Paternidade])*tabCustoUnit[[#This Row],[MODULO 1 - REMUNERAÇÃO ]]</f>
        <v>0.78576472666666664</v>
      </c>
      <c r="AX103" s="22">
        <f>SUMIF(tabParametros[Código do Posto],tabCustoUnit[[#This Row],[Código do Posto]],tabParametros[Ausência por Acidente de Trabalho])*tabCustoUnit[[#This Row],[MODULO 1 - REMUNERAÇÃO ]]</f>
        <v>0.95824966666666667</v>
      </c>
      <c r="AY103" s="22">
        <f>SUMIF(tabParametros[Código do Posto],tabCustoUnit[[#This Row],[Código do Posto]],tabParametros[Férias, Adicional de Férias e 13º  com empregada em gozo de Licença Maternidade])*tabCustoUnit[[#This Row],[MODULO 1 - REMUNERAÇÃO ]]</f>
        <v>5.9624423703703702</v>
      </c>
      <c r="AZ103" s="22">
        <f>SUMIF(tabParametros[Código do Posto],tabCustoUnit[[#This Row],[Código do Posto]],tabParametros[Incidência do Submódulo 2.1 sobre Ausências Legais])*tabCustoUnit[[#This Row],[MODULO 1 - REMUNERAÇÃO ]]</f>
        <v>21.120550923080003</v>
      </c>
      <c r="BA103" s="22">
        <f>SUM(tabCustoUnit[[#This Row],[Ausência por Doença]:[Incidência do Submódulo 2.1 sobre Ausências Legais]])</f>
        <v>76.995024264561465</v>
      </c>
      <c r="BB103" s="22">
        <f>SUMIF(tabParametros[Código do Posto],tabCustoUnit[[#This Row],[Código do Posto]],tabParametros[Intervalo para Repouso ou Alimentação])</f>
        <v>0</v>
      </c>
      <c r="BC103" s="22">
        <f>tabCustoUnit[[#This Row],[Intervalo para Repouso ou Alimentação]]</f>
        <v>0</v>
      </c>
      <c r="BD10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3" s="22">
        <f>tabCustoUnit[[#This Row],[Suspensão Temporária do Contrato de Trabalho]]</f>
        <v>0</v>
      </c>
      <c r="BF103" s="22">
        <f>tabCustoUnit[[#This Row],[Submódulo 4.1]]+tabCustoUnit[[#This Row],[Submódulo 4.2]]+tabCustoUnit[[#This Row],[Submódulo 4.3]]</f>
        <v>76.995024264561465</v>
      </c>
      <c r="BG103" s="22">
        <f>VLOOKUP(tabCustoUnit[[#This Row],[Código do Posto]],tabParametros[],MATCH(tabCustoUnit[[#Headers],[Uniformes e EPIs]],tabParametros[#Headers],0),0)</f>
        <v>92.100763771570698</v>
      </c>
      <c r="BH103" s="22">
        <f>VLOOKUP(tabCustoUnit[[#This Row],[Código do Posto]],tabParametros[],MATCH(tabCustoUnit[[#Headers],[Materiais de Consumo]],tabParametros[#Headers],0),0)</f>
        <v>0</v>
      </c>
      <c r="BI103" s="22">
        <f>VLOOKUP(tabCustoUnit[[#This Row],[Código do Posto]],tabParametros[],MATCH(tabCustoUnit[[#Headers],[Máquinas e Equipamentos (depreciação)]],tabParametros[#Headers],0),0)</f>
        <v>0</v>
      </c>
      <c r="BJ103" s="22">
        <f>VLOOKUP(tabCustoUnit[[#This Row],[Código do Posto]],tabParametros[],MATCH(tabCustoUnit[[#Headers],[Produtos de Limpeza e Materiais de Higiene Pessoal]],tabParametros[#Headers],0),0)</f>
        <v>0</v>
      </c>
      <c r="BK103" s="22">
        <f>VLOOKUP(tabCustoUnit[[#This Row],[Código do Posto]],tabParametros[],MATCH(tabCustoUnit[[#Headers],[Outros (especificar)]],tabParametros[#Headers],0),0)</f>
        <v>0</v>
      </c>
      <c r="BL103" s="22">
        <f>SUM(tabCustoUnit[[#This Row],[Uniformes e EPIs]:[Outros (especificar)]])</f>
        <v>92.100763771570698</v>
      </c>
      <c r="BM10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3" s="22" t="e">
        <f ca="1">VLOOKUP(tabCustoUnit[[#This Row],[Código do Posto]],tabParametros[],MATCH(tabCustoUnit[[#Headers],[Custos Indiretos]],tabParametros[#Headers],0),0)</f>
        <v>#NAME?</v>
      </c>
      <c r="BO103" s="22" t="e">
        <f ca="1">VLOOKUP(tabCustoUnit[[#This Row],[Código do Posto]],tabParametros[],MATCH(tabCustoUnit[[#Headers],[Lucro]],tabParametros[#Headers],0),0)</f>
        <v>#NAME?</v>
      </c>
      <c r="BP103" s="26">
        <f>((100/((1-tabCustoUnit[[#This Row],[Resumo de Alíquotas (PIS+CONFINS+ISS)]]))-100)*VLOOKUP(tabCustoUnit[[#This Row],[Código do Posto]],tabParametros[],MATCH(tabCustoUnit[[#Headers],[COFINS]],tabParametros[#Headers],0),0))/(tabCustoUnit[[#This Row],[Resumo de Alíquotas (PIS+CONFINS+ISS)]]*100)</f>
        <v>8.6609686609686695E-2</v>
      </c>
      <c r="BQ103" s="26">
        <f>((100/((100-(tabCustoUnit[[#This Row],[Resumo de Alíquotas (PIS+CONFINS+ISS)]]*100))%)-100)*VLOOKUP(tabCustoUnit[[#This Row],[Código do Posto]],tabParametros[],MATCH(tabCustoUnit[[#Headers],[PIS]],tabParametros[#Headers],0),0))/(tabCustoUnit[[#This Row],[Resumo de Alíquotas (PIS+CONFINS+ISS)]]*100)</f>
        <v>1.880341880341882E-2</v>
      </c>
      <c r="BR103" s="28">
        <f>VLOOKUP(tabCustoUnit[[#This Row],[Código do Posto]],tabParametros[],MATCH(tabCustoUnit[[#Headers],[ISS]],tabParametros[#Headers],0),0)</f>
        <v>0.03</v>
      </c>
      <c r="BS103" s="26">
        <f>(((100/((100-(tabCustoUnit[[#This Row],[Resumo de Alíquotas (PIS+CONFINS+ISS)]]*100))%)-100)*tabCustoUnit[[#This Row],[ISS]])/tabCustoUnit[[#This Row],[Resumo de Alíquotas (PIS+CONFINS+ISS)]])/100</f>
        <v>3.4188034188034219E-2</v>
      </c>
      <c r="BT10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03" s="138">
        <f>tabCustoUnit[[#This Row],[COFINS]]+tabCustoUnit[[#This Row],[PIS]]+tabCustoUnit[[#This Row],[ISS (Conversão Alíquota s/ fatura)]]</f>
        <v>0.13960113960113973</v>
      </c>
      <c r="BV103" s="22" t="e">
        <f ca="1">(tabCustoUnit[[#This Row],[TOTAL MÓDULOS 1+2+3+4+5]]+tabCustoUnit[[#This Row],[Custos Indiretos]]+tabCustoUnit[[#This Row],[Lucro]])*tabCustoUnit[[#This Row],[PIS + COFINS + ISS (Total Conversão  Alíquota s/ Fatura)]]</f>
        <v>#NAME?</v>
      </c>
      <c r="BW103" s="22" t="e">
        <f ca="1">tabCustoUnit[[#This Row],[Custos Indiretos]]+tabCustoUnit[[#This Row],[Lucro]]+tabCustoUnit[[#This Row],[Valor dos Tributos (ISS, PIS, CONFINS)]]</f>
        <v>#NAME?</v>
      </c>
      <c r="BX103" s="22" t="e">
        <f ca="1">tabCustoUnit[[#This Row],[TOTAL MÓDULOS 1+2+3+4+5]]+tabCustoUnit[[#This Row],[MÓDULO 6 – CUSTOS INDIRETOS, TRIBUTOS E LUCRO]]</f>
        <v>#NAME?</v>
      </c>
      <c r="BY103" s="22" t="e">
        <f ca="1">tabCustoUnit[[#This Row],[CUSTO TOTAL MENSAL]]*12</f>
        <v>#NAME?</v>
      </c>
      <c r="BZ103" s="24">
        <f>VLOOKUP(tabCustoUnit[[#This Row],[Código do Posto]],tabParametros[],MATCH(tabCustoUnit[[#Headers],[ANO DA CCT]],tabParametros[#Headers],0),0)</f>
        <v>45658</v>
      </c>
      <c r="CA103" s="25" t="str">
        <f>VLOOKUP(tabCustoUnit[[#This Row],[Código do Posto]],tabParametros[],MATCH(tabCustoUnit[[#Headers],[Nº DE PEDIDO DA CCT]],tabParametros[#Headers],0),0)</f>
        <v>-</v>
      </c>
      <c r="CB103" s="25" t="str">
        <f>VLOOKUP(tabCustoUnit[[#This Row],[Código do Posto]],tabParametros[],MATCH(tabCustoUnit[[#Headers],[TERMO ADITIVO ALTERAÇÃO DA CCT]],tabParametros[#Headers],0),0)</f>
        <v>-</v>
      </c>
    </row>
    <row r="104" spans="1:80">
      <c r="A104" s="20" t="s">
        <v>1568</v>
      </c>
      <c r="B104" t="s">
        <v>1115</v>
      </c>
      <c r="C104" t="s">
        <v>319</v>
      </c>
      <c r="D104" t="s">
        <v>961</v>
      </c>
      <c r="E104" s="20" t="s">
        <v>1090</v>
      </c>
      <c r="F104" s="20" t="s">
        <v>120</v>
      </c>
      <c r="G104" s="418">
        <v>2316.2253000000001</v>
      </c>
      <c r="H104" s="418">
        <v>0</v>
      </c>
      <c r="I104" s="418">
        <v>0</v>
      </c>
      <c r="J104" s="418">
        <v>0</v>
      </c>
      <c r="K104" s="418">
        <v>0</v>
      </c>
      <c r="L104" s="418">
        <v>0</v>
      </c>
      <c r="M104" s="418">
        <v>0</v>
      </c>
      <c r="N104" s="418">
        <v>0</v>
      </c>
      <c r="O104" s="21">
        <f>SUM(tabCustoUnit[[#This Row],[Salário Base]:[Adicional de Acúmulo de função]])</f>
        <v>2316.2253000000001</v>
      </c>
      <c r="P104" s="21">
        <f>tabCustoUnit[[#This Row],[MODULO 1 - REMUNERAÇÃO ]]*SUMIFS(tabParametros[INSS],tabParametros[Código do Posto],tabCustoUnit[[#This Row],[Código do Posto]])</f>
        <v>463.24506000000002</v>
      </c>
      <c r="Q104" s="21">
        <f>tabCustoUnit[[#This Row],[MODULO 1 - REMUNERAÇÃO ]]*SUMIFS(tabParametros[SESI OU SESC],tabParametros[Código do Posto],tabCustoUnit[[#This Row],[Código do Posto]])</f>
        <v>34.743379499999996</v>
      </c>
      <c r="R104" s="21">
        <f>tabCustoUnit[[#This Row],[MODULO 1 - REMUNERAÇÃO ]]*SUMIFS(tabParametros[SENAI OU SENAC],tabParametros[Código do Posto],tabCustoUnit[[#This Row],[Código do Posto]])</f>
        <v>23.162253</v>
      </c>
      <c r="S104" s="21">
        <f>tabCustoUnit[[#This Row],[MODULO 1 - REMUNERAÇÃO ]]*SUMIFS(tabParametros[INCRA],tabParametros[Código do Posto],tabCustoUnit[[#This Row],[Código do Posto]])</f>
        <v>4.6324506000000003</v>
      </c>
      <c r="T104" s="21">
        <f>tabCustoUnit[[#This Row],[MODULO 1 - REMUNERAÇÃO ]]*SUMIFS(tabParametros[Salário Educação],tabParametros[Código do Posto],tabCustoUnit[[#This Row],[Código do Posto]])</f>
        <v>57.905632500000003</v>
      </c>
      <c r="U104" s="21">
        <f>tabCustoUnit[[#This Row],[MODULO 1 - REMUNERAÇÃO ]]*SUMIFS(tabParametros[FGTS],tabParametros[Código do Posto],tabCustoUnit[[#This Row],[Código do Posto]])</f>
        <v>185.298024</v>
      </c>
      <c r="V104" s="21">
        <f>tabCustoUnit[[#This Row],[MODULO 1 - REMUNERAÇÃO ]]*SUMIFS(tabParametros[RAT Ajustado],tabParametros[Código do Posto],tabCustoUnit[[#This Row],[Código do Posto]])</f>
        <v>92.649011999999999</v>
      </c>
      <c r="W104" s="21">
        <f>tabCustoUnit[[#This Row],[MODULO 1 - REMUNERAÇÃO ]]*SUMIFS(tabParametros[SEBRAE],tabParametros[Código do Posto],tabCustoUnit[[#This Row],[Código do Posto]])</f>
        <v>13.897351800000001</v>
      </c>
      <c r="X104" s="21">
        <f>SUM(tabCustoUnit[[#This Row],[INSS]:[SEBRAE]])</f>
        <v>875.53316340000003</v>
      </c>
      <c r="Y104" s="21">
        <f>tabCustoUnit[[#This Row],[MODULO 1 - REMUNERAÇÃO ]]*SUMIFS(tabParametros[13º salário (titular)],tabParametros[Código do Posto],tabCustoUnit[[#This Row],[Código do Posto]])</f>
        <v>193.01877500000001</v>
      </c>
      <c r="Z104" s="21">
        <f>tabCustoUnit[[#This Row],[MODULO 1 - REMUNERAÇÃO ]]*SUMIFS(tabParametros[Férias e Adicional de Férias (titular)],tabParametros[Código do Posto],tabCustoUnit[[#This Row],[Código do Posto]])</f>
        <v>257.35836666666665</v>
      </c>
      <c r="AA104" s="21">
        <f>IFERROR((tabCustoUnit[[#This Row],[Submódulo 2.1]]/tabCustoUnit[[#This Row],[MODULO 1 - REMUNERAÇÃO ]])*SUM(tabCustoUnit[[#This Row],[13º salário (titular)]:[Férias e Adicional de Férias (titular)]]),0)</f>
        <v>170.24255955000001</v>
      </c>
      <c r="AB104" s="21">
        <f>SUM(tabCustoUnit[[#This Row],[13º salário (titular)]:[Incidência do Submódulo 2.1 sobre 13º Salário, Férias e Adicional de Férias]])</f>
        <v>620.61970121666673</v>
      </c>
      <c r="AC104" s="22" t="e">
        <f ca="1">_xlfn.LET(_xlpm.VT,SUMIF(tabParametros[Código do Posto],tabCustoUnit[[#This Row],[Código do Posto]],tabParametros[Vale - Transporte])*2*20,
IF((_xlpm.VT-tabCustoUnit[[#This Row],[Salário Base]]*0.06)&gt;=0,(_xlpm.VT-tabCustoUnit[[#This Row],[Salário Base]]*0.06),0)
)</f>
        <v>#NAME?</v>
      </c>
      <c r="AD104" s="22">
        <f>IF(SUMIF(tabParametros[Código do Posto],tabCustoUnit[[#This Row],[Código do Posto]],tabParametros[Vale - Alimentação])&lt;=0,0,
SUMIF(tabParametros[Código do Posto],tabCustoUnit[[#This Row],[Código do Posto]],tabParametros[Vale - Alimentação])*20-1)</f>
        <v>582</v>
      </c>
      <c r="AE104" s="22">
        <f>SUMIF(tabParametros[Código do Posto],tabCustoUnit[[#This Row],[Código do Posto]],tabParametros[Cesta Básica])</f>
        <v>0</v>
      </c>
      <c r="AF104" s="22">
        <f>SUMIF(tabParametros[Código do Posto],tabCustoUnit[[#This Row],[Código do Posto]],tabParametros[PAF])</f>
        <v>0</v>
      </c>
      <c r="AG104" s="22">
        <f>SUMIF(tabParametros[Código do Posto],tabCustoUnit[[#This Row],[Código do Posto]],tabParametros[PQM])</f>
        <v>0</v>
      </c>
      <c r="AH104" s="22">
        <f>SUMIF(tabParametros[Código do Posto],tabCustoUnit[[#This Row],[Código do Posto]],tabParametros[Abono Único e Especial])</f>
        <v>0</v>
      </c>
      <c r="AI104" s="22">
        <f>SUMIF(tabParametros[Código do Posto],tabCustoUnit[[#This Row],[Código do Posto]],tabParametros[Seguro de Vida])</f>
        <v>3.36</v>
      </c>
      <c r="AJ104" s="22">
        <f>SUMIF(tabParametros[Código do Posto],tabCustoUnit[[#This Row],[Código do Posto]],tabParametros[Despesas de Viagem])</f>
        <v>0</v>
      </c>
      <c r="AK104" s="22" t="e">
        <f ca="1">SUM(tabCustoUnit[[#This Row],[Vale - Transporte (Descontada parcela do empregado)]:[Despesas de Viagem]])</f>
        <v>#NAME?</v>
      </c>
      <c r="AL104" s="22" t="e">
        <f ca="1">tabCustoUnit[[#This Row],[Submódulo 2.1]]+tabCustoUnit[[#This Row],[Submódulo 2.2]]+tabCustoUnit[[#This Row],[Submódulo 2.3]]</f>
        <v>#NAME?</v>
      </c>
      <c r="AM104" s="22">
        <f>SUMIF(tabParametros[Código do Posto],tabCustoUnit[[#This Row],[Código do Posto]],tabParametros[Aviso Prévio Indenizado (API) e Reflexo do Aviso Prévio Indenizado])*tabCustoUnit[[#This Row],[MODULO 1 - REMUNERAÇÃO ]]</f>
        <v>16.240832065914354</v>
      </c>
      <c r="AN104" s="22">
        <f>SUMIF(tabParametros[Código do Posto],tabCustoUnit[[#This Row],[Código do Posto]],tabParametros[Incidência do FGTS sobre API e Reflexo do API])*tabCustoUnit[[#This Row],[MODULO 1 - REMUNERAÇÃO ]]</f>
        <v>1.2992665652731483</v>
      </c>
      <c r="AO104" s="22">
        <f>SUMIF(tabParametros[Código do Posto],tabCustoUnit[[#This Row],[Código do Posto]],tabParametros[Multa Rescisória do FGTS sobre o Aviso Prévio Indenizado])*tabCustoUnit[[#This Row],[MODULO 1 - REMUNERAÇÃO ]]</f>
        <v>0.51970662610925933</v>
      </c>
      <c r="AP104" s="22">
        <f>SUMIF(tabParametros[Código do Posto],tabCustoUnit[[#This Row],[Código do Posto]],tabParametros[Aviso Prévio Trabalhado - APT])*tabCustoUnit[[#This Row],[MODULO 1 - REMUNERAÇÃO ]]</f>
        <v>8.106788550000001</v>
      </c>
      <c r="AQ104" s="22">
        <f>SUMIF(tabParametros[Código do Posto],tabCustoUnit[[#This Row],[Código do Posto]],tabParametros[Incidência dos encargos do submódulo 2.1 sobre Aviso Prévio Trabalhado])*tabCustoUnit[[#This Row],[MODULO 1 - REMUNERAÇÃO ]]</f>
        <v>3.0643660719000008</v>
      </c>
      <c r="AR104" s="22">
        <f>SUMIF(tabParametros[Código do Posto],tabCustoUnit[[#This Row],[Código do Posto]],tabParametros[Multa Rescisória do FGTS])*tabCustoUnit[[#This Row],[MODULO 1 - REMUNERAÇÃO ]]</f>
        <v>70.825022506666656</v>
      </c>
      <c r="AS104" s="22">
        <f>SUMIF(tabParametros[Código do Posto],tabCustoUnit[[#This Row],[Código do Posto]],tabParametros[Indenização Adicional (Art. 9º da Lei nº 7.238/84)])*tabCustoUnit[[#This Row],[MODULO 1 - REMUNERAÇÃO ]]</f>
        <v>1.9301877500000002</v>
      </c>
      <c r="AT104" s="22">
        <f>SUM(tabCustoUnit[[#This Row],[Aviso Prévio Indenizado (API) e Reflexo do Aviso Prévio Indenizado]:[Indenização Adicional (Art. 9º da Lei nº 7.238/84)]])</f>
        <v>101.98617013586342</v>
      </c>
      <c r="AU104" s="22">
        <f>SUMIF(tabParametros[Código do Posto],tabCustoUnit[[#This Row],[Código do Posto]],tabParametros[Ausência por Doença])*tabCustoUnit[[#This Row],[MODULO 1 - REMUNERAÇÃO ]]</f>
        <v>19.559235866666665</v>
      </c>
      <c r="AV104" s="22">
        <f>SUMIF(tabParametros[Código do Posto],tabCustoUnit[[#This Row],[Código do Posto]],tabParametros[Ausências Legais])*tabCustoUnit[[#This Row],[MODULO 1 - REMUNERAÇÃO ]]</f>
        <v>4.6967901916666666</v>
      </c>
      <c r="AW104" s="22">
        <f>SUMIF(tabParametros[Código do Posto],tabCustoUnit[[#This Row],[Código do Posto]],tabParametros[Licença Paternidade])*tabCustoUnit[[#This Row],[MODULO 1 - REMUNERAÇÃO ]]</f>
        <v>0.39568848875000001</v>
      </c>
      <c r="AX104" s="22">
        <f>SUMIF(tabParametros[Código do Posto],tabCustoUnit[[#This Row],[Código do Posto]],tabParametros[Ausência por Acidente de Trabalho])*tabCustoUnit[[#This Row],[MODULO 1 - REMUNERAÇÃO ]]</f>
        <v>0.48254693750000005</v>
      </c>
      <c r="AY104" s="22">
        <f>SUMIF(tabParametros[Código do Posto],tabCustoUnit[[#This Row],[Código do Posto]],tabParametros[Férias, Adicional de Férias e 13º  com empregada em gozo de Licença Maternidade])*tabCustoUnit[[#This Row],[MODULO 1 - REMUNERAÇÃO ]]</f>
        <v>3.0025142777777778</v>
      </c>
      <c r="AZ104" s="22">
        <f>SUMIF(tabParametros[Código do Posto],tabCustoUnit[[#This Row],[Código do Posto]],tabParametros[Incidência do Submódulo 2.1 sobre Ausências Legais])*tabCustoUnit[[#This Row],[MODULO 1 - REMUNERAÇÃO ]]</f>
        <v>10.635701238172501</v>
      </c>
      <c r="BA104" s="22">
        <f>SUM(tabCustoUnit[[#This Row],[Ausência por Doença]:[Incidência do Submódulo 2.1 sobre Ausências Legais]])</f>
        <v>38.772477000533613</v>
      </c>
      <c r="BB104" s="22">
        <f>SUMIF(tabParametros[Código do Posto],tabCustoUnit[[#This Row],[Código do Posto]],tabParametros[Intervalo para Repouso ou Alimentação])</f>
        <v>0</v>
      </c>
      <c r="BC104" s="22">
        <f>tabCustoUnit[[#This Row],[Intervalo para Repouso ou Alimentação]]</f>
        <v>0</v>
      </c>
      <c r="BD10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4" s="22">
        <f>tabCustoUnit[[#This Row],[Suspensão Temporária do Contrato de Trabalho]]</f>
        <v>0</v>
      </c>
      <c r="BF104" s="22">
        <f>tabCustoUnit[[#This Row],[Submódulo 4.1]]+tabCustoUnit[[#This Row],[Submódulo 4.2]]+tabCustoUnit[[#This Row],[Submódulo 4.3]]</f>
        <v>38.772477000533613</v>
      </c>
      <c r="BG104" s="22">
        <f>VLOOKUP(tabCustoUnit[[#This Row],[Código do Posto]],tabParametros[],MATCH(tabCustoUnit[[#Headers],[Uniformes e EPIs]],tabParametros[#Headers],0),0)</f>
        <v>56.642978962543395</v>
      </c>
      <c r="BH104" s="22">
        <f>VLOOKUP(tabCustoUnit[[#This Row],[Código do Posto]],tabParametros[],MATCH(tabCustoUnit[[#Headers],[Materiais de Consumo]],tabParametros[#Headers],0),0)</f>
        <v>0</v>
      </c>
      <c r="BI104" s="22">
        <f>VLOOKUP(tabCustoUnit[[#This Row],[Código do Posto]],tabParametros[],MATCH(tabCustoUnit[[#Headers],[Máquinas e Equipamentos (depreciação)]],tabParametros[#Headers],0),0)</f>
        <v>0</v>
      </c>
      <c r="BJ104" s="22">
        <f>VLOOKUP(tabCustoUnit[[#This Row],[Código do Posto]],tabParametros[],MATCH(tabCustoUnit[[#Headers],[Produtos de Limpeza e Materiais de Higiene Pessoal]],tabParametros[#Headers],0),0)</f>
        <v>0</v>
      </c>
      <c r="BK104" s="22">
        <f>VLOOKUP(tabCustoUnit[[#This Row],[Código do Posto]],tabParametros[],MATCH(tabCustoUnit[[#Headers],[Outros (especificar)]],tabParametros[#Headers],0),0)</f>
        <v>0</v>
      </c>
      <c r="BL104" s="22">
        <f>SUM(tabCustoUnit[[#This Row],[Uniformes e EPIs]:[Outros (especificar)]])</f>
        <v>56.642978962543395</v>
      </c>
      <c r="BM10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4" s="22" t="e">
        <f ca="1">VLOOKUP(tabCustoUnit[[#This Row],[Código do Posto]],tabParametros[],MATCH(tabCustoUnit[[#Headers],[Custos Indiretos]],tabParametros[#Headers],0),0)</f>
        <v>#NAME?</v>
      </c>
      <c r="BO104" s="22" t="e">
        <f ca="1">VLOOKUP(tabCustoUnit[[#This Row],[Código do Posto]],tabParametros[],MATCH(tabCustoUnit[[#Headers],[Lucro]],tabParametros[#Headers],0),0)</f>
        <v>#NAME?</v>
      </c>
      <c r="BP104" s="26">
        <f>((100/((1-tabCustoUnit[[#This Row],[Resumo de Alíquotas (PIS+CONFINS+ISS)]]))-100)*VLOOKUP(tabCustoUnit[[#This Row],[Código do Posto]],tabParametros[],MATCH(tabCustoUnit[[#Headers],[COFINS]],tabParametros[#Headers],0),0))/(tabCustoUnit[[#This Row],[Resumo de Alíquotas (PIS+CONFINS+ISS)]]*100)</f>
        <v>8.6609686609686695E-2</v>
      </c>
      <c r="BQ104" s="26">
        <f>((100/((100-(tabCustoUnit[[#This Row],[Resumo de Alíquotas (PIS+CONFINS+ISS)]]*100))%)-100)*VLOOKUP(tabCustoUnit[[#This Row],[Código do Posto]],tabParametros[],MATCH(tabCustoUnit[[#Headers],[PIS]],tabParametros[#Headers],0),0))/(tabCustoUnit[[#This Row],[Resumo de Alíquotas (PIS+CONFINS+ISS)]]*100)</f>
        <v>1.880341880341882E-2</v>
      </c>
      <c r="BR104" s="28">
        <f>VLOOKUP(tabCustoUnit[[#This Row],[Código do Posto]],tabParametros[],MATCH(tabCustoUnit[[#Headers],[ISS]],tabParametros[#Headers],0),0)</f>
        <v>0.03</v>
      </c>
      <c r="BS104" s="26">
        <f>(((100/((100-(tabCustoUnit[[#This Row],[Resumo de Alíquotas (PIS+CONFINS+ISS)]]*100))%)-100)*tabCustoUnit[[#This Row],[ISS]])/tabCustoUnit[[#This Row],[Resumo de Alíquotas (PIS+CONFINS+ISS)]])/100</f>
        <v>3.4188034188034219E-2</v>
      </c>
      <c r="BT10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04" s="138">
        <f>tabCustoUnit[[#This Row],[COFINS]]+tabCustoUnit[[#This Row],[PIS]]+tabCustoUnit[[#This Row],[ISS (Conversão Alíquota s/ fatura)]]</f>
        <v>0.13960113960113973</v>
      </c>
      <c r="BV104" s="22" t="e">
        <f ca="1">(tabCustoUnit[[#This Row],[TOTAL MÓDULOS 1+2+3+4+5]]+tabCustoUnit[[#This Row],[Custos Indiretos]]+tabCustoUnit[[#This Row],[Lucro]])*tabCustoUnit[[#This Row],[PIS + COFINS + ISS (Total Conversão  Alíquota s/ Fatura)]]</f>
        <v>#NAME?</v>
      </c>
      <c r="BW104" s="22" t="e">
        <f ca="1">tabCustoUnit[[#This Row],[Custos Indiretos]]+tabCustoUnit[[#This Row],[Lucro]]+tabCustoUnit[[#This Row],[Valor dos Tributos (ISS, PIS, CONFINS)]]</f>
        <v>#NAME?</v>
      </c>
      <c r="BX104" s="22" t="e">
        <f ca="1">tabCustoUnit[[#This Row],[TOTAL MÓDULOS 1+2+3+4+5]]+tabCustoUnit[[#This Row],[MÓDULO 6 – CUSTOS INDIRETOS, TRIBUTOS E LUCRO]]</f>
        <v>#NAME?</v>
      </c>
      <c r="BY104" s="22" t="e">
        <f ca="1">tabCustoUnit[[#This Row],[CUSTO TOTAL MENSAL]]*12</f>
        <v>#NAME?</v>
      </c>
      <c r="BZ104" s="24">
        <f>VLOOKUP(tabCustoUnit[[#This Row],[Código do Posto]],tabParametros[],MATCH(tabCustoUnit[[#Headers],[ANO DA CCT]],tabParametros[#Headers],0),0)</f>
        <v>45658</v>
      </c>
      <c r="CA104" s="25" t="str">
        <f>VLOOKUP(tabCustoUnit[[#This Row],[Código do Posto]],tabParametros[],MATCH(tabCustoUnit[[#Headers],[Nº DE PEDIDO DA CCT]],tabParametros[#Headers],0),0)</f>
        <v>-</v>
      </c>
      <c r="CB104" s="25" t="str">
        <f>VLOOKUP(tabCustoUnit[[#This Row],[Código do Posto]],tabParametros[],MATCH(tabCustoUnit[[#Headers],[TERMO ADITIVO ALTERAÇÃO DA CCT]],tabParametros[#Headers],0),0)</f>
        <v>-</v>
      </c>
    </row>
    <row r="105" spans="1:80">
      <c r="A105" s="20" t="s">
        <v>1569</v>
      </c>
      <c r="B105" t="s">
        <v>1116</v>
      </c>
      <c r="C105" t="s">
        <v>319</v>
      </c>
      <c r="D105" t="s">
        <v>899</v>
      </c>
      <c r="E105" s="20" t="s">
        <v>1090</v>
      </c>
      <c r="F105" s="20" t="s">
        <v>120</v>
      </c>
      <c r="G105" s="418">
        <v>2316.2253000000001</v>
      </c>
      <c r="H105" s="418">
        <v>0</v>
      </c>
      <c r="I105" s="418">
        <v>0</v>
      </c>
      <c r="J105" s="418">
        <v>0</v>
      </c>
      <c r="K105" s="418">
        <v>0</v>
      </c>
      <c r="L105" s="418">
        <v>0</v>
      </c>
      <c r="M105" s="418">
        <v>0</v>
      </c>
      <c r="N105" s="418">
        <v>0</v>
      </c>
      <c r="O105" s="21">
        <f>SUM(tabCustoUnit[[#This Row],[Salário Base]:[Adicional de Acúmulo de função]])</f>
        <v>2316.2253000000001</v>
      </c>
      <c r="P105" s="21">
        <f>tabCustoUnit[[#This Row],[MODULO 1 - REMUNERAÇÃO ]]*SUMIFS(tabParametros[INSS],tabParametros[Código do Posto],tabCustoUnit[[#This Row],[Código do Posto]])</f>
        <v>463.24506000000002</v>
      </c>
      <c r="Q105" s="21">
        <f>tabCustoUnit[[#This Row],[MODULO 1 - REMUNERAÇÃO ]]*SUMIFS(tabParametros[SESI OU SESC],tabParametros[Código do Posto],tabCustoUnit[[#This Row],[Código do Posto]])</f>
        <v>34.743379499999996</v>
      </c>
      <c r="R105" s="21">
        <f>tabCustoUnit[[#This Row],[MODULO 1 - REMUNERAÇÃO ]]*SUMIFS(tabParametros[SENAI OU SENAC],tabParametros[Código do Posto],tabCustoUnit[[#This Row],[Código do Posto]])</f>
        <v>23.162253</v>
      </c>
      <c r="S105" s="21">
        <f>tabCustoUnit[[#This Row],[MODULO 1 - REMUNERAÇÃO ]]*SUMIFS(tabParametros[INCRA],tabParametros[Código do Posto],tabCustoUnit[[#This Row],[Código do Posto]])</f>
        <v>4.6324506000000003</v>
      </c>
      <c r="T105" s="21">
        <f>tabCustoUnit[[#This Row],[MODULO 1 - REMUNERAÇÃO ]]*SUMIFS(tabParametros[Salário Educação],tabParametros[Código do Posto],tabCustoUnit[[#This Row],[Código do Posto]])</f>
        <v>57.905632500000003</v>
      </c>
      <c r="U105" s="21">
        <f>tabCustoUnit[[#This Row],[MODULO 1 - REMUNERAÇÃO ]]*SUMIFS(tabParametros[FGTS],tabParametros[Código do Posto],tabCustoUnit[[#This Row],[Código do Posto]])</f>
        <v>185.298024</v>
      </c>
      <c r="V105" s="21">
        <f>tabCustoUnit[[#This Row],[MODULO 1 - REMUNERAÇÃO ]]*SUMIFS(tabParametros[RAT Ajustado],tabParametros[Código do Posto],tabCustoUnit[[#This Row],[Código do Posto]])</f>
        <v>92.649011999999999</v>
      </c>
      <c r="W105" s="21">
        <f>tabCustoUnit[[#This Row],[MODULO 1 - REMUNERAÇÃO ]]*SUMIFS(tabParametros[SEBRAE],tabParametros[Código do Posto],tabCustoUnit[[#This Row],[Código do Posto]])</f>
        <v>13.897351800000001</v>
      </c>
      <c r="X105" s="21">
        <f>SUM(tabCustoUnit[[#This Row],[INSS]:[SEBRAE]])</f>
        <v>875.53316340000003</v>
      </c>
      <c r="Y105" s="21">
        <f>tabCustoUnit[[#This Row],[MODULO 1 - REMUNERAÇÃO ]]*SUMIFS(tabParametros[13º salário (titular)],tabParametros[Código do Posto],tabCustoUnit[[#This Row],[Código do Posto]])</f>
        <v>193.01877500000001</v>
      </c>
      <c r="Z105" s="21">
        <f>tabCustoUnit[[#This Row],[MODULO 1 - REMUNERAÇÃO ]]*SUMIFS(tabParametros[Férias e Adicional de Férias (titular)],tabParametros[Código do Posto],tabCustoUnit[[#This Row],[Código do Posto]])</f>
        <v>257.35836666666665</v>
      </c>
      <c r="AA105" s="21">
        <f>IFERROR((tabCustoUnit[[#This Row],[Submódulo 2.1]]/tabCustoUnit[[#This Row],[MODULO 1 - REMUNERAÇÃO ]])*SUM(tabCustoUnit[[#This Row],[13º salário (titular)]:[Férias e Adicional de Férias (titular)]]),0)</f>
        <v>170.24255955000001</v>
      </c>
      <c r="AB105" s="21">
        <f>SUM(tabCustoUnit[[#This Row],[13º salário (titular)]:[Incidência do Submódulo 2.1 sobre 13º Salário, Férias e Adicional de Férias]])</f>
        <v>620.61970121666673</v>
      </c>
      <c r="AC105" s="22" t="e">
        <f ca="1">_xlfn.LET(_xlpm.VT,SUMIF(tabParametros[Código do Posto],tabCustoUnit[[#This Row],[Código do Posto]],tabParametros[Vale - Transporte])*2*20,
IF((_xlpm.VT-tabCustoUnit[[#This Row],[Salário Base]]*0.06)&gt;=0,(_xlpm.VT-tabCustoUnit[[#This Row],[Salário Base]]*0.06),0)
)</f>
        <v>#NAME?</v>
      </c>
      <c r="AD105" s="22">
        <f>IF(SUMIF(tabParametros[Código do Posto],tabCustoUnit[[#This Row],[Código do Posto]],tabParametros[Vale - Alimentação])&lt;=0,0,
SUMIF(tabParametros[Código do Posto],tabCustoUnit[[#This Row],[Código do Posto]],tabParametros[Vale - Alimentação])*20-1)</f>
        <v>0</v>
      </c>
      <c r="AE105" s="22">
        <f>SUMIF(tabParametros[Código do Posto],tabCustoUnit[[#This Row],[Código do Posto]],tabParametros[Cesta Básica])</f>
        <v>387.79</v>
      </c>
      <c r="AF105" s="22">
        <f>SUMIF(tabParametros[Código do Posto],tabCustoUnit[[#This Row],[Código do Posto]],tabParametros[PAF])</f>
        <v>42.97</v>
      </c>
      <c r="AG105" s="22">
        <f>SUMIF(tabParametros[Código do Posto],tabCustoUnit[[#This Row],[Código do Posto]],tabParametros[PQM])</f>
        <v>0</v>
      </c>
      <c r="AH105" s="22">
        <f>SUMIF(tabParametros[Código do Posto],tabCustoUnit[[#This Row],[Código do Posto]],tabParametros[Abono Único e Especial])</f>
        <v>0</v>
      </c>
      <c r="AI105" s="22">
        <f>SUMIF(tabParametros[Código do Posto],tabCustoUnit[[#This Row],[Código do Posto]],tabParametros[Seguro de Vida])</f>
        <v>3.36</v>
      </c>
      <c r="AJ105" s="22">
        <f>SUMIF(tabParametros[Código do Posto],tabCustoUnit[[#This Row],[Código do Posto]],tabParametros[Despesas de Viagem])</f>
        <v>0</v>
      </c>
      <c r="AK105" s="22" t="e">
        <f ca="1">SUM(tabCustoUnit[[#This Row],[Vale - Transporte (Descontada parcela do empregado)]:[Despesas de Viagem]])</f>
        <v>#NAME?</v>
      </c>
      <c r="AL105" s="22" t="e">
        <f ca="1">tabCustoUnit[[#This Row],[Submódulo 2.1]]+tabCustoUnit[[#This Row],[Submódulo 2.2]]+tabCustoUnit[[#This Row],[Submódulo 2.3]]</f>
        <v>#NAME?</v>
      </c>
      <c r="AM105" s="22">
        <f>SUMIF(tabParametros[Código do Posto],tabCustoUnit[[#This Row],[Código do Posto]],tabParametros[Aviso Prévio Indenizado (API) e Reflexo do Aviso Prévio Indenizado])*tabCustoUnit[[#This Row],[MODULO 1 - REMUNERAÇÃO ]]</f>
        <v>16.240832065914354</v>
      </c>
      <c r="AN105" s="22">
        <f>SUMIF(tabParametros[Código do Posto],tabCustoUnit[[#This Row],[Código do Posto]],tabParametros[Incidência do FGTS sobre API e Reflexo do API])*tabCustoUnit[[#This Row],[MODULO 1 - REMUNERAÇÃO ]]</f>
        <v>1.2992665652731483</v>
      </c>
      <c r="AO105" s="22">
        <f>SUMIF(tabParametros[Código do Posto],tabCustoUnit[[#This Row],[Código do Posto]],tabParametros[Multa Rescisória do FGTS sobre o Aviso Prévio Indenizado])*tabCustoUnit[[#This Row],[MODULO 1 - REMUNERAÇÃO ]]</f>
        <v>0.51970662610925933</v>
      </c>
      <c r="AP105" s="22">
        <f>SUMIF(tabParametros[Código do Posto],tabCustoUnit[[#This Row],[Código do Posto]],tabParametros[Aviso Prévio Trabalhado - APT])*tabCustoUnit[[#This Row],[MODULO 1 - REMUNERAÇÃO ]]</f>
        <v>8.106788550000001</v>
      </c>
      <c r="AQ105" s="22">
        <f>SUMIF(tabParametros[Código do Posto],tabCustoUnit[[#This Row],[Código do Posto]],tabParametros[Incidência dos encargos do submódulo 2.1 sobre Aviso Prévio Trabalhado])*tabCustoUnit[[#This Row],[MODULO 1 - REMUNERAÇÃO ]]</f>
        <v>3.0643660719000008</v>
      </c>
      <c r="AR105" s="22">
        <f>SUMIF(tabParametros[Código do Posto],tabCustoUnit[[#This Row],[Código do Posto]],tabParametros[Multa Rescisória do FGTS])*tabCustoUnit[[#This Row],[MODULO 1 - REMUNERAÇÃO ]]</f>
        <v>70.825022506666656</v>
      </c>
      <c r="AS105" s="22">
        <f>SUMIF(tabParametros[Código do Posto],tabCustoUnit[[#This Row],[Código do Posto]],tabParametros[Indenização Adicional (Art. 9º da Lei nº 7.238/84)])*tabCustoUnit[[#This Row],[MODULO 1 - REMUNERAÇÃO ]]</f>
        <v>1.9301877500000002</v>
      </c>
      <c r="AT105" s="22">
        <f>SUM(tabCustoUnit[[#This Row],[Aviso Prévio Indenizado (API) e Reflexo do Aviso Prévio Indenizado]:[Indenização Adicional (Art. 9º da Lei nº 7.238/84)]])</f>
        <v>101.98617013586342</v>
      </c>
      <c r="AU105" s="22">
        <f>SUMIF(tabParametros[Código do Posto],tabCustoUnit[[#This Row],[Código do Posto]],tabParametros[Ausência por Doença])*tabCustoUnit[[#This Row],[MODULO 1 - REMUNERAÇÃO ]]</f>
        <v>19.559235866666665</v>
      </c>
      <c r="AV105" s="22">
        <f>SUMIF(tabParametros[Código do Posto],tabCustoUnit[[#This Row],[Código do Posto]],tabParametros[Ausências Legais])*tabCustoUnit[[#This Row],[MODULO 1 - REMUNERAÇÃO ]]</f>
        <v>4.6967901916666666</v>
      </c>
      <c r="AW105" s="22">
        <f>SUMIF(tabParametros[Código do Posto],tabCustoUnit[[#This Row],[Código do Posto]],tabParametros[Licença Paternidade])*tabCustoUnit[[#This Row],[MODULO 1 - REMUNERAÇÃO ]]</f>
        <v>0.39568848875000001</v>
      </c>
      <c r="AX105" s="22">
        <f>SUMIF(tabParametros[Código do Posto],tabCustoUnit[[#This Row],[Código do Posto]],tabParametros[Ausência por Acidente de Trabalho])*tabCustoUnit[[#This Row],[MODULO 1 - REMUNERAÇÃO ]]</f>
        <v>0.48254693750000005</v>
      </c>
      <c r="AY105" s="22">
        <f>SUMIF(tabParametros[Código do Posto],tabCustoUnit[[#This Row],[Código do Posto]],tabParametros[Férias, Adicional de Férias e 13º  com empregada em gozo de Licença Maternidade])*tabCustoUnit[[#This Row],[MODULO 1 - REMUNERAÇÃO ]]</f>
        <v>3.0025142777777778</v>
      </c>
      <c r="AZ105" s="22">
        <f>SUMIF(tabParametros[Código do Posto],tabCustoUnit[[#This Row],[Código do Posto]],tabParametros[Incidência do Submódulo 2.1 sobre Ausências Legais])*tabCustoUnit[[#This Row],[MODULO 1 - REMUNERAÇÃO ]]</f>
        <v>10.635701238172501</v>
      </c>
      <c r="BA105" s="22">
        <f>SUM(tabCustoUnit[[#This Row],[Ausência por Doença]:[Incidência do Submódulo 2.1 sobre Ausências Legais]])</f>
        <v>38.772477000533613</v>
      </c>
      <c r="BB105" s="22">
        <f>SUMIF(tabParametros[Código do Posto],tabCustoUnit[[#This Row],[Código do Posto]],tabParametros[Intervalo para Repouso ou Alimentação])</f>
        <v>0</v>
      </c>
      <c r="BC105" s="22">
        <f>tabCustoUnit[[#This Row],[Intervalo para Repouso ou Alimentação]]</f>
        <v>0</v>
      </c>
      <c r="BD10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5" s="22">
        <f>tabCustoUnit[[#This Row],[Suspensão Temporária do Contrato de Trabalho]]</f>
        <v>0</v>
      </c>
      <c r="BF105" s="22">
        <f>tabCustoUnit[[#This Row],[Submódulo 4.1]]+tabCustoUnit[[#This Row],[Submódulo 4.2]]+tabCustoUnit[[#This Row],[Submódulo 4.3]]</f>
        <v>38.772477000533613</v>
      </c>
      <c r="BG105" s="22">
        <f>VLOOKUP(tabCustoUnit[[#This Row],[Código do Posto]],tabParametros[],MATCH(tabCustoUnit[[#Headers],[Uniformes e EPIs]],tabParametros[#Headers],0),0)</f>
        <v>56.642978962543395</v>
      </c>
      <c r="BH105" s="22">
        <f>VLOOKUP(tabCustoUnit[[#This Row],[Código do Posto]],tabParametros[],MATCH(tabCustoUnit[[#Headers],[Materiais de Consumo]],tabParametros[#Headers],0),0)</f>
        <v>0</v>
      </c>
      <c r="BI105" s="22">
        <f>VLOOKUP(tabCustoUnit[[#This Row],[Código do Posto]],tabParametros[],MATCH(tabCustoUnit[[#Headers],[Máquinas e Equipamentos (depreciação)]],tabParametros[#Headers],0),0)</f>
        <v>0</v>
      </c>
      <c r="BJ105" s="22">
        <f>VLOOKUP(tabCustoUnit[[#This Row],[Código do Posto]],tabParametros[],MATCH(tabCustoUnit[[#Headers],[Produtos de Limpeza e Materiais de Higiene Pessoal]],tabParametros[#Headers],0),0)</f>
        <v>0</v>
      </c>
      <c r="BK105" s="22">
        <f>VLOOKUP(tabCustoUnit[[#This Row],[Código do Posto]],tabParametros[],MATCH(tabCustoUnit[[#Headers],[Outros (especificar)]],tabParametros[#Headers],0),0)</f>
        <v>0</v>
      </c>
      <c r="BL105" s="22">
        <f>SUM(tabCustoUnit[[#This Row],[Uniformes e EPIs]:[Outros (especificar)]])</f>
        <v>56.642978962543395</v>
      </c>
      <c r="BM10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5" s="22" t="e">
        <f ca="1">VLOOKUP(tabCustoUnit[[#This Row],[Código do Posto]],tabParametros[],MATCH(tabCustoUnit[[#Headers],[Custos Indiretos]],tabParametros[#Headers],0),0)</f>
        <v>#NAME?</v>
      </c>
      <c r="BO105" s="22" t="e">
        <f ca="1">VLOOKUP(tabCustoUnit[[#This Row],[Código do Posto]],tabParametros[],MATCH(tabCustoUnit[[#Headers],[Lucro]],tabParametros[#Headers],0),0)</f>
        <v>#NAME?</v>
      </c>
      <c r="BP105" s="26">
        <f>((100/((1-tabCustoUnit[[#This Row],[Resumo de Alíquotas (PIS+CONFINS+ISS)]]))-100)*VLOOKUP(tabCustoUnit[[#This Row],[Código do Posto]],tabParametros[],MATCH(tabCustoUnit[[#Headers],[COFINS]],tabParametros[#Headers],0),0))/(tabCustoUnit[[#This Row],[Resumo de Alíquotas (PIS+CONFINS+ISS)]]*100)</f>
        <v>8.6609686609686695E-2</v>
      </c>
      <c r="BQ105" s="26">
        <f>((100/((100-(tabCustoUnit[[#This Row],[Resumo de Alíquotas (PIS+CONFINS+ISS)]]*100))%)-100)*VLOOKUP(tabCustoUnit[[#This Row],[Código do Posto]],tabParametros[],MATCH(tabCustoUnit[[#Headers],[PIS]],tabParametros[#Headers],0),0))/(tabCustoUnit[[#This Row],[Resumo de Alíquotas (PIS+CONFINS+ISS)]]*100)</f>
        <v>1.880341880341882E-2</v>
      </c>
      <c r="BR105" s="28">
        <f>VLOOKUP(tabCustoUnit[[#This Row],[Código do Posto]],tabParametros[],MATCH(tabCustoUnit[[#Headers],[ISS]],tabParametros[#Headers],0),0)</f>
        <v>0.03</v>
      </c>
      <c r="BS105" s="26">
        <f>(((100/((100-(tabCustoUnit[[#This Row],[Resumo de Alíquotas (PIS+CONFINS+ISS)]]*100))%)-100)*tabCustoUnit[[#This Row],[ISS]])/tabCustoUnit[[#This Row],[Resumo de Alíquotas (PIS+CONFINS+ISS)]])/100</f>
        <v>3.4188034188034219E-2</v>
      </c>
      <c r="BT10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05" s="138">
        <f>tabCustoUnit[[#This Row],[COFINS]]+tabCustoUnit[[#This Row],[PIS]]+tabCustoUnit[[#This Row],[ISS (Conversão Alíquota s/ fatura)]]</f>
        <v>0.13960113960113973</v>
      </c>
      <c r="BV105" s="22" t="e">
        <f ca="1">(tabCustoUnit[[#This Row],[TOTAL MÓDULOS 1+2+3+4+5]]+tabCustoUnit[[#This Row],[Custos Indiretos]]+tabCustoUnit[[#This Row],[Lucro]])*tabCustoUnit[[#This Row],[PIS + COFINS + ISS (Total Conversão  Alíquota s/ Fatura)]]</f>
        <v>#NAME?</v>
      </c>
      <c r="BW105" s="22" t="e">
        <f ca="1">tabCustoUnit[[#This Row],[Custos Indiretos]]+tabCustoUnit[[#This Row],[Lucro]]+tabCustoUnit[[#This Row],[Valor dos Tributos (ISS, PIS, CONFINS)]]</f>
        <v>#NAME?</v>
      </c>
      <c r="BX105" s="22" t="e">
        <f ca="1">tabCustoUnit[[#This Row],[TOTAL MÓDULOS 1+2+3+4+5]]+tabCustoUnit[[#This Row],[MÓDULO 6 – CUSTOS INDIRETOS, TRIBUTOS E LUCRO]]</f>
        <v>#NAME?</v>
      </c>
      <c r="BY105" s="22" t="e">
        <f ca="1">tabCustoUnit[[#This Row],[CUSTO TOTAL MENSAL]]*12</f>
        <v>#NAME?</v>
      </c>
      <c r="BZ105" s="24">
        <f>VLOOKUP(tabCustoUnit[[#This Row],[Código do Posto]],tabParametros[],MATCH(tabCustoUnit[[#Headers],[ANO DA CCT]],tabParametros[#Headers],0),0)</f>
        <v>45658</v>
      </c>
      <c r="CA105" s="25" t="str">
        <f>VLOOKUP(tabCustoUnit[[#This Row],[Código do Posto]],tabParametros[],MATCH(tabCustoUnit[[#Headers],[Nº DE PEDIDO DA CCT]],tabParametros[#Headers],0),0)</f>
        <v>-</v>
      </c>
      <c r="CB105" s="25" t="str">
        <f>VLOOKUP(tabCustoUnit[[#This Row],[Código do Posto]],tabParametros[],MATCH(tabCustoUnit[[#Headers],[TERMO ADITIVO ALTERAÇÃO DA CCT]],tabParametros[#Headers],0),0)</f>
        <v>-</v>
      </c>
    </row>
    <row r="106" spans="1:80">
      <c r="A106" s="20" t="s">
        <v>1462</v>
      </c>
      <c r="B106" t="s">
        <v>1117</v>
      </c>
      <c r="C106" t="s">
        <v>200</v>
      </c>
      <c r="D106" t="s">
        <v>961</v>
      </c>
      <c r="E106" s="20" t="s">
        <v>1090</v>
      </c>
      <c r="F106" s="20" t="s">
        <v>120</v>
      </c>
      <c r="G106" s="418">
        <v>1596.2737999999999</v>
      </c>
      <c r="H106" s="418">
        <v>0</v>
      </c>
      <c r="I106" s="418">
        <v>0</v>
      </c>
      <c r="J106" s="418">
        <v>0</v>
      </c>
      <c r="K106" s="418">
        <v>0</v>
      </c>
      <c r="L106" s="418">
        <v>0</v>
      </c>
      <c r="M106" s="418">
        <v>0</v>
      </c>
      <c r="N106" s="418">
        <v>0</v>
      </c>
      <c r="O106" s="21">
        <f>SUM(tabCustoUnit[[#This Row],[Salário Base]:[Adicional de Acúmulo de função]])</f>
        <v>1596.2737999999999</v>
      </c>
      <c r="P106" s="21">
        <f>tabCustoUnit[[#This Row],[MODULO 1 - REMUNERAÇÃO ]]*SUMIFS(tabParametros[INSS],tabParametros[Código do Posto],tabCustoUnit[[#This Row],[Código do Posto]])</f>
        <v>319.25476000000003</v>
      </c>
      <c r="Q106" s="21">
        <f>tabCustoUnit[[#This Row],[MODULO 1 - REMUNERAÇÃO ]]*SUMIFS(tabParametros[SESI OU SESC],tabParametros[Código do Posto],tabCustoUnit[[#This Row],[Código do Posto]])</f>
        <v>23.944106999999999</v>
      </c>
      <c r="R106" s="21">
        <f>tabCustoUnit[[#This Row],[MODULO 1 - REMUNERAÇÃO ]]*SUMIFS(tabParametros[SENAI OU SENAC],tabParametros[Código do Posto],tabCustoUnit[[#This Row],[Código do Posto]])</f>
        <v>15.962738</v>
      </c>
      <c r="S106" s="21">
        <f>tabCustoUnit[[#This Row],[MODULO 1 - REMUNERAÇÃO ]]*SUMIFS(tabParametros[INCRA],tabParametros[Código do Posto],tabCustoUnit[[#This Row],[Código do Posto]])</f>
        <v>3.1925476000000002</v>
      </c>
      <c r="T106" s="21">
        <f>tabCustoUnit[[#This Row],[MODULO 1 - REMUNERAÇÃO ]]*SUMIFS(tabParametros[Salário Educação],tabParametros[Código do Posto],tabCustoUnit[[#This Row],[Código do Posto]])</f>
        <v>39.906845000000004</v>
      </c>
      <c r="U106" s="21">
        <f>tabCustoUnit[[#This Row],[MODULO 1 - REMUNERAÇÃO ]]*SUMIFS(tabParametros[FGTS],tabParametros[Código do Posto],tabCustoUnit[[#This Row],[Código do Posto]])</f>
        <v>127.701904</v>
      </c>
      <c r="V106" s="21">
        <f>tabCustoUnit[[#This Row],[MODULO 1 - REMUNERAÇÃO ]]*SUMIFS(tabParametros[RAT Ajustado],tabParametros[Código do Posto],tabCustoUnit[[#This Row],[Código do Posto]])</f>
        <v>63.850951999999999</v>
      </c>
      <c r="W106" s="21">
        <f>tabCustoUnit[[#This Row],[MODULO 1 - REMUNERAÇÃO ]]*SUMIFS(tabParametros[SEBRAE],tabParametros[Código do Posto],tabCustoUnit[[#This Row],[Código do Posto]])</f>
        <v>9.5776427999999996</v>
      </c>
      <c r="X106" s="21">
        <f>SUM(tabCustoUnit[[#This Row],[INSS]:[SEBRAE]])</f>
        <v>603.39149640000005</v>
      </c>
      <c r="Y106" s="21">
        <f>tabCustoUnit[[#This Row],[MODULO 1 - REMUNERAÇÃO ]]*SUMIFS(tabParametros[13º salário (titular)],tabParametros[Código do Posto],tabCustoUnit[[#This Row],[Código do Posto]])</f>
        <v>133.02281666666664</v>
      </c>
      <c r="Z106" s="21">
        <f>tabCustoUnit[[#This Row],[MODULO 1 - REMUNERAÇÃO ]]*SUMIFS(tabParametros[Férias e Adicional de Férias (titular)],tabParametros[Código do Posto],tabCustoUnit[[#This Row],[Código do Posto]])</f>
        <v>177.36375555555554</v>
      </c>
      <c r="AA106" s="21">
        <f>IFERROR((tabCustoUnit[[#This Row],[Submódulo 2.1]]/tabCustoUnit[[#This Row],[MODULO 1 - REMUNERAÇÃO ]])*SUM(tabCustoUnit[[#This Row],[13º salário (titular)]:[Férias e Adicional de Férias (titular)]]),0)</f>
        <v>117.3261243</v>
      </c>
      <c r="AB106" s="21">
        <f>SUM(tabCustoUnit[[#This Row],[13º salário (titular)]:[Incidência do Submódulo 2.1 sobre 13º Salário, Férias e Adicional de Férias]])</f>
        <v>427.71269652222219</v>
      </c>
      <c r="AC106" s="22" t="e">
        <f ca="1">_xlfn.LET(_xlpm.VT,SUMIF(tabParametros[Código do Posto],tabCustoUnit[[#This Row],[Código do Posto]],tabParametros[Vale - Transporte])*2*20,
IF((_xlpm.VT-tabCustoUnit[[#This Row],[Salário Base]]*0.06)&gt;=0,(_xlpm.VT-tabCustoUnit[[#This Row],[Salário Base]]*0.06),0)
)</f>
        <v>#NAME?</v>
      </c>
      <c r="AD106" s="22">
        <f>IF(SUMIF(tabParametros[Código do Posto],tabCustoUnit[[#This Row],[Código do Posto]],tabParametros[Vale - Alimentação])&lt;=0,0,
SUMIF(tabParametros[Código do Posto],tabCustoUnit[[#This Row],[Código do Posto]],tabParametros[Vale - Alimentação])*20-1)</f>
        <v>582</v>
      </c>
      <c r="AE106" s="22">
        <f>SUMIF(tabParametros[Código do Posto],tabCustoUnit[[#This Row],[Código do Posto]],tabParametros[Cesta Básica])</f>
        <v>0</v>
      </c>
      <c r="AF106" s="22">
        <f>SUMIF(tabParametros[Código do Posto],tabCustoUnit[[#This Row],[Código do Posto]],tabParametros[PAF])</f>
        <v>0</v>
      </c>
      <c r="AG106" s="22">
        <f>SUMIF(tabParametros[Código do Posto],tabCustoUnit[[#This Row],[Código do Posto]],tabParametros[PQM])</f>
        <v>0</v>
      </c>
      <c r="AH106" s="22">
        <f>SUMIF(tabParametros[Código do Posto],tabCustoUnit[[#This Row],[Código do Posto]],tabParametros[Abono Único e Especial])</f>
        <v>0</v>
      </c>
      <c r="AI106" s="22">
        <f>SUMIF(tabParametros[Código do Posto],tabCustoUnit[[#This Row],[Código do Posto]],tabParametros[Seguro de Vida])</f>
        <v>3.36</v>
      </c>
      <c r="AJ106" s="22">
        <f>SUMIF(tabParametros[Código do Posto],tabCustoUnit[[#This Row],[Código do Posto]],tabParametros[Despesas de Viagem])</f>
        <v>0</v>
      </c>
      <c r="AK106" s="22" t="e">
        <f ca="1">SUM(tabCustoUnit[[#This Row],[Vale - Transporte (Descontada parcela do empregado)]:[Despesas de Viagem]])</f>
        <v>#NAME?</v>
      </c>
      <c r="AL106" s="22" t="e">
        <f ca="1">tabCustoUnit[[#This Row],[Submódulo 2.1]]+tabCustoUnit[[#This Row],[Submódulo 2.2]]+tabCustoUnit[[#This Row],[Submódulo 2.3]]</f>
        <v>#NAME?</v>
      </c>
      <c r="AM106" s="22">
        <f>SUMIF(tabParametros[Código do Posto],tabCustoUnit[[#This Row],[Código do Posto]],tabParametros[Aviso Prévio Indenizado (API) e Reflexo do Aviso Prévio Indenizado])*tabCustoUnit[[#This Row],[MODULO 1 - REMUNERAÇÃO ]]</f>
        <v>11.192699914390431</v>
      </c>
      <c r="AN106" s="22">
        <f>SUMIF(tabParametros[Código do Posto],tabCustoUnit[[#This Row],[Código do Posto]],tabParametros[Incidência do FGTS sobre API e Reflexo do API])*tabCustoUnit[[#This Row],[MODULO 1 - REMUNERAÇÃO ]]</f>
        <v>0.89541599315123466</v>
      </c>
      <c r="AO106" s="22">
        <f>SUMIF(tabParametros[Código do Posto],tabCustoUnit[[#This Row],[Código do Posto]],tabParametros[Multa Rescisória do FGTS sobre o Aviso Prévio Indenizado])*tabCustoUnit[[#This Row],[MODULO 1 - REMUNERAÇÃO ]]</f>
        <v>0.35816639726049387</v>
      </c>
      <c r="AP106" s="22">
        <f>SUMIF(tabParametros[Código do Posto],tabCustoUnit[[#This Row],[Código do Posto]],tabParametros[Aviso Prévio Trabalhado - APT])*tabCustoUnit[[#This Row],[MODULO 1 - REMUNERAÇÃO ]]</f>
        <v>5.5869583000000009</v>
      </c>
      <c r="AQ106" s="22">
        <f>SUMIF(tabParametros[Código do Posto],tabCustoUnit[[#This Row],[Código do Posto]],tabParametros[Incidência dos encargos do submódulo 2.1 sobre Aviso Prévio Trabalhado])*tabCustoUnit[[#This Row],[MODULO 1 - REMUNERAÇÃO ]]</f>
        <v>2.1118702374000007</v>
      </c>
      <c r="AR106" s="22">
        <f>SUMIF(tabParametros[Código do Posto],tabCustoUnit[[#This Row],[Código do Posto]],tabParametros[Multa Rescisória do FGTS])*tabCustoUnit[[#This Row],[MODULO 1 - REMUNERAÇÃO ]]</f>
        <v>48.810505528888882</v>
      </c>
      <c r="AS106" s="22">
        <f>SUMIF(tabParametros[Código do Posto],tabCustoUnit[[#This Row],[Código do Posto]],tabParametros[Indenização Adicional (Art. 9º da Lei nº 7.238/84)])*tabCustoUnit[[#This Row],[MODULO 1 - REMUNERAÇÃO ]]</f>
        <v>1.3302281666666667</v>
      </c>
      <c r="AT106" s="22">
        <f>SUM(tabCustoUnit[[#This Row],[Aviso Prévio Indenizado (API) e Reflexo do Aviso Prévio Indenizado]:[Indenização Adicional (Art. 9º da Lei nº 7.238/84)]])</f>
        <v>70.285844537757711</v>
      </c>
      <c r="AU106" s="22">
        <f>SUMIF(tabParametros[Código do Posto],tabCustoUnit[[#This Row],[Código do Posto]],tabParametros[Ausência por Doença])*tabCustoUnit[[#This Row],[MODULO 1 - REMUNERAÇÃO ]]</f>
        <v>13.479645422222221</v>
      </c>
      <c r="AV106" s="22">
        <f>SUMIF(tabParametros[Código do Posto],tabCustoUnit[[#This Row],[Código do Posto]],tabParametros[Ausências Legais])*tabCustoUnit[[#This Row],[MODULO 1 - REMUNERAÇÃO ]]</f>
        <v>3.2368885388888886</v>
      </c>
      <c r="AW106" s="22">
        <f>SUMIF(tabParametros[Código do Posto],tabCustoUnit[[#This Row],[Código do Posto]],tabParametros[Licença Paternidade])*tabCustoUnit[[#This Row],[MODULO 1 - REMUNERAÇÃO ]]</f>
        <v>0.27269677416666666</v>
      </c>
      <c r="AX106" s="22">
        <f>SUMIF(tabParametros[Código do Posto],tabCustoUnit[[#This Row],[Código do Posto]],tabParametros[Ausência por Acidente de Trabalho])*tabCustoUnit[[#This Row],[MODULO 1 - REMUNERAÇÃO ]]</f>
        <v>0.33255704166666666</v>
      </c>
      <c r="AY106" s="22">
        <f>SUMIF(tabParametros[Código do Posto],tabCustoUnit[[#This Row],[Código do Posto]],tabParametros[Férias, Adicional de Férias e 13º  com empregada em gozo de Licença Maternidade])*tabCustoUnit[[#This Row],[MODULO 1 - REMUNERAÇÃO ]]</f>
        <v>2.0692438148148145</v>
      </c>
      <c r="AZ106" s="22">
        <f>SUMIF(tabParametros[Código do Posto],tabCustoUnit[[#This Row],[Código do Posto]],tabParametros[Incidência do Submódulo 2.1 sobre Ausências Legais])*tabCustoUnit[[#This Row],[MODULO 1 - REMUNERAÇÃO ]]</f>
        <v>7.3298099416850011</v>
      </c>
      <c r="BA106" s="22">
        <f>SUM(tabCustoUnit[[#This Row],[Ausência por Doença]:[Incidência do Submódulo 2.1 sobre Ausências Legais]])</f>
        <v>26.720841533444265</v>
      </c>
      <c r="BB106" s="22">
        <f>SUMIF(tabParametros[Código do Posto],tabCustoUnit[[#This Row],[Código do Posto]],tabParametros[Intervalo para Repouso ou Alimentação])</f>
        <v>0</v>
      </c>
      <c r="BC106" s="22">
        <f>tabCustoUnit[[#This Row],[Intervalo para Repouso ou Alimentação]]</f>
        <v>0</v>
      </c>
      <c r="BD10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6" s="22">
        <f>tabCustoUnit[[#This Row],[Suspensão Temporária do Contrato de Trabalho]]</f>
        <v>0</v>
      </c>
      <c r="BF106" s="22">
        <f>tabCustoUnit[[#This Row],[Submódulo 4.1]]+tabCustoUnit[[#This Row],[Submódulo 4.2]]+tabCustoUnit[[#This Row],[Submódulo 4.3]]</f>
        <v>26.720841533444265</v>
      </c>
      <c r="BG106" s="22">
        <f>VLOOKUP(tabCustoUnit[[#This Row],[Código do Posto]],tabParametros[],MATCH(tabCustoUnit[[#Headers],[Uniformes e EPIs]],tabParametros[#Headers],0),0)</f>
        <v>56.141713661989918</v>
      </c>
      <c r="BH106" s="22">
        <f>VLOOKUP(tabCustoUnit[[#This Row],[Código do Posto]],tabParametros[],MATCH(tabCustoUnit[[#Headers],[Materiais de Consumo]],tabParametros[#Headers],0),0)</f>
        <v>0</v>
      </c>
      <c r="BI106" s="22">
        <f>VLOOKUP(tabCustoUnit[[#This Row],[Código do Posto]],tabParametros[],MATCH(tabCustoUnit[[#Headers],[Máquinas e Equipamentos (depreciação)]],tabParametros[#Headers],0),0)</f>
        <v>0</v>
      </c>
      <c r="BJ106" s="22">
        <f>VLOOKUP(tabCustoUnit[[#This Row],[Código do Posto]],tabParametros[],MATCH(tabCustoUnit[[#Headers],[Produtos de Limpeza e Materiais de Higiene Pessoal]],tabParametros[#Headers],0),0)</f>
        <v>0</v>
      </c>
      <c r="BK106" s="22">
        <f>VLOOKUP(tabCustoUnit[[#This Row],[Código do Posto]],tabParametros[],MATCH(tabCustoUnit[[#Headers],[Outros (especificar)]],tabParametros[#Headers],0),0)</f>
        <v>0</v>
      </c>
      <c r="BL106" s="22">
        <f>SUM(tabCustoUnit[[#This Row],[Uniformes e EPIs]:[Outros (especificar)]])</f>
        <v>56.141713661989918</v>
      </c>
      <c r="BM10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6" s="22" t="e">
        <f ca="1">VLOOKUP(tabCustoUnit[[#This Row],[Código do Posto]],tabParametros[],MATCH(tabCustoUnit[[#Headers],[Custos Indiretos]],tabParametros[#Headers],0),0)</f>
        <v>#NAME?</v>
      </c>
      <c r="BO106" s="22" t="e">
        <f ca="1">VLOOKUP(tabCustoUnit[[#This Row],[Código do Posto]],tabParametros[],MATCH(tabCustoUnit[[#Headers],[Lucro]],tabParametros[#Headers],0),0)</f>
        <v>#NAME?</v>
      </c>
      <c r="BP106" s="26">
        <f>((100/((1-tabCustoUnit[[#This Row],[Resumo de Alíquotas (PIS+CONFINS+ISS)]]))-100)*VLOOKUP(tabCustoUnit[[#This Row],[Código do Posto]],tabParametros[],MATCH(tabCustoUnit[[#Headers],[COFINS]],tabParametros[#Headers],0),0))/(tabCustoUnit[[#This Row],[Resumo de Alíquotas (PIS+CONFINS+ISS)]]*100)</f>
        <v>8.6609686609686695E-2</v>
      </c>
      <c r="BQ106" s="26">
        <f>((100/((100-(tabCustoUnit[[#This Row],[Resumo de Alíquotas (PIS+CONFINS+ISS)]]*100))%)-100)*VLOOKUP(tabCustoUnit[[#This Row],[Código do Posto]],tabParametros[],MATCH(tabCustoUnit[[#Headers],[PIS]],tabParametros[#Headers],0),0))/(tabCustoUnit[[#This Row],[Resumo de Alíquotas (PIS+CONFINS+ISS)]]*100)</f>
        <v>1.880341880341882E-2</v>
      </c>
      <c r="BR106" s="28">
        <f>VLOOKUP(tabCustoUnit[[#This Row],[Código do Posto]],tabParametros[],MATCH(tabCustoUnit[[#Headers],[ISS]],tabParametros[#Headers],0),0)</f>
        <v>0.03</v>
      </c>
      <c r="BS106" s="26">
        <f>(((100/((100-(tabCustoUnit[[#This Row],[Resumo de Alíquotas (PIS+CONFINS+ISS)]]*100))%)-100)*tabCustoUnit[[#This Row],[ISS]])/tabCustoUnit[[#This Row],[Resumo de Alíquotas (PIS+CONFINS+ISS)]])/100</f>
        <v>3.4188034188034219E-2</v>
      </c>
      <c r="BT10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06" s="138">
        <f>tabCustoUnit[[#This Row],[COFINS]]+tabCustoUnit[[#This Row],[PIS]]+tabCustoUnit[[#This Row],[ISS (Conversão Alíquota s/ fatura)]]</f>
        <v>0.13960113960113973</v>
      </c>
      <c r="BV106" s="22" t="e">
        <f ca="1">(tabCustoUnit[[#This Row],[TOTAL MÓDULOS 1+2+3+4+5]]+tabCustoUnit[[#This Row],[Custos Indiretos]]+tabCustoUnit[[#This Row],[Lucro]])*tabCustoUnit[[#This Row],[PIS + COFINS + ISS (Total Conversão  Alíquota s/ Fatura)]]</f>
        <v>#NAME?</v>
      </c>
      <c r="BW106" s="22" t="e">
        <f ca="1">tabCustoUnit[[#This Row],[Custos Indiretos]]+tabCustoUnit[[#This Row],[Lucro]]+tabCustoUnit[[#This Row],[Valor dos Tributos (ISS, PIS, CONFINS)]]</f>
        <v>#NAME?</v>
      </c>
      <c r="BX106" s="22" t="e">
        <f ca="1">tabCustoUnit[[#This Row],[TOTAL MÓDULOS 1+2+3+4+5]]+tabCustoUnit[[#This Row],[MÓDULO 6 – CUSTOS INDIRETOS, TRIBUTOS E LUCRO]]</f>
        <v>#NAME?</v>
      </c>
      <c r="BY106" s="22" t="e">
        <f ca="1">tabCustoUnit[[#This Row],[CUSTO TOTAL MENSAL]]*12</f>
        <v>#NAME?</v>
      </c>
      <c r="BZ106" s="24">
        <f>VLOOKUP(tabCustoUnit[[#This Row],[Código do Posto]],tabParametros[],MATCH(tabCustoUnit[[#Headers],[ANO DA CCT]],tabParametros[#Headers],0),0)</f>
        <v>45658</v>
      </c>
      <c r="CA106" s="25" t="str">
        <f>VLOOKUP(tabCustoUnit[[#This Row],[Código do Posto]],tabParametros[],MATCH(tabCustoUnit[[#Headers],[Nº DE PEDIDO DA CCT]],tabParametros[#Headers],0),0)</f>
        <v>-</v>
      </c>
      <c r="CB106" s="25" t="str">
        <f>VLOOKUP(tabCustoUnit[[#This Row],[Código do Posto]],tabParametros[],MATCH(tabCustoUnit[[#Headers],[TERMO ADITIVO ALTERAÇÃO DA CCT]],tabParametros[#Headers],0),0)</f>
        <v>-</v>
      </c>
    </row>
    <row r="107" spans="1:80">
      <c r="A107" s="20" t="s">
        <v>1463</v>
      </c>
      <c r="B107" t="s">
        <v>1118</v>
      </c>
      <c r="C107" t="s">
        <v>200</v>
      </c>
      <c r="D107" t="s">
        <v>899</v>
      </c>
      <c r="E107" s="20" t="s">
        <v>1090</v>
      </c>
      <c r="F107" s="20" t="s">
        <v>120</v>
      </c>
      <c r="G107" s="418">
        <v>1596.2737999999999</v>
      </c>
      <c r="H107" s="418">
        <v>0</v>
      </c>
      <c r="I107" s="418">
        <v>0</v>
      </c>
      <c r="J107" s="418">
        <v>0</v>
      </c>
      <c r="K107" s="418">
        <v>0</v>
      </c>
      <c r="L107" s="418">
        <v>0</v>
      </c>
      <c r="M107" s="418">
        <v>0</v>
      </c>
      <c r="N107" s="418">
        <v>0</v>
      </c>
      <c r="O107" s="21">
        <f>SUM(tabCustoUnit[[#This Row],[Salário Base]:[Adicional de Acúmulo de função]])</f>
        <v>1596.2737999999999</v>
      </c>
      <c r="P107" s="21">
        <f>tabCustoUnit[[#This Row],[MODULO 1 - REMUNERAÇÃO ]]*SUMIFS(tabParametros[INSS],tabParametros[Código do Posto],tabCustoUnit[[#This Row],[Código do Posto]])</f>
        <v>319.25476000000003</v>
      </c>
      <c r="Q107" s="21">
        <f>tabCustoUnit[[#This Row],[MODULO 1 - REMUNERAÇÃO ]]*SUMIFS(tabParametros[SESI OU SESC],tabParametros[Código do Posto],tabCustoUnit[[#This Row],[Código do Posto]])</f>
        <v>23.944106999999999</v>
      </c>
      <c r="R107" s="21">
        <f>tabCustoUnit[[#This Row],[MODULO 1 - REMUNERAÇÃO ]]*SUMIFS(tabParametros[SENAI OU SENAC],tabParametros[Código do Posto],tabCustoUnit[[#This Row],[Código do Posto]])</f>
        <v>15.962738</v>
      </c>
      <c r="S107" s="21">
        <f>tabCustoUnit[[#This Row],[MODULO 1 - REMUNERAÇÃO ]]*SUMIFS(tabParametros[INCRA],tabParametros[Código do Posto],tabCustoUnit[[#This Row],[Código do Posto]])</f>
        <v>3.1925476000000002</v>
      </c>
      <c r="T107" s="21">
        <f>tabCustoUnit[[#This Row],[MODULO 1 - REMUNERAÇÃO ]]*SUMIFS(tabParametros[Salário Educação],tabParametros[Código do Posto],tabCustoUnit[[#This Row],[Código do Posto]])</f>
        <v>39.906845000000004</v>
      </c>
      <c r="U107" s="21">
        <f>tabCustoUnit[[#This Row],[MODULO 1 - REMUNERAÇÃO ]]*SUMIFS(tabParametros[FGTS],tabParametros[Código do Posto],tabCustoUnit[[#This Row],[Código do Posto]])</f>
        <v>127.701904</v>
      </c>
      <c r="V107" s="21">
        <f>tabCustoUnit[[#This Row],[MODULO 1 - REMUNERAÇÃO ]]*SUMIFS(tabParametros[RAT Ajustado],tabParametros[Código do Posto],tabCustoUnit[[#This Row],[Código do Posto]])</f>
        <v>63.850951999999999</v>
      </c>
      <c r="W107" s="21">
        <f>tabCustoUnit[[#This Row],[MODULO 1 - REMUNERAÇÃO ]]*SUMIFS(tabParametros[SEBRAE],tabParametros[Código do Posto],tabCustoUnit[[#This Row],[Código do Posto]])</f>
        <v>9.5776427999999996</v>
      </c>
      <c r="X107" s="21">
        <f>SUM(tabCustoUnit[[#This Row],[INSS]:[SEBRAE]])</f>
        <v>603.39149640000005</v>
      </c>
      <c r="Y107" s="21">
        <f>tabCustoUnit[[#This Row],[MODULO 1 - REMUNERAÇÃO ]]*SUMIFS(tabParametros[13º salário (titular)],tabParametros[Código do Posto],tabCustoUnit[[#This Row],[Código do Posto]])</f>
        <v>133.02281666666664</v>
      </c>
      <c r="Z107" s="21">
        <f>tabCustoUnit[[#This Row],[MODULO 1 - REMUNERAÇÃO ]]*SUMIFS(tabParametros[Férias e Adicional de Férias (titular)],tabParametros[Código do Posto],tabCustoUnit[[#This Row],[Código do Posto]])</f>
        <v>177.36375555555554</v>
      </c>
      <c r="AA107" s="21">
        <f>IFERROR((tabCustoUnit[[#This Row],[Submódulo 2.1]]/tabCustoUnit[[#This Row],[MODULO 1 - REMUNERAÇÃO ]])*SUM(tabCustoUnit[[#This Row],[13º salário (titular)]:[Férias e Adicional de Férias (titular)]]),0)</f>
        <v>117.3261243</v>
      </c>
      <c r="AB107" s="21">
        <f>SUM(tabCustoUnit[[#This Row],[13º salário (titular)]:[Incidência do Submódulo 2.1 sobre 13º Salário, Férias e Adicional de Férias]])</f>
        <v>427.71269652222219</v>
      </c>
      <c r="AC107" s="22" t="e">
        <f ca="1">_xlfn.LET(_xlpm.VT,SUMIF(tabParametros[Código do Posto],tabCustoUnit[[#This Row],[Código do Posto]],tabParametros[Vale - Transporte])*2*20,
IF((_xlpm.VT-tabCustoUnit[[#This Row],[Salário Base]]*0.06)&gt;=0,(_xlpm.VT-tabCustoUnit[[#This Row],[Salário Base]]*0.06),0)
)</f>
        <v>#NAME?</v>
      </c>
      <c r="AD107" s="22">
        <f>IF(SUMIF(tabParametros[Código do Posto],tabCustoUnit[[#This Row],[Código do Posto]],tabParametros[Vale - Alimentação])&lt;=0,0,
SUMIF(tabParametros[Código do Posto],tabCustoUnit[[#This Row],[Código do Posto]],tabParametros[Vale - Alimentação])*20-1)</f>
        <v>0</v>
      </c>
      <c r="AE107" s="22">
        <f>SUMIF(tabParametros[Código do Posto],tabCustoUnit[[#This Row],[Código do Posto]],tabParametros[Cesta Básica])</f>
        <v>387.79</v>
      </c>
      <c r="AF107" s="22">
        <f>SUMIF(tabParametros[Código do Posto],tabCustoUnit[[#This Row],[Código do Posto]],tabParametros[PAF])</f>
        <v>42.97</v>
      </c>
      <c r="AG107" s="22">
        <f>SUMIF(tabParametros[Código do Posto],tabCustoUnit[[#This Row],[Código do Posto]],tabParametros[PQM])</f>
        <v>0</v>
      </c>
      <c r="AH107" s="22">
        <f>SUMIF(tabParametros[Código do Posto],tabCustoUnit[[#This Row],[Código do Posto]],tabParametros[Abono Único e Especial])</f>
        <v>0</v>
      </c>
      <c r="AI107" s="22">
        <f>SUMIF(tabParametros[Código do Posto],tabCustoUnit[[#This Row],[Código do Posto]],tabParametros[Seguro de Vida])</f>
        <v>3.36</v>
      </c>
      <c r="AJ107" s="22">
        <f>SUMIF(tabParametros[Código do Posto],tabCustoUnit[[#This Row],[Código do Posto]],tabParametros[Despesas de Viagem])</f>
        <v>0</v>
      </c>
      <c r="AK107" s="22" t="e">
        <f ca="1">SUM(tabCustoUnit[[#This Row],[Vale - Transporte (Descontada parcela do empregado)]:[Despesas de Viagem]])</f>
        <v>#NAME?</v>
      </c>
      <c r="AL107" s="22" t="e">
        <f ca="1">tabCustoUnit[[#This Row],[Submódulo 2.1]]+tabCustoUnit[[#This Row],[Submódulo 2.2]]+tabCustoUnit[[#This Row],[Submódulo 2.3]]</f>
        <v>#NAME?</v>
      </c>
      <c r="AM107" s="22">
        <f>SUMIF(tabParametros[Código do Posto],tabCustoUnit[[#This Row],[Código do Posto]],tabParametros[Aviso Prévio Indenizado (API) e Reflexo do Aviso Prévio Indenizado])*tabCustoUnit[[#This Row],[MODULO 1 - REMUNERAÇÃO ]]</f>
        <v>11.192699914390431</v>
      </c>
      <c r="AN107" s="22">
        <f>SUMIF(tabParametros[Código do Posto],tabCustoUnit[[#This Row],[Código do Posto]],tabParametros[Incidência do FGTS sobre API e Reflexo do API])*tabCustoUnit[[#This Row],[MODULO 1 - REMUNERAÇÃO ]]</f>
        <v>0.89541599315123466</v>
      </c>
      <c r="AO107" s="22">
        <f>SUMIF(tabParametros[Código do Posto],tabCustoUnit[[#This Row],[Código do Posto]],tabParametros[Multa Rescisória do FGTS sobre o Aviso Prévio Indenizado])*tabCustoUnit[[#This Row],[MODULO 1 - REMUNERAÇÃO ]]</f>
        <v>0.35816639726049387</v>
      </c>
      <c r="AP107" s="22">
        <f>SUMIF(tabParametros[Código do Posto],tabCustoUnit[[#This Row],[Código do Posto]],tabParametros[Aviso Prévio Trabalhado - APT])*tabCustoUnit[[#This Row],[MODULO 1 - REMUNERAÇÃO ]]</f>
        <v>5.5869583000000009</v>
      </c>
      <c r="AQ107" s="22">
        <f>SUMIF(tabParametros[Código do Posto],tabCustoUnit[[#This Row],[Código do Posto]],tabParametros[Incidência dos encargos do submódulo 2.1 sobre Aviso Prévio Trabalhado])*tabCustoUnit[[#This Row],[MODULO 1 - REMUNERAÇÃO ]]</f>
        <v>2.1118702374000007</v>
      </c>
      <c r="AR107" s="22">
        <f>SUMIF(tabParametros[Código do Posto],tabCustoUnit[[#This Row],[Código do Posto]],tabParametros[Multa Rescisória do FGTS])*tabCustoUnit[[#This Row],[MODULO 1 - REMUNERAÇÃO ]]</f>
        <v>48.810505528888882</v>
      </c>
      <c r="AS107" s="22">
        <f>SUMIF(tabParametros[Código do Posto],tabCustoUnit[[#This Row],[Código do Posto]],tabParametros[Indenização Adicional (Art. 9º da Lei nº 7.238/84)])*tabCustoUnit[[#This Row],[MODULO 1 - REMUNERAÇÃO ]]</f>
        <v>1.3302281666666667</v>
      </c>
      <c r="AT107" s="22">
        <f>SUM(tabCustoUnit[[#This Row],[Aviso Prévio Indenizado (API) e Reflexo do Aviso Prévio Indenizado]:[Indenização Adicional (Art. 9º da Lei nº 7.238/84)]])</f>
        <v>70.285844537757711</v>
      </c>
      <c r="AU107" s="22">
        <f>SUMIF(tabParametros[Código do Posto],tabCustoUnit[[#This Row],[Código do Posto]],tabParametros[Ausência por Doença])*tabCustoUnit[[#This Row],[MODULO 1 - REMUNERAÇÃO ]]</f>
        <v>13.479645422222221</v>
      </c>
      <c r="AV107" s="22">
        <f>SUMIF(tabParametros[Código do Posto],tabCustoUnit[[#This Row],[Código do Posto]],tabParametros[Ausências Legais])*tabCustoUnit[[#This Row],[MODULO 1 - REMUNERAÇÃO ]]</f>
        <v>3.2368885388888886</v>
      </c>
      <c r="AW107" s="22">
        <f>SUMIF(tabParametros[Código do Posto],tabCustoUnit[[#This Row],[Código do Posto]],tabParametros[Licença Paternidade])*tabCustoUnit[[#This Row],[MODULO 1 - REMUNERAÇÃO ]]</f>
        <v>0.27269677416666666</v>
      </c>
      <c r="AX107" s="22">
        <f>SUMIF(tabParametros[Código do Posto],tabCustoUnit[[#This Row],[Código do Posto]],tabParametros[Ausência por Acidente de Trabalho])*tabCustoUnit[[#This Row],[MODULO 1 - REMUNERAÇÃO ]]</f>
        <v>0.33255704166666666</v>
      </c>
      <c r="AY107" s="22">
        <f>SUMIF(tabParametros[Código do Posto],tabCustoUnit[[#This Row],[Código do Posto]],tabParametros[Férias, Adicional de Férias e 13º  com empregada em gozo de Licença Maternidade])*tabCustoUnit[[#This Row],[MODULO 1 - REMUNERAÇÃO ]]</f>
        <v>2.0692438148148145</v>
      </c>
      <c r="AZ107" s="22">
        <f>SUMIF(tabParametros[Código do Posto],tabCustoUnit[[#This Row],[Código do Posto]],tabParametros[Incidência do Submódulo 2.1 sobre Ausências Legais])*tabCustoUnit[[#This Row],[MODULO 1 - REMUNERAÇÃO ]]</f>
        <v>7.3298099416850011</v>
      </c>
      <c r="BA107" s="22">
        <f>SUM(tabCustoUnit[[#This Row],[Ausência por Doença]:[Incidência do Submódulo 2.1 sobre Ausências Legais]])</f>
        <v>26.720841533444265</v>
      </c>
      <c r="BB107" s="22">
        <f>SUMIF(tabParametros[Código do Posto],tabCustoUnit[[#This Row],[Código do Posto]],tabParametros[Intervalo para Repouso ou Alimentação])</f>
        <v>0</v>
      </c>
      <c r="BC107" s="22">
        <f>tabCustoUnit[[#This Row],[Intervalo para Repouso ou Alimentação]]</f>
        <v>0</v>
      </c>
      <c r="BD10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7" s="22">
        <f>tabCustoUnit[[#This Row],[Suspensão Temporária do Contrato de Trabalho]]</f>
        <v>0</v>
      </c>
      <c r="BF107" s="22">
        <f>tabCustoUnit[[#This Row],[Submódulo 4.1]]+tabCustoUnit[[#This Row],[Submódulo 4.2]]+tabCustoUnit[[#This Row],[Submódulo 4.3]]</f>
        <v>26.720841533444265</v>
      </c>
      <c r="BG107" s="22">
        <f>VLOOKUP(tabCustoUnit[[#This Row],[Código do Posto]],tabParametros[],MATCH(tabCustoUnit[[#Headers],[Uniformes e EPIs]],tabParametros[#Headers],0),0)</f>
        <v>56.141713661989918</v>
      </c>
      <c r="BH107" s="22">
        <f>VLOOKUP(tabCustoUnit[[#This Row],[Código do Posto]],tabParametros[],MATCH(tabCustoUnit[[#Headers],[Materiais de Consumo]],tabParametros[#Headers],0),0)</f>
        <v>0</v>
      </c>
      <c r="BI107" s="22">
        <f>VLOOKUP(tabCustoUnit[[#This Row],[Código do Posto]],tabParametros[],MATCH(tabCustoUnit[[#Headers],[Máquinas e Equipamentos (depreciação)]],tabParametros[#Headers],0),0)</f>
        <v>0</v>
      </c>
      <c r="BJ107" s="22">
        <f>VLOOKUP(tabCustoUnit[[#This Row],[Código do Posto]],tabParametros[],MATCH(tabCustoUnit[[#Headers],[Produtos de Limpeza e Materiais de Higiene Pessoal]],tabParametros[#Headers],0),0)</f>
        <v>0</v>
      </c>
      <c r="BK107" s="22">
        <f>VLOOKUP(tabCustoUnit[[#This Row],[Código do Posto]],tabParametros[],MATCH(tabCustoUnit[[#Headers],[Outros (especificar)]],tabParametros[#Headers],0),0)</f>
        <v>0</v>
      </c>
      <c r="BL107" s="22">
        <f>SUM(tabCustoUnit[[#This Row],[Uniformes e EPIs]:[Outros (especificar)]])</f>
        <v>56.141713661989918</v>
      </c>
      <c r="BM10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7" s="22" t="e">
        <f ca="1">VLOOKUP(tabCustoUnit[[#This Row],[Código do Posto]],tabParametros[],MATCH(tabCustoUnit[[#Headers],[Custos Indiretos]],tabParametros[#Headers],0),0)</f>
        <v>#NAME?</v>
      </c>
      <c r="BO107" s="22" t="e">
        <f ca="1">VLOOKUP(tabCustoUnit[[#This Row],[Código do Posto]],tabParametros[],MATCH(tabCustoUnit[[#Headers],[Lucro]],tabParametros[#Headers],0),0)</f>
        <v>#NAME?</v>
      </c>
      <c r="BP107" s="26">
        <f>((100/((1-tabCustoUnit[[#This Row],[Resumo de Alíquotas (PIS+CONFINS+ISS)]]))-100)*VLOOKUP(tabCustoUnit[[#This Row],[Código do Posto]],tabParametros[],MATCH(tabCustoUnit[[#Headers],[COFINS]],tabParametros[#Headers],0),0))/(tabCustoUnit[[#This Row],[Resumo de Alíquotas (PIS+CONFINS+ISS)]]*100)</f>
        <v>8.5633802816901458E-2</v>
      </c>
      <c r="BQ107" s="26">
        <f>((100/((100-(tabCustoUnit[[#This Row],[Resumo de Alíquotas (PIS+CONFINS+ISS)]]*100))%)-100)*VLOOKUP(tabCustoUnit[[#This Row],[Código do Posto]],tabParametros[],MATCH(tabCustoUnit[[#Headers],[PIS]],tabParametros[#Headers],0),0))/(tabCustoUnit[[#This Row],[Resumo de Alíquotas (PIS+CONFINS+ISS)]]*100)</f>
        <v>1.8591549295774657E-2</v>
      </c>
      <c r="BR107" s="28">
        <f>VLOOKUP(tabCustoUnit[[#This Row],[Código do Posto]],tabParametros[],MATCH(tabCustoUnit[[#Headers],[ISS]],tabParametros[#Headers],0),0)</f>
        <v>0.02</v>
      </c>
      <c r="BS107" s="26">
        <f>(((100/((100-(tabCustoUnit[[#This Row],[Resumo de Alíquotas (PIS+CONFINS+ISS)]]*100))%)-100)*tabCustoUnit[[#This Row],[ISS]])/tabCustoUnit[[#This Row],[Resumo de Alíquotas (PIS+CONFINS+ISS)]])/100</f>
        <v>2.2535211267605645E-2</v>
      </c>
      <c r="BT10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07" s="138">
        <f>tabCustoUnit[[#This Row],[COFINS]]+tabCustoUnit[[#This Row],[PIS]]+tabCustoUnit[[#This Row],[ISS (Conversão Alíquota s/ fatura)]]</f>
        <v>0.12676056338028174</v>
      </c>
      <c r="BV107" s="22" t="e">
        <f ca="1">(tabCustoUnit[[#This Row],[TOTAL MÓDULOS 1+2+3+4+5]]+tabCustoUnit[[#This Row],[Custos Indiretos]]+tabCustoUnit[[#This Row],[Lucro]])*tabCustoUnit[[#This Row],[PIS + COFINS + ISS (Total Conversão  Alíquota s/ Fatura)]]</f>
        <v>#NAME?</v>
      </c>
      <c r="BW107" s="22" t="e">
        <f ca="1">tabCustoUnit[[#This Row],[Custos Indiretos]]+tabCustoUnit[[#This Row],[Lucro]]+tabCustoUnit[[#This Row],[Valor dos Tributos (ISS, PIS, CONFINS)]]</f>
        <v>#NAME?</v>
      </c>
      <c r="BX107" s="22" t="e">
        <f ca="1">tabCustoUnit[[#This Row],[TOTAL MÓDULOS 1+2+3+4+5]]+tabCustoUnit[[#This Row],[MÓDULO 6 – CUSTOS INDIRETOS, TRIBUTOS E LUCRO]]</f>
        <v>#NAME?</v>
      </c>
      <c r="BY107" s="22" t="e">
        <f ca="1">tabCustoUnit[[#This Row],[CUSTO TOTAL MENSAL]]*12</f>
        <v>#NAME?</v>
      </c>
      <c r="BZ107" s="24">
        <f>VLOOKUP(tabCustoUnit[[#This Row],[Código do Posto]],tabParametros[],MATCH(tabCustoUnit[[#Headers],[ANO DA CCT]],tabParametros[#Headers],0),0)</f>
        <v>45658</v>
      </c>
      <c r="CA107" s="25" t="str">
        <f>VLOOKUP(tabCustoUnit[[#This Row],[Código do Posto]],tabParametros[],MATCH(tabCustoUnit[[#Headers],[Nº DE PEDIDO DA CCT]],tabParametros[#Headers],0),0)</f>
        <v>-</v>
      </c>
      <c r="CB107" s="25" t="str">
        <f>VLOOKUP(tabCustoUnit[[#This Row],[Código do Posto]],tabParametros[],MATCH(tabCustoUnit[[#Headers],[TERMO ADITIVO ALTERAÇÃO DA CCT]],tabParametros[#Headers],0),0)</f>
        <v>-</v>
      </c>
    </row>
    <row r="108" spans="1:80">
      <c r="A108" s="20" t="s">
        <v>1570</v>
      </c>
      <c r="B108" t="s">
        <v>1119</v>
      </c>
      <c r="C108" t="s">
        <v>314</v>
      </c>
      <c r="D108" t="s">
        <v>961</v>
      </c>
      <c r="E108" s="20" t="s">
        <v>1090</v>
      </c>
      <c r="F108" s="20" t="s">
        <v>120</v>
      </c>
      <c r="G108" s="418">
        <v>1963.405</v>
      </c>
      <c r="H108" s="418">
        <v>0</v>
      </c>
      <c r="I108" s="418">
        <v>0</v>
      </c>
      <c r="J108" s="418">
        <v>0</v>
      </c>
      <c r="K108" s="418">
        <v>0</v>
      </c>
      <c r="L108" s="418">
        <v>0</v>
      </c>
      <c r="M108" s="418">
        <v>0</v>
      </c>
      <c r="N108" s="418">
        <v>0</v>
      </c>
      <c r="O108" s="21">
        <f>SUM(tabCustoUnit[[#This Row],[Salário Base]:[Adicional de Acúmulo de função]])</f>
        <v>1963.405</v>
      </c>
      <c r="P108" s="21">
        <f>tabCustoUnit[[#This Row],[MODULO 1 - REMUNERAÇÃO ]]*SUMIFS(tabParametros[INSS],tabParametros[Código do Posto],tabCustoUnit[[#This Row],[Código do Posto]])</f>
        <v>392.68100000000004</v>
      </c>
      <c r="Q108" s="21">
        <f>tabCustoUnit[[#This Row],[MODULO 1 - REMUNERAÇÃO ]]*SUMIFS(tabParametros[SESI OU SESC],tabParametros[Código do Posto],tabCustoUnit[[#This Row],[Código do Posto]])</f>
        <v>29.451074999999999</v>
      </c>
      <c r="R108" s="21">
        <f>tabCustoUnit[[#This Row],[MODULO 1 - REMUNERAÇÃO ]]*SUMIFS(tabParametros[SENAI OU SENAC],tabParametros[Código do Posto],tabCustoUnit[[#This Row],[Código do Posto]])</f>
        <v>19.634049999999998</v>
      </c>
      <c r="S108" s="21">
        <f>tabCustoUnit[[#This Row],[MODULO 1 - REMUNERAÇÃO ]]*SUMIFS(tabParametros[INCRA],tabParametros[Código do Posto],tabCustoUnit[[#This Row],[Código do Posto]])</f>
        <v>3.9268100000000001</v>
      </c>
      <c r="T108" s="21">
        <f>tabCustoUnit[[#This Row],[MODULO 1 - REMUNERAÇÃO ]]*SUMIFS(tabParametros[Salário Educação],tabParametros[Código do Posto],tabCustoUnit[[#This Row],[Código do Posto]])</f>
        <v>49.085125000000005</v>
      </c>
      <c r="U108" s="21">
        <f>tabCustoUnit[[#This Row],[MODULO 1 - REMUNERAÇÃO ]]*SUMIFS(tabParametros[FGTS],tabParametros[Código do Posto],tabCustoUnit[[#This Row],[Código do Posto]])</f>
        <v>157.07239999999999</v>
      </c>
      <c r="V108" s="21">
        <f>tabCustoUnit[[#This Row],[MODULO 1 - REMUNERAÇÃO ]]*SUMIFS(tabParametros[RAT Ajustado],tabParametros[Código do Posto],tabCustoUnit[[#This Row],[Código do Posto]])</f>
        <v>78.536199999999994</v>
      </c>
      <c r="W108" s="21">
        <f>tabCustoUnit[[#This Row],[MODULO 1 - REMUNERAÇÃO ]]*SUMIFS(tabParametros[SEBRAE],tabParametros[Código do Posto],tabCustoUnit[[#This Row],[Código do Posto]])</f>
        <v>11.780430000000001</v>
      </c>
      <c r="X108" s="21">
        <f>SUM(tabCustoUnit[[#This Row],[INSS]:[SEBRAE]])</f>
        <v>742.16709000000003</v>
      </c>
      <c r="Y108" s="21">
        <f>tabCustoUnit[[#This Row],[MODULO 1 - REMUNERAÇÃO ]]*SUMIFS(tabParametros[13º salário (titular)],tabParametros[Código do Posto],tabCustoUnit[[#This Row],[Código do Posto]])</f>
        <v>163.61708333333331</v>
      </c>
      <c r="Z108" s="21">
        <f>tabCustoUnit[[#This Row],[MODULO 1 - REMUNERAÇÃO ]]*SUMIFS(tabParametros[Férias e Adicional de Férias (titular)],tabParametros[Código do Posto],tabCustoUnit[[#This Row],[Código do Posto]])</f>
        <v>218.1561111111111</v>
      </c>
      <c r="AA108" s="21">
        <f>IFERROR((tabCustoUnit[[#This Row],[Submódulo 2.1]]/tabCustoUnit[[#This Row],[MODULO 1 - REMUNERAÇÃO ]])*SUM(tabCustoUnit[[#This Row],[13º salário (titular)]:[Férias e Adicional de Férias (titular)]]),0)</f>
        <v>144.31026749999998</v>
      </c>
      <c r="AB108" s="21">
        <f>SUM(tabCustoUnit[[#This Row],[13º salário (titular)]:[Incidência do Submódulo 2.1 sobre 13º Salário, Férias e Adicional de Férias]])</f>
        <v>526.08346194444437</v>
      </c>
      <c r="AC108" s="22" t="e">
        <f ca="1">_xlfn.LET(_xlpm.VT,SUMIF(tabParametros[Código do Posto],tabCustoUnit[[#This Row],[Código do Posto]],tabParametros[Vale - Transporte])*2*20,
IF((_xlpm.VT-tabCustoUnit[[#This Row],[Salário Base]]*0.06)&gt;=0,(_xlpm.VT-tabCustoUnit[[#This Row],[Salário Base]]*0.06),0)
)</f>
        <v>#NAME?</v>
      </c>
      <c r="AD108" s="22">
        <f>IF(SUMIF(tabParametros[Código do Posto],tabCustoUnit[[#This Row],[Código do Posto]],tabParametros[Vale - Alimentação])&lt;=0,0,
SUMIF(tabParametros[Código do Posto],tabCustoUnit[[#This Row],[Código do Posto]],tabParametros[Vale - Alimentação])*20-1)</f>
        <v>582</v>
      </c>
      <c r="AE108" s="22">
        <f>SUMIF(tabParametros[Código do Posto],tabCustoUnit[[#This Row],[Código do Posto]],tabParametros[Cesta Básica])</f>
        <v>0</v>
      </c>
      <c r="AF108" s="22">
        <f>SUMIF(tabParametros[Código do Posto],tabCustoUnit[[#This Row],[Código do Posto]],tabParametros[PAF])</f>
        <v>0</v>
      </c>
      <c r="AG108" s="22">
        <f>SUMIF(tabParametros[Código do Posto],tabCustoUnit[[#This Row],[Código do Posto]],tabParametros[PQM])</f>
        <v>0</v>
      </c>
      <c r="AH108" s="22">
        <f>SUMIF(tabParametros[Código do Posto],tabCustoUnit[[#This Row],[Código do Posto]],tabParametros[Abono Único e Especial])</f>
        <v>0</v>
      </c>
      <c r="AI108" s="22">
        <f>SUMIF(tabParametros[Código do Posto],tabCustoUnit[[#This Row],[Código do Posto]],tabParametros[Seguro de Vida])</f>
        <v>3.36</v>
      </c>
      <c r="AJ108" s="22">
        <f>SUMIF(tabParametros[Código do Posto],tabCustoUnit[[#This Row],[Código do Posto]],tabParametros[Despesas de Viagem])</f>
        <v>0</v>
      </c>
      <c r="AK108" s="22" t="e">
        <f ca="1">SUM(tabCustoUnit[[#This Row],[Vale - Transporte (Descontada parcela do empregado)]:[Despesas de Viagem]])</f>
        <v>#NAME?</v>
      </c>
      <c r="AL108" s="22" t="e">
        <f ca="1">tabCustoUnit[[#This Row],[Submódulo 2.1]]+tabCustoUnit[[#This Row],[Submódulo 2.2]]+tabCustoUnit[[#This Row],[Submódulo 2.3]]</f>
        <v>#NAME?</v>
      </c>
      <c r="AM108" s="22">
        <f>SUMIF(tabParametros[Código do Posto],tabCustoUnit[[#This Row],[Código do Posto]],tabParametros[Aviso Prévio Indenizado (API) e Reflexo do Aviso Prévio Indenizado])*tabCustoUnit[[#This Row],[MODULO 1 - REMUNERAÇÃO ]]</f>
        <v>13.766938338155864</v>
      </c>
      <c r="AN108" s="22">
        <f>SUMIF(tabParametros[Código do Posto],tabCustoUnit[[#This Row],[Código do Posto]],tabParametros[Incidência do FGTS sobre API e Reflexo do API])*tabCustoUnit[[#This Row],[MODULO 1 - REMUNERAÇÃO ]]</f>
        <v>1.1013550670524692</v>
      </c>
      <c r="AO108" s="22">
        <f>SUMIF(tabParametros[Código do Posto],tabCustoUnit[[#This Row],[Código do Posto]],tabParametros[Multa Rescisória do FGTS sobre o Aviso Prévio Indenizado])*tabCustoUnit[[#This Row],[MODULO 1 - REMUNERAÇÃO ]]</f>
        <v>0.44054202682098775</v>
      </c>
      <c r="AP108" s="22">
        <f>SUMIF(tabParametros[Código do Posto],tabCustoUnit[[#This Row],[Código do Posto]],tabParametros[Aviso Prévio Trabalhado - APT])*tabCustoUnit[[#This Row],[MODULO 1 - REMUNERAÇÃO ]]</f>
        <v>6.8719175000000012</v>
      </c>
      <c r="AQ108" s="22">
        <f>SUMIF(tabParametros[Código do Posto],tabCustoUnit[[#This Row],[Código do Posto]],tabParametros[Incidência dos encargos do submódulo 2.1 sobre Aviso Prévio Trabalhado])*tabCustoUnit[[#This Row],[MODULO 1 - REMUNERAÇÃO ]]</f>
        <v>2.5975848150000007</v>
      </c>
      <c r="AR108" s="22">
        <f>SUMIF(tabParametros[Código do Posto],tabCustoUnit[[#This Row],[Código do Posto]],tabParametros[Multa Rescisória do FGTS])*tabCustoUnit[[#This Row],[MODULO 1 - REMUNERAÇÃO ]]</f>
        <v>60.03656177777777</v>
      </c>
      <c r="AS108" s="22">
        <f>SUMIF(tabParametros[Código do Posto],tabCustoUnit[[#This Row],[Código do Posto]],tabParametros[Indenização Adicional (Art. 9º da Lei nº 7.238/84)])*tabCustoUnit[[#This Row],[MODULO 1 - REMUNERAÇÃO ]]</f>
        <v>1.6361708333333334</v>
      </c>
      <c r="AT108" s="22">
        <f>SUM(tabCustoUnit[[#This Row],[Aviso Prévio Indenizado (API) e Reflexo do Aviso Prévio Indenizado]:[Indenização Adicional (Art. 9º da Lei nº 7.238/84)]])</f>
        <v>86.451070358140427</v>
      </c>
      <c r="AU108" s="22">
        <f>SUMIF(tabParametros[Código do Posto],tabCustoUnit[[#This Row],[Código do Posto]],tabParametros[Ausência por Doença])*tabCustoUnit[[#This Row],[MODULO 1 - REMUNERAÇÃO ]]</f>
        <v>16.579864444444443</v>
      </c>
      <c r="AV108" s="22">
        <f>SUMIF(tabParametros[Código do Posto],tabCustoUnit[[#This Row],[Código do Posto]],tabParametros[Ausências Legais])*tabCustoUnit[[#This Row],[MODULO 1 - REMUNERAÇÃO ]]</f>
        <v>3.9813490277777777</v>
      </c>
      <c r="AW108" s="22">
        <f>SUMIF(tabParametros[Código do Posto],tabCustoUnit[[#This Row],[Código do Posto]],tabParametros[Licença Paternidade])*tabCustoUnit[[#This Row],[MODULO 1 - REMUNERAÇÃO ]]</f>
        <v>0.3354150208333333</v>
      </c>
      <c r="AX108" s="22">
        <f>SUMIF(tabParametros[Código do Posto],tabCustoUnit[[#This Row],[Código do Posto]],tabParametros[Ausência por Acidente de Trabalho])*tabCustoUnit[[#This Row],[MODULO 1 - REMUNERAÇÃO ]]</f>
        <v>0.40904270833333334</v>
      </c>
      <c r="AY108" s="22">
        <f>SUMIF(tabParametros[Código do Posto],tabCustoUnit[[#This Row],[Código do Posto]],tabParametros[Férias, Adicional de Férias e 13º  com empregada em gozo de Licença Maternidade])*tabCustoUnit[[#This Row],[MODULO 1 - REMUNERAÇÃO ]]</f>
        <v>2.5451546296296295</v>
      </c>
      <c r="AZ108" s="22">
        <f>SUMIF(tabParametros[Código do Posto],tabCustoUnit[[#This Row],[Código do Posto]],tabParametros[Incidência do Submódulo 2.1 sobre Ausências Legais])*tabCustoUnit[[#This Row],[MODULO 1 - REMUNERAÇÃO ]]</f>
        <v>9.0156121641250007</v>
      </c>
      <c r="BA108" s="22">
        <f>SUM(tabCustoUnit[[#This Row],[Ausência por Doença]:[Incidência do Submódulo 2.1 sobre Ausências Legais]])</f>
        <v>32.866437995143521</v>
      </c>
      <c r="BB108" s="22">
        <f>SUMIF(tabParametros[Código do Posto],tabCustoUnit[[#This Row],[Código do Posto]],tabParametros[Intervalo para Repouso ou Alimentação])</f>
        <v>267.73704981301341</v>
      </c>
      <c r="BC108" s="22">
        <f>tabCustoUnit[[#This Row],[Intervalo para Repouso ou Alimentação]]</f>
        <v>267.73704981301341</v>
      </c>
      <c r="BD10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8" s="22">
        <f>tabCustoUnit[[#This Row],[Suspensão Temporária do Contrato de Trabalho]]</f>
        <v>0</v>
      </c>
      <c r="BF108" s="22">
        <f>tabCustoUnit[[#This Row],[Submódulo 4.1]]+tabCustoUnit[[#This Row],[Submódulo 4.2]]+tabCustoUnit[[#This Row],[Submódulo 4.3]]</f>
        <v>300.60348780815696</v>
      </c>
      <c r="BG108" s="22">
        <f>VLOOKUP(tabCustoUnit[[#This Row],[Código do Posto]],tabParametros[],MATCH(tabCustoUnit[[#Headers],[Uniformes e EPIs]],tabParametros[#Headers],0),0)</f>
        <v>56.642978962543395</v>
      </c>
      <c r="BH108" s="22">
        <f>VLOOKUP(tabCustoUnit[[#This Row],[Código do Posto]],tabParametros[],MATCH(tabCustoUnit[[#Headers],[Materiais de Consumo]],tabParametros[#Headers],0),0)</f>
        <v>0</v>
      </c>
      <c r="BI108" s="22">
        <f>VLOOKUP(tabCustoUnit[[#This Row],[Código do Posto]],tabParametros[],MATCH(tabCustoUnit[[#Headers],[Máquinas e Equipamentos (depreciação)]],tabParametros[#Headers],0),0)</f>
        <v>0</v>
      </c>
      <c r="BJ108" s="22">
        <f>VLOOKUP(tabCustoUnit[[#This Row],[Código do Posto]],tabParametros[],MATCH(tabCustoUnit[[#Headers],[Produtos de Limpeza e Materiais de Higiene Pessoal]],tabParametros[#Headers],0),0)</f>
        <v>0</v>
      </c>
      <c r="BK108" s="22">
        <f>VLOOKUP(tabCustoUnit[[#This Row],[Código do Posto]],tabParametros[],MATCH(tabCustoUnit[[#Headers],[Outros (especificar)]],tabParametros[#Headers],0),0)</f>
        <v>0</v>
      </c>
      <c r="BL108" s="22">
        <f>SUM(tabCustoUnit[[#This Row],[Uniformes e EPIs]:[Outros (especificar)]])</f>
        <v>56.642978962543395</v>
      </c>
      <c r="BM10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8" s="22" t="e">
        <f ca="1">VLOOKUP(tabCustoUnit[[#This Row],[Código do Posto]],tabParametros[],MATCH(tabCustoUnit[[#Headers],[Custos Indiretos]],tabParametros[#Headers],0),0)</f>
        <v>#NAME?</v>
      </c>
      <c r="BO108" s="22" t="e">
        <f ca="1">VLOOKUP(tabCustoUnit[[#This Row],[Código do Posto]],tabParametros[],MATCH(tabCustoUnit[[#Headers],[Lucro]],tabParametros[#Headers],0),0)</f>
        <v>#NAME?</v>
      </c>
      <c r="BP108" s="26">
        <f>((100/((1-tabCustoUnit[[#This Row],[Resumo de Alíquotas (PIS+CONFINS+ISS)]]))-100)*VLOOKUP(tabCustoUnit[[#This Row],[Código do Posto]],tabParametros[],MATCH(tabCustoUnit[[#Headers],[COFINS]],tabParametros[#Headers],0),0))/(tabCustoUnit[[#This Row],[Resumo de Alíquotas (PIS+CONFINS+ISS)]]*100)</f>
        <v>8.6609686609686695E-2</v>
      </c>
      <c r="BQ108" s="26">
        <f>((100/((100-(tabCustoUnit[[#This Row],[Resumo de Alíquotas (PIS+CONFINS+ISS)]]*100))%)-100)*VLOOKUP(tabCustoUnit[[#This Row],[Código do Posto]],tabParametros[],MATCH(tabCustoUnit[[#Headers],[PIS]],tabParametros[#Headers],0),0))/(tabCustoUnit[[#This Row],[Resumo de Alíquotas (PIS+CONFINS+ISS)]]*100)</f>
        <v>1.880341880341882E-2</v>
      </c>
      <c r="BR108" s="28">
        <f>VLOOKUP(tabCustoUnit[[#This Row],[Código do Posto]],tabParametros[],MATCH(tabCustoUnit[[#Headers],[ISS]],tabParametros[#Headers],0),0)</f>
        <v>0.03</v>
      </c>
      <c r="BS108" s="26">
        <f>(((100/((100-(tabCustoUnit[[#This Row],[Resumo de Alíquotas (PIS+CONFINS+ISS)]]*100))%)-100)*tabCustoUnit[[#This Row],[ISS]])/tabCustoUnit[[#This Row],[Resumo de Alíquotas (PIS+CONFINS+ISS)]])/100</f>
        <v>3.4188034188034219E-2</v>
      </c>
      <c r="BT10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08" s="138">
        <f>tabCustoUnit[[#This Row],[COFINS]]+tabCustoUnit[[#This Row],[PIS]]+tabCustoUnit[[#This Row],[ISS (Conversão Alíquota s/ fatura)]]</f>
        <v>0.13960113960113973</v>
      </c>
      <c r="BV108" s="22" t="e">
        <f ca="1">(tabCustoUnit[[#This Row],[TOTAL MÓDULOS 1+2+3+4+5]]+tabCustoUnit[[#This Row],[Custos Indiretos]]+tabCustoUnit[[#This Row],[Lucro]])*tabCustoUnit[[#This Row],[PIS + COFINS + ISS (Total Conversão  Alíquota s/ Fatura)]]</f>
        <v>#NAME?</v>
      </c>
      <c r="BW108" s="22" t="e">
        <f ca="1">tabCustoUnit[[#This Row],[Custos Indiretos]]+tabCustoUnit[[#This Row],[Lucro]]+tabCustoUnit[[#This Row],[Valor dos Tributos (ISS, PIS, CONFINS)]]</f>
        <v>#NAME?</v>
      </c>
      <c r="BX108" s="22" t="e">
        <f ca="1">tabCustoUnit[[#This Row],[TOTAL MÓDULOS 1+2+3+4+5]]+tabCustoUnit[[#This Row],[MÓDULO 6 – CUSTOS INDIRETOS, TRIBUTOS E LUCRO]]</f>
        <v>#NAME?</v>
      </c>
      <c r="BY108" s="22" t="e">
        <f ca="1">tabCustoUnit[[#This Row],[CUSTO TOTAL MENSAL]]*12</f>
        <v>#NAME?</v>
      </c>
      <c r="BZ108" s="24">
        <f>VLOOKUP(tabCustoUnit[[#This Row],[Código do Posto]],tabParametros[],MATCH(tabCustoUnit[[#Headers],[ANO DA CCT]],tabParametros[#Headers],0),0)</f>
        <v>45658</v>
      </c>
      <c r="CA108" s="25" t="str">
        <f>VLOOKUP(tabCustoUnit[[#This Row],[Código do Posto]],tabParametros[],MATCH(tabCustoUnit[[#Headers],[Nº DE PEDIDO DA CCT]],tabParametros[#Headers],0),0)</f>
        <v>-</v>
      </c>
      <c r="CB108" s="25" t="str">
        <f>VLOOKUP(tabCustoUnit[[#This Row],[Código do Posto]],tabParametros[],MATCH(tabCustoUnit[[#Headers],[TERMO ADITIVO ALTERAÇÃO DA CCT]],tabParametros[#Headers],0),0)</f>
        <v>-</v>
      </c>
    </row>
    <row r="109" spans="1:80">
      <c r="A109" s="20" t="s">
        <v>1464</v>
      </c>
      <c r="B109" t="s">
        <v>1120</v>
      </c>
      <c r="C109" t="s">
        <v>200</v>
      </c>
      <c r="D109" t="s">
        <v>965</v>
      </c>
      <c r="E109" s="20" t="s">
        <v>1090</v>
      </c>
      <c r="F109" s="20" t="s">
        <v>120</v>
      </c>
      <c r="G109" s="418">
        <v>1596.2737999999999</v>
      </c>
      <c r="H109" s="418">
        <v>0</v>
      </c>
      <c r="I109" s="418">
        <v>0</v>
      </c>
      <c r="J109" s="418">
        <v>0</v>
      </c>
      <c r="K109" s="418">
        <v>0</v>
      </c>
      <c r="L109" s="418">
        <v>0</v>
      </c>
      <c r="M109" s="418">
        <v>0</v>
      </c>
      <c r="N109" s="418">
        <v>0</v>
      </c>
      <c r="O109" s="21">
        <f>SUM(tabCustoUnit[[#This Row],[Salário Base]:[Adicional de Acúmulo de função]])</f>
        <v>1596.2737999999999</v>
      </c>
      <c r="P109" s="21">
        <f>tabCustoUnit[[#This Row],[MODULO 1 - REMUNERAÇÃO ]]*SUMIFS(tabParametros[INSS],tabParametros[Código do Posto],tabCustoUnit[[#This Row],[Código do Posto]])</f>
        <v>319.25476000000003</v>
      </c>
      <c r="Q109" s="21">
        <f>tabCustoUnit[[#This Row],[MODULO 1 - REMUNERAÇÃO ]]*SUMIFS(tabParametros[SESI OU SESC],tabParametros[Código do Posto],tabCustoUnit[[#This Row],[Código do Posto]])</f>
        <v>23.944106999999999</v>
      </c>
      <c r="R109" s="21">
        <f>tabCustoUnit[[#This Row],[MODULO 1 - REMUNERAÇÃO ]]*SUMIFS(tabParametros[SENAI OU SENAC],tabParametros[Código do Posto],tabCustoUnit[[#This Row],[Código do Posto]])</f>
        <v>15.962738</v>
      </c>
      <c r="S109" s="21">
        <f>tabCustoUnit[[#This Row],[MODULO 1 - REMUNERAÇÃO ]]*SUMIFS(tabParametros[INCRA],tabParametros[Código do Posto],tabCustoUnit[[#This Row],[Código do Posto]])</f>
        <v>3.1925476000000002</v>
      </c>
      <c r="T109" s="21">
        <f>tabCustoUnit[[#This Row],[MODULO 1 - REMUNERAÇÃO ]]*SUMIFS(tabParametros[Salário Educação],tabParametros[Código do Posto],tabCustoUnit[[#This Row],[Código do Posto]])</f>
        <v>39.906845000000004</v>
      </c>
      <c r="U109" s="21">
        <f>tabCustoUnit[[#This Row],[MODULO 1 - REMUNERAÇÃO ]]*SUMIFS(tabParametros[FGTS],tabParametros[Código do Posto],tabCustoUnit[[#This Row],[Código do Posto]])</f>
        <v>127.701904</v>
      </c>
      <c r="V109" s="21">
        <f>tabCustoUnit[[#This Row],[MODULO 1 - REMUNERAÇÃO ]]*SUMIFS(tabParametros[RAT Ajustado],tabParametros[Código do Posto],tabCustoUnit[[#This Row],[Código do Posto]])</f>
        <v>63.850951999999999</v>
      </c>
      <c r="W109" s="21">
        <f>tabCustoUnit[[#This Row],[MODULO 1 - REMUNERAÇÃO ]]*SUMIFS(tabParametros[SEBRAE],tabParametros[Código do Posto],tabCustoUnit[[#This Row],[Código do Posto]])</f>
        <v>9.5776427999999996</v>
      </c>
      <c r="X109" s="21">
        <f>SUM(tabCustoUnit[[#This Row],[INSS]:[SEBRAE]])</f>
        <v>603.39149640000005</v>
      </c>
      <c r="Y109" s="21">
        <f>tabCustoUnit[[#This Row],[MODULO 1 - REMUNERAÇÃO ]]*SUMIFS(tabParametros[13º salário (titular)],tabParametros[Código do Posto],tabCustoUnit[[#This Row],[Código do Posto]])</f>
        <v>133.02281666666664</v>
      </c>
      <c r="Z109" s="21">
        <f>tabCustoUnit[[#This Row],[MODULO 1 - REMUNERAÇÃO ]]*SUMIFS(tabParametros[Férias e Adicional de Férias (titular)],tabParametros[Código do Posto],tabCustoUnit[[#This Row],[Código do Posto]])</f>
        <v>177.36375555555554</v>
      </c>
      <c r="AA109" s="21">
        <f>IFERROR((tabCustoUnit[[#This Row],[Submódulo 2.1]]/tabCustoUnit[[#This Row],[MODULO 1 - REMUNERAÇÃO ]])*SUM(tabCustoUnit[[#This Row],[13º salário (titular)]:[Férias e Adicional de Férias (titular)]]),0)</f>
        <v>117.3261243</v>
      </c>
      <c r="AB109" s="21">
        <f>SUM(tabCustoUnit[[#This Row],[13º salário (titular)]:[Incidência do Submódulo 2.1 sobre 13º Salário, Férias e Adicional de Férias]])</f>
        <v>427.71269652222219</v>
      </c>
      <c r="AC109" s="22" t="e">
        <f ca="1">_xlfn.LET(_xlpm.VT,SUMIF(tabParametros[Código do Posto],tabCustoUnit[[#This Row],[Código do Posto]],tabParametros[Vale - Transporte])*2*20,
IF((_xlpm.VT-tabCustoUnit[[#This Row],[Salário Base]]*0.06)&gt;=0,(_xlpm.VT-tabCustoUnit[[#This Row],[Salário Base]]*0.06),0)
)</f>
        <v>#NAME?</v>
      </c>
      <c r="AD109" s="22">
        <f>IF(SUMIF(tabParametros[Código do Posto],tabCustoUnit[[#This Row],[Código do Posto]],tabParametros[Vale - Alimentação])&lt;=0,0,
SUMIF(tabParametros[Código do Posto],tabCustoUnit[[#This Row],[Código do Posto]],tabParametros[Vale - Alimentação])*20-1)</f>
        <v>582</v>
      </c>
      <c r="AE109" s="22">
        <f>SUMIF(tabParametros[Código do Posto],tabCustoUnit[[#This Row],[Código do Posto]],tabParametros[Cesta Básica])</f>
        <v>0</v>
      </c>
      <c r="AF109" s="22">
        <f>SUMIF(tabParametros[Código do Posto],tabCustoUnit[[#This Row],[Código do Posto]],tabParametros[PAF])</f>
        <v>0</v>
      </c>
      <c r="AG109" s="22">
        <f>SUMIF(tabParametros[Código do Posto],tabCustoUnit[[#This Row],[Código do Posto]],tabParametros[PQM])</f>
        <v>15.07</v>
      </c>
      <c r="AH109" s="22">
        <f>SUMIF(tabParametros[Código do Posto],tabCustoUnit[[#This Row],[Código do Posto]],tabParametros[Abono Único e Especial])</f>
        <v>0</v>
      </c>
      <c r="AI109" s="22">
        <f>SUMIF(tabParametros[Código do Posto],tabCustoUnit[[#This Row],[Código do Posto]],tabParametros[Seguro de Vida])</f>
        <v>3.36</v>
      </c>
      <c r="AJ109" s="22">
        <f>SUMIF(tabParametros[Código do Posto],tabCustoUnit[[#This Row],[Código do Posto]],tabParametros[Despesas de Viagem])</f>
        <v>0</v>
      </c>
      <c r="AK109" s="22" t="e">
        <f ca="1">SUM(tabCustoUnit[[#This Row],[Vale - Transporte (Descontada parcela do empregado)]:[Despesas de Viagem]])</f>
        <v>#NAME?</v>
      </c>
      <c r="AL109" s="22" t="e">
        <f ca="1">tabCustoUnit[[#This Row],[Submódulo 2.1]]+tabCustoUnit[[#This Row],[Submódulo 2.2]]+tabCustoUnit[[#This Row],[Submódulo 2.3]]</f>
        <v>#NAME?</v>
      </c>
      <c r="AM109" s="22">
        <f>SUMIF(tabParametros[Código do Posto],tabCustoUnit[[#This Row],[Código do Posto]],tabParametros[Aviso Prévio Indenizado (API) e Reflexo do Aviso Prévio Indenizado])*tabCustoUnit[[#This Row],[MODULO 1 - REMUNERAÇÃO ]]</f>
        <v>11.192699914390431</v>
      </c>
      <c r="AN109" s="22">
        <f>SUMIF(tabParametros[Código do Posto],tabCustoUnit[[#This Row],[Código do Posto]],tabParametros[Incidência do FGTS sobre API e Reflexo do API])*tabCustoUnit[[#This Row],[MODULO 1 - REMUNERAÇÃO ]]</f>
        <v>0.89541599315123466</v>
      </c>
      <c r="AO109" s="22">
        <f>SUMIF(tabParametros[Código do Posto],tabCustoUnit[[#This Row],[Código do Posto]],tabParametros[Multa Rescisória do FGTS sobre o Aviso Prévio Indenizado])*tabCustoUnit[[#This Row],[MODULO 1 - REMUNERAÇÃO ]]</f>
        <v>0.35816639726049387</v>
      </c>
      <c r="AP109" s="22">
        <f>SUMIF(tabParametros[Código do Posto],tabCustoUnit[[#This Row],[Código do Posto]],tabParametros[Aviso Prévio Trabalhado - APT])*tabCustoUnit[[#This Row],[MODULO 1 - REMUNERAÇÃO ]]</f>
        <v>5.5869583000000009</v>
      </c>
      <c r="AQ109" s="22">
        <f>SUMIF(tabParametros[Código do Posto],tabCustoUnit[[#This Row],[Código do Posto]],tabParametros[Incidência dos encargos do submódulo 2.1 sobre Aviso Prévio Trabalhado])*tabCustoUnit[[#This Row],[MODULO 1 - REMUNERAÇÃO ]]</f>
        <v>2.1118702374000007</v>
      </c>
      <c r="AR109" s="22">
        <f>SUMIF(tabParametros[Código do Posto],tabCustoUnit[[#This Row],[Código do Posto]],tabParametros[Multa Rescisória do FGTS])*tabCustoUnit[[#This Row],[MODULO 1 - REMUNERAÇÃO ]]</f>
        <v>48.810505528888882</v>
      </c>
      <c r="AS109" s="22">
        <f>SUMIF(tabParametros[Código do Posto],tabCustoUnit[[#This Row],[Código do Posto]],tabParametros[Indenização Adicional (Art. 9º da Lei nº 7.238/84)])*tabCustoUnit[[#This Row],[MODULO 1 - REMUNERAÇÃO ]]</f>
        <v>1.3302281666666667</v>
      </c>
      <c r="AT109" s="22">
        <f>SUM(tabCustoUnit[[#This Row],[Aviso Prévio Indenizado (API) e Reflexo do Aviso Prévio Indenizado]:[Indenização Adicional (Art. 9º da Lei nº 7.238/84)]])</f>
        <v>70.285844537757711</v>
      </c>
      <c r="AU109" s="22">
        <f>SUMIF(tabParametros[Código do Posto],tabCustoUnit[[#This Row],[Código do Posto]],tabParametros[Ausência por Doença])*tabCustoUnit[[#This Row],[MODULO 1 - REMUNERAÇÃO ]]</f>
        <v>13.479645422222221</v>
      </c>
      <c r="AV109" s="22">
        <f>SUMIF(tabParametros[Código do Posto],tabCustoUnit[[#This Row],[Código do Posto]],tabParametros[Ausências Legais])*tabCustoUnit[[#This Row],[MODULO 1 - REMUNERAÇÃO ]]</f>
        <v>3.2368885388888886</v>
      </c>
      <c r="AW109" s="22">
        <f>SUMIF(tabParametros[Código do Posto],tabCustoUnit[[#This Row],[Código do Posto]],tabParametros[Licença Paternidade])*tabCustoUnit[[#This Row],[MODULO 1 - REMUNERAÇÃO ]]</f>
        <v>0.27269677416666666</v>
      </c>
      <c r="AX109" s="22">
        <f>SUMIF(tabParametros[Código do Posto],tabCustoUnit[[#This Row],[Código do Posto]],tabParametros[Ausência por Acidente de Trabalho])*tabCustoUnit[[#This Row],[MODULO 1 - REMUNERAÇÃO ]]</f>
        <v>0.33255704166666666</v>
      </c>
      <c r="AY109" s="22">
        <f>SUMIF(tabParametros[Código do Posto],tabCustoUnit[[#This Row],[Código do Posto]],tabParametros[Férias, Adicional de Férias e 13º  com empregada em gozo de Licença Maternidade])*tabCustoUnit[[#This Row],[MODULO 1 - REMUNERAÇÃO ]]</f>
        <v>2.0692438148148145</v>
      </c>
      <c r="AZ109" s="22">
        <f>SUMIF(tabParametros[Código do Posto],tabCustoUnit[[#This Row],[Código do Posto]],tabParametros[Incidência do Submódulo 2.1 sobre Ausências Legais])*tabCustoUnit[[#This Row],[MODULO 1 - REMUNERAÇÃO ]]</f>
        <v>7.3298099416850011</v>
      </c>
      <c r="BA109" s="22">
        <f>SUM(tabCustoUnit[[#This Row],[Ausência por Doença]:[Incidência do Submódulo 2.1 sobre Ausências Legais]])</f>
        <v>26.720841533444265</v>
      </c>
      <c r="BB109" s="22">
        <f>SUMIF(tabParametros[Código do Posto],tabCustoUnit[[#This Row],[Código do Posto]],tabParametros[Intervalo para Repouso ou Alimentação])</f>
        <v>0</v>
      </c>
      <c r="BC109" s="22">
        <f>tabCustoUnit[[#This Row],[Intervalo para Repouso ou Alimentação]]</f>
        <v>0</v>
      </c>
      <c r="BD10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09" s="22">
        <f>tabCustoUnit[[#This Row],[Suspensão Temporária do Contrato de Trabalho]]</f>
        <v>0</v>
      </c>
      <c r="BF109" s="22">
        <f>tabCustoUnit[[#This Row],[Submódulo 4.1]]+tabCustoUnit[[#This Row],[Submódulo 4.2]]+tabCustoUnit[[#This Row],[Submódulo 4.3]]</f>
        <v>26.720841533444265</v>
      </c>
      <c r="BG109" s="22">
        <f>VLOOKUP(tabCustoUnit[[#This Row],[Código do Posto]],tabParametros[],MATCH(tabCustoUnit[[#Headers],[Uniformes e EPIs]],tabParametros[#Headers],0),0)</f>
        <v>56.141713661989918</v>
      </c>
      <c r="BH109" s="22">
        <f>VLOOKUP(tabCustoUnit[[#This Row],[Código do Posto]],tabParametros[],MATCH(tabCustoUnit[[#Headers],[Materiais de Consumo]],tabParametros[#Headers],0),0)</f>
        <v>0</v>
      </c>
      <c r="BI109" s="22">
        <f>VLOOKUP(tabCustoUnit[[#This Row],[Código do Posto]],tabParametros[],MATCH(tabCustoUnit[[#Headers],[Máquinas e Equipamentos (depreciação)]],tabParametros[#Headers],0),0)</f>
        <v>0</v>
      </c>
      <c r="BJ109" s="22">
        <f>VLOOKUP(tabCustoUnit[[#This Row],[Código do Posto]],tabParametros[],MATCH(tabCustoUnit[[#Headers],[Produtos de Limpeza e Materiais de Higiene Pessoal]],tabParametros[#Headers],0),0)</f>
        <v>0</v>
      </c>
      <c r="BK109" s="22">
        <f>VLOOKUP(tabCustoUnit[[#This Row],[Código do Posto]],tabParametros[],MATCH(tabCustoUnit[[#Headers],[Outros (especificar)]],tabParametros[#Headers],0),0)</f>
        <v>0</v>
      </c>
      <c r="BL109" s="22">
        <f>SUM(tabCustoUnit[[#This Row],[Uniformes e EPIs]:[Outros (especificar)]])</f>
        <v>56.141713661989918</v>
      </c>
      <c r="BM10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09" s="22" t="e">
        <f ca="1">VLOOKUP(tabCustoUnit[[#This Row],[Código do Posto]],tabParametros[],MATCH(tabCustoUnit[[#Headers],[Custos Indiretos]],tabParametros[#Headers],0),0)</f>
        <v>#NAME?</v>
      </c>
      <c r="BO109" s="22" t="e">
        <f ca="1">VLOOKUP(tabCustoUnit[[#This Row],[Código do Posto]],tabParametros[],MATCH(tabCustoUnit[[#Headers],[Lucro]],tabParametros[#Headers],0),0)</f>
        <v>#NAME?</v>
      </c>
      <c r="BP109" s="26">
        <f>((100/((1-tabCustoUnit[[#This Row],[Resumo de Alíquotas (PIS+CONFINS+ISS)]]))-100)*VLOOKUP(tabCustoUnit[[#This Row],[Código do Posto]],tabParametros[],MATCH(tabCustoUnit[[#Headers],[COFINS]],tabParametros[#Headers],0),0))/(tabCustoUnit[[#This Row],[Resumo de Alíquotas (PIS+CONFINS+ISS)]]*100)</f>
        <v>8.6609686609686695E-2</v>
      </c>
      <c r="BQ109" s="26">
        <f>((100/((100-(tabCustoUnit[[#This Row],[Resumo de Alíquotas (PIS+CONFINS+ISS)]]*100))%)-100)*VLOOKUP(tabCustoUnit[[#This Row],[Código do Posto]],tabParametros[],MATCH(tabCustoUnit[[#Headers],[PIS]],tabParametros[#Headers],0),0))/(tabCustoUnit[[#This Row],[Resumo de Alíquotas (PIS+CONFINS+ISS)]]*100)</f>
        <v>1.880341880341882E-2</v>
      </c>
      <c r="BR109" s="28">
        <f>VLOOKUP(tabCustoUnit[[#This Row],[Código do Posto]],tabParametros[],MATCH(tabCustoUnit[[#Headers],[ISS]],tabParametros[#Headers],0),0)</f>
        <v>0.03</v>
      </c>
      <c r="BS109" s="26">
        <f>(((100/((100-(tabCustoUnit[[#This Row],[Resumo de Alíquotas (PIS+CONFINS+ISS)]]*100))%)-100)*tabCustoUnit[[#This Row],[ISS]])/tabCustoUnit[[#This Row],[Resumo de Alíquotas (PIS+CONFINS+ISS)]])/100</f>
        <v>3.4188034188034219E-2</v>
      </c>
      <c r="BT10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09" s="138">
        <f>tabCustoUnit[[#This Row],[COFINS]]+tabCustoUnit[[#This Row],[PIS]]+tabCustoUnit[[#This Row],[ISS (Conversão Alíquota s/ fatura)]]</f>
        <v>0.13960113960113973</v>
      </c>
      <c r="BV109" s="22" t="e">
        <f ca="1">(tabCustoUnit[[#This Row],[TOTAL MÓDULOS 1+2+3+4+5]]+tabCustoUnit[[#This Row],[Custos Indiretos]]+tabCustoUnit[[#This Row],[Lucro]])*tabCustoUnit[[#This Row],[PIS + COFINS + ISS (Total Conversão  Alíquota s/ Fatura)]]</f>
        <v>#NAME?</v>
      </c>
      <c r="BW109" s="22" t="e">
        <f ca="1">tabCustoUnit[[#This Row],[Custos Indiretos]]+tabCustoUnit[[#This Row],[Lucro]]+tabCustoUnit[[#This Row],[Valor dos Tributos (ISS, PIS, CONFINS)]]</f>
        <v>#NAME?</v>
      </c>
      <c r="BX109" s="22" t="e">
        <f ca="1">tabCustoUnit[[#This Row],[TOTAL MÓDULOS 1+2+3+4+5]]+tabCustoUnit[[#This Row],[MÓDULO 6 – CUSTOS INDIRETOS, TRIBUTOS E LUCRO]]</f>
        <v>#NAME?</v>
      </c>
      <c r="BY109" s="22" t="e">
        <f ca="1">tabCustoUnit[[#This Row],[CUSTO TOTAL MENSAL]]*12</f>
        <v>#NAME?</v>
      </c>
      <c r="BZ109" s="24">
        <f>VLOOKUP(tabCustoUnit[[#This Row],[Código do Posto]],tabParametros[],MATCH(tabCustoUnit[[#Headers],[ANO DA CCT]],tabParametros[#Headers],0),0)</f>
        <v>45658</v>
      </c>
      <c r="CA109" s="25" t="str">
        <f>VLOOKUP(tabCustoUnit[[#This Row],[Código do Posto]],tabParametros[],MATCH(tabCustoUnit[[#Headers],[Nº DE PEDIDO DA CCT]],tabParametros[#Headers],0),0)</f>
        <v>-</v>
      </c>
      <c r="CB109" s="25" t="str">
        <f>VLOOKUP(tabCustoUnit[[#This Row],[Código do Posto]],tabParametros[],MATCH(tabCustoUnit[[#Headers],[TERMO ADITIVO ALTERAÇÃO DA CCT]],tabParametros[#Headers],0),0)</f>
        <v>-</v>
      </c>
    </row>
    <row r="110" spans="1:80">
      <c r="A110" s="20" t="s">
        <v>1571</v>
      </c>
      <c r="B110" t="s">
        <v>1121</v>
      </c>
      <c r="C110" t="s">
        <v>319</v>
      </c>
      <c r="D110" t="s">
        <v>918</v>
      </c>
      <c r="E110" s="20" t="s">
        <v>1090</v>
      </c>
      <c r="F110" s="20" t="s">
        <v>120</v>
      </c>
      <c r="G110" s="418">
        <v>2316.2296999999999</v>
      </c>
      <c r="H110" s="418">
        <v>0</v>
      </c>
      <c r="I110" s="418">
        <v>0</v>
      </c>
      <c r="J110" s="418">
        <v>0</v>
      </c>
      <c r="K110" s="418">
        <v>0</v>
      </c>
      <c r="L110" s="418">
        <v>0</v>
      </c>
      <c r="M110" s="418">
        <v>0</v>
      </c>
      <c r="N110" s="418">
        <v>0</v>
      </c>
      <c r="O110" s="21">
        <f>SUM(tabCustoUnit[[#This Row],[Salário Base]:[Adicional de Acúmulo de função]])</f>
        <v>2316.2296999999999</v>
      </c>
      <c r="P110" s="21">
        <f>tabCustoUnit[[#This Row],[MODULO 1 - REMUNERAÇÃO ]]*SUMIFS(tabParametros[INSS],tabParametros[Código do Posto],tabCustoUnit[[#This Row],[Código do Posto]])</f>
        <v>463.24594000000002</v>
      </c>
      <c r="Q110" s="21">
        <f>tabCustoUnit[[#This Row],[MODULO 1 - REMUNERAÇÃO ]]*SUMIFS(tabParametros[SESI OU SESC],tabParametros[Código do Posto],tabCustoUnit[[#This Row],[Código do Posto]])</f>
        <v>34.7434455</v>
      </c>
      <c r="R110" s="21">
        <f>tabCustoUnit[[#This Row],[MODULO 1 - REMUNERAÇÃO ]]*SUMIFS(tabParametros[SENAI OU SENAC],tabParametros[Código do Posto],tabCustoUnit[[#This Row],[Código do Posto]])</f>
        <v>23.162296999999999</v>
      </c>
      <c r="S110" s="21">
        <f>tabCustoUnit[[#This Row],[MODULO 1 - REMUNERAÇÃO ]]*SUMIFS(tabParametros[INCRA],tabParametros[Código do Posto],tabCustoUnit[[#This Row],[Código do Posto]])</f>
        <v>4.6324594000000001</v>
      </c>
      <c r="T110" s="21">
        <f>tabCustoUnit[[#This Row],[MODULO 1 - REMUNERAÇÃO ]]*SUMIFS(tabParametros[Salário Educação],tabParametros[Código do Posto],tabCustoUnit[[#This Row],[Código do Posto]])</f>
        <v>57.905742500000002</v>
      </c>
      <c r="U110" s="21">
        <f>tabCustoUnit[[#This Row],[MODULO 1 - REMUNERAÇÃO ]]*SUMIFS(tabParametros[FGTS],tabParametros[Código do Posto],tabCustoUnit[[#This Row],[Código do Posto]])</f>
        <v>185.29837599999999</v>
      </c>
      <c r="V110" s="21">
        <f>tabCustoUnit[[#This Row],[MODULO 1 - REMUNERAÇÃO ]]*SUMIFS(tabParametros[RAT Ajustado],tabParametros[Código do Posto],tabCustoUnit[[#This Row],[Código do Posto]])</f>
        <v>92.649187999999995</v>
      </c>
      <c r="W110" s="21">
        <f>tabCustoUnit[[#This Row],[MODULO 1 - REMUNERAÇÃO ]]*SUMIFS(tabParametros[SEBRAE],tabParametros[Código do Posto],tabCustoUnit[[#This Row],[Código do Posto]])</f>
        <v>13.8973782</v>
      </c>
      <c r="X110" s="21">
        <f>SUM(tabCustoUnit[[#This Row],[INSS]:[SEBRAE]])</f>
        <v>875.53482659999997</v>
      </c>
      <c r="Y110" s="21">
        <f>tabCustoUnit[[#This Row],[MODULO 1 - REMUNERAÇÃO ]]*SUMIFS(tabParametros[13º salário (titular)],tabParametros[Código do Posto],tabCustoUnit[[#This Row],[Código do Posto]])</f>
        <v>193.01914166666666</v>
      </c>
      <c r="Z110" s="21">
        <f>tabCustoUnit[[#This Row],[MODULO 1 - REMUNERAÇÃO ]]*SUMIFS(tabParametros[Férias e Adicional de Férias (titular)],tabParametros[Código do Posto],tabCustoUnit[[#This Row],[Código do Posto]])</f>
        <v>257.35885555555552</v>
      </c>
      <c r="AA110" s="21">
        <f>IFERROR((tabCustoUnit[[#This Row],[Submódulo 2.1]]/tabCustoUnit[[#This Row],[MODULO 1 - REMUNERAÇÃO ]])*SUM(tabCustoUnit[[#This Row],[13º salário (titular)]:[Férias e Adicional de Férias (titular)]]),0)</f>
        <v>170.24288294999999</v>
      </c>
      <c r="AB110" s="21">
        <f>SUM(tabCustoUnit[[#This Row],[13º salário (titular)]:[Incidência do Submódulo 2.1 sobre 13º Salário, Férias e Adicional de Férias]])</f>
        <v>620.6208801722222</v>
      </c>
      <c r="AC110" s="22" t="e">
        <f ca="1">_xlfn.LET(_xlpm.VT,SUMIF(tabParametros[Código do Posto],tabCustoUnit[[#This Row],[Código do Posto]],tabParametros[Vale - Transporte])*2*20,
IF((_xlpm.VT-tabCustoUnit[[#This Row],[Salário Base]]*0.06)&gt;=0,(_xlpm.VT-tabCustoUnit[[#This Row],[Salário Base]]*0.06),0)
)</f>
        <v>#NAME?</v>
      </c>
      <c r="AD110" s="22">
        <f>IF(SUMIF(tabParametros[Código do Posto],tabCustoUnit[[#This Row],[Código do Posto]],tabParametros[Vale - Alimentação])&lt;=0,0,
SUMIF(tabParametros[Código do Posto],tabCustoUnit[[#This Row],[Código do Posto]],tabParametros[Vale - Alimentação])*20-1)</f>
        <v>582</v>
      </c>
      <c r="AE110" s="22">
        <f>SUMIF(tabParametros[Código do Posto],tabCustoUnit[[#This Row],[Código do Posto]],tabParametros[Cesta Básica])</f>
        <v>0</v>
      </c>
      <c r="AF110" s="22">
        <f>SUMIF(tabParametros[Código do Posto],tabCustoUnit[[#This Row],[Código do Posto]],tabParametros[PAF])</f>
        <v>0</v>
      </c>
      <c r="AG110" s="22">
        <f>SUMIF(tabParametros[Código do Posto],tabCustoUnit[[#This Row],[Código do Posto]],tabParametros[PQM])</f>
        <v>15.07</v>
      </c>
      <c r="AH110" s="22">
        <f>SUMIF(tabParametros[Código do Posto],tabCustoUnit[[#This Row],[Código do Posto]],tabParametros[Abono Único e Especial])</f>
        <v>0</v>
      </c>
      <c r="AI110" s="22">
        <f>SUMIF(tabParametros[Código do Posto],tabCustoUnit[[#This Row],[Código do Posto]],tabParametros[Seguro de Vida])</f>
        <v>3.36</v>
      </c>
      <c r="AJ110" s="22">
        <f>SUMIF(tabParametros[Código do Posto],tabCustoUnit[[#This Row],[Código do Posto]],tabParametros[Despesas de Viagem])</f>
        <v>0</v>
      </c>
      <c r="AK110" s="22" t="e">
        <f ca="1">SUM(tabCustoUnit[[#This Row],[Vale - Transporte (Descontada parcela do empregado)]:[Despesas de Viagem]])</f>
        <v>#NAME?</v>
      </c>
      <c r="AL110" s="22" t="e">
        <f ca="1">tabCustoUnit[[#This Row],[Submódulo 2.1]]+tabCustoUnit[[#This Row],[Submódulo 2.2]]+tabCustoUnit[[#This Row],[Submódulo 2.3]]</f>
        <v>#NAME?</v>
      </c>
      <c r="AM110" s="22">
        <f>SUMIF(tabParametros[Código do Posto],tabCustoUnit[[#This Row],[Código do Posto]],tabParametros[Aviso Prévio Indenizado (API) e Reflexo do Aviso Prévio Indenizado])*tabCustoUnit[[#This Row],[MODULO 1 - REMUNERAÇÃO ]]</f>
        <v>16.240862917689043</v>
      </c>
      <c r="AN110" s="22">
        <f>SUMIF(tabParametros[Código do Posto],tabCustoUnit[[#This Row],[Código do Posto]],tabParametros[Incidência do FGTS sobre API e Reflexo do API])*tabCustoUnit[[#This Row],[MODULO 1 - REMUNERAÇÃO ]]</f>
        <v>1.2992690334151236</v>
      </c>
      <c r="AO110" s="22">
        <f>SUMIF(tabParametros[Código do Posto],tabCustoUnit[[#This Row],[Código do Posto]],tabParametros[Multa Rescisória do FGTS sobre o Aviso Prévio Indenizado])*tabCustoUnit[[#This Row],[MODULO 1 - REMUNERAÇÃO ]]</f>
        <v>0.51970761336604943</v>
      </c>
      <c r="AP110" s="22">
        <f>SUMIF(tabParametros[Código do Posto],tabCustoUnit[[#This Row],[Código do Posto]],tabParametros[Aviso Prévio Trabalhado - APT])*tabCustoUnit[[#This Row],[MODULO 1 - REMUNERAÇÃO ]]</f>
        <v>8.1068039500000015</v>
      </c>
      <c r="AQ110" s="22">
        <f>SUMIF(tabParametros[Código do Posto],tabCustoUnit[[#This Row],[Código do Posto]],tabParametros[Incidência dos encargos do submódulo 2.1 sobre Aviso Prévio Trabalhado])*tabCustoUnit[[#This Row],[MODULO 1 - REMUNERAÇÃO ]]</f>
        <v>3.0643718931000006</v>
      </c>
      <c r="AR110" s="22">
        <f>SUMIF(tabParametros[Código do Posto],tabCustoUnit[[#This Row],[Código do Posto]],tabParametros[Multa Rescisória do FGTS])*tabCustoUnit[[#This Row],[MODULO 1 - REMUNERAÇÃO ]]</f>
        <v>70.825157048888869</v>
      </c>
      <c r="AS110" s="22">
        <f>SUMIF(tabParametros[Código do Posto],tabCustoUnit[[#This Row],[Código do Posto]],tabParametros[Indenização Adicional (Art. 9º da Lei nº 7.238/84)])*tabCustoUnit[[#This Row],[MODULO 1 - REMUNERAÇÃO ]]</f>
        <v>1.9301914166666667</v>
      </c>
      <c r="AT110" s="22">
        <f>SUM(tabCustoUnit[[#This Row],[Aviso Prévio Indenizado (API) e Reflexo do Aviso Prévio Indenizado]:[Indenização Adicional (Art. 9º da Lei nº 7.238/84)]])</f>
        <v>101.98636387312575</v>
      </c>
      <c r="AU110" s="22">
        <f>SUMIF(tabParametros[Código do Posto],tabCustoUnit[[#This Row],[Código do Posto]],tabParametros[Ausência por Doença])*tabCustoUnit[[#This Row],[MODULO 1 - REMUNERAÇÃO ]]</f>
        <v>19.559273022222218</v>
      </c>
      <c r="AV110" s="22">
        <f>SUMIF(tabParametros[Código do Posto],tabCustoUnit[[#This Row],[Código do Posto]],tabParametros[Ausências Legais])*tabCustoUnit[[#This Row],[MODULO 1 - REMUNERAÇÃO ]]</f>
        <v>4.696799113888888</v>
      </c>
      <c r="AW110" s="22">
        <f>SUMIF(tabParametros[Código do Posto],tabCustoUnit[[#This Row],[Código do Posto]],tabParametros[Licença Paternidade])*tabCustoUnit[[#This Row],[MODULO 1 - REMUNERAÇÃO ]]</f>
        <v>0.39568924041666664</v>
      </c>
      <c r="AX110" s="22">
        <f>SUMIF(tabParametros[Código do Posto],tabCustoUnit[[#This Row],[Código do Posto]],tabParametros[Ausência por Acidente de Trabalho])*tabCustoUnit[[#This Row],[MODULO 1 - REMUNERAÇÃO ]]</f>
        <v>0.48254785416666668</v>
      </c>
      <c r="AY110" s="22">
        <f>SUMIF(tabParametros[Código do Posto],tabCustoUnit[[#This Row],[Código do Posto]],tabParametros[Férias, Adicional de Férias e 13º  com empregada em gozo de Licença Maternidade])*tabCustoUnit[[#This Row],[MODULO 1 - REMUNERAÇÃO ]]</f>
        <v>3.0025199814814814</v>
      </c>
      <c r="AZ110" s="22">
        <f>SUMIF(tabParametros[Código do Posto],tabCustoUnit[[#This Row],[Código do Posto]],tabParametros[Incidência do Submódulo 2.1 sobre Ausências Legais])*tabCustoUnit[[#This Row],[MODULO 1 - REMUNERAÇÃO ]]</f>
        <v>10.635721442202501</v>
      </c>
      <c r="BA110" s="22">
        <f>SUM(tabCustoUnit[[#This Row],[Ausência por Doença]:[Incidência do Submódulo 2.1 sobre Ausências Legais]])</f>
        <v>38.772550654378421</v>
      </c>
      <c r="BB110" s="22">
        <f>SUMIF(tabParametros[Código do Posto],tabCustoUnit[[#This Row],[Código do Posto]],tabParametros[Intervalo para Repouso ou Alimentação])</f>
        <v>0</v>
      </c>
      <c r="BC110" s="22">
        <f>tabCustoUnit[[#This Row],[Intervalo para Repouso ou Alimentação]]</f>
        <v>0</v>
      </c>
      <c r="BD11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0" s="22">
        <f>tabCustoUnit[[#This Row],[Suspensão Temporária do Contrato de Trabalho]]</f>
        <v>0</v>
      </c>
      <c r="BF110" s="22">
        <f>tabCustoUnit[[#This Row],[Submódulo 4.1]]+tabCustoUnit[[#This Row],[Submódulo 4.2]]+tabCustoUnit[[#This Row],[Submódulo 4.3]]</f>
        <v>38.772550654378421</v>
      </c>
      <c r="BG110" s="22">
        <f>VLOOKUP(tabCustoUnit[[#This Row],[Código do Posto]],tabParametros[],MATCH(tabCustoUnit[[#Headers],[Uniformes e EPIs]],tabParametros[#Headers],0),0)</f>
        <v>56.642978962543395</v>
      </c>
      <c r="BH110" s="22">
        <f>VLOOKUP(tabCustoUnit[[#This Row],[Código do Posto]],tabParametros[],MATCH(tabCustoUnit[[#Headers],[Materiais de Consumo]],tabParametros[#Headers],0),0)</f>
        <v>0</v>
      </c>
      <c r="BI110" s="22">
        <f>VLOOKUP(tabCustoUnit[[#This Row],[Código do Posto]],tabParametros[],MATCH(tabCustoUnit[[#Headers],[Máquinas e Equipamentos (depreciação)]],tabParametros[#Headers],0),0)</f>
        <v>0</v>
      </c>
      <c r="BJ110" s="22">
        <f>VLOOKUP(tabCustoUnit[[#This Row],[Código do Posto]],tabParametros[],MATCH(tabCustoUnit[[#Headers],[Produtos de Limpeza e Materiais de Higiene Pessoal]],tabParametros[#Headers],0),0)</f>
        <v>0</v>
      </c>
      <c r="BK110" s="22">
        <f>VLOOKUP(tabCustoUnit[[#This Row],[Código do Posto]],tabParametros[],MATCH(tabCustoUnit[[#Headers],[Outros (especificar)]],tabParametros[#Headers],0),0)</f>
        <v>0</v>
      </c>
      <c r="BL110" s="22">
        <f>SUM(tabCustoUnit[[#This Row],[Uniformes e EPIs]:[Outros (especificar)]])</f>
        <v>56.642978962543395</v>
      </c>
      <c r="BM11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0" s="22" t="e">
        <f ca="1">VLOOKUP(tabCustoUnit[[#This Row],[Código do Posto]],tabParametros[],MATCH(tabCustoUnit[[#Headers],[Custos Indiretos]],tabParametros[#Headers],0),0)</f>
        <v>#NAME?</v>
      </c>
      <c r="BO110" s="22" t="e">
        <f ca="1">VLOOKUP(tabCustoUnit[[#This Row],[Código do Posto]],tabParametros[],MATCH(tabCustoUnit[[#Headers],[Lucro]],tabParametros[#Headers],0),0)</f>
        <v>#NAME?</v>
      </c>
      <c r="BP110" s="26">
        <f>((100/((1-tabCustoUnit[[#This Row],[Resumo de Alíquotas (PIS+CONFINS+ISS)]]))-100)*VLOOKUP(tabCustoUnit[[#This Row],[Código do Posto]],tabParametros[],MATCH(tabCustoUnit[[#Headers],[COFINS]],tabParametros[#Headers],0),0))/(tabCustoUnit[[#This Row],[Resumo de Alíquotas (PIS+CONFINS+ISS)]]*100)</f>
        <v>8.8629737609329504E-2</v>
      </c>
      <c r="BQ110" s="26">
        <f>((100/((100-(tabCustoUnit[[#This Row],[Resumo de Alíquotas (PIS+CONFINS+ISS)]]*100))%)-100)*VLOOKUP(tabCustoUnit[[#This Row],[Código do Posto]],tabParametros[],MATCH(tabCustoUnit[[#Headers],[PIS]],tabParametros[#Headers],0),0))/(tabCustoUnit[[#This Row],[Resumo de Alíquotas (PIS+CONFINS+ISS)]]*100)</f>
        <v>1.9241982507288629E-2</v>
      </c>
      <c r="BR110" s="28">
        <f>VLOOKUP(tabCustoUnit[[#This Row],[Código do Posto]],tabParametros[],MATCH(tabCustoUnit[[#Headers],[ISS]],tabParametros[#Headers],0),0)</f>
        <v>0.05</v>
      </c>
      <c r="BS110" s="26">
        <f>(((100/((100-(tabCustoUnit[[#This Row],[Resumo de Alíquotas (PIS+CONFINS+ISS)]]*100))%)-100)*tabCustoUnit[[#This Row],[ISS]])/tabCustoUnit[[#This Row],[Resumo de Alíquotas (PIS+CONFINS+ISS)]])/100</f>
        <v>5.8309037900874633E-2</v>
      </c>
      <c r="BT11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0" s="138">
        <f>tabCustoUnit[[#This Row],[COFINS]]+tabCustoUnit[[#This Row],[PIS]]+tabCustoUnit[[#This Row],[ISS (Conversão Alíquota s/ fatura)]]</f>
        <v>0.16618075801749277</v>
      </c>
      <c r="BV110" s="22" t="e">
        <f ca="1">(tabCustoUnit[[#This Row],[TOTAL MÓDULOS 1+2+3+4+5]]+tabCustoUnit[[#This Row],[Custos Indiretos]]+tabCustoUnit[[#This Row],[Lucro]])*tabCustoUnit[[#This Row],[PIS + COFINS + ISS (Total Conversão  Alíquota s/ Fatura)]]</f>
        <v>#NAME?</v>
      </c>
      <c r="BW110" s="22" t="e">
        <f ca="1">tabCustoUnit[[#This Row],[Custos Indiretos]]+tabCustoUnit[[#This Row],[Lucro]]+tabCustoUnit[[#This Row],[Valor dos Tributos (ISS, PIS, CONFINS)]]</f>
        <v>#NAME?</v>
      </c>
      <c r="BX110" s="22" t="e">
        <f ca="1">tabCustoUnit[[#This Row],[TOTAL MÓDULOS 1+2+3+4+5]]+tabCustoUnit[[#This Row],[MÓDULO 6 – CUSTOS INDIRETOS, TRIBUTOS E LUCRO]]</f>
        <v>#NAME?</v>
      </c>
      <c r="BY110" s="22" t="e">
        <f ca="1">tabCustoUnit[[#This Row],[CUSTO TOTAL MENSAL]]*12</f>
        <v>#NAME?</v>
      </c>
      <c r="BZ110" s="24">
        <f>VLOOKUP(tabCustoUnit[[#This Row],[Código do Posto]],tabParametros[],MATCH(tabCustoUnit[[#Headers],[ANO DA CCT]],tabParametros[#Headers],0),0)</f>
        <v>45658</v>
      </c>
      <c r="CA110" s="25" t="str">
        <f>VLOOKUP(tabCustoUnit[[#This Row],[Código do Posto]],tabParametros[],MATCH(tabCustoUnit[[#Headers],[Nº DE PEDIDO DA CCT]],tabParametros[#Headers],0),0)</f>
        <v>-</v>
      </c>
      <c r="CB110" s="25" t="str">
        <f>VLOOKUP(tabCustoUnit[[#This Row],[Código do Posto]],tabParametros[],MATCH(tabCustoUnit[[#Headers],[TERMO ADITIVO ALTERAÇÃO DA CCT]],tabParametros[#Headers],0),0)</f>
        <v>-</v>
      </c>
    </row>
    <row r="111" spans="1:80">
      <c r="A111" s="20" t="s">
        <v>1465</v>
      </c>
      <c r="B111" t="s">
        <v>1122</v>
      </c>
      <c r="C111" t="s">
        <v>200</v>
      </c>
      <c r="D111" t="s">
        <v>954</v>
      </c>
      <c r="E111" s="20" t="s">
        <v>1090</v>
      </c>
      <c r="F111" s="20" t="s">
        <v>120</v>
      </c>
      <c r="G111" s="418">
        <v>1596.2737999999999</v>
      </c>
      <c r="H111" s="418">
        <v>0</v>
      </c>
      <c r="I111" s="418">
        <v>0</v>
      </c>
      <c r="J111" s="418">
        <v>0</v>
      </c>
      <c r="K111" s="418">
        <v>0</v>
      </c>
      <c r="L111" s="418">
        <v>0</v>
      </c>
      <c r="M111" s="418">
        <v>0</v>
      </c>
      <c r="N111" s="418">
        <v>0</v>
      </c>
      <c r="O111" s="21">
        <f>SUM(tabCustoUnit[[#This Row],[Salário Base]:[Adicional de Acúmulo de função]])</f>
        <v>1596.2737999999999</v>
      </c>
      <c r="P111" s="21">
        <f>tabCustoUnit[[#This Row],[MODULO 1 - REMUNERAÇÃO ]]*SUMIFS(tabParametros[INSS],tabParametros[Código do Posto],tabCustoUnit[[#This Row],[Código do Posto]])</f>
        <v>319.25476000000003</v>
      </c>
      <c r="Q111" s="21">
        <f>tabCustoUnit[[#This Row],[MODULO 1 - REMUNERAÇÃO ]]*SUMIFS(tabParametros[SESI OU SESC],tabParametros[Código do Posto],tabCustoUnit[[#This Row],[Código do Posto]])</f>
        <v>23.944106999999999</v>
      </c>
      <c r="R111" s="21">
        <f>tabCustoUnit[[#This Row],[MODULO 1 - REMUNERAÇÃO ]]*SUMIFS(tabParametros[SENAI OU SENAC],tabParametros[Código do Posto],tabCustoUnit[[#This Row],[Código do Posto]])</f>
        <v>15.962738</v>
      </c>
      <c r="S111" s="21">
        <f>tabCustoUnit[[#This Row],[MODULO 1 - REMUNERAÇÃO ]]*SUMIFS(tabParametros[INCRA],tabParametros[Código do Posto],tabCustoUnit[[#This Row],[Código do Posto]])</f>
        <v>3.1925476000000002</v>
      </c>
      <c r="T111" s="21">
        <f>tabCustoUnit[[#This Row],[MODULO 1 - REMUNERAÇÃO ]]*SUMIFS(tabParametros[Salário Educação],tabParametros[Código do Posto],tabCustoUnit[[#This Row],[Código do Posto]])</f>
        <v>39.906845000000004</v>
      </c>
      <c r="U111" s="21">
        <f>tabCustoUnit[[#This Row],[MODULO 1 - REMUNERAÇÃO ]]*SUMIFS(tabParametros[FGTS],tabParametros[Código do Posto],tabCustoUnit[[#This Row],[Código do Posto]])</f>
        <v>127.701904</v>
      </c>
      <c r="V111" s="21">
        <f>tabCustoUnit[[#This Row],[MODULO 1 - REMUNERAÇÃO ]]*SUMIFS(tabParametros[RAT Ajustado],tabParametros[Código do Posto],tabCustoUnit[[#This Row],[Código do Posto]])</f>
        <v>63.850951999999999</v>
      </c>
      <c r="W111" s="21">
        <f>tabCustoUnit[[#This Row],[MODULO 1 - REMUNERAÇÃO ]]*SUMIFS(tabParametros[SEBRAE],tabParametros[Código do Posto],tabCustoUnit[[#This Row],[Código do Posto]])</f>
        <v>9.5776427999999996</v>
      </c>
      <c r="X111" s="21">
        <f>SUM(tabCustoUnit[[#This Row],[INSS]:[SEBRAE]])</f>
        <v>603.39149640000005</v>
      </c>
      <c r="Y111" s="21">
        <f>tabCustoUnit[[#This Row],[MODULO 1 - REMUNERAÇÃO ]]*SUMIFS(tabParametros[13º salário (titular)],tabParametros[Código do Posto],tabCustoUnit[[#This Row],[Código do Posto]])</f>
        <v>133.02281666666664</v>
      </c>
      <c r="Z111" s="21">
        <f>tabCustoUnit[[#This Row],[MODULO 1 - REMUNERAÇÃO ]]*SUMIFS(tabParametros[Férias e Adicional de Férias (titular)],tabParametros[Código do Posto],tabCustoUnit[[#This Row],[Código do Posto]])</f>
        <v>177.36375555555554</v>
      </c>
      <c r="AA111" s="21">
        <f>IFERROR((tabCustoUnit[[#This Row],[Submódulo 2.1]]/tabCustoUnit[[#This Row],[MODULO 1 - REMUNERAÇÃO ]])*SUM(tabCustoUnit[[#This Row],[13º salário (titular)]:[Férias e Adicional de Férias (titular)]]),0)</f>
        <v>117.3261243</v>
      </c>
      <c r="AB111" s="21">
        <f>SUM(tabCustoUnit[[#This Row],[13º salário (titular)]:[Incidência do Submódulo 2.1 sobre 13º Salário, Férias e Adicional de Férias]])</f>
        <v>427.71269652222219</v>
      </c>
      <c r="AC111" s="22" t="e">
        <f ca="1">_xlfn.LET(_xlpm.VT,SUMIF(tabParametros[Código do Posto],tabCustoUnit[[#This Row],[Código do Posto]],tabParametros[Vale - Transporte])*2*20,
IF((_xlpm.VT-tabCustoUnit[[#This Row],[Salário Base]]*0.06)&gt;=0,(_xlpm.VT-tabCustoUnit[[#This Row],[Salário Base]]*0.06),0)
)</f>
        <v>#NAME?</v>
      </c>
      <c r="AD111" s="22">
        <f>IF(SUMIF(tabParametros[Código do Posto],tabCustoUnit[[#This Row],[Código do Posto]],tabParametros[Vale - Alimentação])&lt;=0,0,
SUMIF(tabParametros[Código do Posto],tabCustoUnit[[#This Row],[Código do Posto]],tabParametros[Vale - Alimentação])*20-1)</f>
        <v>582</v>
      </c>
      <c r="AE111" s="22">
        <f>SUMIF(tabParametros[Código do Posto],tabCustoUnit[[#This Row],[Código do Posto]],tabParametros[Cesta Básica])</f>
        <v>0</v>
      </c>
      <c r="AF111" s="22">
        <f>SUMIF(tabParametros[Código do Posto],tabCustoUnit[[#This Row],[Código do Posto]],tabParametros[PAF])</f>
        <v>51.88</v>
      </c>
      <c r="AG111" s="22">
        <f>SUMIF(tabParametros[Código do Posto],tabCustoUnit[[#This Row],[Código do Posto]],tabParametros[PQM])</f>
        <v>0</v>
      </c>
      <c r="AH111" s="22">
        <f>SUMIF(tabParametros[Código do Posto],tabCustoUnit[[#This Row],[Código do Posto]],tabParametros[Abono Único e Especial])</f>
        <v>0</v>
      </c>
      <c r="AI111" s="22">
        <f>SUMIF(tabParametros[Código do Posto],tabCustoUnit[[#This Row],[Código do Posto]],tabParametros[Seguro de Vida])</f>
        <v>3.36</v>
      </c>
      <c r="AJ111" s="22">
        <f>SUMIF(tabParametros[Código do Posto],tabCustoUnit[[#This Row],[Código do Posto]],tabParametros[Despesas de Viagem])</f>
        <v>0</v>
      </c>
      <c r="AK111" s="22" t="e">
        <f ca="1">SUM(tabCustoUnit[[#This Row],[Vale - Transporte (Descontada parcela do empregado)]:[Despesas de Viagem]])</f>
        <v>#NAME?</v>
      </c>
      <c r="AL111" s="22" t="e">
        <f ca="1">tabCustoUnit[[#This Row],[Submódulo 2.1]]+tabCustoUnit[[#This Row],[Submódulo 2.2]]+tabCustoUnit[[#This Row],[Submódulo 2.3]]</f>
        <v>#NAME?</v>
      </c>
      <c r="AM111" s="22">
        <f>SUMIF(tabParametros[Código do Posto],tabCustoUnit[[#This Row],[Código do Posto]],tabParametros[Aviso Prévio Indenizado (API) e Reflexo do Aviso Prévio Indenizado])*tabCustoUnit[[#This Row],[MODULO 1 - REMUNERAÇÃO ]]</f>
        <v>11.192699914390431</v>
      </c>
      <c r="AN111" s="22">
        <f>SUMIF(tabParametros[Código do Posto],tabCustoUnit[[#This Row],[Código do Posto]],tabParametros[Incidência do FGTS sobre API e Reflexo do API])*tabCustoUnit[[#This Row],[MODULO 1 - REMUNERAÇÃO ]]</f>
        <v>0.89541599315123466</v>
      </c>
      <c r="AO111" s="22">
        <f>SUMIF(tabParametros[Código do Posto],tabCustoUnit[[#This Row],[Código do Posto]],tabParametros[Multa Rescisória do FGTS sobre o Aviso Prévio Indenizado])*tabCustoUnit[[#This Row],[MODULO 1 - REMUNERAÇÃO ]]</f>
        <v>0.35816639726049387</v>
      </c>
      <c r="AP111" s="22">
        <f>SUMIF(tabParametros[Código do Posto],tabCustoUnit[[#This Row],[Código do Posto]],tabParametros[Aviso Prévio Trabalhado - APT])*tabCustoUnit[[#This Row],[MODULO 1 - REMUNERAÇÃO ]]</f>
        <v>5.5869583000000009</v>
      </c>
      <c r="AQ111" s="22">
        <f>SUMIF(tabParametros[Código do Posto],tabCustoUnit[[#This Row],[Código do Posto]],tabParametros[Incidência dos encargos do submódulo 2.1 sobre Aviso Prévio Trabalhado])*tabCustoUnit[[#This Row],[MODULO 1 - REMUNERAÇÃO ]]</f>
        <v>2.1118702374000007</v>
      </c>
      <c r="AR111" s="22">
        <f>SUMIF(tabParametros[Código do Posto],tabCustoUnit[[#This Row],[Código do Posto]],tabParametros[Multa Rescisória do FGTS])*tabCustoUnit[[#This Row],[MODULO 1 - REMUNERAÇÃO ]]</f>
        <v>48.810505528888882</v>
      </c>
      <c r="AS111" s="22">
        <f>SUMIF(tabParametros[Código do Posto],tabCustoUnit[[#This Row],[Código do Posto]],tabParametros[Indenização Adicional (Art. 9º da Lei nº 7.238/84)])*tabCustoUnit[[#This Row],[MODULO 1 - REMUNERAÇÃO ]]</f>
        <v>1.3302281666666667</v>
      </c>
      <c r="AT111" s="22">
        <f>SUM(tabCustoUnit[[#This Row],[Aviso Prévio Indenizado (API) e Reflexo do Aviso Prévio Indenizado]:[Indenização Adicional (Art. 9º da Lei nº 7.238/84)]])</f>
        <v>70.285844537757711</v>
      </c>
      <c r="AU111" s="22">
        <f>SUMIF(tabParametros[Código do Posto],tabCustoUnit[[#This Row],[Código do Posto]],tabParametros[Ausência por Doença])*tabCustoUnit[[#This Row],[MODULO 1 - REMUNERAÇÃO ]]</f>
        <v>13.479645422222221</v>
      </c>
      <c r="AV111" s="22">
        <f>SUMIF(tabParametros[Código do Posto],tabCustoUnit[[#This Row],[Código do Posto]],tabParametros[Ausências Legais])*tabCustoUnit[[#This Row],[MODULO 1 - REMUNERAÇÃO ]]</f>
        <v>3.2368885388888886</v>
      </c>
      <c r="AW111" s="22">
        <f>SUMIF(tabParametros[Código do Posto],tabCustoUnit[[#This Row],[Código do Posto]],tabParametros[Licença Paternidade])*tabCustoUnit[[#This Row],[MODULO 1 - REMUNERAÇÃO ]]</f>
        <v>0.27269677416666666</v>
      </c>
      <c r="AX111" s="22">
        <f>SUMIF(tabParametros[Código do Posto],tabCustoUnit[[#This Row],[Código do Posto]],tabParametros[Ausência por Acidente de Trabalho])*tabCustoUnit[[#This Row],[MODULO 1 - REMUNERAÇÃO ]]</f>
        <v>0.33255704166666666</v>
      </c>
      <c r="AY111" s="22">
        <f>SUMIF(tabParametros[Código do Posto],tabCustoUnit[[#This Row],[Código do Posto]],tabParametros[Férias, Adicional de Férias e 13º  com empregada em gozo de Licença Maternidade])*tabCustoUnit[[#This Row],[MODULO 1 - REMUNERAÇÃO ]]</f>
        <v>2.0692438148148145</v>
      </c>
      <c r="AZ111" s="22">
        <f>SUMIF(tabParametros[Código do Posto],tabCustoUnit[[#This Row],[Código do Posto]],tabParametros[Incidência do Submódulo 2.1 sobre Ausências Legais])*tabCustoUnit[[#This Row],[MODULO 1 - REMUNERAÇÃO ]]</f>
        <v>7.3298099416850011</v>
      </c>
      <c r="BA111" s="22">
        <f>SUM(tabCustoUnit[[#This Row],[Ausência por Doença]:[Incidência do Submódulo 2.1 sobre Ausências Legais]])</f>
        <v>26.720841533444265</v>
      </c>
      <c r="BB111" s="22">
        <f>SUMIF(tabParametros[Código do Posto],tabCustoUnit[[#This Row],[Código do Posto]],tabParametros[Intervalo para Repouso ou Alimentação])</f>
        <v>0</v>
      </c>
      <c r="BC111" s="22">
        <f>tabCustoUnit[[#This Row],[Intervalo para Repouso ou Alimentação]]</f>
        <v>0</v>
      </c>
      <c r="BD11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1" s="22">
        <f>tabCustoUnit[[#This Row],[Suspensão Temporária do Contrato de Trabalho]]</f>
        <v>0</v>
      </c>
      <c r="BF111" s="22">
        <f>tabCustoUnit[[#This Row],[Submódulo 4.1]]+tabCustoUnit[[#This Row],[Submódulo 4.2]]+tabCustoUnit[[#This Row],[Submódulo 4.3]]</f>
        <v>26.720841533444265</v>
      </c>
      <c r="BG111" s="22">
        <f>VLOOKUP(tabCustoUnit[[#This Row],[Código do Posto]],tabParametros[],MATCH(tabCustoUnit[[#Headers],[Uniformes e EPIs]],tabParametros[#Headers],0),0)</f>
        <v>56.141713661989918</v>
      </c>
      <c r="BH111" s="22">
        <f>VLOOKUP(tabCustoUnit[[#This Row],[Código do Posto]],tabParametros[],MATCH(tabCustoUnit[[#Headers],[Materiais de Consumo]],tabParametros[#Headers],0),0)</f>
        <v>0</v>
      </c>
      <c r="BI111" s="22">
        <f>VLOOKUP(tabCustoUnit[[#This Row],[Código do Posto]],tabParametros[],MATCH(tabCustoUnit[[#Headers],[Máquinas e Equipamentos (depreciação)]],tabParametros[#Headers],0),0)</f>
        <v>0</v>
      </c>
      <c r="BJ111" s="22">
        <f>VLOOKUP(tabCustoUnit[[#This Row],[Código do Posto]],tabParametros[],MATCH(tabCustoUnit[[#Headers],[Produtos de Limpeza e Materiais de Higiene Pessoal]],tabParametros[#Headers],0),0)</f>
        <v>0</v>
      </c>
      <c r="BK111" s="22">
        <f>VLOOKUP(tabCustoUnit[[#This Row],[Código do Posto]],tabParametros[],MATCH(tabCustoUnit[[#Headers],[Outros (especificar)]],tabParametros[#Headers],0),0)</f>
        <v>0</v>
      </c>
      <c r="BL111" s="22">
        <f>SUM(tabCustoUnit[[#This Row],[Uniformes e EPIs]:[Outros (especificar)]])</f>
        <v>56.141713661989918</v>
      </c>
      <c r="BM11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1" s="22" t="e">
        <f ca="1">VLOOKUP(tabCustoUnit[[#This Row],[Código do Posto]],tabParametros[],MATCH(tabCustoUnit[[#Headers],[Custos Indiretos]],tabParametros[#Headers],0),0)</f>
        <v>#NAME?</v>
      </c>
      <c r="BO111" s="22" t="e">
        <f ca="1">VLOOKUP(tabCustoUnit[[#This Row],[Código do Posto]],tabParametros[],MATCH(tabCustoUnit[[#Headers],[Lucro]],tabParametros[#Headers],0),0)</f>
        <v>#NAME?</v>
      </c>
      <c r="BP111" s="26">
        <f>((100/((1-tabCustoUnit[[#This Row],[Resumo de Alíquotas (PIS+CONFINS+ISS)]]))-100)*VLOOKUP(tabCustoUnit[[#This Row],[Código do Posto]],tabParametros[],MATCH(tabCustoUnit[[#Headers],[COFINS]],tabParametros[#Headers],0),0))/(tabCustoUnit[[#This Row],[Resumo de Alíquotas (PIS+CONFINS+ISS)]]*100)</f>
        <v>8.8629737609329504E-2</v>
      </c>
      <c r="BQ111" s="26">
        <f>((100/((100-(tabCustoUnit[[#This Row],[Resumo de Alíquotas (PIS+CONFINS+ISS)]]*100))%)-100)*VLOOKUP(tabCustoUnit[[#This Row],[Código do Posto]],tabParametros[],MATCH(tabCustoUnit[[#Headers],[PIS]],tabParametros[#Headers],0),0))/(tabCustoUnit[[#This Row],[Resumo de Alíquotas (PIS+CONFINS+ISS)]]*100)</f>
        <v>1.9241982507288629E-2</v>
      </c>
      <c r="BR111" s="28">
        <f>VLOOKUP(tabCustoUnit[[#This Row],[Código do Posto]],tabParametros[],MATCH(tabCustoUnit[[#Headers],[ISS]],tabParametros[#Headers],0),0)</f>
        <v>0.05</v>
      </c>
      <c r="BS111" s="26">
        <f>(((100/((100-(tabCustoUnit[[#This Row],[Resumo de Alíquotas (PIS+CONFINS+ISS)]]*100))%)-100)*tabCustoUnit[[#This Row],[ISS]])/tabCustoUnit[[#This Row],[Resumo de Alíquotas (PIS+CONFINS+ISS)]])/100</f>
        <v>5.8309037900874633E-2</v>
      </c>
      <c r="BT11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1" s="138">
        <f>tabCustoUnit[[#This Row],[COFINS]]+tabCustoUnit[[#This Row],[PIS]]+tabCustoUnit[[#This Row],[ISS (Conversão Alíquota s/ fatura)]]</f>
        <v>0.16618075801749277</v>
      </c>
      <c r="BV111" s="22" t="e">
        <f ca="1">(tabCustoUnit[[#This Row],[TOTAL MÓDULOS 1+2+3+4+5]]+tabCustoUnit[[#This Row],[Custos Indiretos]]+tabCustoUnit[[#This Row],[Lucro]])*tabCustoUnit[[#This Row],[PIS + COFINS + ISS (Total Conversão  Alíquota s/ Fatura)]]</f>
        <v>#NAME?</v>
      </c>
      <c r="BW111" s="22" t="e">
        <f ca="1">tabCustoUnit[[#This Row],[Custos Indiretos]]+tabCustoUnit[[#This Row],[Lucro]]+tabCustoUnit[[#This Row],[Valor dos Tributos (ISS, PIS, CONFINS)]]</f>
        <v>#NAME?</v>
      </c>
      <c r="BX111" s="22" t="e">
        <f ca="1">tabCustoUnit[[#This Row],[TOTAL MÓDULOS 1+2+3+4+5]]+tabCustoUnit[[#This Row],[MÓDULO 6 – CUSTOS INDIRETOS, TRIBUTOS E LUCRO]]</f>
        <v>#NAME?</v>
      </c>
      <c r="BY111" s="22" t="e">
        <f ca="1">tabCustoUnit[[#This Row],[CUSTO TOTAL MENSAL]]*12</f>
        <v>#NAME?</v>
      </c>
      <c r="BZ111" s="24">
        <f>VLOOKUP(tabCustoUnit[[#This Row],[Código do Posto]],tabParametros[],MATCH(tabCustoUnit[[#Headers],[ANO DA CCT]],tabParametros[#Headers],0),0)</f>
        <v>45658</v>
      </c>
      <c r="CA111" s="25" t="str">
        <f>VLOOKUP(tabCustoUnit[[#This Row],[Código do Posto]],tabParametros[],MATCH(tabCustoUnit[[#Headers],[Nº DE PEDIDO DA CCT]],tabParametros[#Headers],0),0)</f>
        <v>-</v>
      </c>
      <c r="CB111" s="25" t="str">
        <f>VLOOKUP(tabCustoUnit[[#This Row],[Código do Posto]],tabParametros[],MATCH(tabCustoUnit[[#Headers],[TERMO ADITIVO ALTERAÇÃO DA CCT]],tabParametros[#Headers],0),0)</f>
        <v>-</v>
      </c>
    </row>
    <row r="112" spans="1:80">
      <c r="A112" s="20" t="s">
        <v>1572</v>
      </c>
      <c r="B112" t="s">
        <v>1122</v>
      </c>
      <c r="C112" t="s">
        <v>1367</v>
      </c>
      <c r="D112" t="s">
        <v>954</v>
      </c>
      <c r="E112" s="20" t="s">
        <v>1090</v>
      </c>
      <c r="F112" s="20" t="s">
        <v>120</v>
      </c>
      <c r="G112" s="418">
        <v>2087.4324000000001</v>
      </c>
      <c r="H112" s="418">
        <v>0</v>
      </c>
      <c r="I112" s="418">
        <v>303.60000000000002</v>
      </c>
      <c r="J112" s="418">
        <v>0</v>
      </c>
      <c r="K112" s="418">
        <v>0</v>
      </c>
      <c r="L112" s="418">
        <v>0</v>
      </c>
      <c r="M112" s="418">
        <v>0</v>
      </c>
      <c r="N112" s="418">
        <v>0</v>
      </c>
      <c r="O112" s="21">
        <f>SUM(tabCustoUnit[[#This Row],[Salário Base]:[Adicional de Acúmulo de função]])</f>
        <v>2391.0324000000001</v>
      </c>
      <c r="P112" s="21">
        <f>tabCustoUnit[[#This Row],[MODULO 1 - REMUNERAÇÃO ]]*SUMIFS(tabParametros[INSS],tabParametros[Código do Posto],tabCustoUnit[[#This Row],[Código do Posto]])</f>
        <v>478.20648000000006</v>
      </c>
      <c r="Q112" s="21">
        <f>tabCustoUnit[[#This Row],[MODULO 1 - REMUNERAÇÃO ]]*SUMIFS(tabParametros[SESI OU SESC],tabParametros[Código do Posto],tabCustoUnit[[#This Row],[Código do Posto]])</f>
        <v>35.865485999999997</v>
      </c>
      <c r="R112" s="21">
        <f>tabCustoUnit[[#This Row],[MODULO 1 - REMUNERAÇÃO ]]*SUMIFS(tabParametros[SENAI OU SENAC],tabParametros[Código do Posto],tabCustoUnit[[#This Row],[Código do Posto]])</f>
        <v>23.910324000000003</v>
      </c>
      <c r="S112" s="21">
        <f>tabCustoUnit[[#This Row],[MODULO 1 - REMUNERAÇÃO ]]*SUMIFS(tabParametros[INCRA],tabParametros[Código do Posto],tabCustoUnit[[#This Row],[Código do Posto]])</f>
        <v>4.7820648000000006</v>
      </c>
      <c r="T112" s="21">
        <f>tabCustoUnit[[#This Row],[MODULO 1 - REMUNERAÇÃO ]]*SUMIFS(tabParametros[Salário Educação],tabParametros[Código do Posto],tabCustoUnit[[#This Row],[Código do Posto]])</f>
        <v>59.775810000000007</v>
      </c>
      <c r="U112" s="21">
        <f>tabCustoUnit[[#This Row],[MODULO 1 - REMUNERAÇÃO ]]*SUMIFS(tabParametros[FGTS],tabParametros[Código do Posto],tabCustoUnit[[#This Row],[Código do Posto]])</f>
        <v>191.28259200000002</v>
      </c>
      <c r="V112" s="21">
        <f>tabCustoUnit[[#This Row],[MODULO 1 - REMUNERAÇÃO ]]*SUMIFS(tabParametros[RAT Ajustado],tabParametros[Código do Posto],tabCustoUnit[[#This Row],[Código do Posto]])</f>
        <v>95.641296000000011</v>
      </c>
      <c r="W112" s="21">
        <f>tabCustoUnit[[#This Row],[MODULO 1 - REMUNERAÇÃO ]]*SUMIFS(tabParametros[SEBRAE],tabParametros[Código do Posto],tabCustoUnit[[#This Row],[Código do Posto]])</f>
        <v>14.3461944</v>
      </c>
      <c r="X112" s="21">
        <f>SUM(tabCustoUnit[[#This Row],[INSS]:[SEBRAE]])</f>
        <v>903.81024720000005</v>
      </c>
      <c r="Y112" s="21">
        <f>tabCustoUnit[[#This Row],[MODULO 1 - REMUNERAÇÃO ]]*SUMIFS(tabParametros[13º salário (titular)],tabParametros[Código do Posto],tabCustoUnit[[#This Row],[Código do Posto]])</f>
        <v>199.2527</v>
      </c>
      <c r="Z112" s="21">
        <f>tabCustoUnit[[#This Row],[MODULO 1 - REMUNERAÇÃO ]]*SUMIFS(tabParametros[Férias e Adicional de Férias (titular)],tabParametros[Código do Posto],tabCustoUnit[[#This Row],[Código do Posto]])</f>
        <v>265.67026666666663</v>
      </c>
      <c r="AA112" s="21">
        <f>IFERROR((tabCustoUnit[[#This Row],[Submódulo 2.1]]/tabCustoUnit[[#This Row],[MODULO 1 - REMUNERAÇÃO ]])*SUM(tabCustoUnit[[#This Row],[13º salário (titular)]:[Férias e Adicional de Férias (titular)]]),0)</f>
        <v>175.74088139999998</v>
      </c>
      <c r="AB112" s="21">
        <f>SUM(tabCustoUnit[[#This Row],[13º salário (titular)]:[Incidência do Submódulo 2.1 sobre 13º Salário, Férias e Adicional de Férias]])</f>
        <v>640.66384806666656</v>
      </c>
      <c r="AC112" s="22" t="e">
        <f ca="1">_xlfn.LET(_xlpm.VT,SUMIF(tabParametros[Código do Posto],tabCustoUnit[[#This Row],[Código do Posto]],tabParametros[Vale - Transporte])*2*20,
IF((_xlpm.VT-tabCustoUnit[[#This Row],[Salário Base]]*0.06)&gt;=0,(_xlpm.VT-tabCustoUnit[[#This Row],[Salário Base]]*0.06),0)
)</f>
        <v>#NAME?</v>
      </c>
      <c r="AD112" s="22">
        <f>IF(SUMIF(tabParametros[Código do Posto],tabCustoUnit[[#This Row],[Código do Posto]],tabParametros[Vale - Alimentação])&lt;=0,0,
SUMIF(tabParametros[Código do Posto],tabCustoUnit[[#This Row],[Código do Posto]],tabParametros[Vale - Alimentação])*20-1)</f>
        <v>582</v>
      </c>
      <c r="AE112" s="22">
        <f>SUMIF(tabParametros[Código do Posto],tabCustoUnit[[#This Row],[Código do Posto]],tabParametros[Cesta Básica])</f>
        <v>0</v>
      </c>
      <c r="AF112" s="22">
        <f>SUMIF(tabParametros[Código do Posto],tabCustoUnit[[#This Row],[Código do Posto]],tabParametros[PAF])</f>
        <v>51.88</v>
      </c>
      <c r="AG112" s="22">
        <f>SUMIF(tabParametros[Código do Posto],tabCustoUnit[[#This Row],[Código do Posto]],tabParametros[PQM])</f>
        <v>0</v>
      </c>
      <c r="AH112" s="22">
        <f>SUMIF(tabParametros[Código do Posto],tabCustoUnit[[#This Row],[Código do Posto]],tabParametros[Abono Único e Especial])</f>
        <v>0</v>
      </c>
      <c r="AI112" s="22">
        <f>SUMIF(tabParametros[Código do Posto],tabCustoUnit[[#This Row],[Código do Posto]],tabParametros[Seguro de Vida])</f>
        <v>3.36</v>
      </c>
      <c r="AJ112" s="22">
        <f>SUMIF(tabParametros[Código do Posto],tabCustoUnit[[#This Row],[Código do Posto]],tabParametros[Despesas de Viagem])</f>
        <v>0</v>
      </c>
      <c r="AK112" s="22" t="e">
        <f ca="1">SUM(tabCustoUnit[[#This Row],[Vale - Transporte (Descontada parcela do empregado)]:[Despesas de Viagem]])</f>
        <v>#NAME?</v>
      </c>
      <c r="AL112" s="22" t="e">
        <f ca="1">tabCustoUnit[[#This Row],[Submódulo 2.1]]+tabCustoUnit[[#This Row],[Submódulo 2.2]]+tabCustoUnit[[#This Row],[Submódulo 2.3]]</f>
        <v>#NAME?</v>
      </c>
      <c r="AM112" s="22">
        <f>SUMIF(tabParametros[Código do Posto],tabCustoUnit[[#This Row],[Código do Posto]],tabParametros[Aviso Prévio Indenizado (API) e Reflexo do Aviso Prévio Indenizado])*tabCustoUnit[[#This Row],[MODULO 1 - REMUNERAÇÃO ]]</f>
        <v>16.765362019212965</v>
      </c>
      <c r="AN112" s="22">
        <f>SUMIF(tabParametros[Código do Posto],tabCustoUnit[[#This Row],[Código do Posto]],tabParametros[Incidência do FGTS sobre API e Reflexo do API])*tabCustoUnit[[#This Row],[MODULO 1 - REMUNERAÇÃO ]]</f>
        <v>1.3412289615370372</v>
      </c>
      <c r="AO112" s="22">
        <f>SUMIF(tabParametros[Código do Posto],tabCustoUnit[[#This Row],[Código do Posto]],tabParametros[Multa Rescisória do FGTS sobre o Aviso Prévio Indenizado])*tabCustoUnit[[#This Row],[MODULO 1 - REMUNERAÇÃO ]]</f>
        <v>0.53649158461481494</v>
      </c>
      <c r="AP112" s="22">
        <f>SUMIF(tabParametros[Código do Posto],tabCustoUnit[[#This Row],[Código do Posto]],tabParametros[Aviso Prévio Trabalhado - APT])*tabCustoUnit[[#This Row],[MODULO 1 - REMUNERAÇÃO ]]</f>
        <v>8.368613400000001</v>
      </c>
      <c r="AQ112" s="22">
        <f>SUMIF(tabParametros[Código do Posto],tabCustoUnit[[#This Row],[Código do Posto]],tabParametros[Incidência dos encargos do submódulo 2.1 sobre Aviso Prévio Trabalhado])*tabCustoUnit[[#This Row],[MODULO 1 - REMUNERAÇÃO ]]</f>
        <v>3.163335865200001</v>
      </c>
      <c r="AR112" s="22">
        <f>SUMIF(tabParametros[Código do Posto],tabCustoUnit[[#This Row],[Código do Posto]],tabParametros[Multa Rescisória do FGTS])*tabCustoUnit[[#This Row],[MODULO 1 - REMUNERAÇÃO ]]</f>
        <v>73.112457386666662</v>
      </c>
      <c r="AS112" s="22">
        <f>SUMIF(tabParametros[Código do Posto],tabCustoUnit[[#This Row],[Código do Posto]],tabParametros[Indenização Adicional (Art. 9º da Lei nº 7.238/84)])*tabCustoUnit[[#This Row],[MODULO 1 - REMUNERAÇÃO ]]</f>
        <v>1.9925270000000002</v>
      </c>
      <c r="AT112" s="22">
        <f>SUM(tabCustoUnit[[#This Row],[Aviso Prévio Indenizado (API) e Reflexo do Aviso Prévio Indenizado]:[Indenização Adicional (Art. 9º da Lei nº 7.238/84)]])</f>
        <v>105.28001621723148</v>
      </c>
      <c r="AU112" s="22">
        <f>SUMIF(tabParametros[Código do Posto],tabCustoUnit[[#This Row],[Código do Posto]],tabParametros[Ausência por Doença])*tabCustoUnit[[#This Row],[MODULO 1 - REMUNERAÇÃO ]]</f>
        <v>20.190940266666665</v>
      </c>
      <c r="AV112" s="22">
        <f>SUMIF(tabParametros[Código do Posto],tabCustoUnit[[#This Row],[Código do Posto]],tabParametros[Ausências Legais])*tabCustoUnit[[#This Row],[MODULO 1 - REMUNERAÇÃO ]]</f>
        <v>4.8484823666666665</v>
      </c>
      <c r="AW112" s="22">
        <f>SUMIF(tabParametros[Código do Posto],tabCustoUnit[[#This Row],[Código do Posto]],tabParametros[Licença Paternidade])*tabCustoUnit[[#This Row],[MODULO 1 - REMUNERAÇÃO ]]</f>
        <v>0.40846803500000001</v>
      </c>
      <c r="AX112" s="22">
        <f>SUMIF(tabParametros[Código do Posto],tabCustoUnit[[#This Row],[Código do Posto]],tabParametros[Ausência por Acidente de Trabalho])*tabCustoUnit[[#This Row],[MODULO 1 - REMUNERAÇÃO ]]</f>
        <v>0.49813175000000004</v>
      </c>
      <c r="AY112" s="22">
        <f>SUMIF(tabParametros[Código do Posto],tabCustoUnit[[#This Row],[Código do Posto]],tabParametros[Férias, Adicional de Férias e 13º  com empregada em gozo de Licença Maternidade])*tabCustoUnit[[#This Row],[MODULO 1 - REMUNERAÇÃO ]]</f>
        <v>3.0994864444444445</v>
      </c>
      <c r="AZ112" s="22">
        <f>SUMIF(tabParametros[Código do Posto],tabCustoUnit[[#This Row],[Código do Posto]],tabParametros[Incidência do Submódulo 2.1 sobre Ausências Legais])*tabCustoUnit[[#This Row],[MODULO 1 - REMUNERAÇÃO ]]</f>
        <v>10.979202350130002</v>
      </c>
      <c r="BA112" s="22">
        <f>SUM(tabCustoUnit[[#This Row],[Ausência por Doença]:[Incidência do Submódulo 2.1 sobre Ausências Legais]])</f>
        <v>40.024711212907775</v>
      </c>
      <c r="BB112" s="22">
        <f>SUMIF(tabParametros[Código do Posto],tabCustoUnit[[#This Row],[Código do Posto]],tabParametros[Intervalo para Repouso ou Alimentação])</f>
        <v>0</v>
      </c>
      <c r="BC112" s="22">
        <f>tabCustoUnit[[#This Row],[Intervalo para Repouso ou Alimentação]]</f>
        <v>0</v>
      </c>
      <c r="BD11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2" s="22">
        <f>tabCustoUnit[[#This Row],[Suspensão Temporária do Contrato de Trabalho]]</f>
        <v>0</v>
      </c>
      <c r="BF112" s="22">
        <f>tabCustoUnit[[#This Row],[Submódulo 4.1]]+tabCustoUnit[[#This Row],[Submódulo 4.2]]+tabCustoUnit[[#This Row],[Submódulo 4.3]]</f>
        <v>40.024711212907775</v>
      </c>
      <c r="BG112" s="22">
        <f>VLOOKUP(tabCustoUnit[[#This Row],[Código do Posto]],tabParametros[],MATCH(tabCustoUnit[[#Headers],[Uniformes e EPIs]],tabParametros[#Headers],0),0)</f>
        <v>253.83572732312174</v>
      </c>
      <c r="BH112" s="22">
        <f>VLOOKUP(tabCustoUnit[[#This Row],[Código do Posto]],tabParametros[],MATCH(tabCustoUnit[[#Headers],[Materiais de Consumo]],tabParametros[#Headers],0),0)</f>
        <v>441.81099462365592</v>
      </c>
      <c r="BI112" s="22">
        <f>VLOOKUP(tabCustoUnit[[#This Row],[Código do Posto]],tabParametros[],MATCH(tabCustoUnit[[#Headers],[Máquinas e Equipamentos (depreciação)]],tabParametros[#Headers],0),0)</f>
        <v>113.11309677419354</v>
      </c>
      <c r="BJ112" s="22">
        <f>VLOOKUP(tabCustoUnit[[#This Row],[Código do Posto]],tabParametros[],MATCH(tabCustoUnit[[#Headers],[Produtos de Limpeza e Materiais de Higiene Pessoal]],tabParametros[#Headers],0),0)</f>
        <v>0</v>
      </c>
      <c r="BK112" s="22">
        <f>VLOOKUP(tabCustoUnit[[#This Row],[Código do Posto]],tabParametros[],MATCH(tabCustoUnit[[#Headers],[Outros (especificar)]],tabParametros[#Headers],0),0)</f>
        <v>0</v>
      </c>
      <c r="BL112" s="22">
        <f>SUM(tabCustoUnit[[#This Row],[Uniformes e EPIs]:[Outros (especificar)]])</f>
        <v>808.75981872097123</v>
      </c>
      <c r="BM11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2" s="22" t="e">
        <f ca="1">VLOOKUP(tabCustoUnit[[#This Row],[Código do Posto]],tabParametros[],MATCH(tabCustoUnit[[#Headers],[Custos Indiretos]],tabParametros[#Headers],0),0)</f>
        <v>#NAME?</v>
      </c>
      <c r="BO112" s="22" t="e">
        <f ca="1">VLOOKUP(tabCustoUnit[[#This Row],[Código do Posto]],tabParametros[],MATCH(tabCustoUnit[[#Headers],[Lucro]],tabParametros[#Headers],0),0)</f>
        <v>#NAME?</v>
      </c>
      <c r="BP112" s="26">
        <f>((100/((1-tabCustoUnit[[#This Row],[Resumo de Alíquotas (PIS+CONFINS+ISS)]]))-100)*VLOOKUP(tabCustoUnit[[#This Row],[Código do Posto]],tabParametros[],MATCH(tabCustoUnit[[#Headers],[COFINS]],tabParametros[#Headers],0),0))/(tabCustoUnit[[#This Row],[Resumo de Alíquotas (PIS+CONFINS+ISS)]]*100)</f>
        <v>8.8629737609329504E-2</v>
      </c>
      <c r="BQ112" s="26">
        <f>((100/((100-(tabCustoUnit[[#This Row],[Resumo de Alíquotas (PIS+CONFINS+ISS)]]*100))%)-100)*VLOOKUP(tabCustoUnit[[#This Row],[Código do Posto]],tabParametros[],MATCH(tabCustoUnit[[#Headers],[PIS]],tabParametros[#Headers],0),0))/(tabCustoUnit[[#This Row],[Resumo de Alíquotas (PIS+CONFINS+ISS)]]*100)</f>
        <v>1.9241982507288629E-2</v>
      </c>
      <c r="BR112" s="28">
        <f>VLOOKUP(tabCustoUnit[[#This Row],[Código do Posto]],tabParametros[],MATCH(tabCustoUnit[[#Headers],[ISS]],tabParametros[#Headers],0),0)</f>
        <v>0.05</v>
      </c>
      <c r="BS112" s="26">
        <f>(((100/((100-(tabCustoUnit[[#This Row],[Resumo de Alíquotas (PIS+CONFINS+ISS)]]*100))%)-100)*tabCustoUnit[[#This Row],[ISS]])/tabCustoUnit[[#This Row],[Resumo de Alíquotas (PIS+CONFINS+ISS)]])/100</f>
        <v>5.8309037900874633E-2</v>
      </c>
      <c r="BT11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2" s="138">
        <f>tabCustoUnit[[#This Row],[COFINS]]+tabCustoUnit[[#This Row],[PIS]]+tabCustoUnit[[#This Row],[ISS (Conversão Alíquota s/ fatura)]]</f>
        <v>0.16618075801749277</v>
      </c>
      <c r="BV112" s="22" t="e">
        <f ca="1">(tabCustoUnit[[#This Row],[TOTAL MÓDULOS 1+2+3+4+5]]+tabCustoUnit[[#This Row],[Custos Indiretos]]+tabCustoUnit[[#This Row],[Lucro]])*tabCustoUnit[[#This Row],[PIS + COFINS + ISS (Total Conversão  Alíquota s/ Fatura)]]</f>
        <v>#NAME?</v>
      </c>
      <c r="BW112" s="22" t="e">
        <f ca="1">tabCustoUnit[[#This Row],[Custos Indiretos]]+tabCustoUnit[[#This Row],[Lucro]]+tabCustoUnit[[#This Row],[Valor dos Tributos (ISS, PIS, CONFINS)]]</f>
        <v>#NAME?</v>
      </c>
      <c r="BX112" s="22" t="e">
        <f ca="1">tabCustoUnit[[#This Row],[TOTAL MÓDULOS 1+2+3+4+5]]+tabCustoUnit[[#This Row],[MÓDULO 6 – CUSTOS INDIRETOS, TRIBUTOS E LUCRO]]</f>
        <v>#NAME?</v>
      </c>
      <c r="BY112" s="22" t="e">
        <f ca="1">tabCustoUnit[[#This Row],[CUSTO TOTAL MENSAL]]*12</f>
        <v>#NAME?</v>
      </c>
      <c r="BZ112" s="24">
        <f>VLOOKUP(tabCustoUnit[[#This Row],[Código do Posto]],tabParametros[],MATCH(tabCustoUnit[[#Headers],[ANO DA CCT]],tabParametros[#Headers],0),0)</f>
        <v>45658</v>
      </c>
      <c r="CA112" s="25" t="str">
        <f>VLOOKUP(tabCustoUnit[[#This Row],[Código do Posto]],tabParametros[],MATCH(tabCustoUnit[[#Headers],[Nº DE PEDIDO DA CCT]],tabParametros[#Headers],0),0)</f>
        <v>-</v>
      </c>
      <c r="CB112" s="25" t="str">
        <f>VLOOKUP(tabCustoUnit[[#This Row],[Código do Posto]],tabParametros[],MATCH(tabCustoUnit[[#Headers],[TERMO ADITIVO ALTERAÇÃO DA CCT]],tabParametros[#Headers],0),0)</f>
        <v>-</v>
      </c>
    </row>
    <row r="113" spans="1:80">
      <c r="A113" s="20" t="s">
        <v>1573</v>
      </c>
      <c r="B113" t="s">
        <v>1122</v>
      </c>
      <c r="C113" t="s">
        <v>314</v>
      </c>
      <c r="D113" t="s">
        <v>954</v>
      </c>
      <c r="E113" s="20" t="s">
        <v>1090</v>
      </c>
      <c r="F113" s="20" t="s">
        <v>120</v>
      </c>
      <c r="G113" s="418">
        <v>1963.4110000000001</v>
      </c>
      <c r="H113" s="418">
        <v>0</v>
      </c>
      <c r="I113" s="418">
        <v>0</v>
      </c>
      <c r="J113" s="418">
        <v>0</v>
      </c>
      <c r="K113" s="418">
        <v>0</v>
      </c>
      <c r="L113" s="418">
        <v>0</v>
      </c>
      <c r="M113" s="418">
        <v>0</v>
      </c>
      <c r="N113" s="418">
        <v>0</v>
      </c>
      <c r="O113" s="21">
        <f>SUM(tabCustoUnit[[#This Row],[Salário Base]:[Adicional de Acúmulo de função]])</f>
        <v>1963.4110000000001</v>
      </c>
      <c r="P113" s="21">
        <f>tabCustoUnit[[#This Row],[MODULO 1 - REMUNERAÇÃO ]]*SUMIFS(tabParametros[INSS],tabParametros[Código do Posto],tabCustoUnit[[#This Row],[Código do Posto]])</f>
        <v>392.68220000000002</v>
      </c>
      <c r="Q113" s="21">
        <f>tabCustoUnit[[#This Row],[MODULO 1 - REMUNERAÇÃO ]]*SUMIFS(tabParametros[SESI OU SESC],tabParametros[Código do Posto],tabCustoUnit[[#This Row],[Código do Posto]])</f>
        <v>29.451165</v>
      </c>
      <c r="R113" s="21">
        <f>tabCustoUnit[[#This Row],[MODULO 1 - REMUNERAÇÃO ]]*SUMIFS(tabParametros[SENAI OU SENAC],tabParametros[Código do Posto],tabCustoUnit[[#This Row],[Código do Posto]])</f>
        <v>19.63411</v>
      </c>
      <c r="S113" s="21">
        <f>tabCustoUnit[[#This Row],[MODULO 1 - REMUNERAÇÃO ]]*SUMIFS(tabParametros[INCRA],tabParametros[Código do Posto],tabCustoUnit[[#This Row],[Código do Posto]])</f>
        <v>3.926822</v>
      </c>
      <c r="T113" s="21">
        <f>tabCustoUnit[[#This Row],[MODULO 1 - REMUNERAÇÃO ]]*SUMIFS(tabParametros[Salário Educação],tabParametros[Código do Posto],tabCustoUnit[[#This Row],[Código do Posto]])</f>
        <v>49.085275000000003</v>
      </c>
      <c r="U113" s="21">
        <f>tabCustoUnit[[#This Row],[MODULO 1 - REMUNERAÇÃO ]]*SUMIFS(tabParametros[FGTS],tabParametros[Código do Posto],tabCustoUnit[[#This Row],[Código do Posto]])</f>
        <v>157.07288</v>
      </c>
      <c r="V113" s="21">
        <f>tabCustoUnit[[#This Row],[MODULO 1 - REMUNERAÇÃO ]]*SUMIFS(tabParametros[RAT Ajustado],tabParametros[Código do Posto],tabCustoUnit[[#This Row],[Código do Posto]])</f>
        <v>78.536439999999999</v>
      </c>
      <c r="W113" s="21">
        <f>tabCustoUnit[[#This Row],[MODULO 1 - REMUNERAÇÃO ]]*SUMIFS(tabParametros[SEBRAE],tabParametros[Código do Posto],tabCustoUnit[[#This Row],[Código do Posto]])</f>
        <v>11.780466000000001</v>
      </c>
      <c r="X113" s="21">
        <f>SUM(tabCustoUnit[[#This Row],[INSS]:[SEBRAE]])</f>
        <v>742.1693580000001</v>
      </c>
      <c r="Y113" s="21">
        <f>tabCustoUnit[[#This Row],[MODULO 1 - REMUNERAÇÃO ]]*SUMIFS(tabParametros[13º salário (titular)],tabParametros[Código do Posto],tabCustoUnit[[#This Row],[Código do Posto]])</f>
        <v>163.61758333333333</v>
      </c>
      <c r="Z113" s="21">
        <f>tabCustoUnit[[#This Row],[MODULO 1 - REMUNERAÇÃO ]]*SUMIFS(tabParametros[Férias e Adicional de Férias (titular)],tabParametros[Código do Posto],tabCustoUnit[[#This Row],[Código do Posto]])</f>
        <v>218.15677777777776</v>
      </c>
      <c r="AA113" s="21">
        <f>IFERROR((tabCustoUnit[[#This Row],[Submódulo 2.1]]/tabCustoUnit[[#This Row],[MODULO 1 - REMUNERAÇÃO ]])*SUM(tabCustoUnit[[#This Row],[13º salário (titular)]:[Férias e Adicional de Férias (titular)]]),0)</f>
        <v>144.3107085</v>
      </c>
      <c r="AB113" s="21">
        <f>SUM(tabCustoUnit[[#This Row],[13º salário (titular)]:[Incidência do Submódulo 2.1 sobre 13º Salário, Férias e Adicional de Férias]])</f>
        <v>526.08506961111107</v>
      </c>
      <c r="AC113" s="22" t="e">
        <f ca="1">_xlfn.LET(_xlpm.VT,SUMIF(tabParametros[Código do Posto],tabCustoUnit[[#This Row],[Código do Posto]],tabParametros[Vale - Transporte])*2*20,
IF((_xlpm.VT-tabCustoUnit[[#This Row],[Salário Base]]*0.06)&gt;=0,(_xlpm.VT-tabCustoUnit[[#This Row],[Salário Base]]*0.06),0)
)</f>
        <v>#NAME?</v>
      </c>
      <c r="AD113" s="22">
        <f>IF(SUMIF(tabParametros[Código do Posto],tabCustoUnit[[#This Row],[Código do Posto]],tabParametros[Vale - Alimentação])&lt;=0,0,
SUMIF(tabParametros[Código do Posto],tabCustoUnit[[#This Row],[Código do Posto]],tabParametros[Vale - Alimentação])*20-1)</f>
        <v>582</v>
      </c>
      <c r="AE113" s="22">
        <f>SUMIF(tabParametros[Código do Posto],tabCustoUnit[[#This Row],[Código do Posto]],tabParametros[Cesta Básica])</f>
        <v>0</v>
      </c>
      <c r="AF113" s="22">
        <f>SUMIF(tabParametros[Código do Posto],tabCustoUnit[[#This Row],[Código do Posto]],tabParametros[PAF])</f>
        <v>51.88</v>
      </c>
      <c r="AG113" s="22">
        <f>SUMIF(tabParametros[Código do Posto],tabCustoUnit[[#This Row],[Código do Posto]],tabParametros[PQM])</f>
        <v>0</v>
      </c>
      <c r="AH113" s="22">
        <f>SUMIF(tabParametros[Código do Posto],tabCustoUnit[[#This Row],[Código do Posto]],tabParametros[Abono Único e Especial])</f>
        <v>0</v>
      </c>
      <c r="AI113" s="22">
        <f>SUMIF(tabParametros[Código do Posto],tabCustoUnit[[#This Row],[Código do Posto]],tabParametros[Seguro de Vida])</f>
        <v>3.36</v>
      </c>
      <c r="AJ113" s="22">
        <f>SUMIF(tabParametros[Código do Posto],tabCustoUnit[[#This Row],[Código do Posto]],tabParametros[Despesas de Viagem])</f>
        <v>0</v>
      </c>
      <c r="AK113" s="22" t="e">
        <f ca="1">SUM(tabCustoUnit[[#This Row],[Vale - Transporte (Descontada parcela do empregado)]:[Despesas de Viagem]])</f>
        <v>#NAME?</v>
      </c>
      <c r="AL113" s="22" t="e">
        <f ca="1">tabCustoUnit[[#This Row],[Submódulo 2.1]]+tabCustoUnit[[#This Row],[Submódulo 2.2]]+tabCustoUnit[[#This Row],[Submódulo 2.3]]</f>
        <v>#NAME?</v>
      </c>
      <c r="AM113" s="22">
        <f>SUMIF(tabParametros[Código do Posto],tabCustoUnit[[#This Row],[Código do Posto]],tabParametros[Aviso Prévio Indenizado (API) e Reflexo do Aviso Prévio Indenizado])*tabCustoUnit[[#This Row],[MODULO 1 - REMUNERAÇÃO ]]</f>
        <v>13.766980408757716</v>
      </c>
      <c r="AN113" s="22">
        <f>SUMIF(tabParametros[Código do Posto],tabCustoUnit[[#This Row],[Código do Posto]],tabParametros[Incidência do FGTS sobre API e Reflexo do API])*tabCustoUnit[[#This Row],[MODULO 1 - REMUNERAÇÃO ]]</f>
        <v>1.1013584327006174</v>
      </c>
      <c r="AO113" s="22">
        <f>SUMIF(tabParametros[Código do Posto],tabCustoUnit[[#This Row],[Código do Posto]],tabParametros[Multa Rescisória do FGTS sobre o Aviso Prévio Indenizado])*tabCustoUnit[[#This Row],[MODULO 1 - REMUNERAÇÃO ]]</f>
        <v>0.44054337308024699</v>
      </c>
      <c r="AP113" s="22">
        <f>SUMIF(tabParametros[Código do Posto],tabCustoUnit[[#This Row],[Código do Posto]],tabParametros[Aviso Prévio Trabalhado - APT])*tabCustoUnit[[#This Row],[MODULO 1 - REMUNERAÇÃO ]]</f>
        <v>6.8719385000000015</v>
      </c>
      <c r="AQ113" s="22">
        <f>SUMIF(tabParametros[Código do Posto],tabCustoUnit[[#This Row],[Código do Posto]],tabParametros[Incidência dos encargos do submódulo 2.1 sobre Aviso Prévio Trabalhado])*tabCustoUnit[[#This Row],[MODULO 1 - REMUNERAÇÃO ]]</f>
        <v>2.5975927530000007</v>
      </c>
      <c r="AR113" s="22">
        <f>SUMIF(tabParametros[Código do Posto],tabCustoUnit[[#This Row],[Código do Posto]],tabParametros[Multa Rescisória do FGTS])*tabCustoUnit[[#This Row],[MODULO 1 - REMUNERAÇÃO ]]</f>
        <v>60.03674524444444</v>
      </c>
      <c r="AS113" s="22">
        <f>SUMIF(tabParametros[Código do Posto],tabCustoUnit[[#This Row],[Código do Posto]],tabParametros[Indenização Adicional (Art. 9º da Lei nº 7.238/84)])*tabCustoUnit[[#This Row],[MODULO 1 - REMUNERAÇÃO ]]</f>
        <v>1.6361758333333334</v>
      </c>
      <c r="AT113" s="22">
        <f>SUM(tabCustoUnit[[#This Row],[Aviso Prévio Indenizado (API) e Reflexo do Aviso Prévio Indenizado]:[Indenização Adicional (Art. 9º da Lei nº 7.238/84)]])</f>
        <v>86.451334545316371</v>
      </c>
      <c r="AU113" s="22">
        <f>SUMIF(tabParametros[Código do Posto],tabCustoUnit[[#This Row],[Código do Posto]],tabParametros[Ausência por Doença])*tabCustoUnit[[#This Row],[MODULO 1 - REMUNERAÇÃO ]]</f>
        <v>16.579915111111109</v>
      </c>
      <c r="AV113" s="22">
        <f>SUMIF(tabParametros[Código do Posto],tabCustoUnit[[#This Row],[Código do Posto]],tabParametros[Ausências Legais])*tabCustoUnit[[#This Row],[MODULO 1 - REMUNERAÇÃO ]]</f>
        <v>3.9813611944444443</v>
      </c>
      <c r="AW113" s="22">
        <f>SUMIF(tabParametros[Código do Posto],tabCustoUnit[[#This Row],[Código do Posto]],tabParametros[Licença Paternidade])*tabCustoUnit[[#This Row],[MODULO 1 - REMUNERAÇÃO ]]</f>
        <v>0.33541604583333334</v>
      </c>
      <c r="AX113" s="22">
        <f>SUMIF(tabParametros[Código do Posto],tabCustoUnit[[#This Row],[Código do Posto]],tabParametros[Ausência por Acidente de Trabalho])*tabCustoUnit[[#This Row],[MODULO 1 - REMUNERAÇÃO ]]</f>
        <v>0.40904395833333335</v>
      </c>
      <c r="AY113" s="22">
        <f>SUMIF(tabParametros[Código do Posto],tabCustoUnit[[#This Row],[Código do Posto]],tabParametros[Férias, Adicional de Férias e 13º  com empregada em gozo de Licença Maternidade])*tabCustoUnit[[#This Row],[MODULO 1 - REMUNERAÇÃO ]]</f>
        <v>2.5451624074074073</v>
      </c>
      <c r="AZ113" s="22">
        <f>SUMIF(tabParametros[Código do Posto],tabCustoUnit[[#This Row],[Código do Posto]],tabParametros[Incidência do Submódulo 2.1 sobre Ausências Legais])*tabCustoUnit[[#This Row],[MODULO 1 - REMUNERAÇÃO ]]</f>
        <v>9.0156397150750021</v>
      </c>
      <c r="BA113" s="22">
        <f>SUM(tabCustoUnit[[#This Row],[Ausência por Doença]:[Incidência do Submódulo 2.1 sobre Ausências Legais]])</f>
        <v>32.866538432204628</v>
      </c>
      <c r="BB113" s="22">
        <f>SUMIF(tabParametros[Código do Posto],tabCustoUnit[[#This Row],[Código do Posto]],tabParametros[Intervalo para Repouso ou Alimentação])</f>
        <v>267.73786489195959</v>
      </c>
      <c r="BC113" s="22">
        <f>tabCustoUnit[[#This Row],[Intervalo para Repouso ou Alimentação]]</f>
        <v>267.73786489195959</v>
      </c>
      <c r="BD11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3" s="22">
        <f>tabCustoUnit[[#This Row],[Suspensão Temporária do Contrato de Trabalho]]</f>
        <v>0</v>
      </c>
      <c r="BF113" s="22">
        <f>tabCustoUnit[[#This Row],[Submódulo 4.1]]+tabCustoUnit[[#This Row],[Submódulo 4.2]]+tabCustoUnit[[#This Row],[Submódulo 4.3]]</f>
        <v>300.6044033241642</v>
      </c>
      <c r="BG113" s="22">
        <f>VLOOKUP(tabCustoUnit[[#This Row],[Código do Posto]],tabParametros[],MATCH(tabCustoUnit[[#Headers],[Uniformes e EPIs]],tabParametros[#Headers],0),0)</f>
        <v>56.642978962543395</v>
      </c>
      <c r="BH113" s="22">
        <f>VLOOKUP(tabCustoUnit[[#This Row],[Código do Posto]],tabParametros[],MATCH(tabCustoUnit[[#Headers],[Materiais de Consumo]],tabParametros[#Headers],0),0)</f>
        <v>0</v>
      </c>
      <c r="BI113" s="22">
        <f>VLOOKUP(tabCustoUnit[[#This Row],[Código do Posto]],tabParametros[],MATCH(tabCustoUnit[[#Headers],[Máquinas e Equipamentos (depreciação)]],tabParametros[#Headers],0),0)</f>
        <v>0</v>
      </c>
      <c r="BJ113" s="22">
        <f>VLOOKUP(tabCustoUnit[[#This Row],[Código do Posto]],tabParametros[],MATCH(tabCustoUnit[[#Headers],[Produtos de Limpeza e Materiais de Higiene Pessoal]],tabParametros[#Headers],0),0)</f>
        <v>0</v>
      </c>
      <c r="BK113" s="22">
        <f>VLOOKUP(tabCustoUnit[[#This Row],[Código do Posto]],tabParametros[],MATCH(tabCustoUnit[[#Headers],[Outros (especificar)]],tabParametros[#Headers],0),0)</f>
        <v>0</v>
      </c>
      <c r="BL113" s="22">
        <f>SUM(tabCustoUnit[[#This Row],[Uniformes e EPIs]:[Outros (especificar)]])</f>
        <v>56.642978962543395</v>
      </c>
      <c r="BM11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3" s="22" t="e">
        <f ca="1">VLOOKUP(tabCustoUnit[[#This Row],[Código do Posto]],tabParametros[],MATCH(tabCustoUnit[[#Headers],[Custos Indiretos]],tabParametros[#Headers],0),0)</f>
        <v>#NAME?</v>
      </c>
      <c r="BO113" s="22" t="e">
        <f ca="1">VLOOKUP(tabCustoUnit[[#This Row],[Código do Posto]],tabParametros[],MATCH(tabCustoUnit[[#Headers],[Lucro]],tabParametros[#Headers],0),0)</f>
        <v>#NAME?</v>
      </c>
      <c r="BP113" s="26">
        <f>((100/((1-tabCustoUnit[[#This Row],[Resumo de Alíquotas (PIS+CONFINS+ISS)]]))-100)*VLOOKUP(tabCustoUnit[[#This Row],[Código do Posto]],tabParametros[],MATCH(tabCustoUnit[[#Headers],[COFINS]],tabParametros[#Headers],0),0))/(tabCustoUnit[[#This Row],[Resumo de Alíquotas (PIS+CONFINS+ISS)]]*100)</f>
        <v>8.8629737609329504E-2</v>
      </c>
      <c r="BQ113" s="26">
        <f>((100/((100-(tabCustoUnit[[#This Row],[Resumo de Alíquotas (PIS+CONFINS+ISS)]]*100))%)-100)*VLOOKUP(tabCustoUnit[[#This Row],[Código do Posto]],tabParametros[],MATCH(tabCustoUnit[[#Headers],[PIS]],tabParametros[#Headers],0),0))/(tabCustoUnit[[#This Row],[Resumo de Alíquotas (PIS+CONFINS+ISS)]]*100)</f>
        <v>1.9241982507288629E-2</v>
      </c>
      <c r="BR113" s="28">
        <f>VLOOKUP(tabCustoUnit[[#This Row],[Código do Posto]],tabParametros[],MATCH(tabCustoUnit[[#Headers],[ISS]],tabParametros[#Headers],0),0)</f>
        <v>0.05</v>
      </c>
      <c r="BS113" s="26">
        <f>(((100/((100-(tabCustoUnit[[#This Row],[Resumo de Alíquotas (PIS+CONFINS+ISS)]]*100))%)-100)*tabCustoUnit[[#This Row],[ISS]])/tabCustoUnit[[#This Row],[Resumo de Alíquotas (PIS+CONFINS+ISS)]])/100</f>
        <v>5.8309037900874633E-2</v>
      </c>
      <c r="BT11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3" s="138">
        <f>tabCustoUnit[[#This Row],[COFINS]]+tabCustoUnit[[#This Row],[PIS]]+tabCustoUnit[[#This Row],[ISS (Conversão Alíquota s/ fatura)]]</f>
        <v>0.16618075801749277</v>
      </c>
      <c r="BV113" s="22" t="e">
        <f ca="1">(tabCustoUnit[[#This Row],[TOTAL MÓDULOS 1+2+3+4+5]]+tabCustoUnit[[#This Row],[Custos Indiretos]]+tabCustoUnit[[#This Row],[Lucro]])*tabCustoUnit[[#This Row],[PIS + COFINS + ISS (Total Conversão  Alíquota s/ Fatura)]]</f>
        <v>#NAME?</v>
      </c>
      <c r="BW113" s="22" t="e">
        <f ca="1">tabCustoUnit[[#This Row],[Custos Indiretos]]+tabCustoUnit[[#This Row],[Lucro]]+tabCustoUnit[[#This Row],[Valor dos Tributos (ISS, PIS, CONFINS)]]</f>
        <v>#NAME?</v>
      </c>
      <c r="BX113" s="22" t="e">
        <f ca="1">tabCustoUnit[[#This Row],[TOTAL MÓDULOS 1+2+3+4+5]]+tabCustoUnit[[#This Row],[MÓDULO 6 – CUSTOS INDIRETOS, TRIBUTOS E LUCRO]]</f>
        <v>#NAME?</v>
      </c>
      <c r="BY113" s="22" t="e">
        <f ca="1">tabCustoUnit[[#This Row],[CUSTO TOTAL MENSAL]]*12</f>
        <v>#NAME?</v>
      </c>
      <c r="BZ113" s="24">
        <f>VLOOKUP(tabCustoUnit[[#This Row],[Código do Posto]],tabParametros[],MATCH(tabCustoUnit[[#Headers],[ANO DA CCT]],tabParametros[#Headers],0),0)</f>
        <v>45658</v>
      </c>
      <c r="CA113" s="25" t="str">
        <f>VLOOKUP(tabCustoUnit[[#This Row],[Código do Posto]],tabParametros[],MATCH(tabCustoUnit[[#Headers],[Nº DE PEDIDO DA CCT]],tabParametros[#Headers],0),0)</f>
        <v>-</v>
      </c>
      <c r="CB113" s="25" t="str">
        <f>VLOOKUP(tabCustoUnit[[#This Row],[Código do Posto]],tabParametros[],MATCH(tabCustoUnit[[#Headers],[TERMO ADITIVO ALTERAÇÃO DA CCT]],tabParametros[#Headers],0),0)</f>
        <v>-</v>
      </c>
    </row>
    <row r="114" spans="1:80">
      <c r="A114" s="20" t="s">
        <v>1466</v>
      </c>
      <c r="B114" t="s">
        <v>1123</v>
      </c>
      <c r="C114" t="s">
        <v>200</v>
      </c>
      <c r="D114" t="s">
        <v>1041</v>
      </c>
      <c r="E114" s="20" t="s">
        <v>1090</v>
      </c>
      <c r="F114" s="20" t="s">
        <v>120</v>
      </c>
      <c r="G114" s="418">
        <v>1596.2737999999999</v>
      </c>
      <c r="H114" s="418">
        <v>0</v>
      </c>
      <c r="I114" s="418">
        <v>0</v>
      </c>
      <c r="J114" s="418">
        <v>0</v>
      </c>
      <c r="K114" s="418">
        <v>0</v>
      </c>
      <c r="L114" s="418">
        <v>0</v>
      </c>
      <c r="M114" s="418">
        <v>0</v>
      </c>
      <c r="N114" s="418">
        <v>0</v>
      </c>
      <c r="O114" s="21">
        <f>SUM(tabCustoUnit[[#This Row],[Salário Base]:[Adicional de Acúmulo de função]])</f>
        <v>1596.2737999999999</v>
      </c>
      <c r="P114" s="21">
        <f>tabCustoUnit[[#This Row],[MODULO 1 - REMUNERAÇÃO ]]*SUMIFS(tabParametros[INSS],tabParametros[Código do Posto],tabCustoUnit[[#This Row],[Código do Posto]])</f>
        <v>319.25476000000003</v>
      </c>
      <c r="Q114" s="21">
        <f>tabCustoUnit[[#This Row],[MODULO 1 - REMUNERAÇÃO ]]*SUMIFS(tabParametros[SESI OU SESC],tabParametros[Código do Posto],tabCustoUnit[[#This Row],[Código do Posto]])</f>
        <v>23.944106999999999</v>
      </c>
      <c r="R114" s="21">
        <f>tabCustoUnit[[#This Row],[MODULO 1 - REMUNERAÇÃO ]]*SUMIFS(tabParametros[SENAI OU SENAC],tabParametros[Código do Posto],tabCustoUnit[[#This Row],[Código do Posto]])</f>
        <v>15.962738</v>
      </c>
      <c r="S114" s="21">
        <f>tabCustoUnit[[#This Row],[MODULO 1 - REMUNERAÇÃO ]]*SUMIFS(tabParametros[INCRA],tabParametros[Código do Posto],tabCustoUnit[[#This Row],[Código do Posto]])</f>
        <v>3.1925476000000002</v>
      </c>
      <c r="T114" s="21">
        <f>tabCustoUnit[[#This Row],[MODULO 1 - REMUNERAÇÃO ]]*SUMIFS(tabParametros[Salário Educação],tabParametros[Código do Posto],tabCustoUnit[[#This Row],[Código do Posto]])</f>
        <v>39.906845000000004</v>
      </c>
      <c r="U114" s="21">
        <f>tabCustoUnit[[#This Row],[MODULO 1 - REMUNERAÇÃO ]]*SUMIFS(tabParametros[FGTS],tabParametros[Código do Posto],tabCustoUnit[[#This Row],[Código do Posto]])</f>
        <v>127.701904</v>
      </c>
      <c r="V114" s="21">
        <f>tabCustoUnit[[#This Row],[MODULO 1 - REMUNERAÇÃO ]]*SUMIFS(tabParametros[RAT Ajustado],tabParametros[Código do Posto],tabCustoUnit[[#This Row],[Código do Posto]])</f>
        <v>63.850951999999999</v>
      </c>
      <c r="W114" s="21">
        <f>tabCustoUnit[[#This Row],[MODULO 1 - REMUNERAÇÃO ]]*SUMIFS(tabParametros[SEBRAE],tabParametros[Código do Posto],tabCustoUnit[[#This Row],[Código do Posto]])</f>
        <v>9.5776427999999996</v>
      </c>
      <c r="X114" s="21">
        <f>SUM(tabCustoUnit[[#This Row],[INSS]:[SEBRAE]])</f>
        <v>603.39149640000005</v>
      </c>
      <c r="Y114" s="21">
        <f>tabCustoUnit[[#This Row],[MODULO 1 - REMUNERAÇÃO ]]*SUMIFS(tabParametros[13º salário (titular)],tabParametros[Código do Posto],tabCustoUnit[[#This Row],[Código do Posto]])</f>
        <v>133.02281666666664</v>
      </c>
      <c r="Z114" s="21">
        <f>tabCustoUnit[[#This Row],[MODULO 1 - REMUNERAÇÃO ]]*SUMIFS(tabParametros[Férias e Adicional de Férias (titular)],tabParametros[Código do Posto],tabCustoUnit[[#This Row],[Código do Posto]])</f>
        <v>177.36375555555554</v>
      </c>
      <c r="AA114" s="21">
        <f>IFERROR((tabCustoUnit[[#This Row],[Submódulo 2.1]]/tabCustoUnit[[#This Row],[MODULO 1 - REMUNERAÇÃO ]])*SUM(tabCustoUnit[[#This Row],[13º salário (titular)]:[Férias e Adicional de Férias (titular)]]),0)</f>
        <v>117.3261243</v>
      </c>
      <c r="AB114" s="21">
        <f>SUM(tabCustoUnit[[#This Row],[13º salário (titular)]:[Incidência do Submódulo 2.1 sobre 13º Salário, Férias e Adicional de Férias]])</f>
        <v>427.71269652222219</v>
      </c>
      <c r="AC114" s="22" t="e">
        <f ca="1">_xlfn.LET(_xlpm.VT,SUMIF(tabParametros[Código do Posto],tabCustoUnit[[#This Row],[Código do Posto]],tabParametros[Vale - Transporte])*2*20,
IF((_xlpm.VT-tabCustoUnit[[#This Row],[Salário Base]]*0.06)&gt;=0,(_xlpm.VT-tabCustoUnit[[#This Row],[Salário Base]]*0.06),0)
)</f>
        <v>#NAME?</v>
      </c>
      <c r="AD114" s="22">
        <f>IF(SUMIF(tabParametros[Código do Posto],tabCustoUnit[[#This Row],[Código do Posto]],tabParametros[Vale - Alimentação])&lt;=0,0,
SUMIF(tabParametros[Código do Posto],tabCustoUnit[[#This Row],[Código do Posto]],tabParametros[Vale - Alimentação])*20-1)</f>
        <v>582</v>
      </c>
      <c r="AE114" s="22">
        <f>SUMIF(tabParametros[Código do Posto],tabCustoUnit[[#This Row],[Código do Posto]],tabParametros[Cesta Básica])</f>
        <v>0</v>
      </c>
      <c r="AF114" s="22">
        <f>SUMIF(tabParametros[Código do Posto],tabCustoUnit[[#This Row],[Código do Posto]],tabParametros[PAF])</f>
        <v>51.86</v>
      </c>
      <c r="AG114" s="22">
        <f>SUMIF(tabParametros[Código do Posto],tabCustoUnit[[#This Row],[Código do Posto]],tabParametros[PQM])</f>
        <v>0</v>
      </c>
      <c r="AH114" s="22">
        <f>SUMIF(tabParametros[Código do Posto],tabCustoUnit[[#This Row],[Código do Posto]],tabParametros[Abono Único e Especial])</f>
        <v>0</v>
      </c>
      <c r="AI114" s="22">
        <f>SUMIF(tabParametros[Código do Posto],tabCustoUnit[[#This Row],[Código do Posto]],tabParametros[Seguro de Vida])</f>
        <v>3.36</v>
      </c>
      <c r="AJ114" s="22">
        <f>SUMIF(tabParametros[Código do Posto],tabCustoUnit[[#This Row],[Código do Posto]],tabParametros[Despesas de Viagem])</f>
        <v>0</v>
      </c>
      <c r="AK114" s="22" t="e">
        <f ca="1">SUM(tabCustoUnit[[#This Row],[Vale - Transporte (Descontada parcela do empregado)]:[Despesas de Viagem]])</f>
        <v>#NAME?</v>
      </c>
      <c r="AL114" s="22" t="e">
        <f ca="1">tabCustoUnit[[#This Row],[Submódulo 2.1]]+tabCustoUnit[[#This Row],[Submódulo 2.2]]+tabCustoUnit[[#This Row],[Submódulo 2.3]]</f>
        <v>#NAME?</v>
      </c>
      <c r="AM114" s="22">
        <f>SUMIF(tabParametros[Código do Posto],tabCustoUnit[[#This Row],[Código do Posto]],tabParametros[Aviso Prévio Indenizado (API) e Reflexo do Aviso Prévio Indenizado])*tabCustoUnit[[#This Row],[MODULO 1 - REMUNERAÇÃO ]]</f>
        <v>11.192699914390431</v>
      </c>
      <c r="AN114" s="22">
        <f>SUMIF(tabParametros[Código do Posto],tabCustoUnit[[#This Row],[Código do Posto]],tabParametros[Incidência do FGTS sobre API e Reflexo do API])*tabCustoUnit[[#This Row],[MODULO 1 - REMUNERAÇÃO ]]</f>
        <v>0.89541599315123466</v>
      </c>
      <c r="AO114" s="22">
        <f>SUMIF(tabParametros[Código do Posto],tabCustoUnit[[#This Row],[Código do Posto]],tabParametros[Multa Rescisória do FGTS sobre o Aviso Prévio Indenizado])*tabCustoUnit[[#This Row],[MODULO 1 - REMUNERAÇÃO ]]</f>
        <v>0.35816639726049387</v>
      </c>
      <c r="AP114" s="22">
        <f>SUMIF(tabParametros[Código do Posto],tabCustoUnit[[#This Row],[Código do Posto]],tabParametros[Aviso Prévio Trabalhado - APT])*tabCustoUnit[[#This Row],[MODULO 1 - REMUNERAÇÃO ]]</f>
        <v>5.5869583000000009</v>
      </c>
      <c r="AQ114" s="22">
        <f>SUMIF(tabParametros[Código do Posto],tabCustoUnit[[#This Row],[Código do Posto]],tabParametros[Incidência dos encargos do submódulo 2.1 sobre Aviso Prévio Trabalhado])*tabCustoUnit[[#This Row],[MODULO 1 - REMUNERAÇÃO ]]</f>
        <v>2.1118702374000007</v>
      </c>
      <c r="AR114" s="22">
        <f>SUMIF(tabParametros[Código do Posto],tabCustoUnit[[#This Row],[Código do Posto]],tabParametros[Multa Rescisória do FGTS])*tabCustoUnit[[#This Row],[MODULO 1 - REMUNERAÇÃO ]]</f>
        <v>48.810505528888882</v>
      </c>
      <c r="AS114" s="22">
        <f>SUMIF(tabParametros[Código do Posto],tabCustoUnit[[#This Row],[Código do Posto]],tabParametros[Indenização Adicional (Art. 9º da Lei nº 7.238/84)])*tabCustoUnit[[#This Row],[MODULO 1 - REMUNERAÇÃO ]]</f>
        <v>1.3302281666666667</v>
      </c>
      <c r="AT114" s="22">
        <f>SUM(tabCustoUnit[[#This Row],[Aviso Prévio Indenizado (API) e Reflexo do Aviso Prévio Indenizado]:[Indenização Adicional (Art. 9º da Lei nº 7.238/84)]])</f>
        <v>70.285844537757711</v>
      </c>
      <c r="AU114" s="22">
        <f>SUMIF(tabParametros[Código do Posto],tabCustoUnit[[#This Row],[Código do Posto]],tabParametros[Ausência por Doença])*tabCustoUnit[[#This Row],[MODULO 1 - REMUNERAÇÃO ]]</f>
        <v>13.479645422222221</v>
      </c>
      <c r="AV114" s="22">
        <f>SUMIF(tabParametros[Código do Posto],tabCustoUnit[[#This Row],[Código do Posto]],tabParametros[Ausências Legais])*tabCustoUnit[[#This Row],[MODULO 1 - REMUNERAÇÃO ]]</f>
        <v>3.2368885388888886</v>
      </c>
      <c r="AW114" s="22">
        <f>SUMIF(tabParametros[Código do Posto],tabCustoUnit[[#This Row],[Código do Posto]],tabParametros[Licença Paternidade])*tabCustoUnit[[#This Row],[MODULO 1 - REMUNERAÇÃO ]]</f>
        <v>0.27269677416666666</v>
      </c>
      <c r="AX114" s="22">
        <f>SUMIF(tabParametros[Código do Posto],tabCustoUnit[[#This Row],[Código do Posto]],tabParametros[Ausência por Acidente de Trabalho])*tabCustoUnit[[#This Row],[MODULO 1 - REMUNERAÇÃO ]]</f>
        <v>0.33255704166666666</v>
      </c>
      <c r="AY114" s="22">
        <f>SUMIF(tabParametros[Código do Posto],tabCustoUnit[[#This Row],[Código do Posto]],tabParametros[Férias, Adicional de Férias e 13º  com empregada em gozo de Licença Maternidade])*tabCustoUnit[[#This Row],[MODULO 1 - REMUNERAÇÃO ]]</f>
        <v>2.0692438148148145</v>
      </c>
      <c r="AZ114" s="22">
        <f>SUMIF(tabParametros[Código do Posto],tabCustoUnit[[#This Row],[Código do Posto]],tabParametros[Incidência do Submódulo 2.1 sobre Ausências Legais])*tabCustoUnit[[#This Row],[MODULO 1 - REMUNERAÇÃO ]]</f>
        <v>7.3298099416850011</v>
      </c>
      <c r="BA114" s="22">
        <f>SUM(tabCustoUnit[[#This Row],[Ausência por Doença]:[Incidência do Submódulo 2.1 sobre Ausências Legais]])</f>
        <v>26.720841533444265</v>
      </c>
      <c r="BB114" s="22">
        <f>SUMIF(tabParametros[Código do Posto],tabCustoUnit[[#This Row],[Código do Posto]],tabParametros[Intervalo para Repouso ou Alimentação])</f>
        <v>0</v>
      </c>
      <c r="BC114" s="22">
        <f>tabCustoUnit[[#This Row],[Intervalo para Repouso ou Alimentação]]</f>
        <v>0</v>
      </c>
      <c r="BD11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4" s="22">
        <f>tabCustoUnit[[#This Row],[Suspensão Temporária do Contrato de Trabalho]]</f>
        <v>0</v>
      </c>
      <c r="BF114" s="22">
        <f>tabCustoUnit[[#This Row],[Submódulo 4.1]]+tabCustoUnit[[#This Row],[Submódulo 4.2]]+tabCustoUnit[[#This Row],[Submódulo 4.3]]</f>
        <v>26.720841533444265</v>
      </c>
      <c r="BG114" s="22">
        <f>VLOOKUP(tabCustoUnit[[#This Row],[Código do Posto]],tabParametros[],MATCH(tabCustoUnit[[#Headers],[Uniformes e EPIs]],tabParametros[#Headers],0),0)</f>
        <v>56.141713661989918</v>
      </c>
      <c r="BH114" s="22">
        <f>VLOOKUP(tabCustoUnit[[#This Row],[Código do Posto]],tabParametros[],MATCH(tabCustoUnit[[#Headers],[Materiais de Consumo]],tabParametros[#Headers],0),0)</f>
        <v>0</v>
      </c>
      <c r="BI114" s="22">
        <f>VLOOKUP(tabCustoUnit[[#This Row],[Código do Posto]],tabParametros[],MATCH(tabCustoUnit[[#Headers],[Máquinas e Equipamentos (depreciação)]],tabParametros[#Headers],0),0)</f>
        <v>0</v>
      </c>
      <c r="BJ114" s="22">
        <f>VLOOKUP(tabCustoUnit[[#This Row],[Código do Posto]],tabParametros[],MATCH(tabCustoUnit[[#Headers],[Produtos de Limpeza e Materiais de Higiene Pessoal]],tabParametros[#Headers],0),0)</f>
        <v>0</v>
      </c>
      <c r="BK114" s="22">
        <f>VLOOKUP(tabCustoUnit[[#This Row],[Código do Posto]],tabParametros[],MATCH(tabCustoUnit[[#Headers],[Outros (especificar)]],tabParametros[#Headers],0),0)</f>
        <v>0</v>
      </c>
      <c r="BL114" s="22">
        <f>SUM(tabCustoUnit[[#This Row],[Uniformes e EPIs]:[Outros (especificar)]])</f>
        <v>56.141713661989918</v>
      </c>
      <c r="BM11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4" s="22" t="e">
        <f ca="1">VLOOKUP(tabCustoUnit[[#This Row],[Código do Posto]],tabParametros[],MATCH(tabCustoUnit[[#Headers],[Custos Indiretos]],tabParametros[#Headers],0),0)</f>
        <v>#NAME?</v>
      </c>
      <c r="BO114" s="22" t="e">
        <f ca="1">VLOOKUP(tabCustoUnit[[#This Row],[Código do Posto]],tabParametros[],MATCH(tabCustoUnit[[#Headers],[Lucro]],tabParametros[#Headers],0),0)</f>
        <v>#NAME?</v>
      </c>
      <c r="BP114" s="26">
        <f>((100/((1-tabCustoUnit[[#This Row],[Resumo de Alíquotas (PIS+CONFINS+ISS)]]))-100)*VLOOKUP(tabCustoUnit[[#This Row],[Código do Posto]],tabParametros[],MATCH(tabCustoUnit[[#Headers],[COFINS]],tabParametros[#Headers],0),0))/(tabCustoUnit[[#This Row],[Resumo de Alíquotas (PIS+CONFINS+ISS)]]*100)</f>
        <v>8.6609686609686695E-2</v>
      </c>
      <c r="BQ114" s="26">
        <f>((100/((100-(tabCustoUnit[[#This Row],[Resumo de Alíquotas (PIS+CONFINS+ISS)]]*100))%)-100)*VLOOKUP(tabCustoUnit[[#This Row],[Código do Posto]],tabParametros[],MATCH(tabCustoUnit[[#Headers],[PIS]],tabParametros[#Headers],0),0))/(tabCustoUnit[[#This Row],[Resumo de Alíquotas (PIS+CONFINS+ISS)]]*100)</f>
        <v>1.880341880341882E-2</v>
      </c>
      <c r="BR114" s="28">
        <f>VLOOKUP(tabCustoUnit[[#This Row],[Código do Posto]],tabParametros[],MATCH(tabCustoUnit[[#Headers],[ISS]],tabParametros[#Headers],0),0)</f>
        <v>0.03</v>
      </c>
      <c r="BS114" s="26">
        <f>(((100/((100-(tabCustoUnit[[#This Row],[Resumo de Alíquotas (PIS+CONFINS+ISS)]]*100))%)-100)*tabCustoUnit[[#This Row],[ISS]])/tabCustoUnit[[#This Row],[Resumo de Alíquotas (PIS+CONFINS+ISS)]])/100</f>
        <v>3.4188034188034219E-2</v>
      </c>
      <c r="BT11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14" s="138">
        <f>tabCustoUnit[[#This Row],[COFINS]]+tabCustoUnit[[#This Row],[PIS]]+tabCustoUnit[[#This Row],[ISS (Conversão Alíquota s/ fatura)]]</f>
        <v>0.13960113960113973</v>
      </c>
      <c r="BV114" s="22" t="e">
        <f ca="1">(tabCustoUnit[[#This Row],[TOTAL MÓDULOS 1+2+3+4+5]]+tabCustoUnit[[#This Row],[Custos Indiretos]]+tabCustoUnit[[#This Row],[Lucro]])*tabCustoUnit[[#This Row],[PIS + COFINS + ISS (Total Conversão  Alíquota s/ Fatura)]]</f>
        <v>#NAME?</v>
      </c>
      <c r="BW114" s="22" t="e">
        <f ca="1">tabCustoUnit[[#This Row],[Custos Indiretos]]+tabCustoUnit[[#This Row],[Lucro]]+tabCustoUnit[[#This Row],[Valor dos Tributos (ISS, PIS, CONFINS)]]</f>
        <v>#NAME?</v>
      </c>
      <c r="BX114" s="22" t="e">
        <f ca="1">tabCustoUnit[[#This Row],[TOTAL MÓDULOS 1+2+3+4+5]]+tabCustoUnit[[#This Row],[MÓDULO 6 – CUSTOS INDIRETOS, TRIBUTOS E LUCRO]]</f>
        <v>#NAME?</v>
      </c>
      <c r="BY114" s="22" t="e">
        <f ca="1">tabCustoUnit[[#This Row],[CUSTO TOTAL MENSAL]]*12</f>
        <v>#NAME?</v>
      </c>
      <c r="BZ114" s="24">
        <f>VLOOKUP(tabCustoUnit[[#This Row],[Código do Posto]],tabParametros[],MATCH(tabCustoUnit[[#Headers],[ANO DA CCT]],tabParametros[#Headers],0),0)</f>
        <v>45658</v>
      </c>
      <c r="CA114" s="25" t="str">
        <f>VLOOKUP(tabCustoUnit[[#This Row],[Código do Posto]],tabParametros[],MATCH(tabCustoUnit[[#Headers],[Nº DE PEDIDO DA CCT]],tabParametros[#Headers],0),0)</f>
        <v>-</v>
      </c>
      <c r="CB114" s="25" t="str">
        <f>VLOOKUP(tabCustoUnit[[#This Row],[Código do Posto]],tabParametros[],MATCH(tabCustoUnit[[#Headers],[TERMO ADITIVO ALTERAÇÃO DA CCT]],tabParametros[#Headers],0),0)</f>
        <v>-</v>
      </c>
    </row>
    <row r="115" spans="1:80">
      <c r="A115" s="20" t="s">
        <v>1574</v>
      </c>
      <c r="B115" t="s">
        <v>1123</v>
      </c>
      <c r="C115" t="s">
        <v>324</v>
      </c>
      <c r="D115" t="s">
        <v>1041</v>
      </c>
      <c r="E115" s="20" t="s">
        <v>1090</v>
      </c>
      <c r="F115" s="20" t="s">
        <v>120</v>
      </c>
      <c r="G115" s="418">
        <v>3397.1306</v>
      </c>
      <c r="H115" s="418">
        <v>0</v>
      </c>
      <c r="I115" s="418">
        <v>0</v>
      </c>
      <c r="J115" s="418">
        <v>0</v>
      </c>
      <c r="K115" s="418">
        <v>0</v>
      </c>
      <c r="L115" s="418">
        <v>0</v>
      </c>
      <c r="M115" s="418">
        <v>0</v>
      </c>
      <c r="N115" s="418">
        <v>0</v>
      </c>
      <c r="O115" s="21">
        <f>SUM(tabCustoUnit[[#This Row],[Salário Base]:[Adicional de Acúmulo de função]])</f>
        <v>3397.1306</v>
      </c>
      <c r="P115" s="21">
        <f>tabCustoUnit[[#This Row],[MODULO 1 - REMUNERAÇÃO ]]*SUMIFS(tabParametros[INSS],tabParametros[Código do Posto],tabCustoUnit[[#This Row],[Código do Posto]])</f>
        <v>679.42612000000008</v>
      </c>
      <c r="Q115" s="21">
        <f>tabCustoUnit[[#This Row],[MODULO 1 - REMUNERAÇÃO ]]*SUMIFS(tabParametros[SESI OU SESC],tabParametros[Código do Posto],tabCustoUnit[[#This Row],[Código do Posto]])</f>
        <v>50.956958999999998</v>
      </c>
      <c r="R115" s="21">
        <f>tabCustoUnit[[#This Row],[MODULO 1 - REMUNERAÇÃO ]]*SUMIFS(tabParametros[SENAI OU SENAC],tabParametros[Código do Posto],tabCustoUnit[[#This Row],[Código do Posto]])</f>
        <v>33.971305999999998</v>
      </c>
      <c r="S115" s="21">
        <f>tabCustoUnit[[#This Row],[MODULO 1 - REMUNERAÇÃO ]]*SUMIFS(tabParametros[INCRA],tabParametros[Código do Posto],tabCustoUnit[[#This Row],[Código do Posto]])</f>
        <v>6.7942612000000002</v>
      </c>
      <c r="T115" s="21">
        <f>tabCustoUnit[[#This Row],[MODULO 1 - REMUNERAÇÃO ]]*SUMIFS(tabParametros[Salário Educação],tabParametros[Código do Posto],tabCustoUnit[[#This Row],[Código do Posto]])</f>
        <v>84.92826500000001</v>
      </c>
      <c r="U115" s="21">
        <f>tabCustoUnit[[#This Row],[MODULO 1 - REMUNERAÇÃO ]]*SUMIFS(tabParametros[FGTS],tabParametros[Código do Posto],tabCustoUnit[[#This Row],[Código do Posto]])</f>
        <v>271.77044799999999</v>
      </c>
      <c r="V115" s="21">
        <f>tabCustoUnit[[#This Row],[MODULO 1 - REMUNERAÇÃO ]]*SUMIFS(tabParametros[RAT Ajustado],tabParametros[Código do Posto],tabCustoUnit[[#This Row],[Código do Posto]])</f>
        <v>135.88522399999999</v>
      </c>
      <c r="W115" s="21">
        <f>tabCustoUnit[[#This Row],[MODULO 1 - REMUNERAÇÃO ]]*SUMIFS(tabParametros[SEBRAE],tabParametros[Código do Posto],tabCustoUnit[[#This Row],[Código do Posto]])</f>
        <v>20.3827836</v>
      </c>
      <c r="X115" s="21">
        <f>SUM(tabCustoUnit[[#This Row],[INSS]:[SEBRAE]])</f>
        <v>1284.1153668000002</v>
      </c>
      <c r="Y115" s="21">
        <f>tabCustoUnit[[#This Row],[MODULO 1 - REMUNERAÇÃO ]]*SUMIFS(tabParametros[13º salário (titular)],tabParametros[Código do Posto],tabCustoUnit[[#This Row],[Código do Posto]])</f>
        <v>283.09421666666663</v>
      </c>
      <c r="Z115" s="21">
        <f>tabCustoUnit[[#This Row],[MODULO 1 - REMUNERAÇÃO ]]*SUMIFS(tabParametros[Férias e Adicional de Férias (titular)],tabParametros[Código do Posto],tabCustoUnit[[#This Row],[Código do Posto]])</f>
        <v>377.45895555555552</v>
      </c>
      <c r="AA115" s="21">
        <f>IFERROR((tabCustoUnit[[#This Row],[Submódulo 2.1]]/tabCustoUnit[[#This Row],[MODULO 1 - REMUNERAÇÃO ]])*SUM(tabCustoUnit[[#This Row],[13º salário (titular)]:[Férias e Adicional de Férias (titular)]]),0)</f>
        <v>249.68909910000002</v>
      </c>
      <c r="AB115" s="21">
        <f>SUM(tabCustoUnit[[#This Row],[13º salário (titular)]:[Incidência do Submódulo 2.1 sobre 13º Salário, Férias e Adicional de Férias]])</f>
        <v>910.24227132222222</v>
      </c>
      <c r="AC115" s="22" t="e">
        <f ca="1">_xlfn.LET(_xlpm.VT,SUMIF(tabParametros[Código do Posto],tabCustoUnit[[#This Row],[Código do Posto]],tabParametros[Vale - Transporte])*2*20,
IF((_xlpm.VT-tabCustoUnit[[#This Row],[Salário Base]]*0.06)&gt;=0,(_xlpm.VT-tabCustoUnit[[#This Row],[Salário Base]]*0.06),0)
)</f>
        <v>#NAME?</v>
      </c>
      <c r="AD115" s="22">
        <f>IF(SUMIF(tabParametros[Código do Posto],tabCustoUnit[[#This Row],[Código do Posto]],tabParametros[Vale - Alimentação])&lt;=0,0,
SUMIF(tabParametros[Código do Posto],tabCustoUnit[[#This Row],[Código do Posto]],tabParametros[Vale - Alimentação])*20-1)</f>
        <v>582</v>
      </c>
      <c r="AE115" s="22">
        <f>SUMIF(tabParametros[Código do Posto],tabCustoUnit[[#This Row],[Código do Posto]],tabParametros[Cesta Básica])</f>
        <v>0</v>
      </c>
      <c r="AF115" s="22">
        <f>SUMIF(tabParametros[Código do Posto],tabCustoUnit[[#This Row],[Código do Posto]],tabParametros[PAF])</f>
        <v>51.86</v>
      </c>
      <c r="AG115" s="22">
        <f>SUMIF(tabParametros[Código do Posto],tabCustoUnit[[#This Row],[Código do Posto]],tabParametros[PQM])</f>
        <v>0</v>
      </c>
      <c r="AH115" s="22">
        <f>SUMIF(tabParametros[Código do Posto],tabCustoUnit[[#This Row],[Código do Posto]],tabParametros[Abono Único e Especial])</f>
        <v>0</v>
      </c>
      <c r="AI115" s="22">
        <f>SUMIF(tabParametros[Código do Posto],tabCustoUnit[[#This Row],[Código do Posto]],tabParametros[Seguro de Vida])</f>
        <v>3.36</v>
      </c>
      <c r="AJ115" s="22">
        <f>SUMIF(tabParametros[Código do Posto],tabCustoUnit[[#This Row],[Código do Posto]],tabParametros[Despesas de Viagem])</f>
        <v>0</v>
      </c>
      <c r="AK115" s="22" t="e">
        <f ca="1">SUM(tabCustoUnit[[#This Row],[Vale - Transporte (Descontada parcela do empregado)]:[Despesas de Viagem]])</f>
        <v>#NAME?</v>
      </c>
      <c r="AL115" s="22" t="e">
        <f ca="1">tabCustoUnit[[#This Row],[Submódulo 2.1]]+tabCustoUnit[[#This Row],[Submódulo 2.2]]+tabCustoUnit[[#This Row],[Submódulo 2.3]]</f>
        <v>#NAME?</v>
      </c>
      <c r="AM115" s="22">
        <f>SUMIF(tabParametros[Código do Posto],tabCustoUnit[[#This Row],[Código do Posto]],tabParametros[Aviso Prévio Indenizado (API) e Reflexo do Aviso Prévio Indenizado])*tabCustoUnit[[#This Row],[MODULO 1 - REMUNERAÇÃO ]]</f>
        <v>23.819888151890432</v>
      </c>
      <c r="AN115" s="22">
        <f>SUMIF(tabParametros[Código do Posto],tabCustoUnit[[#This Row],[Código do Posto]],tabParametros[Incidência do FGTS sobre API e Reflexo do API])*tabCustoUnit[[#This Row],[MODULO 1 - REMUNERAÇÃO ]]</f>
        <v>1.9055910521512347</v>
      </c>
      <c r="AO115" s="22">
        <f>SUMIF(tabParametros[Código do Posto],tabCustoUnit[[#This Row],[Código do Posto]],tabParametros[Multa Rescisória do FGTS sobre o Aviso Prévio Indenizado])*tabCustoUnit[[#This Row],[MODULO 1 - REMUNERAÇÃO ]]</f>
        <v>0.76223642086049392</v>
      </c>
      <c r="AP115" s="22">
        <f>SUMIF(tabParametros[Código do Posto],tabCustoUnit[[#This Row],[Código do Posto]],tabParametros[Aviso Prévio Trabalhado - APT])*tabCustoUnit[[#This Row],[MODULO 1 - REMUNERAÇÃO ]]</f>
        <v>11.889957100000002</v>
      </c>
      <c r="AQ115" s="22">
        <f>SUMIF(tabParametros[Código do Posto],tabCustoUnit[[#This Row],[Código do Posto]],tabParametros[Incidência dos encargos do submódulo 2.1 sobre Aviso Prévio Trabalhado])*tabCustoUnit[[#This Row],[MODULO 1 - REMUNERAÇÃO ]]</f>
        <v>4.4944037838000011</v>
      </c>
      <c r="AR115" s="22">
        <f>SUMIF(tabParametros[Código do Posto],tabCustoUnit[[#This Row],[Código do Posto]],tabParametros[Multa Rescisória do FGTS])*tabCustoUnit[[#This Row],[MODULO 1 - REMUNERAÇÃO ]]</f>
        <v>103.87670456888887</v>
      </c>
      <c r="AS115" s="22">
        <f>SUMIF(tabParametros[Código do Posto],tabCustoUnit[[#This Row],[Código do Posto]],tabParametros[Indenização Adicional (Art. 9º da Lei nº 7.238/84)])*tabCustoUnit[[#This Row],[MODULO 1 - REMUNERAÇÃO ]]</f>
        <v>2.830942166666667</v>
      </c>
      <c r="AT115" s="22">
        <f>SUM(tabCustoUnit[[#This Row],[Aviso Prévio Indenizado (API) e Reflexo do Aviso Prévio Indenizado]:[Indenização Adicional (Art. 9º da Lei nº 7.238/84)]])</f>
        <v>149.57972324425771</v>
      </c>
      <c r="AU115" s="22">
        <f>SUMIF(tabParametros[Código do Posto],tabCustoUnit[[#This Row],[Código do Posto]],tabParametros[Ausência por Doença])*tabCustoUnit[[#This Row],[MODULO 1 - REMUNERAÇÃO ]]</f>
        <v>28.686880622222219</v>
      </c>
      <c r="AV115" s="22">
        <f>SUMIF(tabParametros[Código do Posto],tabCustoUnit[[#This Row],[Código do Posto]],tabParametros[Ausências Legais])*tabCustoUnit[[#This Row],[MODULO 1 - REMUNERAÇÃO ]]</f>
        <v>6.8886259388888886</v>
      </c>
      <c r="AW115" s="22">
        <f>SUMIF(tabParametros[Código do Posto],tabCustoUnit[[#This Row],[Código do Posto]],tabParametros[Licença Paternidade])*tabCustoUnit[[#This Row],[MODULO 1 - REMUNERAÇÃO ]]</f>
        <v>0.58034314416666666</v>
      </c>
      <c r="AX115" s="22">
        <f>SUMIF(tabParametros[Código do Posto],tabCustoUnit[[#This Row],[Código do Posto]],tabParametros[Ausência por Acidente de Trabalho])*tabCustoUnit[[#This Row],[MODULO 1 - REMUNERAÇÃO ]]</f>
        <v>0.70773554166666675</v>
      </c>
      <c r="AY115" s="22">
        <f>SUMIF(tabParametros[Código do Posto],tabCustoUnit[[#This Row],[Código do Posto]],tabParametros[Férias, Adicional de Férias e 13º  com empregada em gozo de Licença Maternidade])*tabCustoUnit[[#This Row],[MODULO 1 - REMUNERAÇÃO ]]</f>
        <v>4.4036878148148144</v>
      </c>
      <c r="AZ115" s="22">
        <f>SUMIF(tabParametros[Código do Posto],tabCustoUnit[[#This Row],[Código do Posto]],tabParametros[Incidência do Submódulo 2.1 sobre Ausências Legais])*tabCustoUnit[[#This Row],[MODULO 1 - REMUNERAÇÃO ]]</f>
        <v>15.599029217345002</v>
      </c>
      <c r="BA115" s="22">
        <f>SUM(tabCustoUnit[[#This Row],[Ausência por Doença]:[Incidência do Submódulo 2.1 sobre Ausências Legais]])</f>
        <v>56.866302279104261</v>
      </c>
      <c r="BB115" s="22">
        <f>SUMIF(tabParametros[Código do Posto],tabCustoUnit[[#This Row],[Código do Posto]],tabParametros[Intervalo para Repouso ou Alimentação])</f>
        <v>0</v>
      </c>
      <c r="BC115" s="22">
        <f>tabCustoUnit[[#This Row],[Intervalo para Repouso ou Alimentação]]</f>
        <v>0</v>
      </c>
      <c r="BD11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5" s="22">
        <f>tabCustoUnit[[#This Row],[Suspensão Temporária do Contrato de Trabalho]]</f>
        <v>0</v>
      </c>
      <c r="BF115" s="22">
        <f>tabCustoUnit[[#This Row],[Submódulo 4.1]]+tabCustoUnit[[#This Row],[Submódulo 4.2]]+tabCustoUnit[[#This Row],[Submódulo 4.3]]</f>
        <v>56.866302279104261</v>
      </c>
      <c r="BG115" s="22">
        <f>VLOOKUP(tabCustoUnit[[#This Row],[Código do Posto]],tabParametros[],MATCH(tabCustoUnit[[#Headers],[Uniformes e EPIs]],tabParametros[#Headers],0),0)</f>
        <v>56.642978962543395</v>
      </c>
      <c r="BH115" s="22">
        <f>VLOOKUP(tabCustoUnit[[#This Row],[Código do Posto]],tabParametros[],MATCH(tabCustoUnit[[#Headers],[Materiais de Consumo]],tabParametros[#Headers],0),0)</f>
        <v>0</v>
      </c>
      <c r="BI115" s="22">
        <f>VLOOKUP(tabCustoUnit[[#This Row],[Código do Posto]],tabParametros[],MATCH(tabCustoUnit[[#Headers],[Máquinas e Equipamentos (depreciação)]],tabParametros[#Headers],0),0)</f>
        <v>0</v>
      </c>
      <c r="BJ115" s="22">
        <f>VLOOKUP(tabCustoUnit[[#This Row],[Código do Posto]],tabParametros[],MATCH(tabCustoUnit[[#Headers],[Produtos de Limpeza e Materiais de Higiene Pessoal]],tabParametros[#Headers],0),0)</f>
        <v>0</v>
      </c>
      <c r="BK115" s="22">
        <f>VLOOKUP(tabCustoUnit[[#This Row],[Código do Posto]],tabParametros[],MATCH(tabCustoUnit[[#Headers],[Outros (especificar)]],tabParametros[#Headers],0),0)</f>
        <v>0</v>
      </c>
      <c r="BL115" s="22">
        <f>SUM(tabCustoUnit[[#This Row],[Uniformes e EPIs]:[Outros (especificar)]])</f>
        <v>56.642978962543395</v>
      </c>
      <c r="BM11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5" s="22" t="e">
        <f ca="1">VLOOKUP(tabCustoUnit[[#This Row],[Código do Posto]],tabParametros[],MATCH(tabCustoUnit[[#Headers],[Custos Indiretos]],tabParametros[#Headers],0),0)</f>
        <v>#NAME?</v>
      </c>
      <c r="BO115" s="22" t="e">
        <f ca="1">VLOOKUP(tabCustoUnit[[#This Row],[Código do Posto]],tabParametros[],MATCH(tabCustoUnit[[#Headers],[Lucro]],tabParametros[#Headers],0),0)</f>
        <v>#NAME?</v>
      </c>
      <c r="BP115" s="26">
        <f>((100/((1-tabCustoUnit[[#This Row],[Resumo de Alíquotas (PIS+CONFINS+ISS)]]))-100)*VLOOKUP(tabCustoUnit[[#This Row],[Código do Posto]],tabParametros[],MATCH(tabCustoUnit[[#Headers],[COFINS]],tabParametros[#Headers],0),0))/(tabCustoUnit[[#This Row],[Resumo de Alíquotas (PIS+CONFINS+ISS)]]*100)</f>
        <v>8.6609686609686695E-2</v>
      </c>
      <c r="BQ115" s="26">
        <f>((100/((100-(tabCustoUnit[[#This Row],[Resumo de Alíquotas (PIS+CONFINS+ISS)]]*100))%)-100)*VLOOKUP(tabCustoUnit[[#This Row],[Código do Posto]],tabParametros[],MATCH(tabCustoUnit[[#Headers],[PIS]],tabParametros[#Headers],0),0))/(tabCustoUnit[[#This Row],[Resumo de Alíquotas (PIS+CONFINS+ISS)]]*100)</f>
        <v>1.880341880341882E-2</v>
      </c>
      <c r="BR115" s="28">
        <f>VLOOKUP(tabCustoUnit[[#This Row],[Código do Posto]],tabParametros[],MATCH(tabCustoUnit[[#Headers],[ISS]],tabParametros[#Headers],0),0)</f>
        <v>0.03</v>
      </c>
      <c r="BS115" s="26">
        <f>(((100/((100-(tabCustoUnit[[#This Row],[Resumo de Alíquotas (PIS+CONFINS+ISS)]]*100))%)-100)*tabCustoUnit[[#This Row],[ISS]])/tabCustoUnit[[#This Row],[Resumo de Alíquotas (PIS+CONFINS+ISS)]])/100</f>
        <v>3.4188034188034219E-2</v>
      </c>
      <c r="BT11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15" s="138">
        <f>tabCustoUnit[[#This Row],[COFINS]]+tabCustoUnit[[#This Row],[PIS]]+tabCustoUnit[[#This Row],[ISS (Conversão Alíquota s/ fatura)]]</f>
        <v>0.13960113960113973</v>
      </c>
      <c r="BV115" s="22" t="e">
        <f ca="1">(tabCustoUnit[[#This Row],[TOTAL MÓDULOS 1+2+3+4+5]]+tabCustoUnit[[#This Row],[Custos Indiretos]]+tabCustoUnit[[#This Row],[Lucro]])*tabCustoUnit[[#This Row],[PIS + COFINS + ISS (Total Conversão  Alíquota s/ Fatura)]]</f>
        <v>#NAME?</v>
      </c>
      <c r="BW115" s="22" t="e">
        <f ca="1">tabCustoUnit[[#This Row],[Custos Indiretos]]+tabCustoUnit[[#This Row],[Lucro]]+tabCustoUnit[[#This Row],[Valor dos Tributos (ISS, PIS, CONFINS)]]</f>
        <v>#NAME?</v>
      </c>
      <c r="BX115" s="22" t="e">
        <f ca="1">tabCustoUnit[[#This Row],[TOTAL MÓDULOS 1+2+3+4+5]]+tabCustoUnit[[#This Row],[MÓDULO 6 – CUSTOS INDIRETOS, TRIBUTOS E LUCRO]]</f>
        <v>#NAME?</v>
      </c>
      <c r="BY115" s="22" t="e">
        <f ca="1">tabCustoUnit[[#This Row],[CUSTO TOTAL MENSAL]]*12</f>
        <v>#NAME?</v>
      </c>
      <c r="BZ115" s="24">
        <f>VLOOKUP(tabCustoUnit[[#This Row],[Código do Posto]],tabParametros[],MATCH(tabCustoUnit[[#Headers],[ANO DA CCT]],tabParametros[#Headers],0),0)</f>
        <v>45658</v>
      </c>
      <c r="CA115" s="25" t="str">
        <f>VLOOKUP(tabCustoUnit[[#This Row],[Código do Posto]],tabParametros[],MATCH(tabCustoUnit[[#Headers],[Nº DE PEDIDO DA CCT]],tabParametros[#Headers],0),0)</f>
        <v>-</v>
      </c>
      <c r="CB115" s="25" t="str">
        <f>VLOOKUP(tabCustoUnit[[#This Row],[Código do Posto]],tabParametros[],MATCH(tabCustoUnit[[#Headers],[TERMO ADITIVO ALTERAÇÃO DA CCT]],tabParametros[#Headers],0),0)</f>
        <v>-</v>
      </c>
    </row>
    <row r="116" spans="1:80">
      <c r="A116" s="20" t="s">
        <v>1575</v>
      </c>
      <c r="B116" t="s">
        <v>1123</v>
      </c>
      <c r="C116" t="s">
        <v>274</v>
      </c>
      <c r="D116" t="s">
        <v>986</v>
      </c>
      <c r="E116" s="20" t="s">
        <v>1090</v>
      </c>
      <c r="F116" s="20" t="s">
        <v>120</v>
      </c>
      <c r="G116" s="418">
        <v>4599.5953</v>
      </c>
      <c r="H116" s="418">
        <v>0</v>
      </c>
      <c r="I116" s="418">
        <v>0</v>
      </c>
      <c r="J116" s="418">
        <v>0</v>
      </c>
      <c r="K116" s="418">
        <v>0</v>
      </c>
      <c r="L116" s="418">
        <v>0</v>
      </c>
      <c r="M116" s="418">
        <v>0</v>
      </c>
      <c r="N116" s="418">
        <v>0</v>
      </c>
      <c r="O116" s="21">
        <f>SUM(tabCustoUnit[[#This Row],[Salário Base]:[Adicional de Acúmulo de função]])</f>
        <v>4599.5953</v>
      </c>
      <c r="P116" s="21">
        <f>tabCustoUnit[[#This Row],[MODULO 1 - REMUNERAÇÃO ]]*SUMIFS(tabParametros[INSS],tabParametros[Código do Posto],tabCustoUnit[[#This Row],[Código do Posto]])</f>
        <v>919.91906000000006</v>
      </c>
      <c r="Q116" s="21">
        <f>tabCustoUnit[[#This Row],[MODULO 1 - REMUNERAÇÃO ]]*SUMIFS(tabParametros[SESI OU SESC],tabParametros[Código do Posto],tabCustoUnit[[#This Row],[Código do Posto]])</f>
        <v>68.993929499999993</v>
      </c>
      <c r="R116" s="21">
        <f>tabCustoUnit[[#This Row],[MODULO 1 - REMUNERAÇÃO ]]*SUMIFS(tabParametros[SENAI OU SENAC],tabParametros[Código do Posto],tabCustoUnit[[#This Row],[Código do Posto]])</f>
        <v>45.995953</v>
      </c>
      <c r="S116" s="21">
        <f>tabCustoUnit[[#This Row],[MODULO 1 - REMUNERAÇÃO ]]*SUMIFS(tabParametros[INCRA],tabParametros[Código do Posto],tabCustoUnit[[#This Row],[Código do Posto]])</f>
        <v>9.1991905999999997</v>
      </c>
      <c r="T116" s="21">
        <f>tabCustoUnit[[#This Row],[MODULO 1 - REMUNERAÇÃO ]]*SUMIFS(tabParametros[Salário Educação],tabParametros[Código do Posto],tabCustoUnit[[#This Row],[Código do Posto]])</f>
        <v>114.98988250000001</v>
      </c>
      <c r="U116" s="21">
        <f>tabCustoUnit[[#This Row],[MODULO 1 - REMUNERAÇÃO ]]*SUMIFS(tabParametros[FGTS],tabParametros[Código do Posto],tabCustoUnit[[#This Row],[Código do Posto]])</f>
        <v>367.967624</v>
      </c>
      <c r="V116" s="21">
        <f>tabCustoUnit[[#This Row],[MODULO 1 - REMUNERAÇÃO ]]*SUMIFS(tabParametros[RAT Ajustado],tabParametros[Código do Posto],tabCustoUnit[[#This Row],[Código do Posto]])</f>
        <v>183.983812</v>
      </c>
      <c r="W116" s="21">
        <f>tabCustoUnit[[#This Row],[MODULO 1 - REMUNERAÇÃO ]]*SUMIFS(tabParametros[SEBRAE],tabParametros[Código do Posto],tabCustoUnit[[#This Row],[Código do Posto]])</f>
        <v>27.597571800000001</v>
      </c>
      <c r="X116" s="21">
        <f>SUM(tabCustoUnit[[#This Row],[INSS]:[SEBRAE]])</f>
        <v>1738.6470234000003</v>
      </c>
      <c r="Y116" s="21">
        <f>tabCustoUnit[[#This Row],[MODULO 1 - REMUNERAÇÃO ]]*SUMIFS(tabParametros[13º salário (titular)],tabParametros[Código do Posto],tabCustoUnit[[#This Row],[Código do Posto]])</f>
        <v>383.29960833333331</v>
      </c>
      <c r="Z116" s="21">
        <f>tabCustoUnit[[#This Row],[MODULO 1 - REMUNERAÇÃO ]]*SUMIFS(tabParametros[Férias e Adicional de Férias (titular)],tabParametros[Código do Posto],tabCustoUnit[[#This Row],[Código do Posto]])</f>
        <v>511.06614444444443</v>
      </c>
      <c r="AA116" s="21">
        <f>IFERROR((tabCustoUnit[[#This Row],[Submódulo 2.1]]/tabCustoUnit[[#This Row],[MODULO 1 - REMUNERAÇÃO ]])*SUM(tabCustoUnit[[#This Row],[13º salário (titular)]:[Férias e Adicional de Férias (titular)]]),0)</f>
        <v>338.07025455000002</v>
      </c>
      <c r="AB116" s="21">
        <f>SUM(tabCustoUnit[[#This Row],[13º salário (titular)]:[Incidência do Submódulo 2.1 sobre 13º Salário, Férias e Adicional de Férias]])</f>
        <v>1232.4360073277778</v>
      </c>
      <c r="AC116" s="22" t="e">
        <f ca="1">_xlfn.LET(_xlpm.VT,SUMIF(tabParametros[Código do Posto],tabCustoUnit[[#This Row],[Código do Posto]],tabParametros[Vale - Transporte])*2*20,
IF((_xlpm.VT-tabCustoUnit[[#This Row],[Salário Base]]*0.06)&gt;=0,(_xlpm.VT-tabCustoUnit[[#This Row],[Salário Base]]*0.06),0)
)</f>
        <v>#NAME?</v>
      </c>
      <c r="AD116" s="22">
        <f>IF(SUMIF(tabParametros[Código do Posto],tabCustoUnit[[#This Row],[Código do Posto]],tabParametros[Vale - Alimentação])&lt;=0,0,
SUMIF(tabParametros[Código do Posto],tabCustoUnit[[#This Row],[Código do Posto]],tabParametros[Vale - Alimentação])*20-1)</f>
        <v>578.4</v>
      </c>
      <c r="AE116" s="22">
        <f>SUMIF(tabParametros[Código do Posto],tabCustoUnit[[#This Row],[Código do Posto]],tabParametros[Cesta Básica])</f>
        <v>0</v>
      </c>
      <c r="AF116" s="22">
        <f>SUMIF(tabParametros[Código do Posto],tabCustoUnit[[#This Row],[Código do Posto]],tabParametros[PAF])</f>
        <v>0</v>
      </c>
      <c r="AG116" s="22">
        <f>SUMIF(tabParametros[Código do Posto],tabCustoUnit[[#This Row],[Código do Posto]],tabParametros[PQM])</f>
        <v>0</v>
      </c>
      <c r="AH116" s="22">
        <f>SUMIF(tabParametros[Código do Posto],tabCustoUnit[[#This Row],[Código do Posto]],tabParametros[Abono Único e Especial])</f>
        <v>0</v>
      </c>
      <c r="AI116" s="22">
        <f>SUMIF(tabParametros[Código do Posto],tabCustoUnit[[#This Row],[Código do Posto]],tabParametros[Seguro de Vida])</f>
        <v>3.36</v>
      </c>
      <c r="AJ116" s="22">
        <f>SUMIF(tabParametros[Código do Posto],tabCustoUnit[[#This Row],[Código do Posto]],tabParametros[Despesas de Viagem])</f>
        <v>662.42</v>
      </c>
      <c r="AK116" s="22" t="e">
        <f ca="1">SUM(tabCustoUnit[[#This Row],[Vale - Transporte (Descontada parcela do empregado)]:[Despesas de Viagem]])</f>
        <v>#NAME?</v>
      </c>
      <c r="AL116" s="22" t="e">
        <f ca="1">tabCustoUnit[[#This Row],[Submódulo 2.1]]+tabCustoUnit[[#This Row],[Submódulo 2.2]]+tabCustoUnit[[#This Row],[Submódulo 2.3]]</f>
        <v>#NAME?</v>
      </c>
      <c r="AM116" s="22">
        <f>SUMIF(tabParametros[Código do Posto],tabCustoUnit[[#This Row],[Código do Posto]],tabParametros[Aviso Prévio Indenizado (API) e Reflexo do Aviso Prévio Indenizado])*tabCustoUnit[[#This Row],[MODULO 1 - REMUNERAÇÃO ]]</f>
        <v>32.251290424324843</v>
      </c>
      <c r="AN116" s="22">
        <f>SUMIF(tabParametros[Código do Posto],tabCustoUnit[[#This Row],[Código do Posto]],tabParametros[Incidência do FGTS sobre API e Reflexo do API])*tabCustoUnit[[#This Row],[MODULO 1 - REMUNERAÇÃO ]]</f>
        <v>2.5801032339459877</v>
      </c>
      <c r="AO116" s="22">
        <f>SUMIF(tabParametros[Código do Posto],tabCustoUnit[[#This Row],[Código do Posto]],tabParametros[Multa Rescisória do FGTS sobre o Aviso Prévio Indenizado])*tabCustoUnit[[#This Row],[MODULO 1 - REMUNERAÇÃO ]]</f>
        <v>1.0320412935783951</v>
      </c>
      <c r="AP116" s="22">
        <f>SUMIF(tabParametros[Código do Posto],tabCustoUnit[[#This Row],[Código do Posto]],tabParametros[Aviso Prévio Trabalhado - APT])*tabCustoUnit[[#This Row],[MODULO 1 - REMUNERAÇÃO ]]</f>
        <v>16.098583550000001</v>
      </c>
      <c r="AQ116" s="22">
        <f>SUMIF(tabParametros[Código do Posto],tabCustoUnit[[#This Row],[Código do Posto]],tabParametros[Incidência dos encargos do submódulo 2.1 sobre Aviso Prévio Trabalhado])*tabCustoUnit[[#This Row],[MODULO 1 - REMUNERAÇÃO ]]</f>
        <v>6.0852645819000015</v>
      </c>
      <c r="AR116" s="22">
        <f>SUMIF(tabParametros[Código do Posto],tabCustoUnit[[#This Row],[Código do Posto]],tabParametros[Multa Rescisória do FGTS])*tabCustoUnit[[#This Row],[MODULO 1 - REMUNERAÇÃO ]]</f>
        <v>140.64540295111109</v>
      </c>
      <c r="AS116" s="22">
        <f>SUMIF(tabParametros[Código do Posto],tabCustoUnit[[#This Row],[Código do Posto]],tabParametros[Indenização Adicional (Art. 9º da Lei nº 7.238/84)])*tabCustoUnit[[#This Row],[MODULO 1 - REMUNERAÇÃO ]]</f>
        <v>3.8329960833333336</v>
      </c>
      <c r="AT116" s="22">
        <f>SUM(tabCustoUnit[[#This Row],[Aviso Prévio Indenizado (API) e Reflexo do Aviso Prévio Indenizado]:[Indenização Adicional (Art. 9º da Lei nº 7.238/84)]])</f>
        <v>202.52568211819366</v>
      </c>
      <c r="AU116" s="22">
        <f>SUMIF(tabParametros[Código do Posto],tabCustoUnit[[#This Row],[Código do Posto]],tabParametros[Ausência por Doença])*tabCustoUnit[[#This Row],[MODULO 1 - REMUNERAÇÃO ]]</f>
        <v>38.841026977777773</v>
      </c>
      <c r="AV116" s="22">
        <f>SUMIF(tabParametros[Código do Posto],tabCustoUnit[[#This Row],[Código do Posto]],tabParametros[Ausências Legais])*tabCustoUnit[[#This Row],[MODULO 1 - REMUNERAÇÃO ]]</f>
        <v>9.3269571361111101</v>
      </c>
      <c r="AW116" s="22">
        <f>SUMIF(tabParametros[Código do Posto],tabCustoUnit[[#This Row],[Código do Posto]],tabParametros[Licença Paternidade])*tabCustoUnit[[#This Row],[MODULO 1 - REMUNERAÇÃO ]]</f>
        <v>0.78576419708333334</v>
      </c>
      <c r="AX116" s="22">
        <f>SUMIF(tabParametros[Código do Posto],tabCustoUnit[[#This Row],[Código do Posto]],tabParametros[Ausência por Acidente de Trabalho])*tabCustoUnit[[#This Row],[MODULO 1 - REMUNERAÇÃO ]]</f>
        <v>0.95824902083333341</v>
      </c>
      <c r="AY116" s="22">
        <f>SUMIF(tabParametros[Código do Posto],tabCustoUnit[[#This Row],[Código do Posto]],tabParametros[Férias, Adicional de Férias e 13º  com empregada em gozo de Licença Maternidade])*tabCustoUnit[[#This Row],[MODULO 1 - REMUNERAÇÃO ]]</f>
        <v>5.9624383518518513</v>
      </c>
      <c r="AZ116" s="22">
        <f>SUMIF(tabParametros[Código do Posto],tabCustoUnit[[#This Row],[Código do Posto]],tabParametros[Incidência do Submódulo 2.1 sobre Ausências Legais])*tabCustoUnit[[#This Row],[MODULO 1 - REMUNERAÇÃO ]]</f>
        <v>21.120536688422504</v>
      </c>
      <c r="BA116" s="22">
        <f>SUM(tabCustoUnit[[#This Row],[Ausência por Doença]:[Incidência do Submódulo 2.1 sobre Ausências Legais]])</f>
        <v>76.9949723720799</v>
      </c>
      <c r="BB116" s="22">
        <f>SUMIF(tabParametros[Código do Posto],tabCustoUnit[[#This Row],[Código do Posto]],tabParametros[Intervalo para Repouso ou Alimentação])</f>
        <v>0</v>
      </c>
      <c r="BC116" s="22">
        <f>tabCustoUnit[[#This Row],[Intervalo para Repouso ou Alimentação]]</f>
        <v>0</v>
      </c>
      <c r="BD11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6" s="22">
        <f>tabCustoUnit[[#This Row],[Suspensão Temporária do Contrato de Trabalho]]</f>
        <v>0</v>
      </c>
      <c r="BF116" s="22">
        <f>tabCustoUnit[[#This Row],[Submódulo 4.1]]+tabCustoUnit[[#This Row],[Submódulo 4.2]]+tabCustoUnit[[#This Row],[Submódulo 4.3]]</f>
        <v>76.9949723720799</v>
      </c>
      <c r="BG116" s="22">
        <f>VLOOKUP(tabCustoUnit[[#This Row],[Código do Posto]],tabParametros[],MATCH(tabCustoUnit[[#Headers],[Uniformes e EPIs]],tabParametros[#Headers],0),0)</f>
        <v>92.100763771570698</v>
      </c>
      <c r="BH116" s="22">
        <f>VLOOKUP(tabCustoUnit[[#This Row],[Código do Posto]],tabParametros[],MATCH(tabCustoUnit[[#Headers],[Materiais de Consumo]],tabParametros[#Headers],0),0)</f>
        <v>0</v>
      </c>
      <c r="BI116" s="22">
        <f>VLOOKUP(tabCustoUnit[[#This Row],[Código do Posto]],tabParametros[],MATCH(tabCustoUnit[[#Headers],[Máquinas e Equipamentos (depreciação)]],tabParametros[#Headers],0),0)</f>
        <v>0</v>
      </c>
      <c r="BJ116" s="22">
        <f>VLOOKUP(tabCustoUnit[[#This Row],[Código do Posto]],tabParametros[],MATCH(tabCustoUnit[[#Headers],[Produtos de Limpeza e Materiais de Higiene Pessoal]],tabParametros[#Headers],0),0)</f>
        <v>0</v>
      </c>
      <c r="BK116" s="22">
        <f>VLOOKUP(tabCustoUnit[[#This Row],[Código do Posto]],tabParametros[],MATCH(tabCustoUnit[[#Headers],[Outros (especificar)]],tabParametros[#Headers],0),0)</f>
        <v>0</v>
      </c>
      <c r="BL116" s="22">
        <f>SUM(tabCustoUnit[[#This Row],[Uniformes e EPIs]:[Outros (especificar)]])</f>
        <v>92.100763771570698</v>
      </c>
      <c r="BM11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6" s="22" t="e">
        <f ca="1">VLOOKUP(tabCustoUnit[[#This Row],[Código do Posto]],tabParametros[],MATCH(tabCustoUnit[[#Headers],[Custos Indiretos]],tabParametros[#Headers],0),0)</f>
        <v>#NAME?</v>
      </c>
      <c r="BO116" s="22" t="e">
        <f ca="1">VLOOKUP(tabCustoUnit[[#This Row],[Código do Posto]],tabParametros[],MATCH(tabCustoUnit[[#Headers],[Lucro]],tabParametros[#Headers],0),0)</f>
        <v>#NAME?</v>
      </c>
      <c r="BP116" s="26">
        <f>((100/((1-tabCustoUnit[[#This Row],[Resumo de Alíquotas (PIS+CONFINS+ISS)]]))-100)*VLOOKUP(tabCustoUnit[[#This Row],[Código do Posto]],tabParametros[],MATCH(tabCustoUnit[[#Headers],[COFINS]],tabParametros[#Headers],0),0))/(tabCustoUnit[[#This Row],[Resumo de Alíquotas (PIS+CONFINS+ISS)]]*100)</f>
        <v>8.6609686609686695E-2</v>
      </c>
      <c r="BQ116" s="26">
        <f>((100/((100-(tabCustoUnit[[#This Row],[Resumo de Alíquotas (PIS+CONFINS+ISS)]]*100))%)-100)*VLOOKUP(tabCustoUnit[[#This Row],[Código do Posto]],tabParametros[],MATCH(tabCustoUnit[[#Headers],[PIS]],tabParametros[#Headers],0),0))/(tabCustoUnit[[#This Row],[Resumo de Alíquotas (PIS+CONFINS+ISS)]]*100)</f>
        <v>1.880341880341882E-2</v>
      </c>
      <c r="BR116" s="28">
        <f>VLOOKUP(tabCustoUnit[[#This Row],[Código do Posto]],tabParametros[],MATCH(tabCustoUnit[[#Headers],[ISS]],tabParametros[#Headers],0),0)</f>
        <v>0.03</v>
      </c>
      <c r="BS116" s="26">
        <f>(((100/((100-(tabCustoUnit[[#This Row],[Resumo de Alíquotas (PIS+CONFINS+ISS)]]*100))%)-100)*tabCustoUnit[[#This Row],[ISS]])/tabCustoUnit[[#This Row],[Resumo de Alíquotas (PIS+CONFINS+ISS)]])/100</f>
        <v>3.4188034188034219E-2</v>
      </c>
      <c r="BT11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16" s="138">
        <f>tabCustoUnit[[#This Row],[COFINS]]+tabCustoUnit[[#This Row],[PIS]]+tabCustoUnit[[#This Row],[ISS (Conversão Alíquota s/ fatura)]]</f>
        <v>0.13960113960113973</v>
      </c>
      <c r="BV116" s="22" t="e">
        <f ca="1">(tabCustoUnit[[#This Row],[TOTAL MÓDULOS 1+2+3+4+5]]+tabCustoUnit[[#This Row],[Custos Indiretos]]+tabCustoUnit[[#This Row],[Lucro]])*tabCustoUnit[[#This Row],[PIS + COFINS + ISS (Total Conversão  Alíquota s/ Fatura)]]</f>
        <v>#NAME?</v>
      </c>
      <c r="BW116" s="22" t="e">
        <f ca="1">tabCustoUnit[[#This Row],[Custos Indiretos]]+tabCustoUnit[[#This Row],[Lucro]]+tabCustoUnit[[#This Row],[Valor dos Tributos (ISS, PIS, CONFINS)]]</f>
        <v>#NAME?</v>
      </c>
      <c r="BX116" s="22" t="e">
        <f ca="1">tabCustoUnit[[#This Row],[TOTAL MÓDULOS 1+2+3+4+5]]+tabCustoUnit[[#This Row],[MÓDULO 6 – CUSTOS INDIRETOS, TRIBUTOS E LUCRO]]</f>
        <v>#NAME?</v>
      </c>
      <c r="BY116" s="22" t="e">
        <f ca="1">tabCustoUnit[[#This Row],[CUSTO TOTAL MENSAL]]*12</f>
        <v>#NAME?</v>
      </c>
      <c r="BZ116" s="24">
        <f>VLOOKUP(tabCustoUnit[[#This Row],[Código do Posto]],tabParametros[],MATCH(tabCustoUnit[[#Headers],[ANO DA CCT]],tabParametros[#Headers],0),0)</f>
        <v>45658</v>
      </c>
      <c r="CA116" s="25" t="str">
        <f>VLOOKUP(tabCustoUnit[[#This Row],[Código do Posto]],tabParametros[],MATCH(tabCustoUnit[[#Headers],[Nº DE PEDIDO DA CCT]],tabParametros[#Headers],0),0)</f>
        <v>-</v>
      </c>
      <c r="CB116" s="25" t="str">
        <f>VLOOKUP(tabCustoUnit[[#This Row],[Código do Posto]],tabParametros[],MATCH(tabCustoUnit[[#Headers],[TERMO ADITIVO ALTERAÇÃO DA CCT]],tabParametros[#Headers],0),0)</f>
        <v>-</v>
      </c>
    </row>
    <row r="117" spans="1:80">
      <c r="A117" s="20" t="s">
        <v>1576</v>
      </c>
      <c r="B117" t="s">
        <v>1124</v>
      </c>
      <c r="C117" t="s">
        <v>319</v>
      </c>
      <c r="D117" t="s">
        <v>961</v>
      </c>
      <c r="E117" s="20" t="s">
        <v>1090</v>
      </c>
      <c r="F117" s="20" t="s">
        <v>120</v>
      </c>
      <c r="G117" s="418">
        <v>2316.2253000000001</v>
      </c>
      <c r="H117" s="418">
        <v>0</v>
      </c>
      <c r="I117" s="418">
        <v>0</v>
      </c>
      <c r="J117" s="418">
        <v>0</v>
      </c>
      <c r="K117" s="418">
        <v>0</v>
      </c>
      <c r="L117" s="418">
        <v>0</v>
      </c>
      <c r="M117" s="418">
        <v>0</v>
      </c>
      <c r="N117" s="418">
        <v>0</v>
      </c>
      <c r="O117" s="21">
        <f>SUM(tabCustoUnit[[#This Row],[Salário Base]:[Adicional de Acúmulo de função]])</f>
        <v>2316.2253000000001</v>
      </c>
      <c r="P117" s="21">
        <f>tabCustoUnit[[#This Row],[MODULO 1 - REMUNERAÇÃO ]]*SUMIFS(tabParametros[INSS],tabParametros[Código do Posto],tabCustoUnit[[#This Row],[Código do Posto]])</f>
        <v>463.24506000000002</v>
      </c>
      <c r="Q117" s="21">
        <f>tabCustoUnit[[#This Row],[MODULO 1 - REMUNERAÇÃO ]]*SUMIFS(tabParametros[SESI OU SESC],tabParametros[Código do Posto],tabCustoUnit[[#This Row],[Código do Posto]])</f>
        <v>34.743379499999996</v>
      </c>
      <c r="R117" s="21">
        <f>tabCustoUnit[[#This Row],[MODULO 1 - REMUNERAÇÃO ]]*SUMIFS(tabParametros[SENAI OU SENAC],tabParametros[Código do Posto],tabCustoUnit[[#This Row],[Código do Posto]])</f>
        <v>23.162253</v>
      </c>
      <c r="S117" s="21">
        <f>tabCustoUnit[[#This Row],[MODULO 1 - REMUNERAÇÃO ]]*SUMIFS(tabParametros[INCRA],tabParametros[Código do Posto],tabCustoUnit[[#This Row],[Código do Posto]])</f>
        <v>4.6324506000000003</v>
      </c>
      <c r="T117" s="21">
        <f>tabCustoUnit[[#This Row],[MODULO 1 - REMUNERAÇÃO ]]*SUMIFS(tabParametros[Salário Educação],tabParametros[Código do Posto],tabCustoUnit[[#This Row],[Código do Posto]])</f>
        <v>57.905632500000003</v>
      </c>
      <c r="U117" s="21">
        <f>tabCustoUnit[[#This Row],[MODULO 1 - REMUNERAÇÃO ]]*SUMIFS(tabParametros[FGTS],tabParametros[Código do Posto],tabCustoUnit[[#This Row],[Código do Posto]])</f>
        <v>185.298024</v>
      </c>
      <c r="V117" s="21">
        <f>tabCustoUnit[[#This Row],[MODULO 1 - REMUNERAÇÃO ]]*SUMIFS(tabParametros[RAT Ajustado],tabParametros[Código do Posto],tabCustoUnit[[#This Row],[Código do Posto]])</f>
        <v>92.649011999999999</v>
      </c>
      <c r="W117" s="21">
        <f>tabCustoUnit[[#This Row],[MODULO 1 - REMUNERAÇÃO ]]*SUMIFS(tabParametros[SEBRAE],tabParametros[Código do Posto],tabCustoUnit[[#This Row],[Código do Posto]])</f>
        <v>13.897351800000001</v>
      </c>
      <c r="X117" s="21">
        <f>SUM(tabCustoUnit[[#This Row],[INSS]:[SEBRAE]])</f>
        <v>875.53316340000003</v>
      </c>
      <c r="Y117" s="21">
        <f>tabCustoUnit[[#This Row],[MODULO 1 - REMUNERAÇÃO ]]*SUMIFS(tabParametros[13º salário (titular)],tabParametros[Código do Posto],tabCustoUnit[[#This Row],[Código do Posto]])</f>
        <v>193.01877500000001</v>
      </c>
      <c r="Z117" s="21">
        <f>tabCustoUnit[[#This Row],[MODULO 1 - REMUNERAÇÃO ]]*SUMIFS(tabParametros[Férias e Adicional de Férias (titular)],tabParametros[Código do Posto],tabCustoUnit[[#This Row],[Código do Posto]])</f>
        <v>257.35836666666665</v>
      </c>
      <c r="AA117" s="21">
        <f>IFERROR((tabCustoUnit[[#This Row],[Submódulo 2.1]]/tabCustoUnit[[#This Row],[MODULO 1 - REMUNERAÇÃO ]])*SUM(tabCustoUnit[[#This Row],[13º salário (titular)]:[Férias e Adicional de Férias (titular)]]),0)</f>
        <v>170.24255955000001</v>
      </c>
      <c r="AB117" s="21">
        <f>SUM(tabCustoUnit[[#This Row],[13º salário (titular)]:[Incidência do Submódulo 2.1 sobre 13º Salário, Férias e Adicional de Férias]])</f>
        <v>620.61970121666673</v>
      </c>
      <c r="AC117" s="22" t="e">
        <f ca="1">_xlfn.LET(_xlpm.VT,SUMIF(tabParametros[Código do Posto],tabCustoUnit[[#This Row],[Código do Posto]],tabParametros[Vale - Transporte])*2*20,
IF((_xlpm.VT-tabCustoUnit[[#This Row],[Salário Base]]*0.06)&gt;=0,(_xlpm.VT-tabCustoUnit[[#This Row],[Salário Base]]*0.06),0)
)</f>
        <v>#NAME?</v>
      </c>
      <c r="AD117" s="22">
        <f>IF(SUMIF(tabParametros[Código do Posto],tabCustoUnit[[#This Row],[Código do Posto]],tabParametros[Vale - Alimentação])&lt;=0,0,
SUMIF(tabParametros[Código do Posto],tabCustoUnit[[#This Row],[Código do Posto]],tabParametros[Vale - Alimentação])*20-1)</f>
        <v>582</v>
      </c>
      <c r="AE117" s="22">
        <f>SUMIF(tabParametros[Código do Posto],tabCustoUnit[[#This Row],[Código do Posto]],tabParametros[Cesta Básica])</f>
        <v>0</v>
      </c>
      <c r="AF117" s="22">
        <f>SUMIF(tabParametros[Código do Posto],tabCustoUnit[[#This Row],[Código do Posto]],tabParametros[PAF])</f>
        <v>0</v>
      </c>
      <c r="AG117" s="22">
        <f>SUMIF(tabParametros[Código do Posto],tabCustoUnit[[#This Row],[Código do Posto]],tabParametros[PQM])</f>
        <v>0</v>
      </c>
      <c r="AH117" s="22">
        <f>SUMIF(tabParametros[Código do Posto],tabCustoUnit[[#This Row],[Código do Posto]],tabParametros[Abono Único e Especial])</f>
        <v>0</v>
      </c>
      <c r="AI117" s="22">
        <f>SUMIF(tabParametros[Código do Posto],tabCustoUnit[[#This Row],[Código do Posto]],tabParametros[Seguro de Vida])</f>
        <v>3.36</v>
      </c>
      <c r="AJ117" s="22">
        <f>SUMIF(tabParametros[Código do Posto],tabCustoUnit[[#This Row],[Código do Posto]],tabParametros[Despesas de Viagem])</f>
        <v>0</v>
      </c>
      <c r="AK117" s="22" t="e">
        <f ca="1">SUM(tabCustoUnit[[#This Row],[Vale - Transporte (Descontada parcela do empregado)]:[Despesas de Viagem]])</f>
        <v>#NAME?</v>
      </c>
      <c r="AL117" s="22" t="e">
        <f ca="1">tabCustoUnit[[#This Row],[Submódulo 2.1]]+tabCustoUnit[[#This Row],[Submódulo 2.2]]+tabCustoUnit[[#This Row],[Submódulo 2.3]]</f>
        <v>#NAME?</v>
      </c>
      <c r="AM117" s="22">
        <f>SUMIF(tabParametros[Código do Posto],tabCustoUnit[[#This Row],[Código do Posto]],tabParametros[Aviso Prévio Indenizado (API) e Reflexo do Aviso Prévio Indenizado])*tabCustoUnit[[#This Row],[MODULO 1 - REMUNERAÇÃO ]]</f>
        <v>16.240832065914354</v>
      </c>
      <c r="AN117" s="22">
        <f>SUMIF(tabParametros[Código do Posto],tabCustoUnit[[#This Row],[Código do Posto]],tabParametros[Incidência do FGTS sobre API e Reflexo do API])*tabCustoUnit[[#This Row],[MODULO 1 - REMUNERAÇÃO ]]</f>
        <v>1.2992665652731483</v>
      </c>
      <c r="AO117" s="22">
        <f>SUMIF(tabParametros[Código do Posto],tabCustoUnit[[#This Row],[Código do Posto]],tabParametros[Multa Rescisória do FGTS sobre o Aviso Prévio Indenizado])*tabCustoUnit[[#This Row],[MODULO 1 - REMUNERAÇÃO ]]</f>
        <v>0.51970662610925933</v>
      </c>
      <c r="AP117" s="22">
        <f>SUMIF(tabParametros[Código do Posto],tabCustoUnit[[#This Row],[Código do Posto]],tabParametros[Aviso Prévio Trabalhado - APT])*tabCustoUnit[[#This Row],[MODULO 1 - REMUNERAÇÃO ]]</f>
        <v>8.106788550000001</v>
      </c>
      <c r="AQ117" s="22">
        <f>SUMIF(tabParametros[Código do Posto],tabCustoUnit[[#This Row],[Código do Posto]],tabParametros[Incidência dos encargos do submódulo 2.1 sobre Aviso Prévio Trabalhado])*tabCustoUnit[[#This Row],[MODULO 1 - REMUNERAÇÃO ]]</f>
        <v>3.0643660719000008</v>
      </c>
      <c r="AR117" s="22">
        <f>SUMIF(tabParametros[Código do Posto],tabCustoUnit[[#This Row],[Código do Posto]],tabParametros[Multa Rescisória do FGTS])*tabCustoUnit[[#This Row],[MODULO 1 - REMUNERAÇÃO ]]</f>
        <v>70.825022506666656</v>
      </c>
      <c r="AS117" s="22">
        <f>SUMIF(tabParametros[Código do Posto],tabCustoUnit[[#This Row],[Código do Posto]],tabParametros[Indenização Adicional (Art. 9º da Lei nº 7.238/84)])*tabCustoUnit[[#This Row],[MODULO 1 - REMUNERAÇÃO ]]</f>
        <v>1.9301877500000002</v>
      </c>
      <c r="AT117" s="22">
        <f>SUM(tabCustoUnit[[#This Row],[Aviso Prévio Indenizado (API) e Reflexo do Aviso Prévio Indenizado]:[Indenização Adicional (Art. 9º da Lei nº 7.238/84)]])</f>
        <v>101.98617013586342</v>
      </c>
      <c r="AU117" s="22">
        <f>SUMIF(tabParametros[Código do Posto],tabCustoUnit[[#This Row],[Código do Posto]],tabParametros[Ausência por Doença])*tabCustoUnit[[#This Row],[MODULO 1 - REMUNERAÇÃO ]]</f>
        <v>19.559235866666665</v>
      </c>
      <c r="AV117" s="22">
        <f>SUMIF(tabParametros[Código do Posto],tabCustoUnit[[#This Row],[Código do Posto]],tabParametros[Ausências Legais])*tabCustoUnit[[#This Row],[MODULO 1 - REMUNERAÇÃO ]]</f>
        <v>4.6967901916666666</v>
      </c>
      <c r="AW117" s="22">
        <f>SUMIF(tabParametros[Código do Posto],tabCustoUnit[[#This Row],[Código do Posto]],tabParametros[Licença Paternidade])*tabCustoUnit[[#This Row],[MODULO 1 - REMUNERAÇÃO ]]</f>
        <v>0.39568848875000001</v>
      </c>
      <c r="AX117" s="22">
        <f>SUMIF(tabParametros[Código do Posto],tabCustoUnit[[#This Row],[Código do Posto]],tabParametros[Ausência por Acidente de Trabalho])*tabCustoUnit[[#This Row],[MODULO 1 - REMUNERAÇÃO ]]</f>
        <v>0.48254693750000005</v>
      </c>
      <c r="AY117" s="22">
        <f>SUMIF(tabParametros[Código do Posto],tabCustoUnit[[#This Row],[Código do Posto]],tabParametros[Férias, Adicional de Férias e 13º  com empregada em gozo de Licença Maternidade])*tabCustoUnit[[#This Row],[MODULO 1 - REMUNERAÇÃO ]]</f>
        <v>3.0025142777777778</v>
      </c>
      <c r="AZ117" s="22">
        <f>SUMIF(tabParametros[Código do Posto],tabCustoUnit[[#This Row],[Código do Posto]],tabParametros[Incidência do Submódulo 2.1 sobre Ausências Legais])*tabCustoUnit[[#This Row],[MODULO 1 - REMUNERAÇÃO ]]</f>
        <v>10.635701238172501</v>
      </c>
      <c r="BA117" s="22">
        <f>SUM(tabCustoUnit[[#This Row],[Ausência por Doença]:[Incidência do Submódulo 2.1 sobre Ausências Legais]])</f>
        <v>38.772477000533613</v>
      </c>
      <c r="BB117" s="22">
        <f>SUMIF(tabParametros[Código do Posto],tabCustoUnit[[#This Row],[Código do Posto]],tabParametros[Intervalo para Repouso ou Alimentação])</f>
        <v>0</v>
      </c>
      <c r="BC117" s="22">
        <f>tabCustoUnit[[#This Row],[Intervalo para Repouso ou Alimentação]]</f>
        <v>0</v>
      </c>
      <c r="BD11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7" s="22">
        <f>tabCustoUnit[[#This Row],[Suspensão Temporária do Contrato de Trabalho]]</f>
        <v>0</v>
      </c>
      <c r="BF117" s="22">
        <f>tabCustoUnit[[#This Row],[Submódulo 4.1]]+tabCustoUnit[[#This Row],[Submódulo 4.2]]+tabCustoUnit[[#This Row],[Submódulo 4.3]]</f>
        <v>38.772477000533613</v>
      </c>
      <c r="BG117" s="22">
        <f>VLOOKUP(tabCustoUnit[[#This Row],[Código do Posto]],tabParametros[],MATCH(tabCustoUnit[[#Headers],[Uniformes e EPIs]],tabParametros[#Headers],0),0)</f>
        <v>56.642978962543395</v>
      </c>
      <c r="BH117" s="22">
        <f>VLOOKUP(tabCustoUnit[[#This Row],[Código do Posto]],tabParametros[],MATCH(tabCustoUnit[[#Headers],[Materiais de Consumo]],tabParametros[#Headers],0),0)</f>
        <v>0</v>
      </c>
      <c r="BI117" s="22">
        <f>VLOOKUP(tabCustoUnit[[#This Row],[Código do Posto]],tabParametros[],MATCH(tabCustoUnit[[#Headers],[Máquinas e Equipamentos (depreciação)]],tabParametros[#Headers],0),0)</f>
        <v>0</v>
      </c>
      <c r="BJ117" s="22">
        <f>VLOOKUP(tabCustoUnit[[#This Row],[Código do Posto]],tabParametros[],MATCH(tabCustoUnit[[#Headers],[Produtos de Limpeza e Materiais de Higiene Pessoal]],tabParametros[#Headers],0),0)</f>
        <v>0</v>
      </c>
      <c r="BK117" s="22">
        <f>VLOOKUP(tabCustoUnit[[#This Row],[Código do Posto]],tabParametros[],MATCH(tabCustoUnit[[#Headers],[Outros (especificar)]],tabParametros[#Headers],0),0)</f>
        <v>0</v>
      </c>
      <c r="BL117" s="22">
        <f>SUM(tabCustoUnit[[#This Row],[Uniformes e EPIs]:[Outros (especificar)]])</f>
        <v>56.642978962543395</v>
      </c>
      <c r="BM11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7" s="22" t="e">
        <f ca="1">VLOOKUP(tabCustoUnit[[#This Row],[Código do Posto]],tabParametros[],MATCH(tabCustoUnit[[#Headers],[Custos Indiretos]],tabParametros[#Headers],0),0)</f>
        <v>#NAME?</v>
      </c>
      <c r="BO117" s="22" t="e">
        <f ca="1">VLOOKUP(tabCustoUnit[[#This Row],[Código do Posto]],tabParametros[],MATCH(tabCustoUnit[[#Headers],[Lucro]],tabParametros[#Headers],0),0)</f>
        <v>#NAME?</v>
      </c>
      <c r="BP117" s="26">
        <f>((100/((1-tabCustoUnit[[#This Row],[Resumo de Alíquotas (PIS+CONFINS+ISS)]]))-100)*VLOOKUP(tabCustoUnit[[#This Row],[Código do Posto]],tabParametros[],MATCH(tabCustoUnit[[#Headers],[COFINS]],tabParametros[#Headers],0),0))/(tabCustoUnit[[#This Row],[Resumo de Alíquotas (PIS+CONFINS+ISS)]]*100)</f>
        <v>8.5633802816901458E-2</v>
      </c>
      <c r="BQ117" s="26">
        <f>((100/((100-(tabCustoUnit[[#This Row],[Resumo de Alíquotas (PIS+CONFINS+ISS)]]*100))%)-100)*VLOOKUP(tabCustoUnit[[#This Row],[Código do Posto]],tabParametros[],MATCH(tabCustoUnit[[#Headers],[PIS]],tabParametros[#Headers],0),0))/(tabCustoUnit[[#This Row],[Resumo de Alíquotas (PIS+CONFINS+ISS)]]*100)</f>
        <v>1.8591549295774657E-2</v>
      </c>
      <c r="BR117" s="28">
        <f>VLOOKUP(tabCustoUnit[[#This Row],[Código do Posto]],tabParametros[],MATCH(tabCustoUnit[[#Headers],[ISS]],tabParametros[#Headers],0),0)</f>
        <v>0.02</v>
      </c>
      <c r="BS117" s="26">
        <f>(((100/((100-(tabCustoUnit[[#This Row],[Resumo de Alíquotas (PIS+CONFINS+ISS)]]*100))%)-100)*tabCustoUnit[[#This Row],[ISS]])/tabCustoUnit[[#This Row],[Resumo de Alíquotas (PIS+CONFINS+ISS)]])/100</f>
        <v>2.2535211267605645E-2</v>
      </c>
      <c r="BT11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17" s="138">
        <f>tabCustoUnit[[#This Row],[COFINS]]+tabCustoUnit[[#This Row],[PIS]]+tabCustoUnit[[#This Row],[ISS (Conversão Alíquota s/ fatura)]]</f>
        <v>0.12676056338028174</v>
      </c>
      <c r="BV117" s="22" t="e">
        <f ca="1">(tabCustoUnit[[#This Row],[TOTAL MÓDULOS 1+2+3+4+5]]+tabCustoUnit[[#This Row],[Custos Indiretos]]+tabCustoUnit[[#This Row],[Lucro]])*tabCustoUnit[[#This Row],[PIS + COFINS + ISS (Total Conversão  Alíquota s/ Fatura)]]</f>
        <v>#NAME?</v>
      </c>
      <c r="BW117" s="22" t="e">
        <f ca="1">tabCustoUnit[[#This Row],[Custos Indiretos]]+tabCustoUnit[[#This Row],[Lucro]]+tabCustoUnit[[#This Row],[Valor dos Tributos (ISS, PIS, CONFINS)]]</f>
        <v>#NAME?</v>
      </c>
      <c r="BX117" s="22" t="e">
        <f ca="1">tabCustoUnit[[#This Row],[TOTAL MÓDULOS 1+2+3+4+5]]+tabCustoUnit[[#This Row],[MÓDULO 6 – CUSTOS INDIRETOS, TRIBUTOS E LUCRO]]</f>
        <v>#NAME?</v>
      </c>
      <c r="BY117" s="22" t="e">
        <f ca="1">tabCustoUnit[[#This Row],[CUSTO TOTAL MENSAL]]*12</f>
        <v>#NAME?</v>
      </c>
      <c r="BZ117" s="24">
        <f>VLOOKUP(tabCustoUnit[[#This Row],[Código do Posto]],tabParametros[],MATCH(tabCustoUnit[[#Headers],[ANO DA CCT]],tabParametros[#Headers],0),0)</f>
        <v>45658</v>
      </c>
      <c r="CA117" s="25" t="str">
        <f>VLOOKUP(tabCustoUnit[[#This Row],[Código do Posto]],tabParametros[],MATCH(tabCustoUnit[[#Headers],[Nº DE PEDIDO DA CCT]],tabParametros[#Headers],0),0)</f>
        <v>-</v>
      </c>
      <c r="CB117" s="25" t="str">
        <f>VLOOKUP(tabCustoUnit[[#This Row],[Código do Posto]],tabParametros[],MATCH(tabCustoUnit[[#Headers],[TERMO ADITIVO ALTERAÇÃO DA CCT]],tabParametros[#Headers],0),0)</f>
        <v>-</v>
      </c>
    </row>
    <row r="118" spans="1:80">
      <c r="A118" s="20" t="s">
        <v>1467</v>
      </c>
      <c r="B118" t="s">
        <v>905</v>
      </c>
      <c r="C118" t="s">
        <v>1367</v>
      </c>
      <c r="D118" t="s">
        <v>905</v>
      </c>
      <c r="E118" s="20" t="s">
        <v>1090</v>
      </c>
      <c r="F118" s="20" t="s">
        <v>120</v>
      </c>
      <c r="G118" s="418">
        <v>2087.4324000000001</v>
      </c>
      <c r="H118" s="418">
        <v>0</v>
      </c>
      <c r="I118" s="418">
        <v>303.60000000000002</v>
      </c>
      <c r="J118" s="418">
        <v>0</v>
      </c>
      <c r="K118" s="418">
        <v>0</v>
      </c>
      <c r="L118" s="418">
        <v>0</v>
      </c>
      <c r="M118" s="418">
        <v>0</v>
      </c>
      <c r="N118" s="418">
        <v>0</v>
      </c>
      <c r="O118" s="21">
        <f>SUM(tabCustoUnit[[#This Row],[Salário Base]:[Adicional de Acúmulo de função]])</f>
        <v>2391.0324000000001</v>
      </c>
      <c r="P118" s="21">
        <f>tabCustoUnit[[#This Row],[MODULO 1 - REMUNERAÇÃO ]]*SUMIFS(tabParametros[INSS],tabParametros[Código do Posto],tabCustoUnit[[#This Row],[Código do Posto]])</f>
        <v>478.20648000000006</v>
      </c>
      <c r="Q118" s="21">
        <f>tabCustoUnit[[#This Row],[MODULO 1 - REMUNERAÇÃO ]]*SUMIFS(tabParametros[SESI OU SESC],tabParametros[Código do Posto],tabCustoUnit[[#This Row],[Código do Posto]])</f>
        <v>35.865485999999997</v>
      </c>
      <c r="R118" s="21">
        <f>tabCustoUnit[[#This Row],[MODULO 1 - REMUNERAÇÃO ]]*SUMIFS(tabParametros[SENAI OU SENAC],tabParametros[Código do Posto],tabCustoUnit[[#This Row],[Código do Posto]])</f>
        <v>23.910324000000003</v>
      </c>
      <c r="S118" s="21">
        <f>tabCustoUnit[[#This Row],[MODULO 1 - REMUNERAÇÃO ]]*SUMIFS(tabParametros[INCRA],tabParametros[Código do Posto],tabCustoUnit[[#This Row],[Código do Posto]])</f>
        <v>4.7820648000000006</v>
      </c>
      <c r="T118" s="21">
        <f>tabCustoUnit[[#This Row],[MODULO 1 - REMUNERAÇÃO ]]*SUMIFS(tabParametros[Salário Educação],tabParametros[Código do Posto],tabCustoUnit[[#This Row],[Código do Posto]])</f>
        <v>59.775810000000007</v>
      </c>
      <c r="U118" s="21">
        <f>tabCustoUnit[[#This Row],[MODULO 1 - REMUNERAÇÃO ]]*SUMIFS(tabParametros[FGTS],tabParametros[Código do Posto],tabCustoUnit[[#This Row],[Código do Posto]])</f>
        <v>191.28259200000002</v>
      </c>
      <c r="V118" s="21">
        <f>tabCustoUnit[[#This Row],[MODULO 1 - REMUNERAÇÃO ]]*SUMIFS(tabParametros[RAT Ajustado],tabParametros[Código do Posto],tabCustoUnit[[#This Row],[Código do Posto]])</f>
        <v>95.641296000000011</v>
      </c>
      <c r="W118" s="21">
        <f>tabCustoUnit[[#This Row],[MODULO 1 - REMUNERAÇÃO ]]*SUMIFS(tabParametros[SEBRAE],tabParametros[Código do Posto],tabCustoUnit[[#This Row],[Código do Posto]])</f>
        <v>14.3461944</v>
      </c>
      <c r="X118" s="21">
        <f>SUM(tabCustoUnit[[#This Row],[INSS]:[SEBRAE]])</f>
        <v>903.81024720000005</v>
      </c>
      <c r="Y118" s="21">
        <f>tabCustoUnit[[#This Row],[MODULO 1 - REMUNERAÇÃO ]]*SUMIFS(tabParametros[13º salário (titular)],tabParametros[Código do Posto],tabCustoUnit[[#This Row],[Código do Posto]])</f>
        <v>199.2527</v>
      </c>
      <c r="Z118" s="21">
        <f>tabCustoUnit[[#This Row],[MODULO 1 - REMUNERAÇÃO ]]*SUMIFS(tabParametros[Férias e Adicional de Férias (titular)],tabParametros[Código do Posto],tabCustoUnit[[#This Row],[Código do Posto]])</f>
        <v>265.67026666666663</v>
      </c>
      <c r="AA118" s="21">
        <f>IFERROR((tabCustoUnit[[#This Row],[Submódulo 2.1]]/tabCustoUnit[[#This Row],[MODULO 1 - REMUNERAÇÃO ]])*SUM(tabCustoUnit[[#This Row],[13º salário (titular)]:[Férias e Adicional de Férias (titular)]]),0)</f>
        <v>175.74088139999998</v>
      </c>
      <c r="AB118" s="21">
        <f>SUM(tabCustoUnit[[#This Row],[13º salário (titular)]:[Incidência do Submódulo 2.1 sobre 13º Salário, Férias e Adicional de Férias]])</f>
        <v>640.66384806666656</v>
      </c>
      <c r="AC118" s="22" t="e">
        <f ca="1">_xlfn.LET(_xlpm.VT,SUMIF(tabParametros[Código do Posto],tabCustoUnit[[#This Row],[Código do Posto]],tabParametros[Vale - Transporte])*2*20,
IF((_xlpm.VT-tabCustoUnit[[#This Row],[Salário Base]]*0.06)&gt;=0,(_xlpm.VT-tabCustoUnit[[#This Row],[Salário Base]]*0.06),0)
)</f>
        <v>#NAME?</v>
      </c>
      <c r="AD118" s="22">
        <f>IF(SUMIF(tabParametros[Código do Posto],tabCustoUnit[[#This Row],[Código do Posto]],tabParametros[Vale - Alimentação])&lt;=0,0,
SUMIF(tabParametros[Código do Posto],tabCustoUnit[[#This Row],[Código do Posto]],tabParametros[Vale - Alimentação])*20-1)</f>
        <v>582</v>
      </c>
      <c r="AE118" s="22">
        <f>SUMIF(tabParametros[Código do Posto],tabCustoUnit[[#This Row],[Código do Posto]],tabParametros[Cesta Básica])</f>
        <v>0</v>
      </c>
      <c r="AF118" s="22">
        <f>SUMIF(tabParametros[Código do Posto],tabCustoUnit[[#This Row],[Código do Posto]],tabParametros[PAF])</f>
        <v>57.07</v>
      </c>
      <c r="AG118" s="22">
        <f>SUMIF(tabParametros[Código do Posto],tabCustoUnit[[#This Row],[Código do Posto]],tabParametros[PQM])</f>
        <v>0</v>
      </c>
      <c r="AH118" s="22">
        <f>SUMIF(tabParametros[Código do Posto],tabCustoUnit[[#This Row],[Código do Posto]],tabParametros[Abono Único e Especial])</f>
        <v>0</v>
      </c>
      <c r="AI118" s="22">
        <f>SUMIF(tabParametros[Código do Posto],tabCustoUnit[[#This Row],[Código do Posto]],tabParametros[Seguro de Vida])</f>
        <v>3.36</v>
      </c>
      <c r="AJ118" s="22">
        <f>SUMIF(tabParametros[Código do Posto],tabCustoUnit[[#This Row],[Código do Posto]],tabParametros[Despesas de Viagem])</f>
        <v>0</v>
      </c>
      <c r="AK118" s="22" t="e">
        <f ca="1">SUM(tabCustoUnit[[#This Row],[Vale - Transporte (Descontada parcela do empregado)]:[Despesas de Viagem]])</f>
        <v>#NAME?</v>
      </c>
      <c r="AL118" s="22" t="e">
        <f ca="1">tabCustoUnit[[#This Row],[Submódulo 2.1]]+tabCustoUnit[[#This Row],[Submódulo 2.2]]+tabCustoUnit[[#This Row],[Submódulo 2.3]]</f>
        <v>#NAME?</v>
      </c>
      <c r="AM118" s="22">
        <f>SUMIF(tabParametros[Código do Posto],tabCustoUnit[[#This Row],[Código do Posto]],tabParametros[Aviso Prévio Indenizado (API) e Reflexo do Aviso Prévio Indenizado])*tabCustoUnit[[#This Row],[MODULO 1 - REMUNERAÇÃO ]]</f>
        <v>16.765362019212965</v>
      </c>
      <c r="AN118" s="22">
        <f>SUMIF(tabParametros[Código do Posto],tabCustoUnit[[#This Row],[Código do Posto]],tabParametros[Incidência do FGTS sobre API e Reflexo do API])*tabCustoUnit[[#This Row],[MODULO 1 - REMUNERAÇÃO ]]</f>
        <v>1.3412289615370372</v>
      </c>
      <c r="AO118" s="22">
        <f>SUMIF(tabParametros[Código do Posto],tabCustoUnit[[#This Row],[Código do Posto]],tabParametros[Multa Rescisória do FGTS sobre o Aviso Prévio Indenizado])*tabCustoUnit[[#This Row],[MODULO 1 - REMUNERAÇÃO ]]</f>
        <v>0.53649158461481494</v>
      </c>
      <c r="AP118" s="22">
        <f>SUMIF(tabParametros[Código do Posto],tabCustoUnit[[#This Row],[Código do Posto]],tabParametros[Aviso Prévio Trabalhado - APT])*tabCustoUnit[[#This Row],[MODULO 1 - REMUNERAÇÃO ]]</f>
        <v>8.368613400000001</v>
      </c>
      <c r="AQ118" s="22">
        <f>SUMIF(tabParametros[Código do Posto],tabCustoUnit[[#This Row],[Código do Posto]],tabParametros[Incidência dos encargos do submódulo 2.1 sobre Aviso Prévio Trabalhado])*tabCustoUnit[[#This Row],[MODULO 1 - REMUNERAÇÃO ]]</f>
        <v>3.163335865200001</v>
      </c>
      <c r="AR118" s="22">
        <f>SUMIF(tabParametros[Código do Posto],tabCustoUnit[[#This Row],[Código do Posto]],tabParametros[Multa Rescisória do FGTS])*tabCustoUnit[[#This Row],[MODULO 1 - REMUNERAÇÃO ]]</f>
        <v>73.112457386666662</v>
      </c>
      <c r="AS118" s="22">
        <f>SUMIF(tabParametros[Código do Posto],tabCustoUnit[[#This Row],[Código do Posto]],tabParametros[Indenização Adicional (Art. 9º da Lei nº 7.238/84)])*tabCustoUnit[[#This Row],[MODULO 1 - REMUNERAÇÃO ]]</f>
        <v>1.9925270000000002</v>
      </c>
      <c r="AT118" s="22">
        <f>SUM(tabCustoUnit[[#This Row],[Aviso Prévio Indenizado (API) e Reflexo do Aviso Prévio Indenizado]:[Indenização Adicional (Art. 9º da Lei nº 7.238/84)]])</f>
        <v>105.28001621723148</v>
      </c>
      <c r="AU118" s="22">
        <f>SUMIF(tabParametros[Código do Posto],tabCustoUnit[[#This Row],[Código do Posto]],tabParametros[Ausência por Doença])*tabCustoUnit[[#This Row],[MODULO 1 - REMUNERAÇÃO ]]</f>
        <v>20.190940266666665</v>
      </c>
      <c r="AV118" s="22">
        <f>SUMIF(tabParametros[Código do Posto],tabCustoUnit[[#This Row],[Código do Posto]],tabParametros[Ausências Legais])*tabCustoUnit[[#This Row],[MODULO 1 - REMUNERAÇÃO ]]</f>
        <v>4.8484823666666665</v>
      </c>
      <c r="AW118" s="22">
        <f>SUMIF(tabParametros[Código do Posto],tabCustoUnit[[#This Row],[Código do Posto]],tabParametros[Licença Paternidade])*tabCustoUnit[[#This Row],[MODULO 1 - REMUNERAÇÃO ]]</f>
        <v>0.40846803500000001</v>
      </c>
      <c r="AX118" s="22">
        <f>SUMIF(tabParametros[Código do Posto],tabCustoUnit[[#This Row],[Código do Posto]],tabParametros[Ausência por Acidente de Trabalho])*tabCustoUnit[[#This Row],[MODULO 1 - REMUNERAÇÃO ]]</f>
        <v>0.49813175000000004</v>
      </c>
      <c r="AY118" s="22">
        <f>SUMIF(tabParametros[Código do Posto],tabCustoUnit[[#This Row],[Código do Posto]],tabParametros[Férias, Adicional de Férias e 13º  com empregada em gozo de Licença Maternidade])*tabCustoUnit[[#This Row],[MODULO 1 - REMUNERAÇÃO ]]</f>
        <v>3.0994864444444445</v>
      </c>
      <c r="AZ118" s="22">
        <f>SUMIF(tabParametros[Código do Posto],tabCustoUnit[[#This Row],[Código do Posto]],tabParametros[Incidência do Submódulo 2.1 sobre Ausências Legais])*tabCustoUnit[[#This Row],[MODULO 1 - REMUNERAÇÃO ]]</f>
        <v>10.979202350130002</v>
      </c>
      <c r="BA118" s="22">
        <f>SUM(tabCustoUnit[[#This Row],[Ausência por Doença]:[Incidência do Submódulo 2.1 sobre Ausências Legais]])</f>
        <v>40.024711212907775</v>
      </c>
      <c r="BB118" s="22">
        <f>SUMIF(tabParametros[Código do Posto],tabCustoUnit[[#This Row],[Código do Posto]],tabParametros[Intervalo para Repouso ou Alimentação])</f>
        <v>0</v>
      </c>
      <c r="BC118" s="22">
        <f>tabCustoUnit[[#This Row],[Intervalo para Repouso ou Alimentação]]</f>
        <v>0</v>
      </c>
      <c r="BD11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8" s="22">
        <f>tabCustoUnit[[#This Row],[Suspensão Temporária do Contrato de Trabalho]]</f>
        <v>0</v>
      </c>
      <c r="BF118" s="22">
        <f>tabCustoUnit[[#This Row],[Submódulo 4.1]]+tabCustoUnit[[#This Row],[Submódulo 4.2]]+tabCustoUnit[[#This Row],[Submódulo 4.3]]</f>
        <v>40.024711212907775</v>
      </c>
      <c r="BG118" s="22">
        <f>VLOOKUP(tabCustoUnit[[#This Row],[Código do Posto]],tabParametros[],MATCH(tabCustoUnit[[#Headers],[Uniformes e EPIs]],tabParametros[#Headers],0),0)</f>
        <v>253.83572732312174</v>
      </c>
      <c r="BH118" s="22">
        <f>VLOOKUP(tabCustoUnit[[#This Row],[Código do Posto]],tabParametros[],MATCH(tabCustoUnit[[#Headers],[Materiais de Consumo]],tabParametros[#Headers],0),0)</f>
        <v>441.81099462365592</v>
      </c>
      <c r="BI118" s="22">
        <f>VLOOKUP(tabCustoUnit[[#This Row],[Código do Posto]],tabParametros[],MATCH(tabCustoUnit[[#Headers],[Máquinas e Equipamentos (depreciação)]],tabParametros[#Headers],0),0)</f>
        <v>113.11309677419354</v>
      </c>
      <c r="BJ118" s="22">
        <f>VLOOKUP(tabCustoUnit[[#This Row],[Código do Posto]],tabParametros[],MATCH(tabCustoUnit[[#Headers],[Produtos de Limpeza e Materiais de Higiene Pessoal]],tabParametros[#Headers],0),0)</f>
        <v>0</v>
      </c>
      <c r="BK118" s="22">
        <f>VLOOKUP(tabCustoUnit[[#This Row],[Código do Posto]],tabParametros[],MATCH(tabCustoUnit[[#Headers],[Outros (especificar)]],tabParametros[#Headers],0),0)</f>
        <v>0</v>
      </c>
      <c r="BL118" s="22">
        <f>SUM(tabCustoUnit[[#This Row],[Uniformes e EPIs]:[Outros (especificar)]])</f>
        <v>808.75981872097123</v>
      </c>
      <c r="BM11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8" s="22" t="e">
        <f ca="1">VLOOKUP(tabCustoUnit[[#This Row],[Código do Posto]],tabParametros[],MATCH(tabCustoUnit[[#Headers],[Custos Indiretos]],tabParametros[#Headers],0),0)</f>
        <v>#NAME?</v>
      </c>
      <c r="BO118" s="22" t="e">
        <f ca="1">VLOOKUP(tabCustoUnit[[#This Row],[Código do Posto]],tabParametros[],MATCH(tabCustoUnit[[#Headers],[Lucro]],tabParametros[#Headers],0),0)</f>
        <v>#NAME?</v>
      </c>
      <c r="BP118" s="26">
        <f>((100/((1-tabCustoUnit[[#This Row],[Resumo de Alíquotas (PIS+CONFINS+ISS)]]))-100)*VLOOKUP(tabCustoUnit[[#This Row],[Código do Posto]],tabParametros[],MATCH(tabCustoUnit[[#Headers],[COFINS]],tabParametros[#Headers],0),0))/(tabCustoUnit[[#This Row],[Resumo de Alíquotas (PIS+CONFINS+ISS)]]*100)</f>
        <v>8.8629737609329504E-2</v>
      </c>
      <c r="BQ118" s="26">
        <f>((100/((100-(tabCustoUnit[[#This Row],[Resumo de Alíquotas (PIS+CONFINS+ISS)]]*100))%)-100)*VLOOKUP(tabCustoUnit[[#This Row],[Código do Posto]],tabParametros[],MATCH(tabCustoUnit[[#Headers],[PIS]],tabParametros[#Headers],0),0))/(tabCustoUnit[[#This Row],[Resumo de Alíquotas (PIS+CONFINS+ISS)]]*100)</f>
        <v>1.9241982507288629E-2</v>
      </c>
      <c r="BR118" s="28">
        <f>VLOOKUP(tabCustoUnit[[#This Row],[Código do Posto]],tabParametros[],MATCH(tabCustoUnit[[#Headers],[ISS]],tabParametros[#Headers],0),0)</f>
        <v>0.05</v>
      </c>
      <c r="BS118" s="26">
        <f>(((100/((100-(tabCustoUnit[[#This Row],[Resumo de Alíquotas (PIS+CONFINS+ISS)]]*100))%)-100)*tabCustoUnit[[#This Row],[ISS]])/tabCustoUnit[[#This Row],[Resumo de Alíquotas (PIS+CONFINS+ISS)]])/100</f>
        <v>5.8309037900874633E-2</v>
      </c>
      <c r="BT11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8" s="138">
        <f>tabCustoUnit[[#This Row],[COFINS]]+tabCustoUnit[[#This Row],[PIS]]+tabCustoUnit[[#This Row],[ISS (Conversão Alíquota s/ fatura)]]</f>
        <v>0.16618075801749277</v>
      </c>
      <c r="BV118" s="22" t="e">
        <f ca="1">(tabCustoUnit[[#This Row],[TOTAL MÓDULOS 1+2+3+4+5]]+tabCustoUnit[[#This Row],[Custos Indiretos]]+tabCustoUnit[[#This Row],[Lucro]])*tabCustoUnit[[#This Row],[PIS + COFINS + ISS (Total Conversão  Alíquota s/ Fatura)]]</f>
        <v>#NAME?</v>
      </c>
      <c r="BW118" s="22" t="e">
        <f ca="1">tabCustoUnit[[#This Row],[Custos Indiretos]]+tabCustoUnit[[#This Row],[Lucro]]+tabCustoUnit[[#This Row],[Valor dos Tributos (ISS, PIS, CONFINS)]]</f>
        <v>#NAME?</v>
      </c>
      <c r="BX118" s="22" t="e">
        <f ca="1">tabCustoUnit[[#This Row],[TOTAL MÓDULOS 1+2+3+4+5]]+tabCustoUnit[[#This Row],[MÓDULO 6 – CUSTOS INDIRETOS, TRIBUTOS E LUCRO]]</f>
        <v>#NAME?</v>
      </c>
      <c r="BY118" s="22" t="e">
        <f ca="1">tabCustoUnit[[#This Row],[CUSTO TOTAL MENSAL]]*12</f>
        <v>#NAME?</v>
      </c>
      <c r="BZ118" s="24">
        <f>VLOOKUP(tabCustoUnit[[#This Row],[Código do Posto]],tabParametros[],MATCH(tabCustoUnit[[#Headers],[ANO DA CCT]],tabParametros[#Headers],0),0)</f>
        <v>45658</v>
      </c>
      <c r="CA118" s="25" t="str">
        <f>VLOOKUP(tabCustoUnit[[#This Row],[Código do Posto]],tabParametros[],MATCH(tabCustoUnit[[#Headers],[Nº DE PEDIDO DA CCT]],tabParametros[#Headers],0),0)</f>
        <v>-</v>
      </c>
      <c r="CB118" s="25" t="str">
        <f>VLOOKUP(tabCustoUnit[[#This Row],[Código do Posto]],tabParametros[],MATCH(tabCustoUnit[[#Headers],[TERMO ADITIVO ALTERAÇÃO DA CCT]],tabParametros[#Headers],0),0)</f>
        <v>-</v>
      </c>
    </row>
    <row r="119" spans="1:80">
      <c r="A119" s="20" t="s">
        <v>1577</v>
      </c>
      <c r="B119" t="s">
        <v>905</v>
      </c>
      <c r="C119" t="s">
        <v>1368</v>
      </c>
      <c r="D119" t="s">
        <v>905</v>
      </c>
      <c r="E119" s="20" t="s">
        <v>1090</v>
      </c>
      <c r="F119" s="20" t="s">
        <v>120</v>
      </c>
      <c r="G119" s="418">
        <v>2296.1756999999998</v>
      </c>
      <c r="H119" s="418">
        <v>0</v>
      </c>
      <c r="I119" s="418">
        <v>303.60000000000002</v>
      </c>
      <c r="J119" s="418">
        <v>0</v>
      </c>
      <c r="K119" s="418">
        <v>0</v>
      </c>
      <c r="L119" s="418">
        <v>0</v>
      </c>
      <c r="M119" s="418">
        <v>0</v>
      </c>
      <c r="N119" s="418">
        <v>0</v>
      </c>
      <c r="O119" s="21">
        <f>SUM(tabCustoUnit[[#This Row],[Salário Base]:[Adicional de Acúmulo de função]])</f>
        <v>2599.7756999999997</v>
      </c>
      <c r="P119" s="21">
        <f>tabCustoUnit[[#This Row],[MODULO 1 - REMUNERAÇÃO ]]*SUMIFS(tabParametros[INSS],tabParametros[Código do Posto],tabCustoUnit[[#This Row],[Código do Posto]])</f>
        <v>519.95513999999991</v>
      </c>
      <c r="Q119" s="21">
        <f>tabCustoUnit[[#This Row],[MODULO 1 - REMUNERAÇÃO ]]*SUMIFS(tabParametros[SESI OU SESC],tabParametros[Código do Posto],tabCustoUnit[[#This Row],[Código do Posto]])</f>
        <v>38.996635499999996</v>
      </c>
      <c r="R119" s="21">
        <f>tabCustoUnit[[#This Row],[MODULO 1 - REMUNERAÇÃO ]]*SUMIFS(tabParametros[SENAI OU SENAC],tabParametros[Código do Posto],tabCustoUnit[[#This Row],[Código do Posto]])</f>
        <v>25.997756999999996</v>
      </c>
      <c r="S119" s="21">
        <f>tabCustoUnit[[#This Row],[MODULO 1 - REMUNERAÇÃO ]]*SUMIFS(tabParametros[INCRA],tabParametros[Código do Posto],tabCustoUnit[[#This Row],[Código do Posto]])</f>
        <v>5.1995513999999998</v>
      </c>
      <c r="T119" s="21">
        <f>tabCustoUnit[[#This Row],[MODULO 1 - REMUNERAÇÃO ]]*SUMIFS(tabParametros[Salário Educação],tabParametros[Código do Posto],tabCustoUnit[[#This Row],[Código do Posto]])</f>
        <v>64.994392499999989</v>
      </c>
      <c r="U119" s="21">
        <f>tabCustoUnit[[#This Row],[MODULO 1 - REMUNERAÇÃO ]]*SUMIFS(tabParametros[FGTS],tabParametros[Código do Posto],tabCustoUnit[[#This Row],[Código do Posto]])</f>
        <v>207.98205599999997</v>
      </c>
      <c r="V119" s="21">
        <f>tabCustoUnit[[#This Row],[MODULO 1 - REMUNERAÇÃO ]]*SUMIFS(tabParametros[RAT Ajustado],tabParametros[Código do Posto],tabCustoUnit[[#This Row],[Código do Posto]])</f>
        <v>103.99102799999999</v>
      </c>
      <c r="W119" s="21">
        <f>tabCustoUnit[[#This Row],[MODULO 1 - REMUNERAÇÃO ]]*SUMIFS(tabParametros[SEBRAE],tabParametros[Código do Posto],tabCustoUnit[[#This Row],[Código do Posto]])</f>
        <v>15.598654199999999</v>
      </c>
      <c r="X119" s="21">
        <f>SUM(tabCustoUnit[[#This Row],[INSS]:[SEBRAE]])</f>
        <v>982.71521459999985</v>
      </c>
      <c r="Y119" s="21">
        <f>tabCustoUnit[[#This Row],[MODULO 1 - REMUNERAÇÃO ]]*SUMIFS(tabParametros[13º salário (titular)],tabParametros[Código do Posto],tabCustoUnit[[#This Row],[Código do Posto]])</f>
        <v>216.64797499999997</v>
      </c>
      <c r="Z119" s="21">
        <f>tabCustoUnit[[#This Row],[MODULO 1 - REMUNERAÇÃO ]]*SUMIFS(tabParametros[Férias e Adicional de Férias (titular)],tabParametros[Código do Posto],tabCustoUnit[[#This Row],[Código do Posto]])</f>
        <v>288.86396666666661</v>
      </c>
      <c r="AA119" s="21">
        <f>IFERROR((tabCustoUnit[[#This Row],[Submódulo 2.1]]/tabCustoUnit[[#This Row],[MODULO 1 - REMUNERAÇÃO ]])*SUM(tabCustoUnit[[#This Row],[13º salário (titular)]:[Férias e Adicional de Férias (titular)]]),0)</f>
        <v>191.08351394999997</v>
      </c>
      <c r="AB119" s="21">
        <f>SUM(tabCustoUnit[[#This Row],[13º salário (titular)]:[Incidência do Submódulo 2.1 sobre 13º Salário, Férias e Adicional de Férias]])</f>
        <v>696.59545561666653</v>
      </c>
      <c r="AC119" s="22" t="e">
        <f ca="1">_xlfn.LET(_xlpm.VT,SUMIF(tabParametros[Código do Posto],tabCustoUnit[[#This Row],[Código do Posto]],tabParametros[Vale - Transporte])*2*20,
IF((_xlpm.VT-tabCustoUnit[[#This Row],[Salário Base]]*0.06)&gt;=0,(_xlpm.VT-tabCustoUnit[[#This Row],[Salário Base]]*0.06),0)
)</f>
        <v>#NAME?</v>
      </c>
      <c r="AD119" s="22">
        <f>IF(SUMIF(tabParametros[Código do Posto],tabCustoUnit[[#This Row],[Código do Posto]],tabParametros[Vale - Alimentação])&lt;=0,0,
SUMIF(tabParametros[Código do Posto],tabCustoUnit[[#This Row],[Código do Posto]],tabParametros[Vale - Alimentação])*20-1)</f>
        <v>582</v>
      </c>
      <c r="AE119" s="22">
        <f>SUMIF(tabParametros[Código do Posto],tabCustoUnit[[#This Row],[Código do Posto]],tabParametros[Cesta Básica])</f>
        <v>0</v>
      </c>
      <c r="AF119" s="22">
        <f>SUMIF(tabParametros[Código do Posto],tabCustoUnit[[#This Row],[Código do Posto]],tabParametros[PAF])</f>
        <v>57.07</v>
      </c>
      <c r="AG119" s="22">
        <f>SUMIF(tabParametros[Código do Posto],tabCustoUnit[[#This Row],[Código do Posto]],tabParametros[PQM])</f>
        <v>0</v>
      </c>
      <c r="AH119" s="22">
        <f>SUMIF(tabParametros[Código do Posto],tabCustoUnit[[#This Row],[Código do Posto]],tabParametros[Abono Único e Especial])</f>
        <v>0</v>
      </c>
      <c r="AI119" s="22">
        <f>SUMIF(tabParametros[Código do Posto],tabCustoUnit[[#This Row],[Código do Posto]],tabParametros[Seguro de Vida])</f>
        <v>3.36</v>
      </c>
      <c r="AJ119" s="22">
        <f>SUMIF(tabParametros[Código do Posto],tabCustoUnit[[#This Row],[Código do Posto]],tabParametros[Despesas de Viagem])</f>
        <v>0</v>
      </c>
      <c r="AK119" s="22" t="e">
        <f ca="1">SUM(tabCustoUnit[[#This Row],[Vale - Transporte (Descontada parcela do empregado)]:[Despesas de Viagem]])</f>
        <v>#NAME?</v>
      </c>
      <c r="AL119" s="22" t="e">
        <f ca="1">tabCustoUnit[[#This Row],[Submódulo 2.1]]+tabCustoUnit[[#This Row],[Submódulo 2.2]]+tabCustoUnit[[#This Row],[Submódulo 2.3]]</f>
        <v>#NAME?</v>
      </c>
      <c r="AM119" s="22">
        <f>SUMIF(tabParametros[Código do Posto],tabCustoUnit[[#This Row],[Código do Posto]],tabParametros[Aviso Prévio Indenizado (API) e Reflexo do Aviso Prévio Indenizado])*tabCustoUnit[[#This Row],[MODULO 1 - REMUNERAÇÃO ]]</f>
        <v>18.229021396469907</v>
      </c>
      <c r="AN119" s="22">
        <f>SUMIF(tabParametros[Código do Posto],tabCustoUnit[[#This Row],[Código do Posto]],tabParametros[Incidência do FGTS sobre API e Reflexo do API])*tabCustoUnit[[#This Row],[MODULO 1 - REMUNERAÇÃO ]]</f>
        <v>1.4583217117175926</v>
      </c>
      <c r="AO119" s="22">
        <f>SUMIF(tabParametros[Código do Posto],tabCustoUnit[[#This Row],[Código do Posto]],tabParametros[Multa Rescisória do FGTS sobre o Aviso Prévio Indenizado])*tabCustoUnit[[#This Row],[MODULO 1 - REMUNERAÇÃO ]]</f>
        <v>0.58332868468703702</v>
      </c>
      <c r="AP119" s="22">
        <f>SUMIF(tabParametros[Código do Posto],tabCustoUnit[[#This Row],[Código do Posto]],tabParametros[Aviso Prévio Trabalhado - APT])*tabCustoUnit[[#This Row],[MODULO 1 - REMUNERAÇÃO ]]</f>
        <v>9.0992149500000004</v>
      </c>
      <c r="AQ119" s="22">
        <f>SUMIF(tabParametros[Código do Posto],tabCustoUnit[[#This Row],[Código do Posto]],tabParametros[Incidência dos encargos do submódulo 2.1 sobre Aviso Prévio Trabalhado])*tabCustoUnit[[#This Row],[MODULO 1 - REMUNERAÇÃO ]]</f>
        <v>3.4395032511000005</v>
      </c>
      <c r="AR119" s="22">
        <f>SUMIF(tabParametros[Código do Posto],tabCustoUnit[[#This Row],[Código do Posto]],tabParametros[Multa Rescisória do FGTS])*tabCustoUnit[[#This Row],[MODULO 1 - REMUNERAÇÃO ]]</f>
        <v>79.495363626666645</v>
      </c>
      <c r="AS119" s="22">
        <f>SUMIF(tabParametros[Código do Posto],tabCustoUnit[[#This Row],[Código do Posto]],tabParametros[Indenização Adicional (Art. 9º da Lei nº 7.238/84)])*tabCustoUnit[[#This Row],[MODULO 1 - REMUNERAÇÃO ]]</f>
        <v>2.1664797499999997</v>
      </c>
      <c r="AT119" s="22">
        <f>SUM(tabCustoUnit[[#This Row],[Aviso Prévio Indenizado (API) e Reflexo do Aviso Prévio Indenizado]:[Indenização Adicional (Art. 9º da Lei nº 7.238/84)]])</f>
        <v>114.47123337064117</v>
      </c>
      <c r="AU119" s="22">
        <f>SUMIF(tabParametros[Código do Posto],tabCustoUnit[[#This Row],[Código do Posto]],tabParametros[Ausência por Doença])*tabCustoUnit[[#This Row],[MODULO 1 - REMUNERAÇÃO ]]</f>
        <v>21.953661466666663</v>
      </c>
      <c r="AV119" s="22">
        <f>SUMIF(tabParametros[Código do Posto],tabCustoUnit[[#This Row],[Código do Posto]],tabParametros[Ausências Legais])*tabCustoUnit[[#This Row],[MODULO 1 - REMUNERAÇÃO ]]</f>
        <v>5.2717673916666659</v>
      </c>
      <c r="AW119" s="22">
        <f>SUMIF(tabParametros[Código do Posto],tabCustoUnit[[#This Row],[Código do Posto]],tabParametros[Licença Paternidade])*tabCustoUnit[[#This Row],[MODULO 1 - REMUNERAÇÃO ]]</f>
        <v>0.44412834874999996</v>
      </c>
      <c r="AX119" s="22">
        <f>SUMIF(tabParametros[Código do Posto],tabCustoUnit[[#This Row],[Código do Posto]],tabParametros[Ausência por Acidente de Trabalho])*tabCustoUnit[[#This Row],[MODULO 1 - REMUNERAÇÃO ]]</f>
        <v>0.54161993749999993</v>
      </c>
      <c r="AY119" s="22">
        <f>SUMIF(tabParametros[Código do Posto],tabCustoUnit[[#This Row],[Código do Posto]],tabParametros[Férias, Adicional de Férias e 13º  com empregada em gozo de Licença Maternidade])*tabCustoUnit[[#This Row],[MODULO 1 - REMUNERAÇÃO ]]</f>
        <v>3.3700796111111107</v>
      </c>
      <c r="AZ119" s="22">
        <f>SUMIF(tabParametros[Código do Posto],tabCustoUnit[[#This Row],[Código do Posto]],tabParametros[Incidência do Submódulo 2.1 sobre Ausências Legais])*tabCustoUnit[[#This Row],[MODULO 1 - REMUNERAÇÃO ]]</f>
        <v>11.9377150536525</v>
      </c>
      <c r="BA119" s="22">
        <f>SUM(tabCustoUnit[[#This Row],[Ausência por Doença]:[Incidência do Submódulo 2.1 sobre Ausências Legais]])</f>
        <v>43.518971809346937</v>
      </c>
      <c r="BB119" s="22">
        <f>SUMIF(tabParametros[Código do Posto],tabCustoUnit[[#This Row],[Código do Posto]],tabParametros[Intervalo para Repouso ou Alimentação])</f>
        <v>0</v>
      </c>
      <c r="BC119" s="22">
        <f>tabCustoUnit[[#This Row],[Intervalo para Repouso ou Alimentação]]</f>
        <v>0</v>
      </c>
      <c r="BD11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19" s="22">
        <f>tabCustoUnit[[#This Row],[Suspensão Temporária do Contrato de Trabalho]]</f>
        <v>0</v>
      </c>
      <c r="BF119" s="22">
        <f>tabCustoUnit[[#This Row],[Submódulo 4.1]]+tabCustoUnit[[#This Row],[Submódulo 4.2]]+tabCustoUnit[[#This Row],[Submódulo 4.3]]</f>
        <v>43.518971809346937</v>
      </c>
      <c r="BG119" s="22">
        <f>VLOOKUP(tabCustoUnit[[#This Row],[Código do Posto]],tabParametros[],MATCH(tabCustoUnit[[#Headers],[Uniformes e EPIs]],tabParametros[#Headers],0),0)</f>
        <v>196.62072732312174</v>
      </c>
      <c r="BH119" s="22">
        <f>VLOOKUP(tabCustoUnit[[#This Row],[Código do Posto]],tabParametros[],MATCH(tabCustoUnit[[#Headers],[Materiais de Consumo]],tabParametros[#Headers],0),0)</f>
        <v>441.81099462365592</v>
      </c>
      <c r="BI119" s="22">
        <f>VLOOKUP(tabCustoUnit[[#This Row],[Código do Posto]],tabParametros[],MATCH(tabCustoUnit[[#Headers],[Máquinas e Equipamentos (depreciação)]],tabParametros[#Headers],0),0)</f>
        <v>113.11309677419354</v>
      </c>
      <c r="BJ119" s="22">
        <f>VLOOKUP(tabCustoUnit[[#This Row],[Código do Posto]],tabParametros[],MATCH(tabCustoUnit[[#Headers],[Produtos de Limpeza e Materiais de Higiene Pessoal]],tabParametros[#Headers],0),0)</f>
        <v>0</v>
      </c>
      <c r="BK119" s="22">
        <f>VLOOKUP(tabCustoUnit[[#This Row],[Código do Posto]],tabParametros[],MATCH(tabCustoUnit[[#Headers],[Outros (especificar)]],tabParametros[#Headers],0),0)</f>
        <v>0</v>
      </c>
      <c r="BL119" s="22">
        <f>SUM(tabCustoUnit[[#This Row],[Uniformes e EPIs]:[Outros (especificar)]])</f>
        <v>751.54481872097119</v>
      </c>
      <c r="BM11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19" s="22" t="e">
        <f ca="1">VLOOKUP(tabCustoUnit[[#This Row],[Código do Posto]],tabParametros[],MATCH(tabCustoUnit[[#Headers],[Custos Indiretos]],tabParametros[#Headers],0),0)</f>
        <v>#NAME?</v>
      </c>
      <c r="BO119" s="22" t="e">
        <f ca="1">VLOOKUP(tabCustoUnit[[#This Row],[Código do Posto]],tabParametros[],MATCH(tabCustoUnit[[#Headers],[Lucro]],tabParametros[#Headers],0),0)</f>
        <v>#NAME?</v>
      </c>
      <c r="BP119" s="26">
        <f>((100/((1-tabCustoUnit[[#This Row],[Resumo de Alíquotas (PIS+CONFINS+ISS)]]))-100)*VLOOKUP(tabCustoUnit[[#This Row],[Código do Posto]],tabParametros[],MATCH(tabCustoUnit[[#Headers],[COFINS]],tabParametros[#Headers],0),0))/(tabCustoUnit[[#This Row],[Resumo de Alíquotas (PIS+CONFINS+ISS)]]*100)</f>
        <v>8.8629737609329504E-2</v>
      </c>
      <c r="BQ119" s="26">
        <f>((100/((100-(tabCustoUnit[[#This Row],[Resumo de Alíquotas (PIS+CONFINS+ISS)]]*100))%)-100)*VLOOKUP(tabCustoUnit[[#This Row],[Código do Posto]],tabParametros[],MATCH(tabCustoUnit[[#Headers],[PIS]],tabParametros[#Headers],0),0))/(tabCustoUnit[[#This Row],[Resumo de Alíquotas (PIS+CONFINS+ISS)]]*100)</f>
        <v>1.9241982507288629E-2</v>
      </c>
      <c r="BR119" s="28">
        <f>VLOOKUP(tabCustoUnit[[#This Row],[Código do Posto]],tabParametros[],MATCH(tabCustoUnit[[#Headers],[ISS]],tabParametros[#Headers],0),0)</f>
        <v>0.05</v>
      </c>
      <c r="BS119" s="26">
        <f>(((100/((100-(tabCustoUnit[[#This Row],[Resumo de Alíquotas (PIS+CONFINS+ISS)]]*100))%)-100)*tabCustoUnit[[#This Row],[ISS]])/tabCustoUnit[[#This Row],[Resumo de Alíquotas (PIS+CONFINS+ISS)]])/100</f>
        <v>5.8309037900874633E-2</v>
      </c>
      <c r="BT11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9" s="138">
        <f>tabCustoUnit[[#This Row],[COFINS]]+tabCustoUnit[[#This Row],[PIS]]+tabCustoUnit[[#This Row],[ISS (Conversão Alíquota s/ fatura)]]</f>
        <v>0.16618075801749277</v>
      </c>
      <c r="BV119" s="22" t="e">
        <f ca="1">(tabCustoUnit[[#This Row],[TOTAL MÓDULOS 1+2+3+4+5]]+tabCustoUnit[[#This Row],[Custos Indiretos]]+tabCustoUnit[[#This Row],[Lucro]])*tabCustoUnit[[#This Row],[PIS + COFINS + ISS (Total Conversão  Alíquota s/ Fatura)]]</f>
        <v>#NAME?</v>
      </c>
      <c r="BW119" s="22" t="e">
        <f ca="1">tabCustoUnit[[#This Row],[Custos Indiretos]]+tabCustoUnit[[#This Row],[Lucro]]+tabCustoUnit[[#This Row],[Valor dos Tributos (ISS, PIS, CONFINS)]]</f>
        <v>#NAME?</v>
      </c>
      <c r="BX119" s="22" t="e">
        <f ca="1">tabCustoUnit[[#This Row],[TOTAL MÓDULOS 1+2+3+4+5]]+tabCustoUnit[[#This Row],[MÓDULO 6 – CUSTOS INDIRETOS, TRIBUTOS E LUCRO]]</f>
        <v>#NAME?</v>
      </c>
      <c r="BY119" s="22" t="e">
        <f ca="1">tabCustoUnit[[#This Row],[CUSTO TOTAL MENSAL]]*12</f>
        <v>#NAME?</v>
      </c>
      <c r="BZ119" s="24">
        <f>VLOOKUP(tabCustoUnit[[#This Row],[Código do Posto]],tabParametros[],MATCH(tabCustoUnit[[#Headers],[ANO DA CCT]],tabParametros[#Headers],0),0)</f>
        <v>45658</v>
      </c>
      <c r="CA119" s="25" t="str">
        <f>VLOOKUP(tabCustoUnit[[#This Row],[Código do Posto]],tabParametros[],MATCH(tabCustoUnit[[#Headers],[Nº DE PEDIDO DA CCT]],tabParametros[#Headers],0),0)</f>
        <v>-</v>
      </c>
      <c r="CB119" s="25" t="str">
        <f>VLOOKUP(tabCustoUnit[[#This Row],[Código do Posto]],tabParametros[],MATCH(tabCustoUnit[[#Headers],[TERMO ADITIVO ALTERAÇÃO DA CCT]],tabParametros[#Headers],0),0)</f>
        <v>-</v>
      </c>
    </row>
    <row r="120" spans="1:80">
      <c r="A120" s="20" t="s">
        <v>1578</v>
      </c>
      <c r="B120" t="s">
        <v>905</v>
      </c>
      <c r="C120" t="s">
        <v>324</v>
      </c>
      <c r="D120" t="s">
        <v>905</v>
      </c>
      <c r="E120" s="20" t="s">
        <v>1090</v>
      </c>
      <c r="F120" s="20" t="s">
        <v>120</v>
      </c>
      <c r="G120" s="418">
        <v>3397.1306</v>
      </c>
      <c r="H120" s="418">
        <v>0</v>
      </c>
      <c r="I120" s="418">
        <v>0</v>
      </c>
      <c r="J120" s="418">
        <v>0</v>
      </c>
      <c r="K120" s="418">
        <v>0</v>
      </c>
      <c r="L120" s="418">
        <v>0</v>
      </c>
      <c r="M120" s="418">
        <v>0</v>
      </c>
      <c r="N120" s="418">
        <v>0</v>
      </c>
      <c r="O120" s="21">
        <f>SUM(tabCustoUnit[[#This Row],[Salário Base]:[Adicional de Acúmulo de função]])</f>
        <v>3397.1306</v>
      </c>
      <c r="P120" s="21">
        <f>tabCustoUnit[[#This Row],[MODULO 1 - REMUNERAÇÃO ]]*SUMIFS(tabParametros[INSS],tabParametros[Código do Posto],tabCustoUnit[[#This Row],[Código do Posto]])</f>
        <v>679.42612000000008</v>
      </c>
      <c r="Q120" s="21">
        <f>tabCustoUnit[[#This Row],[MODULO 1 - REMUNERAÇÃO ]]*SUMIFS(tabParametros[SESI OU SESC],tabParametros[Código do Posto],tabCustoUnit[[#This Row],[Código do Posto]])</f>
        <v>50.956958999999998</v>
      </c>
      <c r="R120" s="21">
        <f>tabCustoUnit[[#This Row],[MODULO 1 - REMUNERAÇÃO ]]*SUMIFS(tabParametros[SENAI OU SENAC],tabParametros[Código do Posto],tabCustoUnit[[#This Row],[Código do Posto]])</f>
        <v>33.971305999999998</v>
      </c>
      <c r="S120" s="21">
        <f>tabCustoUnit[[#This Row],[MODULO 1 - REMUNERAÇÃO ]]*SUMIFS(tabParametros[INCRA],tabParametros[Código do Posto],tabCustoUnit[[#This Row],[Código do Posto]])</f>
        <v>6.7942612000000002</v>
      </c>
      <c r="T120" s="21">
        <f>tabCustoUnit[[#This Row],[MODULO 1 - REMUNERAÇÃO ]]*SUMIFS(tabParametros[Salário Educação],tabParametros[Código do Posto],tabCustoUnit[[#This Row],[Código do Posto]])</f>
        <v>84.92826500000001</v>
      </c>
      <c r="U120" s="21">
        <f>tabCustoUnit[[#This Row],[MODULO 1 - REMUNERAÇÃO ]]*SUMIFS(tabParametros[FGTS],tabParametros[Código do Posto],tabCustoUnit[[#This Row],[Código do Posto]])</f>
        <v>271.77044799999999</v>
      </c>
      <c r="V120" s="21">
        <f>tabCustoUnit[[#This Row],[MODULO 1 - REMUNERAÇÃO ]]*SUMIFS(tabParametros[RAT Ajustado],tabParametros[Código do Posto],tabCustoUnit[[#This Row],[Código do Posto]])</f>
        <v>135.88522399999999</v>
      </c>
      <c r="W120" s="21">
        <f>tabCustoUnit[[#This Row],[MODULO 1 - REMUNERAÇÃO ]]*SUMIFS(tabParametros[SEBRAE],tabParametros[Código do Posto],tabCustoUnit[[#This Row],[Código do Posto]])</f>
        <v>20.3827836</v>
      </c>
      <c r="X120" s="21">
        <f>SUM(tabCustoUnit[[#This Row],[INSS]:[SEBRAE]])</f>
        <v>1284.1153668000002</v>
      </c>
      <c r="Y120" s="21">
        <f>tabCustoUnit[[#This Row],[MODULO 1 - REMUNERAÇÃO ]]*SUMIFS(tabParametros[13º salário (titular)],tabParametros[Código do Posto],tabCustoUnit[[#This Row],[Código do Posto]])</f>
        <v>283.09421666666663</v>
      </c>
      <c r="Z120" s="21">
        <f>tabCustoUnit[[#This Row],[MODULO 1 - REMUNERAÇÃO ]]*SUMIFS(tabParametros[Férias e Adicional de Férias (titular)],tabParametros[Código do Posto],tabCustoUnit[[#This Row],[Código do Posto]])</f>
        <v>377.45895555555552</v>
      </c>
      <c r="AA120" s="21">
        <f>IFERROR((tabCustoUnit[[#This Row],[Submódulo 2.1]]/tabCustoUnit[[#This Row],[MODULO 1 - REMUNERAÇÃO ]])*SUM(tabCustoUnit[[#This Row],[13º salário (titular)]:[Férias e Adicional de Férias (titular)]]),0)</f>
        <v>249.68909910000002</v>
      </c>
      <c r="AB120" s="21">
        <f>SUM(tabCustoUnit[[#This Row],[13º salário (titular)]:[Incidência do Submódulo 2.1 sobre 13º Salário, Férias e Adicional de Férias]])</f>
        <v>910.24227132222222</v>
      </c>
      <c r="AC120" s="22" t="e">
        <f ca="1">_xlfn.LET(_xlpm.VT,SUMIF(tabParametros[Código do Posto],tabCustoUnit[[#This Row],[Código do Posto]],tabParametros[Vale - Transporte])*2*20,
IF((_xlpm.VT-tabCustoUnit[[#This Row],[Salário Base]]*0.06)&gt;=0,(_xlpm.VT-tabCustoUnit[[#This Row],[Salário Base]]*0.06),0)
)</f>
        <v>#NAME?</v>
      </c>
      <c r="AD120" s="22">
        <f>IF(SUMIF(tabParametros[Código do Posto],tabCustoUnit[[#This Row],[Código do Posto]],tabParametros[Vale - Alimentação])&lt;=0,0,
SUMIF(tabParametros[Código do Posto],tabCustoUnit[[#This Row],[Código do Posto]],tabParametros[Vale - Alimentação])*20-1)</f>
        <v>582</v>
      </c>
      <c r="AE120" s="22">
        <f>SUMIF(tabParametros[Código do Posto],tabCustoUnit[[#This Row],[Código do Posto]],tabParametros[Cesta Básica])</f>
        <v>0</v>
      </c>
      <c r="AF120" s="22">
        <f>SUMIF(tabParametros[Código do Posto],tabCustoUnit[[#This Row],[Código do Posto]],tabParametros[PAF])</f>
        <v>57.07</v>
      </c>
      <c r="AG120" s="22">
        <f>SUMIF(tabParametros[Código do Posto],tabCustoUnit[[#This Row],[Código do Posto]],tabParametros[PQM])</f>
        <v>0</v>
      </c>
      <c r="AH120" s="22">
        <f>SUMIF(tabParametros[Código do Posto],tabCustoUnit[[#This Row],[Código do Posto]],tabParametros[Abono Único e Especial])</f>
        <v>0</v>
      </c>
      <c r="AI120" s="22">
        <f>SUMIF(tabParametros[Código do Posto],tabCustoUnit[[#This Row],[Código do Posto]],tabParametros[Seguro de Vida])</f>
        <v>3.36</v>
      </c>
      <c r="AJ120" s="22">
        <f>SUMIF(tabParametros[Código do Posto],tabCustoUnit[[#This Row],[Código do Posto]],tabParametros[Despesas de Viagem])</f>
        <v>0</v>
      </c>
      <c r="AK120" s="22" t="e">
        <f ca="1">SUM(tabCustoUnit[[#This Row],[Vale - Transporte (Descontada parcela do empregado)]:[Despesas de Viagem]])</f>
        <v>#NAME?</v>
      </c>
      <c r="AL120" s="22" t="e">
        <f ca="1">tabCustoUnit[[#This Row],[Submódulo 2.1]]+tabCustoUnit[[#This Row],[Submódulo 2.2]]+tabCustoUnit[[#This Row],[Submódulo 2.3]]</f>
        <v>#NAME?</v>
      </c>
      <c r="AM120" s="22">
        <f>SUMIF(tabParametros[Código do Posto],tabCustoUnit[[#This Row],[Código do Posto]],tabParametros[Aviso Prévio Indenizado (API) e Reflexo do Aviso Prévio Indenizado])*tabCustoUnit[[#This Row],[MODULO 1 - REMUNERAÇÃO ]]</f>
        <v>23.819888151890432</v>
      </c>
      <c r="AN120" s="22">
        <f>SUMIF(tabParametros[Código do Posto],tabCustoUnit[[#This Row],[Código do Posto]],tabParametros[Incidência do FGTS sobre API e Reflexo do API])*tabCustoUnit[[#This Row],[MODULO 1 - REMUNERAÇÃO ]]</f>
        <v>1.9055910521512347</v>
      </c>
      <c r="AO120" s="22">
        <f>SUMIF(tabParametros[Código do Posto],tabCustoUnit[[#This Row],[Código do Posto]],tabParametros[Multa Rescisória do FGTS sobre o Aviso Prévio Indenizado])*tabCustoUnit[[#This Row],[MODULO 1 - REMUNERAÇÃO ]]</f>
        <v>0.76223642086049392</v>
      </c>
      <c r="AP120" s="22">
        <f>SUMIF(tabParametros[Código do Posto],tabCustoUnit[[#This Row],[Código do Posto]],tabParametros[Aviso Prévio Trabalhado - APT])*tabCustoUnit[[#This Row],[MODULO 1 - REMUNERAÇÃO ]]</f>
        <v>11.889957100000002</v>
      </c>
      <c r="AQ120" s="22">
        <f>SUMIF(tabParametros[Código do Posto],tabCustoUnit[[#This Row],[Código do Posto]],tabParametros[Incidência dos encargos do submódulo 2.1 sobre Aviso Prévio Trabalhado])*tabCustoUnit[[#This Row],[MODULO 1 - REMUNERAÇÃO ]]</f>
        <v>4.4944037838000011</v>
      </c>
      <c r="AR120" s="22">
        <f>SUMIF(tabParametros[Código do Posto],tabCustoUnit[[#This Row],[Código do Posto]],tabParametros[Multa Rescisória do FGTS])*tabCustoUnit[[#This Row],[MODULO 1 - REMUNERAÇÃO ]]</f>
        <v>103.87670456888887</v>
      </c>
      <c r="AS120" s="22">
        <f>SUMIF(tabParametros[Código do Posto],tabCustoUnit[[#This Row],[Código do Posto]],tabParametros[Indenização Adicional (Art. 9º da Lei nº 7.238/84)])*tabCustoUnit[[#This Row],[MODULO 1 - REMUNERAÇÃO ]]</f>
        <v>2.830942166666667</v>
      </c>
      <c r="AT120" s="22">
        <f>SUM(tabCustoUnit[[#This Row],[Aviso Prévio Indenizado (API) e Reflexo do Aviso Prévio Indenizado]:[Indenização Adicional (Art. 9º da Lei nº 7.238/84)]])</f>
        <v>149.57972324425771</v>
      </c>
      <c r="AU120" s="22">
        <f>SUMIF(tabParametros[Código do Posto],tabCustoUnit[[#This Row],[Código do Posto]],tabParametros[Ausência por Doença])*tabCustoUnit[[#This Row],[MODULO 1 - REMUNERAÇÃO ]]</f>
        <v>28.686880622222219</v>
      </c>
      <c r="AV120" s="22">
        <f>SUMIF(tabParametros[Código do Posto],tabCustoUnit[[#This Row],[Código do Posto]],tabParametros[Ausências Legais])*tabCustoUnit[[#This Row],[MODULO 1 - REMUNERAÇÃO ]]</f>
        <v>6.8886259388888886</v>
      </c>
      <c r="AW120" s="22">
        <f>SUMIF(tabParametros[Código do Posto],tabCustoUnit[[#This Row],[Código do Posto]],tabParametros[Licença Paternidade])*tabCustoUnit[[#This Row],[MODULO 1 - REMUNERAÇÃO ]]</f>
        <v>0.58034314416666666</v>
      </c>
      <c r="AX120" s="22">
        <f>SUMIF(tabParametros[Código do Posto],tabCustoUnit[[#This Row],[Código do Posto]],tabParametros[Ausência por Acidente de Trabalho])*tabCustoUnit[[#This Row],[MODULO 1 - REMUNERAÇÃO ]]</f>
        <v>0.70773554166666675</v>
      </c>
      <c r="AY120" s="22">
        <f>SUMIF(tabParametros[Código do Posto],tabCustoUnit[[#This Row],[Código do Posto]],tabParametros[Férias, Adicional de Férias e 13º  com empregada em gozo de Licença Maternidade])*tabCustoUnit[[#This Row],[MODULO 1 - REMUNERAÇÃO ]]</f>
        <v>4.4036878148148144</v>
      </c>
      <c r="AZ120" s="22">
        <f>SUMIF(tabParametros[Código do Posto],tabCustoUnit[[#This Row],[Código do Posto]],tabParametros[Incidência do Submódulo 2.1 sobre Ausências Legais])*tabCustoUnit[[#This Row],[MODULO 1 - REMUNERAÇÃO ]]</f>
        <v>15.599029217345002</v>
      </c>
      <c r="BA120" s="22">
        <f>SUM(tabCustoUnit[[#This Row],[Ausência por Doença]:[Incidência do Submódulo 2.1 sobre Ausências Legais]])</f>
        <v>56.866302279104261</v>
      </c>
      <c r="BB120" s="22">
        <f>SUMIF(tabParametros[Código do Posto],tabCustoUnit[[#This Row],[Código do Posto]],tabParametros[Intervalo para Repouso ou Alimentação])</f>
        <v>0</v>
      </c>
      <c r="BC120" s="22">
        <f>tabCustoUnit[[#This Row],[Intervalo para Repouso ou Alimentação]]</f>
        <v>0</v>
      </c>
      <c r="BD12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0" s="22">
        <f>tabCustoUnit[[#This Row],[Suspensão Temporária do Contrato de Trabalho]]</f>
        <v>0</v>
      </c>
      <c r="BF120" s="22">
        <f>tabCustoUnit[[#This Row],[Submódulo 4.1]]+tabCustoUnit[[#This Row],[Submódulo 4.2]]+tabCustoUnit[[#This Row],[Submódulo 4.3]]</f>
        <v>56.866302279104261</v>
      </c>
      <c r="BG120" s="22">
        <f>VLOOKUP(tabCustoUnit[[#This Row],[Código do Posto]],tabParametros[],MATCH(tabCustoUnit[[#Headers],[Uniformes e EPIs]],tabParametros[#Headers],0),0)</f>
        <v>56.642978962543395</v>
      </c>
      <c r="BH120" s="22">
        <f>VLOOKUP(tabCustoUnit[[#This Row],[Código do Posto]],tabParametros[],MATCH(tabCustoUnit[[#Headers],[Materiais de Consumo]],tabParametros[#Headers],0),0)</f>
        <v>0</v>
      </c>
      <c r="BI120" s="22">
        <f>VLOOKUP(tabCustoUnit[[#This Row],[Código do Posto]],tabParametros[],MATCH(tabCustoUnit[[#Headers],[Máquinas e Equipamentos (depreciação)]],tabParametros[#Headers],0),0)</f>
        <v>0</v>
      </c>
      <c r="BJ120" s="22">
        <f>VLOOKUP(tabCustoUnit[[#This Row],[Código do Posto]],tabParametros[],MATCH(tabCustoUnit[[#Headers],[Produtos de Limpeza e Materiais de Higiene Pessoal]],tabParametros[#Headers],0),0)</f>
        <v>0</v>
      </c>
      <c r="BK120" s="22">
        <f>VLOOKUP(tabCustoUnit[[#This Row],[Código do Posto]],tabParametros[],MATCH(tabCustoUnit[[#Headers],[Outros (especificar)]],tabParametros[#Headers],0),0)</f>
        <v>0</v>
      </c>
      <c r="BL120" s="22">
        <f>SUM(tabCustoUnit[[#This Row],[Uniformes e EPIs]:[Outros (especificar)]])</f>
        <v>56.642978962543395</v>
      </c>
      <c r="BM12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0" s="22" t="e">
        <f ca="1">VLOOKUP(tabCustoUnit[[#This Row],[Código do Posto]],tabParametros[],MATCH(tabCustoUnit[[#Headers],[Custos Indiretos]],tabParametros[#Headers],0),0)</f>
        <v>#NAME?</v>
      </c>
      <c r="BO120" s="22" t="e">
        <f ca="1">VLOOKUP(tabCustoUnit[[#This Row],[Código do Posto]],tabParametros[],MATCH(tabCustoUnit[[#Headers],[Lucro]],tabParametros[#Headers],0),0)</f>
        <v>#NAME?</v>
      </c>
      <c r="BP120" s="26">
        <f>((100/((1-tabCustoUnit[[#This Row],[Resumo de Alíquotas (PIS+CONFINS+ISS)]]))-100)*VLOOKUP(tabCustoUnit[[#This Row],[Código do Posto]],tabParametros[],MATCH(tabCustoUnit[[#Headers],[COFINS]],tabParametros[#Headers],0),0))/(tabCustoUnit[[#This Row],[Resumo de Alíquotas (PIS+CONFINS+ISS)]]*100)</f>
        <v>8.8629737609329504E-2</v>
      </c>
      <c r="BQ120" s="26">
        <f>((100/((100-(tabCustoUnit[[#This Row],[Resumo de Alíquotas (PIS+CONFINS+ISS)]]*100))%)-100)*VLOOKUP(tabCustoUnit[[#This Row],[Código do Posto]],tabParametros[],MATCH(tabCustoUnit[[#Headers],[PIS]],tabParametros[#Headers],0),0))/(tabCustoUnit[[#This Row],[Resumo de Alíquotas (PIS+CONFINS+ISS)]]*100)</f>
        <v>1.9241982507288629E-2</v>
      </c>
      <c r="BR120" s="28">
        <f>VLOOKUP(tabCustoUnit[[#This Row],[Código do Posto]],tabParametros[],MATCH(tabCustoUnit[[#Headers],[ISS]],tabParametros[#Headers],0),0)</f>
        <v>0.05</v>
      </c>
      <c r="BS120" s="26">
        <f>(((100/((100-(tabCustoUnit[[#This Row],[Resumo de Alíquotas (PIS+CONFINS+ISS)]]*100))%)-100)*tabCustoUnit[[#This Row],[ISS]])/tabCustoUnit[[#This Row],[Resumo de Alíquotas (PIS+CONFINS+ISS)]])/100</f>
        <v>5.8309037900874633E-2</v>
      </c>
      <c r="BT12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20" s="138">
        <f>tabCustoUnit[[#This Row],[COFINS]]+tabCustoUnit[[#This Row],[PIS]]+tabCustoUnit[[#This Row],[ISS (Conversão Alíquota s/ fatura)]]</f>
        <v>0.16618075801749277</v>
      </c>
      <c r="BV120" s="22" t="e">
        <f ca="1">(tabCustoUnit[[#This Row],[TOTAL MÓDULOS 1+2+3+4+5]]+tabCustoUnit[[#This Row],[Custos Indiretos]]+tabCustoUnit[[#This Row],[Lucro]])*tabCustoUnit[[#This Row],[PIS + COFINS + ISS (Total Conversão  Alíquota s/ Fatura)]]</f>
        <v>#NAME?</v>
      </c>
      <c r="BW120" s="22" t="e">
        <f ca="1">tabCustoUnit[[#This Row],[Custos Indiretos]]+tabCustoUnit[[#This Row],[Lucro]]+tabCustoUnit[[#This Row],[Valor dos Tributos (ISS, PIS, CONFINS)]]</f>
        <v>#NAME?</v>
      </c>
      <c r="BX120" s="22" t="e">
        <f ca="1">tabCustoUnit[[#This Row],[TOTAL MÓDULOS 1+2+3+4+5]]+tabCustoUnit[[#This Row],[MÓDULO 6 – CUSTOS INDIRETOS, TRIBUTOS E LUCRO]]</f>
        <v>#NAME?</v>
      </c>
      <c r="BY120" s="22" t="e">
        <f ca="1">tabCustoUnit[[#This Row],[CUSTO TOTAL MENSAL]]*12</f>
        <v>#NAME?</v>
      </c>
      <c r="BZ120" s="24">
        <f>VLOOKUP(tabCustoUnit[[#This Row],[Código do Posto]],tabParametros[],MATCH(tabCustoUnit[[#Headers],[ANO DA CCT]],tabParametros[#Headers],0),0)</f>
        <v>45658</v>
      </c>
      <c r="CA120" s="25" t="str">
        <f>VLOOKUP(tabCustoUnit[[#This Row],[Código do Posto]],tabParametros[],MATCH(tabCustoUnit[[#Headers],[Nº DE PEDIDO DA CCT]],tabParametros[#Headers],0),0)</f>
        <v>-</v>
      </c>
      <c r="CB120" s="25" t="str">
        <f>VLOOKUP(tabCustoUnit[[#This Row],[Código do Posto]],tabParametros[],MATCH(tabCustoUnit[[#Headers],[TERMO ADITIVO ALTERAÇÃO DA CCT]],tabParametros[#Headers],0),0)</f>
        <v>-</v>
      </c>
    </row>
    <row r="121" spans="1:80">
      <c r="A121" s="20" t="s">
        <v>1579</v>
      </c>
      <c r="B121" t="s">
        <v>1125</v>
      </c>
      <c r="C121" t="s">
        <v>309</v>
      </c>
      <c r="D121" t="s">
        <v>957</v>
      </c>
      <c r="E121" s="20" t="s">
        <v>1090</v>
      </c>
      <c r="F121" s="20" t="s">
        <v>120</v>
      </c>
      <c r="G121" s="418">
        <v>1963.4110000000001</v>
      </c>
      <c r="H121" s="418">
        <v>0</v>
      </c>
      <c r="I121" s="418">
        <v>0</v>
      </c>
      <c r="J121" s="418">
        <v>395.62729999999999</v>
      </c>
      <c r="K121" s="418">
        <v>0</v>
      </c>
      <c r="L121" s="418">
        <v>0</v>
      </c>
      <c r="M121" s="418">
        <v>0</v>
      </c>
      <c r="N121" s="418">
        <v>0</v>
      </c>
      <c r="O121" s="21">
        <f>SUM(tabCustoUnit[[#This Row],[Salário Base]:[Adicional de Acúmulo de função]])</f>
        <v>2359.0383000000002</v>
      </c>
      <c r="P121" s="21">
        <f>tabCustoUnit[[#This Row],[MODULO 1 - REMUNERAÇÃO ]]*SUMIFS(tabParametros[INSS],tabParametros[Código do Posto],tabCustoUnit[[#This Row],[Código do Posto]])</f>
        <v>471.80766000000006</v>
      </c>
      <c r="Q121" s="21">
        <f>tabCustoUnit[[#This Row],[MODULO 1 - REMUNERAÇÃO ]]*SUMIFS(tabParametros[SESI OU SESC],tabParametros[Código do Posto],tabCustoUnit[[#This Row],[Código do Posto]])</f>
        <v>35.385574500000004</v>
      </c>
      <c r="R121" s="21">
        <f>tabCustoUnit[[#This Row],[MODULO 1 - REMUNERAÇÃO ]]*SUMIFS(tabParametros[SENAI OU SENAC],tabParametros[Código do Posto],tabCustoUnit[[#This Row],[Código do Posto]])</f>
        <v>23.590383000000003</v>
      </c>
      <c r="S121" s="21">
        <f>tabCustoUnit[[#This Row],[MODULO 1 - REMUNERAÇÃO ]]*SUMIFS(tabParametros[INCRA],tabParametros[Código do Posto],tabCustoUnit[[#This Row],[Código do Posto]])</f>
        <v>4.7180766000000007</v>
      </c>
      <c r="T121" s="21">
        <f>tabCustoUnit[[#This Row],[MODULO 1 - REMUNERAÇÃO ]]*SUMIFS(tabParametros[Salário Educação],tabParametros[Código do Posto],tabCustoUnit[[#This Row],[Código do Posto]])</f>
        <v>58.975957500000007</v>
      </c>
      <c r="U121" s="21">
        <f>tabCustoUnit[[#This Row],[MODULO 1 - REMUNERAÇÃO ]]*SUMIFS(tabParametros[FGTS],tabParametros[Código do Posto],tabCustoUnit[[#This Row],[Código do Posto]])</f>
        <v>188.72306400000002</v>
      </c>
      <c r="V121" s="21">
        <f>tabCustoUnit[[#This Row],[MODULO 1 - REMUNERAÇÃO ]]*SUMIFS(tabParametros[RAT Ajustado],tabParametros[Código do Posto],tabCustoUnit[[#This Row],[Código do Posto]])</f>
        <v>94.361532000000011</v>
      </c>
      <c r="W121" s="21">
        <f>tabCustoUnit[[#This Row],[MODULO 1 - REMUNERAÇÃO ]]*SUMIFS(tabParametros[SEBRAE],tabParametros[Código do Posto],tabCustoUnit[[#This Row],[Código do Posto]])</f>
        <v>14.154229800000001</v>
      </c>
      <c r="X121" s="21">
        <f>SUM(tabCustoUnit[[#This Row],[INSS]:[SEBRAE]])</f>
        <v>891.71647740000026</v>
      </c>
      <c r="Y121" s="21">
        <f>tabCustoUnit[[#This Row],[MODULO 1 - REMUNERAÇÃO ]]*SUMIFS(tabParametros[13º salário (titular)],tabParametros[Código do Posto],tabCustoUnit[[#This Row],[Código do Posto]])</f>
        <v>196.58652499999999</v>
      </c>
      <c r="Z121" s="21">
        <f>tabCustoUnit[[#This Row],[MODULO 1 - REMUNERAÇÃO ]]*SUMIFS(tabParametros[Férias e Adicional de Férias (titular)],tabParametros[Código do Posto],tabCustoUnit[[#This Row],[Código do Posto]])</f>
        <v>262.11536666666666</v>
      </c>
      <c r="AA121" s="21">
        <f>IFERROR((tabCustoUnit[[#This Row],[Submódulo 2.1]]/tabCustoUnit[[#This Row],[MODULO 1 - REMUNERAÇÃO ]])*SUM(tabCustoUnit[[#This Row],[13º salário (titular)]:[Férias e Adicional de Férias (titular)]]),0)</f>
        <v>173.38931505000002</v>
      </c>
      <c r="AB121" s="21">
        <f>SUM(tabCustoUnit[[#This Row],[13º salário (titular)]:[Incidência do Submódulo 2.1 sobre 13º Salário, Férias e Adicional de Férias]])</f>
        <v>632.09120671666665</v>
      </c>
      <c r="AC121" s="22" t="e">
        <f ca="1">_xlfn.LET(_xlpm.VT,SUMIF(tabParametros[Código do Posto],tabCustoUnit[[#This Row],[Código do Posto]],tabParametros[Vale - Transporte])*2*20,
IF((_xlpm.VT-tabCustoUnit[[#This Row],[Salário Base]]*0.06)&gt;=0,(_xlpm.VT-tabCustoUnit[[#This Row],[Salário Base]]*0.06),0)
)</f>
        <v>#NAME?</v>
      </c>
      <c r="AD121" s="22">
        <f>IF(SUMIF(tabParametros[Código do Posto],tabCustoUnit[[#This Row],[Código do Posto]],tabParametros[Vale - Alimentação])&lt;=0,0,
SUMIF(tabParametros[Código do Posto],tabCustoUnit[[#This Row],[Código do Posto]],tabParametros[Vale - Alimentação])*20-1)</f>
        <v>582</v>
      </c>
      <c r="AE121" s="22">
        <f>SUMIF(tabParametros[Código do Posto],tabCustoUnit[[#This Row],[Código do Posto]],tabParametros[Cesta Básica])</f>
        <v>0</v>
      </c>
      <c r="AF121" s="22">
        <f>SUMIF(tabParametros[Código do Posto],tabCustoUnit[[#This Row],[Código do Posto]],tabParametros[PAF])</f>
        <v>51.87</v>
      </c>
      <c r="AG121" s="22">
        <f>SUMIF(tabParametros[Código do Posto],tabCustoUnit[[#This Row],[Código do Posto]],tabParametros[PQM])</f>
        <v>0</v>
      </c>
      <c r="AH121" s="22">
        <f>SUMIF(tabParametros[Código do Posto],tabCustoUnit[[#This Row],[Código do Posto]],tabParametros[Abono Único e Especial])</f>
        <v>0</v>
      </c>
      <c r="AI121" s="22">
        <f>SUMIF(tabParametros[Código do Posto],tabCustoUnit[[#This Row],[Código do Posto]],tabParametros[Seguro de Vida])</f>
        <v>3.36</v>
      </c>
      <c r="AJ121" s="22">
        <f>SUMIF(tabParametros[Código do Posto],tabCustoUnit[[#This Row],[Código do Posto]],tabParametros[Despesas de Viagem])</f>
        <v>0</v>
      </c>
      <c r="AK121" s="22" t="e">
        <f ca="1">SUM(tabCustoUnit[[#This Row],[Vale - Transporte (Descontada parcela do empregado)]:[Despesas de Viagem]])</f>
        <v>#NAME?</v>
      </c>
      <c r="AL121" s="22" t="e">
        <f ca="1">tabCustoUnit[[#This Row],[Submódulo 2.1]]+tabCustoUnit[[#This Row],[Submódulo 2.2]]+tabCustoUnit[[#This Row],[Submódulo 2.3]]</f>
        <v>#NAME?</v>
      </c>
      <c r="AM121" s="22">
        <f>SUMIF(tabParametros[Código do Posto],tabCustoUnit[[#This Row],[Código do Posto]],tabParametros[Aviso Prévio Indenizado (API) e Reflexo do Aviso Prévio Indenizado])*tabCustoUnit[[#This Row],[MODULO 1 - REMUNERAÇÃO ]]</f>
        <v>16.541026845428242</v>
      </c>
      <c r="AN121" s="22">
        <f>SUMIF(tabParametros[Código do Posto],tabCustoUnit[[#This Row],[Código do Posto]],tabParametros[Incidência do FGTS sobre API e Reflexo do API])*tabCustoUnit[[#This Row],[MODULO 1 - REMUNERAÇÃO ]]</f>
        <v>1.3232821476342596</v>
      </c>
      <c r="AO121" s="22">
        <f>SUMIF(tabParametros[Código do Posto],tabCustoUnit[[#This Row],[Código do Posto]],tabParametros[Multa Rescisória do FGTS sobre o Aviso Prévio Indenizado])*tabCustoUnit[[#This Row],[MODULO 1 - REMUNERAÇÃO ]]</f>
        <v>0.52931285905370384</v>
      </c>
      <c r="AP121" s="22">
        <f>SUMIF(tabParametros[Código do Posto],tabCustoUnit[[#This Row],[Código do Posto]],tabParametros[Aviso Prévio Trabalhado - APT])*tabCustoUnit[[#This Row],[MODULO 1 - REMUNERAÇÃO ]]</f>
        <v>8.2566340500000024</v>
      </c>
      <c r="AQ121" s="22">
        <f>SUMIF(tabParametros[Código do Posto],tabCustoUnit[[#This Row],[Código do Posto]],tabParametros[Incidência dos encargos do submódulo 2.1 sobre Aviso Prévio Trabalhado])*tabCustoUnit[[#This Row],[MODULO 1 - REMUNERAÇÃO ]]</f>
        <v>3.121007670900001</v>
      </c>
      <c r="AR121" s="22">
        <f>SUMIF(tabParametros[Código do Posto],tabCustoUnit[[#This Row],[Código do Posto]],tabParametros[Multa Rescisória do FGTS])*tabCustoUnit[[#This Row],[MODULO 1 - REMUNERAÇÃO ]]</f>
        <v>72.134148906666667</v>
      </c>
      <c r="AS121" s="22">
        <f>SUMIF(tabParametros[Código do Posto],tabCustoUnit[[#This Row],[Código do Posto]],tabParametros[Indenização Adicional (Art. 9º da Lei nº 7.238/84)])*tabCustoUnit[[#This Row],[MODULO 1 - REMUNERAÇÃO ]]</f>
        <v>1.9658652500000002</v>
      </c>
      <c r="AT121" s="22">
        <f>SUM(tabCustoUnit[[#This Row],[Aviso Prévio Indenizado (API) e Reflexo do Aviso Prévio Indenizado]:[Indenização Adicional (Art. 9º da Lei nº 7.238/84)]])</f>
        <v>103.87127772968287</v>
      </c>
      <c r="AU121" s="22">
        <f>SUMIF(tabParametros[Código do Posto],tabCustoUnit[[#This Row],[Código do Posto]],tabParametros[Ausência por Doença])*tabCustoUnit[[#This Row],[MODULO 1 - REMUNERAÇÃO ]]</f>
        <v>19.920767866666665</v>
      </c>
      <c r="AV121" s="22">
        <f>SUMIF(tabParametros[Código do Posto],tabCustoUnit[[#This Row],[Código do Posto]],tabParametros[Ausências Legais])*tabCustoUnit[[#This Row],[MODULO 1 - REMUNERAÇÃO ]]</f>
        <v>4.7836054416666665</v>
      </c>
      <c r="AW121" s="22">
        <f>SUMIF(tabParametros[Código do Posto],tabCustoUnit[[#This Row],[Código do Posto]],tabParametros[Licença Paternidade])*tabCustoUnit[[#This Row],[MODULO 1 - REMUNERAÇÃO ]]</f>
        <v>0.40300237625000002</v>
      </c>
      <c r="AX121" s="22">
        <f>SUMIF(tabParametros[Código do Posto],tabCustoUnit[[#This Row],[Código do Posto]],tabParametros[Ausência por Acidente de Trabalho])*tabCustoUnit[[#This Row],[MODULO 1 - REMUNERAÇÃO ]]</f>
        <v>0.49146631250000006</v>
      </c>
      <c r="AY121" s="22">
        <f>SUMIF(tabParametros[Código do Posto],tabCustoUnit[[#This Row],[Código do Posto]],tabParametros[Férias, Adicional de Férias e 13º  com empregada em gozo de Licença Maternidade])*tabCustoUnit[[#This Row],[MODULO 1 - REMUNERAÇÃO ]]</f>
        <v>3.0580126111111112</v>
      </c>
      <c r="AZ121" s="22">
        <f>SUMIF(tabParametros[Código do Posto],tabCustoUnit[[#This Row],[Código do Posto]],tabParametros[Incidência do Submódulo 2.1 sobre Ausências Legais])*tabCustoUnit[[#This Row],[MODULO 1 - REMUNERAÇÃO ]]</f>
        <v>10.832291041897502</v>
      </c>
      <c r="BA121" s="22">
        <f>SUM(tabCustoUnit[[#This Row],[Ausência por Doença]:[Incidência do Submódulo 2.1 sobre Ausências Legais]])</f>
        <v>39.489145650091942</v>
      </c>
      <c r="BB121" s="22">
        <f>SUMIF(tabParametros[Código do Posto],tabCustoUnit[[#This Row],[Código do Posto]],tabParametros[Intervalo para Repouso ou Alimentação])</f>
        <v>261.17924340876692</v>
      </c>
      <c r="BC121" s="22">
        <f>tabCustoUnit[[#This Row],[Intervalo para Repouso ou Alimentação]]</f>
        <v>261.17924340876692</v>
      </c>
      <c r="BD12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1" s="22">
        <f>tabCustoUnit[[#This Row],[Suspensão Temporária do Contrato de Trabalho]]</f>
        <v>0</v>
      </c>
      <c r="BF121" s="22">
        <f>tabCustoUnit[[#This Row],[Submódulo 4.1]]+tabCustoUnit[[#This Row],[Submódulo 4.2]]+tabCustoUnit[[#This Row],[Submódulo 4.3]]</f>
        <v>300.66838905885885</v>
      </c>
      <c r="BG121" s="22">
        <f>VLOOKUP(tabCustoUnit[[#This Row],[Código do Posto]],tabParametros[],MATCH(tabCustoUnit[[#Headers],[Uniformes e EPIs]],tabParametros[#Headers],0),0)</f>
        <v>56.642978962543395</v>
      </c>
      <c r="BH121" s="22">
        <f>VLOOKUP(tabCustoUnit[[#This Row],[Código do Posto]],tabParametros[],MATCH(tabCustoUnit[[#Headers],[Materiais de Consumo]],tabParametros[#Headers],0),0)</f>
        <v>0</v>
      </c>
      <c r="BI121" s="22">
        <f>VLOOKUP(tabCustoUnit[[#This Row],[Código do Posto]],tabParametros[],MATCH(tabCustoUnit[[#Headers],[Máquinas e Equipamentos (depreciação)]],tabParametros[#Headers],0),0)</f>
        <v>0</v>
      </c>
      <c r="BJ121" s="22">
        <f>VLOOKUP(tabCustoUnit[[#This Row],[Código do Posto]],tabParametros[],MATCH(tabCustoUnit[[#Headers],[Produtos de Limpeza e Materiais de Higiene Pessoal]],tabParametros[#Headers],0),0)</f>
        <v>0</v>
      </c>
      <c r="BK121" s="22">
        <f>VLOOKUP(tabCustoUnit[[#This Row],[Código do Posto]],tabParametros[],MATCH(tabCustoUnit[[#Headers],[Outros (especificar)]],tabParametros[#Headers],0),0)</f>
        <v>0</v>
      </c>
      <c r="BL121" s="22">
        <f>SUM(tabCustoUnit[[#This Row],[Uniformes e EPIs]:[Outros (especificar)]])</f>
        <v>56.642978962543395</v>
      </c>
      <c r="BM12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1" s="22" t="e">
        <f ca="1">VLOOKUP(tabCustoUnit[[#This Row],[Código do Posto]],tabParametros[],MATCH(tabCustoUnit[[#Headers],[Custos Indiretos]],tabParametros[#Headers],0),0)</f>
        <v>#NAME?</v>
      </c>
      <c r="BO121" s="22" t="e">
        <f ca="1">VLOOKUP(tabCustoUnit[[#This Row],[Código do Posto]],tabParametros[],MATCH(tabCustoUnit[[#Headers],[Lucro]],tabParametros[#Headers],0),0)</f>
        <v>#NAME?</v>
      </c>
      <c r="BP121" s="26">
        <f>((100/((1-tabCustoUnit[[#This Row],[Resumo de Alíquotas (PIS+CONFINS+ISS)]]))-100)*VLOOKUP(tabCustoUnit[[#This Row],[Código do Posto]],tabParametros[],MATCH(tabCustoUnit[[#Headers],[COFINS]],tabParametros[#Headers],0),0))/(tabCustoUnit[[#This Row],[Resumo de Alíquotas (PIS+CONFINS+ISS)]]*100)</f>
        <v>8.5633802816901458E-2</v>
      </c>
      <c r="BQ121" s="26">
        <f>((100/((100-(tabCustoUnit[[#This Row],[Resumo de Alíquotas (PIS+CONFINS+ISS)]]*100))%)-100)*VLOOKUP(tabCustoUnit[[#This Row],[Código do Posto]],tabParametros[],MATCH(tabCustoUnit[[#Headers],[PIS]],tabParametros[#Headers],0),0))/(tabCustoUnit[[#This Row],[Resumo de Alíquotas (PIS+CONFINS+ISS)]]*100)</f>
        <v>1.8591549295774657E-2</v>
      </c>
      <c r="BR121" s="28">
        <f>VLOOKUP(tabCustoUnit[[#This Row],[Código do Posto]],tabParametros[],MATCH(tabCustoUnit[[#Headers],[ISS]],tabParametros[#Headers],0),0)</f>
        <v>0.02</v>
      </c>
      <c r="BS121" s="26">
        <f>(((100/((100-(tabCustoUnit[[#This Row],[Resumo de Alíquotas (PIS+CONFINS+ISS)]]*100))%)-100)*tabCustoUnit[[#This Row],[ISS]])/tabCustoUnit[[#This Row],[Resumo de Alíquotas (PIS+CONFINS+ISS)]])/100</f>
        <v>2.2535211267605645E-2</v>
      </c>
      <c r="BT12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21" s="138">
        <f>tabCustoUnit[[#This Row],[COFINS]]+tabCustoUnit[[#This Row],[PIS]]+tabCustoUnit[[#This Row],[ISS (Conversão Alíquota s/ fatura)]]</f>
        <v>0.12676056338028174</v>
      </c>
      <c r="BV121" s="22" t="e">
        <f ca="1">(tabCustoUnit[[#This Row],[TOTAL MÓDULOS 1+2+3+4+5]]+tabCustoUnit[[#This Row],[Custos Indiretos]]+tabCustoUnit[[#This Row],[Lucro]])*tabCustoUnit[[#This Row],[PIS + COFINS + ISS (Total Conversão  Alíquota s/ Fatura)]]</f>
        <v>#NAME?</v>
      </c>
      <c r="BW121" s="22" t="e">
        <f ca="1">tabCustoUnit[[#This Row],[Custos Indiretos]]+tabCustoUnit[[#This Row],[Lucro]]+tabCustoUnit[[#This Row],[Valor dos Tributos (ISS, PIS, CONFINS)]]</f>
        <v>#NAME?</v>
      </c>
      <c r="BX121" s="22" t="e">
        <f ca="1">tabCustoUnit[[#This Row],[TOTAL MÓDULOS 1+2+3+4+5]]+tabCustoUnit[[#This Row],[MÓDULO 6 – CUSTOS INDIRETOS, TRIBUTOS E LUCRO]]</f>
        <v>#NAME?</v>
      </c>
      <c r="BY121" s="22" t="e">
        <f ca="1">tabCustoUnit[[#This Row],[CUSTO TOTAL MENSAL]]*12</f>
        <v>#NAME?</v>
      </c>
      <c r="BZ121" s="24">
        <f>VLOOKUP(tabCustoUnit[[#This Row],[Código do Posto]],tabParametros[],MATCH(tabCustoUnit[[#Headers],[ANO DA CCT]],tabParametros[#Headers],0),0)</f>
        <v>45658</v>
      </c>
      <c r="CA121" s="25" t="str">
        <f>VLOOKUP(tabCustoUnit[[#This Row],[Código do Posto]],tabParametros[],MATCH(tabCustoUnit[[#Headers],[Nº DE PEDIDO DA CCT]],tabParametros[#Headers],0),0)</f>
        <v>-</v>
      </c>
      <c r="CB121" s="25" t="str">
        <f>VLOOKUP(tabCustoUnit[[#This Row],[Código do Posto]],tabParametros[],MATCH(tabCustoUnit[[#Headers],[TERMO ADITIVO ALTERAÇÃO DA CCT]],tabParametros[#Headers],0),0)</f>
        <v>-</v>
      </c>
    </row>
    <row r="122" spans="1:80">
      <c r="A122" s="20" t="s">
        <v>1580</v>
      </c>
      <c r="B122" t="s">
        <v>1125</v>
      </c>
      <c r="C122" t="s">
        <v>314</v>
      </c>
      <c r="D122" t="s">
        <v>957</v>
      </c>
      <c r="E122" s="20" t="s">
        <v>1090</v>
      </c>
      <c r="F122" s="20" t="s">
        <v>120</v>
      </c>
      <c r="G122" s="418">
        <v>1963.4110000000001</v>
      </c>
      <c r="H122" s="418">
        <v>0</v>
      </c>
      <c r="I122" s="418">
        <v>0</v>
      </c>
      <c r="J122" s="418">
        <v>0</v>
      </c>
      <c r="K122" s="418">
        <v>0</v>
      </c>
      <c r="L122" s="418">
        <v>0</v>
      </c>
      <c r="M122" s="418">
        <v>0</v>
      </c>
      <c r="N122" s="418">
        <v>0</v>
      </c>
      <c r="O122" s="21">
        <f>SUM(tabCustoUnit[[#This Row],[Salário Base]:[Adicional de Acúmulo de função]])</f>
        <v>1963.4110000000001</v>
      </c>
      <c r="P122" s="21">
        <f>tabCustoUnit[[#This Row],[MODULO 1 - REMUNERAÇÃO ]]*SUMIFS(tabParametros[INSS],tabParametros[Código do Posto],tabCustoUnit[[#This Row],[Código do Posto]])</f>
        <v>392.68220000000002</v>
      </c>
      <c r="Q122" s="21">
        <f>tabCustoUnit[[#This Row],[MODULO 1 - REMUNERAÇÃO ]]*SUMIFS(tabParametros[SESI OU SESC],tabParametros[Código do Posto],tabCustoUnit[[#This Row],[Código do Posto]])</f>
        <v>29.451165</v>
      </c>
      <c r="R122" s="21">
        <f>tabCustoUnit[[#This Row],[MODULO 1 - REMUNERAÇÃO ]]*SUMIFS(tabParametros[SENAI OU SENAC],tabParametros[Código do Posto],tabCustoUnit[[#This Row],[Código do Posto]])</f>
        <v>19.63411</v>
      </c>
      <c r="S122" s="21">
        <f>tabCustoUnit[[#This Row],[MODULO 1 - REMUNERAÇÃO ]]*SUMIFS(tabParametros[INCRA],tabParametros[Código do Posto],tabCustoUnit[[#This Row],[Código do Posto]])</f>
        <v>3.926822</v>
      </c>
      <c r="T122" s="21">
        <f>tabCustoUnit[[#This Row],[MODULO 1 - REMUNERAÇÃO ]]*SUMIFS(tabParametros[Salário Educação],tabParametros[Código do Posto],tabCustoUnit[[#This Row],[Código do Posto]])</f>
        <v>49.085275000000003</v>
      </c>
      <c r="U122" s="21">
        <f>tabCustoUnit[[#This Row],[MODULO 1 - REMUNERAÇÃO ]]*SUMIFS(tabParametros[FGTS],tabParametros[Código do Posto],tabCustoUnit[[#This Row],[Código do Posto]])</f>
        <v>157.07288</v>
      </c>
      <c r="V122" s="21">
        <f>tabCustoUnit[[#This Row],[MODULO 1 - REMUNERAÇÃO ]]*SUMIFS(tabParametros[RAT Ajustado],tabParametros[Código do Posto],tabCustoUnit[[#This Row],[Código do Posto]])</f>
        <v>78.536439999999999</v>
      </c>
      <c r="W122" s="21">
        <f>tabCustoUnit[[#This Row],[MODULO 1 - REMUNERAÇÃO ]]*SUMIFS(tabParametros[SEBRAE],tabParametros[Código do Posto],tabCustoUnit[[#This Row],[Código do Posto]])</f>
        <v>11.780466000000001</v>
      </c>
      <c r="X122" s="21">
        <f>SUM(tabCustoUnit[[#This Row],[INSS]:[SEBRAE]])</f>
        <v>742.1693580000001</v>
      </c>
      <c r="Y122" s="21">
        <f>tabCustoUnit[[#This Row],[MODULO 1 - REMUNERAÇÃO ]]*SUMIFS(tabParametros[13º salário (titular)],tabParametros[Código do Posto],tabCustoUnit[[#This Row],[Código do Posto]])</f>
        <v>163.61758333333333</v>
      </c>
      <c r="Z122" s="21">
        <f>tabCustoUnit[[#This Row],[MODULO 1 - REMUNERAÇÃO ]]*SUMIFS(tabParametros[Férias e Adicional de Férias (titular)],tabParametros[Código do Posto],tabCustoUnit[[#This Row],[Código do Posto]])</f>
        <v>218.15677777777776</v>
      </c>
      <c r="AA122" s="21">
        <f>IFERROR((tabCustoUnit[[#This Row],[Submódulo 2.1]]/tabCustoUnit[[#This Row],[MODULO 1 - REMUNERAÇÃO ]])*SUM(tabCustoUnit[[#This Row],[13º salário (titular)]:[Férias e Adicional de Férias (titular)]]),0)</f>
        <v>144.3107085</v>
      </c>
      <c r="AB122" s="21">
        <f>SUM(tabCustoUnit[[#This Row],[13º salário (titular)]:[Incidência do Submódulo 2.1 sobre 13º Salário, Férias e Adicional de Férias]])</f>
        <v>526.08506961111107</v>
      </c>
      <c r="AC122" s="22" t="e">
        <f ca="1">_xlfn.LET(_xlpm.VT,SUMIF(tabParametros[Código do Posto],tabCustoUnit[[#This Row],[Código do Posto]],tabParametros[Vale - Transporte])*2*20,
IF((_xlpm.VT-tabCustoUnit[[#This Row],[Salário Base]]*0.06)&gt;=0,(_xlpm.VT-tabCustoUnit[[#This Row],[Salário Base]]*0.06),0)
)</f>
        <v>#NAME?</v>
      </c>
      <c r="AD122" s="22">
        <f>IF(SUMIF(tabParametros[Código do Posto],tabCustoUnit[[#This Row],[Código do Posto]],tabParametros[Vale - Alimentação])&lt;=0,0,
SUMIF(tabParametros[Código do Posto],tabCustoUnit[[#This Row],[Código do Posto]],tabParametros[Vale - Alimentação])*20-1)</f>
        <v>582</v>
      </c>
      <c r="AE122" s="22">
        <f>SUMIF(tabParametros[Código do Posto],tabCustoUnit[[#This Row],[Código do Posto]],tabParametros[Cesta Básica])</f>
        <v>0</v>
      </c>
      <c r="AF122" s="22">
        <f>SUMIF(tabParametros[Código do Posto],tabCustoUnit[[#This Row],[Código do Posto]],tabParametros[PAF])</f>
        <v>51.87</v>
      </c>
      <c r="AG122" s="22">
        <f>SUMIF(tabParametros[Código do Posto],tabCustoUnit[[#This Row],[Código do Posto]],tabParametros[PQM])</f>
        <v>0</v>
      </c>
      <c r="AH122" s="22">
        <f>SUMIF(tabParametros[Código do Posto],tabCustoUnit[[#This Row],[Código do Posto]],tabParametros[Abono Único e Especial])</f>
        <v>0</v>
      </c>
      <c r="AI122" s="22">
        <f>SUMIF(tabParametros[Código do Posto],tabCustoUnit[[#This Row],[Código do Posto]],tabParametros[Seguro de Vida])</f>
        <v>3.36</v>
      </c>
      <c r="AJ122" s="22">
        <f>SUMIF(tabParametros[Código do Posto],tabCustoUnit[[#This Row],[Código do Posto]],tabParametros[Despesas de Viagem])</f>
        <v>0</v>
      </c>
      <c r="AK122" s="22" t="e">
        <f ca="1">SUM(tabCustoUnit[[#This Row],[Vale - Transporte (Descontada parcela do empregado)]:[Despesas de Viagem]])</f>
        <v>#NAME?</v>
      </c>
      <c r="AL122" s="22" t="e">
        <f ca="1">tabCustoUnit[[#This Row],[Submódulo 2.1]]+tabCustoUnit[[#This Row],[Submódulo 2.2]]+tabCustoUnit[[#This Row],[Submódulo 2.3]]</f>
        <v>#NAME?</v>
      </c>
      <c r="AM122" s="22">
        <f>SUMIF(tabParametros[Código do Posto],tabCustoUnit[[#This Row],[Código do Posto]],tabParametros[Aviso Prévio Indenizado (API) e Reflexo do Aviso Prévio Indenizado])*tabCustoUnit[[#This Row],[MODULO 1 - REMUNERAÇÃO ]]</f>
        <v>13.766980408757716</v>
      </c>
      <c r="AN122" s="22">
        <f>SUMIF(tabParametros[Código do Posto],tabCustoUnit[[#This Row],[Código do Posto]],tabParametros[Incidência do FGTS sobre API e Reflexo do API])*tabCustoUnit[[#This Row],[MODULO 1 - REMUNERAÇÃO ]]</f>
        <v>1.1013584327006174</v>
      </c>
      <c r="AO122" s="22">
        <f>SUMIF(tabParametros[Código do Posto],tabCustoUnit[[#This Row],[Código do Posto]],tabParametros[Multa Rescisória do FGTS sobre o Aviso Prévio Indenizado])*tabCustoUnit[[#This Row],[MODULO 1 - REMUNERAÇÃO ]]</f>
        <v>0.44054337308024699</v>
      </c>
      <c r="AP122" s="22">
        <f>SUMIF(tabParametros[Código do Posto],tabCustoUnit[[#This Row],[Código do Posto]],tabParametros[Aviso Prévio Trabalhado - APT])*tabCustoUnit[[#This Row],[MODULO 1 - REMUNERAÇÃO ]]</f>
        <v>6.8719385000000015</v>
      </c>
      <c r="AQ122" s="22">
        <f>SUMIF(tabParametros[Código do Posto],tabCustoUnit[[#This Row],[Código do Posto]],tabParametros[Incidência dos encargos do submódulo 2.1 sobre Aviso Prévio Trabalhado])*tabCustoUnit[[#This Row],[MODULO 1 - REMUNERAÇÃO ]]</f>
        <v>2.5975927530000007</v>
      </c>
      <c r="AR122" s="22">
        <f>SUMIF(tabParametros[Código do Posto],tabCustoUnit[[#This Row],[Código do Posto]],tabParametros[Multa Rescisória do FGTS])*tabCustoUnit[[#This Row],[MODULO 1 - REMUNERAÇÃO ]]</f>
        <v>60.03674524444444</v>
      </c>
      <c r="AS122" s="22">
        <f>SUMIF(tabParametros[Código do Posto],tabCustoUnit[[#This Row],[Código do Posto]],tabParametros[Indenização Adicional (Art. 9º da Lei nº 7.238/84)])*tabCustoUnit[[#This Row],[MODULO 1 - REMUNERAÇÃO ]]</f>
        <v>1.6361758333333334</v>
      </c>
      <c r="AT122" s="22">
        <f>SUM(tabCustoUnit[[#This Row],[Aviso Prévio Indenizado (API) e Reflexo do Aviso Prévio Indenizado]:[Indenização Adicional (Art. 9º da Lei nº 7.238/84)]])</f>
        <v>86.451334545316371</v>
      </c>
      <c r="AU122" s="22">
        <f>SUMIF(tabParametros[Código do Posto],tabCustoUnit[[#This Row],[Código do Posto]],tabParametros[Ausência por Doença])*tabCustoUnit[[#This Row],[MODULO 1 - REMUNERAÇÃO ]]</f>
        <v>16.579915111111109</v>
      </c>
      <c r="AV122" s="22">
        <f>SUMIF(tabParametros[Código do Posto],tabCustoUnit[[#This Row],[Código do Posto]],tabParametros[Ausências Legais])*tabCustoUnit[[#This Row],[MODULO 1 - REMUNERAÇÃO ]]</f>
        <v>3.9813611944444443</v>
      </c>
      <c r="AW122" s="22">
        <f>SUMIF(tabParametros[Código do Posto],tabCustoUnit[[#This Row],[Código do Posto]],tabParametros[Licença Paternidade])*tabCustoUnit[[#This Row],[MODULO 1 - REMUNERAÇÃO ]]</f>
        <v>0.33541604583333334</v>
      </c>
      <c r="AX122" s="22">
        <f>SUMIF(tabParametros[Código do Posto],tabCustoUnit[[#This Row],[Código do Posto]],tabParametros[Ausência por Acidente de Trabalho])*tabCustoUnit[[#This Row],[MODULO 1 - REMUNERAÇÃO ]]</f>
        <v>0.40904395833333335</v>
      </c>
      <c r="AY122" s="22">
        <f>SUMIF(tabParametros[Código do Posto],tabCustoUnit[[#This Row],[Código do Posto]],tabParametros[Férias, Adicional de Férias e 13º  com empregada em gozo de Licença Maternidade])*tabCustoUnit[[#This Row],[MODULO 1 - REMUNERAÇÃO ]]</f>
        <v>2.5451624074074073</v>
      </c>
      <c r="AZ122" s="22">
        <f>SUMIF(tabParametros[Código do Posto],tabCustoUnit[[#This Row],[Código do Posto]],tabParametros[Incidência do Submódulo 2.1 sobre Ausências Legais])*tabCustoUnit[[#This Row],[MODULO 1 - REMUNERAÇÃO ]]</f>
        <v>9.0156397150750021</v>
      </c>
      <c r="BA122" s="22">
        <f>SUM(tabCustoUnit[[#This Row],[Ausência por Doença]:[Incidência do Submódulo 2.1 sobre Ausências Legais]])</f>
        <v>32.866538432204628</v>
      </c>
      <c r="BB122" s="22">
        <f>SUMIF(tabParametros[Código do Posto],tabCustoUnit[[#This Row],[Código do Posto]],tabParametros[Intervalo para Repouso ou Alimentação])</f>
        <v>267.73786489195959</v>
      </c>
      <c r="BC122" s="22">
        <f>tabCustoUnit[[#This Row],[Intervalo para Repouso ou Alimentação]]</f>
        <v>267.73786489195959</v>
      </c>
      <c r="BD12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2" s="22">
        <f>tabCustoUnit[[#This Row],[Suspensão Temporária do Contrato de Trabalho]]</f>
        <v>0</v>
      </c>
      <c r="BF122" s="22">
        <f>tabCustoUnit[[#This Row],[Submódulo 4.1]]+tabCustoUnit[[#This Row],[Submódulo 4.2]]+tabCustoUnit[[#This Row],[Submódulo 4.3]]</f>
        <v>300.6044033241642</v>
      </c>
      <c r="BG122" s="22">
        <f>VLOOKUP(tabCustoUnit[[#This Row],[Código do Posto]],tabParametros[],MATCH(tabCustoUnit[[#Headers],[Uniformes e EPIs]],tabParametros[#Headers],0),0)</f>
        <v>56.642978962543395</v>
      </c>
      <c r="BH122" s="22">
        <f>VLOOKUP(tabCustoUnit[[#This Row],[Código do Posto]],tabParametros[],MATCH(tabCustoUnit[[#Headers],[Materiais de Consumo]],tabParametros[#Headers],0),0)</f>
        <v>0</v>
      </c>
      <c r="BI122" s="22">
        <f>VLOOKUP(tabCustoUnit[[#This Row],[Código do Posto]],tabParametros[],MATCH(tabCustoUnit[[#Headers],[Máquinas e Equipamentos (depreciação)]],tabParametros[#Headers],0),0)</f>
        <v>0</v>
      </c>
      <c r="BJ122" s="22">
        <f>VLOOKUP(tabCustoUnit[[#This Row],[Código do Posto]],tabParametros[],MATCH(tabCustoUnit[[#Headers],[Produtos de Limpeza e Materiais de Higiene Pessoal]],tabParametros[#Headers],0),0)</f>
        <v>0</v>
      </c>
      <c r="BK122" s="22">
        <f>VLOOKUP(tabCustoUnit[[#This Row],[Código do Posto]],tabParametros[],MATCH(tabCustoUnit[[#Headers],[Outros (especificar)]],tabParametros[#Headers],0),0)</f>
        <v>0</v>
      </c>
      <c r="BL122" s="22">
        <f>SUM(tabCustoUnit[[#This Row],[Uniformes e EPIs]:[Outros (especificar)]])</f>
        <v>56.642978962543395</v>
      </c>
      <c r="BM12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2" s="22" t="e">
        <f ca="1">VLOOKUP(tabCustoUnit[[#This Row],[Código do Posto]],tabParametros[],MATCH(tabCustoUnit[[#Headers],[Custos Indiretos]],tabParametros[#Headers],0),0)</f>
        <v>#NAME?</v>
      </c>
      <c r="BO122" s="22" t="e">
        <f ca="1">VLOOKUP(tabCustoUnit[[#This Row],[Código do Posto]],tabParametros[],MATCH(tabCustoUnit[[#Headers],[Lucro]],tabParametros[#Headers],0),0)</f>
        <v>#NAME?</v>
      </c>
      <c r="BP122" s="26">
        <f>((100/((1-tabCustoUnit[[#This Row],[Resumo de Alíquotas (PIS+CONFINS+ISS)]]))-100)*VLOOKUP(tabCustoUnit[[#This Row],[Código do Posto]],tabParametros[],MATCH(tabCustoUnit[[#Headers],[COFINS]],tabParametros[#Headers],0),0))/(tabCustoUnit[[#This Row],[Resumo de Alíquotas (PIS+CONFINS+ISS)]]*100)</f>
        <v>8.5633802816901458E-2</v>
      </c>
      <c r="BQ122" s="26">
        <f>((100/((100-(tabCustoUnit[[#This Row],[Resumo de Alíquotas (PIS+CONFINS+ISS)]]*100))%)-100)*VLOOKUP(tabCustoUnit[[#This Row],[Código do Posto]],tabParametros[],MATCH(tabCustoUnit[[#Headers],[PIS]],tabParametros[#Headers],0),0))/(tabCustoUnit[[#This Row],[Resumo de Alíquotas (PIS+CONFINS+ISS)]]*100)</f>
        <v>1.8591549295774657E-2</v>
      </c>
      <c r="BR122" s="28">
        <f>VLOOKUP(tabCustoUnit[[#This Row],[Código do Posto]],tabParametros[],MATCH(tabCustoUnit[[#Headers],[ISS]],tabParametros[#Headers],0),0)</f>
        <v>0.02</v>
      </c>
      <c r="BS122" s="26">
        <f>(((100/((100-(tabCustoUnit[[#This Row],[Resumo de Alíquotas (PIS+CONFINS+ISS)]]*100))%)-100)*tabCustoUnit[[#This Row],[ISS]])/tabCustoUnit[[#This Row],[Resumo de Alíquotas (PIS+CONFINS+ISS)]])/100</f>
        <v>2.2535211267605645E-2</v>
      </c>
      <c r="BT12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22" s="138">
        <f>tabCustoUnit[[#This Row],[COFINS]]+tabCustoUnit[[#This Row],[PIS]]+tabCustoUnit[[#This Row],[ISS (Conversão Alíquota s/ fatura)]]</f>
        <v>0.12676056338028174</v>
      </c>
      <c r="BV122" s="22" t="e">
        <f ca="1">(tabCustoUnit[[#This Row],[TOTAL MÓDULOS 1+2+3+4+5]]+tabCustoUnit[[#This Row],[Custos Indiretos]]+tabCustoUnit[[#This Row],[Lucro]])*tabCustoUnit[[#This Row],[PIS + COFINS + ISS (Total Conversão  Alíquota s/ Fatura)]]</f>
        <v>#NAME?</v>
      </c>
      <c r="BW122" s="22" t="e">
        <f ca="1">tabCustoUnit[[#This Row],[Custos Indiretos]]+tabCustoUnit[[#This Row],[Lucro]]+tabCustoUnit[[#This Row],[Valor dos Tributos (ISS, PIS, CONFINS)]]</f>
        <v>#NAME?</v>
      </c>
      <c r="BX122" s="22" t="e">
        <f ca="1">tabCustoUnit[[#This Row],[TOTAL MÓDULOS 1+2+3+4+5]]+tabCustoUnit[[#This Row],[MÓDULO 6 – CUSTOS INDIRETOS, TRIBUTOS E LUCRO]]</f>
        <v>#NAME?</v>
      </c>
      <c r="BY122" s="22" t="e">
        <f ca="1">tabCustoUnit[[#This Row],[CUSTO TOTAL MENSAL]]*12</f>
        <v>#NAME?</v>
      </c>
      <c r="BZ122" s="24">
        <f>VLOOKUP(tabCustoUnit[[#This Row],[Código do Posto]],tabParametros[],MATCH(tabCustoUnit[[#Headers],[ANO DA CCT]],tabParametros[#Headers],0),0)</f>
        <v>45658</v>
      </c>
      <c r="CA122" s="25" t="str">
        <f>VLOOKUP(tabCustoUnit[[#This Row],[Código do Posto]],tabParametros[],MATCH(tabCustoUnit[[#Headers],[Nº DE PEDIDO DA CCT]],tabParametros[#Headers],0),0)</f>
        <v>-</v>
      </c>
      <c r="CB122" s="25" t="str">
        <f>VLOOKUP(tabCustoUnit[[#This Row],[Código do Posto]],tabParametros[],MATCH(tabCustoUnit[[#Headers],[TERMO ADITIVO ALTERAÇÃO DA CCT]],tabParametros[#Headers],0),0)</f>
        <v>-</v>
      </c>
    </row>
    <row r="123" spans="1:80">
      <c r="A123" s="20" t="s">
        <v>1468</v>
      </c>
      <c r="B123" t="s">
        <v>1126</v>
      </c>
      <c r="C123" t="s">
        <v>200</v>
      </c>
      <c r="D123" t="s">
        <v>957</v>
      </c>
      <c r="E123" s="20" t="s">
        <v>1090</v>
      </c>
      <c r="F123" s="20" t="s">
        <v>120</v>
      </c>
      <c r="G123" s="418">
        <v>1596.2737999999999</v>
      </c>
      <c r="H123" s="418">
        <v>0</v>
      </c>
      <c r="I123" s="418">
        <v>0</v>
      </c>
      <c r="J123" s="418">
        <v>0</v>
      </c>
      <c r="K123" s="418">
        <v>0</v>
      </c>
      <c r="L123" s="418">
        <v>0</v>
      </c>
      <c r="M123" s="418">
        <v>0</v>
      </c>
      <c r="N123" s="418">
        <v>0</v>
      </c>
      <c r="O123" s="21">
        <f>SUM(tabCustoUnit[[#This Row],[Salário Base]:[Adicional de Acúmulo de função]])</f>
        <v>1596.2737999999999</v>
      </c>
      <c r="P123" s="21">
        <f>tabCustoUnit[[#This Row],[MODULO 1 - REMUNERAÇÃO ]]*SUMIFS(tabParametros[INSS],tabParametros[Código do Posto],tabCustoUnit[[#This Row],[Código do Posto]])</f>
        <v>319.25476000000003</v>
      </c>
      <c r="Q123" s="21">
        <f>tabCustoUnit[[#This Row],[MODULO 1 - REMUNERAÇÃO ]]*SUMIFS(tabParametros[SESI OU SESC],tabParametros[Código do Posto],tabCustoUnit[[#This Row],[Código do Posto]])</f>
        <v>23.944106999999999</v>
      </c>
      <c r="R123" s="21">
        <f>tabCustoUnit[[#This Row],[MODULO 1 - REMUNERAÇÃO ]]*SUMIFS(tabParametros[SENAI OU SENAC],tabParametros[Código do Posto],tabCustoUnit[[#This Row],[Código do Posto]])</f>
        <v>15.962738</v>
      </c>
      <c r="S123" s="21">
        <f>tabCustoUnit[[#This Row],[MODULO 1 - REMUNERAÇÃO ]]*SUMIFS(tabParametros[INCRA],tabParametros[Código do Posto],tabCustoUnit[[#This Row],[Código do Posto]])</f>
        <v>3.1925476000000002</v>
      </c>
      <c r="T123" s="21">
        <f>tabCustoUnit[[#This Row],[MODULO 1 - REMUNERAÇÃO ]]*SUMIFS(tabParametros[Salário Educação],tabParametros[Código do Posto],tabCustoUnit[[#This Row],[Código do Posto]])</f>
        <v>39.906845000000004</v>
      </c>
      <c r="U123" s="21">
        <f>tabCustoUnit[[#This Row],[MODULO 1 - REMUNERAÇÃO ]]*SUMIFS(tabParametros[FGTS],tabParametros[Código do Posto],tabCustoUnit[[#This Row],[Código do Posto]])</f>
        <v>127.701904</v>
      </c>
      <c r="V123" s="21">
        <f>tabCustoUnit[[#This Row],[MODULO 1 - REMUNERAÇÃO ]]*SUMIFS(tabParametros[RAT Ajustado],tabParametros[Código do Posto],tabCustoUnit[[#This Row],[Código do Posto]])</f>
        <v>63.850951999999999</v>
      </c>
      <c r="W123" s="21">
        <f>tabCustoUnit[[#This Row],[MODULO 1 - REMUNERAÇÃO ]]*SUMIFS(tabParametros[SEBRAE],tabParametros[Código do Posto],tabCustoUnit[[#This Row],[Código do Posto]])</f>
        <v>9.5776427999999996</v>
      </c>
      <c r="X123" s="21">
        <f>SUM(tabCustoUnit[[#This Row],[INSS]:[SEBRAE]])</f>
        <v>603.39149640000005</v>
      </c>
      <c r="Y123" s="21">
        <f>tabCustoUnit[[#This Row],[MODULO 1 - REMUNERAÇÃO ]]*SUMIFS(tabParametros[13º salário (titular)],tabParametros[Código do Posto],tabCustoUnit[[#This Row],[Código do Posto]])</f>
        <v>133.02281666666664</v>
      </c>
      <c r="Z123" s="21">
        <f>tabCustoUnit[[#This Row],[MODULO 1 - REMUNERAÇÃO ]]*SUMIFS(tabParametros[Férias e Adicional de Férias (titular)],tabParametros[Código do Posto],tabCustoUnit[[#This Row],[Código do Posto]])</f>
        <v>177.36375555555554</v>
      </c>
      <c r="AA123" s="21">
        <f>IFERROR((tabCustoUnit[[#This Row],[Submódulo 2.1]]/tabCustoUnit[[#This Row],[MODULO 1 - REMUNERAÇÃO ]])*SUM(tabCustoUnit[[#This Row],[13º salário (titular)]:[Férias e Adicional de Férias (titular)]]),0)</f>
        <v>117.3261243</v>
      </c>
      <c r="AB123" s="21">
        <f>SUM(tabCustoUnit[[#This Row],[13º salário (titular)]:[Incidência do Submódulo 2.1 sobre 13º Salário, Férias e Adicional de Férias]])</f>
        <v>427.71269652222219</v>
      </c>
      <c r="AC123" s="22" t="e">
        <f ca="1">_xlfn.LET(_xlpm.VT,SUMIF(tabParametros[Código do Posto],tabCustoUnit[[#This Row],[Código do Posto]],tabParametros[Vale - Transporte])*2*20,
IF((_xlpm.VT-tabCustoUnit[[#This Row],[Salário Base]]*0.06)&gt;=0,(_xlpm.VT-tabCustoUnit[[#This Row],[Salário Base]]*0.06),0)
)</f>
        <v>#NAME?</v>
      </c>
      <c r="AD123" s="22">
        <f>IF(SUMIF(tabParametros[Código do Posto],tabCustoUnit[[#This Row],[Código do Posto]],tabParametros[Vale - Alimentação])&lt;=0,0,
SUMIF(tabParametros[Código do Posto],tabCustoUnit[[#This Row],[Código do Posto]],tabParametros[Vale - Alimentação])*20-1)</f>
        <v>582</v>
      </c>
      <c r="AE123" s="22">
        <f>SUMIF(tabParametros[Código do Posto],tabCustoUnit[[#This Row],[Código do Posto]],tabParametros[Cesta Básica])</f>
        <v>0</v>
      </c>
      <c r="AF123" s="22">
        <f>SUMIF(tabParametros[Código do Posto],tabCustoUnit[[#This Row],[Código do Posto]],tabParametros[PAF])</f>
        <v>0</v>
      </c>
      <c r="AG123" s="22">
        <f>SUMIF(tabParametros[Código do Posto],tabCustoUnit[[#This Row],[Código do Posto]],tabParametros[PQM])</f>
        <v>0</v>
      </c>
      <c r="AH123" s="22">
        <f>SUMIF(tabParametros[Código do Posto],tabCustoUnit[[#This Row],[Código do Posto]],tabParametros[Abono Único e Especial])</f>
        <v>0</v>
      </c>
      <c r="AI123" s="22">
        <f>SUMIF(tabParametros[Código do Posto],tabCustoUnit[[#This Row],[Código do Posto]],tabParametros[Seguro de Vida])</f>
        <v>3.36</v>
      </c>
      <c r="AJ123" s="22">
        <f>SUMIF(tabParametros[Código do Posto],tabCustoUnit[[#This Row],[Código do Posto]],tabParametros[Despesas de Viagem])</f>
        <v>0</v>
      </c>
      <c r="AK123" s="22" t="e">
        <f ca="1">SUM(tabCustoUnit[[#This Row],[Vale - Transporte (Descontada parcela do empregado)]:[Despesas de Viagem]])</f>
        <v>#NAME?</v>
      </c>
      <c r="AL123" s="22" t="e">
        <f ca="1">tabCustoUnit[[#This Row],[Submódulo 2.1]]+tabCustoUnit[[#This Row],[Submódulo 2.2]]+tabCustoUnit[[#This Row],[Submódulo 2.3]]</f>
        <v>#NAME?</v>
      </c>
      <c r="AM123" s="22">
        <f>SUMIF(tabParametros[Código do Posto],tabCustoUnit[[#This Row],[Código do Posto]],tabParametros[Aviso Prévio Indenizado (API) e Reflexo do Aviso Prévio Indenizado])*tabCustoUnit[[#This Row],[MODULO 1 - REMUNERAÇÃO ]]</f>
        <v>11.192699914390431</v>
      </c>
      <c r="AN123" s="22">
        <f>SUMIF(tabParametros[Código do Posto],tabCustoUnit[[#This Row],[Código do Posto]],tabParametros[Incidência do FGTS sobre API e Reflexo do API])*tabCustoUnit[[#This Row],[MODULO 1 - REMUNERAÇÃO ]]</f>
        <v>0.89541599315123466</v>
      </c>
      <c r="AO123" s="22">
        <f>SUMIF(tabParametros[Código do Posto],tabCustoUnit[[#This Row],[Código do Posto]],tabParametros[Multa Rescisória do FGTS sobre o Aviso Prévio Indenizado])*tabCustoUnit[[#This Row],[MODULO 1 - REMUNERAÇÃO ]]</f>
        <v>0.35816639726049387</v>
      </c>
      <c r="AP123" s="22">
        <f>SUMIF(tabParametros[Código do Posto],tabCustoUnit[[#This Row],[Código do Posto]],tabParametros[Aviso Prévio Trabalhado - APT])*tabCustoUnit[[#This Row],[MODULO 1 - REMUNERAÇÃO ]]</f>
        <v>5.5869583000000009</v>
      </c>
      <c r="AQ123" s="22">
        <f>SUMIF(tabParametros[Código do Posto],tabCustoUnit[[#This Row],[Código do Posto]],tabParametros[Incidência dos encargos do submódulo 2.1 sobre Aviso Prévio Trabalhado])*tabCustoUnit[[#This Row],[MODULO 1 - REMUNERAÇÃO ]]</f>
        <v>2.1118702374000007</v>
      </c>
      <c r="AR123" s="22">
        <f>SUMIF(tabParametros[Código do Posto],tabCustoUnit[[#This Row],[Código do Posto]],tabParametros[Multa Rescisória do FGTS])*tabCustoUnit[[#This Row],[MODULO 1 - REMUNERAÇÃO ]]</f>
        <v>48.810505528888882</v>
      </c>
      <c r="AS123" s="22">
        <f>SUMIF(tabParametros[Código do Posto],tabCustoUnit[[#This Row],[Código do Posto]],tabParametros[Indenização Adicional (Art. 9º da Lei nº 7.238/84)])*tabCustoUnit[[#This Row],[MODULO 1 - REMUNERAÇÃO ]]</f>
        <v>1.3302281666666667</v>
      </c>
      <c r="AT123" s="22">
        <f>SUM(tabCustoUnit[[#This Row],[Aviso Prévio Indenizado (API) e Reflexo do Aviso Prévio Indenizado]:[Indenização Adicional (Art. 9º da Lei nº 7.238/84)]])</f>
        <v>70.285844537757711</v>
      </c>
      <c r="AU123" s="22">
        <f>SUMIF(tabParametros[Código do Posto],tabCustoUnit[[#This Row],[Código do Posto]],tabParametros[Ausência por Doença])*tabCustoUnit[[#This Row],[MODULO 1 - REMUNERAÇÃO ]]</f>
        <v>13.479645422222221</v>
      </c>
      <c r="AV123" s="22">
        <f>SUMIF(tabParametros[Código do Posto],tabCustoUnit[[#This Row],[Código do Posto]],tabParametros[Ausências Legais])*tabCustoUnit[[#This Row],[MODULO 1 - REMUNERAÇÃO ]]</f>
        <v>3.2368885388888886</v>
      </c>
      <c r="AW123" s="22">
        <f>SUMIF(tabParametros[Código do Posto],tabCustoUnit[[#This Row],[Código do Posto]],tabParametros[Licença Paternidade])*tabCustoUnit[[#This Row],[MODULO 1 - REMUNERAÇÃO ]]</f>
        <v>0.27269677416666666</v>
      </c>
      <c r="AX123" s="22">
        <f>SUMIF(tabParametros[Código do Posto],tabCustoUnit[[#This Row],[Código do Posto]],tabParametros[Ausência por Acidente de Trabalho])*tabCustoUnit[[#This Row],[MODULO 1 - REMUNERAÇÃO ]]</f>
        <v>0.33255704166666666</v>
      </c>
      <c r="AY123" s="22">
        <f>SUMIF(tabParametros[Código do Posto],tabCustoUnit[[#This Row],[Código do Posto]],tabParametros[Férias, Adicional de Férias e 13º  com empregada em gozo de Licença Maternidade])*tabCustoUnit[[#This Row],[MODULO 1 - REMUNERAÇÃO ]]</f>
        <v>2.0692438148148145</v>
      </c>
      <c r="AZ123" s="22">
        <f>SUMIF(tabParametros[Código do Posto],tabCustoUnit[[#This Row],[Código do Posto]],tabParametros[Incidência do Submódulo 2.1 sobre Ausências Legais])*tabCustoUnit[[#This Row],[MODULO 1 - REMUNERAÇÃO ]]</f>
        <v>7.3298099416850011</v>
      </c>
      <c r="BA123" s="22">
        <f>SUM(tabCustoUnit[[#This Row],[Ausência por Doença]:[Incidência do Submódulo 2.1 sobre Ausências Legais]])</f>
        <v>26.720841533444265</v>
      </c>
      <c r="BB123" s="22">
        <f>SUMIF(tabParametros[Código do Posto],tabCustoUnit[[#This Row],[Código do Posto]],tabParametros[Intervalo para Repouso ou Alimentação])</f>
        <v>0</v>
      </c>
      <c r="BC123" s="22">
        <f>tabCustoUnit[[#This Row],[Intervalo para Repouso ou Alimentação]]</f>
        <v>0</v>
      </c>
      <c r="BD12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3" s="22">
        <f>tabCustoUnit[[#This Row],[Suspensão Temporária do Contrato de Trabalho]]</f>
        <v>0</v>
      </c>
      <c r="BF123" s="22">
        <f>tabCustoUnit[[#This Row],[Submódulo 4.1]]+tabCustoUnit[[#This Row],[Submódulo 4.2]]+tabCustoUnit[[#This Row],[Submódulo 4.3]]</f>
        <v>26.720841533444265</v>
      </c>
      <c r="BG123" s="22">
        <f>VLOOKUP(tabCustoUnit[[#This Row],[Código do Posto]],tabParametros[],MATCH(tabCustoUnit[[#Headers],[Uniformes e EPIs]],tabParametros[#Headers],0),0)</f>
        <v>56.141713661989918</v>
      </c>
      <c r="BH123" s="22">
        <f>VLOOKUP(tabCustoUnit[[#This Row],[Código do Posto]],tabParametros[],MATCH(tabCustoUnit[[#Headers],[Materiais de Consumo]],tabParametros[#Headers],0),0)</f>
        <v>0</v>
      </c>
      <c r="BI123" s="22">
        <f>VLOOKUP(tabCustoUnit[[#This Row],[Código do Posto]],tabParametros[],MATCH(tabCustoUnit[[#Headers],[Máquinas e Equipamentos (depreciação)]],tabParametros[#Headers],0),0)</f>
        <v>0</v>
      </c>
      <c r="BJ123" s="22">
        <f>VLOOKUP(tabCustoUnit[[#This Row],[Código do Posto]],tabParametros[],MATCH(tabCustoUnit[[#Headers],[Produtos de Limpeza e Materiais de Higiene Pessoal]],tabParametros[#Headers],0),0)</f>
        <v>0</v>
      </c>
      <c r="BK123" s="22">
        <f>VLOOKUP(tabCustoUnit[[#This Row],[Código do Posto]],tabParametros[],MATCH(tabCustoUnit[[#Headers],[Outros (especificar)]],tabParametros[#Headers],0),0)</f>
        <v>0</v>
      </c>
      <c r="BL123" s="22">
        <f>SUM(tabCustoUnit[[#This Row],[Uniformes e EPIs]:[Outros (especificar)]])</f>
        <v>56.141713661989918</v>
      </c>
      <c r="BM12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3" s="22" t="e">
        <f ca="1">VLOOKUP(tabCustoUnit[[#This Row],[Código do Posto]],tabParametros[],MATCH(tabCustoUnit[[#Headers],[Custos Indiretos]],tabParametros[#Headers],0),0)</f>
        <v>#NAME?</v>
      </c>
      <c r="BO123" s="22" t="e">
        <f ca="1">VLOOKUP(tabCustoUnit[[#This Row],[Código do Posto]],tabParametros[],MATCH(tabCustoUnit[[#Headers],[Lucro]],tabParametros[#Headers],0),0)</f>
        <v>#NAME?</v>
      </c>
      <c r="BP123" s="26">
        <f>((100/((1-tabCustoUnit[[#This Row],[Resumo de Alíquotas (PIS+CONFINS+ISS)]]))-100)*VLOOKUP(tabCustoUnit[[#This Row],[Código do Posto]],tabParametros[],MATCH(tabCustoUnit[[#Headers],[COFINS]],tabParametros[#Headers],0),0))/(tabCustoUnit[[#This Row],[Resumo de Alíquotas (PIS+CONFINS+ISS)]]*100)</f>
        <v>8.7608069164265154E-2</v>
      </c>
      <c r="BQ123" s="26">
        <f>((100/((100-(tabCustoUnit[[#This Row],[Resumo de Alíquotas (PIS+CONFINS+ISS)]]*100))%)-100)*VLOOKUP(tabCustoUnit[[#This Row],[Código do Posto]],tabParametros[],MATCH(tabCustoUnit[[#Headers],[PIS]],tabParametros[#Headers],0),0))/(tabCustoUnit[[#This Row],[Resumo de Alíquotas (PIS+CONFINS+ISS)]]*100)</f>
        <v>1.9020172910662814E-2</v>
      </c>
      <c r="BR123" s="28">
        <f>VLOOKUP(tabCustoUnit[[#This Row],[Código do Posto]],tabParametros[],MATCH(tabCustoUnit[[#Headers],[ISS]],tabParametros[#Headers],0),0)</f>
        <v>0.04</v>
      </c>
      <c r="BS123" s="26">
        <f>(((100/((100-(tabCustoUnit[[#This Row],[Resumo de Alíquotas (PIS+CONFINS+ISS)]]*100))%)-100)*tabCustoUnit[[#This Row],[ISS]])/tabCustoUnit[[#This Row],[Resumo de Alíquotas (PIS+CONFINS+ISS)]])/100</f>
        <v>4.6109510086455294E-2</v>
      </c>
      <c r="BT12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23" s="138">
        <f>tabCustoUnit[[#This Row],[COFINS]]+tabCustoUnit[[#This Row],[PIS]]+tabCustoUnit[[#This Row],[ISS (Conversão Alíquota s/ fatura)]]</f>
        <v>0.15273775216138324</v>
      </c>
      <c r="BV123" s="22" t="e">
        <f ca="1">(tabCustoUnit[[#This Row],[TOTAL MÓDULOS 1+2+3+4+5]]+tabCustoUnit[[#This Row],[Custos Indiretos]]+tabCustoUnit[[#This Row],[Lucro]])*tabCustoUnit[[#This Row],[PIS + COFINS + ISS (Total Conversão  Alíquota s/ Fatura)]]</f>
        <v>#NAME?</v>
      </c>
      <c r="BW123" s="22" t="e">
        <f ca="1">tabCustoUnit[[#This Row],[Custos Indiretos]]+tabCustoUnit[[#This Row],[Lucro]]+tabCustoUnit[[#This Row],[Valor dos Tributos (ISS, PIS, CONFINS)]]</f>
        <v>#NAME?</v>
      </c>
      <c r="BX123" s="22" t="e">
        <f ca="1">tabCustoUnit[[#This Row],[TOTAL MÓDULOS 1+2+3+4+5]]+tabCustoUnit[[#This Row],[MÓDULO 6 – CUSTOS INDIRETOS, TRIBUTOS E LUCRO]]</f>
        <v>#NAME?</v>
      </c>
      <c r="BY123" s="22" t="e">
        <f ca="1">tabCustoUnit[[#This Row],[CUSTO TOTAL MENSAL]]*12</f>
        <v>#NAME?</v>
      </c>
      <c r="BZ123" s="24">
        <f>VLOOKUP(tabCustoUnit[[#This Row],[Código do Posto]],tabParametros[],MATCH(tabCustoUnit[[#Headers],[ANO DA CCT]],tabParametros[#Headers],0),0)</f>
        <v>45658</v>
      </c>
      <c r="CA123" s="25" t="str">
        <f>VLOOKUP(tabCustoUnit[[#This Row],[Código do Posto]],tabParametros[],MATCH(tabCustoUnit[[#Headers],[Nº DE PEDIDO DA CCT]],tabParametros[#Headers],0),0)</f>
        <v>-</v>
      </c>
      <c r="CB123" s="25" t="str">
        <f>VLOOKUP(tabCustoUnit[[#This Row],[Código do Posto]],tabParametros[],MATCH(tabCustoUnit[[#Headers],[TERMO ADITIVO ALTERAÇÃO DA CCT]],tabParametros[#Headers],0),0)</f>
        <v>-</v>
      </c>
    </row>
    <row r="124" spans="1:80">
      <c r="A124" s="20" t="s">
        <v>1581</v>
      </c>
      <c r="B124" t="s">
        <v>1126</v>
      </c>
      <c r="C124" t="s">
        <v>274</v>
      </c>
      <c r="D124" t="s">
        <v>982</v>
      </c>
      <c r="E124" s="20" t="s">
        <v>1090</v>
      </c>
      <c r="F124" s="20" t="s">
        <v>120</v>
      </c>
      <c r="G124" s="418">
        <v>4558.0709999999999</v>
      </c>
      <c r="H124" s="418">
        <v>0</v>
      </c>
      <c r="I124" s="418">
        <v>0</v>
      </c>
      <c r="J124" s="418">
        <v>0</v>
      </c>
      <c r="K124" s="418">
        <v>0</v>
      </c>
      <c r="L124" s="418">
        <v>0</v>
      </c>
      <c r="M124" s="418">
        <v>0</v>
      </c>
      <c r="N124" s="418">
        <v>0</v>
      </c>
      <c r="O124" s="21">
        <f>SUM(tabCustoUnit[[#This Row],[Salário Base]:[Adicional de Acúmulo de função]])</f>
        <v>4558.0709999999999</v>
      </c>
      <c r="P124" s="21">
        <f>tabCustoUnit[[#This Row],[MODULO 1 - REMUNERAÇÃO ]]*SUMIFS(tabParametros[INSS],tabParametros[Código do Posto],tabCustoUnit[[#This Row],[Código do Posto]])</f>
        <v>911.61419999999998</v>
      </c>
      <c r="Q124" s="21">
        <f>tabCustoUnit[[#This Row],[MODULO 1 - REMUNERAÇÃO ]]*SUMIFS(tabParametros[SESI OU SESC],tabParametros[Código do Posto],tabCustoUnit[[#This Row],[Código do Posto]])</f>
        <v>68.371065000000002</v>
      </c>
      <c r="R124" s="21">
        <f>tabCustoUnit[[#This Row],[MODULO 1 - REMUNERAÇÃO ]]*SUMIFS(tabParametros[SENAI OU SENAC],tabParametros[Código do Posto],tabCustoUnit[[#This Row],[Código do Posto]])</f>
        <v>45.580710000000003</v>
      </c>
      <c r="S124" s="21">
        <f>tabCustoUnit[[#This Row],[MODULO 1 - REMUNERAÇÃO ]]*SUMIFS(tabParametros[INCRA],tabParametros[Código do Posto],tabCustoUnit[[#This Row],[Código do Posto]])</f>
        <v>9.116142</v>
      </c>
      <c r="T124" s="21">
        <f>tabCustoUnit[[#This Row],[MODULO 1 - REMUNERAÇÃO ]]*SUMIFS(tabParametros[Salário Educação],tabParametros[Código do Posto],tabCustoUnit[[#This Row],[Código do Posto]])</f>
        <v>113.951775</v>
      </c>
      <c r="U124" s="21">
        <f>tabCustoUnit[[#This Row],[MODULO 1 - REMUNERAÇÃO ]]*SUMIFS(tabParametros[FGTS],tabParametros[Código do Posto],tabCustoUnit[[#This Row],[Código do Posto]])</f>
        <v>364.64568000000003</v>
      </c>
      <c r="V124" s="21">
        <f>tabCustoUnit[[#This Row],[MODULO 1 - REMUNERAÇÃO ]]*SUMIFS(tabParametros[RAT Ajustado],tabParametros[Código do Posto],tabCustoUnit[[#This Row],[Código do Posto]])</f>
        <v>182.32284000000001</v>
      </c>
      <c r="W124" s="21">
        <f>tabCustoUnit[[#This Row],[MODULO 1 - REMUNERAÇÃO ]]*SUMIFS(tabParametros[SEBRAE],tabParametros[Código do Posto],tabCustoUnit[[#This Row],[Código do Posto]])</f>
        <v>27.348426</v>
      </c>
      <c r="X124" s="21">
        <f>SUM(tabCustoUnit[[#This Row],[INSS]:[SEBRAE]])</f>
        <v>1722.9508380000002</v>
      </c>
      <c r="Y124" s="21">
        <f>tabCustoUnit[[#This Row],[MODULO 1 - REMUNERAÇÃO ]]*SUMIFS(tabParametros[13º salário (titular)],tabParametros[Código do Posto],tabCustoUnit[[#This Row],[Código do Posto]])</f>
        <v>379.83924999999999</v>
      </c>
      <c r="Z124" s="21">
        <f>tabCustoUnit[[#This Row],[MODULO 1 - REMUNERAÇÃO ]]*SUMIFS(tabParametros[Férias e Adicional de Férias (titular)],tabParametros[Código do Posto],tabCustoUnit[[#This Row],[Código do Posto]])</f>
        <v>506.45233333333329</v>
      </c>
      <c r="AA124" s="21">
        <f>IFERROR((tabCustoUnit[[#This Row],[Submódulo 2.1]]/tabCustoUnit[[#This Row],[MODULO 1 - REMUNERAÇÃO ]])*SUM(tabCustoUnit[[#This Row],[13º salário (titular)]:[Férias e Adicional de Férias (titular)]]),0)</f>
        <v>335.01821850000005</v>
      </c>
      <c r="AB124" s="21">
        <f>SUM(tabCustoUnit[[#This Row],[13º salário (titular)]:[Incidência do Submódulo 2.1 sobre 13º Salário, Férias e Adicional de Férias]])</f>
        <v>1221.3098018333333</v>
      </c>
      <c r="AC124" s="22" t="e">
        <f ca="1">_xlfn.LET(_xlpm.VT,SUMIF(tabParametros[Código do Posto],tabCustoUnit[[#This Row],[Código do Posto]],tabParametros[Vale - Transporte])*2*20,
IF((_xlpm.VT-tabCustoUnit[[#This Row],[Salário Base]]*0.06)&gt;=0,(_xlpm.VT-tabCustoUnit[[#This Row],[Salário Base]]*0.06),0)
)</f>
        <v>#NAME?</v>
      </c>
      <c r="AD124" s="22">
        <f>IF(SUMIF(tabParametros[Código do Posto],tabCustoUnit[[#This Row],[Código do Posto]],tabParametros[Vale - Alimentação])&lt;=0,0,
SUMIF(tabParametros[Código do Posto],tabCustoUnit[[#This Row],[Código do Posto]],tabParametros[Vale - Alimentação])*20-1)</f>
        <v>578.4</v>
      </c>
      <c r="AE124" s="22">
        <f>SUMIF(tabParametros[Código do Posto],tabCustoUnit[[#This Row],[Código do Posto]],tabParametros[Cesta Básica])</f>
        <v>0</v>
      </c>
      <c r="AF124" s="22">
        <f>SUMIF(tabParametros[Código do Posto],tabCustoUnit[[#This Row],[Código do Posto]],tabParametros[PAF])</f>
        <v>22.52</v>
      </c>
      <c r="AG124" s="22">
        <f>SUMIF(tabParametros[Código do Posto],tabCustoUnit[[#This Row],[Código do Posto]],tabParametros[PQM])</f>
        <v>0</v>
      </c>
      <c r="AH124" s="22">
        <f>SUMIF(tabParametros[Código do Posto],tabCustoUnit[[#This Row],[Código do Posto]],tabParametros[Abono Único e Especial])</f>
        <v>0</v>
      </c>
      <c r="AI124" s="22">
        <f>SUMIF(tabParametros[Código do Posto],tabCustoUnit[[#This Row],[Código do Posto]],tabParametros[Seguro de Vida])</f>
        <v>3.36</v>
      </c>
      <c r="AJ124" s="22">
        <f>SUMIF(tabParametros[Código do Posto],tabCustoUnit[[#This Row],[Código do Posto]],tabParametros[Despesas de Viagem])</f>
        <v>662.42</v>
      </c>
      <c r="AK124" s="22" t="e">
        <f ca="1">SUM(tabCustoUnit[[#This Row],[Vale - Transporte (Descontada parcela do empregado)]:[Despesas de Viagem]])</f>
        <v>#NAME?</v>
      </c>
      <c r="AL124" s="22" t="e">
        <f ca="1">tabCustoUnit[[#This Row],[Submódulo 2.1]]+tabCustoUnit[[#This Row],[Submódulo 2.2]]+tabCustoUnit[[#This Row],[Submódulo 2.3]]</f>
        <v>#NAME?</v>
      </c>
      <c r="AM124" s="22">
        <f>SUMIF(tabParametros[Código do Posto],tabCustoUnit[[#This Row],[Código do Posto]],tabParametros[Aviso Prévio Indenizado (API) e Reflexo do Aviso Prévio Indenizado])*tabCustoUnit[[#This Row],[MODULO 1 - REMUNERAÇÃO ]]</f>
        <v>31.960131708912037</v>
      </c>
      <c r="AN124" s="22">
        <f>SUMIF(tabParametros[Código do Posto],tabCustoUnit[[#This Row],[Código do Posto]],tabParametros[Incidência do FGTS sobre API e Reflexo do API])*tabCustoUnit[[#This Row],[MODULO 1 - REMUNERAÇÃO ]]</f>
        <v>2.556810536712963</v>
      </c>
      <c r="AO124" s="22">
        <f>SUMIF(tabParametros[Código do Posto],tabCustoUnit[[#This Row],[Código do Posto]],tabParametros[Multa Rescisória do FGTS sobre o Aviso Prévio Indenizado])*tabCustoUnit[[#This Row],[MODULO 1 - REMUNERAÇÃO ]]</f>
        <v>1.0227242146851854</v>
      </c>
      <c r="AP124" s="22">
        <f>SUMIF(tabParametros[Código do Posto],tabCustoUnit[[#This Row],[Código do Posto]],tabParametros[Aviso Prévio Trabalhado - APT])*tabCustoUnit[[#This Row],[MODULO 1 - REMUNERAÇÃO ]]</f>
        <v>15.953248500000003</v>
      </c>
      <c r="AQ124" s="22">
        <f>SUMIF(tabParametros[Código do Posto],tabCustoUnit[[#This Row],[Código do Posto]],tabParametros[Incidência dos encargos do submódulo 2.1 sobre Aviso Prévio Trabalhado])*tabCustoUnit[[#This Row],[MODULO 1 - REMUNERAÇÃO ]]</f>
        <v>6.0303279330000015</v>
      </c>
      <c r="AR124" s="22">
        <f>SUMIF(tabParametros[Código do Posto],tabCustoUnit[[#This Row],[Código do Posto]],tabParametros[Multa Rescisória do FGTS])*tabCustoUnit[[#This Row],[MODULO 1 - REMUNERAÇÃO ]]</f>
        <v>139.3756821333333</v>
      </c>
      <c r="AS124" s="22">
        <f>SUMIF(tabParametros[Código do Posto],tabCustoUnit[[#This Row],[Código do Posto]],tabParametros[Indenização Adicional (Art. 9º da Lei nº 7.238/84)])*tabCustoUnit[[#This Row],[MODULO 1 - REMUNERAÇÃO ]]</f>
        <v>3.7983925000000003</v>
      </c>
      <c r="AT124" s="22">
        <f>SUM(tabCustoUnit[[#This Row],[Aviso Prévio Indenizado (API) e Reflexo do Aviso Prévio Indenizado]:[Indenização Adicional (Art. 9º da Lei nº 7.238/84)]])</f>
        <v>200.6973175266435</v>
      </c>
      <c r="AU124" s="22">
        <f>SUMIF(tabParametros[Código do Posto],tabCustoUnit[[#This Row],[Código do Posto]],tabParametros[Ausência por Doença])*tabCustoUnit[[#This Row],[MODULO 1 - REMUNERAÇÃO ]]</f>
        <v>38.490377333333328</v>
      </c>
      <c r="AV124" s="22">
        <f>SUMIF(tabParametros[Código do Posto],tabCustoUnit[[#This Row],[Código do Posto]],tabParametros[Ausências Legais])*tabCustoUnit[[#This Row],[MODULO 1 - REMUNERAÇÃO ]]</f>
        <v>9.2427550833333321</v>
      </c>
      <c r="AW124" s="22">
        <f>SUMIF(tabParametros[Código do Posto],tabCustoUnit[[#This Row],[Código do Posto]],tabParametros[Licença Paternidade])*tabCustoUnit[[#This Row],[MODULO 1 - REMUNERAÇÃO ]]</f>
        <v>0.77867046249999994</v>
      </c>
      <c r="AX124" s="22">
        <f>SUMIF(tabParametros[Código do Posto],tabCustoUnit[[#This Row],[Código do Posto]],tabParametros[Ausência por Acidente de Trabalho])*tabCustoUnit[[#This Row],[MODULO 1 - REMUNERAÇÃO ]]</f>
        <v>0.94959812500000007</v>
      </c>
      <c r="AY124" s="22">
        <f>SUMIF(tabParametros[Código do Posto],tabCustoUnit[[#This Row],[Código do Posto]],tabParametros[Férias, Adicional de Férias e 13º  com empregada em gozo de Licença Maternidade])*tabCustoUnit[[#This Row],[MODULO 1 - REMUNERAÇÃO ]]</f>
        <v>5.9086105555555557</v>
      </c>
      <c r="AZ124" s="22">
        <f>SUMIF(tabParametros[Código do Posto],tabCustoUnit[[#This Row],[Código do Posto]],tabParametros[Incidência do Submódulo 2.1 sobre Ausências Legais])*tabCustoUnit[[#This Row],[MODULO 1 - REMUNERAÇÃO ]]</f>
        <v>20.929864369575004</v>
      </c>
      <c r="BA124" s="22">
        <f>SUM(tabCustoUnit[[#This Row],[Ausência por Doença]:[Incidência do Submódulo 2.1 sobre Ausências Legais]])</f>
        <v>76.29987592929723</v>
      </c>
      <c r="BB124" s="22">
        <f>SUMIF(tabParametros[Código do Posto],tabCustoUnit[[#This Row],[Código do Posto]],tabParametros[Intervalo para Repouso ou Alimentação])</f>
        <v>0</v>
      </c>
      <c r="BC124" s="22">
        <f>tabCustoUnit[[#This Row],[Intervalo para Repouso ou Alimentação]]</f>
        <v>0</v>
      </c>
      <c r="BD12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4" s="22">
        <f>tabCustoUnit[[#This Row],[Suspensão Temporária do Contrato de Trabalho]]</f>
        <v>0</v>
      </c>
      <c r="BF124" s="22">
        <f>tabCustoUnit[[#This Row],[Submódulo 4.1]]+tabCustoUnit[[#This Row],[Submódulo 4.2]]+tabCustoUnit[[#This Row],[Submódulo 4.3]]</f>
        <v>76.29987592929723</v>
      </c>
      <c r="BG124" s="22">
        <f>VLOOKUP(tabCustoUnit[[#This Row],[Código do Posto]],tabParametros[],MATCH(tabCustoUnit[[#Headers],[Uniformes e EPIs]],tabParametros[#Headers],0),0)</f>
        <v>92.100763771570698</v>
      </c>
      <c r="BH124" s="22">
        <f>VLOOKUP(tabCustoUnit[[#This Row],[Código do Posto]],tabParametros[],MATCH(tabCustoUnit[[#Headers],[Materiais de Consumo]],tabParametros[#Headers],0),0)</f>
        <v>0</v>
      </c>
      <c r="BI124" s="22">
        <f>VLOOKUP(tabCustoUnit[[#This Row],[Código do Posto]],tabParametros[],MATCH(tabCustoUnit[[#Headers],[Máquinas e Equipamentos (depreciação)]],tabParametros[#Headers],0),0)</f>
        <v>0</v>
      </c>
      <c r="BJ124" s="22">
        <f>VLOOKUP(tabCustoUnit[[#This Row],[Código do Posto]],tabParametros[],MATCH(tabCustoUnit[[#Headers],[Produtos de Limpeza e Materiais de Higiene Pessoal]],tabParametros[#Headers],0),0)</f>
        <v>0</v>
      </c>
      <c r="BK124" s="22">
        <f>VLOOKUP(tabCustoUnit[[#This Row],[Código do Posto]],tabParametros[],MATCH(tabCustoUnit[[#Headers],[Outros (especificar)]],tabParametros[#Headers],0),0)</f>
        <v>0</v>
      </c>
      <c r="BL124" s="22">
        <f>SUM(tabCustoUnit[[#This Row],[Uniformes e EPIs]:[Outros (especificar)]])</f>
        <v>92.100763771570698</v>
      </c>
      <c r="BM12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4" s="22" t="e">
        <f ca="1">VLOOKUP(tabCustoUnit[[#This Row],[Código do Posto]],tabParametros[],MATCH(tabCustoUnit[[#Headers],[Custos Indiretos]],tabParametros[#Headers],0),0)</f>
        <v>#NAME?</v>
      </c>
      <c r="BO124" s="22" t="e">
        <f ca="1">VLOOKUP(tabCustoUnit[[#This Row],[Código do Posto]],tabParametros[],MATCH(tabCustoUnit[[#Headers],[Lucro]],tabParametros[#Headers],0),0)</f>
        <v>#NAME?</v>
      </c>
      <c r="BP124" s="26">
        <f>((100/((1-tabCustoUnit[[#This Row],[Resumo de Alíquotas (PIS+CONFINS+ISS)]]))-100)*VLOOKUP(tabCustoUnit[[#This Row],[Código do Posto]],tabParametros[],MATCH(tabCustoUnit[[#Headers],[COFINS]],tabParametros[#Headers],0),0))/(tabCustoUnit[[#This Row],[Resumo de Alíquotas (PIS+CONFINS+ISS)]]*100)</f>
        <v>8.7608069164265154E-2</v>
      </c>
      <c r="BQ124" s="26">
        <f>((100/((100-(tabCustoUnit[[#This Row],[Resumo de Alíquotas (PIS+CONFINS+ISS)]]*100))%)-100)*VLOOKUP(tabCustoUnit[[#This Row],[Código do Posto]],tabParametros[],MATCH(tabCustoUnit[[#Headers],[PIS]],tabParametros[#Headers],0),0))/(tabCustoUnit[[#This Row],[Resumo de Alíquotas (PIS+CONFINS+ISS)]]*100)</f>
        <v>1.9020172910662814E-2</v>
      </c>
      <c r="BR124" s="28">
        <f>VLOOKUP(tabCustoUnit[[#This Row],[Código do Posto]],tabParametros[],MATCH(tabCustoUnit[[#Headers],[ISS]],tabParametros[#Headers],0),0)</f>
        <v>0.04</v>
      </c>
      <c r="BS124" s="26">
        <f>(((100/((100-(tabCustoUnit[[#This Row],[Resumo de Alíquotas (PIS+CONFINS+ISS)]]*100))%)-100)*tabCustoUnit[[#This Row],[ISS]])/tabCustoUnit[[#This Row],[Resumo de Alíquotas (PIS+CONFINS+ISS)]])/100</f>
        <v>4.6109510086455294E-2</v>
      </c>
      <c r="BT12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24" s="138">
        <f>tabCustoUnit[[#This Row],[COFINS]]+tabCustoUnit[[#This Row],[PIS]]+tabCustoUnit[[#This Row],[ISS (Conversão Alíquota s/ fatura)]]</f>
        <v>0.15273775216138324</v>
      </c>
      <c r="BV124" s="22" t="e">
        <f ca="1">(tabCustoUnit[[#This Row],[TOTAL MÓDULOS 1+2+3+4+5]]+tabCustoUnit[[#This Row],[Custos Indiretos]]+tabCustoUnit[[#This Row],[Lucro]])*tabCustoUnit[[#This Row],[PIS + COFINS + ISS (Total Conversão  Alíquota s/ Fatura)]]</f>
        <v>#NAME?</v>
      </c>
      <c r="BW124" s="22" t="e">
        <f ca="1">tabCustoUnit[[#This Row],[Custos Indiretos]]+tabCustoUnit[[#This Row],[Lucro]]+tabCustoUnit[[#This Row],[Valor dos Tributos (ISS, PIS, CONFINS)]]</f>
        <v>#NAME?</v>
      </c>
      <c r="BX124" s="22" t="e">
        <f ca="1">tabCustoUnit[[#This Row],[TOTAL MÓDULOS 1+2+3+4+5]]+tabCustoUnit[[#This Row],[MÓDULO 6 – CUSTOS INDIRETOS, TRIBUTOS E LUCRO]]</f>
        <v>#NAME?</v>
      </c>
      <c r="BY124" s="22" t="e">
        <f ca="1">tabCustoUnit[[#This Row],[CUSTO TOTAL MENSAL]]*12</f>
        <v>#NAME?</v>
      </c>
      <c r="BZ124" s="24">
        <f>VLOOKUP(tabCustoUnit[[#This Row],[Código do Posto]],tabParametros[],MATCH(tabCustoUnit[[#Headers],[ANO DA CCT]],tabParametros[#Headers],0),0)</f>
        <v>45658</v>
      </c>
      <c r="CA124" s="25" t="str">
        <f>VLOOKUP(tabCustoUnit[[#This Row],[Código do Posto]],tabParametros[],MATCH(tabCustoUnit[[#Headers],[Nº DE PEDIDO DA CCT]],tabParametros[#Headers],0),0)</f>
        <v>-</v>
      </c>
      <c r="CB124" s="25" t="str">
        <f>VLOOKUP(tabCustoUnit[[#This Row],[Código do Posto]],tabParametros[],MATCH(tabCustoUnit[[#Headers],[TERMO ADITIVO ALTERAÇÃO DA CCT]],tabParametros[#Headers],0),0)</f>
        <v>-</v>
      </c>
    </row>
    <row r="125" spans="1:80">
      <c r="A125" s="20" t="s">
        <v>1469</v>
      </c>
      <c r="B125" t="s">
        <v>1126</v>
      </c>
      <c r="C125" t="s">
        <v>314</v>
      </c>
      <c r="D125" t="s">
        <v>957</v>
      </c>
      <c r="E125" s="20" t="s">
        <v>1090</v>
      </c>
      <c r="F125" s="20" t="s">
        <v>120</v>
      </c>
      <c r="G125" s="418">
        <v>1963.4110000000001</v>
      </c>
      <c r="H125" s="418">
        <v>0</v>
      </c>
      <c r="I125" s="418">
        <v>0</v>
      </c>
      <c r="J125" s="418">
        <v>0</v>
      </c>
      <c r="K125" s="418">
        <v>0</v>
      </c>
      <c r="L125" s="418">
        <v>0</v>
      </c>
      <c r="M125" s="418">
        <v>0</v>
      </c>
      <c r="N125" s="418">
        <v>0</v>
      </c>
      <c r="O125" s="21">
        <f>SUM(tabCustoUnit[[#This Row],[Salário Base]:[Adicional de Acúmulo de função]])</f>
        <v>1963.4110000000001</v>
      </c>
      <c r="P125" s="21">
        <f>tabCustoUnit[[#This Row],[MODULO 1 - REMUNERAÇÃO ]]*SUMIFS(tabParametros[INSS],tabParametros[Código do Posto],tabCustoUnit[[#This Row],[Código do Posto]])</f>
        <v>392.68220000000002</v>
      </c>
      <c r="Q125" s="21">
        <f>tabCustoUnit[[#This Row],[MODULO 1 - REMUNERAÇÃO ]]*SUMIFS(tabParametros[SESI OU SESC],tabParametros[Código do Posto],tabCustoUnit[[#This Row],[Código do Posto]])</f>
        <v>29.451165</v>
      </c>
      <c r="R125" s="21">
        <f>tabCustoUnit[[#This Row],[MODULO 1 - REMUNERAÇÃO ]]*SUMIFS(tabParametros[SENAI OU SENAC],tabParametros[Código do Posto],tabCustoUnit[[#This Row],[Código do Posto]])</f>
        <v>19.63411</v>
      </c>
      <c r="S125" s="21">
        <f>tabCustoUnit[[#This Row],[MODULO 1 - REMUNERAÇÃO ]]*SUMIFS(tabParametros[INCRA],tabParametros[Código do Posto],tabCustoUnit[[#This Row],[Código do Posto]])</f>
        <v>3.926822</v>
      </c>
      <c r="T125" s="21">
        <f>tabCustoUnit[[#This Row],[MODULO 1 - REMUNERAÇÃO ]]*SUMIFS(tabParametros[Salário Educação],tabParametros[Código do Posto],tabCustoUnit[[#This Row],[Código do Posto]])</f>
        <v>49.085275000000003</v>
      </c>
      <c r="U125" s="21">
        <f>tabCustoUnit[[#This Row],[MODULO 1 - REMUNERAÇÃO ]]*SUMIFS(tabParametros[FGTS],tabParametros[Código do Posto],tabCustoUnit[[#This Row],[Código do Posto]])</f>
        <v>157.07288</v>
      </c>
      <c r="V125" s="21">
        <f>tabCustoUnit[[#This Row],[MODULO 1 - REMUNERAÇÃO ]]*SUMIFS(tabParametros[RAT Ajustado],tabParametros[Código do Posto],tabCustoUnit[[#This Row],[Código do Posto]])</f>
        <v>78.536439999999999</v>
      </c>
      <c r="W125" s="21">
        <f>tabCustoUnit[[#This Row],[MODULO 1 - REMUNERAÇÃO ]]*SUMIFS(tabParametros[SEBRAE],tabParametros[Código do Posto],tabCustoUnit[[#This Row],[Código do Posto]])</f>
        <v>11.780466000000001</v>
      </c>
      <c r="X125" s="21">
        <f>SUM(tabCustoUnit[[#This Row],[INSS]:[SEBRAE]])</f>
        <v>742.1693580000001</v>
      </c>
      <c r="Y125" s="21">
        <f>tabCustoUnit[[#This Row],[MODULO 1 - REMUNERAÇÃO ]]*SUMIFS(tabParametros[13º salário (titular)],tabParametros[Código do Posto],tabCustoUnit[[#This Row],[Código do Posto]])</f>
        <v>163.61758333333333</v>
      </c>
      <c r="Z125" s="21">
        <f>tabCustoUnit[[#This Row],[MODULO 1 - REMUNERAÇÃO ]]*SUMIFS(tabParametros[Férias e Adicional de Férias (titular)],tabParametros[Código do Posto],tabCustoUnit[[#This Row],[Código do Posto]])</f>
        <v>218.15677777777776</v>
      </c>
      <c r="AA125" s="21">
        <f>IFERROR((tabCustoUnit[[#This Row],[Submódulo 2.1]]/tabCustoUnit[[#This Row],[MODULO 1 - REMUNERAÇÃO ]])*SUM(tabCustoUnit[[#This Row],[13º salário (titular)]:[Férias e Adicional de Férias (titular)]]),0)</f>
        <v>144.3107085</v>
      </c>
      <c r="AB125" s="21">
        <f>SUM(tabCustoUnit[[#This Row],[13º salário (titular)]:[Incidência do Submódulo 2.1 sobre 13º Salário, Férias e Adicional de Férias]])</f>
        <v>526.08506961111107</v>
      </c>
      <c r="AC125" s="22" t="e">
        <f ca="1">_xlfn.LET(_xlpm.VT,SUMIF(tabParametros[Código do Posto],tabCustoUnit[[#This Row],[Código do Posto]],tabParametros[Vale - Transporte])*2*20,
IF((_xlpm.VT-tabCustoUnit[[#This Row],[Salário Base]]*0.06)&gt;=0,(_xlpm.VT-tabCustoUnit[[#This Row],[Salário Base]]*0.06),0)
)</f>
        <v>#NAME?</v>
      </c>
      <c r="AD125" s="22">
        <f>IF(SUMIF(tabParametros[Código do Posto],tabCustoUnit[[#This Row],[Código do Posto]],tabParametros[Vale - Alimentação])&lt;=0,0,
SUMIF(tabParametros[Código do Posto],tabCustoUnit[[#This Row],[Código do Posto]],tabParametros[Vale - Alimentação])*20-1)</f>
        <v>582</v>
      </c>
      <c r="AE125" s="22">
        <f>SUMIF(tabParametros[Código do Posto],tabCustoUnit[[#This Row],[Código do Posto]],tabParametros[Cesta Básica])</f>
        <v>0</v>
      </c>
      <c r="AF125" s="22">
        <f>SUMIF(tabParametros[Código do Posto],tabCustoUnit[[#This Row],[Código do Posto]],tabParametros[PAF])</f>
        <v>0</v>
      </c>
      <c r="AG125" s="22">
        <f>SUMIF(tabParametros[Código do Posto],tabCustoUnit[[#This Row],[Código do Posto]],tabParametros[PQM])</f>
        <v>0</v>
      </c>
      <c r="AH125" s="22">
        <f>SUMIF(tabParametros[Código do Posto],tabCustoUnit[[#This Row],[Código do Posto]],tabParametros[Abono Único e Especial])</f>
        <v>0</v>
      </c>
      <c r="AI125" s="22">
        <f>SUMIF(tabParametros[Código do Posto],tabCustoUnit[[#This Row],[Código do Posto]],tabParametros[Seguro de Vida])</f>
        <v>3.36</v>
      </c>
      <c r="AJ125" s="22">
        <f>SUMIF(tabParametros[Código do Posto],tabCustoUnit[[#This Row],[Código do Posto]],tabParametros[Despesas de Viagem])</f>
        <v>0</v>
      </c>
      <c r="AK125" s="22" t="e">
        <f ca="1">SUM(tabCustoUnit[[#This Row],[Vale - Transporte (Descontada parcela do empregado)]:[Despesas de Viagem]])</f>
        <v>#NAME?</v>
      </c>
      <c r="AL125" s="22" t="e">
        <f ca="1">tabCustoUnit[[#This Row],[Submódulo 2.1]]+tabCustoUnit[[#This Row],[Submódulo 2.2]]+tabCustoUnit[[#This Row],[Submódulo 2.3]]</f>
        <v>#NAME?</v>
      </c>
      <c r="AM125" s="22">
        <f>SUMIF(tabParametros[Código do Posto],tabCustoUnit[[#This Row],[Código do Posto]],tabParametros[Aviso Prévio Indenizado (API) e Reflexo do Aviso Prévio Indenizado])*tabCustoUnit[[#This Row],[MODULO 1 - REMUNERAÇÃO ]]</f>
        <v>13.766980408757716</v>
      </c>
      <c r="AN125" s="22">
        <f>SUMIF(tabParametros[Código do Posto],tabCustoUnit[[#This Row],[Código do Posto]],tabParametros[Incidência do FGTS sobre API e Reflexo do API])*tabCustoUnit[[#This Row],[MODULO 1 - REMUNERAÇÃO ]]</f>
        <v>1.1013584327006174</v>
      </c>
      <c r="AO125" s="22">
        <f>SUMIF(tabParametros[Código do Posto],tabCustoUnit[[#This Row],[Código do Posto]],tabParametros[Multa Rescisória do FGTS sobre o Aviso Prévio Indenizado])*tabCustoUnit[[#This Row],[MODULO 1 - REMUNERAÇÃO ]]</f>
        <v>0.44054337308024699</v>
      </c>
      <c r="AP125" s="22">
        <f>SUMIF(tabParametros[Código do Posto],tabCustoUnit[[#This Row],[Código do Posto]],tabParametros[Aviso Prévio Trabalhado - APT])*tabCustoUnit[[#This Row],[MODULO 1 - REMUNERAÇÃO ]]</f>
        <v>6.8719385000000015</v>
      </c>
      <c r="AQ125" s="22">
        <f>SUMIF(tabParametros[Código do Posto],tabCustoUnit[[#This Row],[Código do Posto]],tabParametros[Incidência dos encargos do submódulo 2.1 sobre Aviso Prévio Trabalhado])*tabCustoUnit[[#This Row],[MODULO 1 - REMUNERAÇÃO ]]</f>
        <v>2.5975927530000007</v>
      </c>
      <c r="AR125" s="22">
        <f>SUMIF(tabParametros[Código do Posto],tabCustoUnit[[#This Row],[Código do Posto]],tabParametros[Multa Rescisória do FGTS])*tabCustoUnit[[#This Row],[MODULO 1 - REMUNERAÇÃO ]]</f>
        <v>60.03674524444444</v>
      </c>
      <c r="AS125" s="22">
        <f>SUMIF(tabParametros[Código do Posto],tabCustoUnit[[#This Row],[Código do Posto]],tabParametros[Indenização Adicional (Art. 9º da Lei nº 7.238/84)])*tabCustoUnit[[#This Row],[MODULO 1 - REMUNERAÇÃO ]]</f>
        <v>1.6361758333333334</v>
      </c>
      <c r="AT125" s="22">
        <f>SUM(tabCustoUnit[[#This Row],[Aviso Prévio Indenizado (API) e Reflexo do Aviso Prévio Indenizado]:[Indenização Adicional (Art. 9º da Lei nº 7.238/84)]])</f>
        <v>86.451334545316371</v>
      </c>
      <c r="AU125" s="22">
        <f>SUMIF(tabParametros[Código do Posto],tabCustoUnit[[#This Row],[Código do Posto]],tabParametros[Ausência por Doença])*tabCustoUnit[[#This Row],[MODULO 1 - REMUNERAÇÃO ]]</f>
        <v>16.579915111111109</v>
      </c>
      <c r="AV125" s="22">
        <f>SUMIF(tabParametros[Código do Posto],tabCustoUnit[[#This Row],[Código do Posto]],tabParametros[Ausências Legais])*tabCustoUnit[[#This Row],[MODULO 1 - REMUNERAÇÃO ]]</f>
        <v>3.9813611944444443</v>
      </c>
      <c r="AW125" s="22">
        <f>SUMIF(tabParametros[Código do Posto],tabCustoUnit[[#This Row],[Código do Posto]],tabParametros[Licença Paternidade])*tabCustoUnit[[#This Row],[MODULO 1 - REMUNERAÇÃO ]]</f>
        <v>0.33541604583333334</v>
      </c>
      <c r="AX125" s="22">
        <f>SUMIF(tabParametros[Código do Posto],tabCustoUnit[[#This Row],[Código do Posto]],tabParametros[Ausência por Acidente de Trabalho])*tabCustoUnit[[#This Row],[MODULO 1 - REMUNERAÇÃO ]]</f>
        <v>0.40904395833333335</v>
      </c>
      <c r="AY125" s="22">
        <f>SUMIF(tabParametros[Código do Posto],tabCustoUnit[[#This Row],[Código do Posto]],tabParametros[Férias, Adicional de Férias e 13º  com empregada em gozo de Licença Maternidade])*tabCustoUnit[[#This Row],[MODULO 1 - REMUNERAÇÃO ]]</f>
        <v>2.5451624074074073</v>
      </c>
      <c r="AZ125" s="22">
        <f>SUMIF(tabParametros[Código do Posto],tabCustoUnit[[#This Row],[Código do Posto]],tabParametros[Incidência do Submódulo 2.1 sobre Ausências Legais])*tabCustoUnit[[#This Row],[MODULO 1 - REMUNERAÇÃO ]]</f>
        <v>9.0156397150750021</v>
      </c>
      <c r="BA125" s="22">
        <f>SUM(tabCustoUnit[[#This Row],[Ausência por Doença]:[Incidência do Submódulo 2.1 sobre Ausências Legais]])</f>
        <v>32.866538432204628</v>
      </c>
      <c r="BB125" s="22">
        <f>SUMIF(tabParametros[Código do Posto],tabCustoUnit[[#This Row],[Código do Posto]],tabParametros[Intervalo para Repouso ou Alimentação])</f>
        <v>267.73786489195959</v>
      </c>
      <c r="BC125" s="22">
        <f>tabCustoUnit[[#This Row],[Intervalo para Repouso ou Alimentação]]</f>
        <v>267.73786489195959</v>
      </c>
      <c r="BD12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5" s="22">
        <f>tabCustoUnit[[#This Row],[Suspensão Temporária do Contrato de Trabalho]]</f>
        <v>0</v>
      </c>
      <c r="BF125" s="22">
        <f>tabCustoUnit[[#This Row],[Submódulo 4.1]]+tabCustoUnit[[#This Row],[Submódulo 4.2]]+tabCustoUnit[[#This Row],[Submódulo 4.3]]</f>
        <v>300.6044033241642</v>
      </c>
      <c r="BG125" s="22">
        <f>VLOOKUP(tabCustoUnit[[#This Row],[Código do Posto]],tabParametros[],MATCH(tabCustoUnit[[#Headers],[Uniformes e EPIs]],tabParametros[#Headers],0),0)</f>
        <v>56.642978962543395</v>
      </c>
      <c r="BH125" s="22">
        <f>VLOOKUP(tabCustoUnit[[#This Row],[Código do Posto]],tabParametros[],MATCH(tabCustoUnit[[#Headers],[Materiais de Consumo]],tabParametros[#Headers],0),0)</f>
        <v>0</v>
      </c>
      <c r="BI125" s="22">
        <f>VLOOKUP(tabCustoUnit[[#This Row],[Código do Posto]],tabParametros[],MATCH(tabCustoUnit[[#Headers],[Máquinas e Equipamentos (depreciação)]],tabParametros[#Headers],0),0)</f>
        <v>0</v>
      </c>
      <c r="BJ125" s="22">
        <f>VLOOKUP(tabCustoUnit[[#This Row],[Código do Posto]],tabParametros[],MATCH(tabCustoUnit[[#Headers],[Produtos de Limpeza e Materiais de Higiene Pessoal]],tabParametros[#Headers],0),0)</f>
        <v>0</v>
      </c>
      <c r="BK125" s="22">
        <f>VLOOKUP(tabCustoUnit[[#This Row],[Código do Posto]],tabParametros[],MATCH(tabCustoUnit[[#Headers],[Outros (especificar)]],tabParametros[#Headers],0),0)</f>
        <v>0</v>
      </c>
      <c r="BL125" s="22">
        <f>SUM(tabCustoUnit[[#This Row],[Uniformes e EPIs]:[Outros (especificar)]])</f>
        <v>56.642978962543395</v>
      </c>
      <c r="BM12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5" s="22" t="e">
        <f ca="1">VLOOKUP(tabCustoUnit[[#This Row],[Código do Posto]],tabParametros[],MATCH(tabCustoUnit[[#Headers],[Custos Indiretos]],tabParametros[#Headers],0),0)</f>
        <v>#NAME?</v>
      </c>
      <c r="BO125" s="22" t="e">
        <f ca="1">VLOOKUP(tabCustoUnit[[#This Row],[Código do Posto]],tabParametros[],MATCH(tabCustoUnit[[#Headers],[Lucro]],tabParametros[#Headers],0),0)</f>
        <v>#NAME?</v>
      </c>
      <c r="BP125" s="26">
        <f>((100/((1-tabCustoUnit[[#This Row],[Resumo de Alíquotas (PIS+CONFINS+ISS)]]))-100)*VLOOKUP(tabCustoUnit[[#This Row],[Código do Posto]],tabParametros[],MATCH(tabCustoUnit[[#Headers],[COFINS]],tabParametros[#Headers],0),0))/(tabCustoUnit[[#This Row],[Resumo de Alíquotas (PIS+CONFINS+ISS)]]*100)</f>
        <v>8.7608069164265154E-2</v>
      </c>
      <c r="BQ125" s="26">
        <f>((100/((100-(tabCustoUnit[[#This Row],[Resumo de Alíquotas (PIS+CONFINS+ISS)]]*100))%)-100)*VLOOKUP(tabCustoUnit[[#This Row],[Código do Posto]],tabParametros[],MATCH(tabCustoUnit[[#Headers],[PIS]],tabParametros[#Headers],0),0))/(tabCustoUnit[[#This Row],[Resumo de Alíquotas (PIS+CONFINS+ISS)]]*100)</f>
        <v>1.9020172910662814E-2</v>
      </c>
      <c r="BR125" s="28">
        <f>VLOOKUP(tabCustoUnit[[#This Row],[Código do Posto]],tabParametros[],MATCH(tabCustoUnit[[#Headers],[ISS]],tabParametros[#Headers],0),0)</f>
        <v>0.04</v>
      </c>
      <c r="BS125" s="26">
        <f>(((100/((100-(tabCustoUnit[[#This Row],[Resumo de Alíquotas (PIS+CONFINS+ISS)]]*100))%)-100)*tabCustoUnit[[#This Row],[ISS]])/tabCustoUnit[[#This Row],[Resumo de Alíquotas (PIS+CONFINS+ISS)]])/100</f>
        <v>4.6109510086455294E-2</v>
      </c>
      <c r="BT12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25" s="138">
        <f>tabCustoUnit[[#This Row],[COFINS]]+tabCustoUnit[[#This Row],[PIS]]+tabCustoUnit[[#This Row],[ISS (Conversão Alíquota s/ fatura)]]</f>
        <v>0.15273775216138324</v>
      </c>
      <c r="BV125" s="22" t="e">
        <f ca="1">(tabCustoUnit[[#This Row],[TOTAL MÓDULOS 1+2+3+4+5]]+tabCustoUnit[[#This Row],[Custos Indiretos]]+tabCustoUnit[[#This Row],[Lucro]])*tabCustoUnit[[#This Row],[PIS + COFINS + ISS (Total Conversão  Alíquota s/ Fatura)]]</f>
        <v>#NAME?</v>
      </c>
      <c r="BW125" s="22" t="e">
        <f ca="1">tabCustoUnit[[#This Row],[Custos Indiretos]]+tabCustoUnit[[#This Row],[Lucro]]+tabCustoUnit[[#This Row],[Valor dos Tributos (ISS, PIS, CONFINS)]]</f>
        <v>#NAME?</v>
      </c>
      <c r="BX125" s="22" t="e">
        <f ca="1">tabCustoUnit[[#This Row],[TOTAL MÓDULOS 1+2+3+4+5]]+tabCustoUnit[[#This Row],[MÓDULO 6 – CUSTOS INDIRETOS, TRIBUTOS E LUCRO]]</f>
        <v>#NAME?</v>
      </c>
      <c r="BY125" s="22" t="e">
        <f ca="1">tabCustoUnit[[#This Row],[CUSTO TOTAL MENSAL]]*12</f>
        <v>#NAME?</v>
      </c>
      <c r="BZ125" s="24">
        <f>VLOOKUP(tabCustoUnit[[#This Row],[Código do Posto]],tabParametros[],MATCH(tabCustoUnit[[#Headers],[ANO DA CCT]],tabParametros[#Headers],0),0)</f>
        <v>45658</v>
      </c>
      <c r="CA125" s="25" t="str">
        <f>VLOOKUP(tabCustoUnit[[#This Row],[Código do Posto]],tabParametros[],MATCH(tabCustoUnit[[#Headers],[Nº DE PEDIDO DA CCT]],tabParametros[#Headers],0),0)</f>
        <v>-</v>
      </c>
      <c r="CB125" s="25" t="str">
        <f>VLOOKUP(tabCustoUnit[[#This Row],[Código do Posto]],tabParametros[],MATCH(tabCustoUnit[[#Headers],[TERMO ADITIVO ALTERAÇÃO DA CCT]],tabParametros[#Headers],0),0)</f>
        <v>-</v>
      </c>
    </row>
    <row r="126" spans="1:80">
      <c r="A126" s="20" t="s">
        <v>1582</v>
      </c>
      <c r="B126" t="s">
        <v>1126</v>
      </c>
      <c r="C126" t="s">
        <v>324</v>
      </c>
      <c r="D126" t="s">
        <v>957</v>
      </c>
      <c r="E126" s="20" t="s">
        <v>1090</v>
      </c>
      <c r="F126" s="20" t="s">
        <v>120</v>
      </c>
      <c r="G126" s="418">
        <v>3397.1306</v>
      </c>
      <c r="H126" s="418">
        <v>0</v>
      </c>
      <c r="I126" s="418">
        <v>0</v>
      </c>
      <c r="J126" s="418">
        <v>0</v>
      </c>
      <c r="K126" s="418">
        <v>0</v>
      </c>
      <c r="L126" s="418">
        <v>0</v>
      </c>
      <c r="M126" s="418">
        <v>0</v>
      </c>
      <c r="N126" s="418">
        <v>0</v>
      </c>
      <c r="O126" s="21">
        <f>SUM(tabCustoUnit[[#This Row],[Salário Base]:[Adicional de Acúmulo de função]])</f>
        <v>3397.1306</v>
      </c>
      <c r="P126" s="21">
        <f>tabCustoUnit[[#This Row],[MODULO 1 - REMUNERAÇÃO ]]*SUMIFS(tabParametros[INSS],tabParametros[Código do Posto],tabCustoUnit[[#This Row],[Código do Posto]])</f>
        <v>679.42612000000008</v>
      </c>
      <c r="Q126" s="21">
        <f>tabCustoUnit[[#This Row],[MODULO 1 - REMUNERAÇÃO ]]*SUMIFS(tabParametros[SESI OU SESC],tabParametros[Código do Posto],tabCustoUnit[[#This Row],[Código do Posto]])</f>
        <v>50.956958999999998</v>
      </c>
      <c r="R126" s="21">
        <f>tabCustoUnit[[#This Row],[MODULO 1 - REMUNERAÇÃO ]]*SUMIFS(tabParametros[SENAI OU SENAC],tabParametros[Código do Posto],tabCustoUnit[[#This Row],[Código do Posto]])</f>
        <v>33.971305999999998</v>
      </c>
      <c r="S126" s="21">
        <f>tabCustoUnit[[#This Row],[MODULO 1 - REMUNERAÇÃO ]]*SUMIFS(tabParametros[INCRA],tabParametros[Código do Posto],tabCustoUnit[[#This Row],[Código do Posto]])</f>
        <v>6.7942612000000002</v>
      </c>
      <c r="T126" s="21">
        <f>tabCustoUnit[[#This Row],[MODULO 1 - REMUNERAÇÃO ]]*SUMIFS(tabParametros[Salário Educação],tabParametros[Código do Posto],tabCustoUnit[[#This Row],[Código do Posto]])</f>
        <v>84.92826500000001</v>
      </c>
      <c r="U126" s="21">
        <f>tabCustoUnit[[#This Row],[MODULO 1 - REMUNERAÇÃO ]]*SUMIFS(tabParametros[FGTS],tabParametros[Código do Posto],tabCustoUnit[[#This Row],[Código do Posto]])</f>
        <v>271.77044799999999</v>
      </c>
      <c r="V126" s="21">
        <f>tabCustoUnit[[#This Row],[MODULO 1 - REMUNERAÇÃO ]]*SUMIFS(tabParametros[RAT Ajustado],tabParametros[Código do Posto],tabCustoUnit[[#This Row],[Código do Posto]])</f>
        <v>135.88522399999999</v>
      </c>
      <c r="W126" s="21">
        <f>tabCustoUnit[[#This Row],[MODULO 1 - REMUNERAÇÃO ]]*SUMIFS(tabParametros[SEBRAE],tabParametros[Código do Posto],tabCustoUnit[[#This Row],[Código do Posto]])</f>
        <v>20.3827836</v>
      </c>
      <c r="X126" s="21">
        <f>SUM(tabCustoUnit[[#This Row],[INSS]:[SEBRAE]])</f>
        <v>1284.1153668000002</v>
      </c>
      <c r="Y126" s="21">
        <f>tabCustoUnit[[#This Row],[MODULO 1 - REMUNERAÇÃO ]]*SUMIFS(tabParametros[13º salário (titular)],tabParametros[Código do Posto],tabCustoUnit[[#This Row],[Código do Posto]])</f>
        <v>283.09421666666663</v>
      </c>
      <c r="Z126" s="21">
        <f>tabCustoUnit[[#This Row],[MODULO 1 - REMUNERAÇÃO ]]*SUMIFS(tabParametros[Férias e Adicional de Férias (titular)],tabParametros[Código do Posto],tabCustoUnit[[#This Row],[Código do Posto]])</f>
        <v>377.45895555555552</v>
      </c>
      <c r="AA126" s="21">
        <f>IFERROR((tabCustoUnit[[#This Row],[Submódulo 2.1]]/tabCustoUnit[[#This Row],[MODULO 1 - REMUNERAÇÃO ]])*SUM(tabCustoUnit[[#This Row],[13º salário (titular)]:[Férias e Adicional de Férias (titular)]]),0)</f>
        <v>249.68909910000002</v>
      </c>
      <c r="AB126" s="21">
        <f>SUM(tabCustoUnit[[#This Row],[13º salário (titular)]:[Incidência do Submódulo 2.1 sobre 13º Salário, Férias e Adicional de Férias]])</f>
        <v>910.24227132222222</v>
      </c>
      <c r="AC126" s="22" t="e">
        <f ca="1">_xlfn.LET(_xlpm.VT,SUMIF(tabParametros[Código do Posto],tabCustoUnit[[#This Row],[Código do Posto]],tabParametros[Vale - Transporte])*2*20,
IF((_xlpm.VT-tabCustoUnit[[#This Row],[Salário Base]]*0.06)&gt;=0,(_xlpm.VT-tabCustoUnit[[#This Row],[Salário Base]]*0.06),0)
)</f>
        <v>#NAME?</v>
      </c>
      <c r="AD126" s="22">
        <f>IF(SUMIF(tabParametros[Código do Posto],tabCustoUnit[[#This Row],[Código do Posto]],tabParametros[Vale - Alimentação])&lt;=0,0,
SUMIF(tabParametros[Código do Posto],tabCustoUnit[[#This Row],[Código do Posto]],tabParametros[Vale - Alimentação])*20-1)</f>
        <v>582</v>
      </c>
      <c r="AE126" s="22">
        <f>SUMIF(tabParametros[Código do Posto],tabCustoUnit[[#This Row],[Código do Posto]],tabParametros[Cesta Básica])</f>
        <v>0</v>
      </c>
      <c r="AF126" s="22">
        <f>SUMIF(tabParametros[Código do Posto],tabCustoUnit[[#This Row],[Código do Posto]],tabParametros[PAF])</f>
        <v>0</v>
      </c>
      <c r="AG126" s="22">
        <f>SUMIF(tabParametros[Código do Posto],tabCustoUnit[[#This Row],[Código do Posto]],tabParametros[PQM])</f>
        <v>0</v>
      </c>
      <c r="AH126" s="22">
        <f>SUMIF(tabParametros[Código do Posto],tabCustoUnit[[#This Row],[Código do Posto]],tabParametros[Abono Único e Especial])</f>
        <v>0</v>
      </c>
      <c r="AI126" s="22">
        <f>SUMIF(tabParametros[Código do Posto],tabCustoUnit[[#This Row],[Código do Posto]],tabParametros[Seguro de Vida])</f>
        <v>3.36</v>
      </c>
      <c r="AJ126" s="22">
        <f>SUMIF(tabParametros[Código do Posto],tabCustoUnit[[#This Row],[Código do Posto]],tabParametros[Despesas de Viagem])</f>
        <v>0</v>
      </c>
      <c r="AK126" s="22" t="e">
        <f ca="1">SUM(tabCustoUnit[[#This Row],[Vale - Transporte (Descontada parcela do empregado)]:[Despesas de Viagem]])</f>
        <v>#NAME?</v>
      </c>
      <c r="AL126" s="22" t="e">
        <f ca="1">tabCustoUnit[[#This Row],[Submódulo 2.1]]+tabCustoUnit[[#This Row],[Submódulo 2.2]]+tabCustoUnit[[#This Row],[Submódulo 2.3]]</f>
        <v>#NAME?</v>
      </c>
      <c r="AM126" s="22">
        <f>SUMIF(tabParametros[Código do Posto],tabCustoUnit[[#This Row],[Código do Posto]],tabParametros[Aviso Prévio Indenizado (API) e Reflexo do Aviso Prévio Indenizado])*tabCustoUnit[[#This Row],[MODULO 1 - REMUNERAÇÃO ]]</f>
        <v>23.819888151890432</v>
      </c>
      <c r="AN126" s="22">
        <f>SUMIF(tabParametros[Código do Posto],tabCustoUnit[[#This Row],[Código do Posto]],tabParametros[Incidência do FGTS sobre API e Reflexo do API])*tabCustoUnit[[#This Row],[MODULO 1 - REMUNERAÇÃO ]]</f>
        <v>1.9055910521512347</v>
      </c>
      <c r="AO126" s="22">
        <f>SUMIF(tabParametros[Código do Posto],tabCustoUnit[[#This Row],[Código do Posto]],tabParametros[Multa Rescisória do FGTS sobre o Aviso Prévio Indenizado])*tabCustoUnit[[#This Row],[MODULO 1 - REMUNERAÇÃO ]]</f>
        <v>0.76223642086049392</v>
      </c>
      <c r="AP126" s="22">
        <f>SUMIF(tabParametros[Código do Posto],tabCustoUnit[[#This Row],[Código do Posto]],tabParametros[Aviso Prévio Trabalhado - APT])*tabCustoUnit[[#This Row],[MODULO 1 - REMUNERAÇÃO ]]</f>
        <v>11.889957100000002</v>
      </c>
      <c r="AQ126" s="22">
        <f>SUMIF(tabParametros[Código do Posto],tabCustoUnit[[#This Row],[Código do Posto]],tabParametros[Incidência dos encargos do submódulo 2.1 sobre Aviso Prévio Trabalhado])*tabCustoUnit[[#This Row],[MODULO 1 - REMUNERAÇÃO ]]</f>
        <v>4.4944037838000011</v>
      </c>
      <c r="AR126" s="22">
        <f>SUMIF(tabParametros[Código do Posto],tabCustoUnit[[#This Row],[Código do Posto]],tabParametros[Multa Rescisória do FGTS])*tabCustoUnit[[#This Row],[MODULO 1 - REMUNERAÇÃO ]]</f>
        <v>103.87670456888887</v>
      </c>
      <c r="AS126" s="22">
        <f>SUMIF(tabParametros[Código do Posto],tabCustoUnit[[#This Row],[Código do Posto]],tabParametros[Indenização Adicional (Art. 9º da Lei nº 7.238/84)])*tabCustoUnit[[#This Row],[MODULO 1 - REMUNERAÇÃO ]]</f>
        <v>2.830942166666667</v>
      </c>
      <c r="AT126" s="22">
        <f>SUM(tabCustoUnit[[#This Row],[Aviso Prévio Indenizado (API) e Reflexo do Aviso Prévio Indenizado]:[Indenização Adicional (Art. 9º da Lei nº 7.238/84)]])</f>
        <v>149.57972324425771</v>
      </c>
      <c r="AU126" s="22">
        <f>SUMIF(tabParametros[Código do Posto],tabCustoUnit[[#This Row],[Código do Posto]],tabParametros[Ausência por Doença])*tabCustoUnit[[#This Row],[MODULO 1 - REMUNERAÇÃO ]]</f>
        <v>28.686880622222219</v>
      </c>
      <c r="AV126" s="22">
        <f>SUMIF(tabParametros[Código do Posto],tabCustoUnit[[#This Row],[Código do Posto]],tabParametros[Ausências Legais])*tabCustoUnit[[#This Row],[MODULO 1 - REMUNERAÇÃO ]]</f>
        <v>6.8886259388888886</v>
      </c>
      <c r="AW126" s="22">
        <f>SUMIF(tabParametros[Código do Posto],tabCustoUnit[[#This Row],[Código do Posto]],tabParametros[Licença Paternidade])*tabCustoUnit[[#This Row],[MODULO 1 - REMUNERAÇÃO ]]</f>
        <v>0.58034314416666666</v>
      </c>
      <c r="AX126" s="22">
        <f>SUMIF(tabParametros[Código do Posto],tabCustoUnit[[#This Row],[Código do Posto]],tabParametros[Ausência por Acidente de Trabalho])*tabCustoUnit[[#This Row],[MODULO 1 - REMUNERAÇÃO ]]</f>
        <v>0.70773554166666675</v>
      </c>
      <c r="AY126" s="22">
        <f>SUMIF(tabParametros[Código do Posto],tabCustoUnit[[#This Row],[Código do Posto]],tabParametros[Férias, Adicional de Férias e 13º  com empregada em gozo de Licença Maternidade])*tabCustoUnit[[#This Row],[MODULO 1 - REMUNERAÇÃO ]]</f>
        <v>4.4036878148148144</v>
      </c>
      <c r="AZ126" s="22">
        <f>SUMIF(tabParametros[Código do Posto],tabCustoUnit[[#This Row],[Código do Posto]],tabParametros[Incidência do Submódulo 2.1 sobre Ausências Legais])*tabCustoUnit[[#This Row],[MODULO 1 - REMUNERAÇÃO ]]</f>
        <v>15.599029217345002</v>
      </c>
      <c r="BA126" s="22">
        <f>SUM(tabCustoUnit[[#This Row],[Ausência por Doença]:[Incidência do Submódulo 2.1 sobre Ausências Legais]])</f>
        <v>56.866302279104261</v>
      </c>
      <c r="BB126" s="22">
        <f>SUMIF(tabParametros[Código do Posto],tabCustoUnit[[#This Row],[Código do Posto]],tabParametros[Intervalo para Repouso ou Alimentação])</f>
        <v>0</v>
      </c>
      <c r="BC126" s="22">
        <f>tabCustoUnit[[#This Row],[Intervalo para Repouso ou Alimentação]]</f>
        <v>0</v>
      </c>
      <c r="BD12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6" s="22">
        <f>tabCustoUnit[[#This Row],[Suspensão Temporária do Contrato de Trabalho]]</f>
        <v>0</v>
      </c>
      <c r="BF126" s="22">
        <f>tabCustoUnit[[#This Row],[Submódulo 4.1]]+tabCustoUnit[[#This Row],[Submódulo 4.2]]+tabCustoUnit[[#This Row],[Submódulo 4.3]]</f>
        <v>56.866302279104261</v>
      </c>
      <c r="BG126" s="22">
        <f>VLOOKUP(tabCustoUnit[[#This Row],[Código do Posto]],tabParametros[],MATCH(tabCustoUnit[[#Headers],[Uniformes e EPIs]],tabParametros[#Headers],0),0)</f>
        <v>56.642978962543395</v>
      </c>
      <c r="BH126" s="22">
        <f>VLOOKUP(tabCustoUnit[[#This Row],[Código do Posto]],tabParametros[],MATCH(tabCustoUnit[[#Headers],[Materiais de Consumo]],tabParametros[#Headers],0),0)</f>
        <v>0</v>
      </c>
      <c r="BI126" s="22">
        <f>VLOOKUP(tabCustoUnit[[#This Row],[Código do Posto]],tabParametros[],MATCH(tabCustoUnit[[#Headers],[Máquinas e Equipamentos (depreciação)]],tabParametros[#Headers],0),0)</f>
        <v>0</v>
      </c>
      <c r="BJ126" s="22">
        <f>VLOOKUP(tabCustoUnit[[#This Row],[Código do Posto]],tabParametros[],MATCH(tabCustoUnit[[#Headers],[Produtos de Limpeza e Materiais de Higiene Pessoal]],tabParametros[#Headers],0),0)</f>
        <v>0</v>
      </c>
      <c r="BK126" s="22">
        <f>VLOOKUP(tabCustoUnit[[#This Row],[Código do Posto]],tabParametros[],MATCH(tabCustoUnit[[#Headers],[Outros (especificar)]],tabParametros[#Headers],0),0)</f>
        <v>0</v>
      </c>
      <c r="BL126" s="22">
        <f>SUM(tabCustoUnit[[#This Row],[Uniformes e EPIs]:[Outros (especificar)]])</f>
        <v>56.642978962543395</v>
      </c>
      <c r="BM12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6" s="22" t="e">
        <f ca="1">VLOOKUP(tabCustoUnit[[#This Row],[Código do Posto]],tabParametros[],MATCH(tabCustoUnit[[#Headers],[Custos Indiretos]],tabParametros[#Headers],0),0)</f>
        <v>#NAME?</v>
      </c>
      <c r="BO126" s="22" t="e">
        <f ca="1">VLOOKUP(tabCustoUnit[[#This Row],[Código do Posto]],tabParametros[],MATCH(tabCustoUnit[[#Headers],[Lucro]],tabParametros[#Headers],0),0)</f>
        <v>#NAME?</v>
      </c>
      <c r="BP126" s="26">
        <f>((100/((1-tabCustoUnit[[#This Row],[Resumo de Alíquotas (PIS+CONFINS+ISS)]]))-100)*VLOOKUP(tabCustoUnit[[#This Row],[Código do Posto]],tabParametros[],MATCH(tabCustoUnit[[#Headers],[COFINS]],tabParametros[#Headers],0),0))/(tabCustoUnit[[#This Row],[Resumo de Alíquotas (PIS+CONFINS+ISS)]]*100)</f>
        <v>8.7608069164265154E-2</v>
      </c>
      <c r="BQ126" s="26">
        <f>((100/((100-(tabCustoUnit[[#This Row],[Resumo de Alíquotas (PIS+CONFINS+ISS)]]*100))%)-100)*VLOOKUP(tabCustoUnit[[#This Row],[Código do Posto]],tabParametros[],MATCH(tabCustoUnit[[#Headers],[PIS]],tabParametros[#Headers],0),0))/(tabCustoUnit[[#This Row],[Resumo de Alíquotas (PIS+CONFINS+ISS)]]*100)</f>
        <v>1.9020172910662814E-2</v>
      </c>
      <c r="BR126" s="28">
        <f>VLOOKUP(tabCustoUnit[[#This Row],[Código do Posto]],tabParametros[],MATCH(tabCustoUnit[[#Headers],[ISS]],tabParametros[#Headers],0),0)</f>
        <v>0.04</v>
      </c>
      <c r="BS126" s="26">
        <f>(((100/((100-(tabCustoUnit[[#This Row],[Resumo de Alíquotas (PIS+CONFINS+ISS)]]*100))%)-100)*tabCustoUnit[[#This Row],[ISS]])/tabCustoUnit[[#This Row],[Resumo de Alíquotas (PIS+CONFINS+ISS)]])/100</f>
        <v>4.6109510086455294E-2</v>
      </c>
      <c r="BT12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26" s="138">
        <f>tabCustoUnit[[#This Row],[COFINS]]+tabCustoUnit[[#This Row],[PIS]]+tabCustoUnit[[#This Row],[ISS (Conversão Alíquota s/ fatura)]]</f>
        <v>0.15273775216138324</v>
      </c>
      <c r="BV126" s="22" t="e">
        <f ca="1">(tabCustoUnit[[#This Row],[TOTAL MÓDULOS 1+2+3+4+5]]+tabCustoUnit[[#This Row],[Custos Indiretos]]+tabCustoUnit[[#This Row],[Lucro]])*tabCustoUnit[[#This Row],[PIS + COFINS + ISS (Total Conversão  Alíquota s/ Fatura)]]</f>
        <v>#NAME?</v>
      </c>
      <c r="BW126" s="22" t="e">
        <f ca="1">tabCustoUnit[[#This Row],[Custos Indiretos]]+tabCustoUnit[[#This Row],[Lucro]]+tabCustoUnit[[#This Row],[Valor dos Tributos (ISS, PIS, CONFINS)]]</f>
        <v>#NAME?</v>
      </c>
      <c r="BX126" s="22" t="e">
        <f ca="1">tabCustoUnit[[#This Row],[TOTAL MÓDULOS 1+2+3+4+5]]+tabCustoUnit[[#This Row],[MÓDULO 6 – CUSTOS INDIRETOS, TRIBUTOS E LUCRO]]</f>
        <v>#NAME?</v>
      </c>
      <c r="BY126" s="22" t="e">
        <f ca="1">tabCustoUnit[[#This Row],[CUSTO TOTAL MENSAL]]*12</f>
        <v>#NAME?</v>
      </c>
      <c r="BZ126" s="24">
        <f>VLOOKUP(tabCustoUnit[[#This Row],[Código do Posto]],tabParametros[],MATCH(tabCustoUnit[[#Headers],[ANO DA CCT]],tabParametros[#Headers],0),0)</f>
        <v>45658</v>
      </c>
      <c r="CA126" s="25" t="str">
        <f>VLOOKUP(tabCustoUnit[[#This Row],[Código do Posto]],tabParametros[],MATCH(tabCustoUnit[[#Headers],[Nº DE PEDIDO DA CCT]],tabParametros[#Headers],0),0)</f>
        <v>-</v>
      </c>
      <c r="CB126" s="25" t="str">
        <f>VLOOKUP(tabCustoUnit[[#This Row],[Código do Posto]],tabParametros[],MATCH(tabCustoUnit[[#Headers],[TERMO ADITIVO ALTERAÇÃO DA CCT]],tabParametros[#Headers],0),0)</f>
        <v>-</v>
      </c>
    </row>
    <row r="127" spans="1:80">
      <c r="A127" s="20" t="s">
        <v>1583</v>
      </c>
      <c r="B127" t="s">
        <v>1127</v>
      </c>
      <c r="C127" t="s">
        <v>314</v>
      </c>
      <c r="D127" t="s">
        <v>918</v>
      </c>
      <c r="E127" s="20" t="s">
        <v>1090</v>
      </c>
      <c r="F127" s="20" t="s">
        <v>120</v>
      </c>
      <c r="G127" s="418">
        <v>1963.4110000000001</v>
      </c>
      <c r="H127" s="418">
        <v>0</v>
      </c>
      <c r="I127" s="418">
        <v>0</v>
      </c>
      <c r="J127" s="418">
        <v>0</v>
      </c>
      <c r="K127" s="418">
        <v>0</v>
      </c>
      <c r="L127" s="418">
        <v>0</v>
      </c>
      <c r="M127" s="418">
        <v>0</v>
      </c>
      <c r="N127" s="418">
        <v>0</v>
      </c>
      <c r="O127" s="21">
        <f>SUM(tabCustoUnit[[#This Row],[Salário Base]:[Adicional de Acúmulo de função]])</f>
        <v>1963.4110000000001</v>
      </c>
      <c r="P127" s="21">
        <f>tabCustoUnit[[#This Row],[MODULO 1 - REMUNERAÇÃO ]]*SUMIFS(tabParametros[INSS],tabParametros[Código do Posto],tabCustoUnit[[#This Row],[Código do Posto]])</f>
        <v>392.68220000000002</v>
      </c>
      <c r="Q127" s="21">
        <f>tabCustoUnit[[#This Row],[MODULO 1 - REMUNERAÇÃO ]]*SUMIFS(tabParametros[SESI OU SESC],tabParametros[Código do Posto],tabCustoUnit[[#This Row],[Código do Posto]])</f>
        <v>29.451165</v>
      </c>
      <c r="R127" s="21">
        <f>tabCustoUnit[[#This Row],[MODULO 1 - REMUNERAÇÃO ]]*SUMIFS(tabParametros[SENAI OU SENAC],tabParametros[Código do Posto],tabCustoUnit[[#This Row],[Código do Posto]])</f>
        <v>19.63411</v>
      </c>
      <c r="S127" s="21">
        <f>tabCustoUnit[[#This Row],[MODULO 1 - REMUNERAÇÃO ]]*SUMIFS(tabParametros[INCRA],tabParametros[Código do Posto],tabCustoUnit[[#This Row],[Código do Posto]])</f>
        <v>3.926822</v>
      </c>
      <c r="T127" s="21">
        <f>tabCustoUnit[[#This Row],[MODULO 1 - REMUNERAÇÃO ]]*SUMIFS(tabParametros[Salário Educação],tabParametros[Código do Posto],tabCustoUnit[[#This Row],[Código do Posto]])</f>
        <v>49.085275000000003</v>
      </c>
      <c r="U127" s="21">
        <f>tabCustoUnit[[#This Row],[MODULO 1 - REMUNERAÇÃO ]]*SUMIFS(tabParametros[FGTS],tabParametros[Código do Posto],tabCustoUnit[[#This Row],[Código do Posto]])</f>
        <v>157.07288</v>
      </c>
      <c r="V127" s="21">
        <f>tabCustoUnit[[#This Row],[MODULO 1 - REMUNERAÇÃO ]]*SUMIFS(tabParametros[RAT Ajustado],tabParametros[Código do Posto],tabCustoUnit[[#This Row],[Código do Posto]])</f>
        <v>78.536439999999999</v>
      </c>
      <c r="W127" s="21">
        <f>tabCustoUnit[[#This Row],[MODULO 1 - REMUNERAÇÃO ]]*SUMIFS(tabParametros[SEBRAE],tabParametros[Código do Posto],tabCustoUnit[[#This Row],[Código do Posto]])</f>
        <v>11.780466000000001</v>
      </c>
      <c r="X127" s="21">
        <f>SUM(tabCustoUnit[[#This Row],[INSS]:[SEBRAE]])</f>
        <v>742.1693580000001</v>
      </c>
      <c r="Y127" s="21">
        <f>tabCustoUnit[[#This Row],[MODULO 1 - REMUNERAÇÃO ]]*SUMIFS(tabParametros[13º salário (titular)],tabParametros[Código do Posto],tabCustoUnit[[#This Row],[Código do Posto]])</f>
        <v>163.61758333333333</v>
      </c>
      <c r="Z127" s="21">
        <f>tabCustoUnit[[#This Row],[MODULO 1 - REMUNERAÇÃO ]]*SUMIFS(tabParametros[Férias e Adicional de Férias (titular)],tabParametros[Código do Posto],tabCustoUnit[[#This Row],[Código do Posto]])</f>
        <v>218.15677777777776</v>
      </c>
      <c r="AA127" s="21">
        <f>IFERROR((tabCustoUnit[[#This Row],[Submódulo 2.1]]/tabCustoUnit[[#This Row],[MODULO 1 - REMUNERAÇÃO ]])*SUM(tabCustoUnit[[#This Row],[13º salário (titular)]:[Férias e Adicional de Férias (titular)]]),0)</f>
        <v>144.3107085</v>
      </c>
      <c r="AB127" s="21">
        <f>SUM(tabCustoUnit[[#This Row],[13º salário (titular)]:[Incidência do Submódulo 2.1 sobre 13º Salário, Férias e Adicional de Férias]])</f>
        <v>526.08506961111107</v>
      </c>
      <c r="AC127" s="22" t="e">
        <f ca="1">_xlfn.LET(_xlpm.VT,SUMIF(tabParametros[Código do Posto],tabCustoUnit[[#This Row],[Código do Posto]],tabParametros[Vale - Transporte])*2*20,
IF((_xlpm.VT-tabCustoUnit[[#This Row],[Salário Base]]*0.06)&gt;=0,(_xlpm.VT-tabCustoUnit[[#This Row],[Salário Base]]*0.06),0)
)</f>
        <v>#NAME?</v>
      </c>
      <c r="AD127" s="22">
        <f>IF(SUMIF(tabParametros[Código do Posto],tabCustoUnit[[#This Row],[Código do Posto]],tabParametros[Vale - Alimentação])&lt;=0,0,
SUMIF(tabParametros[Código do Posto],tabCustoUnit[[#This Row],[Código do Posto]],tabParametros[Vale - Alimentação])*20-1)</f>
        <v>582</v>
      </c>
      <c r="AE127" s="22">
        <f>SUMIF(tabParametros[Código do Posto],tabCustoUnit[[#This Row],[Código do Posto]],tabParametros[Cesta Básica])</f>
        <v>0</v>
      </c>
      <c r="AF127" s="22">
        <f>SUMIF(tabParametros[Código do Posto],tabCustoUnit[[#This Row],[Código do Posto]],tabParametros[PAF])</f>
        <v>0</v>
      </c>
      <c r="AG127" s="22">
        <f>SUMIF(tabParametros[Código do Posto],tabCustoUnit[[#This Row],[Código do Posto]],tabParametros[PQM])</f>
        <v>15.07</v>
      </c>
      <c r="AH127" s="22">
        <f>SUMIF(tabParametros[Código do Posto],tabCustoUnit[[#This Row],[Código do Posto]],tabParametros[Abono Único e Especial])</f>
        <v>0</v>
      </c>
      <c r="AI127" s="22">
        <f>SUMIF(tabParametros[Código do Posto],tabCustoUnit[[#This Row],[Código do Posto]],tabParametros[Seguro de Vida])</f>
        <v>3.36</v>
      </c>
      <c r="AJ127" s="22">
        <f>SUMIF(tabParametros[Código do Posto],tabCustoUnit[[#This Row],[Código do Posto]],tabParametros[Despesas de Viagem])</f>
        <v>0</v>
      </c>
      <c r="AK127" s="22" t="e">
        <f ca="1">SUM(tabCustoUnit[[#This Row],[Vale - Transporte (Descontada parcela do empregado)]:[Despesas de Viagem]])</f>
        <v>#NAME?</v>
      </c>
      <c r="AL127" s="22" t="e">
        <f ca="1">tabCustoUnit[[#This Row],[Submódulo 2.1]]+tabCustoUnit[[#This Row],[Submódulo 2.2]]+tabCustoUnit[[#This Row],[Submódulo 2.3]]</f>
        <v>#NAME?</v>
      </c>
      <c r="AM127" s="22">
        <f>SUMIF(tabParametros[Código do Posto],tabCustoUnit[[#This Row],[Código do Posto]],tabParametros[Aviso Prévio Indenizado (API) e Reflexo do Aviso Prévio Indenizado])*tabCustoUnit[[#This Row],[MODULO 1 - REMUNERAÇÃO ]]</f>
        <v>13.766980408757716</v>
      </c>
      <c r="AN127" s="22">
        <f>SUMIF(tabParametros[Código do Posto],tabCustoUnit[[#This Row],[Código do Posto]],tabParametros[Incidência do FGTS sobre API e Reflexo do API])*tabCustoUnit[[#This Row],[MODULO 1 - REMUNERAÇÃO ]]</f>
        <v>1.1013584327006174</v>
      </c>
      <c r="AO127" s="22">
        <f>SUMIF(tabParametros[Código do Posto],tabCustoUnit[[#This Row],[Código do Posto]],tabParametros[Multa Rescisória do FGTS sobre o Aviso Prévio Indenizado])*tabCustoUnit[[#This Row],[MODULO 1 - REMUNERAÇÃO ]]</f>
        <v>0.44054337308024699</v>
      </c>
      <c r="AP127" s="22">
        <f>SUMIF(tabParametros[Código do Posto],tabCustoUnit[[#This Row],[Código do Posto]],tabParametros[Aviso Prévio Trabalhado - APT])*tabCustoUnit[[#This Row],[MODULO 1 - REMUNERAÇÃO ]]</f>
        <v>6.8719385000000015</v>
      </c>
      <c r="AQ127" s="22">
        <f>SUMIF(tabParametros[Código do Posto],tabCustoUnit[[#This Row],[Código do Posto]],tabParametros[Incidência dos encargos do submódulo 2.1 sobre Aviso Prévio Trabalhado])*tabCustoUnit[[#This Row],[MODULO 1 - REMUNERAÇÃO ]]</f>
        <v>2.5975927530000007</v>
      </c>
      <c r="AR127" s="22">
        <f>SUMIF(tabParametros[Código do Posto],tabCustoUnit[[#This Row],[Código do Posto]],tabParametros[Multa Rescisória do FGTS])*tabCustoUnit[[#This Row],[MODULO 1 - REMUNERAÇÃO ]]</f>
        <v>60.03674524444444</v>
      </c>
      <c r="AS127" s="22">
        <f>SUMIF(tabParametros[Código do Posto],tabCustoUnit[[#This Row],[Código do Posto]],tabParametros[Indenização Adicional (Art. 9º da Lei nº 7.238/84)])*tabCustoUnit[[#This Row],[MODULO 1 - REMUNERAÇÃO ]]</f>
        <v>1.6361758333333334</v>
      </c>
      <c r="AT127" s="22">
        <f>SUM(tabCustoUnit[[#This Row],[Aviso Prévio Indenizado (API) e Reflexo do Aviso Prévio Indenizado]:[Indenização Adicional (Art. 9º da Lei nº 7.238/84)]])</f>
        <v>86.451334545316371</v>
      </c>
      <c r="AU127" s="22">
        <f>SUMIF(tabParametros[Código do Posto],tabCustoUnit[[#This Row],[Código do Posto]],tabParametros[Ausência por Doença])*tabCustoUnit[[#This Row],[MODULO 1 - REMUNERAÇÃO ]]</f>
        <v>16.579915111111109</v>
      </c>
      <c r="AV127" s="22">
        <f>SUMIF(tabParametros[Código do Posto],tabCustoUnit[[#This Row],[Código do Posto]],tabParametros[Ausências Legais])*tabCustoUnit[[#This Row],[MODULO 1 - REMUNERAÇÃO ]]</f>
        <v>3.9813611944444443</v>
      </c>
      <c r="AW127" s="22">
        <f>SUMIF(tabParametros[Código do Posto],tabCustoUnit[[#This Row],[Código do Posto]],tabParametros[Licença Paternidade])*tabCustoUnit[[#This Row],[MODULO 1 - REMUNERAÇÃO ]]</f>
        <v>0.33541604583333334</v>
      </c>
      <c r="AX127" s="22">
        <f>SUMIF(tabParametros[Código do Posto],tabCustoUnit[[#This Row],[Código do Posto]],tabParametros[Ausência por Acidente de Trabalho])*tabCustoUnit[[#This Row],[MODULO 1 - REMUNERAÇÃO ]]</f>
        <v>0.40904395833333335</v>
      </c>
      <c r="AY127" s="22">
        <f>SUMIF(tabParametros[Código do Posto],tabCustoUnit[[#This Row],[Código do Posto]],tabParametros[Férias, Adicional de Férias e 13º  com empregada em gozo de Licença Maternidade])*tabCustoUnit[[#This Row],[MODULO 1 - REMUNERAÇÃO ]]</f>
        <v>2.5451624074074073</v>
      </c>
      <c r="AZ127" s="22">
        <f>SUMIF(tabParametros[Código do Posto],tabCustoUnit[[#This Row],[Código do Posto]],tabParametros[Incidência do Submódulo 2.1 sobre Ausências Legais])*tabCustoUnit[[#This Row],[MODULO 1 - REMUNERAÇÃO ]]</f>
        <v>9.0156397150750021</v>
      </c>
      <c r="BA127" s="22">
        <f>SUM(tabCustoUnit[[#This Row],[Ausência por Doença]:[Incidência do Submódulo 2.1 sobre Ausências Legais]])</f>
        <v>32.866538432204628</v>
      </c>
      <c r="BB127" s="22">
        <f>SUMIF(tabParametros[Código do Posto],tabCustoUnit[[#This Row],[Código do Posto]],tabParametros[Intervalo para Repouso ou Alimentação])</f>
        <v>267.73786489195959</v>
      </c>
      <c r="BC127" s="22">
        <f>tabCustoUnit[[#This Row],[Intervalo para Repouso ou Alimentação]]</f>
        <v>267.73786489195959</v>
      </c>
      <c r="BD12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7" s="22">
        <f>tabCustoUnit[[#This Row],[Suspensão Temporária do Contrato de Trabalho]]</f>
        <v>0</v>
      </c>
      <c r="BF127" s="22">
        <f>tabCustoUnit[[#This Row],[Submódulo 4.1]]+tabCustoUnit[[#This Row],[Submódulo 4.2]]+tabCustoUnit[[#This Row],[Submódulo 4.3]]</f>
        <v>300.6044033241642</v>
      </c>
      <c r="BG127" s="22">
        <f>VLOOKUP(tabCustoUnit[[#This Row],[Código do Posto]],tabParametros[],MATCH(tabCustoUnit[[#Headers],[Uniformes e EPIs]],tabParametros[#Headers],0),0)</f>
        <v>56.642978962543395</v>
      </c>
      <c r="BH127" s="22">
        <f>VLOOKUP(tabCustoUnit[[#This Row],[Código do Posto]],tabParametros[],MATCH(tabCustoUnit[[#Headers],[Materiais de Consumo]],tabParametros[#Headers],0),0)</f>
        <v>0</v>
      </c>
      <c r="BI127" s="22">
        <f>VLOOKUP(tabCustoUnit[[#This Row],[Código do Posto]],tabParametros[],MATCH(tabCustoUnit[[#Headers],[Máquinas e Equipamentos (depreciação)]],tabParametros[#Headers],0),0)</f>
        <v>0</v>
      </c>
      <c r="BJ127" s="22">
        <f>VLOOKUP(tabCustoUnit[[#This Row],[Código do Posto]],tabParametros[],MATCH(tabCustoUnit[[#Headers],[Produtos de Limpeza e Materiais de Higiene Pessoal]],tabParametros[#Headers],0),0)</f>
        <v>0</v>
      </c>
      <c r="BK127" s="22">
        <f>VLOOKUP(tabCustoUnit[[#This Row],[Código do Posto]],tabParametros[],MATCH(tabCustoUnit[[#Headers],[Outros (especificar)]],tabParametros[#Headers],0),0)</f>
        <v>0</v>
      </c>
      <c r="BL127" s="22">
        <f>SUM(tabCustoUnit[[#This Row],[Uniformes e EPIs]:[Outros (especificar)]])</f>
        <v>56.642978962543395</v>
      </c>
      <c r="BM12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7" s="22" t="e">
        <f ca="1">VLOOKUP(tabCustoUnit[[#This Row],[Código do Posto]],tabParametros[],MATCH(tabCustoUnit[[#Headers],[Custos Indiretos]],tabParametros[#Headers],0),0)</f>
        <v>#NAME?</v>
      </c>
      <c r="BO127" s="22" t="e">
        <f ca="1">VLOOKUP(tabCustoUnit[[#This Row],[Código do Posto]],tabParametros[],MATCH(tabCustoUnit[[#Headers],[Lucro]],tabParametros[#Headers],0),0)</f>
        <v>#NAME?</v>
      </c>
      <c r="BP127" s="26">
        <f>((100/((1-tabCustoUnit[[#This Row],[Resumo de Alíquotas (PIS+CONFINS+ISS)]]))-100)*VLOOKUP(tabCustoUnit[[#This Row],[Código do Posto]],tabParametros[],MATCH(tabCustoUnit[[#Headers],[COFINS]],tabParametros[#Headers],0),0))/(tabCustoUnit[[#This Row],[Resumo de Alíquotas (PIS+CONFINS+ISS)]]*100)</f>
        <v>8.6609686609686695E-2</v>
      </c>
      <c r="BQ127" s="26">
        <f>((100/((100-(tabCustoUnit[[#This Row],[Resumo de Alíquotas (PIS+CONFINS+ISS)]]*100))%)-100)*VLOOKUP(tabCustoUnit[[#This Row],[Código do Posto]],tabParametros[],MATCH(tabCustoUnit[[#Headers],[PIS]],tabParametros[#Headers],0),0))/(tabCustoUnit[[#This Row],[Resumo de Alíquotas (PIS+CONFINS+ISS)]]*100)</f>
        <v>1.880341880341882E-2</v>
      </c>
      <c r="BR127" s="28">
        <f>VLOOKUP(tabCustoUnit[[#This Row],[Código do Posto]],tabParametros[],MATCH(tabCustoUnit[[#Headers],[ISS]],tabParametros[#Headers],0),0)</f>
        <v>0.03</v>
      </c>
      <c r="BS127" s="26">
        <f>(((100/((100-(tabCustoUnit[[#This Row],[Resumo de Alíquotas (PIS+CONFINS+ISS)]]*100))%)-100)*tabCustoUnit[[#This Row],[ISS]])/tabCustoUnit[[#This Row],[Resumo de Alíquotas (PIS+CONFINS+ISS)]])/100</f>
        <v>3.4188034188034219E-2</v>
      </c>
      <c r="BT12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27" s="138">
        <f>tabCustoUnit[[#This Row],[COFINS]]+tabCustoUnit[[#This Row],[PIS]]+tabCustoUnit[[#This Row],[ISS (Conversão Alíquota s/ fatura)]]</f>
        <v>0.13960113960113973</v>
      </c>
      <c r="BV127" s="22" t="e">
        <f ca="1">(tabCustoUnit[[#This Row],[TOTAL MÓDULOS 1+2+3+4+5]]+tabCustoUnit[[#This Row],[Custos Indiretos]]+tabCustoUnit[[#This Row],[Lucro]])*tabCustoUnit[[#This Row],[PIS + COFINS + ISS (Total Conversão  Alíquota s/ Fatura)]]</f>
        <v>#NAME?</v>
      </c>
      <c r="BW127" s="22" t="e">
        <f ca="1">tabCustoUnit[[#This Row],[Custos Indiretos]]+tabCustoUnit[[#This Row],[Lucro]]+tabCustoUnit[[#This Row],[Valor dos Tributos (ISS, PIS, CONFINS)]]</f>
        <v>#NAME?</v>
      </c>
      <c r="BX127" s="22" t="e">
        <f ca="1">tabCustoUnit[[#This Row],[TOTAL MÓDULOS 1+2+3+4+5]]+tabCustoUnit[[#This Row],[MÓDULO 6 – CUSTOS INDIRETOS, TRIBUTOS E LUCRO]]</f>
        <v>#NAME?</v>
      </c>
      <c r="BY127" s="22" t="e">
        <f ca="1">tabCustoUnit[[#This Row],[CUSTO TOTAL MENSAL]]*12</f>
        <v>#NAME?</v>
      </c>
      <c r="BZ127" s="24">
        <f>VLOOKUP(tabCustoUnit[[#This Row],[Código do Posto]],tabParametros[],MATCH(tabCustoUnit[[#Headers],[ANO DA CCT]],tabParametros[#Headers],0),0)</f>
        <v>45658</v>
      </c>
      <c r="CA127" s="25" t="str">
        <f>VLOOKUP(tabCustoUnit[[#This Row],[Código do Posto]],tabParametros[],MATCH(tabCustoUnit[[#Headers],[Nº DE PEDIDO DA CCT]],tabParametros[#Headers],0),0)</f>
        <v>-</v>
      </c>
      <c r="CB127" s="25" t="str">
        <f>VLOOKUP(tabCustoUnit[[#This Row],[Código do Posto]],tabParametros[],MATCH(tabCustoUnit[[#Headers],[TERMO ADITIVO ALTERAÇÃO DA CCT]],tabParametros[#Headers],0),0)</f>
        <v>-</v>
      </c>
    </row>
    <row r="128" spans="1:80">
      <c r="A128" s="20" t="s">
        <v>1584</v>
      </c>
      <c r="B128" t="s">
        <v>1128</v>
      </c>
      <c r="C128" t="s">
        <v>1371</v>
      </c>
      <c r="D128" t="s">
        <v>1058</v>
      </c>
      <c r="E128" s="20" t="s">
        <v>1090</v>
      </c>
      <c r="F128" s="20" t="s">
        <v>120</v>
      </c>
      <c r="G128" s="418">
        <v>6454.87</v>
      </c>
      <c r="H128" s="418">
        <v>0</v>
      </c>
      <c r="I128" s="418">
        <v>0</v>
      </c>
      <c r="J128" s="418">
        <v>0</v>
      </c>
      <c r="K128" s="418">
        <v>0</v>
      </c>
      <c r="L128" s="418">
        <v>0</v>
      </c>
      <c r="M128" s="418">
        <v>0</v>
      </c>
      <c r="N128" s="418">
        <v>0</v>
      </c>
      <c r="O128" s="21">
        <f>SUM(tabCustoUnit[[#This Row],[Salário Base]:[Adicional de Acúmulo de função]])</f>
        <v>6454.87</v>
      </c>
      <c r="P128" s="21">
        <f>tabCustoUnit[[#This Row],[MODULO 1 - REMUNERAÇÃO ]]*SUMIFS(tabParametros[INSS],tabParametros[Código do Posto],tabCustoUnit[[#This Row],[Código do Posto]])</f>
        <v>1290.9740000000002</v>
      </c>
      <c r="Q128" s="21">
        <f>tabCustoUnit[[#This Row],[MODULO 1 - REMUNERAÇÃO ]]*SUMIFS(tabParametros[SESI OU SESC],tabParametros[Código do Posto],tabCustoUnit[[#This Row],[Código do Posto]])</f>
        <v>96.823049999999995</v>
      </c>
      <c r="R128" s="21">
        <f>tabCustoUnit[[#This Row],[MODULO 1 - REMUNERAÇÃO ]]*SUMIFS(tabParametros[SENAI OU SENAC],tabParametros[Código do Posto],tabCustoUnit[[#This Row],[Código do Posto]])</f>
        <v>64.548699999999997</v>
      </c>
      <c r="S128" s="21">
        <f>tabCustoUnit[[#This Row],[MODULO 1 - REMUNERAÇÃO ]]*SUMIFS(tabParametros[INCRA],tabParametros[Código do Posto],tabCustoUnit[[#This Row],[Código do Posto]])</f>
        <v>12.909739999999999</v>
      </c>
      <c r="T128" s="21">
        <f>tabCustoUnit[[#This Row],[MODULO 1 - REMUNERAÇÃO ]]*SUMIFS(tabParametros[Salário Educação],tabParametros[Código do Posto],tabCustoUnit[[#This Row],[Código do Posto]])</f>
        <v>161.37175000000002</v>
      </c>
      <c r="U128" s="21">
        <f>tabCustoUnit[[#This Row],[MODULO 1 - REMUNERAÇÃO ]]*SUMIFS(tabParametros[FGTS],tabParametros[Código do Posto],tabCustoUnit[[#This Row],[Código do Posto]])</f>
        <v>516.38959999999997</v>
      </c>
      <c r="V128" s="21">
        <f>tabCustoUnit[[#This Row],[MODULO 1 - REMUNERAÇÃO ]]*SUMIFS(tabParametros[RAT Ajustado],tabParametros[Código do Posto],tabCustoUnit[[#This Row],[Código do Posto]])</f>
        <v>258.19479999999999</v>
      </c>
      <c r="W128" s="21">
        <f>tabCustoUnit[[#This Row],[MODULO 1 - REMUNERAÇÃO ]]*SUMIFS(tabParametros[SEBRAE],tabParametros[Código do Posto],tabCustoUnit[[#This Row],[Código do Posto]])</f>
        <v>38.729219999999998</v>
      </c>
      <c r="X128" s="21">
        <f>SUM(tabCustoUnit[[#This Row],[INSS]:[SEBRAE]])</f>
        <v>2439.9408600000006</v>
      </c>
      <c r="Y128" s="21">
        <f>tabCustoUnit[[#This Row],[MODULO 1 - REMUNERAÇÃO ]]*SUMIFS(tabParametros[13º salário (titular)],tabParametros[Código do Posto],tabCustoUnit[[#This Row],[Código do Posto]])</f>
        <v>537.90583333333325</v>
      </c>
      <c r="Z128" s="21">
        <f>tabCustoUnit[[#This Row],[MODULO 1 - REMUNERAÇÃO ]]*SUMIFS(tabParametros[Férias e Adicional de Férias (titular)],tabParametros[Código do Posto],tabCustoUnit[[#This Row],[Código do Posto]])</f>
        <v>717.20777777777778</v>
      </c>
      <c r="AA128" s="21">
        <f>IFERROR((tabCustoUnit[[#This Row],[Submódulo 2.1]]/tabCustoUnit[[#This Row],[MODULO 1 - REMUNERAÇÃO ]])*SUM(tabCustoUnit[[#This Row],[13º salário (titular)]:[Férias e Adicional de Férias (titular)]]),0)</f>
        <v>474.43294500000007</v>
      </c>
      <c r="AB128" s="21">
        <f>SUM(tabCustoUnit[[#This Row],[13º salário (titular)]:[Incidência do Submódulo 2.1 sobre 13º Salário, Férias e Adicional de Férias]])</f>
        <v>1729.5465561111109</v>
      </c>
      <c r="AC128" s="22" t="e">
        <f ca="1">_xlfn.LET(_xlpm.VT,SUMIF(tabParametros[Código do Posto],tabCustoUnit[[#This Row],[Código do Posto]],tabParametros[Vale - Transporte])*2*20,
IF((_xlpm.VT-tabCustoUnit[[#This Row],[Salário Base]]*0.06)&gt;=0,(_xlpm.VT-tabCustoUnit[[#This Row],[Salário Base]]*0.06),0)
)</f>
        <v>#NAME?</v>
      </c>
      <c r="AD128" s="22">
        <f>IF(SUMIF(tabParametros[Código do Posto],tabCustoUnit[[#This Row],[Código do Posto]],tabParametros[Vale - Alimentação])&lt;=0,0,
SUMIF(tabParametros[Código do Posto],tabCustoUnit[[#This Row],[Código do Posto]],tabParametros[Vale - Alimentação])*20-1)</f>
        <v>582</v>
      </c>
      <c r="AE128" s="22">
        <f>SUMIF(tabParametros[Código do Posto],tabCustoUnit[[#This Row],[Código do Posto]],tabParametros[Cesta Básica])</f>
        <v>0</v>
      </c>
      <c r="AF128" s="22">
        <f>SUMIF(tabParametros[Código do Posto],tabCustoUnit[[#This Row],[Código do Posto]],tabParametros[PAF])</f>
        <v>77.25</v>
      </c>
      <c r="AG128" s="22">
        <f>SUMIF(tabParametros[Código do Posto],tabCustoUnit[[#This Row],[Código do Posto]],tabParametros[PQM])</f>
        <v>0</v>
      </c>
      <c r="AH128" s="22">
        <f>SUMIF(tabParametros[Código do Posto],tabCustoUnit[[#This Row],[Código do Posto]],tabParametros[Abono Único e Especial])</f>
        <v>0</v>
      </c>
      <c r="AI128" s="22">
        <f>SUMIF(tabParametros[Código do Posto],tabCustoUnit[[#This Row],[Código do Posto]],tabParametros[Seguro de Vida])</f>
        <v>3.36</v>
      </c>
      <c r="AJ128" s="22">
        <f>SUMIF(tabParametros[Código do Posto],tabCustoUnit[[#This Row],[Código do Posto]],tabParametros[Despesas de Viagem])</f>
        <v>0</v>
      </c>
      <c r="AK128" s="22" t="e">
        <f ca="1">SUM(tabCustoUnit[[#This Row],[Vale - Transporte (Descontada parcela do empregado)]:[Despesas de Viagem]])</f>
        <v>#NAME?</v>
      </c>
      <c r="AL128" s="22" t="e">
        <f ca="1">tabCustoUnit[[#This Row],[Submódulo 2.1]]+tabCustoUnit[[#This Row],[Submódulo 2.2]]+tabCustoUnit[[#This Row],[Submódulo 2.3]]</f>
        <v>#NAME?</v>
      </c>
      <c r="AM128" s="22">
        <f>SUMIF(tabParametros[Código do Posto],tabCustoUnit[[#This Row],[Código do Posto]],tabParametros[Aviso Prévio Indenizado (API) e Reflexo do Aviso Prévio Indenizado])*tabCustoUnit[[#This Row],[MODULO 1 - REMUNERAÇÃO ]]</f>
        <v>45.260044295910497</v>
      </c>
      <c r="AN128" s="22">
        <f>SUMIF(tabParametros[Código do Posto],tabCustoUnit[[#This Row],[Código do Posto]],tabParametros[Incidência do FGTS sobre API e Reflexo do API])*tabCustoUnit[[#This Row],[MODULO 1 - REMUNERAÇÃO ]]</f>
        <v>3.6208035436728396</v>
      </c>
      <c r="AO128" s="22">
        <f>SUMIF(tabParametros[Código do Posto],tabCustoUnit[[#This Row],[Código do Posto]],tabParametros[Multa Rescisória do FGTS sobre o Aviso Prévio Indenizado])*tabCustoUnit[[#This Row],[MODULO 1 - REMUNERAÇÃO ]]</f>
        <v>1.4483214174691361</v>
      </c>
      <c r="AP128" s="22">
        <f>SUMIF(tabParametros[Código do Posto],tabCustoUnit[[#This Row],[Código do Posto]],tabParametros[Aviso Prévio Trabalhado - APT])*tabCustoUnit[[#This Row],[MODULO 1 - REMUNERAÇÃO ]]</f>
        <v>22.592045000000002</v>
      </c>
      <c r="AQ128" s="22">
        <f>SUMIF(tabParametros[Código do Posto],tabCustoUnit[[#This Row],[Código do Posto]],tabParametros[Incidência dos encargos do submódulo 2.1 sobre Aviso Prévio Trabalhado])*tabCustoUnit[[#This Row],[MODULO 1 - REMUNERAÇÃO ]]</f>
        <v>8.5397930100000021</v>
      </c>
      <c r="AR128" s="22">
        <f>SUMIF(tabParametros[Código do Posto],tabCustoUnit[[#This Row],[Código do Posto]],tabParametros[Multa Rescisória do FGTS])*tabCustoUnit[[#This Row],[MODULO 1 - REMUNERAÇÃO ]]</f>
        <v>197.37558044444441</v>
      </c>
      <c r="AS128" s="22">
        <f>SUMIF(tabParametros[Código do Posto],tabCustoUnit[[#This Row],[Código do Posto]],tabParametros[Indenização Adicional (Art. 9º da Lei nº 7.238/84)])*tabCustoUnit[[#This Row],[MODULO 1 - REMUNERAÇÃO ]]</f>
        <v>5.3790583333333339</v>
      </c>
      <c r="AT128" s="22">
        <f>SUM(tabCustoUnit[[#This Row],[Aviso Prévio Indenizado (API) e Reflexo do Aviso Prévio Indenizado]:[Indenização Adicional (Art. 9º da Lei nº 7.238/84)]])</f>
        <v>284.21564604483024</v>
      </c>
      <c r="AU128" s="22">
        <f>SUMIF(tabParametros[Código do Posto],tabCustoUnit[[#This Row],[Código do Posto]],tabParametros[Ausência por Doença])*tabCustoUnit[[#This Row],[MODULO 1 - REMUNERAÇÃO ]]</f>
        <v>54.507791111111104</v>
      </c>
      <c r="AV128" s="22">
        <f>SUMIF(tabParametros[Código do Posto],tabCustoUnit[[#This Row],[Código do Posto]],tabParametros[Ausências Legais])*tabCustoUnit[[#This Row],[MODULO 1 - REMUNERAÇÃO ]]</f>
        <v>13.089041944444443</v>
      </c>
      <c r="AW128" s="22">
        <f>SUMIF(tabParametros[Código do Posto],tabCustoUnit[[#This Row],[Código do Posto]],tabParametros[Licença Paternidade])*tabCustoUnit[[#This Row],[MODULO 1 - REMUNERAÇÃO ]]</f>
        <v>1.1027069583333333</v>
      </c>
      <c r="AX128" s="22">
        <f>SUMIF(tabParametros[Código do Posto],tabCustoUnit[[#This Row],[Código do Posto]],tabParametros[Ausência por Acidente de Trabalho])*tabCustoUnit[[#This Row],[MODULO 1 - REMUNERAÇÃO ]]</f>
        <v>1.3447645833333335</v>
      </c>
      <c r="AY128" s="22">
        <f>SUMIF(tabParametros[Código do Posto],tabCustoUnit[[#This Row],[Código do Posto]],tabParametros[Férias, Adicional de Férias e 13º  com empregada em gozo de Licença Maternidade])*tabCustoUnit[[#This Row],[MODULO 1 - REMUNERAÇÃO ]]</f>
        <v>8.3674240740740728</v>
      </c>
      <c r="AZ128" s="22">
        <f>SUMIF(tabParametros[Código do Posto],tabCustoUnit[[#This Row],[Código do Posto]],tabParametros[Incidência do Submódulo 2.1 sobre Ausências Legais])*tabCustoUnit[[#This Row],[MODULO 1 - REMUNERAÇÃO ]]</f>
        <v>29.639633437750003</v>
      </c>
      <c r="BA128" s="22">
        <f>SUM(tabCustoUnit[[#This Row],[Ausência por Doença]:[Incidência do Submódulo 2.1 sobre Ausências Legais]])</f>
        <v>108.05136210904629</v>
      </c>
      <c r="BB128" s="22">
        <f>SUMIF(tabParametros[Código do Posto],tabCustoUnit[[#This Row],[Código do Posto]],tabParametros[Intervalo para Repouso ou Alimentação])</f>
        <v>0</v>
      </c>
      <c r="BC128" s="22">
        <f>tabCustoUnit[[#This Row],[Intervalo para Repouso ou Alimentação]]</f>
        <v>0</v>
      </c>
      <c r="BD12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8" s="22">
        <f>tabCustoUnit[[#This Row],[Suspensão Temporária do Contrato de Trabalho]]</f>
        <v>0</v>
      </c>
      <c r="BF128" s="22">
        <f>tabCustoUnit[[#This Row],[Submódulo 4.1]]+tabCustoUnit[[#This Row],[Submódulo 4.2]]+tabCustoUnit[[#This Row],[Submódulo 4.3]]</f>
        <v>108.05136210904629</v>
      </c>
      <c r="BG128" s="22">
        <f>VLOOKUP(tabCustoUnit[[#This Row],[Código do Posto]],tabParametros[],MATCH(tabCustoUnit[[#Headers],[Uniformes e EPIs]],tabParametros[#Headers],0),0)</f>
        <v>90.784679782039703</v>
      </c>
      <c r="BH128" s="22">
        <f>VLOOKUP(tabCustoUnit[[#This Row],[Código do Posto]],tabParametros[],MATCH(tabCustoUnit[[#Headers],[Materiais de Consumo]],tabParametros[#Headers],0),0)</f>
        <v>0</v>
      </c>
      <c r="BI128" s="22">
        <f>VLOOKUP(tabCustoUnit[[#This Row],[Código do Posto]],tabParametros[],MATCH(tabCustoUnit[[#Headers],[Máquinas e Equipamentos (depreciação)]],tabParametros[#Headers],0),0)</f>
        <v>0</v>
      </c>
      <c r="BJ128" s="22">
        <f>VLOOKUP(tabCustoUnit[[#This Row],[Código do Posto]],tabParametros[],MATCH(tabCustoUnit[[#Headers],[Produtos de Limpeza e Materiais de Higiene Pessoal]],tabParametros[#Headers],0),0)</f>
        <v>0</v>
      </c>
      <c r="BK128" s="22">
        <f>VLOOKUP(tabCustoUnit[[#This Row],[Código do Posto]],tabParametros[],MATCH(tabCustoUnit[[#Headers],[Outros (especificar)]],tabParametros[#Headers],0),0)</f>
        <v>0</v>
      </c>
      <c r="BL128" s="22">
        <f>SUM(tabCustoUnit[[#This Row],[Uniformes e EPIs]:[Outros (especificar)]])</f>
        <v>90.784679782039703</v>
      </c>
      <c r="BM12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8" s="22" t="e">
        <f ca="1">VLOOKUP(tabCustoUnit[[#This Row],[Código do Posto]],tabParametros[],MATCH(tabCustoUnit[[#Headers],[Custos Indiretos]],tabParametros[#Headers],0),0)</f>
        <v>#NAME?</v>
      </c>
      <c r="BO128" s="22" t="e">
        <f ca="1">VLOOKUP(tabCustoUnit[[#This Row],[Código do Posto]],tabParametros[],MATCH(tabCustoUnit[[#Headers],[Lucro]],tabParametros[#Headers],0),0)</f>
        <v>#NAME?</v>
      </c>
      <c r="BP128" s="26">
        <f>((100/((1-tabCustoUnit[[#This Row],[Resumo de Alíquotas (PIS+CONFINS+ISS)]]))-100)*VLOOKUP(tabCustoUnit[[#This Row],[Código do Posto]],tabParametros[],MATCH(tabCustoUnit[[#Headers],[COFINS]],tabParametros[#Headers],0),0))/(tabCustoUnit[[#This Row],[Resumo de Alíquotas (PIS+CONFINS+ISS)]]*100)</f>
        <v>8.6609686609686695E-2</v>
      </c>
      <c r="BQ128" s="26">
        <f>((100/((100-(tabCustoUnit[[#This Row],[Resumo de Alíquotas (PIS+CONFINS+ISS)]]*100))%)-100)*VLOOKUP(tabCustoUnit[[#This Row],[Código do Posto]],tabParametros[],MATCH(tabCustoUnit[[#Headers],[PIS]],tabParametros[#Headers],0),0))/(tabCustoUnit[[#This Row],[Resumo de Alíquotas (PIS+CONFINS+ISS)]]*100)</f>
        <v>1.880341880341882E-2</v>
      </c>
      <c r="BR128" s="28">
        <f>VLOOKUP(tabCustoUnit[[#This Row],[Código do Posto]],tabParametros[],MATCH(tabCustoUnit[[#Headers],[ISS]],tabParametros[#Headers],0),0)</f>
        <v>0.03</v>
      </c>
      <c r="BS128" s="26">
        <f>(((100/((100-(tabCustoUnit[[#This Row],[Resumo de Alíquotas (PIS+CONFINS+ISS)]]*100))%)-100)*tabCustoUnit[[#This Row],[ISS]])/tabCustoUnit[[#This Row],[Resumo de Alíquotas (PIS+CONFINS+ISS)]])/100</f>
        <v>3.4188034188034219E-2</v>
      </c>
      <c r="BT12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28" s="138">
        <f>tabCustoUnit[[#This Row],[COFINS]]+tabCustoUnit[[#This Row],[PIS]]+tabCustoUnit[[#This Row],[ISS (Conversão Alíquota s/ fatura)]]</f>
        <v>0.13960113960113973</v>
      </c>
      <c r="BV128" s="22" t="e">
        <f ca="1">(tabCustoUnit[[#This Row],[TOTAL MÓDULOS 1+2+3+4+5]]+tabCustoUnit[[#This Row],[Custos Indiretos]]+tabCustoUnit[[#This Row],[Lucro]])*tabCustoUnit[[#This Row],[PIS + COFINS + ISS (Total Conversão  Alíquota s/ Fatura)]]</f>
        <v>#NAME?</v>
      </c>
      <c r="BW128" s="22" t="e">
        <f ca="1">tabCustoUnit[[#This Row],[Custos Indiretos]]+tabCustoUnit[[#This Row],[Lucro]]+tabCustoUnit[[#This Row],[Valor dos Tributos (ISS, PIS, CONFINS)]]</f>
        <v>#NAME?</v>
      </c>
      <c r="BX128" s="22" t="e">
        <f ca="1">tabCustoUnit[[#This Row],[TOTAL MÓDULOS 1+2+3+4+5]]+tabCustoUnit[[#This Row],[MÓDULO 6 – CUSTOS INDIRETOS, TRIBUTOS E LUCRO]]</f>
        <v>#NAME?</v>
      </c>
      <c r="BY128" s="22" t="e">
        <f ca="1">tabCustoUnit[[#This Row],[CUSTO TOTAL MENSAL]]*12</f>
        <v>#NAME?</v>
      </c>
      <c r="BZ128" s="24">
        <f>VLOOKUP(tabCustoUnit[[#This Row],[Código do Posto]],tabParametros[],MATCH(tabCustoUnit[[#Headers],[ANO DA CCT]],tabParametros[#Headers],0),0)</f>
        <v>45658</v>
      </c>
      <c r="CA128" s="25" t="str">
        <f>VLOOKUP(tabCustoUnit[[#This Row],[Código do Posto]],tabParametros[],MATCH(tabCustoUnit[[#Headers],[Nº DE PEDIDO DA CCT]],tabParametros[#Headers],0),0)</f>
        <v>-</v>
      </c>
      <c r="CB128" s="25" t="str">
        <f>VLOOKUP(tabCustoUnit[[#This Row],[Código do Posto]],tabParametros[],MATCH(tabCustoUnit[[#Headers],[TERMO ADITIVO ALTERAÇÃO DA CCT]],tabParametros[#Headers],0),0)</f>
        <v>-</v>
      </c>
    </row>
    <row r="129" spans="1:80">
      <c r="A129" s="20" t="s">
        <v>1470</v>
      </c>
      <c r="B129" t="s">
        <v>1128</v>
      </c>
      <c r="C129" t="s">
        <v>205</v>
      </c>
      <c r="D129" t="s">
        <v>1058</v>
      </c>
      <c r="E129" s="20" t="s">
        <v>1090</v>
      </c>
      <c r="F129" s="20" t="s">
        <v>120</v>
      </c>
      <c r="G129" s="418">
        <v>1649.1152999999999</v>
      </c>
      <c r="H129" s="418">
        <v>0</v>
      </c>
      <c r="I129" s="418">
        <v>0</v>
      </c>
      <c r="J129" s="418">
        <v>0</v>
      </c>
      <c r="K129" s="418">
        <v>0</v>
      </c>
      <c r="L129" s="418">
        <v>0</v>
      </c>
      <c r="M129" s="418">
        <v>0</v>
      </c>
      <c r="N129" s="418">
        <v>0</v>
      </c>
      <c r="O129" s="21">
        <f>SUM(tabCustoUnit[[#This Row],[Salário Base]:[Adicional de Acúmulo de função]])</f>
        <v>1649.1152999999999</v>
      </c>
      <c r="P129" s="21">
        <f>tabCustoUnit[[#This Row],[MODULO 1 - REMUNERAÇÃO ]]*SUMIFS(tabParametros[INSS],tabParametros[Código do Posto],tabCustoUnit[[#This Row],[Código do Posto]])</f>
        <v>329.82306</v>
      </c>
      <c r="Q129" s="21">
        <f>tabCustoUnit[[#This Row],[MODULO 1 - REMUNERAÇÃO ]]*SUMIFS(tabParametros[SESI OU SESC],tabParametros[Código do Posto],tabCustoUnit[[#This Row],[Código do Posto]])</f>
        <v>24.736729499999999</v>
      </c>
      <c r="R129" s="21">
        <f>tabCustoUnit[[#This Row],[MODULO 1 - REMUNERAÇÃO ]]*SUMIFS(tabParametros[SENAI OU SENAC],tabParametros[Código do Posto],tabCustoUnit[[#This Row],[Código do Posto]])</f>
        <v>16.491153000000001</v>
      </c>
      <c r="S129" s="21">
        <f>tabCustoUnit[[#This Row],[MODULO 1 - REMUNERAÇÃO ]]*SUMIFS(tabParametros[INCRA],tabParametros[Código do Posto],tabCustoUnit[[#This Row],[Código do Posto]])</f>
        <v>3.2982306000000001</v>
      </c>
      <c r="T129" s="21">
        <f>tabCustoUnit[[#This Row],[MODULO 1 - REMUNERAÇÃO ]]*SUMIFS(tabParametros[Salário Educação],tabParametros[Código do Posto],tabCustoUnit[[#This Row],[Código do Posto]])</f>
        <v>41.2278825</v>
      </c>
      <c r="U129" s="21">
        <f>tabCustoUnit[[#This Row],[MODULO 1 - REMUNERAÇÃO ]]*SUMIFS(tabParametros[FGTS],tabParametros[Código do Posto],tabCustoUnit[[#This Row],[Código do Posto]])</f>
        <v>131.929224</v>
      </c>
      <c r="V129" s="21">
        <f>tabCustoUnit[[#This Row],[MODULO 1 - REMUNERAÇÃO ]]*SUMIFS(tabParametros[RAT Ajustado],tabParametros[Código do Posto],tabCustoUnit[[#This Row],[Código do Posto]])</f>
        <v>65.964612000000002</v>
      </c>
      <c r="W129" s="21">
        <f>tabCustoUnit[[#This Row],[MODULO 1 - REMUNERAÇÃO ]]*SUMIFS(tabParametros[SEBRAE],tabParametros[Código do Posto],tabCustoUnit[[#This Row],[Código do Posto]])</f>
        <v>9.8946918000000004</v>
      </c>
      <c r="X129" s="21">
        <f>SUM(tabCustoUnit[[#This Row],[INSS]:[SEBRAE]])</f>
        <v>623.36558340000011</v>
      </c>
      <c r="Y129" s="21">
        <f>tabCustoUnit[[#This Row],[MODULO 1 - REMUNERAÇÃO ]]*SUMIFS(tabParametros[13º salário (titular)],tabParametros[Código do Posto],tabCustoUnit[[#This Row],[Código do Posto]])</f>
        <v>137.42627499999998</v>
      </c>
      <c r="Z129" s="21">
        <f>tabCustoUnit[[#This Row],[MODULO 1 - REMUNERAÇÃO ]]*SUMIFS(tabParametros[Férias e Adicional de Férias (titular)],tabParametros[Código do Posto],tabCustoUnit[[#This Row],[Código do Posto]])</f>
        <v>183.23503333333332</v>
      </c>
      <c r="AA129" s="21">
        <f>IFERROR((tabCustoUnit[[#This Row],[Submódulo 2.1]]/tabCustoUnit[[#This Row],[MODULO 1 - REMUNERAÇÃO ]])*SUM(tabCustoUnit[[#This Row],[13º salário (titular)]:[Férias e Adicional de Férias (titular)]]),0)</f>
        <v>121.20997455</v>
      </c>
      <c r="AB129" s="21">
        <f>SUM(tabCustoUnit[[#This Row],[13º salário (titular)]:[Incidência do Submódulo 2.1 sobre 13º Salário, Férias e Adicional de Férias]])</f>
        <v>441.87128288333327</v>
      </c>
      <c r="AC129" s="22" t="e">
        <f ca="1">_xlfn.LET(_xlpm.VT,SUMIF(tabParametros[Código do Posto],tabCustoUnit[[#This Row],[Código do Posto]],tabParametros[Vale - Transporte])*2*20,
IF((_xlpm.VT-tabCustoUnit[[#This Row],[Salário Base]]*0.06)&gt;=0,(_xlpm.VT-tabCustoUnit[[#This Row],[Salário Base]]*0.06),0)
)</f>
        <v>#NAME?</v>
      </c>
      <c r="AD129" s="22">
        <f>IF(SUMIF(tabParametros[Código do Posto],tabCustoUnit[[#This Row],[Código do Posto]],tabParametros[Vale - Alimentação])&lt;=0,0,
SUMIF(tabParametros[Código do Posto],tabCustoUnit[[#This Row],[Código do Posto]],tabParametros[Vale - Alimentação])*20-1)</f>
        <v>582</v>
      </c>
      <c r="AE129" s="22">
        <f>SUMIF(tabParametros[Código do Posto],tabCustoUnit[[#This Row],[Código do Posto]],tabParametros[Cesta Básica])</f>
        <v>0</v>
      </c>
      <c r="AF129" s="22">
        <f>SUMIF(tabParametros[Código do Posto],tabCustoUnit[[#This Row],[Código do Posto]],tabParametros[PAF])</f>
        <v>77.25</v>
      </c>
      <c r="AG129" s="22">
        <f>SUMIF(tabParametros[Código do Posto],tabCustoUnit[[#This Row],[Código do Posto]],tabParametros[PQM])</f>
        <v>0</v>
      </c>
      <c r="AH129" s="22">
        <f>SUMIF(tabParametros[Código do Posto],tabCustoUnit[[#This Row],[Código do Posto]],tabParametros[Abono Único e Especial])</f>
        <v>0</v>
      </c>
      <c r="AI129" s="22">
        <f>SUMIF(tabParametros[Código do Posto],tabCustoUnit[[#This Row],[Código do Posto]],tabParametros[Seguro de Vida])</f>
        <v>3.36</v>
      </c>
      <c r="AJ129" s="22">
        <f>SUMIF(tabParametros[Código do Posto],tabCustoUnit[[#This Row],[Código do Posto]],tabParametros[Despesas de Viagem])</f>
        <v>0</v>
      </c>
      <c r="AK129" s="22" t="e">
        <f ca="1">SUM(tabCustoUnit[[#This Row],[Vale - Transporte (Descontada parcela do empregado)]:[Despesas de Viagem]])</f>
        <v>#NAME?</v>
      </c>
      <c r="AL129" s="22" t="e">
        <f ca="1">tabCustoUnit[[#This Row],[Submódulo 2.1]]+tabCustoUnit[[#This Row],[Submódulo 2.2]]+tabCustoUnit[[#This Row],[Submódulo 2.3]]</f>
        <v>#NAME?</v>
      </c>
      <c r="AM129" s="22">
        <f>SUMIF(tabParametros[Código do Posto],tabCustoUnit[[#This Row],[Código do Posto]],tabParametros[Aviso Prévio Indenizado (API) e Reflexo do Aviso Prévio Indenizado])*tabCustoUnit[[#This Row],[MODULO 1 - REMUNERAÇÃO ]]</f>
        <v>11.563212199016203</v>
      </c>
      <c r="AN129" s="22">
        <f>SUMIF(tabParametros[Código do Posto],tabCustoUnit[[#This Row],[Código do Posto]],tabParametros[Incidência do FGTS sobre API e Reflexo do API])*tabCustoUnit[[#This Row],[MODULO 1 - REMUNERAÇÃO ]]</f>
        <v>0.92505697592129632</v>
      </c>
      <c r="AO129" s="22">
        <f>SUMIF(tabParametros[Código do Posto],tabCustoUnit[[#This Row],[Código do Posto]],tabParametros[Multa Rescisória do FGTS sobre o Aviso Prévio Indenizado])*tabCustoUnit[[#This Row],[MODULO 1 - REMUNERAÇÃO ]]</f>
        <v>0.37002279036851859</v>
      </c>
      <c r="AP129" s="22">
        <f>SUMIF(tabParametros[Código do Posto],tabCustoUnit[[#This Row],[Código do Posto]],tabParametros[Aviso Prévio Trabalhado - APT])*tabCustoUnit[[#This Row],[MODULO 1 - REMUNERAÇÃO ]]</f>
        <v>5.7719035500000002</v>
      </c>
      <c r="AQ129" s="22">
        <f>SUMIF(tabParametros[Código do Posto],tabCustoUnit[[#This Row],[Código do Posto]],tabParametros[Incidência dos encargos do submódulo 2.1 sobre Aviso Prévio Trabalhado])*tabCustoUnit[[#This Row],[MODULO 1 - REMUNERAÇÃO ]]</f>
        <v>2.1817795419000006</v>
      </c>
      <c r="AR129" s="22">
        <f>SUMIF(tabParametros[Código do Posto],tabCustoUnit[[#This Row],[Código do Posto]],tabParametros[Multa Rescisória do FGTS])*tabCustoUnit[[#This Row],[MODULO 1 - REMUNERAÇÃO ]]</f>
        <v>50.426281173333322</v>
      </c>
      <c r="AS129" s="22">
        <f>SUMIF(tabParametros[Código do Posto],tabCustoUnit[[#This Row],[Código do Posto]],tabParametros[Indenização Adicional (Art. 9º da Lei nº 7.238/84)])*tabCustoUnit[[#This Row],[MODULO 1 - REMUNERAÇÃO ]]</f>
        <v>1.37426275</v>
      </c>
      <c r="AT129" s="22">
        <f>SUM(tabCustoUnit[[#This Row],[Aviso Prévio Indenizado (API) e Reflexo do Aviso Prévio Indenizado]:[Indenização Adicional (Art. 9º da Lei nº 7.238/84)]])</f>
        <v>72.612518980539335</v>
      </c>
      <c r="AU129" s="22">
        <f>SUMIF(tabParametros[Código do Posto],tabCustoUnit[[#This Row],[Código do Posto]],tabParametros[Ausência por Doença])*tabCustoUnit[[#This Row],[MODULO 1 - REMUNERAÇÃO ]]</f>
        <v>13.925862533333332</v>
      </c>
      <c r="AV129" s="22">
        <f>SUMIF(tabParametros[Código do Posto],tabCustoUnit[[#This Row],[Código do Posto]],tabParametros[Ausências Legais])*tabCustoUnit[[#This Row],[MODULO 1 - REMUNERAÇÃO ]]</f>
        <v>3.3440393583333332</v>
      </c>
      <c r="AW129" s="22">
        <f>SUMIF(tabParametros[Código do Posto],tabCustoUnit[[#This Row],[Código do Posto]],tabParametros[Licença Paternidade])*tabCustoUnit[[#This Row],[MODULO 1 - REMUNERAÇÃO ]]</f>
        <v>0.28172386374999997</v>
      </c>
      <c r="AX129" s="22">
        <f>SUMIF(tabParametros[Código do Posto],tabCustoUnit[[#This Row],[Código do Posto]],tabParametros[Ausência por Acidente de Trabalho])*tabCustoUnit[[#This Row],[MODULO 1 - REMUNERAÇÃO ]]</f>
        <v>0.34356568749999999</v>
      </c>
      <c r="AY129" s="22">
        <f>SUMIF(tabParametros[Código do Posto],tabCustoUnit[[#This Row],[Código do Posto]],tabParametros[Férias, Adicional de Férias e 13º  com empregada em gozo de Licença Maternidade])*tabCustoUnit[[#This Row],[MODULO 1 - REMUNERAÇÃO ]]</f>
        <v>2.1377420555555555</v>
      </c>
      <c r="AZ129" s="22">
        <f>SUMIF(tabParametros[Código do Posto],tabCustoUnit[[#This Row],[Código do Posto]],tabParametros[Incidência do Submódulo 2.1 sobre Ausências Legais])*tabCustoUnit[[#This Row],[MODULO 1 - REMUNERAÇÃO ]]</f>
        <v>7.572448862422501</v>
      </c>
      <c r="BA129" s="22">
        <f>SUM(tabCustoUnit[[#This Row],[Ausência por Doença]:[Incidência do Submódulo 2.1 sobre Ausências Legais]])</f>
        <v>27.605382360894719</v>
      </c>
      <c r="BB129" s="22">
        <f>SUMIF(tabParametros[Código do Posto],tabCustoUnit[[#This Row],[Código do Posto]],tabParametros[Intervalo para Repouso ou Alimentação])</f>
        <v>0</v>
      </c>
      <c r="BC129" s="22">
        <f>tabCustoUnit[[#This Row],[Intervalo para Repouso ou Alimentação]]</f>
        <v>0</v>
      </c>
      <c r="BD12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29" s="22">
        <f>tabCustoUnit[[#This Row],[Suspensão Temporária do Contrato de Trabalho]]</f>
        <v>0</v>
      </c>
      <c r="BF129" s="22">
        <f>tabCustoUnit[[#This Row],[Submódulo 4.1]]+tabCustoUnit[[#This Row],[Submódulo 4.2]]+tabCustoUnit[[#This Row],[Submódulo 4.3]]</f>
        <v>27.605382360894719</v>
      </c>
      <c r="BG129" s="22">
        <f>VLOOKUP(tabCustoUnit[[#This Row],[Código do Posto]],tabParametros[],MATCH(tabCustoUnit[[#Headers],[Uniformes e EPIs]],tabParametros[#Headers],0),0)</f>
        <v>107.69869344317156</v>
      </c>
      <c r="BH129" s="22">
        <f>VLOOKUP(tabCustoUnit[[#This Row],[Código do Posto]],tabParametros[],MATCH(tabCustoUnit[[#Headers],[Materiais de Consumo]],tabParametros[#Headers],0),0)</f>
        <v>0</v>
      </c>
      <c r="BI129" s="22">
        <f>VLOOKUP(tabCustoUnit[[#This Row],[Código do Posto]],tabParametros[],MATCH(tabCustoUnit[[#Headers],[Máquinas e Equipamentos (depreciação)]],tabParametros[#Headers],0),0)</f>
        <v>0</v>
      </c>
      <c r="BJ129" s="22">
        <f>VLOOKUP(tabCustoUnit[[#This Row],[Código do Posto]],tabParametros[],MATCH(tabCustoUnit[[#Headers],[Produtos de Limpeza e Materiais de Higiene Pessoal]],tabParametros[#Headers],0),0)</f>
        <v>0</v>
      </c>
      <c r="BK129" s="22">
        <f>VLOOKUP(tabCustoUnit[[#This Row],[Código do Posto]],tabParametros[],MATCH(tabCustoUnit[[#Headers],[Outros (especificar)]],tabParametros[#Headers],0),0)</f>
        <v>0</v>
      </c>
      <c r="BL129" s="22">
        <f>SUM(tabCustoUnit[[#This Row],[Uniformes e EPIs]:[Outros (especificar)]])</f>
        <v>107.69869344317156</v>
      </c>
      <c r="BM12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29" s="22" t="e">
        <f ca="1">VLOOKUP(tabCustoUnit[[#This Row],[Código do Posto]],tabParametros[],MATCH(tabCustoUnit[[#Headers],[Custos Indiretos]],tabParametros[#Headers],0),0)</f>
        <v>#NAME?</v>
      </c>
      <c r="BO129" s="22" t="e">
        <f ca="1">VLOOKUP(tabCustoUnit[[#This Row],[Código do Posto]],tabParametros[],MATCH(tabCustoUnit[[#Headers],[Lucro]],tabParametros[#Headers],0),0)</f>
        <v>#NAME?</v>
      </c>
      <c r="BP129" s="26">
        <f>((100/((1-tabCustoUnit[[#This Row],[Resumo de Alíquotas (PIS+CONFINS+ISS)]]))-100)*VLOOKUP(tabCustoUnit[[#This Row],[Código do Posto]],tabParametros[],MATCH(tabCustoUnit[[#Headers],[COFINS]],tabParametros[#Headers],0),0))/(tabCustoUnit[[#This Row],[Resumo de Alíquotas (PIS+CONFINS+ISS)]]*100)</f>
        <v>8.6609686609686695E-2</v>
      </c>
      <c r="BQ129" s="26">
        <f>((100/((100-(tabCustoUnit[[#This Row],[Resumo de Alíquotas (PIS+CONFINS+ISS)]]*100))%)-100)*VLOOKUP(tabCustoUnit[[#This Row],[Código do Posto]],tabParametros[],MATCH(tabCustoUnit[[#Headers],[PIS]],tabParametros[#Headers],0),0))/(tabCustoUnit[[#This Row],[Resumo de Alíquotas (PIS+CONFINS+ISS)]]*100)</f>
        <v>1.880341880341882E-2</v>
      </c>
      <c r="BR129" s="28">
        <f>VLOOKUP(tabCustoUnit[[#This Row],[Código do Posto]],tabParametros[],MATCH(tabCustoUnit[[#Headers],[ISS]],tabParametros[#Headers],0),0)</f>
        <v>0.03</v>
      </c>
      <c r="BS129" s="26">
        <f>(((100/((100-(tabCustoUnit[[#This Row],[Resumo de Alíquotas (PIS+CONFINS+ISS)]]*100))%)-100)*tabCustoUnit[[#This Row],[ISS]])/tabCustoUnit[[#This Row],[Resumo de Alíquotas (PIS+CONFINS+ISS)]])/100</f>
        <v>3.4188034188034219E-2</v>
      </c>
      <c r="BT12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29" s="138">
        <f>tabCustoUnit[[#This Row],[COFINS]]+tabCustoUnit[[#This Row],[PIS]]+tabCustoUnit[[#This Row],[ISS (Conversão Alíquota s/ fatura)]]</f>
        <v>0.13960113960113973</v>
      </c>
      <c r="BV129" s="22" t="e">
        <f ca="1">(tabCustoUnit[[#This Row],[TOTAL MÓDULOS 1+2+3+4+5]]+tabCustoUnit[[#This Row],[Custos Indiretos]]+tabCustoUnit[[#This Row],[Lucro]])*tabCustoUnit[[#This Row],[PIS + COFINS + ISS (Total Conversão  Alíquota s/ Fatura)]]</f>
        <v>#NAME?</v>
      </c>
      <c r="BW129" s="22" t="e">
        <f ca="1">tabCustoUnit[[#This Row],[Custos Indiretos]]+tabCustoUnit[[#This Row],[Lucro]]+tabCustoUnit[[#This Row],[Valor dos Tributos (ISS, PIS, CONFINS)]]</f>
        <v>#NAME?</v>
      </c>
      <c r="BX129" s="22" t="e">
        <f ca="1">tabCustoUnit[[#This Row],[TOTAL MÓDULOS 1+2+3+4+5]]+tabCustoUnit[[#This Row],[MÓDULO 6 – CUSTOS INDIRETOS, TRIBUTOS E LUCRO]]</f>
        <v>#NAME?</v>
      </c>
      <c r="BY129" s="22" t="e">
        <f ca="1">tabCustoUnit[[#This Row],[CUSTO TOTAL MENSAL]]*12</f>
        <v>#NAME?</v>
      </c>
      <c r="BZ129" s="24">
        <f>VLOOKUP(tabCustoUnit[[#This Row],[Código do Posto]],tabParametros[],MATCH(tabCustoUnit[[#Headers],[ANO DA CCT]],tabParametros[#Headers],0),0)</f>
        <v>45658</v>
      </c>
      <c r="CA129" s="25" t="str">
        <f>VLOOKUP(tabCustoUnit[[#This Row],[Código do Posto]],tabParametros[],MATCH(tabCustoUnit[[#Headers],[Nº DE PEDIDO DA CCT]],tabParametros[#Headers],0),0)</f>
        <v>-</v>
      </c>
      <c r="CB129" s="25" t="str">
        <f>VLOOKUP(tabCustoUnit[[#This Row],[Código do Posto]],tabParametros[],MATCH(tabCustoUnit[[#Headers],[TERMO ADITIVO ALTERAÇÃO DA CCT]],tabParametros[#Headers],0),0)</f>
        <v>-</v>
      </c>
    </row>
    <row r="130" spans="1:80">
      <c r="A130" s="20" t="s">
        <v>1585</v>
      </c>
      <c r="B130" t="s">
        <v>1128</v>
      </c>
      <c r="C130" t="s">
        <v>274</v>
      </c>
      <c r="D130" t="s">
        <v>984</v>
      </c>
      <c r="E130" s="20" t="s">
        <v>1090</v>
      </c>
      <c r="F130" s="20" t="s">
        <v>120</v>
      </c>
      <c r="G130" s="418">
        <v>4380.5668999999998</v>
      </c>
      <c r="H130" s="418">
        <v>0</v>
      </c>
      <c r="I130" s="418">
        <v>0</v>
      </c>
      <c r="J130" s="418">
        <v>0</v>
      </c>
      <c r="K130" s="418">
        <v>0</v>
      </c>
      <c r="L130" s="418">
        <v>0</v>
      </c>
      <c r="M130" s="418">
        <v>0</v>
      </c>
      <c r="N130" s="418">
        <v>0</v>
      </c>
      <c r="O130" s="21">
        <f>SUM(tabCustoUnit[[#This Row],[Salário Base]:[Adicional de Acúmulo de função]])</f>
        <v>4380.5668999999998</v>
      </c>
      <c r="P130" s="21">
        <f>tabCustoUnit[[#This Row],[MODULO 1 - REMUNERAÇÃO ]]*SUMIFS(tabParametros[INSS],tabParametros[Código do Posto],tabCustoUnit[[#This Row],[Código do Posto]])</f>
        <v>876.11338000000001</v>
      </c>
      <c r="Q130" s="21">
        <f>tabCustoUnit[[#This Row],[MODULO 1 - REMUNERAÇÃO ]]*SUMIFS(tabParametros[SESI OU SESC],tabParametros[Código do Posto],tabCustoUnit[[#This Row],[Código do Posto]])</f>
        <v>65.708503499999992</v>
      </c>
      <c r="R130" s="21">
        <f>tabCustoUnit[[#This Row],[MODULO 1 - REMUNERAÇÃO ]]*SUMIFS(tabParametros[SENAI OU SENAC],tabParametros[Código do Posto],tabCustoUnit[[#This Row],[Código do Posto]])</f>
        <v>43.805669000000002</v>
      </c>
      <c r="S130" s="21">
        <f>tabCustoUnit[[#This Row],[MODULO 1 - REMUNERAÇÃO ]]*SUMIFS(tabParametros[INCRA],tabParametros[Código do Posto],tabCustoUnit[[#This Row],[Código do Posto]])</f>
        <v>8.7611337999999996</v>
      </c>
      <c r="T130" s="21">
        <f>tabCustoUnit[[#This Row],[MODULO 1 - REMUNERAÇÃO ]]*SUMIFS(tabParametros[Salário Educação],tabParametros[Código do Posto],tabCustoUnit[[#This Row],[Código do Posto]])</f>
        <v>109.5141725</v>
      </c>
      <c r="U130" s="21">
        <f>tabCustoUnit[[#This Row],[MODULO 1 - REMUNERAÇÃO ]]*SUMIFS(tabParametros[FGTS],tabParametros[Código do Posto],tabCustoUnit[[#This Row],[Código do Posto]])</f>
        <v>350.44535200000001</v>
      </c>
      <c r="V130" s="21">
        <f>tabCustoUnit[[#This Row],[MODULO 1 - REMUNERAÇÃO ]]*SUMIFS(tabParametros[RAT Ajustado],tabParametros[Código do Posto],tabCustoUnit[[#This Row],[Código do Posto]])</f>
        <v>175.22267600000001</v>
      </c>
      <c r="W130" s="21">
        <f>tabCustoUnit[[#This Row],[MODULO 1 - REMUNERAÇÃO ]]*SUMIFS(tabParametros[SEBRAE],tabParametros[Código do Posto],tabCustoUnit[[#This Row],[Código do Posto]])</f>
        <v>26.283401399999999</v>
      </c>
      <c r="X130" s="21">
        <f>SUM(tabCustoUnit[[#This Row],[INSS]:[SEBRAE]])</f>
        <v>1655.8542882000002</v>
      </c>
      <c r="Y130" s="21">
        <f>tabCustoUnit[[#This Row],[MODULO 1 - REMUNERAÇÃO ]]*SUMIFS(tabParametros[13º salário (titular)],tabParametros[Código do Posto],tabCustoUnit[[#This Row],[Código do Posto]])</f>
        <v>365.04724166666665</v>
      </c>
      <c r="Z130" s="21">
        <f>tabCustoUnit[[#This Row],[MODULO 1 - REMUNERAÇÃO ]]*SUMIFS(tabParametros[Férias e Adicional de Férias (titular)],tabParametros[Código do Posto],tabCustoUnit[[#This Row],[Código do Posto]])</f>
        <v>486.7296555555555</v>
      </c>
      <c r="AA130" s="21">
        <f>IFERROR((tabCustoUnit[[#This Row],[Submódulo 2.1]]/tabCustoUnit[[#This Row],[MODULO 1 - REMUNERAÇÃO ]])*SUM(tabCustoUnit[[#This Row],[13º salário (titular)]:[Férias e Adicional de Férias (titular)]]),0)</f>
        <v>321.97166715000003</v>
      </c>
      <c r="AB130" s="21">
        <f>SUM(tabCustoUnit[[#This Row],[13º salário (titular)]:[Incidência do Submódulo 2.1 sobre 13º Salário, Férias e Adicional de Férias]])</f>
        <v>1173.7485643722221</v>
      </c>
      <c r="AC130" s="22" t="e">
        <f ca="1">_xlfn.LET(_xlpm.VT,SUMIF(tabParametros[Código do Posto],tabCustoUnit[[#This Row],[Código do Posto]],tabParametros[Vale - Transporte])*2*20,
IF((_xlpm.VT-tabCustoUnit[[#This Row],[Salário Base]]*0.06)&gt;=0,(_xlpm.VT-tabCustoUnit[[#This Row],[Salário Base]]*0.06),0)
)</f>
        <v>#NAME?</v>
      </c>
      <c r="AD130" s="22">
        <f>IF(SUMIF(tabParametros[Código do Posto],tabCustoUnit[[#This Row],[Código do Posto]],tabParametros[Vale - Alimentação])&lt;=0,0,
SUMIF(tabParametros[Código do Posto],tabCustoUnit[[#This Row],[Código do Posto]],tabParametros[Vale - Alimentação])*20-1)</f>
        <v>578.4</v>
      </c>
      <c r="AE130" s="22">
        <f>SUMIF(tabParametros[Código do Posto],tabCustoUnit[[#This Row],[Código do Posto]],tabParametros[Cesta Básica])</f>
        <v>0</v>
      </c>
      <c r="AF130" s="22">
        <f>SUMIF(tabParametros[Código do Posto],tabCustoUnit[[#This Row],[Código do Posto]],tabParametros[PAF])</f>
        <v>0</v>
      </c>
      <c r="AG130" s="22">
        <f>SUMIF(tabParametros[Código do Posto],tabCustoUnit[[#This Row],[Código do Posto]],tabParametros[PQM])</f>
        <v>0</v>
      </c>
      <c r="AH130" s="22">
        <f>SUMIF(tabParametros[Código do Posto],tabCustoUnit[[#This Row],[Código do Posto]],tabParametros[Abono Único e Especial])</f>
        <v>0</v>
      </c>
      <c r="AI130" s="22">
        <f>SUMIF(tabParametros[Código do Posto],tabCustoUnit[[#This Row],[Código do Posto]],tabParametros[Seguro de Vida])</f>
        <v>3.36</v>
      </c>
      <c r="AJ130" s="22">
        <f>SUMIF(tabParametros[Código do Posto],tabCustoUnit[[#This Row],[Código do Posto]],tabParametros[Despesas de Viagem])</f>
        <v>662.42</v>
      </c>
      <c r="AK130" s="22" t="e">
        <f ca="1">SUM(tabCustoUnit[[#This Row],[Vale - Transporte (Descontada parcela do empregado)]:[Despesas de Viagem]])</f>
        <v>#NAME?</v>
      </c>
      <c r="AL130" s="22" t="e">
        <f ca="1">tabCustoUnit[[#This Row],[Submódulo 2.1]]+tabCustoUnit[[#This Row],[Submódulo 2.2]]+tabCustoUnit[[#This Row],[Submódulo 2.3]]</f>
        <v>#NAME?</v>
      </c>
      <c r="AM130" s="22">
        <f>SUMIF(tabParametros[Código do Posto],tabCustoUnit[[#This Row],[Código do Posto]],tabParametros[Aviso Prévio Indenizado (API) e Reflexo do Aviso Prévio Indenizado])*tabCustoUnit[[#This Row],[MODULO 1 - REMUNERAÇÃO ]]</f>
        <v>30.715514322550153</v>
      </c>
      <c r="AN130" s="22">
        <f>SUMIF(tabParametros[Código do Posto],tabCustoUnit[[#This Row],[Código do Posto]],tabParametros[Incidência do FGTS sobre API e Reflexo do API])*tabCustoUnit[[#This Row],[MODULO 1 - REMUNERAÇÃO ]]</f>
        <v>2.4572411458040126</v>
      </c>
      <c r="AO130" s="22">
        <f>SUMIF(tabParametros[Código do Posto],tabCustoUnit[[#This Row],[Código do Posto]],tabParametros[Multa Rescisória do FGTS sobre o Aviso Prévio Indenizado])*tabCustoUnit[[#This Row],[MODULO 1 - REMUNERAÇÃO ]]</f>
        <v>0.9828964583216051</v>
      </c>
      <c r="AP130" s="22">
        <f>SUMIF(tabParametros[Código do Posto],tabCustoUnit[[#This Row],[Código do Posto]],tabParametros[Aviso Prévio Trabalhado - APT])*tabCustoUnit[[#This Row],[MODULO 1 - REMUNERAÇÃO ]]</f>
        <v>15.331984150000002</v>
      </c>
      <c r="AQ130" s="22">
        <f>SUMIF(tabParametros[Código do Posto],tabCustoUnit[[#This Row],[Código do Posto]],tabParametros[Incidência dos encargos do submódulo 2.1 sobre Aviso Prévio Trabalhado])*tabCustoUnit[[#This Row],[MODULO 1 - REMUNERAÇÃO ]]</f>
        <v>5.7954900087000016</v>
      </c>
      <c r="AR130" s="22">
        <f>SUMIF(tabParametros[Código do Posto],tabCustoUnit[[#This Row],[Código do Posto]],tabParametros[Multa Rescisória do FGTS])*tabCustoUnit[[#This Row],[MODULO 1 - REMUNERAÇÃO ]]</f>
        <v>133.94800120888885</v>
      </c>
      <c r="AS130" s="22">
        <f>SUMIF(tabParametros[Código do Posto],tabCustoUnit[[#This Row],[Código do Posto]],tabParametros[Indenização Adicional (Art. 9º da Lei nº 7.238/84)])*tabCustoUnit[[#This Row],[MODULO 1 - REMUNERAÇÃO ]]</f>
        <v>3.6504724166666667</v>
      </c>
      <c r="AT130" s="22">
        <f>SUM(tabCustoUnit[[#This Row],[Aviso Prévio Indenizado (API) e Reflexo do Aviso Prévio Indenizado]:[Indenização Adicional (Art. 9º da Lei nº 7.238/84)]])</f>
        <v>192.88159971093131</v>
      </c>
      <c r="AU130" s="22">
        <f>SUMIF(tabParametros[Código do Posto],tabCustoUnit[[#This Row],[Código do Posto]],tabParametros[Ausência por Doença])*tabCustoUnit[[#This Row],[MODULO 1 - REMUNERAÇÃO ]]</f>
        <v>36.991453822222219</v>
      </c>
      <c r="AV130" s="22">
        <f>SUMIF(tabParametros[Código do Posto],tabCustoUnit[[#This Row],[Código do Posto]],tabParametros[Ausências Legais])*tabCustoUnit[[#This Row],[MODULO 1 - REMUNERAÇÃO ]]</f>
        <v>8.8828162138888871</v>
      </c>
      <c r="AW130" s="22">
        <f>SUMIF(tabParametros[Código do Posto],tabCustoUnit[[#This Row],[Código do Posto]],tabParametros[Licença Paternidade])*tabCustoUnit[[#This Row],[MODULO 1 - REMUNERAÇÃO ]]</f>
        <v>0.74834684541666663</v>
      </c>
      <c r="AX130" s="22">
        <f>SUMIF(tabParametros[Código do Posto],tabCustoUnit[[#This Row],[Código do Posto]],tabParametros[Ausência por Acidente de Trabalho])*tabCustoUnit[[#This Row],[MODULO 1 - REMUNERAÇÃO ]]</f>
        <v>0.91261810416666667</v>
      </c>
      <c r="AY130" s="22">
        <f>SUMIF(tabParametros[Código do Posto],tabCustoUnit[[#This Row],[Código do Posto]],tabParametros[Férias, Adicional de Férias e 13º  com empregada em gozo de Licença Maternidade])*tabCustoUnit[[#This Row],[MODULO 1 - REMUNERAÇÃO ]]</f>
        <v>5.678512648148148</v>
      </c>
      <c r="AZ130" s="22">
        <f>SUMIF(tabParametros[Código do Posto],tabCustoUnit[[#This Row],[Código do Posto]],tabParametros[Incidência do Submódulo 2.1 sobre Ausências Legais])*tabCustoUnit[[#This Row],[MODULO 1 - REMUNERAÇÃO ]]</f>
        <v>20.114796605592502</v>
      </c>
      <c r="BA130" s="22">
        <f>SUM(tabCustoUnit[[#This Row],[Ausência por Doença]:[Incidência do Submódulo 2.1 sobre Ausências Legais]])</f>
        <v>73.328544239435104</v>
      </c>
      <c r="BB130" s="22">
        <f>SUMIF(tabParametros[Código do Posto],tabCustoUnit[[#This Row],[Código do Posto]],tabParametros[Intervalo para Repouso ou Alimentação])</f>
        <v>0</v>
      </c>
      <c r="BC130" s="22">
        <f>tabCustoUnit[[#This Row],[Intervalo para Repouso ou Alimentação]]</f>
        <v>0</v>
      </c>
      <c r="BD13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0" s="22">
        <f>tabCustoUnit[[#This Row],[Suspensão Temporária do Contrato de Trabalho]]</f>
        <v>0</v>
      </c>
      <c r="BF130" s="22">
        <f>tabCustoUnit[[#This Row],[Submódulo 4.1]]+tabCustoUnit[[#This Row],[Submódulo 4.2]]+tabCustoUnit[[#This Row],[Submódulo 4.3]]</f>
        <v>73.328544239435104</v>
      </c>
      <c r="BG130" s="22">
        <f>VLOOKUP(tabCustoUnit[[#This Row],[Código do Posto]],tabParametros[],MATCH(tabCustoUnit[[#Headers],[Uniformes e EPIs]],tabParametros[#Headers],0),0)</f>
        <v>92.100763771570698</v>
      </c>
      <c r="BH130" s="22">
        <f>VLOOKUP(tabCustoUnit[[#This Row],[Código do Posto]],tabParametros[],MATCH(tabCustoUnit[[#Headers],[Materiais de Consumo]],tabParametros[#Headers],0),0)</f>
        <v>0</v>
      </c>
      <c r="BI130" s="22">
        <f>VLOOKUP(tabCustoUnit[[#This Row],[Código do Posto]],tabParametros[],MATCH(tabCustoUnit[[#Headers],[Máquinas e Equipamentos (depreciação)]],tabParametros[#Headers],0),0)</f>
        <v>0</v>
      </c>
      <c r="BJ130" s="22">
        <f>VLOOKUP(tabCustoUnit[[#This Row],[Código do Posto]],tabParametros[],MATCH(tabCustoUnit[[#Headers],[Produtos de Limpeza e Materiais de Higiene Pessoal]],tabParametros[#Headers],0),0)</f>
        <v>0</v>
      </c>
      <c r="BK130" s="22">
        <f>VLOOKUP(tabCustoUnit[[#This Row],[Código do Posto]],tabParametros[],MATCH(tabCustoUnit[[#Headers],[Outros (especificar)]],tabParametros[#Headers],0),0)</f>
        <v>0</v>
      </c>
      <c r="BL130" s="22">
        <f>SUM(tabCustoUnit[[#This Row],[Uniformes e EPIs]:[Outros (especificar)]])</f>
        <v>92.100763771570698</v>
      </c>
      <c r="BM13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0" s="22" t="e">
        <f ca="1">VLOOKUP(tabCustoUnit[[#This Row],[Código do Posto]],tabParametros[],MATCH(tabCustoUnit[[#Headers],[Custos Indiretos]],tabParametros[#Headers],0),0)</f>
        <v>#NAME?</v>
      </c>
      <c r="BO130" s="22" t="e">
        <f ca="1">VLOOKUP(tabCustoUnit[[#This Row],[Código do Posto]],tabParametros[],MATCH(tabCustoUnit[[#Headers],[Lucro]],tabParametros[#Headers],0),0)</f>
        <v>#NAME?</v>
      </c>
      <c r="BP130" s="26">
        <f>((100/((1-tabCustoUnit[[#This Row],[Resumo de Alíquotas (PIS+CONFINS+ISS)]]))-100)*VLOOKUP(tabCustoUnit[[#This Row],[Código do Posto]],tabParametros[],MATCH(tabCustoUnit[[#Headers],[COFINS]],tabParametros[#Headers],0),0))/(tabCustoUnit[[#This Row],[Resumo de Alíquotas (PIS+CONFINS+ISS)]]*100)</f>
        <v>8.6609686609686695E-2</v>
      </c>
      <c r="BQ130" s="26">
        <f>((100/((100-(tabCustoUnit[[#This Row],[Resumo de Alíquotas (PIS+CONFINS+ISS)]]*100))%)-100)*VLOOKUP(tabCustoUnit[[#This Row],[Código do Posto]],tabParametros[],MATCH(tabCustoUnit[[#Headers],[PIS]],tabParametros[#Headers],0),0))/(tabCustoUnit[[#This Row],[Resumo de Alíquotas (PIS+CONFINS+ISS)]]*100)</f>
        <v>1.880341880341882E-2</v>
      </c>
      <c r="BR130" s="28">
        <f>VLOOKUP(tabCustoUnit[[#This Row],[Código do Posto]],tabParametros[],MATCH(tabCustoUnit[[#Headers],[ISS]],tabParametros[#Headers],0),0)</f>
        <v>0.03</v>
      </c>
      <c r="BS130" s="26">
        <f>(((100/((100-(tabCustoUnit[[#This Row],[Resumo de Alíquotas (PIS+CONFINS+ISS)]]*100))%)-100)*tabCustoUnit[[#This Row],[ISS]])/tabCustoUnit[[#This Row],[Resumo de Alíquotas (PIS+CONFINS+ISS)]])/100</f>
        <v>3.4188034188034219E-2</v>
      </c>
      <c r="BT13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0" s="138">
        <f>tabCustoUnit[[#This Row],[COFINS]]+tabCustoUnit[[#This Row],[PIS]]+tabCustoUnit[[#This Row],[ISS (Conversão Alíquota s/ fatura)]]</f>
        <v>0.13960113960113973</v>
      </c>
      <c r="BV130" s="22" t="e">
        <f ca="1">(tabCustoUnit[[#This Row],[TOTAL MÓDULOS 1+2+3+4+5]]+tabCustoUnit[[#This Row],[Custos Indiretos]]+tabCustoUnit[[#This Row],[Lucro]])*tabCustoUnit[[#This Row],[PIS + COFINS + ISS (Total Conversão  Alíquota s/ Fatura)]]</f>
        <v>#NAME?</v>
      </c>
      <c r="BW130" s="22" t="e">
        <f ca="1">tabCustoUnit[[#This Row],[Custos Indiretos]]+tabCustoUnit[[#This Row],[Lucro]]+tabCustoUnit[[#This Row],[Valor dos Tributos (ISS, PIS, CONFINS)]]</f>
        <v>#NAME?</v>
      </c>
      <c r="BX130" s="22" t="e">
        <f ca="1">tabCustoUnit[[#This Row],[TOTAL MÓDULOS 1+2+3+4+5]]+tabCustoUnit[[#This Row],[MÓDULO 6 – CUSTOS INDIRETOS, TRIBUTOS E LUCRO]]</f>
        <v>#NAME?</v>
      </c>
      <c r="BY130" s="22" t="e">
        <f ca="1">tabCustoUnit[[#This Row],[CUSTO TOTAL MENSAL]]*12</f>
        <v>#NAME?</v>
      </c>
      <c r="BZ130" s="24">
        <f>VLOOKUP(tabCustoUnit[[#This Row],[Código do Posto]],tabParametros[],MATCH(tabCustoUnit[[#Headers],[ANO DA CCT]],tabParametros[#Headers],0),0)</f>
        <v>45658</v>
      </c>
      <c r="CA130" s="25" t="str">
        <f>VLOOKUP(tabCustoUnit[[#This Row],[Código do Posto]],tabParametros[],MATCH(tabCustoUnit[[#Headers],[Nº DE PEDIDO DA CCT]],tabParametros[#Headers],0),0)</f>
        <v>-</v>
      </c>
      <c r="CB130" s="25" t="str">
        <f>VLOOKUP(tabCustoUnit[[#This Row],[Código do Posto]],tabParametros[],MATCH(tabCustoUnit[[#Headers],[TERMO ADITIVO ALTERAÇÃO DA CCT]],tabParametros[#Headers],0),0)</f>
        <v>-</v>
      </c>
    </row>
    <row r="131" spans="1:80">
      <c r="A131" s="20" t="s">
        <v>1586</v>
      </c>
      <c r="B131" t="s">
        <v>1128</v>
      </c>
      <c r="C131" t="s">
        <v>274</v>
      </c>
      <c r="D131" t="s">
        <v>984</v>
      </c>
      <c r="E131" s="20" t="s">
        <v>1090</v>
      </c>
      <c r="F131" s="20" t="s">
        <v>135</v>
      </c>
      <c r="G131" s="418">
        <v>4380.5668999999998</v>
      </c>
      <c r="H131" s="418">
        <v>0</v>
      </c>
      <c r="I131" s="418">
        <v>0</v>
      </c>
      <c r="J131" s="418">
        <v>0</v>
      </c>
      <c r="K131" s="418">
        <v>0</v>
      </c>
      <c r="L131" s="418">
        <v>0</v>
      </c>
      <c r="M131" s="418">
        <v>0</v>
      </c>
      <c r="N131" s="418">
        <v>0</v>
      </c>
      <c r="O131" s="21">
        <f>SUM(tabCustoUnit[[#This Row],[Salário Base]:[Adicional de Acúmulo de função]])</f>
        <v>4380.5668999999998</v>
      </c>
      <c r="P131" s="21">
        <f>tabCustoUnit[[#This Row],[MODULO 1 - REMUNERAÇÃO ]]*SUMIFS(tabParametros[INSS],tabParametros[Código do Posto],tabCustoUnit[[#This Row],[Código do Posto]])</f>
        <v>876.11338000000001</v>
      </c>
      <c r="Q131" s="21">
        <f>tabCustoUnit[[#This Row],[MODULO 1 - REMUNERAÇÃO ]]*SUMIFS(tabParametros[SESI OU SESC],tabParametros[Código do Posto],tabCustoUnit[[#This Row],[Código do Posto]])</f>
        <v>65.708503499999992</v>
      </c>
      <c r="R131" s="21">
        <f>tabCustoUnit[[#This Row],[MODULO 1 - REMUNERAÇÃO ]]*SUMIFS(tabParametros[SENAI OU SENAC],tabParametros[Código do Posto],tabCustoUnit[[#This Row],[Código do Posto]])</f>
        <v>43.805669000000002</v>
      </c>
      <c r="S131" s="21">
        <f>tabCustoUnit[[#This Row],[MODULO 1 - REMUNERAÇÃO ]]*SUMIFS(tabParametros[INCRA],tabParametros[Código do Posto],tabCustoUnit[[#This Row],[Código do Posto]])</f>
        <v>8.7611337999999996</v>
      </c>
      <c r="T131" s="21">
        <f>tabCustoUnit[[#This Row],[MODULO 1 - REMUNERAÇÃO ]]*SUMIFS(tabParametros[Salário Educação],tabParametros[Código do Posto],tabCustoUnit[[#This Row],[Código do Posto]])</f>
        <v>109.5141725</v>
      </c>
      <c r="U131" s="21">
        <f>tabCustoUnit[[#This Row],[MODULO 1 - REMUNERAÇÃO ]]*SUMIFS(tabParametros[FGTS],tabParametros[Código do Posto],tabCustoUnit[[#This Row],[Código do Posto]])</f>
        <v>350.44535200000001</v>
      </c>
      <c r="V131" s="21">
        <f>tabCustoUnit[[#This Row],[MODULO 1 - REMUNERAÇÃO ]]*SUMIFS(tabParametros[RAT Ajustado],tabParametros[Código do Posto],tabCustoUnit[[#This Row],[Código do Posto]])</f>
        <v>175.22267600000001</v>
      </c>
      <c r="W131" s="21">
        <f>tabCustoUnit[[#This Row],[MODULO 1 - REMUNERAÇÃO ]]*SUMIFS(tabParametros[SEBRAE],tabParametros[Código do Posto],tabCustoUnit[[#This Row],[Código do Posto]])</f>
        <v>26.283401399999999</v>
      </c>
      <c r="X131" s="21">
        <f>SUM(tabCustoUnit[[#This Row],[INSS]:[SEBRAE]])</f>
        <v>1655.8542882000002</v>
      </c>
      <c r="Y131" s="21">
        <f>tabCustoUnit[[#This Row],[MODULO 1 - REMUNERAÇÃO ]]*SUMIFS(tabParametros[13º salário (titular)],tabParametros[Código do Posto],tabCustoUnit[[#This Row],[Código do Posto]])</f>
        <v>365.04724166666665</v>
      </c>
      <c r="Z131" s="21">
        <f>tabCustoUnit[[#This Row],[MODULO 1 - REMUNERAÇÃO ]]*SUMIFS(tabParametros[Férias e Adicional de Férias (titular)],tabParametros[Código do Posto],tabCustoUnit[[#This Row],[Código do Posto]])</f>
        <v>486.7296555555555</v>
      </c>
      <c r="AA131" s="21">
        <f>IFERROR((tabCustoUnit[[#This Row],[Submódulo 2.1]]/tabCustoUnit[[#This Row],[MODULO 1 - REMUNERAÇÃO ]])*SUM(tabCustoUnit[[#This Row],[13º salário (titular)]:[Férias e Adicional de Férias (titular)]]),0)</f>
        <v>321.97166715000003</v>
      </c>
      <c r="AB131" s="21">
        <f>SUM(tabCustoUnit[[#This Row],[13º salário (titular)]:[Incidência do Submódulo 2.1 sobre 13º Salário, Férias e Adicional de Férias]])</f>
        <v>1173.7485643722221</v>
      </c>
      <c r="AC131" s="22" t="e">
        <f ca="1">_xlfn.LET(_xlpm.VT,SUMIF(tabParametros[Código do Posto],tabCustoUnit[[#This Row],[Código do Posto]],tabParametros[Vale - Transporte])*2*20,
IF((_xlpm.VT-tabCustoUnit[[#This Row],[Salário Base]]*0.06)&gt;=0,(_xlpm.VT-tabCustoUnit[[#This Row],[Salário Base]]*0.06),0)
)</f>
        <v>#NAME?</v>
      </c>
      <c r="AD131" s="22">
        <f>IF(SUMIF(tabParametros[Código do Posto],tabCustoUnit[[#This Row],[Código do Posto]],tabParametros[Vale - Alimentação])&lt;=0,0,
SUMIF(tabParametros[Código do Posto],tabCustoUnit[[#This Row],[Código do Posto]],tabParametros[Vale - Alimentação])*20-1)</f>
        <v>578.4</v>
      </c>
      <c r="AE131" s="22">
        <f>SUMIF(tabParametros[Código do Posto],tabCustoUnit[[#This Row],[Código do Posto]],tabParametros[Cesta Básica])</f>
        <v>0</v>
      </c>
      <c r="AF131" s="22">
        <f>SUMIF(tabParametros[Código do Posto],tabCustoUnit[[#This Row],[Código do Posto]],tabParametros[PAF])</f>
        <v>0</v>
      </c>
      <c r="AG131" s="22">
        <f>SUMIF(tabParametros[Código do Posto],tabCustoUnit[[#This Row],[Código do Posto]],tabParametros[PQM])</f>
        <v>0</v>
      </c>
      <c r="AH131" s="22">
        <f>SUMIF(tabParametros[Código do Posto],tabCustoUnit[[#This Row],[Código do Posto]],tabParametros[Abono Único e Especial])</f>
        <v>0</v>
      </c>
      <c r="AI131" s="22">
        <f>SUMIF(tabParametros[Código do Posto],tabCustoUnit[[#This Row],[Código do Posto]],tabParametros[Seguro de Vida])</f>
        <v>3.36</v>
      </c>
      <c r="AJ131" s="22">
        <f>SUMIF(tabParametros[Código do Posto],tabCustoUnit[[#This Row],[Código do Posto]],tabParametros[Despesas de Viagem])</f>
        <v>662.42</v>
      </c>
      <c r="AK131" s="22" t="e">
        <f ca="1">SUM(tabCustoUnit[[#This Row],[Vale - Transporte (Descontada parcela do empregado)]:[Despesas de Viagem]])</f>
        <v>#NAME?</v>
      </c>
      <c r="AL131" s="22" t="e">
        <f ca="1">tabCustoUnit[[#This Row],[Submódulo 2.1]]+tabCustoUnit[[#This Row],[Submódulo 2.2]]+tabCustoUnit[[#This Row],[Submódulo 2.3]]</f>
        <v>#NAME?</v>
      </c>
      <c r="AM131" s="22">
        <f>SUMIF(tabParametros[Código do Posto],tabCustoUnit[[#This Row],[Código do Posto]],tabParametros[Aviso Prévio Indenizado (API) e Reflexo do Aviso Prévio Indenizado])*tabCustoUnit[[#This Row],[MODULO 1 - REMUNERAÇÃO ]]</f>
        <v>30.715514322550153</v>
      </c>
      <c r="AN131" s="22">
        <f>SUMIF(tabParametros[Código do Posto],tabCustoUnit[[#This Row],[Código do Posto]],tabParametros[Incidência do FGTS sobre API e Reflexo do API])*tabCustoUnit[[#This Row],[MODULO 1 - REMUNERAÇÃO ]]</f>
        <v>2.4572411458040126</v>
      </c>
      <c r="AO131" s="22">
        <f>SUMIF(tabParametros[Código do Posto],tabCustoUnit[[#This Row],[Código do Posto]],tabParametros[Multa Rescisória do FGTS sobre o Aviso Prévio Indenizado])*tabCustoUnit[[#This Row],[MODULO 1 - REMUNERAÇÃO ]]</f>
        <v>0.9828964583216051</v>
      </c>
      <c r="AP131" s="22">
        <f>SUMIF(tabParametros[Código do Posto],tabCustoUnit[[#This Row],[Código do Posto]],tabParametros[Aviso Prévio Trabalhado - APT])*tabCustoUnit[[#This Row],[MODULO 1 - REMUNERAÇÃO ]]</f>
        <v>15.331984150000002</v>
      </c>
      <c r="AQ131" s="22">
        <f>SUMIF(tabParametros[Código do Posto],tabCustoUnit[[#This Row],[Código do Posto]],tabParametros[Incidência dos encargos do submódulo 2.1 sobre Aviso Prévio Trabalhado])*tabCustoUnit[[#This Row],[MODULO 1 - REMUNERAÇÃO ]]</f>
        <v>5.7954900087000016</v>
      </c>
      <c r="AR131" s="22">
        <f>SUMIF(tabParametros[Código do Posto],tabCustoUnit[[#This Row],[Código do Posto]],tabParametros[Multa Rescisória do FGTS])*tabCustoUnit[[#This Row],[MODULO 1 - REMUNERAÇÃO ]]</f>
        <v>133.94800120888885</v>
      </c>
      <c r="AS131" s="22">
        <f>SUMIF(tabParametros[Código do Posto],tabCustoUnit[[#This Row],[Código do Posto]],tabParametros[Indenização Adicional (Art. 9º da Lei nº 7.238/84)])*tabCustoUnit[[#This Row],[MODULO 1 - REMUNERAÇÃO ]]</f>
        <v>3.6504724166666667</v>
      </c>
      <c r="AT131" s="22">
        <f>SUM(tabCustoUnit[[#This Row],[Aviso Prévio Indenizado (API) e Reflexo do Aviso Prévio Indenizado]:[Indenização Adicional (Art. 9º da Lei nº 7.238/84)]])</f>
        <v>192.88159971093131</v>
      </c>
      <c r="AU131" s="22">
        <f>SUMIF(tabParametros[Código do Posto],tabCustoUnit[[#This Row],[Código do Posto]],tabParametros[Ausência por Doença])*tabCustoUnit[[#This Row],[MODULO 1 - REMUNERAÇÃO ]]</f>
        <v>36.991453822222219</v>
      </c>
      <c r="AV131" s="22">
        <f>SUMIF(tabParametros[Código do Posto],tabCustoUnit[[#This Row],[Código do Posto]],tabParametros[Ausências Legais])*tabCustoUnit[[#This Row],[MODULO 1 - REMUNERAÇÃO ]]</f>
        <v>8.8828162138888871</v>
      </c>
      <c r="AW131" s="22">
        <f>SUMIF(tabParametros[Código do Posto],tabCustoUnit[[#This Row],[Código do Posto]],tabParametros[Licença Paternidade])*tabCustoUnit[[#This Row],[MODULO 1 - REMUNERAÇÃO ]]</f>
        <v>0.74834684541666663</v>
      </c>
      <c r="AX131" s="22">
        <f>SUMIF(tabParametros[Código do Posto],tabCustoUnit[[#This Row],[Código do Posto]],tabParametros[Ausência por Acidente de Trabalho])*tabCustoUnit[[#This Row],[MODULO 1 - REMUNERAÇÃO ]]</f>
        <v>0.91261810416666667</v>
      </c>
      <c r="AY131" s="22">
        <f>SUMIF(tabParametros[Código do Posto],tabCustoUnit[[#This Row],[Código do Posto]],tabParametros[Férias, Adicional de Férias e 13º  com empregada em gozo de Licença Maternidade])*tabCustoUnit[[#This Row],[MODULO 1 - REMUNERAÇÃO ]]</f>
        <v>5.678512648148148</v>
      </c>
      <c r="AZ131" s="22">
        <f>SUMIF(tabParametros[Código do Posto],tabCustoUnit[[#This Row],[Código do Posto]],tabParametros[Incidência do Submódulo 2.1 sobre Ausências Legais])*tabCustoUnit[[#This Row],[MODULO 1 - REMUNERAÇÃO ]]</f>
        <v>20.114796605592502</v>
      </c>
      <c r="BA131" s="22">
        <f>SUM(tabCustoUnit[[#This Row],[Ausência por Doença]:[Incidência do Submódulo 2.1 sobre Ausências Legais]])</f>
        <v>73.328544239435104</v>
      </c>
      <c r="BB131" s="22">
        <f>SUMIF(tabParametros[Código do Posto],tabCustoUnit[[#This Row],[Código do Posto]],tabParametros[Intervalo para Repouso ou Alimentação])</f>
        <v>0</v>
      </c>
      <c r="BC131" s="22">
        <f>tabCustoUnit[[#This Row],[Intervalo para Repouso ou Alimentação]]</f>
        <v>0</v>
      </c>
      <c r="BD13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1" s="22">
        <f>tabCustoUnit[[#This Row],[Suspensão Temporária do Contrato de Trabalho]]</f>
        <v>0</v>
      </c>
      <c r="BF131" s="22">
        <f>tabCustoUnit[[#This Row],[Submódulo 4.1]]+tabCustoUnit[[#This Row],[Submódulo 4.2]]+tabCustoUnit[[#This Row],[Submódulo 4.3]]</f>
        <v>73.328544239435104</v>
      </c>
      <c r="BG131" s="22">
        <f>VLOOKUP(tabCustoUnit[[#This Row],[Código do Posto]],tabParametros[],MATCH(tabCustoUnit[[#Headers],[Uniformes e EPIs]],tabParametros[#Headers],0),0)</f>
        <v>92.100763771570698</v>
      </c>
      <c r="BH131" s="22">
        <f>VLOOKUP(tabCustoUnit[[#This Row],[Código do Posto]],tabParametros[],MATCH(tabCustoUnit[[#Headers],[Materiais de Consumo]],tabParametros[#Headers],0),0)</f>
        <v>0</v>
      </c>
      <c r="BI131" s="22">
        <f>VLOOKUP(tabCustoUnit[[#This Row],[Código do Posto]],tabParametros[],MATCH(tabCustoUnit[[#Headers],[Máquinas e Equipamentos (depreciação)]],tabParametros[#Headers],0),0)</f>
        <v>0</v>
      </c>
      <c r="BJ131" s="22">
        <f>VLOOKUP(tabCustoUnit[[#This Row],[Código do Posto]],tabParametros[],MATCH(tabCustoUnit[[#Headers],[Produtos de Limpeza e Materiais de Higiene Pessoal]],tabParametros[#Headers],0),0)</f>
        <v>0</v>
      </c>
      <c r="BK131" s="22">
        <f>VLOOKUP(tabCustoUnit[[#This Row],[Código do Posto]],tabParametros[],MATCH(tabCustoUnit[[#Headers],[Outros (especificar)]],tabParametros[#Headers],0),0)</f>
        <v>0</v>
      </c>
      <c r="BL131" s="22">
        <f>SUM(tabCustoUnit[[#This Row],[Uniformes e EPIs]:[Outros (especificar)]])</f>
        <v>92.100763771570698</v>
      </c>
      <c r="BM13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1" s="22" t="e">
        <f ca="1">VLOOKUP(tabCustoUnit[[#This Row],[Código do Posto]],tabParametros[],MATCH(tabCustoUnit[[#Headers],[Custos Indiretos]],tabParametros[#Headers],0),0)</f>
        <v>#NAME?</v>
      </c>
      <c r="BO131" s="22" t="e">
        <f ca="1">VLOOKUP(tabCustoUnit[[#This Row],[Código do Posto]],tabParametros[],MATCH(tabCustoUnit[[#Headers],[Lucro]],tabParametros[#Headers],0),0)</f>
        <v>#NAME?</v>
      </c>
      <c r="BP131" s="26">
        <f>((100/((1-tabCustoUnit[[#This Row],[Resumo de Alíquotas (PIS+CONFINS+ISS)]]))-100)*VLOOKUP(tabCustoUnit[[#This Row],[Código do Posto]],tabParametros[],MATCH(tabCustoUnit[[#Headers],[COFINS]],tabParametros[#Headers],0),0))/(tabCustoUnit[[#This Row],[Resumo de Alíquotas (PIS+CONFINS+ISS)]]*100)</f>
        <v>8.6609686609686695E-2</v>
      </c>
      <c r="BQ131" s="26">
        <f>((100/((100-(tabCustoUnit[[#This Row],[Resumo de Alíquotas (PIS+CONFINS+ISS)]]*100))%)-100)*VLOOKUP(tabCustoUnit[[#This Row],[Código do Posto]],tabParametros[],MATCH(tabCustoUnit[[#Headers],[PIS]],tabParametros[#Headers],0),0))/(tabCustoUnit[[#This Row],[Resumo de Alíquotas (PIS+CONFINS+ISS)]]*100)</f>
        <v>1.880341880341882E-2</v>
      </c>
      <c r="BR131" s="28">
        <f>VLOOKUP(tabCustoUnit[[#This Row],[Código do Posto]],tabParametros[],MATCH(tabCustoUnit[[#Headers],[ISS]],tabParametros[#Headers],0),0)</f>
        <v>0.03</v>
      </c>
      <c r="BS131" s="26">
        <f>(((100/((100-(tabCustoUnit[[#This Row],[Resumo de Alíquotas (PIS+CONFINS+ISS)]]*100))%)-100)*tabCustoUnit[[#This Row],[ISS]])/tabCustoUnit[[#This Row],[Resumo de Alíquotas (PIS+CONFINS+ISS)]])/100</f>
        <v>3.4188034188034219E-2</v>
      </c>
      <c r="BT13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1" s="138">
        <f>tabCustoUnit[[#This Row],[COFINS]]+tabCustoUnit[[#This Row],[PIS]]+tabCustoUnit[[#This Row],[ISS (Conversão Alíquota s/ fatura)]]</f>
        <v>0.13960113960113973</v>
      </c>
      <c r="BV131" s="22" t="e">
        <f ca="1">(tabCustoUnit[[#This Row],[TOTAL MÓDULOS 1+2+3+4+5]]+tabCustoUnit[[#This Row],[Custos Indiretos]]+tabCustoUnit[[#This Row],[Lucro]])*tabCustoUnit[[#This Row],[PIS + COFINS + ISS (Total Conversão  Alíquota s/ Fatura)]]</f>
        <v>#NAME?</v>
      </c>
      <c r="BW131" s="22" t="e">
        <f ca="1">tabCustoUnit[[#This Row],[Custos Indiretos]]+tabCustoUnit[[#This Row],[Lucro]]+tabCustoUnit[[#This Row],[Valor dos Tributos (ISS, PIS, CONFINS)]]</f>
        <v>#NAME?</v>
      </c>
      <c r="BX131" s="22" t="e">
        <f ca="1">tabCustoUnit[[#This Row],[TOTAL MÓDULOS 1+2+3+4+5]]+tabCustoUnit[[#This Row],[MÓDULO 6 – CUSTOS INDIRETOS, TRIBUTOS E LUCRO]]</f>
        <v>#NAME?</v>
      </c>
      <c r="BY131" s="22" t="e">
        <f ca="1">tabCustoUnit[[#This Row],[CUSTO TOTAL MENSAL]]*12</f>
        <v>#NAME?</v>
      </c>
      <c r="BZ131" s="24">
        <f>VLOOKUP(tabCustoUnit[[#This Row],[Código do Posto]],tabParametros[],MATCH(tabCustoUnit[[#Headers],[ANO DA CCT]],tabParametros[#Headers],0),0)</f>
        <v>45658</v>
      </c>
      <c r="CA131" s="25" t="str">
        <f>VLOOKUP(tabCustoUnit[[#This Row],[Código do Posto]],tabParametros[],MATCH(tabCustoUnit[[#Headers],[Nº DE PEDIDO DA CCT]],tabParametros[#Headers],0),0)</f>
        <v>-</v>
      </c>
      <c r="CB131" s="25" t="str">
        <f>VLOOKUP(tabCustoUnit[[#This Row],[Código do Posto]],tabParametros[],MATCH(tabCustoUnit[[#Headers],[TERMO ADITIVO ALTERAÇÃO DA CCT]],tabParametros[#Headers],0),0)</f>
        <v>-</v>
      </c>
    </row>
    <row r="132" spans="1:80">
      <c r="A132" s="20" t="s">
        <v>1587</v>
      </c>
      <c r="B132" t="s">
        <v>1128</v>
      </c>
      <c r="C132" t="s">
        <v>324</v>
      </c>
      <c r="D132" t="s">
        <v>1058</v>
      </c>
      <c r="E132" s="20" t="s">
        <v>1090</v>
      </c>
      <c r="F132" s="20" t="s">
        <v>120</v>
      </c>
      <c r="G132" s="418">
        <v>3397.1306</v>
      </c>
      <c r="H132" s="418">
        <v>0</v>
      </c>
      <c r="I132" s="418">
        <v>0</v>
      </c>
      <c r="J132" s="418">
        <v>0</v>
      </c>
      <c r="K132" s="418">
        <v>0</v>
      </c>
      <c r="L132" s="418">
        <v>0</v>
      </c>
      <c r="M132" s="418">
        <v>0</v>
      </c>
      <c r="N132" s="418">
        <v>0</v>
      </c>
      <c r="O132" s="21">
        <f>SUM(tabCustoUnit[[#This Row],[Salário Base]:[Adicional de Acúmulo de função]])</f>
        <v>3397.1306</v>
      </c>
      <c r="P132" s="21">
        <f>tabCustoUnit[[#This Row],[MODULO 1 - REMUNERAÇÃO ]]*SUMIFS(tabParametros[INSS],tabParametros[Código do Posto],tabCustoUnit[[#This Row],[Código do Posto]])</f>
        <v>679.42612000000008</v>
      </c>
      <c r="Q132" s="21">
        <f>tabCustoUnit[[#This Row],[MODULO 1 - REMUNERAÇÃO ]]*SUMIFS(tabParametros[SESI OU SESC],tabParametros[Código do Posto],tabCustoUnit[[#This Row],[Código do Posto]])</f>
        <v>50.956958999999998</v>
      </c>
      <c r="R132" s="21">
        <f>tabCustoUnit[[#This Row],[MODULO 1 - REMUNERAÇÃO ]]*SUMIFS(tabParametros[SENAI OU SENAC],tabParametros[Código do Posto],tabCustoUnit[[#This Row],[Código do Posto]])</f>
        <v>33.971305999999998</v>
      </c>
      <c r="S132" s="21">
        <f>tabCustoUnit[[#This Row],[MODULO 1 - REMUNERAÇÃO ]]*SUMIFS(tabParametros[INCRA],tabParametros[Código do Posto],tabCustoUnit[[#This Row],[Código do Posto]])</f>
        <v>6.7942612000000002</v>
      </c>
      <c r="T132" s="21">
        <f>tabCustoUnit[[#This Row],[MODULO 1 - REMUNERAÇÃO ]]*SUMIFS(tabParametros[Salário Educação],tabParametros[Código do Posto],tabCustoUnit[[#This Row],[Código do Posto]])</f>
        <v>84.92826500000001</v>
      </c>
      <c r="U132" s="21">
        <f>tabCustoUnit[[#This Row],[MODULO 1 - REMUNERAÇÃO ]]*SUMIFS(tabParametros[FGTS],tabParametros[Código do Posto],tabCustoUnit[[#This Row],[Código do Posto]])</f>
        <v>271.77044799999999</v>
      </c>
      <c r="V132" s="21">
        <f>tabCustoUnit[[#This Row],[MODULO 1 - REMUNERAÇÃO ]]*SUMIFS(tabParametros[RAT Ajustado],tabParametros[Código do Posto],tabCustoUnit[[#This Row],[Código do Posto]])</f>
        <v>135.88522399999999</v>
      </c>
      <c r="W132" s="21">
        <f>tabCustoUnit[[#This Row],[MODULO 1 - REMUNERAÇÃO ]]*SUMIFS(tabParametros[SEBRAE],tabParametros[Código do Posto],tabCustoUnit[[#This Row],[Código do Posto]])</f>
        <v>20.3827836</v>
      </c>
      <c r="X132" s="21">
        <f>SUM(tabCustoUnit[[#This Row],[INSS]:[SEBRAE]])</f>
        <v>1284.1153668000002</v>
      </c>
      <c r="Y132" s="21">
        <f>tabCustoUnit[[#This Row],[MODULO 1 - REMUNERAÇÃO ]]*SUMIFS(tabParametros[13º salário (titular)],tabParametros[Código do Posto],tabCustoUnit[[#This Row],[Código do Posto]])</f>
        <v>283.09421666666663</v>
      </c>
      <c r="Z132" s="21">
        <f>tabCustoUnit[[#This Row],[MODULO 1 - REMUNERAÇÃO ]]*SUMIFS(tabParametros[Férias e Adicional de Férias (titular)],tabParametros[Código do Posto],tabCustoUnit[[#This Row],[Código do Posto]])</f>
        <v>377.45895555555552</v>
      </c>
      <c r="AA132" s="21">
        <f>IFERROR((tabCustoUnit[[#This Row],[Submódulo 2.1]]/tabCustoUnit[[#This Row],[MODULO 1 - REMUNERAÇÃO ]])*SUM(tabCustoUnit[[#This Row],[13º salário (titular)]:[Férias e Adicional de Férias (titular)]]),0)</f>
        <v>249.68909910000002</v>
      </c>
      <c r="AB132" s="21">
        <f>SUM(tabCustoUnit[[#This Row],[13º salário (titular)]:[Incidência do Submódulo 2.1 sobre 13º Salário, Férias e Adicional de Férias]])</f>
        <v>910.24227132222222</v>
      </c>
      <c r="AC132" s="22" t="e">
        <f ca="1">_xlfn.LET(_xlpm.VT,SUMIF(tabParametros[Código do Posto],tabCustoUnit[[#This Row],[Código do Posto]],tabParametros[Vale - Transporte])*2*20,
IF((_xlpm.VT-tabCustoUnit[[#This Row],[Salário Base]]*0.06)&gt;=0,(_xlpm.VT-tabCustoUnit[[#This Row],[Salário Base]]*0.06),0)
)</f>
        <v>#NAME?</v>
      </c>
      <c r="AD132" s="22">
        <f>IF(SUMIF(tabParametros[Código do Posto],tabCustoUnit[[#This Row],[Código do Posto]],tabParametros[Vale - Alimentação])&lt;=0,0,
SUMIF(tabParametros[Código do Posto],tabCustoUnit[[#This Row],[Código do Posto]],tabParametros[Vale - Alimentação])*20-1)</f>
        <v>582</v>
      </c>
      <c r="AE132" s="22">
        <f>SUMIF(tabParametros[Código do Posto],tabCustoUnit[[#This Row],[Código do Posto]],tabParametros[Cesta Básica])</f>
        <v>0</v>
      </c>
      <c r="AF132" s="22">
        <f>SUMIF(tabParametros[Código do Posto],tabCustoUnit[[#This Row],[Código do Posto]],tabParametros[PAF])</f>
        <v>77.25</v>
      </c>
      <c r="AG132" s="22">
        <f>SUMIF(tabParametros[Código do Posto],tabCustoUnit[[#This Row],[Código do Posto]],tabParametros[PQM])</f>
        <v>0</v>
      </c>
      <c r="AH132" s="22">
        <f>SUMIF(tabParametros[Código do Posto],tabCustoUnit[[#This Row],[Código do Posto]],tabParametros[Abono Único e Especial])</f>
        <v>0</v>
      </c>
      <c r="AI132" s="22">
        <f>SUMIF(tabParametros[Código do Posto],tabCustoUnit[[#This Row],[Código do Posto]],tabParametros[Seguro de Vida])</f>
        <v>3.36</v>
      </c>
      <c r="AJ132" s="22">
        <f>SUMIF(tabParametros[Código do Posto],tabCustoUnit[[#This Row],[Código do Posto]],tabParametros[Despesas de Viagem])</f>
        <v>0</v>
      </c>
      <c r="AK132" s="22" t="e">
        <f ca="1">SUM(tabCustoUnit[[#This Row],[Vale - Transporte (Descontada parcela do empregado)]:[Despesas de Viagem]])</f>
        <v>#NAME?</v>
      </c>
      <c r="AL132" s="22" t="e">
        <f ca="1">tabCustoUnit[[#This Row],[Submódulo 2.1]]+tabCustoUnit[[#This Row],[Submódulo 2.2]]+tabCustoUnit[[#This Row],[Submódulo 2.3]]</f>
        <v>#NAME?</v>
      </c>
      <c r="AM132" s="22">
        <f>SUMIF(tabParametros[Código do Posto],tabCustoUnit[[#This Row],[Código do Posto]],tabParametros[Aviso Prévio Indenizado (API) e Reflexo do Aviso Prévio Indenizado])*tabCustoUnit[[#This Row],[MODULO 1 - REMUNERAÇÃO ]]</f>
        <v>23.819888151890432</v>
      </c>
      <c r="AN132" s="22">
        <f>SUMIF(tabParametros[Código do Posto],tabCustoUnit[[#This Row],[Código do Posto]],tabParametros[Incidência do FGTS sobre API e Reflexo do API])*tabCustoUnit[[#This Row],[MODULO 1 - REMUNERAÇÃO ]]</f>
        <v>1.9055910521512347</v>
      </c>
      <c r="AO132" s="22">
        <f>SUMIF(tabParametros[Código do Posto],tabCustoUnit[[#This Row],[Código do Posto]],tabParametros[Multa Rescisória do FGTS sobre o Aviso Prévio Indenizado])*tabCustoUnit[[#This Row],[MODULO 1 - REMUNERAÇÃO ]]</f>
        <v>0.76223642086049392</v>
      </c>
      <c r="AP132" s="22">
        <f>SUMIF(tabParametros[Código do Posto],tabCustoUnit[[#This Row],[Código do Posto]],tabParametros[Aviso Prévio Trabalhado - APT])*tabCustoUnit[[#This Row],[MODULO 1 - REMUNERAÇÃO ]]</f>
        <v>11.889957100000002</v>
      </c>
      <c r="AQ132" s="22">
        <f>SUMIF(tabParametros[Código do Posto],tabCustoUnit[[#This Row],[Código do Posto]],tabParametros[Incidência dos encargos do submódulo 2.1 sobre Aviso Prévio Trabalhado])*tabCustoUnit[[#This Row],[MODULO 1 - REMUNERAÇÃO ]]</f>
        <v>4.4944037838000011</v>
      </c>
      <c r="AR132" s="22">
        <f>SUMIF(tabParametros[Código do Posto],tabCustoUnit[[#This Row],[Código do Posto]],tabParametros[Multa Rescisória do FGTS])*tabCustoUnit[[#This Row],[MODULO 1 - REMUNERAÇÃO ]]</f>
        <v>103.87670456888887</v>
      </c>
      <c r="AS132" s="22">
        <f>SUMIF(tabParametros[Código do Posto],tabCustoUnit[[#This Row],[Código do Posto]],tabParametros[Indenização Adicional (Art. 9º da Lei nº 7.238/84)])*tabCustoUnit[[#This Row],[MODULO 1 - REMUNERAÇÃO ]]</f>
        <v>2.830942166666667</v>
      </c>
      <c r="AT132" s="22">
        <f>SUM(tabCustoUnit[[#This Row],[Aviso Prévio Indenizado (API) e Reflexo do Aviso Prévio Indenizado]:[Indenização Adicional (Art. 9º da Lei nº 7.238/84)]])</f>
        <v>149.57972324425771</v>
      </c>
      <c r="AU132" s="22">
        <f>SUMIF(tabParametros[Código do Posto],tabCustoUnit[[#This Row],[Código do Posto]],tabParametros[Ausência por Doença])*tabCustoUnit[[#This Row],[MODULO 1 - REMUNERAÇÃO ]]</f>
        <v>28.686880622222219</v>
      </c>
      <c r="AV132" s="22">
        <f>SUMIF(tabParametros[Código do Posto],tabCustoUnit[[#This Row],[Código do Posto]],tabParametros[Ausências Legais])*tabCustoUnit[[#This Row],[MODULO 1 - REMUNERAÇÃO ]]</f>
        <v>6.8886259388888886</v>
      </c>
      <c r="AW132" s="22">
        <f>SUMIF(tabParametros[Código do Posto],tabCustoUnit[[#This Row],[Código do Posto]],tabParametros[Licença Paternidade])*tabCustoUnit[[#This Row],[MODULO 1 - REMUNERAÇÃO ]]</f>
        <v>0.58034314416666666</v>
      </c>
      <c r="AX132" s="22">
        <f>SUMIF(tabParametros[Código do Posto],tabCustoUnit[[#This Row],[Código do Posto]],tabParametros[Ausência por Acidente de Trabalho])*tabCustoUnit[[#This Row],[MODULO 1 - REMUNERAÇÃO ]]</f>
        <v>0.70773554166666675</v>
      </c>
      <c r="AY132" s="22">
        <f>SUMIF(tabParametros[Código do Posto],tabCustoUnit[[#This Row],[Código do Posto]],tabParametros[Férias, Adicional de Férias e 13º  com empregada em gozo de Licença Maternidade])*tabCustoUnit[[#This Row],[MODULO 1 - REMUNERAÇÃO ]]</f>
        <v>4.4036878148148144</v>
      </c>
      <c r="AZ132" s="22">
        <f>SUMIF(tabParametros[Código do Posto],tabCustoUnit[[#This Row],[Código do Posto]],tabParametros[Incidência do Submódulo 2.1 sobre Ausências Legais])*tabCustoUnit[[#This Row],[MODULO 1 - REMUNERAÇÃO ]]</f>
        <v>15.599029217345002</v>
      </c>
      <c r="BA132" s="22">
        <f>SUM(tabCustoUnit[[#This Row],[Ausência por Doença]:[Incidência do Submódulo 2.1 sobre Ausências Legais]])</f>
        <v>56.866302279104261</v>
      </c>
      <c r="BB132" s="22">
        <f>SUMIF(tabParametros[Código do Posto],tabCustoUnit[[#This Row],[Código do Posto]],tabParametros[Intervalo para Repouso ou Alimentação])</f>
        <v>0</v>
      </c>
      <c r="BC132" s="22">
        <f>tabCustoUnit[[#This Row],[Intervalo para Repouso ou Alimentação]]</f>
        <v>0</v>
      </c>
      <c r="BD13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2" s="22">
        <f>tabCustoUnit[[#This Row],[Suspensão Temporária do Contrato de Trabalho]]</f>
        <v>0</v>
      </c>
      <c r="BF132" s="22">
        <f>tabCustoUnit[[#This Row],[Submódulo 4.1]]+tabCustoUnit[[#This Row],[Submódulo 4.2]]+tabCustoUnit[[#This Row],[Submódulo 4.3]]</f>
        <v>56.866302279104261</v>
      </c>
      <c r="BG132" s="22">
        <f>VLOOKUP(tabCustoUnit[[#This Row],[Código do Posto]],tabParametros[],MATCH(tabCustoUnit[[#Headers],[Uniformes e EPIs]],tabParametros[#Headers],0),0)</f>
        <v>56.642978962543395</v>
      </c>
      <c r="BH132" s="22">
        <f>VLOOKUP(tabCustoUnit[[#This Row],[Código do Posto]],tabParametros[],MATCH(tabCustoUnit[[#Headers],[Materiais de Consumo]],tabParametros[#Headers],0),0)</f>
        <v>0</v>
      </c>
      <c r="BI132" s="22">
        <f>VLOOKUP(tabCustoUnit[[#This Row],[Código do Posto]],tabParametros[],MATCH(tabCustoUnit[[#Headers],[Máquinas e Equipamentos (depreciação)]],tabParametros[#Headers],0),0)</f>
        <v>0</v>
      </c>
      <c r="BJ132" s="22">
        <f>VLOOKUP(tabCustoUnit[[#This Row],[Código do Posto]],tabParametros[],MATCH(tabCustoUnit[[#Headers],[Produtos de Limpeza e Materiais de Higiene Pessoal]],tabParametros[#Headers],0),0)</f>
        <v>0</v>
      </c>
      <c r="BK132" s="22">
        <f>VLOOKUP(tabCustoUnit[[#This Row],[Código do Posto]],tabParametros[],MATCH(tabCustoUnit[[#Headers],[Outros (especificar)]],tabParametros[#Headers],0),0)</f>
        <v>0</v>
      </c>
      <c r="BL132" s="22">
        <f>SUM(tabCustoUnit[[#This Row],[Uniformes e EPIs]:[Outros (especificar)]])</f>
        <v>56.642978962543395</v>
      </c>
      <c r="BM13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2" s="22" t="e">
        <f ca="1">VLOOKUP(tabCustoUnit[[#This Row],[Código do Posto]],tabParametros[],MATCH(tabCustoUnit[[#Headers],[Custos Indiretos]],tabParametros[#Headers],0),0)</f>
        <v>#NAME?</v>
      </c>
      <c r="BO132" s="22" t="e">
        <f ca="1">VLOOKUP(tabCustoUnit[[#This Row],[Código do Posto]],tabParametros[],MATCH(tabCustoUnit[[#Headers],[Lucro]],tabParametros[#Headers],0),0)</f>
        <v>#NAME?</v>
      </c>
      <c r="BP132" s="26">
        <f>((100/((1-tabCustoUnit[[#This Row],[Resumo de Alíquotas (PIS+CONFINS+ISS)]]))-100)*VLOOKUP(tabCustoUnit[[#This Row],[Código do Posto]],tabParametros[],MATCH(tabCustoUnit[[#Headers],[COFINS]],tabParametros[#Headers],0),0))/(tabCustoUnit[[#This Row],[Resumo de Alíquotas (PIS+CONFINS+ISS)]]*100)</f>
        <v>8.6609686609686695E-2</v>
      </c>
      <c r="BQ132" s="26">
        <f>((100/((100-(tabCustoUnit[[#This Row],[Resumo de Alíquotas (PIS+CONFINS+ISS)]]*100))%)-100)*VLOOKUP(tabCustoUnit[[#This Row],[Código do Posto]],tabParametros[],MATCH(tabCustoUnit[[#Headers],[PIS]],tabParametros[#Headers],0),0))/(tabCustoUnit[[#This Row],[Resumo de Alíquotas (PIS+CONFINS+ISS)]]*100)</f>
        <v>1.880341880341882E-2</v>
      </c>
      <c r="BR132" s="28">
        <f>VLOOKUP(tabCustoUnit[[#This Row],[Código do Posto]],tabParametros[],MATCH(tabCustoUnit[[#Headers],[ISS]],tabParametros[#Headers],0),0)</f>
        <v>0.03</v>
      </c>
      <c r="BS132" s="26">
        <f>(((100/((100-(tabCustoUnit[[#This Row],[Resumo de Alíquotas (PIS+CONFINS+ISS)]]*100))%)-100)*tabCustoUnit[[#This Row],[ISS]])/tabCustoUnit[[#This Row],[Resumo de Alíquotas (PIS+CONFINS+ISS)]])/100</f>
        <v>3.4188034188034219E-2</v>
      </c>
      <c r="BT13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2" s="138">
        <f>tabCustoUnit[[#This Row],[COFINS]]+tabCustoUnit[[#This Row],[PIS]]+tabCustoUnit[[#This Row],[ISS (Conversão Alíquota s/ fatura)]]</f>
        <v>0.13960113960113973</v>
      </c>
      <c r="BV132" s="22" t="e">
        <f ca="1">(tabCustoUnit[[#This Row],[TOTAL MÓDULOS 1+2+3+4+5]]+tabCustoUnit[[#This Row],[Custos Indiretos]]+tabCustoUnit[[#This Row],[Lucro]])*tabCustoUnit[[#This Row],[PIS + COFINS + ISS (Total Conversão  Alíquota s/ Fatura)]]</f>
        <v>#NAME?</v>
      </c>
      <c r="BW132" s="22" t="e">
        <f ca="1">tabCustoUnit[[#This Row],[Custos Indiretos]]+tabCustoUnit[[#This Row],[Lucro]]+tabCustoUnit[[#This Row],[Valor dos Tributos (ISS, PIS, CONFINS)]]</f>
        <v>#NAME?</v>
      </c>
      <c r="BX132" s="22" t="e">
        <f ca="1">tabCustoUnit[[#This Row],[TOTAL MÓDULOS 1+2+3+4+5]]+tabCustoUnit[[#This Row],[MÓDULO 6 – CUSTOS INDIRETOS, TRIBUTOS E LUCRO]]</f>
        <v>#NAME?</v>
      </c>
      <c r="BY132" s="22" t="e">
        <f ca="1">tabCustoUnit[[#This Row],[CUSTO TOTAL MENSAL]]*12</f>
        <v>#NAME?</v>
      </c>
      <c r="BZ132" s="24">
        <f>VLOOKUP(tabCustoUnit[[#This Row],[Código do Posto]],tabParametros[],MATCH(tabCustoUnit[[#Headers],[ANO DA CCT]],tabParametros[#Headers],0),0)</f>
        <v>45658</v>
      </c>
      <c r="CA132" s="25" t="str">
        <f>VLOOKUP(tabCustoUnit[[#This Row],[Código do Posto]],tabParametros[],MATCH(tabCustoUnit[[#Headers],[Nº DE PEDIDO DA CCT]],tabParametros[#Headers],0),0)</f>
        <v>-</v>
      </c>
      <c r="CB132" s="25" t="str">
        <f>VLOOKUP(tabCustoUnit[[#This Row],[Código do Posto]],tabParametros[],MATCH(tabCustoUnit[[#Headers],[TERMO ADITIVO ALTERAÇÃO DA CCT]],tabParametros[#Headers],0),0)</f>
        <v>-</v>
      </c>
    </row>
    <row r="133" spans="1:80">
      <c r="A133" s="20" t="s">
        <v>1588</v>
      </c>
      <c r="B133" t="s">
        <v>1128</v>
      </c>
      <c r="C133" t="s">
        <v>1370</v>
      </c>
      <c r="D133" t="s">
        <v>1058</v>
      </c>
      <c r="E133" s="20" t="s">
        <v>1090</v>
      </c>
      <c r="F133" s="20" t="s">
        <v>120</v>
      </c>
      <c r="G133" s="418">
        <v>4768.66</v>
      </c>
      <c r="H133" s="418">
        <v>0</v>
      </c>
      <c r="I133" s="418">
        <v>0</v>
      </c>
      <c r="J133" s="418">
        <v>0</v>
      </c>
      <c r="K133" s="418">
        <v>0</v>
      </c>
      <c r="L133" s="418">
        <v>0</v>
      </c>
      <c r="M133" s="418">
        <v>0</v>
      </c>
      <c r="N133" s="418">
        <v>0</v>
      </c>
      <c r="O133" s="21">
        <f>SUM(tabCustoUnit[[#This Row],[Salário Base]:[Adicional de Acúmulo de função]])</f>
        <v>4768.66</v>
      </c>
      <c r="P133" s="21">
        <f>tabCustoUnit[[#This Row],[MODULO 1 - REMUNERAÇÃO ]]*SUMIFS(tabParametros[INSS],tabParametros[Código do Posto],tabCustoUnit[[#This Row],[Código do Posto]])</f>
        <v>953.73199999999997</v>
      </c>
      <c r="Q133" s="21">
        <f>tabCustoUnit[[#This Row],[MODULO 1 - REMUNERAÇÃO ]]*SUMIFS(tabParametros[SESI OU SESC],tabParametros[Código do Posto],tabCustoUnit[[#This Row],[Código do Posto]])</f>
        <v>71.529899999999998</v>
      </c>
      <c r="R133" s="21">
        <f>tabCustoUnit[[#This Row],[MODULO 1 - REMUNERAÇÃO ]]*SUMIFS(tabParametros[SENAI OU SENAC],tabParametros[Código do Posto],tabCustoUnit[[#This Row],[Código do Posto]])</f>
        <v>47.686599999999999</v>
      </c>
      <c r="S133" s="21">
        <f>tabCustoUnit[[#This Row],[MODULO 1 - REMUNERAÇÃO ]]*SUMIFS(tabParametros[INCRA],tabParametros[Código do Posto],tabCustoUnit[[#This Row],[Código do Posto]])</f>
        <v>9.5373199999999994</v>
      </c>
      <c r="T133" s="21">
        <f>tabCustoUnit[[#This Row],[MODULO 1 - REMUNERAÇÃO ]]*SUMIFS(tabParametros[Salário Educação],tabParametros[Código do Posto],tabCustoUnit[[#This Row],[Código do Posto]])</f>
        <v>119.2165</v>
      </c>
      <c r="U133" s="21">
        <f>tabCustoUnit[[#This Row],[MODULO 1 - REMUNERAÇÃO ]]*SUMIFS(tabParametros[FGTS],tabParametros[Código do Posto],tabCustoUnit[[#This Row],[Código do Posto]])</f>
        <v>381.49279999999999</v>
      </c>
      <c r="V133" s="21">
        <f>tabCustoUnit[[#This Row],[MODULO 1 - REMUNERAÇÃO ]]*SUMIFS(tabParametros[RAT Ajustado],tabParametros[Código do Posto],tabCustoUnit[[#This Row],[Código do Posto]])</f>
        <v>190.74639999999999</v>
      </c>
      <c r="W133" s="21">
        <f>tabCustoUnit[[#This Row],[MODULO 1 - REMUNERAÇÃO ]]*SUMIFS(tabParametros[SEBRAE],tabParametros[Código do Posto],tabCustoUnit[[#This Row],[Código do Posto]])</f>
        <v>28.61196</v>
      </c>
      <c r="X133" s="21">
        <f>SUM(tabCustoUnit[[#This Row],[INSS]:[SEBRAE]])</f>
        <v>1802.5534799999998</v>
      </c>
      <c r="Y133" s="21">
        <f>tabCustoUnit[[#This Row],[MODULO 1 - REMUNERAÇÃO ]]*SUMIFS(tabParametros[13º salário (titular)],tabParametros[Código do Posto],tabCustoUnit[[#This Row],[Código do Posto]])</f>
        <v>397.38833333333332</v>
      </c>
      <c r="Z133" s="21">
        <f>tabCustoUnit[[#This Row],[MODULO 1 - REMUNERAÇÃO ]]*SUMIFS(tabParametros[Férias e Adicional de Férias (titular)],tabParametros[Código do Posto],tabCustoUnit[[#This Row],[Código do Posto]])</f>
        <v>529.85111111111109</v>
      </c>
      <c r="AA133" s="21">
        <f>IFERROR((tabCustoUnit[[#This Row],[Submódulo 2.1]]/tabCustoUnit[[#This Row],[MODULO 1 - REMUNERAÇÃO ]])*SUM(tabCustoUnit[[#This Row],[13º salário (titular)]:[Férias e Adicional de Férias (titular)]]),0)</f>
        <v>350.49650999999994</v>
      </c>
      <c r="AB133" s="21">
        <f>SUM(tabCustoUnit[[#This Row],[13º salário (titular)]:[Incidência do Submódulo 2.1 sobre 13º Salário, Férias e Adicional de Férias]])</f>
        <v>1277.7359544444444</v>
      </c>
      <c r="AC133" s="22" t="e">
        <f ca="1">_xlfn.LET(_xlpm.VT,SUMIF(tabParametros[Código do Posto],tabCustoUnit[[#This Row],[Código do Posto]],tabParametros[Vale - Transporte])*2*20,
IF((_xlpm.VT-tabCustoUnit[[#This Row],[Salário Base]]*0.06)&gt;=0,(_xlpm.VT-tabCustoUnit[[#This Row],[Salário Base]]*0.06),0)
)</f>
        <v>#NAME?</v>
      </c>
      <c r="AD133" s="22">
        <f>IF(SUMIF(tabParametros[Código do Posto],tabCustoUnit[[#This Row],[Código do Posto]],tabParametros[Vale - Alimentação])&lt;=0,0,
SUMIF(tabParametros[Código do Posto],tabCustoUnit[[#This Row],[Código do Posto]],tabParametros[Vale - Alimentação])*20-1)</f>
        <v>582</v>
      </c>
      <c r="AE133" s="22">
        <f>SUMIF(tabParametros[Código do Posto],tabCustoUnit[[#This Row],[Código do Posto]],tabParametros[Cesta Básica])</f>
        <v>0</v>
      </c>
      <c r="AF133" s="22">
        <f>SUMIF(tabParametros[Código do Posto],tabCustoUnit[[#This Row],[Código do Posto]],tabParametros[PAF])</f>
        <v>77.25</v>
      </c>
      <c r="AG133" s="22">
        <f>SUMIF(tabParametros[Código do Posto],tabCustoUnit[[#This Row],[Código do Posto]],tabParametros[PQM])</f>
        <v>0</v>
      </c>
      <c r="AH133" s="22">
        <f>SUMIF(tabParametros[Código do Posto],tabCustoUnit[[#This Row],[Código do Posto]],tabParametros[Abono Único e Especial])</f>
        <v>0</v>
      </c>
      <c r="AI133" s="22">
        <f>SUMIF(tabParametros[Código do Posto],tabCustoUnit[[#This Row],[Código do Posto]],tabParametros[Seguro de Vida])</f>
        <v>3.36</v>
      </c>
      <c r="AJ133" s="22">
        <f>SUMIF(tabParametros[Código do Posto],tabCustoUnit[[#This Row],[Código do Posto]],tabParametros[Despesas de Viagem])</f>
        <v>0</v>
      </c>
      <c r="AK133" s="22" t="e">
        <f ca="1">SUM(tabCustoUnit[[#This Row],[Vale - Transporte (Descontada parcela do empregado)]:[Despesas de Viagem]])</f>
        <v>#NAME?</v>
      </c>
      <c r="AL133" s="22" t="e">
        <f ca="1">tabCustoUnit[[#This Row],[Submódulo 2.1]]+tabCustoUnit[[#This Row],[Submódulo 2.2]]+tabCustoUnit[[#This Row],[Submódulo 2.3]]</f>
        <v>#NAME?</v>
      </c>
      <c r="AM133" s="22">
        <f>SUMIF(tabParametros[Código do Posto],tabCustoUnit[[#This Row],[Código do Posto]],tabParametros[Aviso Prévio Indenizado (API) e Reflexo do Aviso Prévio Indenizado])*tabCustoUnit[[#This Row],[MODULO 1 - REMUNERAÇÃO ]]</f>
        <v>33.436732704475311</v>
      </c>
      <c r="AN133" s="22">
        <f>SUMIF(tabParametros[Código do Posto],tabCustoUnit[[#This Row],[Código do Posto]],tabParametros[Incidência do FGTS sobre API e Reflexo do API])*tabCustoUnit[[#This Row],[MODULO 1 - REMUNERAÇÃO ]]</f>
        <v>2.6749386163580247</v>
      </c>
      <c r="AO133" s="22">
        <f>SUMIF(tabParametros[Código do Posto],tabCustoUnit[[#This Row],[Código do Posto]],tabParametros[Multa Rescisória do FGTS sobre o Aviso Prévio Indenizado])*tabCustoUnit[[#This Row],[MODULO 1 - REMUNERAÇÃO ]]</f>
        <v>1.0699754465432101</v>
      </c>
      <c r="AP133" s="22">
        <f>SUMIF(tabParametros[Código do Posto],tabCustoUnit[[#This Row],[Código do Posto]],tabParametros[Aviso Prévio Trabalhado - APT])*tabCustoUnit[[#This Row],[MODULO 1 - REMUNERAÇÃO ]]</f>
        <v>16.69031</v>
      </c>
      <c r="AQ133" s="22">
        <f>SUMIF(tabParametros[Código do Posto],tabCustoUnit[[#This Row],[Código do Posto]],tabParametros[Incidência dos encargos do submódulo 2.1 sobre Aviso Prévio Trabalhado])*tabCustoUnit[[#This Row],[MODULO 1 - REMUNERAÇÃO ]]</f>
        <v>6.3089371800000018</v>
      </c>
      <c r="AR133" s="22">
        <f>SUMIF(tabParametros[Código do Posto],tabCustoUnit[[#This Row],[Código do Posto]],tabParametros[Multa Rescisória do FGTS])*tabCustoUnit[[#This Row],[MODULO 1 - REMUNERAÇÃO ]]</f>
        <v>145.81502577777775</v>
      </c>
      <c r="AS133" s="22">
        <f>SUMIF(tabParametros[Código do Posto],tabCustoUnit[[#This Row],[Código do Posto]],tabParametros[Indenização Adicional (Art. 9º da Lei nº 7.238/84)])*tabCustoUnit[[#This Row],[MODULO 1 - REMUNERAÇÃO ]]</f>
        <v>3.9738833333333337</v>
      </c>
      <c r="AT133" s="22">
        <f>SUM(tabCustoUnit[[#This Row],[Aviso Prévio Indenizado (API) e Reflexo do Aviso Prévio Indenizado]:[Indenização Adicional (Art. 9º da Lei nº 7.238/84)]])</f>
        <v>209.96980305848763</v>
      </c>
      <c r="AU133" s="22">
        <f>SUMIF(tabParametros[Código do Posto],tabCustoUnit[[#This Row],[Código do Posto]],tabParametros[Ausência por Doença])*tabCustoUnit[[#This Row],[MODULO 1 - REMUNERAÇÃO ]]</f>
        <v>40.268684444444439</v>
      </c>
      <c r="AV133" s="22">
        <f>SUMIF(tabParametros[Código do Posto],tabCustoUnit[[#This Row],[Código do Posto]],tabParametros[Ausências Legais])*tabCustoUnit[[#This Row],[MODULO 1 - REMUNERAÇÃO ]]</f>
        <v>9.6697827777777761</v>
      </c>
      <c r="AW133" s="22">
        <f>SUMIF(tabParametros[Código do Posto],tabCustoUnit[[#This Row],[Código do Posto]],tabParametros[Licença Paternidade])*tabCustoUnit[[#This Row],[MODULO 1 - REMUNERAÇÃO ]]</f>
        <v>0.81464608333333333</v>
      </c>
      <c r="AX133" s="22">
        <f>SUMIF(tabParametros[Código do Posto],tabCustoUnit[[#This Row],[Código do Posto]],tabParametros[Ausência por Acidente de Trabalho])*tabCustoUnit[[#This Row],[MODULO 1 - REMUNERAÇÃO ]]</f>
        <v>0.99347083333333341</v>
      </c>
      <c r="AY133" s="22">
        <f>SUMIF(tabParametros[Código do Posto],tabCustoUnit[[#This Row],[Código do Posto]],tabParametros[Férias, Adicional de Férias e 13º  com empregada em gozo de Licença Maternidade])*tabCustoUnit[[#This Row],[MODULO 1 - REMUNERAÇÃO ]]</f>
        <v>6.1815962962962958</v>
      </c>
      <c r="AZ133" s="22">
        <f>SUMIF(tabParametros[Código do Posto],tabCustoUnit[[#This Row],[Código do Posto]],tabParametros[Incidência do Submódulo 2.1 sobre Ausências Legais])*tabCustoUnit[[#This Row],[MODULO 1 - REMUNERAÇÃO ]]</f>
        <v>21.896852204500004</v>
      </c>
      <c r="BA133" s="22">
        <f>SUM(tabCustoUnit[[#This Row],[Ausência por Doença]:[Incidência do Submódulo 2.1 sobre Ausências Legais]])</f>
        <v>79.82503263968519</v>
      </c>
      <c r="BB133" s="22">
        <f>SUMIF(tabParametros[Código do Posto],tabCustoUnit[[#This Row],[Código do Posto]],tabParametros[Intervalo para Repouso ou Alimentação])</f>
        <v>0</v>
      </c>
      <c r="BC133" s="22">
        <f>tabCustoUnit[[#This Row],[Intervalo para Repouso ou Alimentação]]</f>
        <v>0</v>
      </c>
      <c r="BD13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3" s="22">
        <f>tabCustoUnit[[#This Row],[Suspensão Temporária do Contrato de Trabalho]]</f>
        <v>0</v>
      </c>
      <c r="BF133" s="22">
        <f>tabCustoUnit[[#This Row],[Submódulo 4.1]]+tabCustoUnit[[#This Row],[Submódulo 4.2]]+tabCustoUnit[[#This Row],[Submódulo 4.3]]</f>
        <v>79.82503263968519</v>
      </c>
      <c r="BG133" s="22">
        <f>VLOOKUP(tabCustoUnit[[#This Row],[Código do Posto]],tabParametros[],MATCH(tabCustoUnit[[#Headers],[Uniformes e EPIs]],tabParametros[#Headers],0),0)</f>
        <v>90.784679782039703</v>
      </c>
      <c r="BH133" s="22">
        <f>VLOOKUP(tabCustoUnit[[#This Row],[Código do Posto]],tabParametros[],MATCH(tabCustoUnit[[#Headers],[Materiais de Consumo]],tabParametros[#Headers],0),0)</f>
        <v>0</v>
      </c>
      <c r="BI133" s="22">
        <f>VLOOKUP(tabCustoUnit[[#This Row],[Código do Posto]],tabParametros[],MATCH(tabCustoUnit[[#Headers],[Máquinas e Equipamentos (depreciação)]],tabParametros[#Headers],0),0)</f>
        <v>0</v>
      </c>
      <c r="BJ133" s="22">
        <f>VLOOKUP(tabCustoUnit[[#This Row],[Código do Posto]],tabParametros[],MATCH(tabCustoUnit[[#Headers],[Produtos de Limpeza e Materiais de Higiene Pessoal]],tabParametros[#Headers],0),0)</f>
        <v>0</v>
      </c>
      <c r="BK133" s="22">
        <f>VLOOKUP(tabCustoUnit[[#This Row],[Código do Posto]],tabParametros[],MATCH(tabCustoUnit[[#Headers],[Outros (especificar)]],tabParametros[#Headers],0),0)</f>
        <v>0</v>
      </c>
      <c r="BL133" s="22">
        <f>SUM(tabCustoUnit[[#This Row],[Uniformes e EPIs]:[Outros (especificar)]])</f>
        <v>90.784679782039703</v>
      </c>
      <c r="BM13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3" s="22" t="e">
        <f ca="1">VLOOKUP(tabCustoUnit[[#This Row],[Código do Posto]],tabParametros[],MATCH(tabCustoUnit[[#Headers],[Custos Indiretos]],tabParametros[#Headers],0),0)</f>
        <v>#NAME?</v>
      </c>
      <c r="BO133" s="22" t="e">
        <f ca="1">VLOOKUP(tabCustoUnit[[#This Row],[Código do Posto]],tabParametros[],MATCH(tabCustoUnit[[#Headers],[Lucro]],tabParametros[#Headers],0),0)</f>
        <v>#NAME?</v>
      </c>
      <c r="BP133" s="26">
        <f>((100/((1-tabCustoUnit[[#This Row],[Resumo de Alíquotas (PIS+CONFINS+ISS)]]))-100)*VLOOKUP(tabCustoUnit[[#This Row],[Código do Posto]],tabParametros[],MATCH(tabCustoUnit[[#Headers],[COFINS]],tabParametros[#Headers],0),0))/(tabCustoUnit[[#This Row],[Resumo de Alíquotas (PIS+CONFINS+ISS)]]*100)</f>
        <v>8.6609686609686695E-2</v>
      </c>
      <c r="BQ133" s="26">
        <f>((100/((100-(tabCustoUnit[[#This Row],[Resumo de Alíquotas (PIS+CONFINS+ISS)]]*100))%)-100)*VLOOKUP(tabCustoUnit[[#This Row],[Código do Posto]],tabParametros[],MATCH(tabCustoUnit[[#Headers],[PIS]],tabParametros[#Headers],0),0))/(tabCustoUnit[[#This Row],[Resumo de Alíquotas (PIS+CONFINS+ISS)]]*100)</f>
        <v>1.880341880341882E-2</v>
      </c>
      <c r="BR133" s="28">
        <f>VLOOKUP(tabCustoUnit[[#This Row],[Código do Posto]],tabParametros[],MATCH(tabCustoUnit[[#Headers],[ISS]],tabParametros[#Headers],0),0)</f>
        <v>0.03</v>
      </c>
      <c r="BS133" s="26">
        <f>(((100/((100-(tabCustoUnit[[#This Row],[Resumo de Alíquotas (PIS+CONFINS+ISS)]]*100))%)-100)*tabCustoUnit[[#This Row],[ISS]])/tabCustoUnit[[#This Row],[Resumo de Alíquotas (PIS+CONFINS+ISS)]])/100</f>
        <v>3.4188034188034219E-2</v>
      </c>
      <c r="BT13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3" s="138">
        <f>tabCustoUnit[[#This Row],[COFINS]]+tabCustoUnit[[#This Row],[PIS]]+tabCustoUnit[[#This Row],[ISS (Conversão Alíquota s/ fatura)]]</f>
        <v>0.13960113960113973</v>
      </c>
      <c r="BV133" s="22" t="e">
        <f ca="1">(tabCustoUnit[[#This Row],[TOTAL MÓDULOS 1+2+3+4+5]]+tabCustoUnit[[#This Row],[Custos Indiretos]]+tabCustoUnit[[#This Row],[Lucro]])*tabCustoUnit[[#This Row],[PIS + COFINS + ISS (Total Conversão  Alíquota s/ Fatura)]]</f>
        <v>#NAME?</v>
      </c>
      <c r="BW133" s="22" t="e">
        <f ca="1">tabCustoUnit[[#This Row],[Custos Indiretos]]+tabCustoUnit[[#This Row],[Lucro]]+tabCustoUnit[[#This Row],[Valor dos Tributos (ISS, PIS, CONFINS)]]</f>
        <v>#NAME?</v>
      </c>
      <c r="BX133" s="22" t="e">
        <f ca="1">tabCustoUnit[[#This Row],[TOTAL MÓDULOS 1+2+3+4+5]]+tabCustoUnit[[#This Row],[MÓDULO 6 – CUSTOS INDIRETOS, TRIBUTOS E LUCRO]]</f>
        <v>#NAME?</v>
      </c>
      <c r="BY133" s="22" t="e">
        <f ca="1">tabCustoUnit[[#This Row],[CUSTO TOTAL MENSAL]]*12</f>
        <v>#NAME?</v>
      </c>
      <c r="BZ133" s="24">
        <f>VLOOKUP(tabCustoUnit[[#This Row],[Código do Posto]],tabParametros[],MATCH(tabCustoUnit[[#Headers],[ANO DA CCT]],tabParametros[#Headers],0),0)</f>
        <v>45658</v>
      </c>
      <c r="CA133" s="25" t="str">
        <f>VLOOKUP(tabCustoUnit[[#This Row],[Código do Posto]],tabParametros[],MATCH(tabCustoUnit[[#Headers],[Nº DE PEDIDO DA CCT]],tabParametros[#Headers],0),0)</f>
        <v>-</v>
      </c>
      <c r="CB133" s="25" t="str">
        <f>VLOOKUP(tabCustoUnit[[#This Row],[Código do Posto]],tabParametros[],MATCH(tabCustoUnit[[#Headers],[TERMO ADITIVO ALTERAÇÃO DA CCT]],tabParametros[#Headers],0),0)</f>
        <v>-</v>
      </c>
    </row>
    <row r="134" spans="1:80">
      <c r="A134" s="20" t="s">
        <v>1589</v>
      </c>
      <c r="B134" t="s">
        <v>1129</v>
      </c>
      <c r="C134" t="s">
        <v>314</v>
      </c>
      <c r="D134" t="s">
        <v>1048</v>
      </c>
      <c r="E134" s="20" t="s">
        <v>1090</v>
      </c>
      <c r="F134" s="20" t="s">
        <v>120</v>
      </c>
      <c r="G134" s="418">
        <v>1963.4110000000001</v>
      </c>
      <c r="H134" s="418">
        <v>0</v>
      </c>
      <c r="I134" s="418">
        <v>0</v>
      </c>
      <c r="J134" s="418">
        <v>0</v>
      </c>
      <c r="K134" s="418">
        <v>0</v>
      </c>
      <c r="L134" s="418">
        <v>0</v>
      </c>
      <c r="M134" s="418">
        <v>0</v>
      </c>
      <c r="N134" s="418">
        <v>0</v>
      </c>
      <c r="O134" s="21">
        <f>SUM(tabCustoUnit[[#This Row],[Salário Base]:[Adicional de Acúmulo de função]])</f>
        <v>1963.4110000000001</v>
      </c>
      <c r="P134" s="21">
        <f>tabCustoUnit[[#This Row],[MODULO 1 - REMUNERAÇÃO ]]*SUMIFS(tabParametros[INSS],tabParametros[Código do Posto],tabCustoUnit[[#This Row],[Código do Posto]])</f>
        <v>392.68220000000002</v>
      </c>
      <c r="Q134" s="21">
        <f>tabCustoUnit[[#This Row],[MODULO 1 - REMUNERAÇÃO ]]*SUMIFS(tabParametros[SESI OU SESC],tabParametros[Código do Posto],tabCustoUnit[[#This Row],[Código do Posto]])</f>
        <v>29.451165</v>
      </c>
      <c r="R134" s="21">
        <f>tabCustoUnit[[#This Row],[MODULO 1 - REMUNERAÇÃO ]]*SUMIFS(tabParametros[SENAI OU SENAC],tabParametros[Código do Posto],tabCustoUnit[[#This Row],[Código do Posto]])</f>
        <v>19.63411</v>
      </c>
      <c r="S134" s="21">
        <f>tabCustoUnit[[#This Row],[MODULO 1 - REMUNERAÇÃO ]]*SUMIFS(tabParametros[INCRA],tabParametros[Código do Posto],tabCustoUnit[[#This Row],[Código do Posto]])</f>
        <v>3.926822</v>
      </c>
      <c r="T134" s="21">
        <f>tabCustoUnit[[#This Row],[MODULO 1 - REMUNERAÇÃO ]]*SUMIFS(tabParametros[Salário Educação],tabParametros[Código do Posto],tabCustoUnit[[#This Row],[Código do Posto]])</f>
        <v>49.085275000000003</v>
      </c>
      <c r="U134" s="21">
        <f>tabCustoUnit[[#This Row],[MODULO 1 - REMUNERAÇÃO ]]*SUMIFS(tabParametros[FGTS],tabParametros[Código do Posto],tabCustoUnit[[#This Row],[Código do Posto]])</f>
        <v>157.07288</v>
      </c>
      <c r="V134" s="21">
        <f>tabCustoUnit[[#This Row],[MODULO 1 - REMUNERAÇÃO ]]*SUMIFS(tabParametros[RAT Ajustado],tabParametros[Código do Posto],tabCustoUnit[[#This Row],[Código do Posto]])</f>
        <v>78.536439999999999</v>
      </c>
      <c r="W134" s="21">
        <f>tabCustoUnit[[#This Row],[MODULO 1 - REMUNERAÇÃO ]]*SUMIFS(tabParametros[SEBRAE],tabParametros[Código do Posto],tabCustoUnit[[#This Row],[Código do Posto]])</f>
        <v>11.780466000000001</v>
      </c>
      <c r="X134" s="21">
        <f>SUM(tabCustoUnit[[#This Row],[INSS]:[SEBRAE]])</f>
        <v>742.1693580000001</v>
      </c>
      <c r="Y134" s="21">
        <f>tabCustoUnit[[#This Row],[MODULO 1 - REMUNERAÇÃO ]]*SUMIFS(tabParametros[13º salário (titular)],tabParametros[Código do Posto],tabCustoUnit[[#This Row],[Código do Posto]])</f>
        <v>163.61758333333333</v>
      </c>
      <c r="Z134" s="21">
        <f>tabCustoUnit[[#This Row],[MODULO 1 - REMUNERAÇÃO ]]*SUMIFS(tabParametros[Férias e Adicional de Férias (titular)],tabParametros[Código do Posto],tabCustoUnit[[#This Row],[Código do Posto]])</f>
        <v>218.15677777777776</v>
      </c>
      <c r="AA134" s="21">
        <f>IFERROR((tabCustoUnit[[#This Row],[Submódulo 2.1]]/tabCustoUnit[[#This Row],[MODULO 1 - REMUNERAÇÃO ]])*SUM(tabCustoUnit[[#This Row],[13º salário (titular)]:[Férias e Adicional de Férias (titular)]]),0)</f>
        <v>144.3107085</v>
      </c>
      <c r="AB134" s="21">
        <f>SUM(tabCustoUnit[[#This Row],[13º salário (titular)]:[Incidência do Submódulo 2.1 sobre 13º Salário, Férias e Adicional de Férias]])</f>
        <v>526.08506961111107</v>
      </c>
      <c r="AC134" s="22" t="e">
        <f ca="1">_xlfn.LET(_xlpm.VT,SUMIF(tabParametros[Código do Posto],tabCustoUnit[[#This Row],[Código do Posto]],tabParametros[Vale - Transporte])*2*20,
IF((_xlpm.VT-tabCustoUnit[[#This Row],[Salário Base]]*0.06)&gt;=0,(_xlpm.VT-tabCustoUnit[[#This Row],[Salário Base]]*0.06),0)
)</f>
        <v>#NAME?</v>
      </c>
      <c r="AD134" s="22">
        <f>IF(SUMIF(tabParametros[Código do Posto],tabCustoUnit[[#This Row],[Código do Posto]],tabParametros[Vale - Alimentação])&lt;=0,0,
SUMIF(tabParametros[Código do Posto],tabCustoUnit[[#This Row],[Código do Posto]],tabParametros[Vale - Alimentação])*20-1)</f>
        <v>582</v>
      </c>
      <c r="AE134" s="22">
        <f>SUMIF(tabParametros[Código do Posto],tabCustoUnit[[#This Row],[Código do Posto]],tabParametros[Cesta Básica])</f>
        <v>0</v>
      </c>
      <c r="AF134" s="22">
        <f>SUMIF(tabParametros[Código do Posto],tabCustoUnit[[#This Row],[Código do Posto]],tabParametros[PAF])</f>
        <v>0</v>
      </c>
      <c r="AG134" s="22">
        <f>SUMIF(tabParametros[Código do Posto],tabCustoUnit[[#This Row],[Código do Posto]],tabParametros[PQM])</f>
        <v>0</v>
      </c>
      <c r="AH134" s="22">
        <f>SUMIF(tabParametros[Código do Posto],tabCustoUnit[[#This Row],[Código do Posto]],tabParametros[Abono Único e Especial])</f>
        <v>0</v>
      </c>
      <c r="AI134" s="22">
        <f>SUMIF(tabParametros[Código do Posto],tabCustoUnit[[#This Row],[Código do Posto]],tabParametros[Seguro de Vida])</f>
        <v>3.36</v>
      </c>
      <c r="AJ134" s="22">
        <f>SUMIF(tabParametros[Código do Posto],tabCustoUnit[[#This Row],[Código do Posto]],tabParametros[Despesas de Viagem])</f>
        <v>0</v>
      </c>
      <c r="AK134" s="22" t="e">
        <f ca="1">SUM(tabCustoUnit[[#This Row],[Vale - Transporte (Descontada parcela do empregado)]:[Despesas de Viagem]])</f>
        <v>#NAME?</v>
      </c>
      <c r="AL134" s="22" t="e">
        <f ca="1">tabCustoUnit[[#This Row],[Submódulo 2.1]]+tabCustoUnit[[#This Row],[Submódulo 2.2]]+tabCustoUnit[[#This Row],[Submódulo 2.3]]</f>
        <v>#NAME?</v>
      </c>
      <c r="AM134" s="22">
        <f>SUMIF(tabParametros[Código do Posto],tabCustoUnit[[#This Row],[Código do Posto]],tabParametros[Aviso Prévio Indenizado (API) e Reflexo do Aviso Prévio Indenizado])*tabCustoUnit[[#This Row],[MODULO 1 - REMUNERAÇÃO ]]</f>
        <v>13.766980408757716</v>
      </c>
      <c r="AN134" s="22">
        <f>SUMIF(tabParametros[Código do Posto],tabCustoUnit[[#This Row],[Código do Posto]],tabParametros[Incidência do FGTS sobre API e Reflexo do API])*tabCustoUnit[[#This Row],[MODULO 1 - REMUNERAÇÃO ]]</f>
        <v>1.1013584327006174</v>
      </c>
      <c r="AO134" s="22">
        <f>SUMIF(tabParametros[Código do Posto],tabCustoUnit[[#This Row],[Código do Posto]],tabParametros[Multa Rescisória do FGTS sobre o Aviso Prévio Indenizado])*tabCustoUnit[[#This Row],[MODULO 1 - REMUNERAÇÃO ]]</f>
        <v>0.44054337308024699</v>
      </c>
      <c r="AP134" s="22">
        <f>SUMIF(tabParametros[Código do Posto],tabCustoUnit[[#This Row],[Código do Posto]],tabParametros[Aviso Prévio Trabalhado - APT])*tabCustoUnit[[#This Row],[MODULO 1 - REMUNERAÇÃO ]]</f>
        <v>6.8719385000000015</v>
      </c>
      <c r="AQ134" s="22">
        <f>SUMIF(tabParametros[Código do Posto],tabCustoUnit[[#This Row],[Código do Posto]],tabParametros[Incidência dos encargos do submódulo 2.1 sobre Aviso Prévio Trabalhado])*tabCustoUnit[[#This Row],[MODULO 1 - REMUNERAÇÃO ]]</f>
        <v>2.5975927530000007</v>
      </c>
      <c r="AR134" s="22">
        <f>SUMIF(tabParametros[Código do Posto],tabCustoUnit[[#This Row],[Código do Posto]],tabParametros[Multa Rescisória do FGTS])*tabCustoUnit[[#This Row],[MODULO 1 - REMUNERAÇÃO ]]</f>
        <v>60.03674524444444</v>
      </c>
      <c r="AS134" s="22">
        <f>SUMIF(tabParametros[Código do Posto],tabCustoUnit[[#This Row],[Código do Posto]],tabParametros[Indenização Adicional (Art. 9º da Lei nº 7.238/84)])*tabCustoUnit[[#This Row],[MODULO 1 - REMUNERAÇÃO ]]</f>
        <v>1.6361758333333334</v>
      </c>
      <c r="AT134" s="22">
        <f>SUM(tabCustoUnit[[#This Row],[Aviso Prévio Indenizado (API) e Reflexo do Aviso Prévio Indenizado]:[Indenização Adicional (Art. 9º da Lei nº 7.238/84)]])</f>
        <v>86.451334545316371</v>
      </c>
      <c r="AU134" s="22">
        <f>SUMIF(tabParametros[Código do Posto],tabCustoUnit[[#This Row],[Código do Posto]],tabParametros[Ausência por Doença])*tabCustoUnit[[#This Row],[MODULO 1 - REMUNERAÇÃO ]]</f>
        <v>16.579915111111109</v>
      </c>
      <c r="AV134" s="22">
        <f>SUMIF(tabParametros[Código do Posto],tabCustoUnit[[#This Row],[Código do Posto]],tabParametros[Ausências Legais])*tabCustoUnit[[#This Row],[MODULO 1 - REMUNERAÇÃO ]]</f>
        <v>3.9813611944444443</v>
      </c>
      <c r="AW134" s="22">
        <f>SUMIF(tabParametros[Código do Posto],tabCustoUnit[[#This Row],[Código do Posto]],tabParametros[Licença Paternidade])*tabCustoUnit[[#This Row],[MODULO 1 - REMUNERAÇÃO ]]</f>
        <v>0.33541604583333334</v>
      </c>
      <c r="AX134" s="22">
        <f>SUMIF(tabParametros[Código do Posto],tabCustoUnit[[#This Row],[Código do Posto]],tabParametros[Ausência por Acidente de Trabalho])*tabCustoUnit[[#This Row],[MODULO 1 - REMUNERAÇÃO ]]</f>
        <v>0.40904395833333335</v>
      </c>
      <c r="AY134" s="22">
        <f>SUMIF(tabParametros[Código do Posto],tabCustoUnit[[#This Row],[Código do Posto]],tabParametros[Férias, Adicional de Férias e 13º  com empregada em gozo de Licença Maternidade])*tabCustoUnit[[#This Row],[MODULO 1 - REMUNERAÇÃO ]]</f>
        <v>2.5451624074074073</v>
      </c>
      <c r="AZ134" s="22">
        <f>SUMIF(tabParametros[Código do Posto],tabCustoUnit[[#This Row],[Código do Posto]],tabParametros[Incidência do Submódulo 2.1 sobre Ausências Legais])*tabCustoUnit[[#This Row],[MODULO 1 - REMUNERAÇÃO ]]</f>
        <v>9.0156397150750021</v>
      </c>
      <c r="BA134" s="22">
        <f>SUM(tabCustoUnit[[#This Row],[Ausência por Doença]:[Incidência do Submódulo 2.1 sobre Ausências Legais]])</f>
        <v>32.866538432204628</v>
      </c>
      <c r="BB134" s="22">
        <f>SUMIF(tabParametros[Código do Posto],tabCustoUnit[[#This Row],[Código do Posto]],tabParametros[Intervalo para Repouso ou Alimentação])</f>
        <v>267.73786489195959</v>
      </c>
      <c r="BC134" s="22">
        <f>tabCustoUnit[[#This Row],[Intervalo para Repouso ou Alimentação]]</f>
        <v>267.73786489195959</v>
      </c>
      <c r="BD13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4" s="22">
        <f>tabCustoUnit[[#This Row],[Suspensão Temporária do Contrato de Trabalho]]</f>
        <v>0</v>
      </c>
      <c r="BF134" s="22">
        <f>tabCustoUnit[[#This Row],[Submódulo 4.1]]+tabCustoUnit[[#This Row],[Submódulo 4.2]]+tabCustoUnit[[#This Row],[Submódulo 4.3]]</f>
        <v>300.6044033241642</v>
      </c>
      <c r="BG134" s="22">
        <f>VLOOKUP(tabCustoUnit[[#This Row],[Código do Posto]],tabParametros[],MATCH(tabCustoUnit[[#Headers],[Uniformes e EPIs]],tabParametros[#Headers],0),0)</f>
        <v>56.642978962543395</v>
      </c>
      <c r="BH134" s="22">
        <f>VLOOKUP(tabCustoUnit[[#This Row],[Código do Posto]],tabParametros[],MATCH(tabCustoUnit[[#Headers],[Materiais de Consumo]],tabParametros[#Headers],0),0)</f>
        <v>0</v>
      </c>
      <c r="BI134" s="22">
        <f>VLOOKUP(tabCustoUnit[[#This Row],[Código do Posto]],tabParametros[],MATCH(tabCustoUnit[[#Headers],[Máquinas e Equipamentos (depreciação)]],tabParametros[#Headers],0),0)</f>
        <v>0</v>
      </c>
      <c r="BJ134" s="22">
        <f>VLOOKUP(tabCustoUnit[[#This Row],[Código do Posto]],tabParametros[],MATCH(tabCustoUnit[[#Headers],[Produtos de Limpeza e Materiais de Higiene Pessoal]],tabParametros[#Headers],0),0)</f>
        <v>0</v>
      </c>
      <c r="BK134" s="22">
        <f>VLOOKUP(tabCustoUnit[[#This Row],[Código do Posto]],tabParametros[],MATCH(tabCustoUnit[[#Headers],[Outros (especificar)]],tabParametros[#Headers],0),0)</f>
        <v>0</v>
      </c>
      <c r="BL134" s="22">
        <f>SUM(tabCustoUnit[[#This Row],[Uniformes e EPIs]:[Outros (especificar)]])</f>
        <v>56.642978962543395</v>
      </c>
      <c r="BM13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4" s="22" t="e">
        <f ca="1">VLOOKUP(tabCustoUnit[[#This Row],[Código do Posto]],tabParametros[],MATCH(tabCustoUnit[[#Headers],[Custos Indiretos]],tabParametros[#Headers],0),0)</f>
        <v>#NAME?</v>
      </c>
      <c r="BO134" s="22" t="e">
        <f ca="1">VLOOKUP(tabCustoUnit[[#This Row],[Código do Posto]],tabParametros[],MATCH(tabCustoUnit[[#Headers],[Lucro]],tabParametros[#Headers],0),0)</f>
        <v>#NAME?</v>
      </c>
      <c r="BP134" s="26">
        <f>((100/((1-tabCustoUnit[[#This Row],[Resumo de Alíquotas (PIS+CONFINS+ISS)]]))-100)*VLOOKUP(tabCustoUnit[[#This Row],[Código do Posto]],tabParametros[],MATCH(tabCustoUnit[[#Headers],[COFINS]],tabParametros[#Headers],0),0))/(tabCustoUnit[[#This Row],[Resumo de Alíquotas (PIS+CONFINS+ISS)]]*100)</f>
        <v>8.6609686609686695E-2</v>
      </c>
      <c r="BQ134" s="26">
        <f>((100/((100-(tabCustoUnit[[#This Row],[Resumo de Alíquotas (PIS+CONFINS+ISS)]]*100))%)-100)*VLOOKUP(tabCustoUnit[[#This Row],[Código do Posto]],tabParametros[],MATCH(tabCustoUnit[[#Headers],[PIS]],tabParametros[#Headers],0),0))/(tabCustoUnit[[#This Row],[Resumo de Alíquotas (PIS+CONFINS+ISS)]]*100)</f>
        <v>1.880341880341882E-2</v>
      </c>
      <c r="BR134" s="28">
        <f>VLOOKUP(tabCustoUnit[[#This Row],[Código do Posto]],tabParametros[],MATCH(tabCustoUnit[[#Headers],[ISS]],tabParametros[#Headers],0),0)</f>
        <v>0.03</v>
      </c>
      <c r="BS134" s="26">
        <f>(((100/((100-(tabCustoUnit[[#This Row],[Resumo de Alíquotas (PIS+CONFINS+ISS)]]*100))%)-100)*tabCustoUnit[[#This Row],[ISS]])/tabCustoUnit[[#This Row],[Resumo de Alíquotas (PIS+CONFINS+ISS)]])/100</f>
        <v>3.4188034188034219E-2</v>
      </c>
      <c r="BT13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4" s="138">
        <f>tabCustoUnit[[#This Row],[COFINS]]+tabCustoUnit[[#This Row],[PIS]]+tabCustoUnit[[#This Row],[ISS (Conversão Alíquota s/ fatura)]]</f>
        <v>0.13960113960113973</v>
      </c>
      <c r="BV134" s="22" t="e">
        <f ca="1">(tabCustoUnit[[#This Row],[TOTAL MÓDULOS 1+2+3+4+5]]+tabCustoUnit[[#This Row],[Custos Indiretos]]+tabCustoUnit[[#This Row],[Lucro]])*tabCustoUnit[[#This Row],[PIS + COFINS + ISS (Total Conversão  Alíquota s/ Fatura)]]</f>
        <v>#NAME?</v>
      </c>
      <c r="BW134" s="22" t="e">
        <f ca="1">tabCustoUnit[[#This Row],[Custos Indiretos]]+tabCustoUnit[[#This Row],[Lucro]]+tabCustoUnit[[#This Row],[Valor dos Tributos (ISS, PIS, CONFINS)]]</f>
        <v>#NAME?</v>
      </c>
      <c r="BX134" s="22" t="e">
        <f ca="1">tabCustoUnit[[#This Row],[TOTAL MÓDULOS 1+2+3+4+5]]+tabCustoUnit[[#This Row],[MÓDULO 6 – CUSTOS INDIRETOS, TRIBUTOS E LUCRO]]</f>
        <v>#NAME?</v>
      </c>
      <c r="BY134" s="22" t="e">
        <f ca="1">tabCustoUnit[[#This Row],[CUSTO TOTAL MENSAL]]*12</f>
        <v>#NAME?</v>
      </c>
      <c r="BZ134" s="24">
        <f>VLOOKUP(tabCustoUnit[[#This Row],[Código do Posto]],tabParametros[],MATCH(tabCustoUnit[[#Headers],[ANO DA CCT]],tabParametros[#Headers],0),0)</f>
        <v>45658</v>
      </c>
      <c r="CA134" s="25" t="str">
        <f>VLOOKUP(tabCustoUnit[[#This Row],[Código do Posto]],tabParametros[],MATCH(tabCustoUnit[[#Headers],[Nº DE PEDIDO DA CCT]],tabParametros[#Headers],0),0)</f>
        <v>-</v>
      </c>
      <c r="CB134" s="25" t="str">
        <f>VLOOKUP(tabCustoUnit[[#This Row],[Código do Posto]],tabParametros[],MATCH(tabCustoUnit[[#Headers],[TERMO ADITIVO ALTERAÇÃO DA CCT]],tabParametros[#Headers],0),0)</f>
        <v>-</v>
      </c>
    </row>
    <row r="135" spans="1:80">
      <c r="A135" s="20" t="s">
        <v>1590</v>
      </c>
      <c r="B135" t="s">
        <v>1130</v>
      </c>
      <c r="C135" t="s">
        <v>319</v>
      </c>
      <c r="D135" t="s">
        <v>899</v>
      </c>
      <c r="E135" s="20" t="s">
        <v>1090</v>
      </c>
      <c r="F135" s="20" t="s">
        <v>120</v>
      </c>
      <c r="G135" s="418">
        <v>2316.2253000000001</v>
      </c>
      <c r="H135" s="418">
        <v>0</v>
      </c>
      <c r="I135" s="418">
        <v>0</v>
      </c>
      <c r="J135" s="418">
        <v>0</v>
      </c>
      <c r="K135" s="418">
        <v>0</v>
      </c>
      <c r="L135" s="418">
        <v>0</v>
      </c>
      <c r="M135" s="418">
        <v>0</v>
      </c>
      <c r="N135" s="418">
        <v>0</v>
      </c>
      <c r="O135" s="21">
        <f>SUM(tabCustoUnit[[#This Row],[Salário Base]:[Adicional de Acúmulo de função]])</f>
        <v>2316.2253000000001</v>
      </c>
      <c r="P135" s="21">
        <f>tabCustoUnit[[#This Row],[MODULO 1 - REMUNERAÇÃO ]]*SUMIFS(tabParametros[INSS],tabParametros[Código do Posto],tabCustoUnit[[#This Row],[Código do Posto]])</f>
        <v>463.24506000000002</v>
      </c>
      <c r="Q135" s="21">
        <f>tabCustoUnit[[#This Row],[MODULO 1 - REMUNERAÇÃO ]]*SUMIFS(tabParametros[SESI OU SESC],tabParametros[Código do Posto],tabCustoUnit[[#This Row],[Código do Posto]])</f>
        <v>34.743379499999996</v>
      </c>
      <c r="R135" s="21">
        <f>tabCustoUnit[[#This Row],[MODULO 1 - REMUNERAÇÃO ]]*SUMIFS(tabParametros[SENAI OU SENAC],tabParametros[Código do Posto],tabCustoUnit[[#This Row],[Código do Posto]])</f>
        <v>23.162253</v>
      </c>
      <c r="S135" s="21">
        <f>tabCustoUnit[[#This Row],[MODULO 1 - REMUNERAÇÃO ]]*SUMIFS(tabParametros[INCRA],tabParametros[Código do Posto],tabCustoUnit[[#This Row],[Código do Posto]])</f>
        <v>4.6324506000000003</v>
      </c>
      <c r="T135" s="21">
        <f>tabCustoUnit[[#This Row],[MODULO 1 - REMUNERAÇÃO ]]*SUMIFS(tabParametros[Salário Educação],tabParametros[Código do Posto],tabCustoUnit[[#This Row],[Código do Posto]])</f>
        <v>57.905632500000003</v>
      </c>
      <c r="U135" s="21">
        <f>tabCustoUnit[[#This Row],[MODULO 1 - REMUNERAÇÃO ]]*SUMIFS(tabParametros[FGTS],tabParametros[Código do Posto],tabCustoUnit[[#This Row],[Código do Posto]])</f>
        <v>185.298024</v>
      </c>
      <c r="V135" s="21">
        <f>tabCustoUnit[[#This Row],[MODULO 1 - REMUNERAÇÃO ]]*SUMIFS(tabParametros[RAT Ajustado],tabParametros[Código do Posto],tabCustoUnit[[#This Row],[Código do Posto]])</f>
        <v>92.649011999999999</v>
      </c>
      <c r="W135" s="21">
        <f>tabCustoUnit[[#This Row],[MODULO 1 - REMUNERAÇÃO ]]*SUMIFS(tabParametros[SEBRAE],tabParametros[Código do Posto],tabCustoUnit[[#This Row],[Código do Posto]])</f>
        <v>13.897351800000001</v>
      </c>
      <c r="X135" s="21">
        <f>SUM(tabCustoUnit[[#This Row],[INSS]:[SEBRAE]])</f>
        <v>875.53316340000003</v>
      </c>
      <c r="Y135" s="21">
        <f>tabCustoUnit[[#This Row],[MODULO 1 - REMUNERAÇÃO ]]*SUMIFS(tabParametros[13º salário (titular)],tabParametros[Código do Posto],tabCustoUnit[[#This Row],[Código do Posto]])</f>
        <v>193.01877500000001</v>
      </c>
      <c r="Z135" s="21">
        <f>tabCustoUnit[[#This Row],[MODULO 1 - REMUNERAÇÃO ]]*SUMIFS(tabParametros[Férias e Adicional de Férias (titular)],tabParametros[Código do Posto],tabCustoUnit[[#This Row],[Código do Posto]])</f>
        <v>257.35836666666665</v>
      </c>
      <c r="AA135" s="21">
        <f>IFERROR((tabCustoUnit[[#This Row],[Submódulo 2.1]]/tabCustoUnit[[#This Row],[MODULO 1 - REMUNERAÇÃO ]])*SUM(tabCustoUnit[[#This Row],[13º salário (titular)]:[Férias e Adicional de Férias (titular)]]),0)</f>
        <v>170.24255955000001</v>
      </c>
      <c r="AB135" s="21">
        <f>SUM(tabCustoUnit[[#This Row],[13º salário (titular)]:[Incidência do Submódulo 2.1 sobre 13º Salário, Férias e Adicional de Férias]])</f>
        <v>620.61970121666673</v>
      </c>
      <c r="AC135" s="22" t="e">
        <f ca="1">_xlfn.LET(_xlpm.VT,SUMIF(tabParametros[Código do Posto],tabCustoUnit[[#This Row],[Código do Posto]],tabParametros[Vale - Transporte])*2*20,
IF((_xlpm.VT-tabCustoUnit[[#This Row],[Salário Base]]*0.06)&gt;=0,(_xlpm.VT-tabCustoUnit[[#This Row],[Salário Base]]*0.06),0)
)</f>
        <v>#NAME?</v>
      </c>
      <c r="AD135" s="22">
        <f>IF(SUMIF(tabParametros[Código do Posto],tabCustoUnit[[#This Row],[Código do Posto]],tabParametros[Vale - Alimentação])&lt;=0,0,
SUMIF(tabParametros[Código do Posto],tabCustoUnit[[#This Row],[Código do Posto]],tabParametros[Vale - Alimentação])*20-1)</f>
        <v>0</v>
      </c>
      <c r="AE135" s="22">
        <f>SUMIF(tabParametros[Código do Posto],tabCustoUnit[[#This Row],[Código do Posto]],tabParametros[Cesta Básica])</f>
        <v>387.79</v>
      </c>
      <c r="AF135" s="22">
        <f>SUMIF(tabParametros[Código do Posto],tabCustoUnit[[#This Row],[Código do Posto]],tabParametros[PAF])</f>
        <v>42.97</v>
      </c>
      <c r="AG135" s="22">
        <f>SUMIF(tabParametros[Código do Posto],tabCustoUnit[[#This Row],[Código do Posto]],tabParametros[PQM])</f>
        <v>0</v>
      </c>
      <c r="AH135" s="22">
        <f>SUMIF(tabParametros[Código do Posto],tabCustoUnit[[#This Row],[Código do Posto]],tabParametros[Abono Único e Especial])</f>
        <v>0</v>
      </c>
      <c r="AI135" s="22">
        <f>SUMIF(tabParametros[Código do Posto],tabCustoUnit[[#This Row],[Código do Posto]],tabParametros[Seguro de Vida])</f>
        <v>3.36</v>
      </c>
      <c r="AJ135" s="22">
        <f>SUMIF(tabParametros[Código do Posto],tabCustoUnit[[#This Row],[Código do Posto]],tabParametros[Despesas de Viagem])</f>
        <v>0</v>
      </c>
      <c r="AK135" s="22" t="e">
        <f ca="1">SUM(tabCustoUnit[[#This Row],[Vale - Transporte (Descontada parcela do empregado)]:[Despesas de Viagem]])</f>
        <v>#NAME?</v>
      </c>
      <c r="AL135" s="22" t="e">
        <f ca="1">tabCustoUnit[[#This Row],[Submódulo 2.1]]+tabCustoUnit[[#This Row],[Submódulo 2.2]]+tabCustoUnit[[#This Row],[Submódulo 2.3]]</f>
        <v>#NAME?</v>
      </c>
      <c r="AM135" s="22">
        <f>SUMIF(tabParametros[Código do Posto],tabCustoUnit[[#This Row],[Código do Posto]],tabParametros[Aviso Prévio Indenizado (API) e Reflexo do Aviso Prévio Indenizado])*tabCustoUnit[[#This Row],[MODULO 1 - REMUNERAÇÃO ]]</f>
        <v>16.240832065914354</v>
      </c>
      <c r="AN135" s="22">
        <f>SUMIF(tabParametros[Código do Posto],tabCustoUnit[[#This Row],[Código do Posto]],tabParametros[Incidência do FGTS sobre API e Reflexo do API])*tabCustoUnit[[#This Row],[MODULO 1 - REMUNERAÇÃO ]]</f>
        <v>1.2992665652731483</v>
      </c>
      <c r="AO135" s="22">
        <f>SUMIF(tabParametros[Código do Posto],tabCustoUnit[[#This Row],[Código do Posto]],tabParametros[Multa Rescisória do FGTS sobre o Aviso Prévio Indenizado])*tabCustoUnit[[#This Row],[MODULO 1 - REMUNERAÇÃO ]]</f>
        <v>0.51970662610925933</v>
      </c>
      <c r="AP135" s="22">
        <f>SUMIF(tabParametros[Código do Posto],tabCustoUnit[[#This Row],[Código do Posto]],tabParametros[Aviso Prévio Trabalhado - APT])*tabCustoUnit[[#This Row],[MODULO 1 - REMUNERAÇÃO ]]</f>
        <v>8.106788550000001</v>
      </c>
      <c r="AQ135" s="22">
        <f>SUMIF(tabParametros[Código do Posto],tabCustoUnit[[#This Row],[Código do Posto]],tabParametros[Incidência dos encargos do submódulo 2.1 sobre Aviso Prévio Trabalhado])*tabCustoUnit[[#This Row],[MODULO 1 - REMUNERAÇÃO ]]</f>
        <v>3.0643660719000008</v>
      </c>
      <c r="AR135" s="22">
        <f>SUMIF(tabParametros[Código do Posto],tabCustoUnit[[#This Row],[Código do Posto]],tabParametros[Multa Rescisória do FGTS])*tabCustoUnit[[#This Row],[MODULO 1 - REMUNERAÇÃO ]]</f>
        <v>70.825022506666656</v>
      </c>
      <c r="AS135" s="22">
        <f>SUMIF(tabParametros[Código do Posto],tabCustoUnit[[#This Row],[Código do Posto]],tabParametros[Indenização Adicional (Art. 9º da Lei nº 7.238/84)])*tabCustoUnit[[#This Row],[MODULO 1 - REMUNERAÇÃO ]]</f>
        <v>1.9301877500000002</v>
      </c>
      <c r="AT135" s="22">
        <f>SUM(tabCustoUnit[[#This Row],[Aviso Prévio Indenizado (API) e Reflexo do Aviso Prévio Indenizado]:[Indenização Adicional (Art. 9º da Lei nº 7.238/84)]])</f>
        <v>101.98617013586342</v>
      </c>
      <c r="AU135" s="22">
        <f>SUMIF(tabParametros[Código do Posto],tabCustoUnit[[#This Row],[Código do Posto]],tabParametros[Ausência por Doença])*tabCustoUnit[[#This Row],[MODULO 1 - REMUNERAÇÃO ]]</f>
        <v>19.559235866666665</v>
      </c>
      <c r="AV135" s="22">
        <f>SUMIF(tabParametros[Código do Posto],tabCustoUnit[[#This Row],[Código do Posto]],tabParametros[Ausências Legais])*tabCustoUnit[[#This Row],[MODULO 1 - REMUNERAÇÃO ]]</f>
        <v>4.6967901916666666</v>
      </c>
      <c r="AW135" s="22">
        <f>SUMIF(tabParametros[Código do Posto],tabCustoUnit[[#This Row],[Código do Posto]],tabParametros[Licença Paternidade])*tabCustoUnit[[#This Row],[MODULO 1 - REMUNERAÇÃO ]]</f>
        <v>0.39568848875000001</v>
      </c>
      <c r="AX135" s="22">
        <f>SUMIF(tabParametros[Código do Posto],tabCustoUnit[[#This Row],[Código do Posto]],tabParametros[Ausência por Acidente de Trabalho])*tabCustoUnit[[#This Row],[MODULO 1 - REMUNERAÇÃO ]]</f>
        <v>0.48254693750000005</v>
      </c>
      <c r="AY135" s="22">
        <f>SUMIF(tabParametros[Código do Posto],tabCustoUnit[[#This Row],[Código do Posto]],tabParametros[Férias, Adicional de Férias e 13º  com empregada em gozo de Licença Maternidade])*tabCustoUnit[[#This Row],[MODULO 1 - REMUNERAÇÃO ]]</f>
        <v>3.0025142777777778</v>
      </c>
      <c r="AZ135" s="22">
        <f>SUMIF(tabParametros[Código do Posto],tabCustoUnit[[#This Row],[Código do Posto]],tabParametros[Incidência do Submódulo 2.1 sobre Ausências Legais])*tabCustoUnit[[#This Row],[MODULO 1 - REMUNERAÇÃO ]]</f>
        <v>10.635701238172501</v>
      </c>
      <c r="BA135" s="22">
        <f>SUM(tabCustoUnit[[#This Row],[Ausência por Doença]:[Incidência do Submódulo 2.1 sobre Ausências Legais]])</f>
        <v>38.772477000533613</v>
      </c>
      <c r="BB135" s="22">
        <f>SUMIF(tabParametros[Código do Posto],tabCustoUnit[[#This Row],[Código do Posto]],tabParametros[Intervalo para Repouso ou Alimentação])</f>
        <v>0</v>
      </c>
      <c r="BC135" s="22">
        <f>tabCustoUnit[[#This Row],[Intervalo para Repouso ou Alimentação]]</f>
        <v>0</v>
      </c>
      <c r="BD13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5" s="22">
        <f>tabCustoUnit[[#This Row],[Suspensão Temporária do Contrato de Trabalho]]</f>
        <v>0</v>
      </c>
      <c r="BF135" s="22">
        <f>tabCustoUnit[[#This Row],[Submódulo 4.1]]+tabCustoUnit[[#This Row],[Submódulo 4.2]]+tabCustoUnit[[#This Row],[Submódulo 4.3]]</f>
        <v>38.772477000533613</v>
      </c>
      <c r="BG135" s="22">
        <f>VLOOKUP(tabCustoUnit[[#This Row],[Código do Posto]],tabParametros[],MATCH(tabCustoUnit[[#Headers],[Uniformes e EPIs]],tabParametros[#Headers],0),0)</f>
        <v>56.642978962543395</v>
      </c>
      <c r="BH135" s="22">
        <f>VLOOKUP(tabCustoUnit[[#This Row],[Código do Posto]],tabParametros[],MATCH(tabCustoUnit[[#Headers],[Materiais de Consumo]],tabParametros[#Headers],0),0)</f>
        <v>0</v>
      </c>
      <c r="BI135" s="22">
        <f>VLOOKUP(tabCustoUnit[[#This Row],[Código do Posto]],tabParametros[],MATCH(tabCustoUnit[[#Headers],[Máquinas e Equipamentos (depreciação)]],tabParametros[#Headers],0),0)</f>
        <v>0</v>
      </c>
      <c r="BJ135" s="22">
        <f>VLOOKUP(tabCustoUnit[[#This Row],[Código do Posto]],tabParametros[],MATCH(tabCustoUnit[[#Headers],[Produtos de Limpeza e Materiais de Higiene Pessoal]],tabParametros[#Headers],0),0)</f>
        <v>0</v>
      </c>
      <c r="BK135" s="22">
        <f>VLOOKUP(tabCustoUnit[[#This Row],[Código do Posto]],tabParametros[],MATCH(tabCustoUnit[[#Headers],[Outros (especificar)]],tabParametros[#Headers],0),0)</f>
        <v>0</v>
      </c>
      <c r="BL135" s="22">
        <f>SUM(tabCustoUnit[[#This Row],[Uniformes e EPIs]:[Outros (especificar)]])</f>
        <v>56.642978962543395</v>
      </c>
      <c r="BM13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5" s="22" t="e">
        <f ca="1">VLOOKUP(tabCustoUnit[[#This Row],[Código do Posto]],tabParametros[],MATCH(tabCustoUnit[[#Headers],[Custos Indiretos]],tabParametros[#Headers],0),0)</f>
        <v>#NAME?</v>
      </c>
      <c r="BO135" s="22" t="e">
        <f ca="1">VLOOKUP(tabCustoUnit[[#This Row],[Código do Posto]],tabParametros[],MATCH(tabCustoUnit[[#Headers],[Lucro]],tabParametros[#Headers],0),0)</f>
        <v>#NAME?</v>
      </c>
      <c r="BP135" s="26">
        <f>((100/((1-tabCustoUnit[[#This Row],[Resumo de Alíquotas (PIS+CONFINS+ISS)]]))-100)*VLOOKUP(tabCustoUnit[[#This Row],[Código do Posto]],tabParametros[],MATCH(tabCustoUnit[[#Headers],[COFINS]],tabParametros[#Headers],0),0))/(tabCustoUnit[[#This Row],[Resumo de Alíquotas (PIS+CONFINS+ISS)]]*100)</f>
        <v>8.6609686609686695E-2</v>
      </c>
      <c r="BQ135" s="26">
        <f>((100/((100-(tabCustoUnit[[#This Row],[Resumo de Alíquotas (PIS+CONFINS+ISS)]]*100))%)-100)*VLOOKUP(tabCustoUnit[[#This Row],[Código do Posto]],tabParametros[],MATCH(tabCustoUnit[[#Headers],[PIS]],tabParametros[#Headers],0),0))/(tabCustoUnit[[#This Row],[Resumo de Alíquotas (PIS+CONFINS+ISS)]]*100)</f>
        <v>1.880341880341882E-2</v>
      </c>
      <c r="BR135" s="28">
        <f>VLOOKUP(tabCustoUnit[[#This Row],[Código do Posto]],tabParametros[],MATCH(tabCustoUnit[[#Headers],[ISS]],tabParametros[#Headers],0),0)</f>
        <v>0.03</v>
      </c>
      <c r="BS135" s="26">
        <f>(((100/((100-(tabCustoUnit[[#This Row],[Resumo de Alíquotas (PIS+CONFINS+ISS)]]*100))%)-100)*tabCustoUnit[[#This Row],[ISS]])/tabCustoUnit[[#This Row],[Resumo de Alíquotas (PIS+CONFINS+ISS)]])/100</f>
        <v>3.4188034188034219E-2</v>
      </c>
      <c r="BT13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5" s="138">
        <f>tabCustoUnit[[#This Row],[COFINS]]+tabCustoUnit[[#This Row],[PIS]]+tabCustoUnit[[#This Row],[ISS (Conversão Alíquota s/ fatura)]]</f>
        <v>0.13960113960113973</v>
      </c>
      <c r="BV135" s="22" t="e">
        <f ca="1">(tabCustoUnit[[#This Row],[TOTAL MÓDULOS 1+2+3+4+5]]+tabCustoUnit[[#This Row],[Custos Indiretos]]+tabCustoUnit[[#This Row],[Lucro]])*tabCustoUnit[[#This Row],[PIS + COFINS + ISS (Total Conversão  Alíquota s/ Fatura)]]</f>
        <v>#NAME?</v>
      </c>
      <c r="BW135" s="22" t="e">
        <f ca="1">tabCustoUnit[[#This Row],[Custos Indiretos]]+tabCustoUnit[[#This Row],[Lucro]]+tabCustoUnit[[#This Row],[Valor dos Tributos (ISS, PIS, CONFINS)]]</f>
        <v>#NAME?</v>
      </c>
      <c r="BX135" s="22" t="e">
        <f ca="1">tabCustoUnit[[#This Row],[TOTAL MÓDULOS 1+2+3+4+5]]+tabCustoUnit[[#This Row],[MÓDULO 6 – CUSTOS INDIRETOS, TRIBUTOS E LUCRO]]</f>
        <v>#NAME?</v>
      </c>
      <c r="BY135" s="22" t="e">
        <f ca="1">tabCustoUnit[[#This Row],[CUSTO TOTAL MENSAL]]*12</f>
        <v>#NAME?</v>
      </c>
      <c r="BZ135" s="24">
        <f>VLOOKUP(tabCustoUnit[[#This Row],[Código do Posto]],tabParametros[],MATCH(tabCustoUnit[[#Headers],[ANO DA CCT]],tabParametros[#Headers],0),0)</f>
        <v>45658</v>
      </c>
      <c r="CA135" s="25" t="str">
        <f>VLOOKUP(tabCustoUnit[[#This Row],[Código do Posto]],tabParametros[],MATCH(tabCustoUnit[[#Headers],[Nº DE PEDIDO DA CCT]],tabParametros[#Headers],0),0)</f>
        <v>-</v>
      </c>
      <c r="CB135" s="25" t="str">
        <f>VLOOKUP(tabCustoUnit[[#This Row],[Código do Posto]],tabParametros[],MATCH(tabCustoUnit[[#Headers],[TERMO ADITIVO ALTERAÇÃO DA CCT]],tabParametros[#Headers],0),0)</f>
        <v>-</v>
      </c>
    </row>
    <row r="136" spans="1:80">
      <c r="A136" s="20" t="s">
        <v>1471</v>
      </c>
      <c r="B136" t="s">
        <v>1131</v>
      </c>
      <c r="C136" t="s">
        <v>200</v>
      </c>
      <c r="D136" t="s">
        <v>1041</v>
      </c>
      <c r="E136" s="20" t="s">
        <v>1090</v>
      </c>
      <c r="F136" s="20" t="s">
        <v>120</v>
      </c>
      <c r="G136" s="418">
        <v>1596.2737999999999</v>
      </c>
      <c r="H136" s="418">
        <v>0</v>
      </c>
      <c r="I136" s="418">
        <v>0</v>
      </c>
      <c r="J136" s="418">
        <v>0</v>
      </c>
      <c r="K136" s="418">
        <v>0</v>
      </c>
      <c r="L136" s="418">
        <v>0</v>
      </c>
      <c r="M136" s="418">
        <v>0</v>
      </c>
      <c r="N136" s="418">
        <v>0</v>
      </c>
      <c r="O136" s="21">
        <f>SUM(tabCustoUnit[[#This Row],[Salário Base]:[Adicional de Acúmulo de função]])</f>
        <v>1596.2737999999999</v>
      </c>
      <c r="P136" s="21">
        <f>tabCustoUnit[[#This Row],[MODULO 1 - REMUNERAÇÃO ]]*SUMIFS(tabParametros[INSS],tabParametros[Código do Posto],tabCustoUnit[[#This Row],[Código do Posto]])</f>
        <v>319.25476000000003</v>
      </c>
      <c r="Q136" s="21">
        <f>tabCustoUnit[[#This Row],[MODULO 1 - REMUNERAÇÃO ]]*SUMIFS(tabParametros[SESI OU SESC],tabParametros[Código do Posto],tabCustoUnit[[#This Row],[Código do Posto]])</f>
        <v>23.944106999999999</v>
      </c>
      <c r="R136" s="21">
        <f>tabCustoUnit[[#This Row],[MODULO 1 - REMUNERAÇÃO ]]*SUMIFS(tabParametros[SENAI OU SENAC],tabParametros[Código do Posto],tabCustoUnit[[#This Row],[Código do Posto]])</f>
        <v>15.962738</v>
      </c>
      <c r="S136" s="21">
        <f>tabCustoUnit[[#This Row],[MODULO 1 - REMUNERAÇÃO ]]*SUMIFS(tabParametros[INCRA],tabParametros[Código do Posto],tabCustoUnit[[#This Row],[Código do Posto]])</f>
        <v>3.1925476000000002</v>
      </c>
      <c r="T136" s="21">
        <f>tabCustoUnit[[#This Row],[MODULO 1 - REMUNERAÇÃO ]]*SUMIFS(tabParametros[Salário Educação],tabParametros[Código do Posto],tabCustoUnit[[#This Row],[Código do Posto]])</f>
        <v>39.906845000000004</v>
      </c>
      <c r="U136" s="21">
        <f>tabCustoUnit[[#This Row],[MODULO 1 - REMUNERAÇÃO ]]*SUMIFS(tabParametros[FGTS],tabParametros[Código do Posto],tabCustoUnit[[#This Row],[Código do Posto]])</f>
        <v>127.701904</v>
      </c>
      <c r="V136" s="21">
        <f>tabCustoUnit[[#This Row],[MODULO 1 - REMUNERAÇÃO ]]*SUMIFS(tabParametros[RAT Ajustado],tabParametros[Código do Posto],tabCustoUnit[[#This Row],[Código do Posto]])</f>
        <v>63.850951999999999</v>
      </c>
      <c r="W136" s="21">
        <f>tabCustoUnit[[#This Row],[MODULO 1 - REMUNERAÇÃO ]]*SUMIFS(tabParametros[SEBRAE],tabParametros[Código do Posto],tabCustoUnit[[#This Row],[Código do Posto]])</f>
        <v>9.5776427999999996</v>
      </c>
      <c r="X136" s="21">
        <f>SUM(tabCustoUnit[[#This Row],[INSS]:[SEBRAE]])</f>
        <v>603.39149640000005</v>
      </c>
      <c r="Y136" s="21">
        <f>tabCustoUnit[[#This Row],[MODULO 1 - REMUNERAÇÃO ]]*SUMIFS(tabParametros[13º salário (titular)],tabParametros[Código do Posto],tabCustoUnit[[#This Row],[Código do Posto]])</f>
        <v>133.02281666666664</v>
      </c>
      <c r="Z136" s="21">
        <f>tabCustoUnit[[#This Row],[MODULO 1 - REMUNERAÇÃO ]]*SUMIFS(tabParametros[Férias e Adicional de Férias (titular)],tabParametros[Código do Posto],tabCustoUnit[[#This Row],[Código do Posto]])</f>
        <v>177.36375555555554</v>
      </c>
      <c r="AA136" s="21">
        <f>IFERROR((tabCustoUnit[[#This Row],[Submódulo 2.1]]/tabCustoUnit[[#This Row],[MODULO 1 - REMUNERAÇÃO ]])*SUM(tabCustoUnit[[#This Row],[13º salário (titular)]:[Férias e Adicional de Férias (titular)]]),0)</f>
        <v>117.3261243</v>
      </c>
      <c r="AB136" s="21">
        <f>SUM(tabCustoUnit[[#This Row],[13º salário (titular)]:[Incidência do Submódulo 2.1 sobre 13º Salário, Férias e Adicional de Férias]])</f>
        <v>427.71269652222219</v>
      </c>
      <c r="AC136" s="22" t="e">
        <f ca="1">_xlfn.LET(_xlpm.VT,SUMIF(tabParametros[Código do Posto],tabCustoUnit[[#This Row],[Código do Posto]],tabParametros[Vale - Transporte])*2*20,
IF((_xlpm.VT-tabCustoUnit[[#This Row],[Salário Base]]*0.06)&gt;=0,(_xlpm.VT-tabCustoUnit[[#This Row],[Salário Base]]*0.06),0)
)</f>
        <v>#NAME?</v>
      </c>
      <c r="AD136" s="22">
        <f>IF(SUMIF(tabParametros[Código do Posto],tabCustoUnit[[#This Row],[Código do Posto]],tabParametros[Vale - Alimentação])&lt;=0,0,
SUMIF(tabParametros[Código do Posto],tabCustoUnit[[#This Row],[Código do Posto]],tabParametros[Vale - Alimentação])*20-1)</f>
        <v>582</v>
      </c>
      <c r="AE136" s="22">
        <f>SUMIF(tabParametros[Código do Posto],tabCustoUnit[[#This Row],[Código do Posto]],tabParametros[Cesta Básica])</f>
        <v>0</v>
      </c>
      <c r="AF136" s="22">
        <f>SUMIF(tabParametros[Código do Posto],tabCustoUnit[[#This Row],[Código do Posto]],tabParametros[PAF])</f>
        <v>51.86</v>
      </c>
      <c r="AG136" s="22">
        <f>SUMIF(tabParametros[Código do Posto],tabCustoUnit[[#This Row],[Código do Posto]],tabParametros[PQM])</f>
        <v>0</v>
      </c>
      <c r="AH136" s="22">
        <f>SUMIF(tabParametros[Código do Posto],tabCustoUnit[[#This Row],[Código do Posto]],tabParametros[Abono Único e Especial])</f>
        <v>0</v>
      </c>
      <c r="AI136" s="22">
        <f>SUMIF(tabParametros[Código do Posto],tabCustoUnit[[#This Row],[Código do Posto]],tabParametros[Seguro de Vida])</f>
        <v>3.36</v>
      </c>
      <c r="AJ136" s="22">
        <f>SUMIF(tabParametros[Código do Posto],tabCustoUnit[[#This Row],[Código do Posto]],tabParametros[Despesas de Viagem])</f>
        <v>0</v>
      </c>
      <c r="AK136" s="22" t="e">
        <f ca="1">SUM(tabCustoUnit[[#This Row],[Vale - Transporte (Descontada parcela do empregado)]:[Despesas de Viagem]])</f>
        <v>#NAME?</v>
      </c>
      <c r="AL136" s="22" t="e">
        <f ca="1">tabCustoUnit[[#This Row],[Submódulo 2.1]]+tabCustoUnit[[#This Row],[Submódulo 2.2]]+tabCustoUnit[[#This Row],[Submódulo 2.3]]</f>
        <v>#NAME?</v>
      </c>
      <c r="AM136" s="22">
        <f>SUMIF(tabParametros[Código do Posto],tabCustoUnit[[#This Row],[Código do Posto]],tabParametros[Aviso Prévio Indenizado (API) e Reflexo do Aviso Prévio Indenizado])*tabCustoUnit[[#This Row],[MODULO 1 - REMUNERAÇÃO ]]</f>
        <v>11.192699914390431</v>
      </c>
      <c r="AN136" s="22">
        <f>SUMIF(tabParametros[Código do Posto],tabCustoUnit[[#This Row],[Código do Posto]],tabParametros[Incidência do FGTS sobre API e Reflexo do API])*tabCustoUnit[[#This Row],[MODULO 1 - REMUNERAÇÃO ]]</f>
        <v>0.89541599315123466</v>
      </c>
      <c r="AO136" s="22">
        <f>SUMIF(tabParametros[Código do Posto],tabCustoUnit[[#This Row],[Código do Posto]],tabParametros[Multa Rescisória do FGTS sobre o Aviso Prévio Indenizado])*tabCustoUnit[[#This Row],[MODULO 1 - REMUNERAÇÃO ]]</f>
        <v>0.35816639726049387</v>
      </c>
      <c r="AP136" s="22">
        <f>SUMIF(tabParametros[Código do Posto],tabCustoUnit[[#This Row],[Código do Posto]],tabParametros[Aviso Prévio Trabalhado - APT])*tabCustoUnit[[#This Row],[MODULO 1 - REMUNERAÇÃO ]]</f>
        <v>5.5869583000000009</v>
      </c>
      <c r="AQ136" s="22">
        <f>SUMIF(tabParametros[Código do Posto],tabCustoUnit[[#This Row],[Código do Posto]],tabParametros[Incidência dos encargos do submódulo 2.1 sobre Aviso Prévio Trabalhado])*tabCustoUnit[[#This Row],[MODULO 1 - REMUNERAÇÃO ]]</f>
        <v>2.1118702374000007</v>
      </c>
      <c r="AR136" s="22">
        <f>SUMIF(tabParametros[Código do Posto],tabCustoUnit[[#This Row],[Código do Posto]],tabParametros[Multa Rescisória do FGTS])*tabCustoUnit[[#This Row],[MODULO 1 - REMUNERAÇÃO ]]</f>
        <v>48.810505528888882</v>
      </c>
      <c r="AS136" s="22">
        <f>SUMIF(tabParametros[Código do Posto],tabCustoUnit[[#This Row],[Código do Posto]],tabParametros[Indenização Adicional (Art. 9º da Lei nº 7.238/84)])*tabCustoUnit[[#This Row],[MODULO 1 - REMUNERAÇÃO ]]</f>
        <v>1.3302281666666667</v>
      </c>
      <c r="AT136" s="22">
        <f>SUM(tabCustoUnit[[#This Row],[Aviso Prévio Indenizado (API) e Reflexo do Aviso Prévio Indenizado]:[Indenização Adicional (Art. 9º da Lei nº 7.238/84)]])</f>
        <v>70.285844537757711</v>
      </c>
      <c r="AU136" s="22">
        <f>SUMIF(tabParametros[Código do Posto],tabCustoUnit[[#This Row],[Código do Posto]],tabParametros[Ausência por Doença])*tabCustoUnit[[#This Row],[MODULO 1 - REMUNERAÇÃO ]]</f>
        <v>13.479645422222221</v>
      </c>
      <c r="AV136" s="22">
        <f>SUMIF(tabParametros[Código do Posto],tabCustoUnit[[#This Row],[Código do Posto]],tabParametros[Ausências Legais])*tabCustoUnit[[#This Row],[MODULO 1 - REMUNERAÇÃO ]]</f>
        <v>3.2368885388888886</v>
      </c>
      <c r="AW136" s="22">
        <f>SUMIF(tabParametros[Código do Posto],tabCustoUnit[[#This Row],[Código do Posto]],tabParametros[Licença Paternidade])*tabCustoUnit[[#This Row],[MODULO 1 - REMUNERAÇÃO ]]</f>
        <v>0.27269677416666666</v>
      </c>
      <c r="AX136" s="22">
        <f>SUMIF(tabParametros[Código do Posto],tabCustoUnit[[#This Row],[Código do Posto]],tabParametros[Ausência por Acidente de Trabalho])*tabCustoUnit[[#This Row],[MODULO 1 - REMUNERAÇÃO ]]</f>
        <v>0.33255704166666666</v>
      </c>
      <c r="AY136" s="22">
        <f>SUMIF(tabParametros[Código do Posto],tabCustoUnit[[#This Row],[Código do Posto]],tabParametros[Férias, Adicional de Férias e 13º  com empregada em gozo de Licença Maternidade])*tabCustoUnit[[#This Row],[MODULO 1 - REMUNERAÇÃO ]]</f>
        <v>2.0692438148148145</v>
      </c>
      <c r="AZ136" s="22">
        <f>SUMIF(tabParametros[Código do Posto],tabCustoUnit[[#This Row],[Código do Posto]],tabParametros[Incidência do Submódulo 2.1 sobre Ausências Legais])*tabCustoUnit[[#This Row],[MODULO 1 - REMUNERAÇÃO ]]</f>
        <v>7.3298099416850011</v>
      </c>
      <c r="BA136" s="22">
        <f>SUM(tabCustoUnit[[#This Row],[Ausência por Doença]:[Incidência do Submódulo 2.1 sobre Ausências Legais]])</f>
        <v>26.720841533444265</v>
      </c>
      <c r="BB136" s="22">
        <f>SUMIF(tabParametros[Código do Posto],tabCustoUnit[[#This Row],[Código do Posto]],tabParametros[Intervalo para Repouso ou Alimentação])</f>
        <v>0</v>
      </c>
      <c r="BC136" s="22">
        <f>tabCustoUnit[[#This Row],[Intervalo para Repouso ou Alimentação]]</f>
        <v>0</v>
      </c>
      <c r="BD13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6" s="22">
        <f>tabCustoUnit[[#This Row],[Suspensão Temporária do Contrato de Trabalho]]</f>
        <v>0</v>
      </c>
      <c r="BF136" s="22">
        <f>tabCustoUnit[[#This Row],[Submódulo 4.1]]+tabCustoUnit[[#This Row],[Submódulo 4.2]]+tabCustoUnit[[#This Row],[Submódulo 4.3]]</f>
        <v>26.720841533444265</v>
      </c>
      <c r="BG136" s="22">
        <f>VLOOKUP(tabCustoUnit[[#This Row],[Código do Posto]],tabParametros[],MATCH(tabCustoUnit[[#Headers],[Uniformes e EPIs]],tabParametros[#Headers],0),0)</f>
        <v>56.141713661989918</v>
      </c>
      <c r="BH136" s="22">
        <f>VLOOKUP(tabCustoUnit[[#This Row],[Código do Posto]],tabParametros[],MATCH(tabCustoUnit[[#Headers],[Materiais de Consumo]],tabParametros[#Headers],0),0)</f>
        <v>0</v>
      </c>
      <c r="BI136" s="22">
        <f>VLOOKUP(tabCustoUnit[[#This Row],[Código do Posto]],tabParametros[],MATCH(tabCustoUnit[[#Headers],[Máquinas e Equipamentos (depreciação)]],tabParametros[#Headers],0),0)</f>
        <v>0</v>
      </c>
      <c r="BJ136" s="22">
        <f>VLOOKUP(tabCustoUnit[[#This Row],[Código do Posto]],tabParametros[],MATCH(tabCustoUnit[[#Headers],[Produtos de Limpeza e Materiais de Higiene Pessoal]],tabParametros[#Headers],0),0)</f>
        <v>0</v>
      </c>
      <c r="BK136" s="22">
        <f>VLOOKUP(tabCustoUnit[[#This Row],[Código do Posto]],tabParametros[],MATCH(tabCustoUnit[[#Headers],[Outros (especificar)]],tabParametros[#Headers],0),0)</f>
        <v>0</v>
      </c>
      <c r="BL136" s="22">
        <f>SUM(tabCustoUnit[[#This Row],[Uniformes e EPIs]:[Outros (especificar)]])</f>
        <v>56.141713661989918</v>
      </c>
      <c r="BM13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6" s="22" t="e">
        <f ca="1">VLOOKUP(tabCustoUnit[[#This Row],[Código do Posto]],tabParametros[],MATCH(tabCustoUnit[[#Headers],[Custos Indiretos]],tabParametros[#Headers],0),0)</f>
        <v>#NAME?</v>
      </c>
      <c r="BO136" s="22" t="e">
        <f ca="1">VLOOKUP(tabCustoUnit[[#This Row],[Código do Posto]],tabParametros[],MATCH(tabCustoUnit[[#Headers],[Lucro]],tabParametros[#Headers],0),0)</f>
        <v>#NAME?</v>
      </c>
      <c r="BP136" s="26">
        <f>((100/((1-tabCustoUnit[[#This Row],[Resumo de Alíquotas (PIS+CONFINS+ISS)]]))-100)*VLOOKUP(tabCustoUnit[[#This Row],[Código do Posto]],tabParametros[],MATCH(tabCustoUnit[[#Headers],[COFINS]],tabParametros[#Headers],0),0))/(tabCustoUnit[[#This Row],[Resumo de Alíquotas (PIS+CONFINS+ISS)]]*100)</f>
        <v>8.8629737609329504E-2</v>
      </c>
      <c r="BQ136" s="26">
        <f>((100/((100-(tabCustoUnit[[#This Row],[Resumo de Alíquotas (PIS+CONFINS+ISS)]]*100))%)-100)*VLOOKUP(tabCustoUnit[[#This Row],[Código do Posto]],tabParametros[],MATCH(tabCustoUnit[[#Headers],[PIS]],tabParametros[#Headers],0),0))/(tabCustoUnit[[#This Row],[Resumo de Alíquotas (PIS+CONFINS+ISS)]]*100)</f>
        <v>1.9241982507288629E-2</v>
      </c>
      <c r="BR136" s="28">
        <f>VLOOKUP(tabCustoUnit[[#This Row],[Código do Posto]],tabParametros[],MATCH(tabCustoUnit[[#Headers],[ISS]],tabParametros[#Headers],0),0)</f>
        <v>0.05</v>
      </c>
      <c r="BS136" s="26">
        <f>(((100/((100-(tabCustoUnit[[#This Row],[Resumo de Alíquotas (PIS+CONFINS+ISS)]]*100))%)-100)*tabCustoUnit[[#This Row],[ISS]])/tabCustoUnit[[#This Row],[Resumo de Alíquotas (PIS+CONFINS+ISS)]])/100</f>
        <v>5.8309037900874633E-2</v>
      </c>
      <c r="BT13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36" s="138">
        <f>tabCustoUnit[[#This Row],[COFINS]]+tabCustoUnit[[#This Row],[PIS]]+tabCustoUnit[[#This Row],[ISS (Conversão Alíquota s/ fatura)]]</f>
        <v>0.16618075801749277</v>
      </c>
      <c r="BV136" s="22" t="e">
        <f ca="1">(tabCustoUnit[[#This Row],[TOTAL MÓDULOS 1+2+3+4+5]]+tabCustoUnit[[#This Row],[Custos Indiretos]]+tabCustoUnit[[#This Row],[Lucro]])*tabCustoUnit[[#This Row],[PIS + COFINS + ISS (Total Conversão  Alíquota s/ Fatura)]]</f>
        <v>#NAME?</v>
      </c>
      <c r="BW136" s="22" t="e">
        <f ca="1">tabCustoUnit[[#This Row],[Custos Indiretos]]+tabCustoUnit[[#This Row],[Lucro]]+tabCustoUnit[[#This Row],[Valor dos Tributos (ISS, PIS, CONFINS)]]</f>
        <v>#NAME?</v>
      </c>
      <c r="BX136" s="22" t="e">
        <f ca="1">tabCustoUnit[[#This Row],[TOTAL MÓDULOS 1+2+3+4+5]]+tabCustoUnit[[#This Row],[MÓDULO 6 – CUSTOS INDIRETOS, TRIBUTOS E LUCRO]]</f>
        <v>#NAME?</v>
      </c>
      <c r="BY136" s="22" t="e">
        <f ca="1">tabCustoUnit[[#This Row],[CUSTO TOTAL MENSAL]]*12</f>
        <v>#NAME?</v>
      </c>
      <c r="BZ136" s="24">
        <f>VLOOKUP(tabCustoUnit[[#This Row],[Código do Posto]],tabParametros[],MATCH(tabCustoUnit[[#Headers],[ANO DA CCT]],tabParametros[#Headers],0),0)</f>
        <v>45658</v>
      </c>
      <c r="CA136" s="25" t="str">
        <f>VLOOKUP(tabCustoUnit[[#This Row],[Código do Posto]],tabParametros[],MATCH(tabCustoUnit[[#Headers],[Nº DE PEDIDO DA CCT]],tabParametros[#Headers],0),0)</f>
        <v>-</v>
      </c>
      <c r="CB136" s="25" t="str">
        <f>VLOOKUP(tabCustoUnit[[#This Row],[Código do Posto]],tabParametros[],MATCH(tabCustoUnit[[#Headers],[TERMO ADITIVO ALTERAÇÃO DA CCT]],tabParametros[#Headers],0),0)</f>
        <v>-</v>
      </c>
    </row>
    <row r="137" spans="1:80">
      <c r="A137" s="20" t="s">
        <v>1591</v>
      </c>
      <c r="B137" t="s">
        <v>1131</v>
      </c>
      <c r="C137" t="s">
        <v>324</v>
      </c>
      <c r="D137" t="s">
        <v>1041</v>
      </c>
      <c r="E137" s="20" t="s">
        <v>1090</v>
      </c>
      <c r="F137" s="20" t="s">
        <v>120</v>
      </c>
      <c r="G137" s="418">
        <v>3397.1306</v>
      </c>
      <c r="H137" s="418">
        <v>0</v>
      </c>
      <c r="I137" s="418">
        <v>0</v>
      </c>
      <c r="J137" s="418">
        <v>0</v>
      </c>
      <c r="K137" s="418">
        <v>0</v>
      </c>
      <c r="L137" s="418">
        <v>0</v>
      </c>
      <c r="M137" s="418">
        <v>0</v>
      </c>
      <c r="N137" s="418">
        <v>0</v>
      </c>
      <c r="O137" s="21">
        <f>SUM(tabCustoUnit[[#This Row],[Salário Base]:[Adicional de Acúmulo de função]])</f>
        <v>3397.1306</v>
      </c>
      <c r="P137" s="21">
        <f>tabCustoUnit[[#This Row],[MODULO 1 - REMUNERAÇÃO ]]*SUMIFS(tabParametros[INSS],tabParametros[Código do Posto],tabCustoUnit[[#This Row],[Código do Posto]])</f>
        <v>679.42612000000008</v>
      </c>
      <c r="Q137" s="21">
        <f>tabCustoUnit[[#This Row],[MODULO 1 - REMUNERAÇÃO ]]*SUMIFS(tabParametros[SESI OU SESC],tabParametros[Código do Posto],tabCustoUnit[[#This Row],[Código do Posto]])</f>
        <v>50.956958999999998</v>
      </c>
      <c r="R137" s="21">
        <f>tabCustoUnit[[#This Row],[MODULO 1 - REMUNERAÇÃO ]]*SUMIFS(tabParametros[SENAI OU SENAC],tabParametros[Código do Posto],tabCustoUnit[[#This Row],[Código do Posto]])</f>
        <v>33.971305999999998</v>
      </c>
      <c r="S137" s="21">
        <f>tabCustoUnit[[#This Row],[MODULO 1 - REMUNERAÇÃO ]]*SUMIFS(tabParametros[INCRA],tabParametros[Código do Posto],tabCustoUnit[[#This Row],[Código do Posto]])</f>
        <v>6.7942612000000002</v>
      </c>
      <c r="T137" s="21">
        <f>tabCustoUnit[[#This Row],[MODULO 1 - REMUNERAÇÃO ]]*SUMIFS(tabParametros[Salário Educação],tabParametros[Código do Posto],tabCustoUnit[[#This Row],[Código do Posto]])</f>
        <v>84.92826500000001</v>
      </c>
      <c r="U137" s="21">
        <f>tabCustoUnit[[#This Row],[MODULO 1 - REMUNERAÇÃO ]]*SUMIFS(tabParametros[FGTS],tabParametros[Código do Posto],tabCustoUnit[[#This Row],[Código do Posto]])</f>
        <v>271.77044799999999</v>
      </c>
      <c r="V137" s="21">
        <f>tabCustoUnit[[#This Row],[MODULO 1 - REMUNERAÇÃO ]]*SUMIFS(tabParametros[RAT Ajustado],tabParametros[Código do Posto],tabCustoUnit[[#This Row],[Código do Posto]])</f>
        <v>135.88522399999999</v>
      </c>
      <c r="W137" s="21">
        <f>tabCustoUnit[[#This Row],[MODULO 1 - REMUNERAÇÃO ]]*SUMIFS(tabParametros[SEBRAE],tabParametros[Código do Posto],tabCustoUnit[[#This Row],[Código do Posto]])</f>
        <v>20.3827836</v>
      </c>
      <c r="X137" s="21">
        <f>SUM(tabCustoUnit[[#This Row],[INSS]:[SEBRAE]])</f>
        <v>1284.1153668000002</v>
      </c>
      <c r="Y137" s="21">
        <f>tabCustoUnit[[#This Row],[MODULO 1 - REMUNERAÇÃO ]]*SUMIFS(tabParametros[13º salário (titular)],tabParametros[Código do Posto],tabCustoUnit[[#This Row],[Código do Posto]])</f>
        <v>283.09421666666663</v>
      </c>
      <c r="Z137" s="21">
        <f>tabCustoUnit[[#This Row],[MODULO 1 - REMUNERAÇÃO ]]*SUMIFS(tabParametros[Férias e Adicional de Férias (titular)],tabParametros[Código do Posto],tabCustoUnit[[#This Row],[Código do Posto]])</f>
        <v>377.45895555555552</v>
      </c>
      <c r="AA137" s="21">
        <f>IFERROR((tabCustoUnit[[#This Row],[Submódulo 2.1]]/tabCustoUnit[[#This Row],[MODULO 1 - REMUNERAÇÃO ]])*SUM(tabCustoUnit[[#This Row],[13º salário (titular)]:[Férias e Adicional de Férias (titular)]]),0)</f>
        <v>249.68909910000002</v>
      </c>
      <c r="AB137" s="21">
        <f>SUM(tabCustoUnit[[#This Row],[13º salário (titular)]:[Incidência do Submódulo 2.1 sobre 13º Salário, Férias e Adicional de Férias]])</f>
        <v>910.24227132222222</v>
      </c>
      <c r="AC137" s="22" t="e">
        <f ca="1">_xlfn.LET(_xlpm.VT,SUMIF(tabParametros[Código do Posto],tabCustoUnit[[#This Row],[Código do Posto]],tabParametros[Vale - Transporte])*2*20,
IF((_xlpm.VT-tabCustoUnit[[#This Row],[Salário Base]]*0.06)&gt;=0,(_xlpm.VT-tabCustoUnit[[#This Row],[Salário Base]]*0.06),0)
)</f>
        <v>#NAME?</v>
      </c>
      <c r="AD137" s="22">
        <f>IF(SUMIF(tabParametros[Código do Posto],tabCustoUnit[[#This Row],[Código do Posto]],tabParametros[Vale - Alimentação])&lt;=0,0,
SUMIF(tabParametros[Código do Posto],tabCustoUnit[[#This Row],[Código do Posto]],tabParametros[Vale - Alimentação])*20-1)</f>
        <v>582</v>
      </c>
      <c r="AE137" s="22">
        <f>SUMIF(tabParametros[Código do Posto],tabCustoUnit[[#This Row],[Código do Posto]],tabParametros[Cesta Básica])</f>
        <v>0</v>
      </c>
      <c r="AF137" s="22">
        <f>SUMIF(tabParametros[Código do Posto],tabCustoUnit[[#This Row],[Código do Posto]],tabParametros[PAF])</f>
        <v>51.86</v>
      </c>
      <c r="AG137" s="22">
        <f>SUMIF(tabParametros[Código do Posto],tabCustoUnit[[#This Row],[Código do Posto]],tabParametros[PQM])</f>
        <v>0</v>
      </c>
      <c r="AH137" s="22">
        <f>SUMIF(tabParametros[Código do Posto],tabCustoUnit[[#This Row],[Código do Posto]],tabParametros[Abono Único e Especial])</f>
        <v>0</v>
      </c>
      <c r="AI137" s="22">
        <f>SUMIF(tabParametros[Código do Posto],tabCustoUnit[[#This Row],[Código do Posto]],tabParametros[Seguro de Vida])</f>
        <v>3.36</v>
      </c>
      <c r="AJ137" s="22">
        <f>SUMIF(tabParametros[Código do Posto],tabCustoUnit[[#This Row],[Código do Posto]],tabParametros[Despesas de Viagem])</f>
        <v>0</v>
      </c>
      <c r="AK137" s="22" t="e">
        <f ca="1">SUM(tabCustoUnit[[#This Row],[Vale - Transporte (Descontada parcela do empregado)]:[Despesas de Viagem]])</f>
        <v>#NAME?</v>
      </c>
      <c r="AL137" s="22" t="e">
        <f ca="1">tabCustoUnit[[#This Row],[Submódulo 2.1]]+tabCustoUnit[[#This Row],[Submódulo 2.2]]+tabCustoUnit[[#This Row],[Submódulo 2.3]]</f>
        <v>#NAME?</v>
      </c>
      <c r="AM137" s="22">
        <f>SUMIF(tabParametros[Código do Posto],tabCustoUnit[[#This Row],[Código do Posto]],tabParametros[Aviso Prévio Indenizado (API) e Reflexo do Aviso Prévio Indenizado])*tabCustoUnit[[#This Row],[MODULO 1 - REMUNERAÇÃO ]]</f>
        <v>23.819888151890432</v>
      </c>
      <c r="AN137" s="22">
        <f>SUMIF(tabParametros[Código do Posto],tabCustoUnit[[#This Row],[Código do Posto]],tabParametros[Incidência do FGTS sobre API e Reflexo do API])*tabCustoUnit[[#This Row],[MODULO 1 - REMUNERAÇÃO ]]</f>
        <v>1.9055910521512347</v>
      </c>
      <c r="AO137" s="22">
        <f>SUMIF(tabParametros[Código do Posto],tabCustoUnit[[#This Row],[Código do Posto]],tabParametros[Multa Rescisória do FGTS sobre o Aviso Prévio Indenizado])*tabCustoUnit[[#This Row],[MODULO 1 - REMUNERAÇÃO ]]</f>
        <v>0.76223642086049392</v>
      </c>
      <c r="AP137" s="22">
        <f>SUMIF(tabParametros[Código do Posto],tabCustoUnit[[#This Row],[Código do Posto]],tabParametros[Aviso Prévio Trabalhado - APT])*tabCustoUnit[[#This Row],[MODULO 1 - REMUNERAÇÃO ]]</f>
        <v>11.889957100000002</v>
      </c>
      <c r="AQ137" s="22">
        <f>SUMIF(tabParametros[Código do Posto],tabCustoUnit[[#This Row],[Código do Posto]],tabParametros[Incidência dos encargos do submódulo 2.1 sobre Aviso Prévio Trabalhado])*tabCustoUnit[[#This Row],[MODULO 1 - REMUNERAÇÃO ]]</f>
        <v>4.4944037838000011</v>
      </c>
      <c r="AR137" s="22">
        <f>SUMIF(tabParametros[Código do Posto],tabCustoUnit[[#This Row],[Código do Posto]],tabParametros[Multa Rescisória do FGTS])*tabCustoUnit[[#This Row],[MODULO 1 - REMUNERAÇÃO ]]</f>
        <v>103.87670456888887</v>
      </c>
      <c r="AS137" s="22">
        <f>SUMIF(tabParametros[Código do Posto],tabCustoUnit[[#This Row],[Código do Posto]],tabParametros[Indenização Adicional (Art. 9º da Lei nº 7.238/84)])*tabCustoUnit[[#This Row],[MODULO 1 - REMUNERAÇÃO ]]</f>
        <v>2.830942166666667</v>
      </c>
      <c r="AT137" s="22">
        <f>SUM(tabCustoUnit[[#This Row],[Aviso Prévio Indenizado (API) e Reflexo do Aviso Prévio Indenizado]:[Indenização Adicional (Art. 9º da Lei nº 7.238/84)]])</f>
        <v>149.57972324425771</v>
      </c>
      <c r="AU137" s="22">
        <f>SUMIF(tabParametros[Código do Posto],tabCustoUnit[[#This Row],[Código do Posto]],tabParametros[Ausência por Doença])*tabCustoUnit[[#This Row],[MODULO 1 - REMUNERAÇÃO ]]</f>
        <v>28.686880622222219</v>
      </c>
      <c r="AV137" s="22">
        <f>SUMIF(tabParametros[Código do Posto],tabCustoUnit[[#This Row],[Código do Posto]],tabParametros[Ausências Legais])*tabCustoUnit[[#This Row],[MODULO 1 - REMUNERAÇÃO ]]</f>
        <v>6.8886259388888886</v>
      </c>
      <c r="AW137" s="22">
        <f>SUMIF(tabParametros[Código do Posto],tabCustoUnit[[#This Row],[Código do Posto]],tabParametros[Licença Paternidade])*tabCustoUnit[[#This Row],[MODULO 1 - REMUNERAÇÃO ]]</f>
        <v>0.58034314416666666</v>
      </c>
      <c r="AX137" s="22">
        <f>SUMIF(tabParametros[Código do Posto],tabCustoUnit[[#This Row],[Código do Posto]],tabParametros[Ausência por Acidente de Trabalho])*tabCustoUnit[[#This Row],[MODULO 1 - REMUNERAÇÃO ]]</f>
        <v>0.70773554166666675</v>
      </c>
      <c r="AY137" s="22">
        <f>SUMIF(tabParametros[Código do Posto],tabCustoUnit[[#This Row],[Código do Posto]],tabParametros[Férias, Adicional de Férias e 13º  com empregada em gozo de Licença Maternidade])*tabCustoUnit[[#This Row],[MODULO 1 - REMUNERAÇÃO ]]</f>
        <v>4.4036878148148144</v>
      </c>
      <c r="AZ137" s="22">
        <f>SUMIF(tabParametros[Código do Posto],tabCustoUnit[[#This Row],[Código do Posto]],tabParametros[Incidência do Submódulo 2.1 sobre Ausências Legais])*tabCustoUnit[[#This Row],[MODULO 1 - REMUNERAÇÃO ]]</f>
        <v>15.599029217345002</v>
      </c>
      <c r="BA137" s="22">
        <f>SUM(tabCustoUnit[[#This Row],[Ausência por Doença]:[Incidência do Submódulo 2.1 sobre Ausências Legais]])</f>
        <v>56.866302279104261</v>
      </c>
      <c r="BB137" s="22">
        <f>SUMIF(tabParametros[Código do Posto],tabCustoUnit[[#This Row],[Código do Posto]],tabParametros[Intervalo para Repouso ou Alimentação])</f>
        <v>0</v>
      </c>
      <c r="BC137" s="22">
        <f>tabCustoUnit[[#This Row],[Intervalo para Repouso ou Alimentação]]</f>
        <v>0</v>
      </c>
      <c r="BD13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7" s="22">
        <f>tabCustoUnit[[#This Row],[Suspensão Temporária do Contrato de Trabalho]]</f>
        <v>0</v>
      </c>
      <c r="BF137" s="22">
        <f>tabCustoUnit[[#This Row],[Submódulo 4.1]]+tabCustoUnit[[#This Row],[Submódulo 4.2]]+tabCustoUnit[[#This Row],[Submódulo 4.3]]</f>
        <v>56.866302279104261</v>
      </c>
      <c r="BG137" s="22">
        <f>VLOOKUP(tabCustoUnit[[#This Row],[Código do Posto]],tabParametros[],MATCH(tabCustoUnit[[#Headers],[Uniformes e EPIs]],tabParametros[#Headers],0),0)</f>
        <v>56.642978962543395</v>
      </c>
      <c r="BH137" s="22">
        <f>VLOOKUP(tabCustoUnit[[#This Row],[Código do Posto]],tabParametros[],MATCH(tabCustoUnit[[#Headers],[Materiais de Consumo]],tabParametros[#Headers],0),0)</f>
        <v>0</v>
      </c>
      <c r="BI137" s="22">
        <f>VLOOKUP(tabCustoUnit[[#This Row],[Código do Posto]],tabParametros[],MATCH(tabCustoUnit[[#Headers],[Máquinas e Equipamentos (depreciação)]],tabParametros[#Headers],0),0)</f>
        <v>0</v>
      </c>
      <c r="BJ137" s="22">
        <f>VLOOKUP(tabCustoUnit[[#This Row],[Código do Posto]],tabParametros[],MATCH(tabCustoUnit[[#Headers],[Produtos de Limpeza e Materiais de Higiene Pessoal]],tabParametros[#Headers],0),0)</f>
        <v>0</v>
      </c>
      <c r="BK137" s="22">
        <f>VLOOKUP(tabCustoUnit[[#This Row],[Código do Posto]],tabParametros[],MATCH(tabCustoUnit[[#Headers],[Outros (especificar)]],tabParametros[#Headers],0),0)</f>
        <v>0</v>
      </c>
      <c r="BL137" s="22">
        <f>SUM(tabCustoUnit[[#This Row],[Uniformes e EPIs]:[Outros (especificar)]])</f>
        <v>56.642978962543395</v>
      </c>
      <c r="BM13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7" s="22" t="e">
        <f ca="1">VLOOKUP(tabCustoUnit[[#This Row],[Código do Posto]],tabParametros[],MATCH(tabCustoUnit[[#Headers],[Custos Indiretos]],tabParametros[#Headers],0),0)</f>
        <v>#NAME?</v>
      </c>
      <c r="BO137" s="22" t="e">
        <f ca="1">VLOOKUP(tabCustoUnit[[#This Row],[Código do Posto]],tabParametros[],MATCH(tabCustoUnit[[#Headers],[Lucro]],tabParametros[#Headers],0),0)</f>
        <v>#NAME?</v>
      </c>
      <c r="BP137" s="26">
        <f>((100/((1-tabCustoUnit[[#This Row],[Resumo de Alíquotas (PIS+CONFINS+ISS)]]))-100)*VLOOKUP(tabCustoUnit[[#This Row],[Código do Posto]],tabParametros[],MATCH(tabCustoUnit[[#Headers],[COFINS]],tabParametros[#Headers],0),0))/(tabCustoUnit[[#This Row],[Resumo de Alíquotas (PIS+CONFINS+ISS)]]*100)</f>
        <v>8.8629737609329504E-2</v>
      </c>
      <c r="BQ137" s="26">
        <f>((100/((100-(tabCustoUnit[[#This Row],[Resumo de Alíquotas (PIS+CONFINS+ISS)]]*100))%)-100)*VLOOKUP(tabCustoUnit[[#This Row],[Código do Posto]],tabParametros[],MATCH(tabCustoUnit[[#Headers],[PIS]],tabParametros[#Headers],0),0))/(tabCustoUnit[[#This Row],[Resumo de Alíquotas (PIS+CONFINS+ISS)]]*100)</f>
        <v>1.9241982507288629E-2</v>
      </c>
      <c r="BR137" s="28">
        <f>VLOOKUP(tabCustoUnit[[#This Row],[Código do Posto]],tabParametros[],MATCH(tabCustoUnit[[#Headers],[ISS]],tabParametros[#Headers],0),0)</f>
        <v>0.05</v>
      </c>
      <c r="BS137" s="26">
        <f>(((100/((100-(tabCustoUnit[[#This Row],[Resumo de Alíquotas (PIS+CONFINS+ISS)]]*100))%)-100)*tabCustoUnit[[#This Row],[ISS]])/tabCustoUnit[[#This Row],[Resumo de Alíquotas (PIS+CONFINS+ISS)]])/100</f>
        <v>5.8309037900874633E-2</v>
      </c>
      <c r="BT13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37" s="138">
        <f>tabCustoUnit[[#This Row],[COFINS]]+tabCustoUnit[[#This Row],[PIS]]+tabCustoUnit[[#This Row],[ISS (Conversão Alíquota s/ fatura)]]</f>
        <v>0.16618075801749277</v>
      </c>
      <c r="BV137" s="22" t="e">
        <f ca="1">(tabCustoUnit[[#This Row],[TOTAL MÓDULOS 1+2+3+4+5]]+tabCustoUnit[[#This Row],[Custos Indiretos]]+tabCustoUnit[[#This Row],[Lucro]])*tabCustoUnit[[#This Row],[PIS + COFINS + ISS (Total Conversão  Alíquota s/ Fatura)]]</f>
        <v>#NAME?</v>
      </c>
      <c r="BW137" s="22" t="e">
        <f ca="1">tabCustoUnit[[#This Row],[Custos Indiretos]]+tabCustoUnit[[#This Row],[Lucro]]+tabCustoUnit[[#This Row],[Valor dos Tributos (ISS, PIS, CONFINS)]]</f>
        <v>#NAME?</v>
      </c>
      <c r="BX137" s="22" t="e">
        <f ca="1">tabCustoUnit[[#This Row],[TOTAL MÓDULOS 1+2+3+4+5]]+tabCustoUnit[[#This Row],[MÓDULO 6 – CUSTOS INDIRETOS, TRIBUTOS E LUCRO]]</f>
        <v>#NAME?</v>
      </c>
      <c r="BY137" s="22" t="e">
        <f ca="1">tabCustoUnit[[#This Row],[CUSTO TOTAL MENSAL]]*12</f>
        <v>#NAME?</v>
      </c>
      <c r="BZ137" s="24">
        <f>VLOOKUP(tabCustoUnit[[#This Row],[Código do Posto]],tabParametros[],MATCH(tabCustoUnit[[#Headers],[ANO DA CCT]],tabParametros[#Headers],0),0)</f>
        <v>45658</v>
      </c>
      <c r="CA137" s="25" t="str">
        <f>VLOOKUP(tabCustoUnit[[#This Row],[Código do Posto]],tabParametros[],MATCH(tabCustoUnit[[#Headers],[Nº DE PEDIDO DA CCT]],tabParametros[#Headers],0),0)</f>
        <v>-</v>
      </c>
      <c r="CB137" s="25" t="str">
        <f>VLOOKUP(tabCustoUnit[[#This Row],[Código do Posto]],tabParametros[],MATCH(tabCustoUnit[[#Headers],[TERMO ADITIVO ALTERAÇÃO DA CCT]],tabParametros[#Headers],0),0)</f>
        <v>-</v>
      </c>
    </row>
    <row r="138" spans="1:80">
      <c r="A138" s="20" t="s">
        <v>1592</v>
      </c>
      <c r="B138" t="s">
        <v>911</v>
      </c>
      <c r="C138" t="s">
        <v>324</v>
      </c>
      <c r="D138" t="s">
        <v>911</v>
      </c>
      <c r="E138" s="20" t="s">
        <v>1090</v>
      </c>
      <c r="F138" s="20" t="s">
        <v>120</v>
      </c>
      <c r="G138" s="418">
        <v>3397.1306</v>
      </c>
      <c r="H138" s="418">
        <v>0</v>
      </c>
      <c r="I138" s="418">
        <v>0</v>
      </c>
      <c r="J138" s="418">
        <v>0</v>
      </c>
      <c r="K138" s="418">
        <v>0</v>
      </c>
      <c r="L138" s="418">
        <v>0</v>
      </c>
      <c r="M138" s="418">
        <v>0</v>
      </c>
      <c r="N138" s="418">
        <v>0</v>
      </c>
      <c r="O138" s="21">
        <f>SUM(tabCustoUnit[[#This Row],[Salário Base]:[Adicional de Acúmulo de função]])</f>
        <v>3397.1306</v>
      </c>
      <c r="P138" s="21">
        <f>tabCustoUnit[[#This Row],[MODULO 1 - REMUNERAÇÃO ]]*SUMIFS(tabParametros[INSS],tabParametros[Código do Posto],tabCustoUnit[[#This Row],[Código do Posto]])</f>
        <v>679.42612000000008</v>
      </c>
      <c r="Q138" s="21">
        <f>tabCustoUnit[[#This Row],[MODULO 1 - REMUNERAÇÃO ]]*SUMIFS(tabParametros[SESI OU SESC],tabParametros[Código do Posto],tabCustoUnit[[#This Row],[Código do Posto]])</f>
        <v>50.956958999999998</v>
      </c>
      <c r="R138" s="21">
        <f>tabCustoUnit[[#This Row],[MODULO 1 - REMUNERAÇÃO ]]*SUMIFS(tabParametros[SENAI OU SENAC],tabParametros[Código do Posto],tabCustoUnit[[#This Row],[Código do Posto]])</f>
        <v>33.971305999999998</v>
      </c>
      <c r="S138" s="21">
        <f>tabCustoUnit[[#This Row],[MODULO 1 - REMUNERAÇÃO ]]*SUMIFS(tabParametros[INCRA],tabParametros[Código do Posto],tabCustoUnit[[#This Row],[Código do Posto]])</f>
        <v>6.7942612000000002</v>
      </c>
      <c r="T138" s="21">
        <f>tabCustoUnit[[#This Row],[MODULO 1 - REMUNERAÇÃO ]]*SUMIFS(tabParametros[Salário Educação],tabParametros[Código do Posto],tabCustoUnit[[#This Row],[Código do Posto]])</f>
        <v>84.92826500000001</v>
      </c>
      <c r="U138" s="21">
        <f>tabCustoUnit[[#This Row],[MODULO 1 - REMUNERAÇÃO ]]*SUMIFS(tabParametros[FGTS],tabParametros[Código do Posto],tabCustoUnit[[#This Row],[Código do Posto]])</f>
        <v>271.77044799999999</v>
      </c>
      <c r="V138" s="21">
        <f>tabCustoUnit[[#This Row],[MODULO 1 - REMUNERAÇÃO ]]*SUMIFS(tabParametros[RAT Ajustado],tabParametros[Código do Posto],tabCustoUnit[[#This Row],[Código do Posto]])</f>
        <v>135.88522399999999</v>
      </c>
      <c r="W138" s="21">
        <f>tabCustoUnit[[#This Row],[MODULO 1 - REMUNERAÇÃO ]]*SUMIFS(tabParametros[SEBRAE],tabParametros[Código do Posto],tabCustoUnit[[#This Row],[Código do Posto]])</f>
        <v>20.3827836</v>
      </c>
      <c r="X138" s="21">
        <f>SUM(tabCustoUnit[[#This Row],[INSS]:[SEBRAE]])</f>
        <v>1284.1153668000002</v>
      </c>
      <c r="Y138" s="21">
        <f>tabCustoUnit[[#This Row],[MODULO 1 - REMUNERAÇÃO ]]*SUMIFS(tabParametros[13º salário (titular)],tabParametros[Código do Posto],tabCustoUnit[[#This Row],[Código do Posto]])</f>
        <v>283.09421666666663</v>
      </c>
      <c r="Z138" s="21">
        <f>tabCustoUnit[[#This Row],[MODULO 1 - REMUNERAÇÃO ]]*SUMIFS(tabParametros[Férias e Adicional de Férias (titular)],tabParametros[Código do Posto],tabCustoUnit[[#This Row],[Código do Posto]])</f>
        <v>377.45895555555552</v>
      </c>
      <c r="AA138" s="21">
        <f>IFERROR((tabCustoUnit[[#This Row],[Submódulo 2.1]]/tabCustoUnit[[#This Row],[MODULO 1 - REMUNERAÇÃO ]])*SUM(tabCustoUnit[[#This Row],[13º salário (titular)]:[Férias e Adicional de Férias (titular)]]),0)</f>
        <v>249.68909910000002</v>
      </c>
      <c r="AB138" s="21">
        <f>SUM(tabCustoUnit[[#This Row],[13º salário (titular)]:[Incidência do Submódulo 2.1 sobre 13º Salário, Férias e Adicional de Férias]])</f>
        <v>910.24227132222222</v>
      </c>
      <c r="AC138" s="22" t="e">
        <f ca="1">_xlfn.LET(_xlpm.VT,SUMIF(tabParametros[Código do Posto],tabCustoUnit[[#This Row],[Código do Posto]],tabParametros[Vale - Transporte])*2*20,
IF((_xlpm.VT-tabCustoUnit[[#This Row],[Salário Base]]*0.06)&gt;=0,(_xlpm.VT-tabCustoUnit[[#This Row],[Salário Base]]*0.06),0)
)</f>
        <v>#NAME?</v>
      </c>
      <c r="AD138" s="22">
        <f>IF(SUMIF(tabParametros[Código do Posto],tabCustoUnit[[#This Row],[Código do Posto]],tabParametros[Vale - Alimentação])&lt;=0,0,
SUMIF(tabParametros[Código do Posto],tabCustoUnit[[#This Row],[Código do Posto]],tabParametros[Vale - Alimentação])*20-1)</f>
        <v>582</v>
      </c>
      <c r="AE138" s="22">
        <f>SUMIF(tabParametros[Código do Posto],tabCustoUnit[[#This Row],[Código do Posto]],tabParametros[Cesta Básica])</f>
        <v>0</v>
      </c>
      <c r="AF138" s="22">
        <f>SUMIF(tabParametros[Código do Posto],tabCustoUnit[[#This Row],[Código do Posto]],tabParametros[PAF])</f>
        <v>51.74</v>
      </c>
      <c r="AG138" s="22">
        <f>SUMIF(tabParametros[Código do Posto],tabCustoUnit[[#This Row],[Código do Posto]],tabParametros[PQM])</f>
        <v>0</v>
      </c>
      <c r="AH138" s="22">
        <f>SUMIF(tabParametros[Código do Posto],tabCustoUnit[[#This Row],[Código do Posto]],tabParametros[Abono Único e Especial])</f>
        <v>0</v>
      </c>
      <c r="AI138" s="22">
        <f>SUMIF(tabParametros[Código do Posto],tabCustoUnit[[#This Row],[Código do Posto]],tabParametros[Seguro de Vida])</f>
        <v>3.36</v>
      </c>
      <c r="AJ138" s="22">
        <f>SUMIF(tabParametros[Código do Posto],tabCustoUnit[[#This Row],[Código do Posto]],tabParametros[Despesas de Viagem])</f>
        <v>0</v>
      </c>
      <c r="AK138" s="22" t="e">
        <f ca="1">SUM(tabCustoUnit[[#This Row],[Vale - Transporte (Descontada parcela do empregado)]:[Despesas de Viagem]])</f>
        <v>#NAME?</v>
      </c>
      <c r="AL138" s="22" t="e">
        <f ca="1">tabCustoUnit[[#This Row],[Submódulo 2.1]]+tabCustoUnit[[#This Row],[Submódulo 2.2]]+tabCustoUnit[[#This Row],[Submódulo 2.3]]</f>
        <v>#NAME?</v>
      </c>
      <c r="AM138" s="22">
        <f>SUMIF(tabParametros[Código do Posto],tabCustoUnit[[#This Row],[Código do Posto]],tabParametros[Aviso Prévio Indenizado (API) e Reflexo do Aviso Prévio Indenizado])*tabCustoUnit[[#This Row],[MODULO 1 - REMUNERAÇÃO ]]</f>
        <v>23.819888151890432</v>
      </c>
      <c r="AN138" s="22">
        <f>SUMIF(tabParametros[Código do Posto],tabCustoUnit[[#This Row],[Código do Posto]],tabParametros[Incidência do FGTS sobre API e Reflexo do API])*tabCustoUnit[[#This Row],[MODULO 1 - REMUNERAÇÃO ]]</f>
        <v>1.9055910521512347</v>
      </c>
      <c r="AO138" s="22">
        <f>SUMIF(tabParametros[Código do Posto],tabCustoUnit[[#This Row],[Código do Posto]],tabParametros[Multa Rescisória do FGTS sobre o Aviso Prévio Indenizado])*tabCustoUnit[[#This Row],[MODULO 1 - REMUNERAÇÃO ]]</f>
        <v>0.76223642086049392</v>
      </c>
      <c r="AP138" s="22">
        <f>SUMIF(tabParametros[Código do Posto],tabCustoUnit[[#This Row],[Código do Posto]],tabParametros[Aviso Prévio Trabalhado - APT])*tabCustoUnit[[#This Row],[MODULO 1 - REMUNERAÇÃO ]]</f>
        <v>11.889957100000002</v>
      </c>
      <c r="AQ138" s="22">
        <f>SUMIF(tabParametros[Código do Posto],tabCustoUnit[[#This Row],[Código do Posto]],tabParametros[Incidência dos encargos do submódulo 2.1 sobre Aviso Prévio Trabalhado])*tabCustoUnit[[#This Row],[MODULO 1 - REMUNERAÇÃO ]]</f>
        <v>4.4944037838000011</v>
      </c>
      <c r="AR138" s="22">
        <f>SUMIF(tabParametros[Código do Posto],tabCustoUnit[[#This Row],[Código do Posto]],tabParametros[Multa Rescisória do FGTS])*tabCustoUnit[[#This Row],[MODULO 1 - REMUNERAÇÃO ]]</f>
        <v>103.87670456888887</v>
      </c>
      <c r="AS138" s="22">
        <f>SUMIF(tabParametros[Código do Posto],tabCustoUnit[[#This Row],[Código do Posto]],tabParametros[Indenização Adicional (Art. 9º da Lei nº 7.238/84)])*tabCustoUnit[[#This Row],[MODULO 1 - REMUNERAÇÃO ]]</f>
        <v>2.830942166666667</v>
      </c>
      <c r="AT138" s="22">
        <f>SUM(tabCustoUnit[[#This Row],[Aviso Prévio Indenizado (API) e Reflexo do Aviso Prévio Indenizado]:[Indenização Adicional (Art. 9º da Lei nº 7.238/84)]])</f>
        <v>149.57972324425771</v>
      </c>
      <c r="AU138" s="22">
        <f>SUMIF(tabParametros[Código do Posto],tabCustoUnit[[#This Row],[Código do Posto]],tabParametros[Ausência por Doença])*tabCustoUnit[[#This Row],[MODULO 1 - REMUNERAÇÃO ]]</f>
        <v>28.686880622222219</v>
      </c>
      <c r="AV138" s="22">
        <f>SUMIF(tabParametros[Código do Posto],tabCustoUnit[[#This Row],[Código do Posto]],tabParametros[Ausências Legais])*tabCustoUnit[[#This Row],[MODULO 1 - REMUNERAÇÃO ]]</f>
        <v>6.8886259388888886</v>
      </c>
      <c r="AW138" s="22">
        <f>SUMIF(tabParametros[Código do Posto],tabCustoUnit[[#This Row],[Código do Posto]],tabParametros[Licença Paternidade])*tabCustoUnit[[#This Row],[MODULO 1 - REMUNERAÇÃO ]]</f>
        <v>0.58034314416666666</v>
      </c>
      <c r="AX138" s="22">
        <f>SUMIF(tabParametros[Código do Posto],tabCustoUnit[[#This Row],[Código do Posto]],tabParametros[Ausência por Acidente de Trabalho])*tabCustoUnit[[#This Row],[MODULO 1 - REMUNERAÇÃO ]]</f>
        <v>0.70773554166666675</v>
      </c>
      <c r="AY138" s="22">
        <f>SUMIF(tabParametros[Código do Posto],tabCustoUnit[[#This Row],[Código do Posto]],tabParametros[Férias, Adicional de Férias e 13º  com empregada em gozo de Licença Maternidade])*tabCustoUnit[[#This Row],[MODULO 1 - REMUNERAÇÃO ]]</f>
        <v>4.4036878148148144</v>
      </c>
      <c r="AZ138" s="22">
        <f>SUMIF(tabParametros[Código do Posto],tabCustoUnit[[#This Row],[Código do Posto]],tabParametros[Incidência do Submódulo 2.1 sobre Ausências Legais])*tabCustoUnit[[#This Row],[MODULO 1 - REMUNERAÇÃO ]]</f>
        <v>15.599029217345002</v>
      </c>
      <c r="BA138" s="22">
        <f>SUM(tabCustoUnit[[#This Row],[Ausência por Doença]:[Incidência do Submódulo 2.1 sobre Ausências Legais]])</f>
        <v>56.866302279104261</v>
      </c>
      <c r="BB138" s="22">
        <f>SUMIF(tabParametros[Código do Posto],tabCustoUnit[[#This Row],[Código do Posto]],tabParametros[Intervalo para Repouso ou Alimentação])</f>
        <v>0</v>
      </c>
      <c r="BC138" s="22">
        <f>tabCustoUnit[[#This Row],[Intervalo para Repouso ou Alimentação]]</f>
        <v>0</v>
      </c>
      <c r="BD13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8" s="22">
        <f>tabCustoUnit[[#This Row],[Suspensão Temporária do Contrato de Trabalho]]</f>
        <v>0</v>
      </c>
      <c r="BF138" s="22">
        <f>tabCustoUnit[[#This Row],[Submódulo 4.1]]+tabCustoUnit[[#This Row],[Submódulo 4.2]]+tabCustoUnit[[#This Row],[Submódulo 4.3]]</f>
        <v>56.866302279104261</v>
      </c>
      <c r="BG138" s="22">
        <f>VLOOKUP(tabCustoUnit[[#This Row],[Código do Posto]],tabParametros[],MATCH(tabCustoUnit[[#Headers],[Uniformes e EPIs]],tabParametros[#Headers],0),0)</f>
        <v>56.642978962543395</v>
      </c>
      <c r="BH138" s="22">
        <f>VLOOKUP(tabCustoUnit[[#This Row],[Código do Posto]],tabParametros[],MATCH(tabCustoUnit[[#Headers],[Materiais de Consumo]],tabParametros[#Headers],0),0)</f>
        <v>0</v>
      </c>
      <c r="BI138" s="22">
        <f>VLOOKUP(tabCustoUnit[[#This Row],[Código do Posto]],tabParametros[],MATCH(tabCustoUnit[[#Headers],[Máquinas e Equipamentos (depreciação)]],tabParametros[#Headers],0),0)</f>
        <v>0</v>
      </c>
      <c r="BJ138" s="22">
        <f>VLOOKUP(tabCustoUnit[[#This Row],[Código do Posto]],tabParametros[],MATCH(tabCustoUnit[[#Headers],[Produtos de Limpeza e Materiais de Higiene Pessoal]],tabParametros[#Headers],0),0)</f>
        <v>0</v>
      </c>
      <c r="BK138" s="22">
        <f>VLOOKUP(tabCustoUnit[[#This Row],[Código do Posto]],tabParametros[],MATCH(tabCustoUnit[[#Headers],[Outros (especificar)]],tabParametros[#Headers],0),0)</f>
        <v>0</v>
      </c>
      <c r="BL138" s="22">
        <f>SUM(tabCustoUnit[[#This Row],[Uniformes e EPIs]:[Outros (especificar)]])</f>
        <v>56.642978962543395</v>
      </c>
      <c r="BM13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8" s="22" t="e">
        <f ca="1">VLOOKUP(tabCustoUnit[[#This Row],[Código do Posto]],tabParametros[],MATCH(tabCustoUnit[[#Headers],[Custos Indiretos]],tabParametros[#Headers],0),0)</f>
        <v>#NAME?</v>
      </c>
      <c r="BO138" s="22" t="e">
        <f ca="1">VLOOKUP(tabCustoUnit[[#This Row],[Código do Posto]],tabParametros[],MATCH(tabCustoUnit[[#Headers],[Lucro]],tabParametros[#Headers],0),0)</f>
        <v>#NAME?</v>
      </c>
      <c r="BP138" s="26">
        <f>((100/((1-tabCustoUnit[[#This Row],[Resumo de Alíquotas (PIS+CONFINS+ISS)]]))-100)*VLOOKUP(tabCustoUnit[[#This Row],[Código do Posto]],tabParametros[],MATCH(tabCustoUnit[[#Headers],[COFINS]],tabParametros[#Headers],0),0))/(tabCustoUnit[[#This Row],[Resumo de Alíquotas (PIS+CONFINS+ISS)]]*100)</f>
        <v>8.6609686609686695E-2</v>
      </c>
      <c r="BQ138" s="26">
        <f>((100/((100-(tabCustoUnit[[#This Row],[Resumo de Alíquotas (PIS+CONFINS+ISS)]]*100))%)-100)*VLOOKUP(tabCustoUnit[[#This Row],[Código do Posto]],tabParametros[],MATCH(tabCustoUnit[[#Headers],[PIS]],tabParametros[#Headers],0),0))/(tabCustoUnit[[#This Row],[Resumo de Alíquotas (PIS+CONFINS+ISS)]]*100)</f>
        <v>1.880341880341882E-2</v>
      </c>
      <c r="BR138" s="28">
        <f>VLOOKUP(tabCustoUnit[[#This Row],[Código do Posto]],tabParametros[],MATCH(tabCustoUnit[[#Headers],[ISS]],tabParametros[#Headers],0),0)</f>
        <v>0.03</v>
      </c>
      <c r="BS138" s="26">
        <f>(((100/((100-(tabCustoUnit[[#This Row],[Resumo de Alíquotas (PIS+CONFINS+ISS)]]*100))%)-100)*tabCustoUnit[[#This Row],[ISS]])/tabCustoUnit[[#This Row],[Resumo de Alíquotas (PIS+CONFINS+ISS)]])/100</f>
        <v>3.4188034188034219E-2</v>
      </c>
      <c r="BT13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8" s="138">
        <f>tabCustoUnit[[#This Row],[COFINS]]+tabCustoUnit[[#This Row],[PIS]]+tabCustoUnit[[#This Row],[ISS (Conversão Alíquota s/ fatura)]]</f>
        <v>0.13960113960113973</v>
      </c>
      <c r="BV138" s="22" t="e">
        <f ca="1">(tabCustoUnit[[#This Row],[TOTAL MÓDULOS 1+2+3+4+5]]+tabCustoUnit[[#This Row],[Custos Indiretos]]+tabCustoUnit[[#This Row],[Lucro]])*tabCustoUnit[[#This Row],[PIS + COFINS + ISS (Total Conversão  Alíquota s/ Fatura)]]</f>
        <v>#NAME?</v>
      </c>
      <c r="BW138" s="22" t="e">
        <f ca="1">tabCustoUnit[[#This Row],[Custos Indiretos]]+tabCustoUnit[[#This Row],[Lucro]]+tabCustoUnit[[#This Row],[Valor dos Tributos (ISS, PIS, CONFINS)]]</f>
        <v>#NAME?</v>
      </c>
      <c r="BX138" s="22" t="e">
        <f ca="1">tabCustoUnit[[#This Row],[TOTAL MÓDULOS 1+2+3+4+5]]+tabCustoUnit[[#This Row],[MÓDULO 6 – CUSTOS INDIRETOS, TRIBUTOS E LUCRO]]</f>
        <v>#NAME?</v>
      </c>
      <c r="BY138" s="22" t="e">
        <f ca="1">tabCustoUnit[[#This Row],[CUSTO TOTAL MENSAL]]*12</f>
        <v>#NAME?</v>
      </c>
      <c r="BZ138" s="24">
        <f>VLOOKUP(tabCustoUnit[[#This Row],[Código do Posto]],tabParametros[],MATCH(tabCustoUnit[[#Headers],[ANO DA CCT]],tabParametros[#Headers],0),0)</f>
        <v>45658</v>
      </c>
      <c r="CA138" s="25" t="str">
        <f>VLOOKUP(tabCustoUnit[[#This Row],[Código do Posto]],tabParametros[],MATCH(tabCustoUnit[[#Headers],[Nº DE PEDIDO DA CCT]],tabParametros[#Headers],0),0)</f>
        <v>-</v>
      </c>
      <c r="CB138" s="25" t="str">
        <f>VLOOKUP(tabCustoUnit[[#This Row],[Código do Posto]],tabParametros[],MATCH(tabCustoUnit[[#Headers],[TERMO ADITIVO ALTERAÇÃO DA CCT]],tabParametros[#Headers],0),0)</f>
        <v>-</v>
      </c>
    </row>
    <row r="139" spans="1:80">
      <c r="A139" s="20" t="s">
        <v>1593</v>
      </c>
      <c r="B139" t="s">
        <v>1132</v>
      </c>
      <c r="C139" t="s">
        <v>274</v>
      </c>
      <c r="D139" t="s">
        <v>988</v>
      </c>
      <c r="E139" s="20" t="s">
        <v>1090</v>
      </c>
      <c r="F139" s="20" t="s">
        <v>120</v>
      </c>
      <c r="G139" s="418">
        <v>4380.5668999999998</v>
      </c>
      <c r="H139" s="418">
        <v>0</v>
      </c>
      <c r="I139" s="418">
        <v>0</v>
      </c>
      <c r="J139" s="418">
        <v>0</v>
      </c>
      <c r="K139" s="418">
        <v>0</v>
      </c>
      <c r="L139" s="418">
        <v>0</v>
      </c>
      <c r="M139" s="418">
        <v>0</v>
      </c>
      <c r="N139" s="418">
        <v>0</v>
      </c>
      <c r="O139" s="21">
        <f>SUM(tabCustoUnit[[#This Row],[Salário Base]:[Adicional de Acúmulo de função]])</f>
        <v>4380.5668999999998</v>
      </c>
      <c r="P139" s="21">
        <f>tabCustoUnit[[#This Row],[MODULO 1 - REMUNERAÇÃO ]]*SUMIFS(tabParametros[INSS],tabParametros[Código do Posto],tabCustoUnit[[#This Row],[Código do Posto]])</f>
        <v>876.11338000000001</v>
      </c>
      <c r="Q139" s="21">
        <f>tabCustoUnit[[#This Row],[MODULO 1 - REMUNERAÇÃO ]]*SUMIFS(tabParametros[SESI OU SESC],tabParametros[Código do Posto],tabCustoUnit[[#This Row],[Código do Posto]])</f>
        <v>65.708503499999992</v>
      </c>
      <c r="R139" s="21">
        <f>tabCustoUnit[[#This Row],[MODULO 1 - REMUNERAÇÃO ]]*SUMIFS(tabParametros[SENAI OU SENAC],tabParametros[Código do Posto],tabCustoUnit[[#This Row],[Código do Posto]])</f>
        <v>43.805669000000002</v>
      </c>
      <c r="S139" s="21">
        <f>tabCustoUnit[[#This Row],[MODULO 1 - REMUNERAÇÃO ]]*SUMIFS(tabParametros[INCRA],tabParametros[Código do Posto],tabCustoUnit[[#This Row],[Código do Posto]])</f>
        <v>8.7611337999999996</v>
      </c>
      <c r="T139" s="21">
        <f>tabCustoUnit[[#This Row],[MODULO 1 - REMUNERAÇÃO ]]*SUMIFS(tabParametros[Salário Educação],tabParametros[Código do Posto],tabCustoUnit[[#This Row],[Código do Posto]])</f>
        <v>109.5141725</v>
      </c>
      <c r="U139" s="21">
        <f>tabCustoUnit[[#This Row],[MODULO 1 - REMUNERAÇÃO ]]*SUMIFS(tabParametros[FGTS],tabParametros[Código do Posto],tabCustoUnit[[#This Row],[Código do Posto]])</f>
        <v>350.44535200000001</v>
      </c>
      <c r="V139" s="21">
        <f>tabCustoUnit[[#This Row],[MODULO 1 - REMUNERAÇÃO ]]*SUMIFS(tabParametros[RAT Ajustado],tabParametros[Código do Posto],tabCustoUnit[[#This Row],[Código do Posto]])</f>
        <v>175.22267600000001</v>
      </c>
      <c r="W139" s="21">
        <f>tabCustoUnit[[#This Row],[MODULO 1 - REMUNERAÇÃO ]]*SUMIFS(tabParametros[SEBRAE],tabParametros[Código do Posto],tabCustoUnit[[#This Row],[Código do Posto]])</f>
        <v>26.283401399999999</v>
      </c>
      <c r="X139" s="21">
        <f>SUM(tabCustoUnit[[#This Row],[INSS]:[SEBRAE]])</f>
        <v>1655.8542882000002</v>
      </c>
      <c r="Y139" s="21">
        <f>tabCustoUnit[[#This Row],[MODULO 1 - REMUNERAÇÃO ]]*SUMIFS(tabParametros[13º salário (titular)],tabParametros[Código do Posto],tabCustoUnit[[#This Row],[Código do Posto]])</f>
        <v>365.04724166666665</v>
      </c>
      <c r="Z139" s="21">
        <f>tabCustoUnit[[#This Row],[MODULO 1 - REMUNERAÇÃO ]]*SUMIFS(tabParametros[Férias e Adicional de Férias (titular)],tabParametros[Código do Posto],tabCustoUnit[[#This Row],[Código do Posto]])</f>
        <v>486.7296555555555</v>
      </c>
      <c r="AA139" s="21">
        <f>IFERROR((tabCustoUnit[[#This Row],[Submódulo 2.1]]/tabCustoUnit[[#This Row],[MODULO 1 - REMUNERAÇÃO ]])*SUM(tabCustoUnit[[#This Row],[13º salário (titular)]:[Férias e Adicional de Férias (titular)]]),0)</f>
        <v>321.97166715000003</v>
      </c>
      <c r="AB139" s="21">
        <f>SUM(tabCustoUnit[[#This Row],[13º salário (titular)]:[Incidência do Submódulo 2.1 sobre 13º Salário, Férias e Adicional de Férias]])</f>
        <v>1173.7485643722221</v>
      </c>
      <c r="AC139" s="22" t="e">
        <f ca="1">_xlfn.LET(_xlpm.VT,SUMIF(tabParametros[Código do Posto],tabCustoUnit[[#This Row],[Código do Posto]],tabParametros[Vale - Transporte])*2*20,
IF((_xlpm.VT-tabCustoUnit[[#This Row],[Salário Base]]*0.06)&gt;=0,(_xlpm.VT-tabCustoUnit[[#This Row],[Salário Base]]*0.06),0)
)</f>
        <v>#NAME?</v>
      </c>
      <c r="AD139" s="22">
        <f>IF(SUMIF(tabParametros[Código do Posto],tabCustoUnit[[#This Row],[Código do Posto]],tabParametros[Vale - Alimentação])&lt;=0,0,
SUMIF(tabParametros[Código do Posto],tabCustoUnit[[#This Row],[Código do Posto]],tabParametros[Vale - Alimentação])*20-1)</f>
        <v>578.4</v>
      </c>
      <c r="AE139" s="22">
        <f>SUMIF(tabParametros[Código do Posto],tabCustoUnit[[#This Row],[Código do Posto]],tabParametros[Cesta Básica])</f>
        <v>0</v>
      </c>
      <c r="AF139" s="22">
        <f>SUMIF(tabParametros[Código do Posto],tabCustoUnit[[#This Row],[Código do Posto]],tabParametros[PAF])</f>
        <v>0</v>
      </c>
      <c r="AG139" s="22">
        <f>SUMIF(tabParametros[Código do Posto],tabCustoUnit[[#This Row],[Código do Posto]],tabParametros[PQM])</f>
        <v>0</v>
      </c>
      <c r="AH139" s="22">
        <f>SUMIF(tabParametros[Código do Posto],tabCustoUnit[[#This Row],[Código do Posto]],tabParametros[Abono Único e Especial])</f>
        <v>0</v>
      </c>
      <c r="AI139" s="22">
        <f>SUMIF(tabParametros[Código do Posto],tabCustoUnit[[#This Row],[Código do Posto]],tabParametros[Seguro de Vida])</f>
        <v>3.36</v>
      </c>
      <c r="AJ139" s="22">
        <f>SUMIF(tabParametros[Código do Posto],tabCustoUnit[[#This Row],[Código do Posto]],tabParametros[Despesas de Viagem])</f>
        <v>662.42</v>
      </c>
      <c r="AK139" s="22" t="e">
        <f ca="1">SUM(tabCustoUnit[[#This Row],[Vale - Transporte (Descontada parcela do empregado)]:[Despesas de Viagem]])</f>
        <v>#NAME?</v>
      </c>
      <c r="AL139" s="22" t="e">
        <f ca="1">tabCustoUnit[[#This Row],[Submódulo 2.1]]+tabCustoUnit[[#This Row],[Submódulo 2.2]]+tabCustoUnit[[#This Row],[Submódulo 2.3]]</f>
        <v>#NAME?</v>
      </c>
      <c r="AM139" s="22">
        <f>SUMIF(tabParametros[Código do Posto],tabCustoUnit[[#This Row],[Código do Posto]],tabParametros[Aviso Prévio Indenizado (API) e Reflexo do Aviso Prévio Indenizado])*tabCustoUnit[[#This Row],[MODULO 1 - REMUNERAÇÃO ]]</f>
        <v>30.715514322550153</v>
      </c>
      <c r="AN139" s="22">
        <f>SUMIF(tabParametros[Código do Posto],tabCustoUnit[[#This Row],[Código do Posto]],tabParametros[Incidência do FGTS sobre API e Reflexo do API])*tabCustoUnit[[#This Row],[MODULO 1 - REMUNERAÇÃO ]]</f>
        <v>2.4572411458040126</v>
      </c>
      <c r="AO139" s="22">
        <f>SUMIF(tabParametros[Código do Posto],tabCustoUnit[[#This Row],[Código do Posto]],tabParametros[Multa Rescisória do FGTS sobre o Aviso Prévio Indenizado])*tabCustoUnit[[#This Row],[MODULO 1 - REMUNERAÇÃO ]]</f>
        <v>0.9828964583216051</v>
      </c>
      <c r="AP139" s="22">
        <f>SUMIF(tabParametros[Código do Posto],tabCustoUnit[[#This Row],[Código do Posto]],tabParametros[Aviso Prévio Trabalhado - APT])*tabCustoUnit[[#This Row],[MODULO 1 - REMUNERAÇÃO ]]</f>
        <v>15.331984150000002</v>
      </c>
      <c r="AQ139" s="22">
        <f>SUMIF(tabParametros[Código do Posto],tabCustoUnit[[#This Row],[Código do Posto]],tabParametros[Incidência dos encargos do submódulo 2.1 sobre Aviso Prévio Trabalhado])*tabCustoUnit[[#This Row],[MODULO 1 - REMUNERAÇÃO ]]</f>
        <v>5.7954900087000016</v>
      </c>
      <c r="AR139" s="22">
        <f>SUMIF(tabParametros[Código do Posto],tabCustoUnit[[#This Row],[Código do Posto]],tabParametros[Multa Rescisória do FGTS])*tabCustoUnit[[#This Row],[MODULO 1 - REMUNERAÇÃO ]]</f>
        <v>133.94800120888885</v>
      </c>
      <c r="AS139" s="22">
        <f>SUMIF(tabParametros[Código do Posto],tabCustoUnit[[#This Row],[Código do Posto]],tabParametros[Indenização Adicional (Art. 9º da Lei nº 7.238/84)])*tabCustoUnit[[#This Row],[MODULO 1 - REMUNERAÇÃO ]]</f>
        <v>3.6504724166666667</v>
      </c>
      <c r="AT139" s="22">
        <f>SUM(tabCustoUnit[[#This Row],[Aviso Prévio Indenizado (API) e Reflexo do Aviso Prévio Indenizado]:[Indenização Adicional (Art. 9º da Lei nº 7.238/84)]])</f>
        <v>192.88159971093131</v>
      </c>
      <c r="AU139" s="22">
        <f>SUMIF(tabParametros[Código do Posto],tabCustoUnit[[#This Row],[Código do Posto]],tabParametros[Ausência por Doença])*tabCustoUnit[[#This Row],[MODULO 1 - REMUNERAÇÃO ]]</f>
        <v>36.991453822222219</v>
      </c>
      <c r="AV139" s="22">
        <f>SUMIF(tabParametros[Código do Posto],tabCustoUnit[[#This Row],[Código do Posto]],tabParametros[Ausências Legais])*tabCustoUnit[[#This Row],[MODULO 1 - REMUNERAÇÃO ]]</f>
        <v>8.8828162138888871</v>
      </c>
      <c r="AW139" s="22">
        <f>SUMIF(tabParametros[Código do Posto],tabCustoUnit[[#This Row],[Código do Posto]],tabParametros[Licença Paternidade])*tabCustoUnit[[#This Row],[MODULO 1 - REMUNERAÇÃO ]]</f>
        <v>0.74834684541666663</v>
      </c>
      <c r="AX139" s="22">
        <f>SUMIF(tabParametros[Código do Posto],tabCustoUnit[[#This Row],[Código do Posto]],tabParametros[Ausência por Acidente de Trabalho])*tabCustoUnit[[#This Row],[MODULO 1 - REMUNERAÇÃO ]]</f>
        <v>0.91261810416666667</v>
      </c>
      <c r="AY139" s="22">
        <f>SUMIF(tabParametros[Código do Posto],tabCustoUnit[[#This Row],[Código do Posto]],tabParametros[Férias, Adicional de Férias e 13º  com empregada em gozo de Licença Maternidade])*tabCustoUnit[[#This Row],[MODULO 1 - REMUNERAÇÃO ]]</f>
        <v>5.678512648148148</v>
      </c>
      <c r="AZ139" s="22">
        <f>SUMIF(tabParametros[Código do Posto],tabCustoUnit[[#This Row],[Código do Posto]],tabParametros[Incidência do Submódulo 2.1 sobre Ausências Legais])*tabCustoUnit[[#This Row],[MODULO 1 - REMUNERAÇÃO ]]</f>
        <v>20.114796605592502</v>
      </c>
      <c r="BA139" s="22">
        <f>SUM(tabCustoUnit[[#This Row],[Ausência por Doença]:[Incidência do Submódulo 2.1 sobre Ausências Legais]])</f>
        <v>73.328544239435104</v>
      </c>
      <c r="BB139" s="22">
        <f>SUMIF(tabParametros[Código do Posto],tabCustoUnit[[#This Row],[Código do Posto]],tabParametros[Intervalo para Repouso ou Alimentação])</f>
        <v>0</v>
      </c>
      <c r="BC139" s="22">
        <f>tabCustoUnit[[#This Row],[Intervalo para Repouso ou Alimentação]]</f>
        <v>0</v>
      </c>
      <c r="BD13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39" s="22">
        <f>tabCustoUnit[[#This Row],[Suspensão Temporária do Contrato de Trabalho]]</f>
        <v>0</v>
      </c>
      <c r="BF139" s="22">
        <f>tabCustoUnit[[#This Row],[Submódulo 4.1]]+tabCustoUnit[[#This Row],[Submódulo 4.2]]+tabCustoUnit[[#This Row],[Submódulo 4.3]]</f>
        <v>73.328544239435104</v>
      </c>
      <c r="BG139" s="22">
        <f>VLOOKUP(tabCustoUnit[[#This Row],[Código do Posto]],tabParametros[],MATCH(tabCustoUnit[[#Headers],[Uniformes e EPIs]],tabParametros[#Headers],0),0)</f>
        <v>92.100763771570698</v>
      </c>
      <c r="BH139" s="22">
        <f>VLOOKUP(tabCustoUnit[[#This Row],[Código do Posto]],tabParametros[],MATCH(tabCustoUnit[[#Headers],[Materiais de Consumo]],tabParametros[#Headers],0),0)</f>
        <v>0</v>
      </c>
      <c r="BI139" s="22">
        <f>VLOOKUP(tabCustoUnit[[#This Row],[Código do Posto]],tabParametros[],MATCH(tabCustoUnit[[#Headers],[Máquinas e Equipamentos (depreciação)]],tabParametros[#Headers],0),0)</f>
        <v>0</v>
      </c>
      <c r="BJ139" s="22">
        <f>VLOOKUP(tabCustoUnit[[#This Row],[Código do Posto]],tabParametros[],MATCH(tabCustoUnit[[#Headers],[Produtos de Limpeza e Materiais de Higiene Pessoal]],tabParametros[#Headers],0),0)</f>
        <v>0</v>
      </c>
      <c r="BK139" s="22">
        <f>VLOOKUP(tabCustoUnit[[#This Row],[Código do Posto]],tabParametros[],MATCH(tabCustoUnit[[#Headers],[Outros (especificar)]],tabParametros[#Headers],0),0)</f>
        <v>0</v>
      </c>
      <c r="BL139" s="22">
        <f>SUM(tabCustoUnit[[#This Row],[Uniformes e EPIs]:[Outros (especificar)]])</f>
        <v>92.100763771570698</v>
      </c>
      <c r="BM13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39" s="22" t="e">
        <f ca="1">VLOOKUP(tabCustoUnit[[#This Row],[Código do Posto]],tabParametros[],MATCH(tabCustoUnit[[#Headers],[Custos Indiretos]],tabParametros[#Headers],0),0)</f>
        <v>#NAME?</v>
      </c>
      <c r="BO139" s="22" t="e">
        <f ca="1">VLOOKUP(tabCustoUnit[[#This Row],[Código do Posto]],tabParametros[],MATCH(tabCustoUnit[[#Headers],[Lucro]],tabParametros[#Headers],0),0)</f>
        <v>#NAME?</v>
      </c>
      <c r="BP139" s="26">
        <f>((100/((1-tabCustoUnit[[#This Row],[Resumo de Alíquotas (PIS+CONFINS+ISS)]]))-100)*VLOOKUP(tabCustoUnit[[#This Row],[Código do Posto]],tabParametros[],MATCH(tabCustoUnit[[#Headers],[COFINS]],tabParametros[#Headers],0),0))/(tabCustoUnit[[#This Row],[Resumo de Alíquotas (PIS+CONFINS+ISS)]]*100)</f>
        <v>8.8629737609329504E-2</v>
      </c>
      <c r="BQ139" s="26">
        <f>((100/((100-(tabCustoUnit[[#This Row],[Resumo de Alíquotas (PIS+CONFINS+ISS)]]*100))%)-100)*VLOOKUP(tabCustoUnit[[#This Row],[Código do Posto]],tabParametros[],MATCH(tabCustoUnit[[#Headers],[PIS]],tabParametros[#Headers],0),0))/(tabCustoUnit[[#This Row],[Resumo de Alíquotas (PIS+CONFINS+ISS)]]*100)</f>
        <v>1.9241982507288629E-2</v>
      </c>
      <c r="BR139" s="28">
        <f>VLOOKUP(tabCustoUnit[[#This Row],[Código do Posto]],tabParametros[],MATCH(tabCustoUnit[[#Headers],[ISS]],tabParametros[#Headers],0),0)</f>
        <v>0.05</v>
      </c>
      <c r="BS139" s="26">
        <f>(((100/((100-(tabCustoUnit[[#This Row],[Resumo de Alíquotas (PIS+CONFINS+ISS)]]*100))%)-100)*tabCustoUnit[[#This Row],[ISS]])/tabCustoUnit[[#This Row],[Resumo de Alíquotas (PIS+CONFINS+ISS)]])/100</f>
        <v>5.8309037900874633E-2</v>
      </c>
      <c r="BT13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39" s="138">
        <f>tabCustoUnit[[#This Row],[COFINS]]+tabCustoUnit[[#This Row],[PIS]]+tabCustoUnit[[#This Row],[ISS (Conversão Alíquota s/ fatura)]]</f>
        <v>0.16618075801749277</v>
      </c>
      <c r="BV139" s="22" t="e">
        <f ca="1">(tabCustoUnit[[#This Row],[TOTAL MÓDULOS 1+2+3+4+5]]+tabCustoUnit[[#This Row],[Custos Indiretos]]+tabCustoUnit[[#This Row],[Lucro]])*tabCustoUnit[[#This Row],[PIS + COFINS + ISS (Total Conversão  Alíquota s/ Fatura)]]</f>
        <v>#NAME?</v>
      </c>
      <c r="BW139" s="22" t="e">
        <f ca="1">tabCustoUnit[[#This Row],[Custos Indiretos]]+tabCustoUnit[[#This Row],[Lucro]]+tabCustoUnit[[#This Row],[Valor dos Tributos (ISS, PIS, CONFINS)]]</f>
        <v>#NAME?</v>
      </c>
      <c r="BX139" s="22" t="e">
        <f ca="1">tabCustoUnit[[#This Row],[TOTAL MÓDULOS 1+2+3+4+5]]+tabCustoUnit[[#This Row],[MÓDULO 6 – CUSTOS INDIRETOS, TRIBUTOS E LUCRO]]</f>
        <v>#NAME?</v>
      </c>
      <c r="BY139" s="22" t="e">
        <f ca="1">tabCustoUnit[[#This Row],[CUSTO TOTAL MENSAL]]*12</f>
        <v>#NAME?</v>
      </c>
      <c r="BZ139" s="24">
        <f>VLOOKUP(tabCustoUnit[[#This Row],[Código do Posto]],tabParametros[],MATCH(tabCustoUnit[[#Headers],[ANO DA CCT]],tabParametros[#Headers],0),0)</f>
        <v>45658</v>
      </c>
      <c r="CA139" s="25" t="str">
        <f>VLOOKUP(tabCustoUnit[[#This Row],[Código do Posto]],tabParametros[],MATCH(tabCustoUnit[[#Headers],[Nº DE PEDIDO DA CCT]],tabParametros[#Headers],0),0)</f>
        <v>-</v>
      </c>
      <c r="CB139" s="25" t="str">
        <f>VLOOKUP(tabCustoUnit[[#This Row],[Código do Posto]],tabParametros[],MATCH(tabCustoUnit[[#Headers],[TERMO ADITIVO ALTERAÇÃO DA CCT]],tabParametros[#Headers],0),0)</f>
        <v>-</v>
      </c>
    </row>
    <row r="140" spans="1:80">
      <c r="A140" s="20" t="s">
        <v>1594</v>
      </c>
      <c r="B140" t="s">
        <v>1132</v>
      </c>
      <c r="C140" t="s">
        <v>304</v>
      </c>
      <c r="D140" t="s">
        <v>911</v>
      </c>
      <c r="E140" s="20" t="s">
        <v>1090</v>
      </c>
      <c r="F140" s="20" t="s">
        <v>120</v>
      </c>
      <c r="G140" s="418">
        <v>1963.4110000000001</v>
      </c>
      <c r="H140" s="418">
        <v>0</v>
      </c>
      <c r="I140" s="418">
        <v>0</v>
      </c>
      <c r="J140" s="418">
        <v>0</v>
      </c>
      <c r="K140" s="418">
        <v>0</v>
      </c>
      <c r="L140" s="418">
        <v>0</v>
      </c>
      <c r="M140" s="418">
        <v>0</v>
      </c>
      <c r="N140" s="418">
        <v>0</v>
      </c>
      <c r="O140" s="21">
        <f>SUM(tabCustoUnit[[#This Row],[Salário Base]:[Adicional de Acúmulo de função]])</f>
        <v>1963.4110000000001</v>
      </c>
      <c r="P140" s="21">
        <f>tabCustoUnit[[#This Row],[MODULO 1 - REMUNERAÇÃO ]]*SUMIFS(tabParametros[INSS],tabParametros[Código do Posto],tabCustoUnit[[#This Row],[Código do Posto]])</f>
        <v>392.68220000000002</v>
      </c>
      <c r="Q140" s="21">
        <f>tabCustoUnit[[#This Row],[MODULO 1 - REMUNERAÇÃO ]]*SUMIFS(tabParametros[SESI OU SESC],tabParametros[Código do Posto],tabCustoUnit[[#This Row],[Código do Posto]])</f>
        <v>29.451165</v>
      </c>
      <c r="R140" s="21">
        <f>tabCustoUnit[[#This Row],[MODULO 1 - REMUNERAÇÃO ]]*SUMIFS(tabParametros[SENAI OU SENAC],tabParametros[Código do Posto],tabCustoUnit[[#This Row],[Código do Posto]])</f>
        <v>19.63411</v>
      </c>
      <c r="S140" s="21">
        <f>tabCustoUnit[[#This Row],[MODULO 1 - REMUNERAÇÃO ]]*SUMIFS(tabParametros[INCRA],tabParametros[Código do Posto],tabCustoUnit[[#This Row],[Código do Posto]])</f>
        <v>3.926822</v>
      </c>
      <c r="T140" s="21">
        <f>tabCustoUnit[[#This Row],[MODULO 1 - REMUNERAÇÃO ]]*SUMIFS(tabParametros[Salário Educação],tabParametros[Código do Posto],tabCustoUnit[[#This Row],[Código do Posto]])</f>
        <v>49.085275000000003</v>
      </c>
      <c r="U140" s="21">
        <f>tabCustoUnit[[#This Row],[MODULO 1 - REMUNERAÇÃO ]]*SUMIFS(tabParametros[FGTS],tabParametros[Código do Posto],tabCustoUnit[[#This Row],[Código do Posto]])</f>
        <v>157.07288</v>
      </c>
      <c r="V140" s="21">
        <f>tabCustoUnit[[#This Row],[MODULO 1 - REMUNERAÇÃO ]]*SUMIFS(tabParametros[RAT Ajustado],tabParametros[Código do Posto],tabCustoUnit[[#This Row],[Código do Posto]])</f>
        <v>78.536439999999999</v>
      </c>
      <c r="W140" s="21">
        <f>tabCustoUnit[[#This Row],[MODULO 1 - REMUNERAÇÃO ]]*SUMIFS(tabParametros[SEBRAE],tabParametros[Código do Posto],tabCustoUnit[[#This Row],[Código do Posto]])</f>
        <v>11.780466000000001</v>
      </c>
      <c r="X140" s="21">
        <f>SUM(tabCustoUnit[[#This Row],[INSS]:[SEBRAE]])</f>
        <v>742.1693580000001</v>
      </c>
      <c r="Y140" s="21">
        <f>tabCustoUnit[[#This Row],[MODULO 1 - REMUNERAÇÃO ]]*SUMIFS(tabParametros[13º salário (titular)],tabParametros[Código do Posto],tabCustoUnit[[#This Row],[Código do Posto]])</f>
        <v>163.61758333333333</v>
      </c>
      <c r="Z140" s="21">
        <f>tabCustoUnit[[#This Row],[MODULO 1 - REMUNERAÇÃO ]]*SUMIFS(tabParametros[Férias e Adicional de Férias (titular)],tabParametros[Código do Posto],tabCustoUnit[[#This Row],[Código do Posto]])</f>
        <v>218.15677777777776</v>
      </c>
      <c r="AA140" s="21">
        <f>IFERROR((tabCustoUnit[[#This Row],[Submódulo 2.1]]/tabCustoUnit[[#This Row],[MODULO 1 - REMUNERAÇÃO ]])*SUM(tabCustoUnit[[#This Row],[13º salário (titular)]:[Férias e Adicional de Férias (titular)]]),0)</f>
        <v>144.3107085</v>
      </c>
      <c r="AB140" s="21">
        <f>SUM(tabCustoUnit[[#This Row],[13º salário (titular)]:[Incidência do Submódulo 2.1 sobre 13º Salário, Férias e Adicional de Férias]])</f>
        <v>526.08506961111107</v>
      </c>
      <c r="AC140" s="22" t="e">
        <f ca="1">_xlfn.LET(_xlpm.VT,SUMIF(tabParametros[Código do Posto],tabCustoUnit[[#This Row],[Código do Posto]],tabParametros[Vale - Transporte])*2*20,
IF((_xlpm.VT-tabCustoUnit[[#This Row],[Salário Base]]*0.06)&gt;=0,(_xlpm.VT-tabCustoUnit[[#This Row],[Salário Base]]*0.06),0)
)</f>
        <v>#NAME?</v>
      </c>
      <c r="AD140" s="22">
        <f>IF(SUMIF(tabParametros[Código do Posto],tabCustoUnit[[#This Row],[Código do Posto]],tabParametros[Vale - Alimentação])&lt;=0,0,
SUMIF(tabParametros[Código do Posto],tabCustoUnit[[#This Row],[Código do Posto]],tabParametros[Vale - Alimentação])*20-1)</f>
        <v>582</v>
      </c>
      <c r="AE140" s="22">
        <f>SUMIF(tabParametros[Código do Posto],tabCustoUnit[[#This Row],[Código do Posto]],tabParametros[Cesta Básica])</f>
        <v>0</v>
      </c>
      <c r="AF140" s="22">
        <f>SUMIF(tabParametros[Código do Posto],tabCustoUnit[[#This Row],[Código do Posto]],tabParametros[PAF])</f>
        <v>51.74</v>
      </c>
      <c r="AG140" s="22">
        <f>SUMIF(tabParametros[Código do Posto],tabCustoUnit[[#This Row],[Código do Posto]],tabParametros[PQM])</f>
        <v>0</v>
      </c>
      <c r="AH140" s="22">
        <f>SUMIF(tabParametros[Código do Posto],tabCustoUnit[[#This Row],[Código do Posto]],tabParametros[Abono Único e Especial])</f>
        <v>0</v>
      </c>
      <c r="AI140" s="22">
        <f>SUMIF(tabParametros[Código do Posto],tabCustoUnit[[#This Row],[Código do Posto]],tabParametros[Seguro de Vida])</f>
        <v>3.36</v>
      </c>
      <c r="AJ140" s="22">
        <f>SUMIF(tabParametros[Código do Posto],tabCustoUnit[[#This Row],[Código do Posto]],tabParametros[Despesas de Viagem])</f>
        <v>0</v>
      </c>
      <c r="AK140" s="22" t="e">
        <f ca="1">SUM(tabCustoUnit[[#This Row],[Vale - Transporte (Descontada parcela do empregado)]:[Despesas de Viagem]])</f>
        <v>#NAME?</v>
      </c>
      <c r="AL140" s="22" t="e">
        <f ca="1">tabCustoUnit[[#This Row],[Submódulo 2.1]]+tabCustoUnit[[#This Row],[Submódulo 2.2]]+tabCustoUnit[[#This Row],[Submódulo 2.3]]</f>
        <v>#NAME?</v>
      </c>
      <c r="AM140" s="22">
        <f>SUMIF(tabParametros[Código do Posto],tabCustoUnit[[#This Row],[Código do Posto]],tabParametros[Aviso Prévio Indenizado (API) e Reflexo do Aviso Prévio Indenizado])*tabCustoUnit[[#This Row],[MODULO 1 - REMUNERAÇÃO ]]</f>
        <v>13.766980408757716</v>
      </c>
      <c r="AN140" s="22">
        <f>SUMIF(tabParametros[Código do Posto],tabCustoUnit[[#This Row],[Código do Posto]],tabParametros[Incidência do FGTS sobre API e Reflexo do API])*tabCustoUnit[[#This Row],[MODULO 1 - REMUNERAÇÃO ]]</f>
        <v>1.1013584327006174</v>
      </c>
      <c r="AO140" s="22">
        <f>SUMIF(tabParametros[Código do Posto],tabCustoUnit[[#This Row],[Código do Posto]],tabParametros[Multa Rescisória do FGTS sobre o Aviso Prévio Indenizado])*tabCustoUnit[[#This Row],[MODULO 1 - REMUNERAÇÃO ]]</f>
        <v>0.44054337308024699</v>
      </c>
      <c r="AP140" s="22">
        <f>SUMIF(tabParametros[Código do Posto],tabCustoUnit[[#This Row],[Código do Posto]],tabParametros[Aviso Prévio Trabalhado - APT])*tabCustoUnit[[#This Row],[MODULO 1 - REMUNERAÇÃO ]]</f>
        <v>6.8719385000000015</v>
      </c>
      <c r="AQ140" s="22">
        <f>SUMIF(tabParametros[Código do Posto],tabCustoUnit[[#This Row],[Código do Posto]],tabParametros[Incidência dos encargos do submódulo 2.1 sobre Aviso Prévio Trabalhado])*tabCustoUnit[[#This Row],[MODULO 1 - REMUNERAÇÃO ]]</f>
        <v>2.5975927530000007</v>
      </c>
      <c r="AR140" s="22">
        <f>SUMIF(tabParametros[Código do Posto],tabCustoUnit[[#This Row],[Código do Posto]],tabParametros[Multa Rescisória do FGTS])*tabCustoUnit[[#This Row],[MODULO 1 - REMUNERAÇÃO ]]</f>
        <v>60.03674524444444</v>
      </c>
      <c r="AS140" s="22">
        <f>SUMIF(tabParametros[Código do Posto],tabCustoUnit[[#This Row],[Código do Posto]],tabParametros[Indenização Adicional (Art. 9º da Lei nº 7.238/84)])*tabCustoUnit[[#This Row],[MODULO 1 - REMUNERAÇÃO ]]</f>
        <v>1.6361758333333334</v>
      </c>
      <c r="AT140" s="22">
        <f>SUM(tabCustoUnit[[#This Row],[Aviso Prévio Indenizado (API) e Reflexo do Aviso Prévio Indenizado]:[Indenização Adicional (Art. 9º da Lei nº 7.238/84)]])</f>
        <v>86.451334545316371</v>
      </c>
      <c r="AU140" s="22">
        <f>SUMIF(tabParametros[Código do Posto],tabCustoUnit[[#This Row],[Código do Posto]],tabParametros[Ausência por Doença])*tabCustoUnit[[#This Row],[MODULO 1 - REMUNERAÇÃO ]]</f>
        <v>16.579915111111109</v>
      </c>
      <c r="AV140" s="22">
        <f>SUMIF(tabParametros[Código do Posto],tabCustoUnit[[#This Row],[Código do Posto]],tabParametros[Ausências Legais])*tabCustoUnit[[#This Row],[MODULO 1 - REMUNERAÇÃO ]]</f>
        <v>3.9813611944444443</v>
      </c>
      <c r="AW140" s="22">
        <f>SUMIF(tabParametros[Código do Posto],tabCustoUnit[[#This Row],[Código do Posto]],tabParametros[Licença Paternidade])*tabCustoUnit[[#This Row],[MODULO 1 - REMUNERAÇÃO ]]</f>
        <v>0.33541604583333334</v>
      </c>
      <c r="AX140" s="22">
        <f>SUMIF(tabParametros[Código do Posto],tabCustoUnit[[#This Row],[Código do Posto]],tabParametros[Ausência por Acidente de Trabalho])*tabCustoUnit[[#This Row],[MODULO 1 - REMUNERAÇÃO ]]</f>
        <v>0.40904395833333335</v>
      </c>
      <c r="AY140" s="22">
        <f>SUMIF(tabParametros[Código do Posto],tabCustoUnit[[#This Row],[Código do Posto]],tabParametros[Férias, Adicional de Férias e 13º  com empregada em gozo de Licença Maternidade])*tabCustoUnit[[#This Row],[MODULO 1 - REMUNERAÇÃO ]]</f>
        <v>2.5451624074074073</v>
      </c>
      <c r="AZ140" s="22">
        <f>SUMIF(tabParametros[Código do Posto],tabCustoUnit[[#This Row],[Código do Posto]],tabParametros[Incidência do Submódulo 2.1 sobre Ausências Legais])*tabCustoUnit[[#This Row],[MODULO 1 - REMUNERAÇÃO ]]</f>
        <v>9.0156397150750021</v>
      </c>
      <c r="BA140" s="22">
        <f>SUM(tabCustoUnit[[#This Row],[Ausência por Doença]:[Incidência do Submódulo 2.1 sobre Ausências Legais]])</f>
        <v>32.866538432204628</v>
      </c>
      <c r="BB140" s="22">
        <f>SUMIF(tabParametros[Código do Posto],tabCustoUnit[[#This Row],[Código do Posto]],tabParametros[Intervalo para Repouso ou Alimentação])</f>
        <v>217.37764744799577</v>
      </c>
      <c r="BC140" s="22">
        <f>tabCustoUnit[[#This Row],[Intervalo para Repouso ou Alimentação]]</f>
        <v>217.37764744799577</v>
      </c>
      <c r="BD14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0" s="22">
        <f>tabCustoUnit[[#This Row],[Suspensão Temporária do Contrato de Trabalho]]</f>
        <v>0</v>
      </c>
      <c r="BF140" s="22">
        <f>tabCustoUnit[[#This Row],[Submódulo 4.1]]+tabCustoUnit[[#This Row],[Submódulo 4.2]]+tabCustoUnit[[#This Row],[Submódulo 4.3]]</f>
        <v>250.2441858802004</v>
      </c>
      <c r="BG140" s="22">
        <f>VLOOKUP(tabCustoUnit[[#This Row],[Código do Posto]],tabParametros[],MATCH(tabCustoUnit[[#Headers],[Uniformes e EPIs]],tabParametros[#Headers],0),0)</f>
        <v>56.642978962543395</v>
      </c>
      <c r="BH140" s="22">
        <f>VLOOKUP(tabCustoUnit[[#This Row],[Código do Posto]],tabParametros[],MATCH(tabCustoUnit[[#Headers],[Materiais de Consumo]],tabParametros[#Headers],0),0)</f>
        <v>0</v>
      </c>
      <c r="BI140" s="22">
        <f>VLOOKUP(tabCustoUnit[[#This Row],[Código do Posto]],tabParametros[],MATCH(tabCustoUnit[[#Headers],[Máquinas e Equipamentos (depreciação)]],tabParametros[#Headers],0),0)</f>
        <v>0</v>
      </c>
      <c r="BJ140" s="22">
        <f>VLOOKUP(tabCustoUnit[[#This Row],[Código do Posto]],tabParametros[],MATCH(tabCustoUnit[[#Headers],[Produtos de Limpeza e Materiais de Higiene Pessoal]],tabParametros[#Headers],0),0)</f>
        <v>0</v>
      </c>
      <c r="BK140" s="22">
        <f>VLOOKUP(tabCustoUnit[[#This Row],[Código do Posto]],tabParametros[],MATCH(tabCustoUnit[[#Headers],[Outros (especificar)]],tabParametros[#Headers],0),0)</f>
        <v>0</v>
      </c>
      <c r="BL140" s="22">
        <f>SUM(tabCustoUnit[[#This Row],[Uniformes e EPIs]:[Outros (especificar)]])</f>
        <v>56.642978962543395</v>
      </c>
      <c r="BM14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0" s="22" t="e">
        <f ca="1">VLOOKUP(tabCustoUnit[[#This Row],[Código do Posto]],tabParametros[],MATCH(tabCustoUnit[[#Headers],[Custos Indiretos]],tabParametros[#Headers],0),0)</f>
        <v>#NAME?</v>
      </c>
      <c r="BO140" s="22" t="e">
        <f ca="1">VLOOKUP(tabCustoUnit[[#This Row],[Código do Posto]],tabParametros[],MATCH(tabCustoUnit[[#Headers],[Lucro]],tabParametros[#Headers],0),0)</f>
        <v>#NAME?</v>
      </c>
      <c r="BP140" s="26">
        <f>((100/((1-tabCustoUnit[[#This Row],[Resumo de Alíquotas (PIS+CONFINS+ISS)]]))-100)*VLOOKUP(tabCustoUnit[[#This Row],[Código do Posto]],tabParametros[],MATCH(tabCustoUnit[[#Headers],[COFINS]],tabParametros[#Headers],0),0))/(tabCustoUnit[[#This Row],[Resumo de Alíquotas (PIS+CONFINS+ISS)]]*100)</f>
        <v>8.8629737609329504E-2</v>
      </c>
      <c r="BQ140" s="26">
        <f>((100/((100-(tabCustoUnit[[#This Row],[Resumo de Alíquotas (PIS+CONFINS+ISS)]]*100))%)-100)*VLOOKUP(tabCustoUnit[[#This Row],[Código do Posto]],tabParametros[],MATCH(tabCustoUnit[[#Headers],[PIS]],tabParametros[#Headers],0),0))/(tabCustoUnit[[#This Row],[Resumo de Alíquotas (PIS+CONFINS+ISS)]]*100)</f>
        <v>1.9241982507288629E-2</v>
      </c>
      <c r="BR140" s="28">
        <f>VLOOKUP(tabCustoUnit[[#This Row],[Código do Posto]],tabParametros[],MATCH(tabCustoUnit[[#Headers],[ISS]],tabParametros[#Headers],0),0)</f>
        <v>0.05</v>
      </c>
      <c r="BS140" s="26">
        <f>(((100/((100-(tabCustoUnit[[#This Row],[Resumo de Alíquotas (PIS+CONFINS+ISS)]]*100))%)-100)*tabCustoUnit[[#This Row],[ISS]])/tabCustoUnit[[#This Row],[Resumo de Alíquotas (PIS+CONFINS+ISS)]])/100</f>
        <v>5.8309037900874633E-2</v>
      </c>
      <c r="BT14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40" s="138">
        <f>tabCustoUnit[[#This Row],[COFINS]]+tabCustoUnit[[#This Row],[PIS]]+tabCustoUnit[[#This Row],[ISS (Conversão Alíquota s/ fatura)]]</f>
        <v>0.16618075801749277</v>
      </c>
      <c r="BV140" s="22" t="e">
        <f ca="1">(tabCustoUnit[[#This Row],[TOTAL MÓDULOS 1+2+3+4+5]]+tabCustoUnit[[#This Row],[Custos Indiretos]]+tabCustoUnit[[#This Row],[Lucro]])*tabCustoUnit[[#This Row],[PIS + COFINS + ISS (Total Conversão  Alíquota s/ Fatura)]]</f>
        <v>#NAME?</v>
      </c>
      <c r="BW140" s="22" t="e">
        <f ca="1">tabCustoUnit[[#This Row],[Custos Indiretos]]+tabCustoUnit[[#This Row],[Lucro]]+tabCustoUnit[[#This Row],[Valor dos Tributos (ISS, PIS, CONFINS)]]</f>
        <v>#NAME?</v>
      </c>
      <c r="BX140" s="22" t="e">
        <f ca="1">tabCustoUnit[[#This Row],[TOTAL MÓDULOS 1+2+3+4+5]]+tabCustoUnit[[#This Row],[MÓDULO 6 – CUSTOS INDIRETOS, TRIBUTOS E LUCRO]]</f>
        <v>#NAME?</v>
      </c>
      <c r="BY140" s="22" t="e">
        <f ca="1">tabCustoUnit[[#This Row],[CUSTO TOTAL MENSAL]]*12</f>
        <v>#NAME?</v>
      </c>
      <c r="BZ140" s="24">
        <f>VLOOKUP(tabCustoUnit[[#This Row],[Código do Posto]],tabParametros[],MATCH(tabCustoUnit[[#Headers],[ANO DA CCT]],tabParametros[#Headers],0),0)</f>
        <v>45658</v>
      </c>
      <c r="CA140" s="25" t="str">
        <f>VLOOKUP(tabCustoUnit[[#This Row],[Código do Posto]],tabParametros[],MATCH(tabCustoUnit[[#Headers],[Nº DE PEDIDO DA CCT]],tabParametros[#Headers],0),0)</f>
        <v>-</v>
      </c>
      <c r="CB140" s="25" t="str">
        <f>VLOOKUP(tabCustoUnit[[#This Row],[Código do Posto]],tabParametros[],MATCH(tabCustoUnit[[#Headers],[TERMO ADITIVO ALTERAÇÃO DA CCT]],tabParametros[#Headers],0),0)</f>
        <v>-</v>
      </c>
    </row>
    <row r="141" spans="1:80">
      <c r="A141" s="20" t="s">
        <v>1595</v>
      </c>
      <c r="B141" t="s">
        <v>1132</v>
      </c>
      <c r="C141" t="s">
        <v>324</v>
      </c>
      <c r="D141" t="s">
        <v>911</v>
      </c>
      <c r="E141" s="20" t="s">
        <v>1090</v>
      </c>
      <c r="F141" s="20" t="s">
        <v>120</v>
      </c>
      <c r="G141" s="418">
        <v>3397.1306</v>
      </c>
      <c r="H141" s="418">
        <v>0</v>
      </c>
      <c r="I141" s="418">
        <v>0</v>
      </c>
      <c r="J141" s="418">
        <v>0</v>
      </c>
      <c r="K141" s="418">
        <v>0</v>
      </c>
      <c r="L141" s="418">
        <v>0</v>
      </c>
      <c r="M141" s="418">
        <v>0</v>
      </c>
      <c r="N141" s="418">
        <v>0</v>
      </c>
      <c r="O141" s="21">
        <f>SUM(tabCustoUnit[[#This Row],[Salário Base]:[Adicional de Acúmulo de função]])</f>
        <v>3397.1306</v>
      </c>
      <c r="P141" s="21">
        <f>tabCustoUnit[[#This Row],[MODULO 1 - REMUNERAÇÃO ]]*SUMIFS(tabParametros[INSS],tabParametros[Código do Posto],tabCustoUnit[[#This Row],[Código do Posto]])</f>
        <v>679.42612000000008</v>
      </c>
      <c r="Q141" s="21">
        <f>tabCustoUnit[[#This Row],[MODULO 1 - REMUNERAÇÃO ]]*SUMIFS(tabParametros[SESI OU SESC],tabParametros[Código do Posto],tabCustoUnit[[#This Row],[Código do Posto]])</f>
        <v>50.956958999999998</v>
      </c>
      <c r="R141" s="21">
        <f>tabCustoUnit[[#This Row],[MODULO 1 - REMUNERAÇÃO ]]*SUMIFS(tabParametros[SENAI OU SENAC],tabParametros[Código do Posto],tabCustoUnit[[#This Row],[Código do Posto]])</f>
        <v>33.971305999999998</v>
      </c>
      <c r="S141" s="21">
        <f>tabCustoUnit[[#This Row],[MODULO 1 - REMUNERAÇÃO ]]*SUMIFS(tabParametros[INCRA],tabParametros[Código do Posto],tabCustoUnit[[#This Row],[Código do Posto]])</f>
        <v>6.7942612000000002</v>
      </c>
      <c r="T141" s="21">
        <f>tabCustoUnit[[#This Row],[MODULO 1 - REMUNERAÇÃO ]]*SUMIFS(tabParametros[Salário Educação],tabParametros[Código do Posto],tabCustoUnit[[#This Row],[Código do Posto]])</f>
        <v>84.92826500000001</v>
      </c>
      <c r="U141" s="21">
        <f>tabCustoUnit[[#This Row],[MODULO 1 - REMUNERAÇÃO ]]*SUMIFS(tabParametros[FGTS],tabParametros[Código do Posto],tabCustoUnit[[#This Row],[Código do Posto]])</f>
        <v>271.77044799999999</v>
      </c>
      <c r="V141" s="21">
        <f>tabCustoUnit[[#This Row],[MODULO 1 - REMUNERAÇÃO ]]*SUMIFS(tabParametros[RAT Ajustado],tabParametros[Código do Posto],tabCustoUnit[[#This Row],[Código do Posto]])</f>
        <v>135.88522399999999</v>
      </c>
      <c r="W141" s="21">
        <f>tabCustoUnit[[#This Row],[MODULO 1 - REMUNERAÇÃO ]]*SUMIFS(tabParametros[SEBRAE],tabParametros[Código do Posto],tabCustoUnit[[#This Row],[Código do Posto]])</f>
        <v>20.3827836</v>
      </c>
      <c r="X141" s="21">
        <f>SUM(tabCustoUnit[[#This Row],[INSS]:[SEBRAE]])</f>
        <v>1284.1153668000002</v>
      </c>
      <c r="Y141" s="21">
        <f>tabCustoUnit[[#This Row],[MODULO 1 - REMUNERAÇÃO ]]*SUMIFS(tabParametros[13º salário (titular)],tabParametros[Código do Posto],tabCustoUnit[[#This Row],[Código do Posto]])</f>
        <v>283.09421666666663</v>
      </c>
      <c r="Z141" s="21">
        <f>tabCustoUnit[[#This Row],[MODULO 1 - REMUNERAÇÃO ]]*SUMIFS(tabParametros[Férias e Adicional de Férias (titular)],tabParametros[Código do Posto],tabCustoUnit[[#This Row],[Código do Posto]])</f>
        <v>377.45895555555552</v>
      </c>
      <c r="AA141" s="21">
        <f>IFERROR((tabCustoUnit[[#This Row],[Submódulo 2.1]]/tabCustoUnit[[#This Row],[MODULO 1 - REMUNERAÇÃO ]])*SUM(tabCustoUnit[[#This Row],[13º salário (titular)]:[Férias e Adicional de Férias (titular)]]),0)</f>
        <v>249.68909910000002</v>
      </c>
      <c r="AB141" s="21">
        <f>SUM(tabCustoUnit[[#This Row],[13º salário (titular)]:[Incidência do Submódulo 2.1 sobre 13º Salário, Férias e Adicional de Férias]])</f>
        <v>910.24227132222222</v>
      </c>
      <c r="AC141" s="22" t="e">
        <f ca="1">_xlfn.LET(_xlpm.VT,SUMIF(tabParametros[Código do Posto],tabCustoUnit[[#This Row],[Código do Posto]],tabParametros[Vale - Transporte])*2*20,
IF((_xlpm.VT-tabCustoUnit[[#This Row],[Salário Base]]*0.06)&gt;=0,(_xlpm.VT-tabCustoUnit[[#This Row],[Salário Base]]*0.06),0)
)</f>
        <v>#NAME?</v>
      </c>
      <c r="AD141" s="22">
        <f>IF(SUMIF(tabParametros[Código do Posto],tabCustoUnit[[#This Row],[Código do Posto]],tabParametros[Vale - Alimentação])&lt;=0,0,
SUMIF(tabParametros[Código do Posto],tabCustoUnit[[#This Row],[Código do Posto]],tabParametros[Vale - Alimentação])*20-1)</f>
        <v>582</v>
      </c>
      <c r="AE141" s="22">
        <f>SUMIF(tabParametros[Código do Posto],tabCustoUnit[[#This Row],[Código do Posto]],tabParametros[Cesta Básica])</f>
        <v>0</v>
      </c>
      <c r="AF141" s="22">
        <f>SUMIF(tabParametros[Código do Posto],tabCustoUnit[[#This Row],[Código do Posto]],tabParametros[PAF])</f>
        <v>51.74</v>
      </c>
      <c r="AG141" s="22">
        <f>SUMIF(tabParametros[Código do Posto],tabCustoUnit[[#This Row],[Código do Posto]],tabParametros[PQM])</f>
        <v>0</v>
      </c>
      <c r="AH141" s="22">
        <f>SUMIF(tabParametros[Código do Posto],tabCustoUnit[[#This Row],[Código do Posto]],tabParametros[Abono Único e Especial])</f>
        <v>0</v>
      </c>
      <c r="AI141" s="22">
        <f>SUMIF(tabParametros[Código do Posto],tabCustoUnit[[#This Row],[Código do Posto]],tabParametros[Seguro de Vida])</f>
        <v>3.36</v>
      </c>
      <c r="AJ141" s="22">
        <f>SUMIF(tabParametros[Código do Posto],tabCustoUnit[[#This Row],[Código do Posto]],tabParametros[Despesas de Viagem])</f>
        <v>0</v>
      </c>
      <c r="AK141" s="22" t="e">
        <f ca="1">SUM(tabCustoUnit[[#This Row],[Vale - Transporte (Descontada parcela do empregado)]:[Despesas de Viagem]])</f>
        <v>#NAME?</v>
      </c>
      <c r="AL141" s="22" t="e">
        <f ca="1">tabCustoUnit[[#This Row],[Submódulo 2.1]]+tabCustoUnit[[#This Row],[Submódulo 2.2]]+tabCustoUnit[[#This Row],[Submódulo 2.3]]</f>
        <v>#NAME?</v>
      </c>
      <c r="AM141" s="22">
        <f>SUMIF(tabParametros[Código do Posto],tabCustoUnit[[#This Row],[Código do Posto]],tabParametros[Aviso Prévio Indenizado (API) e Reflexo do Aviso Prévio Indenizado])*tabCustoUnit[[#This Row],[MODULO 1 - REMUNERAÇÃO ]]</f>
        <v>23.819888151890432</v>
      </c>
      <c r="AN141" s="22">
        <f>SUMIF(tabParametros[Código do Posto],tabCustoUnit[[#This Row],[Código do Posto]],tabParametros[Incidência do FGTS sobre API e Reflexo do API])*tabCustoUnit[[#This Row],[MODULO 1 - REMUNERAÇÃO ]]</f>
        <v>1.9055910521512347</v>
      </c>
      <c r="AO141" s="22">
        <f>SUMIF(tabParametros[Código do Posto],tabCustoUnit[[#This Row],[Código do Posto]],tabParametros[Multa Rescisória do FGTS sobre o Aviso Prévio Indenizado])*tabCustoUnit[[#This Row],[MODULO 1 - REMUNERAÇÃO ]]</f>
        <v>0.76223642086049392</v>
      </c>
      <c r="AP141" s="22">
        <f>SUMIF(tabParametros[Código do Posto],tabCustoUnit[[#This Row],[Código do Posto]],tabParametros[Aviso Prévio Trabalhado - APT])*tabCustoUnit[[#This Row],[MODULO 1 - REMUNERAÇÃO ]]</f>
        <v>11.889957100000002</v>
      </c>
      <c r="AQ141" s="22">
        <f>SUMIF(tabParametros[Código do Posto],tabCustoUnit[[#This Row],[Código do Posto]],tabParametros[Incidência dos encargos do submódulo 2.1 sobre Aviso Prévio Trabalhado])*tabCustoUnit[[#This Row],[MODULO 1 - REMUNERAÇÃO ]]</f>
        <v>4.4944037838000011</v>
      </c>
      <c r="AR141" s="22">
        <f>SUMIF(tabParametros[Código do Posto],tabCustoUnit[[#This Row],[Código do Posto]],tabParametros[Multa Rescisória do FGTS])*tabCustoUnit[[#This Row],[MODULO 1 - REMUNERAÇÃO ]]</f>
        <v>103.87670456888887</v>
      </c>
      <c r="AS141" s="22">
        <f>SUMIF(tabParametros[Código do Posto],tabCustoUnit[[#This Row],[Código do Posto]],tabParametros[Indenização Adicional (Art. 9º da Lei nº 7.238/84)])*tabCustoUnit[[#This Row],[MODULO 1 - REMUNERAÇÃO ]]</f>
        <v>2.830942166666667</v>
      </c>
      <c r="AT141" s="22">
        <f>SUM(tabCustoUnit[[#This Row],[Aviso Prévio Indenizado (API) e Reflexo do Aviso Prévio Indenizado]:[Indenização Adicional (Art. 9º da Lei nº 7.238/84)]])</f>
        <v>149.57972324425771</v>
      </c>
      <c r="AU141" s="22">
        <f>SUMIF(tabParametros[Código do Posto],tabCustoUnit[[#This Row],[Código do Posto]],tabParametros[Ausência por Doença])*tabCustoUnit[[#This Row],[MODULO 1 - REMUNERAÇÃO ]]</f>
        <v>28.686880622222219</v>
      </c>
      <c r="AV141" s="22">
        <f>SUMIF(tabParametros[Código do Posto],tabCustoUnit[[#This Row],[Código do Posto]],tabParametros[Ausências Legais])*tabCustoUnit[[#This Row],[MODULO 1 - REMUNERAÇÃO ]]</f>
        <v>6.8886259388888886</v>
      </c>
      <c r="AW141" s="22">
        <f>SUMIF(tabParametros[Código do Posto],tabCustoUnit[[#This Row],[Código do Posto]],tabParametros[Licença Paternidade])*tabCustoUnit[[#This Row],[MODULO 1 - REMUNERAÇÃO ]]</f>
        <v>0.58034314416666666</v>
      </c>
      <c r="AX141" s="22">
        <f>SUMIF(tabParametros[Código do Posto],tabCustoUnit[[#This Row],[Código do Posto]],tabParametros[Ausência por Acidente de Trabalho])*tabCustoUnit[[#This Row],[MODULO 1 - REMUNERAÇÃO ]]</f>
        <v>0.70773554166666675</v>
      </c>
      <c r="AY141" s="22">
        <f>SUMIF(tabParametros[Código do Posto],tabCustoUnit[[#This Row],[Código do Posto]],tabParametros[Férias, Adicional de Férias e 13º  com empregada em gozo de Licença Maternidade])*tabCustoUnit[[#This Row],[MODULO 1 - REMUNERAÇÃO ]]</f>
        <v>4.4036878148148144</v>
      </c>
      <c r="AZ141" s="22">
        <f>SUMIF(tabParametros[Código do Posto],tabCustoUnit[[#This Row],[Código do Posto]],tabParametros[Incidência do Submódulo 2.1 sobre Ausências Legais])*tabCustoUnit[[#This Row],[MODULO 1 - REMUNERAÇÃO ]]</f>
        <v>15.599029217345002</v>
      </c>
      <c r="BA141" s="22">
        <f>SUM(tabCustoUnit[[#This Row],[Ausência por Doença]:[Incidência do Submódulo 2.1 sobre Ausências Legais]])</f>
        <v>56.866302279104261</v>
      </c>
      <c r="BB141" s="22">
        <f>SUMIF(tabParametros[Código do Posto],tabCustoUnit[[#This Row],[Código do Posto]],tabParametros[Intervalo para Repouso ou Alimentação])</f>
        <v>0</v>
      </c>
      <c r="BC141" s="22">
        <f>tabCustoUnit[[#This Row],[Intervalo para Repouso ou Alimentação]]</f>
        <v>0</v>
      </c>
      <c r="BD14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1" s="22">
        <f>tabCustoUnit[[#This Row],[Suspensão Temporária do Contrato de Trabalho]]</f>
        <v>0</v>
      </c>
      <c r="BF141" s="22">
        <f>tabCustoUnit[[#This Row],[Submódulo 4.1]]+tabCustoUnit[[#This Row],[Submódulo 4.2]]+tabCustoUnit[[#This Row],[Submódulo 4.3]]</f>
        <v>56.866302279104261</v>
      </c>
      <c r="BG141" s="22">
        <f>VLOOKUP(tabCustoUnit[[#This Row],[Código do Posto]],tabParametros[],MATCH(tabCustoUnit[[#Headers],[Uniformes e EPIs]],tabParametros[#Headers],0),0)</f>
        <v>56.642978962543395</v>
      </c>
      <c r="BH141" s="22">
        <f>VLOOKUP(tabCustoUnit[[#This Row],[Código do Posto]],tabParametros[],MATCH(tabCustoUnit[[#Headers],[Materiais de Consumo]],tabParametros[#Headers],0),0)</f>
        <v>0</v>
      </c>
      <c r="BI141" s="22">
        <f>VLOOKUP(tabCustoUnit[[#This Row],[Código do Posto]],tabParametros[],MATCH(tabCustoUnit[[#Headers],[Máquinas e Equipamentos (depreciação)]],tabParametros[#Headers],0),0)</f>
        <v>0</v>
      </c>
      <c r="BJ141" s="22">
        <f>VLOOKUP(tabCustoUnit[[#This Row],[Código do Posto]],tabParametros[],MATCH(tabCustoUnit[[#Headers],[Produtos de Limpeza e Materiais de Higiene Pessoal]],tabParametros[#Headers],0),0)</f>
        <v>0</v>
      </c>
      <c r="BK141" s="22">
        <f>VLOOKUP(tabCustoUnit[[#This Row],[Código do Posto]],tabParametros[],MATCH(tabCustoUnit[[#Headers],[Outros (especificar)]],tabParametros[#Headers],0),0)</f>
        <v>0</v>
      </c>
      <c r="BL141" s="22">
        <f>SUM(tabCustoUnit[[#This Row],[Uniformes e EPIs]:[Outros (especificar)]])</f>
        <v>56.642978962543395</v>
      </c>
      <c r="BM14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1" s="22" t="e">
        <f ca="1">VLOOKUP(tabCustoUnit[[#This Row],[Código do Posto]],tabParametros[],MATCH(tabCustoUnit[[#Headers],[Custos Indiretos]],tabParametros[#Headers],0),0)</f>
        <v>#NAME?</v>
      </c>
      <c r="BO141" s="22" t="e">
        <f ca="1">VLOOKUP(tabCustoUnit[[#This Row],[Código do Posto]],tabParametros[],MATCH(tabCustoUnit[[#Headers],[Lucro]],tabParametros[#Headers],0),0)</f>
        <v>#NAME?</v>
      </c>
      <c r="BP141" s="26">
        <f>((100/((1-tabCustoUnit[[#This Row],[Resumo de Alíquotas (PIS+CONFINS+ISS)]]))-100)*VLOOKUP(tabCustoUnit[[#This Row],[Código do Posto]],tabParametros[],MATCH(tabCustoUnit[[#Headers],[COFINS]],tabParametros[#Headers],0),0))/(tabCustoUnit[[#This Row],[Resumo de Alíquotas (PIS+CONFINS+ISS)]]*100)</f>
        <v>8.8629737609329504E-2</v>
      </c>
      <c r="BQ141" s="26">
        <f>((100/((100-(tabCustoUnit[[#This Row],[Resumo de Alíquotas (PIS+CONFINS+ISS)]]*100))%)-100)*VLOOKUP(tabCustoUnit[[#This Row],[Código do Posto]],tabParametros[],MATCH(tabCustoUnit[[#Headers],[PIS]],tabParametros[#Headers],0),0))/(tabCustoUnit[[#This Row],[Resumo de Alíquotas (PIS+CONFINS+ISS)]]*100)</f>
        <v>1.9241982507288629E-2</v>
      </c>
      <c r="BR141" s="28">
        <f>VLOOKUP(tabCustoUnit[[#This Row],[Código do Posto]],tabParametros[],MATCH(tabCustoUnit[[#Headers],[ISS]],tabParametros[#Headers],0),0)</f>
        <v>0.05</v>
      </c>
      <c r="BS141" s="26">
        <f>(((100/((100-(tabCustoUnit[[#This Row],[Resumo de Alíquotas (PIS+CONFINS+ISS)]]*100))%)-100)*tabCustoUnit[[#This Row],[ISS]])/tabCustoUnit[[#This Row],[Resumo de Alíquotas (PIS+CONFINS+ISS)]])/100</f>
        <v>5.8309037900874633E-2</v>
      </c>
      <c r="BT14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41" s="138">
        <f>tabCustoUnit[[#This Row],[COFINS]]+tabCustoUnit[[#This Row],[PIS]]+tabCustoUnit[[#This Row],[ISS (Conversão Alíquota s/ fatura)]]</f>
        <v>0.16618075801749277</v>
      </c>
      <c r="BV141" s="22" t="e">
        <f ca="1">(tabCustoUnit[[#This Row],[TOTAL MÓDULOS 1+2+3+4+5]]+tabCustoUnit[[#This Row],[Custos Indiretos]]+tabCustoUnit[[#This Row],[Lucro]])*tabCustoUnit[[#This Row],[PIS + COFINS + ISS (Total Conversão  Alíquota s/ Fatura)]]</f>
        <v>#NAME?</v>
      </c>
      <c r="BW141" s="22" t="e">
        <f ca="1">tabCustoUnit[[#This Row],[Custos Indiretos]]+tabCustoUnit[[#This Row],[Lucro]]+tabCustoUnit[[#This Row],[Valor dos Tributos (ISS, PIS, CONFINS)]]</f>
        <v>#NAME?</v>
      </c>
      <c r="BX141" s="22" t="e">
        <f ca="1">tabCustoUnit[[#This Row],[TOTAL MÓDULOS 1+2+3+4+5]]+tabCustoUnit[[#This Row],[MÓDULO 6 – CUSTOS INDIRETOS, TRIBUTOS E LUCRO]]</f>
        <v>#NAME?</v>
      </c>
      <c r="BY141" s="22" t="e">
        <f ca="1">tabCustoUnit[[#This Row],[CUSTO TOTAL MENSAL]]*12</f>
        <v>#NAME?</v>
      </c>
      <c r="BZ141" s="24">
        <f>VLOOKUP(tabCustoUnit[[#This Row],[Código do Posto]],tabParametros[],MATCH(tabCustoUnit[[#Headers],[ANO DA CCT]],tabParametros[#Headers],0),0)</f>
        <v>45658</v>
      </c>
      <c r="CA141" s="25" t="str">
        <f>VLOOKUP(tabCustoUnit[[#This Row],[Código do Posto]],tabParametros[],MATCH(tabCustoUnit[[#Headers],[Nº DE PEDIDO DA CCT]],tabParametros[#Headers],0),0)</f>
        <v>-</v>
      </c>
      <c r="CB141" s="25" t="str">
        <f>VLOOKUP(tabCustoUnit[[#This Row],[Código do Posto]],tabParametros[],MATCH(tabCustoUnit[[#Headers],[TERMO ADITIVO ALTERAÇÃO DA CCT]],tabParametros[#Headers],0),0)</f>
        <v>-</v>
      </c>
    </row>
    <row r="142" spans="1:80">
      <c r="A142" s="20" t="s">
        <v>1596</v>
      </c>
      <c r="B142" t="s">
        <v>1133</v>
      </c>
      <c r="C142" t="s">
        <v>1366</v>
      </c>
      <c r="D142" t="s">
        <v>1041</v>
      </c>
      <c r="E142" s="20" t="s">
        <v>1090</v>
      </c>
      <c r="F142" s="20" t="s">
        <v>120</v>
      </c>
      <c r="G142" s="418">
        <v>1043.7162000000001</v>
      </c>
      <c r="H142" s="418">
        <v>0</v>
      </c>
      <c r="I142" s="418">
        <v>303.60000000000002</v>
      </c>
      <c r="J142" s="418">
        <v>0</v>
      </c>
      <c r="K142" s="418">
        <v>0</v>
      </c>
      <c r="L142" s="418">
        <v>0</v>
      </c>
      <c r="M142" s="418">
        <v>0</v>
      </c>
      <c r="N142" s="418">
        <v>0</v>
      </c>
      <c r="O142" s="21">
        <f>SUM(tabCustoUnit[[#This Row],[Salário Base]:[Adicional de Acúmulo de função]])</f>
        <v>1347.3162000000002</v>
      </c>
      <c r="P142" s="21">
        <f>tabCustoUnit[[#This Row],[MODULO 1 - REMUNERAÇÃO ]]*SUMIFS(tabParametros[INSS],tabParametros[Código do Posto],tabCustoUnit[[#This Row],[Código do Posto]])</f>
        <v>269.46324000000004</v>
      </c>
      <c r="Q142" s="21">
        <f>tabCustoUnit[[#This Row],[MODULO 1 - REMUNERAÇÃO ]]*SUMIFS(tabParametros[SESI OU SESC],tabParametros[Código do Posto],tabCustoUnit[[#This Row],[Código do Posto]])</f>
        <v>20.209743000000003</v>
      </c>
      <c r="R142" s="21">
        <f>tabCustoUnit[[#This Row],[MODULO 1 - REMUNERAÇÃO ]]*SUMIFS(tabParametros[SENAI OU SENAC],tabParametros[Código do Posto],tabCustoUnit[[#This Row],[Código do Posto]])</f>
        <v>13.473162000000002</v>
      </c>
      <c r="S142" s="21">
        <f>tabCustoUnit[[#This Row],[MODULO 1 - REMUNERAÇÃO ]]*SUMIFS(tabParametros[INCRA],tabParametros[Código do Posto],tabCustoUnit[[#This Row],[Código do Posto]])</f>
        <v>2.6946324000000006</v>
      </c>
      <c r="T142" s="21">
        <f>tabCustoUnit[[#This Row],[MODULO 1 - REMUNERAÇÃO ]]*SUMIFS(tabParametros[Salário Educação],tabParametros[Código do Posto],tabCustoUnit[[#This Row],[Código do Posto]])</f>
        <v>33.682905000000005</v>
      </c>
      <c r="U142" s="21">
        <f>tabCustoUnit[[#This Row],[MODULO 1 - REMUNERAÇÃO ]]*SUMIFS(tabParametros[FGTS],tabParametros[Código do Posto],tabCustoUnit[[#This Row],[Código do Posto]])</f>
        <v>107.78529600000002</v>
      </c>
      <c r="V142" s="21">
        <f>tabCustoUnit[[#This Row],[MODULO 1 - REMUNERAÇÃO ]]*SUMIFS(tabParametros[RAT Ajustado],tabParametros[Código do Posto],tabCustoUnit[[#This Row],[Código do Posto]])</f>
        <v>53.892648000000008</v>
      </c>
      <c r="W142" s="21">
        <f>tabCustoUnit[[#This Row],[MODULO 1 - REMUNERAÇÃO ]]*SUMIFS(tabParametros[SEBRAE],tabParametros[Código do Posto],tabCustoUnit[[#This Row],[Código do Posto]])</f>
        <v>8.0838972000000009</v>
      </c>
      <c r="X142" s="21">
        <f>SUM(tabCustoUnit[[#This Row],[INSS]:[SEBRAE]])</f>
        <v>509.28552360000009</v>
      </c>
      <c r="Y142" s="21">
        <f>tabCustoUnit[[#This Row],[MODULO 1 - REMUNERAÇÃO ]]*SUMIFS(tabParametros[13º salário (titular)],tabParametros[Código do Posto],tabCustoUnit[[#This Row],[Código do Posto]])</f>
        <v>112.27635000000001</v>
      </c>
      <c r="Z142" s="21">
        <f>tabCustoUnit[[#This Row],[MODULO 1 - REMUNERAÇÃO ]]*SUMIFS(tabParametros[Férias e Adicional de Férias (titular)],tabParametros[Código do Posto],tabCustoUnit[[#This Row],[Código do Posto]])</f>
        <v>149.70180000000002</v>
      </c>
      <c r="AA142" s="21">
        <f>IFERROR((tabCustoUnit[[#This Row],[Submódulo 2.1]]/tabCustoUnit[[#This Row],[MODULO 1 - REMUNERAÇÃO ]])*SUM(tabCustoUnit[[#This Row],[13º salário (titular)]:[Férias e Adicional de Férias (titular)]]),0)</f>
        <v>99.02774070000001</v>
      </c>
      <c r="AB142" s="21">
        <f>SUM(tabCustoUnit[[#This Row],[13º salário (titular)]:[Incidência do Submódulo 2.1 sobre 13º Salário, Férias e Adicional de Férias]])</f>
        <v>361.00589070000001</v>
      </c>
      <c r="AC142" s="22" t="e">
        <f ca="1">_xlfn.LET(_xlpm.VT,SUMIF(tabParametros[Código do Posto],tabCustoUnit[[#This Row],[Código do Posto]],tabParametros[Vale - Transporte])*2*20,
IF((_xlpm.VT-tabCustoUnit[[#This Row],[Salário Base]]*0.06)&gt;=0,(_xlpm.VT-tabCustoUnit[[#This Row],[Salário Base]]*0.06),0)
)</f>
        <v>#NAME?</v>
      </c>
      <c r="AD142" s="22">
        <f>IF(SUMIF(tabParametros[Código do Posto],tabCustoUnit[[#This Row],[Código do Posto]],tabParametros[Vale - Alimentação])&lt;=0,0,
SUMIF(tabParametros[Código do Posto],tabCustoUnit[[#This Row],[Código do Posto]],tabParametros[Vale - Alimentação])*20-1)</f>
        <v>582</v>
      </c>
      <c r="AE142" s="22">
        <f>SUMIF(tabParametros[Código do Posto],tabCustoUnit[[#This Row],[Código do Posto]],tabParametros[Cesta Básica])</f>
        <v>0</v>
      </c>
      <c r="AF142" s="22">
        <f>SUMIF(tabParametros[Código do Posto],tabCustoUnit[[#This Row],[Código do Posto]],tabParametros[PAF])</f>
        <v>0</v>
      </c>
      <c r="AG142" s="22">
        <f>SUMIF(tabParametros[Código do Posto],tabCustoUnit[[#This Row],[Código do Posto]],tabParametros[PQM])</f>
        <v>0</v>
      </c>
      <c r="AH142" s="22">
        <f>SUMIF(tabParametros[Código do Posto],tabCustoUnit[[#This Row],[Código do Posto]],tabParametros[Abono Único e Especial])</f>
        <v>0</v>
      </c>
      <c r="AI142" s="22">
        <f>SUMIF(tabParametros[Código do Posto],tabCustoUnit[[#This Row],[Código do Posto]],tabParametros[Seguro de Vida])</f>
        <v>3.36</v>
      </c>
      <c r="AJ142" s="22">
        <f>SUMIF(tabParametros[Código do Posto],tabCustoUnit[[#This Row],[Código do Posto]],tabParametros[Despesas de Viagem])</f>
        <v>0</v>
      </c>
      <c r="AK142" s="22" t="e">
        <f ca="1">SUM(tabCustoUnit[[#This Row],[Vale - Transporte (Descontada parcela do empregado)]:[Despesas de Viagem]])</f>
        <v>#NAME?</v>
      </c>
      <c r="AL142" s="22" t="e">
        <f ca="1">tabCustoUnit[[#This Row],[Submódulo 2.1]]+tabCustoUnit[[#This Row],[Submódulo 2.2]]+tabCustoUnit[[#This Row],[Submódulo 2.3]]</f>
        <v>#NAME?</v>
      </c>
      <c r="AM142" s="22">
        <f>SUMIF(tabParametros[Código do Posto],tabCustoUnit[[#This Row],[Código do Posto]],tabParametros[Aviso Prévio Indenizado (API) e Reflexo do Aviso Prévio Indenizado])*tabCustoUnit[[#This Row],[MODULO 1 - REMUNERAÇÃO ]]</f>
        <v>9.4470672364583343</v>
      </c>
      <c r="AN142" s="22">
        <f>SUMIF(tabParametros[Código do Posto],tabCustoUnit[[#This Row],[Código do Posto]],tabParametros[Incidência do FGTS sobre API e Reflexo do API])*tabCustoUnit[[#This Row],[MODULO 1 - REMUNERAÇÃO ]]</f>
        <v>0.75576537891666684</v>
      </c>
      <c r="AO142" s="22">
        <f>SUMIF(tabParametros[Código do Posto],tabCustoUnit[[#This Row],[Código do Posto]],tabParametros[Multa Rescisória do FGTS sobre o Aviso Prévio Indenizado])*tabCustoUnit[[#This Row],[MODULO 1 - REMUNERAÇÃO ]]</f>
        <v>0.30230615156666679</v>
      </c>
      <c r="AP142" s="22">
        <f>SUMIF(tabParametros[Código do Posto],tabCustoUnit[[#This Row],[Código do Posto]],tabParametros[Aviso Prévio Trabalhado - APT])*tabCustoUnit[[#This Row],[MODULO 1 - REMUNERAÇÃO ]]</f>
        <v>4.7156067000000013</v>
      </c>
      <c r="AQ142" s="22">
        <f>SUMIF(tabParametros[Código do Posto],tabCustoUnit[[#This Row],[Código do Posto]],tabParametros[Incidência dos encargos do submódulo 2.1 sobre Aviso Prévio Trabalhado])*tabCustoUnit[[#This Row],[MODULO 1 - REMUNERAÇÃO ]]</f>
        <v>1.7824993326000007</v>
      </c>
      <c r="AR142" s="22">
        <f>SUMIF(tabParametros[Código do Posto],tabCustoUnit[[#This Row],[Código do Posto]],tabParametros[Multa Rescisória do FGTS])*tabCustoUnit[[#This Row],[MODULO 1 - REMUNERAÇÃO ]]</f>
        <v>41.197935360000002</v>
      </c>
      <c r="AS142" s="22">
        <f>SUMIF(tabParametros[Código do Posto],tabCustoUnit[[#This Row],[Código do Posto]],tabParametros[Indenização Adicional (Art. 9º da Lei nº 7.238/84)])*tabCustoUnit[[#This Row],[MODULO 1 - REMUNERAÇÃO ]]</f>
        <v>1.1227635000000002</v>
      </c>
      <c r="AT142" s="22">
        <f>SUM(tabCustoUnit[[#This Row],[Aviso Prévio Indenizado (API) e Reflexo do Aviso Prévio Indenizado]:[Indenização Adicional (Art. 9º da Lei nº 7.238/84)]])</f>
        <v>59.323943659541669</v>
      </c>
      <c r="AU142" s="22">
        <f>SUMIF(tabParametros[Código do Posto],tabCustoUnit[[#This Row],[Código do Posto]],tabParametros[Ausência por Doença])*tabCustoUnit[[#This Row],[MODULO 1 - REMUNERAÇÃO ]]</f>
        <v>11.3773368</v>
      </c>
      <c r="AV142" s="22">
        <f>SUMIF(tabParametros[Código do Posto],tabCustoUnit[[#This Row],[Código do Posto]],tabParametros[Ausências Legais])*tabCustoUnit[[#This Row],[MODULO 1 - REMUNERAÇÃO ]]</f>
        <v>2.7320578500000003</v>
      </c>
      <c r="AW142" s="22">
        <f>SUMIF(tabParametros[Código do Posto],tabCustoUnit[[#This Row],[Código do Posto]],tabParametros[Licença Paternidade])*tabCustoUnit[[#This Row],[MODULO 1 - REMUNERAÇÃO ]]</f>
        <v>0.23016651750000003</v>
      </c>
      <c r="AX142" s="22">
        <f>SUMIF(tabParametros[Código do Posto],tabCustoUnit[[#This Row],[Código do Posto]],tabParametros[Ausência por Acidente de Trabalho])*tabCustoUnit[[#This Row],[MODULO 1 - REMUNERAÇÃO ]]</f>
        <v>0.28069087500000006</v>
      </c>
      <c r="AY142" s="22">
        <f>SUMIF(tabParametros[Código do Posto],tabCustoUnit[[#This Row],[Código do Posto]],tabParametros[Férias, Adicional de Férias e 13º  com empregada em gozo de Licença Maternidade])*tabCustoUnit[[#This Row],[MODULO 1 - REMUNERAÇÃO ]]</f>
        <v>1.7465210000000002</v>
      </c>
      <c r="AZ142" s="22">
        <f>SUMIF(tabParametros[Código do Posto],tabCustoUnit[[#This Row],[Código do Posto]],tabParametros[Incidência do Submódulo 2.1 sobre Ausências Legais])*tabCustoUnit[[#This Row],[MODULO 1 - REMUNERAÇÃO ]]</f>
        <v>6.1866402100650024</v>
      </c>
      <c r="BA142" s="22">
        <f>SUM(tabCustoUnit[[#This Row],[Ausência por Doença]:[Incidência do Submódulo 2.1 sobre Ausências Legais]])</f>
        <v>22.553413252565001</v>
      </c>
      <c r="BB142" s="22">
        <f>SUMIF(tabParametros[Código do Posto],tabCustoUnit[[#This Row],[Código do Posto]],tabParametros[Intervalo para Repouso ou Alimentação])</f>
        <v>0</v>
      </c>
      <c r="BC142" s="22">
        <f>tabCustoUnit[[#This Row],[Intervalo para Repouso ou Alimentação]]</f>
        <v>0</v>
      </c>
      <c r="BD14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2" s="22">
        <f>tabCustoUnit[[#This Row],[Suspensão Temporária do Contrato de Trabalho]]</f>
        <v>0</v>
      </c>
      <c r="BF142" s="22">
        <f>tabCustoUnit[[#This Row],[Submódulo 4.1]]+tabCustoUnit[[#This Row],[Submódulo 4.2]]+tabCustoUnit[[#This Row],[Submódulo 4.3]]</f>
        <v>22.553413252565001</v>
      </c>
      <c r="BG142" s="22">
        <f>VLOOKUP(tabCustoUnit[[#This Row],[Código do Posto]],tabParametros[],MATCH(tabCustoUnit[[#Headers],[Uniformes e EPIs]],tabParametros[#Headers],0),0)</f>
        <v>196.62072732312174</v>
      </c>
      <c r="BH142" s="22">
        <f>VLOOKUP(tabCustoUnit[[#This Row],[Código do Posto]],tabParametros[],MATCH(tabCustoUnit[[#Headers],[Materiais de Consumo]],tabParametros[#Headers],0),0)</f>
        <v>441.81099462365592</v>
      </c>
      <c r="BI142" s="22">
        <f>VLOOKUP(tabCustoUnit[[#This Row],[Código do Posto]],tabParametros[],MATCH(tabCustoUnit[[#Headers],[Máquinas e Equipamentos (depreciação)]],tabParametros[#Headers],0),0)</f>
        <v>113.11309677419354</v>
      </c>
      <c r="BJ142" s="22">
        <f>VLOOKUP(tabCustoUnit[[#This Row],[Código do Posto]],tabParametros[],MATCH(tabCustoUnit[[#Headers],[Produtos de Limpeza e Materiais de Higiene Pessoal]],tabParametros[#Headers],0),0)</f>
        <v>0</v>
      </c>
      <c r="BK142" s="22">
        <f>VLOOKUP(tabCustoUnit[[#This Row],[Código do Posto]],tabParametros[],MATCH(tabCustoUnit[[#Headers],[Outros (especificar)]],tabParametros[#Headers],0),0)</f>
        <v>0</v>
      </c>
      <c r="BL142" s="22">
        <f>SUM(tabCustoUnit[[#This Row],[Uniformes e EPIs]:[Outros (especificar)]])</f>
        <v>751.54481872097119</v>
      </c>
      <c r="BM14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2" s="22" t="e">
        <f ca="1">VLOOKUP(tabCustoUnit[[#This Row],[Código do Posto]],tabParametros[],MATCH(tabCustoUnit[[#Headers],[Custos Indiretos]],tabParametros[#Headers],0),0)</f>
        <v>#NAME?</v>
      </c>
      <c r="BO142" s="22" t="e">
        <f ca="1">VLOOKUP(tabCustoUnit[[#This Row],[Código do Posto]],tabParametros[],MATCH(tabCustoUnit[[#Headers],[Lucro]],tabParametros[#Headers],0),0)</f>
        <v>#NAME?</v>
      </c>
      <c r="BP142" s="26">
        <f>((100/((1-tabCustoUnit[[#This Row],[Resumo de Alíquotas (PIS+CONFINS+ISS)]]))-100)*VLOOKUP(tabCustoUnit[[#This Row],[Código do Posto]],tabParametros[],MATCH(tabCustoUnit[[#Headers],[COFINS]],tabParametros[#Headers],0),0))/(tabCustoUnit[[#This Row],[Resumo de Alíquotas (PIS+CONFINS+ISS)]]*100)</f>
        <v>8.6609686609686695E-2</v>
      </c>
      <c r="BQ142" s="26">
        <f>((100/((100-(tabCustoUnit[[#This Row],[Resumo de Alíquotas (PIS+CONFINS+ISS)]]*100))%)-100)*VLOOKUP(tabCustoUnit[[#This Row],[Código do Posto]],tabParametros[],MATCH(tabCustoUnit[[#Headers],[PIS]],tabParametros[#Headers],0),0))/(tabCustoUnit[[#This Row],[Resumo de Alíquotas (PIS+CONFINS+ISS)]]*100)</f>
        <v>1.880341880341882E-2</v>
      </c>
      <c r="BR142" s="28">
        <f>VLOOKUP(tabCustoUnit[[#This Row],[Código do Posto]],tabParametros[],MATCH(tabCustoUnit[[#Headers],[ISS]],tabParametros[#Headers],0),0)</f>
        <v>0.03</v>
      </c>
      <c r="BS142" s="26">
        <f>(((100/((100-(tabCustoUnit[[#This Row],[Resumo de Alíquotas (PIS+CONFINS+ISS)]]*100))%)-100)*tabCustoUnit[[#This Row],[ISS]])/tabCustoUnit[[#This Row],[Resumo de Alíquotas (PIS+CONFINS+ISS)]])/100</f>
        <v>3.4188034188034219E-2</v>
      </c>
      <c r="BT14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2" s="138">
        <f>tabCustoUnit[[#This Row],[COFINS]]+tabCustoUnit[[#This Row],[PIS]]+tabCustoUnit[[#This Row],[ISS (Conversão Alíquota s/ fatura)]]</f>
        <v>0.13960113960113973</v>
      </c>
      <c r="BV142" s="22" t="e">
        <f ca="1">(tabCustoUnit[[#This Row],[TOTAL MÓDULOS 1+2+3+4+5]]+tabCustoUnit[[#This Row],[Custos Indiretos]]+tabCustoUnit[[#This Row],[Lucro]])*tabCustoUnit[[#This Row],[PIS + COFINS + ISS (Total Conversão  Alíquota s/ Fatura)]]</f>
        <v>#NAME?</v>
      </c>
      <c r="BW142" s="22" t="e">
        <f ca="1">tabCustoUnit[[#This Row],[Custos Indiretos]]+tabCustoUnit[[#This Row],[Lucro]]+tabCustoUnit[[#This Row],[Valor dos Tributos (ISS, PIS, CONFINS)]]</f>
        <v>#NAME?</v>
      </c>
      <c r="BX142" s="22" t="e">
        <f ca="1">tabCustoUnit[[#This Row],[TOTAL MÓDULOS 1+2+3+4+5]]+tabCustoUnit[[#This Row],[MÓDULO 6 – CUSTOS INDIRETOS, TRIBUTOS E LUCRO]]</f>
        <v>#NAME?</v>
      </c>
      <c r="BY142" s="22" t="e">
        <f ca="1">tabCustoUnit[[#This Row],[CUSTO TOTAL MENSAL]]*12</f>
        <v>#NAME?</v>
      </c>
      <c r="BZ142" s="24">
        <f>VLOOKUP(tabCustoUnit[[#This Row],[Código do Posto]],tabParametros[],MATCH(tabCustoUnit[[#Headers],[ANO DA CCT]],tabParametros[#Headers],0),0)</f>
        <v>45658</v>
      </c>
      <c r="CA142" s="25" t="str">
        <f>VLOOKUP(tabCustoUnit[[#This Row],[Código do Posto]],tabParametros[],MATCH(tabCustoUnit[[#Headers],[Nº DE PEDIDO DA CCT]],tabParametros[#Headers],0),0)</f>
        <v>-</v>
      </c>
      <c r="CB142" s="25" t="str">
        <f>VLOOKUP(tabCustoUnit[[#This Row],[Código do Posto]],tabParametros[],MATCH(tabCustoUnit[[#Headers],[TERMO ADITIVO ALTERAÇÃO DA CCT]],tabParametros[#Headers],0),0)</f>
        <v>-</v>
      </c>
    </row>
    <row r="143" spans="1:80">
      <c r="A143" s="20" t="s">
        <v>1597</v>
      </c>
      <c r="B143" t="s">
        <v>1133</v>
      </c>
      <c r="C143" t="s">
        <v>1368</v>
      </c>
      <c r="D143" t="s">
        <v>1041</v>
      </c>
      <c r="E143" s="20" t="s">
        <v>1090</v>
      </c>
      <c r="F143" s="20" t="s">
        <v>120</v>
      </c>
      <c r="G143" s="418">
        <v>2296.1756999999998</v>
      </c>
      <c r="H143" s="418">
        <v>0</v>
      </c>
      <c r="I143" s="418">
        <v>303.60000000000002</v>
      </c>
      <c r="J143" s="418">
        <v>0</v>
      </c>
      <c r="K143" s="418">
        <v>0</v>
      </c>
      <c r="L143" s="418">
        <v>0</v>
      </c>
      <c r="M143" s="418">
        <v>0</v>
      </c>
      <c r="N143" s="418">
        <v>0</v>
      </c>
      <c r="O143" s="21">
        <f>SUM(tabCustoUnit[[#This Row],[Salário Base]:[Adicional de Acúmulo de função]])</f>
        <v>2599.7756999999997</v>
      </c>
      <c r="P143" s="21">
        <f>tabCustoUnit[[#This Row],[MODULO 1 - REMUNERAÇÃO ]]*SUMIFS(tabParametros[INSS],tabParametros[Código do Posto],tabCustoUnit[[#This Row],[Código do Posto]])</f>
        <v>519.95513999999991</v>
      </c>
      <c r="Q143" s="21">
        <f>tabCustoUnit[[#This Row],[MODULO 1 - REMUNERAÇÃO ]]*SUMIFS(tabParametros[SESI OU SESC],tabParametros[Código do Posto],tabCustoUnit[[#This Row],[Código do Posto]])</f>
        <v>38.996635499999996</v>
      </c>
      <c r="R143" s="21">
        <f>tabCustoUnit[[#This Row],[MODULO 1 - REMUNERAÇÃO ]]*SUMIFS(tabParametros[SENAI OU SENAC],tabParametros[Código do Posto],tabCustoUnit[[#This Row],[Código do Posto]])</f>
        <v>25.997756999999996</v>
      </c>
      <c r="S143" s="21">
        <f>tabCustoUnit[[#This Row],[MODULO 1 - REMUNERAÇÃO ]]*SUMIFS(tabParametros[INCRA],tabParametros[Código do Posto],tabCustoUnit[[#This Row],[Código do Posto]])</f>
        <v>5.1995513999999998</v>
      </c>
      <c r="T143" s="21">
        <f>tabCustoUnit[[#This Row],[MODULO 1 - REMUNERAÇÃO ]]*SUMIFS(tabParametros[Salário Educação],tabParametros[Código do Posto],tabCustoUnit[[#This Row],[Código do Posto]])</f>
        <v>64.994392499999989</v>
      </c>
      <c r="U143" s="21">
        <f>tabCustoUnit[[#This Row],[MODULO 1 - REMUNERAÇÃO ]]*SUMIFS(tabParametros[FGTS],tabParametros[Código do Posto],tabCustoUnit[[#This Row],[Código do Posto]])</f>
        <v>207.98205599999997</v>
      </c>
      <c r="V143" s="21">
        <f>tabCustoUnit[[#This Row],[MODULO 1 - REMUNERAÇÃO ]]*SUMIFS(tabParametros[RAT Ajustado],tabParametros[Código do Posto],tabCustoUnit[[#This Row],[Código do Posto]])</f>
        <v>103.99102799999999</v>
      </c>
      <c r="W143" s="21">
        <f>tabCustoUnit[[#This Row],[MODULO 1 - REMUNERAÇÃO ]]*SUMIFS(tabParametros[SEBRAE],tabParametros[Código do Posto],tabCustoUnit[[#This Row],[Código do Posto]])</f>
        <v>15.598654199999999</v>
      </c>
      <c r="X143" s="21">
        <f>SUM(tabCustoUnit[[#This Row],[INSS]:[SEBRAE]])</f>
        <v>982.71521459999985</v>
      </c>
      <c r="Y143" s="21">
        <f>tabCustoUnit[[#This Row],[MODULO 1 - REMUNERAÇÃO ]]*SUMIFS(tabParametros[13º salário (titular)],tabParametros[Código do Posto],tabCustoUnit[[#This Row],[Código do Posto]])</f>
        <v>216.64797499999997</v>
      </c>
      <c r="Z143" s="21">
        <f>tabCustoUnit[[#This Row],[MODULO 1 - REMUNERAÇÃO ]]*SUMIFS(tabParametros[Férias e Adicional de Férias (titular)],tabParametros[Código do Posto],tabCustoUnit[[#This Row],[Código do Posto]])</f>
        <v>288.86396666666661</v>
      </c>
      <c r="AA143" s="21">
        <f>IFERROR((tabCustoUnit[[#This Row],[Submódulo 2.1]]/tabCustoUnit[[#This Row],[MODULO 1 - REMUNERAÇÃO ]])*SUM(tabCustoUnit[[#This Row],[13º salário (titular)]:[Férias e Adicional de Férias (titular)]]),0)</f>
        <v>191.08351394999997</v>
      </c>
      <c r="AB143" s="21">
        <f>SUM(tabCustoUnit[[#This Row],[13º salário (titular)]:[Incidência do Submódulo 2.1 sobre 13º Salário, Férias e Adicional de Férias]])</f>
        <v>696.59545561666653</v>
      </c>
      <c r="AC143" s="22" t="e">
        <f ca="1">_xlfn.LET(_xlpm.VT,SUMIF(tabParametros[Código do Posto],tabCustoUnit[[#This Row],[Código do Posto]],tabParametros[Vale - Transporte])*2*20,
IF((_xlpm.VT-tabCustoUnit[[#This Row],[Salário Base]]*0.06)&gt;=0,(_xlpm.VT-tabCustoUnit[[#This Row],[Salário Base]]*0.06),0)
)</f>
        <v>#NAME?</v>
      </c>
      <c r="AD143" s="22">
        <f>IF(SUMIF(tabParametros[Código do Posto],tabCustoUnit[[#This Row],[Código do Posto]],tabParametros[Vale - Alimentação])&lt;=0,0,
SUMIF(tabParametros[Código do Posto],tabCustoUnit[[#This Row],[Código do Posto]],tabParametros[Vale - Alimentação])*20-1)</f>
        <v>582</v>
      </c>
      <c r="AE143" s="22">
        <f>SUMIF(tabParametros[Código do Posto],tabCustoUnit[[#This Row],[Código do Posto]],tabParametros[Cesta Básica])</f>
        <v>0</v>
      </c>
      <c r="AF143" s="22">
        <f>SUMIF(tabParametros[Código do Posto],tabCustoUnit[[#This Row],[Código do Posto]],tabParametros[PAF])</f>
        <v>0</v>
      </c>
      <c r="AG143" s="22">
        <f>SUMIF(tabParametros[Código do Posto],tabCustoUnit[[#This Row],[Código do Posto]],tabParametros[PQM])</f>
        <v>0</v>
      </c>
      <c r="AH143" s="22">
        <f>SUMIF(tabParametros[Código do Posto],tabCustoUnit[[#This Row],[Código do Posto]],tabParametros[Abono Único e Especial])</f>
        <v>0</v>
      </c>
      <c r="AI143" s="22">
        <f>SUMIF(tabParametros[Código do Posto],tabCustoUnit[[#This Row],[Código do Posto]],tabParametros[Seguro de Vida])</f>
        <v>3.36</v>
      </c>
      <c r="AJ143" s="22">
        <f>SUMIF(tabParametros[Código do Posto],tabCustoUnit[[#This Row],[Código do Posto]],tabParametros[Despesas de Viagem])</f>
        <v>0</v>
      </c>
      <c r="AK143" s="22" t="e">
        <f ca="1">SUM(tabCustoUnit[[#This Row],[Vale - Transporte (Descontada parcela do empregado)]:[Despesas de Viagem]])</f>
        <v>#NAME?</v>
      </c>
      <c r="AL143" s="22" t="e">
        <f ca="1">tabCustoUnit[[#This Row],[Submódulo 2.1]]+tabCustoUnit[[#This Row],[Submódulo 2.2]]+tabCustoUnit[[#This Row],[Submódulo 2.3]]</f>
        <v>#NAME?</v>
      </c>
      <c r="AM143" s="22">
        <f>SUMIF(tabParametros[Código do Posto],tabCustoUnit[[#This Row],[Código do Posto]],tabParametros[Aviso Prévio Indenizado (API) e Reflexo do Aviso Prévio Indenizado])*tabCustoUnit[[#This Row],[MODULO 1 - REMUNERAÇÃO ]]</f>
        <v>18.229021396469907</v>
      </c>
      <c r="AN143" s="22">
        <f>SUMIF(tabParametros[Código do Posto],tabCustoUnit[[#This Row],[Código do Posto]],tabParametros[Incidência do FGTS sobre API e Reflexo do API])*tabCustoUnit[[#This Row],[MODULO 1 - REMUNERAÇÃO ]]</f>
        <v>1.4583217117175926</v>
      </c>
      <c r="AO143" s="22">
        <f>SUMIF(tabParametros[Código do Posto],tabCustoUnit[[#This Row],[Código do Posto]],tabParametros[Multa Rescisória do FGTS sobre o Aviso Prévio Indenizado])*tabCustoUnit[[#This Row],[MODULO 1 - REMUNERAÇÃO ]]</f>
        <v>0.58332868468703702</v>
      </c>
      <c r="AP143" s="22">
        <f>SUMIF(tabParametros[Código do Posto],tabCustoUnit[[#This Row],[Código do Posto]],tabParametros[Aviso Prévio Trabalhado - APT])*tabCustoUnit[[#This Row],[MODULO 1 - REMUNERAÇÃO ]]</f>
        <v>9.0992149500000004</v>
      </c>
      <c r="AQ143" s="22">
        <f>SUMIF(tabParametros[Código do Posto],tabCustoUnit[[#This Row],[Código do Posto]],tabParametros[Incidência dos encargos do submódulo 2.1 sobre Aviso Prévio Trabalhado])*tabCustoUnit[[#This Row],[MODULO 1 - REMUNERAÇÃO ]]</f>
        <v>3.4395032511000005</v>
      </c>
      <c r="AR143" s="22">
        <f>SUMIF(tabParametros[Código do Posto],tabCustoUnit[[#This Row],[Código do Posto]],tabParametros[Multa Rescisória do FGTS])*tabCustoUnit[[#This Row],[MODULO 1 - REMUNERAÇÃO ]]</f>
        <v>79.495363626666645</v>
      </c>
      <c r="AS143" s="22">
        <f>SUMIF(tabParametros[Código do Posto],tabCustoUnit[[#This Row],[Código do Posto]],tabParametros[Indenização Adicional (Art. 9º da Lei nº 7.238/84)])*tabCustoUnit[[#This Row],[MODULO 1 - REMUNERAÇÃO ]]</f>
        <v>2.1664797499999997</v>
      </c>
      <c r="AT143" s="22">
        <f>SUM(tabCustoUnit[[#This Row],[Aviso Prévio Indenizado (API) e Reflexo do Aviso Prévio Indenizado]:[Indenização Adicional (Art. 9º da Lei nº 7.238/84)]])</f>
        <v>114.47123337064117</v>
      </c>
      <c r="AU143" s="22">
        <f>SUMIF(tabParametros[Código do Posto],tabCustoUnit[[#This Row],[Código do Posto]],tabParametros[Ausência por Doença])*tabCustoUnit[[#This Row],[MODULO 1 - REMUNERAÇÃO ]]</f>
        <v>21.953661466666663</v>
      </c>
      <c r="AV143" s="22">
        <f>SUMIF(tabParametros[Código do Posto],tabCustoUnit[[#This Row],[Código do Posto]],tabParametros[Ausências Legais])*tabCustoUnit[[#This Row],[MODULO 1 - REMUNERAÇÃO ]]</f>
        <v>5.2717673916666659</v>
      </c>
      <c r="AW143" s="22">
        <f>SUMIF(tabParametros[Código do Posto],tabCustoUnit[[#This Row],[Código do Posto]],tabParametros[Licença Paternidade])*tabCustoUnit[[#This Row],[MODULO 1 - REMUNERAÇÃO ]]</f>
        <v>0.44412834874999996</v>
      </c>
      <c r="AX143" s="22">
        <f>SUMIF(tabParametros[Código do Posto],tabCustoUnit[[#This Row],[Código do Posto]],tabParametros[Ausência por Acidente de Trabalho])*tabCustoUnit[[#This Row],[MODULO 1 - REMUNERAÇÃO ]]</f>
        <v>0.54161993749999993</v>
      </c>
      <c r="AY143" s="22">
        <f>SUMIF(tabParametros[Código do Posto],tabCustoUnit[[#This Row],[Código do Posto]],tabParametros[Férias, Adicional de Férias e 13º  com empregada em gozo de Licença Maternidade])*tabCustoUnit[[#This Row],[MODULO 1 - REMUNERAÇÃO ]]</f>
        <v>3.3700796111111107</v>
      </c>
      <c r="AZ143" s="22">
        <f>SUMIF(tabParametros[Código do Posto],tabCustoUnit[[#This Row],[Código do Posto]],tabParametros[Incidência do Submódulo 2.1 sobre Ausências Legais])*tabCustoUnit[[#This Row],[MODULO 1 - REMUNERAÇÃO ]]</f>
        <v>11.9377150536525</v>
      </c>
      <c r="BA143" s="22">
        <f>SUM(tabCustoUnit[[#This Row],[Ausência por Doença]:[Incidência do Submódulo 2.1 sobre Ausências Legais]])</f>
        <v>43.518971809346937</v>
      </c>
      <c r="BB143" s="22">
        <f>SUMIF(tabParametros[Código do Posto],tabCustoUnit[[#This Row],[Código do Posto]],tabParametros[Intervalo para Repouso ou Alimentação])</f>
        <v>0</v>
      </c>
      <c r="BC143" s="22">
        <f>tabCustoUnit[[#This Row],[Intervalo para Repouso ou Alimentação]]</f>
        <v>0</v>
      </c>
      <c r="BD14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3" s="22">
        <f>tabCustoUnit[[#This Row],[Suspensão Temporária do Contrato de Trabalho]]</f>
        <v>0</v>
      </c>
      <c r="BF143" s="22">
        <f>tabCustoUnit[[#This Row],[Submódulo 4.1]]+tabCustoUnit[[#This Row],[Submódulo 4.2]]+tabCustoUnit[[#This Row],[Submódulo 4.3]]</f>
        <v>43.518971809346937</v>
      </c>
      <c r="BG143" s="22">
        <f>VLOOKUP(tabCustoUnit[[#This Row],[Código do Posto]],tabParametros[],MATCH(tabCustoUnit[[#Headers],[Uniformes e EPIs]],tabParametros[#Headers],0),0)</f>
        <v>196.62072732312174</v>
      </c>
      <c r="BH143" s="22">
        <f>VLOOKUP(tabCustoUnit[[#This Row],[Código do Posto]],tabParametros[],MATCH(tabCustoUnit[[#Headers],[Materiais de Consumo]],tabParametros[#Headers],0),0)</f>
        <v>441.81099462365592</v>
      </c>
      <c r="BI143" s="22">
        <f>VLOOKUP(tabCustoUnit[[#This Row],[Código do Posto]],tabParametros[],MATCH(tabCustoUnit[[#Headers],[Máquinas e Equipamentos (depreciação)]],tabParametros[#Headers],0),0)</f>
        <v>113.11309677419354</v>
      </c>
      <c r="BJ143" s="22">
        <f>VLOOKUP(tabCustoUnit[[#This Row],[Código do Posto]],tabParametros[],MATCH(tabCustoUnit[[#Headers],[Produtos de Limpeza e Materiais de Higiene Pessoal]],tabParametros[#Headers],0),0)</f>
        <v>0</v>
      </c>
      <c r="BK143" s="22">
        <f>VLOOKUP(tabCustoUnit[[#This Row],[Código do Posto]],tabParametros[],MATCH(tabCustoUnit[[#Headers],[Outros (especificar)]],tabParametros[#Headers],0),0)</f>
        <v>0</v>
      </c>
      <c r="BL143" s="22">
        <f>SUM(tabCustoUnit[[#This Row],[Uniformes e EPIs]:[Outros (especificar)]])</f>
        <v>751.54481872097119</v>
      </c>
      <c r="BM14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3" s="22" t="e">
        <f ca="1">VLOOKUP(tabCustoUnit[[#This Row],[Código do Posto]],tabParametros[],MATCH(tabCustoUnit[[#Headers],[Custos Indiretos]],tabParametros[#Headers],0),0)</f>
        <v>#NAME?</v>
      </c>
      <c r="BO143" s="22" t="e">
        <f ca="1">VLOOKUP(tabCustoUnit[[#This Row],[Código do Posto]],tabParametros[],MATCH(tabCustoUnit[[#Headers],[Lucro]],tabParametros[#Headers],0),0)</f>
        <v>#NAME?</v>
      </c>
      <c r="BP143" s="26">
        <f>((100/((1-tabCustoUnit[[#This Row],[Resumo de Alíquotas (PIS+CONFINS+ISS)]]))-100)*VLOOKUP(tabCustoUnit[[#This Row],[Código do Posto]],tabParametros[],MATCH(tabCustoUnit[[#Headers],[COFINS]],tabParametros[#Headers],0),0))/(tabCustoUnit[[#This Row],[Resumo de Alíquotas (PIS+CONFINS+ISS)]]*100)</f>
        <v>8.6609686609686695E-2</v>
      </c>
      <c r="BQ143" s="26">
        <f>((100/((100-(tabCustoUnit[[#This Row],[Resumo de Alíquotas (PIS+CONFINS+ISS)]]*100))%)-100)*VLOOKUP(tabCustoUnit[[#This Row],[Código do Posto]],tabParametros[],MATCH(tabCustoUnit[[#Headers],[PIS]],tabParametros[#Headers],0),0))/(tabCustoUnit[[#This Row],[Resumo de Alíquotas (PIS+CONFINS+ISS)]]*100)</f>
        <v>1.880341880341882E-2</v>
      </c>
      <c r="BR143" s="28">
        <f>VLOOKUP(tabCustoUnit[[#This Row],[Código do Posto]],tabParametros[],MATCH(tabCustoUnit[[#Headers],[ISS]],tabParametros[#Headers],0),0)</f>
        <v>0.03</v>
      </c>
      <c r="BS143" s="26">
        <f>(((100/((100-(tabCustoUnit[[#This Row],[Resumo de Alíquotas (PIS+CONFINS+ISS)]]*100))%)-100)*tabCustoUnit[[#This Row],[ISS]])/tabCustoUnit[[#This Row],[Resumo de Alíquotas (PIS+CONFINS+ISS)]])/100</f>
        <v>3.4188034188034219E-2</v>
      </c>
      <c r="BT14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3" s="138">
        <f>tabCustoUnit[[#This Row],[COFINS]]+tabCustoUnit[[#This Row],[PIS]]+tabCustoUnit[[#This Row],[ISS (Conversão Alíquota s/ fatura)]]</f>
        <v>0.13960113960113973</v>
      </c>
      <c r="BV143" s="22" t="e">
        <f ca="1">(tabCustoUnit[[#This Row],[TOTAL MÓDULOS 1+2+3+4+5]]+tabCustoUnit[[#This Row],[Custos Indiretos]]+tabCustoUnit[[#This Row],[Lucro]])*tabCustoUnit[[#This Row],[PIS + COFINS + ISS (Total Conversão  Alíquota s/ Fatura)]]</f>
        <v>#NAME?</v>
      </c>
      <c r="BW143" s="22" t="e">
        <f ca="1">tabCustoUnit[[#This Row],[Custos Indiretos]]+tabCustoUnit[[#This Row],[Lucro]]+tabCustoUnit[[#This Row],[Valor dos Tributos (ISS, PIS, CONFINS)]]</f>
        <v>#NAME?</v>
      </c>
      <c r="BX143" s="22" t="e">
        <f ca="1">tabCustoUnit[[#This Row],[TOTAL MÓDULOS 1+2+3+4+5]]+tabCustoUnit[[#This Row],[MÓDULO 6 – CUSTOS INDIRETOS, TRIBUTOS E LUCRO]]</f>
        <v>#NAME?</v>
      </c>
      <c r="BY143" s="22" t="e">
        <f ca="1">tabCustoUnit[[#This Row],[CUSTO TOTAL MENSAL]]*12</f>
        <v>#NAME?</v>
      </c>
      <c r="BZ143" s="24">
        <f>VLOOKUP(tabCustoUnit[[#This Row],[Código do Posto]],tabParametros[],MATCH(tabCustoUnit[[#Headers],[ANO DA CCT]],tabParametros[#Headers],0),0)</f>
        <v>45658</v>
      </c>
      <c r="CA143" s="25" t="str">
        <f>VLOOKUP(tabCustoUnit[[#This Row],[Código do Posto]],tabParametros[],MATCH(tabCustoUnit[[#Headers],[Nº DE PEDIDO DA CCT]],tabParametros[#Headers],0),0)</f>
        <v>-</v>
      </c>
      <c r="CB143" s="25" t="str">
        <f>VLOOKUP(tabCustoUnit[[#This Row],[Código do Posto]],tabParametros[],MATCH(tabCustoUnit[[#Headers],[TERMO ADITIVO ALTERAÇÃO DA CCT]],tabParametros[#Headers],0),0)</f>
        <v>-</v>
      </c>
    </row>
    <row r="144" spans="1:80">
      <c r="A144" s="20" t="s">
        <v>1598</v>
      </c>
      <c r="B144" t="s">
        <v>1133</v>
      </c>
      <c r="C144" t="s">
        <v>314</v>
      </c>
      <c r="D144" t="s">
        <v>1041</v>
      </c>
      <c r="E144" s="20" t="s">
        <v>1090</v>
      </c>
      <c r="F144" s="20" t="s">
        <v>120</v>
      </c>
      <c r="G144" s="418">
        <v>1963.4110000000001</v>
      </c>
      <c r="H144" s="418">
        <v>0</v>
      </c>
      <c r="I144" s="418">
        <v>0</v>
      </c>
      <c r="J144" s="418">
        <v>0</v>
      </c>
      <c r="K144" s="418">
        <v>0</v>
      </c>
      <c r="L144" s="418">
        <v>0</v>
      </c>
      <c r="M144" s="418">
        <v>0</v>
      </c>
      <c r="N144" s="418">
        <v>0</v>
      </c>
      <c r="O144" s="21">
        <f>SUM(tabCustoUnit[[#This Row],[Salário Base]:[Adicional de Acúmulo de função]])</f>
        <v>1963.4110000000001</v>
      </c>
      <c r="P144" s="21">
        <f>tabCustoUnit[[#This Row],[MODULO 1 - REMUNERAÇÃO ]]*SUMIFS(tabParametros[INSS],tabParametros[Código do Posto],tabCustoUnit[[#This Row],[Código do Posto]])</f>
        <v>392.68220000000002</v>
      </c>
      <c r="Q144" s="21">
        <f>tabCustoUnit[[#This Row],[MODULO 1 - REMUNERAÇÃO ]]*SUMIFS(tabParametros[SESI OU SESC],tabParametros[Código do Posto],tabCustoUnit[[#This Row],[Código do Posto]])</f>
        <v>29.451165</v>
      </c>
      <c r="R144" s="21">
        <f>tabCustoUnit[[#This Row],[MODULO 1 - REMUNERAÇÃO ]]*SUMIFS(tabParametros[SENAI OU SENAC],tabParametros[Código do Posto],tabCustoUnit[[#This Row],[Código do Posto]])</f>
        <v>19.63411</v>
      </c>
      <c r="S144" s="21">
        <f>tabCustoUnit[[#This Row],[MODULO 1 - REMUNERAÇÃO ]]*SUMIFS(tabParametros[INCRA],tabParametros[Código do Posto],tabCustoUnit[[#This Row],[Código do Posto]])</f>
        <v>3.926822</v>
      </c>
      <c r="T144" s="21">
        <f>tabCustoUnit[[#This Row],[MODULO 1 - REMUNERAÇÃO ]]*SUMIFS(tabParametros[Salário Educação],tabParametros[Código do Posto],tabCustoUnit[[#This Row],[Código do Posto]])</f>
        <v>49.085275000000003</v>
      </c>
      <c r="U144" s="21">
        <f>tabCustoUnit[[#This Row],[MODULO 1 - REMUNERAÇÃO ]]*SUMIFS(tabParametros[FGTS],tabParametros[Código do Posto],tabCustoUnit[[#This Row],[Código do Posto]])</f>
        <v>157.07288</v>
      </c>
      <c r="V144" s="21">
        <f>tabCustoUnit[[#This Row],[MODULO 1 - REMUNERAÇÃO ]]*SUMIFS(tabParametros[RAT Ajustado],tabParametros[Código do Posto],tabCustoUnit[[#This Row],[Código do Posto]])</f>
        <v>78.536439999999999</v>
      </c>
      <c r="W144" s="21">
        <f>tabCustoUnit[[#This Row],[MODULO 1 - REMUNERAÇÃO ]]*SUMIFS(tabParametros[SEBRAE],tabParametros[Código do Posto],tabCustoUnit[[#This Row],[Código do Posto]])</f>
        <v>11.780466000000001</v>
      </c>
      <c r="X144" s="21">
        <f>SUM(tabCustoUnit[[#This Row],[INSS]:[SEBRAE]])</f>
        <v>742.1693580000001</v>
      </c>
      <c r="Y144" s="21">
        <f>tabCustoUnit[[#This Row],[MODULO 1 - REMUNERAÇÃO ]]*SUMIFS(tabParametros[13º salário (titular)],tabParametros[Código do Posto],tabCustoUnit[[#This Row],[Código do Posto]])</f>
        <v>163.61758333333333</v>
      </c>
      <c r="Z144" s="21">
        <f>tabCustoUnit[[#This Row],[MODULO 1 - REMUNERAÇÃO ]]*SUMIFS(tabParametros[Férias e Adicional de Férias (titular)],tabParametros[Código do Posto],tabCustoUnit[[#This Row],[Código do Posto]])</f>
        <v>218.15677777777776</v>
      </c>
      <c r="AA144" s="21">
        <f>IFERROR((tabCustoUnit[[#This Row],[Submódulo 2.1]]/tabCustoUnit[[#This Row],[MODULO 1 - REMUNERAÇÃO ]])*SUM(tabCustoUnit[[#This Row],[13º salário (titular)]:[Férias e Adicional de Férias (titular)]]),0)</f>
        <v>144.3107085</v>
      </c>
      <c r="AB144" s="21">
        <f>SUM(tabCustoUnit[[#This Row],[13º salário (titular)]:[Incidência do Submódulo 2.1 sobre 13º Salário, Férias e Adicional de Férias]])</f>
        <v>526.08506961111107</v>
      </c>
      <c r="AC144" s="22" t="e">
        <f ca="1">_xlfn.LET(_xlpm.VT,SUMIF(tabParametros[Código do Posto],tabCustoUnit[[#This Row],[Código do Posto]],tabParametros[Vale - Transporte])*2*20,
IF((_xlpm.VT-tabCustoUnit[[#This Row],[Salário Base]]*0.06)&gt;=0,(_xlpm.VT-tabCustoUnit[[#This Row],[Salário Base]]*0.06),0)
)</f>
        <v>#NAME?</v>
      </c>
      <c r="AD144" s="22">
        <f>IF(SUMIF(tabParametros[Código do Posto],tabCustoUnit[[#This Row],[Código do Posto]],tabParametros[Vale - Alimentação])&lt;=0,0,
SUMIF(tabParametros[Código do Posto],tabCustoUnit[[#This Row],[Código do Posto]],tabParametros[Vale - Alimentação])*20-1)</f>
        <v>582</v>
      </c>
      <c r="AE144" s="22">
        <f>SUMIF(tabParametros[Código do Posto],tabCustoUnit[[#This Row],[Código do Posto]],tabParametros[Cesta Básica])</f>
        <v>0</v>
      </c>
      <c r="AF144" s="22">
        <f>SUMIF(tabParametros[Código do Posto],tabCustoUnit[[#This Row],[Código do Posto]],tabParametros[PAF])</f>
        <v>0</v>
      </c>
      <c r="AG144" s="22">
        <f>SUMIF(tabParametros[Código do Posto],tabCustoUnit[[#This Row],[Código do Posto]],tabParametros[PQM])</f>
        <v>0</v>
      </c>
      <c r="AH144" s="22">
        <f>SUMIF(tabParametros[Código do Posto],tabCustoUnit[[#This Row],[Código do Posto]],tabParametros[Abono Único e Especial])</f>
        <v>0</v>
      </c>
      <c r="AI144" s="22">
        <f>SUMIF(tabParametros[Código do Posto],tabCustoUnit[[#This Row],[Código do Posto]],tabParametros[Seguro de Vida])</f>
        <v>3.36</v>
      </c>
      <c r="AJ144" s="22">
        <f>SUMIF(tabParametros[Código do Posto],tabCustoUnit[[#This Row],[Código do Posto]],tabParametros[Despesas de Viagem])</f>
        <v>0</v>
      </c>
      <c r="AK144" s="22" t="e">
        <f ca="1">SUM(tabCustoUnit[[#This Row],[Vale - Transporte (Descontada parcela do empregado)]:[Despesas de Viagem]])</f>
        <v>#NAME?</v>
      </c>
      <c r="AL144" s="22" t="e">
        <f ca="1">tabCustoUnit[[#This Row],[Submódulo 2.1]]+tabCustoUnit[[#This Row],[Submódulo 2.2]]+tabCustoUnit[[#This Row],[Submódulo 2.3]]</f>
        <v>#NAME?</v>
      </c>
      <c r="AM144" s="22">
        <f>SUMIF(tabParametros[Código do Posto],tabCustoUnit[[#This Row],[Código do Posto]],tabParametros[Aviso Prévio Indenizado (API) e Reflexo do Aviso Prévio Indenizado])*tabCustoUnit[[#This Row],[MODULO 1 - REMUNERAÇÃO ]]</f>
        <v>13.766980408757716</v>
      </c>
      <c r="AN144" s="22">
        <f>SUMIF(tabParametros[Código do Posto],tabCustoUnit[[#This Row],[Código do Posto]],tabParametros[Incidência do FGTS sobre API e Reflexo do API])*tabCustoUnit[[#This Row],[MODULO 1 - REMUNERAÇÃO ]]</f>
        <v>1.1013584327006174</v>
      </c>
      <c r="AO144" s="22">
        <f>SUMIF(tabParametros[Código do Posto],tabCustoUnit[[#This Row],[Código do Posto]],tabParametros[Multa Rescisória do FGTS sobre o Aviso Prévio Indenizado])*tabCustoUnit[[#This Row],[MODULO 1 - REMUNERAÇÃO ]]</f>
        <v>0.44054337308024699</v>
      </c>
      <c r="AP144" s="22">
        <f>SUMIF(tabParametros[Código do Posto],tabCustoUnit[[#This Row],[Código do Posto]],tabParametros[Aviso Prévio Trabalhado - APT])*tabCustoUnit[[#This Row],[MODULO 1 - REMUNERAÇÃO ]]</f>
        <v>6.8719385000000015</v>
      </c>
      <c r="AQ144" s="22">
        <f>SUMIF(tabParametros[Código do Posto],tabCustoUnit[[#This Row],[Código do Posto]],tabParametros[Incidência dos encargos do submódulo 2.1 sobre Aviso Prévio Trabalhado])*tabCustoUnit[[#This Row],[MODULO 1 - REMUNERAÇÃO ]]</f>
        <v>2.5975927530000007</v>
      </c>
      <c r="AR144" s="22">
        <f>SUMIF(tabParametros[Código do Posto],tabCustoUnit[[#This Row],[Código do Posto]],tabParametros[Multa Rescisória do FGTS])*tabCustoUnit[[#This Row],[MODULO 1 - REMUNERAÇÃO ]]</f>
        <v>60.03674524444444</v>
      </c>
      <c r="AS144" s="22">
        <f>SUMIF(tabParametros[Código do Posto],tabCustoUnit[[#This Row],[Código do Posto]],tabParametros[Indenização Adicional (Art. 9º da Lei nº 7.238/84)])*tabCustoUnit[[#This Row],[MODULO 1 - REMUNERAÇÃO ]]</f>
        <v>1.6361758333333334</v>
      </c>
      <c r="AT144" s="22">
        <f>SUM(tabCustoUnit[[#This Row],[Aviso Prévio Indenizado (API) e Reflexo do Aviso Prévio Indenizado]:[Indenização Adicional (Art. 9º da Lei nº 7.238/84)]])</f>
        <v>86.451334545316371</v>
      </c>
      <c r="AU144" s="22">
        <f>SUMIF(tabParametros[Código do Posto],tabCustoUnit[[#This Row],[Código do Posto]],tabParametros[Ausência por Doença])*tabCustoUnit[[#This Row],[MODULO 1 - REMUNERAÇÃO ]]</f>
        <v>16.579915111111109</v>
      </c>
      <c r="AV144" s="22">
        <f>SUMIF(tabParametros[Código do Posto],tabCustoUnit[[#This Row],[Código do Posto]],tabParametros[Ausências Legais])*tabCustoUnit[[#This Row],[MODULO 1 - REMUNERAÇÃO ]]</f>
        <v>3.9813611944444443</v>
      </c>
      <c r="AW144" s="22">
        <f>SUMIF(tabParametros[Código do Posto],tabCustoUnit[[#This Row],[Código do Posto]],tabParametros[Licença Paternidade])*tabCustoUnit[[#This Row],[MODULO 1 - REMUNERAÇÃO ]]</f>
        <v>0.33541604583333334</v>
      </c>
      <c r="AX144" s="22">
        <f>SUMIF(tabParametros[Código do Posto],tabCustoUnit[[#This Row],[Código do Posto]],tabParametros[Ausência por Acidente de Trabalho])*tabCustoUnit[[#This Row],[MODULO 1 - REMUNERAÇÃO ]]</f>
        <v>0.40904395833333335</v>
      </c>
      <c r="AY144" s="22">
        <f>SUMIF(tabParametros[Código do Posto],tabCustoUnit[[#This Row],[Código do Posto]],tabParametros[Férias, Adicional de Férias e 13º  com empregada em gozo de Licença Maternidade])*tabCustoUnit[[#This Row],[MODULO 1 - REMUNERAÇÃO ]]</f>
        <v>2.5451624074074073</v>
      </c>
      <c r="AZ144" s="22">
        <f>SUMIF(tabParametros[Código do Posto],tabCustoUnit[[#This Row],[Código do Posto]],tabParametros[Incidência do Submódulo 2.1 sobre Ausências Legais])*tabCustoUnit[[#This Row],[MODULO 1 - REMUNERAÇÃO ]]</f>
        <v>9.0156397150750021</v>
      </c>
      <c r="BA144" s="22">
        <f>SUM(tabCustoUnit[[#This Row],[Ausência por Doença]:[Incidência do Submódulo 2.1 sobre Ausências Legais]])</f>
        <v>32.866538432204628</v>
      </c>
      <c r="BB144" s="22">
        <f>SUMIF(tabParametros[Código do Posto],tabCustoUnit[[#This Row],[Código do Posto]],tabParametros[Intervalo para Repouso ou Alimentação])</f>
        <v>267.73786489195959</v>
      </c>
      <c r="BC144" s="22">
        <f>tabCustoUnit[[#This Row],[Intervalo para Repouso ou Alimentação]]</f>
        <v>267.73786489195959</v>
      </c>
      <c r="BD14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4" s="22">
        <f>tabCustoUnit[[#This Row],[Suspensão Temporária do Contrato de Trabalho]]</f>
        <v>0</v>
      </c>
      <c r="BF144" s="22">
        <f>tabCustoUnit[[#This Row],[Submódulo 4.1]]+tabCustoUnit[[#This Row],[Submódulo 4.2]]+tabCustoUnit[[#This Row],[Submódulo 4.3]]</f>
        <v>300.6044033241642</v>
      </c>
      <c r="BG144" s="22">
        <f>VLOOKUP(tabCustoUnit[[#This Row],[Código do Posto]],tabParametros[],MATCH(tabCustoUnit[[#Headers],[Uniformes e EPIs]],tabParametros[#Headers],0),0)</f>
        <v>56.642978962543395</v>
      </c>
      <c r="BH144" s="22">
        <f>VLOOKUP(tabCustoUnit[[#This Row],[Código do Posto]],tabParametros[],MATCH(tabCustoUnit[[#Headers],[Materiais de Consumo]],tabParametros[#Headers],0),0)</f>
        <v>0</v>
      </c>
      <c r="BI144" s="22">
        <f>VLOOKUP(tabCustoUnit[[#This Row],[Código do Posto]],tabParametros[],MATCH(tabCustoUnit[[#Headers],[Máquinas e Equipamentos (depreciação)]],tabParametros[#Headers],0),0)</f>
        <v>0</v>
      </c>
      <c r="BJ144" s="22">
        <f>VLOOKUP(tabCustoUnit[[#This Row],[Código do Posto]],tabParametros[],MATCH(tabCustoUnit[[#Headers],[Produtos de Limpeza e Materiais de Higiene Pessoal]],tabParametros[#Headers],0),0)</f>
        <v>0</v>
      </c>
      <c r="BK144" s="22">
        <f>VLOOKUP(tabCustoUnit[[#This Row],[Código do Posto]],tabParametros[],MATCH(tabCustoUnit[[#Headers],[Outros (especificar)]],tabParametros[#Headers],0),0)</f>
        <v>0</v>
      </c>
      <c r="BL144" s="22">
        <f>SUM(tabCustoUnit[[#This Row],[Uniformes e EPIs]:[Outros (especificar)]])</f>
        <v>56.642978962543395</v>
      </c>
      <c r="BM14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4" s="22" t="e">
        <f ca="1">VLOOKUP(tabCustoUnit[[#This Row],[Código do Posto]],tabParametros[],MATCH(tabCustoUnit[[#Headers],[Custos Indiretos]],tabParametros[#Headers],0),0)</f>
        <v>#NAME?</v>
      </c>
      <c r="BO144" s="22" t="e">
        <f ca="1">VLOOKUP(tabCustoUnit[[#This Row],[Código do Posto]],tabParametros[],MATCH(tabCustoUnit[[#Headers],[Lucro]],tabParametros[#Headers],0),0)</f>
        <v>#NAME?</v>
      </c>
      <c r="BP144" s="26">
        <f>((100/((1-tabCustoUnit[[#This Row],[Resumo de Alíquotas (PIS+CONFINS+ISS)]]))-100)*VLOOKUP(tabCustoUnit[[#This Row],[Código do Posto]],tabParametros[],MATCH(tabCustoUnit[[#Headers],[COFINS]],tabParametros[#Headers],0),0))/(tabCustoUnit[[#This Row],[Resumo de Alíquotas (PIS+CONFINS+ISS)]]*100)</f>
        <v>8.6609686609686695E-2</v>
      </c>
      <c r="BQ144" s="26">
        <f>((100/((100-(tabCustoUnit[[#This Row],[Resumo de Alíquotas (PIS+CONFINS+ISS)]]*100))%)-100)*VLOOKUP(tabCustoUnit[[#This Row],[Código do Posto]],tabParametros[],MATCH(tabCustoUnit[[#Headers],[PIS]],tabParametros[#Headers],0),0))/(tabCustoUnit[[#This Row],[Resumo de Alíquotas (PIS+CONFINS+ISS)]]*100)</f>
        <v>1.880341880341882E-2</v>
      </c>
      <c r="BR144" s="28">
        <f>VLOOKUP(tabCustoUnit[[#This Row],[Código do Posto]],tabParametros[],MATCH(tabCustoUnit[[#Headers],[ISS]],tabParametros[#Headers],0),0)</f>
        <v>0.03</v>
      </c>
      <c r="BS144" s="26">
        <f>(((100/((100-(tabCustoUnit[[#This Row],[Resumo de Alíquotas (PIS+CONFINS+ISS)]]*100))%)-100)*tabCustoUnit[[#This Row],[ISS]])/tabCustoUnit[[#This Row],[Resumo de Alíquotas (PIS+CONFINS+ISS)]])/100</f>
        <v>3.4188034188034219E-2</v>
      </c>
      <c r="BT14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4" s="138">
        <f>tabCustoUnit[[#This Row],[COFINS]]+tabCustoUnit[[#This Row],[PIS]]+tabCustoUnit[[#This Row],[ISS (Conversão Alíquota s/ fatura)]]</f>
        <v>0.13960113960113973</v>
      </c>
      <c r="BV144" s="22" t="e">
        <f ca="1">(tabCustoUnit[[#This Row],[TOTAL MÓDULOS 1+2+3+4+5]]+tabCustoUnit[[#This Row],[Custos Indiretos]]+tabCustoUnit[[#This Row],[Lucro]])*tabCustoUnit[[#This Row],[PIS + COFINS + ISS (Total Conversão  Alíquota s/ Fatura)]]</f>
        <v>#NAME?</v>
      </c>
      <c r="BW144" s="22" t="e">
        <f ca="1">tabCustoUnit[[#This Row],[Custos Indiretos]]+tabCustoUnit[[#This Row],[Lucro]]+tabCustoUnit[[#This Row],[Valor dos Tributos (ISS, PIS, CONFINS)]]</f>
        <v>#NAME?</v>
      </c>
      <c r="BX144" s="22" t="e">
        <f ca="1">tabCustoUnit[[#This Row],[TOTAL MÓDULOS 1+2+3+4+5]]+tabCustoUnit[[#This Row],[MÓDULO 6 – CUSTOS INDIRETOS, TRIBUTOS E LUCRO]]</f>
        <v>#NAME?</v>
      </c>
      <c r="BY144" s="22" t="e">
        <f ca="1">tabCustoUnit[[#This Row],[CUSTO TOTAL MENSAL]]*12</f>
        <v>#NAME?</v>
      </c>
      <c r="BZ144" s="24">
        <f>VLOOKUP(tabCustoUnit[[#This Row],[Código do Posto]],tabParametros[],MATCH(tabCustoUnit[[#Headers],[ANO DA CCT]],tabParametros[#Headers],0),0)</f>
        <v>45658</v>
      </c>
      <c r="CA144" s="25" t="str">
        <f>VLOOKUP(tabCustoUnit[[#This Row],[Código do Posto]],tabParametros[],MATCH(tabCustoUnit[[#Headers],[Nº DE PEDIDO DA CCT]],tabParametros[#Headers],0),0)</f>
        <v>-</v>
      </c>
      <c r="CB144" s="25" t="str">
        <f>VLOOKUP(tabCustoUnit[[#This Row],[Código do Posto]],tabParametros[],MATCH(tabCustoUnit[[#Headers],[TERMO ADITIVO ALTERAÇÃO DA CCT]],tabParametros[#Headers],0),0)</f>
        <v>-</v>
      </c>
    </row>
    <row r="145" spans="1:80">
      <c r="A145" s="20" t="s">
        <v>1599</v>
      </c>
      <c r="B145" t="s">
        <v>915</v>
      </c>
      <c r="C145" t="s">
        <v>274</v>
      </c>
      <c r="D145" t="s">
        <v>990</v>
      </c>
      <c r="E145" s="20" t="s">
        <v>1090</v>
      </c>
      <c r="F145" s="20" t="s">
        <v>120</v>
      </c>
      <c r="G145" s="418">
        <v>4380.5668999999998</v>
      </c>
      <c r="H145" s="418">
        <v>0</v>
      </c>
      <c r="I145" s="418">
        <v>0</v>
      </c>
      <c r="J145" s="418">
        <v>0</v>
      </c>
      <c r="K145" s="418">
        <v>0</v>
      </c>
      <c r="L145" s="418">
        <v>0</v>
      </c>
      <c r="M145" s="418">
        <v>0</v>
      </c>
      <c r="N145" s="418">
        <v>0</v>
      </c>
      <c r="O145" s="21">
        <f>SUM(tabCustoUnit[[#This Row],[Salário Base]:[Adicional de Acúmulo de função]])</f>
        <v>4380.5668999999998</v>
      </c>
      <c r="P145" s="21">
        <f>tabCustoUnit[[#This Row],[MODULO 1 - REMUNERAÇÃO ]]*SUMIFS(tabParametros[INSS],tabParametros[Código do Posto],tabCustoUnit[[#This Row],[Código do Posto]])</f>
        <v>876.11338000000001</v>
      </c>
      <c r="Q145" s="21">
        <f>tabCustoUnit[[#This Row],[MODULO 1 - REMUNERAÇÃO ]]*SUMIFS(tabParametros[SESI OU SESC],tabParametros[Código do Posto],tabCustoUnit[[#This Row],[Código do Posto]])</f>
        <v>65.708503499999992</v>
      </c>
      <c r="R145" s="21">
        <f>tabCustoUnit[[#This Row],[MODULO 1 - REMUNERAÇÃO ]]*SUMIFS(tabParametros[SENAI OU SENAC],tabParametros[Código do Posto],tabCustoUnit[[#This Row],[Código do Posto]])</f>
        <v>43.805669000000002</v>
      </c>
      <c r="S145" s="21">
        <f>tabCustoUnit[[#This Row],[MODULO 1 - REMUNERAÇÃO ]]*SUMIFS(tabParametros[INCRA],tabParametros[Código do Posto],tabCustoUnit[[#This Row],[Código do Posto]])</f>
        <v>8.7611337999999996</v>
      </c>
      <c r="T145" s="21">
        <f>tabCustoUnit[[#This Row],[MODULO 1 - REMUNERAÇÃO ]]*SUMIFS(tabParametros[Salário Educação],tabParametros[Código do Posto],tabCustoUnit[[#This Row],[Código do Posto]])</f>
        <v>109.5141725</v>
      </c>
      <c r="U145" s="21">
        <f>tabCustoUnit[[#This Row],[MODULO 1 - REMUNERAÇÃO ]]*SUMIFS(tabParametros[FGTS],tabParametros[Código do Posto],tabCustoUnit[[#This Row],[Código do Posto]])</f>
        <v>350.44535200000001</v>
      </c>
      <c r="V145" s="21">
        <f>tabCustoUnit[[#This Row],[MODULO 1 - REMUNERAÇÃO ]]*SUMIFS(tabParametros[RAT Ajustado],tabParametros[Código do Posto],tabCustoUnit[[#This Row],[Código do Posto]])</f>
        <v>175.22267600000001</v>
      </c>
      <c r="W145" s="21">
        <f>tabCustoUnit[[#This Row],[MODULO 1 - REMUNERAÇÃO ]]*SUMIFS(tabParametros[SEBRAE],tabParametros[Código do Posto],tabCustoUnit[[#This Row],[Código do Posto]])</f>
        <v>26.283401399999999</v>
      </c>
      <c r="X145" s="21">
        <f>SUM(tabCustoUnit[[#This Row],[INSS]:[SEBRAE]])</f>
        <v>1655.8542882000002</v>
      </c>
      <c r="Y145" s="21">
        <f>tabCustoUnit[[#This Row],[MODULO 1 - REMUNERAÇÃO ]]*SUMIFS(tabParametros[13º salário (titular)],tabParametros[Código do Posto],tabCustoUnit[[#This Row],[Código do Posto]])</f>
        <v>365.04724166666665</v>
      </c>
      <c r="Z145" s="21">
        <f>tabCustoUnit[[#This Row],[MODULO 1 - REMUNERAÇÃO ]]*SUMIFS(tabParametros[Férias e Adicional de Férias (titular)],tabParametros[Código do Posto],tabCustoUnit[[#This Row],[Código do Posto]])</f>
        <v>486.7296555555555</v>
      </c>
      <c r="AA145" s="21">
        <f>IFERROR((tabCustoUnit[[#This Row],[Submódulo 2.1]]/tabCustoUnit[[#This Row],[MODULO 1 - REMUNERAÇÃO ]])*SUM(tabCustoUnit[[#This Row],[13º salário (titular)]:[Férias e Adicional de Férias (titular)]]),0)</f>
        <v>321.97166715000003</v>
      </c>
      <c r="AB145" s="21">
        <f>SUM(tabCustoUnit[[#This Row],[13º salário (titular)]:[Incidência do Submódulo 2.1 sobre 13º Salário, Férias e Adicional de Férias]])</f>
        <v>1173.7485643722221</v>
      </c>
      <c r="AC145" s="22" t="e">
        <f ca="1">_xlfn.LET(_xlpm.VT,SUMIF(tabParametros[Código do Posto],tabCustoUnit[[#This Row],[Código do Posto]],tabParametros[Vale - Transporte])*2*20,
IF((_xlpm.VT-tabCustoUnit[[#This Row],[Salário Base]]*0.06)&gt;=0,(_xlpm.VT-tabCustoUnit[[#This Row],[Salário Base]]*0.06),0)
)</f>
        <v>#NAME?</v>
      </c>
      <c r="AD145" s="22">
        <f>IF(SUMIF(tabParametros[Código do Posto],tabCustoUnit[[#This Row],[Código do Posto]],tabParametros[Vale - Alimentação])&lt;=0,0,
SUMIF(tabParametros[Código do Posto],tabCustoUnit[[#This Row],[Código do Posto]],tabParametros[Vale - Alimentação])*20-1)</f>
        <v>578.4</v>
      </c>
      <c r="AE145" s="22">
        <f>SUMIF(tabParametros[Código do Posto],tabCustoUnit[[#This Row],[Código do Posto]],tabParametros[Cesta Básica])</f>
        <v>0</v>
      </c>
      <c r="AF145" s="22">
        <f>SUMIF(tabParametros[Código do Posto],tabCustoUnit[[#This Row],[Código do Posto]],tabParametros[PAF])</f>
        <v>0</v>
      </c>
      <c r="AG145" s="22">
        <f>SUMIF(tabParametros[Código do Posto],tabCustoUnit[[#This Row],[Código do Posto]],tabParametros[PQM])</f>
        <v>0</v>
      </c>
      <c r="AH145" s="22">
        <f>SUMIF(tabParametros[Código do Posto],tabCustoUnit[[#This Row],[Código do Posto]],tabParametros[Abono Único e Especial])</f>
        <v>0</v>
      </c>
      <c r="AI145" s="22">
        <f>SUMIF(tabParametros[Código do Posto],tabCustoUnit[[#This Row],[Código do Posto]],tabParametros[Seguro de Vida])</f>
        <v>3.36</v>
      </c>
      <c r="AJ145" s="22">
        <f>SUMIF(tabParametros[Código do Posto],tabCustoUnit[[#This Row],[Código do Posto]],tabParametros[Despesas de Viagem])</f>
        <v>662.42</v>
      </c>
      <c r="AK145" s="22" t="e">
        <f ca="1">SUM(tabCustoUnit[[#This Row],[Vale - Transporte (Descontada parcela do empregado)]:[Despesas de Viagem]])</f>
        <v>#NAME?</v>
      </c>
      <c r="AL145" s="22" t="e">
        <f ca="1">tabCustoUnit[[#This Row],[Submódulo 2.1]]+tabCustoUnit[[#This Row],[Submódulo 2.2]]+tabCustoUnit[[#This Row],[Submódulo 2.3]]</f>
        <v>#NAME?</v>
      </c>
      <c r="AM145" s="22">
        <f>SUMIF(tabParametros[Código do Posto],tabCustoUnit[[#This Row],[Código do Posto]],tabParametros[Aviso Prévio Indenizado (API) e Reflexo do Aviso Prévio Indenizado])*tabCustoUnit[[#This Row],[MODULO 1 - REMUNERAÇÃO ]]</f>
        <v>30.715514322550153</v>
      </c>
      <c r="AN145" s="22">
        <f>SUMIF(tabParametros[Código do Posto],tabCustoUnit[[#This Row],[Código do Posto]],tabParametros[Incidência do FGTS sobre API e Reflexo do API])*tabCustoUnit[[#This Row],[MODULO 1 - REMUNERAÇÃO ]]</f>
        <v>2.4572411458040126</v>
      </c>
      <c r="AO145" s="22">
        <f>SUMIF(tabParametros[Código do Posto],tabCustoUnit[[#This Row],[Código do Posto]],tabParametros[Multa Rescisória do FGTS sobre o Aviso Prévio Indenizado])*tabCustoUnit[[#This Row],[MODULO 1 - REMUNERAÇÃO ]]</f>
        <v>0.9828964583216051</v>
      </c>
      <c r="AP145" s="22">
        <f>SUMIF(tabParametros[Código do Posto],tabCustoUnit[[#This Row],[Código do Posto]],tabParametros[Aviso Prévio Trabalhado - APT])*tabCustoUnit[[#This Row],[MODULO 1 - REMUNERAÇÃO ]]</f>
        <v>15.331984150000002</v>
      </c>
      <c r="AQ145" s="22">
        <f>SUMIF(tabParametros[Código do Posto],tabCustoUnit[[#This Row],[Código do Posto]],tabParametros[Incidência dos encargos do submódulo 2.1 sobre Aviso Prévio Trabalhado])*tabCustoUnit[[#This Row],[MODULO 1 - REMUNERAÇÃO ]]</f>
        <v>5.7954900087000016</v>
      </c>
      <c r="AR145" s="22">
        <f>SUMIF(tabParametros[Código do Posto],tabCustoUnit[[#This Row],[Código do Posto]],tabParametros[Multa Rescisória do FGTS])*tabCustoUnit[[#This Row],[MODULO 1 - REMUNERAÇÃO ]]</f>
        <v>133.94800120888885</v>
      </c>
      <c r="AS145" s="22">
        <f>SUMIF(tabParametros[Código do Posto],tabCustoUnit[[#This Row],[Código do Posto]],tabParametros[Indenização Adicional (Art. 9º da Lei nº 7.238/84)])*tabCustoUnit[[#This Row],[MODULO 1 - REMUNERAÇÃO ]]</f>
        <v>3.6504724166666667</v>
      </c>
      <c r="AT145" s="22">
        <f>SUM(tabCustoUnit[[#This Row],[Aviso Prévio Indenizado (API) e Reflexo do Aviso Prévio Indenizado]:[Indenização Adicional (Art. 9º da Lei nº 7.238/84)]])</f>
        <v>192.88159971093131</v>
      </c>
      <c r="AU145" s="22">
        <f>SUMIF(tabParametros[Código do Posto],tabCustoUnit[[#This Row],[Código do Posto]],tabParametros[Ausência por Doença])*tabCustoUnit[[#This Row],[MODULO 1 - REMUNERAÇÃO ]]</f>
        <v>36.991453822222219</v>
      </c>
      <c r="AV145" s="22">
        <f>SUMIF(tabParametros[Código do Posto],tabCustoUnit[[#This Row],[Código do Posto]],tabParametros[Ausências Legais])*tabCustoUnit[[#This Row],[MODULO 1 - REMUNERAÇÃO ]]</f>
        <v>8.8828162138888871</v>
      </c>
      <c r="AW145" s="22">
        <f>SUMIF(tabParametros[Código do Posto],tabCustoUnit[[#This Row],[Código do Posto]],tabParametros[Licença Paternidade])*tabCustoUnit[[#This Row],[MODULO 1 - REMUNERAÇÃO ]]</f>
        <v>0.74834684541666663</v>
      </c>
      <c r="AX145" s="22">
        <f>SUMIF(tabParametros[Código do Posto],tabCustoUnit[[#This Row],[Código do Posto]],tabParametros[Ausência por Acidente de Trabalho])*tabCustoUnit[[#This Row],[MODULO 1 - REMUNERAÇÃO ]]</f>
        <v>0.91261810416666667</v>
      </c>
      <c r="AY145" s="22">
        <f>SUMIF(tabParametros[Código do Posto],tabCustoUnit[[#This Row],[Código do Posto]],tabParametros[Férias, Adicional de Férias e 13º  com empregada em gozo de Licença Maternidade])*tabCustoUnit[[#This Row],[MODULO 1 - REMUNERAÇÃO ]]</f>
        <v>5.678512648148148</v>
      </c>
      <c r="AZ145" s="22">
        <f>SUMIF(tabParametros[Código do Posto],tabCustoUnit[[#This Row],[Código do Posto]],tabParametros[Incidência do Submódulo 2.1 sobre Ausências Legais])*tabCustoUnit[[#This Row],[MODULO 1 - REMUNERAÇÃO ]]</f>
        <v>20.114796605592502</v>
      </c>
      <c r="BA145" s="22">
        <f>SUM(tabCustoUnit[[#This Row],[Ausência por Doença]:[Incidência do Submódulo 2.1 sobre Ausências Legais]])</f>
        <v>73.328544239435104</v>
      </c>
      <c r="BB145" s="22">
        <f>SUMIF(tabParametros[Código do Posto],tabCustoUnit[[#This Row],[Código do Posto]],tabParametros[Intervalo para Repouso ou Alimentação])</f>
        <v>0</v>
      </c>
      <c r="BC145" s="22">
        <f>tabCustoUnit[[#This Row],[Intervalo para Repouso ou Alimentação]]</f>
        <v>0</v>
      </c>
      <c r="BD14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5" s="22">
        <f>tabCustoUnit[[#This Row],[Suspensão Temporária do Contrato de Trabalho]]</f>
        <v>0</v>
      </c>
      <c r="BF145" s="22">
        <f>tabCustoUnit[[#This Row],[Submódulo 4.1]]+tabCustoUnit[[#This Row],[Submódulo 4.2]]+tabCustoUnit[[#This Row],[Submódulo 4.3]]</f>
        <v>73.328544239435104</v>
      </c>
      <c r="BG145" s="22">
        <f>VLOOKUP(tabCustoUnit[[#This Row],[Código do Posto]],tabParametros[],MATCH(tabCustoUnit[[#Headers],[Uniformes e EPIs]],tabParametros[#Headers],0),0)</f>
        <v>92.100763771570698</v>
      </c>
      <c r="BH145" s="22">
        <f>VLOOKUP(tabCustoUnit[[#This Row],[Código do Posto]],tabParametros[],MATCH(tabCustoUnit[[#Headers],[Materiais de Consumo]],tabParametros[#Headers],0),0)</f>
        <v>0</v>
      </c>
      <c r="BI145" s="22">
        <f>VLOOKUP(tabCustoUnit[[#This Row],[Código do Posto]],tabParametros[],MATCH(tabCustoUnit[[#Headers],[Máquinas e Equipamentos (depreciação)]],tabParametros[#Headers],0),0)</f>
        <v>0</v>
      </c>
      <c r="BJ145" s="22">
        <f>VLOOKUP(tabCustoUnit[[#This Row],[Código do Posto]],tabParametros[],MATCH(tabCustoUnit[[#Headers],[Produtos de Limpeza e Materiais de Higiene Pessoal]],tabParametros[#Headers],0),0)</f>
        <v>0</v>
      </c>
      <c r="BK145" s="22">
        <f>VLOOKUP(tabCustoUnit[[#This Row],[Código do Posto]],tabParametros[],MATCH(tabCustoUnit[[#Headers],[Outros (especificar)]],tabParametros[#Headers],0),0)</f>
        <v>0</v>
      </c>
      <c r="BL145" s="22">
        <f>SUM(tabCustoUnit[[#This Row],[Uniformes e EPIs]:[Outros (especificar)]])</f>
        <v>92.100763771570698</v>
      </c>
      <c r="BM14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5" s="22" t="e">
        <f ca="1">VLOOKUP(tabCustoUnit[[#This Row],[Código do Posto]],tabParametros[],MATCH(tabCustoUnit[[#Headers],[Custos Indiretos]],tabParametros[#Headers],0),0)</f>
        <v>#NAME?</v>
      </c>
      <c r="BO145" s="22" t="e">
        <f ca="1">VLOOKUP(tabCustoUnit[[#This Row],[Código do Posto]],tabParametros[],MATCH(tabCustoUnit[[#Headers],[Lucro]],tabParametros[#Headers],0),0)</f>
        <v>#NAME?</v>
      </c>
      <c r="BP145" s="26">
        <f>((100/((1-tabCustoUnit[[#This Row],[Resumo de Alíquotas (PIS+CONFINS+ISS)]]))-100)*VLOOKUP(tabCustoUnit[[#This Row],[Código do Posto]],tabParametros[],MATCH(tabCustoUnit[[#Headers],[COFINS]],tabParametros[#Headers],0),0))/(tabCustoUnit[[#This Row],[Resumo de Alíquotas (PIS+CONFINS+ISS)]]*100)</f>
        <v>8.5633802816901458E-2</v>
      </c>
      <c r="BQ145" s="26">
        <f>((100/((100-(tabCustoUnit[[#This Row],[Resumo de Alíquotas (PIS+CONFINS+ISS)]]*100))%)-100)*VLOOKUP(tabCustoUnit[[#This Row],[Código do Posto]],tabParametros[],MATCH(tabCustoUnit[[#Headers],[PIS]],tabParametros[#Headers],0),0))/(tabCustoUnit[[#This Row],[Resumo de Alíquotas (PIS+CONFINS+ISS)]]*100)</f>
        <v>1.8591549295774657E-2</v>
      </c>
      <c r="BR145" s="28">
        <f>VLOOKUP(tabCustoUnit[[#This Row],[Código do Posto]],tabParametros[],MATCH(tabCustoUnit[[#Headers],[ISS]],tabParametros[#Headers],0),0)</f>
        <v>0.02</v>
      </c>
      <c r="BS145" s="26">
        <f>(((100/((100-(tabCustoUnit[[#This Row],[Resumo de Alíquotas (PIS+CONFINS+ISS)]]*100))%)-100)*tabCustoUnit[[#This Row],[ISS]])/tabCustoUnit[[#This Row],[Resumo de Alíquotas (PIS+CONFINS+ISS)]])/100</f>
        <v>2.2535211267605645E-2</v>
      </c>
      <c r="BT14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45" s="138">
        <f>tabCustoUnit[[#This Row],[COFINS]]+tabCustoUnit[[#This Row],[PIS]]+tabCustoUnit[[#This Row],[ISS (Conversão Alíquota s/ fatura)]]</f>
        <v>0.12676056338028174</v>
      </c>
      <c r="BV145" s="22" t="e">
        <f ca="1">(tabCustoUnit[[#This Row],[TOTAL MÓDULOS 1+2+3+4+5]]+tabCustoUnit[[#This Row],[Custos Indiretos]]+tabCustoUnit[[#This Row],[Lucro]])*tabCustoUnit[[#This Row],[PIS + COFINS + ISS (Total Conversão  Alíquota s/ Fatura)]]</f>
        <v>#NAME?</v>
      </c>
      <c r="BW145" s="22" t="e">
        <f ca="1">tabCustoUnit[[#This Row],[Custos Indiretos]]+tabCustoUnit[[#This Row],[Lucro]]+tabCustoUnit[[#This Row],[Valor dos Tributos (ISS, PIS, CONFINS)]]</f>
        <v>#NAME?</v>
      </c>
      <c r="BX145" s="22" t="e">
        <f ca="1">tabCustoUnit[[#This Row],[TOTAL MÓDULOS 1+2+3+4+5]]+tabCustoUnit[[#This Row],[MÓDULO 6 – CUSTOS INDIRETOS, TRIBUTOS E LUCRO]]</f>
        <v>#NAME?</v>
      </c>
      <c r="BY145" s="22" t="e">
        <f ca="1">tabCustoUnit[[#This Row],[CUSTO TOTAL MENSAL]]*12</f>
        <v>#NAME?</v>
      </c>
      <c r="BZ145" s="24">
        <f>VLOOKUP(tabCustoUnit[[#This Row],[Código do Posto]],tabParametros[],MATCH(tabCustoUnit[[#Headers],[ANO DA CCT]],tabParametros[#Headers],0),0)</f>
        <v>45658</v>
      </c>
      <c r="CA145" s="25" t="str">
        <f>VLOOKUP(tabCustoUnit[[#This Row],[Código do Posto]],tabParametros[],MATCH(tabCustoUnit[[#Headers],[Nº DE PEDIDO DA CCT]],tabParametros[#Headers],0),0)</f>
        <v>-</v>
      </c>
      <c r="CB145" s="25" t="str">
        <f>VLOOKUP(tabCustoUnit[[#This Row],[Código do Posto]],tabParametros[],MATCH(tabCustoUnit[[#Headers],[TERMO ADITIVO ALTERAÇÃO DA CCT]],tabParametros[#Headers],0),0)</f>
        <v>-</v>
      </c>
    </row>
    <row r="146" spans="1:80">
      <c r="A146" s="20" t="s">
        <v>1600</v>
      </c>
      <c r="B146" t="s">
        <v>915</v>
      </c>
      <c r="C146" t="s">
        <v>274</v>
      </c>
      <c r="D146" t="s">
        <v>990</v>
      </c>
      <c r="E146" s="20" t="s">
        <v>1090</v>
      </c>
      <c r="F146" s="20" t="s">
        <v>135</v>
      </c>
      <c r="G146" s="418">
        <v>4380.5668999999998</v>
      </c>
      <c r="H146" s="418">
        <v>0</v>
      </c>
      <c r="I146" s="418">
        <v>0</v>
      </c>
      <c r="J146" s="418">
        <v>0</v>
      </c>
      <c r="K146" s="418">
        <v>0</v>
      </c>
      <c r="L146" s="418">
        <v>0</v>
      </c>
      <c r="M146" s="418">
        <v>0</v>
      </c>
      <c r="N146" s="418">
        <v>0</v>
      </c>
      <c r="O146" s="21">
        <f>SUM(tabCustoUnit[[#This Row],[Salário Base]:[Adicional de Acúmulo de função]])</f>
        <v>4380.5668999999998</v>
      </c>
      <c r="P146" s="21">
        <f>tabCustoUnit[[#This Row],[MODULO 1 - REMUNERAÇÃO ]]*SUMIFS(tabParametros[INSS],tabParametros[Código do Posto],tabCustoUnit[[#This Row],[Código do Posto]])</f>
        <v>876.11338000000001</v>
      </c>
      <c r="Q146" s="21">
        <f>tabCustoUnit[[#This Row],[MODULO 1 - REMUNERAÇÃO ]]*SUMIFS(tabParametros[SESI OU SESC],tabParametros[Código do Posto],tabCustoUnit[[#This Row],[Código do Posto]])</f>
        <v>65.708503499999992</v>
      </c>
      <c r="R146" s="21">
        <f>tabCustoUnit[[#This Row],[MODULO 1 - REMUNERAÇÃO ]]*SUMIFS(tabParametros[SENAI OU SENAC],tabParametros[Código do Posto],tabCustoUnit[[#This Row],[Código do Posto]])</f>
        <v>43.805669000000002</v>
      </c>
      <c r="S146" s="21">
        <f>tabCustoUnit[[#This Row],[MODULO 1 - REMUNERAÇÃO ]]*SUMIFS(tabParametros[INCRA],tabParametros[Código do Posto],tabCustoUnit[[#This Row],[Código do Posto]])</f>
        <v>8.7611337999999996</v>
      </c>
      <c r="T146" s="21">
        <f>tabCustoUnit[[#This Row],[MODULO 1 - REMUNERAÇÃO ]]*SUMIFS(tabParametros[Salário Educação],tabParametros[Código do Posto],tabCustoUnit[[#This Row],[Código do Posto]])</f>
        <v>109.5141725</v>
      </c>
      <c r="U146" s="21">
        <f>tabCustoUnit[[#This Row],[MODULO 1 - REMUNERAÇÃO ]]*SUMIFS(tabParametros[FGTS],tabParametros[Código do Posto],tabCustoUnit[[#This Row],[Código do Posto]])</f>
        <v>350.44535200000001</v>
      </c>
      <c r="V146" s="21">
        <f>tabCustoUnit[[#This Row],[MODULO 1 - REMUNERAÇÃO ]]*SUMIFS(tabParametros[RAT Ajustado],tabParametros[Código do Posto],tabCustoUnit[[#This Row],[Código do Posto]])</f>
        <v>175.22267600000001</v>
      </c>
      <c r="W146" s="21">
        <f>tabCustoUnit[[#This Row],[MODULO 1 - REMUNERAÇÃO ]]*SUMIFS(tabParametros[SEBRAE],tabParametros[Código do Posto],tabCustoUnit[[#This Row],[Código do Posto]])</f>
        <v>26.283401399999999</v>
      </c>
      <c r="X146" s="21">
        <f>SUM(tabCustoUnit[[#This Row],[INSS]:[SEBRAE]])</f>
        <v>1655.8542882000002</v>
      </c>
      <c r="Y146" s="21">
        <f>tabCustoUnit[[#This Row],[MODULO 1 - REMUNERAÇÃO ]]*SUMIFS(tabParametros[13º salário (titular)],tabParametros[Código do Posto],tabCustoUnit[[#This Row],[Código do Posto]])</f>
        <v>365.04724166666665</v>
      </c>
      <c r="Z146" s="21">
        <f>tabCustoUnit[[#This Row],[MODULO 1 - REMUNERAÇÃO ]]*SUMIFS(tabParametros[Férias e Adicional de Férias (titular)],tabParametros[Código do Posto],tabCustoUnit[[#This Row],[Código do Posto]])</f>
        <v>486.7296555555555</v>
      </c>
      <c r="AA146" s="21">
        <f>IFERROR((tabCustoUnit[[#This Row],[Submódulo 2.1]]/tabCustoUnit[[#This Row],[MODULO 1 - REMUNERAÇÃO ]])*SUM(tabCustoUnit[[#This Row],[13º salário (titular)]:[Férias e Adicional de Férias (titular)]]),0)</f>
        <v>321.97166715000003</v>
      </c>
      <c r="AB146" s="21">
        <f>SUM(tabCustoUnit[[#This Row],[13º salário (titular)]:[Incidência do Submódulo 2.1 sobre 13º Salário, Férias e Adicional de Férias]])</f>
        <v>1173.7485643722221</v>
      </c>
      <c r="AC146" s="22" t="e">
        <f ca="1">_xlfn.LET(_xlpm.VT,SUMIF(tabParametros[Código do Posto],tabCustoUnit[[#This Row],[Código do Posto]],tabParametros[Vale - Transporte])*2*20,
IF((_xlpm.VT-tabCustoUnit[[#This Row],[Salário Base]]*0.06)&gt;=0,(_xlpm.VT-tabCustoUnit[[#This Row],[Salário Base]]*0.06),0)
)</f>
        <v>#NAME?</v>
      </c>
      <c r="AD146" s="22">
        <f>IF(SUMIF(tabParametros[Código do Posto],tabCustoUnit[[#This Row],[Código do Posto]],tabParametros[Vale - Alimentação])&lt;=0,0,
SUMIF(tabParametros[Código do Posto],tabCustoUnit[[#This Row],[Código do Posto]],tabParametros[Vale - Alimentação])*20-1)</f>
        <v>578.4</v>
      </c>
      <c r="AE146" s="22">
        <f>SUMIF(tabParametros[Código do Posto],tabCustoUnit[[#This Row],[Código do Posto]],tabParametros[Cesta Básica])</f>
        <v>0</v>
      </c>
      <c r="AF146" s="22">
        <f>SUMIF(tabParametros[Código do Posto],tabCustoUnit[[#This Row],[Código do Posto]],tabParametros[PAF])</f>
        <v>0</v>
      </c>
      <c r="AG146" s="22">
        <f>SUMIF(tabParametros[Código do Posto],tabCustoUnit[[#This Row],[Código do Posto]],tabParametros[PQM])</f>
        <v>0</v>
      </c>
      <c r="AH146" s="22">
        <f>SUMIF(tabParametros[Código do Posto],tabCustoUnit[[#This Row],[Código do Posto]],tabParametros[Abono Único e Especial])</f>
        <v>0</v>
      </c>
      <c r="AI146" s="22">
        <f>SUMIF(tabParametros[Código do Posto],tabCustoUnit[[#This Row],[Código do Posto]],tabParametros[Seguro de Vida])</f>
        <v>3.36</v>
      </c>
      <c r="AJ146" s="22">
        <f>SUMIF(tabParametros[Código do Posto],tabCustoUnit[[#This Row],[Código do Posto]],tabParametros[Despesas de Viagem])</f>
        <v>662.42</v>
      </c>
      <c r="AK146" s="22" t="e">
        <f ca="1">SUM(tabCustoUnit[[#This Row],[Vale - Transporte (Descontada parcela do empregado)]:[Despesas de Viagem]])</f>
        <v>#NAME?</v>
      </c>
      <c r="AL146" s="22" t="e">
        <f ca="1">tabCustoUnit[[#This Row],[Submódulo 2.1]]+tabCustoUnit[[#This Row],[Submódulo 2.2]]+tabCustoUnit[[#This Row],[Submódulo 2.3]]</f>
        <v>#NAME?</v>
      </c>
      <c r="AM146" s="22">
        <f>SUMIF(tabParametros[Código do Posto],tabCustoUnit[[#This Row],[Código do Posto]],tabParametros[Aviso Prévio Indenizado (API) e Reflexo do Aviso Prévio Indenizado])*tabCustoUnit[[#This Row],[MODULO 1 - REMUNERAÇÃO ]]</f>
        <v>30.715514322550153</v>
      </c>
      <c r="AN146" s="22">
        <f>SUMIF(tabParametros[Código do Posto],tabCustoUnit[[#This Row],[Código do Posto]],tabParametros[Incidência do FGTS sobre API e Reflexo do API])*tabCustoUnit[[#This Row],[MODULO 1 - REMUNERAÇÃO ]]</f>
        <v>2.4572411458040126</v>
      </c>
      <c r="AO146" s="22">
        <f>SUMIF(tabParametros[Código do Posto],tabCustoUnit[[#This Row],[Código do Posto]],tabParametros[Multa Rescisória do FGTS sobre o Aviso Prévio Indenizado])*tabCustoUnit[[#This Row],[MODULO 1 - REMUNERAÇÃO ]]</f>
        <v>0.9828964583216051</v>
      </c>
      <c r="AP146" s="22">
        <f>SUMIF(tabParametros[Código do Posto],tabCustoUnit[[#This Row],[Código do Posto]],tabParametros[Aviso Prévio Trabalhado - APT])*tabCustoUnit[[#This Row],[MODULO 1 - REMUNERAÇÃO ]]</f>
        <v>15.331984150000002</v>
      </c>
      <c r="AQ146" s="22">
        <f>SUMIF(tabParametros[Código do Posto],tabCustoUnit[[#This Row],[Código do Posto]],tabParametros[Incidência dos encargos do submódulo 2.1 sobre Aviso Prévio Trabalhado])*tabCustoUnit[[#This Row],[MODULO 1 - REMUNERAÇÃO ]]</f>
        <v>5.7954900087000016</v>
      </c>
      <c r="AR146" s="22">
        <f>SUMIF(tabParametros[Código do Posto],tabCustoUnit[[#This Row],[Código do Posto]],tabParametros[Multa Rescisória do FGTS])*tabCustoUnit[[#This Row],[MODULO 1 - REMUNERAÇÃO ]]</f>
        <v>133.94800120888885</v>
      </c>
      <c r="AS146" s="22">
        <f>SUMIF(tabParametros[Código do Posto],tabCustoUnit[[#This Row],[Código do Posto]],tabParametros[Indenização Adicional (Art. 9º da Lei nº 7.238/84)])*tabCustoUnit[[#This Row],[MODULO 1 - REMUNERAÇÃO ]]</f>
        <v>3.6504724166666667</v>
      </c>
      <c r="AT146" s="22">
        <f>SUM(tabCustoUnit[[#This Row],[Aviso Prévio Indenizado (API) e Reflexo do Aviso Prévio Indenizado]:[Indenização Adicional (Art. 9º da Lei nº 7.238/84)]])</f>
        <v>192.88159971093131</v>
      </c>
      <c r="AU146" s="22">
        <f>SUMIF(tabParametros[Código do Posto],tabCustoUnit[[#This Row],[Código do Posto]],tabParametros[Ausência por Doença])*tabCustoUnit[[#This Row],[MODULO 1 - REMUNERAÇÃO ]]</f>
        <v>36.991453822222219</v>
      </c>
      <c r="AV146" s="22">
        <f>SUMIF(tabParametros[Código do Posto],tabCustoUnit[[#This Row],[Código do Posto]],tabParametros[Ausências Legais])*tabCustoUnit[[#This Row],[MODULO 1 - REMUNERAÇÃO ]]</f>
        <v>8.8828162138888871</v>
      </c>
      <c r="AW146" s="22">
        <f>SUMIF(tabParametros[Código do Posto],tabCustoUnit[[#This Row],[Código do Posto]],tabParametros[Licença Paternidade])*tabCustoUnit[[#This Row],[MODULO 1 - REMUNERAÇÃO ]]</f>
        <v>0.74834684541666663</v>
      </c>
      <c r="AX146" s="22">
        <f>SUMIF(tabParametros[Código do Posto],tabCustoUnit[[#This Row],[Código do Posto]],tabParametros[Ausência por Acidente de Trabalho])*tabCustoUnit[[#This Row],[MODULO 1 - REMUNERAÇÃO ]]</f>
        <v>0.91261810416666667</v>
      </c>
      <c r="AY146" s="22">
        <f>SUMIF(tabParametros[Código do Posto],tabCustoUnit[[#This Row],[Código do Posto]],tabParametros[Férias, Adicional de Férias e 13º  com empregada em gozo de Licença Maternidade])*tabCustoUnit[[#This Row],[MODULO 1 - REMUNERAÇÃO ]]</f>
        <v>5.678512648148148</v>
      </c>
      <c r="AZ146" s="22">
        <f>SUMIF(tabParametros[Código do Posto],tabCustoUnit[[#This Row],[Código do Posto]],tabParametros[Incidência do Submódulo 2.1 sobre Ausências Legais])*tabCustoUnit[[#This Row],[MODULO 1 - REMUNERAÇÃO ]]</f>
        <v>20.114796605592502</v>
      </c>
      <c r="BA146" s="22">
        <f>SUM(tabCustoUnit[[#This Row],[Ausência por Doença]:[Incidência do Submódulo 2.1 sobre Ausências Legais]])</f>
        <v>73.328544239435104</v>
      </c>
      <c r="BB146" s="22">
        <f>SUMIF(tabParametros[Código do Posto],tabCustoUnit[[#This Row],[Código do Posto]],tabParametros[Intervalo para Repouso ou Alimentação])</f>
        <v>0</v>
      </c>
      <c r="BC146" s="22">
        <f>tabCustoUnit[[#This Row],[Intervalo para Repouso ou Alimentação]]</f>
        <v>0</v>
      </c>
      <c r="BD14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6" s="22">
        <f>tabCustoUnit[[#This Row],[Suspensão Temporária do Contrato de Trabalho]]</f>
        <v>0</v>
      </c>
      <c r="BF146" s="22">
        <f>tabCustoUnit[[#This Row],[Submódulo 4.1]]+tabCustoUnit[[#This Row],[Submódulo 4.2]]+tabCustoUnit[[#This Row],[Submódulo 4.3]]</f>
        <v>73.328544239435104</v>
      </c>
      <c r="BG146" s="22">
        <f>VLOOKUP(tabCustoUnit[[#This Row],[Código do Posto]],tabParametros[],MATCH(tabCustoUnit[[#Headers],[Uniformes e EPIs]],tabParametros[#Headers],0),0)</f>
        <v>92.100763771570698</v>
      </c>
      <c r="BH146" s="22">
        <f>VLOOKUP(tabCustoUnit[[#This Row],[Código do Posto]],tabParametros[],MATCH(tabCustoUnit[[#Headers],[Materiais de Consumo]],tabParametros[#Headers],0),0)</f>
        <v>0</v>
      </c>
      <c r="BI146" s="22">
        <f>VLOOKUP(tabCustoUnit[[#This Row],[Código do Posto]],tabParametros[],MATCH(tabCustoUnit[[#Headers],[Máquinas e Equipamentos (depreciação)]],tabParametros[#Headers],0),0)</f>
        <v>0</v>
      </c>
      <c r="BJ146" s="22">
        <f>VLOOKUP(tabCustoUnit[[#This Row],[Código do Posto]],tabParametros[],MATCH(tabCustoUnit[[#Headers],[Produtos de Limpeza e Materiais de Higiene Pessoal]],tabParametros[#Headers],0),0)</f>
        <v>0</v>
      </c>
      <c r="BK146" s="22">
        <f>VLOOKUP(tabCustoUnit[[#This Row],[Código do Posto]],tabParametros[],MATCH(tabCustoUnit[[#Headers],[Outros (especificar)]],tabParametros[#Headers],0),0)</f>
        <v>0</v>
      </c>
      <c r="BL146" s="22">
        <f>SUM(tabCustoUnit[[#This Row],[Uniformes e EPIs]:[Outros (especificar)]])</f>
        <v>92.100763771570698</v>
      </c>
      <c r="BM14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6" s="22" t="e">
        <f ca="1">VLOOKUP(tabCustoUnit[[#This Row],[Código do Posto]],tabParametros[],MATCH(tabCustoUnit[[#Headers],[Custos Indiretos]],tabParametros[#Headers],0),0)</f>
        <v>#NAME?</v>
      </c>
      <c r="BO146" s="22" t="e">
        <f ca="1">VLOOKUP(tabCustoUnit[[#This Row],[Código do Posto]],tabParametros[],MATCH(tabCustoUnit[[#Headers],[Lucro]],tabParametros[#Headers],0),0)</f>
        <v>#NAME?</v>
      </c>
      <c r="BP146" s="26">
        <f>((100/((1-tabCustoUnit[[#This Row],[Resumo de Alíquotas (PIS+CONFINS+ISS)]]))-100)*VLOOKUP(tabCustoUnit[[#This Row],[Código do Posto]],tabParametros[],MATCH(tabCustoUnit[[#Headers],[COFINS]],tabParametros[#Headers],0),0))/(tabCustoUnit[[#This Row],[Resumo de Alíquotas (PIS+CONFINS+ISS)]]*100)</f>
        <v>8.5633802816901458E-2</v>
      </c>
      <c r="BQ146" s="26">
        <f>((100/((100-(tabCustoUnit[[#This Row],[Resumo de Alíquotas (PIS+CONFINS+ISS)]]*100))%)-100)*VLOOKUP(tabCustoUnit[[#This Row],[Código do Posto]],tabParametros[],MATCH(tabCustoUnit[[#Headers],[PIS]],tabParametros[#Headers],0),0))/(tabCustoUnit[[#This Row],[Resumo de Alíquotas (PIS+CONFINS+ISS)]]*100)</f>
        <v>1.8591549295774657E-2</v>
      </c>
      <c r="BR146" s="28">
        <f>VLOOKUP(tabCustoUnit[[#This Row],[Código do Posto]],tabParametros[],MATCH(tabCustoUnit[[#Headers],[ISS]],tabParametros[#Headers],0),0)</f>
        <v>0.02</v>
      </c>
      <c r="BS146" s="26">
        <f>(((100/((100-(tabCustoUnit[[#This Row],[Resumo de Alíquotas (PIS+CONFINS+ISS)]]*100))%)-100)*tabCustoUnit[[#This Row],[ISS]])/tabCustoUnit[[#This Row],[Resumo de Alíquotas (PIS+CONFINS+ISS)]])/100</f>
        <v>2.2535211267605645E-2</v>
      </c>
      <c r="BT14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46" s="138">
        <f>tabCustoUnit[[#This Row],[COFINS]]+tabCustoUnit[[#This Row],[PIS]]+tabCustoUnit[[#This Row],[ISS (Conversão Alíquota s/ fatura)]]</f>
        <v>0.12676056338028174</v>
      </c>
      <c r="BV146" s="22" t="e">
        <f ca="1">(tabCustoUnit[[#This Row],[TOTAL MÓDULOS 1+2+3+4+5]]+tabCustoUnit[[#This Row],[Custos Indiretos]]+tabCustoUnit[[#This Row],[Lucro]])*tabCustoUnit[[#This Row],[PIS + COFINS + ISS (Total Conversão  Alíquota s/ Fatura)]]</f>
        <v>#NAME?</v>
      </c>
      <c r="BW146" s="22" t="e">
        <f ca="1">tabCustoUnit[[#This Row],[Custos Indiretos]]+tabCustoUnit[[#This Row],[Lucro]]+tabCustoUnit[[#This Row],[Valor dos Tributos (ISS, PIS, CONFINS)]]</f>
        <v>#NAME?</v>
      </c>
      <c r="BX146" s="22" t="e">
        <f ca="1">tabCustoUnit[[#This Row],[TOTAL MÓDULOS 1+2+3+4+5]]+tabCustoUnit[[#This Row],[MÓDULO 6 – CUSTOS INDIRETOS, TRIBUTOS E LUCRO]]</f>
        <v>#NAME?</v>
      </c>
      <c r="BY146" s="22" t="e">
        <f ca="1">tabCustoUnit[[#This Row],[CUSTO TOTAL MENSAL]]*12</f>
        <v>#NAME?</v>
      </c>
      <c r="BZ146" s="24">
        <f>VLOOKUP(tabCustoUnit[[#This Row],[Código do Posto]],tabParametros[],MATCH(tabCustoUnit[[#Headers],[ANO DA CCT]],tabParametros[#Headers],0),0)</f>
        <v>45658</v>
      </c>
      <c r="CA146" s="25" t="str">
        <f>VLOOKUP(tabCustoUnit[[#This Row],[Código do Posto]],tabParametros[],MATCH(tabCustoUnit[[#Headers],[Nº DE PEDIDO DA CCT]],tabParametros[#Headers],0),0)</f>
        <v>-</v>
      </c>
      <c r="CB146" s="25" t="str">
        <f>VLOOKUP(tabCustoUnit[[#This Row],[Código do Posto]],tabParametros[],MATCH(tabCustoUnit[[#Headers],[TERMO ADITIVO ALTERAÇÃO DA CCT]],tabParametros[#Headers],0),0)</f>
        <v>-</v>
      </c>
    </row>
    <row r="147" spans="1:80">
      <c r="A147" s="20" t="s">
        <v>1601</v>
      </c>
      <c r="B147" t="s">
        <v>915</v>
      </c>
      <c r="C147" t="s">
        <v>319</v>
      </c>
      <c r="D147" t="s">
        <v>915</v>
      </c>
      <c r="E147" s="20" t="s">
        <v>1090</v>
      </c>
      <c r="F147" s="20" t="s">
        <v>120</v>
      </c>
      <c r="G147" s="418">
        <v>2316.2253000000001</v>
      </c>
      <c r="H147" s="418">
        <v>0</v>
      </c>
      <c r="I147" s="418">
        <v>0</v>
      </c>
      <c r="J147" s="418">
        <v>0</v>
      </c>
      <c r="K147" s="418">
        <v>0</v>
      </c>
      <c r="L147" s="418">
        <v>0</v>
      </c>
      <c r="M147" s="418">
        <v>0</v>
      </c>
      <c r="N147" s="418">
        <v>0</v>
      </c>
      <c r="O147" s="21">
        <f>SUM(tabCustoUnit[[#This Row],[Salário Base]:[Adicional de Acúmulo de função]])</f>
        <v>2316.2253000000001</v>
      </c>
      <c r="P147" s="21">
        <f>tabCustoUnit[[#This Row],[MODULO 1 - REMUNERAÇÃO ]]*SUMIFS(tabParametros[INSS],tabParametros[Código do Posto],tabCustoUnit[[#This Row],[Código do Posto]])</f>
        <v>463.24506000000002</v>
      </c>
      <c r="Q147" s="21">
        <f>tabCustoUnit[[#This Row],[MODULO 1 - REMUNERAÇÃO ]]*SUMIFS(tabParametros[SESI OU SESC],tabParametros[Código do Posto],tabCustoUnit[[#This Row],[Código do Posto]])</f>
        <v>34.743379499999996</v>
      </c>
      <c r="R147" s="21">
        <f>tabCustoUnit[[#This Row],[MODULO 1 - REMUNERAÇÃO ]]*SUMIFS(tabParametros[SENAI OU SENAC],tabParametros[Código do Posto],tabCustoUnit[[#This Row],[Código do Posto]])</f>
        <v>23.162253</v>
      </c>
      <c r="S147" s="21">
        <f>tabCustoUnit[[#This Row],[MODULO 1 - REMUNERAÇÃO ]]*SUMIFS(tabParametros[INCRA],tabParametros[Código do Posto],tabCustoUnit[[#This Row],[Código do Posto]])</f>
        <v>4.6324506000000003</v>
      </c>
      <c r="T147" s="21">
        <f>tabCustoUnit[[#This Row],[MODULO 1 - REMUNERAÇÃO ]]*SUMIFS(tabParametros[Salário Educação],tabParametros[Código do Posto],tabCustoUnit[[#This Row],[Código do Posto]])</f>
        <v>57.905632500000003</v>
      </c>
      <c r="U147" s="21">
        <f>tabCustoUnit[[#This Row],[MODULO 1 - REMUNERAÇÃO ]]*SUMIFS(tabParametros[FGTS],tabParametros[Código do Posto],tabCustoUnit[[#This Row],[Código do Posto]])</f>
        <v>185.298024</v>
      </c>
      <c r="V147" s="21">
        <f>tabCustoUnit[[#This Row],[MODULO 1 - REMUNERAÇÃO ]]*SUMIFS(tabParametros[RAT Ajustado],tabParametros[Código do Posto],tabCustoUnit[[#This Row],[Código do Posto]])</f>
        <v>92.649011999999999</v>
      </c>
      <c r="W147" s="21">
        <f>tabCustoUnit[[#This Row],[MODULO 1 - REMUNERAÇÃO ]]*SUMIFS(tabParametros[SEBRAE],tabParametros[Código do Posto],tabCustoUnit[[#This Row],[Código do Posto]])</f>
        <v>13.897351800000001</v>
      </c>
      <c r="X147" s="21">
        <f>SUM(tabCustoUnit[[#This Row],[INSS]:[SEBRAE]])</f>
        <v>875.53316340000003</v>
      </c>
      <c r="Y147" s="21">
        <f>tabCustoUnit[[#This Row],[MODULO 1 - REMUNERAÇÃO ]]*SUMIFS(tabParametros[13º salário (titular)],tabParametros[Código do Posto],tabCustoUnit[[#This Row],[Código do Posto]])</f>
        <v>193.01877500000001</v>
      </c>
      <c r="Z147" s="21">
        <f>tabCustoUnit[[#This Row],[MODULO 1 - REMUNERAÇÃO ]]*SUMIFS(tabParametros[Férias e Adicional de Férias (titular)],tabParametros[Código do Posto],tabCustoUnit[[#This Row],[Código do Posto]])</f>
        <v>257.35836666666665</v>
      </c>
      <c r="AA147" s="21">
        <f>IFERROR((tabCustoUnit[[#This Row],[Submódulo 2.1]]/tabCustoUnit[[#This Row],[MODULO 1 - REMUNERAÇÃO ]])*SUM(tabCustoUnit[[#This Row],[13º salário (titular)]:[Férias e Adicional de Férias (titular)]]),0)</f>
        <v>170.24255955000001</v>
      </c>
      <c r="AB147" s="21">
        <f>SUM(tabCustoUnit[[#This Row],[13º salário (titular)]:[Incidência do Submódulo 2.1 sobre 13º Salário, Férias e Adicional de Férias]])</f>
        <v>620.61970121666673</v>
      </c>
      <c r="AC147" s="22" t="e">
        <f ca="1">_xlfn.LET(_xlpm.VT,SUMIF(tabParametros[Código do Posto],tabCustoUnit[[#This Row],[Código do Posto]],tabParametros[Vale - Transporte])*2*20,
IF((_xlpm.VT-tabCustoUnit[[#This Row],[Salário Base]]*0.06)&gt;=0,(_xlpm.VT-tabCustoUnit[[#This Row],[Salário Base]]*0.06),0)
)</f>
        <v>#NAME?</v>
      </c>
      <c r="AD147" s="22">
        <f>IF(SUMIF(tabParametros[Código do Posto],tabCustoUnit[[#This Row],[Código do Posto]],tabParametros[Vale - Alimentação])&lt;=0,0,
SUMIF(tabParametros[Código do Posto],tabCustoUnit[[#This Row],[Código do Posto]],tabParametros[Vale - Alimentação])*20-1)</f>
        <v>582</v>
      </c>
      <c r="AE147" s="22">
        <f>SUMIF(tabParametros[Código do Posto],tabCustoUnit[[#This Row],[Código do Posto]],tabParametros[Cesta Básica])</f>
        <v>0</v>
      </c>
      <c r="AF147" s="22">
        <f>SUMIF(tabParametros[Código do Posto],tabCustoUnit[[#This Row],[Código do Posto]],tabParametros[PAF])</f>
        <v>51.88</v>
      </c>
      <c r="AG147" s="22">
        <f>SUMIF(tabParametros[Código do Posto],tabCustoUnit[[#This Row],[Código do Posto]],tabParametros[PQM])</f>
        <v>0</v>
      </c>
      <c r="AH147" s="22">
        <f>SUMIF(tabParametros[Código do Posto],tabCustoUnit[[#This Row],[Código do Posto]],tabParametros[Abono Único e Especial])</f>
        <v>0</v>
      </c>
      <c r="AI147" s="22">
        <f>SUMIF(tabParametros[Código do Posto],tabCustoUnit[[#This Row],[Código do Posto]],tabParametros[Seguro de Vida])</f>
        <v>3.36</v>
      </c>
      <c r="AJ147" s="22">
        <f>SUMIF(tabParametros[Código do Posto],tabCustoUnit[[#This Row],[Código do Posto]],tabParametros[Despesas de Viagem])</f>
        <v>0</v>
      </c>
      <c r="AK147" s="22" t="e">
        <f ca="1">SUM(tabCustoUnit[[#This Row],[Vale - Transporte (Descontada parcela do empregado)]:[Despesas de Viagem]])</f>
        <v>#NAME?</v>
      </c>
      <c r="AL147" s="22" t="e">
        <f ca="1">tabCustoUnit[[#This Row],[Submódulo 2.1]]+tabCustoUnit[[#This Row],[Submódulo 2.2]]+tabCustoUnit[[#This Row],[Submódulo 2.3]]</f>
        <v>#NAME?</v>
      </c>
      <c r="AM147" s="22">
        <f>SUMIF(tabParametros[Código do Posto],tabCustoUnit[[#This Row],[Código do Posto]],tabParametros[Aviso Prévio Indenizado (API) e Reflexo do Aviso Prévio Indenizado])*tabCustoUnit[[#This Row],[MODULO 1 - REMUNERAÇÃO ]]</f>
        <v>16.240832065914354</v>
      </c>
      <c r="AN147" s="22">
        <f>SUMIF(tabParametros[Código do Posto],tabCustoUnit[[#This Row],[Código do Posto]],tabParametros[Incidência do FGTS sobre API e Reflexo do API])*tabCustoUnit[[#This Row],[MODULO 1 - REMUNERAÇÃO ]]</f>
        <v>1.2992665652731483</v>
      </c>
      <c r="AO147" s="22">
        <f>SUMIF(tabParametros[Código do Posto],tabCustoUnit[[#This Row],[Código do Posto]],tabParametros[Multa Rescisória do FGTS sobre o Aviso Prévio Indenizado])*tabCustoUnit[[#This Row],[MODULO 1 - REMUNERAÇÃO ]]</f>
        <v>0.51970662610925933</v>
      </c>
      <c r="AP147" s="22">
        <f>SUMIF(tabParametros[Código do Posto],tabCustoUnit[[#This Row],[Código do Posto]],tabParametros[Aviso Prévio Trabalhado - APT])*tabCustoUnit[[#This Row],[MODULO 1 - REMUNERAÇÃO ]]</f>
        <v>8.106788550000001</v>
      </c>
      <c r="AQ147" s="22">
        <f>SUMIF(tabParametros[Código do Posto],tabCustoUnit[[#This Row],[Código do Posto]],tabParametros[Incidência dos encargos do submódulo 2.1 sobre Aviso Prévio Trabalhado])*tabCustoUnit[[#This Row],[MODULO 1 - REMUNERAÇÃO ]]</f>
        <v>3.0643660719000008</v>
      </c>
      <c r="AR147" s="22">
        <f>SUMIF(tabParametros[Código do Posto],tabCustoUnit[[#This Row],[Código do Posto]],tabParametros[Multa Rescisória do FGTS])*tabCustoUnit[[#This Row],[MODULO 1 - REMUNERAÇÃO ]]</f>
        <v>70.825022506666656</v>
      </c>
      <c r="AS147" s="22">
        <f>SUMIF(tabParametros[Código do Posto],tabCustoUnit[[#This Row],[Código do Posto]],tabParametros[Indenização Adicional (Art. 9º da Lei nº 7.238/84)])*tabCustoUnit[[#This Row],[MODULO 1 - REMUNERAÇÃO ]]</f>
        <v>1.9301877500000002</v>
      </c>
      <c r="AT147" s="22">
        <f>SUM(tabCustoUnit[[#This Row],[Aviso Prévio Indenizado (API) e Reflexo do Aviso Prévio Indenizado]:[Indenização Adicional (Art. 9º da Lei nº 7.238/84)]])</f>
        <v>101.98617013586342</v>
      </c>
      <c r="AU147" s="22">
        <f>SUMIF(tabParametros[Código do Posto],tabCustoUnit[[#This Row],[Código do Posto]],tabParametros[Ausência por Doença])*tabCustoUnit[[#This Row],[MODULO 1 - REMUNERAÇÃO ]]</f>
        <v>19.559235866666665</v>
      </c>
      <c r="AV147" s="22">
        <f>SUMIF(tabParametros[Código do Posto],tabCustoUnit[[#This Row],[Código do Posto]],tabParametros[Ausências Legais])*tabCustoUnit[[#This Row],[MODULO 1 - REMUNERAÇÃO ]]</f>
        <v>4.6967901916666666</v>
      </c>
      <c r="AW147" s="22">
        <f>SUMIF(tabParametros[Código do Posto],tabCustoUnit[[#This Row],[Código do Posto]],tabParametros[Licença Paternidade])*tabCustoUnit[[#This Row],[MODULO 1 - REMUNERAÇÃO ]]</f>
        <v>0.39568848875000001</v>
      </c>
      <c r="AX147" s="22">
        <f>SUMIF(tabParametros[Código do Posto],tabCustoUnit[[#This Row],[Código do Posto]],tabParametros[Ausência por Acidente de Trabalho])*tabCustoUnit[[#This Row],[MODULO 1 - REMUNERAÇÃO ]]</f>
        <v>0.48254693750000005</v>
      </c>
      <c r="AY147" s="22">
        <f>SUMIF(tabParametros[Código do Posto],tabCustoUnit[[#This Row],[Código do Posto]],tabParametros[Férias, Adicional de Férias e 13º  com empregada em gozo de Licença Maternidade])*tabCustoUnit[[#This Row],[MODULO 1 - REMUNERAÇÃO ]]</f>
        <v>3.0025142777777778</v>
      </c>
      <c r="AZ147" s="22">
        <f>SUMIF(tabParametros[Código do Posto],tabCustoUnit[[#This Row],[Código do Posto]],tabParametros[Incidência do Submódulo 2.1 sobre Ausências Legais])*tabCustoUnit[[#This Row],[MODULO 1 - REMUNERAÇÃO ]]</f>
        <v>10.635701238172501</v>
      </c>
      <c r="BA147" s="22">
        <f>SUM(tabCustoUnit[[#This Row],[Ausência por Doença]:[Incidência do Submódulo 2.1 sobre Ausências Legais]])</f>
        <v>38.772477000533613</v>
      </c>
      <c r="BB147" s="22">
        <f>SUMIF(tabParametros[Código do Posto],tabCustoUnit[[#This Row],[Código do Posto]],tabParametros[Intervalo para Repouso ou Alimentação])</f>
        <v>0</v>
      </c>
      <c r="BC147" s="22">
        <f>tabCustoUnit[[#This Row],[Intervalo para Repouso ou Alimentação]]</f>
        <v>0</v>
      </c>
      <c r="BD14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7" s="22">
        <f>tabCustoUnit[[#This Row],[Suspensão Temporária do Contrato de Trabalho]]</f>
        <v>0</v>
      </c>
      <c r="BF147" s="22">
        <f>tabCustoUnit[[#This Row],[Submódulo 4.1]]+tabCustoUnit[[#This Row],[Submódulo 4.2]]+tabCustoUnit[[#This Row],[Submódulo 4.3]]</f>
        <v>38.772477000533613</v>
      </c>
      <c r="BG147" s="22">
        <f>VLOOKUP(tabCustoUnit[[#This Row],[Código do Posto]],tabParametros[],MATCH(tabCustoUnit[[#Headers],[Uniformes e EPIs]],tabParametros[#Headers],0),0)</f>
        <v>56.642978962543395</v>
      </c>
      <c r="BH147" s="22">
        <f>VLOOKUP(tabCustoUnit[[#This Row],[Código do Posto]],tabParametros[],MATCH(tabCustoUnit[[#Headers],[Materiais de Consumo]],tabParametros[#Headers],0),0)</f>
        <v>0</v>
      </c>
      <c r="BI147" s="22">
        <f>VLOOKUP(tabCustoUnit[[#This Row],[Código do Posto]],tabParametros[],MATCH(tabCustoUnit[[#Headers],[Máquinas e Equipamentos (depreciação)]],tabParametros[#Headers],0),0)</f>
        <v>0</v>
      </c>
      <c r="BJ147" s="22">
        <f>VLOOKUP(tabCustoUnit[[#This Row],[Código do Posto]],tabParametros[],MATCH(tabCustoUnit[[#Headers],[Produtos de Limpeza e Materiais de Higiene Pessoal]],tabParametros[#Headers],0),0)</f>
        <v>0</v>
      </c>
      <c r="BK147" s="22">
        <f>VLOOKUP(tabCustoUnit[[#This Row],[Código do Posto]],tabParametros[],MATCH(tabCustoUnit[[#Headers],[Outros (especificar)]],tabParametros[#Headers],0),0)</f>
        <v>0</v>
      </c>
      <c r="BL147" s="22">
        <f>SUM(tabCustoUnit[[#This Row],[Uniformes e EPIs]:[Outros (especificar)]])</f>
        <v>56.642978962543395</v>
      </c>
      <c r="BM14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7" s="22" t="e">
        <f ca="1">VLOOKUP(tabCustoUnit[[#This Row],[Código do Posto]],tabParametros[],MATCH(tabCustoUnit[[#Headers],[Custos Indiretos]],tabParametros[#Headers],0),0)</f>
        <v>#NAME?</v>
      </c>
      <c r="BO147" s="22" t="e">
        <f ca="1">VLOOKUP(tabCustoUnit[[#This Row],[Código do Posto]],tabParametros[],MATCH(tabCustoUnit[[#Headers],[Lucro]],tabParametros[#Headers],0),0)</f>
        <v>#NAME?</v>
      </c>
      <c r="BP147" s="26">
        <f>((100/((1-tabCustoUnit[[#This Row],[Resumo de Alíquotas (PIS+CONFINS+ISS)]]))-100)*VLOOKUP(tabCustoUnit[[#This Row],[Código do Posto]],tabParametros[],MATCH(tabCustoUnit[[#Headers],[COFINS]],tabParametros[#Headers],0),0))/(tabCustoUnit[[#This Row],[Resumo de Alíquotas (PIS+CONFINS+ISS)]]*100)</f>
        <v>8.5633802816901458E-2</v>
      </c>
      <c r="BQ147" s="26">
        <f>((100/((100-(tabCustoUnit[[#This Row],[Resumo de Alíquotas (PIS+CONFINS+ISS)]]*100))%)-100)*VLOOKUP(tabCustoUnit[[#This Row],[Código do Posto]],tabParametros[],MATCH(tabCustoUnit[[#Headers],[PIS]],tabParametros[#Headers],0),0))/(tabCustoUnit[[#This Row],[Resumo de Alíquotas (PIS+CONFINS+ISS)]]*100)</f>
        <v>1.8591549295774657E-2</v>
      </c>
      <c r="BR147" s="28">
        <f>VLOOKUP(tabCustoUnit[[#This Row],[Código do Posto]],tabParametros[],MATCH(tabCustoUnit[[#Headers],[ISS]],tabParametros[#Headers],0),0)</f>
        <v>0.02</v>
      </c>
      <c r="BS147" s="26">
        <f>(((100/((100-(tabCustoUnit[[#This Row],[Resumo de Alíquotas (PIS+CONFINS+ISS)]]*100))%)-100)*tabCustoUnit[[#This Row],[ISS]])/tabCustoUnit[[#This Row],[Resumo de Alíquotas (PIS+CONFINS+ISS)]])/100</f>
        <v>2.2535211267605645E-2</v>
      </c>
      <c r="BT14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47" s="138">
        <f>tabCustoUnit[[#This Row],[COFINS]]+tabCustoUnit[[#This Row],[PIS]]+tabCustoUnit[[#This Row],[ISS (Conversão Alíquota s/ fatura)]]</f>
        <v>0.12676056338028174</v>
      </c>
      <c r="BV147" s="22" t="e">
        <f ca="1">(tabCustoUnit[[#This Row],[TOTAL MÓDULOS 1+2+3+4+5]]+tabCustoUnit[[#This Row],[Custos Indiretos]]+tabCustoUnit[[#This Row],[Lucro]])*tabCustoUnit[[#This Row],[PIS + COFINS + ISS (Total Conversão  Alíquota s/ Fatura)]]</f>
        <v>#NAME?</v>
      </c>
      <c r="BW147" s="22" t="e">
        <f ca="1">tabCustoUnit[[#This Row],[Custos Indiretos]]+tabCustoUnit[[#This Row],[Lucro]]+tabCustoUnit[[#This Row],[Valor dos Tributos (ISS, PIS, CONFINS)]]</f>
        <v>#NAME?</v>
      </c>
      <c r="BX147" s="22" t="e">
        <f ca="1">tabCustoUnit[[#This Row],[TOTAL MÓDULOS 1+2+3+4+5]]+tabCustoUnit[[#This Row],[MÓDULO 6 – CUSTOS INDIRETOS, TRIBUTOS E LUCRO]]</f>
        <v>#NAME?</v>
      </c>
      <c r="BY147" s="22" t="e">
        <f ca="1">tabCustoUnit[[#This Row],[CUSTO TOTAL MENSAL]]*12</f>
        <v>#NAME?</v>
      </c>
      <c r="BZ147" s="24">
        <f>VLOOKUP(tabCustoUnit[[#This Row],[Código do Posto]],tabParametros[],MATCH(tabCustoUnit[[#Headers],[ANO DA CCT]],tabParametros[#Headers],0),0)</f>
        <v>45658</v>
      </c>
      <c r="CA147" s="25" t="str">
        <f>VLOOKUP(tabCustoUnit[[#This Row],[Código do Posto]],tabParametros[],MATCH(tabCustoUnit[[#Headers],[Nº DE PEDIDO DA CCT]],tabParametros[#Headers],0),0)</f>
        <v>-</v>
      </c>
      <c r="CB147" s="25" t="str">
        <f>VLOOKUP(tabCustoUnit[[#This Row],[Código do Posto]],tabParametros[],MATCH(tabCustoUnit[[#Headers],[TERMO ADITIVO ALTERAÇÃO DA CCT]],tabParametros[#Headers],0),0)</f>
        <v>-</v>
      </c>
    </row>
    <row r="148" spans="1:80">
      <c r="A148" s="20" t="s">
        <v>1602</v>
      </c>
      <c r="B148" t="s">
        <v>915</v>
      </c>
      <c r="C148" t="s">
        <v>324</v>
      </c>
      <c r="D148" t="s">
        <v>915</v>
      </c>
      <c r="E148" s="20" t="s">
        <v>1090</v>
      </c>
      <c r="F148" s="20" t="s">
        <v>120</v>
      </c>
      <c r="G148" s="418">
        <v>3397.1305000000002</v>
      </c>
      <c r="H148" s="418">
        <v>0</v>
      </c>
      <c r="I148" s="418">
        <v>0</v>
      </c>
      <c r="J148" s="418">
        <v>0</v>
      </c>
      <c r="K148" s="418">
        <v>0</v>
      </c>
      <c r="L148" s="418">
        <v>0</v>
      </c>
      <c r="M148" s="418">
        <v>0</v>
      </c>
      <c r="N148" s="418">
        <v>0</v>
      </c>
      <c r="O148" s="21">
        <f>SUM(tabCustoUnit[[#This Row],[Salário Base]:[Adicional de Acúmulo de função]])</f>
        <v>3397.1305000000002</v>
      </c>
      <c r="P148" s="21">
        <f>tabCustoUnit[[#This Row],[MODULO 1 - REMUNERAÇÃO ]]*SUMIFS(tabParametros[INSS],tabParametros[Código do Posto],tabCustoUnit[[#This Row],[Código do Posto]])</f>
        <v>679.42610000000013</v>
      </c>
      <c r="Q148" s="21">
        <f>tabCustoUnit[[#This Row],[MODULO 1 - REMUNERAÇÃO ]]*SUMIFS(tabParametros[SESI OU SESC],tabParametros[Código do Posto],tabCustoUnit[[#This Row],[Código do Posto]])</f>
        <v>50.956957500000001</v>
      </c>
      <c r="R148" s="21">
        <f>tabCustoUnit[[#This Row],[MODULO 1 - REMUNERAÇÃO ]]*SUMIFS(tabParametros[SENAI OU SENAC],tabParametros[Código do Posto],tabCustoUnit[[#This Row],[Código do Posto]])</f>
        <v>33.971305000000001</v>
      </c>
      <c r="S148" s="21">
        <f>tabCustoUnit[[#This Row],[MODULO 1 - REMUNERAÇÃO ]]*SUMIFS(tabParametros[INCRA],tabParametros[Código do Posto],tabCustoUnit[[#This Row],[Código do Posto]])</f>
        <v>6.7942610000000005</v>
      </c>
      <c r="T148" s="21">
        <f>tabCustoUnit[[#This Row],[MODULO 1 - REMUNERAÇÃO ]]*SUMIFS(tabParametros[Salário Educação],tabParametros[Código do Posto],tabCustoUnit[[#This Row],[Código do Posto]])</f>
        <v>84.928262500000017</v>
      </c>
      <c r="U148" s="21">
        <f>tabCustoUnit[[#This Row],[MODULO 1 - REMUNERAÇÃO ]]*SUMIFS(tabParametros[FGTS],tabParametros[Código do Posto],tabCustoUnit[[#This Row],[Código do Posto]])</f>
        <v>271.77044000000001</v>
      </c>
      <c r="V148" s="21">
        <f>tabCustoUnit[[#This Row],[MODULO 1 - REMUNERAÇÃO ]]*SUMIFS(tabParametros[RAT Ajustado],tabParametros[Código do Posto],tabCustoUnit[[#This Row],[Código do Posto]])</f>
        <v>135.88522</v>
      </c>
      <c r="W148" s="21">
        <f>tabCustoUnit[[#This Row],[MODULO 1 - REMUNERAÇÃO ]]*SUMIFS(tabParametros[SEBRAE],tabParametros[Código do Posto],tabCustoUnit[[#This Row],[Código do Posto]])</f>
        <v>20.382783000000003</v>
      </c>
      <c r="X148" s="21">
        <f>SUM(tabCustoUnit[[#This Row],[INSS]:[SEBRAE]])</f>
        <v>1284.1153290000002</v>
      </c>
      <c r="Y148" s="21">
        <f>tabCustoUnit[[#This Row],[MODULO 1 - REMUNERAÇÃO ]]*SUMIFS(tabParametros[13º salário (titular)],tabParametros[Código do Posto],tabCustoUnit[[#This Row],[Código do Posto]])</f>
        <v>283.09420833333331</v>
      </c>
      <c r="Z148" s="21">
        <f>tabCustoUnit[[#This Row],[MODULO 1 - REMUNERAÇÃO ]]*SUMIFS(tabParametros[Férias e Adicional de Férias (titular)],tabParametros[Código do Posto],tabCustoUnit[[#This Row],[Código do Posto]])</f>
        <v>377.45894444444446</v>
      </c>
      <c r="AA148" s="21">
        <f>IFERROR((tabCustoUnit[[#This Row],[Submódulo 2.1]]/tabCustoUnit[[#This Row],[MODULO 1 - REMUNERAÇÃO ]])*SUM(tabCustoUnit[[#This Row],[13º salário (titular)]:[Férias e Adicional de Férias (titular)]]),0)</f>
        <v>249.68909175000005</v>
      </c>
      <c r="AB148" s="21">
        <f>SUM(tabCustoUnit[[#This Row],[13º salário (titular)]:[Incidência do Submódulo 2.1 sobre 13º Salário, Férias e Adicional de Férias]])</f>
        <v>910.24224452777776</v>
      </c>
      <c r="AC148" s="22" t="e">
        <f ca="1">_xlfn.LET(_xlpm.VT,SUMIF(tabParametros[Código do Posto],tabCustoUnit[[#This Row],[Código do Posto]],tabParametros[Vale - Transporte])*2*20,
IF((_xlpm.VT-tabCustoUnit[[#This Row],[Salário Base]]*0.06)&gt;=0,(_xlpm.VT-tabCustoUnit[[#This Row],[Salário Base]]*0.06),0)
)</f>
        <v>#NAME?</v>
      </c>
      <c r="AD148" s="22">
        <f>IF(SUMIF(tabParametros[Código do Posto],tabCustoUnit[[#This Row],[Código do Posto]],tabParametros[Vale - Alimentação])&lt;=0,0,
SUMIF(tabParametros[Código do Posto],tabCustoUnit[[#This Row],[Código do Posto]],tabParametros[Vale - Alimentação])*20-1)</f>
        <v>582</v>
      </c>
      <c r="AE148" s="22">
        <f>SUMIF(tabParametros[Código do Posto],tabCustoUnit[[#This Row],[Código do Posto]],tabParametros[Cesta Básica])</f>
        <v>0</v>
      </c>
      <c r="AF148" s="22">
        <f>SUMIF(tabParametros[Código do Posto],tabCustoUnit[[#This Row],[Código do Posto]],tabParametros[PAF])</f>
        <v>51.88</v>
      </c>
      <c r="AG148" s="22">
        <f>SUMIF(tabParametros[Código do Posto],tabCustoUnit[[#This Row],[Código do Posto]],tabParametros[PQM])</f>
        <v>0</v>
      </c>
      <c r="AH148" s="22">
        <f>SUMIF(tabParametros[Código do Posto],tabCustoUnit[[#This Row],[Código do Posto]],tabParametros[Abono Único e Especial])</f>
        <v>0</v>
      </c>
      <c r="AI148" s="22">
        <f>SUMIF(tabParametros[Código do Posto],tabCustoUnit[[#This Row],[Código do Posto]],tabParametros[Seguro de Vida])</f>
        <v>3.36</v>
      </c>
      <c r="AJ148" s="22">
        <f>SUMIF(tabParametros[Código do Posto],tabCustoUnit[[#This Row],[Código do Posto]],tabParametros[Despesas de Viagem])</f>
        <v>0</v>
      </c>
      <c r="AK148" s="22" t="e">
        <f ca="1">SUM(tabCustoUnit[[#This Row],[Vale - Transporte (Descontada parcela do empregado)]:[Despesas de Viagem]])</f>
        <v>#NAME?</v>
      </c>
      <c r="AL148" s="22" t="e">
        <f ca="1">tabCustoUnit[[#This Row],[Submódulo 2.1]]+tabCustoUnit[[#This Row],[Submódulo 2.2]]+tabCustoUnit[[#This Row],[Submódulo 2.3]]</f>
        <v>#NAME?</v>
      </c>
      <c r="AM148" s="22">
        <f>SUMIF(tabParametros[Código do Posto],tabCustoUnit[[#This Row],[Código do Posto]],tabParametros[Aviso Prévio Indenizado (API) e Reflexo do Aviso Prévio Indenizado])*tabCustoUnit[[#This Row],[MODULO 1 - REMUNERAÇÃO ]]</f>
        <v>23.819887450713736</v>
      </c>
      <c r="AN148" s="22">
        <f>SUMIF(tabParametros[Código do Posto],tabCustoUnit[[#This Row],[Código do Posto]],tabParametros[Incidência do FGTS sobre API e Reflexo do API])*tabCustoUnit[[#This Row],[MODULO 1 - REMUNERAÇÃO ]]</f>
        <v>1.9055909960570991</v>
      </c>
      <c r="AO148" s="22">
        <f>SUMIF(tabParametros[Código do Posto],tabCustoUnit[[#This Row],[Código do Posto]],tabParametros[Multa Rescisória do FGTS sobre o Aviso Prévio Indenizado])*tabCustoUnit[[#This Row],[MODULO 1 - REMUNERAÇÃO ]]</f>
        <v>0.76223639842283974</v>
      </c>
      <c r="AP148" s="22">
        <f>SUMIF(tabParametros[Código do Posto],tabCustoUnit[[#This Row],[Código do Posto]],tabParametros[Aviso Prévio Trabalhado - APT])*tabCustoUnit[[#This Row],[MODULO 1 - REMUNERAÇÃO ]]</f>
        <v>11.889956750000003</v>
      </c>
      <c r="AQ148" s="22">
        <f>SUMIF(tabParametros[Código do Posto],tabCustoUnit[[#This Row],[Código do Posto]],tabParametros[Incidência dos encargos do submódulo 2.1 sobre Aviso Prévio Trabalhado])*tabCustoUnit[[#This Row],[MODULO 1 - REMUNERAÇÃO ]]</f>
        <v>4.4944036515000017</v>
      </c>
      <c r="AR148" s="22">
        <f>SUMIF(tabParametros[Código do Posto],tabCustoUnit[[#This Row],[Código do Posto]],tabParametros[Multa Rescisória do FGTS])*tabCustoUnit[[#This Row],[MODULO 1 - REMUNERAÇÃO ]]</f>
        <v>103.87670151111111</v>
      </c>
      <c r="AS148" s="22">
        <f>SUMIF(tabParametros[Código do Posto],tabCustoUnit[[#This Row],[Código do Posto]],tabParametros[Indenização Adicional (Art. 9º da Lei nº 7.238/84)])*tabCustoUnit[[#This Row],[MODULO 1 - REMUNERAÇÃO ]]</f>
        <v>2.8309420833333339</v>
      </c>
      <c r="AT148" s="22">
        <f>SUM(tabCustoUnit[[#This Row],[Aviso Prévio Indenizado (API) e Reflexo do Aviso Prévio Indenizado]:[Indenização Adicional (Art. 9º da Lei nº 7.238/84)]])</f>
        <v>149.57971884113812</v>
      </c>
      <c r="AU148" s="22">
        <f>SUMIF(tabParametros[Código do Posto],tabCustoUnit[[#This Row],[Código do Posto]],tabParametros[Ausência por Doença])*tabCustoUnit[[#This Row],[MODULO 1 - REMUNERAÇÃO ]]</f>
        <v>28.686879777777776</v>
      </c>
      <c r="AV148" s="22">
        <f>SUMIF(tabParametros[Código do Posto],tabCustoUnit[[#This Row],[Código do Posto]],tabParametros[Ausências Legais])*tabCustoUnit[[#This Row],[MODULO 1 - REMUNERAÇÃO ]]</f>
        <v>6.888625736111111</v>
      </c>
      <c r="AW148" s="22">
        <f>SUMIF(tabParametros[Código do Posto],tabCustoUnit[[#This Row],[Código do Posto]],tabParametros[Licença Paternidade])*tabCustoUnit[[#This Row],[MODULO 1 - REMUNERAÇÃO ]]</f>
        <v>0.58034312708333335</v>
      </c>
      <c r="AX148" s="22">
        <f>SUMIF(tabParametros[Código do Posto],tabCustoUnit[[#This Row],[Código do Posto]],tabParametros[Ausência por Acidente de Trabalho])*tabCustoUnit[[#This Row],[MODULO 1 - REMUNERAÇÃO ]]</f>
        <v>0.70773552083333346</v>
      </c>
      <c r="AY148" s="22">
        <f>SUMIF(tabParametros[Código do Posto],tabCustoUnit[[#This Row],[Código do Posto]],tabParametros[Férias, Adicional de Férias e 13º  com empregada em gozo de Licença Maternidade])*tabCustoUnit[[#This Row],[MODULO 1 - REMUNERAÇÃO ]]</f>
        <v>4.4036876851851856</v>
      </c>
      <c r="AZ148" s="22">
        <f>SUMIF(tabParametros[Código do Posto],tabCustoUnit[[#This Row],[Código do Posto]],tabParametros[Incidência do Submódulo 2.1 sobre Ausências Legais])*tabCustoUnit[[#This Row],[MODULO 1 - REMUNERAÇÃO ]]</f>
        <v>15.599028758162504</v>
      </c>
      <c r="BA148" s="22">
        <f>SUM(tabCustoUnit[[#This Row],[Ausência por Doença]:[Incidência do Submódulo 2.1 sobre Ausências Legais]])</f>
        <v>56.866300605153235</v>
      </c>
      <c r="BB148" s="22">
        <f>SUMIF(tabParametros[Código do Posto],tabCustoUnit[[#This Row],[Código do Posto]],tabParametros[Intervalo para Repouso ou Alimentação])</f>
        <v>0</v>
      </c>
      <c r="BC148" s="22">
        <f>tabCustoUnit[[#This Row],[Intervalo para Repouso ou Alimentação]]</f>
        <v>0</v>
      </c>
      <c r="BD14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8" s="22">
        <f>tabCustoUnit[[#This Row],[Suspensão Temporária do Contrato de Trabalho]]</f>
        <v>0</v>
      </c>
      <c r="BF148" s="22">
        <f>tabCustoUnit[[#This Row],[Submódulo 4.1]]+tabCustoUnit[[#This Row],[Submódulo 4.2]]+tabCustoUnit[[#This Row],[Submódulo 4.3]]</f>
        <v>56.866300605153235</v>
      </c>
      <c r="BG148" s="22">
        <f>VLOOKUP(tabCustoUnit[[#This Row],[Código do Posto]],tabParametros[],MATCH(tabCustoUnit[[#Headers],[Uniformes e EPIs]],tabParametros[#Headers],0),0)</f>
        <v>56.642978962543395</v>
      </c>
      <c r="BH148" s="22">
        <f>VLOOKUP(tabCustoUnit[[#This Row],[Código do Posto]],tabParametros[],MATCH(tabCustoUnit[[#Headers],[Materiais de Consumo]],tabParametros[#Headers],0),0)</f>
        <v>0</v>
      </c>
      <c r="BI148" s="22">
        <f>VLOOKUP(tabCustoUnit[[#This Row],[Código do Posto]],tabParametros[],MATCH(tabCustoUnit[[#Headers],[Máquinas e Equipamentos (depreciação)]],tabParametros[#Headers],0),0)</f>
        <v>0</v>
      </c>
      <c r="BJ148" s="22">
        <f>VLOOKUP(tabCustoUnit[[#This Row],[Código do Posto]],tabParametros[],MATCH(tabCustoUnit[[#Headers],[Produtos de Limpeza e Materiais de Higiene Pessoal]],tabParametros[#Headers],0),0)</f>
        <v>0</v>
      </c>
      <c r="BK148" s="22">
        <f>VLOOKUP(tabCustoUnit[[#This Row],[Código do Posto]],tabParametros[],MATCH(tabCustoUnit[[#Headers],[Outros (especificar)]],tabParametros[#Headers],0),0)</f>
        <v>0</v>
      </c>
      <c r="BL148" s="22">
        <f>SUM(tabCustoUnit[[#This Row],[Uniformes e EPIs]:[Outros (especificar)]])</f>
        <v>56.642978962543395</v>
      </c>
      <c r="BM14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8" s="22" t="e">
        <f ca="1">VLOOKUP(tabCustoUnit[[#This Row],[Código do Posto]],tabParametros[],MATCH(tabCustoUnit[[#Headers],[Custos Indiretos]],tabParametros[#Headers],0),0)</f>
        <v>#NAME?</v>
      </c>
      <c r="BO148" s="22" t="e">
        <f ca="1">VLOOKUP(tabCustoUnit[[#This Row],[Código do Posto]],tabParametros[],MATCH(tabCustoUnit[[#Headers],[Lucro]],tabParametros[#Headers],0),0)</f>
        <v>#NAME?</v>
      </c>
      <c r="BP148" s="26">
        <f>((100/((1-tabCustoUnit[[#This Row],[Resumo de Alíquotas (PIS+CONFINS+ISS)]]))-100)*VLOOKUP(tabCustoUnit[[#This Row],[Código do Posto]],tabParametros[],MATCH(tabCustoUnit[[#Headers],[COFINS]],tabParametros[#Headers],0),0))/(tabCustoUnit[[#This Row],[Resumo de Alíquotas (PIS+CONFINS+ISS)]]*100)</f>
        <v>8.5633802816901458E-2</v>
      </c>
      <c r="BQ148" s="26">
        <f>((100/((100-(tabCustoUnit[[#This Row],[Resumo de Alíquotas (PIS+CONFINS+ISS)]]*100))%)-100)*VLOOKUP(tabCustoUnit[[#This Row],[Código do Posto]],tabParametros[],MATCH(tabCustoUnit[[#Headers],[PIS]],tabParametros[#Headers],0),0))/(tabCustoUnit[[#This Row],[Resumo de Alíquotas (PIS+CONFINS+ISS)]]*100)</f>
        <v>1.8591549295774657E-2</v>
      </c>
      <c r="BR148" s="28">
        <f>VLOOKUP(tabCustoUnit[[#This Row],[Código do Posto]],tabParametros[],MATCH(tabCustoUnit[[#Headers],[ISS]],tabParametros[#Headers],0),0)</f>
        <v>0.02</v>
      </c>
      <c r="BS148" s="26">
        <f>(((100/((100-(tabCustoUnit[[#This Row],[Resumo de Alíquotas (PIS+CONFINS+ISS)]]*100))%)-100)*tabCustoUnit[[#This Row],[ISS]])/tabCustoUnit[[#This Row],[Resumo de Alíquotas (PIS+CONFINS+ISS)]])/100</f>
        <v>2.2535211267605645E-2</v>
      </c>
      <c r="BT14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48" s="138">
        <f>tabCustoUnit[[#This Row],[COFINS]]+tabCustoUnit[[#This Row],[PIS]]+tabCustoUnit[[#This Row],[ISS (Conversão Alíquota s/ fatura)]]</f>
        <v>0.12676056338028174</v>
      </c>
      <c r="BV148" s="22" t="e">
        <f ca="1">(tabCustoUnit[[#This Row],[TOTAL MÓDULOS 1+2+3+4+5]]+tabCustoUnit[[#This Row],[Custos Indiretos]]+tabCustoUnit[[#This Row],[Lucro]])*tabCustoUnit[[#This Row],[PIS + COFINS + ISS (Total Conversão  Alíquota s/ Fatura)]]</f>
        <v>#NAME?</v>
      </c>
      <c r="BW148" s="22" t="e">
        <f ca="1">tabCustoUnit[[#This Row],[Custos Indiretos]]+tabCustoUnit[[#This Row],[Lucro]]+tabCustoUnit[[#This Row],[Valor dos Tributos (ISS, PIS, CONFINS)]]</f>
        <v>#NAME?</v>
      </c>
      <c r="BX148" s="22" t="e">
        <f ca="1">tabCustoUnit[[#This Row],[TOTAL MÓDULOS 1+2+3+4+5]]+tabCustoUnit[[#This Row],[MÓDULO 6 – CUSTOS INDIRETOS, TRIBUTOS E LUCRO]]</f>
        <v>#NAME?</v>
      </c>
      <c r="BY148" s="22" t="e">
        <f ca="1">tabCustoUnit[[#This Row],[CUSTO TOTAL MENSAL]]*12</f>
        <v>#NAME?</v>
      </c>
      <c r="BZ148" s="24">
        <f>VLOOKUP(tabCustoUnit[[#This Row],[Código do Posto]],tabParametros[],MATCH(tabCustoUnit[[#Headers],[ANO DA CCT]],tabParametros[#Headers],0),0)</f>
        <v>45658</v>
      </c>
      <c r="CA148" s="25" t="str">
        <f>VLOOKUP(tabCustoUnit[[#This Row],[Código do Posto]],tabParametros[],MATCH(tabCustoUnit[[#Headers],[Nº DE PEDIDO DA CCT]],tabParametros[#Headers],0),0)</f>
        <v>-</v>
      </c>
      <c r="CB148" s="25" t="str">
        <f>VLOOKUP(tabCustoUnit[[#This Row],[Código do Posto]],tabParametros[],MATCH(tabCustoUnit[[#Headers],[TERMO ADITIVO ALTERAÇÃO DA CCT]],tabParametros[#Headers],0),0)</f>
        <v>-</v>
      </c>
    </row>
    <row r="149" spans="1:80">
      <c r="A149" s="20" t="s">
        <v>1603</v>
      </c>
      <c r="B149" t="s">
        <v>1134</v>
      </c>
      <c r="C149" t="s">
        <v>314</v>
      </c>
      <c r="D149" t="s">
        <v>961</v>
      </c>
      <c r="E149" s="20" t="s">
        <v>1090</v>
      </c>
      <c r="F149" s="20" t="s">
        <v>120</v>
      </c>
      <c r="G149" s="418">
        <v>1963.405</v>
      </c>
      <c r="H149" s="418">
        <v>0</v>
      </c>
      <c r="I149" s="418">
        <v>0</v>
      </c>
      <c r="J149" s="418">
        <v>0</v>
      </c>
      <c r="K149" s="418">
        <v>0</v>
      </c>
      <c r="L149" s="418">
        <v>0</v>
      </c>
      <c r="M149" s="418">
        <v>0</v>
      </c>
      <c r="N149" s="418">
        <v>0</v>
      </c>
      <c r="O149" s="21">
        <f>SUM(tabCustoUnit[[#This Row],[Salário Base]:[Adicional de Acúmulo de função]])</f>
        <v>1963.405</v>
      </c>
      <c r="P149" s="21">
        <f>tabCustoUnit[[#This Row],[MODULO 1 - REMUNERAÇÃO ]]*SUMIFS(tabParametros[INSS],tabParametros[Código do Posto],tabCustoUnit[[#This Row],[Código do Posto]])</f>
        <v>392.68100000000004</v>
      </c>
      <c r="Q149" s="21">
        <f>tabCustoUnit[[#This Row],[MODULO 1 - REMUNERAÇÃO ]]*SUMIFS(tabParametros[SESI OU SESC],tabParametros[Código do Posto],tabCustoUnit[[#This Row],[Código do Posto]])</f>
        <v>29.451074999999999</v>
      </c>
      <c r="R149" s="21">
        <f>tabCustoUnit[[#This Row],[MODULO 1 - REMUNERAÇÃO ]]*SUMIFS(tabParametros[SENAI OU SENAC],tabParametros[Código do Posto],tabCustoUnit[[#This Row],[Código do Posto]])</f>
        <v>19.634049999999998</v>
      </c>
      <c r="S149" s="21">
        <f>tabCustoUnit[[#This Row],[MODULO 1 - REMUNERAÇÃO ]]*SUMIFS(tabParametros[INCRA],tabParametros[Código do Posto],tabCustoUnit[[#This Row],[Código do Posto]])</f>
        <v>3.9268100000000001</v>
      </c>
      <c r="T149" s="21">
        <f>tabCustoUnit[[#This Row],[MODULO 1 - REMUNERAÇÃO ]]*SUMIFS(tabParametros[Salário Educação],tabParametros[Código do Posto],tabCustoUnit[[#This Row],[Código do Posto]])</f>
        <v>49.085125000000005</v>
      </c>
      <c r="U149" s="21">
        <f>tabCustoUnit[[#This Row],[MODULO 1 - REMUNERAÇÃO ]]*SUMIFS(tabParametros[FGTS],tabParametros[Código do Posto],tabCustoUnit[[#This Row],[Código do Posto]])</f>
        <v>157.07239999999999</v>
      </c>
      <c r="V149" s="21">
        <f>tabCustoUnit[[#This Row],[MODULO 1 - REMUNERAÇÃO ]]*SUMIFS(tabParametros[RAT Ajustado],tabParametros[Código do Posto],tabCustoUnit[[#This Row],[Código do Posto]])</f>
        <v>78.536199999999994</v>
      </c>
      <c r="W149" s="21">
        <f>tabCustoUnit[[#This Row],[MODULO 1 - REMUNERAÇÃO ]]*SUMIFS(tabParametros[SEBRAE],tabParametros[Código do Posto],tabCustoUnit[[#This Row],[Código do Posto]])</f>
        <v>11.780430000000001</v>
      </c>
      <c r="X149" s="21">
        <f>SUM(tabCustoUnit[[#This Row],[INSS]:[SEBRAE]])</f>
        <v>742.16709000000003</v>
      </c>
      <c r="Y149" s="21">
        <f>tabCustoUnit[[#This Row],[MODULO 1 - REMUNERAÇÃO ]]*SUMIFS(tabParametros[13º salário (titular)],tabParametros[Código do Posto],tabCustoUnit[[#This Row],[Código do Posto]])</f>
        <v>163.61708333333331</v>
      </c>
      <c r="Z149" s="21">
        <f>tabCustoUnit[[#This Row],[MODULO 1 - REMUNERAÇÃO ]]*SUMIFS(tabParametros[Férias e Adicional de Férias (titular)],tabParametros[Código do Posto],tabCustoUnit[[#This Row],[Código do Posto]])</f>
        <v>218.1561111111111</v>
      </c>
      <c r="AA149" s="21">
        <f>IFERROR((tabCustoUnit[[#This Row],[Submódulo 2.1]]/tabCustoUnit[[#This Row],[MODULO 1 - REMUNERAÇÃO ]])*SUM(tabCustoUnit[[#This Row],[13º salário (titular)]:[Férias e Adicional de Férias (titular)]]),0)</f>
        <v>144.31026749999998</v>
      </c>
      <c r="AB149" s="21">
        <f>SUM(tabCustoUnit[[#This Row],[13º salário (titular)]:[Incidência do Submódulo 2.1 sobre 13º Salário, Férias e Adicional de Férias]])</f>
        <v>526.08346194444437</v>
      </c>
      <c r="AC149" s="22" t="e">
        <f ca="1">_xlfn.LET(_xlpm.VT,SUMIF(tabParametros[Código do Posto],tabCustoUnit[[#This Row],[Código do Posto]],tabParametros[Vale - Transporte])*2*20,
IF((_xlpm.VT-tabCustoUnit[[#This Row],[Salário Base]]*0.06)&gt;=0,(_xlpm.VT-tabCustoUnit[[#This Row],[Salário Base]]*0.06),0)
)</f>
        <v>#NAME?</v>
      </c>
      <c r="AD149" s="22">
        <f>IF(SUMIF(tabParametros[Código do Posto],tabCustoUnit[[#This Row],[Código do Posto]],tabParametros[Vale - Alimentação])&lt;=0,0,
SUMIF(tabParametros[Código do Posto],tabCustoUnit[[#This Row],[Código do Posto]],tabParametros[Vale - Alimentação])*20-1)</f>
        <v>582</v>
      </c>
      <c r="AE149" s="22">
        <f>SUMIF(tabParametros[Código do Posto],tabCustoUnit[[#This Row],[Código do Posto]],tabParametros[Cesta Básica])</f>
        <v>0</v>
      </c>
      <c r="AF149" s="22">
        <f>SUMIF(tabParametros[Código do Posto],tabCustoUnit[[#This Row],[Código do Posto]],tabParametros[PAF])</f>
        <v>0</v>
      </c>
      <c r="AG149" s="22">
        <f>SUMIF(tabParametros[Código do Posto],tabCustoUnit[[#This Row],[Código do Posto]],tabParametros[PQM])</f>
        <v>0</v>
      </c>
      <c r="AH149" s="22">
        <f>SUMIF(tabParametros[Código do Posto],tabCustoUnit[[#This Row],[Código do Posto]],tabParametros[Abono Único e Especial])</f>
        <v>0</v>
      </c>
      <c r="AI149" s="22">
        <f>SUMIF(tabParametros[Código do Posto],tabCustoUnit[[#This Row],[Código do Posto]],tabParametros[Seguro de Vida])</f>
        <v>3.36</v>
      </c>
      <c r="AJ149" s="22">
        <f>SUMIF(tabParametros[Código do Posto],tabCustoUnit[[#This Row],[Código do Posto]],tabParametros[Despesas de Viagem])</f>
        <v>0</v>
      </c>
      <c r="AK149" s="22" t="e">
        <f ca="1">SUM(tabCustoUnit[[#This Row],[Vale - Transporte (Descontada parcela do empregado)]:[Despesas de Viagem]])</f>
        <v>#NAME?</v>
      </c>
      <c r="AL149" s="22" t="e">
        <f ca="1">tabCustoUnit[[#This Row],[Submódulo 2.1]]+tabCustoUnit[[#This Row],[Submódulo 2.2]]+tabCustoUnit[[#This Row],[Submódulo 2.3]]</f>
        <v>#NAME?</v>
      </c>
      <c r="AM149" s="22">
        <f>SUMIF(tabParametros[Código do Posto],tabCustoUnit[[#This Row],[Código do Posto]],tabParametros[Aviso Prévio Indenizado (API) e Reflexo do Aviso Prévio Indenizado])*tabCustoUnit[[#This Row],[MODULO 1 - REMUNERAÇÃO ]]</f>
        <v>13.766938338155864</v>
      </c>
      <c r="AN149" s="22">
        <f>SUMIF(tabParametros[Código do Posto],tabCustoUnit[[#This Row],[Código do Posto]],tabParametros[Incidência do FGTS sobre API e Reflexo do API])*tabCustoUnit[[#This Row],[MODULO 1 - REMUNERAÇÃO ]]</f>
        <v>1.1013550670524692</v>
      </c>
      <c r="AO149" s="22">
        <f>SUMIF(tabParametros[Código do Posto],tabCustoUnit[[#This Row],[Código do Posto]],tabParametros[Multa Rescisória do FGTS sobre o Aviso Prévio Indenizado])*tabCustoUnit[[#This Row],[MODULO 1 - REMUNERAÇÃO ]]</f>
        <v>0.44054202682098775</v>
      </c>
      <c r="AP149" s="22">
        <f>SUMIF(tabParametros[Código do Posto],tabCustoUnit[[#This Row],[Código do Posto]],tabParametros[Aviso Prévio Trabalhado - APT])*tabCustoUnit[[#This Row],[MODULO 1 - REMUNERAÇÃO ]]</f>
        <v>6.8719175000000012</v>
      </c>
      <c r="AQ149" s="22">
        <f>SUMIF(tabParametros[Código do Posto],tabCustoUnit[[#This Row],[Código do Posto]],tabParametros[Incidência dos encargos do submódulo 2.1 sobre Aviso Prévio Trabalhado])*tabCustoUnit[[#This Row],[MODULO 1 - REMUNERAÇÃO ]]</f>
        <v>2.5975848150000007</v>
      </c>
      <c r="AR149" s="22">
        <f>SUMIF(tabParametros[Código do Posto],tabCustoUnit[[#This Row],[Código do Posto]],tabParametros[Multa Rescisória do FGTS])*tabCustoUnit[[#This Row],[MODULO 1 - REMUNERAÇÃO ]]</f>
        <v>60.03656177777777</v>
      </c>
      <c r="AS149" s="22">
        <f>SUMIF(tabParametros[Código do Posto],tabCustoUnit[[#This Row],[Código do Posto]],tabParametros[Indenização Adicional (Art. 9º da Lei nº 7.238/84)])*tabCustoUnit[[#This Row],[MODULO 1 - REMUNERAÇÃO ]]</f>
        <v>1.6361708333333334</v>
      </c>
      <c r="AT149" s="22">
        <f>SUM(tabCustoUnit[[#This Row],[Aviso Prévio Indenizado (API) e Reflexo do Aviso Prévio Indenizado]:[Indenização Adicional (Art. 9º da Lei nº 7.238/84)]])</f>
        <v>86.451070358140427</v>
      </c>
      <c r="AU149" s="22">
        <f>SUMIF(tabParametros[Código do Posto],tabCustoUnit[[#This Row],[Código do Posto]],tabParametros[Ausência por Doença])*tabCustoUnit[[#This Row],[MODULO 1 - REMUNERAÇÃO ]]</f>
        <v>16.579864444444443</v>
      </c>
      <c r="AV149" s="22">
        <f>SUMIF(tabParametros[Código do Posto],tabCustoUnit[[#This Row],[Código do Posto]],tabParametros[Ausências Legais])*tabCustoUnit[[#This Row],[MODULO 1 - REMUNERAÇÃO ]]</f>
        <v>3.9813490277777777</v>
      </c>
      <c r="AW149" s="22">
        <f>SUMIF(tabParametros[Código do Posto],tabCustoUnit[[#This Row],[Código do Posto]],tabParametros[Licença Paternidade])*tabCustoUnit[[#This Row],[MODULO 1 - REMUNERAÇÃO ]]</f>
        <v>0.3354150208333333</v>
      </c>
      <c r="AX149" s="22">
        <f>SUMIF(tabParametros[Código do Posto],tabCustoUnit[[#This Row],[Código do Posto]],tabParametros[Ausência por Acidente de Trabalho])*tabCustoUnit[[#This Row],[MODULO 1 - REMUNERAÇÃO ]]</f>
        <v>0.40904270833333334</v>
      </c>
      <c r="AY149" s="22">
        <f>SUMIF(tabParametros[Código do Posto],tabCustoUnit[[#This Row],[Código do Posto]],tabParametros[Férias, Adicional de Férias e 13º  com empregada em gozo de Licença Maternidade])*tabCustoUnit[[#This Row],[MODULO 1 - REMUNERAÇÃO ]]</f>
        <v>2.5451546296296295</v>
      </c>
      <c r="AZ149" s="22">
        <f>SUMIF(tabParametros[Código do Posto],tabCustoUnit[[#This Row],[Código do Posto]],tabParametros[Incidência do Submódulo 2.1 sobre Ausências Legais])*tabCustoUnit[[#This Row],[MODULO 1 - REMUNERAÇÃO ]]</f>
        <v>9.0156121641250007</v>
      </c>
      <c r="BA149" s="22">
        <f>SUM(tabCustoUnit[[#This Row],[Ausência por Doença]:[Incidência do Submódulo 2.1 sobre Ausências Legais]])</f>
        <v>32.866437995143521</v>
      </c>
      <c r="BB149" s="22">
        <f>SUMIF(tabParametros[Código do Posto],tabCustoUnit[[#This Row],[Código do Posto]],tabParametros[Intervalo para Repouso ou Alimentação])</f>
        <v>267.73704981301341</v>
      </c>
      <c r="BC149" s="22">
        <f>tabCustoUnit[[#This Row],[Intervalo para Repouso ou Alimentação]]</f>
        <v>267.73704981301341</v>
      </c>
      <c r="BD14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49" s="22">
        <f>tabCustoUnit[[#This Row],[Suspensão Temporária do Contrato de Trabalho]]</f>
        <v>0</v>
      </c>
      <c r="BF149" s="22">
        <f>tabCustoUnit[[#This Row],[Submódulo 4.1]]+tabCustoUnit[[#This Row],[Submódulo 4.2]]+tabCustoUnit[[#This Row],[Submódulo 4.3]]</f>
        <v>300.60348780815696</v>
      </c>
      <c r="BG149" s="22">
        <f>VLOOKUP(tabCustoUnit[[#This Row],[Código do Posto]],tabParametros[],MATCH(tabCustoUnit[[#Headers],[Uniformes e EPIs]],tabParametros[#Headers],0),0)</f>
        <v>56.642978962543395</v>
      </c>
      <c r="BH149" s="22">
        <f>VLOOKUP(tabCustoUnit[[#This Row],[Código do Posto]],tabParametros[],MATCH(tabCustoUnit[[#Headers],[Materiais de Consumo]],tabParametros[#Headers],0),0)</f>
        <v>0</v>
      </c>
      <c r="BI149" s="22">
        <f>VLOOKUP(tabCustoUnit[[#This Row],[Código do Posto]],tabParametros[],MATCH(tabCustoUnit[[#Headers],[Máquinas e Equipamentos (depreciação)]],tabParametros[#Headers],0),0)</f>
        <v>0</v>
      </c>
      <c r="BJ149" s="22">
        <f>VLOOKUP(tabCustoUnit[[#This Row],[Código do Posto]],tabParametros[],MATCH(tabCustoUnit[[#Headers],[Produtos de Limpeza e Materiais de Higiene Pessoal]],tabParametros[#Headers],0),0)</f>
        <v>0</v>
      </c>
      <c r="BK149" s="22">
        <f>VLOOKUP(tabCustoUnit[[#This Row],[Código do Posto]],tabParametros[],MATCH(tabCustoUnit[[#Headers],[Outros (especificar)]],tabParametros[#Headers],0),0)</f>
        <v>0</v>
      </c>
      <c r="BL149" s="22">
        <f>SUM(tabCustoUnit[[#This Row],[Uniformes e EPIs]:[Outros (especificar)]])</f>
        <v>56.642978962543395</v>
      </c>
      <c r="BM14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49" s="22" t="e">
        <f ca="1">VLOOKUP(tabCustoUnit[[#This Row],[Código do Posto]],tabParametros[],MATCH(tabCustoUnit[[#Headers],[Custos Indiretos]],tabParametros[#Headers],0),0)</f>
        <v>#NAME?</v>
      </c>
      <c r="BO149" s="22" t="e">
        <f ca="1">VLOOKUP(tabCustoUnit[[#This Row],[Código do Posto]],tabParametros[],MATCH(tabCustoUnit[[#Headers],[Lucro]],tabParametros[#Headers],0),0)</f>
        <v>#NAME?</v>
      </c>
      <c r="BP149" s="26">
        <f>((100/((1-tabCustoUnit[[#This Row],[Resumo de Alíquotas (PIS+CONFINS+ISS)]]))-100)*VLOOKUP(tabCustoUnit[[#This Row],[Código do Posto]],tabParametros[],MATCH(tabCustoUnit[[#Headers],[COFINS]],tabParametros[#Headers],0),0))/(tabCustoUnit[[#This Row],[Resumo de Alíquotas (PIS+CONFINS+ISS)]]*100)</f>
        <v>8.6609686609686695E-2</v>
      </c>
      <c r="BQ149" s="26">
        <f>((100/((100-(tabCustoUnit[[#This Row],[Resumo de Alíquotas (PIS+CONFINS+ISS)]]*100))%)-100)*VLOOKUP(tabCustoUnit[[#This Row],[Código do Posto]],tabParametros[],MATCH(tabCustoUnit[[#Headers],[PIS]],tabParametros[#Headers],0),0))/(tabCustoUnit[[#This Row],[Resumo de Alíquotas (PIS+CONFINS+ISS)]]*100)</f>
        <v>1.880341880341882E-2</v>
      </c>
      <c r="BR149" s="28">
        <f>VLOOKUP(tabCustoUnit[[#This Row],[Código do Posto]],tabParametros[],MATCH(tabCustoUnit[[#Headers],[ISS]],tabParametros[#Headers],0),0)</f>
        <v>0.03</v>
      </c>
      <c r="BS149" s="26">
        <f>(((100/((100-(tabCustoUnit[[#This Row],[Resumo de Alíquotas (PIS+CONFINS+ISS)]]*100))%)-100)*tabCustoUnit[[#This Row],[ISS]])/tabCustoUnit[[#This Row],[Resumo de Alíquotas (PIS+CONFINS+ISS)]])/100</f>
        <v>3.4188034188034219E-2</v>
      </c>
      <c r="BT14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9" s="138">
        <f>tabCustoUnit[[#This Row],[COFINS]]+tabCustoUnit[[#This Row],[PIS]]+tabCustoUnit[[#This Row],[ISS (Conversão Alíquota s/ fatura)]]</f>
        <v>0.13960113960113973</v>
      </c>
      <c r="BV149" s="22" t="e">
        <f ca="1">(tabCustoUnit[[#This Row],[TOTAL MÓDULOS 1+2+3+4+5]]+tabCustoUnit[[#This Row],[Custos Indiretos]]+tabCustoUnit[[#This Row],[Lucro]])*tabCustoUnit[[#This Row],[PIS + COFINS + ISS (Total Conversão  Alíquota s/ Fatura)]]</f>
        <v>#NAME?</v>
      </c>
      <c r="BW149" s="22" t="e">
        <f ca="1">tabCustoUnit[[#This Row],[Custos Indiretos]]+tabCustoUnit[[#This Row],[Lucro]]+tabCustoUnit[[#This Row],[Valor dos Tributos (ISS, PIS, CONFINS)]]</f>
        <v>#NAME?</v>
      </c>
      <c r="BX149" s="22" t="e">
        <f ca="1">tabCustoUnit[[#This Row],[TOTAL MÓDULOS 1+2+3+4+5]]+tabCustoUnit[[#This Row],[MÓDULO 6 – CUSTOS INDIRETOS, TRIBUTOS E LUCRO]]</f>
        <v>#NAME?</v>
      </c>
      <c r="BY149" s="22" t="e">
        <f ca="1">tabCustoUnit[[#This Row],[CUSTO TOTAL MENSAL]]*12</f>
        <v>#NAME?</v>
      </c>
      <c r="BZ149" s="24">
        <f>VLOOKUP(tabCustoUnit[[#This Row],[Código do Posto]],tabParametros[],MATCH(tabCustoUnit[[#Headers],[ANO DA CCT]],tabParametros[#Headers],0),0)</f>
        <v>45658</v>
      </c>
      <c r="CA149" s="25" t="str">
        <f>VLOOKUP(tabCustoUnit[[#This Row],[Código do Posto]],tabParametros[],MATCH(tabCustoUnit[[#Headers],[Nº DE PEDIDO DA CCT]],tabParametros[#Headers],0),0)</f>
        <v>-</v>
      </c>
      <c r="CB149" s="25" t="str">
        <f>VLOOKUP(tabCustoUnit[[#This Row],[Código do Posto]],tabParametros[],MATCH(tabCustoUnit[[#Headers],[TERMO ADITIVO ALTERAÇÃO DA CCT]],tabParametros[#Headers],0),0)</f>
        <v>-</v>
      </c>
    </row>
    <row r="150" spans="1:80">
      <c r="A150" s="20" t="s">
        <v>1472</v>
      </c>
      <c r="B150" t="s">
        <v>1135</v>
      </c>
      <c r="C150" t="s">
        <v>314</v>
      </c>
      <c r="D150" t="s">
        <v>921</v>
      </c>
      <c r="E150" s="20" t="s">
        <v>1090</v>
      </c>
      <c r="F150" s="20" t="s">
        <v>120</v>
      </c>
      <c r="G150" s="418">
        <v>1963.4110000000001</v>
      </c>
      <c r="H150" s="418">
        <v>0</v>
      </c>
      <c r="I150" s="418">
        <v>0</v>
      </c>
      <c r="J150" s="418">
        <v>0</v>
      </c>
      <c r="K150" s="418">
        <v>0</v>
      </c>
      <c r="L150" s="418">
        <v>0</v>
      </c>
      <c r="M150" s="418">
        <v>0</v>
      </c>
      <c r="N150" s="418">
        <v>0</v>
      </c>
      <c r="O150" s="21">
        <f>SUM(tabCustoUnit[[#This Row],[Salário Base]:[Adicional de Acúmulo de função]])</f>
        <v>1963.4110000000001</v>
      </c>
      <c r="P150" s="21">
        <f>tabCustoUnit[[#This Row],[MODULO 1 - REMUNERAÇÃO ]]*SUMIFS(tabParametros[INSS],tabParametros[Código do Posto],tabCustoUnit[[#This Row],[Código do Posto]])</f>
        <v>392.68220000000002</v>
      </c>
      <c r="Q150" s="21">
        <f>tabCustoUnit[[#This Row],[MODULO 1 - REMUNERAÇÃO ]]*SUMIFS(tabParametros[SESI OU SESC],tabParametros[Código do Posto],tabCustoUnit[[#This Row],[Código do Posto]])</f>
        <v>29.451165</v>
      </c>
      <c r="R150" s="21">
        <f>tabCustoUnit[[#This Row],[MODULO 1 - REMUNERAÇÃO ]]*SUMIFS(tabParametros[SENAI OU SENAC],tabParametros[Código do Posto],tabCustoUnit[[#This Row],[Código do Posto]])</f>
        <v>19.63411</v>
      </c>
      <c r="S150" s="21">
        <f>tabCustoUnit[[#This Row],[MODULO 1 - REMUNERAÇÃO ]]*SUMIFS(tabParametros[INCRA],tabParametros[Código do Posto],tabCustoUnit[[#This Row],[Código do Posto]])</f>
        <v>3.926822</v>
      </c>
      <c r="T150" s="21">
        <f>tabCustoUnit[[#This Row],[MODULO 1 - REMUNERAÇÃO ]]*SUMIFS(tabParametros[Salário Educação],tabParametros[Código do Posto],tabCustoUnit[[#This Row],[Código do Posto]])</f>
        <v>49.085275000000003</v>
      </c>
      <c r="U150" s="21">
        <f>tabCustoUnit[[#This Row],[MODULO 1 - REMUNERAÇÃO ]]*SUMIFS(tabParametros[FGTS],tabParametros[Código do Posto],tabCustoUnit[[#This Row],[Código do Posto]])</f>
        <v>157.07288</v>
      </c>
      <c r="V150" s="21">
        <f>tabCustoUnit[[#This Row],[MODULO 1 - REMUNERAÇÃO ]]*SUMIFS(tabParametros[RAT Ajustado],tabParametros[Código do Posto],tabCustoUnit[[#This Row],[Código do Posto]])</f>
        <v>78.536439999999999</v>
      </c>
      <c r="W150" s="21">
        <f>tabCustoUnit[[#This Row],[MODULO 1 - REMUNERAÇÃO ]]*SUMIFS(tabParametros[SEBRAE],tabParametros[Código do Posto],tabCustoUnit[[#This Row],[Código do Posto]])</f>
        <v>11.780466000000001</v>
      </c>
      <c r="X150" s="21">
        <f>SUM(tabCustoUnit[[#This Row],[INSS]:[SEBRAE]])</f>
        <v>742.1693580000001</v>
      </c>
      <c r="Y150" s="21">
        <f>tabCustoUnit[[#This Row],[MODULO 1 - REMUNERAÇÃO ]]*SUMIFS(tabParametros[13º salário (titular)],tabParametros[Código do Posto],tabCustoUnit[[#This Row],[Código do Posto]])</f>
        <v>163.61758333333333</v>
      </c>
      <c r="Z150" s="21">
        <f>tabCustoUnit[[#This Row],[MODULO 1 - REMUNERAÇÃO ]]*SUMIFS(tabParametros[Férias e Adicional de Férias (titular)],tabParametros[Código do Posto],tabCustoUnit[[#This Row],[Código do Posto]])</f>
        <v>218.15677777777776</v>
      </c>
      <c r="AA150" s="21">
        <f>IFERROR((tabCustoUnit[[#This Row],[Submódulo 2.1]]/tabCustoUnit[[#This Row],[MODULO 1 - REMUNERAÇÃO ]])*SUM(tabCustoUnit[[#This Row],[13º salário (titular)]:[Férias e Adicional de Férias (titular)]]),0)</f>
        <v>144.3107085</v>
      </c>
      <c r="AB150" s="21">
        <f>SUM(tabCustoUnit[[#This Row],[13º salário (titular)]:[Incidência do Submódulo 2.1 sobre 13º Salário, Férias e Adicional de Férias]])</f>
        <v>526.08506961111107</v>
      </c>
      <c r="AC150" s="22" t="e">
        <f ca="1">_xlfn.LET(_xlpm.VT,SUMIF(tabParametros[Código do Posto],tabCustoUnit[[#This Row],[Código do Posto]],tabParametros[Vale - Transporte])*2*20,
IF((_xlpm.VT-tabCustoUnit[[#This Row],[Salário Base]]*0.06)&gt;=0,(_xlpm.VT-tabCustoUnit[[#This Row],[Salário Base]]*0.06),0)
)</f>
        <v>#NAME?</v>
      </c>
      <c r="AD150" s="22">
        <f>IF(SUMIF(tabParametros[Código do Posto],tabCustoUnit[[#This Row],[Código do Posto]],tabParametros[Vale - Alimentação])&lt;=0,0,
SUMIF(tabParametros[Código do Posto],tabCustoUnit[[#This Row],[Código do Posto]],tabParametros[Vale - Alimentação])*20-1)</f>
        <v>582</v>
      </c>
      <c r="AE150" s="22">
        <f>SUMIF(tabParametros[Código do Posto],tabCustoUnit[[#This Row],[Código do Posto]],tabParametros[Cesta Básica])</f>
        <v>0</v>
      </c>
      <c r="AF150" s="22">
        <f>SUMIF(tabParametros[Código do Posto],tabCustoUnit[[#This Row],[Código do Posto]],tabParametros[PAF])</f>
        <v>0</v>
      </c>
      <c r="AG150" s="22">
        <f>SUMIF(tabParametros[Código do Posto],tabCustoUnit[[#This Row],[Código do Posto]],tabParametros[PQM])</f>
        <v>15.07</v>
      </c>
      <c r="AH150" s="22">
        <f>SUMIF(tabParametros[Código do Posto],tabCustoUnit[[#This Row],[Código do Posto]],tabParametros[Abono Único e Especial])</f>
        <v>0</v>
      </c>
      <c r="AI150" s="22">
        <f>SUMIF(tabParametros[Código do Posto],tabCustoUnit[[#This Row],[Código do Posto]],tabParametros[Seguro de Vida])</f>
        <v>3.36</v>
      </c>
      <c r="AJ150" s="22">
        <f>SUMIF(tabParametros[Código do Posto],tabCustoUnit[[#This Row],[Código do Posto]],tabParametros[Despesas de Viagem])</f>
        <v>0</v>
      </c>
      <c r="AK150" s="22" t="e">
        <f ca="1">SUM(tabCustoUnit[[#This Row],[Vale - Transporte (Descontada parcela do empregado)]:[Despesas de Viagem]])</f>
        <v>#NAME?</v>
      </c>
      <c r="AL150" s="22" t="e">
        <f ca="1">tabCustoUnit[[#This Row],[Submódulo 2.1]]+tabCustoUnit[[#This Row],[Submódulo 2.2]]+tabCustoUnit[[#This Row],[Submódulo 2.3]]</f>
        <v>#NAME?</v>
      </c>
      <c r="AM150" s="22">
        <f>SUMIF(tabParametros[Código do Posto],tabCustoUnit[[#This Row],[Código do Posto]],tabParametros[Aviso Prévio Indenizado (API) e Reflexo do Aviso Prévio Indenizado])*tabCustoUnit[[#This Row],[MODULO 1 - REMUNERAÇÃO ]]</f>
        <v>13.766980408757716</v>
      </c>
      <c r="AN150" s="22">
        <f>SUMIF(tabParametros[Código do Posto],tabCustoUnit[[#This Row],[Código do Posto]],tabParametros[Incidência do FGTS sobre API e Reflexo do API])*tabCustoUnit[[#This Row],[MODULO 1 - REMUNERAÇÃO ]]</f>
        <v>1.1013584327006174</v>
      </c>
      <c r="AO150" s="22">
        <f>SUMIF(tabParametros[Código do Posto],tabCustoUnit[[#This Row],[Código do Posto]],tabParametros[Multa Rescisória do FGTS sobre o Aviso Prévio Indenizado])*tabCustoUnit[[#This Row],[MODULO 1 - REMUNERAÇÃO ]]</f>
        <v>0.44054337308024699</v>
      </c>
      <c r="AP150" s="22">
        <f>SUMIF(tabParametros[Código do Posto],tabCustoUnit[[#This Row],[Código do Posto]],tabParametros[Aviso Prévio Trabalhado - APT])*tabCustoUnit[[#This Row],[MODULO 1 - REMUNERAÇÃO ]]</f>
        <v>6.8719385000000015</v>
      </c>
      <c r="AQ150" s="22">
        <f>SUMIF(tabParametros[Código do Posto],tabCustoUnit[[#This Row],[Código do Posto]],tabParametros[Incidência dos encargos do submódulo 2.1 sobre Aviso Prévio Trabalhado])*tabCustoUnit[[#This Row],[MODULO 1 - REMUNERAÇÃO ]]</f>
        <v>2.5975927530000007</v>
      </c>
      <c r="AR150" s="22">
        <f>SUMIF(tabParametros[Código do Posto],tabCustoUnit[[#This Row],[Código do Posto]],tabParametros[Multa Rescisória do FGTS])*tabCustoUnit[[#This Row],[MODULO 1 - REMUNERAÇÃO ]]</f>
        <v>60.03674524444444</v>
      </c>
      <c r="AS150" s="22">
        <f>SUMIF(tabParametros[Código do Posto],tabCustoUnit[[#This Row],[Código do Posto]],tabParametros[Indenização Adicional (Art. 9º da Lei nº 7.238/84)])*tabCustoUnit[[#This Row],[MODULO 1 - REMUNERAÇÃO ]]</f>
        <v>1.6361758333333334</v>
      </c>
      <c r="AT150" s="22">
        <f>SUM(tabCustoUnit[[#This Row],[Aviso Prévio Indenizado (API) e Reflexo do Aviso Prévio Indenizado]:[Indenização Adicional (Art. 9º da Lei nº 7.238/84)]])</f>
        <v>86.451334545316371</v>
      </c>
      <c r="AU150" s="22">
        <f>SUMIF(tabParametros[Código do Posto],tabCustoUnit[[#This Row],[Código do Posto]],tabParametros[Ausência por Doença])*tabCustoUnit[[#This Row],[MODULO 1 - REMUNERAÇÃO ]]</f>
        <v>16.579915111111109</v>
      </c>
      <c r="AV150" s="22">
        <f>SUMIF(tabParametros[Código do Posto],tabCustoUnit[[#This Row],[Código do Posto]],tabParametros[Ausências Legais])*tabCustoUnit[[#This Row],[MODULO 1 - REMUNERAÇÃO ]]</f>
        <v>3.9813611944444443</v>
      </c>
      <c r="AW150" s="22">
        <f>SUMIF(tabParametros[Código do Posto],tabCustoUnit[[#This Row],[Código do Posto]],tabParametros[Licença Paternidade])*tabCustoUnit[[#This Row],[MODULO 1 - REMUNERAÇÃO ]]</f>
        <v>0.33541604583333334</v>
      </c>
      <c r="AX150" s="22">
        <f>SUMIF(tabParametros[Código do Posto],tabCustoUnit[[#This Row],[Código do Posto]],tabParametros[Ausência por Acidente de Trabalho])*tabCustoUnit[[#This Row],[MODULO 1 - REMUNERAÇÃO ]]</f>
        <v>0.40904395833333335</v>
      </c>
      <c r="AY150" s="22">
        <f>SUMIF(tabParametros[Código do Posto],tabCustoUnit[[#This Row],[Código do Posto]],tabParametros[Férias, Adicional de Férias e 13º  com empregada em gozo de Licença Maternidade])*tabCustoUnit[[#This Row],[MODULO 1 - REMUNERAÇÃO ]]</f>
        <v>2.5451624074074073</v>
      </c>
      <c r="AZ150" s="22">
        <f>SUMIF(tabParametros[Código do Posto],tabCustoUnit[[#This Row],[Código do Posto]],tabParametros[Incidência do Submódulo 2.1 sobre Ausências Legais])*tabCustoUnit[[#This Row],[MODULO 1 - REMUNERAÇÃO ]]</f>
        <v>9.0156397150750021</v>
      </c>
      <c r="BA150" s="22">
        <f>SUM(tabCustoUnit[[#This Row],[Ausência por Doença]:[Incidência do Submódulo 2.1 sobre Ausências Legais]])</f>
        <v>32.866538432204628</v>
      </c>
      <c r="BB150" s="22">
        <f>SUMIF(tabParametros[Código do Posto],tabCustoUnit[[#This Row],[Código do Posto]],tabParametros[Intervalo para Repouso ou Alimentação])</f>
        <v>267.73786489195959</v>
      </c>
      <c r="BC150" s="22">
        <f>tabCustoUnit[[#This Row],[Intervalo para Repouso ou Alimentação]]</f>
        <v>267.73786489195959</v>
      </c>
      <c r="BD15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0" s="22">
        <f>tabCustoUnit[[#This Row],[Suspensão Temporária do Contrato de Trabalho]]</f>
        <v>0</v>
      </c>
      <c r="BF150" s="22">
        <f>tabCustoUnit[[#This Row],[Submódulo 4.1]]+tabCustoUnit[[#This Row],[Submódulo 4.2]]+tabCustoUnit[[#This Row],[Submódulo 4.3]]</f>
        <v>300.6044033241642</v>
      </c>
      <c r="BG150" s="22">
        <f>VLOOKUP(tabCustoUnit[[#This Row],[Código do Posto]],tabParametros[],MATCH(tabCustoUnit[[#Headers],[Uniformes e EPIs]],tabParametros[#Headers],0),0)</f>
        <v>56.642978962543395</v>
      </c>
      <c r="BH150" s="22">
        <f>VLOOKUP(tabCustoUnit[[#This Row],[Código do Posto]],tabParametros[],MATCH(tabCustoUnit[[#Headers],[Materiais de Consumo]],tabParametros[#Headers],0),0)</f>
        <v>0</v>
      </c>
      <c r="BI150" s="22">
        <f>VLOOKUP(tabCustoUnit[[#This Row],[Código do Posto]],tabParametros[],MATCH(tabCustoUnit[[#Headers],[Máquinas e Equipamentos (depreciação)]],tabParametros[#Headers],0),0)</f>
        <v>0</v>
      </c>
      <c r="BJ150" s="22">
        <f>VLOOKUP(tabCustoUnit[[#This Row],[Código do Posto]],tabParametros[],MATCH(tabCustoUnit[[#Headers],[Produtos de Limpeza e Materiais de Higiene Pessoal]],tabParametros[#Headers],0),0)</f>
        <v>0</v>
      </c>
      <c r="BK150" s="22">
        <f>VLOOKUP(tabCustoUnit[[#This Row],[Código do Posto]],tabParametros[],MATCH(tabCustoUnit[[#Headers],[Outros (especificar)]],tabParametros[#Headers],0),0)</f>
        <v>0</v>
      </c>
      <c r="BL150" s="22">
        <f>SUM(tabCustoUnit[[#This Row],[Uniformes e EPIs]:[Outros (especificar)]])</f>
        <v>56.642978962543395</v>
      </c>
      <c r="BM15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0" s="22" t="e">
        <f ca="1">VLOOKUP(tabCustoUnit[[#This Row],[Código do Posto]],tabParametros[],MATCH(tabCustoUnit[[#Headers],[Custos Indiretos]],tabParametros[#Headers],0),0)</f>
        <v>#NAME?</v>
      </c>
      <c r="BO150" s="22" t="e">
        <f ca="1">VLOOKUP(tabCustoUnit[[#This Row],[Código do Posto]],tabParametros[],MATCH(tabCustoUnit[[#Headers],[Lucro]],tabParametros[#Headers],0),0)</f>
        <v>#NAME?</v>
      </c>
      <c r="BP150" s="26">
        <f>((100/((1-tabCustoUnit[[#This Row],[Resumo de Alíquotas (PIS+CONFINS+ISS)]]))-100)*VLOOKUP(tabCustoUnit[[#This Row],[Código do Posto]],tabParametros[],MATCH(tabCustoUnit[[#Headers],[COFINS]],tabParametros[#Headers],0),0))/(tabCustoUnit[[#This Row],[Resumo de Alíquotas (PIS+CONFINS+ISS)]]*100)</f>
        <v>8.5633802816901458E-2</v>
      </c>
      <c r="BQ150" s="26">
        <f>((100/((100-(tabCustoUnit[[#This Row],[Resumo de Alíquotas (PIS+CONFINS+ISS)]]*100))%)-100)*VLOOKUP(tabCustoUnit[[#This Row],[Código do Posto]],tabParametros[],MATCH(tabCustoUnit[[#Headers],[PIS]],tabParametros[#Headers],0),0))/(tabCustoUnit[[#This Row],[Resumo de Alíquotas (PIS+CONFINS+ISS)]]*100)</f>
        <v>1.8591549295774657E-2</v>
      </c>
      <c r="BR150" s="28">
        <f>VLOOKUP(tabCustoUnit[[#This Row],[Código do Posto]],tabParametros[],MATCH(tabCustoUnit[[#Headers],[ISS]],tabParametros[#Headers],0),0)</f>
        <v>0.02</v>
      </c>
      <c r="BS150" s="26">
        <f>(((100/((100-(tabCustoUnit[[#This Row],[Resumo de Alíquotas (PIS+CONFINS+ISS)]]*100))%)-100)*tabCustoUnit[[#This Row],[ISS]])/tabCustoUnit[[#This Row],[Resumo de Alíquotas (PIS+CONFINS+ISS)]])/100</f>
        <v>2.2535211267605645E-2</v>
      </c>
      <c r="BT15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50" s="138">
        <f>tabCustoUnit[[#This Row],[COFINS]]+tabCustoUnit[[#This Row],[PIS]]+tabCustoUnit[[#This Row],[ISS (Conversão Alíquota s/ fatura)]]</f>
        <v>0.12676056338028174</v>
      </c>
      <c r="BV150" s="22" t="e">
        <f ca="1">(tabCustoUnit[[#This Row],[TOTAL MÓDULOS 1+2+3+4+5]]+tabCustoUnit[[#This Row],[Custos Indiretos]]+tabCustoUnit[[#This Row],[Lucro]])*tabCustoUnit[[#This Row],[PIS + COFINS + ISS (Total Conversão  Alíquota s/ Fatura)]]</f>
        <v>#NAME?</v>
      </c>
      <c r="BW150" s="22" t="e">
        <f ca="1">tabCustoUnit[[#This Row],[Custos Indiretos]]+tabCustoUnit[[#This Row],[Lucro]]+tabCustoUnit[[#This Row],[Valor dos Tributos (ISS, PIS, CONFINS)]]</f>
        <v>#NAME?</v>
      </c>
      <c r="BX150" s="22" t="e">
        <f ca="1">tabCustoUnit[[#This Row],[TOTAL MÓDULOS 1+2+3+4+5]]+tabCustoUnit[[#This Row],[MÓDULO 6 – CUSTOS INDIRETOS, TRIBUTOS E LUCRO]]</f>
        <v>#NAME?</v>
      </c>
      <c r="BY150" s="22" t="e">
        <f ca="1">tabCustoUnit[[#This Row],[CUSTO TOTAL MENSAL]]*12</f>
        <v>#NAME?</v>
      </c>
      <c r="BZ150" s="24">
        <f>VLOOKUP(tabCustoUnit[[#This Row],[Código do Posto]],tabParametros[],MATCH(tabCustoUnit[[#Headers],[ANO DA CCT]],tabParametros[#Headers],0),0)</f>
        <v>45658</v>
      </c>
      <c r="CA150" s="25" t="str">
        <f>VLOOKUP(tabCustoUnit[[#This Row],[Código do Posto]],tabParametros[],MATCH(tabCustoUnit[[#Headers],[Nº DE PEDIDO DA CCT]],tabParametros[#Headers],0),0)</f>
        <v>-</v>
      </c>
      <c r="CB150" s="25" t="str">
        <f>VLOOKUP(tabCustoUnit[[#This Row],[Código do Posto]],tabParametros[],MATCH(tabCustoUnit[[#Headers],[TERMO ADITIVO ALTERAÇÃO DA CCT]],tabParametros[#Headers],0),0)</f>
        <v>-</v>
      </c>
    </row>
    <row r="151" spans="1:80">
      <c r="A151" s="20" t="s">
        <v>1604</v>
      </c>
      <c r="B151" t="s">
        <v>1135</v>
      </c>
      <c r="C151" t="s">
        <v>324</v>
      </c>
      <c r="D151" t="s">
        <v>921</v>
      </c>
      <c r="E151" s="20" t="s">
        <v>1090</v>
      </c>
      <c r="F151" s="20" t="s">
        <v>120</v>
      </c>
      <c r="G151" s="418">
        <v>3397.1305000000002</v>
      </c>
      <c r="H151" s="418">
        <v>0</v>
      </c>
      <c r="I151" s="418">
        <v>0</v>
      </c>
      <c r="J151" s="418">
        <v>0</v>
      </c>
      <c r="K151" s="418">
        <v>0</v>
      </c>
      <c r="L151" s="418">
        <v>0</v>
      </c>
      <c r="M151" s="418">
        <v>0</v>
      </c>
      <c r="N151" s="418">
        <v>0</v>
      </c>
      <c r="O151" s="21">
        <f>SUM(tabCustoUnit[[#This Row],[Salário Base]:[Adicional de Acúmulo de função]])</f>
        <v>3397.1305000000002</v>
      </c>
      <c r="P151" s="21">
        <f>tabCustoUnit[[#This Row],[MODULO 1 - REMUNERAÇÃO ]]*SUMIFS(tabParametros[INSS],tabParametros[Código do Posto],tabCustoUnit[[#This Row],[Código do Posto]])</f>
        <v>679.42610000000013</v>
      </c>
      <c r="Q151" s="21">
        <f>tabCustoUnit[[#This Row],[MODULO 1 - REMUNERAÇÃO ]]*SUMIFS(tabParametros[SESI OU SESC],tabParametros[Código do Posto],tabCustoUnit[[#This Row],[Código do Posto]])</f>
        <v>50.956957500000001</v>
      </c>
      <c r="R151" s="21">
        <f>tabCustoUnit[[#This Row],[MODULO 1 - REMUNERAÇÃO ]]*SUMIFS(tabParametros[SENAI OU SENAC],tabParametros[Código do Posto],tabCustoUnit[[#This Row],[Código do Posto]])</f>
        <v>33.971305000000001</v>
      </c>
      <c r="S151" s="21">
        <f>tabCustoUnit[[#This Row],[MODULO 1 - REMUNERAÇÃO ]]*SUMIFS(tabParametros[INCRA],tabParametros[Código do Posto],tabCustoUnit[[#This Row],[Código do Posto]])</f>
        <v>6.7942610000000005</v>
      </c>
      <c r="T151" s="21">
        <f>tabCustoUnit[[#This Row],[MODULO 1 - REMUNERAÇÃO ]]*SUMIFS(tabParametros[Salário Educação],tabParametros[Código do Posto],tabCustoUnit[[#This Row],[Código do Posto]])</f>
        <v>84.928262500000017</v>
      </c>
      <c r="U151" s="21">
        <f>tabCustoUnit[[#This Row],[MODULO 1 - REMUNERAÇÃO ]]*SUMIFS(tabParametros[FGTS],tabParametros[Código do Posto],tabCustoUnit[[#This Row],[Código do Posto]])</f>
        <v>271.77044000000001</v>
      </c>
      <c r="V151" s="21">
        <f>tabCustoUnit[[#This Row],[MODULO 1 - REMUNERAÇÃO ]]*SUMIFS(tabParametros[RAT Ajustado],tabParametros[Código do Posto],tabCustoUnit[[#This Row],[Código do Posto]])</f>
        <v>135.88522</v>
      </c>
      <c r="W151" s="21">
        <f>tabCustoUnit[[#This Row],[MODULO 1 - REMUNERAÇÃO ]]*SUMIFS(tabParametros[SEBRAE],tabParametros[Código do Posto],tabCustoUnit[[#This Row],[Código do Posto]])</f>
        <v>20.382783000000003</v>
      </c>
      <c r="X151" s="21">
        <f>SUM(tabCustoUnit[[#This Row],[INSS]:[SEBRAE]])</f>
        <v>1284.1153290000002</v>
      </c>
      <c r="Y151" s="21">
        <f>tabCustoUnit[[#This Row],[MODULO 1 - REMUNERAÇÃO ]]*SUMIFS(tabParametros[13º salário (titular)],tabParametros[Código do Posto],tabCustoUnit[[#This Row],[Código do Posto]])</f>
        <v>283.09420833333331</v>
      </c>
      <c r="Z151" s="21">
        <f>tabCustoUnit[[#This Row],[MODULO 1 - REMUNERAÇÃO ]]*SUMIFS(tabParametros[Férias e Adicional de Férias (titular)],tabParametros[Código do Posto],tabCustoUnit[[#This Row],[Código do Posto]])</f>
        <v>377.45894444444446</v>
      </c>
      <c r="AA151" s="21">
        <f>IFERROR((tabCustoUnit[[#This Row],[Submódulo 2.1]]/tabCustoUnit[[#This Row],[MODULO 1 - REMUNERAÇÃO ]])*SUM(tabCustoUnit[[#This Row],[13º salário (titular)]:[Férias e Adicional de Férias (titular)]]),0)</f>
        <v>249.68909175000005</v>
      </c>
      <c r="AB151" s="21">
        <f>SUM(tabCustoUnit[[#This Row],[13º salário (titular)]:[Incidência do Submódulo 2.1 sobre 13º Salário, Férias e Adicional de Férias]])</f>
        <v>910.24224452777776</v>
      </c>
      <c r="AC151" s="22" t="e">
        <f ca="1">_xlfn.LET(_xlpm.VT,SUMIF(tabParametros[Código do Posto],tabCustoUnit[[#This Row],[Código do Posto]],tabParametros[Vale - Transporte])*2*20,
IF((_xlpm.VT-tabCustoUnit[[#This Row],[Salário Base]]*0.06)&gt;=0,(_xlpm.VT-tabCustoUnit[[#This Row],[Salário Base]]*0.06),0)
)</f>
        <v>#NAME?</v>
      </c>
      <c r="AD151" s="22">
        <f>IF(SUMIF(tabParametros[Código do Posto],tabCustoUnit[[#This Row],[Código do Posto]],tabParametros[Vale - Alimentação])&lt;=0,0,
SUMIF(tabParametros[Código do Posto],tabCustoUnit[[#This Row],[Código do Posto]],tabParametros[Vale - Alimentação])*20-1)</f>
        <v>582</v>
      </c>
      <c r="AE151" s="22">
        <f>SUMIF(tabParametros[Código do Posto],tabCustoUnit[[#This Row],[Código do Posto]],tabParametros[Cesta Básica])</f>
        <v>0</v>
      </c>
      <c r="AF151" s="22">
        <f>SUMIF(tabParametros[Código do Posto],tabCustoUnit[[#This Row],[Código do Posto]],tabParametros[PAF])</f>
        <v>0</v>
      </c>
      <c r="AG151" s="22">
        <f>SUMIF(tabParametros[Código do Posto],tabCustoUnit[[#This Row],[Código do Posto]],tabParametros[PQM])</f>
        <v>15.07</v>
      </c>
      <c r="AH151" s="22">
        <f>SUMIF(tabParametros[Código do Posto],tabCustoUnit[[#This Row],[Código do Posto]],tabParametros[Abono Único e Especial])</f>
        <v>0</v>
      </c>
      <c r="AI151" s="22">
        <f>SUMIF(tabParametros[Código do Posto],tabCustoUnit[[#This Row],[Código do Posto]],tabParametros[Seguro de Vida])</f>
        <v>3.36</v>
      </c>
      <c r="AJ151" s="22">
        <f>SUMIF(tabParametros[Código do Posto],tabCustoUnit[[#This Row],[Código do Posto]],tabParametros[Despesas de Viagem])</f>
        <v>0</v>
      </c>
      <c r="AK151" s="22" t="e">
        <f ca="1">SUM(tabCustoUnit[[#This Row],[Vale - Transporte (Descontada parcela do empregado)]:[Despesas de Viagem]])</f>
        <v>#NAME?</v>
      </c>
      <c r="AL151" s="22" t="e">
        <f ca="1">tabCustoUnit[[#This Row],[Submódulo 2.1]]+tabCustoUnit[[#This Row],[Submódulo 2.2]]+tabCustoUnit[[#This Row],[Submódulo 2.3]]</f>
        <v>#NAME?</v>
      </c>
      <c r="AM151" s="22">
        <f>SUMIF(tabParametros[Código do Posto],tabCustoUnit[[#This Row],[Código do Posto]],tabParametros[Aviso Prévio Indenizado (API) e Reflexo do Aviso Prévio Indenizado])*tabCustoUnit[[#This Row],[MODULO 1 - REMUNERAÇÃO ]]</f>
        <v>23.819887450713736</v>
      </c>
      <c r="AN151" s="22">
        <f>SUMIF(tabParametros[Código do Posto],tabCustoUnit[[#This Row],[Código do Posto]],tabParametros[Incidência do FGTS sobre API e Reflexo do API])*tabCustoUnit[[#This Row],[MODULO 1 - REMUNERAÇÃO ]]</f>
        <v>1.9055909960570991</v>
      </c>
      <c r="AO151" s="22">
        <f>SUMIF(tabParametros[Código do Posto],tabCustoUnit[[#This Row],[Código do Posto]],tabParametros[Multa Rescisória do FGTS sobre o Aviso Prévio Indenizado])*tabCustoUnit[[#This Row],[MODULO 1 - REMUNERAÇÃO ]]</f>
        <v>0.76223639842283974</v>
      </c>
      <c r="AP151" s="22">
        <f>SUMIF(tabParametros[Código do Posto],tabCustoUnit[[#This Row],[Código do Posto]],tabParametros[Aviso Prévio Trabalhado - APT])*tabCustoUnit[[#This Row],[MODULO 1 - REMUNERAÇÃO ]]</f>
        <v>11.889956750000003</v>
      </c>
      <c r="AQ151" s="22">
        <f>SUMIF(tabParametros[Código do Posto],tabCustoUnit[[#This Row],[Código do Posto]],tabParametros[Incidência dos encargos do submódulo 2.1 sobre Aviso Prévio Trabalhado])*tabCustoUnit[[#This Row],[MODULO 1 - REMUNERAÇÃO ]]</f>
        <v>4.4944036515000017</v>
      </c>
      <c r="AR151" s="22">
        <f>SUMIF(tabParametros[Código do Posto],tabCustoUnit[[#This Row],[Código do Posto]],tabParametros[Multa Rescisória do FGTS])*tabCustoUnit[[#This Row],[MODULO 1 - REMUNERAÇÃO ]]</f>
        <v>103.87670151111111</v>
      </c>
      <c r="AS151" s="22">
        <f>SUMIF(tabParametros[Código do Posto],tabCustoUnit[[#This Row],[Código do Posto]],tabParametros[Indenização Adicional (Art. 9º da Lei nº 7.238/84)])*tabCustoUnit[[#This Row],[MODULO 1 - REMUNERAÇÃO ]]</f>
        <v>2.8309420833333339</v>
      </c>
      <c r="AT151" s="22">
        <f>SUM(tabCustoUnit[[#This Row],[Aviso Prévio Indenizado (API) e Reflexo do Aviso Prévio Indenizado]:[Indenização Adicional (Art. 9º da Lei nº 7.238/84)]])</f>
        <v>149.57971884113812</v>
      </c>
      <c r="AU151" s="22">
        <f>SUMIF(tabParametros[Código do Posto],tabCustoUnit[[#This Row],[Código do Posto]],tabParametros[Ausência por Doença])*tabCustoUnit[[#This Row],[MODULO 1 - REMUNERAÇÃO ]]</f>
        <v>28.686879777777776</v>
      </c>
      <c r="AV151" s="22">
        <f>SUMIF(tabParametros[Código do Posto],tabCustoUnit[[#This Row],[Código do Posto]],tabParametros[Ausências Legais])*tabCustoUnit[[#This Row],[MODULO 1 - REMUNERAÇÃO ]]</f>
        <v>6.888625736111111</v>
      </c>
      <c r="AW151" s="22">
        <f>SUMIF(tabParametros[Código do Posto],tabCustoUnit[[#This Row],[Código do Posto]],tabParametros[Licença Paternidade])*tabCustoUnit[[#This Row],[MODULO 1 - REMUNERAÇÃO ]]</f>
        <v>0.58034312708333335</v>
      </c>
      <c r="AX151" s="22">
        <f>SUMIF(tabParametros[Código do Posto],tabCustoUnit[[#This Row],[Código do Posto]],tabParametros[Ausência por Acidente de Trabalho])*tabCustoUnit[[#This Row],[MODULO 1 - REMUNERAÇÃO ]]</f>
        <v>0.70773552083333346</v>
      </c>
      <c r="AY151" s="22">
        <f>SUMIF(tabParametros[Código do Posto],tabCustoUnit[[#This Row],[Código do Posto]],tabParametros[Férias, Adicional de Férias e 13º  com empregada em gozo de Licença Maternidade])*tabCustoUnit[[#This Row],[MODULO 1 - REMUNERAÇÃO ]]</f>
        <v>4.4036876851851856</v>
      </c>
      <c r="AZ151" s="22">
        <f>SUMIF(tabParametros[Código do Posto],tabCustoUnit[[#This Row],[Código do Posto]],tabParametros[Incidência do Submódulo 2.1 sobre Ausências Legais])*tabCustoUnit[[#This Row],[MODULO 1 - REMUNERAÇÃO ]]</f>
        <v>15.599028758162504</v>
      </c>
      <c r="BA151" s="22">
        <f>SUM(tabCustoUnit[[#This Row],[Ausência por Doença]:[Incidência do Submódulo 2.1 sobre Ausências Legais]])</f>
        <v>56.866300605153235</v>
      </c>
      <c r="BB151" s="22">
        <f>SUMIF(tabParametros[Código do Posto],tabCustoUnit[[#This Row],[Código do Posto]],tabParametros[Intervalo para Repouso ou Alimentação])</f>
        <v>0</v>
      </c>
      <c r="BC151" s="22">
        <f>tabCustoUnit[[#This Row],[Intervalo para Repouso ou Alimentação]]</f>
        <v>0</v>
      </c>
      <c r="BD15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1" s="22">
        <f>tabCustoUnit[[#This Row],[Suspensão Temporária do Contrato de Trabalho]]</f>
        <v>0</v>
      </c>
      <c r="BF151" s="22">
        <f>tabCustoUnit[[#This Row],[Submódulo 4.1]]+tabCustoUnit[[#This Row],[Submódulo 4.2]]+tabCustoUnit[[#This Row],[Submódulo 4.3]]</f>
        <v>56.866300605153235</v>
      </c>
      <c r="BG151" s="22">
        <f>VLOOKUP(tabCustoUnit[[#This Row],[Código do Posto]],tabParametros[],MATCH(tabCustoUnit[[#Headers],[Uniformes e EPIs]],tabParametros[#Headers],0),0)</f>
        <v>56.642978962543395</v>
      </c>
      <c r="BH151" s="22">
        <f>VLOOKUP(tabCustoUnit[[#This Row],[Código do Posto]],tabParametros[],MATCH(tabCustoUnit[[#Headers],[Materiais de Consumo]],tabParametros[#Headers],0),0)</f>
        <v>0</v>
      </c>
      <c r="BI151" s="22">
        <f>VLOOKUP(tabCustoUnit[[#This Row],[Código do Posto]],tabParametros[],MATCH(tabCustoUnit[[#Headers],[Máquinas e Equipamentos (depreciação)]],tabParametros[#Headers],0),0)</f>
        <v>0</v>
      </c>
      <c r="BJ151" s="22">
        <f>VLOOKUP(tabCustoUnit[[#This Row],[Código do Posto]],tabParametros[],MATCH(tabCustoUnit[[#Headers],[Produtos de Limpeza e Materiais de Higiene Pessoal]],tabParametros[#Headers],0),0)</f>
        <v>0</v>
      </c>
      <c r="BK151" s="22">
        <f>VLOOKUP(tabCustoUnit[[#This Row],[Código do Posto]],tabParametros[],MATCH(tabCustoUnit[[#Headers],[Outros (especificar)]],tabParametros[#Headers],0),0)</f>
        <v>0</v>
      </c>
      <c r="BL151" s="22">
        <f>SUM(tabCustoUnit[[#This Row],[Uniformes e EPIs]:[Outros (especificar)]])</f>
        <v>56.642978962543395</v>
      </c>
      <c r="BM15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1" s="22" t="e">
        <f ca="1">VLOOKUP(tabCustoUnit[[#This Row],[Código do Posto]],tabParametros[],MATCH(tabCustoUnit[[#Headers],[Custos Indiretos]],tabParametros[#Headers],0),0)</f>
        <v>#NAME?</v>
      </c>
      <c r="BO151" s="22" t="e">
        <f ca="1">VLOOKUP(tabCustoUnit[[#This Row],[Código do Posto]],tabParametros[],MATCH(tabCustoUnit[[#Headers],[Lucro]],tabParametros[#Headers],0),0)</f>
        <v>#NAME?</v>
      </c>
      <c r="BP151" s="26">
        <f>((100/((1-tabCustoUnit[[#This Row],[Resumo de Alíquotas (PIS+CONFINS+ISS)]]))-100)*VLOOKUP(tabCustoUnit[[#This Row],[Código do Posto]],tabParametros[],MATCH(tabCustoUnit[[#Headers],[COFINS]],tabParametros[#Headers],0),0))/(tabCustoUnit[[#This Row],[Resumo de Alíquotas (PIS+CONFINS+ISS)]]*100)</f>
        <v>8.5633802816901458E-2</v>
      </c>
      <c r="BQ151" s="26">
        <f>((100/((100-(tabCustoUnit[[#This Row],[Resumo de Alíquotas (PIS+CONFINS+ISS)]]*100))%)-100)*VLOOKUP(tabCustoUnit[[#This Row],[Código do Posto]],tabParametros[],MATCH(tabCustoUnit[[#Headers],[PIS]],tabParametros[#Headers],0),0))/(tabCustoUnit[[#This Row],[Resumo de Alíquotas (PIS+CONFINS+ISS)]]*100)</f>
        <v>1.8591549295774657E-2</v>
      </c>
      <c r="BR151" s="28">
        <f>VLOOKUP(tabCustoUnit[[#This Row],[Código do Posto]],tabParametros[],MATCH(tabCustoUnit[[#Headers],[ISS]],tabParametros[#Headers],0),0)</f>
        <v>0.02</v>
      </c>
      <c r="BS151" s="26">
        <f>(((100/((100-(tabCustoUnit[[#This Row],[Resumo de Alíquotas (PIS+CONFINS+ISS)]]*100))%)-100)*tabCustoUnit[[#This Row],[ISS]])/tabCustoUnit[[#This Row],[Resumo de Alíquotas (PIS+CONFINS+ISS)]])/100</f>
        <v>2.2535211267605645E-2</v>
      </c>
      <c r="BT15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51" s="138">
        <f>tabCustoUnit[[#This Row],[COFINS]]+tabCustoUnit[[#This Row],[PIS]]+tabCustoUnit[[#This Row],[ISS (Conversão Alíquota s/ fatura)]]</f>
        <v>0.12676056338028174</v>
      </c>
      <c r="BV151" s="22" t="e">
        <f ca="1">(tabCustoUnit[[#This Row],[TOTAL MÓDULOS 1+2+3+4+5]]+tabCustoUnit[[#This Row],[Custos Indiretos]]+tabCustoUnit[[#This Row],[Lucro]])*tabCustoUnit[[#This Row],[PIS + COFINS + ISS (Total Conversão  Alíquota s/ Fatura)]]</f>
        <v>#NAME?</v>
      </c>
      <c r="BW151" s="22" t="e">
        <f ca="1">tabCustoUnit[[#This Row],[Custos Indiretos]]+tabCustoUnit[[#This Row],[Lucro]]+tabCustoUnit[[#This Row],[Valor dos Tributos (ISS, PIS, CONFINS)]]</f>
        <v>#NAME?</v>
      </c>
      <c r="BX151" s="22" t="e">
        <f ca="1">tabCustoUnit[[#This Row],[TOTAL MÓDULOS 1+2+3+4+5]]+tabCustoUnit[[#This Row],[MÓDULO 6 – CUSTOS INDIRETOS, TRIBUTOS E LUCRO]]</f>
        <v>#NAME?</v>
      </c>
      <c r="BY151" s="22" t="e">
        <f ca="1">tabCustoUnit[[#This Row],[CUSTO TOTAL MENSAL]]*12</f>
        <v>#NAME?</v>
      </c>
      <c r="BZ151" s="24">
        <f>VLOOKUP(tabCustoUnit[[#This Row],[Código do Posto]],tabParametros[],MATCH(tabCustoUnit[[#Headers],[ANO DA CCT]],tabParametros[#Headers],0),0)</f>
        <v>45658</v>
      </c>
      <c r="CA151" s="25" t="str">
        <f>VLOOKUP(tabCustoUnit[[#This Row],[Código do Posto]],tabParametros[],MATCH(tabCustoUnit[[#Headers],[Nº DE PEDIDO DA CCT]],tabParametros[#Headers],0),0)</f>
        <v>-</v>
      </c>
      <c r="CB151" s="25" t="str">
        <f>VLOOKUP(tabCustoUnit[[#This Row],[Código do Posto]],tabParametros[],MATCH(tabCustoUnit[[#Headers],[TERMO ADITIVO ALTERAÇÃO DA CCT]],tabParametros[#Headers],0),0)</f>
        <v>-</v>
      </c>
    </row>
    <row r="152" spans="1:80">
      <c r="A152" s="20" t="s">
        <v>1473</v>
      </c>
      <c r="B152" t="s">
        <v>1136</v>
      </c>
      <c r="C152" t="s">
        <v>200</v>
      </c>
      <c r="D152" t="s">
        <v>954</v>
      </c>
      <c r="E152" s="20" t="s">
        <v>1090</v>
      </c>
      <c r="F152" s="20" t="s">
        <v>120</v>
      </c>
      <c r="G152" s="418">
        <v>1596.2737999999999</v>
      </c>
      <c r="H152" s="418">
        <v>0</v>
      </c>
      <c r="I152" s="418">
        <v>0</v>
      </c>
      <c r="J152" s="418">
        <v>0</v>
      </c>
      <c r="K152" s="418">
        <v>0</v>
      </c>
      <c r="L152" s="418">
        <v>0</v>
      </c>
      <c r="M152" s="418">
        <v>0</v>
      </c>
      <c r="N152" s="418">
        <v>0</v>
      </c>
      <c r="O152" s="21">
        <f>SUM(tabCustoUnit[[#This Row],[Salário Base]:[Adicional de Acúmulo de função]])</f>
        <v>1596.2737999999999</v>
      </c>
      <c r="P152" s="21">
        <f>tabCustoUnit[[#This Row],[MODULO 1 - REMUNERAÇÃO ]]*SUMIFS(tabParametros[INSS],tabParametros[Código do Posto],tabCustoUnit[[#This Row],[Código do Posto]])</f>
        <v>319.25476000000003</v>
      </c>
      <c r="Q152" s="21">
        <f>tabCustoUnit[[#This Row],[MODULO 1 - REMUNERAÇÃO ]]*SUMIFS(tabParametros[SESI OU SESC],tabParametros[Código do Posto],tabCustoUnit[[#This Row],[Código do Posto]])</f>
        <v>23.944106999999999</v>
      </c>
      <c r="R152" s="21">
        <f>tabCustoUnit[[#This Row],[MODULO 1 - REMUNERAÇÃO ]]*SUMIFS(tabParametros[SENAI OU SENAC],tabParametros[Código do Posto],tabCustoUnit[[#This Row],[Código do Posto]])</f>
        <v>15.962738</v>
      </c>
      <c r="S152" s="21">
        <f>tabCustoUnit[[#This Row],[MODULO 1 - REMUNERAÇÃO ]]*SUMIFS(tabParametros[INCRA],tabParametros[Código do Posto],tabCustoUnit[[#This Row],[Código do Posto]])</f>
        <v>3.1925476000000002</v>
      </c>
      <c r="T152" s="21">
        <f>tabCustoUnit[[#This Row],[MODULO 1 - REMUNERAÇÃO ]]*SUMIFS(tabParametros[Salário Educação],tabParametros[Código do Posto],tabCustoUnit[[#This Row],[Código do Posto]])</f>
        <v>39.906845000000004</v>
      </c>
      <c r="U152" s="21">
        <f>tabCustoUnit[[#This Row],[MODULO 1 - REMUNERAÇÃO ]]*SUMIFS(tabParametros[FGTS],tabParametros[Código do Posto],tabCustoUnit[[#This Row],[Código do Posto]])</f>
        <v>127.701904</v>
      </c>
      <c r="V152" s="21">
        <f>tabCustoUnit[[#This Row],[MODULO 1 - REMUNERAÇÃO ]]*SUMIFS(tabParametros[RAT Ajustado],tabParametros[Código do Posto],tabCustoUnit[[#This Row],[Código do Posto]])</f>
        <v>63.850951999999999</v>
      </c>
      <c r="W152" s="21">
        <f>tabCustoUnit[[#This Row],[MODULO 1 - REMUNERAÇÃO ]]*SUMIFS(tabParametros[SEBRAE],tabParametros[Código do Posto],tabCustoUnit[[#This Row],[Código do Posto]])</f>
        <v>9.5776427999999996</v>
      </c>
      <c r="X152" s="21">
        <f>SUM(tabCustoUnit[[#This Row],[INSS]:[SEBRAE]])</f>
        <v>603.39149640000005</v>
      </c>
      <c r="Y152" s="21">
        <f>tabCustoUnit[[#This Row],[MODULO 1 - REMUNERAÇÃO ]]*SUMIFS(tabParametros[13º salário (titular)],tabParametros[Código do Posto],tabCustoUnit[[#This Row],[Código do Posto]])</f>
        <v>133.02281666666664</v>
      </c>
      <c r="Z152" s="21">
        <f>tabCustoUnit[[#This Row],[MODULO 1 - REMUNERAÇÃO ]]*SUMIFS(tabParametros[Férias e Adicional de Férias (titular)],tabParametros[Código do Posto],tabCustoUnit[[#This Row],[Código do Posto]])</f>
        <v>177.36375555555554</v>
      </c>
      <c r="AA152" s="21">
        <f>IFERROR((tabCustoUnit[[#This Row],[Submódulo 2.1]]/tabCustoUnit[[#This Row],[MODULO 1 - REMUNERAÇÃO ]])*SUM(tabCustoUnit[[#This Row],[13º salário (titular)]:[Férias e Adicional de Férias (titular)]]),0)</f>
        <v>117.3261243</v>
      </c>
      <c r="AB152" s="21">
        <f>SUM(tabCustoUnit[[#This Row],[13º salário (titular)]:[Incidência do Submódulo 2.1 sobre 13º Salário, Férias e Adicional de Férias]])</f>
        <v>427.71269652222219</v>
      </c>
      <c r="AC152" s="22" t="e">
        <f ca="1">_xlfn.LET(_xlpm.VT,SUMIF(tabParametros[Código do Posto],tabCustoUnit[[#This Row],[Código do Posto]],tabParametros[Vale - Transporte])*2*20,
IF((_xlpm.VT-tabCustoUnit[[#This Row],[Salário Base]]*0.06)&gt;=0,(_xlpm.VT-tabCustoUnit[[#This Row],[Salário Base]]*0.06),0)
)</f>
        <v>#NAME?</v>
      </c>
      <c r="AD152" s="22">
        <f>IF(SUMIF(tabParametros[Código do Posto],tabCustoUnit[[#This Row],[Código do Posto]],tabParametros[Vale - Alimentação])&lt;=0,0,
SUMIF(tabParametros[Código do Posto],tabCustoUnit[[#This Row],[Código do Posto]],tabParametros[Vale - Alimentação])*20-1)</f>
        <v>582</v>
      </c>
      <c r="AE152" s="22">
        <f>SUMIF(tabParametros[Código do Posto],tabCustoUnit[[#This Row],[Código do Posto]],tabParametros[Cesta Básica])</f>
        <v>0</v>
      </c>
      <c r="AF152" s="22">
        <f>SUMIF(tabParametros[Código do Posto],tabCustoUnit[[#This Row],[Código do Posto]],tabParametros[PAF])</f>
        <v>51.88</v>
      </c>
      <c r="AG152" s="22">
        <f>SUMIF(tabParametros[Código do Posto],tabCustoUnit[[#This Row],[Código do Posto]],tabParametros[PQM])</f>
        <v>0</v>
      </c>
      <c r="AH152" s="22">
        <f>SUMIF(tabParametros[Código do Posto],tabCustoUnit[[#This Row],[Código do Posto]],tabParametros[Abono Único e Especial])</f>
        <v>0</v>
      </c>
      <c r="AI152" s="22">
        <f>SUMIF(tabParametros[Código do Posto],tabCustoUnit[[#This Row],[Código do Posto]],tabParametros[Seguro de Vida])</f>
        <v>3.36</v>
      </c>
      <c r="AJ152" s="22">
        <f>SUMIF(tabParametros[Código do Posto],tabCustoUnit[[#This Row],[Código do Posto]],tabParametros[Despesas de Viagem])</f>
        <v>0</v>
      </c>
      <c r="AK152" s="22" t="e">
        <f ca="1">SUM(tabCustoUnit[[#This Row],[Vale - Transporte (Descontada parcela do empregado)]:[Despesas de Viagem]])</f>
        <v>#NAME?</v>
      </c>
      <c r="AL152" s="22" t="e">
        <f ca="1">tabCustoUnit[[#This Row],[Submódulo 2.1]]+tabCustoUnit[[#This Row],[Submódulo 2.2]]+tabCustoUnit[[#This Row],[Submódulo 2.3]]</f>
        <v>#NAME?</v>
      </c>
      <c r="AM152" s="22">
        <f>SUMIF(tabParametros[Código do Posto],tabCustoUnit[[#This Row],[Código do Posto]],tabParametros[Aviso Prévio Indenizado (API) e Reflexo do Aviso Prévio Indenizado])*tabCustoUnit[[#This Row],[MODULO 1 - REMUNERAÇÃO ]]</f>
        <v>11.192699914390431</v>
      </c>
      <c r="AN152" s="22">
        <f>SUMIF(tabParametros[Código do Posto],tabCustoUnit[[#This Row],[Código do Posto]],tabParametros[Incidência do FGTS sobre API e Reflexo do API])*tabCustoUnit[[#This Row],[MODULO 1 - REMUNERAÇÃO ]]</f>
        <v>0.89541599315123466</v>
      </c>
      <c r="AO152" s="22">
        <f>SUMIF(tabParametros[Código do Posto],tabCustoUnit[[#This Row],[Código do Posto]],tabParametros[Multa Rescisória do FGTS sobre o Aviso Prévio Indenizado])*tabCustoUnit[[#This Row],[MODULO 1 - REMUNERAÇÃO ]]</f>
        <v>0.35816639726049387</v>
      </c>
      <c r="AP152" s="22">
        <f>SUMIF(tabParametros[Código do Posto],tabCustoUnit[[#This Row],[Código do Posto]],tabParametros[Aviso Prévio Trabalhado - APT])*tabCustoUnit[[#This Row],[MODULO 1 - REMUNERAÇÃO ]]</f>
        <v>5.5869583000000009</v>
      </c>
      <c r="AQ152" s="22">
        <f>SUMIF(tabParametros[Código do Posto],tabCustoUnit[[#This Row],[Código do Posto]],tabParametros[Incidência dos encargos do submódulo 2.1 sobre Aviso Prévio Trabalhado])*tabCustoUnit[[#This Row],[MODULO 1 - REMUNERAÇÃO ]]</f>
        <v>2.1118702374000007</v>
      </c>
      <c r="AR152" s="22">
        <f>SUMIF(tabParametros[Código do Posto],tabCustoUnit[[#This Row],[Código do Posto]],tabParametros[Multa Rescisória do FGTS])*tabCustoUnit[[#This Row],[MODULO 1 - REMUNERAÇÃO ]]</f>
        <v>48.810505528888882</v>
      </c>
      <c r="AS152" s="22">
        <f>SUMIF(tabParametros[Código do Posto],tabCustoUnit[[#This Row],[Código do Posto]],tabParametros[Indenização Adicional (Art. 9º da Lei nº 7.238/84)])*tabCustoUnit[[#This Row],[MODULO 1 - REMUNERAÇÃO ]]</f>
        <v>1.3302281666666667</v>
      </c>
      <c r="AT152" s="22">
        <f>SUM(tabCustoUnit[[#This Row],[Aviso Prévio Indenizado (API) e Reflexo do Aviso Prévio Indenizado]:[Indenização Adicional (Art. 9º da Lei nº 7.238/84)]])</f>
        <v>70.285844537757711</v>
      </c>
      <c r="AU152" s="22">
        <f>SUMIF(tabParametros[Código do Posto],tabCustoUnit[[#This Row],[Código do Posto]],tabParametros[Ausência por Doença])*tabCustoUnit[[#This Row],[MODULO 1 - REMUNERAÇÃO ]]</f>
        <v>13.479645422222221</v>
      </c>
      <c r="AV152" s="22">
        <f>SUMIF(tabParametros[Código do Posto],tabCustoUnit[[#This Row],[Código do Posto]],tabParametros[Ausências Legais])*tabCustoUnit[[#This Row],[MODULO 1 - REMUNERAÇÃO ]]</f>
        <v>3.2368885388888886</v>
      </c>
      <c r="AW152" s="22">
        <f>SUMIF(tabParametros[Código do Posto],tabCustoUnit[[#This Row],[Código do Posto]],tabParametros[Licença Paternidade])*tabCustoUnit[[#This Row],[MODULO 1 - REMUNERAÇÃO ]]</f>
        <v>0.27269677416666666</v>
      </c>
      <c r="AX152" s="22">
        <f>SUMIF(tabParametros[Código do Posto],tabCustoUnit[[#This Row],[Código do Posto]],tabParametros[Ausência por Acidente de Trabalho])*tabCustoUnit[[#This Row],[MODULO 1 - REMUNERAÇÃO ]]</f>
        <v>0.33255704166666666</v>
      </c>
      <c r="AY152" s="22">
        <f>SUMIF(tabParametros[Código do Posto],tabCustoUnit[[#This Row],[Código do Posto]],tabParametros[Férias, Adicional de Férias e 13º  com empregada em gozo de Licença Maternidade])*tabCustoUnit[[#This Row],[MODULO 1 - REMUNERAÇÃO ]]</f>
        <v>2.0692438148148145</v>
      </c>
      <c r="AZ152" s="22">
        <f>SUMIF(tabParametros[Código do Posto],tabCustoUnit[[#This Row],[Código do Posto]],tabParametros[Incidência do Submódulo 2.1 sobre Ausências Legais])*tabCustoUnit[[#This Row],[MODULO 1 - REMUNERAÇÃO ]]</f>
        <v>7.3298099416850011</v>
      </c>
      <c r="BA152" s="22">
        <f>SUM(tabCustoUnit[[#This Row],[Ausência por Doença]:[Incidência do Submódulo 2.1 sobre Ausências Legais]])</f>
        <v>26.720841533444265</v>
      </c>
      <c r="BB152" s="22">
        <f>SUMIF(tabParametros[Código do Posto],tabCustoUnit[[#This Row],[Código do Posto]],tabParametros[Intervalo para Repouso ou Alimentação])</f>
        <v>0</v>
      </c>
      <c r="BC152" s="22">
        <f>tabCustoUnit[[#This Row],[Intervalo para Repouso ou Alimentação]]</f>
        <v>0</v>
      </c>
      <c r="BD15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2" s="22">
        <f>tabCustoUnit[[#This Row],[Suspensão Temporária do Contrato de Trabalho]]</f>
        <v>0</v>
      </c>
      <c r="BF152" s="22">
        <f>tabCustoUnit[[#This Row],[Submódulo 4.1]]+tabCustoUnit[[#This Row],[Submódulo 4.2]]+tabCustoUnit[[#This Row],[Submódulo 4.3]]</f>
        <v>26.720841533444265</v>
      </c>
      <c r="BG152" s="22">
        <f>VLOOKUP(tabCustoUnit[[#This Row],[Código do Posto]],tabParametros[],MATCH(tabCustoUnit[[#Headers],[Uniformes e EPIs]],tabParametros[#Headers],0),0)</f>
        <v>56.141713661989918</v>
      </c>
      <c r="BH152" s="22">
        <f>VLOOKUP(tabCustoUnit[[#This Row],[Código do Posto]],tabParametros[],MATCH(tabCustoUnit[[#Headers],[Materiais de Consumo]],tabParametros[#Headers],0),0)</f>
        <v>0</v>
      </c>
      <c r="BI152" s="22">
        <f>VLOOKUP(tabCustoUnit[[#This Row],[Código do Posto]],tabParametros[],MATCH(tabCustoUnit[[#Headers],[Máquinas e Equipamentos (depreciação)]],tabParametros[#Headers],0),0)</f>
        <v>0</v>
      </c>
      <c r="BJ152" s="22">
        <f>VLOOKUP(tabCustoUnit[[#This Row],[Código do Posto]],tabParametros[],MATCH(tabCustoUnit[[#Headers],[Produtos de Limpeza e Materiais de Higiene Pessoal]],tabParametros[#Headers],0),0)</f>
        <v>0</v>
      </c>
      <c r="BK152" s="22">
        <f>VLOOKUP(tabCustoUnit[[#This Row],[Código do Posto]],tabParametros[],MATCH(tabCustoUnit[[#Headers],[Outros (especificar)]],tabParametros[#Headers],0),0)</f>
        <v>0</v>
      </c>
      <c r="BL152" s="22">
        <f>SUM(tabCustoUnit[[#This Row],[Uniformes e EPIs]:[Outros (especificar)]])</f>
        <v>56.141713661989918</v>
      </c>
      <c r="BM15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2" s="22" t="e">
        <f ca="1">VLOOKUP(tabCustoUnit[[#This Row],[Código do Posto]],tabParametros[],MATCH(tabCustoUnit[[#Headers],[Custos Indiretos]],tabParametros[#Headers],0),0)</f>
        <v>#NAME?</v>
      </c>
      <c r="BO152" s="22" t="e">
        <f ca="1">VLOOKUP(tabCustoUnit[[#This Row],[Código do Posto]],tabParametros[],MATCH(tabCustoUnit[[#Headers],[Lucro]],tabParametros[#Headers],0),0)</f>
        <v>#NAME?</v>
      </c>
      <c r="BP152" s="26">
        <f>((100/((1-tabCustoUnit[[#This Row],[Resumo de Alíquotas (PIS+CONFINS+ISS)]]))-100)*VLOOKUP(tabCustoUnit[[#This Row],[Código do Posto]],tabParametros[],MATCH(tabCustoUnit[[#Headers],[COFINS]],tabParametros[#Headers],0),0))/(tabCustoUnit[[#This Row],[Resumo de Alíquotas (PIS+CONFINS+ISS)]]*100)</f>
        <v>8.6609686609686695E-2</v>
      </c>
      <c r="BQ152" s="26">
        <f>((100/((100-(tabCustoUnit[[#This Row],[Resumo de Alíquotas (PIS+CONFINS+ISS)]]*100))%)-100)*VLOOKUP(tabCustoUnit[[#This Row],[Código do Posto]],tabParametros[],MATCH(tabCustoUnit[[#Headers],[PIS]],tabParametros[#Headers],0),0))/(tabCustoUnit[[#This Row],[Resumo de Alíquotas (PIS+CONFINS+ISS)]]*100)</f>
        <v>1.880341880341882E-2</v>
      </c>
      <c r="BR152" s="28">
        <f>VLOOKUP(tabCustoUnit[[#This Row],[Código do Posto]],tabParametros[],MATCH(tabCustoUnit[[#Headers],[ISS]],tabParametros[#Headers],0),0)</f>
        <v>0.03</v>
      </c>
      <c r="BS152" s="26">
        <f>(((100/((100-(tabCustoUnit[[#This Row],[Resumo de Alíquotas (PIS+CONFINS+ISS)]]*100))%)-100)*tabCustoUnit[[#This Row],[ISS]])/tabCustoUnit[[#This Row],[Resumo de Alíquotas (PIS+CONFINS+ISS)]])/100</f>
        <v>3.4188034188034219E-2</v>
      </c>
      <c r="BT15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52" s="138">
        <f>tabCustoUnit[[#This Row],[COFINS]]+tabCustoUnit[[#This Row],[PIS]]+tabCustoUnit[[#This Row],[ISS (Conversão Alíquota s/ fatura)]]</f>
        <v>0.13960113960113973</v>
      </c>
      <c r="BV152" s="22" t="e">
        <f ca="1">(tabCustoUnit[[#This Row],[TOTAL MÓDULOS 1+2+3+4+5]]+tabCustoUnit[[#This Row],[Custos Indiretos]]+tabCustoUnit[[#This Row],[Lucro]])*tabCustoUnit[[#This Row],[PIS + COFINS + ISS (Total Conversão  Alíquota s/ Fatura)]]</f>
        <v>#NAME?</v>
      </c>
      <c r="BW152" s="22" t="e">
        <f ca="1">tabCustoUnit[[#This Row],[Custos Indiretos]]+tabCustoUnit[[#This Row],[Lucro]]+tabCustoUnit[[#This Row],[Valor dos Tributos (ISS, PIS, CONFINS)]]</f>
        <v>#NAME?</v>
      </c>
      <c r="BX152" s="22" t="e">
        <f ca="1">tabCustoUnit[[#This Row],[TOTAL MÓDULOS 1+2+3+4+5]]+tabCustoUnit[[#This Row],[MÓDULO 6 – CUSTOS INDIRETOS, TRIBUTOS E LUCRO]]</f>
        <v>#NAME?</v>
      </c>
      <c r="BY152" s="22" t="e">
        <f ca="1">tabCustoUnit[[#This Row],[CUSTO TOTAL MENSAL]]*12</f>
        <v>#NAME?</v>
      </c>
      <c r="BZ152" s="24">
        <f>VLOOKUP(tabCustoUnit[[#This Row],[Código do Posto]],tabParametros[],MATCH(tabCustoUnit[[#Headers],[ANO DA CCT]],tabParametros[#Headers],0),0)</f>
        <v>45658</v>
      </c>
      <c r="CA152" s="25" t="str">
        <f>VLOOKUP(tabCustoUnit[[#This Row],[Código do Posto]],tabParametros[],MATCH(tabCustoUnit[[#Headers],[Nº DE PEDIDO DA CCT]],tabParametros[#Headers],0),0)</f>
        <v>-</v>
      </c>
      <c r="CB152" s="25" t="str">
        <f>VLOOKUP(tabCustoUnit[[#This Row],[Código do Posto]],tabParametros[],MATCH(tabCustoUnit[[#Headers],[TERMO ADITIVO ALTERAÇÃO DA CCT]],tabParametros[#Headers],0),0)</f>
        <v>-</v>
      </c>
    </row>
    <row r="153" spans="1:80">
      <c r="A153" s="20" t="s">
        <v>1605</v>
      </c>
      <c r="B153" t="s">
        <v>1137</v>
      </c>
      <c r="C153" t="s">
        <v>324</v>
      </c>
      <c r="D153" t="s">
        <v>961</v>
      </c>
      <c r="E153" s="20" t="s">
        <v>1090</v>
      </c>
      <c r="F153" s="20" t="s">
        <v>120</v>
      </c>
      <c r="G153" s="418">
        <v>3397.1305000000002</v>
      </c>
      <c r="H153" s="418">
        <v>0</v>
      </c>
      <c r="I153" s="418">
        <v>0</v>
      </c>
      <c r="J153" s="418">
        <v>0</v>
      </c>
      <c r="K153" s="418">
        <v>0</v>
      </c>
      <c r="L153" s="418">
        <v>0</v>
      </c>
      <c r="M153" s="418">
        <v>0</v>
      </c>
      <c r="N153" s="418">
        <v>0</v>
      </c>
      <c r="O153" s="21">
        <f>SUM(tabCustoUnit[[#This Row],[Salário Base]:[Adicional de Acúmulo de função]])</f>
        <v>3397.1305000000002</v>
      </c>
      <c r="P153" s="21">
        <f>tabCustoUnit[[#This Row],[MODULO 1 - REMUNERAÇÃO ]]*SUMIFS(tabParametros[INSS],tabParametros[Código do Posto],tabCustoUnit[[#This Row],[Código do Posto]])</f>
        <v>679.42610000000013</v>
      </c>
      <c r="Q153" s="21">
        <f>tabCustoUnit[[#This Row],[MODULO 1 - REMUNERAÇÃO ]]*SUMIFS(tabParametros[SESI OU SESC],tabParametros[Código do Posto],tabCustoUnit[[#This Row],[Código do Posto]])</f>
        <v>50.956957500000001</v>
      </c>
      <c r="R153" s="21">
        <f>tabCustoUnit[[#This Row],[MODULO 1 - REMUNERAÇÃO ]]*SUMIFS(tabParametros[SENAI OU SENAC],tabParametros[Código do Posto],tabCustoUnit[[#This Row],[Código do Posto]])</f>
        <v>33.971305000000001</v>
      </c>
      <c r="S153" s="21">
        <f>tabCustoUnit[[#This Row],[MODULO 1 - REMUNERAÇÃO ]]*SUMIFS(tabParametros[INCRA],tabParametros[Código do Posto],tabCustoUnit[[#This Row],[Código do Posto]])</f>
        <v>6.7942610000000005</v>
      </c>
      <c r="T153" s="21">
        <f>tabCustoUnit[[#This Row],[MODULO 1 - REMUNERAÇÃO ]]*SUMIFS(tabParametros[Salário Educação],tabParametros[Código do Posto],tabCustoUnit[[#This Row],[Código do Posto]])</f>
        <v>84.928262500000017</v>
      </c>
      <c r="U153" s="21">
        <f>tabCustoUnit[[#This Row],[MODULO 1 - REMUNERAÇÃO ]]*SUMIFS(tabParametros[FGTS],tabParametros[Código do Posto],tabCustoUnit[[#This Row],[Código do Posto]])</f>
        <v>271.77044000000001</v>
      </c>
      <c r="V153" s="21">
        <f>tabCustoUnit[[#This Row],[MODULO 1 - REMUNERAÇÃO ]]*SUMIFS(tabParametros[RAT Ajustado],tabParametros[Código do Posto],tabCustoUnit[[#This Row],[Código do Posto]])</f>
        <v>135.88522</v>
      </c>
      <c r="W153" s="21">
        <f>tabCustoUnit[[#This Row],[MODULO 1 - REMUNERAÇÃO ]]*SUMIFS(tabParametros[SEBRAE],tabParametros[Código do Posto],tabCustoUnit[[#This Row],[Código do Posto]])</f>
        <v>20.382783000000003</v>
      </c>
      <c r="X153" s="21">
        <f>SUM(tabCustoUnit[[#This Row],[INSS]:[SEBRAE]])</f>
        <v>1284.1153290000002</v>
      </c>
      <c r="Y153" s="21">
        <f>tabCustoUnit[[#This Row],[MODULO 1 - REMUNERAÇÃO ]]*SUMIFS(tabParametros[13º salário (titular)],tabParametros[Código do Posto],tabCustoUnit[[#This Row],[Código do Posto]])</f>
        <v>283.09420833333331</v>
      </c>
      <c r="Z153" s="21">
        <f>tabCustoUnit[[#This Row],[MODULO 1 - REMUNERAÇÃO ]]*SUMIFS(tabParametros[Férias e Adicional de Férias (titular)],tabParametros[Código do Posto],tabCustoUnit[[#This Row],[Código do Posto]])</f>
        <v>377.45894444444446</v>
      </c>
      <c r="AA153" s="21">
        <f>IFERROR((tabCustoUnit[[#This Row],[Submódulo 2.1]]/tabCustoUnit[[#This Row],[MODULO 1 - REMUNERAÇÃO ]])*SUM(tabCustoUnit[[#This Row],[13º salário (titular)]:[Férias e Adicional de Férias (titular)]]),0)</f>
        <v>249.68909175000005</v>
      </c>
      <c r="AB153" s="21">
        <f>SUM(tabCustoUnit[[#This Row],[13º salário (titular)]:[Incidência do Submódulo 2.1 sobre 13º Salário, Férias e Adicional de Férias]])</f>
        <v>910.24224452777776</v>
      </c>
      <c r="AC153" s="22" t="e">
        <f ca="1">_xlfn.LET(_xlpm.VT,SUMIF(tabParametros[Código do Posto],tabCustoUnit[[#This Row],[Código do Posto]],tabParametros[Vale - Transporte])*2*20,
IF((_xlpm.VT-tabCustoUnit[[#This Row],[Salário Base]]*0.06)&gt;=0,(_xlpm.VT-tabCustoUnit[[#This Row],[Salário Base]]*0.06),0)
)</f>
        <v>#NAME?</v>
      </c>
      <c r="AD153" s="22">
        <f>IF(SUMIF(tabParametros[Código do Posto],tabCustoUnit[[#This Row],[Código do Posto]],tabParametros[Vale - Alimentação])&lt;=0,0,
SUMIF(tabParametros[Código do Posto],tabCustoUnit[[#This Row],[Código do Posto]],tabParametros[Vale - Alimentação])*20-1)</f>
        <v>582</v>
      </c>
      <c r="AE153" s="22">
        <f>SUMIF(tabParametros[Código do Posto],tabCustoUnit[[#This Row],[Código do Posto]],tabParametros[Cesta Básica])</f>
        <v>0</v>
      </c>
      <c r="AF153" s="22">
        <f>SUMIF(tabParametros[Código do Posto],tabCustoUnit[[#This Row],[Código do Posto]],tabParametros[PAF])</f>
        <v>0</v>
      </c>
      <c r="AG153" s="22">
        <f>SUMIF(tabParametros[Código do Posto],tabCustoUnit[[#This Row],[Código do Posto]],tabParametros[PQM])</f>
        <v>0</v>
      </c>
      <c r="AH153" s="22">
        <f>SUMIF(tabParametros[Código do Posto],tabCustoUnit[[#This Row],[Código do Posto]],tabParametros[Abono Único e Especial])</f>
        <v>0</v>
      </c>
      <c r="AI153" s="22">
        <f>SUMIF(tabParametros[Código do Posto],tabCustoUnit[[#This Row],[Código do Posto]],tabParametros[Seguro de Vida])</f>
        <v>3.36</v>
      </c>
      <c r="AJ153" s="22">
        <f>SUMIF(tabParametros[Código do Posto],tabCustoUnit[[#This Row],[Código do Posto]],tabParametros[Despesas de Viagem])</f>
        <v>0</v>
      </c>
      <c r="AK153" s="22" t="e">
        <f ca="1">SUM(tabCustoUnit[[#This Row],[Vale - Transporte (Descontada parcela do empregado)]:[Despesas de Viagem]])</f>
        <v>#NAME?</v>
      </c>
      <c r="AL153" s="22" t="e">
        <f ca="1">tabCustoUnit[[#This Row],[Submódulo 2.1]]+tabCustoUnit[[#This Row],[Submódulo 2.2]]+tabCustoUnit[[#This Row],[Submódulo 2.3]]</f>
        <v>#NAME?</v>
      </c>
      <c r="AM153" s="22">
        <f>SUMIF(tabParametros[Código do Posto],tabCustoUnit[[#This Row],[Código do Posto]],tabParametros[Aviso Prévio Indenizado (API) e Reflexo do Aviso Prévio Indenizado])*tabCustoUnit[[#This Row],[MODULO 1 - REMUNERAÇÃO ]]</f>
        <v>23.819887450713736</v>
      </c>
      <c r="AN153" s="22">
        <f>SUMIF(tabParametros[Código do Posto],tabCustoUnit[[#This Row],[Código do Posto]],tabParametros[Incidência do FGTS sobre API e Reflexo do API])*tabCustoUnit[[#This Row],[MODULO 1 - REMUNERAÇÃO ]]</f>
        <v>1.9055909960570991</v>
      </c>
      <c r="AO153" s="22">
        <f>SUMIF(tabParametros[Código do Posto],tabCustoUnit[[#This Row],[Código do Posto]],tabParametros[Multa Rescisória do FGTS sobre o Aviso Prévio Indenizado])*tabCustoUnit[[#This Row],[MODULO 1 - REMUNERAÇÃO ]]</f>
        <v>0.76223639842283974</v>
      </c>
      <c r="AP153" s="22">
        <f>SUMIF(tabParametros[Código do Posto],tabCustoUnit[[#This Row],[Código do Posto]],tabParametros[Aviso Prévio Trabalhado - APT])*tabCustoUnit[[#This Row],[MODULO 1 - REMUNERAÇÃO ]]</f>
        <v>11.889956750000003</v>
      </c>
      <c r="AQ153" s="22">
        <f>SUMIF(tabParametros[Código do Posto],tabCustoUnit[[#This Row],[Código do Posto]],tabParametros[Incidência dos encargos do submódulo 2.1 sobre Aviso Prévio Trabalhado])*tabCustoUnit[[#This Row],[MODULO 1 - REMUNERAÇÃO ]]</f>
        <v>4.4944036515000017</v>
      </c>
      <c r="AR153" s="22">
        <f>SUMIF(tabParametros[Código do Posto],tabCustoUnit[[#This Row],[Código do Posto]],tabParametros[Multa Rescisória do FGTS])*tabCustoUnit[[#This Row],[MODULO 1 - REMUNERAÇÃO ]]</f>
        <v>103.87670151111111</v>
      </c>
      <c r="AS153" s="22">
        <f>SUMIF(tabParametros[Código do Posto],tabCustoUnit[[#This Row],[Código do Posto]],tabParametros[Indenização Adicional (Art. 9º da Lei nº 7.238/84)])*tabCustoUnit[[#This Row],[MODULO 1 - REMUNERAÇÃO ]]</f>
        <v>2.8309420833333339</v>
      </c>
      <c r="AT153" s="22">
        <f>SUM(tabCustoUnit[[#This Row],[Aviso Prévio Indenizado (API) e Reflexo do Aviso Prévio Indenizado]:[Indenização Adicional (Art. 9º da Lei nº 7.238/84)]])</f>
        <v>149.57971884113812</v>
      </c>
      <c r="AU153" s="22">
        <f>SUMIF(tabParametros[Código do Posto],tabCustoUnit[[#This Row],[Código do Posto]],tabParametros[Ausência por Doença])*tabCustoUnit[[#This Row],[MODULO 1 - REMUNERAÇÃO ]]</f>
        <v>28.686879777777776</v>
      </c>
      <c r="AV153" s="22">
        <f>SUMIF(tabParametros[Código do Posto],tabCustoUnit[[#This Row],[Código do Posto]],tabParametros[Ausências Legais])*tabCustoUnit[[#This Row],[MODULO 1 - REMUNERAÇÃO ]]</f>
        <v>6.888625736111111</v>
      </c>
      <c r="AW153" s="22">
        <f>SUMIF(tabParametros[Código do Posto],tabCustoUnit[[#This Row],[Código do Posto]],tabParametros[Licença Paternidade])*tabCustoUnit[[#This Row],[MODULO 1 - REMUNERAÇÃO ]]</f>
        <v>0.58034312708333335</v>
      </c>
      <c r="AX153" s="22">
        <f>SUMIF(tabParametros[Código do Posto],tabCustoUnit[[#This Row],[Código do Posto]],tabParametros[Ausência por Acidente de Trabalho])*tabCustoUnit[[#This Row],[MODULO 1 - REMUNERAÇÃO ]]</f>
        <v>0.70773552083333346</v>
      </c>
      <c r="AY153" s="22">
        <f>SUMIF(tabParametros[Código do Posto],tabCustoUnit[[#This Row],[Código do Posto]],tabParametros[Férias, Adicional de Férias e 13º  com empregada em gozo de Licença Maternidade])*tabCustoUnit[[#This Row],[MODULO 1 - REMUNERAÇÃO ]]</f>
        <v>4.4036876851851856</v>
      </c>
      <c r="AZ153" s="22">
        <f>SUMIF(tabParametros[Código do Posto],tabCustoUnit[[#This Row],[Código do Posto]],tabParametros[Incidência do Submódulo 2.1 sobre Ausências Legais])*tabCustoUnit[[#This Row],[MODULO 1 - REMUNERAÇÃO ]]</f>
        <v>15.599028758162504</v>
      </c>
      <c r="BA153" s="22">
        <f>SUM(tabCustoUnit[[#This Row],[Ausência por Doença]:[Incidência do Submódulo 2.1 sobre Ausências Legais]])</f>
        <v>56.866300605153235</v>
      </c>
      <c r="BB153" s="22">
        <f>SUMIF(tabParametros[Código do Posto],tabCustoUnit[[#This Row],[Código do Posto]],tabParametros[Intervalo para Repouso ou Alimentação])</f>
        <v>0</v>
      </c>
      <c r="BC153" s="22">
        <f>tabCustoUnit[[#This Row],[Intervalo para Repouso ou Alimentação]]</f>
        <v>0</v>
      </c>
      <c r="BD15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3" s="22">
        <f>tabCustoUnit[[#This Row],[Suspensão Temporária do Contrato de Trabalho]]</f>
        <v>0</v>
      </c>
      <c r="BF153" s="22">
        <f>tabCustoUnit[[#This Row],[Submódulo 4.1]]+tabCustoUnit[[#This Row],[Submódulo 4.2]]+tabCustoUnit[[#This Row],[Submódulo 4.3]]</f>
        <v>56.866300605153235</v>
      </c>
      <c r="BG153" s="22">
        <f>VLOOKUP(tabCustoUnit[[#This Row],[Código do Posto]],tabParametros[],MATCH(tabCustoUnit[[#Headers],[Uniformes e EPIs]],tabParametros[#Headers],0),0)</f>
        <v>56.642978962543395</v>
      </c>
      <c r="BH153" s="22">
        <f>VLOOKUP(tabCustoUnit[[#This Row],[Código do Posto]],tabParametros[],MATCH(tabCustoUnit[[#Headers],[Materiais de Consumo]],tabParametros[#Headers],0),0)</f>
        <v>0</v>
      </c>
      <c r="BI153" s="22">
        <f>VLOOKUP(tabCustoUnit[[#This Row],[Código do Posto]],tabParametros[],MATCH(tabCustoUnit[[#Headers],[Máquinas e Equipamentos (depreciação)]],tabParametros[#Headers],0),0)</f>
        <v>0</v>
      </c>
      <c r="BJ153" s="22">
        <f>VLOOKUP(tabCustoUnit[[#This Row],[Código do Posto]],tabParametros[],MATCH(tabCustoUnit[[#Headers],[Produtos de Limpeza e Materiais de Higiene Pessoal]],tabParametros[#Headers],0),0)</f>
        <v>0</v>
      </c>
      <c r="BK153" s="22">
        <f>VLOOKUP(tabCustoUnit[[#This Row],[Código do Posto]],tabParametros[],MATCH(tabCustoUnit[[#Headers],[Outros (especificar)]],tabParametros[#Headers],0),0)</f>
        <v>0</v>
      </c>
      <c r="BL153" s="22">
        <f>SUM(tabCustoUnit[[#This Row],[Uniformes e EPIs]:[Outros (especificar)]])</f>
        <v>56.642978962543395</v>
      </c>
      <c r="BM15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3" s="22" t="e">
        <f ca="1">VLOOKUP(tabCustoUnit[[#This Row],[Código do Posto]],tabParametros[],MATCH(tabCustoUnit[[#Headers],[Custos Indiretos]],tabParametros[#Headers],0),0)</f>
        <v>#NAME?</v>
      </c>
      <c r="BO153" s="22" t="e">
        <f ca="1">VLOOKUP(tabCustoUnit[[#This Row],[Código do Posto]],tabParametros[],MATCH(tabCustoUnit[[#Headers],[Lucro]],tabParametros[#Headers],0),0)</f>
        <v>#NAME?</v>
      </c>
      <c r="BP153" s="26">
        <f>((100/((1-tabCustoUnit[[#This Row],[Resumo de Alíquotas (PIS+CONFINS+ISS)]]))-100)*VLOOKUP(tabCustoUnit[[#This Row],[Código do Posto]],tabParametros[],MATCH(tabCustoUnit[[#Headers],[COFINS]],tabParametros[#Headers],0),0))/(tabCustoUnit[[#This Row],[Resumo de Alíquotas (PIS+CONFINS+ISS)]]*100)</f>
        <v>8.5633802816901458E-2</v>
      </c>
      <c r="BQ153" s="26">
        <f>((100/((100-(tabCustoUnit[[#This Row],[Resumo de Alíquotas (PIS+CONFINS+ISS)]]*100))%)-100)*VLOOKUP(tabCustoUnit[[#This Row],[Código do Posto]],tabParametros[],MATCH(tabCustoUnit[[#Headers],[PIS]],tabParametros[#Headers],0),0))/(tabCustoUnit[[#This Row],[Resumo de Alíquotas (PIS+CONFINS+ISS)]]*100)</f>
        <v>1.8591549295774657E-2</v>
      </c>
      <c r="BR153" s="28">
        <f>VLOOKUP(tabCustoUnit[[#This Row],[Código do Posto]],tabParametros[],MATCH(tabCustoUnit[[#Headers],[ISS]],tabParametros[#Headers],0),0)</f>
        <v>0.02</v>
      </c>
      <c r="BS153" s="26">
        <f>(((100/((100-(tabCustoUnit[[#This Row],[Resumo de Alíquotas (PIS+CONFINS+ISS)]]*100))%)-100)*tabCustoUnit[[#This Row],[ISS]])/tabCustoUnit[[#This Row],[Resumo de Alíquotas (PIS+CONFINS+ISS)]])/100</f>
        <v>2.2535211267605645E-2</v>
      </c>
      <c r="BT15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53" s="138">
        <f>tabCustoUnit[[#This Row],[COFINS]]+tabCustoUnit[[#This Row],[PIS]]+tabCustoUnit[[#This Row],[ISS (Conversão Alíquota s/ fatura)]]</f>
        <v>0.12676056338028174</v>
      </c>
      <c r="BV153" s="22" t="e">
        <f ca="1">(tabCustoUnit[[#This Row],[TOTAL MÓDULOS 1+2+3+4+5]]+tabCustoUnit[[#This Row],[Custos Indiretos]]+tabCustoUnit[[#This Row],[Lucro]])*tabCustoUnit[[#This Row],[PIS + COFINS + ISS (Total Conversão  Alíquota s/ Fatura)]]</f>
        <v>#NAME?</v>
      </c>
      <c r="BW153" s="22" t="e">
        <f ca="1">tabCustoUnit[[#This Row],[Custos Indiretos]]+tabCustoUnit[[#This Row],[Lucro]]+tabCustoUnit[[#This Row],[Valor dos Tributos (ISS, PIS, CONFINS)]]</f>
        <v>#NAME?</v>
      </c>
      <c r="BX153" s="22" t="e">
        <f ca="1">tabCustoUnit[[#This Row],[TOTAL MÓDULOS 1+2+3+4+5]]+tabCustoUnit[[#This Row],[MÓDULO 6 – CUSTOS INDIRETOS, TRIBUTOS E LUCRO]]</f>
        <v>#NAME?</v>
      </c>
      <c r="BY153" s="22" t="e">
        <f ca="1">tabCustoUnit[[#This Row],[CUSTO TOTAL MENSAL]]*12</f>
        <v>#NAME?</v>
      </c>
      <c r="BZ153" s="24">
        <f>VLOOKUP(tabCustoUnit[[#This Row],[Código do Posto]],tabParametros[],MATCH(tabCustoUnit[[#Headers],[ANO DA CCT]],tabParametros[#Headers],0),0)</f>
        <v>45658</v>
      </c>
      <c r="CA153" s="25" t="str">
        <f>VLOOKUP(tabCustoUnit[[#This Row],[Código do Posto]],tabParametros[],MATCH(tabCustoUnit[[#Headers],[Nº DE PEDIDO DA CCT]],tabParametros[#Headers],0),0)</f>
        <v>-</v>
      </c>
      <c r="CB153" s="25" t="str">
        <f>VLOOKUP(tabCustoUnit[[#This Row],[Código do Posto]],tabParametros[],MATCH(tabCustoUnit[[#Headers],[TERMO ADITIVO ALTERAÇÃO DA CCT]],tabParametros[#Headers],0),0)</f>
        <v>-</v>
      </c>
    </row>
    <row r="154" spans="1:80">
      <c r="A154" s="20" t="s">
        <v>1606</v>
      </c>
      <c r="B154" t="s">
        <v>1138</v>
      </c>
      <c r="C154" t="s">
        <v>319</v>
      </c>
      <c r="D154" t="s">
        <v>961</v>
      </c>
      <c r="E154" s="20" t="s">
        <v>1090</v>
      </c>
      <c r="F154" s="20" t="s">
        <v>120</v>
      </c>
      <c r="G154" s="418">
        <v>2316.2253000000001</v>
      </c>
      <c r="H154" s="418">
        <v>0</v>
      </c>
      <c r="I154" s="418">
        <v>0</v>
      </c>
      <c r="J154" s="418">
        <v>0</v>
      </c>
      <c r="K154" s="418">
        <v>0</v>
      </c>
      <c r="L154" s="418">
        <v>0</v>
      </c>
      <c r="M154" s="418">
        <v>0</v>
      </c>
      <c r="N154" s="418">
        <v>0</v>
      </c>
      <c r="O154" s="21">
        <f>SUM(tabCustoUnit[[#This Row],[Salário Base]:[Adicional de Acúmulo de função]])</f>
        <v>2316.2253000000001</v>
      </c>
      <c r="P154" s="21">
        <f>tabCustoUnit[[#This Row],[MODULO 1 - REMUNERAÇÃO ]]*SUMIFS(tabParametros[INSS],tabParametros[Código do Posto],tabCustoUnit[[#This Row],[Código do Posto]])</f>
        <v>463.24506000000002</v>
      </c>
      <c r="Q154" s="21">
        <f>tabCustoUnit[[#This Row],[MODULO 1 - REMUNERAÇÃO ]]*SUMIFS(tabParametros[SESI OU SESC],tabParametros[Código do Posto],tabCustoUnit[[#This Row],[Código do Posto]])</f>
        <v>34.743379499999996</v>
      </c>
      <c r="R154" s="21">
        <f>tabCustoUnit[[#This Row],[MODULO 1 - REMUNERAÇÃO ]]*SUMIFS(tabParametros[SENAI OU SENAC],tabParametros[Código do Posto],tabCustoUnit[[#This Row],[Código do Posto]])</f>
        <v>23.162253</v>
      </c>
      <c r="S154" s="21">
        <f>tabCustoUnit[[#This Row],[MODULO 1 - REMUNERAÇÃO ]]*SUMIFS(tabParametros[INCRA],tabParametros[Código do Posto],tabCustoUnit[[#This Row],[Código do Posto]])</f>
        <v>4.6324506000000003</v>
      </c>
      <c r="T154" s="21">
        <f>tabCustoUnit[[#This Row],[MODULO 1 - REMUNERAÇÃO ]]*SUMIFS(tabParametros[Salário Educação],tabParametros[Código do Posto],tabCustoUnit[[#This Row],[Código do Posto]])</f>
        <v>57.905632500000003</v>
      </c>
      <c r="U154" s="21">
        <f>tabCustoUnit[[#This Row],[MODULO 1 - REMUNERAÇÃO ]]*SUMIFS(tabParametros[FGTS],tabParametros[Código do Posto],tabCustoUnit[[#This Row],[Código do Posto]])</f>
        <v>185.298024</v>
      </c>
      <c r="V154" s="21">
        <f>tabCustoUnit[[#This Row],[MODULO 1 - REMUNERAÇÃO ]]*SUMIFS(tabParametros[RAT Ajustado],tabParametros[Código do Posto],tabCustoUnit[[#This Row],[Código do Posto]])</f>
        <v>92.649011999999999</v>
      </c>
      <c r="W154" s="21">
        <f>tabCustoUnit[[#This Row],[MODULO 1 - REMUNERAÇÃO ]]*SUMIFS(tabParametros[SEBRAE],tabParametros[Código do Posto],tabCustoUnit[[#This Row],[Código do Posto]])</f>
        <v>13.897351800000001</v>
      </c>
      <c r="X154" s="21">
        <f>SUM(tabCustoUnit[[#This Row],[INSS]:[SEBRAE]])</f>
        <v>875.53316340000003</v>
      </c>
      <c r="Y154" s="21">
        <f>tabCustoUnit[[#This Row],[MODULO 1 - REMUNERAÇÃO ]]*SUMIFS(tabParametros[13º salário (titular)],tabParametros[Código do Posto],tabCustoUnit[[#This Row],[Código do Posto]])</f>
        <v>193.01877500000001</v>
      </c>
      <c r="Z154" s="21">
        <f>tabCustoUnit[[#This Row],[MODULO 1 - REMUNERAÇÃO ]]*SUMIFS(tabParametros[Férias e Adicional de Férias (titular)],tabParametros[Código do Posto],tabCustoUnit[[#This Row],[Código do Posto]])</f>
        <v>257.35836666666665</v>
      </c>
      <c r="AA154" s="21">
        <f>IFERROR((tabCustoUnit[[#This Row],[Submódulo 2.1]]/tabCustoUnit[[#This Row],[MODULO 1 - REMUNERAÇÃO ]])*SUM(tabCustoUnit[[#This Row],[13º salário (titular)]:[Férias e Adicional de Férias (titular)]]),0)</f>
        <v>170.24255955000001</v>
      </c>
      <c r="AB154" s="21">
        <f>SUM(tabCustoUnit[[#This Row],[13º salário (titular)]:[Incidência do Submódulo 2.1 sobre 13º Salário, Férias e Adicional de Férias]])</f>
        <v>620.61970121666673</v>
      </c>
      <c r="AC154" s="22" t="e">
        <f ca="1">_xlfn.LET(_xlpm.VT,SUMIF(tabParametros[Código do Posto],tabCustoUnit[[#This Row],[Código do Posto]],tabParametros[Vale - Transporte])*2*20,
IF((_xlpm.VT-tabCustoUnit[[#This Row],[Salário Base]]*0.06)&gt;=0,(_xlpm.VT-tabCustoUnit[[#This Row],[Salário Base]]*0.06),0)
)</f>
        <v>#NAME?</v>
      </c>
      <c r="AD154" s="22">
        <f>IF(SUMIF(tabParametros[Código do Posto],tabCustoUnit[[#This Row],[Código do Posto]],tabParametros[Vale - Alimentação])&lt;=0,0,
SUMIF(tabParametros[Código do Posto],tabCustoUnit[[#This Row],[Código do Posto]],tabParametros[Vale - Alimentação])*20-1)</f>
        <v>582</v>
      </c>
      <c r="AE154" s="22">
        <f>SUMIF(tabParametros[Código do Posto],tabCustoUnit[[#This Row],[Código do Posto]],tabParametros[Cesta Básica])</f>
        <v>0</v>
      </c>
      <c r="AF154" s="22">
        <f>SUMIF(tabParametros[Código do Posto],tabCustoUnit[[#This Row],[Código do Posto]],tabParametros[PAF])</f>
        <v>0</v>
      </c>
      <c r="AG154" s="22">
        <f>SUMIF(tabParametros[Código do Posto],tabCustoUnit[[#This Row],[Código do Posto]],tabParametros[PQM])</f>
        <v>0</v>
      </c>
      <c r="AH154" s="22">
        <f>SUMIF(tabParametros[Código do Posto],tabCustoUnit[[#This Row],[Código do Posto]],tabParametros[Abono Único e Especial])</f>
        <v>0</v>
      </c>
      <c r="AI154" s="22">
        <f>SUMIF(tabParametros[Código do Posto],tabCustoUnit[[#This Row],[Código do Posto]],tabParametros[Seguro de Vida])</f>
        <v>3.36</v>
      </c>
      <c r="AJ154" s="22">
        <f>SUMIF(tabParametros[Código do Posto],tabCustoUnit[[#This Row],[Código do Posto]],tabParametros[Despesas de Viagem])</f>
        <v>0</v>
      </c>
      <c r="AK154" s="22" t="e">
        <f ca="1">SUM(tabCustoUnit[[#This Row],[Vale - Transporte (Descontada parcela do empregado)]:[Despesas de Viagem]])</f>
        <v>#NAME?</v>
      </c>
      <c r="AL154" s="22" t="e">
        <f ca="1">tabCustoUnit[[#This Row],[Submódulo 2.1]]+tabCustoUnit[[#This Row],[Submódulo 2.2]]+tabCustoUnit[[#This Row],[Submódulo 2.3]]</f>
        <v>#NAME?</v>
      </c>
      <c r="AM154" s="22">
        <f>SUMIF(tabParametros[Código do Posto],tabCustoUnit[[#This Row],[Código do Posto]],tabParametros[Aviso Prévio Indenizado (API) e Reflexo do Aviso Prévio Indenizado])*tabCustoUnit[[#This Row],[MODULO 1 - REMUNERAÇÃO ]]</f>
        <v>16.240832065914354</v>
      </c>
      <c r="AN154" s="22">
        <f>SUMIF(tabParametros[Código do Posto],tabCustoUnit[[#This Row],[Código do Posto]],tabParametros[Incidência do FGTS sobre API e Reflexo do API])*tabCustoUnit[[#This Row],[MODULO 1 - REMUNERAÇÃO ]]</f>
        <v>1.2992665652731483</v>
      </c>
      <c r="AO154" s="22">
        <f>SUMIF(tabParametros[Código do Posto],tabCustoUnit[[#This Row],[Código do Posto]],tabParametros[Multa Rescisória do FGTS sobre o Aviso Prévio Indenizado])*tabCustoUnit[[#This Row],[MODULO 1 - REMUNERAÇÃO ]]</f>
        <v>0.51970662610925933</v>
      </c>
      <c r="AP154" s="22">
        <f>SUMIF(tabParametros[Código do Posto],tabCustoUnit[[#This Row],[Código do Posto]],tabParametros[Aviso Prévio Trabalhado - APT])*tabCustoUnit[[#This Row],[MODULO 1 - REMUNERAÇÃO ]]</f>
        <v>8.106788550000001</v>
      </c>
      <c r="AQ154" s="22">
        <f>SUMIF(tabParametros[Código do Posto],tabCustoUnit[[#This Row],[Código do Posto]],tabParametros[Incidência dos encargos do submódulo 2.1 sobre Aviso Prévio Trabalhado])*tabCustoUnit[[#This Row],[MODULO 1 - REMUNERAÇÃO ]]</f>
        <v>3.0643660719000008</v>
      </c>
      <c r="AR154" s="22">
        <f>SUMIF(tabParametros[Código do Posto],tabCustoUnit[[#This Row],[Código do Posto]],tabParametros[Multa Rescisória do FGTS])*tabCustoUnit[[#This Row],[MODULO 1 - REMUNERAÇÃO ]]</f>
        <v>70.825022506666656</v>
      </c>
      <c r="AS154" s="22">
        <f>SUMIF(tabParametros[Código do Posto],tabCustoUnit[[#This Row],[Código do Posto]],tabParametros[Indenização Adicional (Art. 9º da Lei nº 7.238/84)])*tabCustoUnit[[#This Row],[MODULO 1 - REMUNERAÇÃO ]]</f>
        <v>1.9301877500000002</v>
      </c>
      <c r="AT154" s="22">
        <f>SUM(tabCustoUnit[[#This Row],[Aviso Prévio Indenizado (API) e Reflexo do Aviso Prévio Indenizado]:[Indenização Adicional (Art. 9º da Lei nº 7.238/84)]])</f>
        <v>101.98617013586342</v>
      </c>
      <c r="AU154" s="22">
        <f>SUMIF(tabParametros[Código do Posto],tabCustoUnit[[#This Row],[Código do Posto]],tabParametros[Ausência por Doença])*tabCustoUnit[[#This Row],[MODULO 1 - REMUNERAÇÃO ]]</f>
        <v>19.559235866666665</v>
      </c>
      <c r="AV154" s="22">
        <f>SUMIF(tabParametros[Código do Posto],tabCustoUnit[[#This Row],[Código do Posto]],tabParametros[Ausências Legais])*tabCustoUnit[[#This Row],[MODULO 1 - REMUNERAÇÃO ]]</f>
        <v>4.6967901916666666</v>
      </c>
      <c r="AW154" s="22">
        <f>SUMIF(tabParametros[Código do Posto],tabCustoUnit[[#This Row],[Código do Posto]],tabParametros[Licença Paternidade])*tabCustoUnit[[#This Row],[MODULO 1 - REMUNERAÇÃO ]]</f>
        <v>0.39568848875000001</v>
      </c>
      <c r="AX154" s="22">
        <f>SUMIF(tabParametros[Código do Posto],tabCustoUnit[[#This Row],[Código do Posto]],tabParametros[Ausência por Acidente de Trabalho])*tabCustoUnit[[#This Row],[MODULO 1 - REMUNERAÇÃO ]]</f>
        <v>0.48254693750000005</v>
      </c>
      <c r="AY154" s="22">
        <f>SUMIF(tabParametros[Código do Posto],tabCustoUnit[[#This Row],[Código do Posto]],tabParametros[Férias, Adicional de Férias e 13º  com empregada em gozo de Licença Maternidade])*tabCustoUnit[[#This Row],[MODULO 1 - REMUNERAÇÃO ]]</f>
        <v>3.0025142777777778</v>
      </c>
      <c r="AZ154" s="22">
        <f>SUMIF(tabParametros[Código do Posto],tabCustoUnit[[#This Row],[Código do Posto]],tabParametros[Incidência do Submódulo 2.1 sobre Ausências Legais])*tabCustoUnit[[#This Row],[MODULO 1 - REMUNERAÇÃO ]]</f>
        <v>10.635701238172501</v>
      </c>
      <c r="BA154" s="22">
        <f>SUM(tabCustoUnit[[#This Row],[Ausência por Doença]:[Incidência do Submódulo 2.1 sobre Ausências Legais]])</f>
        <v>38.772477000533613</v>
      </c>
      <c r="BB154" s="22">
        <f>SUMIF(tabParametros[Código do Posto],tabCustoUnit[[#This Row],[Código do Posto]],tabParametros[Intervalo para Repouso ou Alimentação])</f>
        <v>0</v>
      </c>
      <c r="BC154" s="22">
        <f>tabCustoUnit[[#This Row],[Intervalo para Repouso ou Alimentação]]</f>
        <v>0</v>
      </c>
      <c r="BD15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4" s="22">
        <f>tabCustoUnit[[#This Row],[Suspensão Temporária do Contrato de Trabalho]]</f>
        <v>0</v>
      </c>
      <c r="BF154" s="22">
        <f>tabCustoUnit[[#This Row],[Submódulo 4.1]]+tabCustoUnit[[#This Row],[Submódulo 4.2]]+tabCustoUnit[[#This Row],[Submódulo 4.3]]</f>
        <v>38.772477000533613</v>
      </c>
      <c r="BG154" s="22">
        <f>VLOOKUP(tabCustoUnit[[#This Row],[Código do Posto]],tabParametros[],MATCH(tabCustoUnit[[#Headers],[Uniformes e EPIs]],tabParametros[#Headers],0),0)</f>
        <v>56.642978962543395</v>
      </c>
      <c r="BH154" s="22">
        <f>VLOOKUP(tabCustoUnit[[#This Row],[Código do Posto]],tabParametros[],MATCH(tabCustoUnit[[#Headers],[Materiais de Consumo]],tabParametros[#Headers],0),0)</f>
        <v>0</v>
      </c>
      <c r="BI154" s="22">
        <f>VLOOKUP(tabCustoUnit[[#This Row],[Código do Posto]],tabParametros[],MATCH(tabCustoUnit[[#Headers],[Máquinas e Equipamentos (depreciação)]],tabParametros[#Headers],0),0)</f>
        <v>0</v>
      </c>
      <c r="BJ154" s="22">
        <f>VLOOKUP(tabCustoUnit[[#This Row],[Código do Posto]],tabParametros[],MATCH(tabCustoUnit[[#Headers],[Produtos de Limpeza e Materiais de Higiene Pessoal]],tabParametros[#Headers],0),0)</f>
        <v>0</v>
      </c>
      <c r="BK154" s="22">
        <f>VLOOKUP(tabCustoUnit[[#This Row],[Código do Posto]],tabParametros[],MATCH(tabCustoUnit[[#Headers],[Outros (especificar)]],tabParametros[#Headers],0),0)</f>
        <v>0</v>
      </c>
      <c r="BL154" s="22">
        <f>SUM(tabCustoUnit[[#This Row],[Uniformes e EPIs]:[Outros (especificar)]])</f>
        <v>56.642978962543395</v>
      </c>
      <c r="BM15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4" s="22" t="e">
        <f ca="1">VLOOKUP(tabCustoUnit[[#This Row],[Código do Posto]],tabParametros[],MATCH(tabCustoUnit[[#Headers],[Custos Indiretos]],tabParametros[#Headers],0),0)</f>
        <v>#NAME?</v>
      </c>
      <c r="BO154" s="22" t="e">
        <f ca="1">VLOOKUP(tabCustoUnit[[#This Row],[Código do Posto]],tabParametros[],MATCH(tabCustoUnit[[#Headers],[Lucro]],tabParametros[#Headers],0),0)</f>
        <v>#NAME?</v>
      </c>
      <c r="BP154" s="26">
        <f>((100/((1-tabCustoUnit[[#This Row],[Resumo de Alíquotas (PIS+CONFINS+ISS)]]))-100)*VLOOKUP(tabCustoUnit[[#This Row],[Código do Posto]],tabParametros[],MATCH(tabCustoUnit[[#Headers],[COFINS]],tabParametros[#Headers],0),0))/(tabCustoUnit[[#This Row],[Resumo de Alíquotas (PIS+CONFINS+ISS)]]*100)</f>
        <v>8.5633802816901458E-2</v>
      </c>
      <c r="BQ154" s="26">
        <f>((100/((100-(tabCustoUnit[[#This Row],[Resumo de Alíquotas (PIS+CONFINS+ISS)]]*100))%)-100)*VLOOKUP(tabCustoUnit[[#This Row],[Código do Posto]],tabParametros[],MATCH(tabCustoUnit[[#Headers],[PIS]],tabParametros[#Headers],0),0))/(tabCustoUnit[[#This Row],[Resumo de Alíquotas (PIS+CONFINS+ISS)]]*100)</f>
        <v>1.8591549295774657E-2</v>
      </c>
      <c r="BR154" s="28">
        <f>VLOOKUP(tabCustoUnit[[#This Row],[Código do Posto]],tabParametros[],MATCH(tabCustoUnit[[#Headers],[ISS]],tabParametros[#Headers],0),0)</f>
        <v>0.02</v>
      </c>
      <c r="BS154" s="26">
        <f>(((100/((100-(tabCustoUnit[[#This Row],[Resumo de Alíquotas (PIS+CONFINS+ISS)]]*100))%)-100)*tabCustoUnit[[#This Row],[ISS]])/tabCustoUnit[[#This Row],[Resumo de Alíquotas (PIS+CONFINS+ISS)]])/100</f>
        <v>2.2535211267605645E-2</v>
      </c>
      <c r="BT15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54" s="138">
        <f>tabCustoUnit[[#This Row],[COFINS]]+tabCustoUnit[[#This Row],[PIS]]+tabCustoUnit[[#This Row],[ISS (Conversão Alíquota s/ fatura)]]</f>
        <v>0.12676056338028174</v>
      </c>
      <c r="BV154" s="22" t="e">
        <f ca="1">(tabCustoUnit[[#This Row],[TOTAL MÓDULOS 1+2+3+4+5]]+tabCustoUnit[[#This Row],[Custos Indiretos]]+tabCustoUnit[[#This Row],[Lucro]])*tabCustoUnit[[#This Row],[PIS + COFINS + ISS (Total Conversão  Alíquota s/ Fatura)]]</f>
        <v>#NAME?</v>
      </c>
      <c r="BW154" s="22" t="e">
        <f ca="1">tabCustoUnit[[#This Row],[Custos Indiretos]]+tabCustoUnit[[#This Row],[Lucro]]+tabCustoUnit[[#This Row],[Valor dos Tributos (ISS, PIS, CONFINS)]]</f>
        <v>#NAME?</v>
      </c>
      <c r="BX154" s="22" t="e">
        <f ca="1">tabCustoUnit[[#This Row],[TOTAL MÓDULOS 1+2+3+4+5]]+tabCustoUnit[[#This Row],[MÓDULO 6 – CUSTOS INDIRETOS, TRIBUTOS E LUCRO]]</f>
        <v>#NAME?</v>
      </c>
      <c r="BY154" s="22" t="e">
        <f ca="1">tabCustoUnit[[#This Row],[CUSTO TOTAL MENSAL]]*12</f>
        <v>#NAME?</v>
      </c>
      <c r="BZ154" s="24">
        <f>VLOOKUP(tabCustoUnit[[#This Row],[Código do Posto]],tabParametros[],MATCH(tabCustoUnit[[#Headers],[ANO DA CCT]],tabParametros[#Headers],0),0)</f>
        <v>45658</v>
      </c>
      <c r="CA154" s="25" t="str">
        <f>VLOOKUP(tabCustoUnit[[#This Row],[Código do Posto]],tabParametros[],MATCH(tabCustoUnit[[#Headers],[Nº DE PEDIDO DA CCT]],tabParametros[#Headers],0),0)</f>
        <v>-</v>
      </c>
      <c r="CB154" s="25" t="str">
        <f>VLOOKUP(tabCustoUnit[[#This Row],[Código do Posto]],tabParametros[],MATCH(tabCustoUnit[[#Headers],[TERMO ADITIVO ALTERAÇÃO DA CCT]],tabParametros[#Headers],0),0)</f>
        <v>-</v>
      </c>
    </row>
    <row r="155" spans="1:80">
      <c r="A155" s="20" t="s">
        <v>1607</v>
      </c>
      <c r="B155" t="s">
        <v>1139</v>
      </c>
      <c r="C155" t="s">
        <v>314</v>
      </c>
      <c r="D155" t="s">
        <v>1048</v>
      </c>
      <c r="E155" s="20" t="s">
        <v>1090</v>
      </c>
      <c r="F155" s="20" t="s">
        <v>120</v>
      </c>
      <c r="G155" s="418">
        <v>1963.4110000000001</v>
      </c>
      <c r="H155" s="418">
        <v>0</v>
      </c>
      <c r="I155" s="418">
        <v>0</v>
      </c>
      <c r="J155" s="418">
        <v>0</v>
      </c>
      <c r="K155" s="418">
        <v>0</v>
      </c>
      <c r="L155" s="418">
        <v>0</v>
      </c>
      <c r="M155" s="418">
        <v>0</v>
      </c>
      <c r="N155" s="418">
        <v>0</v>
      </c>
      <c r="O155" s="21">
        <f>SUM(tabCustoUnit[[#This Row],[Salário Base]:[Adicional de Acúmulo de função]])</f>
        <v>1963.4110000000001</v>
      </c>
      <c r="P155" s="21">
        <f>tabCustoUnit[[#This Row],[MODULO 1 - REMUNERAÇÃO ]]*SUMIFS(tabParametros[INSS],tabParametros[Código do Posto],tabCustoUnit[[#This Row],[Código do Posto]])</f>
        <v>392.68220000000002</v>
      </c>
      <c r="Q155" s="21">
        <f>tabCustoUnit[[#This Row],[MODULO 1 - REMUNERAÇÃO ]]*SUMIFS(tabParametros[SESI OU SESC],tabParametros[Código do Posto],tabCustoUnit[[#This Row],[Código do Posto]])</f>
        <v>29.451165</v>
      </c>
      <c r="R155" s="21">
        <f>tabCustoUnit[[#This Row],[MODULO 1 - REMUNERAÇÃO ]]*SUMIFS(tabParametros[SENAI OU SENAC],tabParametros[Código do Posto],tabCustoUnit[[#This Row],[Código do Posto]])</f>
        <v>19.63411</v>
      </c>
      <c r="S155" s="21">
        <f>tabCustoUnit[[#This Row],[MODULO 1 - REMUNERAÇÃO ]]*SUMIFS(tabParametros[INCRA],tabParametros[Código do Posto],tabCustoUnit[[#This Row],[Código do Posto]])</f>
        <v>3.926822</v>
      </c>
      <c r="T155" s="21">
        <f>tabCustoUnit[[#This Row],[MODULO 1 - REMUNERAÇÃO ]]*SUMIFS(tabParametros[Salário Educação],tabParametros[Código do Posto],tabCustoUnit[[#This Row],[Código do Posto]])</f>
        <v>49.085275000000003</v>
      </c>
      <c r="U155" s="21">
        <f>tabCustoUnit[[#This Row],[MODULO 1 - REMUNERAÇÃO ]]*SUMIFS(tabParametros[FGTS],tabParametros[Código do Posto],tabCustoUnit[[#This Row],[Código do Posto]])</f>
        <v>157.07288</v>
      </c>
      <c r="V155" s="21">
        <f>tabCustoUnit[[#This Row],[MODULO 1 - REMUNERAÇÃO ]]*SUMIFS(tabParametros[RAT Ajustado],tabParametros[Código do Posto],tabCustoUnit[[#This Row],[Código do Posto]])</f>
        <v>78.536439999999999</v>
      </c>
      <c r="W155" s="21">
        <f>tabCustoUnit[[#This Row],[MODULO 1 - REMUNERAÇÃO ]]*SUMIFS(tabParametros[SEBRAE],tabParametros[Código do Posto],tabCustoUnit[[#This Row],[Código do Posto]])</f>
        <v>11.780466000000001</v>
      </c>
      <c r="X155" s="21">
        <f>SUM(tabCustoUnit[[#This Row],[INSS]:[SEBRAE]])</f>
        <v>742.1693580000001</v>
      </c>
      <c r="Y155" s="21">
        <f>tabCustoUnit[[#This Row],[MODULO 1 - REMUNERAÇÃO ]]*SUMIFS(tabParametros[13º salário (titular)],tabParametros[Código do Posto],tabCustoUnit[[#This Row],[Código do Posto]])</f>
        <v>163.61758333333333</v>
      </c>
      <c r="Z155" s="21">
        <f>tabCustoUnit[[#This Row],[MODULO 1 - REMUNERAÇÃO ]]*SUMIFS(tabParametros[Férias e Adicional de Férias (titular)],tabParametros[Código do Posto],tabCustoUnit[[#This Row],[Código do Posto]])</f>
        <v>218.15677777777776</v>
      </c>
      <c r="AA155" s="21">
        <f>IFERROR((tabCustoUnit[[#This Row],[Submódulo 2.1]]/tabCustoUnit[[#This Row],[MODULO 1 - REMUNERAÇÃO ]])*SUM(tabCustoUnit[[#This Row],[13º salário (titular)]:[Férias e Adicional de Férias (titular)]]),0)</f>
        <v>144.3107085</v>
      </c>
      <c r="AB155" s="21">
        <f>SUM(tabCustoUnit[[#This Row],[13º salário (titular)]:[Incidência do Submódulo 2.1 sobre 13º Salário, Férias e Adicional de Férias]])</f>
        <v>526.08506961111107</v>
      </c>
      <c r="AC155" s="22" t="e">
        <f ca="1">_xlfn.LET(_xlpm.VT,SUMIF(tabParametros[Código do Posto],tabCustoUnit[[#This Row],[Código do Posto]],tabParametros[Vale - Transporte])*2*20,
IF((_xlpm.VT-tabCustoUnit[[#This Row],[Salário Base]]*0.06)&gt;=0,(_xlpm.VT-tabCustoUnit[[#This Row],[Salário Base]]*0.06),0)
)</f>
        <v>#NAME?</v>
      </c>
      <c r="AD155" s="22">
        <f>IF(SUMIF(tabParametros[Código do Posto],tabCustoUnit[[#This Row],[Código do Posto]],tabParametros[Vale - Alimentação])&lt;=0,0,
SUMIF(tabParametros[Código do Posto],tabCustoUnit[[#This Row],[Código do Posto]],tabParametros[Vale - Alimentação])*20-1)</f>
        <v>582</v>
      </c>
      <c r="AE155" s="22">
        <f>SUMIF(tabParametros[Código do Posto],tabCustoUnit[[#This Row],[Código do Posto]],tabParametros[Cesta Básica])</f>
        <v>0</v>
      </c>
      <c r="AF155" s="22">
        <f>SUMIF(tabParametros[Código do Posto],tabCustoUnit[[#This Row],[Código do Posto]],tabParametros[PAF])</f>
        <v>0</v>
      </c>
      <c r="AG155" s="22">
        <f>SUMIF(tabParametros[Código do Posto],tabCustoUnit[[#This Row],[Código do Posto]],tabParametros[PQM])</f>
        <v>0</v>
      </c>
      <c r="AH155" s="22">
        <f>SUMIF(tabParametros[Código do Posto],tabCustoUnit[[#This Row],[Código do Posto]],tabParametros[Abono Único e Especial])</f>
        <v>0</v>
      </c>
      <c r="AI155" s="22">
        <f>SUMIF(tabParametros[Código do Posto],tabCustoUnit[[#This Row],[Código do Posto]],tabParametros[Seguro de Vida])</f>
        <v>3.36</v>
      </c>
      <c r="AJ155" s="22">
        <f>SUMIF(tabParametros[Código do Posto],tabCustoUnit[[#This Row],[Código do Posto]],tabParametros[Despesas de Viagem])</f>
        <v>0</v>
      </c>
      <c r="AK155" s="22" t="e">
        <f ca="1">SUM(tabCustoUnit[[#This Row],[Vale - Transporte (Descontada parcela do empregado)]:[Despesas de Viagem]])</f>
        <v>#NAME?</v>
      </c>
      <c r="AL155" s="22" t="e">
        <f ca="1">tabCustoUnit[[#This Row],[Submódulo 2.1]]+tabCustoUnit[[#This Row],[Submódulo 2.2]]+tabCustoUnit[[#This Row],[Submódulo 2.3]]</f>
        <v>#NAME?</v>
      </c>
      <c r="AM155" s="22">
        <f>SUMIF(tabParametros[Código do Posto],tabCustoUnit[[#This Row],[Código do Posto]],tabParametros[Aviso Prévio Indenizado (API) e Reflexo do Aviso Prévio Indenizado])*tabCustoUnit[[#This Row],[MODULO 1 - REMUNERAÇÃO ]]</f>
        <v>13.766980408757716</v>
      </c>
      <c r="AN155" s="22">
        <f>SUMIF(tabParametros[Código do Posto],tabCustoUnit[[#This Row],[Código do Posto]],tabParametros[Incidência do FGTS sobre API e Reflexo do API])*tabCustoUnit[[#This Row],[MODULO 1 - REMUNERAÇÃO ]]</f>
        <v>1.1013584327006174</v>
      </c>
      <c r="AO155" s="22">
        <f>SUMIF(tabParametros[Código do Posto],tabCustoUnit[[#This Row],[Código do Posto]],tabParametros[Multa Rescisória do FGTS sobre o Aviso Prévio Indenizado])*tabCustoUnit[[#This Row],[MODULO 1 - REMUNERAÇÃO ]]</f>
        <v>0.44054337308024699</v>
      </c>
      <c r="AP155" s="22">
        <f>SUMIF(tabParametros[Código do Posto],tabCustoUnit[[#This Row],[Código do Posto]],tabParametros[Aviso Prévio Trabalhado - APT])*tabCustoUnit[[#This Row],[MODULO 1 - REMUNERAÇÃO ]]</f>
        <v>6.8719385000000015</v>
      </c>
      <c r="AQ155" s="22">
        <f>SUMIF(tabParametros[Código do Posto],tabCustoUnit[[#This Row],[Código do Posto]],tabParametros[Incidência dos encargos do submódulo 2.1 sobre Aviso Prévio Trabalhado])*tabCustoUnit[[#This Row],[MODULO 1 - REMUNERAÇÃO ]]</f>
        <v>2.5975927530000007</v>
      </c>
      <c r="AR155" s="22">
        <f>SUMIF(tabParametros[Código do Posto],tabCustoUnit[[#This Row],[Código do Posto]],tabParametros[Multa Rescisória do FGTS])*tabCustoUnit[[#This Row],[MODULO 1 - REMUNERAÇÃO ]]</f>
        <v>60.03674524444444</v>
      </c>
      <c r="AS155" s="22">
        <f>SUMIF(tabParametros[Código do Posto],tabCustoUnit[[#This Row],[Código do Posto]],tabParametros[Indenização Adicional (Art. 9º da Lei nº 7.238/84)])*tabCustoUnit[[#This Row],[MODULO 1 - REMUNERAÇÃO ]]</f>
        <v>1.6361758333333334</v>
      </c>
      <c r="AT155" s="22">
        <f>SUM(tabCustoUnit[[#This Row],[Aviso Prévio Indenizado (API) e Reflexo do Aviso Prévio Indenizado]:[Indenização Adicional (Art. 9º da Lei nº 7.238/84)]])</f>
        <v>86.451334545316371</v>
      </c>
      <c r="AU155" s="22">
        <f>SUMIF(tabParametros[Código do Posto],tabCustoUnit[[#This Row],[Código do Posto]],tabParametros[Ausência por Doença])*tabCustoUnit[[#This Row],[MODULO 1 - REMUNERAÇÃO ]]</f>
        <v>16.579915111111109</v>
      </c>
      <c r="AV155" s="22">
        <f>SUMIF(tabParametros[Código do Posto],tabCustoUnit[[#This Row],[Código do Posto]],tabParametros[Ausências Legais])*tabCustoUnit[[#This Row],[MODULO 1 - REMUNERAÇÃO ]]</f>
        <v>3.9813611944444443</v>
      </c>
      <c r="AW155" s="22">
        <f>SUMIF(tabParametros[Código do Posto],tabCustoUnit[[#This Row],[Código do Posto]],tabParametros[Licença Paternidade])*tabCustoUnit[[#This Row],[MODULO 1 - REMUNERAÇÃO ]]</f>
        <v>0.33541604583333334</v>
      </c>
      <c r="AX155" s="22">
        <f>SUMIF(tabParametros[Código do Posto],tabCustoUnit[[#This Row],[Código do Posto]],tabParametros[Ausência por Acidente de Trabalho])*tabCustoUnit[[#This Row],[MODULO 1 - REMUNERAÇÃO ]]</f>
        <v>0.40904395833333335</v>
      </c>
      <c r="AY155" s="22">
        <f>SUMIF(tabParametros[Código do Posto],tabCustoUnit[[#This Row],[Código do Posto]],tabParametros[Férias, Adicional de Férias e 13º  com empregada em gozo de Licença Maternidade])*tabCustoUnit[[#This Row],[MODULO 1 - REMUNERAÇÃO ]]</f>
        <v>2.5451624074074073</v>
      </c>
      <c r="AZ155" s="22">
        <f>SUMIF(tabParametros[Código do Posto],tabCustoUnit[[#This Row],[Código do Posto]],tabParametros[Incidência do Submódulo 2.1 sobre Ausências Legais])*tabCustoUnit[[#This Row],[MODULO 1 - REMUNERAÇÃO ]]</f>
        <v>9.0156397150750021</v>
      </c>
      <c r="BA155" s="22">
        <f>SUM(tabCustoUnit[[#This Row],[Ausência por Doença]:[Incidência do Submódulo 2.1 sobre Ausências Legais]])</f>
        <v>32.866538432204628</v>
      </c>
      <c r="BB155" s="22">
        <f>SUMIF(tabParametros[Código do Posto],tabCustoUnit[[#This Row],[Código do Posto]],tabParametros[Intervalo para Repouso ou Alimentação])</f>
        <v>267.73786489195959</v>
      </c>
      <c r="BC155" s="22">
        <f>tabCustoUnit[[#This Row],[Intervalo para Repouso ou Alimentação]]</f>
        <v>267.73786489195959</v>
      </c>
      <c r="BD15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5" s="22">
        <f>tabCustoUnit[[#This Row],[Suspensão Temporária do Contrato de Trabalho]]</f>
        <v>0</v>
      </c>
      <c r="BF155" s="22">
        <f>tabCustoUnit[[#This Row],[Submódulo 4.1]]+tabCustoUnit[[#This Row],[Submódulo 4.2]]+tabCustoUnit[[#This Row],[Submódulo 4.3]]</f>
        <v>300.6044033241642</v>
      </c>
      <c r="BG155" s="22">
        <f>VLOOKUP(tabCustoUnit[[#This Row],[Código do Posto]],tabParametros[],MATCH(tabCustoUnit[[#Headers],[Uniformes e EPIs]],tabParametros[#Headers],0),0)</f>
        <v>56.642978962543395</v>
      </c>
      <c r="BH155" s="22">
        <f>VLOOKUP(tabCustoUnit[[#This Row],[Código do Posto]],tabParametros[],MATCH(tabCustoUnit[[#Headers],[Materiais de Consumo]],tabParametros[#Headers],0),0)</f>
        <v>0</v>
      </c>
      <c r="BI155" s="22">
        <f>VLOOKUP(tabCustoUnit[[#This Row],[Código do Posto]],tabParametros[],MATCH(tabCustoUnit[[#Headers],[Máquinas e Equipamentos (depreciação)]],tabParametros[#Headers],0),0)</f>
        <v>0</v>
      </c>
      <c r="BJ155" s="22">
        <f>VLOOKUP(tabCustoUnit[[#This Row],[Código do Posto]],tabParametros[],MATCH(tabCustoUnit[[#Headers],[Produtos de Limpeza e Materiais de Higiene Pessoal]],tabParametros[#Headers],0),0)</f>
        <v>0</v>
      </c>
      <c r="BK155" s="22">
        <f>VLOOKUP(tabCustoUnit[[#This Row],[Código do Posto]],tabParametros[],MATCH(tabCustoUnit[[#Headers],[Outros (especificar)]],tabParametros[#Headers],0),0)</f>
        <v>0</v>
      </c>
      <c r="BL155" s="22">
        <f>SUM(tabCustoUnit[[#This Row],[Uniformes e EPIs]:[Outros (especificar)]])</f>
        <v>56.642978962543395</v>
      </c>
      <c r="BM15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5" s="22" t="e">
        <f ca="1">VLOOKUP(tabCustoUnit[[#This Row],[Código do Posto]],tabParametros[],MATCH(tabCustoUnit[[#Headers],[Custos Indiretos]],tabParametros[#Headers],0),0)</f>
        <v>#NAME?</v>
      </c>
      <c r="BO155" s="22" t="e">
        <f ca="1">VLOOKUP(tabCustoUnit[[#This Row],[Código do Posto]],tabParametros[],MATCH(tabCustoUnit[[#Headers],[Lucro]],tabParametros[#Headers],0),0)</f>
        <v>#NAME?</v>
      </c>
      <c r="BP155" s="26">
        <f>((100/((1-tabCustoUnit[[#This Row],[Resumo de Alíquotas (PIS+CONFINS+ISS)]]))-100)*VLOOKUP(tabCustoUnit[[#This Row],[Código do Posto]],tabParametros[],MATCH(tabCustoUnit[[#Headers],[COFINS]],tabParametros[#Headers],0),0))/(tabCustoUnit[[#This Row],[Resumo de Alíquotas (PIS+CONFINS+ISS)]]*100)</f>
        <v>8.7608069164265154E-2</v>
      </c>
      <c r="BQ155" s="26">
        <f>((100/((100-(tabCustoUnit[[#This Row],[Resumo de Alíquotas (PIS+CONFINS+ISS)]]*100))%)-100)*VLOOKUP(tabCustoUnit[[#This Row],[Código do Posto]],tabParametros[],MATCH(tabCustoUnit[[#Headers],[PIS]],tabParametros[#Headers],0),0))/(tabCustoUnit[[#This Row],[Resumo de Alíquotas (PIS+CONFINS+ISS)]]*100)</f>
        <v>1.9020172910662814E-2</v>
      </c>
      <c r="BR155" s="28">
        <f>VLOOKUP(tabCustoUnit[[#This Row],[Código do Posto]],tabParametros[],MATCH(tabCustoUnit[[#Headers],[ISS]],tabParametros[#Headers],0),0)</f>
        <v>0.04</v>
      </c>
      <c r="BS155" s="26">
        <f>(((100/((100-(tabCustoUnit[[#This Row],[Resumo de Alíquotas (PIS+CONFINS+ISS)]]*100))%)-100)*tabCustoUnit[[#This Row],[ISS]])/tabCustoUnit[[#This Row],[Resumo de Alíquotas (PIS+CONFINS+ISS)]])/100</f>
        <v>4.6109510086455294E-2</v>
      </c>
      <c r="BT15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55" s="138">
        <f>tabCustoUnit[[#This Row],[COFINS]]+tabCustoUnit[[#This Row],[PIS]]+tabCustoUnit[[#This Row],[ISS (Conversão Alíquota s/ fatura)]]</f>
        <v>0.15273775216138324</v>
      </c>
      <c r="BV155" s="22" t="e">
        <f ca="1">(tabCustoUnit[[#This Row],[TOTAL MÓDULOS 1+2+3+4+5]]+tabCustoUnit[[#This Row],[Custos Indiretos]]+tabCustoUnit[[#This Row],[Lucro]])*tabCustoUnit[[#This Row],[PIS + COFINS + ISS (Total Conversão  Alíquota s/ Fatura)]]</f>
        <v>#NAME?</v>
      </c>
      <c r="BW155" s="22" t="e">
        <f ca="1">tabCustoUnit[[#This Row],[Custos Indiretos]]+tabCustoUnit[[#This Row],[Lucro]]+tabCustoUnit[[#This Row],[Valor dos Tributos (ISS, PIS, CONFINS)]]</f>
        <v>#NAME?</v>
      </c>
      <c r="BX155" s="22" t="e">
        <f ca="1">tabCustoUnit[[#This Row],[TOTAL MÓDULOS 1+2+3+4+5]]+tabCustoUnit[[#This Row],[MÓDULO 6 – CUSTOS INDIRETOS, TRIBUTOS E LUCRO]]</f>
        <v>#NAME?</v>
      </c>
      <c r="BY155" s="22" t="e">
        <f ca="1">tabCustoUnit[[#This Row],[CUSTO TOTAL MENSAL]]*12</f>
        <v>#NAME?</v>
      </c>
      <c r="BZ155" s="24">
        <f>VLOOKUP(tabCustoUnit[[#This Row],[Código do Posto]],tabParametros[],MATCH(tabCustoUnit[[#Headers],[ANO DA CCT]],tabParametros[#Headers],0),0)</f>
        <v>45658</v>
      </c>
      <c r="CA155" s="25" t="str">
        <f>VLOOKUP(tabCustoUnit[[#This Row],[Código do Posto]],tabParametros[],MATCH(tabCustoUnit[[#Headers],[Nº DE PEDIDO DA CCT]],tabParametros[#Headers],0),0)</f>
        <v>-</v>
      </c>
      <c r="CB155" s="25" t="str">
        <f>VLOOKUP(tabCustoUnit[[#This Row],[Código do Posto]],tabParametros[],MATCH(tabCustoUnit[[#Headers],[TERMO ADITIVO ALTERAÇÃO DA CCT]],tabParametros[#Headers],0),0)</f>
        <v>-</v>
      </c>
    </row>
    <row r="156" spans="1:80">
      <c r="A156" s="20" t="s">
        <v>1608</v>
      </c>
      <c r="B156" t="s">
        <v>1140</v>
      </c>
      <c r="C156" t="s">
        <v>314</v>
      </c>
      <c r="D156" t="s">
        <v>968</v>
      </c>
      <c r="E156" s="20" t="s">
        <v>1090</v>
      </c>
      <c r="F156" s="20" t="s">
        <v>120</v>
      </c>
      <c r="G156" s="418">
        <v>2134.8042</v>
      </c>
      <c r="H156" s="418">
        <v>0</v>
      </c>
      <c r="I156" s="418">
        <v>0</v>
      </c>
      <c r="J156" s="418">
        <v>0</v>
      </c>
      <c r="K156" s="418">
        <v>0</v>
      </c>
      <c r="L156" s="418">
        <v>0</v>
      </c>
      <c r="M156" s="418">
        <v>0</v>
      </c>
      <c r="N156" s="418">
        <v>0</v>
      </c>
      <c r="O156" s="21">
        <f>SUM(tabCustoUnit[[#This Row],[Salário Base]:[Adicional de Acúmulo de função]])</f>
        <v>2134.8042</v>
      </c>
      <c r="P156" s="21">
        <f>tabCustoUnit[[#This Row],[MODULO 1 - REMUNERAÇÃO ]]*SUMIFS(tabParametros[INSS],tabParametros[Código do Posto],tabCustoUnit[[#This Row],[Código do Posto]])</f>
        <v>426.96084000000002</v>
      </c>
      <c r="Q156" s="21">
        <f>tabCustoUnit[[#This Row],[MODULO 1 - REMUNERAÇÃO ]]*SUMIFS(tabParametros[SESI OU SESC],tabParametros[Código do Posto],tabCustoUnit[[#This Row],[Código do Posto]])</f>
        <v>32.022063000000003</v>
      </c>
      <c r="R156" s="21">
        <f>tabCustoUnit[[#This Row],[MODULO 1 - REMUNERAÇÃO ]]*SUMIFS(tabParametros[SENAI OU SENAC],tabParametros[Código do Posto],tabCustoUnit[[#This Row],[Código do Posto]])</f>
        <v>21.348042</v>
      </c>
      <c r="S156" s="21">
        <f>tabCustoUnit[[#This Row],[MODULO 1 - REMUNERAÇÃO ]]*SUMIFS(tabParametros[INCRA],tabParametros[Código do Posto],tabCustoUnit[[#This Row],[Código do Posto]])</f>
        <v>4.2696084000000001</v>
      </c>
      <c r="T156" s="21">
        <f>tabCustoUnit[[#This Row],[MODULO 1 - REMUNERAÇÃO ]]*SUMIFS(tabParametros[Salário Educação],tabParametros[Código do Posto],tabCustoUnit[[#This Row],[Código do Posto]])</f>
        <v>53.370105000000002</v>
      </c>
      <c r="U156" s="21">
        <f>tabCustoUnit[[#This Row],[MODULO 1 - REMUNERAÇÃO ]]*SUMIFS(tabParametros[FGTS],tabParametros[Código do Posto],tabCustoUnit[[#This Row],[Código do Posto]])</f>
        <v>170.784336</v>
      </c>
      <c r="V156" s="21">
        <f>tabCustoUnit[[#This Row],[MODULO 1 - REMUNERAÇÃO ]]*SUMIFS(tabParametros[RAT Ajustado],tabParametros[Código do Posto],tabCustoUnit[[#This Row],[Código do Posto]])</f>
        <v>85.392167999999998</v>
      </c>
      <c r="W156" s="21">
        <f>tabCustoUnit[[#This Row],[MODULO 1 - REMUNERAÇÃO ]]*SUMIFS(tabParametros[SEBRAE],tabParametros[Código do Posto],tabCustoUnit[[#This Row],[Código do Posto]])</f>
        <v>12.808825200000001</v>
      </c>
      <c r="X156" s="21">
        <f>SUM(tabCustoUnit[[#This Row],[INSS]:[SEBRAE]])</f>
        <v>806.95598759999996</v>
      </c>
      <c r="Y156" s="21">
        <f>tabCustoUnit[[#This Row],[MODULO 1 - REMUNERAÇÃO ]]*SUMIFS(tabParametros[13º salário (titular)],tabParametros[Código do Posto],tabCustoUnit[[#This Row],[Código do Posto]])</f>
        <v>177.90035</v>
      </c>
      <c r="Z156" s="21">
        <f>tabCustoUnit[[#This Row],[MODULO 1 - REMUNERAÇÃO ]]*SUMIFS(tabParametros[Férias e Adicional de Férias (titular)],tabParametros[Código do Posto],tabCustoUnit[[#This Row],[Código do Posto]])</f>
        <v>237.20046666666667</v>
      </c>
      <c r="AA156" s="21">
        <f>IFERROR((tabCustoUnit[[#This Row],[Submódulo 2.1]]/tabCustoUnit[[#This Row],[MODULO 1 - REMUNERAÇÃO ]])*SUM(tabCustoUnit[[#This Row],[13º salário (titular)]:[Férias e Adicional de Férias (titular)]]),0)</f>
        <v>156.90810869999999</v>
      </c>
      <c r="AB156" s="21">
        <f>SUM(tabCustoUnit[[#This Row],[13º salário (titular)]:[Incidência do Submódulo 2.1 sobre 13º Salário, Férias e Adicional de Férias]])</f>
        <v>572.00892536666663</v>
      </c>
      <c r="AC156" s="22" t="e">
        <f ca="1">_xlfn.LET(_xlpm.VT,SUMIF(tabParametros[Código do Posto],tabCustoUnit[[#This Row],[Código do Posto]],tabParametros[Vale - Transporte])*2*20,
IF((_xlpm.VT-tabCustoUnit[[#This Row],[Salário Base]]*0.06)&gt;=0,(_xlpm.VT-tabCustoUnit[[#This Row],[Salário Base]]*0.06),0)
)</f>
        <v>#NAME?</v>
      </c>
      <c r="AD156" s="22">
        <f>IF(SUMIF(tabParametros[Código do Posto],tabCustoUnit[[#This Row],[Código do Posto]],tabParametros[Vale - Alimentação])&lt;=0,0,
SUMIF(tabParametros[Código do Posto],tabCustoUnit[[#This Row],[Código do Posto]],tabParametros[Vale - Alimentação])*20-1)</f>
        <v>582</v>
      </c>
      <c r="AE156" s="22">
        <f>SUMIF(tabParametros[Código do Posto],tabCustoUnit[[#This Row],[Código do Posto]],tabParametros[Cesta Básica])</f>
        <v>0</v>
      </c>
      <c r="AF156" s="22">
        <f>SUMIF(tabParametros[Código do Posto],tabCustoUnit[[#This Row],[Código do Posto]],tabParametros[PAF])</f>
        <v>51.86</v>
      </c>
      <c r="AG156" s="22">
        <f>SUMIF(tabParametros[Código do Posto],tabCustoUnit[[#This Row],[Código do Posto]],tabParametros[PQM])</f>
        <v>0</v>
      </c>
      <c r="AH156" s="22">
        <f>SUMIF(tabParametros[Código do Posto],tabCustoUnit[[#This Row],[Código do Posto]],tabParametros[Abono Único e Especial])</f>
        <v>0</v>
      </c>
      <c r="AI156" s="22">
        <f>SUMIF(tabParametros[Código do Posto],tabCustoUnit[[#This Row],[Código do Posto]],tabParametros[Seguro de Vida])</f>
        <v>3.36</v>
      </c>
      <c r="AJ156" s="22">
        <f>SUMIF(tabParametros[Código do Posto],tabCustoUnit[[#This Row],[Código do Posto]],tabParametros[Despesas de Viagem])</f>
        <v>0</v>
      </c>
      <c r="AK156" s="22" t="e">
        <f ca="1">SUM(tabCustoUnit[[#This Row],[Vale - Transporte (Descontada parcela do empregado)]:[Despesas de Viagem]])</f>
        <v>#NAME?</v>
      </c>
      <c r="AL156" s="22" t="e">
        <f ca="1">tabCustoUnit[[#This Row],[Submódulo 2.1]]+tabCustoUnit[[#This Row],[Submódulo 2.2]]+tabCustoUnit[[#This Row],[Submódulo 2.3]]</f>
        <v>#NAME?</v>
      </c>
      <c r="AM156" s="22">
        <f>SUMIF(tabParametros[Código do Posto],tabCustoUnit[[#This Row],[Código do Posto]],tabParametros[Aviso Prévio Indenizado (API) e Reflexo do Aviso Prévio Indenizado])*tabCustoUnit[[#This Row],[MODULO 1 - REMUNERAÇÃO ]]</f>
        <v>14.968749588310185</v>
      </c>
      <c r="AN156" s="22">
        <f>SUMIF(tabParametros[Código do Posto],tabCustoUnit[[#This Row],[Código do Posto]],tabParametros[Incidência do FGTS sobre API e Reflexo do API])*tabCustoUnit[[#This Row],[MODULO 1 - REMUNERAÇÃO ]]</f>
        <v>1.197499967064815</v>
      </c>
      <c r="AO156" s="22">
        <f>SUMIF(tabParametros[Código do Posto],tabCustoUnit[[#This Row],[Código do Posto]],tabParametros[Multa Rescisória do FGTS sobre o Aviso Prévio Indenizado])*tabCustoUnit[[#This Row],[MODULO 1 - REMUNERAÇÃO ]]</f>
        <v>0.47899998682592604</v>
      </c>
      <c r="AP156" s="22">
        <f>SUMIF(tabParametros[Código do Posto],tabCustoUnit[[#This Row],[Código do Posto]],tabParametros[Aviso Prévio Trabalhado - APT])*tabCustoUnit[[#This Row],[MODULO 1 - REMUNERAÇÃO ]]</f>
        <v>7.4718147000000013</v>
      </c>
      <c r="AQ156" s="22">
        <f>SUMIF(tabParametros[Código do Posto],tabCustoUnit[[#This Row],[Código do Posto]],tabParametros[Incidência dos encargos do submódulo 2.1 sobre Aviso Prévio Trabalhado])*tabCustoUnit[[#This Row],[MODULO 1 - REMUNERAÇÃO ]]</f>
        <v>2.8243459566000011</v>
      </c>
      <c r="AR156" s="22">
        <f>SUMIF(tabParametros[Código do Posto],tabCustoUnit[[#This Row],[Código do Posto]],tabParametros[Multa Rescisória do FGTS])*tabCustoUnit[[#This Row],[MODULO 1 - REMUNERAÇÃO ]]</f>
        <v>65.277568426666662</v>
      </c>
      <c r="AS156" s="22">
        <f>SUMIF(tabParametros[Código do Posto],tabCustoUnit[[#This Row],[Código do Posto]],tabParametros[Indenização Adicional (Art. 9º da Lei nº 7.238/84)])*tabCustoUnit[[#This Row],[MODULO 1 - REMUNERAÇÃO ]]</f>
        <v>1.7790035000000002</v>
      </c>
      <c r="AT156" s="22">
        <f>SUM(tabCustoUnit[[#This Row],[Aviso Prévio Indenizado (API) e Reflexo do Aviso Prévio Indenizado]:[Indenização Adicional (Art. 9º da Lei nº 7.238/84)]])</f>
        <v>93.997982125467587</v>
      </c>
      <c r="AU156" s="22">
        <f>SUMIF(tabParametros[Código do Posto],tabCustoUnit[[#This Row],[Código do Posto]],tabParametros[Ausência por Doença])*tabCustoUnit[[#This Row],[MODULO 1 - REMUNERAÇÃO ]]</f>
        <v>18.027235466666664</v>
      </c>
      <c r="AV156" s="22">
        <f>SUMIF(tabParametros[Código do Posto],tabCustoUnit[[#This Row],[Código do Posto]],tabParametros[Ausências Legais])*tabCustoUnit[[#This Row],[MODULO 1 - REMUNERAÇÃO ]]</f>
        <v>4.3289085166666661</v>
      </c>
      <c r="AW156" s="22">
        <f>SUMIF(tabParametros[Código do Posto],tabCustoUnit[[#This Row],[Código do Posto]],tabParametros[Licença Paternidade])*tabCustoUnit[[#This Row],[MODULO 1 - REMUNERAÇÃO ]]</f>
        <v>0.36469571750000002</v>
      </c>
      <c r="AX156" s="22">
        <f>SUMIF(tabParametros[Código do Posto],tabCustoUnit[[#This Row],[Código do Posto]],tabParametros[Ausência por Acidente de Trabalho])*tabCustoUnit[[#This Row],[MODULO 1 - REMUNERAÇÃO ]]</f>
        <v>0.44475087500000005</v>
      </c>
      <c r="AY156" s="22">
        <f>SUMIF(tabParametros[Código do Posto],tabCustoUnit[[#This Row],[Código do Posto]],tabParametros[Férias, Adicional de Férias e 13º  com empregada em gozo de Licença Maternidade])*tabCustoUnit[[#This Row],[MODULO 1 - REMUNERAÇÃO ]]</f>
        <v>2.7673387777777778</v>
      </c>
      <c r="AZ156" s="22">
        <f>SUMIF(tabParametros[Código do Posto],tabCustoUnit[[#This Row],[Código do Posto]],tabParametros[Incidência do Submódulo 2.1 sobre Ausências Legais])*tabCustoUnit[[#This Row],[MODULO 1 - REMUNERAÇÃO ]]</f>
        <v>9.8026472956650021</v>
      </c>
      <c r="BA156" s="22">
        <f>SUM(tabCustoUnit[[#This Row],[Ausência por Doença]:[Incidência do Submódulo 2.1 sobre Ausências Legais]])</f>
        <v>35.735576649276105</v>
      </c>
      <c r="BB156" s="22">
        <f>SUMIF(tabParametros[Código do Posto],tabCustoUnit[[#This Row],[Código do Posto]],tabParametros[Intervalo para Repouso ou Alimentação])</f>
        <v>291.10965839090369</v>
      </c>
      <c r="BC156" s="22">
        <f>tabCustoUnit[[#This Row],[Intervalo para Repouso ou Alimentação]]</f>
        <v>291.10965839090369</v>
      </c>
      <c r="BD15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6" s="22">
        <f>tabCustoUnit[[#This Row],[Suspensão Temporária do Contrato de Trabalho]]</f>
        <v>0</v>
      </c>
      <c r="BF156" s="22">
        <f>tabCustoUnit[[#This Row],[Submódulo 4.1]]+tabCustoUnit[[#This Row],[Submódulo 4.2]]+tabCustoUnit[[#This Row],[Submódulo 4.3]]</f>
        <v>326.84523504017977</v>
      </c>
      <c r="BG156" s="22">
        <f>VLOOKUP(tabCustoUnit[[#This Row],[Código do Posto]],tabParametros[],MATCH(tabCustoUnit[[#Headers],[Uniformes e EPIs]],tabParametros[#Headers],0),0)</f>
        <v>56.642978962543395</v>
      </c>
      <c r="BH156" s="22">
        <f>VLOOKUP(tabCustoUnit[[#This Row],[Código do Posto]],tabParametros[],MATCH(tabCustoUnit[[#Headers],[Materiais de Consumo]],tabParametros[#Headers],0),0)</f>
        <v>0</v>
      </c>
      <c r="BI156" s="22">
        <f>VLOOKUP(tabCustoUnit[[#This Row],[Código do Posto]],tabParametros[],MATCH(tabCustoUnit[[#Headers],[Máquinas e Equipamentos (depreciação)]],tabParametros[#Headers],0),0)</f>
        <v>0</v>
      </c>
      <c r="BJ156" s="22">
        <f>VLOOKUP(tabCustoUnit[[#This Row],[Código do Posto]],tabParametros[],MATCH(tabCustoUnit[[#Headers],[Produtos de Limpeza e Materiais de Higiene Pessoal]],tabParametros[#Headers],0),0)</f>
        <v>0</v>
      </c>
      <c r="BK156" s="22">
        <f>VLOOKUP(tabCustoUnit[[#This Row],[Código do Posto]],tabParametros[],MATCH(tabCustoUnit[[#Headers],[Outros (especificar)]],tabParametros[#Headers],0),0)</f>
        <v>0</v>
      </c>
      <c r="BL156" s="22">
        <f>SUM(tabCustoUnit[[#This Row],[Uniformes e EPIs]:[Outros (especificar)]])</f>
        <v>56.642978962543395</v>
      </c>
      <c r="BM15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6" s="22" t="e">
        <f ca="1">VLOOKUP(tabCustoUnit[[#This Row],[Código do Posto]],tabParametros[],MATCH(tabCustoUnit[[#Headers],[Custos Indiretos]],tabParametros[#Headers],0),0)</f>
        <v>#NAME?</v>
      </c>
      <c r="BO156" s="22" t="e">
        <f ca="1">VLOOKUP(tabCustoUnit[[#This Row],[Código do Posto]],tabParametros[],MATCH(tabCustoUnit[[#Headers],[Lucro]],tabParametros[#Headers],0),0)</f>
        <v>#NAME?</v>
      </c>
      <c r="BP156" s="26">
        <f>((100/((1-tabCustoUnit[[#This Row],[Resumo de Alíquotas (PIS+CONFINS+ISS)]]))-100)*VLOOKUP(tabCustoUnit[[#This Row],[Código do Posto]],tabParametros[],MATCH(tabCustoUnit[[#Headers],[COFINS]],tabParametros[#Headers],0),0))/(tabCustoUnit[[#This Row],[Resumo de Alíquotas (PIS+CONFINS+ISS)]]*100)</f>
        <v>8.5633802816901458E-2</v>
      </c>
      <c r="BQ156" s="26">
        <f>((100/((100-(tabCustoUnit[[#This Row],[Resumo de Alíquotas (PIS+CONFINS+ISS)]]*100))%)-100)*VLOOKUP(tabCustoUnit[[#This Row],[Código do Posto]],tabParametros[],MATCH(tabCustoUnit[[#Headers],[PIS]],tabParametros[#Headers],0),0))/(tabCustoUnit[[#This Row],[Resumo de Alíquotas (PIS+CONFINS+ISS)]]*100)</f>
        <v>1.8591549295774657E-2</v>
      </c>
      <c r="BR156" s="28">
        <f>VLOOKUP(tabCustoUnit[[#This Row],[Código do Posto]],tabParametros[],MATCH(tabCustoUnit[[#Headers],[ISS]],tabParametros[#Headers],0),0)</f>
        <v>0.02</v>
      </c>
      <c r="BS156" s="26">
        <f>(((100/((100-(tabCustoUnit[[#This Row],[Resumo de Alíquotas (PIS+CONFINS+ISS)]]*100))%)-100)*tabCustoUnit[[#This Row],[ISS]])/tabCustoUnit[[#This Row],[Resumo de Alíquotas (PIS+CONFINS+ISS)]])/100</f>
        <v>2.2535211267605645E-2</v>
      </c>
      <c r="BT15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56" s="138">
        <f>tabCustoUnit[[#This Row],[COFINS]]+tabCustoUnit[[#This Row],[PIS]]+tabCustoUnit[[#This Row],[ISS (Conversão Alíquota s/ fatura)]]</f>
        <v>0.12676056338028174</v>
      </c>
      <c r="BV156" s="22" t="e">
        <f ca="1">(tabCustoUnit[[#This Row],[TOTAL MÓDULOS 1+2+3+4+5]]+tabCustoUnit[[#This Row],[Custos Indiretos]]+tabCustoUnit[[#This Row],[Lucro]])*tabCustoUnit[[#This Row],[PIS + COFINS + ISS (Total Conversão  Alíquota s/ Fatura)]]</f>
        <v>#NAME?</v>
      </c>
      <c r="BW156" s="22" t="e">
        <f ca="1">tabCustoUnit[[#This Row],[Custos Indiretos]]+tabCustoUnit[[#This Row],[Lucro]]+tabCustoUnit[[#This Row],[Valor dos Tributos (ISS, PIS, CONFINS)]]</f>
        <v>#NAME?</v>
      </c>
      <c r="BX156" s="22" t="e">
        <f ca="1">tabCustoUnit[[#This Row],[TOTAL MÓDULOS 1+2+3+4+5]]+tabCustoUnit[[#This Row],[MÓDULO 6 – CUSTOS INDIRETOS, TRIBUTOS E LUCRO]]</f>
        <v>#NAME?</v>
      </c>
      <c r="BY156" s="22" t="e">
        <f ca="1">tabCustoUnit[[#This Row],[CUSTO TOTAL MENSAL]]*12</f>
        <v>#NAME?</v>
      </c>
      <c r="BZ156" s="24">
        <f>VLOOKUP(tabCustoUnit[[#This Row],[Código do Posto]],tabParametros[],MATCH(tabCustoUnit[[#Headers],[ANO DA CCT]],tabParametros[#Headers],0),0)</f>
        <v>45658</v>
      </c>
      <c r="CA156" s="25" t="str">
        <f>VLOOKUP(tabCustoUnit[[#This Row],[Código do Posto]],tabParametros[],MATCH(tabCustoUnit[[#Headers],[Nº DE PEDIDO DA CCT]],tabParametros[#Headers],0),0)</f>
        <v>-</v>
      </c>
      <c r="CB156" s="25" t="str">
        <f>VLOOKUP(tabCustoUnit[[#This Row],[Código do Posto]],tabParametros[],MATCH(tabCustoUnit[[#Headers],[TERMO ADITIVO ALTERAÇÃO DA CCT]],tabParametros[#Headers],0),0)</f>
        <v>-</v>
      </c>
    </row>
    <row r="157" spans="1:80">
      <c r="A157" s="20" t="s">
        <v>1474</v>
      </c>
      <c r="B157" t="s">
        <v>1141</v>
      </c>
      <c r="C157" t="s">
        <v>1367</v>
      </c>
      <c r="D157" t="s">
        <v>928</v>
      </c>
      <c r="E157" s="20" t="s">
        <v>1090</v>
      </c>
      <c r="F157" s="20" t="s">
        <v>120</v>
      </c>
      <c r="G157" s="418">
        <v>2233.5527000000002</v>
      </c>
      <c r="H157" s="418">
        <v>0</v>
      </c>
      <c r="I157" s="418">
        <v>303.60000000000002</v>
      </c>
      <c r="J157" s="418">
        <v>0</v>
      </c>
      <c r="K157" s="418">
        <v>0</v>
      </c>
      <c r="L157" s="418">
        <v>0</v>
      </c>
      <c r="M157" s="418">
        <v>0</v>
      </c>
      <c r="N157" s="418">
        <v>0</v>
      </c>
      <c r="O157" s="21">
        <f>SUM(tabCustoUnit[[#This Row],[Salário Base]:[Adicional de Acúmulo de função]])</f>
        <v>2537.1527000000001</v>
      </c>
      <c r="P157" s="21">
        <f>tabCustoUnit[[#This Row],[MODULO 1 - REMUNERAÇÃO ]]*SUMIFS(tabParametros[INSS],tabParametros[Código do Posto],tabCustoUnit[[#This Row],[Código do Posto]])</f>
        <v>507.43054000000006</v>
      </c>
      <c r="Q157" s="21">
        <f>tabCustoUnit[[#This Row],[MODULO 1 - REMUNERAÇÃO ]]*SUMIFS(tabParametros[SESI OU SESC],tabParametros[Código do Posto],tabCustoUnit[[#This Row],[Código do Posto]])</f>
        <v>38.057290500000001</v>
      </c>
      <c r="R157" s="21">
        <f>tabCustoUnit[[#This Row],[MODULO 1 - REMUNERAÇÃO ]]*SUMIFS(tabParametros[SENAI OU SENAC],tabParametros[Código do Posto],tabCustoUnit[[#This Row],[Código do Posto]])</f>
        <v>25.371527</v>
      </c>
      <c r="S157" s="21">
        <f>tabCustoUnit[[#This Row],[MODULO 1 - REMUNERAÇÃO ]]*SUMIFS(tabParametros[INCRA],tabParametros[Código do Posto],tabCustoUnit[[#This Row],[Código do Posto]])</f>
        <v>5.0743054000000001</v>
      </c>
      <c r="T157" s="21">
        <f>tabCustoUnit[[#This Row],[MODULO 1 - REMUNERAÇÃO ]]*SUMIFS(tabParametros[Salário Educação],tabParametros[Código do Posto],tabCustoUnit[[#This Row],[Código do Posto]])</f>
        <v>63.428817500000008</v>
      </c>
      <c r="U157" s="21">
        <f>tabCustoUnit[[#This Row],[MODULO 1 - REMUNERAÇÃO ]]*SUMIFS(tabParametros[FGTS],tabParametros[Código do Posto],tabCustoUnit[[#This Row],[Código do Posto]])</f>
        <v>202.972216</v>
      </c>
      <c r="V157" s="21">
        <f>tabCustoUnit[[#This Row],[MODULO 1 - REMUNERAÇÃO ]]*SUMIFS(tabParametros[RAT Ajustado],tabParametros[Código do Posto],tabCustoUnit[[#This Row],[Código do Posto]])</f>
        <v>101.486108</v>
      </c>
      <c r="W157" s="21">
        <f>tabCustoUnit[[#This Row],[MODULO 1 - REMUNERAÇÃO ]]*SUMIFS(tabParametros[SEBRAE],tabParametros[Código do Posto],tabCustoUnit[[#This Row],[Código do Posto]])</f>
        <v>15.2229162</v>
      </c>
      <c r="X157" s="21">
        <f>SUM(tabCustoUnit[[#This Row],[INSS]:[SEBRAE]])</f>
        <v>959.04372060000003</v>
      </c>
      <c r="Y157" s="21">
        <f>tabCustoUnit[[#This Row],[MODULO 1 - REMUNERAÇÃO ]]*SUMIFS(tabParametros[13º salário (titular)],tabParametros[Código do Posto],tabCustoUnit[[#This Row],[Código do Posto]])</f>
        <v>211.42939166666667</v>
      </c>
      <c r="Z157" s="21">
        <f>tabCustoUnit[[#This Row],[MODULO 1 - REMUNERAÇÃO ]]*SUMIFS(tabParametros[Férias e Adicional de Férias (titular)],tabParametros[Código do Posto],tabCustoUnit[[#This Row],[Código do Posto]])</f>
        <v>281.90585555555555</v>
      </c>
      <c r="AA157" s="21">
        <f>IFERROR((tabCustoUnit[[#This Row],[Submódulo 2.1]]/tabCustoUnit[[#This Row],[MODULO 1 - REMUNERAÇÃO ]])*SUM(tabCustoUnit[[#This Row],[13º salário (titular)]:[Férias e Adicional de Férias (titular)]]),0)</f>
        <v>186.48072345</v>
      </c>
      <c r="AB157" s="21">
        <f>SUM(tabCustoUnit[[#This Row],[13º salário (titular)]:[Incidência do Submódulo 2.1 sobre 13º Salário, Férias e Adicional de Férias]])</f>
        <v>679.81597067222219</v>
      </c>
      <c r="AC157" s="22" t="e">
        <f ca="1">_xlfn.LET(_xlpm.VT,SUMIF(tabParametros[Código do Posto],tabCustoUnit[[#This Row],[Código do Posto]],tabParametros[Vale - Transporte])*2*20,
IF((_xlpm.VT-tabCustoUnit[[#This Row],[Salário Base]]*0.06)&gt;=0,(_xlpm.VT-tabCustoUnit[[#This Row],[Salário Base]]*0.06),0)
)</f>
        <v>#NAME?</v>
      </c>
      <c r="AD157" s="22">
        <f>IF(SUMIF(tabParametros[Código do Posto],tabCustoUnit[[#This Row],[Código do Posto]],tabParametros[Vale - Alimentação])&lt;=0,0,
SUMIF(tabParametros[Código do Posto],tabCustoUnit[[#This Row],[Código do Posto]],tabParametros[Vale - Alimentação])*20-1)</f>
        <v>582</v>
      </c>
      <c r="AE157" s="22">
        <f>SUMIF(tabParametros[Código do Posto],tabCustoUnit[[#This Row],[Código do Posto]],tabParametros[Cesta Básica])</f>
        <v>0</v>
      </c>
      <c r="AF157" s="22">
        <f>SUMIF(tabParametros[Código do Posto],tabCustoUnit[[#This Row],[Código do Posto]],tabParametros[PAF])</f>
        <v>51.88</v>
      </c>
      <c r="AG157" s="22">
        <f>SUMIF(tabParametros[Código do Posto],tabCustoUnit[[#This Row],[Código do Posto]],tabParametros[PQM])</f>
        <v>0</v>
      </c>
      <c r="AH157" s="22">
        <f>SUMIF(tabParametros[Código do Posto],tabCustoUnit[[#This Row],[Código do Posto]],tabParametros[Abono Único e Especial])</f>
        <v>0</v>
      </c>
      <c r="AI157" s="22">
        <f>SUMIF(tabParametros[Código do Posto],tabCustoUnit[[#This Row],[Código do Posto]],tabParametros[Seguro de Vida])</f>
        <v>3.36</v>
      </c>
      <c r="AJ157" s="22">
        <f>SUMIF(tabParametros[Código do Posto],tabCustoUnit[[#This Row],[Código do Posto]],tabParametros[Despesas de Viagem])</f>
        <v>0</v>
      </c>
      <c r="AK157" s="22" t="e">
        <f ca="1">SUM(tabCustoUnit[[#This Row],[Vale - Transporte (Descontada parcela do empregado)]:[Despesas de Viagem]])</f>
        <v>#NAME?</v>
      </c>
      <c r="AL157" s="22" t="e">
        <f ca="1">tabCustoUnit[[#This Row],[Submódulo 2.1]]+tabCustoUnit[[#This Row],[Submódulo 2.2]]+tabCustoUnit[[#This Row],[Submódulo 2.3]]</f>
        <v>#NAME?</v>
      </c>
      <c r="AM157" s="22">
        <f>SUMIF(tabParametros[Código do Posto],tabCustoUnit[[#This Row],[Código do Posto]],tabParametros[Aviso Prévio Indenizado (API) e Reflexo do Aviso Prévio Indenizado])*tabCustoUnit[[#This Row],[MODULO 1 - REMUNERAÇÃO ]]</f>
        <v>17.789923513175154</v>
      </c>
      <c r="AN157" s="22">
        <f>SUMIF(tabParametros[Código do Posto],tabCustoUnit[[#This Row],[Código do Posto]],tabParametros[Incidência do FGTS sobre API e Reflexo do API])*tabCustoUnit[[#This Row],[MODULO 1 - REMUNERAÇÃO ]]</f>
        <v>1.4231938810540126</v>
      </c>
      <c r="AO157" s="22">
        <f>SUMIF(tabParametros[Código do Posto],tabCustoUnit[[#This Row],[Código do Posto]],tabParametros[Multa Rescisória do FGTS sobre o Aviso Prévio Indenizado])*tabCustoUnit[[#This Row],[MODULO 1 - REMUNERAÇÃO ]]</f>
        <v>0.56927755242160505</v>
      </c>
      <c r="AP157" s="22">
        <f>SUMIF(tabParametros[Código do Posto],tabCustoUnit[[#This Row],[Código do Posto]],tabParametros[Aviso Prévio Trabalhado - APT])*tabCustoUnit[[#This Row],[MODULO 1 - REMUNERAÇÃO ]]</f>
        <v>8.8800344500000019</v>
      </c>
      <c r="AQ157" s="22">
        <f>SUMIF(tabParametros[Código do Posto],tabCustoUnit[[#This Row],[Código do Posto]],tabParametros[Incidência dos encargos do submódulo 2.1 sobre Aviso Prévio Trabalhado])*tabCustoUnit[[#This Row],[MODULO 1 - REMUNERAÇÃO ]]</f>
        <v>3.356653022100001</v>
      </c>
      <c r="AR157" s="22">
        <f>SUMIF(tabParametros[Código do Posto],tabCustoUnit[[#This Row],[Código do Posto]],tabParametros[Multa Rescisória do FGTS])*tabCustoUnit[[#This Row],[MODULO 1 - REMUNERAÇÃO ]]</f>
        <v>77.580491448888878</v>
      </c>
      <c r="AS157" s="22">
        <f>SUMIF(tabParametros[Código do Posto],tabCustoUnit[[#This Row],[Código do Posto]],tabParametros[Indenização Adicional (Art. 9º da Lei nº 7.238/84)])*tabCustoUnit[[#This Row],[MODULO 1 - REMUNERAÇÃO ]]</f>
        <v>2.114293916666667</v>
      </c>
      <c r="AT157" s="22">
        <f>SUM(tabCustoUnit[[#This Row],[Aviso Prévio Indenizado (API) e Reflexo do Aviso Prévio Indenizado]:[Indenização Adicional (Art. 9º da Lei nº 7.238/84)]])</f>
        <v>111.71386778430632</v>
      </c>
      <c r="AU157" s="22">
        <f>SUMIF(tabParametros[Código do Posto],tabCustoUnit[[#This Row],[Código do Posto]],tabParametros[Ausência por Doença])*tabCustoUnit[[#This Row],[MODULO 1 - REMUNERAÇÃO ]]</f>
        <v>21.424845022222222</v>
      </c>
      <c r="AV157" s="22">
        <f>SUMIF(tabParametros[Código do Posto],tabCustoUnit[[#This Row],[Código do Posto]],tabParametros[Ausências Legais])*tabCustoUnit[[#This Row],[MODULO 1 - REMUNERAÇÃO ]]</f>
        <v>5.1447818638888885</v>
      </c>
      <c r="AW157" s="22">
        <f>SUMIF(tabParametros[Código do Posto],tabCustoUnit[[#This Row],[Código do Posto]],tabParametros[Licença Paternidade])*tabCustoUnit[[#This Row],[MODULO 1 - REMUNERAÇÃO ]]</f>
        <v>0.43343025291666665</v>
      </c>
      <c r="AX157" s="22">
        <f>SUMIF(tabParametros[Código do Posto],tabCustoUnit[[#This Row],[Código do Posto]],tabParametros[Ausência por Acidente de Trabalho])*tabCustoUnit[[#This Row],[MODULO 1 - REMUNERAÇÃO ]]</f>
        <v>0.52857347916666675</v>
      </c>
      <c r="AY157" s="22">
        <f>SUMIF(tabParametros[Código do Posto],tabCustoUnit[[#This Row],[Código do Posto]],tabParametros[Férias, Adicional de Férias e 13º  com empregada em gozo de Licença Maternidade])*tabCustoUnit[[#This Row],[MODULO 1 - REMUNERAÇÃO ]]</f>
        <v>3.2889016481481481</v>
      </c>
      <c r="AZ157" s="22">
        <f>SUMIF(tabParametros[Código do Posto],tabCustoUnit[[#This Row],[Código do Posto]],tabParametros[Incidência do Submódulo 2.1 sobre Ausências Legais])*tabCustoUnit[[#This Row],[MODULO 1 - REMUNERAÇÃO ]]</f>
        <v>11.650161196677502</v>
      </c>
      <c r="BA157" s="22">
        <f>SUM(tabCustoUnit[[#This Row],[Ausência por Doença]:[Incidência do Submódulo 2.1 sobre Ausências Legais]])</f>
        <v>42.470693463020091</v>
      </c>
      <c r="BB157" s="22">
        <f>SUMIF(tabParametros[Código do Posto],tabCustoUnit[[#This Row],[Código do Posto]],tabParametros[Intervalo para Repouso ou Alimentação])</f>
        <v>0</v>
      </c>
      <c r="BC157" s="22">
        <f>tabCustoUnit[[#This Row],[Intervalo para Repouso ou Alimentação]]</f>
        <v>0</v>
      </c>
      <c r="BD15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7" s="22">
        <f>tabCustoUnit[[#This Row],[Suspensão Temporária do Contrato de Trabalho]]</f>
        <v>0</v>
      </c>
      <c r="BF157" s="22">
        <f>tabCustoUnit[[#This Row],[Submódulo 4.1]]+tabCustoUnit[[#This Row],[Submódulo 4.2]]+tabCustoUnit[[#This Row],[Submódulo 4.3]]</f>
        <v>42.470693463020091</v>
      </c>
      <c r="BG157" s="22">
        <f>VLOOKUP(tabCustoUnit[[#This Row],[Código do Posto]],tabParametros[],MATCH(tabCustoUnit[[#Headers],[Uniformes e EPIs]],tabParametros[#Headers],0),0)</f>
        <v>253.83572732312174</v>
      </c>
      <c r="BH157" s="22">
        <f>VLOOKUP(tabCustoUnit[[#This Row],[Código do Posto]],tabParametros[],MATCH(tabCustoUnit[[#Headers],[Materiais de Consumo]],tabParametros[#Headers],0),0)</f>
        <v>441.81099462365592</v>
      </c>
      <c r="BI157" s="22">
        <f>VLOOKUP(tabCustoUnit[[#This Row],[Código do Posto]],tabParametros[],MATCH(tabCustoUnit[[#Headers],[Máquinas e Equipamentos (depreciação)]],tabParametros[#Headers],0),0)</f>
        <v>113.11309677419354</v>
      </c>
      <c r="BJ157" s="22">
        <f>VLOOKUP(tabCustoUnit[[#This Row],[Código do Posto]],tabParametros[],MATCH(tabCustoUnit[[#Headers],[Produtos de Limpeza e Materiais de Higiene Pessoal]],tabParametros[#Headers],0),0)</f>
        <v>0</v>
      </c>
      <c r="BK157" s="22">
        <f>VLOOKUP(tabCustoUnit[[#This Row],[Código do Posto]],tabParametros[],MATCH(tabCustoUnit[[#Headers],[Outros (especificar)]],tabParametros[#Headers],0),0)</f>
        <v>0</v>
      </c>
      <c r="BL157" s="22">
        <f>SUM(tabCustoUnit[[#This Row],[Uniformes e EPIs]:[Outros (especificar)]])</f>
        <v>808.75981872097123</v>
      </c>
      <c r="BM15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7" s="22" t="e">
        <f ca="1">VLOOKUP(tabCustoUnit[[#This Row],[Código do Posto]],tabParametros[],MATCH(tabCustoUnit[[#Headers],[Custos Indiretos]],tabParametros[#Headers],0),0)</f>
        <v>#NAME?</v>
      </c>
      <c r="BO157" s="22" t="e">
        <f ca="1">VLOOKUP(tabCustoUnit[[#This Row],[Código do Posto]],tabParametros[],MATCH(tabCustoUnit[[#Headers],[Lucro]],tabParametros[#Headers],0),0)</f>
        <v>#NAME?</v>
      </c>
      <c r="BP157" s="26">
        <f>((100/((1-tabCustoUnit[[#This Row],[Resumo de Alíquotas (PIS+CONFINS+ISS)]]))-100)*VLOOKUP(tabCustoUnit[[#This Row],[Código do Posto]],tabParametros[],MATCH(tabCustoUnit[[#Headers],[COFINS]],tabParametros[#Headers],0),0))/(tabCustoUnit[[#This Row],[Resumo de Alíquotas (PIS+CONFINS+ISS)]]*100)</f>
        <v>8.8629737609329504E-2</v>
      </c>
      <c r="BQ157" s="26">
        <f>((100/((100-(tabCustoUnit[[#This Row],[Resumo de Alíquotas (PIS+CONFINS+ISS)]]*100))%)-100)*VLOOKUP(tabCustoUnit[[#This Row],[Código do Posto]],tabParametros[],MATCH(tabCustoUnit[[#Headers],[PIS]],tabParametros[#Headers],0),0))/(tabCustoUnit[[#This Row],[Resumo de Alíquotas (PIS+CONFINS+ISS)]]*100)</f>
        <v>1.9241982507288629E-2</v>
      </c>
      <c r="BR157" s="28">
        <f>VLOOKUP(tabCustoUnit[[#This Row],[Código do Posto]],tabParametros[],MATCH(tabCustoUnit[[#Headers],[ISS]],tabParametros[#Headers],0),0)</f>
        <v>0.05</v>
      </c>
      <c r="BS157" s="26">
        <f>(((100/((100-(tabCustoUnit[[#This Row],[Resumo de Alíquotas (PIS+CONFINS+ISS)]]*100))%)-100)*tabCustoUnit[[#This Row],[ISS]])/tabCustoUnit[[#This Row],[Resumo de Alíquotas (PIS+CONFINS+ISS)]])/100</f>
        <v>5.8309037900874633E-2</v>
      </c>
      <c r="BT15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57" s="138">
        <f>tabCustoUnit[[#This Row],[COFINS]]+tabCustoUnit[[#This Row],[PIS]]+tabCustoUnit[[#This Row],[ISS (Conversão Alíquota s/ fatura)]]</f>
        <v>0.16618075801749277</v>
      </c>
      <c r="BV157" s="22" t="e">
        <f ca="1">(tabCustoUnit[[#This Row],[TOTAL MÓDULOS 1+2+3+4+5]]+tabCustoUnit[[#This Row],[Custos Indiretos]]+tabCustoUnit[[#This Row],[Lucro]])*tabCustoUnit[[#This Row],[PIS + COFINS + ISS (Total Conversão  Alíquota s/ Fatura)]]</f>
        <v>#NAME?</v>
      </c>
      <c r="BW157" s="22" t="e">
        <f ca="1">tabCustoUnit[[#This Row],[Custos Indiretos]]+tabCustoUnit[[#This Row],[Lucro]]+tabCustoUnit[[#This Row],[Valor dos Tributos (ISS, PIS, CONFINS)]]</f>
        <v>#NAME?</v>
      </c>
      <c r="BX157" s="22" t="e">
        <f ca="1">tabCustoUnit[[#This Row],[TOTAL MÓDULOS 1+2+3+4+5]]+tabCustoUnit[[#This Row],[MÓDULO 6 – CUSTOS INDIRETOS, TRIBUTOS E LUCRO]]</f>
        <v>#NAME?</v>
      </c>
      <c r="BY157" s="22" t="e">
        <f ca="1">tabCustoUnit[[#This Row],[CUSTO TOTAL MENSAL]]*12</f>
        <v>#NAME?</v>
      </c>
      <c r="BZ157" s="24">
        <f>VLOOKUP(tabCustoUnit[[#This Row],[Código do Posto]],tabParametros[],MATCH(tabCustoUnit[[#Headers],[ANO DA CCT]],tabParametros[#Headers],0),0)</f>
        <v>45658</v>
      </c>
      <c r="CA157" s="25" t="str">
        <f>VLOOKUP(tabCustoUnit[[#This Row],[Código do Posto]],tabParametros[],MATCH(tabCustoUnit[[#Headers],[Nº DE PEDIDO DA CCT]],tabParametros[#Headers],0),0)</f>
        <v>-</v>
      </c>
      <c r="CB157" s="25" t="str">
        <f>VLOOKUP(tabCustoUnit[[#This Row],[Código do Posto]],tabParametros[],MATCH(tabCustoUnit[[#Headers],[TERMO ADITIVO ALTERAÇÃO DA CCT]],tabParametros[#Headers],0),0)</f>
        <v>-</v>
      </c>
    </row>
    <row r="158" spans="1:80">
      <c r="A158" s="20" t="s">
        <v>1609</v>
      </c>
      <c r="B158" t="s">
        <v>1141</v>
      </c>
      <c r="C158" t="s">
        <v>1368</v>
      </c>
      <c r="D158" t="s">
        <v>928</v>
      </c>
      <c r="E158" s="20" t="s">
        <v>1090</v>
      </c>
      <c r="F158" s="20" t="s">
        <v>120</v>
      </c>
      <c r="G158" s="418">
        <v>2456.9079999999999</v>
      </c>
      <c r="H158" s="418">
        <v>0</v>
      </c>
      <c r="I158" s="418">
        <v>303.60000000000002</v>
      </c>
      <c r="J158" s="418">
        <v>0</v>
      </c>
      <c r="K158" s="418">
        <v>0</v>
      </c>
      <c r="L158" s="418">
        <v>0</v>
      </c>
      <c r="M158" s="418">
        <v>0</v>
      </c>
      <c r="N158" s="418">
        <v>0</v>
      </c>
      <c r="O158" s="21">
        <f>SUM(tabCustoUnit[[#This Row],[Salário Base]:[Adicional de Acúmulo de função]])</f>
        <v>2760.5079999999998</v>
      </c>
      <c r="P158" s="21">
        <f>tabCustoUnit[[#This Row],[MODULO 1 - REMUNERAÇÃO ]]*SUMIFS(tabParametros[INSS],tabParametros[Código do Posto],tabCustoUnit[[#This Row],[Código do Posto]])</f>
        <v>552.10159999999996</v>
      </c>
      <c r="Q158" s="21">
        <f>tabCustoUnit[[#This Row],[MODULO 1 - REMUNERAÇÃO ]]*SUMIFS(tabParametros[SESI OU SESC],tabParametros[Código do Posto],tabCustoUnit[[#This Row],[Código do Posto]])</f>
        <v>41.407619999999994</v>
      </c>
      <c r="R158" s="21">
        <f>tabCustoUnit[[#This Row],[MODULO 1 - REMUNERAÇÃO ]]*SUMIFS(tabParametros[SENAI OU SENAC],tabParametros[Código do Posto],tabCustoUnit[[#This Row],[Código do Posto]])</f>
        <v>27.605079999999997</v>
      </c>
      <c r="S158" s="21">
        <f>tabCustoUnit[[#This Row],[MODULO 1 - REMUNERAÇÃO ]]*SUMIFS(tabParametros[INCRA],tabParametros[Código do Posto],tabCustoUnit[[#This Row],[Código do Posto]])</f>
        <v>5.5210159999999995</v>
      </c>
      <c r="T158" s="21">
        <f>tabCustoUnit[[#This Row],[MODULO 1 - REMUNERAÇÃO ]]*SUMIFS(tabParametros[Salário Educação],tabParametros[Código do Posto],tabCustoUnit[[#This Row],[Código do Posto]])</f>
        <v>69.012699999999995</v>
      </c>
      <c r="U158" s="21">
        <f>tabCustoUnit[[#This Row],[MODULO 1 - REMUNERAÇÃO ]]*SUMIFS(tabParametros[FGTS],tabParametros[Código do Posto],tabCustoUnit[[#This Row],[Código do Posto]])</f>
        <v>220.84063999999998</v>
      </c>
      <c r="V158" s="21">
        <f>tabCustoUnit[[#This Row],[MODULO 1 - REMUNERAÇÃO ]]*SUMIFS(tabParametros[RAT Ajustado],tabParametros[Código do Posto],tabCustoUnit[[#This Row],[Código do Posto]])</f>
        <v>110.42031999999999</v>
      </c>
      <c r="W158" s="21">
        <f>tabCustoUnit[[#This Row],[MODULO 1 - REMUNERAÇÃO ]]*SUMIFS(tabParametros[SEBRAE],tabParametros[Código do Posto],tabCustoUnit[[#This Row],[Código do Posto]])</f>
        <v>16.563047999999998</v>
      </c>
      <c r="X158" s="21">
        <f>SUM(tabCustoUnit[[#This Row],[INSS]:[SEBRAE]])</f>
        <v>1043.4720239999999</v>
      </c>
      <c r="Y158" s="21">
        <f>tabCustoUnit[[#This Row],[MODULO 1 - REMUNERAÇÃO ]]*SUMIFS(tabParametros[13º salário (titular)],tabParametros[Código do Posto],tabCustoUnit[[#This Row],[Código do Posto]])</f>
        <v>230.04233333333332</v>
      </c>
      <c r="Z158" s="21">
        <f>tabCustoUnit[[#This Row],[MODULO 1 - REMUNERAÇÃO ]]*SUMIFS(tabParametros[Férias e Adicional de Férias (titular)],tabParametros[Código do Posto],tabCustoUnit[[#This Row],[Código do Posto]])</f>
        <v>306.72311111111105</v>
      </c>
      <c r="AA158" s="21">
        <f>IFERROR((tabCustoUnit[[#This Row],[Submódulo 2.1]]/tabCustoUnit[[#This Row],[MODULO 1 - REMUNERAÇÃO ]])*SUM(tabCustoUnit[[#This Row],[13º salário (titular)]:[Férias e Adicional de Férias (titular)]]),0)</f>
        <v>202.89733799999996</v>
      </c>
      <c r="AB158" s="21">
        <f>SUM(tabCustoUnit[[#This Row],[13º salário (titular)]:[Incidência do Submódulo 2.1 sobre 13º Salário, Férias e Adicional de Férias]])</f>
        <v>739.66278244444436</v>
      </c>
      <c r="AC158" s="22" t="e">
        <f ca="1">_xlfn.LET(_xlpm.VT,SUMIF(tabParametros[Código do Posto],tabCustoUnit[[#This Row],[Código do Posto]],tabParametros[Vale - Transporte])*2*20,
IF((_xlpm.VT-tabCustoUnit[[#This Row],[Salário Base]]*0.06)&gt;=0,(_xlpm.VT-tabCustoUnit[[#This Row],[Salário Base]]*0.06),0)
)</f>
        <v>#NAME?</v>
      </c>
      <c r="AD158" s="22">
        <f>IF(SUMIF(tabParametros[Código do Posto],tabCustoUnit[[#This Row],[Código do Posto]],tabParametros[Vale - Alimentação])&lt;=0,0,
SUMIF(tabParametros[Código do Posto],tabCustoUnit[[#This Row],[Código do Posto]],tabParametros[Vale - Alimentação])*20-1)</f>
        <v>582</v>
      </c>
      <c r="AE158" s="22">
        <f>SUMIF(tabParametros[Código do Posto],tabCustoUnit[[#This Row],[Código do Posto]],tabParametros[Cesta Básica])</f>
        <v>0</v>
      </c>
      <c r="AF158" s="22">
        <f>SUMIF(tabParametros[Código do Posto],tabCustoUnit[[#This Row],[Código do Posto]],tabParametros[PAF])</f>
        <v>51.88</v>
      </c>
      <c r="AG158" s="22">
        <f>SUMIF(tabParametros[Código do Posto],tabCustoUnit[[#This Row],[Código do Posto]],tabParametros[PQM])</f>
        <v>0</v>
      </c>
      <c r="AH158" s="22">
        <f>SUMIF(tabParametros[Código do Posto],tabCustoUnit[[#This Row],[Código do Posto]],tabParametros[Abono Único e Especial])</f>
        <v>0</v>
      </c>
      <c r="AI158" s="22">
        <f>SUMIF(tabParametros[Código do Posto],tabCustoUnit[[#This Row],[Código do Posto]],tabParametros[Seguro de Vida])</f>
        <v>3.36</v>
      </c>
      <c r="AJ158" s="22">
        <f>SUMIF(tabParametros[Código do Posto],tabCustoUnit[[#This Row],[Código do Posto]],tabParametros[Despesas de Viagem])</f>
        <v>0</v>
      </c>
      <c r="AK158" s="22" t="e">
        <f ca="1">SUM(tabCustoUnit[[#This Row],[Vale - Transporte (Descontada parcela do empregado)]:[Despesas de Viagem]])</f>
        <v>#NAME?</v>
      </c>
      <c r="AL158" s="22" t="e">
        <f ca="1">tabCustoUnit[[#This Row],[Submódulo 2.1]]+tabCustoUnit[[#This Row],[Submódulo 2.2]]+tabCustoUnit[[#This Row],[Submódulo 2.3]]</f>
        <v>#NAME?</v>
      </c>
      <c r="AM158" s="22">
        <f>SUMIF(tabParametros[Código do Posto],tabCustoUnit[[#This Row],[Código do Posto]],tabParametros[Aviso Prévio Indenizado (API) e Reflexo do Aviso Prévio Indenizado])*tabCustoUnit[[#This Row],[MODULO 1 - REMUNERAÇÃO ]]</f>
        <v>19.356038829475306</v>
      </c>
      <c r="AN158" s="22">
        <f>SUMIF(tabParametros[Código do Posto],tabCustoUnit[[#This Row],[Código do Posto]],tabParametros[Incidência do FGTS sobre API e Reflexo do API])*tabCustoUnit[[#This Row],[MODULO 1 - REMUNERAÇÃO ]]</f>
        <v>1.5484831063580247</v>
      </c>
      <c r="AO158" s="22">
        <f>SUMIF(tabParametros[Código do Posto],tabCustoUnit[[#This Row],[Código do Posto]],tabParametros[Multa Rescisória do FGTS sobre o Aviso Prévio Indenizado])*tabCustoUnit[[#This Row],[MODULO 1 - REMUNERAÇÃO ]]</f>
        <v>0.61939324254320993</v>
      </c>
      <c r="AP158" s="22">
        <f>SUMIF(tabParametros[Código do Posto],tabCustoUnit[[#This Row],[Código do Posto]],tabParametros[Aviso Prévio Trabalhado - APT])*tabCustoUnit[[#This Row],[MODULO 1 - REMUNERAÇÃO ]]</f>
        <v>9.661778</v>
      </c>
      <c r="AQ158" s="22">
        <f>SUMIF(tabParametros[Código do Posto],tabCustoUnit[[#This Row],[Código do Posto]],tabParametros[Incidência dos encargos do submódulo 2.1 sobre Aviso Prévio Trabalhado])*tabCustoUnit[[#This Row],[MODULO 1 - REMUNERAÇÃO ]]</f>
        <v>3.6521520840000008</v>
      </c>
      <c r="AR158" s="22">
        <f>SUMIF(tabParametros[Código do Posto],tabCustoUnit[[#This Row],[Código do Posto]],tabParametros[Multa Rescisória do FGTS])*tabCustoUnit[[#This Row],[MODULO 1 - REMUNERAÇÃO ]]</f>
        <v>84.410200177777753</v>
      </c>
      <c r="AS158" s="22">
        <f>SUMIF(tabParametros[Código do Posto],tabCustoUnit[[#This Row],[Código do Posto]],tabParametros[Indenização Adicional (Art. 9º da Lei nº 7.238/84)])*tabCustoUnit[[#This Row],[MODULO 1 - REMUNERAÇÃO ]]</f>
        <v>2.3004233333333333</v>
      </c>
      <c r="AT158" s="22">
        <f>SUM(tabCustoUnit[[#This Row],[Aviso Prévio Indenizado (API) e Reflexo do Aviso Prévio Indenizado]:[Indenização Adicional (Art. 9º da Lei nº 7.238/84)]])</f>
        <v>121.54846877348763</v>
      </c>
      <c r="AU158" s="22">
        <f>SUMIF(tabParametros[Código do Posto],tabCustoUnit[[#This Row],[Código do Posto]],tabParametros[Ausência por Doença])*tabCustoUnit[[#This Row],[MODULO 1 - REMUNERAÇÃO ]]</f>
        <v>23.310956444444439</v>
      </c>
      <c r="AV158" s="22">
        <f>SUMIF(tabParametros[Código do Posto],tabCustoUnit[[#This Row],[Código do Posto]],tabParametros[Ausências Legais])*tabCustoUnit[[#This Row],[MODULO 1 - REMUNERAÇÃO ]]</f>
        <v>5.5976967777777773</v>
      </c>
      <c r="AW158" s="22">
        <f>SUMIF(tabParametros[Código do Posto],tabCustoUnit[[#This Row],[Código do Posto]],tabParametros[Licença Paternidade])*tabCustoUnit[[#This Row],[MODULO 1 - REMUNERAÇÃO ]]</f>
        <v>0.47158678333333331</v>
      </c>
      <c r="AX158" s="22">
        <f>SUMIF(tabParametros[Código do Posto],tabCustoUnit[[#This Row],[Código do Posto]],tabParametros[Ausência por Acidente de Trabalho])*tabCustoUnit[[#This Row],[MODULO 1 - REMUNERAÇÃO ]]</f>
        <v>0.57510583333333332</v>
      </c>
      <c r="AY158" s="22">
        <f>SUMIF(tabParametros[Código do Posto],tabCustoUnit[[#This Row],[Código do Posto]],tabParametros[Férias, Adicional de Férias e 13º  com empregada em gozo de Licença Maternidade])*tabCustoUnit[[#This Row],[MODULO 1 - REMUNERAÇÃO ]]</f>
        <v>3.5784362962962959</v>
      </c>
      <c r="AZ158" s="22">
        <f>SUMIF(tabParametros[Código do Posto],tabCustoUnit[[#This Row],[Código do Posto]],tabParametros[Incidência do Submódulo 2.1 sobre Ausências Legais])*tabCustoUnit[[#This Row],[MODULO 1 - REMUNERAÇÃO ]]</f>
        <v>12.675769647100001</v>
      </c>
      <c r="BA158" s="22">
        <f>SUM(tabCustoUnit[[#This Row],[Ausência por Doença]:[Incidência do Submódulo 2.1 sobre Ausências Legais]])</f>
        <v>46.209551782285175</v>
      </c>
      <c r="BB158" s="22">
        <f>SUMIF(tabParametros[Código do Posto],tabCustoUnit[[#This Row],[Código do Posto]],tabParametros[Intervalo para Repouso ou Alimentação])</f>
        <v>0</v>
      </c>
      <c r="BC158" s="22">
        <f>tabCustoUnit[[#This Row],[Intervalo para Repouso ou Alimentação]]</f>
        <v>0</v>
      </c>
      <c r="BD15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8" s="22">
        <f>tabCustoUnit[[#This Row],[Suspensão Temporária do Contrato de Trabalho]]</f>
        <v>0</v>
      </c>
      <c r="BF158" s="22">
        <f>tabCustoUnit[[#This Row],[Submódulo 4.1]]+tabCustoUnit[[#This Row],[Submódulo 4.2]]+tabCustoUnit[[#This Row],[Submódulo 4.3]]</f>
        <v>46.209551782285175</v>
      </c>
      <c r="BG158" s="22">
        <f>VLOOKUP(tabCustoUnit[[#This Row],[Código do Posto]],tabParametros[],MATCH(tabCustoUnit[[#Headers],[Uniformes e EPIs]],tabParametros[#Headers],0),0)</f>
        <v>196.62072732312174</v>
      </c>
      <c r="BH158" s="22">
        <f>VLOOKUP(tabCustoUnit[[#This Row],[Código do Posto]],tabParametros[],MATCH(tabCustoUnit[[#Headers],[Materiais de Consumo]],tabParametros[#Headers],0),0)</f>
        <v>441.81099462365592</v>
      </c>
      <c r="BI158" s="22">
        <f>VLOOKUP(tabCustoUnit[[#This Row],[Código do Posto]],tabParametros[],MATCH(tabCustoUnit[[#Headers],[Máquinas e Equipamentos (depreciação)]],tabParametros[#Headers],0),0)</f>
        <v>113.11309677419354</v>
      </c>
      <c r="BJ158" s="22">
        <f>VLOOKUP(tabCustoUnit[[#This Row],[Código do Posto]],tabParametros[],MATCH(tabCustoUnit[[#Headers],[Produtos de Limpeza e Materiais de Higiene Pessoal]],tabParametros[#Headers],0),0)</f>
        <v>0</v>
      </c>
      <c r="BK158" s="22">
        <f>VLOOKUP(tabCustoUnit[[#This Row],[Código do Posto]],tabParametros[],MATCH(tabCustoUnit[[#Headers],[Outros (especificar)]],tabParametros[#Headers],0),0)</f>
        <v>0</v>
      </c>
      <c r="BL158" s="22">
        <f>SUM(tabCustoUnit[[#This Row],[Uniformes e EPIs]:[Outros (especificar)]])</f>
        <v>751.54481872097119</v>
      </c>
      <c r="BM15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8" s="22" t="e">
        <f ca="1">VLOOKUP(tabCustoUnit[[#This Row],[Código do Posto]],tabParametros[],MATCH(tabCustoUnit[[#Headers],[Custos Indiretos]],tabParametros[#Headers],0),0)</f>
        <v>#NAME?</v>
      </c>
      <c r="BO158" s="22" t="e">
        <f ca="1">VLOOKUP(tabCustoUnit[[#This Row],[Código do Posto]],tabParametros[],MATCH(tabCustoUnit[[#Headers],[Lucro]],tabParametros[#Headers],0),0)</f>
        <v>#NAME?</v>
      </c>
      <c r="BP158" s="26">
        <f>((100/((1-tabCustoUnit[[#This Row],[Resumo de Alíquotas (PIS+CONFINS+ISS)]]))-100)*VLOOKUP(tabCustoUnit[[#This Row],[Código do Posto]],tabParametros[],MATCH(tabCustoUnit[[#Headers],[COFINS]],tabParametros[#Headers],0),0))/(tabCustoUnit[[#This Row],[Resumo de Alíquotas (PIS+CONFINS+ISS)]]*100)</f>
        <v>8.8629737609329504E-2</v>
      </c>
      <c r="BQ158" s="26">
        <f>((100/((100-(tabCustoUnit[[#This Row],[Resumo de Alíquotas (PIS+CONFINS+ISS)]]*100))%)-100)*VLOOKUP(tabCustoUnit[[#This Row],[Código do Posto]],tabParametros[],MATCH(tabCustoUnit[[#Headers],[PIS]],tabParametros[#Headers],0),0))/(tabCustoUnit[[#This Row],[Resumo de Alíquotas (PIS+CONFINS+ISS)]]*100)</f>
        <v>1.9241982507288629E-2</v>
      </c>
      <c r="BR158" s="28">
        <f>VLOOKUP(tabCustoUnit[[#This Row],[Código do Posto]],tabParametros[],MATCH(tabCustoUnit[[#Headers],[ISS]],tabParametros[#Headers],0),0)</f>
        <v>0.05</v>
      </c>
      <c r="BS158" s="26">
        <f>(((100/((100-(tabCustoUnit[[#This Row],[Resumo de Alíquotas (PIS+CONFINS+ISS)]]*100))%)-100)*tabCustoUnit[[#This Row],[ISS]])/tabCustoUnit[[#This Row],[Resumo de Alíquotas (PIS+CONFINS+ISS)]])/100</f>
        <v>5.8309037900874633E-2</v>
      </c>
      <c r="BT15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58" s="138">
        <f>tabCustoUnit[[#This Row],[COFINS]]+tabCustoUnit[[#This Row],[PIS]]+tabCustoUnit[[#This Row],[ISS (Conversão Alíquota s/ fatura)]]</f>
        <v>0.16618075801749277</v>
      </c>
      <c r="BV158" s="22" t="e">
        <f ca="1">(tabCustoUnit[[#This Row],[TOTAL MÓDULOS 1+2+3+4+5]]+tabCustoUnit[[#This Row],[Custos Indiretos]]+tabCustoUnit[[#This Row],[Lucro]])*tabCustoUnit[[#This Row],[PIS + COFINS + ISS (Total Conversão  Alíquota s/ Fatura)]]</f>
        <v>#NAME?</v>
      </c>
      <c r="BW158" s="22" t="e">
        <f ca="1">tabCustoUnit[[#This Row],[Custos Indiretos]]+tabCustoUnit[[#This Row],[Lucro]]+tabCustoUnit[[#This Row],[Valor dos Tributos (ISS, PIS, CONFINS)]]</f>
        <v>#NAME?</v>
      </c>
      <c r="BX158" s="22" t="e">
        <f ca="1">tabCustoUnit[[#This Row],[TOTAL MÓDULOS 1+2+3+4+5]]+tabCustoUnit[[#This Row],[MÓDULO 6 – CUSTOS INDIRETOS, TRIBUTOS E LUCRO]]</f>
        <v>#NAME?</v>
      </c>
      <c r="BY158" s="22" t="e">
        <f ca="1">tabCustoUnit[[#This Row],[CUSTO TOTAL MENSAL]]*12</f>
        <v>#NAME?</v>
      </c>
      <c r="BZ158" s="24">
        <f>VLOOKUP(tabCustoUnit[[#This Row],[Código do Posto]],tabParametros[],MATCH(tabCustoUnit[[#Headers],[ANO DA CCT]],tabParametros[#Headers],0),0)</f>
        <v>45658</v>
      </c>
      <c r="CA158" s="25" t="str">
        <f>VLOOKUP(tabCustoUnit[[#This Row],[Código do Posto]],tabParametros[],MATCH(tabCustoUnit[[#Headers],[Nº DE PEDIDO DA CCT]],tabParametros[#Headers],0),0)</f>
        <v>-</v>
      </c>
      <c r="CB158" s="25" t="str">
        <f>VLOOKUP(tabCustoUnit[[#This Row],[Código do Posto]],tabParametros[],MATCH(tabCustoUnit[[#Headers],[TERMO ADITIVO ALTERAÇÃO DA CCT]],tabParametros[#Headers],0),0)</f>
        <v>-</v>
      </c>
    </row>
    <row r="159" spans="1:80">
      <c r="A159" s="20" t="s">
        <v>1610</v>
      </c>
      <c r="B159" t="s">
        <v>1141</v>
      </c>
      <c r="C159" t="s">
        <v>274</v>
      </c>
      <c r="D159" t="s">
        <v>992</v>
      </c>
      <c r="E159" s="20" t="s">
        <v>1090</v>
      </c>
      <c r="F159" s="20" t="s">
        <v>120</v>
      </c>
      <c r="G159" s="418">
        <v>4380.5668999999998</v>
      </c>
      <c r="H159" s="418">
        <v>0</v>
      </c>
      <c r="I159" s="418">
        <v>0</v>
      </c>
      <c r="J159" s="418">
        <v>0</v>
      </c>
      <c r="K159" s="418">
        <v>0</v>
      </c>
      <c r="L159" s="418">
        <v>0</v>
      </c>
      <c r="M159" s="418">
        <v>0</v>
      </c>
      <c r="N159" s="418">
        <v>0</v>
      </c>
      <c r="O159" s="21">
        <f>SUM(tabCustoUnit[[#This Row],[Salário Base]:[Adicional de Acúmulo de função]])</f>
        <v>4380.5668999999998</v>
      </c>
      <c r="P159" s="21">
        <f>tabCustoUnit[[#This Row],[MODULO 1 - REMUNERAÇÃO ]]*SUMIFS(tabParametros[INSS],tabParametros[Código do Posto],tabCustoUnit[[#This Row],[Código do Posto]])</f>
        <v>876.11338000000001</v>
      </c>
      <c r="Q159" s="21">
        <f>tabCustoUnit[[#This Row],[MODULO 1 - REMUNERAÇÃO ]]*SUMIFS(tabParametros[SESI OU SESC],tabParametros[Código do Posto],tabCustoUnit[[#This Row],[Código do Posto]])</f>
        <v>65.708503499999992</v>
      </c>
      <c r="R159" s="21">
        <f>tabCustoUnit[[#This Row],[MODULO 1 - REMUNERAÇÃO ]]*SUMIFS(tabParametros[SENAI OU SENAC],tabParametros[Código do Posto],tabCustoUnit[[#This Row],[Código do Posto]])</f>
        <v>43.805669000000002</v>
      </c>
      <c r="S159" s="21">
        <f>tabCustoUnit[[#This Row],[MODULO 1 - REMUNERAÇÃO ]]*SUMIFS(tabParametros[INCRA],tabParametros[Código do Posto],tabCustoUnit[[#This Row],[Código do Posto]])</f>
        <v>8.7611337999999996</v>
      </c>
      <c r="T159" s="21">
        <f>tabCustoUnit[[#This Row],[MODULO 1 - REMUNERAÇÃO ]]*SUMIFS(tabParametros[Salário Educação],tabParametros[Código do Posto],tabCustoUnit[[#This Row],[Código do Posto]])</f>
        <v>109.5141725</v>
      </c>
      <c r="U159" s="21">
        <f>tabCustoUnit[[#This Row],[MODULO 1 - REMUNERAÇÃO ]]*SUMIFS(tabParametros[FGTS],tabParametros[Código do Posto],tabCustoUnit[[#This Row],[Código do Posto]])</f>
        <v>350.44535200000001</v>
      </c>
      <c r="V159" s="21">
        <f>tabCustoUnit[[#This Row],[MODULO 1 - REMUNERAÇÃO ]]*SUMIFS(tabParametros[RAT Ajustado],tabParametros[Código do Posto],tabCustoUnit[[#This Row],[Código do Posto]])</f>
        <v>175.22267600000001</v>
      </c>
      <c r="W159" s="21">
        <f>tabCustoUnit[[#This Row],[MODULO 1 - REMUNERAÇÃO ]]*SUMIFS(tabParametros[SEBRAE],tabParametros[Código do Posto],tabCustoUnit[[#This Row],[Código do Posto]])</f>
        <v>26.283401399999999</v>
      </c>
      <c r="X159" s="21">
        <f>SUM(tabCustoUnit[[#This Row],[INSS]:[SEBRAE]])</f>
        <v>1655.8542882000002</v>
      </c>
      <c r="Y159" s="21">
        <f>tabCustoUnit[[#This Row],[MODULO 1 - REMUNERAÇÃO ]]*SUMIFS(tabParametros[13º salário (titular)],tabParametros[Código do Posto],tabCustoUnit[[#This Row],[Código do Posto]])</f>
        <v>365.04724166666665</v>
      </c>
      <c r="Z159" s="21">
        <f>tabCustoUnit[[#This Row],[MODULO 1 - REMUNERAÇÃO ]]*SUMIFS(tabParametros[Férias e Adicional de Férias (titular)],tabParametros[Código do Posto],tabCustoUnit[[#This Row],[Código do Posto]])</f>
        <v>486.7296555555555</v>
      </c>
      <c r="AA159" s="21">
        <f>IFERROR((tabCustoUnit[[#This Row],[Submódulo 2.1]]/tabCustoUnit[[#This Row],[MODULO 1 - REMUNERAÇÃO ]])*SUM(tabCustoUnit[[#This Row],[13º salário (titular)]:[Férias e Adicional de Férias (titular)]]),0)</f>
        <v>321.97166715000003</v>
      </c>
      <c r="AB159" s="21">
        <f>SUM(tabCustoUnit[[#This Row],[13º salário (titular)]:[Incidência do Submódulo 2.1 sobre 13º Salário, Férias e Adicional de Férias]])</f>
        <v>1173.7485643722221</v>
      </c>
      <c r="AC159" s="22" t="e">
        <f ca="1">_xlfn.LET(_xlpm.VT,SUMIF(tabParametros[Código do Posto],tabCustoUnit[[#This Row],[Código do Posto]],tabParametros[Vale - Transporte])*2*20,
IF((_xlpm.VT-tabCustoUnit[[#This Row],[Salário Base]]*0.06)&gt;=0,(_xlpm.VT-tabCustoUnit[[#This Row],[Salário Base]]*0.06),0)
)</f>
        <v>#NAME?</v>
      </c>
      <c r="AD159" s="22">
        <f>IF(SUMIF(tabParametros[Código do Posto],tabCustoUnit[[#This Row],[Código do Posto]],tabParametros[Vale - Alimentação])&lt;=0,0,
SUMIF(tabParametros[Código do Posto],tabCustoUnit[[#This Row],[Código do Posto]],tabParametros[Vale - Alimentação])*20-1)</f>
        <v>578.4</v>
      </c>
      <c r="AE159" s="22">
        <f>SUMIF(tabParametros[Código do Posto],tabCustoUnit[[#This Row],[Código do Posto]],tabParametros[Cesta Básica])</f>
        <v>0</v>
      </c>
      <c r="AF159" s="22">
        <f>SUMIF(tabParametros[Código do Posto],tabCustoUnit[[#This Row],[Código do Posto]],tabParametros[PAF])</f>
        <v>0</v>
      </c>
      <c r="AG159" s="22">
        <f>SUMIF(tabParametros[Código do Posto],tabCustoUnit[[#This Row],[Código do Posto]],tabParametros[PQM])</f>
        <v>0</v>
      </c>
      <c r="AH159" s="22">
        <f>SUMIF(tabParametros[Código do Posto],tabCustoUnit[[#This Row],[Código do Posto]],tabParametros[Abono Único e Especial])</f>
        <v>0</v>
      </c>
      <c r="AI159" s="22">
        <f>SUMIF(tabParametros[Código do Posto],tabCustoUnit[[#This Row],[Código do Posto]],tabParametros[Seguro de Vida])</f>
        <v>3.36</v>
      </c>
      <c r="AJ159" s="22">
        <f>SUMIF(tabParametros[Código do Posto],tabCustoUnit[[#This Row],[Código do Posto]],tabParametros[Despesas de Viagem])</f>
        <v>662.42</v>
      </c>
      <c r="AK159" s="22" t="e">
        <f ca="1">SUM(tabCustoUnit[[#This Row],[Vale - Transporte (Descontada parcela do empregado)]:[Despesas de Viagem]])</f>
        <v>#NAME?</v>
      </c>
      <c r="AL159" s="22" t="e">
        <f ca="1">tabCustoUnit[[#This Row],[Submódulo 2.1]]+tabCustoUnit[[#This Row],[Submódulo 2.2]]+tabCustoUnit[[#This Row],[Submódulo 2.3]]</f>
        <v>#NAME?</v>
      </c>
      <c r="AM159" s="22">
        <f>SUMIF(tabParametros[Código do Posto],tabCustoUnit[[#This Row],[Código do Posto]],tabParametros[Aviso Prévio Indenizado (API) e Reflexo do Aviso Prévio Indenizado])*tabCustoUnit[[#This Row],[MODULO 1 - REMUNERAÇÃO ]]</f>
        <v>30.715514322550153</v>
      </c>
      <c r="AN159" s="22">
        <f>SUMIF(tabParametros[Código do Posto],tabCustoUnit[[#This Row],[Código do Posto]],tabParametros[Incidência do FGTS sobre API e Reflexo do API])*tabCustoUnit[[#This Row],[MODULO 1 - REMUNERAÇÃO ]]</f>
        <v>2.4572411458040126</v>
      </c>
      <c r="AO159" s="22">
        <f>SUMIF(tabParametros[Código do Posto],tabCustoUnit[[#This Row],[Código do Posto]],tabParametros[Multa Rescisória do FGTS sobre o Aviso Prévio Indenizado])*tabCustoUnit[[#This Row],[MODULO 1 - REMUNERAÇÃO ]]</f>
        <v>0.9828964583216051</v>
      </c>
      <c r="AP159" s="22">
        <f>SUMIF(tabParametros[Código do Posto],tabCustoUnit[[#This Row],[Código do Posto]],tabParametros[Aviso Prévio Trabalhado - APT])*tabCustoUnit[[#This Row],[MODULO 1 - REMUNERAÇÃO ]]</f>
        <v>15.331984150000002</v>
      </c>
      <c r="AQ159" s="22">
        <f>SUMIF(tabParametros[Código do Posto],tabCustoUnit[[#This Row],[Código do Posto]],tabParametros[Incidência dos encargos do submódulo 2.1 sobre Aviso Prévio Trabalhado])*tabCustoUnit[[#This Row],[MODULO 1 - REMUNERAÇÃO ]]</f>
        <v>5.7954900087000016</v>
      </c>
      <c r="AR159" s="22">
        <f>SUMIF(tabParametros[Código do Posto],tabCustoUnit[[#This Row],[Código do Posto]],tabParametros[Multa Rescisória do FGTS])*tabCustoUnit[[#This Row],[MODULO 1 - REMUNERAÇÃO ]]</f>
        <v>133.94800120888885</v>
      </c>
      <c r="AS159" s="22">
        <f>SUMIF(tabParametros[Código do Posto],tabCustoUnit[[#This Row],[Código do Posto]],tabParametros[Indenização Adicional (Art. 9º da Lei nº 7.238/84)])*tabCustoUnit[[#This Row],[MODULO 1 - REMUNERAÇÃO ]]</f>
        <v>3.6504724166666667</v>
      </c>
      <c r="AT159" s="22">
        <f>SUM(tabCustoUnit[[#This Row],[Aviso Prévio Indenizado (API) e Reflexo do Aviso Prévio Indenizado]:[Indenização Adicional (Art. 9º da Lei nº 7.238/84)]])</f>
        <v>192.88159971093131</v>
      </c>
      <c r="AU159" s="22">
        <f>SUMIF(tabParametros[Código do Posto],tabCustoUnit[[#This Row],[Código do Posto]],tabParametros[Ausência por Doença])*tabCustoUnit[[#This Row],[MODULO 1 - REMUNERAÇÃO ]]</f>
        <v>36.991453822222219</v>
      </c>
      <c r="AV159" s="22">
        <f>SUMIF(tabParametros[Código do Posto],tabCustoUnit[[#This Row],[Código do Posto]],tabParametros[Ausências Legais])*tabCustoUnit[[#This Row],[MODULO 1 - REMUNERAÇÃO ]]</f>
        <v>8.8828162138888871</v>
      </c>
      <c r="AW159" s="22">
        <f>SUMIF(tabParametros[Código do Posto],tabCustoUnit[[#This Row],[Código do Posto]],tabParametros[Licença Paternidade])*tabCustoUnit[[#This Row],[MODULO 1 - REMUNERAÇÃO ]]</f>
        <v>0.74834684541666663</v>
      </c>
      <c r="AX159" s="22">
        <f>SUMIF(tabParametros[Código do Posto],tabCustoUnit[[#This Row],[Código do Posto]],tabParametros[Ausência por Acidente de Trabalho])*tabCustoUnit[[#This Row],[MODULO 1 - REMUNERAÇÃO ]]</f>
        <v>0.91261810416666667</v>
      </c>
      <c r="AY159" s="22">
        <f>SUMIF(tabParametros[Código do Posto],tabCustoUnit[[#This Row],[Código do Posto]],tabParametros[Férias, Adicional de Férias e 13º  com empregada em gozo de Licença Maternidade])*tabCustoUnit[[#This Row],[MODULO 1 - REMUNERAÇÃO ]]</f>
        <v>5.678512648148148</v>
      </c>
      <c r="AZ159" s="22">
        <f>SUMIF(tabParametros[Código do Posto],tabCustoUnit[[#This Row],[Código do Posto]],tabParametros[Incidência do Submódulo 2.1 sobre Ausências Legais])*tabCustoUnit[[#This Row],[MODULO 1 - REMUNERAÇÃO ]]</f>
        <v>20.114796605592502</v>
      </c>
      <c r="BA159" s="22">
        <f>SUM(tabCustoUnit[[#This Row],[Ausência por Doença]:[Incidência do Submódulo 2.1 sobre Ausências Legais]])</f>
        <v>73.328544239435104</v>
      </c>
      <c r="BB159" s="22">
        <f>SUMIF(tabParametros[Código do Posto],tabCustoUnit[[#This Row],[Código do Posto]],tabParametros[Intervalo para Repouso ou Alimentação])</f>
        <v>0</v>
      </c>
      <c r="BC159" s="22">
        <f>tabCustoUnit[[#This Row],[Intervalo para Repouso ou Alimentação]]</f>
        <v>0</v>
      </c>
      <c r="BD15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59" s="22">
        <f>tabCustoUnit[[#This Row],[Suspensão Temporária do Contrato de Trabalho]]</f>
        <v>0</v>
      </c>
      <c r="BF159" s="22">
        <f>tabCustoUnit[[#This Row],[Submódulo 4.1]]+tabCustoUnit[[#This Row],[Submódulo 4.2]]+tabCustoUnit[[#This Row],[Submódulo 4.3]]</f>
        <v>73.328544239435104</v>
      </c>
      <c r="BG159" s="22">
        <f>VLOOKUP(tabCustoUnit[[#This Row],[Código do Posto]],tabParametros[],MATCH(tabCustoUnit[[#Headers],[Uniformes e EPIs]],tabParametros[#Headers],0),0)</f>
        <v>92.100763771570698</v>
      </c>
      <c r="BH159" s="22">
        <f>VLOOKUP(tabCustoUnit[[#This Row],[Código do Posto]],tabParametros[],MATCH(tabCustoUnit[[#Headers],[Materiais de Consumo]],tabParametros[#Headers],0),0)</f>
        <v>0</v>
      </c>
      <c r="BI159" s="22">
        <f>VLOOKUP(tabCustoUnit[[#This Row],[Código do Posto]],tabParametros[],MATCH(tabCustoUnit[[#Headers],[Máquinas e Equipamentos (depreciação)]],tabParametros[#Headers],0),0)</f>
        <v>0</v>
      </c>
      <c r="BJ159" s="22">
        <f>VLOOKUP(tabCustoUnit[[#This Row],[Código do Posto]],tabParametros[],MATCH(tabCustoUnit[[#Headers],[Produtos de Limpeza e Materiais de Higiene Pessoal]],tabParametros[#Headers],0),0)</f>
        <v>0</v>
      </c>
      <c r="BK159" s="22">
        <f>VLOOKUP(tabCustoUnit[[#This Row],[Código do Posto]],tabParametros[],MATCH(tabCustoUnit[[#Headers],[Outros (especificar)]],tabParametros[#Headers],0),0)</f>
        <v>0</v>
      </c>
      <c r="BL159" s="22">
        <f>SUM(tabCustoUnit[[#This Row],[Uniformes e EPIs]:[Outros (especificar)]])</f>
        <v>92.100763771570698</v>
      </c>
      <c r="BM15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59" s="22" t="e">
        <f ca="1">VLOOKUP(tabCustoUnit[[#This Row],[Código do Posto]],tabParametros[],MATCH(tabCustoUnit[[#Headers],[Custos Indiretos]],tabParametros[#Headers],0),0)</f>
        <v>#NAME?</v>
      </c>
      <c r="BO159" s="22" t="e">
        <f ca="1">VLOOKUP(tabCustoUnit[[#This Row],[Código do Posto]],tabParametros[],MATCH(tabCustoUnit[[#Headers],[Lucro]],tabParametros[#Headers],0),0)</f>
        <v>#NAME?</v>
      </c>
      <c r="BP159" s="26">
        <f>((100/((1-tabCustoUnit[[#This Row],[Resumo de Alíquotas (PIS+CONFINS+ISS)]]))-100)*VLOOKUP(tabCustoUnit[[#This Row],[Código do Posto]],tabParametros[],MATCH(tabCustoUnit[[#Headers],[COFINS]],tabParametros[#Headers],0),0))/(tabCustoUnit[[#This Row],[Resumo de Alíquotas (PIS+CONFINS+ISS)]]*100)</f>
        <v>8.8629737609329504E-2</v>
      </c>
      <c r="BQ159" s="26">
        <f>((100/((100-(tabCustoUnit[[#This Row],[Resumo de Alíquotas (PIS+CONFINS+ISS)]]*100))%)-100)*VLOOKUP(tabCustoUnit[[#This Row],[Código do Posto]],tabParametros[],MATCH(tabCustoUnit[[#Headers],[PIS]],tabParametros[#Headers],0),0))/(tabCustoUnit[[#This Row],[Resumo de Alíquotas (PIS+CONFINS+ISS)]]*100)</f>
        <v>1.9241982507288629E-2</v>
      </c>
      <c r="BR159" s="28">
        <f>VLOOKUP(tabCustoUnit[[#This Row],[Código do Posto]],tabParametros[],MATCH(tabCustoUnit[[#Headers],[ISS]],tabParametros[#Headers],0),0)</f>
        <v>0.05</v>
      </c>
      <c r="BS159" s="26">
        <f>(((100/((100-(tabCustoUnit[[#This Row],[Resumo de Alíquotas (PIS+CONFINS+ISS)]]*100))%)-100)*tabCustoUnit[[#This Row],[ISS]])/tabCustoUnit[[#This Row],[Resumo de Alíquotas (PIS+CONFINS+ISS)]])/100</f>
        <v>5.8309037900874633E-2</v>
      </c>
      <c r="BT15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59" s="138">
        <f>tabCustoUnit[[#This Row],[COFINS]]+tabCustoUnit[[#This Row],[PIS]]+tabCustoUnit[[#This Row],[ISS (Conversão Alíquota s/ fatura)]]</f>
        <v>0.16618075801749277</v>
      </c>
      <c r="BV159" s="22" t="e">
        <f ca="1">(tabCustoUnit[[#This Row],[TOTAL MÓDULOS 1+2+3+4+5]]+tabCustoUnit[[#This Row],[Custos Indiretos]]+tabCustoUnit[[#This Row],[Lucro]])*tabCustoUnit[[#This Row],[PIS + COFINS + ISS (Total Conversão  Alíquota s/ Fatura)]]</f>
        <v>#NAME?</v>
      </c>
      <c r="BW159" s="22" t="e">
        <f ca="1">tabCustoUnit[[#This Row],[Custos Indiretos]]+tabCustoUnit[[#This Row],[Lucro]]+tabCustoUnit[[#This Row],[Valor dos Tributos (ISS, PIS, CONFINS)]]</f>
        <v>#NAME?</v>
      </c>
      <c r="BX159" s="22" t="e">
        <f ca="1">tabCustoUnit[[#This Row],[TOTAL MÓDULOS 1+2+3+4+5]]+tabCustoUnit[[#This Row],[MÓDULO 6 – CUSTOS INDIRETOS, TRIBUTOS E LUCRO]]</f>
        <v>#NAME?</v>
      </c>
      <c r="BY159" s="22" t="e">
        <f ca="1">tabCustoUnit[[#This Row],[CUSTO TOTAL MENSAL]]*12</f>
        <v>#NAME?</v>
      </c>
      <c r="BZ159" s="24">
        <f>VLOOKUP(tabCustoUnit[[#This Row],[Código do Posto]],tabParametros[],MATCH(tabCustoUnit[[#Headers],[ANO DA CCT]],tabParametros[#Headers],0),0)</f>
        <v>45658</v>
      </c>
      <c r="CA159" s="25" t="str">
        <f>VLOOKUP(tabCustoUnit[[#This Row],[Código do Posto]],tabParametros[],MATCH(tabCustoUnit[[#Headers],[Nº DE PEDIDO DA CCT]],tabParametros[#Headers],0),0)</f>
        <v>-</v>
      </c>
      <c r="CB159" s="25" t="str">
        <f>VLOOKUP(tabCustoUnit[[#This Row],[Código do Posto]],tabParametros[],MATCH(tabCustoUnit[[#Headers],[TERMO ADITIVO ALTERAÇÃO DA CCT]],tabParametros[#Headers],0),0)</f>
        <v>-</v>
      </c>
    </row>
    <row r="160" spans="1:80">
      <c r="A160" s="20" t="s">
        <v>1475</v>
      </c>
      <c r="B160" t="s">
        <v>1141</v>
      </c>
      <c r="C160" t="s">
        <v>314</v>
      </c>
      <c r="D160" t="s">
        <v>928</v>
      </c>
      <c r="E160" s="20" t="s">
        <v>1090</v>
      </c>
      <c r="F160" s="20" t="s">
        <v>120</v>
      </c>
      <c r="G160" s="418">
        <v>2134.8042</v>
      </c>
      <c r="H160" s="418">
        <v>0</v>
      </c>
      <c r="I160" s="418">
        <v>0</v>
      </c>
      <c r="J160" s="418">
        <v>0</v>
      </c>
      <c r="K160" s="418">
        <v>0</v>
      </c>
      <c r="L160" s="418">
        <v>0</v>
      </c>
      <c r="M160" s="418">
        <v>0</v>
      </c>
      <c r="N160" s="418">
        <v>0</v>
      </c>
      <c r="O160" s="21">
        <f>SUM(tabCustoUnit[[#This Row],[Salário Base]:[Adicional de Acúmulo de função]])</f>
        <v>2134.8042</v>
      </c>
      <c r="P160" s="21">
        <f>tabCustoUnit[[#This Row],[MODULO 1 - REMUNERAÇÃO ]]*SUMIFS(tabParametros[INSS],tabParametros[Código do Posto],tabCustoUnit[[#This Row],[Código do Posto]])</f>
        <v>426.96084000000002</v>
      </c>
      <c r="Q160" s="21">
        <f>tabCustoUnit[[#This Row],[MODULO 1 - REMUNERAÇÃO ]]*SUMIFS(tabParametros[SESI OU SESC],tabParametros[Código do Posto],tabCustoUnit[[#This Row],[Código do Posto]])</f>
        <v>32.022063000000003</v>
      </c>
      <c r="R160" s="21">
        <f>tabCustoUnit[[#This Row],[MODULO 1 - REMUNERAÇÃO ]]*SUMIFS(tabParametros[SENAI OU SENAC],tabParametros[Código do Posto],tabCustoUnit[[#This Row],[Código do Posto]])</f>
        <v>21.348042</v>
      </c>
      <c r="S160" s="21">
        <f>tabCustoUnit[[#This Row],[MODULO 1 - REMUNERAÇÃO ]]*SUMIFS(tabParametros[INCRA],tabParametros[Código do Posto],tabCustoUnit[[#This Row],[Código do Posto]])</f>
        <v>4.2696084000000001</v>
      </c>
      <c r="T160" s="21">
        <f>tabCustoUnit[[#This Row],[MODULO 1 - REMUNERAÇÃO ]]*SUMIFS(tabParametros[Salário Educação],tabParametros[Código do Posto],tabCustoUnit[[#This Row],[Código do Posto]])</f>
        <v>53.370105000000002</v>
      </c>
      <c r="U160" s="21">
        <f>tabCustoUnit[[#This Row],[MODULO 1 - REMUNERAÇÃO ]]*SUMIFS(tabParametros[FGTS],tabParametros[Código do Posto],tabCustoUnit[[#This Row],[Código do Posto]])</f>
        <v>170.784336</v>
      </c>
      <c r="V160" s="21">
        <f>tabCustoUnit[[#This Row],[MODULO 1 - REMUNERAÇÃO ]]*SUMIFS(tabParametros[RAT Ajustado],tabParametros[Código do Posto],tabCustoUnit[[#This Row],[Código do Posto]])</f>
        <v>85.392167999999998</v>
      </c>
      <c r="W160" s="21">
        <f>tabCustoUnit[[#This Row],[MODULO 1 - REMUNERAÇÃO ]]*SUMIFS(tabParametros[SEBRAE],tabParametros[Código do Posto],tabCustoUnit[[#This Row],[Código do Posto]])</f>
        <v>12.808825200000001</v>
      </c>
      <c r="X160" s="21">
        <f>SUM(tabCustoUnit[[#This Row],[INSS]:[SEBRAE]])</f>
        <v>806.95598759999996</v>
      </c>
      <c r="Y160" s="21">
        <f>tabCustoUnit[[#This Row],[MODULO 1 - REMUNERAÇÃO ]]*SUMIFS(tabParametros[13º salário (titular)],tabParametros[Código do Posto],tabCustoUnit[[#This Row],[Código do Posto]])</f>
        <v>177.90035</v>
      </c>
      <c r="Z160" s="21">
        <f>tabCustoUnit[[#This Row],[MODULO 1 - REMUNERAÇÃO ]]*SUMIFS(tabParametros[Férias e Adicional de Férias (titular)],tabParametros[Código do Posto],tabCustoUnit[[#This Row],[Código do Posto]])</f>
        <v>237.20046666666667</v>
      </c>
      <c r="AA160" s="21">
        <f>IFERROR((tabCustoUnit[[#This Row],[Submódulo 2.1]]/tabCustoUnit[[#This Row],[MODULO 1 - REMUNERAÇÃO ]])*SUM(tabCustoUnit[[#This Row],[13º salário (titular)]:[Férias e Adicional de Férias (titular)]]),0)</f>
        <v>156.90810869999999</v>
      </c>
      <c r="AB160" s="21">
        <f>SUM(tabCustoUnit[[#This Row],[13º salário (titular)]:[Incidência do Submódulo 2.1 sobre 13º Salário, Férias e Adicional de Férias]])</f>
        <v>572.00892536666663</v>
      </c>
      <c r="AC160" s="22" t="e">
        <f ca="1">_xlfn.LET(_xlpm.VT,SUMIF(tabParametros[Código do Posto],tabCustoUnit[[#This Row],[Código do Posto]],tabParametros[Vale - Transporte])*2*20,
IF((_xlpm.VT-tabCustoUnit[[#This Row],[Salário Base]]*0.06)&gt;=0,(_xlpm.VT-tabCustoUnit[[#This Row],[Salário Base]]*0.06),0)
)</f>
        <v>#NAME?</v>
      </c>
      <c r="AD160" s="22">
        <f>IF(SUMIF(tabParametros[Código do Posto],tabCustoUnit[[#This Row],[Código do Posto]],tabParametros[Vale - Alimentação])&lt;=0,0,
SUMIF(tabParametros[Código do Posto],tabCustoUnit[[#This Row],[Código do Posto]],tabParametros[Vale - Alimentação])*20-1)</f>
        <v>582</v>
      </c>
      <c r="AE160" s="22">
        <f>SUMIF(tabParametros[Código do Posto],tabCustoUnit[[#This Row],[Código do Posto]],tabParametros[Cesta Básica])</f>
        <v>0</v>
      </c>
      <c r="AF160" s="22">
        <f>SUMIF(tabParametros[Código do Posto],tabCustoUnit[[#This Row],[Código do Posto]],tabParametros[PAF])</f>
        <v>51.88</v>
      </c>
      <c r="AG160" s="22">
        <f>SUMIF(tabParametros[Código do Posto],tabCustoUnit[[#This Row],[Código do Posto]],tabParametros[PQM])</f>
        <v>0</v>
      </c>
      <c r="AH160" s="22">
        <f>SUMIF(tabParametros[Código do Posto],tabCustoUnit[[#This Row],[Código do Posto]],tabParametros[Abono Único e Especial])</f>
        <v>0</v>
      </c>
      <c r="AI160" s="22">
        <f>SUMIF(tabParametros[Código do Posto],tabCustoUnit[[#This Row],[Código do Posto]],tabParametros[Seguro de Vida])</f>
        <v>3.36</v>
      </c>
      <c r="AJ160" s="22">
        <f>SUMIF(tabParametros[Código do Posto],tabCustoUnit[[#This Row],[Código do Posto]],tabParametros[Despesas de Viagem])</f>
        <v>0</v>
      </c>
      <c r="AK160" s="22" t="e">
        <f ca="1">SUM(tabCustoUnit[[#This Row],[Vale - Transporte (Descontada parcela do empregado)]:[Despesas de Viagem]])</f>
        <v>#NAME?</v>
      </c>
      <c r="AL160" s="22" t="e">
        <f ca="1">tabCustoUnit[[#This Row],[Submódulo 2.1]]+tabCustoUnit[[#This Row],[Submódulo 2.2]]+tabCustoUnit[[#This Row],[Submódulo 2.3]]</f>
        <v>#NAME?</v>
      </c>
      <c r="AM160" s="22">
        <f>SUMIF(tabParametros[Código do Posto],tabCustoUnit[[#This Row],[Código do Posto]],tabParametros[Aviso Prévio Indenizado (API) e Reflexo do Aviso Prévio Indenizado])*tabCustoUnit[[#This Row],[MODULO 1 - REMUNERAÇÃO ]]</f>
        <v>14.968749588310185</v>
      </c>
      <c r="AN160" s="22">
        <f>SUMIF(tabParametros[Código do Posto],tabCustoUnit[[#This Row],[Código do Posto]],tabParametros[Incidência do FGTS sobre API e Reflexo do API])*tabCustoUnit[[#This Row],[MODULO 1 - REMUNERAÇÃO ]]</f>
        <v>1.197499967064815</v>
      </c>
      <c r="AO160" s="22">
        <f>SUMIF(tabParametros[Código do Posto],tabCustoUnit[[#This Row],[Código do Posto]],tabParametros[Multa Rescisória do FGTS sobre o Aviso Prévio Indenizado])*tabCustoUnit[[#This Row],[MODULO 1 - REMUNERAÇÃO ]]</f>
        <v>0.47899998682592604</v>
      </c>
      <c r="AP160" s="22">
        <f>SUMIF(tabParametros[Código do Posto],tabCustoUnit[[#This Row],[Código do Posto]],tabParametros[Aviso Prévio Trabalhado - APT])*tabCustoUnit[[#This Row],[MODULO 1 - REMUNERAÇÃO ]]</f>
        <v>7.4718147000000013</v>
      </c>
      <c r="AQ160" s="22">
        <f>SUMIF(tabParametros[Código do Posto],tabCustoUnit[[#This Row],[Código do Posto]],tabParametros[Incidência dos encargos do submódulo 2.1 sobre Aviso Prévio Trabalhado])*tabCustoUnit[[#This Row],[MODULO 1 - REMUNERAÇÃO ]]</f>
        <v>2.8243459566000011</v>
      </c>
      <c r="AR160" s="22">
        <f>SUMIF(tabParametros[Código do Posto],tabCustoUnit[[#This Row],[Código do Posto]],tabParametros[Multa Rescisória do FGTS])*tabCustoUnit[[#This Row],[MODULO 1 - REMUNERAÇÃO ]]</f>
        <v>65.277568426666662</v>
      </c>
      <c r="AS160" s="22">
        <f>SUMIF(tabParametros[Código do Posto],tabCustoUnit[[#This Row],[Código do Posto]],tabParametros[Indenização Adicional (Art. 9º da Lei nº 7.238/84)])*tabCustoUnit[[#This Row],[MODULO 1 - REMUNERAÇÃO ]]</f>
        <v>1.7790035000000002</v>
      </c>
      <c r="AT160" s="22">
        <f>SUM(tabCustoUnit[[#This Row],[Aviso Prévio Indenizado (API) e Reflexo do Aviso Prévio Indenizado]:[Indenização Adicional (Art. 9º da Lei nº 7.238/84)]])</f>
        <v>93.997982125467587</v>
      </c>
      <c r="AU160" s="22">
        <f>SUMIF(tabParametros[Código do Posto],tabCustoUnit[[#This Row],[Código do Posto]],tabParametros[Ausência por Doença])*tabCustoUnit[[#This Row],[MODULO 1 - REMUNERAÇÃO ]]</f>
        <v>18.027235466666664</v>
      </c>
      <c r="AV160" s="22">
        <f>SUMIF(tabParametros[Código do Posto],tabCustoUnit[[#This Row],[Código do Posto]],tabParametros[Ausências Legais])*tabCustoUnit[[#This Row],[MODULO 1 - REMUNERAÇÃO ]]</f>
        <v>4.3289085166666661</v>
      </c>
      <c r="AW160" s="22">
        <f>SUMIF(tabParametros[Código do Posto],tabCustoUnit[[#This Row],[Código do Posto]],tabParametros[Licença Paternidade])*tabCustoUnit[[#This Row],[MODULO 1 - REMUNERAÇÃO ]]</f>
        <v>0.36469571750000002</v>
      </c>
      <c r="AX160" s="22">
        <f>SUMIF(tabParametros[Código do Posto],tabCustoUnit[[#This Row],[Código do Posto]],tabParametros[Ausência por Acidente de Trabalho])*tabCustoUnit[[#This Row],[MODULO 1 - REMUNERAÇÃO ]]</f>
        <v>0.44475087500000005</v>
      </c>
      <c r="AY160" s="22">
        <f>SUMIF(tabParametros[Código do Posto],tabCustoUnit[[#This Row],[Código do Posto]],tabParametros[Férias, Adicional de Férias e 13º  com empregada em gozo de Licença Maternidade])*tabCustoUnit[[#This Row],[MODULO 1 - REMUNERAÇÃO ]]</f>
        <v>2.7673387777777778</v>
      </c>
      <c r="AZ160" s="22">
        <f>SUMIF(tabParametros[Código do Posto],tabCustoUnit[[#This Row],[Código do Posto]],tabParametros[Incidência do Submódulo 2.1 sobre Ausências Legais])*tabCustoUnit[[#This Row],[MODULO 1 - REMUNERAÇÃO ]]</f>
        <v>9.8026472956650021</v>
      </c>
      <c r="BA160" s="22">
        <f>SUM(tabCustoUnit[[#This Row],[Ausência por Doença]:[Incidência do Submódulo 2.1 sobre Ausências Legais]])</f>
        <v>35.735576649276105</v>
      </c>
      <c r="BB160" s="22">
        <f>SUMIF(tabParametros[Código do Posto],tabCustoUnit[[#This Row],[Código do Posto]],tabParametros[Intervalo para Repouso ou Alimentação])</f>
        <v>291.10965839090369</v>
      </c>
      <c r="BC160" s="22">
        <f>tabCustoUnit[[#This Row],[Intervalo para Repouso ou Alimentação]]</f>
        <v>291.10965839090369</v>
      </c>
      <c r="BD16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0" s="22">
        <f>tabCustoUnit[[#This Row],[Suspensão Temporária do Contrato de Trabalho]]</f>
        <v>0</v>
      </c>
      <c r="BF160" s="22">
        <f>tabCustoUnit[[#This Row],[Submódulo 4.1]]+tabCustoUnit[[#This Row],[Submódulo 4.2]]+tabCustoUnit[[#This Row],[Submódulo 4.3]]</f>
        <v>326.84523504017977</v>
      </c>
      <c r="BG160" s="22">
        <f>VLOOKUP(tabCustoUnit[[#This Row],[Código do Posto]],tabParametros[],MATCH(tabCustoUnit[[#Headers],[Uniformes e EPIs]],tabParametros[#Headers],0),0)</f>
        <v>56.642978962543395</v>
      </c>
      <c r="BH160" s="22">
        <f>VLOOKUP(tabCustoUnit[[#This Row],[Código do Posto]],tabParametros[],MATCH(tabCustoUnit[[#Headers],[Materiais de Consumo]],tabParametros[#Headers],0),0)</f>
        <v>0</v>
      </c>
      <c r="BI160" s="22">
        <f>VLOOKUP(tabCustoUnit[[#This Row],[Código do Posto]],tabParametros[],MATCH(tabCustoUnit[[#Headers],[Máquinas e Equipamentos (depreciação)]],tabParametros[#Headers],0),0)</f>
        <v>0</v>
      </c>
      <c r="BJ160" s="22">
        <f>VLOOKUP(tabCustoUnit[[#This Row],[Código do Posto]],tabParametros[],MATCH(tabCustoUnit[[#Headers],[Produtos de Limpeza e Materiais de Higiene Pessoal]],tabParametros[#Headers],0),0)</f>
        <v>0</v>
      </c>
      <c r="BK160" s="22">
        <f>VLOOKUP(tabCustoUnit[[#This Row],[Código do Posto]],tabParametros[],MATCH(tabCustoUnit[[#Headers],[Outros (especificar)]],tabParametros[#Headers],0),0)</f>
        <v>0</v>
      </c>
      <c r="BL160" s="22">
        <f>SUM(tabCustoUnit[[#This Row],[Uniformes e EPIs]:[Outros (especificar)]])</f>
        <v>56.642978962543395</v>
      </c>
      <c r="BM16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0" s="22" t="e">
        <f ca="1">VLOOKUP(tabCustoUnit[[#This Row],[Código do Posto]],tabParametros[],MATCH(tabCustoUnit[[#Headers],[Custos Indiretos]],tabParametros[#Headers],0),0)</f>
        <v>#NAME?</v>
      </c>
      <c r="BO160" s="22" t="e">
        <f ca="1">VLOOKUP(tabCustoUnit[[#This Row],[Código do Posto]],tabParametros[],MATCH(tabCustoUnit[[#Headers],[Lucro]],tabParametros[#Headers],0),0)</f>
        <v>#NAME?</v>
      </c>
      <c r="BP160" s="26">
        <f>((100/((1-tabCustoUnit[[#This Row],[Resumo de Alíquotas (PIS+CONFINS+ISS)]]))-100)*VLOOKUP(tabCustoUnit[[#This Row],[Código do Posto]],tabParametros[],MATCH(tabCustoUnit[[#Headers],[COFINS]],tabParametros[#Headers],0),0))/(tabCustoUnit[[#This Row],[Resumo de Alíquotas (PIS+CONFINS+ISS)]]*100)</f>
        <v>8.8629737609329504E-2</v>
      </c>
      <c r="BQ160" s="26">
        <f>((100/((100-(tabCustoUnit[[#This Row],[Resumo de Alíquotas (PIS+CONFINS+ISS)]]*100))%)-100)*VLOOKUP(tabCustoUnit[[#This Row],[Código do Posto]],tabParametros[],MATCH(tabCustoUnit[[#Headers],[PIS]],tabParametros[#Headers],0),0))/(tabCustoUnit[[#This Row],[Resumo de Alíquotas (PIS+CONFINS+ISS)]]*100)</f>
        <v>1.9241982507288629E-2</v>
      </c>
      <c r="BR160" s="28">
        <f>VLOOKUP(tabCustoUnit[[#This Row],[Código do Posto]],tabParametros[],MATCH(tabCustoUnit[[#Headers],[ISS]],tabParametros[#Headers],0),0)</f>
        <v>0.05</v>
      </c>
      <c r="BS160" s="26">
        <f>(((100/((100-(tabCustoUnit[[#This Row],[Resumo de Alíquotas (PIS+CONFINS+ISS)]]*100))%)-100)*tabCustoUnit[[#This Row],[ISS]])/tabCustoUnit[[#This Row],[Resumo de Alíquotas (PIS+CONFINS+ISS)]])/100</f>
        <v>5.8309037900874633E-2</v>
      </c>
      <c r="BT16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60" s="138">
        <f>tabCustoUnit[[#This Row],[COFINS]]+tabCustoUnit[[#This Row],[PIS]]+tabCustoUnit[[#This Row],[ISS (Conversão Alíquota s/ fatura)]]</f>
        <v>0.16618075801749277</v>
      </c>
      <c r="BV160" s="22" t="e">
        <f ca="1">(tabCustoUnit[[#This Row],[TOTAL MÓDULOS 1+2+3+4+5]]+tabCustoUnit[[#This Row],[Custos Indiretos]]+tabCustoUnit[[#This Row],[Lucro]])*tabCustoUnit[[#This Row],[PIS + COFINS + ISS (Total Conversão  Alíquota s/ Fatura)]]</f>
        <v>#NAME?</v>
      </c>
      <c r="BW160" s="22" t="e">
        <f ca="1">tabCustoUnit[[#This Row],[Custos Indiretos]]+tabCustoUnit[[#This Row],[Lucro]]+tabCustoUnit[[#This Row],[Valor dos Tributos (ISS, PIS, CONFINS)]]</f>
        <v>#NAME?</v>
      </c>
      <c r="BX160" s="22" t="e">
        <f ca="1">tabCustoUnit[[#This Row],[TOTAL MÓDULOS 1+2+3+4+5]]+tabCustoUnit[[#This Row],[MÓDULO 6 – CUSTOS INDIRETOS, TRIBUTOS E LUCRO]]</f>
        <v>#NAME?</v>
      </c>
      <c r="BY160" s="22" t="e">
        <f ca="1">tabCustoUnit[[#This Row],[CUSTO TOTAL MENSAL]]*12</f>
        <v>#NAME?</v>
      </c>
      <c r="BZ160" s="24">
        <f>VLOOKUP(tabCustoUnit[[#This Row],[Código do Posto]],tabParametros[],MATCH(tabCustoUnit[[#Headers],[ANO DA CCT]],tabParametros[#Headers],0),0)</f>
        <v>45658</v>
      </c>
      <c r="CA160" s="25" t="str">
        <f>VLOOKUP(tabCustoUnit[[#This Row],[Código do Posto]],tabParametros[],MATCH(tabCustoUnit[[#Headers],[Nº DE PEDIDO DA CCT]],tabParametros[#Headers],0),0)</f>
        <v>-</v>
      </c>
      <c r="CB160" s="25" t="str">
        <f>VLOOKUP(tabCustoUnit[[#This Row],[Código do Posto]],tabParametros[],MATCH(tabCustoUnit[[#Headers],[TERMO ADITIVO ALTERAÇÃO DA CCT]],tabParametros[#Headers],0),0)</f>
        <v>-</v>
      </c>
    </row>
    <row r="161" spans="1:80">
      <c r="A161" s="20" t="s">
        <v>1611</v>
      </c>
      <c r="B161" t="s">
        <v>1141</v>
      </c>
      <c r="C161" t="s">
        <v>324</v>
      </c>
      <c r="D161" t="s">
        <v>928</v>
      </c>
      <c r="E161" s="20" t="s">
        <v>1090</v>
      </c>
      <c r="F161" s="20" t="s">
        <v>120</v>
      </c>
      <c r="G161" s="418">
        <v>3397.1305000000002</v>
      </c>
      <c r="H161" s="418">
        <v>0</v>
      </c>
      <c r="I161" s="418">
        <v>0</v>
      </c>
      <c r="J161" s="418">
        <v>0</v>
      </c>
      <c r="K161" s="418">
        <v>0</v>
      </c>
      <c r="L161" s="418">
        <v>0</v>
      </c>
      <c r="M161" s="418">
        <v>0</v>
      </c>
      <c r="N161" s="418">
        <v>0</v>
      </c>
      <c r="O161" s="21">
        <f>SUM(tabCustoUnit[[#This Row],[Salário Base]:[Adicional de Acúmulo de função]])</f>
        <v>3397.1305000000002</v>
      </c>
      <c r="P161" s="21">
        <f>tabCustoUnit[[#This Row],[MODULO 1 - REMUNERAÇÃO ]]*SUMIFS(tabParametros[INSS],tabParametros[Código do Posto],tabCustoUnit[[#This Row],[Código do Posto]])</f>
        <v>679.42610000000013</v>
      </c>
      <c r="Q161" s="21">
        <f>tabCustoUnit[[#This Row],[MODULO 1 - REMUNERAÇÃO ]]*SUMIFS(tabParametros[SESI OU SESC],tabParametros[Código do Posto],tabCustoUnit[[#This Row],[Código do Posto]])</f>
        <v>50.956957500000001</v>
      </c>
      <c r="R161" s="21">
        <f>tabCustoUnit[[#This Row],[MODULO 1 - REMUNERAÇÃO ]]*SUMIFS(tabParametros[SENAI OU SENAC],tabParametros[Código do Posto],tabCustoUnit[[#This Row],[Código do Posto]])</f>
        <v>33.971305000000001</v>
      </c>
      <c r="S161" s="21">
        <f>tabCustoUnit[[#This Row],[MODULO 1 - REMUNERAÇÃO ]]*SUMIFS(tabParametros[INCRA],tabParametros[Código do Posto],tabCustoUnit[[#This Row],[Código do Posto]])</f>
        <v>6.7942610000000005</v>
      </c>
      <c r="T161" s="21">
        <f>tabCustoUnit[[#This Row],[MODULO 1 - REMUNERAÇÃO ]]*SUMIFS(tabParametros[Salário Educação],tabParametros[Código do Posto],tabCustoUnit[[#This Row],[Código do Posto]])</f>
        <v>84.928262500000017</v>
      </c>
      <c r="U161" s="21">
        <f>tabCustoUnit[[#This Row],[MODULO 1 - REMUNERAÇÃO ]]*SUMIFS(tabParametros[FGTS],tabParametros[Código do Posto],tabCustoUnit[[#This Row],[Código do Posto]])</f>
        <v>271.77044000000001</v>
      </c>
      <c r="V161" s="21">
        <f>tabCustoUnit[[#This Row],[MODULO 1 - REMUNERAÇÃO ]]*SUMIFS(tabParametros[RAT Ajustado],tabParametros[Código do Posto],tabCustoUnit[[#This Row],[Código do Posto]])</f>
        <v>135.88522</v>
      </c>
      <c r="W161" s="21">
        <f>tabCustoUnit[[#This Row],[MODULO 1 - REMUNERAÇÃO ]]*SUMIFS(tabParametros[SEBRAE],tabParametros[Código do Posto],tabCustoUnit[[#This Row],[Código do Posto]])</f>
        <v>20.382783000000003</v>
      </c>
      <c r="X161" s="21">
        <f>SUM(tabCustoUnit[[#This Row],[INSS]:[SEBRAE]])</f>
        <v>1284.1153290000002</v>
      </c>
      <c r="Y161" s="21">
        <f>tabCustoUnit[[#This Row],[MODULO 1 - REMUNERAÇÃO ]]*SUMIFS(tabParametros[13º salário (titular)],tabParametros[Código do Posto],tabCustoUnit[[#This Row],[Código do Posto]])</f>
        <v>283.09420833333331</v>
      </c>
      <c r="Z161" s="21">
        <f>tabCustoUnit[[#This Row],[MODULO 1 - REMUNERAÇÃO ]]*SUMIFS(tabParametros[Férias e Adicional de Férias (titular)],tabParametros[Código do Posto],tabCustoUnit[[#This Row],[Código do Posto]])</f>
        <v>377.45894444444446</v>
      </c>
      <c r="AA161" s="21">
        <f>IFERROR((tabCustoUnit[[#This Row],[Submódulo 2.1]]/tabCustoUnit[[#This Row],[MODULO 1 - REMUNERAÇÃO ]])*SUM(tabCustoUnit[[#This Row],[13º salário (titular)]:[Férias e Adicional de Férias (titular)]]),0)</f>
        <v>249.68909175000005</v>
      </c>
      <c r="AB161" s="21">
        <f>SUM(tabCustoUnit[[#This Row],[13º salário (titular)]:[Incidência do Submódulo 2.1 sobre 13º Salário, Férias e Adicional de Férias]])</f>
        <v>910.24224452777776</v>
      </c>
      <c r="AC161" s="22" t="e">
        <f ca="1">_xlfn.LET(_xlpm.VT,SUMIF(tabParametros[Código do Posto],tabCustoUnit[[#This Row],[Código do Posto]],tabParametros[Vale - Transporte])*2*20,
IF((_xlpm.VT-tabCustoUnit[[#This Row],[Salário Base]]*0.06)&gt;=0,(_xlpm.VT-tabCustoUnit[[#This Row],[Salário Base]]*0.06),0)
)</f>
        <v>#NAME?</v>
      </c>
      <c r="AD161" s="22">
        <f>IF(SUMIF(tabParametros[Código do Posto],tabCustoUnit[[#This Row],[Código do Posto]],tabParametros[Vale - Alimentação])&lt;=0,0,
SUMIF(tabParametros[Código do Posto],tabCustoUnit[[#This Row],[Código do Posto]],tabParametros[Vale - Alimentação])*20-1)</f>
        <v>582</v>
      </c>
      <c r="AE161" s="22">
        <f>SUMIF(tabParametros[Código do Posto],tabCustoUnit[[#This Row],[Código do Posto]],tabParametros[Cesta Básica])</f>
        <v>0</v>
      </c>
      <c r="AF161" s="22">
        <f>SUMIF(tabParametros[Código do Posto],tabCustoUnit[[#This Row],[Código do Posto]],tabParametros[PAF])</f>
        <v>51.88</v>
      </c>
      <c r="AG161" s="22">
        <f>SUMIF(tabParametros[Código do Posto],tabCustoUnit[[#This Row],[Código do Posto]],tabParametros[PQM])</f>
        <v>0</v>
      </c>
      <c r="AH161" s="22">
        <f>SUMIF(tabParametros[Código do Posto],tabCustoUnit[[#This Row],[Código do Posto]],tabParametros[Abono Único e Especial])</f>
        <v>0</v>
      </c>
      <c r="AI161" s="22">
        <f>SUMIF(tabParametros[Código do Posto],tabCustoUnit[[#This Row],[Código do Posto]],tabParametros[Seguro de Vida])</f>
        <v>3.36</v>
      </c>
      <c r="AJ161" s="22">
        <f>SUMIF(tabParametros[Código do Posto],tabCustoUnit[[#This Row],[Código do Posto]],tabParametros[Despesas de Viagem])</f>
        <v>0</v>
      </c>
      <c r="AK161" s="22" t="e">
        <f ca="1">SUM(tabCustoUnit[[#This Row],[Vale - Transporte (Descontada parcela do empregado)]:[Despesas de Viagem]])</f>
        <v>#NAME?</v>
      </c>
      <c r="AL161" s="22" t="e">
        <f ca="1">tabCustoUnit[[#This Row],[Submódulo 2.1]]+tabCustoUnit[[#This Row],[Submódulo 2.2]]+tabCustoUnit[[#This Row],[Submódulo 2.3]]</f>
        <v>#NAME?</v>
      </c>
      <c r="AM161" s="22">
        <f>SUMIF(tabParametros[Código do Posto],tabCustoUnit[[#This Row],[Código do Posto]],tabParametros[Aviso Prévio Indenizado (API) e Reflexo do Aviso Prévio Indenizado])*tabCustoUnit[[#This Row],[MODULO 1 - REMUNERAÇÃO ]]</f>
        <v>23.819887450713736</v>
      </c>
      <c r="AN161" s="22">
        <f>SUMIF(tabParametros[Código do Posto],tabCustoUnit[[#This Row],[Código do Posto]],tabParametros[Incidência do FGTS sobre API e Reflexo do API])*tabCustoUnit[[#This Row],[MODULO 1 - REMUNERAÇÃO ]]</f>
        <v>1.9055909960570991</v>
      </c>
      <c r="AO161" s="22">
        <f>SUMIF(tabParametros[Código do Posto],tabCustoUnit[[#This Row],[Código do Posto]],tabParametros[Multa Rescisória do FGTS sobre o Aviso Prévio Indenizado])*tabCustoUnit[[#This Row],[MODULO 1 - REMUNERAÇÃO ]]</f>
        <v>0.76223639842283974</v>
      </c>
      <c r="AP161" s="22">
        <f>SUMIF(tabParametros[Código do Posto],tabCustoUnit[[#This Row],[Código do Posto]],tabParametros[Aviso Prévio Trabalhado - APT])*tabCustoUnit[[#This Row],[MODULO 1 - REMUNERAÇÃO ]]</f>
        <v>11.889956750000003</v>
      </c>
      <c r="AQ161" s="22">
        <f>SUMIF(tabParametros[Código do Posto],tabCustoUnit[[#This Row],[Código do Posto]],tabParametros[Incidência dos encargos do submódulo 2.1 sobre Aviso Prévio Trabalhado])*tabCustoUnit[[#This Row],[MODULO 1 - REMUNERAÇÃO ]]</f>
        <v>4.4944036515000017</v>
      </c>
      <c r="AR161" s="22">
        <f>SUMIF(tabParametros[Código do Posto],tabCustoUnit[[#This Row],[Código do Posto]],tabParametros[Multa Rescisória do FGTS])*tabCustoUnit[[#This Row],[MODULO 1 - REMUNERAÇÃO ]]</f>
        <v>103.87670151111111</v>
      </c>
      <c r="AS161" s="22">
        <f>SUMIF(tabParametros[Código do Posto],tabCustoUnit[[#This Row],[Código do Posto]],tabParametros[Indenização Adicional (Art. 9º da Lei nº 7.238/84)])*tabCustoUnit[[#This Row],[MODULO 1 - REMUNERAÇÃO ]]</f>
        <v>2.8309420833333339</v>
      </c>
      <c r="AT161" s="22">
        <f>SUM(tabCustoUnit[[#This Row],[Aviso Prévio Indenizado (API) e Reflexo do Aviso Prévio Indenizado]:[Indenização Adicional (Art. 9º da Lei nº 7.238/84)]])</f>
        <v>149.57971884113812</v>
      </c>
      <c r="AU161" s="22">
        <f>SUMIF(tabParametros[Código do Posto],tabCustoUnit[[#This Row],[Código do Posto]],tabParametros[Ausência por Doença])*tabCustoUnit[[#This Row],[MODULO 1 - REMUNERAÇÃO ]]</f>
        <v>28.686879777777776</v>
      </c>
      <c r="AV161" s="22">
        <f>SUMIF(tabParametros[Código do Posto],tabCustoUnit[[#This Row],[Código do Posto]],tabParametros[Ausências Legais])*tabCustoUnit[[#This Row],[MODULO 1 - REMUNERAÇÃO ]]</f>
        <v>6.888625736111111</v>
      </c>
      <c r="AW161" s="22">
        <f>SUMIF(tabParametros[Código do Posto],tabCustoUnit[[#This Row],[Código do Posto]],tabParametros[Licença Paternidade])*tabCustoUnit[[#This Row],[MODULO 1 - REMUNERAÇÃO ]]</f>
        <v>0.58034312708333335</v>
      </c>
      <c r="AX161" s="22">
        <f>SUMIF(tabParametros[Código do Posto],tabCustoUnit[[#This Row],[Código do Posto]],tabParametros[Ausência por Acidente de Trabalho])*tabCustoUnit[[#This Row],[MODULO 1 - REMUNERAÇÃO ]]</f>
        <v>0.70773552083333346</v>
      </c>
      <c r="AY161" s="22">
        <f>SUMIF(tabParametros[Código do Posto],tabCustoUnit[[#This Row],[Código do Posto]],tabParametros[Férias, Adicional de Férias e 13º  com empregada em gozo de Licença Maternidade])*tabCustoUnit[[#This Row],[MODULO 1 - REMUNERAÇÃO ]]</f>
        <v>4.4036876851851856</v>
      </c>
      <c r="AZ161" s="22">
        <f>SUMIF(tabParametros[Código do Posto],tabCustoUnit[[#This Row],[Código do Posto]],tabParametros[Incidência do Submódulo 2.1 sobre Ausências Legais])*tabCustoUnit[[#This Row],[MODULO 1 - REMUNERAÇÃO ]]</f>
        <v>15.599028758162504</v>
      </c>
      <c r="BA161" s="22">
        <f>SUM(tabCustoUnit[[#This Row],[Ausência por Doença]:[Incidência do Submódulo 2.1 sobre Ausências Legais]])</f>
        <v>56.866300605153235</v>
      </c>
      <c r="BB161" s="22">
        <f>SUMIF(tabParametros[Código do Posto],tabCustoUnit[[#This Row],[Código do Posto]],tabParametros[Intervalo para Repouso ou Alimentação])</f>
        <v>0</v>
      </c>
      <c r="BC161" s="22">
        <f>tabCustoUnit[[#This Row],[Intervalo para Repouso ou Alimentação]]</f>
        <v>0</v>
      </c>
      <c r="BD16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1" s="22">
        <f>tabCustoUnit[[#This Row],[Suspensão Temporária do Contrato de Trabalho]]</f>
        <v>0</v>
      </c>
      <c r="BF161" s="22">
        <f>tabCustoUnit[[#This Row],[Submódulo 4.1]]+tabCustoUnit[[#This Row],[Submódulo 4.2]]+tabCustoUnit[[#This Row],[Submódulo 4.3]]</f>
        <v>56.866300605153235</v>
      </c>
      <c r="BG161" s="22">
        <f>VLOOKUP(tabCustoUnit[[#This Row],[Código do Posto]],tabParametros[],MATCH(tabCustoUnit[[#Headers],[Uniformes e EPIs]],tabParametros[#Headers],0),0)</f>
        <v>56.642978962543395</v>
      </c>
      <c r="BH161" s="22">
        <f>VLOOKUP(tabCustoUnit[[#This Row],[Código do Posto]],tabParametros[],MATCH(tabCustoUnit[[#Headers],[Materiais de Consumo]],tabParametros[#Headers],0),0)</f>
        <v>0</v>
      </c>
      <c r="BI161" s="22">
        <f>VLOOKUP(tabCustoUnit[[#This Row],[Código do Posto]],tabParametros[],MATCH(tabCustoUnit[[#Headers],[Máquinas e Equipamentos (depreciação)]],tabParametros[#Headers],0),0)</f>
        <v>0</v>
      </c>
      <c r="BJ161" s="22">
        <f>VLOOKUP(tabCustoUnit[[#This Row],[Código do Posto]],tabParametros[],MATCH(tabCustoUnit[[#Headers],[Produtos de Limpeza e Materiais de Higiene Pessoal]],tabParametros[#Headers],0),0)</f>
        <v>0</v>
      </c>
      <c r="BK161" s="22">
        <f>VLOOKUP(tabCustoUnit[[#This Row],[Código do Posto]],tabParametros[],MATCH(tabCustoUnit[[#Headers],[Outros (especificar)]],tabParametros[#Headers],0),0)</f>
        <v>0</v>
      </c>
      <c r="BL161" s="22">
        <f>SUM(tabCustoUnit[[#This Row],[Uniformes e EPIs]:[Outros (especificar)]])</f>
        <v>56.642978962543395</v>
      </c>
      <c r="BM16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1" s="22" t="e">
        <f ca="1">VLOOKUP(tabCustoUnit[[#This Row],[Código do Posto]],tabParametros[],MATCH(tabCustoUnit[[#Headers],[Custos Indiretos]],tabParametros[#Headers],0),0)</f>
        <v>#NAME?</v>
      </c>
      <c r="BO161" s="22" t="e">
        <f ca="1">VLOOKUP(tabCustoUnit[[#This Row],[Código do Posto]],tabParametros[],MATCH(tabCustoUnit[[#Headers],[Lucro]],tabParametros[#Headers],0),0)</f>
        <v>#NAME?</v>
      </c>
      <c r="BP161" s="26">
        <f>((100/((1-tabCustoUnit[[#This Row],[Resumo de Alíquotas (PIS+CONFINS+ISS)]]))-100)*VLOOKUP(tabCustoUnit[[#This Row],[Código do Posto]],tabParametros[],MATCH(tabCustoUnit[[#Headers],[COFINS]],tabParametros[#Headers],0),0))/(tabCustoUnit[[#This Row],[Resumo de Alíquotas (PIS+CONFINS+ISS)]]*100)</f>
        <v>8.8629737609329504E-2</v>
      </c>
      <c r="BQ161" s="26">
        <f>((100/((100-(tabCustoUnit[[#This Row],[Resumo de Alíquotas (PIS+CONFINS+ISS)]]*100))%)-100)*VLOOKUP(tabCustoUnit[[#This Row],[Código do Posto]],tabParametros[],MATCH(tabCustoUnit[[#Headers],[PIS]],tabParametros[#Headers],0),0))/(tabCustoUnit[[#This Row],[Resumo de Alíquotas (PIS+CONFINS+ISS)]]*100)</f>
        <v>1.9241982507288629E-2</v>
      </c>
      <c r="BR161" s="28">
        <f>VLOOKUP(tabCustoUnit[[#This Row],[Código do Posto]],tabParametros[],MATCH(tabCustoUnit[[#Headers],[ISS]],tabParametros[#Headers],0),0)</f>
        <v>0.05</v>
      </c>
      <c r="BS161" s="26">
        <f>(((100/((100-(tabCustoUnit[[#This Row],[Resumo de Alíquotas (PIS+CONFINS+ISS)]]*100))%)-100)*tabCustoUnit[[#This Row],[ISS]])/tabCustoUnit[[#This Row],[Resumo de Alíquotas (PIS+CONFINS+ISS)]])/100</f>
        <v>5.8309037900874633E-2</v>
      </c>
      <c r="BT16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61" s="138">
        <f>tabCustoUnit[[#This Row],[COFINS]]+tabCustoUnit[[#This Row],[PIS]]+tabCustoUnit[[#This Row],[ISS (Conversão Alíquota s/ fatura)]]</f>
        <v>0.16618075801749277</v>
      </c>
      <c r="BV161" s="22" t="e">
        <f ca="1">(tabCustoUnit[[#This Row],[TOTAL MÓDULOS 1+2+3+4+5]]+tabCustoUnit[[#This Row],[Custos Indiretos]]+tabCustoUnit[[#This Row],[Lucro]])*tabCustoUnit[[#This Row],[PIS + COFINS + ISS (Total Conversão  Alíquota s/ Fatura)]]</f>
        <v>#NAME?</v>
      </c>
      <c r="BW161" s="22" t="e">
        <f ca="1">tabCustoUnit[[#This Row],[Custos Indiretos]]+tabCustoUnit[[#This Row],[Lucro]]+tabCustoUnit[[#This Row],[Valor dos Tributos (ISS, PIS, CONFINS)]]</f>
        <v>#NAME?</v>
      </c>
      <c r="BX161" s="22" t="e">
        <f ca="1">tabCustoUnit[[#This Row],[TOTAL MÓDULOS 1+2+3+4+5]]+tabCustoUnit[[#This Row],[MÓDULO 6 – CUSTOS INDIRETOS, TRIBUTOS E LUCRO]]</f>
        <v>#NAME?</v>
      </c>
      <c r="BY161" s="22" t="e">
        <f ca="1">tabCustoUnit[[#This Row],[CUSTO TOTAL MENSAL]]*12</f>
        <v>#NAME?</v>
      </c>
      <c r="BZ161" s="24">
        <f>VLOOKUP(tabCustoUnit[[#This Row],[Código do Posto]],tabParametros[],MATCH(tabCustoUnit[[#Headers],[ANO DA CCT]],tabParametros[#Headers],0),0)</f>
        <v>45658</v>
      </c>
      <c r="CA161" s="25" t="str">
        <f>VLOOKUP(tabCustoUnit[[#This Row],[Código do Posto]],tabParametros[],MATCH(tabCustoUnit[[#Headers],[Nº DE PEDIDO DA CCT]],tabParametros[#Headers],0),0)</f>
        <v>-</v>
      </c>
      <c r="CB161" s="25" t="str">
        <f>VLOOKUP(tabCustoUnit[[#This Row],[Código do Posto]],tabParametros[],MATCH(tabCustoUnit[[#Headers],[TERMO ADITIVO ALTERAÇÃO DA CCT]],tabParametros[#Headers],0),0)</f>
        <v>-</v>
      </c>
    </row>
    <row r="162" spans="1:80">
      <c r="A162" s="20" t="s">
        <v>1612</v>
      </c>
      <c r="B162" t="s">
        <v>1142</v>
      </c>
      <c r="C162" t="s">
        <v>314</v>
      </c>
      <c r="D162" t="s">
        <v>899</v>
      </c>
      <c r="E162" s="20" t="s">
        <v>1090</v>
      </c>
      <c r="F162" s="20" t="s">
        <v>120</v>
      </c>
      <c r="G162" s="418">
        <v>1963.405</v>
      </c>
      <c r="H162" s="418">
        <v>0</v>
      </c>
      <c r="I162" s="418">
        <v>0</v>
      </c>
      <c r="J162" s="418">
        <v>0</v>
      </c>
      <c r="K162" s="418">
        <v>0</v>
      </c>
      <c r="L162" s="418">
        <v>0</v>
      </c>
      <c r="M162" s="418">
        <v>0</v>
      </c>
      <c r="N162" s="418">
        <v>0</v>
      </c>
      <c r="O162" s="21">
        <f>SUM(tabCustoUnit[[#This Row],[Salário Base]:[Adicional de Acúmulo de função]])</f>
        <v>1963.405</v>
      </c>
      <c r="P162" s="21">
        <f>tabCustoUnit[[#This Row],[MODULO 1 - REMUNERAÇÃO ]]*SUMIFS(tabParametros[INSS],tabParametros[Código do Posto],tabCustoUnit[[#This Row],[Código do Posto]])</f>
        <v>392.68100000000004</v>
      </c>
      <c r="Q162" s="21">
        <f>tabCustoUnit[[#This Row],[MODULO 1 - REMUNERAÇÃO ]]*SUMIFS(tabParametros[SESI OU SESC],tabParametros[Código do Posto],tabCustoUnit[[#This Row],[Código do Posto]])</f>
        <v>29.451074999999999</v>
      </c>
      <c r="R162" s="21">
        <f>tabCustoUnit[[#This Row],[MODULO 1 - REMUNERAÇÃO ]]*SUMIFS(tabParametros[SENAI OU SENAC],tabParametros[Código do Posto],tabCustoUnit[[#This Row],[Código do Posto]])</f>
        <v>19.634049999999998</v>
      </c>
      <c r="S162" s="21">
        <f>tabCustoUnit[[#This Row],[MODULO 1 - REMUNERAÇÃO ]]*SUMIFS(tabParametros[INCRA],tabParametros[Código do Posto],tabCustoUnit[[#This Row],[Código do Posto]])</f>
        <v>3.9268100000000001</v>
      </c>
      <c r="T162" s="21">
        <f>tabCustoUnit[[#This Row],[MODULO 1 - REMUNERAÇÃO ]]*SUMIFS(tabParametros[Salário Educação],tabParametros[Código do Posto],tabCustoUnit[[#This Row],[Código do Posto]])</f>
        <v>49.085125000000005</v>
      </c>
      <c r="U162" s="21">
        <f>tabCustoUnit[[#This Row],[MODULO 1 - REMUNERAÇÃO ]]*SUMIFS(tabParametros[FGTS],tabParametros[Código do Posto],tabCustoUnit[[#This Row],[Código do Posto]])</f>
        <v>157.07239999999999</v>
      </c>
      <c r="V162" s="21">
        <f>tabCustoUnit[[#This Row],[MODULO 1 - REMUNERAÇÃO ]]*SUMIFS(tabParametros[RAT Ajustado],tabParametros[Código do Posto],tabCustoUnit[[#This Row],[Código do Posto]])</f>
        <v>78.536199999999994</v>
      </c>
      <c r="W162" s="21">
        <f>tabCustoUnit[[#This Row],[MODULO 1 - REMUNERAÇÃO ]]*SUMIFS(tabParametros[SEBRAE],tabParametros[Código do Posto],tabCustoUnit[[#This Row],[Código do Posto]])</f>
        <v>11.780430000000001</v>
      </c>
      <c r="X162" s="21">
        <f>SUM(tabCustoUnit[[#This Row],[INSS]:[SEBRAE]])</f>
        <v>742.16709000000003</v>
      </c>
      <c r="Y162" s="21">
        <f>tabCustoUnit[[#This Row],[MODULO 1 - REMUNERAÇÃO ]]*SUMIFS(tabParametros[13º salário (titular)],tabParametros[Código do Posto],tabCustoUnit[[#This Row],[Código do Posto]])</f>
        <v>163.61708333333331</v>
      </c>
      <c r="Z162" s="21">
        <f>tabCustoUnit[[#This Row],[MODULO 1 - REMUNERAÇÃO ]]*SUMIFS(tabParametros[Férias e Adicional de Férias (titular)],tabParametros[Código do Posto],tabCustoUnit[[#This Row],[Código do Posto]])</f>
        <v>218.1561111111111</v>
      </c>
      <c r="AA162" s="21">
        <f>IFERROR((tabCustoUnit[[#This Row],[Submódulo 2.1]]/tabCustoUnit[[#This Row],[MODULO 1 - REMUNERAÇÃO ]])*SUM(tabCustoUnit[[#This Row],[13º salário (titular)]:[Férias e Adicional de Férias (titular)]]),0)</f>
        <v>144.31026749999998</v>
      </c>
      <c r="AB162" s="21">
        <f>SUM(tabCustoUnit[[#This Row],[13º salário (titular)]:[Incidência do Submódulo 2.1 sobre 13º Salário, Férias e Adicional de Férias]])</f>
        <v>526.08346194444437</v>
      </c>
      <c r="AC162" s="22" t="e">
        <f ca="1">_xlfn.LET(_xlpm.VT,SUMIF(tabParametros[Código do Posto],tabCustoUnit[[#This Row],[Código do Posto]],tabParametros[Vale - Transporte])*2*20,
IF((_xlpm.VT-tabCustoUnit[[#This Row],[Salário Base]]*0.06)&gt;=0,(_xlpm.VT-tabCustoUnit[[#This Row],[Salário Base]]*0.06),0)
)</f>
        <v>#NAME?</v>
      </c>
      <c r="AD162" s="22">
        <f>IF(SUMIF(tabParametros[Código do Posto],tabCustoUnit[[#This Row],[Código do Posto]],tabParametros[Vale - Alimentação])&lt;=0,0,
SUMIF(tabParametros[Código do Posto],tabCustoUnit[[#This Row],[Código do Posto]],tabParametros[Vale - Alimentação])*20-1)</f>
        <v>0</v>
      </c>
      <c r="AE162" s="22">
        <f>SUMIF(tabParametros[Código do Posto],tabCustoUnit[[#This Row],[Código do Posto]],tabParametros[Cesta Básica])</f>
        <v>387.79</v>
      </c>
      <c r="AF162" s="22">
        <f>SUMIF(tabParametros[Código do Posto],tabCustoUnit[[#This Row],[Código do Posto]],tabParametros[PAF])</f>
        <v>42.97</v>
      </c>
      <c r="AG162" s="22">
        <f>SUMIF(tabParametros[Código do Posto],tabCustoUnit[[#This Row],[Código do Posto]],tabParametros[PQM])</f>
        <v>0</v>
      </c>
      <c r="AH162" s="22">
        <f>SUMIF(tabParametros[Código do Posto],tabCustoUnit[[#This Row],[Código do Posto]],tabParametros[Abono Único e Especial])</f>
        <v>0</v>
      </c>
      <c r="AI162" s="22">
        <f>SUMIF(tabParametros[Código do Posto],tabCustoUnit[[#This Row],[Código do Posto]],tabParametros[Seguro de Vida])</f>
        <v>3.36</v>
      </c>
      <c r="AJ162" s="22">
        <f>SUMIF(tabParametros[Código do Posto],tabCustoUnit[[#This Row],[Código do Posto]],tabParametros[Despesas de Viagem])</f>
        <v>0</v>
      </c>
      <c r="AK162" s="22" t="e">
        <f ca="1">SUM(tabCustoUnit[[#This Row],[Vale - Transporte (Descontada parcela do empregado)]:[Despesas de Viagem]])</f>
        <v>#NAME?</v>
      </c>
      <c r="AL162" s="22" t="e">
        <f ca="1">tabCustoUnit[[#This Row],[Submódulo 2.1]]+tabCustoUnit[[#This Row],[Submódulo 2.2]]+tabCustoUnit[[#This Row],[Submódulo 2.3]]</f>
        <v>#NAME?</v>
      </c>
      <c r="AM162" s="22">
        <f>SUMIF(tabParametros[Código do Posto],tabCustoUnit[[#This Row],[Código do Posto]],tabParametros[Aviso Prévio Indenizado (API) e Reflexo do Aviso Prévio Indenizado])*tabCustoUnit[[#This Row],[MODULO 1 - REMUNERAÇÃO ]]</f>
        <v>13.766938338155864</v>
      </c>
      <c r="AN162" s="22">
        <f>SUMIF(tabParametros[Código do Posto],tabCustoUnit[[#This Row],[Código do Posto]],tabParametros[Incidência do FGTS sobre API e Reflexo do API])*tabCustoUnit[[#This Row],[MODULO 1 - REMUNERAÇÃO ]]</f>
        <v>1.1013550670524692</v>
      </c>
      <c r="AO162" s="22">
        <f>SUMIF(tabParametros[Código do Posto],tabCustoUnit[[#This Row],[Código do Posto]],tabParametros[Multa Rescisória do FGTS sobre o Aviso Prévio Indenizado])*tabCustoUnit[[#This Row],[MODULO 1 - REMUNERAÇÃO ]]</f>
        <v>0.44054202682098775</v>
      </c>
      <c r="AP162" s="22">
        <f>SUMIF(tabParametros[Código do Posto],tabCustoUnit[[#This Row],[Código do Posto]],tabParametros[Aviso Prévio Trabalhado - APT])*tabCustoUnit[[#This Row],[MODULO 1 - REMUNERAÇÃO ]]</f>
        <v>6.8719175000000012</v>
      </c>
      <c r="AQ162" s="22">
        <f>SUMIF(tabParametros[Código do Posto],tabCustoUnit[[#This Row],[Código do Posto]],tabParametros[Incidência dos encargos do submódulo 2.1 sobre Aviso Prévio Trabalhado])*tabCustoUnit[[#This Row],[MODULO 1 - REMUNERAÇÃO ]]</f>
        <v>2.5975848150000007</v>
      </c>
      <c r="AR162" s="22">
        <f>SUMIF(tabParametros[Código do Posto],tabCustoUnit[[#This Row],[Código do Posto]],tabParametros[Multa Rescisória do FGTS])*tabCustoUnit[[#This Row],[MODULO 1 - REMUNERAÇÃO ]]</f>
        <v>60.03656177777777</v>
      </c>
      <c r="AS162" s="22">
        <f>SUMIF(tabParametros[Código do Posto],tabCustoUnit[[#This Row],[Código do Posto]],tabParametros[Indenização Adicional (Art. 9º da Lei nº 7.238/84)])*tabCustoUnit[[#This Row],[MODULO 1 - REMUNERAÇÃO ]]</f>
        <v>1.6361708333333334</v>
      </c>
      <c r="AT162" s="22">
        <f>SUM(tabCustoUnit[[#This Row],[Aviso Prévio Indenizado (API) e Reflexo do Aviso Prévio Indenizado]:[Indenização Adicional (Art. 9º da Lei nº 7.238/84)]])</f>
        <v>86.451070358140427</v>
      </c>
      <c r="AU162" s="22">
        <f>SUMIF(tabParametros[Código do Posto],tabCustoUnit[[#This Row],[Código do Posto]],tabParametros[Ausência por Doença])*tabCustoUnit[[#This Row],[MODULO 1 - REMUNERAÇÃO ]]</f>
        <v>16.579864444444443</v>
      </c>
      <c r="AV162" s="22">
        <f>SUMIF(tabParametros[Código do Posto],tabCustoUnit[[#This Row],[Código do Posto]],tabParametros[Ausências Legais])*tabCustoUnit[[#This Row],[MODULO 1 - REMUNERAÇÃO ]]</f>
        <v>3.9813490277777777</v>
      </c>
      <c r="AW162" s="22">
        <f>SUMIF(tabParametros[Código do Posto],tabCustoUnit[[#This Row],[Código do Posto]],tabParametros[Licença Paternidade])*tabCustoUnit[[#This Row],[MODULO 1 - REMUNERAÇÃO ]]</f>
        <v>0.3354150208333333</v>
      </c>
      <c r="AX162" s="22">
        <f>SUMIF(tabParametros[Código do Posto],tabCustoUnit[[#This Row],[Código do Posto]],tabParametros[Ausência por Acidente de Trabalho])*tabCustoUnit[[#This Row],[MODULO 1 - REMUNERAÇÃO ]]</f>
        <v>0.40904270833333334</v>
      </c>
      <c r="AY162" s="22">
        <f>SUMIF(tabParametros[Código do Posto],tabCustoUnit[[#This Row],[Código do Posto]],tabParametros[Férias, Adicional de Férias e 13º  com empregada em gozo de Licença Maternidade])*tabCustoUnit[[#This Row],[MODULO 1 - REMUNERAÇÃO ]]</f>
        <v>2.5451546296296295</v>
      </c>
      <c r="AZ162" s="22">
        <f>SUMIF(tabParametros[Código do Posto],tabCustoUnit[[#This Row],[Código do Posto]],tabParametros[Incidência do Submódulo 2.1 sobre Ausências Legais])*tabCustoUnit[[#This Row],[MODULO 1 - REMUNERAÇÃO ]]</f>
        <v>9.0156121641250007</v>
      </c>
      <c r="BA162" s="22">
        <f>SUM(tabCustoUnit[[#This Row],[Ausência por Doença]:[Incidência do Submódulo 2.1 sobre Ausências Legais]])</f>
        <v>32.866437995143521</v>
      </c>
      <c r="BB162" s="22">
        <f>SUMIF(tabParametros[Código do Posto],tabCustoUnit[[#This Row],[Código do Posto]],tabParametros[Intervalo para Repouso ou Alimentação])</f>
        <v>267.73704981301341</v>
      </c>
      <c r="BC162" s="22">
        <f>tabCustoUnit[[#This Row],[Intervalo para Repouso ou Alimentação]]</f>
        <v>267.73704981301341</v>
      </c>
      <c r="BD16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2" s="22">
        <f>tabCustoUnit[[#This Row],[Suspensão Temporária do Contrato de Trabalho]]</f>
        <v>0</v>
      </c>
      <c r="BF162" s="22">
        <f>tabCustoUnit[[#This Row],[Submódulo 4.1]]+tabCustoUnit[[#This Row],[Submódulo 4.2]]+tabCustoUnit[[#This Row],[Submódulo 4.3]]</f>
        <v>300.60348780815696</v>
      </c>
      <c r="BG162" s="22">
        <f>VLOOKUP(tabCustoUnit[[#This Row],[Código do Posto]],tabParametros[],MATCH(tabCustoUnit[[#Headers],[Uniformes e EPIs]],tabParametros[#Headers],0),0)</f>
        <v>56.642978962543395</v>
      </c>
      <c r="BH162" s="22">
        <f>VLOOKUP(tabCustoUnit[[#This Row],[Código do Posto]],tabParametros[],MATCH(tabCustoUnit[[#Headers],[Materiais de Consumo]],tabParametros[#Headers],0),0)</f>
        <v>0</v>
      </c>
      <c r="BI162" s="22">
        <f>VLOOKUP(tabCustoUnit[[#This Row],[Código do Posto]],tabParametros[],MATCH(tabCustoUnit[[#Headers],[Máquinas e Equipamentos (depreciação)]],tabParametros[#Headers],0),0)</f>
        <v>0</v>
      </c>
      <c r="BJ162" s="22">
        <f>VLOOKUP(tabCustoUnit[[#This Row],[Código do Posto]],tabParametros[],MATCH(tabCustoUnit[[#Headers],[Produtos de Limpeza e Materiais de Higiene Pessoal]],tabParametros[#Headers],0),0)</f>
        <v>0</v>
      </c>
      <c r="BK162" s="22">
        <f>VLOOKUP(tabCustoUnit[[#This Row],[Código do Posto]],tabParametros[],MATCH(tabCustoUnit[[#Headers],[Outros (especificar)]],tabParametros[#Headers],0),0)</f>
        <v>0</v>
      </c>
      <c r="BL162" s="22">
        <f>SUM(tabCustoUnit[[#This Row],[Uniformes e EPIs]:[Outros (especificar)]])</f>
        <v>56.642978962543395</v>
      </c>
      <c r="BM16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2" s="22" t="e">
        <f ca="1">VLOOKUP(tabCustoUnit[[#This Row],[Código do Posto]],tabParametros[],MATCH(tabCustoUnit[[#Headers],[Custos Indiretos]],tabParametros[#Headers],0),0)</f>
        <v>#NAME?</v>
      </c>
      <c r="BO162" s="22" t="e">
        <f ca="1">VLOOKUP(tabCustoUnit[[#This Row],[Código do Posto]],tabParametros[],MATCH(tabCustoUnit[[#Headers],[Lucro]],tabParametros[#Headers],0),0)</f>
        <v>#NAME?</v>
      </c>
      <c r="BP162" s="26">
        <f>((100/((1-tabCustoUnit[[#This Row],[Resumo de Alíquotas (PIS+CONFINS+ISS)]]))-100)*VLOOKUP(tabCustoUnit[[#This Row],[Código do Posto]],tabParametros[],MATCH(tabCustoUnit[[#Headers],[COFINS]],tabParametros[#Headers],0),0))/(tabCustoUnit[[#This Row],[Resumo de Alíquotas (PIS+CONFINS+ISS)]]*100)</f>
        <v>8.5633802816901458E-2</v>
      </c>
      <c r="BQ162" s="26">
        <f>((100/((100-(tabCustoUnit[[#This Row],[Resumo de Alíquotas (PIS+CONFINS+ISS)]]*100))%)-100)*VLOOKUP(tabCustoUnit[[#This Row],[Código do Posto]],tabParametros[],MATCH(tabCustoUnit[[#Headers],[PIS]],tabParametros[#Headers],0),0))/(tabCustoUnit[[#This Row],[Resumo de Alíquotas (PIS+CONFINS+ISS)]]*100)</f>
        <v>1.8591549295774657E-2</v>
      </c>
      <c r="BR162" s="28">
        <f>VLOOKUP(tabCustoUnit[[#This Row],[Código do Posto]],tabParametros[],MATCH(tabCustoUnit[[#Headers],[ISS]],tabParametros[#Headers],0),0)</f>
        <v>0.02</v>
      </c>
      <c r="BS162" s="26">
        <f>(((100/((100-(tabCustoUnit[[#This Row],[Resumo de Alíquotas (PIS+CONFINS+ISS)]]*100))%)-100)*tabCustoUnit[[#This Row],[ISS]])/tabCustoUnit[[#This Row],[Resumo de Alíquotas (PIS+CONFINS+ISS)]])/100</f>
        <v>2.2535211267605645E-2</v>
      </c>
      <c r="BT16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62" s="138">
        <f>tabCustoUnit[[#This Row],[COFINS]]+tabCustoUnit[[#This Row],[PIS]]+tabCustoUnit[[#This Row],[ISS (Conversão Alíquota s/ fatura)]]</f>
        <v>0.12676056338028174</v>
      </c>
      <c r="BV162" s="22" t="e">
        <f ca="1">(tabCustoUnit[[#This Row],[TOTAL MÓDULOS 1+2+3+4+5]]+tabCustoUnit[[#This Row],[Custos Indiretos]]+tabCustoUnit[[#This Row],[Lucro]])*tabCustoUnit[[#This Row],[PIS + COFINS + ISS (Total Conversão  Alíquota s/ Fatura)]]</f>
        <v>#NAME?</v>
      </c>
      <c r="BW162" s="22" t="e">
        <f ca="1">tabCustoUnit[[#This Row],[Custos Indiretos]]+tabCustoUnit[[#This Row],[Lucro]]+tabCustoUnit[[#This Row],[Valor dos Tributos (ISS, PIS, CONFINS)]]</f>
        <v>#NAME?</v>
      </c>
      <c r="BX162" s="22" t="e">
        <f ca="1">tabCustoUnit[[#This Row],[TOTAL MÓDULOS 1+2+3+4+5]]+tabCustoUnit[[#This Row],[MÓDULO 6 – CUSTOS INDIRETOS, TRIBUTOS E LUCRO]]</f>
        <v>#NAME?</v>
      </c>
      <c r="BY162" s="22" t="e">
        <f ca="1">tabCustoUnit[[#This Row],[CUSTO TOTAL MENSAL]]*12</f>
        <v>#NAME?</v>
      </c>
      <c r="BZ162" s="24">
        <f>VLOOKUP(tabCustoUnit[[#This Row],[Código do Posto]],tabParametros[],MATCH(tabCustoUnit[[#Headers],[ANO DA CCT]],tabParametros[#Headers],0),0)</f>
        <v>45658</v>
      </c>
      <c r="CA162" s="25" t="str">
        <f>VLOOKUP(tabCustoUnit[[#This Row],[Código do Posto]],tabParametros[],MATCH(tabCustoUnit[[#Headers],[Nº DE PEDIDO DA CCT]],tabParametros[#Headers],0),0)</f>
        <v>-</v>
      </c>
      <c r="CB162" s="25" t="str">
        <f>VLOOKUP(tabCustoUnit[[#This Row],[Código do Posto]],tabParametros[],MATCH(tabCustoUnit[[#Headers],[TERMO ADITIVO ALTERAÇÃO DA CCT]],tabParametros[#Headers],0),0)</f>
        <v>-</v>
      </c>
    </row>
    <row r="163" spans="1:80">
      <c r="A163" s="20" t="s">
        <v>1613</v>
      </c>
      <c r="B163" t="s">
        <v>1143</v>
      </c>
      <c r="C163" t="s">
        <v>304</v>
      </c>
      <c r="D163" t="s">
        <v>1058</v>
      </c>
      <c r="E163" s="20" t="s">
        <v>1090</v>
      </c>
      <c r="F163" s="20" t="s">
        <v>120</v>
      </c>
      <c r="G163" s="418">
        <v>2134.8035</v>
      </c>
      <c r="H163" s="418">
        <v>0</v>
      </c>
      <c r="I163" s="418">
        <v>0</v>
      </c>
      <c r="J163" s="418">
        <v>0</v>
      </c>
      <c r="K163" s="418">
        <v>0</v>
      </c>
      <c r="L163" s="418">
        <v>0</v>
      </c>
      <c r="M163" s="418">
        <v>0</v>
      </c>
      <c r="N163" s="418">
        <v>0</v>
      </c>
      <c r="O163" s="21">
        <f>SUM(tabCustoUnit[[#This Row],[Salário Base]:[Adicional de Acúmulo de função]])</f>
        <v>2134.8035</v>
      </c>
      <c r="P163" s="21">
        <f>tabCustoUnit[[#This Row],[MODULO 1 - REMUNERAÇÃO ]]*SUMIFS(tabParametros[INSS],tabParametros[Código do Posto],tabCustoUnit[[#This Row],[Código do Posto]])</f>
        <v>426.96070000000003</v>
      </c>
      <c r="Q163" s="21">
        <f>tabCustoUnit[[#This Row],[MODULO 1 - REMUNERAÇÃO ]]*SUMIFS(tabParametros[SESI OU SESC],tabParametros[Código do Posto],tabCustoUnit[[#This Row],[Código do Posto]])</f>
        <v>32.022052500000001</v>
      </c>
      <c r="R163" s="21">
        <f>tabCustoUnit[[#This Row],[MODULO 1 - REMUNERAÇÃO ]]*SUMIFS(tabParametros[SENAI OU SENAC],tabParametros[Código do Posto],tabCustoUnit[[#This Row],[Código do Posto]])</f>
        <v>21.348034999999999</v>
      </c>
      <c r="S163" s="21">
        <f>tabCustoUnit[[#This Row],[MODULO 1 - REMUNERAÇÃO ]]*SUMIFS(tabParametros[INCRA],tabParametros[Código do Posto],tabCustoUnit[[#This Row],[Código do Posto]])</f>
        <v>4.2696069999999997</v>
      </c>
      <c r="T163" s="21">
        <f>tabCustoUnit[[#This Row],[MODULO 1 - REMUNERAÇÃO ]]*SUMIFS(tabParametros[Salário Educação],tabParametros[Código do Posto],tabCustoUnit[[#This Row],[Código do Posto]])</f>
        <v>53.370087500000004</v>
      </c>
      <c r="U163" s="21">
        <f>tabCustoUnit[[#This Row],[MODULO 1 - REMUNERAÇÃO ]]*SUMIFS(tabParametros[FGTS],tabParametros[Código do Posto],tabCustoUnit[[#This Row],[Código do Posto]])</f>
        <v>170.78428</v>
      </c>
      <c r="V163" s="21">
        <f>tabCustoUnit[[#This Row],[MODULO 1 - REMUNERAÇÃO ]]*SUMIFS(tabParametros[RAT Ajustado],tabParametros[Código do Posto],tabCustoUnit[[#This Row],[Código do Posto]])</f>
        <v>85.392139999999998</v>
      </c>
      <c r="W163" s="21">
        <f>tabCustoUnit[[#This Row],[MODULO 1 - REMUNERAÇÃO ]]*SUMIFS(tabParametros[SEBRAE],tabParametros[Código do Posto],tabCustoUnit[[#This Row],[Código do Posto]])</f>
        <v>12.808821</v>
      </c>
      <c r="X163" s="21">
        <f>SUM(tabCustoUnit[[#This Row],[INSS]:[SEBRAE]])</f>
        <v>806.95572300000003</v>
      </c>
      <c r="Y163" s="21">
        <f>tabCustoUnit[[#This Row],[MODULO 1 - REMUNERAÇÃO ]]*SUMIFS(tabParametros[13º salário (titular)],tabParametros[Código do Posto],tabCustoUnit[[#This Row],[Código do Posto]])</f>
        <v>177.90029166666665</v>
      </c>
      <c r="Z163" s="21">
        <f>tabCustoUnit[[#This Row],[MODULO 1 - REMUNERAÇÃO ]]*SUMIFS(tabParametros[Férias e Adicional de Férias (titular)],tabParametros[Código do Posto],tabCustoUnit[[#This Row],[Código do Posto]])</f>
        <v>237.20038888888888</v>
      </c>
      <c r="AA163" s="21">
        <f>IFERROR((tabCustoUnit[[#This Row],[Submódulo 2.1]]/tabCustoUnit[[#This Row],[MODULO 1 - REMUNERAÇÃO ]])*SUM(tabCustoUnit[[#This Row],[13º salário (titular)]:[Férias e Adicional de Férias (titular)]]),0)</f>
        <v>156.90805724999998</v>
      </c>
      <c r="AB163" s="21">
        <f>SUM(tabCustoUnit[[#This Row],[13º salário (titular)]:[Incidência do Submódulo 2.1 sobre 13º Salário, Férias e Adicional de Férias]])</f>
        <v>572.00873780555548</v>
      </c>
      <c r="AC163" s="22" t="e">
        <f ca="1">_xlfn.LET(_xlpm.VT,SUMIF(tabParametros[Código do Posto],tabCustoUnit[[#This Row],[Código do Posto]],tabParametros[Vale - Transporte])*2*20,
IF((_xlpm.VT-tabCustoUnit[[#This Row],[Salário Base]]*0.06)&gt;=0,(_xlpm.VT-tabCustoUnit[[#This Row],[Salário Base]]*0.06),0)
)</f>
        <v>#NAME?</v>
      </c>
      <c r="AD163" s="22">
        <f>IF(SUMIF(tabParametros[Código do Posto],tabCustoUnit[[#This Row],[Código do Posto]],tabParametros[Vale - Alimentação])&lt;=0,0,
SUMIF(tabParametros[Código do Posto],tabCustoUnit[[#This Row],[Código do Posto]],tabParametros[Vale - Alimentação])*20-1)</f>
        <v>582</v>
      </c>
      <c r="AE163" s="22">
        <f>SUMIF(tabParametros[Código do Posto],tabCustoUnit[[#This Row],[Código do Posto]],tabParametros[Cesta Básica])</f>
        <v>0</v>
      </c>
      <c r="AF163" s="22">
        <f>SUMIF(tabParametros[Código do Posto],tabCustoUnit[[#This Row],[Código do Posto]],tabParametros[PAF])</f>
        <v>77.25</v>
      </c>
      <c r="AG163" s="22">
        <f>SUMIF(tabParametros[Código do Posto],tabCustoUnit[[#This Row],[Código do Posto]],tabParametros[PQM])</f>
        <v>0</v>
      </c>
      <c r="AH163" s="22">
        <f>SUMIF(tabParametros[Código do Posto],tabCustoUnit[[#This Row],[Código do Posto]],tabParametros[Abono Único e Especial])</f>
        <v>0</v>
      </c>
      <c r="AI163" s="22">
        <f>SUMIF(tabParametros[Código do Posto],tabCustoUnit[[#This Row],[Código do Posto]],tabParametros[Seguro de Vida])</f>
        <v>3.36</v>
      </c>
      <c r="AJ163" s="22">
        <f>SUMIF(tabParametros[Código do Posto],tabCustoUnit[[#This Row],[Código do Posto]],tabParametros[Despesas de Viagem])</f>
        <v>0</v>
      </c>
      <c r="AK163" s="22" t="e">
        <f ca="1">SUM(tabCustoUnit[[#This Row],[Vale - Transporte (Descontada parcela do empregado)]:[Despesas de Viagem]])</f>
        <v>#NAME?</v>
      </c>
      <c r="AL163" s="22" t="e">
        <f ca="1">tabCustoUnit[[#This Row],[Submódulo 2.1]]+tabCustoUnit[[#This Row],[Submódulo 2.2]]+tabCustoUnit[[#This Row],[Submódulo 2.3]]</f>
        <v>#NAME?</v>
      </c>
      <c r="AM163" s="22">
        <f>SUMIF(tabParametros[Código do Posto],tabCustoUnit[[#This Row],[Código do Posto]],tabParametros[Aviso Prévio Indenizado (API) e Reflexo do Aviso Prévio Indenizado])*tabCustoUnit[[#This Row],[MODULO 1 - REMUNERAÇÃO ]]</f>
        <v>14.968744680073302</v>
      </c>
      <c r="AN163" s="22">
        <f>SUMIF(tabParametros[Código do Posto],tabCustoUnit[[#This Row],[Código do Posto]],tabParametros[Incidência do FGTS sobre API e Reflexo do API])*tabCustoUnit[[#This Row],[MODULO 1 - REMUNERAÇÃO ]]</f>
        <v>1.1974995744058643</v>
      </c>
      <c r="AO163" s="22">
        <f>SUMIF(tabParametros[Código do Posto],tabCustoUnit[[#This Row],[Código do Posto]],tabParametros[Multa Rescisória do FGTS sobre o Aviso Prévio Indenizado])*tabCustoUnit[[#This Row],[MODULO 1 - REMUNERAÇÃO ]]</f>
        <v>0.47899982976234579</v>
      </c>
      <c r="AP163" s="22">
        <f>SUMIF(tabParametros[Código do Posto],tabCustoUnit[[#This Row],[Código do Posto]],tabParametros[Aviso Prévio Trabalhado - APT])*tabCustoUnit[[#This Row],[MODULO 1 - REMUNERAÇÃO ]]</f>
        <v>7.471812250000001</v>
      </c>
      <c r="AQ163" s="22">
        <f>SUMIF(tabParametros[Código do Posto],tabCustoUnit[[#This Row],[Código do Posto]],tabParametros[Incidência dos encargos do submódulo 2.1 sobre Aviso Prévio Trabalhado])*tabCustoUnit[[#This Row],[MODULO 1 - REMUNERAÇÃO ]]</f>
        <v>2.8243450305000009</v>
      </c>
      <c r="AR163" s="22">
        <f>SUMIF(tabParametros[Código do Posto],tabCustoUnit[[#This Row],[Código do Posto]],tabParametros[Multa Rescisória do FGTS])*tabCustoUnit[[#This Row],[MODULO 1 - REMUNERAÇÃO ]]</f>
        <v>65.277547022222208</v>
      </c>
      <c r="AS163" s="22">
        <f>SUMIF(tabParametros[Código do Posto],tabCustoUnit[[#This Row],[Código do Posto]],tabParametros[Indenização Adicional (Art. 9º da Lei nº 7.238/84)])*tabCustoUnit[[#This Row],[MODULO 1 - REMUNERAÇÃO ]]</f>
        <v>1.7790029166666668</v>
      </c>
      <c r="AT163" s="22">
        <f>SUM(tabCustoUnit[[#This Row],[Aviso Prévio Indenizado (API) e Reflexo do Aviso Prévio Indenizado]:[Indenização Adicional (Art. 9º da Lei nº 7.238/84)]])</f>
        <v>93.997951303630387</v>
      </c>
      <c r="AU163" s="22">
        <f>SUMIF(tabParametros[Código do Posto],tabCustoUnit[[#This Row],[Código do Posto]],tabParametros[Ausência por Doença])*tabCustoUnit[[#This Row],[MODULO 1 - REMUNERAÇÃO ]]</f>
        <v>18.027229555555554</v>
      </c>
      <c r="AV163" s="22">
        <f>SUMIF(tabParametros[Código do Posto],tabCustoUnit[[#This Row],[Código do Posto]],tabParametros[Ausências Legais])*tabCustoUnit[[#This Row],[MODULO 1 - REMUNERAÇÃO ]]</f>
        <v>4.3289070972222223</v>
      </c>
      <c r="AW163" s="22">
        <f>SUMIF(tabParametros[Código do Posto],tabCustoUnit[[#This Row],[Código do Posto]],tabParametros[Licença Paternidade])*tabCustoUnit[[#This Row],[MODULO 1 - REMUNERAÇÃO ]]</f>
        <v>0.36469559791666667</v>
      </c>
      <c r="AX163" s="22">
        <f>SUMIF(tabParametros[Código do Posto],tabCustoUnit[[#This Row],[Código do Posto]],tabParametros[Ausência por Acidente de Trabalho])*tabCustoUnit[[#This Row],[MODULO 1 - REMUNERAÇÃO ]]</f>
        <v>0.44475072916666669</v>
      </c>
      <c r="AY163" s="22">
        <f>SUMIF(tabParametros[Código do Posto],tabCustoUnit[[#This Row],[Código do Posto]],tabParametros[Férias, Adicional de Férias e 13º  com empregada em gozo de Licença Maternidade])*tabCustoUnit[[#This Row],[MODULO 1 - REMUNERAÇÃO ]]</f>
        <v>2.7673378703703704</v>
      </c>
      <c r="AZ163" s="22">
        <f>SUMIF(tabParametros[Código do Posto],tabCustoUnit[[#This Row],[Código do Posto]],tabParametros[Incidência do Submódulo 2.1 sobre Ausências Legais])*tabCustoUnit[[#This Row],[MODULO 1 - REMUNERAÇÃO ]]</f>
        <v>9.802644081387502</v>
      </c>
      <c r="BA163" s="22">
        <f>SUM(tabCustoUnit[[#This Row],[Ausência por Doença]:[Incidência do Submódulo 2.1 sobre Ausências Legais]])</f>
        <v>35.735564931618981</v>
      </c>
      <c r="BB163" s="22">
        <f>SUMIF(tabParametros[Código do Posto],tabCustoUnit[[#This Row],[Código do Posto]],tabParametros[Intervalo para Repouso ou Alimentação])</f>
        <v>236.35324352825916</v>
      </c>
      <c r="BC163" s="22">
        <f>tabCustoUnit[[#This Row],[Intervalo para Repouso ou Alimentação]]</f>
        <v>236.35324352825916</v>
      </c>
      <c r="BD16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3" s="22">
        <f>tabCustoUnit[[#This Row],[Suspensão Temporária do Contrato de Trabalho]]</f>
        <v>0</v>
      </c>
      <c r="BF163" s="22">
        <f>tabCustoUnit[[#This Row],[Submódulo 4.1]]+tabCustoUnit[[#This Row],[Submódulo 4.2]]+tabCustoUnit[[#This Row],[Submódulo 4.3]]</f>
        <v>272.08880845987812</v>
      </c>
      <c r="BG163" s="22">
        <f>VLOOKUP(tabCustoUnit[[#This Row],[Código do Posto]],tabParametros[],MATCH(tabCustoUnit[[#Headers],[Uniformes e EPIs]],tabParametros[#Headers],0),0)</f>
        <v>56.642978962543395</v>
      </c>
      <c r="BH163" s="22">
        <f>VLOOKUP(tabCustoUnit[[#This Row],[Código do Posto]],tabParametros[],MATCH(tabCustoUnit[[#Headers],[Materiais de Consumo]],tabParametros[#Headers],0),0)</f>
        <v>0</v>
      </c>
      <c r="BI163" s="22">
        <f>VLOOKUP(tabCustoUnit[[#This Row],[Código do Posto]],tabParametros[],MATCH(tabCustoUnit[[#Headers],[Máquinas e Equipamentos (depreciação)]],tabParametros[#Headers],0),0)</f>
        <v>0</v>
      </c>
      <c r="BJ163" s="22">
        <f>VLOOKUP(tabCustoUnit[[#This Row],[Código do Posto]],tabParametros[],MATCH(tabCustoUnit[[#Headers],[Produtos de Limpeza e Materiais de Higiene Pessoal]],tabParametros[#Headers],0),0)</f>
        <v>0</v>
      </c>
      <c r="BK163" s="22">
        <f>VLOOKUP(tabCustoUnit[[#This Row],[Código do Posto]],tabParametros[],MATCH(tabCustoUnit[[#Headers],[Outros (especificar)]],tabParametros[#Headers],0),0)</f>
        <v>0</v>
      </c>
      <c r="BL163" s="22">
        <f>SUM(tabCustoUnit[[#This Row],[Uniformes e EPIs]:[Outros (especificar)]])</f>
        <v>56.642978962543395</v>
      </c>
      <c r="BM16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3" s="22" t="e">
        <f ca="1">VLOOKUP(tabCustoUnit[[#This Row],[Código do Posto]],tabParametros[],MATCH(tabCustoUnit[[#Headers],[Custos Indiretos]],tabParametros[#Headers],0),0)</f>
        <v>#NAME?</v>
      </c>
      <c r="BO163" s="22" t="e">
        <f ca="1">VLOOKUP(tabCustoUnit[[#This Row],[Código do Posto]],tabParametros[],MATCH(tabCustoUnit[[#Headers],[Lucro]],tabParametros[#Headers],0),0)</f>
        <v>#NAME?</v>
      </c>
      <c r="BP163" s="26">
        <f>((100/((1-tabCustoUnit[[#This Row],[Resumo de Alíquotas (PIS+CONFINS+ISS)]]))-100)*VLOOKUP(tabCustoUnit[[#This Row],[Código do Posto]],tabParametros[],MATCH(tabCustoUnit[[#Headers],[COFINS]],tabParametros[#Headers],0),0))/(tabCustoUnit[[#This Row],[Resumo de Alíquotas (PIS+CONFINS+ISS)]]*100)</f>
        <v>8.5633802816901458E-2</v>
      </c>
      <c r="BQ163" s="26">
        <f>((100/((100-(tabCustoUnit[[#This Row],[Resumo de Alíquotas (PIS+CONFINS+ISS)]]*100))%)-100)*VLOOKUP(tabCustoUnit[[#This Row],[Código do Posto]],tabParametros[],MATCH(tabCustoUnit[[#Headers],[PIS]],tabParametros[#Headers],0),0))/(tabCustoUnit[[#This Row],[Resumo de Alíquotas (PIS+CONFINS+ISS)]]*100)</f>
        <v>1.8591549295774657E-2</v>
      </c>
      <c r="BR163" s="28">
        <f>VLOOKUP(tabCustoUnit[[#This Row],[Código do Posto]],tabParametros[],MATCH(tabCustoUnit[[#Headers],[ISS]],tabParametros[#Headers],0),0)</f>
        <v>0.02</v>
      </c>
      <c r="BS163" s="26">
        <f>(((100/((100-(tabCustoUnit[[#This Row],[Resumo de Alíquotas (PIS+CONFINS+ISS)]]*100))%)-100)*tabCustoUnit[[#This Row],[ISS]])/tabCustoUnit[[#This Row],[Resumo de Alíquotas (PIS+CONFINS+ISS)]])/100</f>
        <v>2.2535211267605645E-2</v>
      </c>
      <c r="BT16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63" s="138">
        <f>tabCustoUnit[[#This Row],[COFINS]]+tabCustoUnit[[#This Row],[PIS]]+tabCustoUnit[[#This Row],[ISS (Conversão Alíquota s/ fatura)]]</f>
        <v>0.12676056338028174</v>
      </c>
      <c r="BV163" s="22" t="e">
        <f ca="1">(tabCustoUnit[[#This Row],[TOTAL MÓDULOS 1+2+3+4+5]]+tabCustoUnit[[#This Row],[Custos Indiretos]]+tabCustoUnit[[#This Row],[Lucro]])*tabCustoUnit[[#This Row],[PIS + COFINS + ISS (Total Conversão  Alíquota s/ Fatura)]]</f>
        <v>#NAME?</v>
      </c>
      <c r="BW163" s="22" t="e">
        <f ca="1">tabCustoUnit[[#This Row],[Custos Indiretos]]+tabCustoUnit[[#This Row],[Lucro]]+tabCustoUnit[[#This Row],[Valor dos Tributos (ISS, PIS, CONFINS)]]</f>
        <v>#NAME?</v>
      </c>
      <c r="BX163" s="22" t="e">
        <f ca="1">tabCustoUnit[[#This Row],[TOTAL MÓDULOS 1+2+3+4+5]]+tabCustoUnit[[#This Row],[MÓDULO 6 – CUSTOS INDIRETOS, TRIBUTOS E LUCRO]]</f>
        <v>#NAME?</v>
      </c>
      <c r="BY163" s="22" t="e">
        <f ca="1">tabCustoUnit[[#This Row],[CUSTO TOTAL MENSAL]]*12</f>
        <v>#NAME?</v>
      </c>
      <c r="BZ163" s="24">
        <f>VLOOKUP(tabCustoUnit[[#This Row],[Código do Posto]],tabParametros[],MATCH(tabCustoUnit[[#Headers],[ANO DA CCT]],tabParametros[#Headers],0),0)</f>
        <v>45658</v>
      </c>
      <c r="CA163" s="25" t="str">
        <f>VLOOKUP(tabCustoUnit[[#This Row],[Código do Posto]],tabParametros[],MATCH(tabCustoUnit[[#Headers],[Nº DE PEDIDO DA CCT]],tabParametros[#Headers],0),0)</f>
        <v>-</v>
      </c>
      <c r="CB163" s="25" t="str">
        <f>VLOOKUP(tabCustoUnit[[#This Row],[Código do Posto]],tabParametros[],MATCH(tabCustoUnit[[#Headers],[TERMO ADITIVO ALTERAÇÃO DA CCT]],tabParametros[#Headers],0),0)</f>
        <v>-</v>
      </c>
    </row>
    <row r="164" spans="1:80">
      <c r="A164" s="20" t="s">
        <v>1614</v>
      </c>
      <c r="B164" t="s">
        <v>1143</v>
      </c>
      <c r="C164" t="s">
        <v>309</v>
      </c>
      <c r="D164" t="s">
        <v>1058</v>
      </c>
      <c r="E164" s="20" t="s">
        <v>1090</v>
      </c>
      <c r="F164" s="20" t="s">
        <v>120</v>
      </c>
      <c r="G164" s="418">
        <v>2134.8035</v>
      </c>
      <c r="H164" s="418">
        <v>0</v>
      </c>
      <c r="I164" s="418">
        <v>0</v>
      </c>
      <c r="J164" s="418">
        <v>430.16289999999998</v>
      </c>
      <c r="K164" s="418">
        <v>0</v>
      </c>
      <c r="L164" s="418">
        <v>0</v>
      </c>
      <c r="M164" s="418">
        <v>0</v>
      </c>
      <c r="N164" s="418">
        <v>0</v>
      </c>
      <c r="O164" s="21">
        <f>SUM(tabCustoUnit[[#This Row],[Salário Base]:[Adicional de Acúmulo de função]])</f>
        <v>2564.9663999999998</v>
      </c>
      <c r="P164" s="21">
        <f>tabCustoUnit[[#This Row],[MODULO 1 - REMUNERAÇÃO ]]*SUMIFS(tabParametros[INSS],tabParametros[Código do Posto],tabCustoUnit[[#This Row],[Código do Posto]])</f>
        <v>512.99328000000003</v>
      </c>
      <c r="Q164" s="21">
        <f>tabCustoUnit[[#This Row],[MODULO 1 - REMUNERAÇÃO ]]*SUMIFS(tabParametros[SESI OU SESC],tabParametros[Código do Posto],tabCustoUnit[[#This Row],[Código do Posto]])</f>
        <v>38.474495999999995</v>
      </c>
      <c r="R164" s="21">
        <f>tabCustoUnit[[#This Row],[MODULO 1 - REMUNERAÇÃO ]]*SUMIFS(tabParametros[SENAI OU SENAC],tabParametros[Código do Posto],tabCustoUnit[[#This Row],[Código do Posto]])</f>
        <v>25.649663999999998</v>
      </c>
      <c r="S164" s="21">
        <f>tabCustoUnit[[#This Row],[MODULO 1 - REMUNERAÇÃO ]]*SUMIFS(tabParametros[INCRA],tabParametros[Código do Posto],tabCustoUnit[[#This Row],[Código do Posto]])</f>
        <v>5.1299327999999997</v>
      </c>
      <c r="T164" s="21">
        <f>tabCustoUnit[[#This Row],[MODULO 1 - REMUNERAÇÃO ]]*SUMIFS(tabParametros[Salário Educação],tabParametros[Código do Posto],tabCustoUnit[[#This Row],[Código do Posto]])</f>
        <v>64.124160000000003</v>
      </c>
      <c r="U164" s="21">
        <f>tabCustoUnit[[#This Row],[MODULO 1 - REMUNERAÇÃO ]]*SUMIFS(tabParametros[FGTS],tabParametros[Código do Posto],tabCustoUnit[[#This Row],[Código do Posto]])</f>
        <v>205.19731199999998</v>
      </c>
      <c r="V164" s="21">
        <f>tabCustoUnit[[#This Row],[MODULO 1 - REMUNERAÇÃO ]]*SUMIFS(tabParametros[RAT Ajustado],tabParametros[Código do Posto],tabCustoUnit[[#This Row],[Código do Posto]])</f>
        <v>102.59865599999999</v>
      </c>
      <c r="W164" s="21">
        <f>tabCustoUnit[[#This Row],[MODULO 1 - REMUNERAÇÃO ]]*SUMIFS(tabParametros[SEBRAE],tabParametros[Código do Posto],tabCustoUnit[[#This Row],[Código do Posto]])</f>
        <v>15.389798399999998</v>
      </c>
      <c r="X164" s="21">
        <f>SUM(tabCustoUnit[[#This Row],[INSS]:[SEBRAE]])</f>
        <v>969.5572992000001</v>
      </c>
      <c r="Y164" s="21">
        <f>tabCustoUnit[[#This Row],[MODULO 1 - REMUNERAÇÃO ]]*SUMIFS(tabParametros[13º salário (titular)],tabParametros[Código do Posto],tabCustoUnit[[#This Row],[Código do Posto]])</f>
        <v>213.74719999999996</v>
      </c>
      <c r="Z164" s="21">
        <f>tabCustoUnit[[#This Row],[MODULO 1 - REMUNERAÇÃO ]]*SUMIFS(tabParametros[Férias e Adicional de Férias (titular)],tabParametros[Código do Posto],tabCustoUnit[[#This Row],[Código do Posto]])</f>
        <v>284.9962666666666</v>
      </c>
      <c r="AA164" s="21">
        <f>IFERROR((tabCustoUnit[[#This Row],[Submódulo 2.1]]/tabCustoUnit[[#This Row],[MODULO 1 - REMUNERAÇÃO ]])*SUM(tabCustoUnit[[#This Row],[13º salário (titular)]:[Férias e Adicional de Férias (titular)]]),0)</f>
        <v>188.52503039999999</v>
      </c>
      <c r="AB164" s="21">
        <f>SUM(tabCustoUnit[[#This Row],[13º salário (titular)]:[Incidência do Submódulo 2.1 sobre 13º Salário, Férias e Adicional de Férias]])</f>
        <v>687.26849706666655</v>
      </c>
      <c r="AC164" s="22" t="e">
        <f ca="1">_xlfn.LET(_xlpm.VT,SUMIF(tabParametros[Código do Posto],tabCustoUnit[[#This Row],[Código do Posto]],tabParametros[Vale - Transporte])*2*20,
IF((_xlpm.VT-tabCustoUnit[[#This Row],[Salário Base]]*0.06)&gt;=0,(_xlpm.VT-tabCustoUnit[[#This Row],[Salário Base]]*0.06),0)
)</f>
        <v>#NAME?</v>
      </c>
      <c r="AD164" s="22">
        <f>IF(SUMIF(tabParametros[Código do Posto],tabCustoUnit[[#This Row],[Código do Posto]],tabParametros[Vale - Alimentação])&lt;=0,0,
SUMIF(tabParametros[Código do Posto],tabCustoUnit[[#This Row],[Código do Posto]],tabParametros[Vale - Alimentação])*20-1)</f>
        <v>582</v>
      </c>
      <c r="AE164" s="22">
        <f>SUMIF(tabParametros[Código do Posto],tabCustoUnit[[#This Row],[Código do Posto]],tabParametros[Cesta Básica])</f>
        <v>0</v>
      </c>
      <c r="AF164" s="22">
        <f>SUMIF(tabParametros[Código do Posto],tabCustoUnit[[#This Row],[Código do Posto]],tabParametros[PAF])</f>
        <v>77.25</v>
      </c>
      <c r="AG164" s="22">
        <f>SUMIF(tabParametros[Código do Posto],tabCustoUnit[[#This Row],[Código do Posto]],tabParametros[PQM])</f>
        <v>0</v>
      </c>
      <c r="AH164" s="22">
        <f>SUMIF(tabParametros[Código do Posto],tabCustoUnit[[#This Row],[Código do Posto]],tabParametros[Abono Único e Especial])</f>
        <v>0</v>
      </c>
      <c r="AI164" s="22">
        <f>SUMIF(tabParametros[Código do Posto],tabCustoUnit[[#This Row],[Código do Posto]],tabParametros[Seguro de Vida])</f>
        <v>3.36</v>
      </c>
      <c r="AJ164" s="22">
        <f>SUMIF(tabParametros[Código do Posto],tabCustoUnit[[#This Row],[Código do Posto]],tabParametros[Despesas de Viagem])</f>
        <v>0</v>
      </c>
      <c r="AK164" s="22" t="e">
        <f ca="1">SUM(tabCustoUnit[[#This Row],[Vale - Transporte (Descontada parcela do empregado)]:[Despesas de Viagem]])</f>
        <v>#NAME?</v>
      </c>
      <c r="AL164" s="22" t="e">
        <f ca="1">tabCustoUnit[[#This Row],[Submódulo 2.1]]+tabCustoUnit[[#This Row],[Submódulo 2.2]]+tabCustoUnit[[#This Row],[Submódulo 2.3]]</f>
        <v>#NAME?</v>
      </c>
      <c r="AM164" s="22">
        <f>SUMIF(tabParametros[Código do Posto],tabCustoUnit[[#This Row],[Código do Posto]],tabParametros[Aviso Prévio Indenizado (API) e Reflexo do Aviso Prévio Indenizado])*tabCustoUnit[[#This Row],[MODULO 1 - REMUNERAÇÃO ]]</f>
        <v>17.984946696296294</v>
      </c>
      <c r="AN164" s="22">
        <f>SUMIF(tabParametros[Código do Posto],tabCustoUnit[[#This Row],[Código do Posto]],tabParametros[Incidência do FGTS sobre API e Reflexo do API])*tabCustoUnit[[#This Row],[MODULO 1 - REMUNERAÇÃO ]]</f>
        <v>1.4387957357037038</v>
      </c>
      <c r="AO164" s="22">
        <f>SUMIF(tabParametros[Código do Posto],tabCustoUnit[[#This Row],[Código do Posto]],tabParametros[Multa Rescisória do FGTS sobre o Aviso Prévio Indenizado])*tabCustoUnit[[#This Row],[MODULO 1 - REMUNERAÇÃO ]]</f>
        <v>0.57551829428148149</v>
      </c>
      <c r="AP164" s="22">
        <f>SUMIF(tabParametros[Código do Posto],tabCustoUnit[[#This Row],[Código do Posto]],tabParametros[Aviso Prévio Trabalhado - APT])*tabCustoUnit[[#This Row],[MODULO 1 - REMUNERAÇÃO ]]</f>
        <v>8.9773823999999998</v>
      </c>
      <c r="AQ164" s="22">
        <f>SUMIF(tabParametros[Código do Posto],tabCustoUnit[[#This Row],[Código do Posto]],tabParametros[Incidência dos encargos do submódulo 2.1 sobre Aviso Prévio Trabalhado])*tabCustoUnit[[#This Row],[MODULO 1 - REMUNERAÇÃO ]]</f>
        <v>3.3934505472000009</v>
      </c>
      <c r="AR164" s="22">
        <f>SUMIF(tabParametros[Código do Posto],tabCustoUnit[[#This Row],[Código do Posto]],tabParametros[Multa Rescisória do FGTS])*tabCustoUnit[[#This Row],[MODULO 1 - REMUNERAÇÃO ]]</f>
        <v>78.430972586666655</v>
      </c>
      <c r="AS164" s="22">
        <f>SUMIF(tabParametros[Código do Posto],tabCustoUnit[[#This Row],[Código do Posto]],tabParametros[Indenização Adicional (Art. 9º da Lei nº 7.238/84)])*tabCustoUnit[[#This Row],[MODULO 1 - REMUNERAÇÃO ]]</f>
        <v>2.1374719999999998</v>
      </c>
      <c r="AT164" s="22">
        <f>SUM(tabCustoUnit[[#This Row],[Aviso Prévio Indenizado (API) e Reflexo do Aviso Prévio Indenizado]:[Indenização Adicional (Art. 9º da Lei nº 7.238/84)]])</f>
        <v>112.93853826014814</v>
      </c>
      <c r="AU164" s="22">
        <f>SUMIF(tabParametros[Código do Posto],tabCustoUnit[[#This Row],[Código do Posto]],tabParametros[Ausência por Doença])*tabCustoUnit[[#This Row],[MODULO 1 - REMUNERAÇÃO ]]</f>
        <v>21.659716266666663</v>
      </c>
      <c r="AV164" s="22">
        <f>SUMIF(tabParametros[Código do Posto],tabCustoUnit[[#This Row],[Código do Posto]],tabParametros[Ausências Legais])*tabCustoUnit[[#This Row],[MODULO 1 - REMUNERAÇÃO ]]</f>
        <v>5.2011818666666656</v>
      </c>
      <c r="AW164" s="22">
        <f>SUMIF(tabParametros[Código do Posto],tabCustoUnit[[#This Row],[Código do Posto]],tabParametros[Licença Paternidade])*tabCustoUnit[[#This Row],[MODULO 1 - REMUNERAÇÃO ]]</f>
        <v>0.43818175999999998</v>
      </c>
      <c r="AX164" s="22">
        <f>SUMIF(tabParametros[Código do Posto],tabCustoUnit[[#This Row],[Código do Posto]],tabParametros[Ausência por Acidente de Trabalho])*tabCustoUnit[[#This Row],[MODULO 1 - REMUNERAÇÃO ]]</f>
        <v>0.53436799999999995</v>
      </c>
      <c r="AY164" s="22">
        <f>SUMIF(tabParametros[Código do Posto],tabCustoUnit[[#This Row],[Código do Posto]],tabParametros[Férias, Adicional de Férias e 13º  com empregada em gozo de Licença Maternidade])*tabCustoUnit[[#This Row],[MODULO 1 - REMUNERAÇÃO ]]</f>
        <v>3.3249564444444442</v>
      </c>
      <c r="AZ164" s="22">
        <f>SUMIF(tabParametros[Código do Posto],tabCustoUnit[[#This Row],[Código do Posto]],tabParametros[Incidência do Submódulo 2.1 sobre Ausências Legais])*tabCustoUnit[[#This Row],[MODULO 1 - REMUNERAÇÃO ]]</f>
        <v>11.777876839680001</v>
      </c>
      <c r="BA164" s="22">
        <f>SUM(tabCustoUnit[[#This Row],[Ausência por Doença]:[Incidência do Submódulo 2.1 sobre Ausências Legais]])</f>
        <v>42.936281177457772</v>
      </c>
      <c r="BB164" s="22">
        <f>SUMIF(tabParametros[Código do Posto],tabCustoUnit[[#This Row],[Código do Posto]],tabParametros[Intervalo para Repouso ou Alimentação])</f>
        <v>283.97842209920344</v>
      </c>
      <c r="BC164" s="22">
        <f>tabCustoUnit[[#This Row],[Intervalo para Repouso ou Alimentação]]</f>
        <v>283.97842209920344</v>
      </c>
      <c r="BD16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4" s="22">
        <f>tabCustoUnit[[#This Row],[Suspensão Temporária do Contrato de Trabalho]]</f>
        <v>0</v>
      </c>
      <c r="BF164" s="22">
        <f>tabCustoUnit[[#This Row],[Submódulo 4.1]]+tabCustoUnit[[#This Row],[Submódulo 4.2]]+tabCustoUnit[[#This Row],[Submódulo 4.3]]</f>
        <v>326.91470327666121</v>
      </c>
      <c r="BG164" s="22">
        <f>VLOOKUP(tabCustoUnit[[#This Row],[Código do Posto]],tabParametros[],MATCH(tabCustoUnit[[#Headers],[Uniformes e EPIs]],tabParametros[#Headers],0),0)</f>
        <v>56.642978962543395</v>
      </c>
      <c r="BH164" s="22">
        <f>VLOOKUP(tabCustoUnit[[#This Row],[Código do Posto]],tabParametros[],MATCH(tabCustoUnit[[#Headers],[Materiais de Consumo]],tabParametros[#Headers],0),0)</f>
        <v>0</v>
      </c>
      <c r="BI164" s="22">
        <f>VLOOKUP(tabCustoUnit[[#This Row],[Código do Posto]],tabParametros[],MATCH(tabCustoUnit[[#Headers],[Máquinas e Equipamentos (depreciação)]],tabParametros[#Headers],0),0)</f>
        <v>0</v>
      </c>
      <c r="BJ164" s="22">
        <f>VLOOKUP(tabCustoUnit[[#This Row],[Código do Posto]],tabParametros[],MATCH(tabCustoUnit[[#Headers],[Produtos de Limpeza e Materiais de Higiene Pessoal]],tabParametros[#Headers],0),0)</f>
        <v>0</v>
      </c>
      <c r="BK164" s="22">
        <f>VLOOKUP(tabCustoUnit[[#This Row],[Código do Posto]],tabParametros[],MATCH(tabCustoUnit[[#Headers],[Outros (especificar)]],tabParametros[#Headers],0),0)</f>
        <v>0</v>
      </c>
      <c r="BL164" s="22">
        <f>SUM(tabCustoUnit[[#This Row],[Uniformes e EPIs]:[Outros (especificar)]])</f>
        <v>56.642978962543395</v>
      </c>
      <c r="BM16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4" s="22" t="e">
        <f ca="1">VLOOKUP(tabCustoUnit[[#This Row],[Código do Posto]],tabParametros[],MATCH(tabCustoUnit[[#Headers],[Custos Indiretos]],tabParametros[#Headers],0),0)</f>
        <v>#NAME?</v>
      </c>
      <c r="BO164" s="22" t="e">
        <f ca="1">VLOOKUP(tabCustoUnit[[#This Row],[Código do Posto]],tabParametros[],MATCH(tabCustoUnit[[#Headers],[Lucro]],tabParametros[#Headers],0),0)</f>
        <v>#NAME?</v>
      </c>
      <c r="BP164" s="26">
        <f>((100/((1-tabCustoUnit[[#This Row],[Resumo de Alíquotas (PIS+CONFINS+ISS)]]))-100)*VLOOKUP(tabCustoUnit[[#This Row],[Código do Posto]],tabParametros[],MATCH(tabCustoUnit[[#Headers],[COFINS]],tabParametros[#Headers],0),0))/(tabCustoUnit[[#This Row],[Resumo de Alíquotas (PIS+CONFINS+ISS)]]*100)</f>
        <v>8.5633802816901458E-2</v>
      </c>
      <c r="BQ164" s="26">
        <f>((100/((100-(tabCustoUnit[[#This Row],[Resumo de Alíquotas (PIS+CONFINS+ISS)]]*100))%)-100)*VLOOKUP(tabCustoUnit[[#This Row],[Código do Posto]],tabParametros[],MATCH(tabCustoUnit[[#Headers],[PIS]],tabParametros[#Headers],0),0))/(tabCustoUnit[[#This Row],[Resumo de Alíquotas (PIS+CONFINS+ISS)]]*100)</f>
        <v>1.8591549295774657E-2</v>
      </c>
      <c r="BR164" s="28">
        <f>VLOOKUP(tabCustoUnit[[#This Row],[Código do Posto]],tabParametros[],MATCH(tabCustoUnit[[#Headers],[ISS]],tabParametros[#Headers],0),0)</f>
        <v>0.02</v>
      </c>
      <c r="BS164" s="26">
        <f>(((100/((100-(tabCustoUnit[[#This Row],[Resumo de Alíquotas (PIS+CONFINS+ISS)]]*100))%)-100)*tabCustoUnit[[#This Row],[ISS]])/tabCustoUnit[[#This Row],[Resumo de Alíquotas (PIS+CONFINS+ISS)]])/100</f>
        <v>2.2535211267605645E-2</v>
      </c>
      <c r="BT16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64" s="138">
        <f>tabCustoUnit[[#This Row],[COFINS]]+tabCustoUnit[[#This Row],[PIS]]+tabCustoUnit[[#This Row],[ISS (Conversão Alíquota s/ fatura)]]</f>
        <v>0.12676056338028174</v>
      </c>
      <c r="BV164" s="22" t="e">
        <f ca="1">(tabCustoUnit[[#This Row],[TOTAL MÓDULOS 1+2+3+4+5]]+tabCustoUnit[[#This Row],[Custos Indiretos]]+tabCustoUnit[[#This Row],[Lucro]])*tabCustoUnit[[#This Row],[PIS + COFINS + ISS (Total Conversão  Alíquota s/ Fatura)]]</f>
        <v>#NAME?</v>
      </c>
      <c r="BW164" s="22" t="e">
        <f ca="1">tabCustoUnit[[#This Row],[Custos Indiretos]]+tabCustoUnit[[#This Row],[Lucro]]+tabCustoUnit[[#This Row],[Valor dos Tributos (ISS, PIS, CONFINS)]]</f>
        <v>#NAME?</v>
      </c>
      <c r="BX164" s="22" t="e">
        <f ca="1">tabCustoUnit[[#This Row],[TOTAL MÓDULOS 1+2+3+4+5]]+tabCustoUnit[[#This Row],[MÓDULO 6 – CUSTOS INDIRETOS, TRIBUTOS E LUCRO]]</f>
        <v>#NAME?</v>
      </c>
      <c r="BY164" s="22" t="e">
        <f ca="1">tabCustoUnit[[#This Row],[CUSTO TOTAL MENSAL]]*12</f>
        <v>#NAME?</v>
      </c>
      <c r="BZ164" s="24">
        <f>VLOOKUP(tabCustoUnit[[#This Row],[Código do Posto]],tabParametros[],MATCH(tabCustoUnit[[#Headers],[ANO DA CCT]],tabParametros[#Headers],0),0)</f>
        <v>45658</v>
      </c>
      <c r="CA164" s="25" t="str">
        <f>VLOOKUP(tabCustoUnit[[#This Row],[Código do Posto]],tabParametros[],MATCH(tabCustoUnit[[#Headers],[Nº DE PEDIDO DA CCT]],tabParametros[#Headers],0),0)</f>
        <v>-</v>
      </c>
      <c r="CB164" s="25" t="str">
        <f>VLOOKUP(tabCustoUnit[[#This Row],[Código do Posto]],tabParametros[],MATCH(tabCustoUnit[[#Headers],[TERMO ADITIVO ALTERAÇÃO DA CCT]],tabParametros[#Headers],0),0)</f>
        <v>-</v>
      </c>
    </row>
    <row r="165" spans="1:80">
      <c r="A165" s="20" t="s">
        <v>1615</v>
      </c>
      <c r="B165" t="s">
        <v>1143</v>
      </c>
      <c r="C165" t="s">
        <v>324</v>
      </c>
      <c r="D165" t="s">
        <v>1058</v>
      </c>
      <c r="E165" s="20" t="s">
        <v>1090</v>
      </c>
      <c r="F165" s="20" t="s">
        <v>120</v>
      </c>
      <c r="G165" s="418">
        <v>3397.1306</v>
      </c>
      <c r="H165" s="418">
        <v>0</v>
      </c>
      <c r="I165" s="418">
        <v>0</v>
      </c>
      <c r="J165" s="418">
        <v>0</v>
      </c>
      <c r="K165" s="418">
        <v>0</v>
      </c>
      <c r="L165" s="418">
        <v>0</v>
      </c>
      <c r="M165" s="418">
        <v>0</v>
      </c>
      <c r="N165" s="418">
        <v>0</v>
      </c>
      <c r="O165" s="21">
        <f>SUM(tabCustoUnit[[#This Row],[Salário Base]:[Adicional de Acúmulo de função]])</f>
        <v>3397.1306</v>
      </c>
      <c r="P165" s="21">
        <f>tabCustoUnit[[#This Row],[MODULO 1 - REMUNERAÇÃO ]]*SUMIFS(tabParametros[INSS],tabParametros[Código do Posto],tabCustoUnit[[#This Row],[Código do Posto]])</f>
        <v>679.42612000000008</v>
      </c>
      <c r="Q165" s="21">
        <f>tabCustoUnit[[#This Row],[MODULO 1 - REMUNERAÇÃO ]]*SUMIFS(tabParametros[SESI OU SESC],tabParametros[Código do Posto],tabCustoUnit[[#This Row],[Código do Posto]])</f>
        <v>50.956958999999998</v>
      </c>
      <c r="R165" s="21">
        <f>tabCustoUnit[[#This Row],[MODULO 1 - REMUNERAÇÃO ]]*SUMIFS(tabParametros[SENAI OU SENAC],tabParametros[Código do Posto],tabCustoUnit[[#This Row],[Código do Posto]])</f>
        <v>33.971305999999998</v>
      </c>
      <c r="S165" s="21">
        <f>tabCustoUnit[[#This Row],[MODULO 1 - REMUNERAÇÃO ]]*SUMIFS(tabParametros[INCRA],tabParametros[Código do Posto],tabCustoUnit[[#This Row],[Código do Posto]])</f>
        <v>6.7942612000000002</v>
      </c>
      <c r="T165" s="21">
        <f>tabCustoUnit[[#This Row],[MODULO 1 - REMUNERAÇÃO ]]*SUMIFS(tabParametros[Salário Educação],tabParametros[Código do Posto],tabCustoUnit[[#This Row],[Código do Posto]])</f>
        <v>84.92826500000001</v>
      </c>
      <c r="U165" s="21">
        <f>tabCustoUnit[[#This Row],[MODULO 1 - REMUNERAÇÃO ]]*SUMIFS(tabParametros[FGTS],tabParametros[Código do Posto],tabCustoUnit[[#This Row],[Código do Posto]])</f>
        <v>271.77044799999999</v>
      </c>
      <c r="V165" s="21">
        <f>tabCustoUnit[[#This Row],[MODULO 1 - REMUNERAÇÃO ]]*SUMIFS(tabParametros[RAT Ajustado],tabParametros[Código do Posto],tabCustoUnit[[#This Row],[Código do Posto]])</f>
        <v>135.88522399999999</v>
      </c>
      <c r="W165" s="21">
        <f>tabCustoUnit[[#This Row],[MODULO 1 - REMUNERAÇÃO ]]*SUMIFS(tabParametros[SEBRAE],tabParametros[Código do Posto],tabCustoUnit[[#This Row],[Código do Posto]])</f>
        <v>20.3827836</v>
      </c>
      <c r="X165" s="21">
        <f>SUM(tabCustoUnit[[#This Row],[INSS]:[SEBRAE]])</f>
        <v>1284.1153668000002</v>
      </c>
      <c r="Y165" s="21">
        <f>tabCustoUnit[[#This Row],[MODULO 1 - REMUNERAÇÃO ]]*SUMIFS(tabParametros[13º salário (titular)],tabParametros[Código do Posto],tabCustoUnit[[#This Row],[Código do Posto]])</f>
        <v>283.09421666666663</v>
      </c>
      <c r="Z165" s="21">
        <f>tabCustoUnit[[#This Row],[MODULO 1 - REMUNERAÇÃO ]]*SUMIFS(tabParametros[Férias e Adicional de Férias (titular)],tabParametros[Código do Posto],tabCustoUnit[[#This Row],[Código do Posto]])</f>
        <v>377.45895555555552</v>
      </c>
      <c r="AA165" s="21">
        <f>IFERROR((tabCustoUnit[[#This Row],[Submódulo 2.1]]/tabCustoUnit[[#This Row],[MODULO 1 - REMUNERAÇÃO ]])*SUM(tabCustoUnit[[#This Row],[13º salário (titular)]:[Férias e Adicional de Férias (titular)]]),0)</f>
        <v>249.68909910000002</v>
      </c>
      <c r="AB165" s="21">
        <f>SUM(tabCustoUnit[[#This Row],[13º salário (titular)]:[Incidência do Submódulo 2.1 sobre 13º Salário, Férias e Adicional de Férias]])</f>
        <v>910.24227132222222</v>
      </c>
      <c r="AC165" s="22" t="e">
        <f ca="1">_xlfn.LET(_xlpm.VT,SUMIF(tabParametros[Código do Posto],tabCustoUnit[[#This Row],[Código do Posto]],tabParametros[Vale - Transporte])*2*20,
IF((_xlpm.VT-tabCustoUnit[[#This Row],[Salário Base]]*0.06)&gt;=0,(_xlpm.VT-tabCustoUnit[[#This Row],[Salário Base]]*0.06),0)
)</f>
        <v>#NAME?</v>
      </c>
      <c r="AD165" s="22">
        <f>IF(SUMIF(tabParametros[Código do Posto],tabCustoUnit[[#This Row],[Código do Posto]],tabParametros[Vale - Alimentação])&lt;=0,0,
SUMIF(tabParametros[Código do Posto],tabCustoUnit[[#This Row],[Código do Posto]],tabParametros[Vale - Alimentação])*20-1)</f>
        <v>582</v>
      </c>
      <c r="AE165" s="22">
        <f>SUMIF(tabParametros[Código do Posto],tabCustoUnit[[#This Row],[Código do Posto]],tabParametros[Cesta Básica])</f>
        <v>0</v>
      </c>
      <c r="AF165" s="22">
        <f>SUMIF(tabParametros[Código do Posto],tabCustoUnit[[#This Row],[Código do Posto]],tabParametros[PAF])</f>
        <v>77.25</v>
      </c>
      <c r="AG165" s="22">
        <f>SUMIF(tabParametros[Código do Posto],tabCustoUnit[[#This Row],[Código do Posto]],tabParametros[PQM])</f>
        <v>0</v>
      </c>
      <c r="AH165" s="22">
        <f>SUMIF(tabParametros[Código do Posto],tabCustoUnit[[#This Row],[Código do Posto]],tabParametros[Abono Único e Especial])</f>
        <v>0</v>
      </c>
      <c r="AI165" s="22">
        <f>SUMIF(tabParametros[Código do Posto],tabCustoUnit[[#This Row],[Código do Posto]],tabParametros[Seguro de Vida])</f>
        <v>3.36</v>
      </c>
      <c r="AJ165" s="22">
        <f>SUMIF(tabParametros[Código do Posto],tabCustoUnit[[#This Row],[Código do Posto]],tabParametros[Despesas de Viagem])</f>
        <v>0</v>
      </c>
      <c r="AK165" s="22" t="e">
        <f ca="1">SUM(tabCustoUnit[[#This Row],[Vale - Transporte (Descontada parcela do empregado)]:[Despesas de Viagem]])</f>
        <v>#NAME?</v>
      </c>
      <c r="AL165" s="22" t="e">
        <f ca="1">tabCustoUnit[[#This Row],[Submódulo 2.1]]+tabCustoUnit[[#This Row],[Submódulo 2.2]]+tabCustoUnit[[#This Row],[Submódulo 2.3]]</f>
        <v>#NAME?</v>
      </c>
      <c r="AM165" s="22">
        <f>SUMIF(tabParametros[Código do Posto],tabCustoUnit[[#This Row],[Código do Posto]],tabParametros[Aviso Prévio Indenizado (API) e Reflexo do Aviso Prévio Indenizado])*tabCustoUnit[[#This Row],[MODULO 1 - REMUNERAÇÃO ]]</f>
        <v>23.819888151890432</v>
      </c>
      <c r="AN165" s="22">
        <f>SUMIF(tabParametros[Código do Posto],tabCustoUnit[[#This Row],[Código do Posto]],tabParametros[Incidência do FGTS sobre API e Reflexo do API])*tabCustoUnit[[#This Row],[MODULO 1 - REMUNERAÇÃO ]]</f>
        <v>1.9055910521512347</v>
      </c>
      <c r="AO165" s="22">
        <f>SUMIF(tabParametros[Código do Posto],tabCustoUnit[[#This Row],[Código do Posto]],tabParametros[Multa Rescisória do FGTS sobre o Aviso Prévio Indenizado])*tabCustoUnit[[#This Row],[MODULO 1 - REMUNERAÇÃO ]]</f>
        <v>0.76223642086049392</v>
      </c>
      <c r="AP165" s="22">
        <f>SUMIF(tabParametros[Código do Posto],tabCustoUnit[[#This Row],[Código do Posto]],tabParametros[Aviso Prévio Trabalhado - APT])*tabCustoUnit[[#This Row],[MODULO 1 - REMUNERAÇÃO ]]</f>
        <v>11.889957100000002</v>
      </c>
      <c r="AQ165" s="22">
        <f>SUMIF(tabParametros[Código do Posto],tabCustoUnit[[#This Row],[Código do Posto]],tabParametros[Incidência dos encargos do submódulo 2.1 sobre Aviso Prévio Trabalhado])*tabCustoUnit[[#This Row],[MODULO 1 - REMUNERAÇÃO ]]</f>
        <v>4.4944037838000011</v>
      </c>
      <c r="AR165" s="22">
        <f>SUMIF(tabParametros[Código do Posto],tabCustoUnit[[#This Row],[Código do Posto]],tabParametros[Multa Rescisória do FGTS])*tabCustoUnit[[#This Row],[MODULO 1 - REMUNERAÇÃO ]]</f>
        <v>103.87670456888887</v>
      </c>
      <c r="AS165" s="22">
        <f>SUMIF(tabParametros[Código do Posto],tabCustoUnit[[#This Row],[Código do Posto]],tabParametros[Indenização Adicional (Art. 9º da Lei nº 7.238/84)])*tabCustoUnit[[#This Row],[MODULO 1 - REMUNERAÇÃO ]]</f>
        <v>2.830942166666667</v>
      </c>
      <c r="AT165" s="22">
        <f>SUM(tabCustoUnit[[#This Row],[Aviso Prévio Indenizado (API) e Reflexo do Aviso Prévio Indenizado]:[Indenização Adicional (Art. 9º da Lei nº 7.238/84)]])</f>
        <v>149.57972324425771</v>
      </c>
      <c r="AU165" s="22">
        <f>SUMIF(tabParametros[Código do Posto],tabCustoUnit[[#This Row],[Código do Posto]],tabParametros[Ausência por Doença])*tabCustoUnit[[#This Row],[MODULO 1 - REMUNERAÇÃO ]]</f>
        <v>28.686880622222219</v>
      </c>
      <c r="AV165" s="22">
        <f>SUMIF(tabParametros[Código do Posto],tabCustoUnit[[#This Row],[Código do Posto]],tabParametros[Ausências Legais])*tabCustoUnit[[#This Row],[MODULO 1 - REMUNERAÇÃO ]]</f>
        <v>6.8886259388888886</v>
      </c>
      <c r="AW165" s="22">
        <f>SUMIF(tabParametros[Código do Posto],tabCustoUnit[[#This Row],[Código do Posto]],tabParametros[Licença Paternidade])*tabCustoUnit[[#This Row],[MODULO 1 - REMUNERAÇÃO ]]</f>
        <v>0.58034314416666666</v>
      </c>
      <c r="AX165" s="22">
        <f>SUMIF(tabParametros[Código do Posto],tabCustoUnit[[#This Row],[Código do Posto]],tabParametros[Ausência por Acidente de Trabalho])*tabCustoUnit[[#This Row],[MODULO 1 - REMUNERAÇÃO ]]</f>
        <v>0.70773554166666675</v>
      </c>
      <c r="AY165" s="22">
        <f>SUMIF(tabParametros[Código do Posto],tabCustoUnit[[#This Row],[Código do Posto]],tabParametros[Férias, Adicional de Férias e 13º  com empregada em gozo de Licença Maternidade])*tabCustoUnit[[#This Row],[MODULO 1 - REMUNERAÇÃO ]]</f>
        <v>4.4036878148148144</v>
      </c>
      <c r="AZ165" s="22">
        <f>SUMIF(tabParametros[Código do Posto],tabCustoUnit[[#This Row],[Código do Posto]],tabParametros[Incidência do Submódulo 2.1 sobre Ausências Legais])*tabCustoUnit[[#This Row],[MODULO 1 - REMUNERAÇÃO ]]</f>
        <v>15.599029217345002</v>
      </c>
      <c r="BA165" s="22">
        <f>SUM(tabCustoUnit[[#This Row],[Ausência por Doença]:[Incidência do Submódulo 2.1 sobre Ausências Legais]])</f>
        <v>56.866302279104261</v>
      </c>
      <c r="BB165" s="22">
        <f>SUMIF(tabParametros[Código do Posto],tabCustoUnit[[#This Row],[Código do Posto]],tabParametros[Intervalo para Repouso ou Alimentação])</f>
        <v>0</v>
      </c>
      <c r="BC165" s="22">
        <f>tabCustoUnit[[#This Row],[Intervalo para Repouso ou Alimentação]]</f>
        <v>0</v>
      </c>
      <c r="BD16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5" s="22">
        <f>tabCustoUnit[[#This Row],[Suspensão Temporária do Contrato de Trabalho]]</f>
        <v>0</v>
      </c>
      <c r="BF165" s="22">
        <f>tabCustoUnit[[#This Row],[Submódulo 4.1]]+tabCustoUnit[[#This Row],[Submódulo 4.2]]+tabCustoUnit[[#This Row],[Submódulo 4.3]]</f>
        <v>56.866302279104261</v>
      </c>
      <c r="BG165" s="22">
        <f>VLOOKUP(tabCustoUnit[[#This Row],[Código do Posto]],tabParametros[],MATCH(tabCustoUnit[[#Headers],[Uniformes e EPIs]],tabParametros[#Headers],0),0)</f>
        <v>56.642978962543395</v>
      </c>
      <c r="BH165" s="22">
        <f>VLOOKUP(tabCustoUnit[[#This Row],[Código do Posto]],tabParametros[],MATCH(tabCustoUnit[[#Headers],[Materiais de Consumo]],tabParametros[#Headers],0),0)</f>
        <v>0</v>
      </c>
      <c r="BI165" s="22">
        <f>VLOOKUP(tabCustoUnit[[#This Row],[Código do Posto]],tabParametros[],MATCH(tabCustoUnit[[#Headers],[Máquinas e Equipamentos (depreciação)]],tabParametros[#Headers],0),0)</f>
        <v>0</v>
      </c>
      <c r="BJ165" s="22">
        <f>VLOOKUP(tabCustoUnit[[#This Row],[Código do Posto]],tabParametros[],MATCH(tabCustoUnit[[#Headers],[Produtos de Limpeza e Materiais de Higiene Pessoal]],tabParametros[#Headers],0),0)</f>
        <v>0</v>
      </c>
      <c r="BK165" s="22">
        <f>VLOOKUP(tabCustoUnit[[#This Row],[Código do Posto]],tabParametros[],MATCH(tabCustoUnit[[#Headers],[Outros (especificar)]],tabParametros[#Headers],0),0)</f>
        <v>0</v>
      </c>
      <c r="BL165" s="22">
        <f>SUM(tabCustoUnit[[#This Row],[Uniformes e EPIs]:[Outros (especificar)]])</f>
        <v>56.642978962543395</v>
      </c>
      <c r="BM16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5" s="22" t="e">
        <f ca="1">VLOOKUP(tabCustoUnit[[#This Row],[Código do Posto]],tabParametros[],MATCH(tabCustoUnit[[#Headers],[Custos Indiretos]],tabParametros[#Headers],0),0)</f>
        <v>#NAME?</v>
      </c>
      <c r="BO165" s="22" t="e">
        <f ca="1">VLOOKUP(tabCustoUnit[[#This Row],[Código do Posto]],tabParametros[],MATCH(tabCustoUnit[[#Headers],[Lucro]],tabParametros[#Headers],0),0)</f>
        <v>#NAME?</v>
      </c>
      <c r="BP165" s="26">
        <f>((100/((1-tabCustoUnit[[#This Row],[Resumo de Alíquotas (PIS+CONFINS+ISS)]]))-100)*VLOOKUP(tabCustoUnit[[#This Row],[Código do Posto]],tabParametros[],MATCH(tabCustoUnit[[#Headers],[COFINS]],tabParametros[#Headers],0),0))/(tabCustoUnit[[#This Row],[Resumo de Alíquotas (PIS+CONFINS+ISS)]]*100)</f>
        <v>8.5633802816901458E-2</v>
      </c>
      <c r="BQ165" s="26">
        <f>((100/((100-(tabCustoUnit[[#This Row],[Resumo de Alíquotas (PIS+CONFINS+ISS)]]*100))%)-100)*VLOOKUP(tabCustoUnit[[#This Row],[Código do Posto]],tabParametros[],MATCH(tabCustoUnit[[#Headers],[PIS]],tabParametros[#Headers],0),0))/(tabCustoUnit[[#This Row],[Resumo de Alíquotas (PIS+CONFINS+ISS)]]*100)</f>
        <v>1.8591549295774657E-2</v>
      </c>
      <c r="BR165" s="28">
        <f>VLOOKUP(tabCustoUnit[[#This Row],[Código do Posto]],tabParametros[],MATCH(tabCustoUnit[[#Headers],[ISS]],tabParametros[#Headers],0),0)</f>
        <v>0.02</v>
      </c>
      <c r="BS165" s="26">
        <f>(((100/((100-(tabCustoUnit[[#This Row],[Resumo de Alíquotas (PIS+CONFINS+ISS)]]*100))%)-100)*tabCustoUnit[[#This Row],[ISS]])/tabCustoUnit[[#This Row],[Resumo de Alíquotas (PIS+CONFINS+ISS)]])/100</f>
        <v>2.2535211267605645E-2</v>
      </c>
      <c r="BT16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65" s="138">
        <f>tabCustoUnit[[#This Row],[COFINS]]+tabCustoUnit[[#This Row],[PIS]]+tabCustoUnit[[#This Row],[ISS (Conversão Alíquota s/ fatura)]]</f>
        <v>0.12676056338028174</v>
      </c>
      <c r="BV165" s="22" t="e">
        <f ca="1">(tabCustoUnit[[#This Row],[TOTAL MÓDULOS 1+2+3+4+5]]+tabCustoUnit[[#This Row],[Custos Indiretos]]+tabCustoUnit[[#This Row],[Lucro]])*tabCustoUnit[[#This Row],[PIS + COFINS + ISS (Total Conversão  Alíquota s/ Fatura)]]</f>
        <v>#NAME?</v>
      </c>
      <c r="BW165" s="22" t="e">
        <f ca="1">tabCustoUnit[[#This Row],[Custos Indiretos]]+tabCustoUnit[[#This Row],[Lucro]]+tabCustoUnit[[#This Row],[Valor dos Tributos (ISS, PIS, CONFINS)]]</f>
        <v>#NAME?</v>
      </c>
      <c r="BX165" s="22" t="e">
        <f ca="1">tabCustoUnit[[#This Row],[TOTAL MÓDULOS 1+2+3+4+5]]+tabCustoUnit[[#This Row],[MÓDULO 6 – CUSTOS INDIRETOS, TRIBUTOS E LUCRO]]</f>
        <v>#NAME?</v>
      </c>
      <c r="BY165" s="22" t="e">
        <f ca="1">tabCustoUnit[[#This Row],[CUSTO TOTAL MENSAL]]*12</f>
        <v>#NAME?</v>
      </c>
      <c r="BZ165" s="24">
        <f>VLOOKUP(tabCustoUnit[[#This Row],[Código do Posto]],tabParametros[],MATCH(tabCustoUnit[[#Headers],[ANO DA CCT]],tabParametros[#Headers],0),0)</f>
        <v>45658</v>
      </c>
      <c r="CA165" s="25" t="str">
        <f>VLOOKUP(tabCustoUnit[[#This Row],[Código do Posto]],tabParametros[],MATCH(tabCustoUnit[[#Headers],[Nº DE PEDIDO DA CCT]],tabParametros[#Headers],0),0)</f>
        <v>-</v>
      </c>
      <c r="CB165" s="25" t="str">
        <f>VLOOKUP(tabCustoUnit[[#This Row],[Código do Posto]],tabParametros[],MATCH(tabCustoUnit[[#Headers],[TERMO ADITIVO ALTERAÇÃO DA CCT]],tabParametros[#Headers],0),0)</f>
        <v>-</v>
      </c>
    </row>
    <row r="166" spans="1:80">
      <c r="A166" s="20" t="s">
        <v>1476</v>
      </c>
      <c r="B166" t="s">
        <v>1144</v>
      </c>
      <c r="C166" t="s">
        <v>200</v>
      </c>
      <c r="D166" t="s">
        <v>1041</v>
      </c>
      <c r="E166" s="20" t="s">
        <v>1090</v>
      </c>
      <c r="F166" s="20" t="s">
        <v>120</v>
      </c>
      <c r="G166" s="418">
        <v>1596.2737999999999</v>
      </c>
      <c r="H166" s="418">
        <v>0</v>
      </c>
      <c r="I166" s="418">
        <v>0</v>
      </c>
      <c r="J166" s="418">
        <v>0</v>
      </c>
      <c r="K166" s="418">
        <v>0</v>
      </c>
      <c r="L166" s="418">
        <v>0</v>
      </c>
      <c r="M166" s="418">
        <v>0</v>
      </c>
      <c r="N166" s="418">
        <v>0</v>
      </c>
      <c r="O166" s="21">
        <f>SUM(tabCustoUnit[[#This Row],[Salário Base]:[Adicional de Acúmulo de função]])</f>
        <v>1596.2737999999999</v>
      </c>
      <c r="P166" s="21">
        <f>tabCustoUnit[[#This Row],[MODULO 1 - REMUNERAÇÃO ]]*SUMIFS(tabParametros[INSS],tabParametros[Código do Posto],tabCustoUnit[[#This Row],[Código do Posto]])</f>
        <v>319.25476000000003</v>
      </c>
      <c r="Q166" s="21">
        <f>tabCustoUnit[[#This Row],[MODULO 1 - REMUNERAÇÃO ]]*SUMIFS(tabParametros[SESI OU SESC],tabParametros[Código do Posto],tabCustoUnit[[#This Row],[Código do Posto]])</f>
        <v>23.944106999999999</v>
      </c>
      <c r="R166" s="21">
        <f>tabCustoUnit[[#This Row],[MODULO 1 - REMUNERAÇÃO ]]*SUMIFS(tabParametros[SENAI OU SENAC],tabParametros[Código do Posto],tabCustoUnit[[#This Row],[Código do Posto]])</f>
        <v>15.962738</v>
      </c>
      <c r="S166" s="21">
        <f>tabCustoUnit[[#This Row],[MODULO 1 - REMUNERAÇÃO ]]*SUMIFS(tabParametros[INCRA],tabParametros[Código do Posto],tabCustoUnit[[#This Row],[Código do Posto]])</f>
        <v>3.1925476000000002</v>
      </c>
      <c r="T166" s="21">
        <f>tabCustoUnit[[#This Row],[MODULO 1 - REMUNERAÇÃO ]]*SUMIFS(tabParametros[Salário Educação],tabParametros[Código do Posto],tabCustoUnit[[#This Row],[Código do Posto]])</f>
        <v>39.906845000000004</v>
      </c>
      <c r="U166" s="21">
        <f>tabCustoUnit[[#This Row],[MODULO 1 - REMUNERAÇÃO ]]*SUMIFS(tabParametros[FGTS],tabParametros[Código do Posto],tabCustoUnit[[#This Row],[Código do Posto]])</f>
        <v>127.701904</v>
      </c>
      <c r="V166" s="21">
        <f>tabCustoUnit[[#This Row],[MODULO 1 - REMUNERAÇÃO ]]*SUMIFS(tabParametros[RAT Ajustado],tabParametros[Código do Posto],tabCustoUnit[[#This Row],[Código do Posto]])</f>
        <v>63.850951999999999</v>
      </c>
      <c r="W166" s="21">
        <f>tabCustoUnit[[#This Row],[MODULO 1 - REMUNERAÇÃO ]]*SUMIFS(tabParametros[SEBRAE],tabParametros[Código do Posto],tabCustoUnit[[#This Row],[Código do Posto]])</f>
        <v>9.5776427999999996</v>
      </c>
      <c r="X166" s="21">
        <f>SUM(tabCustoUnit[[#This Row],[INSS]:[SEBRAE]])</f>
        <v>603.39149640000005</v>
      </c>
      <c r="Y166" s="21">
        <f>tabCustoUnit[[#This Row],[MODULO 1 - REMUNERAÇÃO ]]*SUMIFS(tabParametros[13º salário (titular)],tabParametros[Código do Posto],tabCustoUnit[[#This Row],[Código do Posto]])</f>
        <v>133.02281666666664</v>
      </c>
      <c r="Z166" s="21">
        <f>tabCustoUnit[[#This Row],[MODULO 1 - REMUNERAÇÃO ]]*SUMIFS(tabParametros[Férias e Adicional de Férias (titular)],tabParametros[Código do Posto],tabCustoUnit[[#This Row],[Código do Posto]])</f>
        <v>177.36375555555554</v>
      </c>
      <c r="AA166" s="21">
        <f>IFERROR((tabCustoUnit[[#This Row],[Submódulo 2.1]]/tabCustoUnit[[#This Row],[MODULO 1 - REMUNERAÇÃO ]])*SUM(tabCustoUnit[[#This Row],[13º salário (titular)]:[Férias e Adicional de Férias (titular)]]),0)</f>
        <v>117.3261243</v>
      </c>
      <c r="AB166" s="21">
        <f>SUM(tabCustoUnit[[#This Row],[13º salário (titular)]:[Incidência do Submódulo 2.1 sobre 13º Salário, Férias e Adicional de Férias]])</f>
        <v>427.71269652222219</v>
      </c>
      <c r="AC166" s="22" t="e">
        <f ca="1">_xlfn.LET(_xlpm.VT,SUMIF(tabParametros[Código do Posto],tabCustoUnit[[#This Row],[Código do Posto]],tabParametros[Vale - Transporte])*2*20,
IF((_xlpm.VT-tabCustoUnit[[#This Row],[Salário Base]]*0.06)&gt;=0,(_xlpm.VT-tabCustoUnit[[#This Row],[Salário Base]]*0.06),0)
)</f>
        <v>#NAME?</v>
      </c>
      <c r="AD166" s="22">
        <f>IF(SUMIF(tabParametros[Código do Posto],tabCustoUnit[[#This Row],[Código do Posto]],tabParametros[Vale - Alimentação])&lt;=0,0,
SUMIF(tabParametros[Código do Posto],tabCustoUnit[[#This Row],[Código do Posto]],tabParametros[Vale - Alimentação])*20-1)</f>
        <v>582</v>
      </c>
      <c r="AE166" s="22">
        <f>SUMIF(tabParametros[Código do Posto],tabCustoUnit[[#This Row],[Código do Posto]],tabParametros[Cesta Básica])</f>
        <v>0</v>
      </c>
      <c r="AF166" s="22">
        <f>SUMIF(tabParametros[Código do Posto],tabCustoUnit[[#This Row],[Código do Posto]],tabParametros[PAF])</f>
        <v>51.86</v>
      </c>
      <c r="AG166" s="22">
        <f>SUMIF(tabParametros[Código do Posto],tabCustoUnit[[#This Row],[Código do Posto]],tabParametros[PQM])</f>
        <v>0</v>
      </c>
      <c r="AH166" s="22">
        <f>SUMIF(tabParametros[Código do Posto],tabCustoUnit[[#This Row],[Código do Posto]],tabParametros[Abono Único e Especial])</f>
        <v>0</v>
      </c>
      <c r="AI166" s="22">
        <f>SUMIF(tabParametros[Código do Posto],tabCustoUnit[[#This Row],[Código do Posto]],tabParametros[Seguro de Vida])</f>
        <v>3.36</v>
      </c>
      <c r="AJ166" s="22">
        <f>SUMIF(tabParametros[Código do Posto],tabCustoUnit[[#This Row],[Código do Posto]],tabParametros[Despesas de Viagem])</f>
        <v>0</v>
      </c>
      <c r="AK166" s="22" t="e">
        <f ca="1">SUM(tabCustoUnit[[#This Row],[Vale - Transporte (Descontada parcela do empregado)]:[Despesas de Viagem]])</f>
        <v>#NAME?</v>
      </c>
      <c r="AL166" s="22" t="e">
        <f ca="1">tabCustoUnit[[#This Row],[Submódulo 2.1]]+tabCustoUnit[[#This Row],[Submódulo 2.2]]+tabCustoUnit[[#This Row],[Submódulo 2.3]]</f>
        <v>#NAME?</v>
      </c>
      <c r="AM166" s="22">
        <f>SUMIF(tabParametros[Código do Posto],tabCustoUnit[[#This Row],[Código do Posto]],tabParametros[Aviso Prévio Indenizado (API) e Reflexo do Aviso Prévio Indenizado])*tabCustoUnit[[#This Row],[MODULO 1 - REMUNERAÇÃO ]]</f>
        <v>11.192699914390431</v>
      </c>
      <c r="AN166" s="22">
        <f>SUMIF(tabParametros[Código do Posto],tabCustoUnit[[#This Row],[Código do Posto]],tabParametros[Incidência do FGTS sobre API e Reflexo do API])*tabCustoUnit[[#This Row],[MODULO 1 - REMUNERAÇÃO ]]</f>
        <v>0.89541599315123466</v>
      </c>
      <c r="AO166" s="22">
        <f>SUMIF(tabParametros[Código do Posto],tabCustoUnit[[#This Row],[Código do Posto]],tabParametros[Multa Rescisória do FGTS sobre o Aviso Prévio Indenizado])*tabCustoUnit[[#This Row],[MODULO 1 - REMUNERAÇÃO ]]</f>
        <v>0.35816639726049387</v>
      </c>
      <c r="AP166" s="22">
        <f>SUMIF(tabParametros[Código do Posto],tabCustoUnit[[#This Row],[Código do Posto]],tabParametros[Aviso Prévio Trabalhado - APT])*tabCustoUnit[[#This Row],[MODULO 1 - REMUNERAÇÃO ]]</f>
        <v>5.5869583000000009</v>
      </c>
      <c r="AQ166" s="22">
        <f>SUMIF(tabParametros[Código do Posto],tabCustoUnit[[#This Row],[Código do Posto]],tabParametros[Incidência dos encargos do submódulo 2.1 sobre Aviso Prévio Trabalhado])*tabCustoUnit[[#This Row],[MODULO 1 - REMUNERAÇÃO ]]</f>
        <v>2.1118702374000007</v>
      </c>
      <c r="AR166" s="22">
        <f>SUMIF(tabParametros[Código do Posto],tabCustoUnit[[#This Row],[Código do Posto]],tabParametros[Multa Rescisória do FGTS])*tabCustoUnit[[#This Row],[MODULO 1 - REMUNERAÇÃO ]]</f>
        <v>48.810505528888882</v>
      </c>
      <c r="AS166" s="22">
        <f>SUMIF(tabParametros[Código do Posto],tabCustoUnit[[#This Row],[Código do Posto]],tabParametros[Indenização Adicional (Art. 9º da Lei nº 7.238/84)])*tabCustoUnit[[#This Row],[MODULO 1 - REMUNERAÇÃO ]]</f>
        <v>1.3302281666666667</v>
      </c>
      <c r="AT166" s="22">
        <f>SUM(tabCustoUnit[[#This Row],[Aviso Prévio Indenizado (API) e Reflexo do Aviso Prévio Indenizado]:[Indenização Adicional (Art. 9º da Lei nº 7.238/84)]])</f>
        <v>70.285844537757711</v>
      </c>
      <c r="AU166" s="22">
        <f>SUMIF(tabParametros[Código do Posto],tabCustoUnit[[#This Row],[Código do Posto]],tabParametros[Ausência por Doença])*tabCustoUnit[[#This Row],[MODULO 1 - REMUNERAÇÃO ]]</f>
        <v>13.479645422222221</v>
      </c>
      <c r="AV166" s="22">
        <f>SUMIF(tabParametros[Código do Posto],tabCustoUnit[[#This Row],[Código do Posto]],tabParametros[Ausências Legais])*tabCustoUnit[[#This Row],[MODULO 1 - REMUNERAÇÃO ]]</f>
        <v>3.2368885388888886</v>
      </c>
      <c r="AW166" s="22">
        <f>SUMIF(tabParametros[Código do Posto],tabCustoUnit[[#This Row],[Código do Posto]],tabParametros[Licença Paternidade])*tabCustoUnit[[#This Row],[MODULO 1 - REMUNERAÇÃO ]]</f>
        <v>0.27269677416666666</v>
      </c>
      <c r="AX166" s="22">
        <f>SUMIF(tabParametros[Código do Posto],tabCustoUnit[[#This Row],[Código do Posto]],tabParametros[Ausência por Acidente de Trabalho])*tabCustoUnit[[#This Row],[MODULO 1 - REMUNERAÇÃO ]]</f>
        <v>0.33255704166666666</v>
      </c>
      <c r="AY166" s="22">
        <f>SUMIF(tabParametros[Código do Posto],tabCustoUnit[[#This Row],[Código do Posto]],tabParametros[Férias, Adicional de Férias e 13º  com empregada em gozo de Licença Maternidade])*tabCustoUnit[[#This Row],[MODULO 1 - REMUNERAÇÃO ]]</f>
        <v>2.0692438148148145</v>
      </c>
      <c r="AZ166" s="22">
        <f>SUMIF(tabParametros[Código do Posto],tabCustoUnit[[#This Row],[Código do Posto]],tabParametros[Incidência do Submódulo 2.1 sobre Ausências Legais])*tabCustoUnit[[#This Row],[MODULO 1 - REMUNERAÇÃO ]]</f>
        <v>7.3298099416850011</v>
      </c>
      <c r="BA166" s="22">
        <f>SUM(tabCustoUnit[[#This Row],[Ausência por Doença]:[Incidência do Submódulo 2.1 sobre Ausências Legais]])</f>
        <v>26.720841533444265</v>
      </c>
      <c r="BB166" s="22">
        <f>SUMIF(tabParametros[Código do Posto],tabCustoUnit[[#This Row],[Código do Posto]],tabParametros[Intervalo para Repouso ou Alimentação])</f>
        <v>0</v>
      </c>
      <c r="BC166" s="22">
        <f>tabCustoUnit[[#This Row],[Intervalo para Repouso ou Alimentação]]</f>
        <v>0</v>
      </c>
      <c r="BD16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6" s="22">
        <f>tabCustoUnit[[#This Row],[Suspensão Temporária do Contrato de Trabalho]]</f>
        <v>0</v>
      </c>
      <c r="BF166" s="22">
        <f>tabCustoUnit[[#This Row],[Submódulo 4.1]]+tabCustoUnit[[#This Row],[Submódulo 4.2]]+tabCustoUnit[[#This Row],[Submódulo 4.3]]</f>
        <v>26.720841533444265</v>
      </c>
      <c r="BG166" s="22">
        <f>VLOOKUP(tabCustoUnit[[#This Row],[Código do Posto]],tabParametros[],MATCH(tabCustoUnit[[#Headers],[Uniformes e EPIs]],tabParametros[#Headers],0),0)</f>
        <v>56.141713661989918</v>
      </c>
      <c r="BH166" s="22">
        <f>VLOOKUP(tabCustoUnit[[#This Row],[Código do Posto]],tabParametros[],MATCH(tabCustoUnit[[#Headers],[Materiais de Consumo]],tabParametros[#Headers],0),0)</f>
        <v>0</v>
      </c>
      <c r="BI166" s="22">
        <f>VLOOKUP(tabCustoUnit[[#This Row],[Código do Posto]],tabParametros[],MATCH(tabCustoUnit[[#Headers],[Máquinas e Equipamentos (depreciação)]],tabParametros[#Headers],0),0)</f>
        <v>0</v>
      </c>
      <c r="BJ166" s="22">
        <f>VLOOKUP(tabCustoUnit[[#This Row],[Código do Posto]],tabParametros[],MATCH(tabCustoUnit[[#Headers],[Produtos de Limpeza e Materiais de Higiene Pessoal]],tabParametros[#Headers],0),0)</f>
        <v>0</v>
      </c>
      <c r="BK166" s="22">
        <f>VLOOKUP(tabCustoUnit[[#This Row],[Código do Posto]],tabParametros[],MATCH(tabCustoUnit[[#Headers],[Outros (especificar)]],tabParametros[#Headers],0),0)</f>
        <v>0</v>
      </c>
      <c r="BL166" s="22">
        <f>SUM(tabCustoUnit[[#This Row],[Uniformes e EPIs]:[Outros (especificar)]])</f>
        <v>56.141713661989918</v>
      </c>
      <c r="BM16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6" s="22" t="e">
        <f ca="1">VLOOKUP(tabCustoUnit[[#This Row],[Código do Posto]],tabParametros[],MATCH(tabCustoUnit[[#Headers],[Custos Indiretos]],tabParametros[#Headers],0),0)</f>
        <v>#NAME?</v>
      </c>
      <c r="BO166" s="22" t="e">
        <f ca="1">VLOOKUP(tabCustoUnit[[#This Row],[Código do Posto]],tabParametros[],MATCH(tabCustoUnit[[#Headers],[Lucro]],tabParametros[#Headers],0),0)</f>
        <v>#NAME?</v>
      </c>
      <c r="BP166" s="26">
        <f>((100/((1-tabCustoUnit[[#This Row],[Resumo de Alíquotas (PIS+CONFINS+ISS)]]))-100)*VLOOKUP(tabCustoUnit[[#This Row],[Código do Posto]],tabParametros[],MATCH(tabCustoUnit[[#Headers],[COFINS]],tabParametros[#Headers],0),0))/(tabCustoUnit[[#This Row],[Resumo de Alíquotas (PIS+CONFINS+ISS)]]*100)</f>
        <v>8.6609686609686695E-2</v>
      </c>
      <c r="BQ166" s="26">
        <f>((100/((100-(tabCustoUnit[[#This Row],[Resumo de Alíquotas (PIS+CONFINS+ISS)]]*100))%)-100)*VLOOKUP(tabCustoUnit[[#This Row],[Código do Posto]],tabParametros[],MATCH(tabCustoUnit[[#Headers],[PIS]],tabParametros[#Headers],0),0))/(tabCustoUnit[[#This Row],[Resumo de Alíquotas (PIS+CONFINS+ISS)]]*100)</f>
        <v>1.880341880341882E-2</v>
      </c>
      <c r="BR166" s="28">
        <f>VLOOKUP(tabCustoUnit[[#This Row],[Código do Posto]],tabParametros[],MATCH(tabCustoUnit[[#Headers],[ISS]],tabParametros[#Headers],0),0)</f>
        <v>0.03</v>
      </c>
      <c r="BS166" s="26">
        <f>(((100/((100-(tabCustoUnit[[#This Row],[Resumo de Alíquotas (PIS+CONFINS+ISS)]]*100))%)-100)*tabCustoUnit[[#This Row],[ISS]])/tabCustoUnit[[#This Row],[Resumo de Alíquotas (PIS+CONFINS+ISS)]])/100</f>
        <v>3.4188034188034219E-2</v>
      </c>
      <c r="BT16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6" s="138">
        <f>tabCustoUnit[[#This Row],[COFINS]]+tabCustoUnit[[#This Row],[PIS]]+tabCustoUnit[[#This Row],[ISS (Conversão Alíquota s/ fatura)]]</f>
        <v>0.13960113960113973</v>
      </c>
      <c r="BV166" s="22" t="e">
        <f ca="1">(tabCustoUnit[[#This Row],[TOTAL MÓDULOS 1+2+3+4+5]]+tabCustoUnit[[#This Row],[Custos Indiretos]]+tabCustoUnit[[#This Row],[Lucro]])*tabCustoUnit[[#This Row],[PIS + COFINS + ISS (Total Conversão  Alíquota s/ Fatura)]]</f>
        <v>#NAME?</v>
      </c>
      <c r="BW166" s="22" t="e">
        <f ca="1">tabCustoUnit[[#This Row],[Custos Indiretos]]+tabCustoUnit[[#This Row],[Lucro]]+tabCustoUnit[[#This Row],[Valor dos Tributos (ISS, PIS, CONFINS)]]</f>
        <v>#NAME?</v>
      </c>
      <c r="BX166" s="22" t="e">
        <f ca="1">tabCustoUnit[[#This Row],[TOTAL MÓDULOS 1+2+3+4+5]]+tabCustoUnit[[#This Row],[MÓDULO 6 – CUSTOS INDIRETOS, TRIBUTOS E LUCRO]]</f>
        <v>#NAME?</v>
      </c>
      <c r="BY166" s="22" t="e">
        <f ca="1">tabCustoUnit[[#This Row],[CUSTO TOTAL MENSAL]]*12</f>
        <v>#NAME?</v>
      </c>
      <c r="BZ166" s="24">
        <f>VLOOKUP(tabCustoUnit[[#This Row],[Código do Posto]],tabParametros[],MATCH(tabCustoUnit[[#Headers],[ANO DA CCT]],tabParametros[#Headers],0),0)</f>
        <v>45658</v>
      </c>
      <c r="CA166" s="25" t="str">
        <f>VLOOKUP(tabCustoUnit[[#This Row],[Código do Posto]],tabParametros[],MATCH(tabCustoUnit[[#Headers],[Nº DE PEDIDO DA CCT]],tabParametros[#Headers],0),0)</f>
        <v>-</v>
      </c>
      <c r="CB166" s="25" t="str">
        <f>VLOOKUP(tabCustoUnit[[#This Row],[Código do Posto]],tabParametros[],MATCH(tabCustoUnit[[#Headers],[TERMO ADITIVO ALTERAÇÃO DA CCT]],tabParametros[#Headers],0),0)</f>
        <v>-</v>
      </c>
    </row>
    <row r="167" spans="1:80">
      <c r="A167" s="20" t="s">
        <v>1616</v>
      </c>
      <c r="B167" t="s">
        <v>1144</v>
      </c>
      <c r="C167" t="s">
        <v>314</v>
      </c>
      <c r="D167" t="s">
        <v>1041</v>
      </c>
      <c r="E167" s="20" t="s">
        <v>1090</v>
      </c>
      <c r="F167" s="20" t="s">
        <v>120</v>
      </c>
      <c r="G167" s="418">
        <v>1963.4110000000001</v>
      </c>
      <c r="H167" s="418">
        <v>0</v>
      </c>
      <c r="I167" s="418">
        <v>0</v>
      </c>
      <c r="J167" s="418">
        <v>0</v>
      </c>
      <c r="K167" s="418">
        <v>0</v>
      </c>
      <c r="L167" s="418">
        <v>0</v>
      </c>
      <c r="M167" s="418">
        <v>0</v>
      </c>
      <c r="N167" s="418">
        <v>0</v>
      </c>
      <c r="O167" s="21">
        <f>SUM(tabCustoUnit[[#This Row],[Salário Base]:[Adicional de Acúmulo de função]])</f>
        <v>1963.4110000000001</v>
      </c>
      <c r="P167" s="21">
        <f>tabCustoUnit[[#This Row],[MODULO 1 - REMUNERAÇÃO ]]*SUMIFS(tabParametros[INSS],tabParametros[Código do Posto],tabCustoUnit[[#This Row],[Código do Posto]])</f>
        <v>392.68220000000002</v>
      </c>
      <c r="Q167" s="21">
        <f>tabCustoUnit[[#This Row],[MODULO 1 - REMUNERAÇÃO ]]*SUMIFS(tabParametros[SESI OU SESC],tabParametros[Código do Posto],tabCustoUnit[[#This Row],[Código do Posto]])</f>
        <v>29.451165</v>
      </c>
      <c r="R167" s="21">
        <f>tabCustoUnit[[#This Row],[MODULO 1 - REMUNERAÇÃO ]]*SUMIFS(tabParametros[SENAI OU SENAC],tabParametros[Código do Posto],tabCustoUnit[[#This Row],[Código do Posto]])</f>
        <v>19.63411</v>
      </c>
      <c r="S167" s="21">
        <f>tabCustoUnit[[#This Row],[MODULO 1 - REMUNERAÇÃO ]]*SUMIFS(tabParametros[INCRA],tabParametros[Código do Posto],tabCustoUnit[[#This Row],[Código do Posto]])</f>
        <v>3.926822</v>
      </c>
      <c r="T167" s="21">
        <f>tabCustoUnit[[#This Row],[MODULO 1 - REMUNERAÇÃO ]]*SUMIFS(tabParametros[Salário Educação],tabParametros[Código do Posto],tabCustoUnit[[#This Row],[Código do Posto]])</f>
        <v>49.085275000000003</v>
      </c>
      <c r="U167" s="21">
        <f>tabCustoUnit[[#This Row],[MODULO 1 - REMUNERAÇÃO ]]*SUMIFS(tabParametros[FGTS],tabParametros[Código do Posto],tabCustoUnit[[#This Row],[Código do Posto]])</f>
        <v>157.07288</v>
      </c>
      <c r="V167" s="21">
        <f>tabCustoUnit[[#This Row],[MODULO 1 - REMUNERAÇÃO ]]*SUMIFS(tabParametros[RAT Ajustado],tabParametros[Código do Posto],tabCustoUnit[[#This Row],[Código do Posto]])</f>
        <v>78.536439999999999</v>
      </c>
      <c r="W167" s="21">
        <f>tabCustoUnit[[#This Row],[MODULO 1 - REMUNERAÇÃO ]]*SUMIFS(tabParametros[SEBRAE],tabParametros[Código do Posto],tabCustoUnit[[#This Row],[Código do Posto]])</f>
        <v>11.780466000000001</v>
      </c>
      <c r="X167" s="21">
        <f>SUM(tabCustoUnit[[#This Row],[INSS]:[SEBRAE]])</f>
        <v>742.1693580000001</v>
      </c>
      <c r="Y167" s="21">
        <f>tabCustoUnit[[#This Row],[MODULO 1 - REMUNERAÇÃO ]]*SUMIFS(tabParametros[13º salário (titular)],tabParametros[Código do Posto],tabCustoUnit[[#This Row],[Código do Posto]])</f>
        <v>163.61758333333333</v>
      </c>
      <c r="Z167" s="21">
        <f>tabCustoUnit[[#This Row],[MODULO 1 - REMUNERAÇÃO ]]*SUMIFS(tabParametros[Férias e Adicional de Férias (titular)],tabParametros[Código do Posto],tabCustoUnit[[#This Row],[Código do Posto]])</f>
        <v>218.15677777777776</v>
      </c>
      <c r="AA167" s="21">
        <f>IFERROR((tabCustoUnit[[#This Row],[Submódulo 2.1]]/tabCustoUnit[[#This Row],[MODULO 1 - REMUNERAÇÃO ]])*SUM(tabCustoUnit[[#This Row],[13º salário (titular)]:[Férias e Adicional de Férias (titular)]]),0)</f>
        <v>144.3107085</v>
      </c>
      <c r="AB167" s="21">
        <f>SUM(tabCustoUnit[[#This Row],[13º salário (titular)]:[Incidência do Submódulo 2.1 sobre 13º Salário, Férias e Adicional de Férias]])</f>
        <v>526.08506961111107</v>
      </c>
      <c r="AC167" s="22" t="e">
        <f ca="1">_xlfn.LET(_xlpm.VT,SUMIF(tabParametros[Código do Posto],tabCustoUnit[[#This Row],[Código do Posto]],tabParametros[Vale - Transporte])*2*20,
IF((_xlpm.VT-tabCustoUnit[[#This Row],[Salário Base]]*0.06)&gt;=0,(_xlpm.VT-tabCustoUnit[[#This Row],[Salário Base]]*0.06),0)
)</f>
        <v>#NAME?</v>
      </c>
      <c r="AD167" s="22">
        <f>IF(SUMIF(tabParametros[Código do Posto],tabCustoUnit[[#This Row],[Código do Posto]],tabParametros[Vale - Alimentação])&lt;=0,0,
SUMIF(tabParametros[Código do Posto],tabCustoUnit[[#This Row],[Código do Posto]],tabParametros[Vale - Alimentação])*20-1)</f>
        <v>582</v>
      </c>
      <c r="AE167" s="22">
        <f>SUMIF(tabParametros[Código do Posto],tabCustoUnit[[#This Row],[Código do Posto]],tabParametros[Cesta Básica])</f>
        <v>0</v>
      </c>
      <c r="AF167" s="22">
        <f>SUMIF(tabParametros[Código do Posto],tabCustoUnit[[#This Row],[Código do Posto]],tabParametros[PAF])</f>
        <v>51.86</v>
      </c>
      <c r="AG167" s="22">
        <f>SUMIF(tabParametros[Código do Posto],tabCustoUnit[[#This Row],[Código do Posto]],tabParametros[PQM])</f>
        <v>0</v>
      </c>
      <c r="AH167" s="22">
        <f>SUMIF(tabParametros[Código do Posto],tabCustoUnit[[#This Row],[Código do Posto]],tabParametros[Abono Único e Especial])</f>
        <v>0</v>
      </c>
      <c r="AI167" s="22">
        <f>SUMIF(tabParametros[Código do Posto],tabCustoUnit[[#This Row],[Código do Posto]],tabParametros[Seguro de Vida])</f>
        <v>3.36</v>
      </c>
      <c r="AJ167" s="22">
        <f>SUMIF(tabParametros[Código do Posto],tabCustoUnit[[#This Row],[Código do Posto]],tabParametros[Despesas de Viagem])</f>
        <v>0</v>
      </c>
      <c r="AK167" s="22" t="e">
        <f ca="1">SUM(tabCustoUnit[[#This Row],[Vale - Transporte (Descontada parcela do empregado)]:[Despesas de Viagem]])</f>
        <v>#NAME?</v>
      </c>
      <c r="AL167" s="22" t="e">
        <f ca="1">tabCustoUnit[[#This Row],[Submódulo 2.1]]+tabCustoUnit[[#This Row],[Submódulo 2.2]]+tabCustoUnit[[#This Row],[Submódulo 2.3]]</f>
        <v>#NAME?</v>
      </c>
      <c r="AM167" s="22">
        <f>SUMIF(tabParametros[Código do Posto],tabCustoUnit[[#This Row],[Código do Posto]],tabParametros[Aviso Prévio Indenizado (API) e Reflexo do Aviso Prévio Indenizado])*tabCustoUnit[[#This Row],[MODULO 1 - REMUNERAÇÃO ]]</f>
        <v>13.766980408757716</v>
      </c>
      <c r="AN167" s="22">
        <f>SUMIF(tabParametros[Código do Posto],tabCustoUnit[[#This Row],[Código do Posto]],tabParametros[Incidência do FGTS sobre API e Reflexo do API])*tabCustoUnit[[#This Row],[MODULO 1 - REMUNERAÇÃO ]]</f>
        <v>1.1013584327006174</v>
      </c>
      <c r="AO167" s="22">
        <f>SUMIF(tabParametros[Código do Posto],tabCustoUnit[[#This Row],[Código do Posto]],tabParametros[Multa Rescisória do FGTS sobre o Aviso Prévio Indenizado])*tabCustoUnit[[#This Row],[MODULO 1 - REMUNERAÇÃO ]]</f>
        <v>0.44054337308024699</v>
      </c>
      <c r="AP167" s="22">
        <f>SUMIF(tabParametros[Código do Posto],tabCustoUnit[[#This Row],[Código do Posto]],tabParametros[Aviso Prévio Trabalhado - APT])*tabCustoUnit[[#This Row],[MODULO 1 - REMUNERAÇÃO ]]</f>
        <v>6.8719385000000015</v>
      </c>
      <c r="AQ167" s="22">
        <f>SUMIF(tabParametros[Código do Posto],tabCustoUnit[[#This Row],[Código do Posto]],tabParametros[Incidência dos encargos do submódulo 2.1 sobre Aviso Prévio Trabalhado])*tabCustoUnit[[#This Row],[MODULO 1 - REMUNERAÇÃO ]]</f>
        <v>2.5975927530000007</v>
      </c>
      <c r="AR167" s="22">
        <f>SUMIF(tabParametros[Código do Posto],tabCustoUnit[[#This Row],[Código do Posto]],tabParametros[Multa Rescisória do FGTS])*tabCustoUnit[[#This Row],[MODULO 1 - REMUNERAÇÃO ]]</f>
        <v>60.03674524444444</v>
      </c>
      <c r="AS167" s="22">
        <f>SUMIF(tabParametros[Código do Posto],tabCustoUnit[[#This Row],[Código do Posto]],tabParametros[Indenização Adicional (Art. 9º da Lei nº 7.238/84)])*tabCustoUnit[[#This Row],[MODULO 1 - REMUNERAÇÃO ]]</f>
        <v>1.6361758333333334</v>
      </c>
      <c r="AT167" s="22">
        <f>SUM(tabCustoUnit[[#This Row],[Aviso Prévio Indenizado (API) e Reflexo do Aviso Prévio Indenizado]:[Indenização Adicional (Art. 9º da Lei nº 7.238/84)]])</f>
        <v>86.451334545316371</v>
      </c>
      <c r="AU167" s="22">
        <f>SUMIF(tabParametros[Código do Posto],tabCustoUnit[[#This Row],[Código do Posto]],tabParametros[Ausência por Doença])*tabCustoUnit[[#This Row],[MODULO 1 - REMUNERAÇÃO ]]</f>
        <v>16.579915111111109</v>
      </c>
      <c r="AV167" s="22">
        <f>SUMIF(tabParametros[Código do Posto],tabCustoUnit[[#This Row],[Código do Posto]],tabParametros[Ausências Legais])*tabCustoUnit[[#This Row],[MODULO 1 - REMUNERAÇÃO ]]</f>
        <v>3.9813611944444443</v>
      </c>
      <c r="AW167" s="22">
        <f>SUMIF(tabParametros[Código do Posto],tabCustoUnit[[#This Row],[Código do Posto]],tabParametros[Licença Paternidade])*tabCustoUnit[[#This Row],[MODULO 1 - REMUNERAÇÃO ]]</f>
        <v>0.33541604583333334</v>
      </c>
      <c r="AX167" s="22">
        <f>SUMIF(tabParametros[Código do Posto],tabCustoUnit[[#This Row],[Código do Posto]],tabParametros[Ausência por Acidente de Trabalho])*tabCustoUnit[[#This Row],[MODULO 1 - REMUNERAÇÃO ]]</f>
        <v>0.40904395833333335</v>
      </c>
      <c r="AY167" s="22">
        <f>SUMIF(tabParametros[Código do Posto],tabCustoUnit[[#This Row],[Código do Posto]],tabParametros[Férias, Adicional de Férias e 13º  com empregada em gozo de Licença Maternidade])*tabCustoUnit[[#This Row],[MODULO 1 - REMUNERAÇÃO ]]</f>
        <v>2.5451624074074073</v>
      </c>
      <c r="AZ167" s="22">
        <f>SUMIF(tabParametros[Código do Posto],tabCustoUnit[[#This Row],[Código do Posto]],tabParametros[Incidência do Submódulo 2.1 sobre Ausências Legais])*tabCustoUnit[[#This Row],[MODULO 1 - REMUNERAÇÃO ]]</f>
        <v>9.0156397150750021</v>
      </c>
      <c r="BA167" s="22">
        <f>SUM(tabCustoUnit[[#This Row],[Ausência por Doença]:[Incidência do Submódulo 2.1 sobre Ausências Legais]])</f>
        <v>32.866538432204628</v>
      </c>
      <c r="BB167" s="22">
        <f>SUMIF(tabParametros[Código do Posto],tabCustoUnit[[#This Row],[Código do Posto]],tabParametros[Intervalo para Repouso ou Alimentação])</f>
        <v>267.73786489195959</v>
      </c>
      <c r="BC167" s="22">
        <f>tabCustoUnit[[#This Row],[Intervalo para Repouso ou Alimentação]]</f>
        <v>267.73786489195959</v>
      </c>
      <c r="BD16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7" s="22">
        <f>tabCustoUnit[[#This Row],[Suspensão Temporária do Contrato de Trabalho]]</f>
        <v>0</v>
      </c>
      <c r="BF167" s="22">
        <f>tabCustoUnit[[#This Row],[Submódulo 4.1]]+tabCustoUnit[[#This Row],[Submódulo 4.2]]+tabCustoUnit[[#This Row],[Submódulo 4.3]]</f>
        <v>300.6044033241642</v>
      </c>
      <c r="BG167" s="22">
        <f>VLOOKUP(tabCustoUnit[[#This Row],[Código do Posto]],tabParametros[],MATCH(tabCustoUnit[[#Headers],[Uniformes e EPIs]],tabParametros[#Headers],0),0)</f>
        <v>56.642978962543395</v>
      </c>
      <c r="BH167" s="22">
        <f>VLOOKUP(tabCustoUnit[[#This Row],[Código do Posto]],tabParametros[],MATCH(tabCustoUnit[[#Headers],[Materiais de Consumo]],tabParametros[#Headers],0),0)</f>
        <v>0</v>
      </c>
      <c r="BI167" s="22">
        <f>VLOOKUP(tabCustoUnit[[#This Row],[Código do Posto]],tabParametros[],MATCH(tabCustoUnit[[#Headers],[Máquinas e Equipamentos (depreciação)]],tabParametros[#Headers],0),0)</f>
        <v>0</v>
      </c>
      <c r="BJ167" s="22">
        <f>VLOOKUP(tabCustoUnit[[#This Row],[Código do Posto]],tabParametros[],MATCH(tabCustoUnit[[#Headers],[Produtos de Limpeza e Materiais de Higiene Pessoal]],tabParametros[#Headers],0),0)</f>
        <v>0</v>
      </c>
      <c r="BK167" s="22">
        <f>VLOOKUP(tabCustoUnit[[#This Row],[Código do Posto]],tabParametros[],MATCH(tabCustoUnit[[#Headers],[Outros (especificar)]],tabParametros[#Headers],0),0)</f>
        <v>0</v>
      </c>
      <c r="BL167" s="22">
        <f>SUM(tabCustoUnit[[#This Row],[Uniformes e EPIs]:[Outros (especificar)]])</f>
        <v>56.642978962543395</v>
      </c>
      <c r="BM16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7" s="22" t="e">
        <f ca="1">VLOOKUP(tabCustoUnit[[#This Row],[Código do Posto]],tabParametros[],MATCH(tabCustoUnit[[#Headers],[Custos Indiretos]],tabParametros[#Headers],0),0)</f>
        <v>#NAME?</v>
      </c>
      <c r="BO167" s="22" t="e">
        <f ca="1">VLOOKUP(tabCustoUnit[[#This Row],[Código do Posto]],tabParametros[],MATCH(tabCustoUnit[[#Headers],[Lucro]],tabParametros[#Headers],0),0)</f>
        <v>#NAME?</v>
      </c>
      <c r="BP167" s="26">
        <f>((100/((1-tabCustoUnit[[#This Row],[Resumo de Alíquotas (PIS+CONFINS+ISS)]]))-100)*VLOOKUP(tabCustoUnit[[#This Row],[Código do Posto]],tabParametros[],MATCH(tabCustoUnit[[#Headers],[COFINS]],tabParametros[#Headers],0),0))/(tabCustoUnit[[#This Row],[Resumo de Alíquotas (PIS+CONFINS+ISS)]]*100)</f>
        <v>8.6609686609686695E-2</v>
      </c>
      <c r="BQ167" s="26">
        <f>((100/((100-(tabCustoUnit[[#This Row],[Resumo de Alíquotas (PIS+CONFINS+ISS)]]*100))%)-100)*VLOOKUP(tabCustoUnit[[#This Row],[Código do Posto]],tabParametros[],MATCH(tabCustoUnit[[#Headers],[PIS]],tabParametros[#Headers],0),0))/(tabCustoUnit[[#This Row],[Resumo de Alíquotas (PIS+CONFINS+ISS)]]*100)</f>
        <v>1.880341880341882E-2</v>
      </c>
      <c r="BR167" s="28">
        <f>VLOOKUP(tabCustoUnit[[#This Row],[Código do Posto]],tabParametros[],MATCH(tabCustoUnit[[#Headers],[ISS]],tabParametros[#Headers],0),0)</f>
        <v>0.03</v>
      </c>
      <c r="BS167" s="26">
        <f>(((100/((100-(tabCustoUnit[[#This Row],[Resumo de Alíquotas (PIS+CONFINS+ISS)]]*100))%)-100)*tabCustoUnit[[#This Row],[ISS]])/tabCustoUnit[[#This Row],[Resumo de Alíquotas (PIS+CONFINS+ISS)]])/100</f>
        <v>3.4188034188034219E-2</v>
      </c>
      <c r="BT16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7" s="138">
        <f>tabCustoUnit[[#This Row],[COFINS]]+tabCustoUnit[[#This Row],[PIS]]+tabCustoUnit[[#This Row],[ISS (Conversão Alíquota s/ fatura)]]</f>
        <v>0.13960113960113973</v>
      </c>
      <c r="BV167" s="22" t="e">
        <f ca="1">(tabCustoUnit[[#This Row],[TOTAL MÓDULOS 1+2+3+4+5]]+tabCustoUnit[[#This Row],[Custos Indiretos]]+tabCustoUnit[[#This Row],[Lucro]])*tabCustoUnit[[#This Row],[PIS + COFINS + ISS (Total Conversão  Alíquota s/ Fatura)]]</f>
        <v>#NAME?</v>
      </c>
      <c r="BW167" s="22" t="e">
        <f ca="1">tabCustoUnit[[#This Row],[Custos Indiretos]]+tabCustoUnit[[#This Row],[Lucro]]+tabCustoUnit[[#This Row],[Valor dos Tributos (ISS, PIS, CONFINS)]]</f>
        <v>#NAME?</v>
      </c>
      <c r="BX167" s="22" t="e">
        <f ca="1">tabCustoUnit[[#This Row],[TOTAL MÓDULOS 1+2+3+4+5]]+tabCustoUnit[[#This Row],[MÓDULO 6 – CUSTOS INDIRETOS, TRIBUTOS E LUCRO]]</f>
        <v>#NAME?</v>
      </c>
      <c r="BY167" s="22" t="e">
        <f ca="1">tabCustoUnit[[#This Row],[CUSTO TOTAL MENSAL]]*12</f>
        <v>#NAME?</v>
      </c>
      <c r="BZ167" s="24">
        <f>VLOOKUP(tabCustoUnit[[#This Row],[Código do Posto]],tabParametros[],MATCH(tabCustoUnit[[#Headers],[ANO DA CCT]],tabParametros[#Headers],0),0)</f>
        <v>45658</v>
      </c>
      <c r="CA167" s="25" t="str">
        <f>VLOOKUP(tabCustoUnit[[#This Row],[Código do Posto]],tabParametros[],MATCH(tabCustoUnit[[#Headers],[Nº DE PEDIDO DA CCT]],tabParametros[#Headers],0),0)</f>
        <v>-</v>
      </c>
      <c r="CB167" s="25" t="str">
        <f>VLOOKUP(tabCustoUnit[[#This Row],[Código do Posto]],tabParametros[],MATCH(tabCustoUnit[[#Headers],[TERMO ADITIVO ALTERAÇÃO DA CCT]],tabParametros[#Headers],0),0)</f>
        <v>-</v>
      </c>
    </row>
    <row r="168" spans="1:80">
      <c r="A168" s="20" t="s">
        <v>1477</v>
      </c>
      <c r="B168" t="s">
        <v>1145</v>
      </c>
      <c r="C168" t="s">
        <v>200</v>
      </c>
      <c r="D168" t="s">
        <v>918</v>
      </c>
      <c r="E168" s="20" t="s">
        <v>1090</v>
      </c>
      <c r="F168" s="20" t="s">
        <v>120</v>
      </c>
      <c r="G168" s="418">
        <v>1596.2737999999999</v>
      </c>
      <c r="H168" s="418">
        <v>0</v>
      </c>
      <c r="I168" s="418">
        <v>0</v>
      </c>
      <c r="J168" s="418">
        <v>0</v>
      </c>
      <c r="K168" s="418">
        <v>0</v>
      </c>
      <c r="L168" s="418">
        <v>0</v>
      </c>
      <c r="M168" s="418">
        <v>0</v>
      </c>
      <c r="N168" s="418">
        <v>0</v>
      </c>
      <c r="O168" s="21">
        <f>SUM(tabCustoUnit[[#This Row],[Salário Base]:[Adicional de Acúmulo de função]])</f>
        <v>1596.2737999999999</v>
      </c>
      <c r="P168" s="21">
        <f>tabCustoUnit[[#This Row],[MODULO 1 - REMUNERAÇÃO ]]*SUMIFS(tabParametros[INSS],tabParametros[Código do Posto],tabCustoUnit[[#This Row],[Código do Posto]])</f>
        <v>319.25476000000003</v>
      </c>
      <c r="Q168" s="21">
        <f>tabCustoUnit[[#This Row],[MODULO 1 - REMUNERAÇÃO ]]*SUMIFS(tabParametros[SESI OU SESC],tabParametros[Código do Posto],tabCustoUnit[[#This Row],[Código do Posto]])</f>
        <v>23.944106999999999</v>
      </c>
      <c r="R168" s="21">
        <f>tabCustoUnit[[#This Row],[MODULO 1 - REMUNERAÇÃO ]]*SUMIFS(tabParametros[SENAI OU SENAC],tabParametros[Código do Posto],tabCustoUnit[[#This Row],[Código do Posto]])</f>
        <v>15.962738</v>
      </c>
      <c r="S168" s="21">
        <f>tabCustoUnit[[#This Row],[MODULO 1 - REMUNERAÇÃO ]]*SUMIFS(tabParametros[INCRA],tabParametros[Código do Posto],tabCustoUnit[[#This Row],[Código do Posto]])</f>
        <v>3.1925476000000002</v>
      </c>
      <c r="T168" s="21">
        <f>tabCustoUnit[[#This Row],[MODULO 1 - REMUNERAÇÃO ]]*SUMIFS(tabParametros[Salário Educação],tabParametros[Código do Posto],tabCustoUnit[[#This Row],[Código do Posto]])</f>
        <v>39.906845000000004</v>
      </c>
      <c r="U168" s="21">
        <f>tabCustoUnit[[#This Row],[MODULO 1 - REMUNERAÇÃO ]]*SUMIFS(tabParametros[FGTS],tabParametros[Código do Posto],tabCustoUnit[[#This Row],[Código do Posto]])</f>
        <v>127.701904</v>
      </c>
      <c r="V168" s="21">
        <f>tabCustoUnit[[#This Row],[MODULO 1 - REMUNERAÇÃO ]]*SUMIFS(tabParametros[RAT Ajustado],tabParametros[Código do Posto],tabCustoUnit[[#This Row],[Código do Posto]])</f>
        <v>63.850951999999999</v>
      </c>
      <c r="W168" s="21">
        <f>tabCustoUnit[[#This Row],[MODULO 1 - REMUNERAÇÃO ]]*SUMIFS(tabParametros[SEBRAE],tabParametros[Código do Posto],tabCustoUnit[[#This Row],[Código do Posto]])</f>
        <v>9.5776427999999996</v>
      </c>
      <c r="X168" s="21">
        <f>SUM(tabCustoUnit[[#This Row],[INSS]:[SEBRAE]])</f>
        <v>603.39149640000005</v>
      </c>
      <c r="Y168" s="21">
        <f>tabCustoUnit[[#This Row],[MODULO 1 - REMUNERAÇÃO ]]*SUMIFS(tabParametros[13º salário (titular)],tabParametros[Código do Posto],tabCustoUnit[[#This Row],[Código do Posto]])</f>
        <v>133.02281666666664</v>
      </c>
      <c r="Z168" s="21">
        <f>tabCustoUnit[[#This Row],[MODULO 1 - REMUNERAÇÃO ]]*SUMIFS(tabParametros[Férias e Adicional de Férias (titular)],tabParametros[Código do Posto],tabCustoUnit[[#This Row],[Código do Posto]])</f>
        <v>177.36375555555554</v>
      </c>
      <c r="AA168" s="21">
        <f>IFERROR((tabCustoUnit[[#This Row],[Submódulo 2.1]]/tabCustoUnit[[#This Row],[MODULO 1 - REMUNERAÇÃO ]])*SUM(tabCustoUnit[[#This Row],[13º salário (titular)]:[Férias e Adicional de Férias (titular)]]),0)</f>
        <v>117.3261243</v>
      </c>
      <c r="AB168" s="21">
        <f>SUM(tabCustoUnit[[#This Row],[13º salário (titular)]:[Incidência do Submódulo 2.1 sobre 13º Salário, Férias e Adicional de Férias]])</f>
        <v>427.71269652222219</v>
      </c>
      <c r="AC168" s="22" t="e">
        <f ca="1">_xlfn.LET(_xlpm.VT,SUMIF(tabParametros[Código do Posto],tabCustoUnit[[#This Row],[Código do Posto]],tabParametros[Vale - Transporte])*2*20,
IF((_xlpm.VT-tabCustoUnit[[#This Row],[Salário Base]]*0.06)&gt;=0,(_xlpm.VT-tabCustoUnit[[#This Row],[Salário Base]]*0.06),0)
)</f>
        <v>#NAME?</v>
      </c>
      <c r="AD168" s="22">
        <f>IF(SUMIF(tabParametros[Código do Posto],tabCustoUnit[[#This Row],[Código do Posto]],tabParametros[Vale - Alimentação])&lt;=0,0,
SUMIF(tabParametros[Código do Posto],tabCustoUnit[[#This Row],[Código do Posto]],tabParametros[Vale - Alimentação])*20-1)</f>
        <v>582</v>
      </c>
      <c r="AE168" s="22">
        <f>SUMIF(tabParametros[Código do Posto],tabCustoUnit[[#This Row],[Código do Posto]],tabParametros[Cesta Básica])</f>
        <v>0</v>
      </c>
      <c r="AF168" s="22">
        <f>SUMIF(tabParametros[Código do Posto],tabCustoUnit[[#This Row],[Código do Posto]],tabParametros[PAF])</f>
        <v>0</v>
      </c>
      <c r="AG168" s="22">
        <f>SUMIF(tabParametros[Código do Posto],tabCustoUnit[[#This Row],[Código do Posto]],tabParametros[PQM])</f>
        <v>15.07</v>
      </c>
      <c r="AH168" s="22">
        <f>SUMIF(tabParametros[Código do Posto],tabCustoUnit[[#This Row],[Código do Posto]],tabParametros[Abono Único e Especial])</f>
        <v>0</v>
      </c>
      <c r="AI168" s="22">
        <f>SUMIF(tabParametros[Código do Posto],tabCustoUnit[[#This Row],[Código do Posto]],tabParametros[Seguro de Vida])</f>
        <v>3.36</v>
      </c>
      <c r="AJ168" s="22">
        <f>SUMIF(tabParametros[Código do Posto],tabCustoUnit[[#This Row],[Código do Posto]],tabParametros[Despesas de Viagem])</f>
        <v>0</v>
      </c>
      <c r="AK168" s="22" t="e">
        <f ca="1">SUM(tabCustoUnit[[#This Row],[Vale - Transporte (Descontada parcela do empregado)]:[Despesas de Viagem]])</f>
        <v>#NAME?</v>
      </c>
      <c r="AL168" s="22" t="e">
        <f ca="1">tabCustoUnit[[#This Row],[Submódulo 2.1]]+tabCustoUnit[[#This Row],[Submódulo 2.2]]+tabCustoUnit[[#This Row],[Submódulo 2.3]]</f>
        <v>#NAME?</v>
      </c>
      <c r="AM168" s="22">
        <f>SUMIF(tabParametros[Código do Posto],tabCustoUnit[[#This Row],[Código do Posto]],tabParametros[Aviso Prévio Indenizado (API) e Reflexo do Aviso Prévio Indenizado])*tabCustoUnit[[#This Row],[MODULO 1 - REMUNERAÇÃO ]]</f>
        <v>11.192699914390431</v>
      </c>
      <c r="AN168" s="22">
        <f>SUMIF(tabParametros[Código do Posto],tabCustoUnit[[#This Row],[Código do Posto]],tabParametros[Incidência do FGTS sobre API e Reflexo do API])*tabCustoUnit[[#This Row],[MODULO 1 - REMUNERAÇÃO ]]</f>
        <v>0.89541599315123466</v>
      </c>
      <c r="AO168" s="22">
        <f>SUMIF(tabParametros[Código do Posto],tabCustoUnit[[#This Row],[Código do Posto]],tabParametros[Multa Rescisória do FGTS sobre o Aviso Prévio Indenizado])*tabCustoUnit[[#This Row],[MODULO 1 - REMUNERAÇÃO ]]</f>
        <v>0.35816639726049387</v>
      </c>
      <c r="AP168" s="22">
        <f>SUMIF(tabParametros[Código do Posto],tabCustoUnit[[#This Row],[Código do Posto]],tabParametros[Aviso Prévio Trabalhado - APT])*tabCustoUnit[[#This Row],[MODULO 1 - REMUNERAÇÃO ]]</f>
        <v>5.5869583000000009</v>
      </c>
      <c r="AQ168" s="22">
        <f>SUMIF(tabParametros[Código do Posto],tabCustoUnit[[#This Row],[Código do Posto]],tabParametros[Incidência dos encargos do submódulo 2.1 sobre Aviso Prévio Trabalhado])*tabCustoUnit[[#This Row],[MODULO 1 - REMUNERAÇÃO ]]</f>
        <v>2.1118702374000007</v>
      </c>
      <c r="AR168" s="22">
        <f>SUMIF(tabParametros[Código do Posto],tabCustoUnit[[#This Row],[Código do Posto]],tabParametros[Multa Rescisória do FGTS])*tabCustoUnit[[#This Row],[MODULO 1 - REMUNERAÇÃO ]]</f>
        <v>48.810505528888882</v>
      </c>
      <c r="AS168" s="22">
        <f>SUMIF(tabParametros[Código do Posto],tabCustoUnit[[#This Row],[Código do Posto]],tabParametros[Indenização Adicional (Art. 9º da Lei nº 7.238/84)])*tabCustoUnit[[#This Row],[MODULO 1 - REMUNERAÇÃO ]]</f>
        <v>1.3302281666666667</v>
      </c>
      <c r="AT168" s="22">
        <f>SUM(tabCustoUnit[[#This Row],[Aviso Prévio Indenizado (API) e Reflexo do Aviso Prévio Indenizado]:[Indenização Adicional (Art. 9º da Lei nº 7.238/84)]])</f>
        <v>70.285844537757711</v>
      </c>
      <c r="AU168" s="22">
        <f>SUMIF(tabParametros[Código do Posto],tabCustoUnit[[#This Row],[Código do Posto]],tabParametros[Ausência por Doença])*tabCustoUnit[[#This Row],[MODULO 1 - REMUNERAÇÃO ]]</f>
        <v>13.479645422222221</v>
      </c>
      <c r="AV168" s="22">
        <f>SUMIF(tabParametros[Código do Posto],tabCustoUnit[[#This Row],[Código do Posto]],tabParametros[Ausências Legais])*tabCustoUnit[[#This Row],[MODULO 1 - REMUNERAÇÃO ]]</f>
        <v>3.2368885388888886</v>
      </c>
      <c r="AW168" s="22">
        <f>SUMIF(tabParametros[Código do Posto],tabCustoUnit[[#This Row],[Código do Posto]],tabParametros[Licença Paternidade])*tabCustoUnit[[#This Row],[MODULO 1 - REMUNERAÇÃO ]]</f>
        <v>0.27269677416666666</v>
      </c>
      <c r="AX168" s="22">
        <f>SUMIF(tabParametros[Código do Posto],tabCustoUnit[[#This Row],[Código do Posto]],tabParametros[Ausência por Acidente de Trabalho])*tabCustoUnit[[#This Row],[MODULO 1 - REMUNERAÇÃO ]]</f>
        <v>0.33255704166666666</v>
      </c>
      <c r="AY168" s="22">
        <f>SUMIF(tabParametros[Código do Posto],tabCustoUnit[[#This Row],[Código do Posto]],tabParametros[Férias, Adicional de Férias e 13º  com empregada em gozo de Licença Maternidade])*tabCustoUnit[[#This Row],[MODULO 1 - REMUNERAÇÃO ]]</f>
        <v>2.0692438148148145</v>
      </c>
      <c r="AZ168" s="22">
        <f>SUMIF(tabParametros[Código do Posto],tabCustoUnit[[#This Row],[Código do Posto]],tabParametros[Incidência do Submódulo 2.1 sobre Ausências Legais])*tabCustoUnit[[#This Row],[MODULO 1 - REMUNERAÇÃO ]]</f>
        <v>7.3298099416850011</v>
      </c>
      <c r="BA168" s="22">
        <f>SUM(tabCustoUnit[[#This Row],[Ausência por Doença]:[Incidência do Submódulo 2.1 sobre Ausências Legais]])</f>
        <v>26.720841533444265</v>
      </c>
      <c r="BB168" s="22">
        <f>SUMIF(tabParametros[Código do Posto],tabCustoUnit[[#This Row],[Código do Posto]],tabParametros[Intervalo para Repouso ou Alimentação])</f>
        <v>0</v>
      </c>
      <c r="BC168" s="22">
        <f>tabCustoUnit[[#This Row],[Intervalo para Repouso ou Alimentação]]</f>
        <v>0</v>
      </c>
      <c r="BD16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8" s="22">
        <f>tabCustoUnit[[#This Row],[Suspensão Temporária do Contrato de Trabalho]]</f>
        <v>0</v>
      </c>
      <c r="BF168" s="22">
        <f>tabCustoUnit[[#This Row],[Submódulo 4.1]]+tabCustoUnit[[#This Row],[Submódulo 4.2]]+tabCustoUnit[[#This Row],[Submódulo 4.3]]</f>
        <v>26.720841533444265</v>
      </c>
      <c r="BG168" s="22">
        <f>VLOOKUP(tabCustoUnit[[#This Row],[Código do Posto]],tabParametros[],MATCH(tabCustoUnit[[#Headers],[Uniformes e EPIs]],tabParametros[#Headers],0),0)</f>
        <v>56.141713661989918</v>
      </c>
      <c r="BH168" s="22">
        <f>VLOOKUP(tabCustoUnit[[#This Row],[Código do Posto]],tabParametros[],MATCH(tabCustoUnit[[#Headers],[Materiais de Consumo]],tabParametros[#Headers],0),0)</f>
        <v>0</v>
      </c>
      <c r="BI168" s="22">
        <f>VLOOKUP(tabCustoUnit[[#This Row],[Código do Posto]],tabParametros[],MATCH(tabCustoUnit[[#Headers],[Máquinas e Equipamentos (depreciação)]],tabParametros[#Headers],0),0)</f>
        <v>0</v>
      </c>
      <c r="BJ168" s="22">
        <f>VLOOKUP(tabCustoUnit[[#This Row],[Código do Posto]],tabParametros[],MATCH(tabCustoUnit[[#Headers],[Produtos de Limpeza e Materiais de Higiene Pessoal]],tabParametros[#Headers],0),0)</f>
        <v>0</v>
      </c>
      <c r="BK168" s="22">
        <f>VLOOKUP(tabCustoUnit[[#This Row],[Código do Posto]],tabParametros[],MATCH(tabCustoUnit[[#Headers],[Outros (especificar)]],tabParametros[#Headers],0),0)</f>
        <v>0</v>
      </c>
      <c r="BL168" s="22">
        <f>SUM(tabCustoUnit[[#This Row],[Uniformes e EPIs]:[Outros (especificar)]])</f>
        <v>56.141713661989918</v>
      </c>
      <c r="BM16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8" s="22" t="e">
        <f ca="1">VLOOKUP(tabCustoUnit[[#This Row],[Código do Posto]],tabParametros[],MATCH(tabCustoUnit[[#Headers],[Custos Indiretos]],tabParametros[#Headers],0),0)</f>
        <v>#NAME?</v>
      </c>
      <c r="BO168" s="22" t="e">
        <f ca="1">VLOOKUP(tabCustoUnit[[#This Row],[Código do Posto]],tabParametros[],MATCH(tabCustoUnit[[#Headers],[Lucro]],tabParametros[#Headers],0),0)</f>
        <v>#NAME?</v>
      </c>
      <c r="BP168" s="26">
        <f>((100/((1-tabCustoUnit[[#This Row],[Resumo de Alíquotas (PIS+CONFINS+ISS)]]))-100)*VLOOKUP(tabCustoUnit[[#This Row],[Código do Posto]],tabParametros[],MATCH(tabCustoUnit[[#Headers],[COFINS]],tabParametros[#Headers],0),0))/(tabCustoUnit[[#This Row],[Resumo de Alíquotas (PIS+CONFINS+ISS)]]*100)</f>
        <v>8.8629737609329504E-2</v>
      </c>
      <c r="BQ168" s="26">
        <f>((100/((100-(tabCustoUnit[[#This Row],[Resumo de Alíquotas (PIS+CONFINS+ISS)]]*100))%)-100)*VLOOKUP(tabCustoUnit[[#This Row],[Código do Posto]],tabParametros[],MATCH(tabCustoUnit[[#Headers],[PIS]],tabParametros[#Headers],0),0))/(tabCustoUnit[[#This Row],[Resumo de Alíquotas (PIS+CONFINS+ISS)]]*100)</f>
        <v>1.9241982507288629E-2</v>
      </c>
      <c r="BR168" s="28">
        <f>VLOOKUP(tabCustoUnit[[#This Row],[Código do Posto]],tabParametros[],MATCH(tabCustoUnit[[#Headers],[ISS]],tabParametros[#Headers],0),0)</f>
        <v>0.05</v>
      </c>
      <c r="BS168" s="26">
        <f>(((100/((100-(tabCustoUnit[[#This Row],[Resumo de Alíquotas (PIS+CONFINS+ISS)]]*100))%)-100)*tabCustoUnit[[#This Row],[ISS]])/tabCustoUnit[[#This Row],[Resumo de Alíquotas (PIS+CONFINS+ISS)]])/100</f>
        <v>5.8309037900874633E-2</v>
      </c>
      <c r="BT16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68" s="138">
        <f>tabCustoUnit[[#This Row],[COFINS]]+tabCustoUnit[[#This Row],[PIS]]+tabCustoUnit[[#This Row],[ISS (Conversão Alíquota s/ fatura)]]</f>
        <v>0.16618075801749277</v>
      </c>
      <c r="BV168" s="22" t="e">
        <f ca="1">(tabCustoUnit[[#This Row],[TOTAL MÓDULOS 1+2+3+4+5]]+tabCustoUnit[[#This Row],[Custos Indiretos]]+tabCustoUnit[[#This Row],[Lucro]])*tabCustoUnit[[#This Row],[PIS + COFINS + ISS (Total Conversão  Alíquota s/ Fatura)]]</f>
        <v>#NAME?</v>
      </c>
      <c r="BW168" s="22" t="e">
        <f ca="1">tabCustoUnit[[#This Row],[Custos Indiretos]]+tabCustoUnit[[#This Row],[Lucro]]+tabCustoUnit[[#This Row],[Valor dos Tributos (ISS, PIS, CONFINS)]]</f>
        <v>#NAME?</v>
      </c>
      <c r="BX168" s="22" t="e">
        <f ca="1">tabCustoUnit[[#This Row],[TOTAL MÓDULOS 1+2+3+4+5]]+tabCustoUnit[[#This Row],[MÓDULO 6 – CUSTOS INDIRETOS, TRIBUTOS E LUCRO]]</f>
        <v>#NAME?</v>
      </c>
      <c r="BY168" s="22" t="e">
        <f ca="1">tabCustoUnit[[#This Row],[CUSTO TOTAL MENSAL]]*12</f>
        <v>#NAME?</v>
      </c>
      <c r="BZ168" s="24">
        <f>VLOOKUP(tabCustoUnit[[#This Row],[Código do Posto]],tabParametros[],MATCH(tabCustoUnit[[#Headers],[ANO DA CCT]],tabParametros[#Headers],0),0)</f>
        <v>45658</v>
      </c>
      <c r="CA168" s="25" t="str">
        <f>VLOOKUP(tabCustoUnit[[#This Row],[Código do Posto]],tabParametros[],MATCH(tabCustoUnit[[#Headers],[Nº DE PEDIDO DA CCT]],tabParametros[#Headers],0),0)</f>
        <v>-</v>
      </c>
      <c r="CB168" s="25" t="str">
        <f>VLOOKUP(tabCustoUnit[[#This Row],[Código do Posto]],tabParametros[],MATCH(tabCustoUnit[[#Headers],[TERMO ADITIVO ALTERAÇÃO DA CCT]],tabParametros[#Headers],0),0)</f>
        <v>-</v>
      </c>
    </row>
    <row r="169" spans="1:80">
      <c r="A169" s="20" t="s">
        <v>1478</v>
      </c>
      <c r="B169" t="s">
        <v>1146</v>
      </c>
      <c r="C169" t="s">
        <v>1367</v>
      </c>
      <c r="D169" t="s">
        <v>1038</v>
      </c>
      <c r="E169" s="20" t="s">
        <v>1090</v>
      </c>
      <c r="F169" s="20" t="s">
        <v>120</v>
      </c>
      <c r="G169" s="418">
        <v>2087.4324000000001</v>
      </c>
      <c r="H169" s="418">
        <v>0</v>
      </c>
      <c r="I169" s="418">
        <v>303.60000000000002</v>
      </c>
      <c r="J169" s="418">
        <v>0</v>
      </c>
      <c r="K169" s="418">
        <v>0</v>
      </c>
      <c r="L169" s="418">
        <v>0</v>
      </c>
      <c r="M169" s="418">
        <v>0</v>
      </c>
      <c r="N169" s="418">
        <v>0</v>
      </c>
      <c r="O169" s="21">
        <f>SUM(tabCustoUnit[[#This Row],[Salário Base]:[Adicional de Acúmulo de função]])</f>
        <v>2391.0324000000001</v>
      </c>
      <c r="P169" s="21">
        <f>tabCustoUnit[[#This Row],[MODULO 1 - REMUNERAÇÃO ]]*SUMIFS(tabParametros[INSS],tabParametros[Código do Posto],tabCustoUnit[[#This Row],[Código do Posto]])</f>
        <v>478.20648000000006</v>
      </c>
      <c r="Q169" s="21">
        <f>tabCustoUnit[[#This Row],[MODULO 1 - REMUNERAÇÃO ]]*SUMIFS(tabParametros[SESI OU SESC],tabParametros[Código do Posto],tabCustoUnit[[#This Row],[Código do Posto]])</f>
        <v>35.865485999999997</v>
      </c>
      <c r="R169" s="21">
        <f>tabCustoUnit[[#This Row],[MODULO 1 - REMUNERAÇÃO ]]*SUMIFS(tabParametros[SENAI OU SENAC],tabParametros[Código do Posto],tabCustoUnit[[#This Row],[Código do Posto]])</f>
        <v>23.910324000000003</v>
      </c>
      <c r="S169" s="21">
        <f>tabCustoUnit[[#This Row],[MODULO 1 - REMUNERAÇÃO ]]*SUMIFS(tabParametros[INCRA],tabParametros[Código do Posto],tabCustoUnit[[#This Row],[Código do Posto]])</f>
        <v>4.7820648000000006</v>
      </c>
      <c r="T169" s="21">
        <f>tabCustoUnit[[#This Row],[MODULO 1 - REMUNERAÇÃO ]]*SUMIFS(tabParametros[Salário Educação],tabParametros[Código do Posto],tabCustoUnit[[#This Row],[Código do Posto]])</f>
        <v>59.775810000000007</v>
      </c>
      <c r="U169" s="21">
        <f>tabCustoUnit[[#This Row],[MODULO 1 - REMUNERAÇÃO ]]*SUMIFS(tabParametros[FGTS],tabParametros[Código do Posto],tabCustoUnit[[#This Row],[Código do Posto]])</f>
        <v>191.28259200000002</v>
      </c>
      <c r="V169" s="21">
        <f>tabCustoUnit[[#This Row],[MODULO 1 - REMUNERAÇÃO ]]*SUMIFS(tabParametros[RAT Ajustado],tabParametros[Código do Posto],tabCustoUnit[[#This Row],[Código do Posto]])</f>
        <v>95.641296000000011</v>
      </c>
      <c r="W169" s="21">
        <f>tabCustoUnit[[#This Row],[MODULO 1 - REMUNERAÇÃO ]]*SUMIFS(tabParametros[SEBRAE],tabParametros[Código do Posto],tabCustoUnit[[#This Row],[Código do Posto]])</f>
        <v>14.3461944</v>
      </c>
      <c r="X169" s="21">
        <f>SUM(tabCustoUnit[[#This Row],[INSS]:[SEBRAE]])</f>
        <v>903.81024720000005</v>
      </c>
      <c r="Y169" s="21">
        <f>tabCustoUnit[[#This Row],[MODULO 1 - REMUNERAÇÃO ]]*SUMIFS(tabParametros[13º salário (titular)],tabParametros[Código do Posto],tabCustoUnit[[#This Row],[Código do Posto]])</f>
        <v>199.2527</v>
      </c>
      <c r="Z169" s="21">
        <f>tabCustoUnit[[#This Row],[MODULO 1 - REMUNERAÇÃO ]]*SUMIFS(tabParametros[Férias e Adicional de Férias (titular)],tabParametros[Código do Posto],tabCustoUnit[[#This Row],[Código do Posto]])</f>
        <v>265.67026666666663</v>
      </c>
      <c r="AA169" s="21">
        <f>IFERROR((tabCustoUnit[[#This Row],[Submódulo 2.1]]/tabCustoUnit[[#This Row],[MODULO 1 - REMUNERAÇÃO ]])*SUM(tabCustoUnit[[#This Row],[13º salário (titular)]:[Férias e Adicional de Férias (titular)]]),0)</f>
        <v>175.74088139999998</v>
      </c>
      <c r="AB169" s="21">
        <f>SUM(tabCustoUnit[[#This Row],[13º salário (titular)]:[Incidência do Submódulo 2.1 sobre 13º Salário, Férias e Adicional de Férias]])</f>
        <v>640.66384806666656</v>
      </c>
      <c r="AC169" s="22" t="e">
        <f ca="1">_xlfn.LET(_xlpm.VT,SUMIF(tabParametros[Código do Posto],tabCustoUnit[[#This Row],[Código do Posto]],tabParametros[Vale - Transporte])*2*20,
IF((_xlpm.VT-tabCustoUnit[[#This Row],[Salário Base]]*0.06)&gt;=0,(_xlpm.VT-tabCustoUnit[[#This Row],[Salário Base]]*0.06),0)
)</f>
        <v>#NAME?</v>
      </c>
      <c r="AD169" s="22">
        <f>IF(SUMIF(tabParametros[Código do Posto],tabCustoUnit[[#This Row],[Código do Posto]],tabParametros[Vale - Alimentação])&lt;=0,0,
SUMIF(tabParametros[Código do Posto],tabCustoUnit[[#This Row],[Código do Posto]],tabParametros[Vale - Alimentação])*20-1)</f>
        <v>582</v>
      </c>
      <c r="AE169" s="22">
        <f>SUMIF(tabParametros[Código do Posto],tabCustoUnit[[#This Row],[Código do Posto]],tabParametros[Cesta Básica])</f>
        <v>0</v>
      </c>
      <c r="AF169" s="22">
        <f>SUMIF(tabParametros[Código do Posto],tabCustoUnit[[#This Row],[Código do Posto]],tabParametros[PAF])</f>
        <v>51.86</v>
      </c>
      <c r="AG169" s="22">
        <f>SUMIF(tabParametros[Código do Posto],tabCustoUnit[[#This Row],[Código do Posto]],tabParametros[PQM])</f>
        <v>0</v>
      </c>
      <c r="AH169" s="22">
        <f>SUMIF(tabParametros[Código do Posto],tabCustoUnit[[#This Row],[Código do Posto]],tabParametros[Abono Único e Especial])</f>
        <v>0</v>
      </c>
      <c r="AI169" s="22">
        <f>SUMIF(tabParametros[Código do Posto],tabCustoUnit[[#This Row],[Código do Posto]],tabParametros[Seguro de Vida])</f>
        <v>3.36</v>
      </c>
      <c r="AJ169" s="22">
        <f>SUMIF(tabParametros[Código do Posto],tabCustoUnit[[#This Row],[Código do Posto]],tabParametros[Despesas de Viagem])</f>
        <v>0</v>
      </c>
      <c r="AK169" s="22" t="e">
        <f ca="1">SUM(tabCustoUnit[[#This Row],[Vale - Transporte (Descontada parcela do empregado)]:[Despesas de Viagem]])</f>
        <v>#NAME?</v>
      </c>
      <c r="AL169" s="22" t="e">
        <f ca="1">tabCustoUnit[[#This Row],[Submódulo 2.1]]+tabCustoUnit[[#This Row],[Submódulo 2.2]]+tabCustoUnit[[#This Row],[Submódulo 2.3]]</f>
        <v>#NAME?</v>
      </c>
      <c r="AM169" s="22">
        <f>SUMIF(tabParametros[Código do Posto],tabCustoUnit[[#This Row],[Código do Posto]],tabParametros[Aviso Prévio Indenizado (API) e Reflexo do Aviso Prévio Indenizado])*tabCustoUnit[[#This Row],[MODULO 1 - REMUNERAÇÃO ]]</f>
        <v>16.765362019212965</v>
      </c>
      <c r="AN169" s="22">
        <f>SUMIF(tabParametros[Código do Posto],tabCustoUnit[[#This Row],[Código do Posto]],tabParametros[Incidência do FGTS sobre API e Reflexo do API])*tabCustoUnit[[#This Row],[MODULO 1 - REMUNERAÇÃO ]]</f>
        <v>1.3412289615370372</v>
      </c>
      <c r="AO169" s="22">
        <f>SUMIF(tabParametros[Código do Posto],tabCustoUnit[[#This Row],[Código do Posto]],tabParametros[Multa Rescisória do FGTS sobre o Aviso Prévio Indenizado])*tabCustoUnit[[#This Row],[MODULO 1 - REMUNERAÇÃO ]]</f>
        <v>0.53649158461481494</v>
      </c>
      <c r="AP169" s="22">
        <f>SUMIF(tabParametros[Código do Posto],tabCustoUnit[[#This Row],[Código do Posto]],tabParametros[Aviso Prévio Trabalhado - APT])*tabCustoUnit[[#This Row],[MODULO 1 - REMUNERAÇÃO ]]</f>
        <v>8.368613400000001</v>
      </c>
      <c r="AQ169" s="22">
        <f>SUMIF(tabParametros[Código do Posto],tabCustoUnit[[#This Row],[Código do Posto]],tabParametros[Incidência dos encargos do submódulo 2.1 sobre Aviso Prévio Trabalhado])*tabCustoUnit[[#This Row],[MODULO 1 - REMUNERAÇÃO ]]</f>
        <v>3.163335865200001</v>
      </c>
      <c r="AR169" s="22">
        <f>SUMIF(tabParametros[Código do Posto],tabCustoUnit[[#This Row],[Código do Posto]],tabParametros[Multa Rescisória do FGTS])*tabCustoUnit[[#This Row],[MODULO 1 - REMUNERAÇÃO ]]</f>
        <v>73.112457386666662</v>
      </c>
      <c r="AS169" s="22">
        <f>SUMIF(tabParametros[Código do Posto],tabCustoUnit[[#This Row],[Código do Posto]],tabParametros[Indenização Adicional (Art. 9º da Lei nº 7.238/84)])*tabCustoUnit[[#This Row],[MODULO 1 - REMUNERAÇÃO ]]</f>
        <v>1.9925270000000002</v>
      </c>
      <c r="AT169" s="22">
        <f>SUM(tabCustoUnit[[#This Row],[Aviso Prévio Indenizado (API) e Reflexo do Aviso Prévio Indenizado]:[Indenização Adicional (Art. 9º da Lei nº 7.238/84)]])</f>
        <v>105.28001621723148</v>
      </c>
      <c r="AU169" s="22">
        <f>SUMIF(tabParametros[Código do Posto],tabCustoUnit[[#This Row],[Código do Posto]],tabParametros[Ausência por Doença])*tabCustoUnit[[#This Row],[MODULO 1 - REMUNERAÇÃO ]]</f>
        <v>20.190940266666665</v>
      </c>
      <c r="AV169" s="22">
        <f>SUMIF(tabParametros[Código do Posto],tabCustoUnit[[#This Row],[Código do Posto]],tabParametros[Ausências Legais])*tabCustoUnit[[#This Row],[MODULO 1 - REMUNERAÇÃO ]]</f>
        <v>4.8484823666666665</v>
      </c>
      <c r="AW169" s="22">
        <f>SUMIF(tabParametros[Código do Posto],tabCustoUnit[[#This Row],[Código do Posto]],tabParametros[Licença Paternidade])*tabCustoUnit[[#This Row],[MODULO 1 - REMUNERAÇÃO ]]</f>
        <v>0.40846803500000001</v>
      </c>
      <c r="AX169" s="22">
        <f>SUMIF(tabParametros[Código do Posto],tabCustoUnit[[#This Row],[Código do Posto]],tabParametros[Ausência por Acidente de Trabalho])*tabCustoUnit[[#This Row],[MODULO 1 - REMUNERAÇÃO ]]</f>
        <v>0.49813175000000004</v>
      </c>
      <c r="AY169" s="22">
        <f>SUMIF(tabParametros[Código do Posto],tabCustoUnit[[#This Row],[Código do Posto]],tabParametros[Férias, Adicional de Férias e 13º  com empregada em gozo de Licença Maternidade])*tabCustoUnit[[#This Row],[MODULO 1 - REMUNERAÇÃO ]]</f>
        <v>3.0994864444444445</v>
      </c>
      <c r="AZ169" s="22">
        <f>SUMIF(tabParametros[Código do Posto],tabCustoUnit[[#This Row],[Código do Posto]],tabParametros[Incidência do Submódulo 2.1 sobre Ausências Legais])*tabCustoUnit[[#This Row],[MODULO 1 - REMUNERAÇÃO ]]</f>
        <v>10.979202350130002</v>
      </c>
      <c r="BA169" s="22">
        <f>SUM(tabCustoUnit[[#This Row],[Ausência por Doença]:[Incidência do Submódulo 2.1 sobre Ausências Legais]])</f>
        <v>40.024711212907775</v>
      </c>
      <c r="BB169" s="22">
        <f>SUMIF(tabParametros[Código do Posto],tabCustoUnit[[#This Row],[Código do Posto]],tabParametros[Intervalo para Repouso ou Alimentação])</f>
        <v>0</v>
      </c>
      <c r="BC169" s="22">
        <f>tabCustoUnit[[#This Row],[Intervalo para Repouso ou Alimentação]]</f>
        <v>0</v>
      </c>
      <c r="BD16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69" s="22">
        <f>tabCustoUnit[[#This Row],[Suspensão Temporária do Contrato de Trabalho]]</f>
        <v>0</v>
      </c>
      <c r="BF169" s="22">
        <f>tabCustoUnit[[#This Row],[Submódulo 4.1]]+tabCustoUnit[[#This Row],[Submódulo 4.2]]+tabCustoUnit[[#This Row],[Submódulo 4.3]]</f>
        <v>40.024711212907775</v>
      </c>
      <c r="BG169" s="22">
        <f>VLOOKUP(tabCustoUnit[[#This Row],[Código do Posto]],tabParametros[],MATCH(tabCustoUnit[[#Headers],[Uniformes e EPIs]],tabParametros[#Headers],0),0)</f>
        <v>253.83572732312174</v>
      </c>
      <c r="BH169" s="22">
        <f>VLOOKUP(tabCustoUnit[[#This Row],[Código do Posto]],tabParametros[],MATCH(tabCustoUnit[[#Headers],[Materiais de Consumo]],tabParametros[#Headers],0),0)</f>
        <v>441.81099462365592</v>
      </c>
      <c r="BI169" s="22">
        <f>VLOOKUP(tabCustoUnit[[#This Row],[Código do Posto]],tabParametros[],MATCH(tabCustoUnit[[#Headers],[Máquinas e Equipamentos (depreciação)]],tabParametros[#Headers],0),0)</f>
        <v>113.11309677419354</v>
      </c>
      <c r="BJ169" s="22">
        <f>VLOOKUP(tabCustoUnit[[#This Row],[Código do Posto]],tabParametros[],MATCH(tabCustoUnit[[#Headers],[Produtos de Limpeza e Materiais de Higiene Pessoal]],tabParametros[#Headers],0),0)</f>
        <v>0</v>
      </c>
      <c r="BK169" s="22">
        <f>VLOOKUP(tabCustoUnit[[#This Row],[Código do Posto]],tabParametros[],MATCH(tabCustoUnit[[#Headers],[Outros (especificar)]],tabParametros[#Headers],0),0)</f>
        <v>0</v>
      </c>
      <c r="BL169" s="22">
        <f>SUM(tabCustoUnit[[#This Row],[Uniformes e EPIs]:[Outros (especificar)]])</f>
        <v>808.75981872097123</v>
      </c>
      <c r="BM16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69" s="22" t="e">
        <f ca="1">VLOOKUP(tabCustoUnit[[#This Row],[Código do Posto]],tabParametros[],MATCH(tabCustoUnit[[#Headers],[Custos Indiretos]],tabParametros[#Headers],0),0)</f>
        <v>#NAME?</v>
      </c>
      <c r="BO169" s="22" t="e">
        <f ca="1">VLOOKUP(tabCustoUnit[[#This Row],[Código do Posto]],tabParametros[],MATCH(tabCustoUnit[[#Headers],[Lucro]],tabParametros[#Headers],0),0)</f>
        <v>#NAME?</v>
      </c>
      <c r="BP169" s="26">
        <f>((100/((1-tabCustoUnit[[#This Row],[Resumo de Alíquotas (PIS+CONFINS+ISS)]]))-100)*VLOOKUP(tabCustoUnit[[#This Row],[Código do Posto]],tabParametros[],MATCH(tabCustoUnit[[#Headers],[COFINS]],tabParametros[#Headers],0),0))/(tabCustoUnit[[#This Row],[Resumo de Alíquotas (PIS+CONFINS+ISS)]]*100)</f>
        <v>8.6609686609686695E-2</v>
      </c>
      <c r="BQ169" s="26">
        <f>((100/((100-(tabCustoUnit[[#This Row],[Resumo de Alíquotas (PIS+CONFINS+ISS)]]*100))%)-100)*VLOOKUP(tabCustoUnit[[#This Row],[Código do Posto]],tabParametros[],MATCH(tabCustoUnit[[#Headers],[PIS]],tabParametros[#Headers],0),0))/(tabCustoUnit[[#This Row],[Resumo de Alíquotas (PIS+CONFINS+ISS)]]*100)</f>
        <v>1.880341880341882E-2</v>
      </c>
      <c r="BR169" s="28">
        <f>VLOOKUP(tabCustoUnit[[#This Row],[Código do Posto]],tabParametros[],MATCH(tabCustoUnit[[#Headers],[ISS]],tabParametros[#Headers],0),0)</f>
        <v>0.03</v>
      </c>
      <c r="BS169" s="26">
        <f>(((100/((100-(tabCustoUnit[[#This Row],[Resumo de Alíquotas (PIS+CONFINS+ISS)]]*100))%)-100)*tabCustoUnit[[#This Row],[ISS]])/tabCustoUnit[[#This Row],[Resumo de Alíquotas (PIS+CONFINS+ISS)]])/100</f>
        <v>3.4188034188034219E-2</v>
      </c>
      <c r="BT16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9" s="138">
        <f>tabCustoUnit[[#This Row],[COFINS]]+tabCustoUnit[[#This Row],[PIS]]+tabCustoUnit[[#This Row],[ISS (Conversão Alíquota s/ fatura)]]</f>
        <v>0.13960113960113973</v>
      </c>
      <c r="BV169" s="22" t="e">
        <f ca="1">(tabCustoUnit[[#This Row],[TOTAL MÓDULOS 1+2+3+4+5]]+tabCustoUnit[[#This Row],[Custos Indiretos]]+tabCustoUnit[[#This Row],[Lucro]])*tabCustoUnit[[#This Row],[PIS + COFINS + ISS (Total Conversão  Alíquota s/ Fatura)]]</f>
        <v>#NAME?</v>
      </c>
      <c r="BW169" s="22" t="e">
        <f ca="1">tabCustoUnit[[#This Row],[Custos Indiretos]]+tabCustoUnit[[#This Row],[Lucro]]+tabCustoUnit[[#This Row],[Valor dos Tributos (ISS, PIS, CONFINS)]]</f>
        <v>#NAME?</v>
      </c>
      <c r="BX169" s="22" t="e">
        <f ca="1">tabCustoUnit[[#This Row],[TOTAL MÓDULOS 1+2+3+4+5]]+tabCustoUnit[[#This Row],[MÓDULO 6 – CUSTOS INDIRETOS, TRIBUTOS E LUCRO]]</f>
        <v>#NAME?</v>
      </c>
      <c r="BY169" s="22" t="e">
        <f ca="1">tabCustoUnit[[#This Row],[CUSTO TOTAL MENSAL]]*12</f>
        <v>#NAME?</v>
      </c>
      <c r="BZ169" s="24">
        <f>VLOOKUP(tabCustoUnit[[#This Row],[Código do Posto]],tabParametros[],MATCH(tabCustoUnit[[#Headers],[ANO DA CCT]],tabParametros[#Headers],0),0)</f>
        <v>45658</v>
      </c>
      <c r="CA169" s="25" t="str">
        <f>VLOOKUP(tabCustoUnit[[#This Row],[Código do Posto]],tabParametros[],MATCH(tabCustoUnit[[#Headers],[Nº DE PEDIDO DA CCT]],tabParametros[#Headers],0),0)</f>
        <v>-</v>
      </c>
      <c r="CB169" s="25" t="str">
        <f>VLOOKUP(tabCustoUnit[[#This Row],[Código do Posto]],tabParametros[],MATCH(tabCustoUnit[[#Headers],[TERMO ADITIVO ALTERAÇÃO DA CCT]],tabParametros[#Headers],0),0)</f>
        <v>-</v>
      </c>
    </row>
    <row r="170" spans="1:80">
      <c r="A170" s="20" t="s">
        <v>1617</v>
      </c>
      <c r="B170" t="s">
        <v>1146</v>
      </c>
      <c r="C170" t="s">
        <v>1368</v>
      </c>
      <c r="D170" t="s">
        <v>1038</v>
      </c>
      <c r="E170" s="20" t="s">
        <v>1090</v>
      </c>
      <c r="F170" s="20" t="s">
        <v>120</v>
      </c>
      <c r="G170" s="418">
        <v>2296.1756999999998</v>
      </c>
      <c r="H170" s="418">
        <v>0</v>
      </c>
      <c r="I170" s="418">
        <v>303.60000000000002</v>
      </c>
      <c r="J170" s="418">
        <v>0</v>
      </c>
      <c r="K170" s="418">
        <v>0</v>
      </c>
      <c r="L170" s="418">
        <v>0</v>
      </c>
      <c r="M170" s="418">
        <v>0</v>
      </c>
      <c r="N170" s="418">
        <v>0</v>
      </c>
      <c r="O170" s="21">
        <f>SUM(tabCustoUnit[[#This Row],[Salário Base]:[Adicional de Acúmulo de função]])</f>
        <v>2599.7756999999997</v>
      </c>
      <c r="P170" s="21">
        <f>tabCustoUnit[[#This Row],[MODULO 1 - REMUNERAÇÃO ]]*SUMIFS(tabParametros[INSS],tabParametros[Código do Posto],tabCustoUnit[[#This Row],[Código do Posto]])</f>
        <v>519.95513999999991</v>
      </c>
      <c r="Q170" s="21">
        <f>tabCustoUnit[[#This Row],[MODULO 1 - REMUNERAÇÃO ]]*SUMIFS(tabParametros[SESI OU SESC],tabParametros[Código do Posto],tabCustoUnit[[#This Row],[Código do Posto]])</f>
        <v>38.996635499999996</v>
      </c>
      <c r="R170" s="21">
        <f>tabCustoUnit[[#This Row],[MODULO 1 - REMUNERAÇÃO ]]*SUMIFS(tabParametros[SENAI OU SENAC],tabParametros[Código do Posto],tabCustoUnit[[#This Row],[Código do Posto]])</f>
        <v>25.997756999999996</v>
      </c>
      <c r="S170" s="21">
        <f>tabCustoUnit[[#This Row],[MODULO 1 - REMUNERAÇÃO ]]*SUMIFS(tabParametros[INCRA],tabParametros[Código do Posto],tabCustoUnit[[#This Row],[Código do Posto]])</f>
        <v>5.1995513999999998</v>
      </c>
      <c r="T170" s="21">
        <f>tabCustoUnit[[#This Row],[MODULO 1 - REMUNERAÇÃO ]]*SUMIFS(tabParametros[Salário Educação],tabParametros[Código do Posto],tabCustoUnit[[#This Row],[Código do Posto]])</f>
        <v>64.994392499999989</v>
      </c>
      <c r="U170" s="21">
        <f>tabCustoUnit[[#This Row],[MODULO 1 - REMUNERAÇÃO ]]*SUMIFS(tabParametros[FGTS],tabParametros[Código do Posto],tabCustoUnit[[#This Row],[Código do Posto]])</f>
        <v>207.98205599999997</v>
      </c>
      <c r="V170" s="21">
        <f>tabCustoUnit[[#This Row],[MODULO 1 - REMUNERAÇÃO ]]*SUMIFS(tabParametros[RAT Ajustado],tabParametros[Código do Posto],tabCustoUnit[[#This Row],[Código do Posto]])</f>
        <v>103.99102799999999</v>
      </c>
      <c r="W170" s="21">
        <f>tabCustoUnit[[#This Row],[MODULO 1 - REMUNERAÇÃO ]]*SUMIFS(tabParametros[SEBRAE],tabParametros[Código do Posto],tabCustoUnit[[#This Row],[Código do Posto]])</f>
        <v>15.598654199999999</v>
      </c>
      <c r="X170" s="21">
        <f>SUM(tabCustoUnit[[#This Row],[INSS]:[SEBRAE]])</f>
        <v>982.71521459999985</v>
      </c>
      <c r="Y170" s="21">
        <f>tabCustoUnit[[#This Row],[MODULO 1 - REMUNERAÇÃO ]]*SUMIFS(tabParametros[13º salário (titular)],tabParametros[Código do Posto],tabCustoUnit[[#This Row],[Código do Posto]])</f>
        <v>216.64797499999997</v>
      </c>
      <c r="Z170" s="21">
        <f>tabCustoUnit[[#This Row],[MODULO 1 - REMUNERAÇÃO ]]*SUMIFS(tabParametros[Férias e Adicional de Férias (titular)],tabParametros[Código do Posto],tabCustoUnit[[#This Row],[Código do Posto]])</f>
        <v>288.86396666666661</v>
      </c>
      <c r="AA170" s="21">
        <f>IFERROR((tabCustoUnit[[#This Row],[Submódulo 2.1]]/tabCustoUnit[[#This Row],[MODULO 1 - REMUNERAÇÃO ]])*SUM(tabCustoUnit[[#This Row],[13º salário (titular)]:[Férias e Adicional de Férias (titular)]]),0)</f>
        <v>191.08351394999997</v>
      </c>
      <c r="AB170" s="21">
        <f>SUM(tabCustoUnit[[#This Row],[13º salário (titular)]:[Incidência do Submódulo 2.1 sobre 13º Salário, Férias e Adicional de Férias]])</f>
        <v>696.59545561666653</v>
      </c>
      <c r="AC170" s="22" t="e">
        <f ca="1">_xlfn.LET(_xlpm.VT,SUMIF(tabParametros[Código do Posto],tabCustoUnit[[#This Row],[Código do Posto]],tabParametros[Vale - Transporte])*2*20,
IF((_xlpm.VT-tabCustoUnit[[#This Row],[Salário Base]]*0.06)&gt;=0,(_xlpm.VT-tabCustoUnit[[#This Row],[Salário Base]]*0.06),0)
)</f>
        <v>#NAME?</v>
      </c>
      <c r="AD170" s="22">
        <f>IF(SUMIF(tabParametros[Código do Posto],tabCustoUnit[[#This Row],[Código do Posto]],tabParametros[Vale - Alimentação])&lt;=0,0,
SUMIF(tabParametros[Código do Posto],tabCustoUnit[[#This Row],[Código do Posto]],tabParametros[Vale - Alimentação])*20-1)</f>
        <v>582</v>
      </c>
      <c r="AE170" s="22">
        <f>SUMIF(tabParametros[Código do Posto],tabCustoUnit[[#This Row],[Código do Posto]],tabParametros[Cesta Básica])</f>
        <v>0</v>
      </c>
      <c r="AF170" s="22">
        <f>SUMIF(tabParametros[Código do Posto],tabCustoUnit[[#This Row],[Código do Posto]],tabParametros[PAF])</f>
        <v>51.86</v>
      </c>
      <c r="AG170" s="22">
        <f>SUMIF(tabParametros[Código do Posto],tabCustoUnit[[#This Row],[Código do Posto]],tabParametros[PQM])</f>
        <v>0</v>
      </c>
      <c r="AH170" s="22">
        <f>SUMIF(tabParametros[Código do Posto],tabCustoUnit[[#This Row],[Código do Posto]],tabParametros[Abono Único e Especial])</f>
        <v>0</v>
      </c>
      <c r="AI170" s="22">
        <f>SUMIF(tabParametros[Código do Posto],tabCustoUnit[[#This Row],[Código do Posto]],tabParametros[Seguro de Vida])</f>
        <v>3.36</v>
      </c>
      <c r="AJ170" s="22">
        <f>SUMIF(tabParametros[Código do Posto],tabCustoUnit[[#This Row],[Código do Posto]],tabParametros[Despesas de Viagem])</f>
        <v>0</v>
      </c>
      <c r="AK170" s="22" t="e">
        <f ca="1">SUM(tabCustoUnit[[#This Row],[Vale - Transporte (Descontada parcela do empregado)]:[Despesas de Viagem]])</f>
        <v>#NAME?</v>
      </c>
      <c r="AL170" s="22" t="e">
        <f ca="1">tabCustoUnit[[#This Row],[Submódulo 2.1]]+tabCustoUnit[[#This Row],[Submódulo 2.2]]+tabCustoUnit[[#This Row],[Submódulo 2.3]]</f>
        <v>#NAME?</v>
      </c>
      <c r="AM170" s="22">
        <f>SUMIF(tabParametros[Código do Posto],tabCustoUnit[[#This Row],[Código do Posto]],tabParametros[Aviso Prévio Indenizado (API) e Reflexo do Aviso Prévio Indenizado])*tabCustoUnit[[#This Row],[MODULO 1 - REMUNERAÇÃO ]]</f>
        <v>18.229021396469907</v>
      </c>
      <c r="AN170" s="22">
        <f>SUMIF(tabParametros[Código do Posto],tabCustoUnit[[#This Row],[Código do Posto]],tabParametros[Incidência do FGTS sobre API e Reflexo do API])*tabCustoUnit[[#This Row],[MODULO 1 - REMUNERAÇÃO ]]</f>
        <v>1.4583217117175926</v>
      </c>
      <c r="AO170" s="22">
        <f>SUMIF(tabParametros[Código do Posto],tabCustoUnit[[#This Row],[Código do Posto]],tabParametros[Multa Rescisória do FGTS sobre o Aviso Prévio Indenizado])*tabCustoUnit[[#This Row],[MODULO 1 - REMUNERAÇÃO ]]</f>
        <v>0.58332868468703702</v>
      </c>
      <c r="AP170" s="22">
        <f>SUMIF(tabParametros[Código do Posto],tabCustoUnit[[#This Row],[Código do Posto]],tabParametros[Aviso Prévio Trabalhado - APT])*tabCustoUnit[[#This Row],[MODULO 1 - REMUNERAÇÃO ]]</f>
        <v>9.0992149500000004</v>
      </c>
      <c r="AQ170" s="22">
        <f>SUMIF(tabParametros[Código do Posto],tabCustoUnit[[#This Row],[Código do Posto]],tabParametros[Incidência dos encargos do submódulo 2.1 sobre Aviso Prévio Trabalhado])*tabCustoUnit[[#This Row],[MODULO 1 - REMUNERAÇÃO ]]</f>
        <v>3.4395032511000005</v>
      </c>
      <c r="AR170" s="22">
        <f>SUMIF(tabParametros[Código do Posto],tabCustoUnit[[#This Row],[Código do Posto]],tabParametros[Multa Rescisória do FGTS])*tabCustoUnit[[#This Row],[MODULO 1 - REMUNERAÇÃO ]]</f>
        <v>79.495363626666645</v>
      </c>
      <c r="AS170" s="22">
        <f>SUMIF(tabParametros[Código do Posto],tabCustoUnit[[#This Row],[Código do Posto]],tabParametros[Indenização Adicional (Art. 9º da Lei nº 7.238/84)])*tabCustoUnit[[#This Row],[MODULO 1 - REMUNERAÇÃO ]]</f>
        <v>2.1664797499999997</v>
      </c>
      <c r="AT170" s="22">
        <f>SUM(tabCustoUnit[[#This Row],[Aviso Prévio Indenizado (API) e Reflexo do Aviso Prévio Indenizado]:[Indenização Adicional (Art. 9º da Lei nº 7.238/84)]])</f>
        <v>114.47123337064117</v>
      </c>
      <c r="AU170" s="22">
        <f>SUMIF(tabParametros[Código do Posto],tabCustoUnit[[#This Row],[Código do Posto]],tabParametros[Ausência por Doença])*tabCustoUnit[[#This Row],[MODULO 1 - REMUNERAÇÃO ]]</f>
        <v>21.953661466666663</v>
      </c>
      <c r="AV170" s="22">
        <f>SUMIF(tabParametros[Código do Posto],tabCustoUnit[[#This Row],[Código do Posto]],tabParametros[Ausências Legais])*tabCustoUnit[[#This Row],[MODULO 1 - REMUNERAÇÃO ]]</f>
        <v>5.2717673916666659</v>
      </c>
      <c r="AW170" s="22">
        <f>SUMIF(tabParametros[Código do Posto],tabCustoUnit[[#This Row],[Código do Posto]],tabParametros[Licença Paternidade])*tabCustoUnit[[#This Row],[MODULO 1 - REMUNERAÇÃO ]]</f>
        <v>0.44412834874999996</v>
      </c>
      <c r="AX170" s="22">
        <f>SUMIF(tabParametros[Código do Posto],tabCustoUnit[[#This Row],[Código do Posto]],tabParametros[Ausência por Acidente de Trabalho])*tabCustoUnit[[#This Row],[MODULO 1 - REMUNERAÇÃO ]]</f>
        <v>0.54161993749999993</v>
      </c>
      <c r="AY170" s="22">
        <f>SUMIF(tabParametros[Código do Posto],tabCustoUnit[[#This Row],[Código do Posto]],tabParametros[Férias, Adicional de Férias e 13º  com empregada em gozo de Licença Maternidade])*tabCustoUnit[[#This Row],[MODULO 1 - REMUNERAÇÃO ]]</f>
        <v>3.3700796111111107</v>
      </c>
      <c r="AZ170" s="22">
        <f>SUMIF(tabParametros[Código do Posto],tabCustoUnit[[#This Row],[Código do Posto]],tabParametros[Incidência do Submódulo 2.1 sobre Ausências Legais])*tabCustoUnit[[#This Row],[MODULO 1 - REMUNERAÇÃO ]]</f>
        <v>11.9377150536525</v>
      </c>
      <c r="BA170" s="22">
        <f>SUM(tabCustoUnit[[#This Row],[Ausência por Doença]:[Incidência do Submódulo 2.1 sobre Ausências Legais]])</f>
        <v>43.518971809346937</v>
      </c>
      <c r="BB170" s="22">
        <f>SUMIF(tabParametros[Código do Posto],tabCustoUnit[[#This Row],[Código do Posto]],tabParametros[Intervalo para Repouso ou Alimentação])</f>
        <v>0</v>
      </c>
      <c r="BC170" s="22">
        <f>tabCustoUnit[[#This Row],[Intervalo para Repouso ou Alimentação]]</f>
        <v>0</v>
      </c>
      <c r="BD17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0" s="22">
        <f>tabCustoUnit[[#This Row],[Suspensão Temporária do Contrato de Trabalho]]</f>
        <v>0</v>
      </c>
      <c r="BF170" s="22">
        <f>tabCustoUnit[[#This Row],[Submódulo 4.1]]+tabCustoUnit[[#This Row],[Submódulo 4.2]]+tabCustoUnit[[#This Row],[Submódulo 4.3]]</f>
        <v>43.518971809346937</v>
      </c>
      <c r="BG170" s="22">
        <f>VLOOKUP(tabCustoUnit[[#This Row],[Código do Posto]],tabParametros[],MATCH(tabCustoUnit[[#Headers],[Uniformes e EPIs]],tabParametros[#Headers],0),0)</f>
        <v>196.62072732312174</v>
      </c>
      <c r="BH170" s="22">
        <f>VLOOKUP(tabCustoUnit[[#This Row],[Código do Posto]],tabParametros[],MATCH(tabCustoUnit[[#Headers],[Materiais de Consumo]],tabParametros[#Headers],0),0)</f>
        <v>441.81099462365592</v>
      </c>
      <c r="BI170" s="22">
        <f>VLOOKUP(tabCustoUnit[[#This Row],[Código do Posto]],tabParametros[],MATCH(tabCustoUnit[[#Headers],[Máquinas e Equipamentos (depreciação)]],tabParametros[#Headers],0),0)</f>
        <v>113.11309677419354</v>
      </c>
      <c r="BJ170" s="22">
        <f>VLOOKUP(tabCustoUnit[[#This Row],[Código do Posto]],tabParametros[],MATCH(tabCustoUnit[[#Headers],[Produtos de Limpeza e Materiais de Higiene Pessoal]],tabParametros[#Headers],0),0)</f>
        <v>0</v>
      </c>
      <c r="BK170" s="22">
        <f>VLOOKUP(tabCustoUnit[[#This Row],[Código do Posto]],tabParametros[],MATCH(tabCustoUnit[[#Headers],[Outros (especificar)]],tabParametros[#Headers],0),0)</f>
        <v>0</v>
      </c>
      <c r="BL170" s="22">
        <f>SUM(tabCustoUnit[[#This Row],[Uniformes e EPIs]:[Outros (especificar)]])</f>
        <v>751.54481872097119</v>
      </c>
      <c r="BM17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0" s="22" t="e">
        <f ca="1">VLOOKUP(tabCustoUnit[[#This Row],[Código do Posto]],tabParametros[],MATCH(tabCustoUnit[[#Headers],[Custos Indiretos]],tabParametros[#Headers],0),0)</f>
        <v>#NAME?</v>
      </c>
      <c r="BO170" s="22" t="e">
        <f ca="1">VLOOKUP(tabCustoUnit[[#This Row],[Código do Posto]],tabParametros[],MATCH(tabCustoUnit[[#Headers],[Lucro]],tabParametros[#Headers],0),0)</f>
        <v>#NAME?</v>
      </c>
      <c r="BP170" s="26">
        <f>((100/((1-tabCustoUnit[[#This Row],[Resumo de Alíquotas (PIS+CONFINS+ISS)]]))-100)*VLOOKUP(tabCustoUnit[[#This Row],[Código do Posto]],tabParametros[],MATCH(tabCustoUnit[[#Headers],[COFINS]],tabParametros[#Headers],0),0))/(tabCustoUnit[[#This Row],[Resumo de Alíquotas (PIS+CONFINS+ISS)]]*100)</f>
        <v>8.6609686609686695E-2</v>
      </c>
      <c r="BQ170" s="26">
        <f>((100/((100-(tabCustoUnit[[#This Row],[Resumo de Alíquotas (PIS+CONFINS+ISS)]]*100))%)-100)*VLOOKUP(tabCustoUnit[[#This Row],[Código do Posto]],tabParametros[],MATCH(tabCustoUnit[[#Headers],[PIS]],tabParametros[#Headers],0),0))/(tabCustoUnit[[#This Row],[Resumo de Alíquotas (PIS+CONFINS+ISS)]]*100)</f>
        <v>1.880341880341882E-2</v>
      </c>
      <c r="BR170" s="28">
        <f>VLOOKUP(tabCustoUnit[[#This Row],[Código do Posto]],tabParametros[],MATCH(tabCustoUnit[[#Headers],[ISS]],tabParametros[#Headers],0),0)</f>
        <v>0.03</v>
      </c>
      <c r="BS170" s="26">
        <f>(((100/((100-(tabCustoUnit[[#This Row],[Resumo de Alíquotas (PIS+CONFINS+ISS)]]*100))%)-100)*tabCustoUnit[[#This Row],[ISS]])/tabCustoUnit[[#This Row],[Resumo de Alíquotas (PIS+CONFINS+ISS)]])/100</f>
        <v>3.4188034188034219E-2</v>
      </c>
      <c r="BT17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0" s="138">
        <f>tabCustoUnit[[#This Row],[COFINS]]+tabCustoUnit[[#This Row],[PIS]]+tabCustoUnit[[#This Row],[ISS (Conversão Alíquota s/ fatura)]]</f>
        <v>0.13960113960113973</v>
      </c>
      <c r="BV170" s="22" t="e">
        <f ca="1">(tabCustoUnit[[#This Row],[TOTAL MÓDULOS 1+2+3+4+5]]+tabCustoUnit[[#This Row],[Custos Indiretos]]+tabCustoUnit[[#This Row],[Lucro]])*tabCustoUnit[[#This Row],[PIS + COFINS + ISS (Total Conversão  Alíquota s/ Fatura)]]</f>
        <v>#NAME?</v>
      </c>
      <c r="BW170" s="22" t="e">
        <f ca="1">tabCustoUnit[[#This Row],[Custos Indiretos]]+tabCustoUnit[[#This Row],[Lucro]]+tabCustoUnit[[#This Row],[Valor dos Tributos (ISS, PIS, CONFINS)]]</f>
        <v>#NAME?</v>
      </c>
      <c r="BX170" s="22" t="e">
        <f ca="1">tabCustoUnit[[#This Row],[TOTAL MÓDULOS 1+2+3+4+5]]+tabCustoUnit[[#This Row],[MÓDULO 6 – CUSTOS INDIRETOS, TRIBUTOS E LUCRO]]</f>
        <v>#NAME?</v>
      </c>
      <c r="BY170" s="22" t="e">
        <f ca="1">tabCustoUnit[[#This Row],[CUSTO TOTAL MENSAL]]*12</f>
        <v>#NAME?</v>
      </c>
      <c r="BZ170" s="24">
        <f>VLOOKUP(tabCustoUnit[[#This Row],[Código do Posto]],tabParametros[],MATCH(tabCustoUnit[[#Headers],[ANO DA CCT]],tabParametros[#Headers],0),0)</f>
        <v>45658</v>
      </c>
      <c r="CA170" s="25" t="str">
        <f>VLOOKUP(tabCustoUnit[[#This Row],[Código do Posto]],tabParametros[],MATCH(tabCustoUnit[[#Headers],[Nº DE PEDIDO DA CCT]],tabParametros[#Headers],0),0)</f>
        <v>-</v>
      </c>
      <c r="CB170" s="25" t="str">
        <f>VLOOKUP(tabCustoUnit[[#This Row],[Código do Posto]],tabParametros[],MATCH(tabCustoUnit[[#Headers],[TERMO ADITIVO ALTERAÇÃO DA CCT]],tabParametros[#Headers],0),0)</f>
        <v>-</v>
      </c>
    </row>
    <row r="171" spans="1:80">
      <c r="A171" s="20" t="s">
        <v>1618</v>
      </c>
      <c r="B171" t="s">
        <v>1146</v>
      </c>
      <c r="C171" t="s">
        <v>274</v>
      </c>
      <c r="D171" t="s">
        <v>986</v>
      </c>
      <c r="E171" s="20" t="s">
        <v>1090</v>
      </c>
      <c r="F171" s="20" t="s">
        <v>120</v>
      </c>
      <c r="G171" s="418">
        <v>4599.5953</v>
      </c>
      <c r="H171" s="418">
        <v>0</v>
      </c>
      <c r="I171" s="418">
        <v>0</v>
      </c>
      <c r="J171" s="418">
        <v>0</v>
      </c>
      <c r="K171" s="418">
        <v>0</v>
      </c>
      <c r="L171" s="418">
        <v>0</v>
      </c>
      <c r="M171" s="418">
        <v>0</v>
      </c>
      <c r="N171" s="418">
        <v>0</v>
      </c>
      <c r="O171" s="21">
        <f>SUM(tabCustoUnit[[#This Row],[Salário Base]:[Adicional de Acúmulo de função]])</f>
        <v>4599.5953</v>
      </c>
      <c r="P171" s="21">
        <f>tabCustoUnit[[#This Row],[MODULO 1 - REMUNERAÇÃO ]]*SUMIFS(tabParametros[INSS],tabParametros[Código do Posto],tabCustoUnit[[#This Row],[Código do Posto]])</f>
        <v>919.91906000000006</v>
      </c>
      <c r="Q171" s="21">
        <f>tabCustoUnit[[#This Row],[MODULO 1 - REMUNERAÇÃO ]]*SUMIFS(tabParametros[SESI OU SESC],tabParametros[Código do Posto],tabCustoUnit[[#This Row],[Código do Posto]])</f>
        <v>68.993929499999993</v>
      </c>
      <c r="R171" s="21">
        <f>tabCustoUnit[[#This Row],[MODULO 1 - REMUNERAÇÃO ]]*SUMIFS(tabParametros[SENAI OU SENAC],tabParametros[Código do Posto],tabCustoUnit[[#This Row],[Código do Posto]])</f>
        <v>45.995953</v>
      </c>
      <c r="S171" s="21">
        <f>tabCustoUnit[[#This Row],[MODULO 1 - REMUNERAÇÃO ]]*SUMIFS(tabParametros[INCRA],tabParametros[Código do Posto],tabCustoUnit[[#This Row],[Código do Posto]])</f>
        <v>9.1991905999999997</v>
      </c>
      <c r="T171" s="21">
        <f>tabCustoUnit[[#This Row],[MODULO 1 - REMUNERAÇÃO ]]*SUMIFS(tabParametros[Salário Educação],tabParametros[Código do Posto],tabCustoUnit[[#This Row],[Código do Posto]])</f>
        <v>114.98988250000001</v>
      </c>
      <c r="U171" s="21">
        <f>tabCustoUnit[[#This Row],[MODULO 1 - REMUNERAÇÃO ]]*SUMIFS(tabParametros[FGTS],tabParametros[Código do Posto],tabCustoUnit[[#This Row],[Código do Posto]])</f>
        <v>367.967624</v>
      </c>
      <c r="V171" s="21">
        <f>tabCustoUnit[[#This Row],[MODULO 1 - REMUNERAÇÃO ]]*SUMIFS(tabParametros[RAT Ajustado],tabParametros[Código do Posto],tabCustoUnit[[#This Row],[Código do Posto]])</f>
        <v>183.983812</v>
      </c>
      <c r="W171" s="21">
        <f>tabCustoUnit[[#This Row],[MODULO 1 - REMUNERAÇÃO ]]*SUMIFS(tabParametros[SEBRAE],tabParametros[Código do Posto],tabCustoUnit[[#This Row],[Código do Posto]])</f>
        <v>27.597571800000001</v>
      </c>
      <c r="X171" s="21">
        <f>SUM(tabCustoUnit[[#This Row],[INSS]:[SEBRAE]])</f>
        <v>1738.6470234000003</v>
      </c>
      <c r="Y171" s="21">
        <f>tabCustoUnit[[#This Row],[MODULO 1 - REMUNERAÇÃO ]]*SUMIFS(tabParametros[13º salário (titular)],tabParametros[Código do Posto],tabCustoUnit[[#This Row],[Código do Posto]])</f>
        <v>383.29960833333331</v>
      </c>
      <c r="Z171" s="21">
        <f>tabCustoUnit[[#This Row],[MODULO 1 - REMUNERAÇÃO ]]*SUMIFS(tabParametros[Férias e Adicional de Férias (titular)],tabParametros[Código do Posto],tabCustoUnit[[#This Row],[Código do Posto]])</f>
        <v>511.06614444444443</v>
      </c>
      <c r="AA171" s="21">
        <f>IFERROR((tabCustoUnit[[#This Row],[Submódulo 2.1]]/tabCustoUnit[[#This Row],[MODULO 1 - REMUNERAÇÃO ]])*SUM(tabCustoUnit[[#This Row],[13º salário (titular)]:[Férias e Adicional de Férias (titular)]]),0)</f>
        <v>338.07025455000002</v>
      </c>
      <c r="AB171" s="21">
        <f>SUM(tabCustoUnit[[#This Row],[13º salário (titular)]:[Incidência do Submódulo 2.1 sobre 13º Salário, Férias e Adicional de Férias]])</f>
        <v>1232.4360073277778</v>
      </c>
      <c r="AC171" s="22" t="e">
        <f ca="1">_xlfn.LET(_xlpm.VT,SUMIF(tabParametros[Código do Posto],tabCustoUnit[[#This Row],[Código do Posto]],tabParametros[Vale - Transporte])*2*20,
IF((_xlpm.VT-tabCustoUnit[[#This Row],[Salário Base]]*0.06)&gt;=0,(_xlpm.VT-tabCustoUnit[[#This Row],[Salário Base]]*0.06),0)
)</f>
        <v>#NAME?</v>
      </c>
      <c r="AD171" s="22">
        <f>IF(SUMIF(tabParametros[Código do Posto],tabCustoUnit[[#This Row],[Código do Posto]],tabParametros[Vale - Alimentação])&lt;=0,0,
SUMIF(tabParametros[Código do Posto],tabCustoUnit[[#This Row],[Código do Posto]],tabParametros[Vale - Alimentação])*20-1)</f>
        <v>578.4</v>
      </c>
      <c r="AE171" s="22">
        <f>SUMIF(tabParametros[Código do Posto],tabCustoUnit[[#This Row],[Código do Posto]],tabParametros[Cesta Básica])</f>
        <v>0</v>
      </c>
      <c r="AF171" s="22">
        <f>SUMIF(tabParametros[Código do Posto],tabCustoUnit[[#This Row],[Código do Posto]],tabParametros[PAF])</f>
        <v>0</v>
      </c>
      <c r="AG171" s="22">
        <f>SUMIF(tabParametros[Código do Posto],tabCustoUnit[[#This Row],[Código do Posto]],tabParametros[PQM])</f>
        <v>0</v>
      </c>
      <c r="AH171" s="22">
        <f>SUMIF(tabParametros[Código do Posto],tabCustoUnit[[#This Row],[Código do Posto]],tabParametros[Abono Único e Especial])</f>
        <v>0</v>
      </c>
      <c r="AI171" s="22">
        <f>SUMIF(tabParametros[Código do Posto],tabCustoUnit[[#This Row],[Código do Posto]],tabParametros[Seguro de Vida])</f>
        <v>3.36</v>
      </c>
      <c r="AJ171" s="22">
        <f>SUMIF(tabParametros[Código do Posto],tabCustoUnit[[#This Row],[Código do Posto]],tabParametros[Despesas de Viagem])</f>
        <v>662.42</v>
      </c>
      <c r="AK171" s="22" t="e">
        <f ca="1">SUM(tabCustoUnit[[#This Row],[Vale - Transporte (Descontada parcela do empregado)]:[Despesas de Viagem]])</f>
        <v>#NAME?</v>
      </c>
      <c r="AL171" s="22" t="e">
        <f ca="1">tabCustoUnit[[#This Row],[Submódulo 2.1]]+tabCustoUnit[[#This Row],[Submódulo 2.2]]+tabCustoUnit[[#This Row],[Submódulo 2.3]]</f>
        <v>#NAME?</v>
      </c>
      <c r="AM171" s="22">
        <f>SUMIF(tabParametros[Código do Posto],tabCustoUnit[[#This Row],[Código do Posto]],tabParametros[Aviso Prévio Indenizado (API) e Reflexo do Aviso Prévio Indenizado])*tabCustoUnit[[#This Row],[MODULO 1 - REMUNERAÇÃO ]]</f>
        <v>32.251290424324843</v>
      </c>
      <c r="AN171" s="22">
        <f>SUMIF(tabParametros[Código do Posto],tabCustoUnit[[#This Row],[Código do Posto]],tabParametros[Incidência do FGTS sobre API e Reflexo do API])*tabCustoUnit[[#This Row],[MODULO 1 - REMUNERAÇÃO ]]</f>
        <v>2.5801032339459877</v>
      </c>
      <c r="AO171" s="22">
        <f>SUMIF(tabParametros[Código do Posto],tabCustoUnit[[#This Row],[Código do Posto]],tabParametros[Multa Rescisória do FGTS sobre o Aviso Prévio Indenizado])*tabCustoUnit[[#This Row],[MODULO 1 - REMUNERAÇÃO ]]</f>
        <v>1.0320412935783951</v>
      </c>
      <c r="AP171" s="22">
        <f>SUMIF(tabParametros[Código do Posto],tabCustoUnit[[#This Row],[Código do Posto]],tabParametros[Aviso Prévio Trabalhado - APT])*tabCustoUnit[[#This Row],[MODULO 1 - REMUNERAÇÃO ]]</f>
        <v>16.098583550000001</v>
      </c>
      <c r="AQ171" s="22">
        <f>SUMIF(tabParametros[Código do Posto],tabCustoUnit[[#This Row],[Código do Posto]],tabParametros[Incidência dos encargos do submódulo 2.1 sobre Aviso Prévio Trabalhado])*tabCustoUnit[[#This Row],[MODULO 1 - REMUNERAÇÃO ]]</f>
        <v>6.0852645819000015</v>
      </c>
      <c r="AR171" s="22">
        <f>SUMIF(tabParametros[Código do Posto],tabCustoUnit[[#This Row],[Código do Posto]],tabParametros[Multa Rescisória do FGTS])*tabCustoUnit[[#This Row],[MODULO 1 - REMUNERAÇÃO ]]</f>
        <v>140.64540295111109</v>
      </c>
      <c r="AS171" s="22">
        <f>SUMIF(tabParametros[Código do Posto],tabCustoUnit[[#This Row],[Código do Posto]],tabParametros[Indenização Adicional (Art. 9º da Lei nº 7.238/84)])*tabCustoUnit[[#This Row],[MODULO 1 - REMUNERAÇÃO ]]</f>
        <v>3.8329960833333336</v>
      </c>
      <c r="AT171" s="22">
        <f>SUM(tabCustoUnit[[#This Row],[Aviso Prévio Indenizado (API) e Reflexo do Aviso Prévio Indenizado]:[Indenização Adicional (Art. 9º da Lei nº 7.238/84)]])</f>
        <v>202.52568211819366</v>
      </c>
      <c r="AU171" s="22">
        <f>SUMIF(tabParametros[Código do Posto],tabCustoUnit[[#This Row],[Código do Posto]],tabParametros[Ausência por Doença])*tabCustoUnit[[#This Row],[MODULO 1 - REMUNERAÇÃO ]]</f>
        <v>38.841026977777773</v>
      </c>
      <c r="AV171" s="22">
        <f>SUMIF(tabParametros[Código do Posto],tabCustoUnit[[#This Row],[Código do Posto]],tabParametros[Ausências Legais])*tabCustoUnit[[#This Row],[MODULO 1 - REMUNERAÇÃO ]]</f>
        <v>9.3269571361111101</v>
      </c>
      <c r="AW171" s="22">
        <f>SUMIF(tabParametros[Código do Posto],tabCustoUnit[[#This Row],[Código do Posto]],tabParametros[Licença Paternidade])*tabCustoUnit[[#This Row],[MODULO 1 - REMUNERAÇÃO ]]</f>
        <v>0.78576419708333334</v>
      </c>
      <c r="AX171" s="22">
        <f>SUMIF(tabParametros[Código do Posto],tabCustoUnit[[#This Row],[Código do Posto]],tabParametros[Ausência por Acidente de Trabalho])*tabCustoUnit[[#This Row],[MODULO 1 - REMUNERAÇÃO ]]</f>
        <v>0.95824902083333341</v>
      </c>
      <c r="AY171" s="22">
        <f>SUMIF(tabParametros[Código do Posto],tabCustoUnit[[#This Row],[Código do Posto]],tabParametros[Férias, Adicional de Férias e 13º  com empregada em gozo de Licença Maternidade])*tabCustoUnit[[#This Row],[MODULO 1 - REMUNERAÇÃO ]]</f>
        <v>5.9624383518518513</v>
      </c>
      <c r="AZ171" s="22">
        <f>SUMIF(tabParametros[Código do Posto],tabCustoUnit[[#This Row],[Código do Posto]],tabParametros[Incidência do Submódulo 2.1 sobre Ausências Legais])*tabCustoUnit[[#This Row],[MODULO 1 - REMUNERAÇÃO ]]</f>
        <v>21.120536688422504</v>
      </c>
      <c r="BA171" s="22">
        <f>SUM(tabCustoUnit[[#This Row],[Ausência por Doença]:[Incidência do Submódulo 2.1 sobre Ausências Legais]])</f>
        <v>76.9949723720799</v>
      </c>
      <c r="BB171" s="22">
        <f>SUMIF(tabParametros[Código do Posto],tabCustoUnit[[#This Row],[Código do Posto]],tabParametros[Intervalo para Repouso ou Alimentação])</f>
        <v>0</v>
      </c>
      <c r="BC171" s="22">
        <f>tabCustoUnit[[#This Row],[Intervalo para Repouso ou Alimentação]]</f>
        <v>0</v>
      </c>
      <c r="BD17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1" s="22">
        <f>tabCustoUnit[[#This Row],[Suspensão Temporária do Contrato de Trabalho]]</f>
        <v>0</v>
      </c>
      <c r="BF171" s="22">
        <f>tabCustoUnit[[#This Row],[Submódulo 4.1]]+tabCustoUnit[[#This Row],[Submódulo 4.2]]+tabCustoUnit[[#This Row],[Submódulo 4.3]]</f>
        <v>76.9949723720799</v>
      </c>
      <c r="BG171" s="22">
        <f>VLOOKUP(tabCustoUnit[[#This Row],[Código do Posto]],tabParametros[],MATCH(tabCustoUnit[[#Headers],[Uniformes e EPIs]],tabParametros[#Headers],0),0)</f>
        <v>92.100763771570698</v>
      </c>
      <c r="BH171" s="22">
        <f>VLOOKUP(tabCustoUnit[[#This Row],[Código do Posto]],tabParametros[],MATCH(tabCustoUnit[[#Headers],[Materiais de Consumo]],tabParametros[#Headers],0),0)</f>
        <v>0</v>
      </c>
      <c r="BI171" s="22">
        <f>VLOOKUP(tabCustoUnit[[#This Row],[Código do Posto]],tabParametros[],MATCH(tabCustoUnit[[#Headers],[Máquinas e Equipamentos (depreciação)]],tabParametros[#Headers],0),0)</f>
        <v>0</v>
      </c>
      <c r="BJ171" s="22">
        <f>VLOOKUP(tabCustoUnit[[#This Row],[Código do Posto]],tabParametros[],MATCH(tabCustoUnit[[#Headers],[Produtos de Limpeza e Materiais de Higiene Pessoal]],tabParametros[#Headers],0),0)</f>
        <v>0</v>
      </c>
      <c r="BK171" s="22">
        <f>VLOOKUP(tabCustoUnit[[#This Row],[Código do Posto]],tabParametros[],MATCH(tabCustoUnit[[#Headers],[Outros (especificar)]],tabParametros[#Headers],0),0)</f>
        <v>0</v>
      </c>
      <c r="BL171" s="22">
        <f>SUM(tabCustoUnit[[#This Row],[Uniformes e EPIs]:[Outros (especificar)]])</f>
        <v>92.100763771570698</v>
      </c>
      <c r="BM17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1" s="22" t="e">
        <f ca="1">VLOOKUP(tabCustoUnit[[#This Row],[Código do Posto]],tabParametros[],MATCH(tabCustoUnit[[#Headers],[Custos Indiretos]],tabParametros[#Headers],0),0)</f>
        <v>#NAME?</v>
      </c>
      <c r="BO171" s="22" t="e">
        <f ca="1">VLOOKUP(tabCustoUnit[[#This Row],[Código do Posto]],tabParametros[],MATCH(tabCustoUnit[[#Headers],[Lucro]],tabParametros[#Headers],0),0)</f>
        <v>#NAME?</v>
      </c>
      <c r="BP171" s="26">
        <f>((100/((1-tabCustoUnit[[#This Row],[Resumo de Alíquotas (PIS+CONFINS+ISS)]]))-100)*VLOOKUP(tabCustoUnit[[#This Row],[Código do Posto]],tabParametros[],MATCH(tabCustoUnit[[#Headers],[COFINS]],tabParametros[#Headers],0),0))/(tabCustoUnit[[#This Row],[Resumo de Alíquotas (PIS+CONFINS+ISS)]]*100)</f>
        <v>8.6609686609686695E-2</v>
      </c>
      <c r="BQ171" s="26">
        <f>((100/((100-(tabCustoUnit[[#This Row],[Resumo de Alíquotas (PIS+CONFINS+ISS)]]*100))%)-100)*VLOOKUP(tabCustoUnit[[#This Row],[Código do Posto]],tabParametros[],MATCH(tabCustoUnit[[#Headers],[PIS]],tabParametros[#Headers],0),0))/(tabCustoUnit[[#This Row],[Resumo de Alíquotas (PIS+CONFINS+ISS)]]*100)</f>
        <v>1.880341880341882E-2</v>
      </c>
      <c r="BR171" s="28">
        <f>VLOOKUP(tabCustoUnit[[#This Row],[Código do Posto]],tabParametros[],MATCH(tabCustoUnit[[#Headers],[ISS]],tabParametros[#Headers],0),0)</f>
        <v>0.03</v>
      </c>
      <c r="BS171" s="26">
        <f>(((100/((100-(tabCustoUnit[[#This Row],[Resumo de Alíquotas (PIS+CONFINS+ISS)]]*100))%)-100)*tabCustoUnit[[#This Row],[ISS]])/tabCustoUnit[[#This Row],[Resumo de Alíquotas (PIS+CONFINS+ISS)]])/100</f>
        <v>3.4188034188034219E-2</v>
      </c>
      <c r="BT17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1" s="138">
        <f>tabCustoUnit[[#This Row],[COFINS]]+tabCustoUnit[[#This Row],[PIS]]+tabCustoUnit[[#This Row],[ISS (Conversão Alíquota s/ fatura)]]</f>
        <v>0.13960113960113973</v>
      </c>
      <c r="BV171" s="22" t="e">
        <f ca="1">(tabCustoUnit[[#This Row],[TOTAL MÓDULOS 1+2+3+4+5]]+tabCustoUnit[[#This Row],[Custos Indiretos]]+tabCustoUnit[[#This Row],[Lucro]])*tabCustoUnit[[#This Row],[PIS + COFINS + ISS (Total Conversão  Alíquota s/ Fatura)]]</f>
        <v>#NAME?</v>
      </c>
      <c r="BW171" s="22" t="e">
        <f ca="1">tabCustoUnit[[#This Row],[Custos Indiretos]]+tabCustoUnit[[#This Row],[Lucro]]+tabCustoUnit[[#This Row],[Valor dos Tributos (ISS, PIS, CONFINS)]]</f>
        <v>#NAME?</v>
      </c>
      <c r="BX171" s="22" t="e">
        <f ca="1">tabCustoUnit[[#This Row],[TOTAL MÓDULOS 1+2+3+4+5]]+tabCustoUnit[[#This Row],[MÓDULO 6 – CUSTOS INDIRETOS, TRIBUTOS E LUCRO]]</f>
        <v>#NAME?</v>
      </c>
      <c r="BY171" s="22" t="e">
        <f ca="1">tabCustoUnit[[#This Row],[CUSTO TOTAL MENSAL]]*12</f>
        <v>#NAME?</v>
      </c>
      <c r="BZ171" s="24">
        <f>VLOOKUP(tabCustoUnit[[#This Row],[Código do Posto]],tabParametros[],MATCH(tabCustoUnit[[#Headers],[ANO DA CCT]],tabParametros[#Headers],0),0)</f>
        <v>45658</v>
      </c>
      <c r="CA171" s="25" t="str">
        <f>VLOOKUP(tabCustoUnit[[#This Row],[Código do Posto]],tabParametros[],MATCH(tabCustoUnit[[#Headers],[Nº DE PEDIDO DA CCT]],tabParametros[#Headers],0),0)</f>
        <v>-</v>
      </c>
      <c r="CB171" s="25" t="str">
        <f>VLOOKUP(tabCustoUnit[[#This Row],[Código do Posto]],tabParametros[],MATCH(tabCustoUnit[[#Headers],[TERMO ADITIVO ALTERAÇÃO DA CCT]],tabParametros[#Headers],0),0)</f>
        <v>-</v>
      </c>
    </row>
    <row r="172" spans="1:80">
      <c r="A172" s="20" t="s">
        <v>1619</v>
      </c>
      <c r="B172" t="s">
        <v>1146</v>
      </c>
      <c r="C172" t="s">
        <v>324</v>
      </c>
      <c r="D172" t="s">
        <v>1038</v>
      </c>
      <c r="E172" s="20" t="s">
        <v>1090</v>
      </c>
      <c r="F172" s="20" t="s">
        <v>120</v>
      </c>
      <c r="G172" s="418">
        <v>3397.1306</v>
      </c>
      <c r="H172" s="418">
        <v>0</v>
      </c>
      <c r="I172" s="418">
        <v>0</v>
      </c>
      <c r="J172" s="418">
        <v>0</v>
      </c>
      <c r="K172" s="418">
        <v>0</v>
      </c>
      <c r="L172" s="418">
        <v>0</v>
      </c>
      <c r="M172" s="418">
        <v>0</v>
      </c>
      <c r="N172" s="418">
        <v>0</v>
      </c>
      <c r="O172" s="21">
        <f>SUM(tabCustoUnit[[#This Row],[Salário Base]:[Adicional de Acúmulo de função]])</f>
        <v>3397.1306</v>
      </c>
      <c r="P172" s="21">
        <f>tabCustoUnit[[#This Row],[MODULO 1 - REMUNERAÇÃO ]]*SUMIFS(tabParametros[INSS],tabParametros[Código do Posto],tabCustoUnit[[#This Row],[Código do Posto]])</f>
        <v>679.42612000000008</v>
      </c>
      <c r="Q172" s="21">
        <f>tabCustoUnit[[#This Row],[MODULO 1 - REMUNERAÇÃO ]]*SUMIFS(tabParametros[SESI OU SESC],tabParametros[Código do Posto],tabCustoUnit[[#This Row],[Código do Posto]])</f>
        <v>50.956958999999998</v>
      </c>
      <c r="R172" s="21">
        <f>tabCustoUnit[[#This Row],[MODULO 1 - REMUNERAÇÃO ]]*SUMIFS(tabParametros[SENAI OU SENAC],tabParametros[Código do Posto],tabCustoUnit[[#This Row],[Código do Posto]])</f>
        <v>33.971305999999998</v>
      </c>
      <c r="S172" s="21">
        <f>tabCustoUnit[[#This Row],[MODULO 1 - REMUNERAÇÃO ]]*SUMIFS(tabParametros[INCRA],tabParametros[Código do Posto],tabCustoUnit[[#This Row],[Código do Posto]])</f>
        <v>6.7942612000000002</v>
      </c>
      <c r="T172" s="21">
        <f>tabCustoUnit[[#This Row],[MODULO 1 - REMUNERAÇÃO ]]*SUMIFS(tabParametros[Salário Educação],tabParametros[Código do Posto],tabCustoUnit[[#This Row],[Código do Posto]])</f>
        <v>84.92826500000001</v>
      </c>
      <c r="U172" s="21">
        <f>tabCustoUnit[[#This Row],[MODULO 1 - REMUNERAÇÃO ]]*SUMIFS(tabParametros[FGTS],tabParametros[Código do Posto],tabCustoUnit[[#This Row],[Código do Posto]])</f>
        <v>271.77044799999999</v>
      </c>
      <c r="V172" s="21">
        <f>tabCustoUnit[[#This Row],[MODULO 1 - REMUNERAÇÃO ]]*SUMIFS(tabParametros[RAT Ajustado],tabParametros[Código do Posto],tabCustoUnit[[#This Row],[Código do Posto]])</f>
        <v>135.88522399999999</v>
      </c>
      <c r="W172" s="21">
        <f>tabCustoUnit[[#This Row],[MODULO 1 - REMUNERAÇÃO ]]*SUMIFS(tabParametros[SEBRAE],tabParametros[Código do Posto],tabCustoUnit[[#This Row],[Código do Posto]])</f>
        <v>20.3827836</v>
      </c>
      <c r="X172" s="21">
        <f>SUM(tabCustoUnit[[#This Row],[INSS]:[SEBRAE]])</f>
        <v>1284.1153668000002</v>
      </c>
      <c r="Y172" s="21">
        <f>tabCustoUnit[[#This Row],[MODULO 1 - REMUNERAÇÃO ]]*SUMIFS(tabParametros[13º salário (titular)],tabParametros[Código do Posto],tabCustoUnit[[#This Row],[Código do Posto]])</f>
        <v>283.09421666666663</v>
      </c>
      <c r="Z172" s="21">
        <f>tabCustoUnit[[#This Row],[MODULO 1 - REMUNERAÇÃO ]]*SUMIFS(tabParametros[Férias e Adicional de Férias (titular)],tabParametros[Código do Posto],tabCustoUnit[[#This Row],[Código do Posto]])</f>
        <v>377.45895555555552</v>
      </c>
      <c r="AA172" s="21">
        <f>IFERROR((tabCustoUnit[[#This Row],[Submódulo 2.1]]/tabCustoUnit[[#This Row],[MODULO 1 - REMUNERAÇÃO ]])*SUM(tabCustoUnit[[#This Row],[13º salário (titular)]:[Férias e Adicional de Férias (titular)]]),0)</f>
        <v>249.68909910000002</v>
      </c>
      <c r="AB172" s="21">
        <f>SUM(tabCustoUnit[[#This Row],[13º salário (titular)]:[Incidência do Submódulo 2.1 sobre 13º Salário, Férias e Adicional de Férias]])</f>
        <v>910.24227132222222</v>
      </c>
      <c r="AC172" s="22" t="e">
        <f ca="1">_xlfn.LET(_xlpm.VT,SUMIF(tabParametros[Código do Posto],tabCustoUnit[[#This Row],[Código do Posto]],tabParametros[Vale - Transporte])*2*20,
IF((_xlpm.VT-tabCustoUnit[[#This Row],[Salário Base]]*0.06)&gt;=0,(_xlpm.VT-tabCustoUnit[[#This Row],[Salário Base]]*0.06),0)
)</f>
        <v>#NAME?</v>
      </c>
      <c r="AD172" s="22">
        <f>IF(SUMIF(tabParametros[Código do Posto],tabCustoUnit[[#This Row],[Código do Posto]],tabParametros[Vale - Alimentação])&lt;=0,0,
SUMIF(tabParametros[Código do Posto],tabCustoUnit[[#This Row],[Código do Posto]],tabParametros[Vale - Alimentação])*20-1)</f>
        <v>582</v>
      </c>
      <c r="AE172" s="22">
        <f>SUMIF(tabParametros[Código do Posto],tabCustoUnit[[#This Row],[Código do Posto]],tabParametros[Cesta Básica])</f>
        <v>0</v>
      </c>
      <c r="AF172" s="22">
        <f>SUMIF(tabParametros[Código do Posto],tabCustoUnit[[#This Row],[Código do Posto]],tabParametros[PAF])</f>
        <v>51.86</v>
      </c>
      <c r="AG172" s="22">
        <f>SUMIF(tabParametros[Código do Posto],tabCustoUnit[[#This Row],[Código do Posto]],tabParametros[PQM])</f>
        <v>0</v>
      </c>
      <c r="AH172" s="22">
        <f>SUMIF(tabParametros[Código do Posto],tabCustoUnit[[#This Row],[Código do Posto]],tabParametros[Abono Único e Especial])</f>
        <v>0</v>
      </c>
      <c r="AI172" s="22">
        <f>SUMIF(tabParametros[Código do Posto],tabCustoUnit[[#This Row],[Código do Posto]],tabParametros[Seguro de Vida])</f>
        <v>3.36</v>
      </c>
      <c r="AJ172" s="22">
        <f>SUMIF(tabParametros[Código do Posto],tabCustoUnit[[#This Row],[Código do Posto]],tabParametros[Despesas de Viagem])</f>
        <v>0</v>
      </c>
      <c r="AK172" s="22" t="e">
        <f ca="1">SUM(tabCustoUnit[[#This Row],[Vale - Transporte (Descontada parcela do empregado)]:[Despesas de Viagem]])</f>
        <v>#NAME?</v>
      </c>
      <c r="AL172" s="22" t="e">
        <f ca="1">tabCustoUnit[[#This Row],[Submódulo 2.1]]+tabCustoUnit[[#This Row],[Submódulo 2.2]]+tabCustoUnit[[#This Row],[Submódulo 2.3]]</f>
        <v>#NAME?</v>
      </c>
      <c r="AM172" s="22">
        <f>SUMIF(tabParametros[Código do Posto],tabCustoUnit[[#This Row],[Código do Posto]],tabParametros[Aviso Prévio Indenizado (API) e Reflexo do Aviso Prévio Indenizado])*tabCustoUnit[[#This Row],[MODULO 1 - REMUNERAÇÃO ]]</f>
        <v>23.819888151890432</v>
      </c>
      <c r="AN172" s="22">
        <f>SUMIF(tabParametros[Código do Posto],tabCustoUnit[[#This Row],[Código do Posto]],tabParametros[Incidência do FGTS sobre API e Reflexo do API])*tabCustoUnit[[#This Row],[MODULO 1 - REMUNERAÇÃO ]]</f>
        <v>1.9055910521512347</v>
      </c>
      <c r="AO172" s="22">
        <f>SUMIF(tabParametros[Código do Posto],tabCustoUnit[[#This Row],[Código do Posto]],tabParametros[Multa Rescisória do FGTS sobre o Aviso Prévio Indenizado])*tabCustoUnit[[#This Row],[MODULO 1 - REMUNERAÇÃO ]]</f>
        <v>0.76223642086049392</v>
      </c>
      <c r="AP172" s="22">
        <f>SUMIF(tabParametros[Código do Posto],tabCustoUnit[[#This Row],[Código do Posto]],tabParametros[Aviso Prévio Trabalhado - APT])*tabCustoUnit[[#This Row],[MODULO 1 - REMUNERAÇÃO ]]</f>
        <v>11.889957100000002</v>
      </c>
      <c r="AQ172" s="22">
        <f>SUMIF(tabParametros[Código do Posto],tabCustoUnit[[#This Row],[Código do Posto]],tabParametros[Incidência dos encargos do submódulo 2.1 sobre Aviso Prévio Trabalhado])*tabCustoUnit[[#This Row],[MODULO 1 - REMUNERAÇÃO ]]</f>
        <v>4.4944037838000011</v>
      </c>
      <c r="AR172" s="22">
        <f>SUMIF(tabParametros[Código do Posto],tabCustoUnit[[#This Row],[Código do Posto]],tabParametros[Multa Rescisória do FGTS])*tabCustoUnit[[#This Row],[MODULO 1 - REMUNERAÇÃO ]]</f>
        <v>103.87670456888887</v>
      </c>
      <c r="AS172" s="22">
        <f>SUMIF(tabParametros[Código do Posto],tabCustoUnit[[#This Row],[Código do Posto]],tabParametros[Indenização Adicional (Art. 9º da Lei nº 7.238/84)])*tabCustoUnit[[#This Row],[MODULO 1 - REMUNERAÇÃO ]]</f>
        <v>2.830942166666667</v>
      </c>
      <c r="AT172" s="22">
        <f>SUM(tabCustoUnit[[#This Row],[Aviso Prévio Indenizado (API) e Reflexo do Aviso Prévio Indenizado]:[Indenização Adicional (Art. 9º da Lei nº 7.238/84)]])</f>
        <v>149.57972324425771</v>
      </c>
      <c r="AU172" s="22">
        <f>SUMIF(tabParametros[Código do Posto],tabCustoUnit[[#This Row],[Código do Posto]],tabParametros[Ausência por Doença])*tabCustoUnit[[#This Row],[MODULO 1 - REMUNERAÇÃO ]]</f>
        <v>28.686880622222219</v>
      </c>
      <c r="AV172" s="22">
        <f>SUMIF(tabParametros[Código do Posto],tabCustoUnit[[#This Row],[Código do Posto]],tabParametros[Ausências Legais])*tabCustoUnit[[#This Row],[MODULO 1 - REMUNERAÇÃO ]]</f>
        <v>6.8886259388888886</v>
      </c>
      <c r="AW172" s="22">
        <f>SUMIF(tabParametros[Código do Posto],tabCustoUnit[[#This Row],[Código do Posto]],tabParametros[Licença Paternidade])*tabCustoUnit[[#This Row],[MODULO 1 - REMUNERAÇÃO ]]</f>
        <v>0.58034314416666666</v>
      </c>
      <c r="AX172" s="22">
        <f>SUMIF(tabParametros[Código do Posto],tabCustoUnit[[#This Row],[Código do Posto]],tabParametros[Ausência por Acidente de Trabalho])*tabCustoUnit[[#This Row],[MODULO 1 - REMUNERAÇÃO ]]</f>
        <v>0.70773554166666675</v>
      </c>
      <c r="AY172" s="22">
        <f>SUMIF(tabParametros[Código do Posto],tabCustoUnit[[#This Row],[Código do Posto]],tabParametros[Férias, Adicional de Férias e 13º  com empregada em gozo de Licença Maternidade])*tabCustoUnit[[#This Row],[MODULO 1 - REMUNERAÇÃO ]]</f>
        <v>4.4036878148148144</v>
      </c>
      <c r="AZ172" s="22">
        <f>SUMIF(tabParametros[Código do Posto],tabCustoUnit[[#This Row],[Código do Posto]],tabParametros[Incidência do Submódulo 2.1 sobre Ausências Legais])*tabCustoUnit[[#This Row],[MODULO 1 - REMUNERAÇÃO ]]</f>
        <v>15.599029217345002</v>
      </c>
      <c r="BA172" s="22">
        <f>SUM(tabCustoUnit[[#This Row],[Ausência por Doença]:[Incidência do Submódulo 2.1 sobre Ausências Legais]])</f>
        <v>56.866302279104261</v>
      </c>
      <c r="BB172" s="22">
        <f>SUMIF(tabParametros[Código do Posto],tabCustoUnit[[#This Row],[Código do Posto]],tabParametros[Intervalo para Repouso ou Alimentação])</f>
        <v>0</v>
      </c>
      <c r="BC172" s="22">
        <f>tabCustoUnit[[#This Row],[Intervalo para Repouso ou Alimentação]]</f>
        <v>0</v>
      </c>
      <c r="BD17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2" s="22">
        <f>tabCustoUnit[[#This Row],[Suspensão Temporária do Contrato de Trabalho]]</f>
        <v>0</v>
      </c>
      <c r="BF172" s="22">
        <f>tabCustoUnit[[#This Row],[Submódulo 4.1]]+tabCustoUnit[[#This Row],[Submódulo 4.2]]+tabCustoUnit[[#This Row],[Submódulo 4.3]]</f>
        <v>56.866302279104261</v>
      </c>
      <c r="BG172" s="22">
        <f>VLOOKUP(tabCustoUnit[[#This Row],[Código do Posto]],tabParametros[],MATCH(tabCustoUnit[[#Headers],[Uniformes e EPIs]],tabParametros[#Headers],0),0)</f>
        <v>56.642978962543395</v>
      </c>
      <c r="BH172" s="22">
        <f>VLOOKUP(tabCustoUnit[[#This Row],[Código do Posto]],tabParametros[],MATCH(tabCustoUnit[[#Headers],[Materiais de Consumo]],tabParametros[#Headers],0),0)</f>
        <v>0</v>
      </c>
      <c r="BI172" s="22">
        <f>VLOOKUP(tabCustoUnit[[#This Row],[Código do Posto]],tabParametros[],MATCH(tabCustoUnit[[#Headers],[Máquinas e Equipamentos (depreciação)]],tabParametros[#Headers],0),0)</f>
        <v>0</v>
      </c>
      <c r="BJ172" s="22">
        <f>VLOOKUP(tabCustoUnit[[#This Row],[Código do Posto]],tabParametros[],MATCH(tabCustoUnit[[#Headers],[Produtos de Limpeza e Materiais de Higiene Pessoal]],tabParametros[#Headers],0),0)</f>
        <v>0</v>
      </c>
      <c r="BK172" s="22">
        <f>VLOOKUP(tabCustoUnit[[#This Row],[Código do Posto]],tabParametros[],MATCH(tabCustoUnit[[#Headers],[Outros (especificar)]],tabParametros[#Headers],0),0)</f>
        <v>0</v>
      </c>
      <c r="BL172" s="22">
        <f>SUM(tabCustoUnit[[#This Row],[Uniformes e EPIs]:[Outros (especificar)]])</f>
        <v>56.642978962543395</v>
      </c>
      <c r="BM17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2" s="22" t="e">
        <f ca="1">VLOOKUP(tabCustoUnit[[#This Row],[Código do Posto]],tabParametros[],MATCH(tabCustoUnit[[#Headers],[Custos Indiretos]],tabParametros[#Headers],0),0)</f>
        <v>#NAME?</v>
      </c>
      <c r="BO172" s="22" t="e">
        <f ca="1">VLOOKUP(tabCustoUnit[[#This Row],[Código do Posto]],tabParametros[],MATCH(tabCustoUnit[[#Headers],[Lucro]],tabParametros[#Headers],0),0)</f>
        <v>#NAME?</v>
      </c>
      <c r="BP172" s="26">
        <f>((100/((1-tabCustoUnit[[#This Row],[Resumo de Alíquotas (PIS+CONFINS+ISS)]]))-100)*VLOOKUP(tabCustoUnit[[#This Row],[Código do Posto]],tabParametros[],MATCH(tabCustoUnit[[#Headers],[COFINS]],tabParametros[#Headers],0),0))/(tabCustoUnit[[#This Row],[Resumo de Alíquotas (PIS+CONFINS+ISS)]]*100)</f>
        <v>8.6609686609686695E-2</v>
      </c>
      <c r="BQ172" s="26">
        <f>((100/((100-(tabCustoUnit[[#This Row],[Resumo de Alíquotas (PIS+CONFINS+ISS)]]*100))%)-100)*VLOOKUP(tabCustoUnit[[#This Row],[Código do Posto]],tabParametros[],MATCH(tabCustoUnit[[#Headers],[PIS]],tabParametros[#Headers],0),0))/(tabCustoUnit[[#This Row],[Resumo de Alíquotas (PIS+CONFINS+ISS)]]*100)</f>
        <v>1.880341880341882E-2</v>
      </c>
      <c r="BR172" s="28">
        <f>VLOOKUP(tabCustoUnit[[#This Row],[Código do Posto]],tabParametros[],MATCH(tabCustoUnit[[#Headers],[ISS]],tabParametros[#Headers],0),0)</f>
        <v>0.03</v>
      </c>
      <c r="BS172" s="26">
        <f>(((100/((100-(tabCustoUnit[[#This Row],[Resumo de Alíquotas (PIS+CONFINS+ISS)]]*100))%)-100)*tabCustoUnit[[#This Row],[ISS]])/tabCustoUnit[[#This Row],[Resumo de Alíquotas (PIS+CONFINS+ISS)]])/100</f>
        <v>3.4188034188034219E-2</v>
      </c>
      <c r="BT17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2" s="138">
        <f>tabCustoUnit[[#This Row],[COFINS]]+tabCustoUnit[[#This Row],[PIS]]+tabCustoUnit[[#This Row],[ISS (Conversão Alíquota s/ fatura)]]</f>
        <v>0.13960113960113973</v>
      </c>
      <c r="BV172" s="22" t="e">
        <f ca="1">(tabCustoUnit[[#This Row],[TOTAL MÓDULOS 1+2+3+4+5]]+tabCustoUnit[[#This Row],[Custos Indiretos]]+tabCustoUnit[[#This Row],[Lucro]])*tabCustoUnit[[#This Row],[PIS + COFINS + ISS (Total Conversão  Alíquota s/ Fatura)]]</f>
        <v>#NAME?</v>
      </c>
      <c r="BW172" s="22" t="e">
        <f ca="1">tabCustoUnit[[#This Row],[Custos Indiretos]]+tabCustoUnit[[#This Row],[Lucro]]+tabCustoUnit[[#This Row],[Valor dos Tributos (ISS, PIS, CONFINS)]]</f>
        <v>#NAME?</v>
      </c>
      <c r="BX172" s="22" t="e">
        <f ca="1">tabCustoUnit[[#This Row],[TOTAL MÓDULOS 1+2+3+4+5]]+tabCustoUnit[[#This Row],[MÓDULO 6 – CUSTOS INDIRETOS, TRIBUTOS E LUCRO]]</f>
        <v>#NAME?</v>
      </c>
      <c r="BY172" s="22" t="e">
        <f ca="1">tabCustoUnit[[#This Row],[CUSTO TOTAL MENSAL]]*12</f>
        <v>#NAME?</v>
      </c>
      <c r="BZ172" s="24">
        <f>VLOOKUP(tabCustoUnit[[#This Row],[Código do Posto]],tabParametros[],MATCH(tabCustoUnit[[#Headers],[ANO DA CCT]],tabParametros[#Headers],0),0)</f>
        <v>45658</v>
      </c>
      <c r="CA172" s="25" t="str">
        <f>VLOOKUP(tabCustoUnit[[#This Row],[Código do Posto]],tabParametros[],MATCH(tabCustoUnit[[#Headers],[Nº DE PEDIDO DA CCT]],tabParametros[#Headers],0),0)</f>
        <v>-</v>
      </c>
      <c r="CB172" s="25" t="str">
        <f>VLOOKUP(tabCustoUnit[[#This Row],[Código do Posto]],tabParametros[],MATCH(tabCustoUnit[[#Headers],[TERMO ADITIVO ALTERAÇÃO DA CCT]],tabParametros[#Headers],0),0)</f>
        <v>-</v>
      </c>
    </row>
    <row r="173" spans="1:80">
      <c r="A173" s="20" t="s">
        <v>1479</v>
      </c>
      <c r="B173" t="s">
        <v>930</v>
      </c>
      <c r="C173" t="s">
        <v>200</v>
      </c>
      <c r="D173" t="s">
        <v>930</v>
      </c>
      <c r="E173" s="20" t="s">
        <v>1090</v>
      </c>
      <c r="F173" s="20" t="s">
        <v>120</v>
      </c>
      <c r="G173" s="418">
        <v>1649.1152999999999</v>
      </c>
      <c r="H173" s="418">
        <v>0</v>
      </c>
      <c r="I173" s="418">
        <v>0</v>
      </c>
      <c r="J173" s="418">
        <v>0</v>
      </c>
      <c r="K173" s="418">
        <v>0</v>
      </c>
      <c r="L173" s="418">
        <v>0</v>
      </c>
      <c r="M173" s="418">
        <v>0</v>
      </c>
      <c r="N173" s="418">
        <v>0</v>
      </c>
      <c r="O173" s="21">
        <f>SUM(tabCustoUnit[[#This Row],[Salário Base]:[Adicional de Acúmulo de função]])</f>
        <v>1649.1152999999999</v>
      </c>
      <c r="P173" s="21">
        <f>tabCustoUnit[[#This Row],[MODULO 1 - REMUNERAÇÃO ]]*SUMIFS(tabParametros[INSS],tabParametros[Código do Posto],tabCustoUnit[[#This Row],[Código do Posto]])</f>
        <v>329.82306</v>
      </c>
      <c r="Q173" s="21">
        <f>tabCustoUnit[[#This Row],[MODULO 1 - REMUNERAÇÃO ]]*SUMIFS(tabParametros[SESI OU SESC],tabParametros[Código do Posto],tabCustoUnit[[#This Row],[Código do Posto]])</f>
        <v>24.736729499999999</v>
      </c>
      <c r="R173" s="21">
        <f>tabCustoUnit[[#This Row],[MODULO 1 - REMUNERAÇÃO ]]*SUMIFS(tabParametros[SENAI OU SENAC],tabParametros[Código do Posto],tabCustoUnit[[#This Row],[Código do Posto]])</f>
        <v>16.491153000000001</v>
      </c>
      <c r="S173" s="21">
        <f>tabCustoUnit[[#This Row],[MODULO 1 - REMUNERAÇÃO ]]*SUMIFS(tabParametros[INCRA],tabParametros[Código do Posto],tabCustoUnit[[#This Row],[Código do Posto]])</f>
        <v>3.2982306000000001</v>
      </c>
      <c r="T173" s="21">
        <f>tabCustoUnit[[#This Row],[MODULO 1 - REMUNERAÇÃO ]]*SUMIFS(tabParametros[Salário Educação],tabParametros[Código do Posto],tabCustoUnit[[#This Row],[Código do Posto]])</f>
        <v>41.2278825</v>
      </c>
      <c r="U173" s="21">
        <f>tabCustoUnit[[#This Row],[MODULO 1 - REMUNERAÇÃO ]]*SUMIFS(tabParametros[FGTS],tabParametros[Código do Posto],tabCustoUnit[[#This Row],[Código do Posto]])</f>
        <v>131.929224</v>
      </c>
      <c r="V173" s="21">
        <f>tabCustoUnit[[#This Row],[MODULO 1 - REMUNERAÇÃO ]]*SUMIFS(tabParametros[RAT Ajustado],tabParametros[Código do Posto],tabCustoUnit[[#This Row],[Código do Posto]])</f>
        <v>65.964612000000002</v>
      </c>
      <c r="W173" s="21">
        <f>tabCustoUnit[[#This Row],[MODULO 1 - REMUNERAÇÃO ]]*SUMIFS(tabParametros[SEBRAE],tabParametros[Código do Posto],tabCustoUnit[[#This Row],[Código do Posto]])</f>
        <v>9.8946918000000004</v>
      </c>
      <c r="X173" s="21">
        <f>SUM(tabCustoUnit[[#This Row],[INSS]:[SEBRAE]])</f>
        <v>623.36558340000011</v>
      </c>
      <c r="Y173" s="21">
        <f>tabCustoUnit[[#This Row],[MODULO 1 - REMUNERAÇÃO ]]*SUMIFS(tabParametros[13º salário (titular)],tabParametros[Código do Posto],tabCustoUnit[[#This Row],[Código do Posto]])</f>
        <v>137.42627499999998</v>
      </c>
      <c r="Z173" s="21">
        <f>tabCustoUnit[[#This Row],[MODULO 1 - REMUNERAÇÃO ]]*SUMIFS(tabParametros[Férias e Adicional de Férias (titular)],tabParametros[Código do Posto],tabCustoUnit[[#This Row],[Código do Posto]])</f>
        <v>183.23503333333332</v>
      </c>
      <c r="AA173" s="21">
        <f>IFERROR((tabCustoUnit[[#This Row],[Submódulo 2.1]]/tabCustoUnit[[#This Row],[MODULO 1 - REMUNERAÇÃO ]])*SUM(tabCustoUnit[[#This Row],[13º salário (titular)]:[Férias e Adicional de Férias (titular)]]),0)</f>
        <v>121.20997455</v>
      </c>
      <c r="AB173" s="21">
        <f>SUM(tabCustoUnit[[#This Row],[13º salário (titular)]:[Incidência do Submódulo 2.1 sobre 13º Salário, Férias e Adicional de Férias]])</f>
        <v>441.87128288333327</v>
      </c>
      <c r="AC173" s="22" t="e">
        <f ca="1">_xlfn.LET(_xlpm.VT,SUMIF(tabParametros[Código do Posto],tabCustoUnit[[#This Row],[Código do Posto]],tabParametros[Vale - Transporte])*2*20,
IF((_xlpm.VT-tabCustoUnit[[#This Row],[Salário Base]]*0.06)&gt;=0,(_xlpm.VT-tabCustoUnit[[#This Row],[Salário Base]]*0.06),0)
)</f>
        <v>#NAME?</v>
      </c>
      <c r="AD173" s="22">
        <f>IF(SUMIF(tabParametros[Código do Posto],tabCustoUnit[[#This Row],[Código do Posto]],tabParametros[Vale - Alimentação])&lt;=0,0,
SUMIF(tabParametros[Código do Posto],tabCustoUnit[[#This Row],[Código do Posto]],tabParametros[Vale - Alimentação])*20-1)</f>
        <v>582</v>
      </c>
      <c r="AE173" s="22">
        <f>SUMIF(tabParametros[Código do Posto],tabCustoUnit[[#This Row],[Código do Posto]],tabParametros[Cesta Básica])</f>
        <v>0</v>
      </c>
      <c r="AF173" s="22">
        <f>SUMIF(tabParametros[Código do Posto],tabCustoUnit[[#This Row],[Código do Posto]],tabParametros[PAF])</f>
        <v>51.88</v>
      </c>
      <c r="AG173" s="22">
        <f>SUMIF(tabParametros[Código do Posto],tabCustoUnit[[#This Row],[Código do Posto]],tabParametros[PQM])</f>
        <v>0</v>
      </c>
      <c r="AH173" s="22">
        <f>SUMIF(tabParametros[Código do Posto],tabCustoUnit[[#This Row],[Código do Posto]],tabParametros[Abono Único e Especial])</f>
        <v>0</v>
      </c>
      <c r="AI173" s="22">
        <f>SUMIF(tabParametros[Código do Posto],tabCustoUnit[[#This Row],[Código do Posto]],tabParametros[Seguro de Vida])</f>
        <v>3.36</v>
      </c>
      <c r="AJ173" s="22">
        <f>SUMIF(tabParametros[Código do Posto],tabCustoUnit[[#This Row],[Código do Posto]],tabParametros[Despesas de Viagem])</f>
        <v>0</v>
      </c>
      <c r="AK173" s="22" t="e">
        <f ca="1">SUM(tabCustoUnit[[#This Row],[Vale - Transporte (Descontada parcela do empregado)]:[Despesas de Viagem]])</f>
        <v>#NAME?</v>
      </c>
      <c r="AL173" s="22" t="e">
        <f ca="1">tabCustoUnit[[#This Row],[Submódulo 2.1]]+tabCustoUnit[[#This Row],[Submódulo 2.2]]+tabCustoUnit[[#This Row],[Submódulo 2.3]]</f>
        <v>#NAME?</v>
      </c>
      <c r="AM173" s="22">
        <f>SUMIF(tabParametros[Código do Posto],tabCustoUnit[[#This Row],[Código do Posto]],tabParametros[Aviso Prévio Indenizado (API) e Reflexo do Aviso Prévio Indenizado])*tabCustoUnit[[#This Row],[MODULO 1 - REMUNERAÇÃO ]]</f>
        <v>11.563212199016203</v>
      </c>
      <c r="AN173" s="22">
        <f>SUMIF(tabParametros[Código do Posto],tabCustoUnit[[#This Row],[Código do Posto]],tabParametros[Incidência do FGTS sobre API e Reflexo do API])*tabCustoUnit[[#This Row],[MODULO 1 - REMUNERAÇÃO ]]</f>
        <v>0.92505697592129632</v>
      </c>
      <c r="AO173" s="22">
        <f>SUMIF(tabParametros[Código do Posto],tabCustoUnit[[#This Row],[Código do Posto]],tabParametros[Multa Rescisória do FGTS sobre o Aviso Prévio Indenizado])*tabCustoUnit[[#This Row],[MODULO 1 - REMUNERAÇÃO ]]</f>
        <v>0.37002279036851859</v>
      </c>
      <c r="AP173" s="22">
        <f>SUMIF(tabParametros[Código do Posto],tabCustoUnit[[#This Row],[Código do Posto]],tabParametros[Aviso Prévio Trabalhado - APT])*tabCustoUnit[[#This Row],[MODULO 1 - REMUNERAÇÃO ]]</f>
        <v>5.7719035500000002</v>
      </c>
      <c r="AQ173" s="22">
        <f>SUMIF(tabParametros[Código do Posto],tabCustoUnit[[#This Row],[Código do Posto]],tabParametros[Incidência dos encargos do submódulo 2.1 sobre Aviso Prévio Trabalhado])*tabCustoUnit[[#This Row],[MODULO 1 - REMUNERAÇÃO ]]</f>
        <v>2.1817795419000006</v>
      </c>
      <c r="AR173" s="22">
        <f>SUMIF(tabParametros[Código do Posto],tabCustoUnit[[#This Row],[Código do Posto]],tabParametros[Multa Rescisória do FGTS])*tabCustoUnit[[#This Row],[MODULO 1 - REMUNERAÇÃO ]]</f>
        <v>50.426281173333322</v>
      </c>
      <c r="AS173" s="22">
        <f>SUMIF(tabParametros[Código do Posto],tabCustoUnit[[#This Row],[Código do Posto]],tabParametros[Indenização Adicional (Art. 9º da Lei nº 7.238/84)])*tabCustoUnit[[#This Row],[MODULO 1 - REMUNERAÇÃO ]]</f>
        <v>1.37426275</v>
      </c>
      <c r="AT173" s="22">
        <f>SUM(tabCustoUnit[[#This Row],[Aviso Prévio Indenizado (API) e Reflexo do Aviso Prévio Indenizado]:[Indenização Adicional (Art. 9º da Lei nº 7.238/84)]])</f>
        <v>72.612518980539335</v>
      </c>
      <c r="AU173" s="22">
        <f>SUMIF(tabParametros[Código do Posto],tabCustoUnit[[#This Row],[Código do Posto]],tabParametros[Ausência por Doença])*tabCustoUnit[[#This Row],[MODULO 1 - REMUNERAÇÃO ]]</f>
        <v>13.925862533333332</v>
      </c>
      <c r="AV173" s="22">
        <f>SUMIF(tabParametros[Código do Posto],tabCustoUnit[[#This Row],[Código do Posto]],tabParametros[Ausências Legais])*tabCustoUnit[[#This Row],[MODULO 1 - REMUNERAÇÃO ]]</f>
        <v>3.3440393583333332</v>
      </c>
      <c r="AW173" s="22">
        <f>SUMIF(tabParametros[Código do Posto],tabCustoUnit[[#This Row],[Código do Posto]],tabParametros[Licença Paternidade])*tabCustoUnit[[#This Row],[MODULO 1 - REMUNERAÇÃO ]]</f>
        <v>0.28172386374999997</v>
      </c>
      <c r="AX173" s="22">
        <f>SUMIF(tabParametros[Código do Posto],tabCustoUnit[[#This Row],[Código do Posto]],tabParametros[Ausência por Acidente de Trabalho])*tabCustoUnit[[#This Row],[MODULO 1 - REMUNERAÇÃO ]]</f>
        <v>0.34356568749999999</v>
      </c>
      <c r="AY173" s="22">
        <f>SUMIF(tabParametros[Código do Posto],tabCustoUnit[[#This Row],[Código do Posto]],tabParametros[Férias, Adicional de Férias e 13º  com empregada em gozo de Licença Maternidade])*tabCustoUnit[[#This Row],[MODULO 1 - REMUNERAÇÃO ]]</f>
        <v>2.1377420555555555</v>
      </c>
      <c r="AZ173" s="22">
        <f>SUMIF(tabParametros[Código do Posto],tabCustoUnit[[#This Row],[Código do Posto]],tabParametros[Incidência do Submódulo 2.1 sobre Ausências Legais])*tabCustoUnit[[#This Row],[MODULO 1 - REMUNERAÇÃO ]]</f>
        <v>7.572448862422501</v>
      </c>
      <c r="BA173" s="22">
        <f>SUM(tabCustoUnit[[#This Row],[Ausência por Doença]:[Incidência do Submódulo 2.1 sobre Ausências Legais]])</f>
        <v>27.605382360894719</v>
      </c>
      <c r="BB173" s="22">
        <f>SUMIF(tabParametros[Código do Posto],tabCustoUnit[[#This Row],[Código do Posto]],tabParametros[Intervalo para Repouso ou Alimentação])</f>
        <v>0</v>
      </c>
      <c r="BC173" s="22">
        <f>tabCustoUnit[[#This Row],[Intervalo para Repouso ou Alimentação]]</f>
        <v>0</v>
      </c>
      <c r="BD17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3" s="22">
        <f>tabCustoUnit[[#This Row],[Suspensão Temporária do Contrato de Trabalho]]</f>
        <v>0</v>
      </c>
      <c r="BF173" s="22">
        <f>tabCustoUnit[[#This Row],[Submódulo 4.1]]+tabCustoUnit[[#This Row],[Submódulo 4.2]]+tabCustoUnit[[#This Row],[Submódulo 4.3]]</f>
        <v>27.605382360894719</v>
      </c>
      <c r="BG173" s="22">
        <f>VLOOKUP(tabCustoUnit[[#This Row],[Código do Posto]],tabParametros[],MATCH(tabCustoUnit[[#Headers],[Uniformes e EPIs]],tabParametros[#Headers],0),0)</f>
        <v>56.141713661989918</v>
      </c>
      <c r="BH173" s="22">
        <f>VLOOKUP(tabCustoUnit[[#This Row],[Código do Posto]],tabParametros[],MATCH(tabCustoUnit[[#Headers],[Materiais de Consumo]],tabParametros[#Headers],0),0)</f>
        <v>0</v>
      </c>
      <c r="BI173" s="22">
        <f>VLOOKUP(tabCustoUnit[[#This Row],[Código do Posto]],tabParametros[],MATCH(tabCustoUnit[[#Headers],[Máquinas e Equipamentos (depreciação)]],tabParametros[#Headers],0),0)</f>
        <v>0</v>
      </c>
      <c r="BJ173" s="22">
        <f>VLOOKUP(tabCustoUnit[[#This Row],[Código do Posto]],tabParametros[],MATCH(tabCustoUnit[[#Headers],[Produtos de Limpeza e Materiais de Higiene Pessoal]],tabParametros[#Headers],0),0)</f>
        <v>0</v>
      </c>
      <c r="BK173" s="22">
        <f>VLOOKUP(tabCustoUnit[[#This Row],[Código do Posto]],tabParametros[],MATCH(tabCustoUnit[[#Headers],[Outros (especificar)]],tabParametros[#Headers],0),0)</f>
        <v>0</v>
      </c>
      <c r="BL173" s="22">
        <f>SUM(tabCustoUnit[[#This Row],[Uniformes e EPIs]:[Outros (especificar)]])</f>
        <v>56.141713661989918</v>
      </c>
      <c r="BM17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3" s="22" t="e">
        <f ca="1">VLOOKUP(tabCustoUnit[[#This Row],[Código do Posto]],tabParametros[],MATCH(tabCustoUnit[[#Headers],[Custos Indiretos]],tabParametros[#Headers],0),0)</f>
        <v>#NAME?</v>
      </c>
      <c r="BO173" s="22" t="e">
        <f ca="1">VLOOKUP(tabCustoUnit[[#This Row],[Código do Posto]],tabParametros[],MATCH(tabCustoUnit[[#Headers],[Lucro]],tabParametros[#Headers],0),0)</f>
        <v>#NAME?</v>
      </c>
      <c r="BP173" s="26">
        <f>((100/((1-tabCustoUnit[[#This Row],[Resumo de Alíquotas (PIS+CONFINS+ISS)]]))-100)*VLOOKUP(tabCustoUnit[[#This Row],[Código do Posto]],tabParametros[],MATCH(tabCustoUnit[[#Headers],[COFINS]],tabParametros[#Headers],0),0))/(tabCustoUnit[[#This Row],[Resumo de Alíquotas (PIS+CONFINS+ISS)]]*100)</f>
        <v>8.6609686609686695E-2</v>
      </c>
      <c r="BQ173" s="26">
        <f>((100/((100-(tabCustoUnit[[#This Row],[Resumo de Alíquotas (PIS+CONFINS+ISS)]]*100))%)-100)*VLOOKUP(tabCustoUnit[[#This Row],[Código do Posto]],tabParametros[],MATCH(tabCustoUnit[[#Headers],[PIS]],tabParametros[#Headers],0),0))/(tabCustoUnit[[#This Row],[Resumo de Alíquotas (PIS+CONFINS+ISS)]]*100)</f>
        <v>1.880341880341882E-2</v>
      </c>
      <c r="BR173" s="28">
        <f>VLOOKUP(tabCustoUnit[[#This Row],[Código do Posto]],tabParametros[],MATCH(tabCustoUnit[[#Headers],[ISS]],tabParametros[#Headers],0),0)</f>
        <v>0.03</v>
      </c>
      <c r="BS173" s="26">
        <f>(((100/((100-(tabCustoUnit[[#This Row],[Resumo de Alíquotas (PIS+CONFINS+ISS)]]*100))%)-100)*tabCustoUnit[[#This Row],[ISS]])/tabCustoUnit[[#This Row],[Resumo de Alíquotas (PIS+CONFINS+ISS)]])/100</f>
        <v>3.4188034188034219E-2</v>
      </c>
      <c r="BT17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3" s="138">
        <f>tabCustoUnit[[#This Row],[COFINS]]+tabCustoUnit[[#This Row],[PIS]]+tabCustoUnit[[#This Row],[ISS (Conversão Alíquota s/ fatura)]]</f>
        <v>0.13960113960113973</v>
      </c>
      <c r="BV173" s="22" t="e">
        <f ca="1">(tabCustoUnit[[#This Row],[TOTAL MÓDULOS 1+2+3+4+5]]+tabCustoUnit[[#This Row],[Custos Indiretos]]+tabCustoUnit[[#This Row],[Lucro]])*tabCustoUnit[[#This Row],[PIS + COFINS + ISS (Total Conversão  Alíquota s/ Fatura)]]</f>
        <v>#NAME?</v>
      </c>
      <c r="BW173" s="22" t="e">
        <f ca="1">tabCustoUnit[[#This Row],[Custos Indiretos]]+tabCustoUnit[[#This Row],[Lucro]]+tabCustoUnit[[#This Row],[Valor dos Tributos (ISS, PIS, CONFINS)]]</f>
        <v>#NAME?</v>
      </c>
      <c r="BX173" s="22" t="e">
        <f ca="1">tabCustoUnit[[#This Row],[TOTAL MÓDULOS 1+2+3+4+5]]+tabCustoUnit[[#This Row],[MÓDULO 6 – CUSTOS INDIRETOS, TRIBUTOS E LUCRO]]</f>
        <v>#NAME?</v>
      </c>
      <c r="BY173" s="22" t="e">
        <f ca="1">tabCustoUnit[[#This Row],[CUSTO TOTAL MENSAL]]*12</f>
        <v>#NAME?</v>
      </c>
      <c r="BZ173" s="24">
        <f>VLOOKUP(tabCustoUnit[[#This Row],[Código do Posto]],tabParametros[],MATCH(tabCustoUnit[[#Headers],[ANO DA CCT]],tabParametros[#Headers],0),0)</f>
        <v>45658</v>
      </c>
      <c r="CA173" s="25" t="str">
        <f>VLOOKUP(tabCustoUnit[[#This Row],[Código do Posto]],tabParametros[],MATCH(tabCustoUnit[[#Headers],[Nº DE PEDIDO DA CCT]],tabParametros[#Headers],0),0)</f>
        <v>-</v>
      </c>
      <c r="CB173" s="25" t="str">
        <f>VLOOKUP(tabCustoUnit[[#This Row],[Código do Posto]],tabParametros[],MATCH(tabCustoUnit[[#Headers],[TERMO ADITIVO ALTERAÇÃO DA CCT]],tabParametros[#Headers],0),0)</f>
        <v>-</v>
      </c>
    </row>
    <row r="174" spans="1:80">
      <c r="A174" s="20" t="s">
        <v>1620</v>
      </c>
      <c r="B174" t="s">
        <v>930</v>
      </c>
      <c r="C174" t="s">
        <v>304</v>
      </c>
      <c r="D174" t="s">
        <v>930</v>
      </c>
      <c r="E174" s="20" t="s">
        <v>1090</v>
      </c>
      <c r="F174" s="20" t="s">
        <v>120</v>
      </c>
      <c r="G174" s="418">
        <v>2134.8035</v>
      </c>
      <c r="H174" s="418">
        <v>0</v>
      </c>
      <c r="I174" s="418">
        <v>0</v>
      </c>
      <c r="J174" s="418">
        <v>0</v>
      </c>
      <c r="K174" s="418">
        <v>0</v>
      </c>
      <c r="L174" s="418">
        <v>0</v>
      </c>
      <c r="M174" s="418">
        <v>0</v>
      </c>
      <c r="N174" s="418">
        <v>0</v>
      </c>
      <c r="O174" s="21">
        <f>SUM(tabCustoUnit[[#This Row],[Salário Base]:[Adicional de Acúmulo de função]])</f>
        <v>2134.8035</v>
      </c>
      <c r="P174" s="21">
        <f>tabCustoUnit[[#This Row],[MODULO 1 - REMUNERAÇÃO ]]*SUMIFS(tabParametros[INSS],tabParametros[Código do Posto],tabCustoUnit[[#This Row],[Código do Posto]])</f>
        <v>426.96070000000003</v>
      </c>
      <c r="Q174" s="21">
        <f>tabCustoUnit[[#This Row],[MODULO 1 - REMUNERAÇÃO ]]*SUMIFS(tabParametros[SESI OU SESC],tabParametros[Código do Posto],tabCustoUnit[[#This Row],[Código do Posto]])</f>
        <v>32.022052500000001</v>
      </c>
      <c r="R174" s="21">
        <f>tabCustoUnit[[#This Row],[MODULO 1 - REMUNERAÇÃO ]]*SUMIFS(tabParametros[SENAI OU SENAC],tabParametros[Código do Posto],tabCustoUnit[[#This Row],[Código do Posto]])</f>
        <v>21.348034999999999</v>
      </c>
      <c r="S174" s="21">
        <f>tabCustoUnit[[#This Row],[MODULO 1 - REMUNERAÇÃO ]]*SUMIFS(tabParametros[INCRA],tabParametros[Código do Posto],tabCustoUnit[[#This Row],[Código do Posto]])</f>
        <v>4.2696069999999997</v>
      </c>
      <c r="T174" s="21">
        <f>tabCustoUnit[[#This Row],[MODULO 1 - REMUNERAÇÃO ]]*SUMIFS(tabParametros[Salário Educação],tabParametros[Código do Posto],tabCustoUnit[[#This Row],[Código do Posto]])</f>
        <v>53.370087500000004</v>
      </c>
      <c r="U174" s="21">
        <f>tabCustoUnit[[#This Row],[MODULO 1 - REMUNERAÇÃO ]]*SUMIFS(tabParametros[FGTS],tabParametros[Código do Posto],tabCustoUnit[[#This Row],[Código do Posto]])</f>
        <v>170.78428</v>
      </c>
      <c r="V174" s="21">
        <f>tabCustoUnit[[#This Row],[MODULO 1 - REMUNERAÇÃO ]]*SUMIFS(tabParametros[RAT Ajustado],tabParametros[Código do Posto],tabCustoUnit[[#This Row],[Código do Posto]])</f>
        <v>85.392139999999998</v>
      </c>
      <c r="W174" s="21">
        <f>tabCustoUnit[[#This Row],[MODULO 1 - REMUNERAÇÃO ]]*SUMIFS(tabParametros[SEBRAE],tabParametros[Código do Posto],tabCustoUnit[[#This Row],[Código do Posto]])</f>
        <v>12.808821</v>
      </c>
      <c r="X174" s="21">
        <f>SUM(tabCustoUnit[[#This Row],[INSS]:[SEBRAE]])</f>
        <v>806.95572300000003</v>
      </c>
      <c r="Y174" s="21">
        <f>tabCustoUnit[[#This Row],[MODULO 1 - REMUNERAÇÃO ]]*SUMIFS(tabParametros[13º salário (titular)],tabParametros[Código do Posto],tabCustoUnit[[#This Row],[Código do Posto]])</f>
        <v>177.90029166666665</v>
      </c>
      <c r="Z174" s="21">
        <f>tabCustoUnit[[#This Row],[MODULO 1 - REMUNERAÇÃO ]]*SUMIFS(tabParametros[Férias e Adicional de Férias (titular)],tabParametros[Código do Posto],tabCustoUnit[[#This Row],[Código do Posto]])</f>
        <v>237.20038888888888</v>
      </c>
      <c r="AA174" s="21">
        <f>IFERROR((tabCustoUnit[[#This Row],[Submódulo 2.1]]/tabCustoUnit[[#This Row],[MODULO 1 - REMUNERAÇÃO ]])*SUM(tabCustoUnit[[#This Row],[13º salário (titular)]:[Férias e Adicional de Férias (titular)]]),0)</f>
        <v>156.90805724999998</v>
      </c>
      <c r="AB174" s="21">
        <f>SUM(tabCustoUnit[[#This Row],[13º salário (titular)]:[Incidência do Submódulo 2.1 sobre 13º Salário, Férias e Adicional de Férias]])</f>
        <v>572.00873780555548</v>
      </c>
      <c r="AC174" s="22" t="e">
        <f ca="1">_xlfn.LET(_xlpm.VT,SUMIF(tabParametros[Código do Posto],tabCustoUnit[[#This Row],[Código do Posto]],tabParametros[Vale - Transporte])*2*20,
IF((_xlpm.VT-tabCustoUnit[[#This Row],[Salário Base]]*0.06)&gt;=0,(_xlpm.VT-tabCustoUnit[[#This Row],[Salário Base]]*0.06),0)
)</f>
        <v>#NAME?</v>
      </c>
      <c r="AD174" s="22">
        <f>IF(SUMIF(tabParametros[Código do Posto],tabCustoUnit[[#This Row],[Código do Posto]],tabParametros[Vale - Alimentação])&lt;=0,0,
SUMIF(tabParametros[Código do Posto],tabCustoUnit[[#This Row],[Código do Posto]],tabParametros[Vale - Alimentação])*20-1)</f>
        <v>582</v>
      </c>
      <c r="AE174" s="22">
        <f>SUMIF(tabParametros[Código do Posto],tabCustoUnit[[#This Row],[Código do Posto]],tabParametros[Cesta Básica])</f>
        <v>0</v>
      </c>
      <c r="AF174" s="22">
        <f>SUMIF(tabParametros[Código do Posto],tabCustoUnit[[#This Row],[Código do Posto]],tabParametros[PAF])</f>
        <v>51.88</v>
      </c>
      <c r="AG174" s="22">
        <f>SUMIF(tabParametros[Código do Posto],tabCustoUnit[[#This Row],[Código do Posto]],tabParametros[PQM])</f>
        <v>0</v>
      </c>
      <c r="AH174" s="22">
        <f>SUMIF(tabParametros[Código do Posto],tabCustoUnit[[#This Row],[Código do Posto]],tabParametros[Abono Único e Especial])</f>
        <v>0</v>
      </c>
      <c r="AI174" s="22">
        <f>SUMIF(tabParametros[Código do Posto],tabCustoUnit[[#This Row],[Código do Posto]],tabParametros[Seguro de Vida])</f>
        <v>3.36</v>
      </c>
      <c r="AJ174" s="22">
        <f>SUMIF(tabParametros[Código do Posto],tabCustoUnit[[#This Row],[Código do Posto]],tabParametros[Despesas de Viagem])</f>
        <v>0</v>
      </c>
      <c r="AK174" s="22" t="e">
        <f ca="1">SUM(tabCustoUnit[[#This Row],[Vale - Transporte (Descontada parcela do empregado)]:[Despesas de Viagem]])</f>
        <v>#NAME?</v>
      </c>
      <c r="AL174" s="22" t="e">
        <f ca="1">tabCustoUnit[[#This Row],[Submódulo 2.1]]+tabCustoUnit[[#This Row],[Submódulo 2.2]]+tabCustoUnit[[#This Row],[Submódulo 2.3]]</f>
        <v>#NAME?</v>
      </c>
      <c r="AM174" s="22">
        <f>SUMIF(tabParametros[Código do Posto],tabCustoUnit[[#This Row],[Código do Posto]],tabParametros[Aviso Prévio Indenizado (API) e Reflexo do Aviso Prévio Indenizado])*tabCustoUnit[[#This Row],[MODULO 1 - REMUNERAÇÃO ]]</f>
        <v>14.968744680073302</v>
      </c>
      <c r="AN174" s="22">
        <f>SUMIF(tabParametros[Código do Posto],tabCustoUnit[[#This Row],[Código do Posto]],tabParametros[Incidência do FGTS sobre API e Reflexo do API])*tabCustoUnit[[#This Row],[MODULO 1 - REMUNERAÇÃO ]]</f>
        <v>1.1974995744058643</v>
      </c>
      <c r="AO174" s="22">
        <f>SUMIF(tabParametros[Código do Posto],tabCustoUnit[[#This Row],[Código do Posto]],tabParametros[Multa Rescisória do FGTS sobre o Aviso Prévio Indenizado])*tabCustoUnit[[#This Row],[MODULO 1 - REMUNERAÇÃO ]]</f>
        <v>0.47899982976234579</v>
      </c>
      <c r="AP174" s="22">
        <f>SUMIF(tabParametros[Código do Posto],tabCustoUnit[[#This Row],[Código do Posto]],tabParametros[Aviso Prévio Trabalhado - APT])*tabCustoUnit[[#This Row],[MODULO 1 - REMUNERAÇÃO ]]</f>
        <v>7.471812250000001</v>
      </c>
      <c r="AQ174" s="22">
        <f>SUMIF(tabParametros[Código do Posto],tabCustoUnit[[#This Row],[Código do Posto]],tabParametros[Incidência dos encargos do submódulo 2.1 sobre Aviso Prévio Trabalhado])*tabCustoUnit[[#This Row],[MODULO 1 - REMUNERAÇÃO ]]</f>
        <v>2.8243450305000009</v>
      </c>
      <c r="AR174" s="22">
        <f>SUMIF(tabParametros[Código do Posto],tabCustoUnit[[#This Row],[Código do Posto]],tabParametros[Multa Rescisória do FGTS])*tabCustoUnit[[#This Row],[MODULO 1 - REMUNERAÇÃO ]]</f>
        <v>65.277547022222208</v>
      </c>
      <c r="AS174" s="22">
        <f>SUMIF(tabParametros[Código do Posto],tabCustoUnit[[#This Row],[Código do Posto]],tabParametros[Indenização Adicional (Art. 9º da Lei nº 7.238/84)])*tabCustoUnit[[#This Row],[MODULO 1 - REMUNERAÇÃO ]]</f>
        <v>1.7790029166666668</v>
      </c>
      <c r="AT174" s="22">
        <f>SUM(tabCustoUnit[[#This Row],[Aviso Prévio Indenizado (API) e Reflexo do Aviso Prévio Indenizado]:[Indenização Adicional (Art. 9º da Lei nº 7.238/84)]])</f>
        <v>93.997951303630387</v>
      </c>
      <c r="AU174" s="22">
        <f>SUMIF(tabParametros[Código do Posto],tabCustoUnit[[#This Row],[Código do Posto]],tabParametros[Ausência por Doença])*tabCustoUnit[[#This Row],[MODULO 1 - REMUNERAÇÃO ]]</f>
        <v>18.027229555555554</v>
      </c>
      <c r="AV174" s="22">
        <f>SUMIF(tabParametros[Código do Posto],tabCustoUnit[[#This Row],[Código do Posto]],tabParametros[Ausências Legais])*tabCustoUnit[[#This Row],[MODULO 1 - REMUNERAÇÃO ]]</f>
        <v>4.3289070972222223</v>
      </c>
      <c r="AW174" s="22">
        <f>SUMIF(tabParametros[Código do Posto],tabCustoUnit[[#This Row],[Código do Posto]],tabParametros[Licença Paternidade])*tabCustoUnit[[#This Row],[MODULO 1 - REMUNERAÇÃO ]]</f>
        <v>0.36469559791666667</v>
      </c>
      <c r="AX174" s="22">
        <f>SUMIF(tabParametros[Código do Posto],tabCustoUnit[[#This Row],[Código do Posto]],tabParametros[Ausência por Acidente de Trabalho])*tabCustoUnit[[#This Row],[MODULO 1 - REMUNERAÇÃO ]]</f>
        <v>0.44475072916666669</v>
      </c>
      <c r="AY174" s="22">
        <f>SUMIF(tabParametros[Código do Posto],tabCustoUnit[[#This Row],[Código do Posto]],tabParametros[Férias, Adicional de Férias e 13º  com empregada em gozo de Licença Maternidade])*tabCustoUnit[[#This Row],[MODULO 1 - REMUNERAÇÃO ]]</f>
        <v>2.7673378703703704</v>
      </c>
      <c r="AZ174" s="22">
        <f>SUMIF(tabParametros[Código do Posto],tabCustoUnit[[#This Row],[Código do Posto]],tabParametros[Incidência do Submódulo 2.1 sobre Ausências Legais])*tabCustoUnit[[#This Row],[MODULO 1 - REMUNERAÇÃO ]]</f>
        <v>9.802644081387502</v>
      </c>
      <c r="BA174" s="22">
        <f>SUM(tabCustoUnit[[#This Row],[Ausência por Doença]:[Incidência do Submódulo 2.1 sobre Ausências Legais]])</f>
        <v>35.735564931618981</v>
      </c>
      <c r="BB174" s="22">
        <f>SUMIF(tabParametros[Código do Posto],tabCustoUnit[[#This Row],[Código do Posto]],tabParametros[Intervalo para Repouso ou Alimentação])</f>
        <v>236.35324352825916</v>
      </c>
      <c r="BC174" s="22">
        <f>tabCustoUnit[[#This Row],[Intervalo para Repouso ou Alimentação]]</f>
        <v>236.35324352825916</v>
      </c>
      <c r="BD17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4" s="22">
        <f>tabCustoUnit[[#This Row],[Suspensão Temporária do Contrato de Trabalho]]</f>
        <v>0</v>
      </c>
      <c r="BF174" s="22">
        <f>tabCustoUnit[[#This Row],[Submódulo 4.1]]+tabCustoUnit[[#This Row],[Submódulo 4.2]]+tabCustoUnit[[#This Row],[Submódulo 4.3]]</f>
        <v>272.08880845987812</v>
      </c>
      <c r="BG174" s="22">
        <f>VLOOKUP(tabCustoUnit[[#This Row],[Código do Posto]],tabParametros[],MATCH(tabCustoUnit[[#Headers],[Uniformes e EPIs]],tabParametros[#Headers],0),0)</f>
        <v>56.642978962543395</v>
      </c>
      <c r="BH174" s="22">
        <f>VLOOKUP(tabCustoUnit[[#This Row],[Código do Posto]],tabParametros[],MATCH(tabCustoUnit[[#Headers],[Materiais de Consumo]],tabParametros[#Headers],0),0)</f>
        <v>0</v>
      </c>
      <c r="BI174" s="22">
        <f>VLOOKUP(tabCustoUnit[[#This Row],[Código do Posto]],tabParametros[],MATCH(tabCustoUnit[[#Headers],[Máquinas e Equipamentos (depreciação)]],tabParametros[#Headers],0),0)</f>
        <v>0</v>
      </c>
      <c r="BJ174" s="22">
        <f>VLOOKUP(tabCustoUnit[[#This Row],[Código do Posto]],tabParametros[],MATCH(tabCustoUnit[[#Headers],[Produtos de Limpeza e Materiais de Higiene Pessoal]],tabParametros[#Headers],0),0)</f>
        <v>0</v>
      </c>
      <c r="BK174" s="22">
        <f>VLOOKUP(tabCustoUnit[[#This Row],[Código do Posto]],tabParametros[],MATCH(tabCustoUnit[[#Headers],[Outros (especificar)]],tabParametros[#Headers],0),0)</f>
        <v>0</v>
      </c>
      <c r="BL174" s="22">
        <f>SUM(tabCustoUnit[[#This Row],[Uniformes e EPIs]:[Outros (especificar)]])</f>
        <v>56.642978962543395</v>
      </c>
      <c r="BM17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4" s="22" t="e">
        <f ca="1">VLOOKUP(tabCustoUnit[[#This Row],[Código do Posto]],tabParametros[],MATCH(tabCustoUnit[[#Headers],[Custos Indiretos]],tabParametros[#Headers],0),0)</f>
        <v>#NAME?</v>
      </c>
      <c r="BO174" s="22" t="e">
        <f ca="1">VLOOKUP(tabCustoUnit[[#This Row],[Código do Posto]],tabParametros[],MATCH(tabCustoUnit[[#Headers],[Lucro]],tabParametros[#Headers],0),0)</f>
        <v>#NAME?</v>
      </c>
      <c r="BP174" s="26">
        <f>((100/((1-tabCustoUnit[[#This Row],[Resumo de Alíquotas (PIS+CONFINS+ISS)]]))-100)*VLOOKUP(tabCustoUnit[[#This Row],[Código do Posto]],tabParametros[],MATCH(tabCustoUnit[[#Headers],[COFINS]],tabParametros[#Headers],0),0))/(tabCustoUnit[[#This Row],[Resumo de Alíquotas (PIS+CONFINS+ISS)]]*100)</f>
        <v>8.6609686609686695E-2</v>
      </c>
      <c r="BQ174" s="26">
        <f>((100/((100-(tabCustoUnit[[#This Row],[Resumo de Alíquotas (PIS+CONFINS+ISS)]]*100))%)-100)*VLOOKUP(tabCustoUnit[[#This Row],[Código do Posto]],tabParametros[],MATCH(tabCustoUnit[[#Headers],[PIS]],tabParametros[#Headers],0),0))/(tabCustoUnit[[#This Row],[Resumo de Alíquotas (PIS+CONFINS+ISS)]]*100)</f>
        <v>1.880341880341882E-2</v>
      </c>
      <c r="BR174" s="28">
        <f>VLOOKUP(tabCustoUnit[[#This Row],[Código do Posto]],tabParametros[],MATCH(tabCustoUnit[[#Headers],[ISS]],tabParametros[#Headers],0),0)</f>
        <v>0.03</v>
      </c>
      <c r="BS174" s="26">
        <f>(((100/((100-(tabCustoUnit[[#This Row],[Resumo de Alíquotas (PIS+CONFINS+ISS)]]*100))%)-100)*tabCustoUnit[[#This Row],[ISS]])/tabCustoUnit[[#This Row],[Resumo de Alíquotas (PIS+CONFINS+ISS)]])/100</f>
        <v>3.4188034188034219E-2</v>
      </c>
      <c r="BT17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4" s="138">
        <f>tabCustoUnit[[#This Row],[COFINS]]+tabCustoUnit[[#This Row],[PIS]]+tabCustoUnit[[#This Row],[ISS (Conversão Alíquota s/ fatura)]]</f>
        <v>0.13960113960113973</v>
      </c>
      <c r="BV174" s="22" t="e">
        <f ca="1">(tabCustoUnit[[#This Row],[TOTAL MÓDULOS 1+2+3+4+5]]+tabCustoUnit[[#This Row],[Custos Indiretos]]+tabCustoUnit[[#This Row],[Lucro]])*tabCustoUnit[[#This Row],[PIS + COFINS + ISS (Total Conversão  Alíquota s/ Fatura)]]</f>
        <v>#NAME?</v>
      </c>
      <c r="BW174" s="22" t="e">
        <f ca="1">tabCustoUnit[[#This Row],[Custos Indiretos]]+tabCustoUnit[[#This Row],[Lucro]]+tabCustoUnit[[#This Row],[Valor dos Tributos (ISS, PIS, CONFINS)]]</f>
        <v>#NAME?</v>
      </c>
      <c r="BX174" s="22" t="e">
        <f ca="1">tabCustoUnit[[#This Row],[TOTAL MÓDULOS 1+2+3+4+5]]+tabCustoUnit[[#This Row],[MÓDULO 6 – CUSTOS INDIRETOS, TRIBUTOS E LUCRO]]</f>
        <v>#NAME?</v>
      </c>
      <c r="BY174" s="22" t="e">
        <f ca="1">tabCustoUnit[[#This Row],[CUSTO TOTAL MENSAL]]*12</f>
        <v>#NAME?</v>
      </c>
      <c r="BZ174" s="24">
        <f>VLOOKUP(tabCustoUnit[[#This Row],[Código do Posto]],tabParametros[],MATCH(tabCustoUnit[[#Headers],[ANO DA CCT]],tabParametros[#Headers],0),0)</f>
        <v>45658</v>
      </c>
      <c r="CA174" s="25" t="str">
        <f>VLOOKUP(tabCustoUnit[[#This Row],[Código do Posto]],tabParametros[],MATCH(tabCustoUnit[[#Headers],[Nº DE PEDIDO DA CCT]],tabParametros[#Headers],0),0)</f>
        <v>-</v>
      </c>
      <c r="CB174" s="25" t="str">
        <f>VLOOKUP(tabCustoUnit[[#This Row],[Código do Posto]],tabParametros[],MATCH(tabCustoUnit[[#Headers],[TERMO ADITIVO ALTERAÇÃO DA CCT]],tabParametros[#Headers],0),0)</f>
        <v>-</v>
      </c>
    </row>
    <row r="175" spans="1:80">
      <c r="A175" s="20" t="s">
        <v>1480</v>
      </c>
      <c r="B175" t="s">
        <v>930</v>
      </c>
      <c r="C175" t="s">
        <v>309</v>
      </c>
      <c r="D175" t="s">
        <v>930</v>
      </c>
      <c r="E175" s="20" t="s">
        <v>1090</v>
      </c>
      <c r="F175" s="20" t="s">
        <v>120</v>
      </c>
      <c r="G175" s="418">
        <v>2134.8035</v>
      </c>
      <c r="H175" s="418">
        <v>0</v>
      </c>
      <c r="I175" s="418">
        <v>0</v>
      </c>
      <c r="J175" s="418">
        <v>430.16289999999998</v>
      </c>
      <c r="K175" s="418">
        <v>0</v>
      </c>
      <c r="L175" s="418">
        <v>0</v>
      </c>
      <c r="M175" s="418">
        <v>0</v>
      </c>
      <c r="N175" s="418">
        <v>0</v>
      </c>
      <c r="O175" s="21">
        <f>SUM(tabCustoUnit[[#This Row],[Salário Base]:[Adicional de Acúmulo de função]])</f>
        <v>2564.9663999999998</v>
      </c>
      <c r="P175" s="21">
        <f>tabCustoUnit[[#This Row],[MODULO 1 - REMUNERAÇÃO ]]*SUMIFS(tabParametros[INSS],tabParametros[Código do Posto],tabCustoUnit[[#This Row],[Código do Posto]])</f>
        <v>512.99328000000003</v>
      </c>
      <c r="Q175" s="21">
        <f>tabCustoUnit[[#This Row],[MODULO 1 - REMUNERAÇÃO ]]*SUMIFS(tabParametros[SESI OU SESC],tabParametros[Código do Posto],tabCustoUnit[[#This Row],[Código do Posto]])</f>
        <v>38.474495999999995</v>
      </c>
      <c r="R175" s="21">
        <f>tabCustoUnit[[#This Row],[MODULO 1 - REMUNERAÇÃO ]]*SUMIFS(tabParametros[SENAI OU SENAC],tabParametros[Código do Posto],tabCustoUnit[[#This Row],[Código do Posto]])</f>
        <v>25.649663999999998</v>
      </c>
      <c r="S175" s="21">
        <f>tabCustoUnit[[#This Row],[MODULO 1 - REMUNERAÇÃO ]]*SUMIFS(tabParametros[INCRA],tabParametros[Código do Posto],tabCustoUnit[[#This Row],[Código do Posto]])</f>
        <v>5.1299327999999997</v>
      </c>
      <c r="T175" s="21">
        <f>tabCustoUnit[[#This Row],[MODULO 1 - REMUNERAÇÃO ]]*SUMIFS(tabParametros[Salário Educação],tabParametros[Código do Posto],tabCustoUnit[[#This Row],[Código do Posto]])</f>
        <v>64.124160000000003</v>
      </c>
      <c r="U175" s="21">
        <f>tabCustoUnit[[#This Row],[MODULO 1 - REMUNERAÇÃO ]]*SUMIFS(tabParametros[FGTS],tabParametros[Código do Posto],tabCustoUnit[[#This Row],[Código do Posto]])</f>
        <v>205.19731199999998</v>
      </c>
      <c r="V175" s="21">
        <f>tabCustoUnit[[#This Row],[MODULO 1 - REMUNERAÇÃO ]]*SUMIFS(tabParametros[RAT Ajustado],tabParametros[Código do Posto],tabCustoUnit[[#This Row],[Código do Posto]])</f>
        <v>102.59865599999999</v>
      </c>
      <c r="W175" s="21">
        <f>tabCustoUnit[[#This Row],[MODULO 1 - REMUNERAÇÃO ]]*SUMIFS(tabParametros[SEBRAE],tabParametros[Código do Posto],tabCustoUnit[[#This Row],[Código do Posto]])</f>
        <v>15.389798399999998</v>
      </c>
      <c r="X175" s="21">
        <f>SUM(tabCustoUnit[[#This Row],[INSS]:[SEBRAE]])</f>
        <v>969.5572992000001</v>
      </c>
      <c r="Y175" s="21">
        <f>tabCustoUnit[[#This Row],[MODULO 1 - REMUNERAÇÃO ]]*SUMIFS(tabParametros[13º salário (titular)],tabParametros[Código do Posto],tabCustoUnit[[#This Row],[Código do Posto]])</f>
        <v>213.74719999999996</v>
      </c>
      <c r="Z175" s="21">
        <f>tabCustoUnit[[#This Row],[MODULO 1 - REMUNERAÇÃO ]]*SUMIFS(tabParametros[Férias e Adicional de Férias (titular)],tabParametros[Código do Posto],tabCustoUnit[[#This Row],[Código do Posto]])</f>
        <v>284.9962666666666</v>
      </c>
      <c r="AA175" s="21">
        <f>IFERROR((tabCustoUnit[[#This Row],[Submódulo 2.1]]/tabCustoUnit[[#This Row],[MODULO 1 - REMUNERAÇÃO ]])*SUM(tabCustoUnit[[#This Row],[13º salário (titular)]:[Férias e Adicional de Férias (titular)]]),0)</f>
        <v>188.52503039999999</v>
      </c>
      <c r="AB175" s="21">
        <f>SUM(tabCustoUnit[[#This Row],[13º salário (titular)]:[Incidência do Submódulo 2.1 sobre 13º Salário, Férias e Adicional de Férias]])</f>
        <v>687.26849706666655</v>
      </c>
      <c r="AC175" s="22" t="e">
        <f ca="1">_xlfn.LET(_xlpm.VT,SUMIF(tabParametros[Código do Posto],tabCustoUnit[[#This Row],[Código do Posto]],tabParametros[Vale - Transporte])*2*20,
IF((_xlpm.VT-tabCustoUnit[[#This Row],[Salário Base]]*0.06)&gt;=0,(_xlpm.VT-tabCustoUnit[[#This Row],[Salário Base]]*0.06),0)
)</f>
        <v>#NAME?</v>
      </c>
      <c r="AD175" s="22">
        <f>IF(SUMIF(tabParametros[Código do Posto],tabCustoUnit[[#This Row],[Código do Posto]],tabParametros[Vale - Alimentação])&lt;=0,0,
SUMIF(tabParametros[Código do Posto],tabCustoUnit[[#This Row],[Código do Posto]],tabParametros[Vale - Alimentação])*20-1)</f>
        <v>582</v>
      </c>
      <c r="AE175" s="22">
        <f>SUMIF(tabParametros[Código do Posto],tabCustoUnit[[#This Row],[Código do Posto]],tabParametros[Cesta Básica])</f>
        <v>0</v>
      </c>
      <c r="AF175" s="22">
        <f>SUMIF(tabParametros[Código do Posto],tabCustoUnit[[#This Row],[Código do Posto]],tabParametros[PAF])</f>
        <v>51.88</v>
      </c>
      <c r="AG175" s="22">
        <f>SUMIF(tabParametros[Código do Posto],tabCustoUnit[[#This Row],[Código do Posto]],tabParametros[PQM])</f>
        <v>0</v>
      </c>
      <c r="AH175" s="22">
        <f>SUMIF(tabParametros[Código do Posto],tabCustoUnit[[#This Row],[Código do Posto]],tabParametros[Abono Único e Especial])</f>
        <v>0</v>
      </c>
      <c r="AI175" s="22">
        <f>SUMIF(tabParametros[Código do Posto],tabCustoUnit[[#This Row],[Código do Posto]],tabParametros[Seguro de Vida])</f>
        <v>3.36</v>
      </c>
      <c r="AJ175" s="22">
        <f>SUMIF(tabParametros[Código do Posto],tabCustoUnit[[#This Row],[Código do Posto]],tabParametros[Despesas de Viagem])</f>
        <v>0</v>
      </c>
      <c r="AK175" s="22" t="e">
        <f ca="1">SUM(tabCustoUnit[[#This Row],[Vale - Transporte (Descontada parcela do empregado)]:[Despesas de Viagem]])</f>
        <v>#NAME?</v>
      </c>
      <c r="AL175" s="22" t="e">
        <f ca="1">tabCustoUnit[[#This Row],[Submódulo 2.1]]+tabCustoUnit[[#This Row],[Submódulo 2.2]]+tabCustoUnit[[#This Row],[Submódulo 2.3]]</f>
        <v>#NAME?</v>
      </c>
      <c r="AM175" s="22">
        <f>SUMIF(tabParametros[Código do Posto],tabCustoUnit[[#This Row],[Código do Posto]],tabParametros[Aviso Prévio Indenizado (API) e Reflexo do Aviso Prévio Indenizado])*tabCustoUnit[[#This Row],[MODULO 1 - REMUNERAÇÃO ]]</f>
        <v>17.984946696296294</v>
      </c>
      <c r="AN175" s="22">
        <f>SUMIF(tabParametros[Código do Posto],tabCustoUnit[[#This Row],[Código do Posto]],tabParametros[Incidência do FGTS sobre API e Reflexo do API])*tabCustoUnit[[#This Row],[MODULO 1 - REMUNERAÇÃO ]]</f>
        <v>1.4387957357037038</v>
      </c>
      <c r="AO175" s="22">
        <f>SUMIF(tabParametros[Código do Posto],tabCustoUnit[[#This Row],[Código do Posto]],tabParametros[Multa Rescisória do FGTS sobre o Aviso Prévio Indenizado])*tabCustoUnit[[#This Row],[MODULO 1 - REMUNERAÇÃO ]]</f>
        <v>0.57551829428148149</v>
      </c>
      <c r="AP175" s="22">
        <f>SUMIF(tabParametros[Código do Posto],tabCustoUnit[[#This Row],[Código do Posto]],tabParametros[Aviso Prévio Trabalhado - APT])*tabCustoUnit[[#This Row],[MODULO 1 - REMUNERAÇÃO ]]</f>
        <v>8.9773823999999998</v>
      </c>
      <c r="AQ175" s="22">
        <f>SUMIF(tabParametros[Código do Posto],tabCustoUnit[[#This Row],[Código do Posto]],tabParametros[Incidência dos encargos do submódulo 2.1 sobre Aviso Prévio Trabalhado])*tabCustoUnit[[#This Row],[MODULO 1 - REMUNERAÇÃO ]]</f>
        <v>3.3934505472000009</v>
      </c>
      <c r="AR175" s="22">
        <f>SUMIF(tabParametros[Código do Posto],tabCustoUnit[[#This Row],[Código do Posto]],tabParametros[Multa Rescisória do FGTS])*tabCustoUnit[[#This Row],[MODULO 1 - REMUNERAÇÃO ]]</f>
        <v>78.430972586666655</v>
      </c>
      <c r="AS175" s="22">
        <f>SUMIF(tabParametros[Código do Posto],tabCustoUnit[[#This Row],[Código do Posto]],tabParametros[Indenização Adicional (Art. 9º da Lei nº 7.238/84)])*tabCustoUnit[[#This Row],[MODULO 1 - REMUNERAÇÃO ]]</f>
        <v>2.1374719999999998</v>
      </c>
      <c r="AT175" s="22">
        <f>SUM(tabCustoUnit[[#This Row],[Aviso Prévio Indenizado (API) e Reflexo do Aviso Prévio Indenizado]:[Indenização Adicional (Art. 9º da Lei nº 7.238/84)]])</f>
        <v>112.93853826014814</v>
      </c>
      <c r="AU175" s="22">
        <f>SUMIF(tabParametros[Código do Posto],tabCustoUnit[[#This Row],[Código do Posto]],tabParametros[Ausência por Doença])*tabCustoUnit[[#This Row],[MODULO 1 - REMUNERAÇÃO ]]</f>
        <v>21.659716266666663</v>
      </c>
      <c r="AV175" s="22">
        <f>SUMIF(tabParametros[Código do Posto],tabCustoUnit[[#This Row],[Código do Posto]],tabParametros[Ausências Legais])*tabCustoUnit[[#This Row],[MODULO 1 - REMUNERAÇÃO ]]</f>
        <v>5.2011818666666656</v>
      </c>
      <c r="AW175" s="22">
        <f>SUMIF(tabParametros[Código do Posto],tabCustoUnit[[#This Row],[Código do Posto]],tabParametros[Licença Paternidade])*tabCustoUnit[[#This Row],[MODULO 1 - REMUNERAÇÃO ]]</f>
        <v>0.43818175999999998</v>
      </c>
      <c r="AX175" s="22">
        <f>SUMIF(tabParametros[Código do Posto],tabCustoUnit[[#This Row],[Código do Posto]],tabParametros[Ausência por Acidente de Trabalho])*tabCustoUnit[[#This Row],[MODULO 1 - REMUNERAÇÃO ]]</f>
        <v>0.53436799999999995</v>
      </c>
      <c r="AY175" s="22">
        <f>SUMIF(tabParametros[Código do Posto],tabCustoUnit[[#This Row],[Código do Posto]],tabParametros[Férias, Adicional de Férias e 13º  com empregada em gozo de Licença Maternidade])*tabCustoUnit[[#This Row],[MODULO 1 - REMUNERAÇÃO ]]</f>
        <v>3.3249564444444442</v>
      </c>
      <c r="AZ175" s="22">
        <f>SUMIF(tabParametros[Código do Posto],tabCustoUnit[[#This Row],[Código do Posto]],tabParametros[Incidência do Submódulo 2.1 sobre Ausências Legais])*tabCustoUnit[[#This Row],[MODULO 1 - REMUNERAÇÃO ]]</f>
        <v>11.777876839680001</v>
      </c>
      <c r="BA175" s="22">
        <f>SUM(tabCustoUnit[[#This Row],[Ausência por Doença]:[Incidência do Submódulo 2.1 sobre Ausências Legais]])</f>
        <v>42.936281177457772</v>
      </c>
      <c r="BB175" s="22">
        <f>SUMIF(tabParametros[Código do Posto],tabCustoUnit[[#This Row],[Código do Posto]],tabParametros[Intervalo para Repouso ou Alimentação])</f>
        <v>283.97842209920344</v>
      </c>
      <c r="BC175" s="22">
        <f>tabCustoUnit[[#This Row],[Intervalo para Repouso ou Alimentação]]</f>
        <v>283.97842209920344</v>
      </c>
      <c r="BD17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5" s="22">
        <f>tabCustoUnit[[#This Row],[Suspensão Temporária do Contrato de Trabalho]]</f>
        <v>0</v>
      </c>
      <c r="BF175" s="22">
        <f>tabCustoUnit[[#This Row],[Submódulo 4.1]]+tabCustoUnit[[#This Row],[Submódulo 4.2]]+tabCustoUnit[[#This Row],[Submódulo 4.3]]</f>
        <v>326.91470327666121</v>
      </c>
      <c r="BG175" s="22">
        <f>VLOOKUP(tabCustoUnit[[#This Row],[Código do Posto]],tabParametros[],MATCH(tabCustoUnit[[#Headers],[Uniformes e EPIs]],tabParametros[#Headers],0),0)</f>
        <v>56.642978962543395</v>
      </c>
      <c r="BH175" s="22">
        <f>VLOOKUP(tabCustoUnit[[#This Row],[Código do Posto]],tabParametros[],MATCH(tabCustoUnit[[#Headers],[Materiais de Consumo]],tabParametros[#Headers],0),0)</f>
        <v>0</v>
      </c>
      <c r="BI175" s="22">
        <f>VLOOKUP(tabCustoUnit[[#This Row],[Código do Posto]],tabParametros[],MATCH(tabCustoUnit[[#Headers],[Máquinas e Equipamentos (depreciação)]],tabParametros[#Headers],0),0)</f>
        <v>0</v>
      </c>
      <c r="BJ175" s="22">
        <f>VLOOKUP(tabCustoUnit[[#This Row],[Código do Posto]],tabParametros[],MATCH(tabCustoUnit[[#Headers],[Produtos de Limpeza e Materiais de Higiene Pessoal]],tabParametros[#Headers],0),0)</f>
        <v>0</v>
      </c>
      <c r="BK175" s="22">
        <f>VLOOKUP(tabCustoUnit[[#This Row],[Código do Posto]],tabParametros[],MATCH(tabCustoUnit[[#Headers],[Outros (especificar)]],tabParametros[#Headers],0),0)</f>
        <v>0</v>
      </c>
      <c r="BL175" s="22">
        <f>SUM(tabCustoUnit[[#This Row],[Uniformes e EPIs]:[Outros (especificar)]])</f>
        <v>56.642978962543395</v>
      </c>
      <c r="BM17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5" s="22" t="e">
        <f ca="1">VLOOKUP(tabCustoUnit[[#This Row],[Código do Posto]],tabParametros[],MATCH(tabCustoUnit[[#Headers],[Custos Indiretos]],tabParametros[#Headers],0),0)</f>
        <v>#NAME?</v>
      </c>
      <c r="BO175" s="22" t="e">
        <f ca="1">VLOOKUP(tabCustoUnit[[#This Row],[Código do Posto]],tabParametros[],MATCH(tabCustoUnit[[#Headers],[Lucro]],tabParametros[#Headers],0),0)</f>
        <v>#NAME?</v>
      </c>
      <c r="BP175" s="26">
        <f>((100/((1-tabCustoUnit[[#This Row],[Resumo de Alíquotas (PIS+CONFINS+ISS)]]))-100)*VLOOKUP(tabCustoUnit[[#This Row],[Código do Posto]],tabParametros[],MATCH(tabCustoUnit[[#Headers],[COFINS]],tabParametros[#Headers],0),0))/(tabCustoUnit[[#This Row],[Resumo de Alíquotas (PIS+CONFINS+ISS)]]*100)</f>
        <v>8.6609686609686695E-2</v>
      </c>
      <c r="BQ175" s="26">
        <f>((100/((100-(tabCustoUnit[[#This Row],[Resumo de Alíquotas (PIS+CONFINS+ISS)]]*100))%)-100)*VLOOKUP(tabCustoUnit[[#This Row],[Código do Posto]],tabParametros[],MATCH(tabCustoUnit[[#Headers],[PIS]],tabParametros[#Headers],0),0))/(tabCustoUnit[[#This Row],[Resumo de Alíquotas (PIS+CONFINS+ISS)]]*100)</f>
        <v>1.880341880341882E-2</v>
      </c>
      <c r="BR175" s="28">
        <f>VLOOKUP(tabCustoUnit[[#This Row],[Código do Posto]],tabParametros[],MATCH(tabCustoUnit[[#Headers],[ISS]],tabParametros[#Headers],0),0)</f>
        <v>0.03</v>
      </c>
      <c r="BS175" s="26">
        <f>(((100/((100-(tabCustoUnit[[#This Row],[Resumo de Alíquotas (PIS+CONFINS+ISS)]]*100))%)-100)*tabCustoUnit[[#This Row],[ISS]])/tabCustoUnit[[#This Row],[Resumo de Alíquotas (PIS+CONFINS+ISS)]])/100</f>
        <v>3.4188034188034219E-2</v>
      </c>
      <c r="BT17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5" s="138">
        <f>tabCustoUnit[[#This Row],[COFINS]]+tabCustoUnit[[#This Row],[PIS]]+tabCustoUnit[[#This Row],[ISS (Conversão Alíquota s/ fatura)]]</f>
        <v>0.13960113960113973</v>
      </c>
      <c r="BV175" s="22" t="e">
        <f ca="1">(tabCustoUnit[[#This Row],[TOTAL MÓDULOS 1+2+3+4+5]]+tabCustoUnit[[#This Row],[Custos Indiretos]]+tabCustoUnit[[#This Row],[Lucro]])*tabCustoUnit[[#This Row],[PIS + COFINS + ISS (Total Conversão  Alíquota s/ Fatura)]]</f>
        <v>#NAME?</v>
      </c>
      <c r="BW175" s="22" t="e">
        <f ca="1">tabCustoUnit[[#This Row],[Custos Indiretos]]+tabCustoUnit[[#This Row],[Lucro]]+tabCustoUnit[[#This Row],[Valor dos Tributos (ISS, PIS, CONFINS)]]</f>
        <v>#NAME?</v>
      </c>
      <c r="BX175" s="22" t="e">
        <f ca="1">tabCustoUnit[[#This Row],[TOTAL MÓDULOS 1+2+3+4+5]]+tabCustoUnit[[#This Row],[MÓDULO 6 – CUSTOS INDIRETOS, TRIBUTOS E LUCRO]]</f>
        <v>#NAME?</v>
      </c>
      <c r="BY175" s="22" t="e">
        <f ca="1">tabCustoUnit[[#This Row],[CUSTO TOTAL MENSAL]]*12</f>
        <v>#NAME?</v>
      </c>
      <c r="BZ175" s="24">
        <f>VLOOKUP(tabCustoUnit[[#This Row],[Código do Posto]],tabParametros[],MATCH(tabCustoUnit[[#Headers],[ANO DA CCT]],tabParametros[#Headers],0),0)</f>
        <v>45658</v>
      </c>
      <c r="CA175" s="25" t="str">
        <f>VLOOKUP(tabCustoUnit[[#This Row],[Código do Posto]],tabParametros[],MATCH(tabCustoUnit[[#Headers],[Nº DE PEDIDO DA CCT]],tabParametros[#Headers],0),0)</f>
        <v>-</v>
      </c>
      <c r="CB175" s="25" t="str">
        <f>VLOOKUP(tabCustoUnit[[#This Row],[Código do Posto]],tabParametros[],MATCH(tabCustoUnit[[#Headers],[TERMO ADITIVO ALTERAÇÃO DA CCT]],tabParametros[#Headers],0),0)</f>
        <v>-</v>
      </c>
    </row>
    <row r="176" spans="1:80">
      <c r="A176" s="20" t="s">
        <v>1621</v>
      </c>
      <c r="B176" t="s">
        <v>930</v>
      </c>
      <c r="C176" t="s">
        <v>319</v>
      </c>
      <c r="D176" t="s">
        <v>930</v>
      </c>
      <c r="E176" s="20" t="s">
        <v>1090</v>
      </c>
      <c r="F176" s="20" t="s">
        <v>120</v>
      </c>
      <c r="G176" s="418">
        <v>2316.2296999999999</v>
      </c>
      <c r="H176" s="418">
        <v>0</v>
      </c>
      <c r="I176" s="418">
        <v>0</v>
      </c>
      <c r="J176" s="418">
        <v>0</v>
      </c>
      <c r="K176" s="418">
        <v>0</v>
      </c>
      <c r="L176" s="418">
        <v>0</v>
      </c>
      <c r="M176" s="418">
        <v>0</v>
      </c>
      <c r="N176" s="418">
        <v>0</v>
      </c>
      <c r="O176" s="21">
        <f>SUM(tabCustoUnit[[#This Row],[Salário Base]:[Adicional de Acúmulo de função]])</f>
        <v>2316.2296999999999</v>
      </c>
      <c r="P176" s="21">
        <f>tabCustoUnit[[#This Row],[MODULO 1 - REMUNERAÇÃO ]]*SUMIFS(tabParametros[INSS],tabParametros[Código do Posto],tabCustoUnit[[#This Row],[Código do Posto]])</f>
        <v>463.24594000000002</v>
      </c>
      <c r="Q176" s="21">
        <f>tabCustoUnit[[#This Row],[MODULO 1 - REMUNERAÇÃO ]]*SUMIFS(tabParametros[SESI OU SESC],tabParametros[Código do Posto],tabCustoUnit[[#This Row],[Código do Posto]])</f>
        <v>34.7434455</v>
      </c>
      <c r="R176" s="21">
        <f>tabCustoUnit[[#This Row],[MODULO 1 - REMUNERAÇÃO ]]*SUMIFS(tabParametros[SENAI OU SENAC],tabParametros[Código do Posto],tabCustoUnit[[#This Row],[Código do Posto]])</f>
        <v>23.162296999999999</v>
      </c>
      <c r="S176" s="21">
        <f>tabCustoUnit[[#This Row],[MODULO 1 - REMUNERAÇÃO ]]*SUMIFS(tabParametros[INCRA],tabParametros[Código do Posto],tabCustoUnit[[#This Row],[Código do Posto]])</f>
        <v>4.6324594000000001</v>
      </c>
      <c r="T176" s="21">
        <f>tabCustoUnit[[#This Row],[MODULO 1 - REMUNERAÇÃO ]]*SUMIFS(tabParametros[Salário Educação],tabParametros[Código do Posto],tabCustoUnit[[#This Row],[Código do Posto]])</f>
        <v>57.905742500000002</v>
      </c>
      <c r="U176" s="21">
        <f>tabCustoUnit[[#This Row],[MODULO 1 - REMUNERAÇÃO ]]*SUMIFS(tabParametros[FGTS],tabParametros[Código do Posto],tabCustoUnit[[#This Row],[Código do Posto]])</f>
        <v>185.29837599999999</v>
      </c>
      <c r="V176" s="21">
        <f>tabCustoUnit[[#This Row],[MODULO 1 - REMUNERAÇÃO ]]*SUMIFS(tabParametros[RAT Ajustado],tabParametros[Código do Posto],tabCustoUnit[[#This Row],[Código do Posto]])</f>
        <v>92.649187999999995</v>
      </c>
      <c r="W176" s="21">
        <f>tabCustoUnit[[#This Row],[MODULO 1 - REMUNERAÇÃO ]]*SUMIFS(tabParametros[SEBRAE],tabParametros[Código do Posto],tabCustoUnit[[#This Row],[Código do Posto]])</f>
        <v>13.8973782</v>
      </c>
      <c r="X176" s="21">
        <f>SUM(tabCustoUnit[[#This Row],[INSS]:[SEBRAE]])</f>
        <v>875.53482659999997</v>
      </c>
      <c r="Y176" s="21">
        <f>tabCustoUnit[[#This Row],[MODULO 1 - REMUNERAÇÃO ]]*SUMIFS(tabParametros[13º salário (titular)],tabParametros[Código do Posto],tabCustoUnit[[#This Row],[Código do Posto]])</f>
        <v>193.01914166666666</v>
      </c>
      <c r="Z176" s="21">
        <f>tabCustoUnit[[#This Row],[MODULO 1 - REMUNERAÇÃO ]]*SUMIFS(tabParametros[Férias e Adicional de Férias (titular)],tabParametros[Código do Posto],tabCustoUnit[[#This Row],[Código do Posto]])</f>
        <v>257.35885555555552</v>
      </c>
      <c r="AA176" s="21">
        <f>IFERROR((tabCustoUnit[[#This Row],[Submódulo 2.1]]/tabCustoUnit[[#This Row],[MODULO 1 - REMUNERAÇÃO ]])*SUM(tabCustoUnit[[#This Row],[13º salário (titular)]:[Férias e Adicional de Férias (titular)]]),0)</f>
        <v>170.24288294999999</v>
      </c>
      <c r="AB176" s="21">
        <f>SUM(tabCustoUnit[[#This Row],[13º salário (titular)]:[Incidência do Submódulo 2.1 sobre 13º Salário, Férias e Adicional de Férias]])</f>
        <v>620.6208801722222</v>
      </c>
      <c r="AC176" s="22" t="e">
        <f ca="1">_xlfn.LET(_xlpm.VT,SUMIF(tabParametros[Código do Posto],tabCustoUnit[[#This Row],[Código do Posto]],tabParametros[Vale - Transporte])*2*20,
IF((_xlpm.VT-tabCustoUnit[[#This Row],[Salário Base]]*0.06)&gt;=0,(_xlpm.VT-tabCustoUnit[[#This Row],[Salário Base]]*0.06),0)
)</f>
        <v>#NAME?</v>
      </c>
      <c r="AD176" s="22">
        <f>IF(SUMIF(tabParametros[Código do Posto],tabCustoUnit[[#This Row],[Código do Posto]],tabParametros[Vale - Alimentação])&lt;=0,0,
SUMIF(tabParametros[Código do Posto],tabCustoUnit[[#This Row],[Código do Posto]],tabParametros[Vale - Alimentação])*20-1)</f>
        <v>582</v>
      </c>
      <c r="AE176" s="22">
        <f>SUMIF(tabParametros[Código do Posto],tabCustoUnit[[#This Row],[Código do Posto]],tabParametros[Cesta Básica])</f>
        <v>0</v>
      </c>
      <c r="AF176" s="22">
        <f>SUMIF(tabParametros[Código do Posto],tabCustoUnit[[#This Row],[Código do Posto]],tabParametros[PAF])</f>
        <v>51.88</v>
      </c>
      <c r="AG176" s="22">
        <f>SUMIF(tabParametros[Código do Posto],tabCustoUnit[[#This Row],[Código do Posto]],tabParametros[PQM])</f>
        <v>0</v>
      </c>
      <c r="AH176" s="22">
        <f>SUMIF(tabParametros[Código do Posto],tabCustoUnit[[#This Row],[Código do Posto]],tabParametros[Abono Único e Especial])</f>
        <v>0</v>
      </c>
      <c r="AI176" s="22">
        <f>SUMIF(tabParametros[Código do Posto],tabCustoUnit[[#This Row],[Código do Posto]],tabParametros[Seguro de Vida])</f>
        <v>3.36</v>
      </c>
      <c r="AJ176" s="22">
        <f>SUMIF(tabParametros[Código do Posto],tabCustoUnit[[#This Row],[Código do Posto]],tabParametros[Despesas de Viagem])</f>
        <v>0</v>
      </c>
      <c r="AK176" s="22" t="e">
        <f ca="1">SUM(tabCustoUnit[[#This Row],[Vale - Transporte (Descontada parcela do empregado)]:[Despesas de Viagem]])</f>
        <v>#NAME?</v>
      </c>
      <c r="AL176" s="22" t="e">
        <f ca="1">tabCustoUnit[[#This Row],[Submódulo 2.1]]+tabCustoUnit[[#This Row],[Submódulo 2.2]]+tabCustoUnit[[#This Row],[Submódulo 2.3]]</f>
        <v>#NAME?</v>
      </c>
      <c r="AM176" s="22">
        <f>SUMIF(tabParametros[Código do Posto],tabCustoUnit[[#This Row],[Código do Posto]],tabParametros[Aviso Prévio Indenizado (API) e Reflexo do Aviso Prévio Indenizado])*tabCustoUnit[[#This Row],[MODULO 1 - REMUNERAÇÃO ]]</f>
        <v>16.240862917689043</v>
      </c>
      <c r="AN176" s="22">
        <f>SUMIF(tabParametros[Código do Posto],tabCustoUnit[[#This Row],[Código do Posto]],tabParametros[Incidência do FGTS sobre API e Reflexo do API])*tabCustoUnit[[#This Row],[MODULO 1 - REMUNERAÇÃO ]]</f>
        <v>1.2992690334151236</v>
      </c>
      <c r="AO176" s="22">
        <f>SUMIF(tabParametros[Código do Posto],tabCustoUnit[[#This Row],[Código do Posto]],tabParametros[Multa Rescisória do FGTS sobre o Aviso Prévio Indenizado])*tabCustoUnit[[#This Row],[MODULO 1 - REMUNERAÇÃO ]]</f>
        <v>0.51970761336604943</v>
      </c>
      <c r="AP176" s="22">
        <f>SUMIF(tabParametros[Código do Posto],tabCustoUnit[[#This Row],[Código do Posto]],tabParametros[Aviso Prévio Trabalhado - APT])*tabCustoUnit[[#This Row],[MODULO 1 - REMUNERAÇÃO ]]</f>
        <v>8.1068039500000015</v>
      </c>
      <c r="AQ176" s="22">
        <f>SUMIF(tabParametros[Código do Posto],tabCustoUnit[[#This Row],[Código do Posto]],tabParametros[Incidência dos encargos do submódulo 2.1 sobre Aviso Prévio Trabalhado])*tabCustoUnit[[#This Row],[MODULO 1 - REMUNERAÇÃO ]]</f>
        <v>3.0643718931000006</v>
      </c>
      <c r="AR176" s="22">
        <f>SUMIF(tabParametros[Código do Posto],tabCustoUnit[[#This Row],[Código do Posto]],tabParametros[Multa Rescisória do FGTS])*tabCustoUnit[[#This Row],[MODULO 1 - REMUNERAÇÃO ]]</f>
        <v>70.825157048888869</v>
      </c>
      <c r="AS176" s="22">
        <f>SUMIF(tabParametros[Código do Posto],tabCustoUnit[[#This Row],[Código do Posto]],tabParametros[Indenização Adicional (Art. 9º da Lei nº 7.238/84)])*tabCustoUnit[[#This Row],[MODULO 1 - REMUNERAÇÃO ]]</f>
        <v>1.9301914166666667</v>
      </c>
      <c r="AT176" s="22">
        <f>SUM(tabCustoUnit[[#This Row],[Aviso Prévio Indenizado (API) e Reflexo do Aviso Prévio Indenizado]:[Indenização Adicional (Art. 9º da Lei nº 7.238/84)]])</f>
        <v>101.98636387312575</v>
      </c>
      <c r="AU176" s="22">
        <f>SUMIF(tabParametros[Código do Posto],tabCustoUnit[[#This Row],[Código do Posto]],tabParametros[Ausência por Doença])*tabCustoUnit[[#This Row],[MODULO 1 - REMUNERAÇÃO ]]</f>
        <v>19.559273022222218</v>
      </c>
      <c r="AV176" s="22">
        <f>SUMIF(tabParametros[Código do Posto],tabCustoUnit[[#This Row],[Código do Posto]],tabParametros[Ausências Legais])*tabCustoUnit[[#This Row],[MODULO 1 - REMUNERAÇÃO ]]</f>
        <v>4.696799113888888</v>
      </c>
      <c r="AW176" s="22">
        <f>SUMIF(tabParametros[Código do Posto],tabCustoUnit[[#This Row],[Código do Posto]],tabParametros[Licença Paternidade])*tabCustoUnit[[#This Row],[MODULO 1 - REMUNERAÇÃO ]]</f>
        <v>0.39568924041666664</v>
      </c>
      <c r="AX176" s="22">
        <f>SUMIF(tabParametros[Código do Posto],tabCustoUnit[[#This Row],[Código do Posto]],tabParametros[Ausência por Acidente de Trabalho])*tabCustoUnit[[#This Row],[MODULO 1 - REMUNERAÇÃO ]]</f>
        <v>0.48254785416666668</v>
      </c>
      <c r="AY176" s="22">
        <f>SUMIF(tabParametros[Código do Posto],tabCustoUnit[[#This Row],[Código do Posto]],tabParametros[Férias, Adicional de Férias e 13º  com empregada em gozo de Licença Maternidade])*tabCustoUnit[[#This Row],[MODULO 1 - REMUNERAÇÃO ]]</f>
        <v>3.0025199814814814</v>
      </c>
      <c r="AZ176" s="22">
        <f>SUMIF(tabParametros[Código do Posto],tabCustoUnit[[#This Row],[Código do Posto]],tabParametros[Incidência do Submódulo 2.1 sobre Ausências Legais])*tabCustoUnit[[#This Row],[MODULO 1 - REMUNERAÇÃO ]]</f>
        <v>10.635721442202501</v>
      </c>
      <c r="BA176" s="22">
        <f>SUM(tabCustoUnit[[#This Row],[Ausência por Doença]:[Incidência do Submódulo 2.1 sobre Ausências Legais]])</f>
        <v>38.772550654378421</v>
      </c>
      <c r="BB176" s="22">
        <f>SUMIF(tabParametros[Código do Posto],tabCustoUnit[[#This Row],[Código do Posto]],tabParametros[Intervalo para Repouso ou Alimentação])</f>
        <v>0</v>
      </c>
      <c r="BC176" s="22">
        <f>tabCustoUnit[[#This Row],[Intervalo para Repouso ou Alimentação]]</f>
        <v>0</v>
      </c>
      <c r="BD17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6" s="22">
        <f>tabCustoUnit[[#This Row],[Suspensão Temporária do Contrato de Trabalho]]</f>
        <v>0</v>
      </c>
      <c r="BF176" s="22">
        <f>tabCustoUnit[[#This Row],[Submódulo 4.1]]+tabCustoUnit[[#This Row],[Submódulo 4.2]]+tabCustoUnit[[#This Row],[Submódulo 4.3]]</f>
        <v>38.772550654378421</v>
      </c>
      <c r="BG176" s="22">
        <f>VLOOKUP(tabCustoUnit[[#This Row],[Código do Posto]],tabParametros[],MATCH(tabCustoUnit[[#Headers],[Uniformes e EPIs]],tabParametros[#Headers],0),0)</f>
        <v>56.642978962543395</v>
      </c>
      <c r="BH176" s="22">
        <f>VLOOKUP(tabCustoUnit[[#This Row],[Código do Posto]],tabParametros[],MATCH(tabCustoUnit[[#Headers],[Materiais de Consumo]],tabParametros[#Headers],0),0)</f>
        <v>0</v>
      </c>
      <c r="BI176" s="22">
        <f>VLOOKUP(tabCustoUnit[[#This Row],[Código do Posto]],tabParametros[],MATCH(tabCustoUnit[[#Headers],[Máquinas e Equipamentos (depreciação)]],tabParametros[#Headers],0),0)</f>
        <v>0</v>
      </c>
      <c r="BJ176" s="22">
        <f>VLOOKUP(tabCustoUnit[[#This Row],[Código do Posto]],tabParametros[],MATCH(tabCustoUnit[[#Headers],[Produtos de Limpeza e Materiais de Higiene Pessoal]],tabParametros[#Headers],0),0)</f>
        <v>0</v>
      </c>
      <c r="BK176" s="22">
        <f>VLOOKUP(tabCustoUnit[[#This Row],[Código do Posto]],tabParametros[],MATCH(tabCustoUnit[[#Headers],[Outros (especificar)]],tabParametros[#Headers],0),0)</f>
        <v>0</v>
      </c>
      <c r="BL176" s="22">
        <f>SUM(tabCustoUnit[[#This Row],[Uniformes e EPIs]:[Outros (especificar)]])</f>
        <v>56.642978962543395</v>
      </c>
      <c r="BM17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6" s="22" t="e">
        <f ca="1">VLOOKUP(tabCustoUnit[[#This Row],[Código do Posto]],tabParametros[],MATCH(tabCustoUnit[[#Headers],[Custos Indiretos]],tabParametros[#Headers],0),0)</f>
        <v>#NAME?</v>
      </c>
      <c r="BO176" s="22" t="e">
        <f ca="1">VLOOKUP(tabCustoUnit[[#This Row],[Código do Posto]],tabParametros[],MATCH(tabCustoUnit[[#Headers],[Lucro]],tabParametros[#Headers],0),0)</f>
        <v>#NAME?</v>
      </c>
      <c r="BP176" s="26">
        <f>((100/((1-tabCustoUnit[[#This Row],[Resumo de Alíquotas (PIS+CONFINS+ISS)]]))-100)*VLOOKUP(tabCustoUnit[[#This Row],[Código do Posto]],tabParametros[],MATCH(tabCustoUnit[[#Headers],[COFINS]],tabParametros[#Headers],0),0))/(tabCustoUnit[[#This Row],[Resumo de Alíquotas (PIS+CONFINS+ISS)]]*100)</f>
        <v>8.6609686609686695E-2</v>
      </c>
      <c r="BQ176" s="26">
        <f>((100/((100-(tabCustoUnit[[#This Row],[Resumo de Alíquotas (PIS+CONFINS+ISS)]]*100))%)-100)*VLOOKUP(tabCustoUnit[[#This Row],[Código do Posto]],tabParametros[],MATCH(tabCustoUnit[[#Headers],[PIS]],tabParametros[#Headers],0),0))/(tabCustoUnit[[#This Row],[Resumo de Alíquotas (PIS+CONFINS+ISS)]]*100)</f>
        <v>1.880341880341882E-2</v>
      </c>
      <c r="BR176" s="28">
        <f>VLOOKUP(tabCustoUnit[[#This Row],[Código do Posto]],tabParametros[],MATCH(tabCustoUnit[[#Headers],[ISS]],tabParametros[#Headers],0),0)</f>
        <v>0.03</v>
      </c>
      <c r="BS176" s="26">
        <f>(((100/((100-(tabCustoUnit[[#This Row],[Resumo de Alíquotas (PIS+CONFINS+ISS)]]*100))%)-100)*tabCustoUnit[[#This Row],[ISS]])/tabCustoUnit[[#This Row],[Resumo de Alíquotas (PIS+CONFINS+ISS)]])/100</f>
        <v>3.4188034188034219E-2</v>
      </c>
      <c r="BT17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6" s="138">
        <f>tabCustoUnit[[#This Row],[COFINS]]+tabCustoUnit[[#This Row],[PIS]]+tabCustoUnit[[#This Row],[ISS (Conversão Alíquota s/ fatura)]]</f>
        <v>0.13960113960113973</v>
      </c>
      <c r="BV176" s="22" t="e">
        <f ca="1">(tabCustoUnit[[#This Row],[TOTAL MÓDULOS 1+2+3+4+5]]+tabCustoUnit[[#This Row],[Custos Indiretos]]+tabCustoUnit[[#This Row],[Lucro]])*tabCustoUnit[[#This Row],[PIS + COFINS + ISS (Total Conversão  Alíquota s/ Fatura)]]</f>
        <v>#NAME?</v>
      </c>
      <c r="BW176" s="22" t="e">
        <f ca="1">tabCustoUnit[[#This Row],[Custos Indiretos]]+tabCustoUnit[[#This Row],[Lucro]]+tabCustoUnit[[#This Row],[Valor dos Tributos (ISS, PIS, CONFINS)]]</f>
        <v>#NAME?</v>
      </c>
      <c r="BX176" s="22" t="e">
        <f ca="1">tabCustoUnit[[#This Row],[TOTAL MÓDULOS 1+2+3+4+5]]+tabCustoUnit[[#This Row],[MÓDULO 6 – CUSTOS INDIRETOS, TRIBUTOS E LUCRO]]</f>
        <v>#NAME?</v>
      </c>
      <c r="BY176" s="22" t="e">
        <f ca="1">tabCustoUnit[[#This Row],[CUSTO TOTAL MENSAL]]*12</f>
        <v>#NAME?</v>
      </c>
      <c r="BZ176" s="24">
        <f>VLOOKUP(tabCustoUnit[[#This Row],[Código do Posto]],tabParametros[],MATCH(tabCustoUnit[[#Headers],[ANO DA CCT]],tabParametros[#Headers],0),0)</f>
        <v>45658</v>
      </c>
      <c r="CA176" s="25" t="str">
        <f>VLOOKUP(tabCustoUnit[[#This Row],[Código do Posto]],tabParametros[],MATCH(tabCustoUnit[[#Headers],[Nº DE PEDIDO DA CCT]],tabParametros[#Headers],0),0)</f>
        <v>-</v>
      </c>
      <c r="CB176" s="25" t="str">
        <f>VLOOKUP(tabCustoUnit[[#This Row],[Código do Posto]],tabParametros[],MATCH(tabCustoUnit[[#Headers],[TERMO ADITIVO ALTERAÇÃO DA CCT]],tabParametros[#Headers],0),0)</f>
        <v>-</v>
      </c>
    </row>
    <row r="177" spans="1:80">
      <c r="A177" s="20" t="s">
        <v>1622</v>
      </c>
      <c r="B177" t="s">
        <v>1147</v>
      </c>
      <c r="C177" t="s">
        <v>314</v>
      </c>
      <c r="D177" t="s">
        <v>961</v>
      </c>
      <c r="E177" s="20" t="s">
        <v>1090</v>
      </c>
      <c r="F177" s="20" t="s">
        <v>120</v>
      </c>
      <c r="G177" s="418">
        <v>1963.405</v>
      </c>
      <c r="H177" s="418">
        <v>0</v>
      </c>
      <c r="I177" s="418">
        <v>0</v>
      </c>
      <c r="J177" s="418">
        <v>0</v>
      </c>
      <c r="K177" s="418">
        <v>0</v>
      </c>
      <c r="L177" s="418">
        <v>0</v>
      </c>
      <c r="M177" s="418">
        <v>0</v>
      </c>
      <c r="N177" s="418">
        <v>0</v>
      </c>
      <c r="O177" s="21">
        <f>SUM(tabCustoUnit[[#This Row],[Salário Base]:[Adicional de Acúmulo de função]])</f>
        <v>1963.405</v>
      </c>
      <c r="P177" s="21">
        <f>tabCustoUnit[[#This Row],[MODULO 1 - REMUNERAÇÃO ]]*SUMIFS(tabParametros[INSS],tabParametros[Código do Posto],tabCustoUnit[[#This Row],[Código do Posto]])</f>
        <v>392.68100000000004</v>
      </c>
      <c r="Q177" s="21">
        <f>tabCustoUnit[[#This Row],[MODULO 1 - REMUNERAÇÃO ]]*SUMIFS(tabParametros[SESI OU SESC],tabParametros[Código do Posto],tabCustoUnit[[#This Row],[Código do Posto]])</f>
        <v>29.451074999999999</v>
      </c>
      <c r="R177" s="21">
        <f>tabCustoUnit[[#This Row],[MODULO 1 - REMUNERAÇÃO ]]*SUMIFS(tabParametros[SENAI OU SENAC],tabParametros[Código do Posto],tabCustoUnit[[#This Row],[Código do Posto]])</f>
        <v>19.634049999999998</v>
      </c>
      <c r="S177" s="21">
        <f>tabCustoUnit[[#This Row],[MODULO 1 - REMUNERAÇÃO ]]*SUMIFS(tabParametros[INCRA],tabParametros[Código do Posto],tabCustoUnit[[#This Row],[Código do Posto]])</f>
        <v>3.9268100000000001</v>
      </c>
      <c r="T177" s="21">
        <f>tabCustoUnit[[#This Row],[MODULO 1 - REMUNERAÇÃO ]]*SUMIFS(tabParametros[Salário Educação],tabParametros[Código do Posto],tabCustoUnit[[#This Row],[Código do Posto]])</f>
        <v>49.085125000000005</v>
      </c>
      <c r="U177" s="21">
        <f>tabCustoUnit[[#This Row],[MODULO 1 - REMUNERAÇÃO ]]*SUMIFS(tabParametros[FGTS],tabParametros[Código do Posto],tabCustoUnit[[#This Row],[Código do Posto]])</f>
        <v>157.07239999999999</v>
      </c>
      <c r="V177" s="21">
        <f>tabCustoUnit[[#This Row],[MODULO 1 - REMUNERAÇÃO ]]*SUMIFS(tabParametros[RAT Ajustado],tabParametros[Código do Posto],tabCustoUnit[[#This Row],[Código do Posto]])</f>
        <v>78.536199999999994</v>
      </c>
      <c r="W177" s="21">
        <f>tabCustoUnit[[#This Row],[MODULO 1 - REMUNERAÇÃO ]]*SUMIFS(tabParametros[SEBRAE],tabParametros[Código do Posto],tabCustoUnit[[#This Row],[Código do Posto]])</f>
        <v>11.780430000000001</v>
      </c>
      <c r="X177" s="21">
        <f>SUM(tabCustoUnit[[#This Row],[INSS]:[SEBRAE]])</f>
        <v>742.16709000000003</v>
      </c>
      <c r="Y177" s="21">
        <f>tabCustoUnit[[#This Row],[MODULO 1 - REMUNERAÇÃO ]]*SUMIFS(tabParametros[13º salário (titular)],tabParametros[Código do Posto],tabCustoUnit[[#This Row],[Código do Posto]])</f>
        <v>163.61708333333331</v>
      </c>
      <c r="Z177" s="21">
        <f>tabCustoUnit[[#This Row],[MODULO 1 - REMUNERAÇÃO ]]*SUMIFS(tabParametros[Férias e Adicional de Férias (titular)],tabParametros[Código do Posto],tabCustoUnit[[#This Row],[Código do Posto]])</f>
        <v>218.1561111111111</v>
      </c>
      <c r="AA177" s="21">
        <f>IFERROR((tabCustoUnit[[#This Row],[Submódulo 2.1]]/tabCustoUnit[[#This Row],[MODULO 1 - REMUNERAÇÃO ]])*SUM(tabCustoUnit[[#This Row],[13º salário (titular)]:[Férias e Adicional de Férias (titular)]]),0)</f>
        <v>144.31026749999998</v>
      </c>
      <c r="AB177" s="21">
        <f>SUM(tabCustoUnit[[#This Row],[13º salário (titular)]:[Incidência do Submódulo 2.1 sobre 13º Salário, Férias e Adicional de Férias]])</f>
        <v>526.08346194444437</v>
      </c>
      <c r="AC177" s="22" t="e">
        <f ca="1">_xlfn.LET(_xlpm.VT,SUMIF(tabParametros[Código do Posto],tabCustoUnit[[#This Row],[Código do Posto]],tabParametros[Vale - Transporte])*2*20,
IF((_xlpm.VT-tabCustoUnit[[#This Row],[Salário Base]]*0.06)&gt;=0,(_xlpm.VT-tabCustoUnit[[#This Row],[Salário Base]]*0.06),0)
)</f>
        <v>#NAME?</v>
      </c>
      <c r="AD177" s="22">
        <f>IF(SUMIF(tabParametros[Código do Posto],tabCustoUnit[[#This Row],[Código do Posto]],tabParametros[Vale - Alimentação])&lt;=0,0,
SUMIF(tabParametros[Código do Posto],tabCustoUnit[[#This Row],[Código do Posto]],tabParametros[Vale - Alimentação])*20-1)</f>
        <v>582</v>
      </c>
      <c r="AE177" s="22">
        <f>SUMIF(tabParametros[Código do Posto],tabCustoUnit[[#This Row],[Código do Posto]],tabParametros[Cesta Básica])</f>
        <v>0</v>
      </c>
      <c r="AF177" s="22">
        <f>SUMIF(tabParametros[Código do Posto],tabCustoUnit[[#This Row],[Código do Posto]],tabParametros[PAF])</f>
        <v>53.27</v>
      </c>
      <c r="AG177" s="22">
        <f>SUMIF(tabParametros[Código do Posto],tabCustoUnit[[#This Row],[Código do Posto]],tabParametros[PQM])</f>
        <v>0</v>
      </c>
      <c r="AH177" s="22">
        <f>SUMIF(tabParametros[Código do Posto],tabCustoUnit[[#This Row],[Código do Posto]],tabParametros[Abono Único e Especial])</f>
        <v>0</v>
      </c>
      <c r="AI177" s="22">
        <f>SUMIF(tabParametros[Código do Posto],tabCustoUnit[[#This Row],[Código do Posto]],tabParametros[Seguro de Vida])</f>
        <v>3.36</v>
      </c>
      <c r="AJ177" s="22">
        <f>SUMIF(tabParametros[Código do Posto],tabCustoUnit[[#This Row],[Código do Posto]],tabParametros[Despesas de Viagem])</f>
        <v>0</v>
      </c>
      <c r="AK177" s="22" t="e">
        <f ca="1">SUM(tabCustoUnit[[#This Row],[Vale - Transporte (Descontada parcela do empregado)]:[Despesas de Viagem]])</f>
        <v>#NAME?</v>
      </c>
      <c r="AL177" s="22" t="e">
        <f ca="1">tabCustoUnit[[#This Row],[Submódulo 2.1]]+tabCustoUnit[[#This Row],[Submódulo 2.2]]+tabCustoUnit[[#This Row],[Submódulo 2.3]]</f>
        <v>#NAME?</v>
      </c>
      <c r="AM177" s="22">
        <f>SUMIF(tabParametros[Código do Posto],tabCustoUnit[[#This Row],[Código do Posto]],tabParametros[Aviso Prévio Indenizado (API) e Reflexo do Aviso Prévio Indenizado])*tabCustoUnit[[#This Row],[MODULO 1 - REMUNERAÇÃO ]]</f>
        <v>13.766938338155864</v>
      </c>
      <c r="AN177" s="22">
        <f>SUMIF(tabParametros[Código do Posto],tabCustoUnit[[#This Row],[Código do Posto]],tabParametros[Incidência do FGTS sobre API e Reflexo do API])*tabCustoUnit[[#This Row],[MODULO 1 - REMUNERAÇÃO ]]</f>
        <v>1.1013550670524692</v>
      </c>
      <c r="AO177" s="22">
        <f>SUMIF(tabParametros[Código do Posto],tabCustoUnit[[#This Row],[Código do Posto]],tabParametros[Multa Rescisória do FGTS sobre o Aviso Prévio Indenizado])*tabCustoUnit[[#This Row],[MODULO 1 - REMUNERAÇÃO ]]</f>
        <v>0.44054202682098775</v>
      </c>
      <c r="AP177" s="22">
        <f>SUMIF(tabParametros[Código do Posto],tabCustoUnit[[#This Row],[Código do Posto]],tabParametros[Aviso Prévio Trabalhado - APT])*tabCustoUnit[[#This Row],[MODULO 1 - REMUNERAÇÃO ]]</f>
        <v>6.8719175000000012</v>
      </c>
      <c r="AQ177" s="22">
        <f>SUMIF(tabParametros[Código do Posto],tabCustoUnit[[#This Row],[Código do Posto]],tabParametros[Incidência dos encargos do submódulo 2.1 sobre Aviso Prévio Trabalhado])*tabCustoUnit[[#This Row],[MODULO 1 - REMUNERAÇÃO ]]</f>
        <v>2.5975848150000007</v>
      </c>
      <c r="AR177" s="22">
        <f>SUMIF(tabParametros[Código do Posto],tabCustoUnit[[#This Row],[Código do Posto]],tabParametros[Multa Rescisória do FGTS])*tabCustoUnit[[#This Row],[MODULO 1 - REMUNERAÇÃO ]]</f>
        <v>60.03656177777777</v>
      </c>
      <c r="AS177" s="22">
        <f>SUMIF(tabParametros[Código do Posto],tabCustoUnit[[#This Row],[Código do Posto]],tabParametros[Indenização Adicional (Art. 9º da Lei nº 7.238/84)])*tabCustoUnit[[#This Row],[MODULO 1 - REMUNERAÇÃO ]]</f>
        <v>1.6361708333333334</v>
      </c>
      <c r="AT177" s="22">
        <f>SUM(tabCustoUnit[[#This Row],[Aviso Prévio Indenizado (API) e Reflexo do Aviso Prévio Indenizado]:[Indenização Adicional (Art. 9º da Lei nº 7.238/84)]])</f>
        <v>86.451070358140427</v>
      </c>
      <c r="AU177" s="22">
        <f>SUMIF(tabParametros[Código do Posto],tabCustoUnit[[#This Row],[Código do Posto]],tabParametros[Ausência por Doença])*tabCustoUnit[[#This Row],[MODULO 1 - REMUNERAÇÃO ]]</f>
        <v>16.579864444444443</v>
      </c>
      <c r="AV177" s="22">
        <f>SUMIF(tabParametros[Código do Posto],tabCustoUnit[[#This Row],[Código do Posto]],tabParametros[Ausências Legais])*tabCustoUnit[[#This Row],[MODULO 1 - REMUNERAÇÃO ]]</f>
        <v>3.9813490277777777</v>
      </c>
      <c r="AW177" s="22">
        <f>SUMIF(tabParametros[Código do Posto],tabCustoUnit[[#This Row],[Código do Posto]],tabParametros[Licença Paternidade])*tabCustoUnit[[#This Row],[MODULO 1 - REMUNERAÇÃO ]]</f>
        <v>0.3354150208333333</v>
      </c>
      <c r="AX177" s="22">
        <f>SUMIF(tabParametros[Código do Posto],tabCustoUnit[[#This Row],[Código do Posto]],tabParametros[Ausência por Acidente de Trabalho])*tabCustoUnit[[#This Row],[MODULO 1 - REMUNERAÇÃO ]]</f>
        <v>0.40904270833333334</v>
      </c>
      <c r="AY177" s="22">
        <f>SUMIF(tabParametros[Código do Posto],tabCustoUnit[[#This Row],[Código do Posto]],tabParametros[Férias, Adicional de Férias e 13º  com empregada em gozo de Licença Maternidade])*tabCustoUnit[[#This Row],[MODULO 1 - REMUNERAÇÃO ]]</f>
        <v>2.5451546296296295</v>
      </c>
      <c r="AZ177" s="22">
        <f>SUMIF(tabParametros[Código do Posto],tabCustoUnit[[#This Row],[Código do Posto]],tabParametros[Incidência do Submódulo 2.1 sobre Ausências Legais])*tabCustoUnit[[#This Row],[MODULO 1 - REMUNERAÇÃO ]]</f>
        <v>9.0156121641250007</v>
      </c>
      <c r="BA177" s="22">
        <f>SUM(tabCustoUnit[[#This Row],[Ausência por Doença]:[Incidência do Submódulo 2.1 sobre Ausências Legais]])</f>
        <v>32.866437995143521</v>
      </c>
      <c r="BB177" s="22">
        <f>SUMIF(tabParametros[Código do Posto],tabCustoUnit[[#This Row],[Código do Posto]],tabParametros[Intervalo para Repouso ou Alimentação])</f>
        <v>267.73704981301341</v>
      </c>
      <c r="BC177" s="22">
        <f>tabCustoUnit[[#This Row],[Intervalo para Repouso ou Alimentação]]</f>
        <v>267.73704981301341</v>
      </c>
      <c r="BD17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7" s="22">
        <f>tabCustoUnit[[#This Row],[Suspensão Temporária do Contrato de Trabalho]]</f>
        <v>0</v>
      </c>
      <c r="BF177" s="22">
        <f>tabCustoUnit[[#This Row],[Submódulo 4.1]]+tabCustoUnit[[#This Row],[Submódulo 4.2]]+tabCustoUnit[[#This Row],[Submódulo 4.3]]</f>
        <v>300.60348780815696</v>
      </c>
      <c r="BG177" s="22">
        <f>VLOOKUP(tabCustoUnit[[#This Row],[Código do Posto]],tabParametros[],MATCH(tabCustoUnit[[#Headers],[Uniformes e EPIs]],tabParametros[#Headers],0),0)</f>
        <v>56.642978962543395</v>
      </c>
      <c r="BH177" s="22">
        <f>VLOOKUP(tabCustoUnit[[#This Row],[Código do Posto]],tabParametros[],MATCH(tabCustoUnit[[#Headers],[Materiais de Consumo]],tabParametros[#Headers],0),0)</f>
        <v>0</v>
      </c>
      <c r="BI177" s="22">
        <f>VLOOKUP(tabCustoUnit[[#This Row],[Código do Posto]],tabParametros[],MATCH(tabCustoUnit[[#Headers],[Máquinas e Equipamentos (depreciação)]],tabParametros[#Headers],0),0)</f>
        <v>0</v>
      </c>
      <c r="BJ177" s="22">
        <f>VLOOKUP(tabCustoUnit[[#This Row],[Código do Posto]],tabParametros[],MATCH(tabCustoUnit[[#Headers],[Produtos de Limpeza e Materiais de Higiene Pessoal]],tabParametros[#Headers],0),0)</f>
        <v>0</v>
      </c>
      <c r="BK177" s="22">
        <f>VLOOKUP(tabCustoUnit[[#This Row],[Código do Posto]],tabParametros[],MATCH(tabCustoUnit[[#Headers],[Outros (especificar)]],tabParametros[#Headers],0),0)</f>
        <v>0</v>
      </c>
      <c r="BL177" s="22">
        <f>SUM(tabCustoUnit[[#This Row],[Uniformes e EPIs]:[Outros (especificar)]])</f>
        <v>56.642978962543395</v>
      </c>
      <c r="BM17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7" s="22" t="e">
        <f ca="1">VLOOKUP(tabCustoUnit[[#This Row],[Código do Posto]],tabParametros[],MATCH(tabCustoUnit[[#Headers],[Custos Indiretos]],tabParametros[#Headers],0),0)</f>
        <v>#NAME?</v>
      </c>
      <c r="BO177" s="22" t="e">
        <f ca="1">VLOOKUP(tabCustoUnit[[#This Row],[Código do Posto]],tabParametros[],MATCH(tabCustoUnit[[#Headers],[Lucro]],tabParametros[#Headers],0),0)</f>
        <v>#NAME?</v>
      </c>
      <c r="BP177" s="26">
        <f>((100/((1-tabCustoUnit[[#This Row],[Resumo de Alíquotas (PIS+CONFINS+ISS)]]))-100)*VLOOKUP(tabCustoUnit[[#This Row],[Código do Posto]],tabParametros[],MATCH(tabCustoUnit[[#Headers],[COFINS]],tabParametros[#Headers],0),0))/(tabCustoUnit[[#This Row],[Resumo de Alíquotas (PIS+CONFINS+ISS)]]*100)</f>
        <v>8.5633802816901458E-2</v>
      </c>
      <c r="BQ177" s="26">
        <f>((100/((100-(tabCustoUnit[[#This Row],[Resumo de Alíquotas (PIS+CONFINS+ISS)]]*100))%)-100)*VLOOKUP(tabCustoUnit[[#This Row],[Código do Posto]],tabParametros[],MATCH(tabCustoUnit[[#Headers],[PIS]],tabParametros[#Headers],0),0))/(tabCustoUnit[[#This Row],[Resumo de Alíquotas (PIS+CONFINS+ISS)]]*100)</f>
        <v>1.8591549295774657E-2</v>
      </c>
      <c r="BR177" s="28">
        <f>VLOOKUP(tabCustoUnit[[#This Row],[Código do Posto]],tabParametros[],MATCH(tabCustoUnit[[#Headers],[ISS]],tabParametros[#Headers],0),0)</f>
        <v>0.02</v>
      </c>
      <c r="BS177" s="26">
        <f>(((100/((100-(tabCustoUnit[[#This Row],[Resumo de Alíquotas (PIS+CONFINS+ISS)]]*100))%)-100)*tabCustoUnit[[#This Row],[ISS]])/tabCustoUnit[[#This Row],[Resumo de Alíquotas (PIS+CONFINS+ISS)]])/100</f>
        <v>2.2535211267605645E-2</v>
      </c>
      <c r="BT17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77" s="138">
        <f>tabCustoUnit[[#This Row],[COFINS]]+tabCustoUnit[[#This Row],[PIS]]+tabCustoUnit[[#This Row],[ISS (Conversão Alíquota s/ fatura)]]</f>
        <v>0.12676056338028174</v>
      </c>
      <c r="BV177" s="22" t="e">
        <f ca="1">(tabCustoUnit[[#This Row],[TOTAL MÓDULOS 1+2+3+4+5]]+tabCustoUnit[[#This Row],[Custos Indiretos]]+tabCustoUnit[[#This Row],[Lucro]])*tabCustoUnit[[#This Row],[PIS + COFINS + ISS (Total Conversão  Alíquota s/ Fatura)]]</f>
        <v>#NAME?</v>
      </c>
      <c r="BW177" s="22" t="e">
        <f ca="1">tabCustoUnit[[#This Row],[Custos Indiretos]]+tabCustoUnit[[#This Row],[Lucro]]+tabCustoUnit[[#This Row],[Valor dos Tributos (ISS, PIS, CONFINS)]]</f>
        <v>#NAME?</v>
      </c>
      <c r="BX177" s="22" t="e">
        <f ca="1">tabCustoUnit[[#This Row],[TOTAL MÓDULOS 1+2+3+4+5]]+tabCustoUnit[[#This Row],[MÓDULO 6 – CUSTOS INDIRETOS, TRIBUTOS E LUCRO]]</f>
        <v>#NAME?</v>
      </c>
      <c r="BY177" s="22" t="e">
        <f ca="1">tabCustoUnit[[#This Row],[CUSTO TOTAL MENSAL]]*12</f>
        <v>#NAME?</v>
      </c>
      <c r="BZ177" s="24">
        <f>VLOOKUP(tabCustoUnit[[#This Row],[Código do Posto]],tabParametros[],MATCH(tabCustoUnit[[#Headers],[ANO DA CCT]],tabParametros[#Headers],0),0)</f>
        <v>45658</v>
      </c>
      <c r="CA177" s="25" t="str">
        <f>VLOOKUP(tabCustoUnit[[#This Row],[Código do Posto]],tabParametros[],MATCH(tabCustoUnit[[#Headers],[Nº DE PEDIDO DA CCT]],tabParametros[#Headers],0),0)</f>
        <v>-</v>
      </c>
      <c r="CB177" s="25" t="str">
        <f>VLOOKUP(tabCustoUnit[[#This Row],[Código do Posto]],tabParametros[],MATCH(tabCustoUnit[[#Headers],[TERMO ADITIVO ALTERAÇÃO DA CCT]],tabParametros[#Headers],0),0)</f>
        <v>-</v>
      </c>
    </row>
    <row r="178" spans="1:80">
      <c r="A178" s="20" t="s">
        <v>1481</v>
      </c>
      <c r="B178" t="s">
        <v>1148</v>
      </c>
      <c r="C178" t="s">
        <v>200</v>
      </c>
      <c r="D178" t="s">
        <v>918</v>
      </c>
      <c r="E178" s="20" t="s">
        <v>1090</v>
      </c>
      <c r="F178" s="20" t="s">
        <v>120</v>
      </c>
      <c r="G178" s="418">
        <v>1596.2737999999999</v>
      </c>
      <c r="H178" s="418">
        <v>0</v>
      </c>
      <c r="I178" s="418">
        <v>0</v>
      </c>
      <c r="J178" s="418">
        <v>0</v>
      </c>
      <c r="K178" s="418">
        <v>0</v>
      </c>
      <c r="L178" s="418">
        <v>0</v>
      </c>
      <c r="M178" s="418">
        <v>0</v>
      </c>
      <c r="N178" s="418">
        <v>0</v>
      </c>
      <c r="O178" s="21">
        <f>SUM(tabCustoUnit[[#This Row],[Salário Base]:[Adicional de Acúmulo de função]])</f>
        <v>1596.2737999999999</v>
      </c>
      <c r="P178" s="21">
        <f>tabCustoUnit[[#This Row],[MODULO 1 - REMUNERAÇÃO ]]*SUMIFS(tabParametros[INSS],tabParametros[Código do Posto],tabCustoUnit[[#This Row],[Código do Posto]])</f>
        <v>319.25476000000003</v>
      </c>
      <c r="Q178" s="21">
        <f>tabCustoUnit[[#This Row],[MODULO 1 - REMUNERAÇÃO ]]*SUMIFS(tabParametros[SESI OU SESC],tabParametros[Código do Posto],tabCustoUnit[[#This Row],[Código do Posto]])</f>
        <v>23.944106999999999</v>
      </c>
      <c r="R178" s="21">
        <f>tabCustoUnit[[#This Row],[MODULO 1 - REMUNERAÇÃO ]]*SUMIFS(tabParametros[SENAI OU SENAC],tabParametros[Código do Posto],tabCustoUnit[[#This Row],[Código do Posto]])</f>
        <v>15.962738</v>
      </c>
      <c r="S178" s="21">
        <f>tabCustoUnit[[#This Row],[MODULO 1 - REMUNERAÇÃO ]]*SUMIFS(tabParametros[INCRA],tabParametros[Código do Posto],tabCustoUnit[[#This Row],[Código do Posto]])</f>
        <v>3.1925476000000002</v>
      </c>
      <c r="T178" s="21">
        <f>tabCustoUnit[[#This Row],[MODULO 1 - REMUNERAÇÃO ]]*SUMIFS(tabParametros[Salário Educação],tabParametros[Código do Posto],tabCustoUnit[[#This Row],[Código do Posto]])</f>
        <v>39.906845000000004</v>
      </c>
      <c r="U178" s="21">
        <f>tabCustoUnit[[#This Row],[MODULO 1 - REMUNERAÇÃO ]]*SUMIFS(tabParametros[FGTS],tabParametros[Código do Posto],tabCustoUnit[[#This Row],[Código do Posto]])</f>
        <v>127.701904</v>
      </c>
      <c r="V178" s="21">
        <f>tabCustoUnit[[#This Row],[MODULO 1 - REMUNERAÇÃO ]]*SUMIFS(tabParametros[RAT Ajustado],tabParametros[Código do Posto],tabCustoUnit[[#This Row],[Código do Posto]])</f>
        <v>63.850951999999999</v>
      </c>
      <c r="W178" s="21">
        <f>tabCustoUnit[[#This Row],[MODULO 1 - REMUNERAÇÃO ]]*SUMIFS(tabParametros[SEBRAE],tabParametros[Código do Posto],tabCustoUnit[[#This Row],[Código do Posto]])</f>
        <v>9.5776427999999996</v>
      </c>
      <c r="X178" s="21">
        <f>SUM(tabCustoUnit[[#This Row],[INSS]:[SEBRAE]])</f>
        <v>603.39149640000005</v>
      </c>
      <c r="Y178" s="21">
        <f>tabCustoUnit[[#This Row],[MODULO 1 - REMUNERAÇÃO ]]*SUMIFS(tabParametros[13º salário (titular)],tabParametros[Código do Posto],tabCustoUnit[[#This Row],[Código do Posto]])</f>
        <v>133.02281666666664</v>
      </c>
      <c r="Z178" s="21">
        <f>tabCustoUnit[[#This Row],[MODULO 1 - REMUNERAÇÃO ]]*SUMIFS(tabParametros[Férias e Adicional de Férias (titular)],tabParametros[Código do Posto],tabCustoUnit[[#This Row],[Código do Posto]])</f>
        <v>177.36375555555554</v>
      </c>
      <c r="AA178" s="21">
        <f>IFERROR((tabCustoUnit[[#This Row],[Submódulo 2.1]]/tabCustoUnit[[#This Row],[MODULO 1 - REMUNERAÇÃO ]])*SUM(tabCustoUnit[[#This Row],[13º salário (titular)]:[Férias e Adicional de Férias (titular)]]),0)</f>
        <v>117.3261243</v>
      </c>
      <c r="AB178" s="21">
        <f>SUM(tabCustoUnit[[#This Row],[13º salário (titular)]:[Incidência do Submódulo 2.1 sobre 13º Salário, Férias e Adicional de Férias]])</f>
        <v>427.71269652222219</v>
      </c>
      <c r="AC178" s="22" t="e">
        <f ca="1">_xlfn.LET(_xlpm.VT,SUMIF(tabParametros[Código do Posto],tabCustoUnit[[#This Row],[Código do Posto]],tabParametros[Vale - Transporte])*2*20,
IF((_xlpm.VT-tabCustoUnit[[#This Row],[Salário Base]]*0.06)&gt;=0,(_xlpm.VT-tabCustoUnit[[#This Row],[Salário Base]]*0.06),0)
)</f>
        <v>#NAME?</v>
      </c>
      <c r="AD178" s="22">
        <f>IF(SUMIF(tabParametros[Código do Posto],tabCustoUnit[[#This Row],[Código do Posto]],tabParametros[Vale - Alimentação])&lt;=0,0,
SUMIF(tabParametros[Código do Posto],tabCustoUnit[[#This Row],[Código do Posto]],tabParametros[Vale - Alimentação])*20-1)</f>
        <v>582</v>
      </c>
      <c r="AE178" s="22">
        <f>SUMIF(tabParametros[Código do Posto],tabCustoUnit[[#This Row],[Código do Posto]],tabParametros[Cesta Básica])</f>
        <v>0</v>
      </c>
      <c r="AF178" s="22">
        <f>SUMIF(tabParametros[Código do Posto],tabCustoUnit[[#This Row],[Código do Posto]],tabParametros[PAF])</f>
        <v>0</v>
      </c>
      <c r="AG178" s="22">
        <f>SUMIF(tabParametros[Código do Posto],tabCustoUnit[[#This Row],[Código do Posto]],tabParametros[PQM])</f>
        <v>15.07</v>
      </c>
      <c r="AH178" s="22">
        <f>SUMIF(tabParametros[Código do Posto],tabCustoUnit[[#This Row],[Código do Posto]],tabParametros[Abono Único e Especial])</f>
        <v>0</v>
      </c>
      <c r="AI178" s="22">
        <f>SUMIF(tabParametros[Código do Posto],tabCustoUnit[[#This Row],[Código do Posto]],tabParametros[Seguro de Vida])</f>
        <v>3.36</v>
      </c>
      <c r="AJ178" s="22">
        <f>SUMIF(tabParametros[Código do Posto],tabCustoUnit[[#This Row],[Código do Posto]],tabParametros[Despesas de Viagem])</f>
        <v>0</v>
      </c>
      <c r="AK178" s="22" t="e">
        <f ca="1">SUM(tabCustoUnit[[#This Row],[Vale - Transporte (Descontada parcela do empregado)]:[Despesas de Viagem]])</f>
        <v>#NAME?</v>
      </c>
      <c r="AL178" s="22" t="e">
        <f ca="1">tabCustoUnit[[#This Row],[Submódulo 2.1]]+tabCustoUnit[[#This Row],[Submódulo 2.2]]+tabCustoUnit[[#This Row],[Submódulo 2.3]]</f>
        <v>#NAME?</v>
      </c>
      <c r="AM178" s="22">
        <f>SUMIF(tabParametros[Código do Posto],tabCustoUnit[[#This Row],[Código do Posto]],tabParametros[Aviso Prévio Indenizado (API) e Reflexo do Aviso Prévio Indenizado])*tabCustoUnit[[#This Row],[MODULO 1 - REMUNERAÇÃO ]]</f>
        <v>11.192699914390431</v>
      </c>
      <c r="AN178" s="22">
        <f>SUMIF(tabParametros[Código do Posto],tabCustoUnit[[#This Row],[Código do Posto]],tabParametros[Incidência do FGTS sobre API e Reflexo do API])*tabCustoUnit[[#This Row],[MODULO 1 - REMUNERAÇÃO ]]</f>
        <v>0.89541599315123466</v>
      </c>
      <c r="AO178" s="22">
        <f>SUMIF(tabParametros[Código do Posto],tabCustoUnit[[#This Row],[Código do Posto]],tabParametros[Multa Rescisória do FGTS sobre o Aviso Prévio Indenizado])*tabCustoUnit[[#This Row],[MODULO 1 - REMUNERAÇÃO ]]</f>
        <v>0.35816639726049387</v>
      </c>
      <c r="AP178" s="22">
        <f>SUMIF(tabParametros[Código do Posto],tabCustoUnit[[#This Row],[Código do Posto]],tabParametros[Aviso Prévio Trabalhado - APT])*tabCustoUnit[[#This Row],[MODULO 1 - REMUNERAÇÃO ]]</f>
        <v>5.5869583000000009</v>
      </c>
      <c r="AQ178" s="22">
        <f>SUMIF(tabParametros[Código do Posto],tabCustoUnit[[#This Row],[Código do Posto]],tabParametros[Incidência dos encargos do submódulo 2.1 sobre Aviso Prévio Trabalhado])*tabCustoUnit[[#This Row],[MODULO 1 - REMUNERAÇÃO ]]</f>
        <v>2.1118702374000007</v>
      </c>
      <c r="AR178" s="22">
        <f>SUMIF(tabParametros[Código do Posto],tabCustoUnit[[#This Row],[Código do Posto]],tabParametros[Multa Rescisória do FGTS])*tabCustoUnit[[#This Row],[MODULO 1 - REMUNERAÇÃO ]]</f>
        <v>48.810505528888882</v>
      </c>
      <c r="AS178" s="22">
        <f>SUMIF(tabParametros[Código do Posto],tabCustoUnit[[#This Row],[Código do Posto]],tabParametros[Indenização Adicional (Art. 9º da Lei nº 7.238/84)])*tabCustoUnit[[#This Row],[MODULO 1 - REMUNERAÇÃO ]]</f>
        <v>1.3302281666666667</v>
      </c>
      <c r="AT178" s="22">
        <f>SUM(tabCustoUnit[[#This Row],[Aviso Prévio Indenizado (API) e Reflexo do Aviso Prévio Indenizado]:[Indenização Adicional (Art. 9º da Lei nº 7.238/84)]])</f>
        <v>70.285844537757711</v>
      </c>
      <c r="AU178" s="22">
        <f>SUMIF(tabParametros[Código do Posto],tabCustoUnit[[#This Row],[Código do Posto]],tabParametros[Ausência por Doença])*tabCustoUnit[[#This Row],[MODULO 1 - REMUNERAÇÃO ]]</f>
        <v>13.479645422222221</v>
      </c>
      <c r="AV178" s="22">
        <f>SUMIF(tabParametros[Código do Posto],tabCustoUnit[[#This Row],[Código do Posto]],tabParametros[Ausências Legais])*tabCustoUnit[[#This Row],[MODULO 1 - REMUNERAÇÃO ]]</f>
        <v>3.2368885388888886</v>
      </c>
      <c r="AW178" s="22">
        <f>SUMIF(tabParametros[Código do Posto],tabCustoUnit[[#This Row],[Código do Posto]],tabParametros[Licença Paternidade])*tabCustoUnit[[#This Row],[MODULO 1 - REMUNERAÇÃO ]]</f>
        <v>0.27269677416666666</v>
      </c>
      <c r="AX178" s="22">
        <f>SUMIF(tabParametros[Código do Posto],tabCustoUnit[[#This Row],[Código do Posto]],tabParametros[Ausência por Acidente de Trabalho])*tabCustoUnit[[#This Row],[MODULO 1 - REMUNERAÇÃO ]]</f>
        <v>0.33255704166666666</v>
      </c>
      <c r="AY178" s="22">
        <f>SUMIF(tabParametros[Código do Posto],tabCustoUnit[[#This Row],[Código do Posto]],tabParametros[Férias, Adicional de Férias e 13º  com empregada em gozo de Licença Maternidade])*tabCustoUnit[[#This Row],[MODULO 1 - REMUNERAÇÃO ]]</f>
        <v>2.0692438148148145</v>
      </c>
      <c r="AZ178" s="22">
        <f>SUMIF(tabParametros[Código do Posto],tabCustoUnit[[#This Row],[Código do Posto]],tabParametros[Incidência do Submódulo 2.1 sobre Ausências Legais])*tabCustoUnit[[#This Row],[MODULO 1 - REMUNERAÇÃO ]]</f>
        <v>7.3298099416850011</v>
      </c>
      <c r="BA178" s="22">
        <f>SUM(tabCustoUnit[[#This Row],[Ausência por Doença]:[Incidência do Submódulo 2.1 sobre Ausências Legais]])</f>
        <v>26.720841533444265</v>
      </c>
      <c r="BB178" s="22">
        <f>SUMIF(tabParametros[Código do Posto],tabCustoUnit[[#This Row],[Código do Posto]],tabParametros[Intervalo para Repouso ou Alimentação])</f>
        <v>0</v>
      </c>
      <c r="BC178" s="22">
        <f>tabCustoUnit[[#This Row],[Intervalo para Repouso ou Alimentação]]</f>
        <v>0</v>
      </c>
      <c r="BD17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8" s="22">
        <f>tabCustoUnit[[#This Row],[Suspensão Temporária do Contrato de Trabalho]]</f>
        <v>0</v>
      </c>
      <c r="BF178" s="22">
        <f>tabCustoUnit[[#This Row],[Submódulo 4.1]]+tabCustoUnit[[#This Row],[Submódulo 4.2]]+tabCustoUnit[[#This Row],[Submódulo 4.3]]</f>
        <v>26.720841533444265</v>
      </c>
      <c r="BG178" s="22">
        <f>VLOOKUP(tabCustoUnit[[#This Row],[Código do Posto]],tabParametros[],MATCH(tabCustoUnit[[#Headers],[Uniformes e EPIs]],tabParametros[#Headers],0),0)</f>
        <v>56.141713661989918</v>
      </c>
      <c r="BH178" s="22">
        <f>VLOOKUP(tabCustoUnit[[#This Row],[Código do Posto]],tabParametros[],MATCH(tabCustoUnit[[#Headers],[Materiais de Consumo]],tabParametros[#Headers],0),0)</f>
        <v>0</v>
      </c>
      <c r="BI178" s="22">
        <f>VLOOKUP(tabCustoUnit[[#This Row],[Código do Posto]],tabParametros[],MATCH(tabCustoUnit[[#Headers],[Máquinas e Equipamentos (depreciação)]],tabParametros[#Headers],0),0)</f>
        <v>0</v>
      </c>
      <c r="BJ178" s="22">
        <f>VLOOKUP(tabCustoUnit[[#This Row],[Código do Posto]],tabParametros[],MATCH(tabCustoUnit[[#Headers],[Produtos de Limpeza e Materiais de Higiene Pessoal]],tabParametros[#Headers],0),0)</f>
        <v>0</v>
      </c>
      <c r="BK178" s="22">
        <f>VLOOKUP(tabCustoUnit[[#This Row],[Código do Posto]],tabParametros[],MATCH(tabCustoUnit[[#Headers],[Outros (especificar)]],tabParametros[#Headers],0),0)</f>
        <v>0</v>
      </c>
      <c r="BL178" s="22">
        <f>SUM(tabCustoUnit[[#This Row],[Uniformes e EPIs]:[Outros (especificar)]])</f>
        <v>56.141713661989918</v>
      </c>
      <c r="BM17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8" s="22" t="e">
        <f ca="1">VLOOKUP(tabCustoUnit[[#This Row],[Código do Posto]],tabParametros[],MATCH(tabCustoUnit[[#Headers],[Custos Indiretos]],tabParametros[#Headers],0),0)</f>
        <v>#NAME?</v>
      </c>
      <c r="BO178" s="22" t="e">
        <f ca="1">VLOOKUP(tabCustoUnit[[#This Row],[Código do Posto]],tabParametros[],MATCH(tabCustoUnit[[#Headers],[Lucro]],tabParametros[#Headers],0),0)</f>
        <v>#NAME?</v>
      </c>
      <c r="BP178" s="26">
        <f>((100/((1-tabCustoUnit[[#This Row],[Resumo de Alíquotas (PIS+CONFINS+ISS)]]))-100)*VLOOKUP(tabCustoUnit[[#This Row],[Código do Posto]],tabParametros[],MATCH(tabCustoUnit[[#Headers],[COFINS]],tabParametros[#Headers],0),0))/(tabCustoUnit[[#This Row],[Resumo de Alíquotas (PIS+CONFINS+ISS)]]*100)</f>
        <v>8.8629737609329504E-2</v>
      </c>
      <c r="BQ178" s="26">
        <f>((100/((100-(tabCustoUnit[[#This Row],[Resumo de Alíquotas (PIS+CONFINS+ISS)]]*100))%)-100)*VLOOKUP(tabCustoUnit[[#This Row],[Código do Posto]],tabParametros[],MATCH(tabCustoUnit[[#Headers],[PIS]],tabParametros[#Headers],0),0))/(tabCustoUnit[[#This Row],[Resumo de Alíquotas (PIS+CONFINS+ISS)]]*100)</f>
        <v>1.9241982507288629E-2</v>
      </c>
      <c r="BR178" s="28">
        <f>VLOOKUP(tabCustoUnit[[#This Row],[Código do Posto]],tabParametros[],MATCH(tabCustoUnit[[#Headers],[ISS]],tabParametros[#Headers],0),0)</f>
        <v>0.05</v>
      </c>
      <c r="BS178" s="26">
        <f>(((100/((100-(tabCustoUnit[[#This Row],[Resumo de Alíquotas (PIS+CONFINS+ISS)]]*100))%)-100)*tabCustoUnit[[#This Row],[ISS]])/tabCustoUnit[[#This Row],[Resumo de Alíquotas (PIS+CONFINS+ISS)]])/100</f>
        <v>5.8309037900874633E-2</v>
      </c>
      <c r="BT17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78" s="138">
        <f>tabCustoUnit[[#This Row],[COFINS]]+tabCustoUnit[[#This Row],[PIS]]+tabCustoUnit[[#This Row],[ISS (Conversão Alíquota s/ fatura)]]</f>
        <v>0.16618075801749277</v>
      </c>
      <c r="BV178" s="22" t="e">
        <f ca="1">(tabCustoUnit[[#This Row],[TOTAL MÓDULOS 1+2+3+4+5]]+tabCustoUnit[[#This Row],[Custos Indiretos]]+tabCustoUnit[[#This Row],[Lucro]])*tabCustoUnit[[#This Row],[PIS + COFINS + ISS (Total Conversão  Alíquota s/ Fatura)]]</f>
        <v>#NAME?</v>
      </c>
      <c r="BW178" s="22" t="e">
        <f ca="1">tabCustoUnit[[#This Row],[Custos Indiretos]]+tabCustoUnit[[#This Row],[Lucro]]+tabCustoUnit[[#This Row],[Valor dos Tributos (ISS, PIS, CONFINS)]]</f>
        <v>#NAME?</v>
      </c>
      <c r="BX178" s="22" t="e">
        <f ca="1">tabCustoUnit[[#This Row],[TOTAL MÓDULOS 1+2+3+4+5]]+tabCustoUnit[[#This Row],[MÓDULO 6 – CUSTOS INDIRETOS, TRIBUTOS E LUCRO]]</f>
        <v>#NAME?</v>
      </c>
      <c r="BY178" s="22" t="e">
        <f ca="1">tabCustoUnit[[#This Row],[CUSTO TOTAL MENSAL]]*12</f>
        <v>#NAME?</v>
      </c>
      <c r="BZ178" s="24">
        <f>VLOOKUP(tabCustoUnit[[#This Row],[Código do Posto]],tabParametros[],MATCH(tabCustoUnit[[#Headers],[ANO DA CCT]],tabParametros[#Headers],0),0)</f>
        <v>45658</v>
      </c>
      <c r="CA178" s="25" t="str">
        <f>VLOOKUP(tabCustoUnit[[#This Row],[Código do Posto]],tabParametros[],MATCH(tabCustoUnit[[#Headers],[Nº DE PEDIDO DA CCT]],tabParametros[#Headers],0),0)</f>
        <v>-</v>
      </c>
      <c r="CB178" s="25" t="str">
        <f>VLOOKUP(tabCustoUnit[[#This Row],[Código do Posto]],tabParametros[],MATCH(tabCustoUnit[[#Headers],[TERMO ADITIVO ALTERAÇÃO DA CCT]],tabParametros[#Headers],0),0)</f>
        <v>-</v>
      </c>
    </row>
    <row r="179" spans="1:80">
      <c r="A179" s="20" t="s">
        <v>1482</v>
      </c>
      <c r="B179" t="s">
        <v>1149</v>
      </c>
      <c r="C179" t="s">
        <v>214</v>
      </c>
      <c r="D179" t="s">
        <v>1054</v>
      </c>
      <c r="E179" s="20" t="s">
        <v>1090</v>
      </c>
      <c r="F179" s="20" t="s">
        <v>120</v>
      </c>
      <c r="G179" s="418">
        <v>1836.5985000000001</v>
      </c>
      <c r="H179" s="418">
        <v>0</v>
      </c>
      <c r="I179" s="418">
        <v>0</v>
      </c>
      <c r="J179" s="418">
        <v>0</v>
      </c>
      <c r="K179" s="418">
        <v>0</v>
      </c>
      <c r="L179" s="418">
        <v>0</v>
      </c>
      <c r="M179" s="418">
        <v>0</v>
      </c>
      <c r="N179" s="418">
        <v>0</v>
      </c>
      <c r="O179" s="21">
        <f>SUM(tabCustoUnit[[#This Row],[Salário Base]:[Adicional de Acúmulo de função]])</f>
        <v>1836.5985000000001</v>
      </c>
      <c r="P179" s="21">
        <f>tabCustoUnit[[#This Row],[MODULO 1 - REMUNERAÇÃO ]]*SUMIFS(tabParametros[INSS],tabParametros[Código do Posto],tabCustoUnit[[#This Row],[Código do Posto]])</f>
        <v>367.31970000000001</v>
      </c>
      <c r="Q179" s="21">
        <f>tabCustoUnit[[#This Row],[MODULO 1 - REMUNERAÇÃO ]]*SUMIFS(tabParametros[SESI OU SESC],tabParametros[Código do Posto],tabCustoUnit[[#This Row],[Código do Posto]])</f>
        <v>27.548977499999999</v>
      </c>
      <c r="R179" s="21">
        <f>tabCustoUnit[[#This Row],[MODULO 1 - REMUNERAÇÃO ]]*SUMIFS(tabParametros[SENAI OU SENAC],tabParametros[Código do Posto],tabCustoUnit[[#This Row],[Código do Posto]])</f>
        <v>18.365985000000002</v>
      </c>
      <c r="S179" s="21">
        <f>tabCustoUnit[[#This Row],[MODULO 1 - REMUNERAÇÃO ]]*SUMIFS(tabParametros[INCRA],tabParametros[Código do Posto],tabCustoUnit[[#This Row],[Código do Posto]])</f>
        <v>3.673197</v>
      </c>
      <c r="T179" s="21">
        <f>tabCustoUnit[[#This Row],[MODULO 1 - REMUNERAÇÃO ]]*SUMIFS(tabParametros[Salário Educação],tabParametros[Código do Posto],tabCustoUnit[[#This Row],[Código do Posto]])</f>
        <v>45.914962500000001</v>
      </c>
      <c r="U179" s="21">
        <f>tabCustoUnit[[#This Row],[MODULO 1 - REMUNERAÇÃO ]]*SUMIFS(tabParametros[FGTS],tabParametros[Código do Posto],tabCustoUnit[[#This Row],[Código do Posto]])</f>
        <v>146.92788000000002</v>
      </c>
      <c r="V179" s="21">
        <f>tabCustoUnit[[#This Row],[MODULO 1 - REMUNERAÇÃO ]]*SUMIFS(tabParametros[RAT Ajustado],tabParametros[Código do Posto],tabCustoUnit[[#This Row],[Código do Posto]])</f>
        <v>73.463940000000008</v>
      </c>
      <c r="W179" s="21">
        <f>tabCustoUnit[[#This Row],[MODULO 1 - REMUNERAÇÃO ]]*SUMIFS(tabParametros[SEBRAE],tabParametros[Código do Posto],tabCustoUnit[[#This Row],[Código do Posto]])</f>
        <v>11.019591</v>
      </c>
      <c r="X179" s="21">
        <f>SUM(tabCustoUnit[[#This Row],[INSS]:[SEBRAE]])</f>
        <v>694.23423300000002</v>
      </c>
      <c r="Y179" s="21">
        <f>tabCustoUnit[[#This Row],[MODULO 1 - REMUNERAÇÃO ]]*SUMIFS(tabParametros[13º salário (titular)],tabParametros[Código do Posto],tabCustoUnit[[#This Row],[Código do Posto]])</f>
        <v>153.04987499999999</v>
      </c>
      <c r="Z179" s="21">
        <f>tabCustoUnit[[#This Row],[MODULO 1 - REMUNERAÇÃO ]]*SUMIFS(tabParametros[Férias e Adicional de Férias (titular)],tabParametros[Código do Posto],tabCustoUnit[[#This Row],[Código do Posto]])</f>
        <v>204.06649999999999</v>
      </c>
      <c r="AA179" s="21">
        <f>IFERROR((tabCustoUnit[[#This Row],[Submódulo 2.1]]/tabCustoUnit[[#This Row],[MODULO 1 - REMUNERAÇÃO ]])*SUM(tabCustoUnit[[#This Row],[13º salário (titular)]:[Férias e Adicional de Férias (titular)]]),0)</f>
        <v>134.98998974999998</v>
      </c>
      <c r="AB179" s="21">
        <f>SUM(tabCustoUnit[[#This Row],[13º salário (titular)]:[Incidência do Submódulo 2.1 sobre 13º Salário, Férias e Adicional de Férias]])</f>
        <v>492.1063647499999</v>
      </c>
      <c r="AC179" s="22" t="e">
        <f ca="1">_xlfn.LET(_xlpm.VT,SUMIF(tabParametros[Código do Posto],tabCustoUnit[[#This Row],[Código do Posto]],tabParametros[Vale - Transporte])*2*20,
IF((_xlpm.VT-tabCustoUnit[[#This Row],[Salário Base]]*0.06)&gt;=0,(_xlpm.VT-tabCustoUnit[[#This Row],[Salário Base]]*0.06),0)
)</f>
        <v>#NAME?</v>
      </c>
      <c r="AD179" s="22">
        <f>IF(SUMIF(tabParametros[Código do Posto],tabCustoUnit[[#This Row],[Código do Posto]],tabParametros[Vale - Alimentação])&lt;=0,0,
SUMIF(tabParametros[Código do Posto],tabCustoUnit[[#This Row],[Código do Posto]],tabParametros[Vale - Alimentação])*20-1)</f>
        <v>581.79999999999995</v>
      </c>
      <c r="AE179" s="22">
        <f>SUMIF(tabParametros[Código do Posto],tabCustoUnit[[#This Row],[Código do Posto]],tabParametros[Cesta Básica])</f>
        <v>0</v>
      </c>
      <c r="AF179" s="22">
        <f>SUMIF(tabParametros[Código do Posto],tabCustoUnit[[#This Row],[Código do Posto]],tabParametros[PAF])</f>
        <v>51.73</v>
      </c>
      <c r="AG179" s="22">
        <f>SUMIF(tabParametros[Código do Posto],tabCustoUnit[[#This Row],[Código do Posto]],tabParametros[PQM])</f>
        <v>0</v>
      </c>
      <c r="AH179" s="22">
        <f>SUMIF(tabParametros[Código do Posto],tabCustoUnit[[#This Row],[Código do Posto]],tabParametros[Abono Único e Especial])</f>
        <v>0</v>
      </c>
      <c r="AI179" s="22">
        <f>SUMIF(tabParametros[Código do Posto],tabCustoUnit[[#This Row],[Código do Posto]],tabParametros[Seguro de Vida])</f>
        <v>3.36</v>
      </c>
      <c r="AJ179" s="22">
        <f>SUMIF(tabParametros[Código do Posto],tabCustoUnit[[#This Row],[Código do Posto]],tabParametros[Despesas de Viagem])</f>
        <v>0</v>
      </c>
      <c r="AK179" s="22" t="e">
        <f ca="1">SUM(tabCustoUnit[[#This Row],[Vale - Transporte (Descontada parcela do empregado)]:[Despesas de Viagem]])</f>
        <v>#NAME?</v>
      </c>
      <c r="AL179" s="22" t="e">
        <f ca="1">tabCustoUnit[[#This Row],[Submódulo 2.1]]+tabCustoUnit[[#This Row],[Submódulo 2.2]]+tabCustoUnit[[#This Row],[Submódulo 2.3]]</f>
        <v>#NAME?</v>
      </c>
      <c r="AM179" s="22">
        <f>SUMIF(tabParametros[Código do Posto],tabCustoUnit[[#This Row],[Código do Posto]],tabParametros[Aviso Prévio Indenizado (API) e Reflexo do Aviso Prévio Indenizado])*tabCustoUnit[[#This Row],[MODULO 1 - REMUNERAÇÃO ]]</f>
        <v>12.87780070920139</v>
      </c>
      <c r="AN179" s="22">
        <f>SUMIF(tabParametros[Código do Posto],tabCustoUnit[[#This Row],[Código do Posto]],tabParametros[Incidência do FGTS sobre API e Reflexo do API])*tabCustoUnit[[#This Row],[MODULO 1 - REMUNERAÇÃO ]]</f>
        <v>1.0302240567361112</v>
      </c>
      <c r="AO179" s="22">
        <f>SUMIF(tabParametros[Código do Posto],tabCustoUnit[[#This Row],[Código do Posto]],tabParametros[Multa Rescisória do FGTS sobre o Aviso Prévio Indenizado])*tabCustoUnit[[#This Row],[MODULO 1 - REMUNERAÇÃO ]]</f>
        <v>0.41208962269444455</v>
      </c>
      <c r="AP179" s="22">
        <f>SUMIF(tabParametros[Código do Posto],tabCustoUnit[[#This Row],[Código do Posto]],tabParametros[Aviso Prévio Trabalhado - APT])*tabCustoUnit[[#This Row],[MODULO 1 - REMUNERAÇÃO ]]</f>
        <v>6.4280947500000014</v>
      </c>
      <c r="AQ179" s="22">
        <f>SUMIF(tabParametros[Código do Posto],tabCustoUnit[[#This Row],[Código do Posto]],tabParametros[Incidência dos encargos do submódulo 2.1 sobre Aviso Prévio Trabalhado])*tabCustoUnit[[#This Row],[MODULO 1 - REMUNERAÇÃO ]]</f>
        <v>2.4298198155000006</v>
      </c>
      <c r="AR179" s="22">
        <f>SUMIF(tabParametros[Código do Posto],tabCustoUnit[[#This Row],[Código do Posto]],tabParametros[Multa Rescisória do FGTS])*tabCustoUnit[[#This Row],[MODULO 1 - REMUNERAÇÃO ]]</f>
        <v>56.15910079999999</v>
      </c>
      <c r="AS179" s="22">
        <f>SUMIF(tabParametros[Código do Posto],tabCustoUnit[[#This Row],[Código do Posto]],tabParametros[Indenização Adicional (Art. 9º da Lei nº 7.238/84)])*tabCustoUnit[[#This Row],[MODULO 1 - REMUNERAÇÃO ]]</f>
        <v>1.5304987500000002</v>
      </c>
      <c r="AT179" s="22">
        <f>SUM(tabCustoUnit[[#This Row],[Aviso Prévio Indenizado (API) e Reflexo do Aviso Prévio Indenizado]:[Indenização Adicional (Art. 9º da Lei nº 7.238/84)]])</f>
        <v>80.867628504131943</v>
      </c>
      <c r="AU179" s="22">
        <f>SUMIF(tabParametros[Código do Posto],tabCustoUnit[[#This Row],[Código do Posto]],tabParametros[Ausência por Doença])*tabCustoUnit[[#This Row],[MODULO 1 - REMUNERAÇÃO ]]</f>
        <v>15.509053999999999</v>
      </c>
      <c r="AV179" s="22">
        <f>SUMIF(tabParametros[Código do Posto],tabCustoUnit[[#This Row],[Código do Posto]],tabParametros[Ausências Legais])*tabCustoUnit[[#This Row],[MODULO 1 - REMUNERAÇÃO ]]</f>
        <v>3.724213625</v>
      </c>
      <c r="AW179" s="22">
        <f>SUMIF(tabParametros[Código do Posto],tabCustoUnit[[#This Row],[Código do Posto]],tabParametros[Licença Paternidade])*tabCustoUnit[[#This Row],[MODULO 1 - REMUNERAÇÃO ]]</f>
        <v>0.31375224374999999</v>
      </c>
      <c r="AX179" s="22">
        <f>SUMIF(tabParametros[Código do Posto],tabCustoUnit[[#This Row],[Código do Posto]],tabParametros[Ausência por Acidente de Trabalho])*tabCustoUnit[[#This Row],[MODULO 1 - REMUNERAÇÃO ]]</f>
        <v>0.38262468750000006</v>
      </c>
      <c r="AY179" s="22">
        <f>SUMIF(tabParametros[Código do Posto],tabCustoUnit[[#This Row],[Código do Posto]],tabParametros[Férias, Adicional de Férias e 13º  com empregada em gozo de Licença Maternidade])*tabCustoUnit[[#This Row],[MODULO 1 - REMUNERAÇÃO ]]</f>
        <v>2.3807758333333333</v>
      </c>
      <c r="AZ179" s="22">
        <f>SUMIF(tabParametros[Código do Posto],tabCustoUnit[[#This Row],[Código do Posto]],tabParametros[Incidência do Submódulo 2.1 sobre Ausências Legais])*tabCustoUnit[[#This Row],[MODULO 1 - REMUNERAÇÃO ]]</f>
        <v>8.4333389072625025</v>
      </c>
      <c r="BA179" s="22">
        <f>SUM(tabCustoUnit[[#This Row],[Ausência por Doença]:[Incidência do Submódulo 2.1 sobre Ausências Legais]])</f>
        <v>30.743759296845838</v>
      </c>
      <c r="BB179" s="22">
        <f>SUMIF(tabParametros[Código do Posto],tabCustoUnit[[#This Row],[Código do Posto]],tabParametros[Intervalo para Repouso ou Alimentação])</f>
        <v>0</v>
      </c>
      <c r="BC179" s="22">
        <f>tabCustoUnit[[#This Row],[Intervalo para Repouso ou Alimentação]]</f>
        <v>0</v>
      </c>
      <c r="BD17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79" s="22">
        <f>tabCustoUnit[[#This Row],[Suspensão Temporária do Contrato de Trabalho]]</f>
        <v>0</v>
      </c>
      <c r="BF179" s="22">
        <f>tabCustoUnit[[#This Row],[Submódulo 4.1]]+tabCustoUnit[[#This Row],[Submódulo 4.2]]+tabCustoUnit[[#This Row],[Submódulo 4.3]]</f>
        <v>30.743759296845838</v>
      </c>
      <c r="BG179" s="22">
        <f>VLOOKUP(tabCustoUnit[[#This Row],[Código do Posto]],tabParametros[],MATCH(tabCustoUnit[[#Headers],[Uniformes e EPIs]],tabParametros[#Headers],0),0)</f>
        <v>44.111346448706357</v>
      </c>
      <c r="BH179" s="22">
        <f>VLOOKUP(tabCustoUnit[[#This Row],[Código do Posto]],tabParametros[],MATCH(tabCustoUnit[[#Headers],[Materiais de Consumo]],tabParametros[#Headers],0),0)</f>
        <v>0</v>
      </c>
      <c r="BI179" s="22">
        <f>VLOOKUP(tabCustoUnit[[#This Row],[Código do Posto]],tabParametros[],MATCH(tabCustoUnit[[#Headers],[Máquinas e Equipamentos (depreciação)]],tabParametros[#Headers],0),0)</f>
        <v>0</v>
      </c>
      <c r="BJ179" s="22">
        <f>VLOOKUP(tabCustoUnit[[#This Row],[Código do Posto]],tabParametros[],MATCH(tabCustoUnit[[#Headers],[Produtos de Limpeza e Materiais de Higiene Pessoal]],tabParametros[#Headers],0),0)</f>
        <v>0</v>
      </c>
      <c r="BK179" s="22">
        <f>VLOOKUP(tabCustoUnit[[#This Row],[Código do Posto]],tabParametros[],MATCH(tabCustoUnit[[#Headers],[Outros (especificar)]],tabParametros[#Headers],0),0)</f>
        <v>0</v>
      </c>
      <c r="BL179" s="22">
        <f>SUM(tabCustoUnit[[#This Row],[Uniformes e EPIs]:[Outros (especificar)]])</f>
        <v>44.111346448706357</v>
      </c>
      <c r="BM17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79" s="22" t="e">
        <f ca="1">VLOOKUP(tabCustoUnit[[#This Row],[Código do Posto]],tabParametros[],MATCH(tabCustoUnit[[#Headers],[Custos Indiretos]],tabParametros[#Headers],0),0)</f>
        <v>#NAME?</v>
      </c>
      <c r="BO179" s="22" t="e">
        <f ca="1">VLOOKUP(tabCustoUnit[[#This Row],[Código do Posto]],tabParametros[],MATCH(tabCustoUnit[[#Headers],[Lucro]],tabParametros[#Headers],0),0)</f>
        <v>#NAME?</v>
      </c>
      <c r="BP179" s="26">
        <f>((100/((1-tabCustoUnit[[#This Row],[Resumo de Alíquotas (PIS+CONFINS+ISS)]]))-100)*VLOOKUP(tabCustoUnit[[#This Row],[Código do Posto]],tabParametros[],MATCH(tabCustoUnit[[#Headers],[COFINS]],tabParametros[#Headers],0),0))/(tabCustoUnit[[#This Row],[Resumo de Alíquotas (PIS+CONFINS+ISS)]]*100)</f>
        <v>8.6609686609686695E-2</v>
      </c>
      <c r="BQ179" s="26">
        <f>((100/((100-(tabCustoUnit[[#This Row],[Resumo de Alíquotas (PIS+CONFINS+ISS)]]*100))%)-100)*VLOOKUP(tabCustoUnit[[#This Row],[Código do Posto]],tabParametros[],MATCH(tabCustoUnit[[#Headers],[PIS]],tabParametros[#Headers],0),0))/(tabCustoUnit[[#This Row],[Resumo de Alíquotas (PIS+CONFINS+ISS)]]*100)</f>
        <v>1.880341880341882E-2</v>
      </c>
      <c r="BR179" s="28">
        <f>VLOOKUP(tabCustoUnit[[#This Row],[Código do Posto]],tabParametros[],MATCH(tabCustoUnit[[#Headers],[ISS]],tabParametros[#Headers],0),0)</f>
        <v>0.03</v>
      </c>
      <c r="BS179" s="26">
        <f>(((100/((100-(tabCustoUnit[[#This Row],[Resumo de Alíquotas (PIS+CONFINS+ISS)]]*100))%)-100)*tabCustoUnit[[#This Row],[ISS]])/tabCustoUnit[[#This Row],[Resumo de Alíquotas (PIS+CONFINS+ISS)]])/100</f>
        <v>3.4188034188034219E-2</v>
      </c>
      <c r="BT17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9" s="138">
        <f>tabCustoUnit[[#This Row],[COFINS]]+tabCustoUnit[[#This Row],[PIS]]+tabCustoUnit[[#This Row],[ISS (Conversão Alíquota s/ fatura)]]</f>
        <v>0.13960113960113973</v>
      </c>
      <c r="BV179" s="22" t="e">
        <f ca="1">(tabCustoUnit[[#This Row],[TOTAL MÓDULOS 1+2+3+4+5]]+tabCustoUnit[[#This Row],[Custos Indiretos]]+tabCustoUnit[[#This Row],[Lucro]])*tabCustoUnit[[#This Row],[PIS + COFINS + ISS (Total Conversão  Alíquota s/ Fatura)]]</f>
        <v>#NAME?</v>
      </c>
      <c r="BW179" s="22" t="e">
        <f ca="1">tabCustoUnit[[#This Row],[Custos Indiretos]]+tabCustoUnit[[#This Row],[Lucro]]+tabCustoUnit[[#This Row],[Valor dos Tributos (ISS, PIS, CONFINS)]]</f>
        <v>#NAME?</v>
      </c>
      <c r="BX179" s="22" t="e">
        <f ca="1">tabCustoUnit[[#This Row],[TOTAL MÓDULOS 1+2+3+4+5]]+tabCustoUnit[[#This Row],[MÓDULO 6 – CUSTOS INDIRETOS, TRIBUTOS E LUCRO]]</f>
        <v>#NAME?</v>
      </c>
      <c r="BY179" s="22" t="e">
        <f ca="1">tabCustoUnit[[#This Row],[CUSTO TOTAL MENSAL]]*12</f>
        <v>#NAME?</v>
      </c>
      <c r="BZ179" s="24">
        <f>VLOOKUP(tabCustoUnit[[#This Row],[Código do Posto]],tabParametros[],MATCH(tabCustoUnit[[#Headers],[ANO DA CCT]],tabParametros[#Headers],0),0)</f>
        <v>45658</v>
      </c>
      <c r="CA179" s="25" t="str">
        <f>VLOOKUP(tabCustoUnit[[#This Row],[Código do Posto]],tabParametros[],MATCH(tabCustoUnit[[#Headers],[Nº DE PEDIDO DA CCT]],tabParametros[#Headers],0),0)</f>
        <v>-</v>
      </c>
      <c r="CB179" s="25" t="str">
        <f>VLOOKUP(tabCustoUnit[[#This Row],[Código do Posto]],tabParametros[],MATCH(tabCustoUnit[[#Headers],[TERMO ADITIVO ALTERAÇÃO DA CCT]],tabParametros[#Headers],0),0)</f>
        <v>-</v>
      </c>
    </row>
    <row r="180" spans="1:80">
      <c r="A180" s="20" t="s">
        <v>1623</v>
      </c>
      <c r="B180" t="s">
        <v>1149</v>
      </c>
      <c r="C180" t="s">
        <v>319</v>
      </c>
      <c r="D180" t="s">
        <v>965</v>
      </c>
      <c r="E180" s="20" t="s">
        <v>1090</v>
      </c>
      <c r="F180" s="20" t="s">
        <v>120</v>
      </c>
      <c r="G180" s="418">
        <v>2316.2296999999999</v>
      </c>
      <c r="H180" s="418">
        <v>0</v>
      </c>
      <c r="I180" s="418">
        <v>0</v>
      </c>
      <c r="J180" s="418">
        <v>0</v>
      </c>
      <c r="K180" s="418">
        <v>0</v>
      </c>
      <c r="L180" s="418">
        <v>0</v>
      </c>
      <c r="M180" s="418">
        <v>0</v>
      </c>
      <c r="N180" s="418">
        <v>0</v>
      </c>
      <c r="O180" s="21">
        <f>SUM(tabCustoUnit[[#This Row],[Salário Base]:[Adicional de Acúmulo de função]])</f>
        <v>2316.2296999999999</v>
      </c>
      <c r="P180" s="21">
        <f>tabCustoUnit[[#This Row],[MODULO 1 - REMUNERAÇÃO ]]*SUMIFS(tabParametros[INSS],tabParametros[Código do Posto],tabCustoUnit[[#This Row],[Código do Posto]])</f>
        <v>463.24594000000002</v>
      </c>
      <c r="Q180" s="21">
        <f>tabCustoUnit[[#This Row],[MODULO 1 - REMUNERAÇÃO ]]*SUMIFS(tabParametros[SESI OU SESC],tabParametros[Código do Posto],tabCustoUnit[[#This Row],[Código do Posto]])</f>
        <v>34.7434455</v>
      </c>
      <c r="R180" s="21">
        <f>tabCustoUnit[[#This Row],[MODULO 1 - REMUNERAÇÃO ]]*SUMIFS(tabParametros[SENAI OU SENAC],tabParametros[Código do Posto],tabCustoUnit[[#This Row],[Código do Posto]])</f>
        <v>23.162296999999999</v>
      </c>
      <c r="S180" s="21">
        <f>tabCustoUnit[[#This Row],[MODULO 1 - REMUNERAÇÃO ]]*SUMIFS(tabParametros[INCRA],tabParametros[Código do Posto],tabCustoUnit[[#This Row],[Código do Posto]])</f>
        <v>4.6324594000000001</v>
      </c>
      <c r="T180" s="21">
        <f>tabCustoUnit[[#This Row],[MODULO 1 - REMUNERAÇÃO ]]*SUMIFS(tabParametros[Salário Educação],tabParametros[Código do Posto],tabCustoUnit[[#This Row],[Código do Posto]])</f>
        <v>57.905742500000002</v>
      </c>
      <c r="U180" s="21">
        <f>tabCustoUnit[[#This Row],[MODULO 1 - REMUNERAÇÃO ]]*SUMIFS(tabParametros[FGTS],tabParametros[Código do Posto],tabCustoUnit[[#This Row],[Código do Posto]])</f>
        <v>185.29837599999999</v>
      </c>
      <c r="V180" s="21">
        <f>tabCustoUnit[[#This Row],[MODULO 1 - REMUNERAÇÃO ]]*SUMIFS(tabParametros[RAT Ajustado],tabParametros[Código do Posto],tabCustoUnit[[#This Row],[Código do Posto]])</f>
        <v>92.649187999999995</v>
      </c>
      <c r="W180" s="21">
        <f>tabCustoUnit[[#This Row],[MODULO 1 - REMUNERAÇÃO ]]*SUMIFS(tabParametros[SEBRAE],tabParametros[Código do Posto],tabCustoUnit[[#This Row],[Código do Posto]])</f>
        <v>13.8973782</v>
      </c>
      <c r="X180" s="21">
        <f>SUM(tabCustoUnit[[#This Row],[INSS]:[SEBRAE]])</f>
        <v>875.53482659999997</v>
      </c>
      <c r="Y180" s="21">
        <f>tabCustoUnit[[#This Row],[MODULO 1 - REMUNERAÇÃO ]]*SUMIFS(tabParametros[13º salário (titular)],tabParametros[Código do Posto],tabCustoUnit[[#This Row],[Código do Posto]])</f>
        <v>193.01914166666666</v>
      </c>
      <c r="Z180" s="21">
        <f>tabCustoUnit[[#This Row],[MODULO 1 - REMUNERAÇÃO ]]*SUMIFS(tabParametros[Férias e Adicional de Férias (titular)],tabParametros[Código do Posto],tabCustoUnit[[#This Row],[Código do Posto]])</f>
        <v>257.35885555555552</v>
      </c>
      <c r="AA180" s="21">
        <f>IFERROR((tabCustoUnit[[#This Row],[Submódulo 2.1]]/tabCustoUnit[[#This Row],[MODULO 1 - REMUNERAÇÃO ]])*SUM(tabCustoUnit[[#This Row],[13º salário (titular)]:[Férias e Adicional de Férias (titular)]]),0)</f>
        <v>170.24288294999999</v>
      </c>
      <c r="AB180" s="21">
        <f>SUM(tabCustoUnit[[#This Row],[13º salário (titular)]:[Incidência do Submódulo 2.1 sobre 13º Salário, Férias e Adicional de Férias]])</f>
        <v>620.6208801722222</v>
      </c>
      <c r="AC180" s="22" t="e">
        <f ca="1">_xlfn.LET(_xlpm.VT,SUMIF(tabParametros[Código do Posto],tabCustoUnit[[#This Row],[Código do Posto]],tabParametros[Vale - Transporte])*2*20,
IF((_xlpm.VT-tabCustoUnit[[#This Row],[Salário Base]]*0.06)&gt;=0,(_xlpm.VT-tabCustoUnit[[#This Row],[Salário Base]]*0.06),0)
)</f>
        <v>#NAME?</v>
      </c>
      <c r="AD180" s="22">
        <f>IF(SUMIF(tabParametros[Código do Posto],tabCustoUnit[[#This Row],[Código do Posto]],tabParametros[Vale - Alimentação])&lt;=0,0,
SUMIF(tabParametros[Código do Posto],tabCustoUnit[[#This Row],[Código do Posto]],tabParametros[Vale - Alimentação])*20-1)</f>
        <v>582</v>
      </c>
      <c r="AE180" s="22">
        <f>SUMIF(tabParametros[Código do Posto],tabCustoUnit[[#This Row],[Código do Posto]],tabParametros[Cesta Básica])</f>
        <v>0</v>
      </c>
      <c r="AF180" s="22">
        <f>SUMIF(tabParametros[Código do Posto],tabCustoUnit[[#This Row],[Código do Posto]],tabParametros[PAF])</f>
        <v>0</v>
      </c>
      <c r="AG180" s="22">
        <f>SUMIF(tabParametros[Código do Posto],tabCustoUnit[[#This Row],[Código do Posto]],tabParametros[PQM])</f>
        <v>15.07</v>
      </c>
      <c r="AH180" s="22">
        <f>SUMIF(tabParametros[Código do Posto],tabCustoUnit[[#This Row],[Código do Posto]],tabParametros[Abono Único e Especial])</f>
        <v>0</v>
      </c>
      <c r="AI180" s="22">
        <f>SUMIF(tabParametros[Código do Posto],tabCustoUnit[[#This Row],[Código do Posto]],tabParametros[Seguro de Vida])</f>
        <v>3.36</v>
      </c>
      <c r="AJ180" s="22">
        <f>SUMIF(tabParametros[Código do Posto],tabCustoUnit[[#This Row],[Código do Posto]],tabParametros[Despesas de Viagem])</f>
        <v>0</v>
      </c>
      <c r="AK180" s="22" t="e">
        <f ca="1">SUM(tabCustoUnit[[#This Row],[Vale - Transporte (Descontada parcela do empregado)]:[Despesas de Viagem]])</f>
        <v>#NAME?</v>
      </c>
      <c r="AL180" s="22" t="e">
        <f ca="1">tabCustoUnit[[#This Row],[Submódulo 2.1]]+tabCustoUnit[[#This Row],[Submódulo 2.2]]+tabCustoUnit[[#This Row],[Submódulo 2.3]]</f>
        <v>#NAME?</v>
      </c>
      <c r="AM180" s="22">
        <f>SUMIF(tabParametros[Código do Posto],tabCustoUnit[[#This Row],[Código do Posto]],tabParametros[Aviso Prévio Indenizado (API) e Reflexo do Aviso Prévio Indenizado])*tabCustoUnit[[#This Row],[MODULO 1 - REMUNERAÇÃO ]]</f>
        <v>16.240862917689043</v>
      </c>
      <c r="AN180" s="22">
        <f>SUMIF(tabParametros[Código do Posto],tabCustoUnit[[#This Row],[Código do Posto]],tabParametros[Incidência do FGTS sobre API e Reflexo do API])*tabCustoUnit[[#This Row],[MODULO 1 - REMUNERAÇÃO ]]</f>
        <v>1.2992690334151236</v>
      </c>
      <c r="AO180" s="22">
        <f>SUMIF(tabParametros[Código do Posto],tabCustoUnit[[#This Row],[Código do Posto]],tabParametros[Multa Rescisória do FGTS sobre o Aviso Prévio Indenizado])*tabCustoUnit[[#This Row],[MODULO 1 - REMUNERAÇÃO ]]</f>
        <v>0.51970761336604943</v>
      </c>
      <c r="AP180" s="22">
        <f>SUMIF(tabParametros[Código do Posto],tabCustoUnit[[#This Row],[Código do Posto]],tabParametros[Aviso Prévio Trabalhado - APT])*tabCustoUnit[[#This Row],[MODULO 1 - REMUNERAÇÃO ]]</f>
        <v>8.1068039500000015</v>
      </c>
      <c r="AQ180" s="22">
        <f>SUMIF(tabParametros[Código do Posto],tabCustoUnit[[#This Row],[Código do Posto]],tabParametros[Incidência dos encargos do submódulo 2.1 sobre Aviso Prévio Trabalhado])*tabCustoUnit[[#This Row],[MODULO 1 - REMUNERAÇÃO ]]</f>
        <v>3.0643718931000006</v>
      </c>
      <c r="AR180" s="22">
        <f>SUMIF(tabParametros[Código do Posto],tabCustoUnit[[#This Row],[Código do Posto]],tabParametros[Multa Rescisória do FGTS])*tabCustoUnit[[#This Row],[MODULO 1 - REMUNERAÇÃO ]]</f>
        <v>70.825157048888869</v>
      </c>
      <c r="AS180" s="22">
        <f>SUMIF(tabParametros[Código do Posto],tabCustoUnit[[#This Row],[Código do Posto]],tabParametros[Indenização Adicional (Art. 9º da Lei nº 7.238/84)])*tabCustoUnit[[#This Row],[MODULO 1 - REMUNERAÇÃO ]]</f>
        <v>1.9301914166666667</v>
      </c>
      <c r="AT180" s="22">
        <f>SUM(tabCustoUnit[[#This Row],[Aviso Prévio Indenizado (API) e Reflexo do Aviso Prévio Indenizado]:[Indenização Adicional (Art. 9º da Lei nº 7.238/84)]])</f>
        <v>101.98636387312575</v>
      </c>
      <c r="AU180" s="22">
        <f>SUMIF(tabParametros[Código do Posto],tabCustoUnit[[#This Row],[Código do Posto]],tabParametros[Ausência por Doença])*tabCustoUnit[[#This Row],[MODULO 1 - REMUNERAÇÃO ]]</f>
        <v>19.559273022222218</v>
      </c>
      <c r="AV180" s="22">
        <f>SUMIF(tabParametros[Código do Posto],tabCustoUnit[[#This Row],[Código do Posto]],tabParametros[Ausências Legais])*tabCustoUnit[[#This Row],[MODULO 1 - REMUNERAÇÃO ]]</f>
        <v>4.696799113888888</v>
      </c>
      <c r="AW180" s="22">
        <f>SUMIF(tabParametros[Código do Posto],tabCustoUnit[[#This Row],[Código do Posto]],tabParametros[Licença Paternidade])*tabCustoUnit[[#This Row],[MODULO 1 - REMUNERAÇÃO ]]</f>
        <v>0.39568924041666664</v>
      </c>
      <c r="AX180" s="22">
        <f>SUMIF(tabParametros[Código do Posto],tabCustoUnit[[#This Row],[Código do Posto]],tabParametros[Ausência por Acidente de Trabalho])*tabCustoUnit[[#This Row],[MODULO 1 - REMUNERAÇÃO ]]</f>
        <v>0.48254785416666668</v>
      </c>
      <c r="AY180" s="22">
        <f>SUMIF(tabParametros[Código do Posto],tabCustoUnit[[#This Row],[Código do Posto]],tabParametros[Férias, Adicional de Férias e 13º  com empregada em gozo de Licença Maternidade])*tabCustoUnit[[#This Row],[MODULO 1 - REMUNERAÇÃO ]]</f>
        <v>3.0025199814814814</v>
      </c>
      <c r="AZ180" s="22">
        <f>SUMIF(tabParametros[Código do Posto],tabCustoUnit[[#This Row],[Código do Posto]],tabParametros[Incidência do Submódulo 2.1 sobre Ausências Legais])*tabCustoUnit[[#This Row],[MODULO 1 - REMUNERAÇÃO ]]</f>
        <v>10.635721442202501</v>
      </c>
      <c r="BA180" s="22">
        <f>SUM(tabCustoUnit[[#This Row],[Ausência por Doença]:[Incidência do Submódulo 2.1 sobre Ausências Legais]])</f>
        <v>38.772550654378421</v>
      </c>
      <c r="BB180" s="22">
        <f>SUMIF(tabParametros[Código do Posto],tabCustoUnit[[#This Row],[Código do Posto]],tabParametros[Intervalo para Repouso ou Alimentação])</f>
        <v>0</v>
      </c>
      <c r="BC180" s="22">
        <f>tabCustoUnit[[#This Row],[Intervalo para Repouso ou Alimentação]]</f>
        <v>0</v>
      </c>
      <c r="BD18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0" s="22">
        <f>tabCustoUnit[[#This Row],[Suspensão Temporária do Contrato de Trabalho]]</f>
        <v>0</v>
      </c>
      <c r="BF180" s="22">
        <f>tabCustoUnit[[#This Row],[Submódulo 4.1]]+tabCustoUnit[[#This Row],[Submódulo 4.2]]+tabCustoUnit[[#This Row],[Submódulo 4.3]]</f>
        <v>38.772550654378421</v>
      </c>
      <c r="BG180" s="22">
        <f>VLOOKUP(tabCustoUnit[[#This Row],[Código do Posto]],tabParametros[],MATCH(tabCustoUnit[[#Headers],[Uniformes e EPIs]],tabParametros[#Headers],0),0)</f>
        <v>56.642978962543395</v>
      </c>
      <c r="BH180" s="22">
        <f>VLOOKUP(tabCustoUnit[[#This Row],[Código do Posto]],tabParametros[],MATCH(tabCustoUnit[[#Headers],[Materiais de Consumo]],tabParametros[#Headers],0),0)</f>
        <v>0</v>
      </c>
      <c r="BI180" s="22">
        <f>VLOOKUP(tabCustoUnit[[#This Row],[Código do Posto]],tabParametros[],MATCH(tabCustoUnit[[#Headers],[Máquinas e Equipamentos (depreciação)]],tabParametros[#Headers],0),0)</f>
        <v>0</v>
      </c>
      <c r="BJ180" s="22">
        <f>VLOOKUP(tabCustoUnit[[#This Row],[Código do Posto]],tabParametros[],MATCH(tabCustoUnit[[#Headers],[Produtos de Limpeza e Materiais de Higiene Pessoal]],tabParametros[#Headers],0),0)</f>
        <v>0</v>
      </c>
      <c r="BK180" s="22">
        <f>VLOOKUP(tabCustoUnit[[#This Row],[Código do Posto]],tabParametros[],MATCH(tabCustoUnit[[#Headers],[Outros (especificar)]],tabParametros[#Headers],0),0)</f>
        <v>0</v>
      </c>
      <c r="BL180" s="22">
        <f>SUM(tabCustoUnit[[#This Row],[Uniformes e EPIs]:[Outros (especificar)]])</f>
        <v>56.642978962543395</v>
      </c>
      <c r="BM18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0" s="22" t="e">
        <f ca="1">VLOOKUP(tabCustoUnit[[#This Row],[Código do Posto]],tabParametros[],MATCH(tabCustoUnit[[#Headers],[Custos Indiretos]],tabParametros[#Headers],0),0)</f>
        <v>#NAME?</v>
      </c>
      <c r="BO180" s="22" t="e">
        <f ca="1">VLOOKUP(tabCustoUnit[[#This Row],[Código do Posto]],tabParametros[],MATCH(tabCustoUnit[[#Headers],[Lucro]],tabParametros[#Headers],0),0)</f>
        <v>#NAME?</v>
      </c>
      <c r="BP180" s="26">
        <f>((100/((1-tabCustoUnit[[#This Row],[Resumo de Alíquotas (PIS+CONFINS+ISS)]]))-100)*VLOOKUP(tabCustoUnit[[#This Row],[Código do Posto]],tabParametros[],MATCH(tabCustoUnit[[#Headers],[COFINS]],tabParametros[#Headers],0),0))/(tabCustoUnit[[#This Row],[Resumo de Alíquotas (PIS+CONFINS+ISS)]]*100)</f>
        <v>8.6609686609686695E-2</v>
      </c>
      <c r="BQ180" s="26">
        <f>((100/((100-(tabCustoUnit[[#This Row],[Resumo de Alíquotas (PIS+CONFINS+ISS)]]*100))%)-100)*VLOOKUP(tabCustoUnit[[#This Row],[Código do Posto]],tabParametros[],MATCH(tabCustoUnit[[#Headers],[PIS]],tabParametros[#Headers],0),0))/(tabCustoUnit[[#This Row],[Resumo de Alíquotas (PIS+CONFINS+ISS)]]*100)</f>
        <v>1.880341880341882E-2</v>
      </c>
      <c r="BR180" s="28">
        <f>VLOOKUP(tabCustoUnit[[#This Row],[Código do Posto]],tabParametros[],MATCH(tabCustoUnit[[#Headers],[ISS]],tabParametros[#Headers],0),0)</f>
        <v>0.03</v>
      </c>
      <c r="BS180" s="26">
        <f>(((100/((100-(tabCustoUnit[[#This Row],[Resumo de Alíquotas (PIS+CONFINS+ISS)]]*100))%)-100)*tabCustoUnit[[#This Row],[ISS]])/tabCustoUnit[[#This Row],[Resumo de Alíquotas (PIS+CONFINS+ISS)]])/100</f>
        <v>3.4188034188034219E-2</v>
      </c>
      <c r="BT18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0" s="138">
        <f>tabCustoUnit[[#This Row],[COFINS]]+tabCustoUnit[[#This Row],[PIS]]+tabCustoUnit[[#This Row],[ISS (Conversão Alíquota s/ fatura)]]</f>
        <v>0.13960113960113973</v>
      </c>
      <c r="BV180" s="22" t="e">
        <f ca="1">(tabCustoUnit[[#This Row],[TOTAL MÓDULOS 1+2+3+4+5]]+tabCustoUnit[[#This Row],[Custos Indiretos]]+tabCustoUnit[[#This Row],[Lucro]])*tabCustoUnit[[#This Row],[PIS + COFINS + ISS (Total Conversão  Alíquota s/ Fatura)]]</f>
        <v>#NAME?</v>
      </c>
      <c r="BW180" s="22" t="e">
        <f ca="1">tabCustoUnit[[#This Row],[Custos Indiretos]]+tabCustoUnit[[#This Row],[Lucro]]+tabCustoUnit[[#This Row],[Valor dos Tributos (ISS, PIS, CONFINS)]]</f>
        <v>#NAME?</v>
      </c>
      <c r="BX180" s="22" t="e">
        <f ca="1">tabCustoUnit[[#This Row],[TOTAL MÓDULOS 1+2+3+4+5]]+tabCustoUnit[[#This Row],[MÓDULO 6 – CUSTOS INDIRETOS, TRIBUTOS E LUCRO]]</f>
        <v>#NAME?</v>
      </c>
      <c r="BY180" s="22" t="e">
        <f ca="1">tabCustoUnit[[#This Row],[CUSTO TOTAL MENSAL]]*12</f>
        <v>#NAME?</v>
      </c>
      <c r="BZ180" s="24">
        <f>VLOOKUP(tabCustoUnit[[#This Row],[Código do Posto]],tabParametros[],MATCH(tabCustoUnit[[#Headers],[ANO DA CCT]],tabParametros[#Headers],0),0)</f>
        <v>45658</v>
      </c>
      <c r="CA180" s="25" t="str">
        <f>VLOOKUP(tabCustoUnit[[#This Row],[Código do Posto]],tabParametros[],MATCH(tabCustoUnit[[#Headers],[Nº DE PEDIDO DA CCT]],tabParametros[#Headers],0),0)</f>
        <v>-</v>
      </c>
      <c r="CB180" s="25" t="str">
        <f>VLOOKUP(tabCustoUnit[[#This Row],[Código do Posto]],tabParametros[],MATCH(tabCustoUnit[[#Headers],[TERMO ADITIVO ALTERAÇÃO DA CCT]],tabParametros[#Headers],0),0)</f>
        <v>-</v>
      </c>
    </row>
    <row r="181" spans="1:80">
      <c r="A181" s="20" t="s">
        <v>1483</v>
      </c>
      <c r="B181" t="s">
        <v>1150</v>
      </c>
      <c r="C181" t="s">
        <v>200</v>
      </c>
      <c r="D181" t="s">
        <v>961</v>
      </c>
      <c r="E181" s="20" t="s">
        <v>1090</v>
      </c>
      <c r="F181" s="20" t="s">
        <v>120</v>
      </c>
      <c r="G181" s="418">
        <v>1596.2737999999999</v>
      </c>
      <c r="H181" s="418">
        <v>0</v>
      </c>
      <c r="I181" s="418">
        <v>0</v>
      </c>
      <c r="J181" s="418">
        <v>0</v>
      </c>
      <c r="K181" s="418">
        <v>0</v>
      </c>
      <c r="L181" s="418">
        <v>0</v>
      </c>
      <c r="M181" s="418">
        <v>0</v>
      </c>
      <c r="N181" s="418">
        <v>0</v>
      </c>
      <c r="O181" s="21">
        <f>SUM(tabCustoUnit[[#This Row],[Salário Base]:[Adicional de Acúmulo de função]])</f>
        <v>1596.2737999999999</v>
      </c>
      <c r="P181" s="21">
        <f>tabCustoUnit[[#This Row],[MODULO 1 - REMUNERAÇÃO ]]*SUMIFS(tabParametros[INSS],tabParametros[Código do Posto],tabCustoUnit[[#This Row],[Código do Posto]])</f>
        <v>319.25476000000003</v>
      </c>
      <c r="Q181" s="21">
        <f>tabCustoUnit[[#This Row],[MODULO 1 - REMUNERAÇÃO ]]*SUMIFS(tabParametros[SESI OU SESC],tabParametros[Código do Posto],tabCustoUnit[[#This Row],[Código do Posto]])</f>
        <v>23.944106999999999</v>
      </c>
      <c r="R181" s="21">
        <f>tabCustoUnit[[#This Row],[MODULO 1 - REMUNERAÇÃO ]]*SUMIFS(tabParametros[SENAI OU SENAC],tabParametros[Código do Posto],tabCustoUnit[[#This Row],[Código do Posto]])</f>
        <v>15.962738</v>
      </c>
      <c r="S181" s="21">
        <f>tabCustoUnit[[#This Row],[MODULO 1 - REMUNERAÇÃO ]]*SUMIFS(tabParametros[INCRA],tabParametros[Código do Posto],tabCustoUnit[[#This Row],[Código do Posto]])</f>
        <v>3.1925476000000002</v>
      </c>
      <c r="T181" s="21">
        <f>tabCustoUnit[[#This Row],[MODULO 1 - REMUNERAÇÃO ]]*SUMIFS(tabParametros[Salário Educação],tabParametros[Código do Posto],tabCustoUnit[[#This Row],[Código do Posto]])</f>
        <v>39.906845000000004</v>
      </c>
      <c r="U181" s="21">
        <f>tabCustoUnit[[#This Row],[MODULO 1 - REMUNERAÇÃO ]]*SUMIFS(tabParametros[FGTS],tabParametros[Código do Posto],tabCustoUnit[[#This Row],[Código do Posto]])</f>
        <v>127.701904</v>
      </c>
      <c r="V181" s="21">
        <f>tabCustoUnit[[#This Row],[MODULO 1 - REMUNERAÇÃO ]]*SUMIFS(tabParametros[RAT Ajustado],tabParametros[Código do Posto],tabCustoUnit[[#This Row],[Código do Posto]])</f>
        <v>63.850951999999999</v>
      </c>
      <c r="W181" s="21">
        <f>tabCustoUnit[[#This Row],[MODULO 1 - REMUNERAÇÃO ]]*SUMIFS(tabParametros[SEBRAE],tabParametros[Código do Posto],tabCustoUnit[[#This Row],[Código do Posto]])</f>
        <v>9.5776427999999996</v>
      </c>
      <c r="X181" s="21">
        <f>SUM(tabCustoUnit[[#This Row],[INSS]:[SEBRAE]])</f>
        <v>603.39149640000005</v>
      </c>
      <c r="Y181" s="21">
        <f>tabCustoUnit[[#This Row],[MODULO 1 - REMUNERAÇÃO ]]*SUMIFS(tabParametros[13º salário (titular)],tabParametros[Código do Posto],tabCustoUnit[[#This Row],[Código do Posto]])</f>
        <v>133.02281666666664</v>
      </c>
      <c r="Z181" s="21">
        <f>tabCustoUnit[[#This Row],[MODULO 1 - REMUNERAÇÃO ]]*SUMIFS(tabParametros[Férias e Adicional de Férias (titular)],tabParametros[Código do Posto],tabCustoUnit[[#This Row],[Código do Posto]])</f>
        <v>177.36375555555554</v>
      </c>
      <c r="AA181" s="21">
        <f>IFERROR((tabCustoUnit[[#This Row],[Submódulo 2.1]]/tabCustoUnit[[#This Row],[MODULO 1 - REMUNERAÇÃO ]])*SUM(tabCustoUnit[[#This Row],[13º salário (titular)]:[Férias e Adicional de Férias (titular)]]),0)</f>
        <v>117.3261243</v>
      </c>
      <c r="AB181" s="21">
        <f>SUM(tabCustoUnit[[#This Row],[13º salário (titular)]:[Incidência do Submódulo 2.1 sobre 13º Salário, Férias e Adicional de Férias]])</f>
        <v>427.71269652222219</v>
      </c>
      <c r="AC181" s="22" t="e">
        <f ca="1">_xlfn.LET(_xlpm.VT,SUMIF(tabParametros[Código do Posto],tabCustoUnit[[#This Row],[Código do Posto]],tabParametros[Vale - Transporte])*2*20,
IF((_xlpm.VT-tabCustoUnit[[#This Row],[Salário Base]]*0.06)&gt;=0,(_xlpm.VT-tabCustoUnit[[#This Row],[Salário Base]]*0.06),0)
)</f>
        <v>#NAME?</v>
      </c>
      <c r="AD181" s="22">
        <f>IF(SUMIF(tabParametros[Código do Posto],tabCustoUnit[[#This Row],[Código do Posto]],tabParametros[Vale - Alimentação])&lt;=0,0,
SUMIF(tabParametros[Código do Posto],tabCustoUnit[[#This Row],[Código do Posto]],tabParametros[Vale - Alimentação])*20-1)</f>
        <v>582</v>
      </c>
      <c r="AE181" s="22">
        <f>SUMIF(tabParametros[Código do Posto],tabCustoUnit[[#This Row],[Código do Posto]],tabParametros[Cesta Básica])</f>
        <v>0</v>
      </c>
      <c r="AF181" s="22">
        <f>SUMIF(tabParametros[Código do Posto],tabCustoUnit[[#This Row],[Código do Posto]],tabParametros[PAF])</f>
        <v>0</v>
      </c>
      <c r="AG181" s="22">
        <f>SUMIF(tabParametros[Código do Posto],tabCustoUnit[[#This Row],[Código do Posto]],tabParametros[PQM])</f>
        <v>0</v>
      </c>
      <c r="AH181" s="22">
        <f>SUMIF(tabParametros[Código do Posto],tabCustoUnit[[#This Row],[Código do Posto]],tabParametros[Abono Único e Especial])</f>
        <v>0</v>
      </c>
      <c r="AI181" s="22">
        <f>SUMIF(tabParametros[Código do Posto],tabCustoUnit[[#This Row],[Código do Posto]],tabParametros[Seguro de Vida])</f>
        <v>3.36</v>
      </c>
      <c r="AJ181" s="22">
        <f>SUMIF(tabParametros[Código do Posto],tabCustoUnit[[#This Row],[Código do Posto]],tabParametros[Despesas de Viagem])</f>
        <v>0</v>
      </c>
      <c r="AK181" s="22" t="e">
        <f ca="1">SUM(tabCustoUnit[[#This Row],[Vale - Transporte (Descontada parcela do empregado)]:[Despesas de Viagem]])</f>
        <v>#NAME?</v>
      </c>
      <c r="AL181" s="22" t="e">
        <f ca="1">tabCustoUnit[[#This Row],[Submódulo 2.1]]+tabCustoUnit[[#This Row],[Submódulo 2.2]]+tabCustoUnit[[#This Row],[Submódulo 2.3]]</f>
        <v>#NAME?</v>
      </c>
      <c r="AM181" s="22">
        <f>SUMIF(tabParametros[Código do Posto],tabCustoUnit[[#This Row],[Código do Posto]],tabParametros[Aviso Prévio Indenizado (API) e Reflexo do Aviso Prévio Indenizado])*tabCustoUnit[[#This Row],[MODULO 1 - REMUNERAÇÃO ]]</f>
        <v>11.192699914390431</v>
      </c>
      <c r="AN181" s="22">
        <f>SUMIF(tabParametros[Código do Posto],tabCustoUnit[[#This Row],[Código do Posto]],tabParametros[Incidência do FGTS sobre API e Reflexo do API])*tabCustoUnit[[#This Row],[MODULO 1 - REMUNERAÇÃO ]]</f>
        <v>0.89541599315123466</v>
      </c>
      <c r="AO181" s="22">
        <f>SUMIF(tabParametros[Código do Posto],tabCustoUnit[[#This Row],[Código do Posto]],tabParametros[Multa Rescisória do FGTS sobre o Aviso Prévio Indenizado])*tabCustoUnit[[#This Row],[MODULO 1 - REMUNERAÇÃO ]]</f>
        <v>0.35816639726049387</v>
      </c>
      <c r="AP181" s="22">
        <f>SUMIF(tabParametros[Código do Posto],tabCustoUnit[[#This Row],[Código do Posto]],tabParametros[Aviso Prévio Trabalhado - APT])*tabCustoUnit[[#This Row],[MODULO 1 - REMUNERAÇÃO ]]</f>
        <v>5.5869583000000009</v>
      </c>
      <c r="AQ181" s="22">
        <f>SUMIF(tabParametros[Código do Posto],tabCustoUnit[[#This Row],[Código do Posto]],tabParametros[Incidência dos encargos do submódulo 2.1 sobre Aviso Prévio Trabalhado])*tabCustoUnit[[#This Row],[MODULO 1 - REMUNERAÇÃO ]]</f>
        <v>2.1118702374000007</v>
      </c>
      <c r="AR181" s="22">
        <f>SUMIF(tabParametros[Código do Posto],tabCustoUnit[[#This Row],[Código do Posto]],tabParametros[Multa Rescisória do FGTS])*tabCustoUnit[[#This Row],[MODULO 1 - REMUNERAÇÃO ]]</f>
        <v>48.810505528888882</v>
      </c>
      <c r="AS181" s="22">
        <f>SUMIF(tabParametros[Código do Posto],tabCustoUnit[[#This Row],[Código do Posto]],tabParametros[Indenização Adicional (Art. 9º da Lei nº 7.238/84)])*tabCustoUnit[[#This Row],[MODULO 1 - REMUNERAÇÃO ]]</f>
        <v>1.3302281666666667</v>
      </c>
      <c r="AT181" s="22">
        <f>SUM(tabCustoUnit[[#This Row],[Aviso Prévio Indenizado (API) e Reflexo do Aviso Prévio Indenizado]:[Indenização Adicional (Art. 9º da Lei nº 7.238/84)]])</f>
        <v>70.285844537757711</v>
      </c>
      <c r="AU181" s="22">
        <f>SUMIF(tabParametros[Código do Posto],tabCustoUnit[[#This Row],[Código do Posto]],tabParametros[Ausência por Doença])*tabCustoUnit[[#This Row],[MODULO 1 - REMUNERAÇÃO ]]</f>
        <v>13.479645422222221</v>
      </c>
      <c r="AV181" s="22">
        <f>SUMIF(tabParametros[Código do Posto],tabCustoUnit[[#This Row],[Código do Posto]],tabParametros[Ausências Legais])*tabCustoUnit[[#This Row],[MODULO 1 - REMUNERAÇÃO ]]</f>
        <v>3.2368885388888886</v>
      </c>
      <c r="AW181" s="22">
        <f>SUMIF(tabParametros[Código do Posto],tabCustoUnit[[#This Row],[Código do Posto]],tabParametros[Licença Paternidade])*tabCustoUnit[[#This Row],[MODULO 1 - REMUNERAÇÃO ]]</f>
        <v>0.27269677416666666</v>
      </c>
      <c r="AX181" s="22">
        <f>SUMIF(tabParametros[Código do Posto],tabCustoUnit[[#This Row],[Código do Posto]],tabParametros[Ausência por Acidente de Trabalho])*tabCustoUnit[[#This Row],[MODULO 1 - REMUNERAÇÃO ]]</f>
        <v>0.33255704166666666</v>
      </c>
      <c r="AY181" s="22">
        <f>SUMIF(tabParametros[Código do Posto],tabCustoUnit[[#This Row],[Código do Posto]],tabParametros[Férias, Adicional de Férias e 13º  com empregada em gozo de Licença Maternidade])*tabCustoUnit[[#This Row],[MODULO 1 - REMUNERAÇÃO ]]</f>
        <v>2.0692438148148145</v>
      </c>
      <c r="AZ181" s="22">
        <f>SUMIF(tabParametros[Código do Posto],tabCustoUnit[[#This Row],[Código do Posto]],tabParametros[Incidência do Submódulo 2.1 sobre Ausências Legais])*tabCustoUnit[[#This Row],[MODULO 1 - REMUNERAÇÃO ]]</f>
        <v>7.3298099416850011</v>
      </c>
      <c r="BA181" s="22">
        <f>SUM(tabCustoUnit[[#This Row],[Ausência por Doença]:[Incidência do Submódulo 2.1 sobre Ausências Legais]])</f>
        <v>26.720841533444265</v>
      </c>
      <c r="BB181" s="22">
        <f>SUMIF(tabParametros[Código do Posto],tabCustoUnit[[#This Row],[Código do Posto]],tabParametros[Intervalo para Repouso ou Alimentação])</f>
        <v>0</v>
      </c>
      <c r="BC181" s="22">
        <f>tabCustoUnit[[#This Row],[Intervalo para Repouso ou Alimentação]]</f>
        <v>0</v>
      </c>
      <c r="BD18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1" s="22">
        <f>tabCustoUnit[[#This Row],[Suspensão Temporária do Contrato de Trabalho]]</f>
        <v>0</v>
      </c>
      <c r="BF181" s="22">
        <f>tabCustoUnit[[#This Row],[Submódulo 4.1]]+tabCustoUnit[[#This Row],[Submódulo 4.2]]+tabCustoUnit[[#This Row],[Submódulo 4.3]]</f>
        <v>26.720841533444265</v>
      </c>
      <c r="BG181" s="22">
        <f>VLOOKUP(tabCustoUnit[[#This Row],[Código do Posto]],tabParametros[],MATCH(tabCustoUnit[[#Headers],[Uniformes e EPIs]],tabParametros[#Headers],0),0)</f>
        <v>56.141713661989918</v>
      </c>
      <c r="BH181" s="22">
        <f>VLOOKUP(tabCustoUnit[[#This Row],[Código do Posto]],tabParametros[],MATCH(tabCustoUnit[[#Headers],[Materiais de Consumo]],tabParametros[#Headers],0),0)</f>
        <v>0</v>
      </c>
      <c r="BI181" s="22">
        <f>VLOOKUP(tabCustoUnit[[#This Row],[Código do Posto]],tabParametros[],MATCH(tabCustoUnit[[#Headers],[Máquinas e Equipamentos (depreciação)]],tabParametros[#Headers],0),0)</f>
        <v>0</v>
      </c>
      <c r="BJ181" s="22">
        <f>VLOOKUP(tabCustoUnit[[#This Row],[Código do Posto]],tabParametros[],MATCH(tabCustoUnit[[#Headers],[Produtos de Limpeza e Materiais de Higiene Pessoal]],tabParametros[#Headers],0),0)</f>
        <v>0</v>
      </c>
      <c r="BK181" s="22">
        <f>VLOOKUP(tabCustoUnit[[#This Row],[Código do Posto]],tabParametros[],MATCH(tabCustoUnit[[#Headers],[Outros (especificar)]],tabParametros[#Headers],0),0)</f>
        <v>0</v>
      </c>
      <c r="BL181" s="22">
        <f>SUM(tabCustoUnit[[#This Row],[Uniformes e EPIs]:[Outros (especificar)]])</f>
        <v>56.141713661989918</v>
      </c>
      <c r="BM18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1" s="22" t="e">
        <f ca="1">VLOOKUP(tabCustoUnit[[#This Row],[Código do Posto]],tabParametros[],MATCH(tabCustoUnit[[#Headers],[Custos Indiretos]],tabParametros[#Headers],0),0)</f>
        <v>#NAME?</v>
      </c>
      <c r="BO181" s="22" t="e">
        <f ca="1">VLOOKUP(tabCustoUnit[[#This Row],[Código do Posto]],tabParametros[],MATCH(tabCustoUnit[[#Headers],[Lucro]],tabParametros[#Headers],0),0)</f>
        <v>#NAME?</v>
      </c>
      <c r="BP181" s="26">
        <f>((100/((1-tabCustoUnit[[#This Row],[Resumo de Alíquotas (PIS+CONFINS+ISS)]]))-100)*VLOOKUP(tabCustoUnit[[#This Row],[Código do Posto]],tabParametros[],MATCH(tabCustoUnit[[#Headers],[COFINS]],tabParametros[#Headers],0),0))/(tabCustoUnit[[#This Row],[Resumo de Alíquotas (PIS+CONFINS+ISS)]]*100)</f>
        <v>8.6609686609686695E-2</v>
      </c>
      <c r="BQ181" s="26">
        <f>((100/((100-(tabCustoUnit[[#This Row],[Resumo de Alíquotas (PIS+CONFINS+ISS)]]*100))%)-100)*VLOOKUP(tabCustoUnit[[#This Row],[Código do Posto]],tabParametros[],MATCH(tabCustoUnit[[#Headers],[PIS]],tabParametros[#Headers],0),0))/(tabCustoUnit[[#This Row],[Resumo de Alíquotas (PIS+CONFINS+ISS)]]*100)</f>
        <v>1.880341880341882E-2</v>
      </c>
      <c r="BR181" s="28">
        <f>VLOOKUP(tabCustoUnit[[#This Row],[Código do Posto]],tabParametros[],MATCH(tabCustoUnit[[#Headers],[ISS]],tabParametros[#Headers],0),0)</f>
        <v>0.03</v>
      </c>
      <c r="BS181" s="26">
        <f>(((100/((100-(tabCustoUnit[[#This Row],[Resumo de Alíquotas (PIS+CONFINS+ISS)]]*100))%)-100)*tabCustoUnit[[#This Row],[ISS]])/tabCustoUnit[[#This Row],[Resumo de Alíquotas (PIS+CONFINS+ISS)]])/100</f>
        <v>3.4188034188034219E-2</v>
      </c>
      <c r="BT18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1" s="138">
        <f>tabCustoUnit[[#This Row],[COFINS]]+tabCustoUnit[[#This Row],[PIS]]+tabCustoUnit[[#This Row],[ISS (Conversão Alíquota s/ fatura)]]</f>
        <v>0.13960113960113973</v>
      </c>
      <c r="BV181" s="22" t="e">
        <f ca="1">(tabCustoUnit[[#This Row],[TOTAL MÓDULOS 1+2+3+4+5]]+tabCustoUnit[[#This Row],[Custos Indiretos]]+tabCustoUnit[[#This Row],[Lucro]])*tabCustoUnit[[#This Row],[PIS + COFINS + ISS (Total Conversão  Alíquota s/ Fatura)]]</f>
        <v>#NAME?</v>
      </c>
      <c r="BW181" s="22" t="e">
        <f ca="1">tabCustoUnit[[#This Row],[Custos Indiretos]]+tabCustoUnit[[#This Row],[Lucro]]+tabCustoUnit[[#This Row],[Valor dos Tributos (ISS, PIS, CONFINS)]]</f>
        <v>#NAME?</v>
      </c>
      <c r="BX181" s="22" t="e">
        <f ca="1">tabCustoUnit[[#This Row],[TOTAL MÓDULOS 1+2+3+4+5]]+tabCustoUnit[[#This Row],[MÓDULO 6 – CUSTOS INDIRETOS, TRIBUTOS E LUCRO]]</f>
        <v>#NAME?</v>
      </c>
      <c r="BY181" s="22" t="e">
        <f ca="1">tabCustoUnit[[#This Row],[CUSTO TOTAL MENSAL]]*12</f>
        <v>#NAME?</v>
      </c>
      <c r="BZ181" s="24">
        <f>VLOOKUP(tabCustoUnit[[#This Row],[Código do Posto]],tabParametros[],MATCH(tabCustoUnit[[#Headers],[ANO DA CCT]],tabParametros[#Headers],0),0)</f>
        <v>45658</v>
      </c>
      <c r="CA181" s="25" t="str">
        <f>VLOOKUP(tabCustoUnit[[#This Row],[Código do Posto]],tabParametros[],MATCH(tabCustoUnit[[#Headers],[Nº DE PEDIDO DA CCT]],tabParametros[#Headers],0),0)</f>
        <v>-</v>
      </c>
      <c r="CB181" s="25" t="str">
        <f>VLOOKUP(tabCustoUnit[[#This Row],[Código do Posto]],tabParametros[],MATCH(tabCustoUnit[[#Headers],[TERMO ADITIVO ALTERAÇÃO DA CCT]],tabParametros[#Headers],0),0)</f>
        <v>-</v>
      </c>
    </row>
    <row r="182" spans="1:80">
      <c r="A182" s="20" t="s">
        <v>1484</v>
      </c>
      <c r="B182" t="s">
        <v>1151</v>
      </c>
      <c r="C182" t="s">
        <v>314</v>
      </c>
      <c r="D182" t="s">
        <v>918</v>
      </c>
      <c r="E182" s="20" t="s">
        <v>1090</v>
      </c>
      <c r="F182" s="20" t="s">
        <v>120</v>
      </c>
      <c r="G182" s="418">
        <v>1963.4110000000001</v>
      </c>
      <c r="H182" s="418">
        <v>0</v>
      </c>
      <c r="I182" s="418">
        <v>0</v>
      </c>
      <c r="J182" s="418">
        <v>0</v>
      </c>
      <c r="K182" s="418">
        <v>0</v>
      </c>
      <c r="L182" s="418">
        <v>0</v>
      </c>
      <c r="M182" s="418">
        <v>0</v>
      </c>
      <c r="N182" s="418">
        <v>0</v>
      </c>
      <c r="O182" s="21">
        <f>SUM(tabCustoUnit[[#This Row],[Salário Base]:[Adicional de Acúmulo de função]])</f>
        <v>1963.4110000000001</v>
      </c>
      <c r="P182" s="21">
        <f>tabCustoUnit[[#This Row],[MODULO 1 - REMUNERAÇÃO ]]*SUMIFS(tabParametros[INSS],tabParametros[Código do Posto],tabCustoUnit[[#This Row],[Código do Posto]])</f>
        <v>392.68220000000002</v>
      </c>
      <c r="Q182" s="21">
        <f>tabCustoUnit[[#This Row],[MODULO 1 - REMUNERAÇÃO ]]*SUMIFS(tabParametros[SESI OU SESC],tabParametros[Código do Posto],tabCustoUnit[[#This Row],[Código do Posto]])</f>
        <v>29.451165</v>
      </c>
      <c r="R182" s="21">
        <f>tabCustoUnit[[#This Row],[MODULO 1 - REMUNERAÇÃO ]]*SUMIFS(tabParametros[SENAI OU SENAC],tabParametros[Código do Posto],tabCustoUnit[[#This Row],[Código do Posto]])</f>
        <v>19.63411</v>
      </c>
      <c r="S182" s="21">
        <f>tabCustoUnit[[#This Row],[MODULO 1 - REMUNERAÇÃO ]]*SUMIFS(tabParametros[INCRA],tabParametros[Código do Posto],tabCustoUnit[[#This Row],[Código do Posto]])</f>
        <v>3.926822</v>
      </c>
      <c r="T182" s="21">
        <f>tabCustoUnit[[#This Row],[MODULO 1 - REMUNERAÇÃO ]]*SUMIFS(tabParametros[Salário Educação],tabParametros[Código do Posto],tabCustoUnit[[#This Row],[Código do Posto]])</f>
        <v>49.085275000000003</v>
      </c>
      <c r="U182" s="21">
        <f>tabCustoUnit[[#This Row],[MODULO 1 - REMUNERAÇÃO ]]*SUMIFS(tabParametros[FGTS],tabParametros[Código do Posto],tabCustoUnit[[#This Row],[Código do Posto]])</f>
        <v>157.07288</v>
      </c>
      <c r="V182" s="21">
        <f>tabCustoUnit[[#This Row],[MODULO 1 - REMUNERAÇÃO ]]*SUMIFS(tabParametros[RAT Ajustado],tabParametros[Código do Posto],tabCustoUnit[[#This Row],[Código do Posto]])</f>
        <v>78.536439999999999</v>
      </c>
      <c r="W182" s="21">
        <f>tabCustoUnit[[#This Row],[MODULO 1 - REMUNERAÇÃO ]]*SUMIFS(tabParametros[SEBRAE],tabParametros[Código do Posto],tabCustoUnit[[#This Row],[Código do Posto]])</f>
        <v>11.780466000000001</v>
      </c>
      <c r="X182" s="21">
        <f>SUM(tabCustoUnit[[#This Row],[INSS]:[SEBRAE]])</f>
        <v>742.1693580000001</v>
      </c>
      <c r="Y182" s="21">
        <f>tabCustoUnit[[#This Row],[MODULO 1 - REMUNERAÇÃO ]]*SUMIFS(tabParametros[13º salário (titular)],tabParametros[Código do Posto],tabCustoUnit[[#This Row],[Código do Posto]])</f>
        <v>163.61758333333333</v>
      </c>
      <c r="Z182" s="21">
        <f>tabCustoUnit[[#This Row],[MODULO 1 - REMUNERAÇÃO ]]*SUMIFS(tabParametros[Férias e Adicional de Férias (titular)],tabParametros[Código do Posto],tabCustoUnit[[#This Row],[Código do Posto]])</f>
        <v>218.15677777777776</v>
      </c>
      <c r="AA182" s="21">
        <f>IFERROR((tabCustoUnit[[#This Row],[Submódulo 2.1]]/tabCustoUnit[[#This Row],[MODULO 1 - REMUNERAÇÃO ]])*SUM(tabCustoUnit[[#This Row],[13º salário (titular)]:[Férias e Adicional de Férias (titular)]]),0)</f>
        <v>144.3107085</v>
      </c>
      <c r="AB182" s="21">
        <f>SUM(tabCustoUnit[[#This Row],[13º salário (titular)]:[Incidência do Submódulo 2.1 sobre 13º Salário, Férias e Adicional de Férias]])</f>
        <v>526.08506961111107</v>
      </c>
      <c r="AC182" s="22" t="e">
        <f ca="1">_xlfn.LET(_xlpm.VT,SUMIF(tabParametros[Código do Posto],tabCustoUnit[[#This Row],[Código do Posto]],tabParametros[Vale - Transporte])*2*20,
IF((_xlpm.VT-tabCustoUnit[[#This Row],[Salário Base]]*0.06)&gt;=0,(_xlpm.VT-tabCustoUnit[[#This Row],[Salário Base]]*0.06),0)
)</f>
        <v>#NAME?</v>
      </c>
      <c r="AD182" s="22">
        <f>IF(SUMIF(tabParametros[Código do Posto],tabCustoUnit[[#This Row],[Código do Posto]],tabParametros[Vale - Alimentação])&lt;=0,0,
SUMIF(tabParametros[Código do Posto],tabCustoUnit[[#This Row],[Código do Posto]],tabParametros[Vale - Alimentação])*20-1)</f>
        <v>582</v>
      </c>
      <c r="AE182" s="22">
        <f>SUMIF(tabParametros[Código do Posto],tabCustoUnit[[#This Row],[Código do Posto]],tabParametros[Cesta Básica])</f>
        <v>0</v>
      </c>
      <c r="AF182" s="22">
        <f>SUMIF(tabParametros[Código do Posto],tabCustoUnit[[#This Row],[Código do Posto]],tabParametros[PAF])</f>
        <v>0</v>
      </c>
      <c r="AG182" s="22">
        <f>SUMIF(tabParametros[Código do Posto],tabCustoUnit[[#This Row],[Código do Posto]],tabParametros[PQM])</f>
        <v>15.07</v>
      </c>
      <c r="AH182" s="22">
        <f>SUMIF(tabParametros[Código do Posto],tabCustoUnit[[#This Row],[Código do Posto]],tabParametros[Abono Único e Especial])</f>
        <v>0</v>
      </c>
      <c r="AI182" s="22">
        <f>SUMIF(tabParametros[Código do Posto],tabCustoUnit[[#This Row],[Código do Posto]],tabParametros[Seguro de Vida])</f>
        <v>3.36</v>
      </c>
      <c r="AJ182" s="22">
        <f>SUMIF(tabParametros[Código do Posto],tabCustoUnit[[#This Row],[Código do Posto]],tabParametros[Despesas de Viagem])</f>
        <v>0</v>
      </c>
      <c r="AK182" s="22" t="e">
        <f ca="1">SUM(tabCustoUnit[[#This Row],[Vale - Transporte (Descontada parcela do empregado)]:[Despesas de Viagem]])</f>
        <v>#NAME?</v>
      </c>
      <c r="AL182" s="22" t="e">
        <f ca="1">tabCustoUnit[[#This Row],[Submódulo 2.1]]+tabCustoUnit[[#This Row],[Submódulo 2.2]]+tabCustoUnit[[#This Row],[Submódulo 2.3]]</f>
        <v>#NAME?</v>
      </c>
      <c r="AM182" s="22">
        <f>SUMIF(tabParametros[Código do Posto],tabCustoUnit[[#This Row],[Código do Posto]],tabParametros[Aviso Prévio Indenizado (API) e Reflexo do Aviso Prévio Indenizado])*tabCustoUnit[[#This Row],[MODULO 1 - REMUNERAÇÃO ]]</f>
        <v>13.766980408757716</v>
      </c>
      <c r="AN182" s="22">
        <f>SUMIF(tabParametros[Código do Posto],tabCustoUnit[[#This Row],[Código do Posto]],tabParametros[Incidência do FGTS sobre API e Reflexo do API])*tabCustoUnit[[#This Row],[MODULO 1 - REMUNERAÇÃO ]]</f>
        <v>1.1013584327006174</v>
      </c>
      <c r="AO182" s="22">
        <f>SUMIF(tabParametros[Código do Posto],tabCustoUnit[[#This Row],[Código do Posto]],tabParametros[Multa Rescisória do FGTS sobre o Aviso Prévio Indenizado])*tabCustoUnit[[#This Row],[MODULO 1 - REMUNERAÇÃO ]]</f>
        <v>0.44054337308024699</v>
      </c>
      <c r="AP182" s="22">
        <f>SUMIF(tabParametros[Código do Posto],tabCustoUnit[[#This Row],[Código do Posto]],tabParametros[Aviso Prévio Trabalhado - APT])*tabCustoUnit[[#This Row],[MODULO 1 - REMUNERAÇÃO ]]</f>
        <v>6.8719385000000015</v>
      </c>
      <c r="AQ182" s="22">
        <f>SUMIF(tabParametros[Código do Posto],tabCustoUnit[[#This Row],[Código do Posto]],tabParametros[Incidência dos encargos do submódulo 2.1 sobre Aviso Prévio Trabalhado])*tabCustoUnit[[#This Row],[MODULO 1 - REMUNERAÇÃO ]]</f>
        <v>2.5975927530000007</v>
      </c>
      <c r="AR182" s="22">
        <f>SUMIF(tabParametros[Código do Posto],tabCustoUnit[[#This Row],[Código do Posto]],tabParametros[Multa Rescisória do FGTS])*tabCustoUnit[[#This Row],[MODULO 1 - REMUNERAÇÃO ]]</f>
        <v>60.03674524444444</v>
      </c>
      <c r="AS182" s="22">
        <f>SUMIF(tabParametros[Código do Posto],tabCustoUnit[[#This Row],[Código do Posto]],tabParametros[Indenização Adicional (Art. 9º da Lei nº 7.238/84)])*tabCustoUnit[[#This Row],[MODULO 1 - REMUNERAÇÃO ]]</f>
        <v>1.6361758333333334</v>
      </c>
      <c r="AT182" s="22">
        <f>SUM(tabCustoUnit[[#This Row],[Aviso Prévio Indenizado (API) e Reflexo do Aviso Prévio Indenizado]:[Indenização Adicional (Art. 9º da Lei nº 7.238/84)]])</f>
        <v>86.451334545316371</v>
      </c>
      <c r="AU182" s="22">
        <f>SUMIF(tabParametros[Código do Posto],tabCustoUnit[[#This Row],[Código do Posto]],tabParametros[Ausência por Doença])*tabCustoUnit[[#This Row],[MODULO 1 - REMUNERAÇÃO ]]</f>
        <v>16.579915111111109</v>
      </c>
      <c r="AV182" s="22">
        <f>SUMIF(tabParametros[Código do Posto],tabCustoUnit[[#This Row],[Código do Posto]],tabParametros[Ausências Legais])*tabCustoUnit[[#This Row],[MODULO 1 - REMUNERAÇÃO ]]</f>
        <v>3.9813611944444443</v>
      </c>
      <c r="AW182" s="22">
        <f>SUMIF(tabParametros[Código do Posto],tabCustoUnit[[#This Row],[Código do Posto]],tabParametros[Licença Paternidade])*tabCustoUnit[[#This Row],[MODULO 1 - REMUNERAÇÃO ]]</f>
        <v>0.33541604583333334</v>
      </c>
      <c r="AX182" s="22">
        <f>SUMIF(tabParametros[Código do Posto],tabCustoUnit[[#This Row],[Código do Posto]],tabParametros[Ausência por Acidente de Trabalho])*tabCustoUnit[[#This Row],[MODULO 1 - REMUNERAÇÃO ]]</f>
        <v>0.40904395833333335</v>
      </c>
      <c r="AY182" s="22">
        <f>SUMIF(tabParametros[Código do Posto],tabCustoUnit[[#This Row],[Código do Posto]],tabParametros[Férias, Adicional de Férias e 13º  com empregada em gozo de Licença Maternidade])*tabCustoUnit[[#This Row],[MODULO 1 - REMUNERAÇÃO ]]</f>
        <v>2.5451624074074073</v>
      </c>
      <c r="AZ182" s="22">
        <f>SUMIF(tabParametros[Código do Posto],tabCustoUnit[[#This Row],[Código do Posto]],tabParametros[Incidência do Submódulo 2.1 sobre Ausências Legais])*tabCustoUnit[[#This Row],[MODULO 1 - REMUNERAÇÃO ]]</f>
        <v>9.0156397150750021</v>
      </c>
      <c r="BA182" s="22">
        <f>SUM(tabCustoUnit[[#This Row],[Ausência por Doença]:[Incidência do Submódulo 2.1 sobre Ausências Legais]])</f>
        <v>32.866538432204628</v>
      </c>
      <c r="BB182" s="22">
        <f>SUMIF(tabParametros[Código do Posto],tabCustoUnit[[#This Row],[Código do Posto]],tabParametros[Intervalo para Repouso ou Alimentação])</f>
        <v>267.73786489195959</v>
      </c>
      <c r="BC182" s="22">
        <f>tabCustoUnit[[#This Row],[Intervalo para Repouso ou Alimentação]]</f>
        <v>267.73786489195959</v>
      </c>
      <c r="BD18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2" s="22">
        <f>tabCustoUnit[[#This Row],[Suspensão Temporária do Contrato de Trabalho]]</f>
        <v>0</v>
      </c>
      <c r="BF182" s="22">
        <f>tabCustoUnit[[#This Row],[Submódulo 4.1]]+tabCustoUnit[[#This Row],[Submódulo 4.2]]+tabCustoUnit[[#This Row],[Submódulo 4.3]]</f>
        <v>300.6044033241642</v>
      </c>
      <c r="BG182" s="22">
        <f>VLOOKUP(tabCustoUnit[[#This Row],[Código do Posto]],tabParametros[],MATCH(tabCustoUnit[[#Headers],[Uniformes e EPIs]],tabParametros[#Headers],0),0)</f>
        <v>56.642978962543395</v>
      </c>
      <c r="BH182" s="22">
        <f>VLOOKUP(tabCustoUnit[[#This Row],[Código do Posto]],tabParametros[],MATCH(tabCustoUnit[[#Headers],[Materiais de Consumo]],tabParametros[#Headers],0),0)</f>
        <v>0</v>
      </c>
      <c r="BI182" s="22">
        <f>VLOOKUP(tabCustoUnit[[#This Row],[Código do Posto]],tabParametros[],MATCH(tabCustoUnit[[#Headers],[Máquinas e Equipamentos (depreciação)]],tabParametros[#Headers],0),0)</f>
        <v>0</v>
      </c>
      <c r="BJ182" s="22">
        <f>VLOOKUP(tabCustoUnit[[#This Row],[Código do Posto]],tabParametros[],MATCH(tabCustoUnit[[#Headers],[Produtos de Limpeza e Materiais de Higiene Pessoal]],tabParametros[#Headers],0),0)</f>
        <v>0</v>
      </c>
      <c r="BK182" s="22">
        <f>VLOOKUP(tabCustoUnit[[#This Row],[Código do Posto]],tabParametros[],MATCH(tabCustoUnit[[#Headers],[Outros (especificar)]],tabParametros[#Headers],0),0)</f>
        <v>0</v>
      </c>
      <c r="BL182" s="22">
        <f>SUM(tabCustoUnit[[#This Row],[Uniformes e EPIs]:[Outros (especificar)]])</f>
        <v>56.642978962543395</v>
      </c>
      <c r="BM18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2" s="22" t="e">
        <f ca="1">VLOOKUP(tabCustoUnit[[#This Row],[Código do Posto]],tabParametros[],MATCH(tabCustoUnit[[#Headers],[Custos Indiretos]],tabParametros[#Headers],0),0)</f>
        <v>#NAME?</v>
      </c>
      <c r="BO182" s="22" t="e">
        <f ca="1">VLOOKUP(tabCustoUnit[[#This Row],[Código do Posto]],tabParametros[],MATCH(tabCustoUnit[[#Headers],[Lucro]],tabParametros[#Headers],0),0)</f>
        <v>#NAME?</v>
      </c>
      <c r="BP182" s="26">
        <f>((100/((1-tabCustoUnit[[#This Row],[Resumo de Alíquotas (PIS+CONFINS+ISS)]]))-100)*VLOOKUP(tabCustoUnit[[#This Row],[Código do Posto]],tabParametros[],MATCH(tabCustoUnit[[#Headers],[COFINS]],tabParametros[#Headers],0),0))/(tabCustoUnit[[#This Row],[Resumo de Alíquotas (PIS+CONFINS+ISS)]]*100)</f>
        <v>8.5633802816901458E-2</v>
      </c>
      <c r="BQ182" s="26">
        <f>((100/((100-(tabCustoUnit[[#This Row],[Resumo de Alíquotas (PIS+CONFINS+ISS)]]*100))%)-100)*VLOOKUP(tabCustoUnit[[#This Row],[Código do Posto]],tabParametros[],MATCH(tabCustoUnit[[#Headers],[PIS]],tabParametros[#Headers],0),0))/(tabCustoUnit[[#This Row],[Resumo de Alíquotas (PIS+CONFINS+ISS)]]*100)</f>
        <v>1.8591549295774657E-2</v>
      </c>
      <c r="BR182" s="28">
        <f>VLOOKUP(tabCustoUnit[[#This Row],[Código do Posto]],tabParametros[],MATCH(tabCustoUnit[[#Headers],[ISS]],tabParametros[#Headers],0),0)</f>
        <v>0.02</v>
      </c>
      <c r="BS182" s="26">
        <f>(((100/((100-(tabCustoUnit[[#This Row],[Resumo de Alíquotas (PIS+CONFINS+ISS)]]*100))%)-100)*tabCustoUnit[[#This Row],[ISS]])/tabCustoUnit[[#This Row],[Resumo de Alíquotas (PIS+CONFINS+ISS)]])/100</f>
        <v>2.2535211267605645E-2</v>
      </c>
      <c r="BT18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82" s="138">
        <f>tabCustoUnit[[#This Row],[COFINS]]+tabCustoUnit[[#This Row],[PIS]]+tabCustoUnit[[#This Row],[ISS (Conversão Alíquota s/ fatura)]]</f>
        <v>0.12676056338028174</v>
      </c>
      <c r="BV182" s="22" t="e">
        <f ca="1">(tabCustoUnit[[#This Row],[TOTAL MÓDULOS 1+2+3+4+5]]+tabCustoUnit[[#This Row],[Custos Indiretos]]+tabCustoUnit[[#This Row],[Lucro]])*tabCustoUnit[[#This Row],[PIS + COFINS + ISS (Total Conversão  Alíquota s/ Fatura)]]</f>
        <v>#NAME?</v>
      </c>
      <c r="BW182" s="22" t="e">
        <f ca="1">tabCustoUnit[[#This Row],[Custos Indiretos]]+tabCustoUnit[[#This Row],[Lucro]]+tabCustoUnit[[#This Row],[Valor dos Tributos (ISS, PIS, CONFINS)]]</f>
        <v>#NAME?</v>
      </c>
      <c r="BX182" s="22" t="e">
        <f ca="1">tabCustoUnit[[#This Row],[TOTAL MÓDULOS 1+2+3+4+5]]+tabCustoUnit[[#This Row],[MÓDULO 6 – CUSTOS INDIRETOS, TRIBUTOS E LUCRO]]</f>
        <v>#NAME?</v>
      </c>
      <c r="BY182" s="22" t="e">
        <f ca="1">tabCustoUnit[[#This Row],[CUSTO TOTAL MENSAL]]*12</f>
        <v>#NAME?</v>
      </c>
      <c r="BZ182" s="24">
        <f>VLOOKUP(tabCustoUnit[[#This Row],[Código do Posto]],tabParametros[],MATCH(tabCustoUnit[[#Headers],[ANO DA CCT]],tabParametros[#Headers],0),0)</f>
        <v>45658</v>
      </c>
      <c r="CA182" s="25" t="str">
        <f>VLOOKUP(tabCustoUnit[[#This Row],[Código do Posto]],tabParametros[],MATCH(tabCustoUnit[[#Headers],[Nº DE PEDIDO DA CCT]],tabParametros[#Headers],0),0)</f>
        <v>-</v>
      </c>
      <c r="CB182" s="25" t="str">
        <f>VLOOKUP(tabCustoUnit[[#This Row],[Código do Posto]],tabParametros[],MATCH(tabCustoUnit[[#Headers],[TERMO ADITIVO ALTERAÇÃO DA CCT]],tabParametros[#Headers],0),0)</f>
        <v>-</v>
      </c>
    </row>
    <row r="183" spans="1:80">
      <c r="A183" s="20" t="s">
        <v>1624</v>
      </c>
      <c r="B183" t="s">
        <v>1151</v>
      </c>
      <c r="C183" t="s">
        <v>324</v>
      </c>
      <c r="D183" t="s">
        <v>918</v>
      </c>
      <c r="E183" s="20" t="s">
        <v>1090</v>
      </c>
      <c r="F183" s="20" t="s">
        <v>120</v>
      </c>
      <c r="G183" s="418">
        <v>3397.1306</v>
      </c>
      <c r="H183" s="418">
        <v>0</v>
      </c>
      <c r="I183" s="418">
        <v>0</v>
      </c>
      <c r="J183" s="418">
        <v>0</v>
      </c>
      <c r="K183" s="418">
        <v>0</v>
      </c>
      <c r="L183" s="418">
        <v>0</v>
      </c>
      <c r="M183" s="418">
        <v>0</v>
      </c>
      <c r="N183" s="418">
        <v>0</v>
      </c>
      <c r="O183" s="21">
        <f>SUM(tabCustoUnit[[#This Row],[Salário Base]:[Adicional de Acúmulo de função]])</f>
        <v>3397.1306</v>
      </c>
      <c r="P183" s="21">
        <f>tabCustoUnit[[#This Row],[MODULO 1 - REMUNERAÇÃO ]]*SUMIFS(tabParametros[INSS],tabParametros[Código do Posto],tabCustoUnit[[#This Row],[Código do Posto]])</f>
        <v>679.42612000000008</v>
      </c>
      <c r="Q183" s="21">
        <f>tabCustoUnit[[#This Row],[MODULO 1 - REMUNERAÇÃO ]]*SUMIFS(tabParametros[SESI OU SESC],tabParametros[Código do Posto],tabCustoUnit[[#This Row],[Código do Posto]])</f>
        <v>50.956958999999998</v>
      </c>
      <c r="R183" s="21">
        <f>tabCustoUnit[[#This Row],[MODULO 1 - REMUNERAÇÃO ]]*SUMIFS(tabParametros[SENAI OU SENAC],tabParametros[Código do Posto],tabCustoUnit[[#This Row],[Código do Posto]])</f>
        <v>33.971305999999998</v>
      </c>
      <c r="S183" s="21">
        <f>tabCustoUnit[[#This Row],[MODULO 1 - REMUNERAÇÃO ]]*SUMIFS(tabParametros[INCRA],tabParametros[Código do Posto],tabCustoUnit[[#This Row],[Código do Posto]])</f>
        <v>6.7942612000000002</v>
      </c>
      <c r="T183" s="21">
        <f>tabCustoUnit[[#This Row],[MODULO 1 - REMUNERAÇÃO ]]*SUMIFS(tabParametros[Salário Educação],tabParametros[Código do Posto],tabCustoUnit[[#This Row],[Código do Posto]])</f>
        <v>84.92826500000001</v>
      </c>
      <c r="U183" s="21">
        <f>tabCustoUnit[[#This Row],[MODULO 1 - REMUNERAÇÃO ]]*SUMIFS(tabParametros[FGTS],tabParametros[Código do Posto],tabCustoUnit[[#This Row],[Código do Posto]])</f>
        <v>271.77044799999999</v>
      </c>
      <c r="V183" s="21">
        <f>tabCustoUnit[[#This Row],[MODULO 1 - REMUNERAÇÃO ]]*SUMIFS(tabParametros[RAT Ajustado],tabParametros[Código do Posto],tabCustoUnit[[#This Row],[Código do Posto]])</f>
        <v>135.88522399999999</v>
      </c>
      <c r="W183" s="21">
        <f>tabCustoUnit[[#This Row],[MODULO 1 - REMUNERAÇÃO ]]*SUMIFS(tabParametros[SEBRAE],tabParametros[Código do Posto],tabCustoUnit[[#This Row],[Código do Posto]])</f>
        <v>20.3827836</v>
      </c>
      <c r="X183" s="21">
        <f>SUM(tabCustoUnit[[#This Row],[INSS]:[SEBRAE]])</f>
        <v>1284.1153668000002</v>
      </c>
      <c r="Y183" s="21">
        <f>tabCustoUnit[[#This Row],[MODULO 1 - REMUNERAÇÃO ]]*SUMIFS(tabParametros[13º salário (titular)],tabParametros[Código do Posto],tabCustoUnit[[#This Row],[Código do Posto]])</f>
        <v>283.09421666666663</v>
      </c>
      <c r="Z183" s="21">
        <f>tabCustoUnit[[#This Row],[MODULO 1 - REMUNERAÇÃO ]]*SUMIFS(tabParametros[Férias e Adicional de Férias (titular)],tabParametros[Código do Posto],tabCustoUnit[[#This Row],[Código do Posto]])</f>
        <v>377.45895555555552</v>
      </c>
      <c r="AA183" s="21">
        <f>IFERROR((tabCustoUnit[[#This Row],[Submódulo 2.1]]/tabCustoUnit[[#This Row],[MODULO 1 - REMUNERAÇÃO ]])*SUM(tabCustoUnit[[#This Row],[13º salário (titular)]:[Férias e Adicional de Férias (titular)]]),0)</f>
        <v>249.68909910000002</v>
      </c>
      <c r="AB183" s="21">
        <f>SUM(tabCustoUnit[[#This Row],[13º salário (titular)]:[Incidência do Submódulo 2.1 sobre 13º Salário, Férias e Adicional de Férias]])</f>
        <v>910.24227132222222</v>
      </c>
      <c r="AC183" s="22" t="e">
        <f ca="1">_xlfn.LET(_xlpm.VT,SUMIF(tabParametros[Código do Posto],tabCustoUnit[[#This Row],[Código do Posto]],tabParametros[Vale - Transporte])*2*20,
IF((_xlpm.VT-tabCustoUnit[[#This Row],[Salário Base]]*0.06)&gt;=0,(_xlpm.VT-tabCustoUnit[[#This Row],[Salário Base]]*0.06),0)
)</f>
        <v>#NAME?</v>
      </c>
      <c r="AD183" s="22">
        <f>IF(SUMIF(tabParametros[Código do Posto],tabCustoUnit[[#This Row],[Código do Posto]],tabParametros[Vale - Alimentação])&lt;=0,0,
SUMIF(tabParametros[Código do Posto],tabCustoUnit[[#This Row],[Código do Posto]],tabParametros[Vale - Alimentação])*20-1)</f>
        <v>582</v>
      </c>
      <c r="AE183" s="22">
        <f>SUMIF(tabParametros[Código do Posto],tabCustoUnit[[#This Row],[Código do Posto]],tabParametros[Cesta Básica])</f>
        <v>0</v>
      </c>
      <c r="AF183" s="22">
        <f>SUMIF(tabParametros[Código do Posto],tabCustoUnit[[#This Row],[Código do Posto]],tabParametros[PAF])</f>
        <v>0</v>
      </c>
      <c r="AG183" s="22">
        <f>SUMIF(tabParametros[Código do Posto],tabCustoUnit[[#This Row],[Código do Posto]],tabParametros[PQM])</f>
        <v>15.07</v>
      </c>
      <c r="AH183" s="22">
        <f>SUMIF(tabParametros[Código do Posto],tabCustoUnit[[#This Row],[Código do Posto]],tabParametros[Abono Único e Especial])</f>
        <v>0</v>
      </c>
      <c r="AI183" s="22">
        <f>SUMIF(tabParametros[Código do Posto],tabCustoUnit[[#This Row],[Código do Posto]],tabParametros[Seguro de Vida])</f>
        <v>3.36</v>
      </c>
      <c r="AJ183" s="22">
        <f>SUMIF(tabParametros[Código do Posto],tabCustoUnit[[#This Row],[Código do Posto]],tabParametros[Despesas de Viagem])</f>
        <v>0</v>
      </c>
      <c r="AK183" s="22" t="e">
        <f ca="1">SUM(tabCustoUnit[[#This Row],[Vale - Transporte (Descontada parcela do empregado)]:[Despesas de Viagem]])</f>
        <v>#NAME?</v>
      </c>
      <c r="AL183" s="22" t="e">
        <f ca="1">tabCustoUnit[[#This Row],[Submódulo 2.1]]+tabCustoUnit[[#This Row],[Submódulo 2.2]]+tabCustoUnit[[#This Row],[Submódulo 2.3]]</f>
        <v>#NAME?</v>
      </c>
      <c r="AM183" s="22">
        <f>SUMIF(tabParametros[Código do Posto],tabCustoUnit[[#This Row],[Código do Posto]],tabParametros[Aviso Prévio Indenizado (API) e Reflexo do Aviso Prévio Indenizado])*tabCustoUnit[[#This Row],[MODULO 1 - REMUNERAÇÃO ]]</f>
        <v>23.819888151890432</v>
      </c>
      <c r="AN183" s="22">
        <f>SUMIF(tabParametros[Código do Posto],tabCustoUnit[[#This Row],[Código do Posto]],tabParametros[Incidência do FGTS sobre API e Reflexo do API])*tabCustoUnit[[#This Row],[MODULO 1 - REMUNERAÇÃO ]]</f>
        <v>1.9055910521512347</v>
      </c>
      <c r="AO183" s="22">
        <f>SUMIF(tabParametros[Código do Posto],tabCustoUnit[[#This Row],[Código do Posto]],tabParametros[Multa Rescisória do FGTS sobre o Aviso Prévio Indenizado])*tabCustoUnit[[#This Row],[MODULO 1 - REMUNERAÇÃO ]]</f>
        <v>0.76223642086049392</v>
      </c>
      <c r="AP183" s="22">
        <f>SUMIF(tabParametros[Código do Posto],tabCustoUnit[[#This Row],[Código do Posto]],tabParametros[Aviso Prévio Trabalhado - APT])*tabCustoUnit[[#This Row],[MODULO 1 - REMUNERAÇÃO ]]</f>
        <v>11.889957100000002</v>
      </c>
      <c r="AQ183" s="22">
        <f>SUMIF(tabParametros[Código do Posto],tabCustoUnit[[#This Row],[Código do Posto]],tabParametros[Incidência dos encargos do submódulo 2.1 sobre Aviso Prévio Trabalhado])*tabCustoUnit[[#This Row],[MODULO 1 - REMUNERAÇÃO ]]</f>
        <v>4.4944037838000011</v>
      </c>
      <c r="AR183" s="22">
        <f>SUMIF(tabParametros[Código do Posto],tabCustoUnit[[#This Row],[Código do Posto]],tabParametros[Multa Rescisória do FGTS])*tabCustoUnit[[#This Row],[MODULO 1 - REMUNERAÇÃO ]]</f>
        <v>103.87670456888887</v>
      </c>
      <c r="AS183" s="22">
        <f>SUMIF(tabParametros[Código do Posto],tabCustoUnit[[#This Row],[Código do Posto]],tabParametros[Indenização Adicional (Art. 9º da Lei nº 7.238/84)])*tabCustoUnit[[#This Row],[MODULO 1 - REMUNERAÇÃO ]]</f>
        <v>2.830942166666667</v>
      </c>
      <c r="AT183" s="22">
        <f>SUM(tabCustoUnit[[#This Row],[Aviso Prévio Indenizado (API) e Reflexo do Aviso Prévio Indenizado]:[Indenização Adicional (Art. 9º da Lei nº 7.238/84)]])</f>
        <v>149.57972324425771</v>
      </c>
      <c r="AU183" s="22">
        <f>SUMIF(tabParametros[Código do Posto],tabCustoUnit[[#This Row],[Código do Posto]],tabParametros[Ausência por Doença])*tabCustoUnit[[#This Row],[MODULO 1 - REMUNERAÇÃO ]]</f>
        <v>28.686880622222219</v>
      </c>
      <c r="AV183" s="22">
        <f>SUMIF(tabParametros[Código do Posto],tabCustoUnit[[#This Row],[Código do Posto]],tabParametros[Ausências Legais])*tabCustoUnit[[#This Row],[MODULO 1 - REMUNERAÇÃO ]]</f>
        <v>6.8886259388888886</v>
      </c>
      <c r="AW183" s="22">
        <f>SUMIF(tabParametros[Código do Posto],tabCustoUnit[[#This Row],[Código do Posto]],tabParametros[Licença Paternidade])*tabCustoUnit[[#This Row],[MODULO 1 - REMUNERAÇÃO ]]</f>
        <v>0.58034314416666666</v>
      </c>
      <c r="AX183" s="22">
        <f>SUMIF(tabParametros[Código do Posto],tabCustoUnit[[#This Row],[Código do Posto]],tabParametros[Ausência por Acidente de Trabalho])*tabCustoUnit[[#This Row],[MODULO 1 - REMUNERAÇÃO ]]</f>
        <v>0.70773554166666675</v>
      </c>
      <c r="AY183" s="22">
        <f>SUMIF(tabParametros[Código do Posto],tabCustoUnit[[#This Row],[Código do Posto]],tabParametros[Férias, Adicional de Férias e 13º  com empregada em gozo de Licença Maternidade])*tabCustoUnit[[#This Row],[MODULO 1 - REMUNERAÇÃO ]]</f>
        <v>4.4036878148148144</v>
      </c>
      <c r="AZ183" s="22">
        <f>SUMIF(tabParametros[Código do Posto],tabCustoUnit[[#This Row],[Código do Posto]],tabParametros[Incidência do Submódulo 2.1 sobre Ausências Legais])*tabCustoUnit[[#This Row],[MODULO 1 - REMUNERAÇÃO ]]</f>
        <v>15.599029217345002</v>
      </c>
      <c r="BA183" s="22">
        <f>SUM(tabCustoUnit[[#This Row],[Ausência por Doença]:[Incidência do Submódulo 2.1 sobre Ausências Legais]])</f>
        <v>56.866302279104261</v>
      </c>
      <c r="BB183" s="22">
        <f>SUMIF(tabParametros[Código do Posto],tabCustoUnit[[#This Row],[Código do Posto]],tabParametros[Intervalo para Repouso ou Alimentação])</f>
        <v>0</v>
      </c>
      <c r="BC183" s="22">
        <f>tabCustoUnit[[#This Row],[Intervalo para Repouso ou Alimentação]]</f>
        <v>0</v>
      </c>
      <c r="BD18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3" s="22">
        <f>tabCustoUnit[[#This Row],[Suspensão Temporária do Contrato de Trabalho]]</f>
        <v>0</v>
      </c>
      <c r="BF183" s="22">
        <f>tabCustoUnit[[#This Row],[Submódulo 4.1]]+tabCustoUnit[[#This Row],[Submódulo 4.2]]+tabCustoUnit[[#This Row],[Submódulo 4.3]]</f>
        <v>56.866302279104261</v>
      </c>
      <c r="BG183" s="22">
        <f>VLOOKUP(tabCustoUnit[[#This Row],[Código do Posto]],tabParametros[],MATCH(tabCustoUnit[[#Headers],[Uniformes e EPIs]],tabParametros[#Headers],0),0)</f>
        <v>56.642978962543395</v>
      </c>
      <c r="BH183" s="22">
        <f>VLOOKUP(tabCustoUnit[[#This Row],[Código do Posto]],tabParametros[],MATCH(tabCustoUnit[[#Headers],[Materiais de Consumo]],tabParametros[#Headers],0),0)</f>
        <v>0</v>
      </c>
      <c r="BI183" s="22">
        <f>VLOOKUP(tabCustoUnit[[#This Row],[Código do Posto]],tabParametros[],MATCH(tabCustoUnit[[#Headers],[Máquinas e Equipamentos (depreciação)]],tabParametros[#Headers],0),0)</f>
        <v>0</v>
      </c>
      <c r="BJ183" s="22">
        <f>VLOOKUP(tabCustoUnit[[#This Row],[Código do Posto]],tabParametros[],MATCH(tabCustoUnit[[#Headers],[Produtos de Limpeza e Materiais de Higiene Pessoal]],tabParametros[#Headers],0),0)</f>
        <v>0</v>
      </c>
      <c r="BK183" s="22">
        <f>VLOOKUP(tabCustoUnit[[#This Row],[Código do Posto]],tabParametros[],MATCH(tabCustoUnit[[#Headers],[Outros (especificar)]],tabParametros[#Headers],0),0)</f>
        <v>0</v>
      </c>
      <c r="BL183" s="22">
        <f>SUM(tabCustoUnit[[#This Row],[Uniformes e EPIs]:[Outros (especificar)]])</f>
        <v>56.642978962543395</v>
      </c>
      <c r="BM18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3" s="22" t="e">
        <f ca="1">VLOOKUP(tabCustoUnit[[#This Row],[Código do Posto]],tabParametros[],MATCH(tabCustoUnit[[#Headers],[Custos Indiretos]],tabParametros[#Headers],0),0)</f>
        <v>#NAME?</v>
      </c>
      <c r="BO183" s="22" t="e">
        <f ca="1">VLOOKUP(tabCustoUnit[[#This Row],[Código do Posto]],tabParametros[],MATCH(tabCustoUnit[[#Headers],[Lucro]],tabParametros[#Headers],0),0)</f>
        <v>#NAME?</v>
      </c>
      <c r="BP183" s="26">
        <f>((100/((1-tabCustoUnit[[#This Row],[Resumo de Alíquotas (PIS+CONFINS+ISS)]]))-100)*VLOOKUP(tabCustoUnit[[#This Row],[Código do Posto]],tabParametros[],MATCH(tabCustoUnit[[#Headers],[COFINS]],tabParametros[#Headers],0),0))/(tabCustoUnit[[#This Row],[Resumo de Alíquotas (PIS+CONFINS+ISS)]]*100)</f>
        <v>8.5633802816901458E-2</v>
      </c>
      <c r="BQ183" s="26">
        <f>((100/((100-(tabCustoUnit[[#This Row],[Resumo de Alíquotas (PIS+CONFINS+ISS)]]*100))%)-100)*VLOOKUP(tabCustoUnit[[#This Row],[Código do Posto]],tabParametros[],MATCH(tabCustoUnit[[#Headers],[PIS]],tabParametros[#Headers],0),0))/(tabCustoUnit[[#This Row],[Resumo de Alíquotas (PIS+CONFINS+ISS)]]*100)</f>
        <v>1.8591549295774657E-2</v>
      </c>
      <c r="BR183" s="28">
        <f>VLOOKUP(tabCustoUnit[[#This Row],[Código do Posto]],tabParametros[],MATCH(tabCustoUnit[[#Headers],[ISS]],tabParametros[#Headers],0),0)</f>
        <v>0.02</v>
      </c>
      <c r="BS183" s="26">
        <f>(((100/((100-(tabCustoUnit[[#This Row],[Resumo de Alíquotas (PIS+CONFINS+ISS)]]*100))%)-100)*tabCustoUnit[[#This Row],[ISS]])/tabCustoUnit[[#This Row],[Resumo de Alíquotas (PIS+CONFINS+ISS)]])/100</f>
        <v>2.2535211267605645E-2</v>
      </c>
      <c r="BT18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83" s="138">
        <f>tabCustoUnit[[#This Row],[COFINS]]+tabCustoUnit[[#This Row],[PIS]]+tabCustoUnit[[#This Row],[ISS (Conversão Alíquota s/ fatura)]]</f>
        <v>0.12676056338028174</v>
      </c>
      <c r="BV183" s="22" t="e">
        <f ca="1">(tabCustoUnit[[#This Row],[TOTAL MÓDULOS 1+2+3+4+5]]+tabCustoUnit[[#This Row],[Custos Indiretos]]+tabCustoUnit[[#This Row],[Lucro]])*tabCustoUnit[[#This Row],[PIS + COFINS + ISS (Total Conversão  Alíquota s/ Fatura)]]</f>
        <v>#NAME?</v>
      </c>
      <c r="BW183" s="22" t="e">
        <f ca="1">tabCustoUnit[[#This Row],[Custos Indiretos]]+tabCustoUnit[[#This Row],[Lucro]]+tabCustoUnit[[#This Row],[Valor dos Tributos (ISS, PIS, CONFINS)]]</f>
        <v>#NAME?</v>
      </c>
      <c r="BX183" s="22" t="e">
        <f ca="1">tabCustoUnit[[#This Row],[TOTAL MÓDULOS 1+2+3+4+5]]+tabCustoUnit[[#This Row],[MÓDULO 6 – CUSTOS INDIRETOS, TRIBUTOS E LUCRO]]</f>
        <v>#NAME?</v>
      </c>
      <c r="BY183" s="22" t="e">
        <f ca="1">tabCustoUnit[[#This Row],[CUSTO TOTAL MENSAL]]*12</f>
        <v>#NAME?</v>
      </c>
      <c r="BZ183" s="24">
        <f>VLOOKUP(tabCustoUnit[[#This Row],[Código do Posto]],tabParametros[],MATCH(tabCustoUnit[[#Headers],[ANO DA CCT]],tabParametros[#Headers],0),0)</f>
        <v>45658</v>
      </c>
      <c r="CA183" s="25" t="str">
        <f>VLOOKUP(tabCustoUnit[[#This Row],[Código do Posto]],tabParametros[],MATCH(tabCustoUnit[[#Headers],[Nº DE PEDIDO DA CCT]],tabParametros[#Headers],0),0)</f>
        <v>-</v>
      </c>
      <c r="CB183" s="25" t="str">
        <f>VLOOKUP(tabCustoUnit[[#This Row],[Código do Posto]],tabParametros[],MATCH(tabCustoUnit[[#Headers],[TERMO ADITIVO ALTERAÇÃO DA CCT]],tabParametros[#Headers],0),0)</f>
        <v>-</v>
      </c>
    </row>
    <row r="184" spans="1:80">
      <c r="A184" s="20" t="s">
        <v>1625</v>
      </c>
      <c r="B184" t="s">
        <v>1152</v>
      </c>
      <c r="C184" t="s">
        <v>274</v>
      </c>
      <c r="D184" t="s">
        <v>994</v>
      </c>
      <c r="E184" s="20" t="s">
        <v>1090</v>
      </c>
      <c r="F184" s="20" t="s">
        <v>120</v>
      </c>
      <c r="G184" s="418">
        <v>4380.5668999999998</v>
      </c>
      <c r="H184" s="418">
        <v>0</v>
      </c>
      <c r="I184" s="418">
        <v>0</v>
      </c>
      <c r="J184" s="418">
        <v>0</v>
      </c>
      <c r="K184" s="418">
        <v>0</v>
      </c>
      <c r="L184" s="418">
        <v>0</v>
      </c>
      <c r="M184" s="418">
        <v>0</v>
      </c>
      <c r="N184" s="418">
        <v>0</v>
      </c>
      <c r="O184" s="21">
        <f>SUM(tabCustoUnit[[#This Row],[Salário Base]:[Adicional de Acúmulo de função]])</f>
        <v>4380.5668999999998</v>
      </c>
      <c r="P184" s="21">
        <f>tabCustoUnit[[#This Row],[MODULO 1 - REMUNERAÇÃO ]]*SUMIFS(tabParametros[INSS],tabParametros[Código do Posto],tabCustoUnit[[#This Row],[Código do Posto]])</f>
        <v>876.11338000000001</v>
      </c>
      <c r="Q184" s="21">
        <f>tabCustoUnit[[#This Row],[MODULO 1 - REMUNERAÇÃO ]]*SUMIFS(tabParametros[SESI OU SESC],tabParametros[Código do Posto],tabCustoUnit[[#This Row],[Código do Posto]])</f>
        <v>65.708503499999992</v>
      </c>
      <c r="R184" s="21">
        <f>tabCustoUnit[[#This Row],[MODULO 1 - REMUNERAÇÃO ]]*SUMIFS(tabParametros[SENAI OU SENAC],tabParametros[Código do Posto],tabCustoUnit[[#This Row],[Código do Posto]])</f>
        <v>43.805669000000002</v>
      </c>
      <c r="S184" s="21">
        <f>tabCustoUnit[[#This Row],[MODULO 1 - REMUNERAÇÃO ]]*SUMIFS(tabParametros[INCRA],tabParametros[Código do Posto],tabCustoUnit[[#This Row],[Código do Posto]])</f>
        <v>8.7611337999999996</v>
      </c>
      <c r="T184" s="21">
        <f>tabCustoUnit[[#This Row],[MODULO 1 - REMUNERAÇÃO ]]*SUMIFS(tabParametros[Salário Educação],tabParametros[Código do Posto],tabCustoUnit[[#This Row],[Código do Posto]])</f>
        <v>109.5141725</v>
      </c>
      <c r="U184" s="21">
        <f>tabCustoUnit[[#This Row],[MODULO 1 - REMUNERAÇÃO ]]*SUMIFS(tabParametros[FGTS],tabParametros[Código do Posto],tabCustoUnit[[#This Row],[Código do Posto]])</f>
        <v>350.44535200000001</v>
      </c>
      <c r="V184" s="21">
        <f>tabCustoUnit[[#This Row],[MODULO 1 - REMUNERAÇÃO ]]*SUMIFS(tabParametros[RAT Ajustado],tabParametros[Código do Posto],tabCustoUnit[[#This Row],[Código do Posto]])</f>
        <v>175.22267600000001</v>
      </c>
      <c r="W184" s="21">
        <f>tabCustoUnit[[#This Row],[MODULO 1 - REMUNERAÇÃO ]]*SUMIFS(tabParametros[SEBRAE],tabParametros[Código do Posto],tabCustoUnit[[#This Row],[Código do Posto]])</f>
        <v>26.283401399999999</v>
      </c>
      <c r="X184" s="21">
        <f>SUM(tabCustoUnit[[#This Row],[INSS]:[SEBRAE]])</f>
        <v>1655.8542882000002</v>
      </c>
      <c r="Y184" s="21">
        <f>tabCustoUnit[[#This Row],[MODULO 1 - REMUNERAÇÃO ]]*SUMIFS(tabParametros[13º salário (titular)],tabParametros[Código do Posto],tabCustoUnit[[#This Row],[Código do Posto]])</f>
        <v>365.04724166666665</v>
      </c>
      <c r="Z184" s="21">
        <f>tabCustoUnit[[#This Row],[MODULO 1 - REMUNERAÇÃO ]]*SUMIFS(tabParametros[Férias e Adicional de Férias (titular)],tabParametros[Código do Posto],tabCustoUnit[[#This Row],[Código do Posto]])</f>
        <v>486.7296555555555</v>
      </c>
      <c r="AA184" s="21">
        <f>IFERROR((tabCustoUnit[[#This Row],[Submódulo 2.1]]/tabCustoUnit[[#This Row],[MODULO 1 - REMUNERAÇÃO ]])*SUM(tabCustoUnit[[#This Row],[13º salário (titular)]:[Férias e Adicional de Férias (titular)]]),0)</f>
        <v>321.97166715000003</v>
      </c>
      <c r="AB184" s="21">
        <f>SUM(tabCustoUnit[[#This Row],[13º salário (titular)]:[Incidência do Submódulo 2.1 sobre 13º Salário, Férias e Adicional de Férias]])</f>
        <v>1173.7485643722221</v>
      </c>
      <c r="AC184" s="22" t="e">
        <f ca="1">_xlfn.LET(_xlpm.VT,SUMIF(tabParametros[Código do Posto],tabCustoUnit[[#This Row],[Código do Posto]],tabParametros[Vale - Transporte])*2*20,
IF((_xlpm.VT-tabCustoUnit[[#This Row],[Salário Base]]*0.06)&gt;=0,(_xlpm.VT-tabCustoUnit[[#This Row],[Salário Base]]*0.06),0)
)</f>
        <v>#NAME?</v>
      </c>
      <c r="AD184" s="22">
        <f>IF(SUMIF(tabParametros[Código do Posto],tabCustoUnit[[#This Row],[Código do Posto]],tabParametros[Vale - Alimentação])&lt;=0,0,
SUMIF(tabParametros[Código do Posto],tabCustoUnit[[#This Row],[Código do Posto]],tabParametros[Vale - Alimentação])*20-1)</f>
        <v>578.4</v>
      </c>
      <c r="AE184" s="22">
        <f>SUMIF(tabParametros[Código do Posto],tabCustoUnit[[#This Row],[Código do Posto]],tabParametros[Cesta Básica])</f>
        <v>0</v>
      </c>
      <c r="AF184" s="22">
        <f>SUMIF(tabParametros[Código do Posto],tabCustoUnit[[#This Row],[Código do Posto]],tabParametros[PAF])</f>
        <v>0</v>
      </c>
      <c r="AG184" s="22">
        <f>SUMIF(tabParametros[Código do Posto],tabCustoUnit[[#This Row],[Código do Posto]],tabParametros[PQM])</f>
        <v>0</v>
      </c>
      <c r="AH184" s="22">
        <f>SUMIF(tabParametros[Código do Posto],tabCustoUnit[[#This Row],[Código do Posto]],tabParametros[Abono Único e Especial])</f>
        <v>0</v>
      </c>
      <c r="AI184" s="22">
        <f>SUMIF(tabParametros[Código do Posto],tabCustoUnit[[#This Row],[Código do Posto]],tabParametros[Seguro de Vida])</f>
        <v>3.36</v>
      </c>
      <c r="AJ184" s="22">
        <f>SUMIF(tabParametros[Código do Posto],tabCustoUnit[[#This Row],[Código do Posto]],tabParametros[Despesas de Viagem])</f>
        <v>662.42</v>
      </c>
      <c r="AK184" s="22" t="e">
        <f ca="1">SUM(tabCustoUnit[[#This Row],[Vale - Transporte (Descontada parcela do empregado)]:[Despesas de Viagem]])</f>
        <v>#NAME?</v>
      </c>
      <c r="AL184" s="22" t="e">
        <f ca="1">tabCustoUnit[[#This Row],[Submódulo 2.1]]+tabCustoUnit[[#This Row],[Submódulo 2.2]]+tabCustoUnit[[#This Row],[Submódulo 2.3]]</f>
        <v>#NAME?</v>
      </c>
      <c r="AM184" s="22">
        <f>SUMIF(tabParametros[Código do Posto],tabCustoUnit[[#This Row],[Código do Posto]],tabParametros[Aviso Prévio Indenizado (API) e Reflexo do Aviso Prévio Indenizado])*tabCustoUnit[[#This Row],[MODULO 1 - REMUNERAÇÃO ]]</f>
        <v>30.715514322550153</v>
      </c>
      <c r="AN184" s="22">
        <f>SUMIF(tabParametros[Código do Posto],tabCustoUnit[[#This Row],[Código do Posto]],tabParametros[Incidência do FGTS sobre API e Reflexo do API])*tabCustoUnit[[#This Row],[MODULO 1 - REMUNERAÇÃO ]]</f>
        <v>2.4572411458040126</v>
      </c>
      <c r="AO184" s="22">
        <f>SUMIF(tabParametros[Código do Posto],tabCustoUnit[[#This Row],[Código do Posto]],tabParametros[Multa Rescisória do FGTS sobre o Aviso Prévio Indenizado])*tabCustoUnit[[#This Row],[MODULO 1 - REMUNERAÇÃO ]]</f>
        <v>0.9828964583216051</v>
      </c>
      <c r="AP184" s="22">
        <f>SUMIF(tabParametros[Código do Posto],tabCustoUnit[[#This Row],[Código do Posto]],tabParametros[Aviso Prévio Trabalhado - APT])*tabCustoUnit[[#This Row],[MODULO 1 - REMUNERAÇÃO ]]</f>
        <v>15.331984150000002</v>
      </c>
      <c r="AQ184" s="22">
        <f>SUMIF(tabParametros[Código do Posto],tabCustoUnit[[#This Row],[Código do Posto]],tabParametros[Incidência dos encargos do submódulo 2.1 sobre Aviso Prévio Trabalhado])*tabCustoUnit[[#This Row],[MODULO 1 - REMUNERAÇÃO ]]</f>
        <v>5.7954900087000016</v>
      </c>
      <c r="AR184" s="22">
        <f>SUMIF(tabParametros[Código do Posto],tabCustoUnit[[#This Row],[Código do Posto]],tabParametros[Multa Rescisória do FGTS])*tabCustoUnit[[#This Row],[MODULO 1 - REMUNERAÇÃO ]]</f>
        <v>133.94800120888885</v>
      </c>
      <c r="AS184" s="22">
        <f>SUMIF(tabParametros[Código do Posto],tabCustoUnit[[#This Row],[Código do Posto]],tabParametros[Indenização Adicional (Art. 9º da Lei nº 7.238/84)])*tabCustoUnit[[#This Row],[MODULO 1 - REMUNERAÇÃO ]]</f>
        <v>3.6504724166666667</v>
      </c>
      <c r="AT184" s="22">
        <f>SUM(tabCustoUnit[[#This Row],[Aviso Prévio Indenizado (API) e Reflexo do Aviso Prévio Indenizado]:[Indenização Adicional (Art. 9º da Lei nº 7.238/84)]])</f>
        <v>192.88159971093131</v>
      </c>
      <c r="AU184" s="22">
        <f>SUMIF(tabParametros[Código do Posto],tabCustoUnit[[#This Row],[Código do Posto]],tabParametros[Ausência por Doença])*tabCustoUnit[[#This Row],[MODULO 1 - REMUNERAÇÃO ]]</f>
        <v>36.991453822222219</v>
      </c>
      <c r="AV184" s="22">
        <f>SUMIF(tabParametros[Código do Posto],tabCustoUnit[[#This Row],[Código do Posto]],tabParametros[Ausências Legais])*tabCustoUnit[[#This Row],[MODULO 1 - REMUNERAÇÃO ]]</f>
        <v>8.8828162138888871</v>
      </c>
      <c r="AW184" s="22">
        <f>SUMIF(tabParametros[Código do Posto],tabCustoUnit[[#This Row],[Código do Posto]],tabParametros[Licença Paternidade])*tabCustoUnit[[#This Row],[MODULO 1 - REMUNERAÇÃO ]]</f>
        <v>0.74834684541666663</v>
      </c>
      <c r="AX184" s="22">
        <f>SUMIF(tabParametros[Código do Posto],tabCustoUnit[[#This Row],[Código do Posto]],tabParametros[Ausência por Acidente de Trabalho])*tabCustoUnit[[#This Row],[MODULO 1 - REMUNERAÇÃO ]]</f>
        <v>0.91261810416666667</v>
      </c>
      <c r="AY184" s="22">
        <f>SUMIF(tabParametros[Código do Posto],tabCustoUnit[[#This Row],[Código do Posto]],tabParametros[Férias, Adicional de Férias e 13º  com empregada em gozo de Licença Maternidade])*tabCustoUnit[[#This Row],[MODULO 1 - REMUNERAÇÃO ]]</f>
        <v>5.678512648148148</v>
      </c>
      <c r="AZ184" s="22">
        <f>SUMIF(tabParametros[Código do Posto],tabCustoUnit[[#This Row],[Código do Posto]],tabParametros[Incidência do Submódulo 2.1 sobre Ausências Legais])*tabCustoUnit[[#This Row],[MODULO 1 - REMUNERAÇÃO ]]</f>
        <v>20.114796605592502</v>
      </c>
      <c r="BA184" s="22">
        <f>SUM(tabCustoUnit[[#This Row],[Ausência por Doença]:[Incidência do Submódulo 2.1 sobre Ausências Legais]])</f>
        <v>73.328544239435104</v>
      </c>
      <c r="BB184" s="22">
        <f>SUMIF(tabParametros[Código do Posto],tabCustoUnit[[#This Row],[Código do Posto]],tabParametros[Intervalo para Repouso ou Alimentação])</f>
        <v>0</v>
      </c>
      <c r="BC184" s="22">
        <f>tabCustoUnit[[#This Row],[Intervalo para Repouso ou Alimentação]]</f>
        <v>0</v>
      </c>
      <c r="BD18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4" s="22">
        <f>tabCustoUnit[[#This Row],[Suspensão Temporária do Contrato de Trabalho]]</f>
        <v>0</v>
      </c>
      <c r="BF184" s="22">
        <f>tabCustoUnit[[#This Row],[Submódulo 4.1]]+tabCustoUnit[[#This Row],[Submódulo 4.2]]+tabCustoUnit[[#This Row],[Submódulo 4.3]]</f>
        <v>73.328544239435104</v>
      </c>
      <c r="BG184" s="22">
        <f>VLOOKUP(tabCustoUnit[[#This Row],[Código do Posto]],tabParametros[],MATCH(tabCustoUnit[[#Headers],[Uniformes e EPIs]],tabParametros[#Headers],0),0)</f>
        <v>92.100763771570698</v>
      </c>
      <c r="BH184" s="22">
        <f>VLOOKUP(tabCustoUnit[[#This Row],[Código do Posto]],tabParametros[],MATCH(tabCustoUnit[[#Headers],[Materiais de Consumo]],tabParametros[#Headers],0),0)</f>
        <v>0</v>
      </c>
      <c r="BI184" s="22">
        <f>VLOOKUP(tabCustoUnit[[#This Row],[Código do Posto]],tabParametros[],MATCH(tabCustoUnit[[#Headers],[Máquinas e Equipamentos (depreciação)]],tabParametros[#Headers],0),0)</f>
        <v>0</v>
      </c>
      <c r="BJ184" s="22">
        <f>VLOOKUP(tabCustoUnit[[#This Row],[Código do Posto]],tabParametros[],MATCH(tabCustoUnit[[#Headers],[Produtos de Limpeza e Materiais de Higiene Pessoal]],tabParametros[#Headers],0),0)</f>
        <v>0</v>
      </c>
      <c r="BK184" s="22">
        <f>VLOOKUP(tabCustoUnit[[#This Row],[Código do Posto]],tabParametros[],MATCH(tabCustoUnit[[#Headers],[Outros (especificar)]],tabParametros[#Headers],0),0)</f>
        <v>0</v>
      </c>
      <c r="BL184" s="22">
        <f>SUM(tabCustoUnit[[#This Row],[Uniformes e EPIs]:[Outros (especificar)]])</f>
        <v>92.100763771570698</v>
      </c>
      <c r="BM18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4" s="22" t="e">
        <f ca="1">VLOOKUP(tabCustoUnit[[#This Row],[Código do Posto]],tabParametros[],MATCH(tabCustoUnit[[#Headers],[Custos Indiretos]],tabParametros[#Headers],0),0)</f>
        <v>#NAME?</v>
      </c>
      <c r="BO184" s="22" t="e">
        <f ca="1">VLOOKUP(tabCustoUnit[[#This Row],[Código do Posto]],tabParametros[],MATCH(tabCustoUnit[[#Headers],[Lucro]],tabParametros[#Headers],0),0)</f>
        <v>#NAME?</v>
      </c>
      <c r="BP184" s="26">
        <f>((100/((1-tabCustoUnit[[#This Row],[Resumo de Alíquotas (PIS+CONFINS+ISS)]]))-100)*VLOOKUP(tabCustoUnit[[#This Row],[Código do Posto]],tabParametros[],MATCH(tabCustoUnit[[#Headers],[COFINS]],tabParametros[#Headers],0),0))/(tabCustoUnit[[#This Row],[Resumo de Alíquotas (PIS+CONFINS+ISS)]]*100)</f>
        <v>8.7608069164265154E-2</v>
      </c>
      <c r="BQ184" s="26">
        <f>((100/((100-(tabCustoUnit[[#This Row],[Resumo de Alíquotas (PIS+CONFINS+ISS)]]*100))%)-100)*VLOOKUP(tabCustoUnit[[#This Row],[Código do Posto]],tabParametros[],MATCH(tabCustoUnit[[#Headers],[PIS]],tabParametros[#Headers],0),0))/(tabCustoUnit[[#This Row],[Resumo de Alíquotas (PIS+CONFINS+ISS)]]*100)</f>
        <v>1.9020172910662814E-2</v>
      </c>
      <c r="BR184" s="28">
        <f>VLOOKUP(tabCustoUnit[[#This Row],[Código do Posto]],tabParametros[],MATCH(tabCustoUnit[[#Headers],[ISS]],tabParametros[#Headers],0),0)</f>
        <v>0.04</v>
      </c>
      <c r="BS184" s="26">
        <f>(((100/((100-(tabCustoUnit[[#This Row],[Resumo de Alíquotas (PIS+CONFINS+ISS)]]*100))%)-100)*tabCustoUnit[[#This Row],[ISS]])/tabCustoUnit[[#This Row],[Resumo de Alíquotas (PIS+CONFINS+ISS)]])/100</f>
        <v>4.6109510086455294E-2</v>
      </c>
      <c r="BT18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84" s="138">
        <f>tabCustoUnit[[#This Row],[COFINS]]+tabCustoUnit[[#This Row],[PIS]]+tabCustoUnit[[#This Row],[ISS (Conversão Alíquota s/ fatura)]]</f>
        <v>0.15273775216138324</v>
      </c>
      <c r="BV184" s="22" t="e">
        <f ca="1">(tabCustoUnit[[#This Row],[TOTAL MÓDULOS 1+2+3+4+5]]+tabCustoUnit[[#This Row],[Custos Indiretos]]+tabCustoUnit[[#This Row],[Lucro]])*tabCustoUnit[[#This Row],[PIS + COFINS + ISS (Total Conversão  Alíquota s/ Fatura)]]</f>
        <v>#NAME?</v>
      </c>
      <c r="BW184" s="22" t="e">
        <f ca="1">tabCustoUnit[[#This Row],[Custos Indiretos]]+tabCustoUnit[[#This Row],[Lucro]]+tabCustoUnit[[#This Row],[Valor dos Tributos (ISS, PIS, CONFINS)]]</f>
        <v>#NAME?</v>
      </c>
      <c r="BX184" s="22" t="e">
        <f ca="1">tabCustoUnit[[#This Row],[TOTAL MÓDULOS 1+2+3+4+5]]+tabCustoUnit[[#This Row],[MÓDULO 6 – CUSTOS INDIRETOS, TRIBUTOS E LUCRO]]</f>
        <v>#NAME?</v>
      </c>
      <c r="BY184" s="22" t="e">
        <f ca="1">tabCustoUnit[[#This Row],[CUSTO TOTAL MENSAL]]*12</f>
        <v>#NAME?</v>
      </c>
      <c r="BZ184" s="24">
        <f>VLOOKUP(tabCustoUnit[[#This Row],[Código do Posto]],tabParametros[],MATCH(tabCustoUnit[[#Headers],[ANO DA CCT]],tabParametros[#Headers],0),0)</f>
        <v>45658</v>
      </c>
      <c r="CA184" s="25" t="str">
        <f>VLOOKUP(tabCustoUnit[[#This Row],[Código do Posto]],tabParametros[],MATCH(tabCustoUnit[[#Headers],[Nº DE PEDIDO DA CCT]],tabParametros[#Headers],0),0)</f>
        <v>-</v>
      </c>
      <c r="CB184" s="25" t="str">
        <f>VLOOKUP(tabCustoUnit[[#This Row],[Código do Posto]],tabParametros[],MATCH(tabCustoUnit[[#Headers],[TERMO ADITIVO ALTERAÇÃO DA CCT]],tabParametros[#Headers],0),0)</f>
        <v>-</v>
      </c>
    </row>
    <row r="185" spans="1:80">
      <c r="A185" s="20" t="s">
        <v>1626</v>
      </c>
      <c r="B185" t="s">
        <v>1152</v>
      </c>
      <c r="C185" t="s">
        <v>314</v>
      </c>
      <c r="D185" t="s">
        <v>899</v>
      </c>
      <c r="E185" s="20" t="s">
        <v>1090</v>
      </c>
      <c r="F185" s="20" t="s">
        <v>120</v>
      </c>
      <c r="G185" s="418">
        <v>1963.405</v>
      </c>
      <c r="H185" s="418">
        <v>0</v>
      </c>
      <c r="I185" s="418">
        <v>0</v>
      </c>
      <c r="J185" s="418">
        <v>0</v>
      </c>
      <c r="K185" s="418">
        <v>0</v>
      </c>
      <c r="L185" s="418">
        <v>0</v>
      </c>
      <c r="M185" s="418">
        <v>0</v>
      </c>
      <c r="N185" s="418">
        <v>0</v>
      </c>
      <c r="O185" s="21">
        <f>SUM(tabCustoUnit[[#This Row],[Salário Base]:[Adicional de Acúmulo de função]])</f>
        <v>1963.405</v>
      </c>
      <c r="P185" s="21">
        <f>tabCustoUnit[[#This Row],[MODULO 1 - REMUNERAÇÃO ]]*SUMIFS(tabParametros[INSS],tabParametros[Código do Posto],tabCustoUnit[[#This Row],[Código do Posto]])</f>
        <v>392.68100000000004</v>
      </c>
      <c r="Q185" s="21">
        <f>tabCustoUnit[[#This Row],[MODULO 1 - REMUNERAÇÃO ]]*SUMIFS(tabParametros[SESI OU SESC],tabParametros[Código do Posto],tabCustoUnit[[#This Row],[Código do Posto]])</f>
        <v>29.451074999999999</v>
      </c>
      <c r="R185" s="21">
        <f>tabCustoUnit[[#This Row],[MODULO 1 - REMUNERAÇÃO ]]*SUMIFS(tabParametros[SENAI OU SENAC],tabParametros[Código do Posto],tabCustoUnit[[#This Row],[Código do Posto]])</f>
        <v>19.634049999999998</v>
      </c>
      <c r="S185" s="21">
        <f>tabCustoUnit[[#This Row],[MODULO 1 - REMUNERAÇÃO ]]*SUMIFS(tabParametros[INCRA],tabParametros[Código do Posto],tabCustoUnit[[#This Row],[Código do Posto]])</f>
        <v>3.9268100000000001</v>
      </c>
      <c r="T185" s="21">
        <f>tabCustoUnit[[#This Row],[MODULO 1 - REMUNERAÇÃO ]]*SUMIFS(tabParametros[Salário Educação],tabParametros[Código do Posto],tabCustoUnit[[#This Row],[Código do Posto]])</f>
        <v>49.085125000000005</v>
      </c>
      <c r="U185" s="21">
        <f>tabCustoUnit[[#This Row],[MODULO 1 - REMUNERAÇÃO ]]*SUMIFS(tabParametros[FGTS],tabParametros[Código do Posto],tabCustoUnit[[#This Row],[Código do Posto]])</f>
        <v>157.07239999999999</v>
      </c>
      <c r="V185" s="21">
        <f>tabCustoUnit[[#This Row],[MODULO 1 - REMUNERAÇÃO ]]*SUMIFS(tabParametros[RAT Ajustado],tabParametros[Código do Posto],tabCustoUnit[[#This Row],[Código do Posto]])</f>
        <v>78.536199999999994</v>
      </c>
      <c r="W185" s="21">
        <f>tabCustoUnit[[#This Row],[MODULO 1 - REMUNERAÇÃO ]]*SUMIFS(tabParametros[SEBRAE],tabParametros[Código do Posto],tabCustoUnit[[#This Row],[Código do Posto]])</f>
        <v>11.780430000000001</v>
      </c>
      <c r="X185" s="21">
        <f>SUM(tabCustoUnit[[#This Row],[INSS]:[SEBRAE]])</f>
        <v>742.16709000000003</v>
      </c>
      <c r="Y185" s="21">
        <f>tabCustoUnit[[#This Row],[MODULO 1 - REMUNERAÇÃO ]]*SUMIFS(tabParametros[13º salário (titular)],tabParametros[Código do Posto],tabCustoUnit[[#This Row],[Código do Posto]])</f>
        <v>163.61708333333331</v>
      </c>
      <c r="Z185" s="21">
        <f>tabCustoUnit[[#This Row],[MODULO 1 - REMUNERAÇÃO ]]*SUMIFS(tabParametros[Férias e Adicional de Férias (titular)],tabParametros[Código do Posto],tabCustoUnit[[#This Row],[Código do Posto]])</f>
        <v>218.1561111111111</v>
      </c>
      <c r="AA185" s="21">
        <f>IFERROR((tabCustoUnit[[#This Row],[Submódulo 2.1]]/tabCustoUnit[[#This Row],[MODULO 1 - REMUNERAÇÃO ]])*SUM(tabCustoUnit[[#This Row],[13º salário (titular)]:[Férias e Adicional de Férias (titular)]]),0)</f>
        <v>144.31026749999998</v>
      </c>
      <c r="AB185" s="21">
        <f>SUM(tabCustoUnit[[#This Row],[13º salário (titular)]:[Incidência do Submódulo 2.1 sobre 13º Salário, Férias e Adicional de Férias]])</f>
        <v>526.08346194444437</v>
      </c>
      <c r="AC185" s="22" t="e">
        <f ca="1">_xlfn.LET(_xlpm.VT,SUMIF(tabParametros[Código do Posto],tabCustoUnit[[#This Row],[Código do Posto]],tabParametros[Vale - Transporte])*2*20,
IF((_xlpm.VT-tabCustoUnit[[#This Row],[Salário Base]]*0.06)&gt;=0,(_xlpm.VT-tabCustoUnit[[#This Row],[Salário Base]]*0.06),0)
)</f>
        <v>#NAME?</v>
      </c>
      <c r="AD185" s="22">
        <f>IF(SUMIF(tabParametros[Código do Posto],tabCustoUnit[[#This Row],[Código do Posto]],tabParametros[Vale - Alimentação])&lt;=0,0,
SUMIF(tabParametros[Código do Posto],tabCustoUnit[[#This Row],[Código do Posto]],tabParametros[Vale - Alimentação])*20-1)</f>
        <v>0</v>
      </c>
      <c r="AE185" s="22">
        <f>SUMIF(tabParametros[Código do Posto],tabCustoUnit[[#This Row],[Código do Posto]],tabParametros[Cesta Básica])</f>
        <v>387.79</v>
      </c>
      <c r="AF185" s="22">
        <f>SUMIF(tabParametros[Código do Posto],tabCustoUnit[[#This Row],[Código do Posto]],tabParametros[PAF])</f>
        <v>42.97</v>
      </c>
      <c r="AG185" s="22">
        <f>SUMIF(tabParametros[Código do Posto],tabCustoUnit[[#This Row],[Código do Posto]],tabParametros[PQM])</f>
        <v>0</v>
      </c>
      <c r="AH185" s="22">
        <f>SUMIF(tabParametros[Código do Posto],tabCustoUnit[[#This Row],[Código do Posto]],tabParametros[Abono Único e Especial])</f>
        <v>0</v>
      </c>
      <c r="AI185" s="22">
        <f>SUMIF(tabParametros[Código do Posto],tabCustoUnit[[#This Row],[Código do Posto]],tabParametros[Seguro de Vida])</f>
        <v>3.36</v>
      </c>
      <c r="AJ185" s="22">
        <f>SUMIF(tabParametros[Código do Posto],tabCustoUnit[[#This Row],[Código do Posto]],tabParametros[Despesas de Viagem])</f>
        <v>0</v>
      </c>
      <c r="AK185" s="22" t="e">
        <f ca="1">SUM(tabCustoUnit[[#This Row],[Vale - Transporte (Descontada parcela do empregado)]:[Despesas de Viagem]])</f>
        <v>#NAME?</v>
      </c>
      <c r="AL185" s="22" t="e">
        <f ca="1">tabCustoUnit[[#This Row],[Submódulo 2.1]]+tabCustoUnit[[#This Row],[Submódulo 2.2]]+tabCustoUnit[[#This Row],[Submódulo 2.3]]</f>
        <v>#NAME?</v>
      </c>
      <c r="AM185" s="22">
        <f>SUMIF(tabParametros[Código do Posto],tabCustoUnit[[#This Row],[Código do Posto]],tabParametros[Aviso Prévio Indenizado (API) e Reflexo do Aviso Prévio Indenizado])*tabCustoUnit[[#This Row],[MODULO 1 - REMUNERAÇÃO ]]</f>
        <v>13.766938338155864</v>
      </c>
      <c r="AN185" s="22">
        <f>SUMIF(tabParametros[Código do Posto],tabCustoUnit[[#This Row],[Código do Posto]],tabParametros[Incidência do FGTS sobre API e Reflexo do API])*tabCustoUnit[[#This Row],[MODULO 1 - REMUNERAÇÃO ]]</f>
        <v>1.1013550670524692</v>
      </c>
      <c r="AO185" s="22">
        <f>SUMIF(tabParametros[Código do Posto],tabCustoUnit[[#This Row],[Código do Posto]],tabParametros[Multa Rescisória do FGTS sobre o Aviso Prévio Indenizado])*tabCustoUnit[[#This Row],[MODULO 1 - REMUNERAÇÃO ]]</f>
        <v>0.44054202682098775</v>
      </c>
      <c r="AP185" s="22">
        <f>SUMIF(tabParametros[Código do Posto],tabCustoUnit[[#This Row],[Código do Posto]],tabParametros[Aviso Prévio Trabalhado - APT])*tabCustoUnit[[#This Row],[MODULO 1 - REMUNERAÇÃO ]]</f>
        <v>6.8719175000000012</v>
      </c>
      <c r="AQ185" s="22">
        <f>SUMIF(tabParametros[Código do Posto],tabCustoUnit[[#This Row],[Código do Posto]],tabParametros[Incidência dos encargos do submódulo 2.1 sobre Aviso Prévio Trabalhado])*tabCustoUnit[[#This Row],[MODULO 1 - REMUNERAÇÃO ]]</f>
        <v>2.5975848150000007</v>
      </c>
      <c r="AR185" s="22">
        <f>SUMIF(tabParametros[Código do Posto],tabCustoUnit[[#This Row],[Código do Posto]],tabParametros[Multa Rescisória do FGTS])*tabCustoUnit[[#This Row],[MODULO 1 - REMUNERAÇÃO ]]</f>
        <v>60.03656177777777</v>
      </c>
      <c r="AS185" s="22">
        <f>SUMIF(tabParametros[Código do Posto],tabCustoUnit[[#This Row],[Código do Posto]],tabParametros[Indenização Adicional (Art. 9º da Lei nº 7.238/84)])*tabCustoUnit[[#This Row],[MODULO 1 - REMUNERAÇÃO ]]</f>
        <v>1.6361708333333334</v>
      </c>
      <c r="AT185" s="22">
        <f>SUM(tabCustoUnit[[#This Row],[Aviso Prévio Indenizado (API) e Reflexo do Aviso Prévio Indenizado]:[Indenização Adicional (Art. 9º da Lei nº 7.238/84)]])</f>
        <v>86.451070358140427</v>
      </c>
      <c r="AU185" s="22">
        <f>SUMIF(tabParametros[Código do Posto],tabCustoUnit[[#This Row],[Código do Posto]],tabParametros[Ausência por Doença])*tabCustoUnit[[#This Row],[MODULO 1 - REMUNERAÇÃO ]]</f>
        <v>16.579864444444443</v>
      </c>
      <c r="AV185" s="22">
        <f>SUMIF(tabParametros[Código do Posto],tabCustoUnit[[#This Row],[Código do Posto]],tabParametros[Ausências Legais])*tabCustoUnit[[#This Row],[MODULO 1 - REMUNERAÇÃO ]]</f>
        <v>3.9813490277777777</v>
      </c>
      <c r="AW185" s="22">
        <f>SUMIF(tabParametros[Código do Posto],tabCustoUnit[[#This Row],[Código do Posto]],tabParametros[Licença Paternidade])*tabCustoUnit[[#This Row],[MODULO 1 - REMUNERAÇÃO ]]</f>
        <v>0.3354150208333333</v>
      </c>
      <c r="AX185" s="22">
        <f>SUMIF(tabParametros[Código do Posto],tabCustoUnit[[#This Row],[Código do Posto]],tabParametros[Ausência por Acidente de Trabalho])*tabCustoUnit[[#This Row],[MODULO 1 - REMUNERAÇÃO ]]</f>
        <v>0.40904270833333334</v>
      </c>
      <c r="AY185" s="22">
        <f>SUMIF(tabParametros[Código do Posto],tabCustoUnit[[#This Row],[Código do Posto]],tabParametros[Férias, Adicional de Férias e 13º  com empregada em gozo de Licença Maternidade])*tabCustoUnit[[#This Row],[MODULO 1 - REMUNERAÇÃO ]]</f>
        <v>2.5451546296296295</v>
      </c>
      <c r="AZ185" s="22">
        <f>SUMIF(tabParametros[Código do Posto],tabCustoUnit[[#This Row],[Código do Posto]],tabParametros[Incidência do Submódulo 2.1 sobre Ausências Legais])*tabCustoUnit[[#This Row],[MODULO 1 - REMUNERAÇÃO ]]</f>
        <v>9.0156121641250007</v>
      </c>
      <c r="BA185" s="22">
        <f>SUM(tabCustoUnit[[#This Row],[Ausência por Doença]:[Incidência do Submódulo 2.1 sobre Ausências Legais]])</f>
        <v>32.866437995143521</v>
      </c>
      <c r="BB185" s="22">
        <f>SUMIF(tabParametros[Código do Posto],tabCustoUnit[[#This Row],[Código do Posto]],tabParametros[Intervalo para Repouso ou Alimentação])</f>
        <v>267.73704981301341</v>
      </c>
      <c r="BC185" s="22">
        <f>tabCustoUnit[[#This Row],[Intervalo para Repouso ou Alimentação]]</f>
        <v>267.73704981301341</v>
      </c>
      <c r="BD18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5" s="22">
        <f>tabCustoUnit[[#This Row],[Suspensão Temporária do Contrato de Trabalho]]</f>
        <v>0</v>
      </c>
      <c r="BF185" s="22">
        <f>tabCustoUnit[[#This Row],[Submódulo 4.1]]+tabCustoUnit[[#This Row],[Submódulo 4.2]]+tabCustoUnit[[#This Row],[Submódulo 4.3]]</f>
        <v>300.60348780815696</v>
      </c>
      <c r="BG185" s="22">
        <f>VLOOKUP(tabCustoUnit[[#This Row],[Código do Posto]],tabParametros[],MATCH(tabCustoUnit[[#Headers],[Uniformes e EPIs]],tabParametros[#Headers],0),0)</f>
        <v>56.642978962543395</v>
      </c>
      <c r="BH185" s="22">
        <f>VLOOKUP(tabCustoUnit[[#This Row],[Código do Posto]],tabParametros[],MATCH(tabCustoUnit[[#Headers],[Materiais de Consumo]],tabParametros[#Headers],0),0)</f>
        <v>0</v>
      </c>
      <c r="BI185" s="22">
        <f>VLOOKUP(tabCustoUnit[[#This Row],[Código do Posto]],tabParametros[],MATCH(tabCustoUnit[[#Headers],[Máquinas e Equipamentos (depreciação)]],tabParametros[#Headers],0),0)</f>
        <v>0</v>
      </c>
      <c r="BJ185" s="22">
        <f>VLOOKUP(tabCustoUnit[[#This Row],[Código do Posto]],tabParametros[],MATCH(tabCustoUnit[[#Headers],[Produtos de Limpeza e Materiais de Higiene Pessoal]],tabParametros[#Headers],0),0)</f>
        <v>0</v>
      </c>
      <c r="BK185" s="22">
        <f>VLOOKUP(tabCustoUnit[[#This Row],[Código do Posto]],tabParametros[],MATCH(tabCustoUnit[[#Headers],[Outros (especificar)]],tabParametros[#Headers],0),0)</f>
        <v>0</v>
      </c>
      <c r="BL185" s="22">
        <f>SUM(tabCustoUnit[[#This Row],[Uniformes e EPIs]:[Outros (especificar)]])</f>
        <v>56.642978962543395</v>
      </c>
      <c r="BM18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5" s="22" t="e">
        <f ca="1">VLOOKUP(tabCustoUnit[[#This Row],[Código do Posto]],tabParametros[],MATCH(tabCustoUnit[[#Headers],[Custos Indiretos]],tabParametros[#Headers],0),0)</f>
        <v>#NAME?</v>
      </c>
      <c r="BO185" s="22" t="e">
        <f ca="1">VLOOKUP(tabCustoUnit[[#This Row],[Código do Posto]],tabParametros[],MATCH(tabCustoUnit[[#Headers],[Lucro]],tabParametros[#Headers],0),0)</f>
        <v>#NAME?</v>
      </c>
      <c r="BP185" s="26">
        <f>((100/((1-tabCustoUnit[[#This Row],[Resumo de Alíquotas (PIS+CONFINS+ISS)]]))-100)*VLOOKUP(tabCustoUnit[[#This Row],[Código do Posto]],tabParametros[],MATCH(tabCustoUnit[[#Headers],[COFINS]],tabParametros[#Headers],0),0))/(tabCustoUnit[[#This Row],[Resumo de Alíquotas (PIS+CONFINS+ISS)]]*100)</f>
        <v>8.7608069164265154E-2</v>
      </c>
      <c r="BQ185" s="26">
        <f>((100/((100-(tabCustoUnit[[#This Row],[Resumo de Alíquotas (PIS+CONFINS+ISS)]]*100))%)-100)*VLOOKUP(tabCustoUnit[[#This Row],[Código do Posto]],tabParametros[],MATCH(tabCustoUnit[[#Headers],[PIS]],tabParametros[#Headers],0),0))/(tabCustoUnit[[#This Row],[Resumo de Alíquotas (PIS+CONFINS+ISS)]]*100)</f>
        <v>1.9020172910662814E-2</v>
      </c>
      <c r="BR185" s="28">
        <f>VLOOKUP(tabCustoUnit[[#This Row],[Código do Posto]],tabParametros[],MATCH(tabCustoUnit[[#Headers],[ISS]],tabParametros[#Headers],0),0)</f>
        <v>0.04</v>
      </c>
      <c r="BS185" s="26">
        <f>(((100/((100-(tabCustoUnit[[#This Row],[Resumo de Alíquotas (PIS+CONFINS+ISS)]]*100))%)-100)*tabCustoUnit[[#This Row],[ISS]])/tabCustoUnit[[#This Row],[Resumo de Alíquotas (PIS+CONFINS+ISS)]])/100</f>
        <v>4.6109510086455294E-2</v>
      </c>
      <c r="BT18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85" s="138">
        <f>tabCustoUnit[[#This Row],[COFINS]]+tabCustoUnit[[#This Row],[PIS]]+tabCustoUnit[[#This Row],[ISS (Conversão Alíquota s/ fatura)]]</f>
        <v>0.15273775216138324</v>
      </c>
      <c r="BV185" s="22" t="e">
        <f ca="1">(tabCustoUnit[[#This Row],[TOTAL MÓDULOS 1+2+3+4+5]]+tabCustoUnit[[#This Row],[Custos Indiretos]]+tabCustoUnit[[#This Row],[Lucro]])*tabCustoUnit[[#This Row],[PIS + COFINS + ISS (Total Conversão  Alíquota s/ Fatura)]]</f>
        <v>#NAME?</v>
      </c>
      <c r="BW185" s="22" t="e">
        <f ca="1">tabCustoUnit[[#This Row],[Custos Indiretos]]+tabCustoUnit[[#This Row],[Lucro]]+tabCustoUnit[[#This Row],[Valor dos Tributos (ISS, PIS, CONFINS)]]</f>
        <v>#NAME?</v>
      </c>
      <c r="BX185" s="22" t="e">
        <f ca="1">tabCustoUnit[[#This Row],[TOTAL MÓDULOS 1+2+3+4+5]]+tabCustoUnit[[#This Row],[MÓDULO 6 – CUSTOS INDIRETOS, TRIBUTOS E LUCRO]]</f>
        <v>#NAME?</v>
      </c>
      <c r="BY185" s="22" t="e">
        <f ca="1">tabCustoUnit[[#This Row],[CUSTO TOTAL MENSAL]]*12</f>
        <v>#NAME?</v>
      </c>
      <c r="BZ185" s="24">
        <f>VLOOKUP(tabCustoUnit[[#This Row],[Código do Posto]],tabParametros[],MATCH(tabCustoUnit[[#Headers],[ANO DA CCT]],tabParametros[#Headers],0),0)</f>
        <v>45658</v>
      </c>
      <c r="CA185" s="25" t="str">
        <f>VLOOKUP(tabCustoUnit[[#This Row],[Código do Posto]],tabParametros[],MATCH(tabCustoUnit[[#Headers],[Nº DE PEDIDO DA CCT]],tabParametros[#Headers],0),0)</f>
        <v>-</v>
      </c>
      <c r="CB185" s="25" t="str">
        <f>VLOOKUP(tabCustoUnit[[#This Row],[Código do Posto]],tabParametros[],MATCH(tabCustoUnit[[#Headers],[TERMO ADITIVO ALTERAÇÃO DA CCT]],tabParametros[#Headers],0),0)</f>
        <v>-</v>
      </c>
    </row>
    <row r="186" spans="1:80">
      <c r="A186" s="20" t="s">
        <v>1485</v>
      </c>
      <c r="B186" t="s">
        <v>1153</v>
      </c>
      <c r="C186" t="s">
        <v>200</v>
      </c>
      <c r="D186" t="s">
        <v>899</v>
      </c>
      <c r="E186" s="20" t="s">
        <v>1090</v>
      </c>
      <c r="F186" s="20" t="s">
        <v>120</v>
      </c>
      <c r="G186" s="418">
        <v>1596.2737999999999</v>
      </c>
      <c r="H186" s="418">
        <v>0</v>
      </c>
      <c r="I186" s="418">
        <v>0</v>
      </c>
      <c r="J186" s="418">
        <v>0</v>
      </c>
      <c r="K186" s="418">
        <v>0</v>
      </c>
      <c r="L186" s="418">
        <v>0</v>
      </c>
      <c r="M186" s="418">
        <v>0</v>
      </c>
      <c r="N186" s="418">
        <v>0</v>
      </c>
      <c r="O186" s="21">
        <f>SUM(tabCustoUnit[[#This Row],[Salário Base]:[Adicional de Acúmulo de função]])</f>
        <v>1596.2737999999999</v>
      </c>
      <c r="P186" s="21">
        <f>tabCustoUnit[[#This Row],[MODULO 1 - REMUNERAÇÃO ]]*SUMIFS(tabParametros[INSS],tabParametros[Código do Posto],tabCustoUnit[[#This Row],[Código do Posto]])</f>
        <v>319.25476000000003</v>
      </c>
      <c r="Q186" s="21">
        <f>tabCustoUnit[[#This Row],[MODULO 1 - REMUNERAÇÃO ]]*SUMIFS(tabParametros[SESI OU SESC],tabParametros[Código do Posto],tabCustoUnit[[#This Row],[Código do Posto]])</f>
        <v>23.944106999999999</v>
      </c>
      <c r="R186" s="21">
        <f>tabCustoUnit[[#This Row],[MODULO 1 - REMUNERAÇÃO ]]*SUMIFS(tabParametros[SENAI OU SENAC],tabParametros[Código do Posto],tabCustoUnit[[#This Row],[Código do Posto]])</f>
        <v>15.962738</v>
      </c>
      <c r="S186" s="21">
        <f>tabCustoUnit[[#This Row],[MODULO 1 - REMUNERAÇÃO ]]*SUMIFS(tabParametros[INCRA],tabParametros[Código do Posto],tabCustoUnit[[#This Row],[Código do Posto]])</f>
        <v>3.1925476000000002</v>
      </c>
      <c r="T186" s="21">
        <f>tabCustoUnit[[#This Row],[MODULO 1 - REMUNERAÇÃO ]]*SUMIFS(tabParametros[Salário Educação],tabParametros[Código do Posto],tabCustoUnit[[#This Row],[Código do Posto]])</f>
        <v>39.906845000000004</v>
      </c>
      <c r="U186" s="21">
        <f>tabCustoUnit[[#This Row],[MODULO 1 - REMUNERAÇÃO ]]*SUMIFS(tabParametros[FGTS],tabParametros[Código do Posto],tabCustoUnit[[#This Row],[Código do Posto]])</f>
        <v>127.701904</v>
      </c>
      <c r="V186" s="21">
        <f>tabCustoUnit[[#This Row],[MODULO 1 - REMUNERAÇÃO ]]*SUMIFS(tabParametros[RAT Ajustado],tabParametros[Código do Posto],tabCustoUnit[[#This Row],[Código do Posto]])</f>
        <v>63.850951999999999</v>
      </c>
      <c r="W186" s="21">
        <f>tabCustoUnit[[#This Row],[MODULO 1 - REMUNERAÇÃO ]]*SUMIFS(tabParametros[SEBRAE],tabParametros[Código do Posto],tabCustoUnit[[#This Row],[Código do Posto]])</f>
        <v>9.5776427999999996</v>
      </c>
      <c r="X186" s="21">
        <f>SUM(tabCustoUnit[[#This Row],[INSS]:[SEBRAE]])</f>
        <v>603.39149640000005</v>
      </c>
      <c r="Y186" s="21">
        <f>tabCustoUnit[[#This Row],[MODULO 1 - REMUNERAÇÃO ]]*SUMIFS(tabParametros[13º salário (titular)],tabParametros[Código do Posto],tabCustoUnit[[#This Row],[Código do Posto]])</f>
        <v>133.02281666666664</v>
      </c>
      <c r="Z186" s="21">
        <f>tabCustoUnit[[#This Row],[MODULO 1 - REMUNERAÇÃO ]]*SUMIFS(tabParametros[Férias e Adicional de Férias (titular)],tabParametros[Código do Posto],tabCustoUnit[[#This Row],[Código do Posto]])</f>
        <v>177.36375555555554</v>
      </c>
      <c r="AA186" s="21">
        <f>IFERROR((tabCustoUnit[[#This Row],[Submódulo 2.1]]/tabCustoUnit[[#This Row],[MODULO 1 - REMUNERAÇÃO ]])*SUM(tabCustoUnit[[#This Row],[13º salário (titular)]:[Férias e Adicional de Férias (titular)]]),0)</f>
        <v>117.3261243</v>
      </c>
      <c r="AB186" s="21">
        <f>SUM(tabCustoUnit[[#This Row],[13º salário (titular)]:[Incidência do Submódulo 2.1 sobre 13º Salário, Férias e Adicional de Férias]])</f>
        <v>427.71269652222219</v>
      </c>
      <c r="AC186" s="22" t="e">
        <f ca="1">_xlfn.LET(_xlpm.VT,SUMIF(tabParametros[Código do Posto],tabCustoUnit[[#This Row],[Código do Posto]],tabParametros[Vale - Transporte])*2*20,
IF((_xlpm.VT-tabCustoUnit[[#This Row],[Salário Base]]*0.06)&gt;=0,(_xlpm.VT-tabCustoUnit[[#This Row],[Salário Base]]*0.06),0)
)</f>
        <v>#NAME?</v>
      </c>
      <c r="AD186" s="22">
        <f>IF(SUMIF(tabParametros[Código do Posto],tabCustoUnit[[#This Row],[Código do Posto]],tabParametros[Vale - Alimentação])&lt;=0,0,
SUMIF(tabParametros[Código do Posto],tabCustoUnit[[#This Row],[Código do Posto]],tabParametros[Vale - Alimentação])*20-1)</f>
        <v>0</v>
      </c>
      <c r="AE186" s="22">
        <f>SUMIF(tabParametros[Código do Posto],tabCustoUnit[[#This Row],[Código do Posto]],tabParametros[Cesta Básica])</f>
        <v>387.79</v>
      </c>
      <c r="AF186" s="22">
        <f>SUMIF(tabParametros[Código do Posto],tabCustoUnit[[#This Row],[Código do Posto]],tabParametros[PAF])</f>
        <v>42.97</v>
      </c>
      <c r="AG186" s="22">
        <f>SUMIF(tabParametros[Código do Posto],tabCustoUnit[[#This Row],[Código do Posto]],tabParametros[PQM])</f>
        <v>0</v>
      </c>
      <c r="AH186" s="22">
        <f>SUMIF(tabParametros[Código do Posto],tabCustoUnit[[#This Row],[Código do Posto]],tabParametros[Abono Único e Especial])</f>
        <v>0</v>
      </c>
      <c r="AI186" s="22">
        <f>SUMIF(tabParametros[Código do Posto],tabCustoUnit[[#This Row],[Código do Posto]],tabParametros[Seguro de Vida])</f>
        <v>3.36</v>
      </c>
      <c r="AJ186" s="22">
        <f>SUMIF(tabParametros[Código do Posto],tabCustoUnit[[#This Row],[Código do Posto]],tabParametros[Despesas de Viagem])</f>
        <v>0</v>
      </c>
      <c r="AK186" s="22" t="e">
        <f ca="1">SUM(tabCustoUnit[[#This Row],[Vale - Transporte (Descontada parcela do empregado)]:[Despesas de Viagem]])</f>
        <v>#NAME?</v>
      </c>
      <c r="AL186" s="22" t="e">
        <f ca="1">tabCustoUnit[[#This Row],[Submódulo 2.1]]+tabCustoUnit[[#This Row],[Submódulo 2.2]]+tabCustoUnit[[#This Row],[Submódulo 2.3]]</f>
        <v>#NAME?</v>
      </c>
      <c r="AM186" s="22">
        <f>SUMIF(tabParametros[Código do Posto],tabCustoUnit[[#This Row],[Código do Posto]],tabParametros[Aviso Prévio Indenizado (API) e Reflexo do Aviso Prévio Indenizado])*tabCustoUnit[[#This Row],[MODULO 1 - REMUNERAÇÃO ]]</f>
        <v>11.192699914390431</v>
      </c>
      <c r="AN186" s="22">
        <f>SUMIF(tabParametros[Código do Posto],tabCustoUnit[[#This Row],[Código do Posto]],tabParametros[Incidência do FGTS sobre API e Reflexo do API])*tabCustoUnit[[#This Row],[MODULO 1 - REMUNERAÇÃO ]]</f>
        <v>0.89541599315123466</v>
      </c>
      <c r="AO186" s="22">
        <f>SUMIF(tabParametros[Código do Posto],tabCustoUnit[[#This Row],[Código do Posto]],tabParametros[Multa Rescisória do FGTS sobre o Aviso Prévio Indenizado])*tabCustoUnit[[#This Row],[MODULO 1 - REMUNERAÇÃO ]]</f>
        <v>0.35816639726049387</v>
      </c>
      <c r="AP186" s="22">
        <f>SUMIF(tabParametros[Código do Posto],tabCustoUnit[[#This Row],[Código do Posto]],tabParametros[Aviso Prévio Trabalhado - APT])*tabCustoUnit[[#This Row],[MODULO 1 - REMUNERAÇÃO ]]</f>
        <v>5.5869583000000009</v>
      </c>
      <c r="AQ186" s="22">
        <f>SUMIF(tabParametros[Código do Posto],tabCustoUnit[[#This Row],[Código do Posto]],tabParametros[Incidência dos encargos do submódulo 2.1 sobre Aviso Prévio Trabalhado])*tabCustoUnit[[#This Row],[MODULO 1 - REMUNERAÇÃO ]]</f>
        <v>2.1118702374000007</v>
      </c>
      <c r="AR186" s="22">
        <f>SUMIF(tabParametros[Código do Posto],tabCustoUnit[[#This Row],[Código do Posto]],tabParametros[Multa Rescisória do FGTS])*tabCustoUnit[[#This Row],[MODULO 1 - REMUNERAÇÃO ]]</f>
        <v>48.810505528888882</v>
      </c>
      <c r="AS186" s="22">
        <f>SUMIF(tabParametros[Código do Posto],tabCustoUnit[[#This Row],[Código do Posto]],tabParametros[Indenização Adicional (Art. 9º da Lei nº 7.238/84)])*tabCustoUnit[[#This Row],[MODULO 1 - REMUNERAÇÃO ]]</f>
        <v>1.3302281666666667</v>
      </c>
      <c r="AT186" s="22">
        <f>SUM(tabCustoUnit[[#This Row],[Aviso Prévio Indenizado (API) e Reflexo do Aviso Prévio Indenizado]:[Indenização Adicional (Art. 9º da Lei nº 7.238/84)]])</f>
        <v>70.285844537757711</v>
      </c>
      <c r="AU186" s="22">
        <f>SUMIF(tabParametros[Código do Posto],tabCustoUnit[[#This Row],[Código do Posto]],tabParametros[Ausência por Doença])*tabCustoUnit[[#This Row],[MODULO 1 - REMUNERAÇÃO ]]</f>
        <v>13.479645422222221</v>
      </c>
      <c r="AV186" s="22">
        <f>SUMIF(tabParametros[Código do Posto],tabCustoUnit[[#This Row],[Código do Posto]],tabParametros[Ausências Legais])*tabCustoUnit[[#This Row],[MODULO 1 - REMUNERAÇÃO ]]</f>
        <v>3.2368885388888886</v>
      </c>
      <c r="AW186" s="22">
        <f>SUMIF(tabParametros[Código do Posto],tabCustoUnit[[#This Row],[Código do Posto]],tabParametros[Licença Paternidade])*tabCustoUnit[[#This Row],[MODULO 1 - REMUNERAÇÃO ]]</f>
        <v>0.27269677416666666</v>
      </c>
      <c r="AX186" s="22">
        <f>SUMIF(tabParametros[Código do Posto],tabCustoUnit[[#This Row],[Código do Posto]],tabParametros[Ausência por Acidente de Trabalho])*tabCustoUnit[[#This Row],[MODULO 1 - REMUNERAÇÃO ]]</f>
        <v>0.33255704166666666</v>
      </c>
      <c r="AY186" s="22">
        <f>SUMIF(tabParametros[Código do Posto],tabCustoUnit[[#This Row],[Código do Posto]],tabParametros[Férias, Adicional de Férias e 13º  com empregada em gozo de Licença Maternidade])*tabCustoUnit[[#This Row],[MODULO 1 - REMUNERAÇÃO ]]</f>
        <v>2.0692438148148145</v>
      </c>
      <c r="AZ186" s="22">
        <f>SUMIF(tabParametros[Código do Posto],tabCustoUnit[[#This Row],[Código do Posto]],tabParametros[Incidência do Submódulo 2.1 sobre Ausências Legais])*tabCustoUnit[[#This Row],[MODULO 1 - REMUNERAÇÃO ]]</f>
        <v>7.3298099416850011</v>
      </c>
      <c r="BA186" s="22">
        <f>SUM(tabCustoUnit[[#This Row],[Ausência por Doença]:[Incidência do Submódulo 2.1 sobre Ausências Legais]])</f>
        <v>26.720841533444265</v>
      </c>
      <c r="BB186" s="22">
        <f>SUMIF(tabParametros[Código do Posto],tabCustoUnit[[#This Row],[Código do Posto]],tabParametros[Intervalo para Repouso ou Alimentação])</f>
        <v>0</v>
      </c>
      <c r="BC186" s="22">
        <f>tabCustoUnit[[#This Row],[Intervalo para Repouso ou Alimentação]]</f>
        <v>0</v>
      </c>
      <c r="BD18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6" s="22">
        <f>tabCustoUnit[[#This Row],[Suspensão Temporária do Contrato de Trabalho]]</f>
        <v>0</v>
      </c>
      <c r="BF186" s="22">
        <f>tabCustoUnit[[#This Row],[Submódulo 4.1]]+tabCustoUnit[[#This Row],[Submódulo 4.2]]+tabCustoUnit[[#This Row],[Submódulo 4.3]]</f>
        <v>26.720841533444265</v>
      </c>
      <c r="BG186" s="22">
        <f>VLOOKUP(tabCustoUnit[[#This Row],[Código do Posto]],tabParametros[],MATCH(tabCustoUnit[[#Headers],[Uniformes e EPIs]],tabParametros[#Headers],0),0)</f>
        <v>56.141713661989918</v>
      </c>
      <c r="BH186" s="22">
        <f>VLOOKUP(tabCustoUnit[[#This Row],[Código do Posto]],tabParametros[],MATCH(tabCustoUnit[[#Headers],[Materiais de Consumo]],tabParametros[#Headers],0),0)</f>
        <v>0</v>
      </c>
      <c r="BI186" s="22">
        <f>VLOOKUP(tabCustoUnit[[#This Row],[Código do Posto]],tabParametros[],MATCH(tabCustoUnit[[#Headers],[Máquinas e Equipamentos (depreciação)]],tabParametros[#Headers],0),0)</f>
        <v>0</v>
      </c>
      <c r="BJ186" s="22">
        <f>VLOOKUP(tabCustoUnit[[#This Row],[Código do Posto]],tabParametros[],MATCH(tabCustoUnit[[#Headers],[Produtos de Limpeza e Materiais de Higiene Pessoal]],tabParametros[#Headers],0),0)</f>
        <v>0</v>
      </c>
      <c r="BK186" s="22">
        <f>VLOOKUP(tabCustoUnit[[#This Row],[Código do Posto]],tabParametros[],MATCH(tabCustoUnit[[#Headers],[Outros (especificar)]],tabParametros[#Headers],0),0)</f>
        <v>0</v>
      </c>
      <c r="BL186" s="22">
        <f>SUM(tabCustoUnit[[#This Row],[Uniformes e EPIs]:[Outros (especificar)]])</f>
        <v>56.141713661989918</v>
      </c>
      <c r="BM18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6" s="22" t="e">
        <f ca="1">VLOOKUP(tabCustoUnit[[#This Row],[Código do Posto]],tabParametros[],MATCH(tabCustoUnit[[#Headers],[Custos Indiretos]],tabParametros[#Headers],0),0)</f>
        <v>#NAME?</v>
      </c>
      <c r="BO186" s="22" t="e">
        <f ca="1">VLOOKUP(tabCustoUnit[[#This Row],[Código do Posto]],tabParametros[],MATCH(tabCustoUnit[[#Headers],[Lucro]],tabParametros[#Headers],0),0)</f>
        <v>#NAME?</v>
      </c>
      <c r="BP186" s="26">
        <f>((100/((1-tabCustoUnit[[#This Row],[Resumo de Alíquotas (PIS+CONFINS+ISS)]]))-100)*VLOOKUP(tabCustoUnit[[#This Row],[Código do Posto]],tabParametros[],MATCH(tabCustoUnit[[#Headers],[COFINS]],tabParametros[#Headers],0),0))/(tabCustoUnit[[#This Row],[Resumo de Alíquotas (PIS+CONFINS+ISS)]]*100)</f>
        <v>8.6609686609686695E-2</v>
      </c>
      <c r="BQ186" s="26">
        <f>((100/((100-(tabCustoUnit[[#This Row],[Resumo de Alíquotas (PIS+CONFINS+ISS)]]*100))%)-100)*VLOOKUP(tabCustoUnit[[#This Row],[Código do Posto]],tabParametros[],MATCH(tabCustoUnit[[#Headers],[PIS]],tabParametros[#Headers],0),0))/(tabCustoUnit[[#This Row],[Resumo de Alíquotas (PIS+CONFINS+ISS)]]*100)</f>
        <v>1.880341880341882E-2</v>
      </c>
      <c r="BR186" s="28">
        <f>VLOOKUP(tabCustoUnit[[#This Row],[Código do Posto]],tabParametros[],MATCH(tabCustoUnit[[#Headers],[ISS]],tabParametros[#Headers],0),0)</f>
        <v>0.03</v>
      </c>
      <c r="BS186" s="26">
        <f>(((100/((100-(tabCustoUnit[[#This Row],[Resumo de Alíquotas (PIS+CONFINS+ISS)]]*100))%)-100)*tabCustoUnit[[#This Row],[ISS]])/tabCustoUnit[[#This Row],[Resumo de Alíquotas (PIS+CONFINS+ISS)]])/100</f>
        <v>3.4188034188034219E-2</v>
      </c>
      <c r="BT18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6" s="138">
        <f>tabCustoUnit[[#This Row],[COFINS]]+tabCustoUnit[[#This Row],[PIS]]+tabCustoUnit[[#This Row],[ISS (Conversão Alíquota s/ fatura)]]</f>
        <v>0.13960113960113973</v>
      </c>
      <c r="BV186" s="22" t="e">
        <f ca="1">(tabCustoUnit[[#This Row],[TOTAL MÓDULOS 1+2+3+4+5]]+tabCustoUnit[[#This Row],[Custos Indiretos]]+tabCustoUnit[[#This Row],[Lucro]])*tabCustoUnit[[#This Row],[PIS + COFINS + ISS (Total Conversão  Alíquota s/ Fatura)]]</f>
        <v>#NAME?</v>
      </c>
      <c r="BW186" s="22" t="e">
        <f ca="1">tabCustoUnit[[#This Row],[Custos Indiretos]]+tabCustoUnit[[#This Row],[Lucro]]+tabCustoUnit[[#This Row],[Valor dos Tributos (ISS, PIS, CONFINS)]]</f>
        <v>#NAME?</v>
      </c>
      <c r="BX186" s="22" t="e">
        <f ca="1">tabCustoUnit[[#This Row],[TOTAL MÓDULOS 1+2+3+4+5]]+tabCustoUnit[[#This Row],[MÓDULO 6 – CUSTOS INDIRETOS, TRIBUTOS E LUCRO]]</f>
        <v>#NAME?</v>
      </c>
      <c r="BY186" s="22" t="e">
        <f ca="1">tabCustoUnit[[#This Row],[CUSTO TOTAL MENSAL]]*12</f>
        <v>#NAME?</v>
      </c>
      <c r="BZ186" s="24">
        <f>VLOOKUP(tabCustoUnit[[#This Row],[Código do Posto]],tabParametros[],MATCH(tabCustoUnit[[#Headers],[ANO DA CCT]],tabParametros[#Headers],0),0)</f>
        <v>45658</v>
      </c>
      <c r="CA186" s="25" t="str">
        <f>VLOOKUP(tabCustoUnit[[#This Row],[Código do Posto]],tabParametros[],MATCH(tabCustoUnit[[#Headers],[Nº DE PEDIDO DA CCT]],tabParametros[#Headers],0),0)</f>
        <v>-</v>
      </c>
      <c r="CB186" s="25" t="str">
        <f>VLOOKUP(tabCustoUnit[[#This Row],[Código do Posto]],tabParametros[],MATCH(tabCustoUnit[[#Headers],[TERMO ADITIVO ALTERAÇÃO DA CCT]],tabParametros[#Headers],0),0)</f>
        <v>-</v>
      </c>
    </row>
    <row r="187" spans="1:80">
      <c r="A187" s="20" t="s">
        <v>1627</v>
      </c>
      <c r="B187" t="s">
        <v>1153</v>
      </c>
      <c r="C187" t="s">
        <v>324</v>
      </c>
      <c r="D187" t="s">
        <v>899</v>
      </c>
      <c r="E187" s="20" t="s">
        <v>1090</v>
      </c>
      <c r="F187" s="20" t="s">
        <v>120</v>
      </c>
      <c r="G187" s="418">
        <v>3397.1306</v>
      </c>
      <c r="H187" s="418">
        <v>0</v>
      </c>
      <c r="I187" s="418">
        <v>0</v>
      </c>
      <c r="J187" s="418">
        <v>0</v>
      </c>
      <c r="K187" s="418">
        <v>0</v>
      </c>
      <c r="L187" s="418">
        <v>0</v>
      </c>
      <c r="M187" s="418">
        <v>0</v>
      </c>
      <c r="N187" s="418">
        <v>0</v>
      </c>
      <c r="O187" s="21">
        <f>SUM(tabCustoUnit[[#This Row],[Salário Base]:[Adicional de Acúmulo de função]])</f>
        <v>3397.1306</v>
      </c>
      <c r="P187" s="21">
        <f>tabCustoUnit[[#This Row],[MODULO 1 - REMUNERAÇÃO ]]*SUMIFS(tabParametros[INSS],tabParametros[Código do Posto],tabCustoUnit[[#This Row],[Código do Posto]])</f>
        <v>679.42612000000008</v>
      </c>
      <c r="Q187" s="21">
        <f>tabCustoUnit[[#This Row],[MODULO 1 - REMUNERAÇÃO ]]*SUMIFS(tabParametros[SESI OU SESC],tabParametros[Código do Posto],tabCustoUnit[[#This Row],[Código do Posto]])</f>
        <v>50.956958999999998</v>
      </c>
      <c r="R187" s="21">
        <f>tabCustoUnit[[#This Row],[MODULO 1 - REMUNERAÇÃO ]]*SUMIFS(tabParametros[SENAI OU SENAC],tabParametros[Código do Posto],tabCustoUnit[[#This Row],[Código do Posto]])</f>
        <v>33.971305999999998</v>
      </c>
      <c r="S187" s="21">
        <f>tabCustoUnit[[#This Row],[MODULO 1 - REMUNERAÇÃO ]]*SUMIFS(tabParametros[INCRA],tabParametros[Código do Posto],tabCustoUnit[[#This Row],[Código do Posto]])</f>
        <v>6.7942612000000002</v>
      </c>
      <c r="T187" s="21">
        <f>tabCustoUnit[[#This Row],[MODULO 1 - REMUNERAÇÃO ]]*SUMIFS(tabParametros[Salário Educação],tabParametros[Código do Posto],tabCustoUnit[[#This Row],[Código do Posto]])</f>
        <v>84.92826500000001</v>
      </c>
      <c r="U187" s="21">
        <f>tabCustoUnit[[#This Row],[MODULO 1 - REMUNERAÇÃO ]]*SUMIFS(tabParametros[FGTS],tabParametros[Código do Posto],tabCustoUnit[[#This Row],[Código do Posto]])</f>
        <v>271.77044799999999</v>
      </c>
      <c r="V187" s="21">
        <f>tabCustoUnit[[#This Row],[MODULO 1 - REMUNERAÇÃO ]]*SUMIFS(tabParametros[RAT Ajustado],tabParametros[Código do Posto],tabCustoUnit[[#This Row],[Código do Posto]])</f>
        <v>135.88522399999999</v>
      </c>
      <c r="W187" s="21">
        <f>tabCustoUnit[[#This Row],[MODULO 1 - REMUNERAÇÃO ]]*SUMIFS(tabParametros[SEBRAE],tabParametros[Código do Posto],tabCustoUnit[[#This Row],[Código do Posto]])</f>
        <v>20.3827836</v>
      </c>
      <c r="X187" s="21">
        <f>SUM(tabCustoUnit[[#This Row],[INSS]:[SEBRAE]])</f>
        <v>1284.1153668000002</v>
      </c>
      <c r="Y187" s="21">
        <f>tabCustoUnit[[#This Row],[MODULO 1 - REMUNERAÇÃO ]]*SUMIFS(tabParametros[13º salário (titular)],tabParametros[Código do Posto],tabCustoUnit[[#This Row],[Código do Posto]])</f>
        <v>283.09421666666663</v>
      </c>
      <c r="Z187" s="21">
        <f>tabCustoUnit[[#This Row],[MODULO 1 - REMUNERAÇÃO ]]*SUMIFS(tabParametros[Férias e Adicional de Férias (titular)],tabParametros[Código do Posto],tabCustoUnit[[#This Row],[Código do Posto]])</f>
        <v>377.45895555555552</v>
      </c>
      <c r="AA187" s="21">
        <f>IFERROR((tabCustoUnit[[#This Row],[Submódulo 2.1]]/tabCustoUnit[[#This Row],[MODULO 1 - REMUNERAÇÃO ]])*SUM(tabCustoUnit[[#This Row],[13º salário (titular)]:[Férias e Adicional de Férias (titular)]]),0)</f>
        <v>249.68909910000002</v>
      </c>
      <c r="AB187" s="21">
        <f>SUM(tabCustoUnit[[#This Row],[13º salário (titular)]:[Incidência do Submódulo 2.1 sobre 13º Salário, Férias e Adicional de Férias]])</f>
        <v>910.24227132222222</v>
      </c>
      <c r="AC187" s="22" t="e">
        <f ca="1">_xlfn.LET(_xlpm.VT,SUMIF(tabParametros[Código do Posto],tabCustoUnit[[#This Row],[Código do Posto]],tabParametros[Vale - Transporte])*2*20,
IF((_xlpm.VT-tabCustoUnit[[#This Row],[Salário Base]]*0.06)&gt;=0,(_xlpm.VT-tabCustoUnit[[#This Row],[Salário Base]]*0.06),0)
)</f>
        <v>#NAME?</v>
      </c>
      <c r="AD187" s="22">
        <f>IF(SUMIF(tabParametros[Código do Posto],tabCustoUnit[[#This Row],[Código do Posto]],tabParametros[Vale - Alimentação])&lt;=0,0,
SUMIF(tabParametros[Código do Posto],tabCustoUnit[[#This Row],[Código do Posto]],tabParametros[Vale - Alimentação])*20-1)</f>
        <v>0</v>
      </c>
      <c r="AE187" s="22">
        <f>SUMIF(tabParametros[Código do Posto],tabCustoUnit[[#This Row],[Código do Posto]],tabParametros[Cesta Básica])</f>
        <v>387.79</v>
      </c>
      <c r="AF187" s="22">
        <f>SUMIF(tabParametros[Código do Posto],tabCustoUnit[[#This Row],[Código do Posto]],tabParametros[PAF])</f>
        <v>42.97</v>
      </c>
      <c r="AG187" s="22">
        <f>SUMIF(tabParametros[Código do Posto],tabCustoUnit[[#This Row],[Código do Posto]],tabParametros[PQM])</f>
        <v>0</v>
      </c>
      <c r="AH187" s="22">
        <f>SUMIF(tabParametros[Código do Posto],tabCustoUnit[[#This Row],[Código do Posto]],tabParametros[Abono Único e Especial])</f>
        <v>0</v>
      </c>
      <c r="AI187" s="22">
        <f>SUMIF(tabParametros[Código do Posto],tabCustoUnit[[#This Row],[Código do Posto]],tabParametros[Seguro de Vida])</f>
        <v>3.36</v>
      </c>
      <c r="AJ187" s="22">
        <f>SUMIF(tabParametros[Código do Posto],tabCustoUnit[[#This Row],[Código do Posto]],tabParametros[Despesas de Viagem])</f>
        <v>0</v>
      </c>
      <c r="AK187" s="22" t="e">
        <f ca="1">SUM(tabCustoUnit[[#This Row],[Vale - Transporte (Descontada parcela do empregado)]:[Despesas de Viagem]])</f>
        <v>#NAME?</v>
      </c>
      <c r="AL187" s="22" t="e">
        <f ca="1">tabCustoUnit[[#This Row],[Submódulo 2.1]]+tabCustoUnit[[#This Row],[Submódulo 2.2]]+tabCustoUnit[[#This Row],[Submódulo 2.3]]</f>
        <v>#NAME?</v>
      </c>
      <c r="AM187" s="22">
        <f>SUMIF(tabParametros[Código do Posto],tabCustoUnit[[#This Row],[Código do Posto]],tabParametros[Aviso Prévio Indenizado (API) e Reflexo do Aviso Prévio Indenizado])*tabCustoUnit[[#This Row],[MODULO 1 - REMUNERAÇÃO ]]</f>
        <v>23.819888151890432</v>
      </c>
      <c r="AN187" s="22">
        <f>SUMIF(tabParametros[Código do Posto],tabCustoUnit[[#This Row],[Código do Posto]],tabParametros[Incidência do FGTS sobre API e Reflexo do API])*tabCustoUnit[[#This Row],[MODULO 1 - REMUNERAÇÃO ]]</f>
        <v>1.9055910521512347</v>
      </c>
      <c r="AO187" s="22">
        <f>SUMIF(tabParametros[Código do Posto],tabCustoUnit[[#This Row],[Código do Posto]],tabParametros[Multa Rescisória do FGTS sobre o Aviso Prévio Indenizado])*tabCustoUnit[[#This Row],[MODULO 1 - REMUNERAÇÃO ]]</f>
        <v>0.76223642086049392</v>
      </c>
      <c r="AP187" s="22">
        <f>SUMIF(tabParametros[Código do Posto],tabCustoUnit[[#This Row],[Código do Posto]],tabParametros[Aviso Prévio Trabalhado - APT])*tabCustoUnit[[#This Row],[MODULO 1 - REMUNERAÇÃO ]]</f>
        <v>11.889957100000002</v>
      </c>
      <c r="AQ187" s="22">
        <f>SUMIF(tabParametros[Código do Posto],tabCustoUnit[[#This Row],[Código do Posto]],tabParametros[Incidência dos encargos do submódulo 2.1 sobre Aviso Prévio Trabalhado])*tabCustoUnit[[#This Row],[MODULO 1 - REMUNERAÇÃO ]]</f>
        <v>4.4944037838000011</v>
      </c>
      <c r="AR187" s="22">
        <f>SUMIF(tabParametros[Código do Posto],tabCustoUnit[[#This Row],[Código do Posto]],tabParametros[Multa Rescisória do FGTS])*tabCustoUnit[[#This Row],[MODULO 1 - REMUNERAÇÃO ]]</f>
        <v>103.87670456888887</v>
      </c>
      <c r="AS187" s="22">
        <f>SUMIF(tabParametros[Código do Posto],tabCustoUnit[[#This Row],[Código do Posto]],tabParametros[Indenização Adicional (Art. 9º da Lei nº 7.238/84)])*tabCustoUnit[[#This Row],[MODULO 1 - REMUNERAÇÃO ]]</f>
        <v>2.830942166666667</v>
      </c>
      <c r="AT187" s="22">
        <f>SUM(tabCustoUnit[[#This Row],[Aviso Prévio Indenizado (API) e Reflexo do Aviso Prévio Indenizado]:[Indenização Adicional (Art. 9º da Lei nº 7.238/84)]])</f>
        <v>149.57972324425771</v>
      </c>
      <c r="AU187" s="22">
        <f>SUMIF(tabParametros[Código do Posto],tabCustoUnit[[#This Row],[Código do Posto]],tabParametros[Ausência por Doença])*tabCustoUnit[[#This Row],[MODULO 1 - REMUNERAÇÃO ]]</f>
        <v>28.686880622222219</v>
      </c>
      <c r="AV187" s="22">
        <f>SUMIF(tabParametros[Código do Posto],tabCustoUnit[[#This Row],[Código do Posto]],tabParametros[Ausências Legais])*tabCustoUnit[[#This Row],[MODULO 1 - REMUNERAÇÃO ]]</f>
        <v>6.8886259388888886</v>
      </c>
      <c r="AW187" s="22">
        <f>SUMIF(tabParametros[Código do Posto],tabCustoUnit[[#This Row],[Código do Posto]],tabParametros[Licença Paternidade])*tabCustoUnit[[#This Row],[MODULO 1 - REMUNERAÇÃO ]]</f>
        <v>0.58034314416666666</v>
      </c>
      <c r="AX187" s="22">
        <f>SUMIF(tabParametros[Código do Posto],tabCustoUnit[[#This Row],[Código do Posto]],tabParametros[Ausência por Acidente de Trabalho])*tabCustoUnit[[#This Row],[MODULO 1 - REMUNERAÇÃO ]]</f>
        <v>0.70773554166666675</v>
      </c>
      <c r="AY187" s="22">
        <f>SUMIF(tabParametros[Código do Posto],tabCustoUnit[[#This Row],[Código do Posto]],tabParametros[Férias, Adicional de Férias e 13º  com empregada em gozo de Licença Maternidade])*tabCustoUnit[[#This Row],[MODULO 1 - REMUNERAÇÃO ]]</f>
        <v>4.4036878148148144</v>
      </c>
      <c r="AZ187" s="22">
        <f>SUMIF(tabParametros[Código do Posto],tabCustoUnit[[#This Row],[Código do Posto]],tabParametros[Incidência do Submódulo 2.1 sobre Ausências Legais])*tabCustoUnit[[#This Row],[MODULO 1 - REMUNERAÇÃO ]]</f>
        <v>15.599029217345002</v>
      </c>
      <c r="BA187" s="22">
        <f>SUM(tabCustoUnit[[#This Row],[Ausência por Doença]:[Incidência do Submódulo 2.1 sobre Ausências Legais]])</f>
        <v>56.866302279104261</v>
      </c>
      <c r="BB187" s="22">
        <f>SUMIF(tabParametros[Código do Posto],tabCustoUnit[[#This Row],[Código do Posto]],tabParametros[Intervalo para Repouso ou Alimentação])</f>
        <v>0</v>
      </c>
      <c r="BC187" s="22">
        <f>tabCustoUnit[[#This Row],[Intervalo para Repouso ou Alimentação]]</f>
        <v>0</v>
      </c>
      <c r="BD18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7" s="22">
        <f>tabCustoUnit[[#This Row],[Suspensão Temporária do Contrato de Trabalho]]</f>
        <v>0</v>
      </c>
      <c r="BF187" s="22">
        <f>tabCustoUnit[[#This Row],[Submódulo 4.1]]+tabCustoUnit[[#This Row],[Submódulo 4.2]]+tabCustoUnit[[#This Row],[Submódulo 4.3]]</f>
        <v>56.866302279104261</v>
      </c>
      <c r="BG187" s="22">
        <f>VLOOKUP(tabCustoUnit[[#This Row],[Código do Posto]],tabParametros[],MATCH(tabCustoUnit[[#Headers],[Uniformes e EPIs]],tabParametros[#Headers],0),0)</f>
        <v>56.642978962543395</v>
      </c>
      <c r="BH187" s="22">
        <f>VLOOKUP(tabCustoUnit[[#This Row],[Código do Posto]],tabParametros[],MATCH(tabCustoUnit[[#Headers],[Materiais de Consumo]],tabParametros[#Headers],0),0)</f>
        <v>0</v>
      </c>
      <c r="BI187" s="22">
        <f>VLOOKUP(tabCustoUnit[[#This Row],[Código do Posto]],tabParametros[],MATCH(tabCustoUnit[[#Headers],[Máquinas e Equipamentos (depreciação)]],tabParametros[#Headers],0),0)</f>
        <v>0</v>
      </c>
      <c r="BJ187" s="22">
        <f>VLOOKUP(tabCustoUnit[[#This Row],[Código do Posto]],tabParametros[],MATCH(tabCustoUnit[[#Headers],[Produtos de Limpeza e Materiais de Higiene Pessoal]],tabParametros[#Headers],0),0)</f>
        <v>0</v>
      </c>
      <c r="BK187" s="22">
        <f>VLOOKUP(tabCustoUnit[[#This Row],[Código do Posto]],tabParametros[],MATCH(tabCustoUnit[[#Headers],[Outros (especificar)]],tabParametros[#Headers],0),0)</f>
        <v>0</v>
      </c>
      <c r="BL187" s="22">
        <f>SUM(tabCustoUnit[[#This Row],[Uniformes e EPIs]:[Outros (especificar)]])</f>
        <v>56.642978962543395</v>
      </c>
      <c r="BM18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7" s="22" t="e">
        <f ca="1">VLOOKUP(tabCustoUnit[[#This Row],[Código do Posto]],tabParametros[],MATCH(tabCustoUnit[[#Headers],[Custos Indiretos]],tabParametros[#Headers],0),0)</f>
        <v>#NAME?</v>
      </c>
      <c r="BO187" s="22" t="e">
        <f ca="1">VLOOKUP(tabCustoUnit[[#This Row],[Código do Posto]],tabParametros[],MATCH(tabCustoUnit[[#Headers],[Lucro]],tabParametros[#Headers],0),0)</f>
        <v>#NAME?</v>
      </c>
      <c r="BP187" s="26">
        <f>((100/((1-tabCustoUnit[[#This Row],[Resumo de Alíquotas (PIS+CONFINS+ISS)]]))-100)*VLOOKUP(tabCustoUnit[[#This Row],[Código do Posto]],tabParametros[],MATCH(tabCustoUnit[[#Headers],[COFINS]],tabParametros[#Headers],0),0))/(tabCustoUnit[[#This Row],[Resumo de Alíquotas (PIS+CONFINS+ISS)]]*100)</f>
        <v>8.6609686609686695E-2</v>
      </c>
      <c r="BQ187" s="26">
        <f>((100/((100-(tabCustoUnit[[#This Row],[Resumo de Alíquotas (PIS+CONFINS+ISS)]]*100))%)-100)*VLOOKUP(tabCustoUnit[[#This Row],[Código do Posto]],tabParametros[],MATCH(tabCustoUnit[[#Headers],[PIS]],tabParametros[#Headers],0),0))/(tabCustoUnit[[#This Row],[Resumo de Alíquotas (PIS+CONFINS+ISS)]]*100)</f>
        <v>1.880341880341882E-2</v>
      </c>
      <c r="BR187" s="28">
        <f>VLOOKUP(tabCustoUnit[[#This Row],[Código do Posto]],tabParametros[],MATCH(tabCustoUnit[[#Headers],[ISS]],tabParametros[#Headers],0),0)</f>
        <v>0.03</v>
      </c>
      <c r="BS187" s="26">
        <f>(((100/((100-(tabCustoUnit[[#This Row],[Resumo de Alíquotas (PIS+CONFINS+ISS)]]*100))%)-100)*tabCustoUnit[[#This Row],[ISS]])/tabCustoUnit[[#This Row],[Resumo de Alíquotas (PIS+CONFINS+ISS)]])/100</f>
        <v>3.4188034188034219E-2</v>
      </c>
      <c r="BT18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7" s="138">
        <f>tabCustoUnit[[#This Row],[COFINS]]+tabCustoUnit[[#This Row],[PIS]]+tabCustoUnit[[#This Row],[ISS (Conversão Alíquota s/ fatura)]]</f>
        <v>0.13960113960113973</v>
      </c>
      <c r="BV187" s="22" t="e">
        <f ca="1">(tabCustoUnit[[#This Row],[TOTAL MÓDULOS 1+2+3+4+5]]+tabCustoUnit[[#This Row],[Custos Indiretos]]+tabCustoUnit[[#This Row],[Lucro]])*tabCustoUnit[[#This Row],[PIS + COFINS + ISS (Total Conversão  Alíquota s/ Fatura)]]</f>
        <v>#NAME?</v>
      </c>
      <c r="BW187" s="22" t="e">
        <f ca="1">tabCustoUnit[[#This Row],[Custos Indiretos]]+tabCustoUnit[[#This Row],[Lucro]]+tabCustoUnit[[#This Row],[Valor dos Tributos (ISS, PIS, CONFINS)]]</f>
        <v>#NAME?</v>
      </c>
      <c r="BX187" s="22" t="e">
        <f ca="1">tabCustoUnit[[#This Row],[TOTAL MÓDULOS 1+2+3+4+5]]+tabCustoUnit[[#This Row],[MÓDULO 6 – CUSTOS INDIRETOS, TRIBUTOS E LUCRO]]</f>
        <v>#NAME?</v>
      </c>
      <c r="BY187" s="22" t="e">
        <f ca="1">tabCustoUnit[[#This Row],[CUSTO TOTAL MENSAL]]*12</f>
        <v>#NAME?</v>
      </c>
      <c r="BZ187" s="24">
        <f>VLOOKUP(tabCustoUnit[[#This Row],[Código do Posto]],tabParametros[],MATCH(tabCustoUnit[[#Headers],[ANO DA CCT]],tabParametros[#Headers],0),0)</f>
        <v>45658</v>
      </c>
      <c r="CA187" s="25" t="str">
        <f>VLOOKUP(tabCustoUnit[[#This Row],[Código do Posto]],tabParametros[],MATCH(tabCustoUnit[[#Headers],[Nº DE PEDIDO DA CCT]],tabParametros[#Headers],0),0)</f>
        <v>-</v>
      </c>
      <c r="CB187" s="25" t="str">
        <f>VLOOKUP(tabCustoUnit[[#This Row],[Código do Posto]],tabParametros[],MATCH(tabCustoUnit[[#Headers],[TERMO ADITIVO ALTERAÇÃO DA CCT]],tabParametros[#Headers],0),0)</f>
        <v>-</v>
      </c>
    </row>
    <row r="188" spans="1:80">
      <c r="A188" s="20" t="s">
        <v>1628</v>
      </c>
      <c r="B188" t="s">
        <v>1154</v>
      </c>
      <c r="C188" t="s">
        <v>314</v>
      </c>
      <c r="D188" t="s">
        <v>918</v>
      </c>
      <c r="E188" s="20" t="s">
        <v>1090</v>
      </c>
      <c r="F188" s="20" t="s">
        <v>120</v>
      </c>
      <c r="G188" s="418">
        <v>1963.4110000000001</v>
      </c>
      <c r="H188" s="418">
        <v>0</v>
      </c>
      <c r="I188" s="418">
        <v>0</v>
      </c>
      <c r="J188" s="418">
        <v>0</v>
      </c>
      <c r="K188" s="418">
        <v>0</v>
      </c>
      <c r="L188" s="418">
        <v>0</v>
      </c>
      <c r="M188" s="418">
        <v>0</v>
      </c>
      <c r="N188" s="418">
        <v>0</v>
      </c>
      <c r="O188" s="21">
        <f>SUM(tabCustoUnit[[#This Row],[Salário Base]:[Adicional de Acúmulo de função]])</f>
        <v>1963.4110000000001</v>
      </c>
      <c r="P188" s="21">
        <f>tabCustoUnit[[#This Row],[MODULO 1 - REMUNERAÇÃO ]]*SUMIFS(tabParametros[INSS],tabParametros[Código do Posto],tabCustoUnit[[#This Row],[Código do Posto]])</f>
        <v>392.68220000000002</v>
      </c>
      <c r="Q188" s="21">
        <f>tabCustoUnit[[#This Row],[MODULO 1 - REMUNERAÇÃO ]]*SUMIFS(tabParametros[SESI OU SESC],tabParametros[Código do Posto],tabCustoUnit[[#This Row],[Código do Posto]])</f>
        <v>29.451165</v>
      </c>
      <c r="R188" s="21">
        <f>tabCustoUnit[[#This Row],[MODULO 1 - REMUNERAÇÃO ]]*SUMIFS(tabParametros[SENAI OU SENAC],tabParametros[Código do Posto],tabCustoUnit[[#This Row],[Código do Posto]])</f>
        <v>19.63411</v>
      </c>
      <c r="S188" s="21">
        <f>tabCustoUnit[[#This Row],[MODULO 1 - REMUNERAÇÃO ]]*SUMIFS(tabParametros[INCRA],tabParametros[Código do Posto],tabCustoUnit[[#This Row],[Código do Posto]])</f>
        <v>3.926822</v>
      </c>
      <c r="T188" s="21">
        <f>tabCustoUnit[[#This Row],[MODULO 1 - REMUNERAÇÃO ]]*SUMIFS(tabParametros[Salário Educação],tabParametros[Código do Posto],tabCustoUnit[[#This Row],[Código do Posto]])</f>
        <v>49.085275000000003</v>
      </c>
      <c r="U188" s="21">
        <f>tabCustoUnit[[#This Row],[MODULO 1 - REMUNERAÇÃO ]]*SUMIFS(tabParametros[FGTS],tabParametros[Código do Posto],tabCustoUnit[[#This Row],[Código do Posto]])</f>
        <v>157.07288</v>
      </c>
      <c r="V188" s="21">
        <f>tabCustoUnit[[#This Row],[MODULO 1 - REMUNERAÇÃO ]]*SUMIFS(tabParametros[RAT Ajustado],tabParametros[Código do Posto],tabCustoUnit[[#This Row],[Código do Posto]])</f>
        <v>78.536439999999999</v>
      </c>
      <c r="W188" s="21">
        <f>tabCustoUnit[[#This Row],[MODULO 1 - REMUNERAÇÃO ]]*SUMIFS(tabParametros[SEBRAE],tabParametros[Código do Posto],tabCustoUnit[[#This Row],[Código do Posto]])</f>
        <v>11.780466000000001</v>
      </c>
      <c r="X188" s="21">
        <f>SUM(tabCustoUnit[[#This Row],[INSS]:[SEBRAE]])</f>
        <v>742.1693580000001</v>
      </c>
      <c r="Y188" s="21">
        <f>tabCustoUnit[[#This Row],[MODULO 1 - REMUNERAÇÃO ]]*SUMIFS(tabParametros[13º salário (titular)],tabParametros[Código do Posto],tabCustoUnit[[#This Row],[Código do Posto]])</f>
        <v>163.61758333333333</v>
      </c>
      <c r="Z188" s="21">
        <f>tabCustoUnit[[#This Row],[MODULO 1 - REMUNERAÇÃO ]]*SUMIFS(tabParametros[Férias e Adicional de Férias (titular)],tabParametros[Código do Posto],tabCustoUnit[[#This Row],[Código do Posto]])</f>
        <v>218.15677777777776</v>
      </c>
      <c r="AA188" s="21">
        <f>IFERROR((tabCustoUnit[[#This Row],[Submódulo 2.1]]/tabCustoUnit[[#This Row],[MODULO 1 - REMUNERAÇÃO ]])*SUM(tabCustoUnit[[#This Row],[13º salário (titular)]:[Férias e Adicional de Férias (titular)]]),0)</f>
        <v>144.3107085</v>
      </c>
      <c r="AB188" s="21">
        <f>SUM(tabCustoUnit[[#This Row],[13º salário (titular)]:[Incidência do Submódulo 2.1 sobre 13º Salário, Férias e Adicional de Férias]])</f>
        <v>526.08506961111107</v>
      </c>
      <c r="AC188" s="22" t="e">
        <f ca="1">_xlfn.LET(_xlpm.VT,SUMIF(tabParametros[Código do Posto],tabCustoUnit[[#This Row],[Código do Posto]],tabParametros[Vale - Transporte])*2*20,
IF((_xlpm.VT-tabCustoUnit[[#This Row],[Salário Base]]*0.06)&gt;=0,(_xlpm.VT-tabCustoUnit[[#This Row],[Salário Base]]*0.06),0)
)</f>
        <v>#NAME?</v>
      </c>
      <c r="AD188" s="22">
        <f>IF(SUMIF(tabParametros[Código do Posto],tabCustoUnit[[#This Row],[Código do Posto]],tabParametros[Vale - Alimentação])&lt;=0,0,
SUMIF(tabParametros[Código do Posto],tabCustoUnit[[#This Row],[Código do Posto]],tabParametros[Vale - Alimentação])*20-1)</f>
        <v>582</v>
      </c>
      <c r="AE188" s="22">
        <f>SUMIF(tabParametros[Código do Posto],tabCustoUnit[[#This Row],[Código do Posto]],tabParametros[Cesta Básica])</f>
        <v>0</v>
      </c>
      <c r="AF188" s="22">
        <f>SUMIF(tabParametros[Código do Posto],tabCustoUnit[[#This Row],[Código do Posto]],tabParametros[PAF])</f>
        <v>0</v>
      </c>
      <c r="AG188" s="22">
        <f>SUMIF(tabParametros[Código do Posto],tabCustoUnit[[#This Row],[Código do Posto]],tabParametros[PQM])</f>
        <v>15.07</v>
      </c>
      <c r="AH188" s="22">
        <f>SUMIF(tabParametros[Código do Posto],tabCustoUnit[[#This Row],[Código do Posto]],tabParametros[Abono Único e Especial])</f>
        <v>0</v>
      </c>
      <c r="AI188" s="22">
        <f>SUMIF(tabParametros[Código do Posto],tabCustoUnit[[#This Row],[Código do Posto]],tabParametros[Seguro de Vida])</f>
        <v>3.36</v>
      </c>
      <c r="AJ188" s="22">
        <f>SUMIF(tabParametros[Código do Posto],tabCustoUnit[[#This Row],[Código do Posto]],tabParametros[Despesas de Viagem])</f>
        <v>0</v>
      </c>
      <c r="AK188" s="22" t="e">
        <f ca="1">SUM(tabCustoUnit[[#This Row],[Vale - Transporte (Descontada parcela do empregado)]:[Despesas de Viagem]])</f>
        <v>#NAME?</v>
      </c>
      <c r="AL188" s="22" t="e">
        <f ca="1">tabCustoUnit[[#This Row],[Submódulo 2.1]]+tabCustoUnit[[#This Row],[Submódulo 2.2]]+tabCustoUnit[[#This Row],[Submódulo 2.3]]</f>
        <v>#NAME?</v>
      </c>
      <c r="AM188" s="22">
        <f>SUMIF(tabParametros[Código do Posto],tabCustoUnit[[#This Row],[Código do Posto]],tabParametros[Aviso Prévio Indenizado (API) e Reflexo do Aviso Prévio Indenizado])*tabCustoUnit[[#This Row],[MODULO 1 - REMUNERAÇÃO ]]</f>
        <v>13.766980408757716</v>
      </c>
      <c r="AN188" s="22">
        <f>SUMIF(tabParametros[Código do Posto],tabCustoUnit[[#This Row],[Código do Posto]],tabParametros[Incidência do FGTS sobre API e Reflexo do API])*tabCustoUnit[[#This Row],[MODULO 1 - REMUNERAÇÃO ]]</f>
        <v>1.1013584327006174</v>
      </c>
      <c r="AO188" s="22">
        <f>SUMIF(tabParametros[Código do Posto],tabCustoUnit[[#This Row],[Código do Posto]],tabParametros[Multa Rescisória do FGTS sobre o Aviso Prévio Indenizado])*tabCustoUnit[[#This Row],[MODULO 1 - REMUNERAÇÃO ]]</f>
        <v>0.44054337308024699</v>
      </c>
      <c r="AP188" s="22">
        <f>SUMIF(tabParametros[Código do Posto],tabCustoUnit[[#This Row],[Código do Posto]],tabParametros[Aviso Prévio Trabalhado - APT])*tabCustoUnit[[#This Row],[MODULO 1 - REMUNERAÇÃO ]]</f>
        <v>6.8719385000000015</v>
      </c>
      <c r="AQ188" s="22">
        <f>SUMIF(tabParametros[Código do Posto],tabCustoUnit[[#This Row],[Código do Posto]],tabParametros[Incidência dos encargos do submódulo 2.1 sobre Aviso Prévio Trabalhado])*tabCustoUnit[[#This Row],[MODULO 1 - REMUNERAÇÃO ]]</f>
        <v>2.5975927530000007</v>
      </c>
      <c r="AR188" s="22">
        <f>SUMIF(tabParametros[Código do Posto],tabCustoUnit[[#This Row],[Código do Posto]],tabParametros[Multa Rescisória do FGTS])*tabCustoUnit[[#This Row],[MODULO 1 - REMUNERAÇÃO ]]</f>
        <v>60.03674524444444</v>
      </c>
      <c r="AS188" s="22">
        <f>SUMIF(tabParametros[Código do Posto],tabCustoUnit[[#This Row],[Código do Posto]],tabParametros[Indenização Adicional (Art. 9º da Lei nº 7.238/84)])*tabCustoUnit[[#This Row],[MODULO 1 - REMUNERAÇÃO ]]</f>
        <v>1.6361758333333334</v>
      </c>
      <c r="AT188" s="22">
        <f>SUM(tabCustoUnit[[#This Row],[Aviso Prévio Indenizado (API) e Reflexo do Aviso Prévio Indenizado]:[Indenização Adicional (Art. 9º da Lei nº 7.238/84)]])</f>
        <v>86.451334545316371</v>
      </c>
      <c r="AU188" s="22">
        <f>SUMIF(tabParametros[Código do Posto],tabCustoUnit[[#This Row],[Código do Posto]],tabParametros[Ausência por Doença])*tabCustoUnit[[#This Row],[MODULO 1 - REMUNERAÇÃO ]]</f>
        <v>16.579915111111109</v>
      </c>
      <c r="AV188" s="22">
        <f>SUMIF(tabParametros[Código do Posto],tabCustoUnit[[#This Row],[Código do Posto]],tabParametros[Ausências Legais])*tabCustoUnit[[#This Row],[MODULO 1 - REMUNERAÇÃO ]]</f>
        <v>3.9813611944444443</v>
      </c>
      <c r="AW188" s="22">
        <f>SUMIF(tabParametros[Código do Posto],tabCustoUnit[[#This Row],[Código do Posto]],tabParametros[Licença Paternidade])*tabCustoUnit[[#This Row],[MODULO 1 - REMUNERAÇÃO ]]</f>
        <v>0.33541604583333334</v>
      </c>
      <c r="AX188" s="22">
        <f>SUMIF(tabParametros[Código do Posto],tabCustoUnit[[#This Row],[Código do Posto]],tabParametros[Ausência por Acidente de Trabalho])*tabCustoUnit[[#This Row],[MODULO 1 - REMUNERAÇÃO ]]</f>
        <v>0.40904395833333335</v>
      </c>
      <c r="AY188" s="22">
        <f>SUMIF(tabParametros[Código do Posto],tabCustoUnit[[#This Row],[Código do Posto]],tabParametros[Férias, Adicional de Férias e 13º  com empregada em gozo de Licença Maternidade])*tabCustoUnit[[#This Row],[MODULO 1 - REMUNERAÇÃO ]]</f>
        <v>2.5451624074074073</v>
      </c>
      <c r="AZ188" s="22">
        <f>SUMIF(tabParametros[Código do Posto],tabCustoUnit[[#This Row],[Código do Posto]],tabParametros[Incidência do Submódulo 2.1 sobre Ausências Legais])*tabCustoUnit[[#This Row],[MODULO 1 - REMUNERAÇÃO ]]</f>
        <v>9.0156397150750021</v>
      </c>
      <c r="BA188" s="22">
        <f>SUM(tabCustoUnit[[#This Row],[Ausência por Doença]:[Incidência do Submódulo 2.1 sobre Ausências Legais]])</f>
        <v>32.866538432204628</v>
      </c>
      <c r="BB188" s="22">
        <f>SUMIF(tabParametros[Código do Posto],tabCustoUnit[[#This Row],[Código do Posto]],tabParametros[Intervalo para Repouso ou Alimentação])</f>
        <v>267.73786489195959</v>
      </c>
      <c r="BC188" s="22">
        <f>tabCustoUnit[[#This Row],[Intervalo para Repouso ou Alimentação]]</f>
        <v>267.73786489195959</v>
      </c>
      <c r="BD18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8" s="22">
        <f>tabCustoUnit[[#This Row],[Suspensão Temporária do Contrato de Trabalho]]</f>
        <v>0</v>
      </c>
      <c r="BF188" s="22">
        <f>tabCustoUnit[[#This Row],[Submódulo 4.1]]+tabCustoUnit[[#This Row],[Submódulo 4.2]]+tabCustoUnit[[#This Row],[Submódulo 4.3]]</f>
        <v>300.6044033241642</v>
      </c>
      <c r="BG188" s="22">
        <f>VLOOKUP(tabCustoUnit[[#This Row],[Código do Posto]],tabParametros[],MATCH(tabCustoUnit[[#Headers],[Uniformes e EPIs]],tabParametros[#Headers],0),0)</f>
        <v>56.642978962543395</v>
      </c>
      <c r="BH188" s="22">
        <f>VLOOKUP(tabCustoUnit[[#This Row],[Código do Posto]],tabParametros[],MATCH(tabCustoUnit[[#Headers],[Materiais de Consumo]],tabParametros[#Headers],0),0)</f>
        <v>0</v>
      </c>
      <c r="BI188" s="22">
        <f>VLOOKUP(tabCustoUnit[[#This Row],[Código do Posto]],tabParametros[],MATCH(tabCustoUnit[[#Headers],[Máquinas e Equipamentos (depreciação)]],tabParametros[#Headers],0),0)</f>
        <v>0</v>
      </c>
      <c r="BJ188" s="22">
        <f>VLOOKUP(tabCustoUnit[[#This Row],[Código do Posto]],tabParametros[],MATCH(tabCustoUnit[[#Headers],[Produtos de Limpeza e Materiais de Higiene Pessoal]],tabParametros[#Headers],0),0)</f>
        <v>0</v>
      </c>
      <c r="BK188" s="22">
        <f>VLOOKUP(tabCustoUnit[[#This Row],[Código do Posto]],tabParametros[],MATCH(tabCustoUnit[[#Headers],[Outros (especificar)]],tabParametros[#Headers],0),0)</f>
        <v>0</v>
      </c>
      <c r="BL188" s="22">
        <f>SUM(tabCustoUnit[[#This Row],[Uniformes e EPIs]:[Outros (especificar)]])</f>
        <v>56.642978962543395</v>
      </c>
      <c r="BM18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8" s="22" t="e">
        <f ca="1">VLOOKUP(tabCustoUnit[[#This Row],[Código do Posto]],tabParametros[],MATCH(tabCustoUnit[[#Headers],[Custos Indiretos]],tabParametros[#Headers],0),0)</f>
        <v>#NAME?</v>
      </c>
      <c r="BO188" s="22" t="e">
        <f ca="1">VLOOKUP(tabCustoUnit[[#This Row],[Código do Posto]],tabParametros[],MATCH(tabCustoUnit[[#Headers],[Lucro]],tabParametros[#Headers],0),0)</f>
        <v>#NAME?</v>
      </c>
      <c r="BP188" s="26">
        <f>((100/((1-tabCustoUnit[[#This Row],[Resumo de Alíquotas (PIS+CONFINS+ISS)]]))-100)*VLOOKUP(tabCustoUnit[[#This Row],[Código do Posto]],tabParametros[],MATCH(tabCustoUnit[[#Headers],[COFINS]],tabParametros[#Headers],0),0))/(tabCustoUnit[[#This Row],[Resumo de Alíquotas (PIS+CONFINS+ISS)]]*100)</f>
        <v>8.6609686609686695E-2</v>
      </c>
      <c r="BQ188" s="26">
        <f>((100/((100-(tabCustoUnit[[#This Row],[Resumo de Alíquotas (PIS+CONFINS+ISS)]]*100))%)-100)*VLOOKUP(tabCustoUnit[[#This Row],[Código do Posto]],tabParametros[],MATCH(tabCustoUnit[[#Headers],[PIS]],tabParametros[#Headers],0),0))/(tabCustoUnit[[#This Row],[Resumo de Alíquotas (PIS+CONFINS+ISS)]]*100)</f>
        <v>1.880341880341882E-2</v>
      </c>
      <c r="BR188" s="28">
        <f>VLOOKUP(tabCustoUnit[[#This Row],[Código do Posto]],tabParametros[],MATCH(tabCustoUnit[[#Headers],[ISS]],tabParametros[#Headers],0),0)</f>
        <v>0.03</v>
      </c>
      <c r="BS188" s="26">
        <f>(((100/((100-(tabCustoUnit[[#This Row],[Resumo de Alíquotas (PIS+CONFINS+ISS)]]*100))%)-100)*tabCustoUnit[[#This Row],[ISS]])/tabCustoUnit[[#This Row],[Resumo de Alíquotas (PIS+CONFINS+ISS)]])/100</f>
        <v>3.4188034188034219E-2</v>
      </c>
      <c r="BT18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8" s="138">
        <f>tabCustoUnit[[#This Row],[COFINS]]+tabCustoUnit[[#This Row],[PIS]]+tabCustoUnit[[#This Row],[ISS (Conversão Alíquota s/ fatura)]]</f>
        <v>0.13960113960113973</v>
      </c>
      <c r="BV188" s="22" t="e">
        <f ca="1">(tabCustoUnit[[#This Row],[TOTAL MÓDULOS 1+2+3+4+5]]+tabCustoUnit[[#This Row],[Custos Indiretos]]+tabCustoUnit[[#This Row],[Lucro]])*tabCustoUnit[[#This Row],[PIS + COFINS + ISS (Total Conversão  Alíquota s/ Fatura)]]</f>
        <v>#NAME?</v>
      </c>
      <c r="BW188" s="22" t="e">
        <f ca="1">tabCustoUnit[[#This Row],[Custos Indiretos]]+tabCustoUnit[[#This Row],[Lucro]]+tabCustoUnit[[#This Row],[Valor dos Tributos (ISS, PIS, CONFINS)]]</f>
        <v>#NAME?</v>
      </c>
      <c r="BX188" s="22" t="e">
        <f ca="1">tabCustoUnit[[#This Row],[TOTAL MÓDULOS 1+2+3+4+5]]+tabCustoUnit[[#This Row],[MÓDULO 6 – CUSTOS INDIRETOS, TRIBUTOS E LUCRO]]</f>
        <v>#NAME?</v>
      </c>
      <c r="BY188" s="22" t="e">
        <f ca="1">tabCustoUnit[[#This Row],[CUSTO TOTAL MENSAL]]*12</f>
        <v>#NAME?</v>
      </c>
      <c r="BZ188" s="24">
        <f>VLOOKUP(tabCustoUnit[[#This Row],[Código do Posto]],tabParametros[],MATCH(tabCustoUnit[[#Headers],[ANO DA CCT]],tabParametros[#Headers],0),0)</f>
        <v>45658</v>
      </c>
      <c r="CA188" s="25" t="str">
        <f>VLOOKUP(tabCustoUnit[[#This Row],[Código do Posto]],tabParametros[],MATCH(tabCustoUnit[[#Headers],[Nº DE PEDIDO DA CCT]],tabParametros[#Headers],0),0)</f>
        <v>-</v>
      </c>
      <c r="CB188" s="25" t="str">
        <f>VLOOKUP(tabCustoUnit[[#This Row],[Código do Posto]],tabParametros[],MATCH(tabCustoUnit[[#Headers],[TERMO ADITIVO ALTERAÇÃO DA CCT]],tabParametros[#Headers],0),0)</f>
        <v>-</v>
      </c>
    </row>
    <row r="189" spans="1:80">
      <c r="A189" s="20" t="s">
        <v>1629</v>
      </c>
      <c r="B189" t="s">
        <v>1155</v>
      </c>
      <c r="C189" t="s">
        <v>319</v>
      </c>
      <c r="D189" t="s">
        <v>918</v>
      </c>
      <c r="E189" s="20" t="s">
        <v>1090</v>
      </c>
      <c r="F189" s="20" t="s">
        <v>120</v>
      </c>
      <c r="G189" s="418">
        <v>2316.2296999999999</v>
      </c>
      <c r="H189" s="418">
        <v>0</v>
      </c>
      <c r="I189" s="418">
        <v>0</v>
      </c>
      <c r="J189" s="418">
        <v>0</v>
      </c>
      <c r="K189" s="418">
        <v>0</v>
      </c>
      <c r="L189" s="418">
        <v>0</v>
      </c>
      <c r="M189" s="418">
        <v>0</v>
      </c>
      <c r="N189" s="418">
        <v>0</v>
      </c>
      <c r="O189" s="21">
        <f>SUM(tabCustoUnit[[#This Row],[Salário Base]:[Adicional de Acúmulo de função]])</f>
        <v>2316.2296999999999</v>
      </c>
      <c r="P189" s="21">
        <f>tabCustoUnit[[#This Row],[MODULO 1 - REMUNERAÇÃO ]]*SUMIFS(tabParametros[INSS],tabParametros[Código do Posto],tabCustoUnit[[#This Row],[Código do Posto]])</f>
        <v>463.24594000000002</v>
      </c>
      <c r="Q189" s="21">
        <f>tabCustoUnit[[#This Row],[MODULO 1 - REMUNERAÇÃO ]]*SUMIFS(tabParametros[SESI OU SESC],tabParametros[Código do Posto],tabCustoUnit[[#This Row],[Código do Posto]])</f>
        <v>34.7434455</v>
      </c>
      <c r="R189" s="21">
        <f>tabCustoUnit[[#This Row],[MODULO 1 - REMUNERAÇÃO ]]*SUMIFS(tabParametros[SENAI OU SENAC],tabParametros[Código do Posto],tabCustoUnit[[#This Row],[Código do Posto]])</f>
        <v>23.162296999999999</v>
      </c>
      <c r="S189" s="21">
        <f>tabCustoUnit[[#This Row],[MODULO 1 - REMUNERAÇÃO ]]*SUMIFS(tabParametros[INCRA],tabParametros[Código do Posto],tabCustoUnit[[#This Row],[Código do Posto]])</f>
        <v>4.6324594000000001</v>
      </c>
      <c r="T189" s="21">
        <f>tabCustoUnit[[#This Row],[MODULO 1 - REMUNERAÇÃO ]]*SUMIFS(tabParametros[Salário Educação],tabParametros[Código do Posto],tabCustoUnit[[#This Row],[Código do Posto]])</f>
        <v>57.905742500000002</v>
      </c>
      <c r="U189" s="21">
        <f>tabCustoUnit[[#This Row],[MODULO 1 - REMUNERAÇÃO ]]*SUMIFS(tabParametros[FGTS],tabParametros[Código do Posto],tabCustoUnit[[#This Row],[Código do Posto]])</f>
        <v>185.29837599999999</v>
      </c>
      <c r="V189" s="21">
        <f>tabCustoUnit[[#This Row],[MODULO 1 - REMUNERAÇÃO ]]*SUMIFS(tabParametros[RAT Ajustado],tabParametros[Código do Posto],tabCustoUnit[[#This Row],[Código do Posto]])</f>
        <v>92.649187999999995</v>
      </c>
      <c r="W189" s="21">
        <f>tabCustoUnit[[#This Row],[MODULO 1 - REMUNERAÇÃO ]]*SUMIFS(tabParametros[SEBRAE],tabParametros[Código do Posto],tabCustoUnit[[#This Row],[Código do Posto]])</f>
        <v>13.8973782</v>
      </c>
      <c r="X189" s="21">
        <f>SUM(tabCustoUnit[[#This Row],[INSS]:[SEBRAE]])</f>
        <v>875.53482659999997</v>
      </c>
      <c r="Y189" s="21">
        <f>tabCustoUnit[[#This Row],[MODULO 1 - REMUNERAÇÃO ]]*SUMIFS(tabParametros[13º salário (titular)],tabParametros[Código do Posto],tabCustoUnit[[#This Row],[Código do Posto]])</f>
        <v>193.01914166666666</v>
      </c>
      <c r="Z189" s="21">
        <f>tabCustoUnit[[#This Row],[MODULO 1 - REMUNERAÇÃO ]]*SUMIFS(tabParametros[Férias e Adicional de Férias (titular)],tabParametros[Código do Posto],tabCustoUnit[[#This Row],[Código do Posto]])</f>
        <v>257.35885555555552</v>
      </c>
      <c r="AA189" s="21">
        <f>IFERROR((tabCustoUnit[[#This Row],[Submódulo 2.1]]/tabCustoUnit[[#This Row],[MODULO 1 - REMUNERAÇÃO ]])*SUM(tabCustoUnit[[#This Row],[13º salário (titular)]:[Férias e Adicional de Férias (titular)]]),0)</f>
        <v>170.24288294999999</v>
      </c>
      <c r="AB189" s="21">
        <f>SUM(tabCustoUnit[[#This Row],[13º salário (titular)]:[Incidência do Submódulo 2.1 sobre 13º Salário, Férias e Adicional de Férias]])</f>
        <v>620.6208801722222</v>
      </c>
      <c r="AC189" s="22" t="e">
        <f ca="1">_xlfn.LET(_xlpm.VT,SUMIF(tabParametros[Código do Posto],tabCustoUnit[[#This Row],[Código do Posto]],tabParametros[Vale - Transporte])*2*20,
IF((_xlpm.VT-tabCustoUnit[[#This Row],[Salário Base]]*0.06)&gt;=0,(_xlpm.VT-tabCustoUnit[[#This Row],[Salário Base]]*0.06),0)
)</f>
        <v>#NAME?</v>
      </c>
      <c r="AD189" s="22">
        <f>IF(SUMIF(tabParametros[Código do Posto],tabCustoUnit[[#This Row],[Código do Posto]],tabParametros[Vale - Alimentação])&lt;=0,0,
SUMIF(tabParametros[Código do Posto],tabCustoUnit[[#This Row],[Código do Posto]],tabParametros[Vale - Alimentação])*20-1)</f>
        <v>582</v>
      </c>
      <c r="AE189" s="22">
        <f>SUMIF(tabParametros[Código do Posto],tabCustoUnit[[#This Row],[Código do Posto]],tabParametros[Cesta Básica])</f>
        <v>0</v>
      </c>
      <c r="AF189" s="22">
        <f>SUMIF(tabParametros[Código do Posto],tabCustoUnit[[#This Row],[Código do Posto]],tabParametros[PAF])</f>
        <v>0</v>
      </c>
      <c r="AG189" s="22">
        <f>SUMIF(tabParametros[Código do Posto],tabCustoUnit[[#This Row],[Código do Posto]],tabParametros[PQM])</f>
        <v>15.07</v>
      </c>
      <c r="AH189" s="22">
        <f>SUMIF(tabParametros[Código do Posto],tabCustoUnit[[#This Row],[Código do Posto]],tabParametros[Abono Único e Especial])</f>
        <v>0</v>
      </c>
      <c r="AI189" s="22">
        <f>SUMIF(tabParametros[Código do Posto],tabCustoUnit[[#This Row],[Código do Posto]],tabParametros[Seguro de Vida])</f>
        <v>3.36</v>
      </c>
      <c r="AJ189" s="22">
        <f>SUMIF(tabParametros[Código do Posto],tabCustoUnit[[#This Row],[Código do Posto]],tabParametros[Despesas de Viagem])</f>
        <v>0</v>
      </c>
      <c r="AK189" s="22" t="e">
        <f ca="1">SUM(tabCustoUnit[[#This Row],[Vale - Transporte (Descontada parcela do empregado)]:[Despesas de Viagem]])</f>
        <v>#NAME?</v>
      </c>
      <c r="AL189" s="22" t="e">
        <f ca="1">tabCustoUnit[[#This Row],[Submódulo 2.1]]+tabCustoUnit[[#This Row],[Submódulo 2.2]]+tabCustoUnit[[#This Row],[Submódulo 2.3]]</f>
        <v>#NAME?</v>
      </c>
      <c r="AM189" s="22">
        <f>SUMIF(tabParametros[Código do Posto],tabCustoUnit[[#This Row],[Código do Posto]],tabParametros[Aviso Prévio Indenizado (API) e Reflexo do Aviso Prévio Indenizado])*tabCustoUnit[[#This Row],[MODULO 1 - REMUNERAÇÃO ]]</f>
        <v>16.240862917689043</v>
      </c>
      <c r="AN189" s="22">
        <f>SUMIF(tabParametros[Código do Posto],tabCustoUnit[[#This Row],[Código do Posto]],tabParametros[Incidência do FGTS sobre API e Reflexo do API])*tabCustoUnit[[#This Row],[MODULO 1 - REMUNERAÇÃO ]]</f>
        <v>1.2992690334151236</v>
      </c>
      <c r="AO189" s="22">
        <f>SUMIF(tabParametros[Código do Posto],tabCustoUnit[[#This Row],[Código do Posto]],tabParametros[Multa Rescisória do FGTS sobre o Aviso Prévio Indenizado])*tabCustoUnit[[#This Row],[MODULO 1 - REMUNERAÇÃO ]]</f>
        <v>0.51970761336604943</v>
      </c>
      <c r="AP189" s="22">
        <f>SUMIF(tabParametros[Código do Posto],tabCustoUnit[[#This Row],[Código do Posto]],tabParametros[Aviso Prévio Trabalhado - APT])*tabCustoUnit[[#This Row],[MODULO 1 - REMUNERAÇÃO ]]</f>
        <v>8.1068039500000015</v>
      </c>
      <c r="AQ189" s="22">
        <f>SUMIF(tabParametros[Código do Posto],tabCustoUnit[[#This Row],[Código do Posto]],tabParametros[Incidência dos encargos do submódulo 2.1 sobre Aviso Prévio Trabalhado])*tabCustoUnit[[#This Row],[MODULO 1 - REMUNERAÇÃO ]]</f>
        <v>3.0643718931000006</v>
      </c>
      <c r="AR189" s="22">
        <f>SUMIF(tabParametros[Código do Posto],tabCustoUnit[[#This Row],[Código do Posto]],tabParametros[Multa Rescisória do FGTS])*tabCustoUnit[[#This Row],[MODULO 1 - REMUNERAÇÃO ]]</f>
        <v>70.825157048888869</v>
      </c>
      <c r="AS189" s="22">
        <f>SUMIF(tabParametros[Código do Posto],tabCustoUnit[[#This Row],[Código do Posto]],tabParametros[Indenização Adicional (Art. 9º da Lei nº 7.238/84)])*tabCustoUnit[[#This Row],[MODULO 1 - REMUNERAÇÃO ]]</f>
        <v>1.9301914166666667</v>
      </c>
      <c r="AT189" s="22">
        <f>SUM(tabCustoUnit[[#This Row],[Aviso Prévio Indenizado (API) e Reflexo do Aviso Prévio Indenizado]:[Indenização Adicional (Art. 9º da Lei nº 7.238/84)]])</f>
        <v>101.98636387312575</v>
      </c>
      <c r="AU189" s="22">
        <f>SUMIF(tabParametros[Código do Posto],tabCustoUnit[[#This Row],[Código do Posto]],tabParametros[Ausência por Doença])*tabCustoUnit[[#This Row],[MODULO 1 - REMUNERAÇÃO ]]</f>
        <v>19.559273022222218</v>
      </c>
      <c r="AV189" s="22">
        <f>SUMIF(tabParametros[Código do Posto],tabCustoUnit[[#This Row],[Código do Posto]],tabParametros[Ausências Legais])*tabCustoUnit[[#This Row],[MODULO 1 - REMUNERAÇÃO ]]</f>
        <v>4.696799113888888</v>
      </c>
      <c r="AW189" s="22">
        <f>SUMIF(tabParametros[Código do Posto],tabCustoUnit[[#This Row],[Código do Posto]],tabParametros[Licença Paternidade])*tabCustoUnit[[#This Row],[MODULO 1 - REMUNERAÇÃO ]]</f>
        <v>0.39568924041666664</v>
      </c>
      <c r="AX189" s="22">
        <f>SUMIF(tabParametros[Código do Posto],tabCustoUnit[[#This Row],[Código do Posto]],tabParametros[Ausência por Acidente de Trabalho])*tabCustoUnit[[#This Row],[MODULO 1 - REMUNERAÇÃO ]]</f>
        <v>0.48254785416666668</v>
      </c>
      <c r="AY189" s="22">
        <f>SUMIF(tabParametros[Código do Posto],tabCustoUnit[[#This Row],[Código do Posto]],tabParametros[Férias, Adicional de Férias e 13º  com empregada em gozo de Licença Maternidade])*tabCustoUnit[[#This Row],[MODULO 1 - REMUNERAÇÃO ]]</f>
        <v>3.0025199814814814</v>
      </c>
      <c r="AZ189" s="22">
        <f>SUMIF(tabParametros[Código do Posto],tabCustoUnit[[#This Row],[Código do Posto]],tabParametros[Incidência do Submódulo 2.1 sobre Ausências Legais])*tabCustoUnit[[#This Row],[MODULO 1 - REMUNERAÇÃO ]]</f>
        <v>10.635721442202501</v>
      </c>
      <c r="BA189" s="22">
        <f>SUM(tabCustoUnit[[#This Row],[Ausência por Doença]:[Incidência do Submódulo 2.1 sobre Ausências Legais]])</f>
        <v>38.772550654378421</v>
      </c>
      <c r="BB189" s="22">
        <f>SUMIF(tabParametros[Código do Posto],tabCustoUnit[[#This Row],[Código do Posto]],tabParametros[Intervalo para Repouso ou Alimentação])</f>
        <v>0</v>
      </c>
      <c r="BC189" s="22">
        <f>tabCustoUnit[[#This Row],[Intervalo para Repouso ou Alimentação]]</f>
        <v>0</v>
      </c>
      <c r="BD18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89" s="22">
        <f>tabCustoUnit[[#This Row],[Suspensão Temporária do Contrato de Trabalho]]</f>
        <v>0</v>
      </c>
      <c r="BF189" s="22">
        <f>tabCustoUnit[[#This Row],[Submódulo 4.1]]+tabCustoUnit[[#This Row],[Submódulo 4.2]]+tabCustoUnit[[#This Row],[Submódulo 4.3]]</f>
        <v>38.772550654378421</v>
      </c>
      <c r="BG189" s="22">
        <f>VLOOKUP(tabCustoUnit[[#This Row],[Código do Posto]],tabParametros[],MATCH(tabCustoUnit[[#Headers],[Uniformes e EPIs]],tabParametros[#Headers],0),0)</f>
        <v>56.642978962543395</v>
      </c>
      <c r="BH189" s="22">
        <f>VLOOKUP(tabCustoUnit[[#This Row],[Código do Posto]],tabParametros[],MATCH(tabCustoUnit[[#Headers],[Materiais de Consumo]],tabParametros[#Headers],0),0)</f>
        <v>0</v>
      </c>
      <c r="BI189" s="22">
        <f>VLOOKUP(tabCustoUnit[[#This Row],[Código do Posto]],tabParametros[],MATCH(tabCustoUnit[[#Headers],[Máquinas e Equipamentos (depreciação)]],tabParametros[#Headers],0),0)</f>
        <v>0</v>
      </c>
      <c r="BJ189" s="22">
        <f>VLOOKUP(tabCustoUnit[[#This Row],[Código do Posto]],tabParametros[],MATCH(tabCustoUnit[[#Headers],[Produtos de Limpeza e Materiais de Higiene Pessoal]],tabParametros[#Headers],0),0)</f>
        <v>0</v>
      </c>
      <c r="BK189" s="22">
        <f>VLOOKUP(tabCustoUnit[[#This Row],[Código do Posto]],tabParametros[],MATCH(tabCustoUnit[[#Headers],[Outros (especificar)]],tabParametros[#Headers],0),0)</f>
        <v>0</v>
      </c>
      <c r="BL189" s="22">
        <f>SUM(tabCustoUnit[[#This Row],[Uniformes e EPIs]:[Outros (especificar)]])</f>
        <v>56.642978962543395</v>
      </c>
      <c r="BM18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89" s="22" t="e">
        <f ca="1">VLOOKUP(tabCustoUnit[[#This Row],[Código do Posto]],tabParametros[],MATCH(tabCustoUnit[[#Headers],[Custos Indiretos]],tabParametros[#Headers],0),0)</f>
        <v>#NAME?</v>
      </c>
      <c r="BO189" s="22" t="e">
        <f ca="1">VLOOKUP(tabCustoUnit[[#This Row],[Código do Posto]],tabParametros[],MATCH(tabCustoUnit[[#Headers],[Lucro]],tabParametros[#Headers],0),0)</f>
        <v>#NAME?</v>
      </c>
      <c r="BP189" s="26">
        <f>((100/((1-tabCustoUnit[[#This Row],[Resumo de Alíquotas (PIS+CONFINS+ISS)]]))-100)*VLOOKUP(tabCustoUnit[[#This Row],[Código do Posto]],tabParametros[],MATCH(tabCustoUnit[[#Headers],[COFINS]],tabParametros[#Headers],0),0))/(tabCustoUnit[[#This Row],[Resumo de Alíquotas (PIS+CONFINS+ISS)]]*100)</f>
        <v>8.6609686609686695E-2</v>
      </c>
      <c r="BQ189" s="26">
        <f>((100/((100-(tabCustoUnit[[#This Row],[Resumo de Alíquotas (PIS+CONFINS+ISS)]]*100))%)-100)*VLOOKUP(tabCustoUnit[[#This Row],[Código do Posto]],tabParametros[],MATCH(tabCustoUnit[[#Headers],[PIS]],tabParametros[#Headers],0),0))/(tabCustoUnit[[#This Row],[Resumo de Alíquotas (PIS+CONFINS+ISS)]]*100)</f>
        <v>1.880341880341882E-2</v>
      </c>
      <c r="BR189" s="28">
        <f>VLOOKUP(tabCustoUnit[[#This Row],[Código do Posto]],tabParametros[],MATCH(tabCustoUnit[[#Headers],[ISS]],tabParametros[#Headers],0),0)</f>
        <v>0.03</v>
      </c>
      <c r="BS189" s="26">
        <f>(((100/((100-(tabCustoUnit[[#This Row],[Resumo de Alíquotas (PIS+CONFINS+ISS)]]*100))%)-100)*tabCustoUnit[[#This Row],[ISS]])/tabCustoUnit[[#This Row],[Resumo de Alíquotas (PIS+CONFINS+ISS)]])/100</f>
        <v>3.4188034188034219E-2</v>
      </c>
      <c r="BT18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9" s="138">
        <f>tabCustoUnit[[#This Row],[COFINS]]+tabCustoUnit[[#This Row],[PIS]]+tabCustoUnit[[#This Row],[ISS (Conversão Alíquota s/ fatura)]]</f>
        <v>0.13960113960113973</v>
      </c>
      <c r="BV189" s="22" t="e">
        <f ca="1">(tabCustoUnit[[#This Row],[TOTAL MÓDULOS 1+2+3+4+5]]+tabCustoUnit[[#This Row],[Custos Indiretos]]+tabCustoUnit[[#This Row],[Lucro]])*tabCustoUnit[[#This Row],[PIS + COFINS + ISS (Total Conversão  Alíquota s/ Fatura)]]</f>
        <v>#NAME?</v>
      </c>
      <c r="BW189" s="22" t="e">
        <f ca="1">tabCustoUnit[[#This Row],[Custos Indiretos]]+tabCustoUnit[[#This Row],[Lucro]]+tabCustoUnit[[#This Row],[Valor dos Tributos (ISS, PIS, CONFINS)]]</f>
        <v>#NAME?</v>
      </c>
      <c r="BX189" s="22" t="e">
        <f ca="1">tabCustoUnit[[#This Row],[TOTAL MÓDULOS 1+2+3+4+5]]+tabCustoUnit[[#This Row],[MÓDULO 6 – CUSTOS INDIRETOS, TRIBUTOS E LUCRO]]</f>
        <v>#NAME?</v>
      </c>
      <c r="BY189" s="22" t="e">
        <f ca="1">tabCustoUnit[[#This Row],[CUSTO TOTAL MENSAL]]*12</f>
        <v>#NAME?</v>
      </c>
      <c r="BZ189" s="24">
        <f>VLOOKUP(tabCustoUnit[[#This Row],[Código do Posto]],tabParametros[],MATCH(tabCustoUnit[[#Headers],[ANO DA CCT]],tabParametros[#Headers],0),0)</f>
        <v>45658</v>
      </c>
      <c r="CA189" s="25" t="str">
        <f>VLOOKUP(tabCustoUnit[[#This Row],[Código do Posto]],tabParametros[],MATCH(tabCustoUnit[[#Headers],[Nº DE PEDIDO DA CCT]],tabParametros[#Headers],0),0)</f>
        <v>-</v>
      </c>
      <c r="CB189" s="25" t="str">
        <f>VLOOKUP(tabCustoUnit[[#This Row],[Código do Posto]],tabParametros[],MATCH(tabCustoUnit[[#Headers],[TERMO ADITIVO ALTERAÇÃO DA CCT]],tabParametros[#Headers],0),0)</f>
        <v>-</v>
      </c>
    </row>
    <row r="190" spans="1:80">
      <c r="A190" s="20" t="s">
        <v>1630</v>
      </c>
      <c r="B190" t="s">
        <v>1156</v>
      </c>
      <c r="C190" t="s">
        <v>314</v>
      </c>
      <c r="D190" t="s">
        <v>1048</v>
      </c>
      <c r="E190" s="20" t="s">
        <v>1090</v>
      </c>
      <c r="F190" s="20" t="s">
        <v>120</v>
      </c>
      <c r="G190" s="418">
        <v>1963.4110000000001</v>
      </c>
      <c r="H190" s="418">
        <v>0</v>
      </c>
      <c r="I190" s="418">
        <v>0</v>
      </c>
      <c r="J190" s="418">
        <v>0</v>
      </c>
      <c r="K190" s="418">
        <v>0</v>
      </c>
      <c r="L190" s="418">
        <v>0</v>
      </c>
      <c r="M190" s="418">
        <v>0</v>
      </c>
      <c r="N190" s="418">
        <v>0</v>
      </c>
      <c r="O190" s="21">
        <f>SUM(tabCustoUnit[[#This Row],[Salário Base]:[Adicional de Acúmulo de função]])</f>
        <v>1963.4110000000001</v>
      </c>
      <c r="P190" s="21">
        <f>tabCustoUnit[[#This Row],[MODULO 1 - REMUNERAÇÃO ]]*SUMIFS(tabParametros[INSS],tabParametros[Código do Posto],tabCustoUnit[[#This Row],[Código do Posto]])</f>
        <v>392.68220000000002</v>
      </c>
      <c r="Q190" s="21">
        <f>tabCustoUnit[[#This Row],[MODULO 1 - REMUNERAÇÃO ]]*SUMIFS(tabParametros[SESI OU SESC],tabParametros[Código do Posto],tabCustoUnit[[#This Row],[Código do Posto]])</f>
        <v>29.451165</v>
      </c>
      <c r="R190" s="21">
        <f>tabCustoUnit[[#This Row],[MODULO 1 - REMUNERAÇÃO ]]*SUMIFS(tabParametros[SENAI OU SENAC],tabParametros[Código do Posto],tabCustoUnit[[#This Row],[Código do Posto]])</f>
        <v>19.63411</v>
      </c>
      <c r="S190" s="21">
        <f>tabCustoUnit[[#This Row],[MODULO 1 - REMUNERAÇÃO ]]*SUMIFS(tabParametros[INCRA],tabParametros[Código do Posto],tabCustoUnit[[#This Row],[Código do Posto]])</f>
        <v>3.926822</v>
      </c>
      <c r="T190" s="21">
        <f>tabCustoUnit[[#This Row],[MODULO 1 - REMUNERAÇÃO ]]*SUMIFS(tabParametros[Salário Educação],tabParametros[Código do Posto],tabCustoUnit[[#This Row],[Código do Posto]])</f>
        <v>49.085275000000003</v>
      </c>
      <c r="U190" s="21">
        <f>tabCustoUnit[[#This Row],[MODULO 1 - REMUNERAÇÃO ]]*SUMIFS(tabParametros[FGTS],tabParametros[Código do Posto],tabCustoUnit[[#This Row],[Código do Posto]])</f>
        <v>157.07288</v>
      </c>
      <c r="V190" s="21">
        <f>tabCustoUnit[[#This Row],[MODULO 1 - REMUNERAÇÃO ]]*SUMIFS(tabParametros[RAT Ajustado],tabParametros[Código do Posto],tabCustoUnit[[#This Row],[Código do Posto]])</f>
        <v>78.536439999999999</v>
      </c>
      <c r="W190" s="21">
        <f>tabCustoUnit[[#This Row],[MODULO 1 - REMUNERAÇÃO ]]*SUMIFS(tabParametros[SEBRAE],tabParametros[Código do Posto],tabCustoUnit[[#This Row],[Código do Posto]])</f>
        <v>11.780466000000001</v>
      </c>
      <c r="X190" s="21">
        <f>SUM(tabCustoUnit[[#This Row],[INSS]:[SEBRAE]])</f>
        <v>742.1693580000001</v>
      </c>
      <c r="Y190" s="21">
        <f>tabCustoUnit[[#This Row],[MODULO 1 - REMUNERAÇÃO ]]*SUMIFS(tabParametros[13º salário (titular)],tabParametros[Código do Posto],tabCustoUnit[[#This Row],[Código do Posto]])</f>
        <v>163.61758333333333</v>
      </c>
      <c r="Z190" s="21">
        <f>tabCustoUnit[[#This Row],[MODULO 1 - REMUNERAÇÃO ]]*SUMIFS(tabParametros[Férias e Adicional de Férias (titular)],tabParametros[Código do Posto],tabCustoUnit[[#This Row],[Código do Posto]])</f>
        <v>218.15677777777776</v>
      </c>
      <c r="AA190" s="21">
        <f>IFERROR((tabCustoUnit[[#This Row],[Submódulo 2.1]]/tabCustoUnit[[#This Row],[MODULO 1 - REMUNERAÇÃO ]])*SUM(tabCustoUnit[[#This Row],[13º salário (titular)]:[Férias e Adicional de Férias (titular)]]),0)</f>
        <v>144.3107085</v>
      </c>
      <c r="AB190" s="21">
        <f>SUM(tabCustoUnit[[#This Row],[13º salário (titular)]:[Incidência do Submódulo 2.1 sobre 13º Salário, Férias e Adicional de Férias]])</f>
        <v>526.08506961111107</v>
      </c>
      <c r="AC190" s="22" t="e">
        <f ca="1">_xlfn.LET(_xlpm.VT,SUMIF(tabParametros[Código do Posto],tabCustoUnit[[#This Row],[Código do Posto]],tabParametros[Vale - Transporte])*2*20,
IF((_xlpm.VT-tabCustoUnit[[#This Row],[Salário Base]]*0.06)&gt;=0,(_xlpm.VT-tabCustoUnit[[#This Row],[Salário Base]]*0.06),0)
)</f>
        <v>#NAME?</v>
      </c>
      <c r="AD190" s="22">
        <f>IF(SUMIF(tabParametros[Código do Posto],tabCustoUnit[[#This Row],[Código do Posto]],tabParametros[Vale - Alimentação])&lt;=0,0,
SUMIF(tabParametros[Código do Posto],tabCustoUnit[[#This Row],[Código do Posto]],tabParametros[Vale - Alimentação])*20-1)</f>
        <v>582</v>
      </c>
      <c r="AE190" s="22">
        <f>SUMIF(tabParametros[Código do Posto],tabCustoUnit[[#This Row],[Código do Posto]],tabParametros[Cesta Básica])</f>
        <v>0</v>
      </c>
      <c r="AF190" s="22">
        <f>SUMIF(tabParametros[Código do Posto],tabCustoUnit[[#This Row],[Código do Posto]],tabParametros[PAF])</f>
        <v>51.86</v>
      </c>
      <c r="AG190" s="22">
        <f>SUMIF(tabParametros[Código do Posto],tabCustoUnit[[#This Row],[Código do Posto]],tabParametros[PQM])</f>
        <v>0</v>
      </c>
      <c r="AH190" s="22">
        <f>SUMIF(tabParametros[Código do Posto],tabCustoUnit[[#This Row],[Código do Posto]],tabParametros[Abono Único e Especial])</f>
        <v>0</v>
      </c>
      <c r="AI190" s="22">
        <f>SUMIF(tabParametros[Código do Posto],tabCustoUnit[[#This Row],[Código do Posto]],tabParametros[Seguro de Vida])</f>
        <v>3.36</v>
      </c>
      <c r="AJ190" s="22">
        <f>SUMIF(tabParametros[Código do Posto],tabCustoUnit[[#This Row],[Código do Posto]],tabParametros[Despesas de Viagem])</f>
        <v>0</v>
      </c>
      <c r="AK190" s="22" t="e">
        <f ca="1">SUM(tabCustoUnit[[#This Row],[Vale - Transporte (Descontada parcela do empregado)]:[Despesas de Viagem]])</f>
        <v>#NAME?</v>
      </c>
      <c r="AL190" s="22" t="e">
        <f ca="1">tabCustoUnit[[#This Row],[Submódulo 2.1]]+tabCustoUnit[[#This Row],[Submódulo 2.2]]+tabCustoUnit[[#This Row],[Submódulo 2.3]]</f>
        <v>#NAME?</v>
      </c>
      <c r="AM190" s="22">
        <f>SUMIF(tabParametros[Código do Posto],tabCustoUnit[[#This Row],[Código do Posto]],tabParametros[Aviso Prévio Indenizado (API) e Reflexo do Aviso Prévio Indenizado])*tabCustoUnit[[#This Row],[MODULO 1 - REMUNERAÇÃO ]]</f>
        <v>13.766980408757716</v>
      </c>
      <c r="AN190" s="22">
        <f>SUMIF(tabParametros[Código do Posto],tabCustoUnit[[#This Row],[Código do Posto]],tabParametros[Incidência do FGTS sobre API e Reflexo do API])*tabCustoUnit[[#This Row],[MODULO 1 - REMUNERAÇÃO ]]</f>
        <v>1.1013584327006174</v>
      </c>
      <c r="AO190" s="22">
        <f>SUMIF(tabParametros[Código do Posto],tabCustoUnit[[#This Row],[Código do Posto]],tabParametros[Multa Rescisória do FGTS sobre o Aviso Prévio Indenizado])*tabCustoUnit[[#This Row],[MODULO 1 - REMUNERAÇÃO ]]</f>
        <v>0.44054337308024699</v>
      </c>
      <c r="AP190" s="22">
        <f>SUMIF(tabParametros[Código do Posto],tabCustoUnit[[#This Row],[Código do Posto]],tabParametros[Aviso Prévio Trabalhado - APT])*tabCustoUnit[[#This Row],[MODULO 1 - REMUNERAÇÃO ]]</f>
        <v>6.8719385000000015</v>
      </c>
      <c r="AQ190" s="22">
        <f>SUMIF(tabParametros[Código do Posto],tabCustoUnit[[#This Row],[Código do Posto]],tabParametros[Incidência dos encargos do submódulo 2.1 sobre Aviso Prévio Trabalhado])*tabCustoUnit[[#This Row],[MODULO 1 - REMUNERAÇÃO ]]</f>
        <v>2.5975927530000007</v>
      </c>
      <c r="AR190" s="22">
        <f>SUMIF(tabParametros[Código do Posto],tabCustoUnit[[#This Row],[Código do Posto]],tabParametros[Multa Rescisória do FGTS])*tabCustoUnit[[#This Row],[MODULO 1 - REMUNERAÇÃO ]]</f>
        <v>60.03674524444444</v>
      </c>
      <c r="AS190" s="22">
        <f>SUMIF(tabParametros[Código do Posto],tabCustoUnit[[#This Row],[Código do Posto]],tabParametros[Indenização Adicional (Art. 9º da Lei nº 7.238/84)])*tabCustoUnit[[#This Row],[MODULO 1 - REMUNERAÇÃO ]]</f>
        <v>1.6361758333333334</v>
      </c>
      <c r="AT190" s="22">
        <f>SUM(tabCustoUnit[[#This Row],[Aviso Prévio Indenizado (API) e Reflexo do Aviso Prévio Indenizado]:[Indenização Adicional (Art. 9º da Lei nº 7.238/84)]])</f>
        <v>86.451334545316371</v>
      </c>
      <c r="AU190" s="22">
        <f>SUMIF(tabParametros[Código do Posto],tabCustoUnit[[#This Row],[Código do Posto]],tabParametros[Ausência por Doença])*tabCustoUnit[[#This Row],[MODULO 1 - REMUNERAÇÃO ]]</f>
        <v>16.579915111111109</v>
      </c>
      <c r="AV190" s="22">
        <f>SUMIF(tabParametros[Código do Posto],tabCustoUnit[[#This Row],[Código do Posto]],tabParametros[Ausências Legais])*tabCustoUnit[[#This Row],[MODULO 1 - REMUNERAÇÃO ]]</f>
        <v>3.9813611944444443</v>
      </c>
      <c r="AW190" s="22">
        <f>SUMIF(tabParametros[Código do Posto],tabCustoUnit[[#This Row],[Código do Posto]],tabParametros[Licença Paternidade])*tabCustoUnit[[#This Row],[MODULO 1 - REMUNERAÇÃO ]]</f>
        <v>0.33541604583333334</v>
      </c>
      <c r="AX190" s="22">
        <f>SUMIF(tabParametros[Código do Posto],tabCustoUnit[[#This Row],[Código do Posto]],tabParametros[Ausência por Acidente de Trabalho])*tabCustoUnit[[#This Row],[MODULO 1 - REMUNERAÇÃO ]]</f>
        <v>0.40904395833333335</v>
      </c>
      <c r="AY190" s="22">
        <f>SUMIF(tabParametros[Código do Posto],tabCustoUnit[[#This Row],[Código do Posto]],tabParametros[Férias, Adicional de Férias e 13º  com empregada em gozo de Licença Maternidade])*tabCustoUnit[[#This Row],[MODULO 1 - REMUNERAÇÃO ]]</f>
        <v>2.5451624074074073</v>
      </c>
      <c r="AZ190" s="22">
        <f>SUMIF(tabParametros[Código do Posto],tabCustoUnit[[#This Row],[Código do Posto]],tabParametros[Incidência do Submódulo 2.1 sobre Ausências Legais])*tabCustoUnit[[#This Row],[MODULO 1 - REMUNERAÇÃO ]]</f>
        <v>9.0156397150750021</v>
      </c>
      <c r="BA190" s="22">
        <f>SUM(tabCustoUnit[[#This Row],[Ausência por Doença]:[Incidência do Submódulo 2.1 sobre Ausências Legais]])</f>
        <v>32.866538432204628</v>
      </c>
      <c r="BB190" s="22">
        <f>SUMIF(tabParametros[Código do Posto],tabCustoUnit[[#This Row],[Código do Posto]],tabParametros[Intervalo para Repouso ou Alimentação])</f>
        <v>267.73786489195959</v>
      </c>
      <c r="BC190" s="22">
        <f>tabCustoUnit[[#This Row],[Intervalo para Repouso ou Alimentação]]</f>
        <v>267.73786489195959</v>
      </c>
      <c r="BD19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0" s="22">
        <f>tabCustoUnit[[#This Row],[Suspensão Temporária do Contrato de Trabalho]]</f>
        <v>0</v>
      </c>
      <c r="BF190" s="22">
        <f>tabCustoUnit[[#This Row],[Submódulo 4.1]]+tabCustoUnit[[#This Row],[Submódulo 4.2]]+tabCustoUnit[[#This Row],[Submódulo 4.3]]</f>
        <v>300.6044033241642</v>
      </c>
      <c r="BG190" s="22">
        <f>VLOOKUP(tabCustoUnit[[#This Row],[Código do Posto]],tabParametros[],MATCH(tabCustoUnit[[#Headers],[Uniformes e EPIs]],tabParametros[#Headers],0),0)</f>
        <v>56.642978962543395</v>
      </c>
      <c r="BH190" s="22">
        <f>VLOOKUP(tabCustoUnit[[#This Row],[Código do Posto]],tabParametros[],MATCH(tabCustoUnit[[#Headers],[Materiais de Consumo]],tabParametros[#Headers],0),0)</f>
        <v>0</v>
      </c>
      <c r="BI190" s="22">
        <f>VLOOKUP(tabCustoUnit[[#This Row],[Código do Posto]],tabParametros[],MATCH(tabCustoUnit[[#Headers],[Máquinas e Equipamentos (depreciação)]],tabParametros[#Headers],0),0)</f>
        <v>0</v>
      </c>
      <c r="BJ190" s="22">
        <f>VLOOKUP(tabCustoUnit[[#This Row],[Código do Posto]],tabParametros[],MATCH(tabCustoUnit[[#Headers],[Produtos de Limpeza e Materiais de Higiene Pessoal]],tabParametros[#Headers],0),0)</f>
        <v>0</v>
      </c>
      <c r="BK190" s="22">
        <f>VLOOKUP(tabCustoUnit[[#This Row],[Código do Posto]],tabParametros[],MATCH(tabCustoUnit[[#Headers],[Outros (especificar)]],tabParametros[#Headers],0),0)</f>
        <v>0</v>
      </c>
      <c r="BL190" s="22">
        <f>SUM(tabCustoUnit[[#This Row],[Uniformes e EPIs]:[Outros (especificar)]])</f>
        <v>56.642978962543395</v>
      </c>
      <c r="BM19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0" s="22" t="e">
        <f ca="1">VLOOKUP(tabCustoUnit[[#This Row],[Código do Posto]],tabParametros[],MATCH(tabCustoUnit[[#Headers],[Custos Indiretos]],tabParametros[#Headers],0),0)</f>
        <v>#NAME?</v>
      </c>
      <c r="BO190" s="22" t="e">
        <f ca="1">VLOOKUP(tabCustoUnit[[#This Row],[Código do Posto]],tabParametros[],MATCH(tabCustoUnit[[#Headers],[Lucro]],tabParametros[#Headers],0),0)</f>
        <v>#NAME?</v>
      </c>
      <c r="BP190" s="26">
        <f>((100/((1-tabCustoUnit[[#This Row],[Resumo de Alíquotas (PIS+CONFINS+ISS)]]))-100)*VLOOKUP(tabCustoUnit[[#This Row],[Código do Posto]],tabParametros[],MATCH(tabCustoUnit[[#Headers],[COFINS]],tabParametros[#Headers],0),0))/(tabCustoUnit[[#This Row],[Resumo de Alíquotas (PIS+CONFINS+ISS)]]*100)</f>
        <v>8.6609686609686695E-2</v>
      </c>
      <c r="BQ190" s="26">
        <f>((100/((100-(tabCustoUnit[[#This Row],[Resumo de Alíquotas (PIS+CONFINS+ISS)]]*100))%)-100)*VLOOKUP(tabCustoUnit[[#This Row],[Código do Posto]],tabParametros[],MATCH(tabCustoUnit[[#Headers],[PIS]],tabParametros[#Headers],0),0))/(tabCustoUnit[[#This Row],[Resumo de Alíquotas (PIS+CONFINS+ISS)]]*100)</f>
        <v>1.880341880341882E-2</v>
      </c>
      <c r="BR190" s="28">
        <f>VLOOKUP(tabCustoUnit[[#This Row],[Código do Posto]],tabParametros[],MATCH(tabCustoUnit[[#Headers],[ISS]],tabParametros[#Headers],0),0)</f>
        <v>0.03</v>
      </c>
      <c r="BS190" s="26">
        <f>(((100/((100-(tabCustoUnit[[#This Row],[Resumo de Alíquotas (PIS+CONFINS+ISS)]]*100))%)-100)*tabCustoUnit[[#This Row],[ISS]])/tabCustoUnit[[#This Row],[Resumo de Alíquotas (PIS+CONFINS+ISS)]])/100</f>
        <v>3.4188034188034219E-2</v>
      </c>
      <c r="BT19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90" s="138">
        <f>tabCustoUnit[[#This Row],[COFINS]]+tabCustoUnit[[#This Row],[PIS]]+tabCustoUnit[[#This Row],[ISS (Conversão Alíquota s/ fatura)]]</f>
        <v>0.13960113960113973</v>
      </c>
      <c r="BV190" s="22" t="e">
        <f ca="1">(tabCustoUnit[[#This Row],[TOTAL MÓDULOS 1+2+3+4+5]]+tabCustoUnit[[#This Row],[Custos Indiretos]]+tabCustoUnit[[#This Row],[Lucro]])*tabCustoUnit[[#This Row],[PIS + COFINS + ISS (Total Conversão  Alíquota s/ Fatura)]]</f>
        <v>#NAME?</v>
      </c>
      <c r="BW190" s="22" t="e">
        <f ca="1">tabCustoUnit[[#This Row],[Custos Indiretos]]+tabCustoUnit[[#This Row],[Lucro]]+tabCustoUnit[[#This Row],[Valor dos Tributos (ISS, PIS, CONFINS)]]</f>
        <v>#NAME?</v>
      </c>
      <c r="BX190" s="22" t="e">
        <f ca="1">tabCustoUnit[[#This Row],[TOTAL MÓDULOS 1+2+3+4+5]]+tabCustoUnit[[#This Row],[MÓDULO 6 – CUSTOS INDIRETOS, TRIBUTOS E LUCRO]]</f>
        <v>#NAME?</v>
      </c>
      <c r="BY190" s="22" t="e">
        <f ca="1">tabCustoUnit[[#This Row],[CUSTO TOTAL MENSAL]]*12</f>
        <v>#NAME?</v>
      </c>
      <c r="BZ190" s="24">
        <f>VLOOKUP(tabCustoUnit[[#This Row],[Código do Posto]],tabParametros[],MATCH(tabCustoUnit[[#Headers],[ANO DA CCT]],tabParametros[#Headers],0),0)</f>
        <v>45658</v>
      </c>
      <c r="CA190" s="25" t="str">
        <f>VLOOKUP(tabCustoUnit[[#This Row],[Código do Posto]],tabParametros[],MATCH(tabCustoUnit[[#Headers],[Nº DE PEDIDO DA CCT]],tabParametros[#Headers],0),0)</f>
        <v>-</v>
      </c>
      <c r="CB190" s="25" t="str">
        <f>VLOOKUP(tabCustoUnit[[#This Row],[Código do Posto]],tabParametros[],MATCH(tabCustoUnit[[#Headers],[TERMO ADITIVO ALTERAÇÃO DA CCT]],tabParametros[#Headers],0),0)</f>
        <v>-</v>
      </c>
    </row>
    <row r="191" spans="1:80">
      <c r="A191" s="20" t="s">
        <v>1486</v>
      </c>
      <c r="B191" t="s">
        <v>936</v>
      </c>
      <c r="C191" t="s">
        <v>200</v>
      </c>
      <c r="D191" t="s">
        <v>936</v>
      </c>
      <c r="E191" s="20" t="s">
        <v>1090</v>
      </c>
      <c r="F191" s="20" t="s">
        <v>120</v>
      </c>
      <c r="G191" s="418">
        <v>1603.1510000000001</v>
      </c>
      <c r="H191" s="418">
        <v>0</v>
      </c>
      <c r="I191" s="418">
        <v>0</v>
      </c>
      <c r="J191" s="418">
        <v>0</v>
      </c>
      <c r="K191" s="418">
        <v>0</v>
      </c>
      <c r="L191" s="418">
        <v>0</v>
      </c>
      <c r="M191" s="418">
        <v>0</v>
      </c>
      <c r="N191" s="418">
        <v>0</v>
      </c>
      <c r="O191" s="21">
        <f>SUM(tabCustoUnit[[#This Row],[Salário Base]:[Adicional de Acúmulo de função]])</f>
        <v>1603.1510000000001</v>
      </c>
      <c r="P191" s="21">
        <f>tabCustoUnit[[#This Row],[MODULO 1 - REMUNERAÇÃO ]]*SUMIFS(tabParametros[INSS],tabParametros[Código do Posto],tabCustoUnit[[#This Row],[Código do Posto]])</f>
        <v>320.63020000000006</v>
      </c>
      <c r="Q191" s="21">
        <f>tabCustoUnit[[#This Row],[MODULO 1 - REMUNERAÇÃO ]]*SUMIFS(tabParametros[SESI OU SESC],tabParametros[Código do Posto],tabCustoUnit[[#This Row],[Código do Posto]])</f>
        <v>24.047264999999999</v>
      </c>
      <c r="R191" s="21">
        <f>tabCustoUnit[[#This Row],[MODULO 1 - REMUNERAÇÃO ]]*SUMIFS(tabParametros[SENAI OU SENAC],tabParametros[Código do Posto],tabCustoUnit[[#This Row],[Código do Posto]])</f>
        <v>16.031510000000001</v>
      </c>
      <c r="S191" s="21">
        <f>tabCustoUnit[[#This Row],[MODULO 1 - REMUNERAÇÃO ]]*SUMIFS(tabParametros[INCRA],tabParametros[Código do Posto],tabCustoUnit[[#This Row],[Código do Posto]])</f>
        <v>3.206302</v>
      </c>
      <c r="T191" s="21">
        <f>tabCustoUnit[[#This Row],[MODULO 1 - REMUNERAÇÃO ]]*SUMIFS(tabParametros[Salário Educação],tabParametros[Código do Posto],tabCustoUnit[[#This Row],[Código do Posto]])</f>
        <v>40.078775000000007</v>
      </c>
      <c r="U191" s="21">
        <f>tabCustoUnit[[#This Row],[MODULO 1 - REMUNERAÇÃO ]]*SUMIFS(tabParametros[FGTS],tabParametros[Código do Posto],tabCustoUnit[[#This Row],[Código do Posto]])</f>
        <v>128.25208000000001</v>
      </c>
      <c r="V191" s="21">
        <f>tabCustoUnit[[#This Row],[MODULO 1 - REMUNERAÇÃO ]]*SUMIFS(tabParametros[RAT Ajustado],tabParametros[Código do Posto],tabCustoUnit[[#This Row],[Código do Posto]])</f>
        <v>64.126040000000003</v>
      </c>
      <c r="W191" s="21">
        <f>tabCustoUnit[[#This Row],[MODULO 1 - REMUNERAÇÃO ]]*SUMIFS(tabParametros[SEBRAE],tabParametros[Código do Posto],tabCustoUnit[[#This Row],[Código do Posto]])</f>
        <v>9.6189060000000008</v>
      </c>
      <c r="X191" s="21">
        <f>SUM(tabCustoUnit[[#This Row],[INSS]:[SEBRAE]])</f>
        <v>605.99107800000013</v>
      </c>
      <c r="Y191" s="21">
        <f>tabCustoUnit[[#This Row],[MODULO 1 - REMUNERAÇÃO ]]*SUMIFS(tabParametros[13º salário (titular)],tabParametros[Código do Posto],tabCustoUnit[[#This Row],[Código do Posto]])</f>
        <v>133.59591666666665</v>
      </c>
      <c r="Z191" s="21">
        <f>tabCustoUnit[[#This Row],[MODULO 1 - REMUNERAÇÃO ]]*SUMIFS(tabParametros[Férias e Adicional de Férias (titular)],tabParametros[Código do Posto],tabCustoUnit[[#This Row],[Código do Posto]])</f>
        <v>178.12788888888889</v>
      </c>
      <c r="AA191" s="21">
        <f>IFERROR((tabCustoUnit[[#This Row],[Submódulo 2.1]]/tabCustoUnit[[#This Row],[MODULO 1 - REMUNERAÇÃO ]])*SUM(tabCustoUnit[[#This Row],[13º salário (titular)]:[Férias e Adicional de Férias (titular)]]),0)</f>
        <v>117.83159850000001</v>
      </c>
      <c r="AB191" s="21">
        <f>SUM(tabCustoUnit[[#This Row],[13º salário (titular)]:[Incidência do Submódulo 2.1 sobre 13º Salário, Férias e Adicional de Férias]])</f>
        <v>429.55540405555553</v>
      </c>
      <c r="AC191" s="22" t="e">
        <f ca="1">_xlfn.LET(_xlpm.VT,SUMIF(tabParametros[Código do Posto],tabCustoUnit[[#This Row],[Código do Posto]],tabParametros[Vale - Transporte])*2*20,
IF((_xlpm.VT-tabCustoUnit[[#This Row],[Salário Base]]*0.06)&gt;=0,(_xlpm.VT-tabCustoUnit[[#This Row],[Salário Base]]*0.06),0)
)</f>
        <v>#NAME?</v>
      </c>
      <c r="AD191" s="22">
        <f>IF(SUMIF(tabParametros[Código do Posto],tabCustoUnit[[#This Row],[Código do Posto]],tabParametros[Vale - Alimentação])&lt;=0,0,
SUMIF(tabParametros[Código do Posto],tabCustoUnit[[#This Row],[Código do Posto]],tabParametros[Vale - Alimentação])*20-1)</f>
        <v>582</v>
      </c>
      <c r="AE191" s="22">
        <f>SUMIF(tabParametros[Código do Posto],tabCustoUnit[[#This Row],[Código do Posto]],tabParametros[Cesta Básica])</f>
        <v>0</v>
      </c>
      <c r="AF191" s="22">
        <f>SUMIF(tabParametros[Código do Posto],tabCustoUnit[[#This Row],[Código do Posto]],tabParametros[PAF])</f>
        <v>56.3</v>
      </c>
      <c r="AG191" s="22">
        <f>SUMIF(tabParametros[Código do Posto],tabCustoUnit[[#This Row],[Código do Posto]],tabParametros[PQM])</f>
        <v>14.69</v>
      </c>
      <c r="AH191" s="22">
        <f>SUMIF(tabParametros[Código do Posto],tabCustoUnit[[#This Row],[Código do Posto]],tabParametros[Abono Único e Especial])</f>
        <v>0</v>
      </c>
      <c r="AI191" s="22">
        <f>SUMIF(tabParametros[Código do Posto],tabCustoUnit[[#This Row],[Código do Posto]],tabParametros[Seguro de Vida])</f>
        <v>3.36</v>
      </c>
      <c r="AJ191" s="22">
        <f>SUMIF(tabParametros[Código do Posto],tabCustoUnit[[#This Row],[Código do Posto]],tabParametros[Despesas de Viagem])</f>
        <v>0</v>
      </c>
      <c r="AK191" s="22" t="e">
        <f ca="1">SUM(tabCustoUnit[[#This Row],[Vale - Transporte (Descontada parcela do empregado)]:[Despesas de Viagem]])</f>
        <v>#NAME?</v>
      </c>
      <c r="AL191" s="22" t="e">
        <f ca="1">tabCustoUnit[[#This Row],[Submódulo 2.1]]+tabCustoUnit[[#This Row],[Submódulo 2.2]]+tabCustoUnit[[#This Row],[Submódulo 2.3]]</f>
        <v>#NAME?</v>
      </c>
      <c r="AM191" s="22">
        <f>SUMIF(tabParametros[Código do Posto],tabCustoUnit[[#This Row],[Código do Posto]],tabParametros[Aviso Prévio Indenizado (API) e Reflexo do Aviso Prévio Indenizado])*tabCustoUnit[[#This Row],[MODULO 1 - REMUNERAÇÃO ]]</f>
        <v>11.240921238233025</v>
      </c>
      <c r="AN191" s="22">
        <f>SUMIF(tabParametros[Código do Posto],tabCustoUnit[[#This Row],[Código do Posto]],tabParametros[Incidência do FGTS sobre API e Reflexo do API])*tabCustoUnit[[#This Row],[MODULO 1 - REMUNERAÇÃO ]]</f>
        <v>0.89927369905864207</v>
      </c>
      <c r="AO191" s="22">
        <f>SUMIF(tabParametros[Código do Posto],tabCustoUnit[[#This Row],[Código do Posto]],tabParametros[Multa Rescisória do FGTS sobre o Aviso Prévio Indenizado])*tabCustoUnit[[#This Row],[MODULO 1 - REMUNERAÇÃO ]]</f>
        <v>0.3597094796234569</v>
      </c>
      <c r="AP191" s="22">
        <f>SUMIF(tabParametros[Código do Posto],tabCustoUnit[[#This Row],[Código do Posto]],tabParametros[Aviso Prévio Trabalhado - APT])*tabCustoUnit[[#This Row],[MODULO 1 - REMUNERAÇÃO ]]</f>
        <v>5.6110285000000006</v>
      </c>
      <c r="AQ191" s="22">
        <f>SUMIF(tabParametros[Código do Posto],tabCustoUnit[[#This Row],[Código do Posto]],tabParametros[Incidência dos encargos do submódulo 2.1 sobre Aviso Prévio Trabalhado])*tabCustoUnit[[#This Row],[MODULO 1 - REMUNERAÇÃO ]]</f>
        <v>2.1209687730000009</v>
      </c>
      <c r="AR191" s="22">
        <f>SUMIF(tabParametros[Código do Posto],tabCustoUnit[[#This Row],[Código do Posto]],tabParametros[Multa Rescisória do FGTS])*tabCustoUnit[[#This Row],[MODULO 1 - REMUNERAÇÃO ]]</f>
        <v>49.020795022222217</v>
      </c>
      <c r="AS191" s="22">
        <f>SUMIF(tabParametros[Código do Posto],tabCustoUnit[[#This Row],[Código do Posto]],tabParametros[Indenização Adicional (Art. 9º da Lei nº 7.238/84)])*tabCustoUnit[[#This Row],[MODULO 1 - REMUNERAÇÃO ]]</f>
        <v>1.3359591666666668</v>
      </c>
      <c r="AT191" s="22">
        <f>SUM(tabCustoUnit[[#This Row],[Aviso Prévio Indenizado (API) e Reflexo do Aviso Prévio Indenizado]:[Indenização Adicional (Art. 9º da Lei nº 7.238/84)]])</f>
        <v>70.588655878804019</v>
      </c>
      <c r="AU191" s="22">
        <f>SUMIF(tabParametros[Código do Posto],tabCustoUnit[[#This Row],[Código do Posto]],tabParametros[Ausência por Doença])*tabCustoUnit[[#This Row],[MODULO 1 - REMUNERAÇÃO ]]</f>
        <v>13.537719555555555</v>
      </c>
      <c r="AV191" s="22">
        <f>SUMIF(tabParametros[Código do Posto],tabCustoUnit[[#This Row],[Código do Posto]],tabParametros[Ausências Legais])*tabCustoUnit[[#This Row],[MODULO 1 - REMUNERAÇÃO ]]</f>
        <v>3.2508339722222224</v>
      </c>
      <c r="AW191" s="22">
        <f>SUMIF(tabParametros[Código do Posto],tabCustoUnit[[#This Row],[Código do Posto]],tabParametros[Licença Paternidade])*tabCustoUnit[[#This Row],[MODULO 1 - REMUNERAÇÃO ]]</f>
        <v>0.27387162916666669</v>
      </c>
      <c r="AX191" s="22">
        <f>SUMIF(tabParametros[Código do Posto],tabCustoUnit[[#This Row],[Código do Posto]],tabParametros[Ausência por Acidente de Trabalho])*tabCustoUnit[[#This Row],[MODULO 1 - REMUNERAÇÃO ]]</f>
        <v>0.3339897916666667</v>
      </c>
      <c r="AY191" s="22">
        <f>SUMIF(tabParametros[Código do Posto],tabCustoUnit[[#This Row],[Código do Posto]],tabParametros[Férias, Adicional de Férias e 13º  com empregada em gozo de Licença Maternidade])*tabCustoUnit[[#This Row],[MODULO 1 - REMUNERAÇÃO ]]</f>
        <v>2.0781587037037039</v>
      </c>
      <c r="AZ191" s="22">
        <f>SUMIF(tabParametros[Código do Posto],tabCustoUnit[[#This Row],[Código do Posto]],tabParametros[Incidência do Submódulo 2.1 sobre Ausências Legais])*tabCustoUnit[[#This Row],[MODULO 1 - REMUNERAÇÃO ]]</f>
        <v>7.3613888405750014</v>
      </c>
      <c r="BA191" s="22">
        <f>SUM(tabCustoUnit[[#This Row],[Ausência por Doença]:[Incidência do Submódulo 2.1 sobre Ausências Legais]])</f>
        <v>26.835962492889813</v>
      </c>
      <c r="BB191" s="22">
        <f>SUMIF(tabParametros[Código do Posto],tabCustoUnit[[#This Row],[Código do Posto]],tabParametros[Intervalo para Repouso ou Alimentação])</f>
        <v>0</v>
      </c>
      <c r="BC191" s="22">
        <f>tabCustoUnit[[#This Row],[Intervalo para Repouso ou Alimentação]]</f>
        <v>0</v>
      </c>
      <c r="BD19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1" s="22">
        <f>tabCustoUnit[[#This Row],[Suspensão Temporária do Contrato de Trabalho]]</f>
        <v>0</v>
      </c>
      <c r="BF191" s="22">
        <f>tabCustoUnit[[#This Row],[Submódulo 4.1]]+tabCustoUnit[[#This Row],[Submódulo 4.2]]+tabCustoUnit[[#This Row],[Submódulo 4.3]]</f>
        <v>26.835962492889813</v>
      </c>
      <c r="BG191" s="22">
        <f>VLOOKUP(tabCustoUnit[[#This Row],[Código do Posto]],tabParametros[],MATCH(tabCustoUnit[[#Headers],[Uniformes e EPIs]],tabParametros[#Headers],0),0)</f>
        <v>56.141713661989918</v>
      </c>
      <c r="BH191" s="22">
        <f>VLOOKUP(tabCustoUnit[[#This Row],[Código do Posto]],tabParametros[],MATCH(tabCustoUnit[[#Headers],[Materiais de Consumo]],tabParametros[#Headers],0),0)</f>
        <v>0</v>
      </c>
      <c r="BI191" s="22">
        <f>VLOOKUP(tabCustoUnit[[#This Row],[Código do Posto]],tabParametros[],MATCH(tabCustoUnit[[#Headers],[Máquinas e Equipamentos (depreciação)]],tabParametros[#Headers],0),0)</f>
        <v>0</v>
      </c>
      <c r="BJ191" s="22">
        <f>VLOOKUP(tabCustoUnit[[#This Row],[Código do Posto]],tabParametros[],MATCH(tabCustoUnit[[#Headers],[Produtos de Limpeza e Materiais de Higiene Pessoal]],tabParametros[#Headers],0),0)</f>
        <v>0</v>
      </c>
      <c r="BK191" s="22">
        <f>VLOOKUP(tabCustoUnit[[#This Row],[Código do Posto]],tabParametros[],MATCH(tabCustoUnit[[#Headers],[Outros (especificar)]],tabParametros[#Headers],0),0)</f>
        <v>0</v>
      </c>
      <c r="BL191" s="22">
        <f>SUM(tabCustoUnit[[#This Row],[Uniformes e EPIs]:[Outros (especificar)]])</f>
        <v>56.141713661989918</v>
      </c>
      <c r="BM19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1" s="22" t="e">
        <f ca="1">VLOOKUP(tabCustoUnit[[#This Row],[Código do Posto]],tabParametros[],MATCH(tabCustoUnit[[#Headers],[Custos Indiretos]],tabParametros[#Headers],0),0)</f>
        <v>#NAME?</v>
      </c>
      <c r="BO191" s="22" t="e">
        <f ca="1">VLOOKUP(tabCustoUnit[[#This Row],[Código do Posto]],tabParametros[],MATCH(tabCustoUnit[[#Headers],[Lucro]],tabParametros[#Headers],0),0)</f>
        <v>#NAME?</v>
      </c>
      <c r="BP191" s="26">
        <f>((100/((1-tabCustoUnit[[#This Row],[Resumo de Alíquotas (PIS+CONFINS+ISS)]]))-100)*VLOOKUP(tabCustoUnit[[#This Row],[Código do Posto]],tabParametros[],MATCH(tabCustoUnit[[#Headers],[COFINS]],tabParametros[#Headers],0),0))/(tabCustoUnit[[#This Row],[Resumo de Alíquotas (PIS+CONFINS+ISS)]]*100)</f>
        <v>8.8629737609329504E-2</v>
      </c>
      <c r="BQ191" s="26">
        <f>((100/((100-(tabCustoUnit[[#This Row],[Resumo de Alíquotas (PIS+CONFINS+ISS)]]*100))%)-100)*VLOOKUP(tabCustoUnit[[#This Row],[Código do Posto]],tabParametros[],MATCH(tabCustoUnit[[#Headers],[PIS]],tabParametros[#Headers],0),0))/(tabCustoUnit[[#This Row],[Resumo de Alíquotas (PIS+CONFINS+ISS)]]*100)</f>
        <v>1.9241982507288629E-2</v>
      </c>
      <c r="BR191" s="28">
        <f>VLOOKUP(tabCustoUnit[[#This Row],[Código do Posto]],tabParametros[],MATCH(tabCustoUnit[[#Headers],[ISS]],tabParametros[#Headers],0),0)</f>
        <v>0.05</v>
      </c>
      <c r="BS191" s="26">
        <f>(((100/((100-(tabCustoUnit[[#This Row],[Resumo de Alíquotas (PIS+CONFINS+ISS)]]*100))%)-100)*tabCustoUnit[[#This Row],[ISS]])/tabCustoUnit[[#This Row],[Resumo de Alíquotas (PIS+CONFINS+ISS)]])/100</f>
        <v>5.8309037900874633E-2</v>
      </c>
      <c r="BT19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1" s="138">
        <f>tabCustoUnit[[#This Row],[COFINS]]+tabCustoUnit[[#This Row],[PIS]]+tabCustoUnit[[#This Row],[ISS (Conversão Alíquota s/ fatura)]]</f>
        <v>0.16618075801749277</v>
      </c>
      <c r="BV191" s="22" t="e">
        <f ca="1">(tabCustoUnit[[#This Row],[TOTAL MÓDULOS 1+2+3+4+5]]+tabCustoUnit[[#This Row],[Custos Indiretos]]+tabCustoUnit[[#This Row],[Lucro]])*tabCustoUnit[[#This Row],[PIS + COFINS + ISS (Total Conversão  Alíquota s/ Fatura)]]</f>
        <v>#NAME?</v>
      </c>
      <c r="BW191" s="22" t="e">
        <f ca="1">tabCustoUnit[[#This Row],[Custos Indiretos]]+tabCustoUnit[[#This Row],[Lucro]]+tabCustoUnit[[#This Row],[Valor dos Tributos (ISS, PIS, CONFINS)]]</f>
        <v>#NAME?</v>
      </c>
      <c r="BX191" s="22" t="e">
        <f ca="1">tabCustoUnit[[#This Row],[TOTAL MÓDULOS 1+2+3+4+5]]+tabCustoUnit[[#This Row],[MÓDULO 6 – CUSTOS INDIRETOS, TRIBUTOS E LUCRO]]</f>
        <v>#NAME?</v>
      </c>
      <c r="BY191" s="22" t="e">
        <f ca="1">tabCustoUnit[[#This Row],[CUSTO TOTAL MENSAL]]*12</f>
        <v>#NAME?</v>
      </c>
      <c r="BZ191" s="24">
        <f>VLOOKUP(tabCustoUnit[[#This Row],[Código do Posto]],tabParametros[],MATCH(tabCustoUnit[[#Headers],[ANO DA CCT]],tabParametros[#Headers],0),0)</f>
        <v>45658</v>
      </c>
      <c r="CA191" s="25" t="str">
        <f>VLOOKUP(tabCustoUnit[[#This Row],[Código do Posto]],tabParametros[],MATCH(tabCustoUnit[[#Headers],[Nº DE PEDIDO DA CCT]],tabParametros[#Headers],0),0)</f>
        <v>-</v>
      </c>
      <c r="CB191" s="25" t="str">
        <f>VLOOKUP(tabCustoUnit[[#This Row],[Código do Posto]],tabParametros[],MATCH(tabCustoUnit[[#Headers],[TERMO ADITIVO ALTERAÇÃO DA CCT]],tabParametros[#Headers],0),0)</f>
        <v>-</v>
      </c>
    </row>
    <row r="192" spans="1:80">
      <c r="A192" s="20" t="s">
        <v>1631</v>
      </c>
      <c r="B192" t="s">
        <v>936</v>
      </c>
      <c r="C192" t="s">
        <v>274</v>
      </c>
      <c r="D192" t="s">
        <v>996</v>
      </c>
      <c r="E192" s="20" t="s">
        <v>1090</v>
      </c>
      <c r="F192" s="20" t="s">
        <v>120</v>
      </c>
      <c r="G192" s="418">
        <v>4184.0252</v>
      </c>
      <c r="H192" s="418">
        <v>0</v>
      </c>
      <c r="I192" s="418">
        <v>0</v>
      </c>
      <c r="J192" s="418">
        <v>0</v>
      </c>
      <c r="K192" s="418">
        <v>0</v>
      </c>
      <c r="L192" s="418">
        <v>0</v>
      </c>
      <c r="M192" s="418">
        <v>0</v>
      </c>
      <c r="N192" s="418">
        <v>0</v>
      </c>
      <c r="O192" s="21">
        <f>SUM(tabCustoUnit[[#This Row],[Salário Base]:[Adicional de Acúmulo de função]])</f>
        <v>4184.0252</v>
      </c>
      <c r="P192" s="21">
        <f>tabCustoUnit[[#This Row],[MODULO 1 - REMUNERAÇÃO ]]*SUMIFS(tabParametros[INSS],tabParametros[Código do Posto],tabCustoUnit[[#This Row],[Código do Posto]])</f>
        <v>836.80504000000008</v>
      </c>
      <c r="Q192" s="21">
        <f>tabCustoUnit[[#This Row],[MODULO 1 - REMUNERAÇÃO ]]*SUMIFS(tabParametros[SESI OU SESC],tabParametros[Código do Posto],tabCustoUnit[[#This Row],[Código do Posto]])</f>
        <v>62.760377999999996</v>
      </c>
      <c r="R192" s="21">
        <f>tabCustoUnit[[#This Row],[MODULO 1 - REMUNERAÇÃO ]]*SUMIFS(tabParametros[SENAI OU SENAC],tabParametros[Código do Posto],tabCustoUnit[[#This Row],[Código do Posto]])</f>
        <v>41.840252</v>
      </c>
      <c r="S192" s="21">
        <f>tabCustoUnit[[#This Row],[MODULO 1 - REMUNERAÇÃO ]]*SUMIFS(tabParametros[INCRA],tabParametros[Código do Posto],tabCustoUnit[[#This Row],[Código do Posto]])</f>
        <v>8.3680503999999996</v>
      </c>
      <c r="T192" s="21">
        <f>tabCustoUnit[[#This Row],[MODULO 1 - REMUNERAÇÃO ]]*SUMIFS(tabParametros[Salário Educação],tabParametros[Código do Posto],tabCustoUnit[[#This Row],[Código do Posto]])</f>
        <v>104.60063000000001</v>
      </c>
      <c r="U192" s="21">
        <f>tabCustoUnit[[#This Row],[MODULO 1 - REMUNERAÇÃO ]]*SUMIFS(tabParametros[FGTS],tabParametros[Código do Posto],tabCustoUnit[[#This Row],[Código do Posto]])</f>
        <v>334.722016</v>
      </c>
      <c r="V192" s="21">
        <f>tabCustoUnit[[#This Row],[MODULO 1 - REMUNERAÇÃO ]]*SUMIFS(tabParametros[RAT Ajustado],tabParametros[Código do Posto],tabCustoUnit[[#This Row],[Código do Posto]])</f>
        <v>167.361008</v>
      </c>
      <c r="W192" s="21">
        <f>tabCustoUnit[[#This Row],[MODULO 1 - REMUNERAÇÃO ]]*SUMIFS(tabParametros[SEBRAE],tabParametros[Código do Posto],tabCustoUnit[[#This Row],[Código do Posto]])</f>
        <v>25.1041512</v>
      </c>
      <c r="X192" s="21">
        <f>SUM(tabCustoUnit[[#This Row],[INSS]:[SEBRAE]])</f>
        <v>1581.5615255999999</v>
      </c>
      <c r="Y192" s="21">
        <f>tabCustoUnit[[#This Row],[MODULO 1 - REMUNERAÇÃO ]]*SUMIFS(tabParametros[13º salário (titular)],tabParametros[Código do Posto],tabCustoUnit[[#This Row],[Código do Posto]])</f>
        <v>348.66876666666667</v>
      </c>
      <c r="Z192" s="21">
        <f>tabCustoUnit[[#This Row],[MODULO 1 - REMUNERAÇÃO ]]*SUMIFS(tabParametros[Férias e Adicional de Férias (titular)],tabParametros[Código do Posto],tabCustoUnit[[#This Row],[Código do Posto]])</f>
        <v>464.89168888888889</v>
      </c>
      <c r="AA192" s="21">
        <f>IFERROR((tabCustoUnit[[#This Row],[Submódulo 2.1]]/tabCustoUnit[[#This Row],[MODULO 1 - REMUNERAÇÃO ]])*SUM(tabCustoUnit[[#This Row],[13º salário (titular)]:[Férias e Adicional de Férias (titular)]]),0)</f>
        <v>307.52585219999997</v>
      </c>
      <c r="AB192" s="21">
        <f>SUM(tabCustoUnit[[#This Row],[13º salário (titular)]:[Incidência do Submódulo 2.1 sobre 13º Salário, Férias e Adicional de Férias]])</f>
        <v>1121.0863077555555</v>
      </c>
      <c r="AC192" s="22" t="e">
        <f ca="1">_xlfn.LET(_xlpm.VT,SUMIF(tabParametros[Código do Posto],tabCustoUnit[[#This Row],[Código do Posto]],tabParametros[Vale - Transporte])*2*20,
IF((_xlpm.VT-tabCustoUnit[[#This Row],[Salário Base]]*0.06)&gt;=0,(_xlpm.VT-tabCustoUnit[[#This Row],[Salário Base]]*0.06),0)
)</f>
        <v>#NAME?</v>
      </c>
      <c r="AD192" s="22">
        <f>IF(SUMIF(tabParametros[Código do Posto],tabCustoUnit[[#This Row],[Código do Posto]],tabParametros[Vale - Alimentação])&lt;=0,0,
SUMIF(tabParametros[Código do Posto],tabCustoUnit[[#This Row],[Código do Posto]],tabParametros[Vale - Alimentação])*20-1)</f>
        <v>582</v>
      </c>
      <c r="AE192" s="22">
        <f>SUMIF(tabParametros[Código do Posto],tabCustoUnit[[#This Row],[Código do Posto]],tabParametros[Cesta Básica])</f>
        <v>0</v>
      </c>
      <c r="AF192" s="22">
        <f>SUMIF(tabParametros[Código do Posto],tabCustoUnit[[#This Row],[Código do Posto]],tabParametros[PAF])</f>
        <v>0</v>
      </c>
      <c r="AG192" s="22">
        <f>SUMIF(tabParametros[Código do Posto],tabCustoUnit[[#This Row],[Código do Posto]],tabParametros[PQM])</f>
        <v>0</v>
      </c>
      <c r="AH192" s="22">
        <f>SUMIF(tabParametros[Código do Posto],tabCustoUnit[[#This Row],[Código do Posto]],tabParametros[Abono Único e Especial])</f>
        <v>0</v>
      </c>
      <c r="AI192" s="22">
        <f>SUMIF(tabParametros[Código do Posto],tabCustoUnit[[#This Row],[Código do Posto]],tabParametros[Seguro de Vida])</f>
        <v>3.36</v>
      </c>
      <c r="AJ192" s="22">
        <f>SUMIF(tabParametros[Código do Posto],tabCustoUnit[[#This Row],[Código do Posto]],tabParametros[Despesas de Viagem])</f>
        <v>662.42</v>
      </c>
      <c r="AK192" s="22" t="e">
        <f ca="1">SUM(tabCustoUnit[[#This Row],[Vale - Transporte (Descontada parcela do empregado)]:[Despesas de Viagem]])</f>
        <v>#NAME?</v>
      </c>
      <c r="AL192" s="22" t="e">
        <f ca="1">tabCustoUnit[[#This Row],[Submódulo 2.1]]+tabCustoUnit[[#This Row],[Submódulo 2.2]]+tabCustoUnit[[#This Row],[Submódulo 2.3]]</f>
        <v>#NAME?</v>
      </c>
      <c r="AM192" s="22">
        <f>SUMIF(tabParametros[Código do Posto],tabCustoUnit[[#This Row],[Código do Posto]],tabParametros[Aviso Prévio Indenizado (API) e Reflexo do Aviso Prévio Indenizado])*tabCustoUnit[[#This Row],[MODULO 1 - REMUNERAÇÃO ]]</f>
        <v>29.337409721219135</v>
      </c>
      <c r="AN192" s="22">
        <f>SUMIF(tabParametros[Código do Posto],tabCustoUnit[[#This Row],[Código do Posto]],tabParametros[Incidência do FGTS sobre API e Reflexo do API])*tabCustoUnit[[#This Row],[MODULO 1 - REMUNERAÇÃO ]]</f>
        <v>2.346992777697531</v>
      </c>
      <c r="AO192" s="22">
        <f>SUMIF(tabParametros[Código do Posto],tabCustoUnit[[#This Row],[Código do Posto]],tabParametros[Multa Rescisória do FGTS sobre o Aviso Prévio Indenizado])*tabCustoUnit[[#This Row],[MODULO 1 - REMUNERAÇÃO ]]</f>
        <v>0.93879711107901254</v>
      </c>
      <c r="AP192" s="22">
        <f>SUMIF(tabParametros[Código do Posto],tabCustoUnit[[#This Row],[Código do Posto]],tabParametros[Aviso Prévio Trabalhado - APT])*tabCustoUnit[[#This Row],[MODULO 1 - REMUNERAÇÃO ]]</f>
        <v>14.644088200000002</v>
      </c>
      <c r="AQ192" s="22">
        <f>SUMIF(tabParametros[Código do Posto],tabCustoUnit[[#This Row],[Código do Posto]],tabParametros[Incidência dos encargos do submódulo 2.1 sobre Aviso Prévio Trabalhado])*tabCustoUnit[[#This Row],[MODULO 1 - REMUNERAÇÃO ]]</f>
        <v>5.5354653396000018</v>
      </c>
      <c r="AR192" s="22">
        <f>SUMIF(tabParametros[Código do Posto],tabCustoUnit[[#This Row],[Código do Posto]],tabParametros[Multa Rescisória do FGTS])*tabCustoUnit[[#This Row],[MODULO 1 - REMUNERAÇÃO ]]</f>
        <v>127.9381927822222</v>
      </c>
      <c r="AS192" s="22">
        <f>SUMIF(tabParametros[Código do Posto],tabCustoUnit[[#This Row],[Código do Posto]],tabParametros[Indenização Adicional (Art. 9º da Lei nº 7.238/84)])*tabCustoUnit[[#This Row],[MODULO 1 - REMUNERAÇÃO ]]</f>
        <v>3.4866876666666671</v>
      </c>
      <c r="AT192" s="22">
        <f>SUM(tabCustoUnit[[#This Row],[Aviso Prévio Indenizado (API) e Reflexo do Aviso Prévio Indenizado]:[Indenização Adicional (Art. 9º da Lei nº 7.238/84)]])</f>
        <v>184.22763359848454</v>
      </c>
      <c r="AU192" s="22">
        <f>SUMIF(tabParametros[Código do Posto],tabCustoUnit[[#This Row],[Código do Posto]],tabParametros[Ausência por Doença])*tabCustoUnit[[#This Row],[MODULO 1 - REMUNERAÇÃO ]]</f>
        <v>35.331768355555553</v>
      </c>
      <c r="AV192" s="22">
        <f>SUMIF(tabParametros[Código do Posto],tabCustoUnit[[#This Row],[Código do Posto]],tabParametros[Ausências Legais])*tabCustoUnit[[#This Row],[MODULO 1 - REMUNERAÇÃO ]]</f>
        <v>8.4842733222222222</v>
      </c>
      <c r="AW192" s="22">
        <f>SUMIF(tabParametros[Código do Posto],tabCustoUnit[[#This Row],[Código do Posto]],tabParametros[Licença Paternidade])*tabCustoUnit[[#This Row],[MODULO 1 - REMUNERAÇÃO ]]</f>
        <v>0.7147709716666667</v>
      </c>
      <c r="AX192" s="22">
        <f>SUMIF(tabParametros[Código do Posto],tabCustoUnit[[#This Row],[Código do Posto]],tabParametros[Ausência por Acidente de Trabalho])*tabCustoUnit[[#This Row],[MODULO 1 - REMUNERAÇÃO ]]</f>
        <v>0.87167191666666677</v>
      </c>
      <c r="AY192" s="22">
        <f>SUMIF(tabParametros[Código do Posto],tabCustoUnit[[#This Row],[Código do Posto]],tabParametros[Férias, Adicional de Férias e 13º  com empregada em gozo de Licença Maternidade])*tabCustoUnit[[#This Row],[MODULO 1 - REMUNERAÇÃO ]]</f>
        <v>5.4237363703703707</v>
      </c>
      <c r="AZ192" s="22">
        <f>SUMIF(tabParametros[Código do Posto],tabCustoUnit[[#This Row],[Código do Posto]],tabParametros[Incidência do Submódulo 2.1 sobre Ausências Legais])*tabCustoUnit[[#This Row],[MODULO 1 - REMUNERAÇÃO ]]</f>
        <v>19.212311513990002</v>
      </c>
      <c r="BA192" s="22">
        <f>SUM(tabCustoUnit[[#This Row],[Ausência por Doença]:[Incidência do Submódulo 2.1 sobre Ausências Legais]])</f>
        <v>70.038532450471479</v>
      </c>
      <c r="BB192" s="22">
        <f>SUMIF(tabParametros[Código do Posto],tabCustoUnit[[#This Row],[Código do Posto]],tabParametros[Intervalo para Repouso ou Alimentação])</f>
        <v>0</v>
      </c>
      <c r="BC192" s="22">
        <f>tabCustoUnit[[#This Row],[Intervalo para Repouso ou Alimentação]]</f>
        <v>0</v>
      </c>
      <c r="BD19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2" s="22">
        <f>tabCustoUnit[[#This Row],[Suspensão Temporária do Contrato de Trabalho]]</f>
        <v>0</v>
      </c>
      <c r="BF192" s="22">
        <f>tabCustoUnit[[#This Row],[Submódulo 4.1]]+tabCustoUnit[[#This Row],[Submódulo 4.2]]+tabCustoUnit[[#This Row],[Submódulo 4.3]]</f>
        <v>70.038532450471479</v>
      </c>
      <c r="BG192" s="22">
        <f>VLOOKUP(tabCustoUnit[[#This Row],[Código do Posto]],tabParametros[],MATCH(tabCustoUnit[[#Headers],[Uniformes e EPIs]],tabParametros[#Headers],0),0)</f>
        <v>92.100763771570698</v>
      </c>
      <c r="BH192" s="22">
        <f>VLOOKUP(tabCustoUnit[[#This Row],[Código do Posto]],tabParametros[],MATCH(tabCustoUnit[[#Headers],[Materiais de Consumo]],tabParametros[#Headers],0),0)</f>
        <v>0</v>
      </c>
      <c r="BI192" s="22">
        <f>VLOOKUP(tabCustoUnit[[#This Row],[Código do Posto]],tabParametros[],MATCH(tabCustoUnit[[#Headers],[Máquinas e Equipamentos (depreciação)]],tabParametros[#Headers],0),0)</f>
        <v>0</v>
      </c>
      <c r="BJ192" s="22">
        <f>VLOOKUP(tabCustoUnit[[#This Row],[Código do Posto]],tabParametros[],MATCH(tabCustoUnit[[#Headers],[Produtos de Limpeza e Materiais de Higiene Pessoal]],tabParametros[#Headers],0),0)</f>
        <v>0</v>
      </c>
      <c r="BK192" s="22">
        <f>VLOOKUP(tabCustoUnit[[#This Row],[Código do Posto]],tabParametros[],MATCH(tabCustoUnit[[#Headers],[Outros (especificar)]],tabParametros[#Headers],0),0)</f>
        <v>0</v>
      </c>
      <c r="BL192" s="22">
        <f>SUM(tabCustoUnit[[#This Row],[Uniformes e EPIs]:[Outros (especificar)]])</f>
        <v>92.100763771570698</v>
      </c>
      <c r="BM19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2" s="22" t="e">
        <f ca="1">VLOOKUP(tabCustoUnit[[#This Row],[Código do Posto]],tabParametros[],MATCH(tabCustoUnit[[#Headers],[Custos Indiretos]],tabParametros[#Headers],0),0)</f>
        <v>#NAME?</v>
      </c>
      <c r="BO192" s="22" t="e">
        <f ca="1">VLOOKUP(tabCustoUnit[[#This Row],[Código do Posto]],tabParametros[],MATCH(tabCustoUnit[[#Headers],[Lucro]],tabParametros[#Headers],0),0)</f>
        <v>#NAME?</v>
      </c>
      <c r="BP192" s="26">
        <f>((100/((1-tabCustoUnit[[#This Row],[Resumo de Alíquotas (PIS+CONFINS+ISS)]]))-100)*VLOOKUP(tabCustoUnit[[#This Row],[Código do Posto]],tabParametros[],MATCH(tabCustoUnit[[#Headers],[COFINS]],tabParametros[#Headers],0),0))/(tabCustoUnit[[#This Row],[Resumo de Alíquotas (PIS+CONFINS+ISS)]]*100)</f>
        <v>8.8629737609329504E-2</v>
      </c>
      <c r="BQ192" s="26">
        <f>((100/((100-(tabCustoUnit[[#This Row],[Resumo de Alíquotas (PIS+CONFINS+ISS)]]*100))%)-100)*VLOOKUP(tabCustoUnit[[#This Row],[Código do Posto]],tabParametros[],MATCH(tabCustoUnit[[#Headers],[PIS]],tabParametros[#Headers],0),0))/(tabCustoUnit[[#This Row],[Resumo de Alíquotas (PIS+CONFINS+ISS)]]*100)</f>
        <v>1.9241982507288629E-2</v>
      </c>
      <c r="BR192" s="28">
        <f>VLOOKUP(tabCustoUnit[[#This Row],[Código do Posto]],tabParametros[],MATCH(tabCustoUnit[[#Headers],[ISS]],tabParametros[#Headers],0),0)</f>
        <v>0.05</v>
      </c>
      <c r="BS192" s="26">
        <f>(((100/((100-(tabCustoUnit[[#This Row],[Resumo de Alíquotas (PIS+CONFINS+ISS)]]*100))%)-100)*tabCustoUnit[[#This Row],[ISS]])/tabCustoUnit[[#This Row],[Resumo de Alíquotas (PIS+CONFINS+ISS)]])/100</f>
        <v>5.8309037900874633E-2</v>
      </c>
      <c r="BT19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2" s="138">
        <f>tabCustoUnit[[#This Row],[COFINS]]+tabCustoUnit[[#This Row],[PIS]]+tabCustoUnit[[#This Row],[ISS (Conversão Alíquota s/ fatura)]]</f>
        <v>0.16618075801749277</v>
      </c>
      <c r="BV192" s="22" t="e">
        <f ca="1">(tabCustoUnit[[#This Row],[TOTAL MÓDULOS 1+2+3+4+5]]+tabCustoUnit[[#This Row],[Custos Indiretos]]+tabCustoUnit[[#This Row],[Lucro]])*tabCustoUnit[[#This Row],[PIS + COFINS + ISS (Total Conversão  Alíquota s/ Fatura)]]</f>
        <v>#NAME?</v>
      </c>
      <c r="BW192" s="22" t="e">
        <f ca="1">tabCustoUnit[[#This Row],[Custos Indiretos]]+tabCustoUnit[[#This Row],[Lucro]]+tabCustoUnit[[#This Row],[Valor dos Tributos (ISS, PIS, CONFINS)]]</f>
        <v>#NAME?</v>
      </c>
      <c r="BX192" s="22" t="e">
        <f ca="1">tabCustoUnit[[#This Row],[TOTAL MÓDULOS 1+2+3+4+5]]+tabCustoUnit[[#This Row],[MÓDULO 6 – CUSTOS INDIRETOS, TRIBUTOS E LUCRO]]</f>
        <v>#NAME?</v>
      </c>
      <c r="BY192" s="22" t="e">
        <f ca="1">tabCustoUnit[[#This Row],[CUSTO TOTAL MENSAL]]*12</f>
        <v>#NAME?</v>
      </c>
      <c r="BZ192" s="24">
        <f>VLOOKUP(tabCustoUnit[[#This Row],[Código do Posto]],tabParametros[],MATCH(tabCustoUnit[[#Headers],[ANO DA CCT]],tabParametros[#Headers],0),0)</f>
        <v>45658</v>
      </c>
      <c r="CA192" s="25" t="str">
        <f>VLOOKUP(tabCustoUnit[[#This Row],[Código do Posto]],tabParametros[],MATCH(tabCustoUnit[[#Headers],[Nº DE PEDIDO DA CCT]],tabParametros[#Headers],0),0)</f>
        <v>-</v>
      </c>
      <c r="CB192" s="25" t="str">
        <f>VLOOKUP(tabCustoUnit[[#This Row],[Código do Posto]],tabParametros[],MATCH(tabCustoUnit[[#Headers],[TERMO ADITIVO ALTERAÇÃO DA CCT]],tabParametros[#Headers],0),0)</f>
        <v>-</v>
      </c>
    </row>
    <row r="193" spans="1:80">
      <c r="A193" s="20" t="s">
        <v>1632</v>
      </c>
      <c r="B193" t="s">
        <v>936</v>
      </c>
      <c r="C193" t="s">
        <v>274</v>
      </c>
      <c r="D193" t="s">
        <v>996</v>
      </c>
      <c r="E193" s="20" t="s">
        <v>1090</v>
      </c>
      <c r="F193" s="20" t="s">
        <v>135</v>
      </c>
      <c r="G193" s="418">
        <v>4184.0252</v>
      </c>
      <c r="H193" s="418">
        <v>0</v>
      </c>
      <c r="I193" s="418">
        <v>0</v>
      </c>
      <c r="J193" s="418">
        <v>0</v>
      </c>
      <c r="K193" s="418">
        <v>0</v>
      </c>
      <c r="L193" s="418">
        <v>0</v>
      </c>
      <c r="M193" s="418">
        <v>0</v>
      </c>
      <c r="N193" s="418">
        <v>0</v>
      </c>
      <c r="O193" s="21">
        <f>SUM(tabCustoUnit[[#This Row],[Salário Base]:[Adicional de Acúmulo de função]])</f>
        <v>4184.0252</v>
      </c>
      <c r="P193" s="21">
        <f>tabCustoUnit[[#This Row],[MODULO 1 - REMUNERAÇÃO ]]*SUMIFS(tabParametros[INSS],tabParametros[Código do Posto],tabCustoUnit[[#This Row],[Código do Posto]])</f>
        <v>836.80504000000008</v>
      </c>
      <c r="Q193" s="21">
        <f>tabCustoUnit[[#This Row],[MODULO 1 - REMUNERAÇÃO ]]*SUMIFS(tabParametros[SESI OU SESC],tabParametros[Código do Posto],tabCustoUnit[[#This Row],[Código do Posto]])</f>
        <v>62.760377999999996</v>
      </c>
      <c r="R193" s="21">
        <f>tabCustoUnit[[#This Row],[MODULO 1 - REMUNERAÇÃO ]]*SUMIFS(tabParametros[SENAI OU SENAC],tabParametros[Código do Posto],tabCustoUnit[[#This Row],[Código do Posto]])</f>
        <v>41.840252</v>
      </c>
      <c r="S193" s="21">
        <f>tabCustoUnit[[#This Row],[MODULO 1 - REMUNERAÇÃO ]]*SUMIFS(tabParametros[INCRA],tabParametros[Código do Posto],tabCustoUnit[[#This Row],[Código do Posto]])</f>
        <v>8.3680503999999996</v>
      </c>
      <c r="T193" s="21">
        <f>tabCustoUnit[[#This Row],[MODULO 1 - REMUNERAÇÃO ]]*SUMIFS(tabParametros[Salário Educação],tabParametros[Código do Posto],tabCustoUnit[[#This Row],[Código do Posto]])</f>
        <v>104.60063000000001</v>
      </c>
      <c r="U193" s="21">
        <f>tabCustoUnit[[#This Row],[MODULO 1 - REMUNERAÇÃO ]]*SUMIFS(tabParametros[FGTS],tabParametros[Código do Posto],tabCustoUnit[[#This Row],[Código do Posto]])</f>
        <v>334.722016</v>
      </c>
      <c r="V193" s="21">
        <f>tabCustoUnit[[#This Row],[MODULO 1 - REMUNERAÇÃO ]]*SUMIFS(tabParametros[RAT Ajustado],tabParametros[Código do Posto],tabCustoUnit[[#This Row],[Código do Posto]])</f>
        <v>167.361008</v>
      </c>
      <c r="W193" s="21">
        <f>tabCustoUnit[[#This Row],[MODULO 1 - REMUNERAÇÃO ]]*SUMIFS(tabParametros[SEBRAE],tabParametros[Código do Posto],tabCustoUnit[[#This Row],[Código do Posto]])</f>
        <v>25.1041512</v>
      </c>
      <c r="X193" s="21">
        <f>SUM(tabCustoUnit[[#This Row],[INSS]:[SEBRAE]])</f>
        <v>1581.5615255999999</v>
      </c>
      <c r="Y193" s="21">
        <f>tabCustoUnit[[#This Row],[MODULO 1 - REMUNERAÇÃO ]]*SUMIFS(tabParametros[13º salário (titular)],tabParametros[Código do Posto],tabCustoUnit[[#This Row],[Código do Posto]])</f>
        <v>348.66876666666667</v>
      </c>
      <c r="Z193" s="21">
        <f>tabCustoUnit[[#This Row],[MODULO 1 - REMUNERAÇÃO ]]*SUMIFS(tabParametros[Férias e Adicional de Férias (titular)],tabParametros[Código do Posto],tabCustoUnit[[#This Row],[Código do Posto]])</f>
        <v>464.89168888888889</v>
      </c>
      <c r="AA193" s="21">
        <f>IFERROR((tabCustoUnit[[#This Row],[Submódulo 2.1]]/tabCustoUnit[[#This Row],[MODULO 1 - REMUNERAÇÃO ]])*SUM(tabCustoUnit[[#This Row],[13º salário (titular)]:[Férias e Adicional de Férias (titular)]]),0)</f>
        <v>307.52585219999997</v>
      </c>
      <c r="AB193" s="21">
        <f>SUM(tabCustoUnit[[#This Row],[13º salário (titular)]:[Incidência do Submódulo 2.1 sobre 13º Salário, Férias e Adicional de Férias]])</f>
        <v>1121.0863077555555</v>
      </c>
      <c r="AC193" s="22" t="e">
        <f ca="1">_xlfn.LET(_xlpm.VT,SUMIF(tabParametros[Código do Posto],tabCustoUnit[[#This Row],[Código do Posto]],tabParametros[Vale - Transporte])*2*20,
IF((_xlpm.VT-tabCustoUnit[[#This Row],[Salário Base]]*0.06)&gt;=0,(_xlpm.VT-tabCustoUnit[[#This Row],[Salário Base]]*0.06),0)
)</f>
        <v>#NAME?</v>
      </c>
      <c r="AD193" s="22">
        <f>IF(SUMIF(tabParametros[Código do Posto],tabCustoUnit[[#This Row],[Código do Posto]],tabParametros[Vale - Alimentação])&lt;=0,0,
SUMIF(tabParametros[Código do Posto],tabCustoUnit[[#This Row],[Código do Posto]],tabParametros[Vale - Alimentação])*20-1)</f>
        <v>582</v>
      </c>
      <c r="AE193" s="22">
        <f>SUMIF(tabParametros[Código do Posto],tabCustoUnit[[#This Row],[Código do Posto]],tabParametros[Cesta Básica])</f>
        <v>0</v>
      </c>
      <c r="AF193" s="22">
        <f>SUMIF(tabParametros[Código do Posto],tabCustoUnit[[#This Row],[Código do Posto]],tabParametros[PAF])</f>
        <v>0</v>
      </c>
      <c r="AG193" s="22">
        <f>SUMIF(tabParametros[Código do Posto],tabCustoUnit[[#This Row],[Código do Posto]],tabParametros[PQM])</f>
        <v>0</v>
      </c>
      <c r="AH193" s="22">
        <f>SUMIF(tabParametros[Código do Posto],tabCustoUnit[[#This Row],[Código do Posto]],tabParametros[Abono Único e Especial])</f>
        <v>0</v>
      </c>
      <c r="AI193" s="22">
        <f>SUMIF(tabParametros[Código do Posto],tabCustoUnit[[#This Row],[Código do Posto]],tabParametros[Seguro de Vida])</f>
        <v>3.36</v>
      </c>
      <c r="AJ193" s="22">
        <f>SUMIF(tabParametros[Código do Posto],tabCustoUnit[[#This Row],[Código do Posto]],tabParametros[Despesas de Viagem])</f>
        <v>662.42</v>
      </c>
      <c r="AK193" s="22" t="e">
        <f ca="1">SUM(tabCustoUnit[[#This Row],[Vale - Transporte (Descontada parcela do empregado)]:[Despesas de Viagem]])</f>
        <v>#NAME?</v>
      </c>
      <c r="AL193" s="22" t="e">
        <f ca="1">tabCustoUnit[[#This Row],[Submódulo 2.1]]+tabCustoUnit[[#This Row],[Submódulo 2.2]]+tabCustoUnit[[#This Row],[Submódulo 2.3]]</f>
        <v>#NAME?</v>
      </c>
      <c r="AM193" s="22">
        <f>SUMIF(tabParametros[Código do Posto],tabCustoUnit[[#This Row],[Código do Posto]],tabParametros[Aviso Prévio Indenizado (API) e Reflexo do Aviso Prévio Indenizado])*tabCustoUnit[[#This Row],[MODULO 1 - REMUNERAÇÃO ]]</f>
        <v>29.337409721219135</v>
      </c>
      <c r="AN193" s="22">
        <f>SUMIF(tabParametros[Código do Posto],tabCustoUnit[[#This Row],[Código do Posto]],tabParametros[Incidência do FGTS sobre API e Reflexo do API])*tabCustoUnit[[#This Row],[MODULO 1 - REMUNERAÇÃO ]]</f>
        <v>2.346992777697531</v>
      </c>
      <c r="AO193" s="22">
        <f>SUMIF(tabParametros[Código do Posto],tabCustoUnit[[#This Row],[Código do Posto]],tabParametros[Multa Rescisória do FGTS sobre o Aviso Prévio Indenizado])*tabCustoUnit[[#This Row],[MODULO 1 - REMUNERAÇÃO ]]</f>
        <v>0.93879711107901254</v>
      </c>
      <c r="AP193" s="22">
        <f>SUMIF(tabParametros[Código do Posto],tabCustoUnit[[#This Row],[Código do Posto]],tabParametros[Aviso Prévio Trabalhado - APT])*tabCustoUnit[[#This Row],[MODULO 1 - REMUNERAÇÃO ]]</f>
        <v>14.644088200000002</v>
      </c>
      <c r="AQ193" s="22">
        <f>SUMIF(tabParametros[Código do Posto],tabCustoUnit[[#This Row],[Código do Posto]],tabParametros[Incidência dos encargos do submódulo 2.1 sobre Aviso Prévio Trabalhado])*tabCustoUnit[[#This Row],[MODULO 1 - REMUNERAÇÃO ]]</f>
        <v>5.5354653396000018</v>
      </c>
      <c r="AR193" s="22">
        <f>SUMIF(tabParametros[Código do Posto],tabCustoUnit[[#This Row],[Código do Posto]],tabParametros[Multa Rescisória do FGTS])*tabCustoUnit[[#This Row],[MODULO 1 - REMUNERAÇÃO ]]</f>
        <v>127.9381927822222</v>
      </c>
      <c r="AS193" s="22">
        <f>SUMIF(tabParametros[Código do Posto],tabCustoUnit[[#This Row],[Código do Posto]],tabParametros[Indenização Adicional (Art. 9º da Lei nº 7.238/84)])*tabCustoUnit[[#This Row],[MODULO 1 - REMUNERAÇÃO ]]</f>
        <v>3.4866876666666671</v>
      </c>
      <c r="AT193" s="22">
        <f>SUM(tabCustoUnit[[#This Row],[Aviso Prévio Indenizado (API) e Reflexo do Aviso Prévio Indenizado]:[Indenização Adicional (Art. 9º da Lei nº 7.238/84)]])</f>
        <v>184.22763359848454</v>
      </c>
      <c r="AU193" s="22">
        <f>SUMIF(tabParametros[Código do Posto],tabCustoUnit[[#This Row],[Código do Posto]],tabParametros[Ausência por Doença])*tabCustoUnit[[#This Row],[MODULO 1 - REMUNERAÇÃO ]]</f>
        <v>35.331768355555553</v>
      </c>
      <c r="AV193" s="22">
        <f>SUMIF(tabParametros[Código do Posto],tabCustoUnit[[#This Row],[Código do Posto]],tabParametros[Ausências Legais])*tabCustoUnit[[#This Row],[MODULO 1 - REMUNERAÇÃO ]]</f>
        <v>8.4842733222222222</v>
      </c>
      <c r="AW193" s="22">
        <f>SUMIF(tabParametros[Código do Posto],tabCustoUnit[[#This Row],[Código do Posto]],tabParametros[Licença Paternidade])*tabCustoUnit[[#This Row],[MODULO 1 - REMUNERAÇÃO ]]</f>
        <v>0.7147709716666667</v>
      </c>
      <c r="AX193" s="22">
        <f>SUMIF(tabParametros[Código do Posto],tabCustoUnit[[#This Row],[Código do Posto]],tabParametros[Ausência por Acidente de Trabalho])*tabCustoUnit[[#This Row],[MODULO 1 - REMUNERAÇÃO ]]</f>
        <v>0.87167191666666677</v>
      </c>
      <c r="AY193" s="22">
        <f>SUMIF(tabParametros[Código do Posto],tabCustoUnit[[#This Row],[Código do Posto]],tabParametros[Férias, Adicional de Férias e 13º  com empregada em gozo de Licença Maternidade])*tabCustoUnit[[#This Row],[MODULO 1 - REMUNERAÇÃO ]]</f>
        <v>5.4237363703703707</v>
      </c>
      <c r="AZ193" s="22">
        <f>SUMIF(tabParametros[Código do Posto],tabCustoUnit[[#This Row],[Código do Posto]],tabParametros[Incidência do Submódulo 2.1 sobre Ausências Legais])*tabCustoUnit[[#This Row],[MODULO 1 - REMUNERAÇÃO ]]</f>
        <v>19.212311513990002</v>
      </c>
      <c r="BA193" s="22">
        <f>SUM(tabCustoUnit[[#This Row],[Ausência por Doença]:[Incidência do Submódulo 2.1 sobre Ausências Legais]])</f>
        <v>70.038532450471479</v>
      </c>
      <c r="BB193" s="22">
        <f>SUMIF(tabParametros[Código do Posto],tabCustoUnit[[#This Row],[Código do Posto]],tabParametros[Intervalo para Repouso ou Alimentação])</f>
        <v>0</v>
      </c>
      <c r="BC193" s="22">
        <f>tabCustoUnit[[#This Row],[Intervalo para Repouso ou Alimentação]]</f>
        <v>0</v>
      </c>
      <c r="BD19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3" s="22">
        <f>tabCustoUnit[[#This Row],[Suspensão Temporária do Contrato de Trabalho]]</f>
        <v>0</v>
      </c>
      <c r="BF193" s="22">
        <f>tabCustoUnit[[#This Row],[Submódulo 4.1]]+tabCustoUnit[[#This Row],[Submódulo 4.2]]+tabCustoUnit[[#This Row],[Submódulo 4.3]]</f>
        <v>70.038532450471479</v>
      </c>
      <c r="BG193" s="22">
        <f>VLOOKUP(tabCustoUnit[[#This Row],[Código do Posto]],tabParametros[],MATCH(tabCustoUnit[[#Headers],[Uniformes e EPIs]],tabParametros[#Headers],0),0)</f>
        <v>92.100763771570698</v>
      </c>
      <c r="BH193" s="22">
        <f>VLOOKUP(tabCustoUnit[[#This Row],[Código do Posto]],tabParametros[],MATCH(tabCustoUnit[[#Headers],[Materiais de Consumo]],tabParametros[#Headers],0),0)</f>
        <v>0</v>
      </c>
      <c r="BI193" s="22">
        <f>VLOOKUP(tabCustoUnit[[#This Row],[Código do Posto]],tabParametros[],MATCH(tabCustoUnit[[#Headers],[Máquinas e Equipamentos (depreciação)]],tabParametros[#Headers],0),0)</f>
        <v>0</v>
      </c>
      <c r="BJ193" s="22">
        <f>VLOOKUP(tabCustoUnit[[#This Row],[Código do Posto]],tabParametros[],MATCH(tabCustoUnit[[#Headers],[Produtos de Limpeza e Materiais de Higiene Pessoal]],tabParametros[#Headers],0),0)</f>
        <v>0</v>
      </c>
      <c r="BK193" s="22">
        <f>VLOOKUP(tabCustoUnit[[#This Row],[Código do Posto]],tabParametros[],MATCH(tabCustoUnit[[#Headers],[Outros (especificar)]],tabParametros[#Headers],0),0)</f>
        <v>0</v>
      </c>
      <c r="BL193" s="22">
        <f>SUM(tabCustoUnit[[#This Row],[Uniformes e EPIs]:[Outros (especificar)]])</f>
        <v>92.100763771570698</v>
      </c>
      <c r="BM19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3" s="22" t="e">
        <f ca="1">VLOOKUP(tabCustoUnit[[#This Row],[Código do Posto]],tabParametros[],MATCH(tabCustoUnit[[#Headers],[Custos Indiretos]],tabParametros[#Headers],0),0)</f>
        <v>#NAME?</v>
      </c>
      <c r="BO193" s="22" t="e">
        <f ca="1">VLOOKUP(tabCustoUnit[[#This Row],[Código do Posto]],tabParametros[],MATCH(tabCustoUnit[[#Headers],[Lucro]],tabParametros[#Headers],0),0)</f>
        <v>#NAME?</v>
      </c>
      <c r="BP193" s="26">
        <f>((100/((1-tabCustoUnit[[#This Row],[Resumo de Alíquotas (PIS+CONFINS+ISS)]]))-100)*VLOOKUP(tabCustoUnit[[#This Row],[Código do Posto]],tabParametros[],MATCH(tabCustoUnit[[#Headers],[COFINS]],tabParametros[#Headers],0),0))/(tabCustoUnit[[#This Row],[Resumo de Alíquotas (PIS+CONFINS+ISS)]]*100)</f>
        <v>8.8629737609329504E-2</v>
      </c>
      <c r="BQ193" s="26">
        <f>((100/((100-(tabCustoUnit[[#This Row],[Resumo de Alíquotas (PIS+CONFINS+ISS)]]*100))%)-100)*VLOOKUP(tabCustoUnit[[#This Row],[Código do Posto]],tabParametros[],MATCH(tabCustoUnit[[#Headers],[PIS]],tabParametros[#Headers],0),0))/(tabCustoUnit[[#This Row],[Resumo de Alíquotas (PIS+CONFINS+ISS)]]*100)</f>
        <v>1.9241982507288629E-2</v>
      </c>
      <c r="BR193" s="28">
        <f>VLOOKUP(tabCustoUnit[[#This Row],[Código do Posto]],tabParametros[],MATCH(tabCustoUnit[[#Headers],[ISS]],tabParametros[#Headers],0),0)</f>
        <v>0.05</v>
      </c>
      <c r="BS193" s="26">
        <f>(((100/((100-(tabCustoUnit[[#This Row],[Resumo de Alíquotas (PIS+CONFINS+ISS)]]*100))%)-100)*tabCustoUnit[[#This Row],[ISS]])/tabCustoUnit[[#This Row],[Resumo de Alíquotas (PIS+CONFINS+ISS)]])/100</f>
        <v>5.8309037900874633E-2</v>
      </c>
      <c r="BT19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3" s="138">
        <f>tabCustoUnit[[#This Row],[COFINS]]+tabCustoUnit[[#This Row],[PIS]]+tabCustoUnit[[#This Row],[ISS (Conversão Alíquota s/ fatura)]]</f>
        <v>0.16618075801749277</v>
      </c>
      <c r="BV193" s="22" t="e">
        <f ca="1">(tabCustoUnit[[#This Row],[TOTAL MÓDULOS 1+2+3+4+5]]+tabCustoUnit[[#This Row],[Custos Indiretos]]+tabCustoUnit[[#This Row],[Lucro]])*tabCustoUnit[[#This Row],[PIS + COFINS + ISS (Total Conversão  Alíquota s/ Fatura)]]</f>
        <v>#NAME?</v>
      </c>
      <c r="BW193" s="22" t="e">
        <f ca="1">tabCustoUnit[[#This Row],[Custos Indiretos]]+tabCustoUnit[[#This Row],[Lucro]]+tabCustoUnit[[#This Row],[Valor dos Tributos (ISS, PIS, CONFINS)]]</f>
        <v>#NAME?</v>
      </c>
      <c r="BX193" s="22" t="e">
        <f ca="1">tabCustoUnit[[#This Row],[TOTAL MÓDULOS 1+2+3+4+5]]+tabCustoUnit[[#This Row],[MÓDULO 6 – CUSTOS INDIRETOS, TRIBUTOS E LUCRO]]</f>
        <v>#NAME?</v>
      </c>
      <c r="BY193" s="22" t="e">
        <f ca="1">tabCustoUnit[[#This Row],[CUSTO TOTAL MENSAL]]*12</f>
        <v>#NAME?</v>
      </c>
      <c r="BZ193" s="24">
        <f>VLOOKUP(tabCustoUnit[[#This Row],[Código do Posto]],tabParametros[],MATCH(tabCustoUnit[[#Headers],[ANO DA CCT]],tabParametros[#Headers],0),0)</f>
        <v>45658</v>
      </c>
      <c r="CA193" s="25" t="str">
        <f>VLOOKUP(tabCustoUnit[[#This Row],[Código do Posto]],tabParametros[],MATCH(tabCustoUnit[[#Headers],[Nº DE PEDIDO DA CCT]],tabParametros[#Headers],0),0)</f>
        <v>-</v>
      </c>
      <c r="CB193" s="25" t="str">
        <f>VLOOKUP(tabCustoUnit[[#This Row],[Código do Posto]],tabParametros[],MATCH(tabCustoUnit[[#Headers],[TERMO ADITIVO ALTERAÇÃO DA CCT]],tabParametros[#Headers],0),0)</f>
        <v>-</v>
      </c>
    </row>
    <row r="194" spans="1:80">
      <c r="A194" s="20" t="s">
        <v>1633</v>
      </c>
      <c r="B194" t="s">
        <v>936</v>
      </c>
      <c r="C194" t="s">
        <v>324</v>
      </c>
      <c r="D194" t="s">
        <v>936</v>
      </c>
      <c r="E194" s="20" t="s">
        <v>1090</v>
      </c>
      <c r="F194" s="20" t="s">
        <v>120</v>
      </c>
      <c r="G194" s="418">
        <v>3429.0284000000001</v>
      </c>
      <c r="H194" s="418">
        <v>0</v>
      </c>
      <c r="I194" s="418">
        <v>0</v>
      </c>
      <c r="J194" s="418">
        <v>0</v>
      </c>
      <c r="K194" s="418">
        <v>0</v>
      </c>
      <c r="L194" s="418">
        <v>0</v>
      </c>
      <c r="M194" s="418">
        <v>0</v>
      </c>
      <c r="N194" s="418">
        <v>0</v>
      </c>
      <c r="O194" s="21">
        <f>SUM(tabCustoUnit[[#This Row],[Salário Base]:[Adicional de Acúmulo de função]])</f>
        <v>3429.0284000000001</v>
      </c>
      <c r="P194" s="21">
        <f>tabCustoUnit[[#This Row],[MODULO 1 - REMUNERAÇÃO ]]*SUMIFS(tabParametros[INSS],tabParametros[Código do Posto],tabCustoUnit[[#This Row],[Código do Posto]])</f>
        <v>685.80568000000005</v>
      </c>
      <c r="Q194" s="21">
        <f>tabCustoUnit[[#This Row],[MODULO 1 - REMUNERAÇÃO ]]*SUMIFS(tabParametros[SESI OU SESC],tabParametros[Código do Posto],tabCustoUnit[[#This Row],[Código do Posto]])</f>
        <v>51.435426</v>
      </c>
      <c r="R194" s="21">
        <f>tabCustoUnit[[#This Row],[MODULO 1 - REMUNERAÇÃO ]]*SUMIFS(tabParametros[SENAI OU SENAC],tabParametros[Código do Posto],tabCustoUnit[[#This Row],[Código do Posto]])</f>
        <v>34.290284</v>
      </c>
      <c r="S194" s="21">
        <f>tabCustoUnit[[#This Row],[MODULO 1 - REMUNERAÇÃO ]]*SUMIFS(tabParametros[INCRA],tabParametros[Código do Posto],tabCustoUnit[[#This Row],[Código do Posto]])</f>
        <v>6.8580568000000008</v>
      </c>
      <c r="T194" s="21">
        <f>tabCustoUnit[[#This Row],[MODULO 1 - REMUNERAÇÃO ]]*SUMIFS(tabParametros[Salário Educação],tabParametros[Código do Posto],tabCustoUnit[[#This Row],[Código do Posto]])</f>
        <v>85.725710000000007</v>
      </c>
      <c r="U194" s="21">
        <f>tabCustoUnit[[#This Row],[MODULO 1 - REMUNERAÇÃO ]]*SUMIFS(tabParametros[FGTS],tabParametros[Código do Posto],tabCustoUnit[[#This Row],[Código do Posto]])</f>
        <v>274.322272</v>
      </c>
      <c r="V194" s="21">
        <f>tabCustoUnit[[#This Row],[MODULO 1 - REMUNERAÇÃO ]]*SUMIFS(tabParametros[RAT Ajustado],tabParametros[Código do Posto],tabCustoUnit[[#This Row],[Código do Posto]])</f>
        <v>137.161136</v>
      </c>
      <c r="W194" s="21">
        <f>tabCustoUnit[[#This Row],[MODULO 1 - REMUNERAÇÃO ]]*SUMIFS(tabParametros[SEBRAE],tabParametros[Código do Posto],tabCustoUnit[[#This Row],[Código do Posto]])</f>
        <v>20.5741704</v>
      </c>
      <c r="X194" s="21">
        <f>SUM(tabCustoUnit[[#This Row],[INSS]:[SEBRAE]])</f>
        <v>1296.1727352</v>
      </c>
      <c r="Y194" s="21">
        <f>tabCustoUnit[[#This Row],[MODULO 1 - REMUNERAÇÃO ]]*SUMIFS(tabParametros[13º salário (titular)],tabParametros[Código do Posto],tabCustoUnit[[#This Row],[Código do Posto]])</f>
        <v>285.75236666666666</v>
      </c>
      <c r="Z194" s="21">
        <f>tabCustoUnit[[#This Row],[MODULO 1 - REMUNERAÇÃO ]]*SUMIFS(tabParametros[Férias e Adicional de Férias (titular)],tabParametros[Código do Posto],tabCustoUnit[[#This Row],[Código do Posto]])</f>
        <v>381.00315555555557</v>
      </c>
      <c r="AA194" s="21">
        <f>IFERROR((tabCustoUnit[[#This Row],[Submódulo 2.1]]/tabCustoUnit[[#This Row],[MODULO 1 - REMUNERAÇÃO ]])*SUM(tabCustoUnit[[#This Row],[13º salário (titular)]:[Férias e Adicional de Férias (titular)]]),0)</f>
        <v>252.03358740000002</v>
      </c>
      <c r="AB194" s="21">
        <f>SUM(tabCustoUnit[[#This Row],[13º salário (titular)]:[Incidência do Submódulo 2.1 sobre 13º Salário, Férias e Adicional de Férias]])</f>
        <v>918.78910962222221</v>
      </c>
      <c r="AC194" s="22" t="e">
        <f ca="1">_xlfn.LET(_xlpm.VT,SUMIF(tabParametros[Código do Posto],tabCustoUnit[[#This Row],[Código do Posto]],tabParametros[Vale - Transporte])*2*20,
IF((_xlpm.VT-tabCustoUnit[[#This Row],[Salário Base]]*0.06)&gt;=0,(_xlpm.VT-tabCustoUnit[[#This Row],[Salário Base]]*0.06),0)
)</f>
        <v>#NAME?</v>
      </c>
      <c r="AD194" s="22">
        <f>IF(SUMIF(tabParametros[Código do Posto],tabCustoUnit[[#This Row],[Código do Posto]],tabParametros[Vale - Alimentação])&lt;=0,0,
SUMIF(tabParametros[Código do Posto],tabCustoUnit[[#This Row],[Código do Posto]],tabParametros[Vale - Alimentação])*20-1)</f>
        <v>582</v>
      </c>
      <c r="AE194" s="22">
        <f>SUMIF(tabParametros[Código do Posto],tabCustoUnit[[#This Row],[Código do Posto]],tabParametros[Cesta Básica])</f>
        <v>0</v>
      </c>
      <c r="AF194" s="22">
        <f>SUMIF(tabParametros[Código do Posto],tabCustoUnit[[#This Row],[Código do Posto]],tabParametros[PAF])</f>
        <v>56.3</v>
      </c>
      <c r="AG194" s="22">
        <f>SUMIF(tabParametros[Código do Posto],tabCustoUnit[[#This Row],[Código do Posto]],tabParametros[PQM])</f>
        <v>14.69</v>
      </c>
      <c r="AH194" s="22">
        <f>SUMIF(tabParametros[Código do Posto],tabCustoUnit[[#This Row],[Código do Posto]],tabParametros[Abono Único e Especial])</f>
        <v>0</v>
      </c>
      <c r="AI194" s="22">
        <f>SUMIF(tabParametros[Código do Posto],tabCustoUnit[[#This Row],[Código do Posto]],tabParametros[Seguro de Vida])</f>
        <v>3.36</v>
      </c>
      <c r="AJ194" s="22">
        <f>SUMIF(tabParametros[Código do Posto],tabCustoUnit[[#This Row],[Código do Posto]],tabParametros[Despesas de Viagem])</f>
        <v>0</v>
      </c>
      <c r="AK194" s="22" t="e">
        <f ca="1">SUM(tabCustoUnit[[#This Row],[Vale - Transporte (Descontada parcela do empregado)]:[Despesas de Viagem]])</f>
        <v>#NAME?</v>
      </c>
      <c r="AL194" s="22" t="e">
        <f ca="1">tabCustoUnit[[#This Row],[Submódulo 2.1]]+tabCustoUnit[[#This Row],[Submódulo 2.2]]+tabCustoUnit[[#This Row],[Submódulo 2.3]]</f>
        <v>#NAME?</v>
      </c>
      <c r="AM194" s="22">
        <f>SUMIF(tabParametros[Código do Posto],tabCustoUnit[[#This Row],[Código do Posto]],tabParametros[Aviso Prévio Indenizado (API) e Reflexo do Aviso Prévio Indenizado])*tabCustoUnit[[#This Row],[MODULO 1 - REMUNERAÇÃO ]]</f>
        <v>24.043548092515433</v>
      </c>
      <c r="AN194" s="22">
        <f>SUMIF(tabParametros[Código do Posto],tabCustoUnit[[#This Row],[Código do Posto]],tabParametros[Incidência do FGTS sobre API e Reflexo do API])*tabCustoUnit[[#This Row],[MODULO 1 - REMUNERAÇÃO ]]</f>
        <v>1.9234838474012348</v>
      </c>
      <c r="AO194" s="22">
        <f>SUMIF(tabParametros[Código do Posto],tabCustoUnit[[#This Row],[Código do Posto]],tabParametros[Multa Rescisória do FGTS sobre o Aviso Prévio Indenizado])*tabCustoUnit[[#This Row],[MODULO 1 - REMUNERAÇÃO ]]</f>
        <v>0.76939353896049401</v>
      </c>
      <c r="AP194" s="22">
        <f>SUMIF(tabParametros[Código do Posto],tabCustoUnit[[#This Row],[Código do Posto]],tabParametros[Aviso Prévio Trabalhado - APT])*tabCustoUnit[[#This Row],[MODULO 1 - REMUNERAÇÃO ]]</f>
        <v>12.001599400000002</v>
      </c>
      <c r="AQ194" s="22">
        <f>SUMIF(tabParametros[Código do Posto],tabCustoUnit[[#This Row],[Código do Posto]],tabParametros[Incidência dos encargos do submódulo 2.1 sobre Aviso Prévio Trabalhado])*tabCustoUnit[[#This Row],[MODULO 1 - REMUNERAÇÃO ]]</f>
        <v>4.5366045732000018</v>
      </c>
      <c r="AR194" s="22">
        <f>SUMIF(tabParametros[Código do Posto],tabCustoUnit[[#This Row],[Código do Posto]],tabParametros[Multa Rescisória do FGTS])*tabCustoUnit[[#This Row],[MODULO 1 - REMUNERAÇÃO ]]</f>
        <v>104.85206840888888</v>
      </c>
      <c r="AS194" s="22">
        <f>SUMIF(tabParametros[Código do Posto],tabCustoUnit[[#This Row],[Código do Posto]],tabParametros[Indenização Adicional (Art. 9º da Lei nº 7.238/84)])*tabCustoUnit[[#This Row],[MODULO 1 - REMUNERAÇÃO ]]</f>
        <v>2.8575236666666668</v>
      </c>
      <c r="AT194" s="22">
        <f>SUM(tabCustoUnit[[#This Row],[Aviso Prévio Indenizado (API) e Reflexo do Aviso Prévio Indenizado]:[Indenização Adicional (Art. 9º da Lei nº 7.238/84)]])</f>
        <v>150.98422152763271</v>
      </c>
      <c r="AU194" s="22">
        <f>SUMIF(tabParametros[Código do Posto],tabCustoUnit[[#This Row],[Código do Posto]],tabParametros[Ausência por Doença])*tabCustoUnit[[#This Row],[MODULO 1 - REMUNERAÇÃO ]]</f>
        <v>28.956239822222219</v>
      </c>
      <c r="AV194" s="22">
        <f>SUMIF(tabParametros[Código do Posto],tabCustoUnit[[#This Row],[Código do Posto]],tabParametros[Ausências Legais])*tabCustoUnit[[#This Row],[MODULO 1 - REMUNERAÇÃO ]]</f>
        <v>6.9533075888888884</v>
      </c>
      <c r="AW194" s="22">
        <f>SUMIF(tabParametros[Código do Posto],tabCustoUnit[[#This Row],[Código do Posto]],tabParametros[Licença Paternidade])*tabCustoUnit[[#This Row],[MODULO 1 - REMUNERAÇÃO ]]</f>
        <v>0.58579235166666666</v>
      </c>
      <c r="AX194" s="22">
        <f>SUMIF(tabParametros[Código do Posto],tabCustoUnit[[#This Row],[Código do Posto]],tabParametros[Ausência por Acidente de Trabalho])*tabCustoUnit[[#This Row],[MODULO 1 - REMUNERAÇÃO ]]</f>
        <v>0.7143809166666667</v>
      </c>
      <c r="AY194" s="22">
        <f>SUMIF(tabParametros[Código do Posto],tabCustoUnit[[#This Row],[Código do Posto]],tabParametros[Férias, Adicional de Férias e 13º  com empregada em gozo de Licença Maternidade])*tabCustoUnit[[#This Row],[MODULO 1 - REMUNERAÇÃO ]]</f>
        <v>4.4450368148148147</v>
      </c>
      <c r="AZ194" s="22">
        <f>SUMIF(tabParametros[Código do Posto],tabCustoUnit[[#This Row],[Código do Posto]],tabParametros[Incidência do Submódulo 2.1 sobre Ausências Legais])*tabCustoUnit[[#This Row],[MODULO 1 - REMUNERAÇÃO ]]</f>
        <v>15.745498332830003</v>
      </c>
      <c r="BA194" s="22">
        <f>SUM(tabCustoUnit[[#This Row],[Ausência por Doença]:[Incidência do Submódulo 2.1 sobre Ausências Legais]])</f>
        <v>57.400255827089261</v>
      </c>
      <c r="BB194" s="22">
        <f>SUMIF(tabParametros[Código do Posto],tabCustoUnit[[#This Row],[Código do Posto]],tabParametros[Intervalo para Repouso ou Alimentação])</f>
        <v>0</v>
      </c>
      <c r="BC194" s="22">
        <f>tabCustoUnit[[#This Row],[Intervalo para Repouso ou Alimentação]]</f>
        <v>0</v>
      </c>
      <c r="BD19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4" s="22">
        <f>tabCustoUnit[[#This Row],[Suspensão Temporária do Contrato de Trabalho]]</f>
        <v>0</v>
      </c>
      <c r="BF194" s="22">
        <f>tabCustoUnit[[#This Row],[Submódulo 4.1]]+tabCustoUnit[[#This Row],[Submódulo 4.2]]+tabCustoUnit[[#This Row],[Submódulo 4.3]]</f>
        <v>57.400255827089261</v>
      </c>
      <c r="BG194" s="22">
        <f>VLOOKUP(tabCustoUnit[[#This Row],[Código do Posto]],tabParametros[],MATCH(tabCustoUnit[[#Headers],[Uniformes e EPIs]],tabParametros[#Headers],0),0)</f>
        <v>56.642978962543395</v>
      </c>
      <c r="BH194" s="22">
        <f>VLOOKUP(tabCustoUnit[[#This Row],[Código do Posto]],tabParametros[],MATCH(tabCustoUnit[[#Headers],[Materiais de Consumo]],tabParametros[#Headers],0),0)</f>
        <v>0</v>
      </c>
      <c r="BI194" s="22">
        <f>VLOOKUP(tabCustoUnit[[#This Row],[Código do Posto]],tabParametros[],MATCH(tabCustoUnit[[#Headers],[Máquinas e Equipamentos (depreciação)]],tabParametros[#Headers],0),0)</f>
        <v>0</v>
      </c>
      <c r="BJ194" s="22">
        <f>VLOOKUP(tabCustoUnit[[#This Row],[Código do Posto]],tabParametros[],MATCH(tabCustoUnit[[#Headers],[Produtos de Limpeza e Materiais de Higiene Pessoal]],tabParametros[#Headers],0),0)</f>
        <v>0</v>
      </c>
      <c r="BK194" s="22">
        <f>VLOOKUP(tabCustoUnit[[#This Row],[Código do Posto]],tabParametros[],MATCH(tabCustoUnit[[#Headers],[Outros (especificar)]],tabParametros[#Headers],0),0)</f>
        <v>0</v>
      </c>
      <c r="BL194" s="22">
        <f>SUM(tabCustoUnit[[#This Row],[Uniformes e EPIs]:[Outros (especificar)]])</f>
        <v>56.642978962543395</v>
      </c>
      <c r="BM19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4" s="22" t="e">
        <f ca="1">VLOOKUP(tabCustoUnit[[#This Row],[Código do Posto]],tabParametros[],MATCH(tabCustoUnit[[#Headers],[Custos Indiretos]],tabParametros[#Headers],0),0)</f>
        <v>#NAME?</v>
      </c>
      <c r="BO194" s="22" t="e">
        <f ca="1">VLOOKUP(tabCustoUnit[[#This Row],[Código do Posto]],tabParametros[],MATCH(tabCustoUnit[[#Headers],[Lucro]],tabParametros[#Headers],0),0)</f>
        <v>#NAME?</v>
      </c>
      <c r="BP194" s="26">
        <f>((100/((1-tabCustoUnit[[#This Row],[Resumo de Alíquotas (PIS+CONFINS+ISS)]]))-100)*VLOOKUP(tabCustoUnit[[#This Row],[Código do Posto]],tabParametros[],MATCH(tabCustoUnit[[#Headers],[COFINS]],tabParametros[#Headers],0),0))/(tabCustoUnit[[#This Row],[Resumo de Alíquotas (PIS+CONFINS+ISS)]]*100)</f>
        <v>8.8629737609329504E-2</v>
      </c>
      <c r="BQ194" s="26">
        <f>((100/((100-(tabCustoUnit[[#This Row],[Resumo de Alíquotas (PIS+CONFINS+ISS)]]*100))%)-100)*VLOOKUP(tabCustoUnit[[#This Row],[Código do Posto]],tabParametros[],MATCH(tabCustoUnit[[#Headers],[PIS]],tabParametros[#Headers],0),0))/(tabCustoUnit[[#This Row],[Resumo de Alíquotas (PIS+CONFINS+ISS)]]*100)</f>
        <v>1.9241982507288629E-2</v>
      </c>
      <c r="BR194" s="28">
        <f>VLOOKUP(tabCustoUnit[[#This Row],[Código do Posto]],tabParametros[],MATCH(tabCustoUnit[[#Headers],[ISS]],tabParametros[#Headers],0),0)</f>
        <v>0.05</v>
      </c>
      <c r="BS194" s="26">
        <f>(((100/((100-(tabCustoUnit[[#This Row],[Resumo de Alíquotas (PIS+CONFINS+ISS)]]*100))%)-100)*tabCustoUnit[[#This Row],[ISS]])/tabCustoUnit[[#This Row],[Resumo de Alíquotas (PIS+CONFINS+ISS)]])/100</f>
        <v>5.8309037900874633E-2</v>
      </c>
      <c r="BT19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4" s="138">
        <f>tabCustoUnit[[#This Row],[COFINS]]+tabCustoUnit[[#This Row],[PIS]]+tabCustoUnit[[#This Row],[ISS (Conversão Alíquota s/ fatura)]]</f>
        <v>0.16618075801749277</v>
      </c>
      <c r="BV194" s="22" t="e">
        <f ca="1">(tabCustoUnit[[#This Row],[TOTAL MÓDULOS 1+2+3+4+5]]+tabCustoUnit[[#This Row],[Custos Indiretos]]+tabCustoUnit[[#This Row],[Lucro]])*tabCustoUnit[[#This Row],[PIS + COFINS + ISS (Total Conversão  Alíquota s/ Fatura)]]</f>
        <v>#NAME?</v>
      </c>
      <c r="BW194" s="22" t="e">
        <f ca="1">tabCustoUnit[[#This Row],[Custos Indiretos]]+tabCustoUnit[[#This Row],[Lucro]]+tabCustoUnit[[#This Row],[Valor dos Tributos (ISS, PIS, CONFINS)]]</f>
        <v>#NAME?</v>
      </c>
      <c r="BX194" s="22" t="e">
        <f ca="1">tabCustoUnit[[#This Row],[TOTAL MÓDULOS 1+2+3+4+5]]+tabCustoUnit[[#This Row],[MÓDULO 6 – CUSTOS INDIRETOS, TRIBUTOS E LUCRO]]</f>
        <v>#NAME?</v>
      </c>
      <c r="BY194" s="22" t="e">
        <f ca="1">tabCustoUnit[[#This Row],[CUSTO TOTAL MENSAL]]*12</f>
        <v>#NAME?</v>
      </c>
      <c r="BZ194" s="24">
        <f>VLOOKUP(tabCustoUnit[[#This Row],[Código do Posto]],tabParametros[],MATCH(tabCustoUnit[[#Headers],[ANO DA CCT]],tabParametros[#Headers],0),0)</f>
        <v>45658</v>
      </c>
      <c r="CA194" s="25" t="str">
        <f>VLOOKUP(tabCustoUnit[[#This Row],[Código do Posto]],tabParametros[],MATCH(tabCustoUnit[[#Headers],[Nº DE PEDIDO DA CCT]],tabParametros[#Headers],0),0)</f>
        <v>-</v>
      </c>
      <c r="CB194" s="25" t="str">
        <f>VLOOKUP(tabCustoUnit[[#This Row],[Código do Posto]],tabParametros[],MATCH(tabCustoUnit[[#Headers],[TERMO ADITIVO ALTERAÇÃO DA CCT]],tabParametros[#Headers],0),0)</f>
        <v>-</v>
      </c>
    </row>
    <row r="195" spans="1:80">
      <c r="A195" s="20" t="s">
        <v>1634</v>
      </c>
      <c r="B195" t="s">
        <v>1157</v>
      </c>
      <c r="C195" t="s">
        <v>324</v>
      </c>
      <c r="D195" t="s">
        <v>942</v>
      </c>
      <c r="E195" s="20" t="s">
        <v>1090</v>
      </c>
      <c r="F195" s="20" t="s">
        <v>120</v>
      </c>
      <c r="G195" s="418">
        <v>3397.1305000000002</v>
      </c>
      <c r="H195" s="418">
        <v>0</v>
      </c>
      <c r="I195" s="418">
        <v>0</v>
      </c>
      <c r="J195" s="418">
        <v>0</v>
      </c>
      <c r="K195" s="418">
        <v>0</v>
      </c>
      <c r="L195" s="418">
        <v>0</v>
      </c>
      <c r="M195" s="418">
        <v>0</v>
      </c>
      <c r="N195" s="418">
        <v>0</v>
      </c>
      <c r="O195" s="21">
        <f>SUM(tabCustoUnit[[#This Row],[Salário Base]:[Adicional de Acúmulo de função]])</f>
        <v>3397.1305000000002</v>
      </c>
      <c r="P195" s="21">
        <f>tabCustoUnit[[#This Row],[MODULO 1 - REMUNERAÇÃO ]]*SUMIFS(tabParametros[INSS],tabParametros[Código do Posto],tabCustoUnit[[#This Row],[Código do Posto]])</f>
        <v>679.42610000000013</v>
      </c>
      <c r="Q195" s="21">
        <f>tabCustoUnit[[#This Row],[MODULO 1 - REMUNERAÇÃO ]]*SUMIFS(tabParametros[SESI OU SESC],tabParametros[Código do Posto],tabCustoUnit[[#This Row],[Código do Posto]])</f>
        <v>50.956957500000001</v>
      </c>
      <c r="R195" s="21">
        <f>tabCustoUnit[[#This Row],[MODULO 1 - REMUNERAÇÃO ]]*SUMIFS(tabParametros[SENAI OU SENAC],tabParametros[Código do Posto],tabCustoUnit[[#This Row],[Código do Posto]])</f>
        <v>33.971305000000001</v>
      </c>
      <c r="S195" s="21">
        <f>tabCustoUnit[[#This Row],[MODULO 1 - REMUNERAÇÃO ]]*SUMIFS(tabParametros[INCRA],tabParametros[Código do Posto],tabCustoUnit[[#This Row],[Código do Posto]])</f>
        <v>6.7942610000000005</v>
      </c>
      <c r="T195" s="21">
        <f>tabCustoUnit[[#This Row],[MODULO 1 - REMUNERAÇÃO ]]*SUMIFS(tabParametros[Salário Educação],tabParametros[Código do Posto],tabCustoUnit[[#This Row],[Código do Posto]])</f>
        <v>84.928262500000017</v>
      </c>
      <c r="U195" s="21">
        <f>tabCustoUnit[[#This Row],[MODULO 1 - REMUNERAÇÃO ]]*SUMIFS(tabParametros[FGTS],tabParametros[Código do Posto],tabCustoUnit[[#This Row],[Código do Posto]])</f>
        <v>271.77044000000001</v>
      </c>
      <c r="V195" s="21">
        <f>tabCustoUnit[[#This Row],[MODULO 1 - REMUNERAÇÃO ]]*SUMIFS(tabParametros[RAT Ajustado],tabParametros[Código do Posto],tabCustoUnit[[#This Row],[Código do Posto]])</f>
        <v>135.88522</v>
      </c>
      <c r="W195" s="21">
        <f>tabCustoUnit[[#This Row],[MODULO 1 - REMUNERAÇÃO ]]*SUMIFS(tabParametros[SEBRAE],tabParametros[Código do Posto],tabCustoUnit[[#This Row],[Código do Posto]])</f>
        <v>20.382783000000003</v>
      </c>
      <c r="X195" s="21">
        <f>SUM(tabCustoUnit[[#This Row],[INSS]:[SEBRAE]])</f>
        <v>1284.1153290000002</v>
      </c>
      <c r="Y195" s="21">
        <f>tabCustoUnit[[#This Row],[MODULO 1 - REMUNERAÇÃO ]]*SUMIFS(tabParametros[13º salário (titular)],tabParametros[Código do Posto],tabCustoUnit[[#This Row],[Código do Posto]])</f>
        <v>283.09420833333331</v>
      </c>
      <c r="Z195" s="21">
        <f>tabCustoUnit[[#This Row],[MODULO 1 - REMUNERAÇÃO ]]*SUMIFS(tabParametros[Férias e Adicional de Férias (titular)],tabParametros[Código do Posto],tabCustoUnit[[#This Row],[Código do Posto]])</f>
        <v>377.45894444444446</v>
      </c>
      <c r="AA195" s="21">
        <f>IFERROR((tabCustoUnit[[#This Row],[Submódulo 2.1]]/tabCustoUnit[[#This Row],[MODULO 1 - REMUNERAÇÃO ]])*SUM(tabCustoUnit[[#This Row],[13º salário (titular)]:[Férias e Adicional de Férias (titular)]]),0)</f>
        <v>249.68909175000005</v>
      </c>
      <c r="AB195" s="21">
        <f>SUM(tabCustoUnit[[#This Row],[13º salário (titular)]:[Incidência do Submódulo 2.1 sobre 13º Salário, Férias e Adicional de Férias]])</f>
        <v>910.24224452777776</v>
      </c>
      <c r="AC195" s="22" t="e">
        <f ca="1">_xlfn.LET(_xlpm.VT,SUMIF(tabParametros[Código do Posto],tabCustoUnit[[#This Row],[Código do Posto]],tabParametros[Vale - Transporte])*2*20,
IF((_xlpm.VT-tabCustoUnit[[#This Row],[Salário Base]]*0.06)&gt;=0,(_xlpm.VT-tabCustoUnit[[#This Row],[Salário Base]]*0.06),0)
)</f>
        <v>#NAME?</v>
      </c>
      <c r="AD195" s="22">
        <f>IF(SUMIF(tabParametros[Código do Posto],tabCustoUnit[[#This Row],[Código do Posto]],tabParametros[Vale - Alimentação])&lt;=0,0,
SUMIF(tabParametros[Código do Posto],tabCustoUnit[[#This Row],[Código do Posto]],tabParametros[Vale - Alimentação])*20-1)</f>
        <v>582</v>
      </c>
      <c r="AE195" s="22">
        <f>SUMIF(tabParametros[Código do Posto],tabCustoUnit[[#This Row],[Código do Posto]],tabParametros[Cesta Básica])</f>
        <v>0</v>
      </c>
      <c r="AF195" s="22">
        <f>SUMIF(tabParametros[Código do Posto],tabCustoUnit[[#This Row],[Código do Posto]],tabParametros[PAF])</f>
        <v>51.88</v>
      </c>
      <c r="AG195" s="22">
        <f>SUMIF(tabParametros[Código do Posto],tabCustoUnit[[#This Row],[Código do Posto]],tabParametros[PQM])</f>
        <v>0</v>
      </c>
      <c r="AH195" s="22">
        <f>SUMIF(tabParametros[Código do Posto],tabCustoUnit[[#This Row],[Código do Posto]],tabParametros[Abono Único e Especial])</f>
        <v>0</v>
      </c>
      <c r="AI195" s="22">
        <f>SUMIF(tabParametros[Código do Posto],tabCustoUnit[[#This Row],[Código do Posto]],tabParametros[Seguro de Vida])</f>
        <v>3.36</v>
      </c>
      <c r="AJ195" s="22">
        <f>SUMIF(tabParametros[Código do Posto],tabCustoUnit[[#This Row],[Código do Posto]],tabParametros[Despesas de Viagem])</f>
        <v>0</v>
      </c>
      <c r="AK195" s="22" t="e">
        <f ca="1">SUM(tabCustoUnit[[#This Row],[Vale - Transporte (Descontada parcela do empregado)]:[Despesas de Viagem]])</f>
        <v>#NAME?</v>
      </c>
      <c r="AL195" s="22" t="e">
        <f ca="1">tabCustoUnit[[#This Row],[Submódulo 2.1]]+tabCustoUnit[[#This Row],[Submódulo 2.2]]+tabCustoUnit[[#This Row],[Submódulo 2.3]]</f>
        <v>#NAME?</v>
      </c>
      <c r="AM195" s="22">
        <f>SUMIF(tabParametros[Código do Posto],tabCustoUnit[[#This Row],[Código do Posto]],tabParametros[Aviso Prévio Indenizado (API) e Reflexo do Aviso Prévio Indenizado])*tabCustoUnit[[#This Row],[MODULO 1 - REMUNERAÇÃO ]]</f>
        <v>23.819887450713736</v>
      </c>
      <c r="AN195" s="22">
        <f>SUMIF(tabParametros[Código do Posto],tabCustoUnit[[#This Row],[Código do Posto]],tabParametros[Incidência do FGTS sobre API e Reflexo do API])*tabCustoUnit[[#This Row],[MODULO 1 - REMUNERAÇÃO ]]</f>
        <v>1.9055909960570991</v>
      </c>
      <c r="AO195" s="22">
        <f>SUMIF(tabParametros[Código do Posto],tabCustoUnit[[#This Row],[Código do Posto]],tabParametros[Multa Rescisória do FGTS sobre o Aviso Prévio Indenizado])*tabCustoUnit[[#This Row],[MODULO 1 - REMUNERAÇÃO ]]</f>
        <v>0.76223639842283974</v>
      </c>
      <c r="AP195" s="22">
        <f>SUMIF(tabParametros[Código do Posto],tabCustoUnit[[#This Row],[Código do Posto]],tabParametros[Aviso Prévio Trabalhado - APT])*tabCustoUnit[[#This Row],[MODULO 1 - REMUNERAÇÃO ]]</f>
        <v>11.889956750000003</v>
      </c>
      <c r="AQ195" s="22">
        <f>SUMIF(tabParametros[Código do Posto],tabCustoUnit[[#This Row],[Código do Posto]],tabParametros[Incidência dos encargos do submódulo 2.1 sobre Aviso Prévio Trabalhado])*tabCustoUnit[[#This Row],[MODULO 1 - REMUNERAÇÃO ]]</f>
        <v>4.4944036515000017</v>
      </c>
      <c r="AR195" s="22">
        <f>SUMIF(tabParametros[Código do Posto],tabCustoUnit[[#This Row],[Código do Posto]],tabParametros[Multa Rescisória do FGTS])*tabCustoUnit[[#This Row],[MODULO 1 - REMUNERAÇÃO ]]</f>
        <v>103.87670151111111</v>
      </c>
      <c r="AS195" s="22">
        <f>SUMIF(tabParametros[Código do Posto],tabCustoUnit[[#This Row],[Código do Posto]],tabParametros[Indenização Adicional (Art. 9º da Lei nº 7.238/84)])*tabCustoUnit[[#This Row],[MODULO 1 - REMUNERAÇÃO ]]</f>
        <v>2.8309420833333339</v>
      </c>
      <c r="AT195" s="22">
        <f>SUM(tabCustoUnit[[#This Row],[Aviso Prévio Indenizado (API) e Reflexo do Aviso Prévio Indenizado]:[Indenização Adicional (Art. 9º da Lei nº 7.238/84)]])</f>
        <v>149.57971884113812</v>
      </c>
      <c r="AU195" s="22">
        <f>SUMIF(tabParametros[Código do Posto],tabCustoUnit[[#This Row],[Código do Posto]],tabParametros[Ausência por Doença])*tabCustoUnit[[#This Row],[MODULO 1 - REMUNERAÇÃO ]]</f>
        <v>28.686879777777776</v>
      </c>
      <c r="AV195" s="22">
        <f>SUMIF(tabParametros[Código do Posto],tabCustoUnit[[#This Row],[Código do Posto]],tabParametros[Ausências Legais])*tabCustoUnit[[#This Row],[MODULO 1 - REMUNERAÇÃO ]]</f>
        <v>6.888625736111111</v>
      </c>
      <c r="AW195" s="22">
        <f>SUMIF(tabParametros[Código do Posto],tabCustoUnit[[#This Row],[Código do Posto]],tabParametros[Licença Paternidade])*tabCustoUnit[[#This Row],[MODULO 1 - REMUNERAÇÃO ]]</f>
        <v>0.58034312708333335</v>
      </c>
      <c r="AX195" s="22">
        <f>SUMIF(tabParametros[Código do Posto],tabCustoUnit[[#This Row],[Código do Posto]],tabParametros[Ausência por Acidente de Trabalho])*tabCustoUnit[[#This Row],[MODULO 1 - REMUNERAÇÃO ]]</f>
        <v>0.70773552083333346</v>
      </c>
      <c r="AY195" s="22">
        <f>SUMIF(tabParametros[Código do Posto],tabCustoUnit[[#This Row],[Código do Posto]],tabParametros[Férias, Adicional de Férias e 13º  com empregada em gozo de Licença Maternidade])*tabCustoUnit[[#This Row],[MODULO 1 - REMUNERAÇÃO ]]</f>
        <v>4.4036876851851856</v>
      </c>
      <c r="AZ195" s="22">
        <f>SUMIF(tabParametros[Código do Posto],tabCustoUnit[[#This Row],[Código do Posto]],tabParametros[Incidência do Submódulo 2.1 sobre Ausências Legais])*tabCustoUnit[[#This Row],[MODULO 1 - REMUNERAÇÃO ]]</f>
        <v>15.599028758162504</v>
      </c>
      <c r="BA195" s="22">
        <f>SUM(tabCustoUnit[[#This Row],[Ausência por Doença]:[Incidência do Submódulo 2.1 sobre Ausências Legais]])</f>
        <v>56.866300605153235</v>
      </c>
      <c r="BB195" s="22">
        <f>SUMIF(tabParametros[Código do Posto],tabCustoUnit[[#This Row],[Código do Posto]],tabParametros[Intervalo para Repouso ou Alimentação])</f>
        <v>0</v>
      </c>
      <c r="BC195" s="22">
        <f>tabCustoUnit[[#This Row],[Intervalo para Repouso ou Alimentação]]</f>
        <v>0</v>
      </c>
      <c r="BD19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5" s="22">
        <f>tabCustoUnit[[#This Row],[Suspensão Temporária do Contrato de Trabalho]]</f>
        <v>0</v>
      </c>
      <c r="BF195" s="22">
        <f>tabCustoUnit[[#This Row],[Submódulo 4.1]]+tabCustoUnit[[#This Row],[Submódulo 4.2]]+tabCustoUnit[[#This Row],[Submódulo 4.3]]</f>
        <v>56.866300605153235</v>
      </c>
      <c r="BG195" s="22">
        <f>VLOOKUP(tabCustoUnit[[#This Row],[Código do Posto]],tabParametros[],MATCH(tabCustoUnit[[#Headers],[Uniformes e EPIs]],tabParametros[#Headers],0),0)</f>
        <v>56.642978962543395</v>
      </c>
      <c r="BH195" s="22">
        <f>VLOOKUP(tabCustoUnit[[#This Row],[Código do Posto]],tabParametros[],MATCH(tabCustoUnit[[#Headers],[Materiais de Consumo]],tabParametros[#Headers],0),0)</f>
        <v>0</v>
      </c>
      <c r="BI195" s="22">
        <f>VLOOKUP(tabCustoUnit[[#This Row],[Código do Posto]],tabParametros[],MATCH(tabCustoUnit[[#Headers],[Máquinas e Equipamentos (depreciação)]],tabParametros[#Headers],0),0)</f>
        <v>0</v>
      </c>
      <c r="BJ195" s="22">
        <f>VLOOKUP(tabCustoUnit[[#This Row],[Código do Posto]],tabParametros[],MATCH(tabCustoUnit[[#Headers],[Produtos de Limpeza e Materiais de Higiene Pessoal]],tabParametros[#Headers],0),0)</f>
        <v>0</v>
      </c>
      <c r="BK195" s="22">
        <f>VLOOKUP(tabCustoUnit[[#This Row],[Código do Posto]],tabParametros[],MATCH(tabCustoUnit[[#Headers],[Outros (especificar)]],tabParametros[#Headers],0),0)</f>
        <v>0</v>
      </c>
      <c r="BL195" s="22">
        <f>SUM(tabCustoUnit[[#This Row],[Uniformes e EPIs]:[Outros (especificar)]])</f>
        <v>56.642978962543395</v>
      </c>
      <c r="BM19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5" s="22" t="e">
        <f ca="1">VLOOKUP(tabCustoUnit[[#This Row],[Código do Posto]],tabParametros[],MATCH(tabCustoUnit[[#Headers],[Custos Indiretos]],tabParametros[#Headers],0),0)</f>
        <v>#NAME?</v>
      </c>
      <c r="BO195" s="22" t="e">
        <f ca="1">VLOOKUP(tabCustoUnit[[#This Row],[Código do Posto]],tabParametros[],MATCH(tabCustoUnit[[#Headers],[Lucro]],tabParametros[#Headers],0),0)</f>
        <v>#NAME?</v>
      </c>
      <c r="BP195" s="26">
        <f>((100/((1-tabCustoUnit[[#This Row],[Resumo de Alíquotas (PIS+CONFINS+ISS)]]))-100)*VLOOKUP(tabCustoUnit[[#This Row],[Código do Posto]],tabParametros[],MATCH(tabCustoUnit[[#Headers],[COFINS]],tabParametros[#Headers],0),0))/(tabCustoUnit[[#This Row],[Resumo de Alíquotas (PIS+CONFINS+ISS)]]*100)</f>
        <v>8.5633802816901458E-2</v>
      </c>
      <c r="BQ195" s="26">
        <f>((100/((100-(tabCustoUnit[[#This Row],[Resumo de Alíquotas (PIS+CONFINS+ISS)]]*100))%)-100)*VLOOKUP(tabCustoUnit[[#This Row],[Código do Posto]],tabParametros[],MATCH(tabCustoUnit[[#Headers],[PIS]],tabParametros[#Headers],0),0))/(tabCustoUnit[[#This Row],[Resumo de Alíquotas (PIS+CONFINS+ISS)]]*100)</f>
        <v>1.8591549295774657E-2</v>
      </c>
      <c r="BR195" s="28">
        <f>VLOOKUP(tabCustoUnit[[#This Row],[Código do Posto]],tabParametros[],MATCH(tabCustoUnit[[#Headers],[ISS]],tabParametros[#Headers],0),0)</f>
        <v>0.02</v>
      </c>
      <c r="BS195" s="26">
        <f>(((100/((100-(tabCustoUnit[[#This Row],[Resumo de Alíquotas (PIS+CONFINS+ISS)]]*100))%)-100)*tabCustoUnit[[#This Row],[ISS]])/tabCustoUnit[[#This Row],[Resumo de Alíquotas (PIS+CONFINS+ISS)]])/100</f>
        <v>2.2535211267605645E-2</v>
      </c>
      <c r="BT19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95" s="138">
        <f>tabCustoUnit[[#This Row],[COFINS]]+tabCustoUnit[[#This Row],[PIS]]+tabCustoUnit[[#This Row],[ISS (Conversão Alíquota s/ fatura)]]</f>
        <v>0.12676056338028174</v>
      </c>
      <c r="BV195" s="22" t="e">
        <f ca="1">(tabCustoUnit[[#This Row],[TOTAL MÓDULOS 1+2+3+4+5]]+tabCustoUnit[[#This Row],[Custos Indiretos]]+tabCustoUnit[[#This Row],[Lucro]])*tabCustoUnit[[#This Row],[PIS + COFINS + ISS (Total Conversão  Alíquota s/ Fatura)]]</f>
        <v>#NAME?</v>
      </c>
      <c r="BW195" s="22" t="e">
        <f ca="1">tabCustoUnit[[#This Row],[Custos Indiretos]]+tabCustoUnit[[#This Row],[Lucro]]+tabCustoUnit[[#This Row],[Valor dos Tributos (ISS, PIS, CONFINS)]]</f>
        <v>#NAME?</v>
      </c>
      <c r="BX195" s="22" t="e">
        <f ca="1">tabCustoUnit[[#This Row],[TOTAL MÓDULOS 1+2+3+4+5]]+tabCustoUnit[[#This Row],[MÓDULO 6 – CUSTOS INDIRETOS, TRIBUTOS E LUCRO]]</f>
        <v>#NAME?</v>
      </c>
      <c r="BY195" s="22" t="e">
        <f ca="1">tabCustoUnit[[#This Row],[CUSTO TOTAL MENSAL]]*12</f>
        <v>#NAME?</v>
      </c>
      <c r="BZ195" s="24">
        <f>VLOOKUP(tabCustoUnit[[#This Row],[Código do Posto]],tabParametros[],MATCH(tabCustoUnit[[#Headers],[ANO DA CCT]],tabParametros[#Headers],0),0)</f>
        <v>45658</v>
      </c>
      <c r="CA195" s="25" t="str">
        <f>VLOOKUP(tabCustoUnit[[#This Row],[Código do Posto]],tabParametros[],MATCH(tabCustoUnit[[#Headers],[Nº DE PEDIDO DA CCT]],tabParametros[#Headers],0),0)</f>
        <v>-</v>
      </c>
      <c r="CB195" s="25" t="str">
        <f>VLOOKUP(tabCustoUnit[[#This Row],[Código do Posto]],tabParametros[],MATCH(tabCustoUnit[[#Headers],[TERMO ADITIVO ALTERAÇÃO DA CCT]],tabParametros[#Headers],0),0)</f>
        <v>-</v>
      </c>
    </row>
    <row r="196" spans="1:80">
      <c r="A196" s="20" t="s">
        <v>1635</v>
      </c>
      <c r="B196" t="s">
        <v>1158</v>
      </c>
      <c r="C196" t="s">
        <v>314</v>
      </c>
      <c r="D196" t="s">
        <v>1058</v>
      </c>
      <c r="E196" s="20" t="s">
        <v>1090</v>
      </c>
      <c r="F196" s="20" t="s">
        <v>120</v>
      </c>
      <c r="G196" s="418">
        <v>2134.8035</v>
      </c>
      <c r="H196" s="418">
        <v>0</v>
      </c>
      <c r="I196" s="418">
        <v>0</v>
      </c>
      <c r="J196" s="418">
        <v>0</v>
      </c>
      <c r="K196" s="418">
        <v>0</v>
      </c>
      <c r="L196" s="418">
        <v>0</v>
      </c>
      <c r="M196" s="418">
        <v>0</v>
      </c>
      <c r="N196" s="418">
        <v>0</v>
      </c>
      <c r="O196" s="21">
        <f>SUM(tabCustoUnit[[#This Row],[Salário Base]:[Adicional de Acúmulo de função]])</f>
        <v>2134.8035</v>
      </c>
      <c r="P196" s="21">
        <f>tabCustoUnit[[#This Row],[MODULO 1 - REMUNERAÇÃO ]]*SUMIFS(tabParametros[INSS],tabParametros[Código do Posto],tabCustoUnit[[#This Row],[Código do Posto]])</f>
        <v>426.96070000000003</v>
      </c>
      <c r="Q196" s="21">
        <f>tabCustoUnit[[#This Row],[MODULO 1 - REMUNERAÇÃO ]]*SUMIFS(tabParametros[SESI OU SESC],tabParametros[Código do Posto],tabCustoUnit[[#This Row],[Código do Posto]])</f>
        <v>32.022052500000001</v>
      </c>
      <c r="R196" s="21">
        <f>tabCustoUnit[[#This Row],[MODULO 1 - REMUNERAÇÃO ]]*SUMIFS(tabParametros[SENAI OU SENAC],tabParametros[Código do Posto],tabCustoUnit[[#This Row],[Código do Posto]])</f>
        <v>21.348034999999999</v>
      </c>
      <c r="S196" s="21">
        <f>tabCustoUnit[[#This Row],[MODULO 1 - REMUNERAÇÃO ]]*SUMIFS(tabParametros[INCRA],tabParametros[Código do Posto],tabCustoUnit[[#This Row],[Código do Posto]])</f>
        <v>4.2696069999999997</v>
      </c>
      <c r="T196" s="21">
        <f>tabCustoUnit[[#This Row],[MODULO 1 - REMUNERAÇÃO ]]*SUMIFS(tabParametros[Salário Educação],tabParametros[Código do Posto],tabCustoUnit[[#This Row],[Código do Posto]])</f>
        <v>53.370087500000004</v>
      </c>
      <c r="U196" s="21">
        <f>tabCustoUnit[[#This Row],[MODULO 1 - REMUNERAÇÃO ]]*SUMIFS(tabParametros[FGTS],tabParametros[Código do Posto],tabCustoUnit[[#This Row],[Código do Posto]])</f>
        <v>170.78428</v>
      </c>
      <c r="V196" s="21">
        <f>tabCustoUnit[[#This Row],[MODULO 1 - REMUNERAÇÃO ]]*SUMIFS(tabParametros[RAT Ajustado],tabParametros[Código do Posto],tabCustoUnit[[#This Row],[Código do Posto]])</f>
        <v>85.392139999999998</v>
      </c>
      <c r="W196" s="21">
        <f>tabCustoUnit[[#This Row],[MODULO 1 - REMUNERAÇÃO ]]*SUMIFS(tabParametros[SEBRAE],tabParametros[Código do Posto],tabCustoUnit[[#This Row],[Código do Posto]])</f>
        <v>12.808821</v>
      </c>
      <c r="X196" s="21">
        <f>SUM(tabCustoUnit[[#This Row],[INSS]:[SEBRAE]])</f>
        <v>806.95572300000003</v>
      </c>
      <c r="Y196" s="21">
        <f>tabCustoUnit[[#This Row],[MODULO 1 - REMUNERAÇÃO ]]*SUMIFS(tabParametros[13º salário (titular)],tabParametros[Código do Posto],tabCustoUnit[[#This Row],[Código do Posto]])</f>
        <v>177.90029166666665</v>
      </c>
      <c r="Z196" s="21">
        <f>tabCustoUnit[[#This Row],[MODULO 1 - REMUNERAÇÃO ]]*SUMIFS(tabParametros[Férias e Adicional de Férias (titular)],tabParametros[Código do Posto],tabCustoUnit[[#This Row],[Código do Posto]])</f>
        <v>237.20038888888888</v>
      </c>
      <c r="AA196" s="21">
        <f>IFERROR((tabCustoUnit[[#This Row],[Submódulo 2.1]]/tabCustoUnit[[#This Row],[MODULO 1 - REMUNERAÇÃO ]])*SUM(tabCustoUnit[[#This Row],[13º salário (titular)]:[Férias e Adicional de Férias (titular)]]),0)</f>
        <v>156.90805724999998</v>
      </c>
      <c r="AB196" s="21">
        <f>SUM(tabCustoUnit[[#This Row],[13º salário (titular)]:[Incidência do Submódulo 2.1 sobre 13º Salário, Férias e Adicional de Férias]])</f>
        <v>572.00873780555548</v>
      </c>
      <c r="AC196" s="22" t="e">
        <f ca="1">_xlfn.LET(_xlpm.VT,SUMIF(tabParametros[Código do Posto],tabCustoUnit[[#This Row],[Código do Posto]],tabParametros[Vale - Transporte])*2*20,
IF((_xlpm.VT-tabCustoUnit[[#This Row],[Salário Base]]*0.06)&gt;=0,(_xlpm.VT-tabCustoUnit[[#This Row],[Salário Base]]*0.06),0)
)</f>
        <v>#NAME?</v>
      </c>
      <c r="AD196" s="22">
        <f>IF(SUMIF(tabParametros[Código do Posto],tabCustoUnit[[#This Row],[Código do Posto]],tabParametros[Vale - Alimentação])&lt;=0,0,
SUMIF(tabParametros[Código do Posto],tabCustoUnit[[#This Row],[Código do Posto]],tabParametros[Vale - Alimentação])*20-1)</f>
        <v>582</v>
      </c>
      <c r="AE196" s="22">
        <f>SUMIF(tabParametros[Código do Posto],tabCustoUnit[[#This Row],[Código do Posto]],tabParametros[Cesta Básica])</f>
        <v>0</v>
      </c>
      <c r="AF196" s="22">
        <f>SUMIF(tabParametros[Código do Posto],tabCustoUnit[[#This Row],[Código do Posto]],tabParametros[PAF])</f>
        <v>77.25</v>
      </c>
      <c r="AG196" s="22">
        <f>SUMIF(tabParametros[Código do Posto],tabCustoUnit[[#This Row],[Código do Posto]],tabParametros[PQM])</f>
        <v>0</v>
      </c>
      <c r="AH196" s="22">
        <f>SUMIF(tabParametros[Código do Posto],tabCustoUnit[[#This Row],[Código do Posto]],tabParametros[Abono Único e Especial])</f>
        <v>0</v>
      </c>
      <c r="AI196" s="22">
        <f>SUMIF(tabParametros[Código do Posto],tabCustoUnit[[#This Row],[Código do Posto]],tabParametros[Seguro de Vida])</f>
        <v>3.36</v>
      </c>
      <c r="AJ196" s="22">
        <f>SUMIF(tabParametros[Código do Posto],tabCustoUnit[[#This Row],[Código do Posto]],tabParametros[Despesas de Viagem])</f>
        <v>0</v>
      </c>
      <c r="AK196" s="22" t="e">
        <f ca="1">SUM(tabCustoUnit[[#This Row],[Vale - Transporte (Descontada parcela do empregado)]:[Despesas de Viagem]])</f>
        <v>#NAME?</v>
      </c>
      <c r="AL196" s="22" t="e">
        <f ca="1">tabCustoUnit[[#This Row],[Submódulo 2.1]]+tabCustoUnit[[#This Row],[Submódulo 2.2]]+tabCustoUnit[[#This Row],[Submódulo 2.3]]</f>
        <v>#NAME?</v>
      </c>
      <c r="AM196" s="22">
        <f>SUMIF(tabParametros[Código do Posto],tabCustoUnit[[#This Row],[Código do Posto]],tabParametros[Aviso Prévio Indenizado (API) e Reflexo do Aviso Prévio Indenizado])*tabCustoUnit[[#This Row],[MODULO 1 - REMUNERAÇÃO ]]</f>
        <v>14.968744680073302</v>
      </c>
      <c r="AN196" s="22">
        <f>SUMIF(tabParametros[Código do Posto],tabCustoUnit[[#This Row],[Código do Posto]],tabParametros[Incidência do FGTS sobre API e Reflexo do API])*tabCustoUnit[[#This Row],[MODULO 1 - REMUNERAÇÃO ]]</f>
        <v>1.1974995744058643</v>
      </c>
      <c r="AO196" s="22">
        <f>SUMIF(tabParametros[Código do Posto],tabCustoUnit[[#This Row],[Código do Posto]],tabParametros[Multa Rescisória do FGTS sobre o Aviso Prévio Indenizado])*tabCustoUnit[[#This Row],[MODULO 1 - REMUNERAÇÃO ]]</f>
        <v>0.47899982976234579</v>
      </c>
      <c r="AP196" s="22">
        <f>SUMIF(tabParametros[Código do Posto],tabCustoUnit[[#This Row],[Código do Posto]],tabParametros[Aviso Prévio Trabalhado - APT])*tabCustoUnit[[#This Row],[MODULO 1 - REMUNERAÇÃO ]]</f>
        <v>7.471812250000001</v>
      </c>
      <c r="AQ196" s="22">
        <f>SUMIF(tabParametros[Código do Posto],tabCustoUnit[[#This Row],[Código do Posto]],tabParametros[Incidência dos encargos do submódulo 2.1 sobre Aviso Prévio Trabalhado])*tabCustoUnit[[#This Row],[MODULO 1 - REMUNERAÇÃO ]]</f>
        <v>2.8243450305000009</v>
      </c>
      <c r="AR196" s="22">
        <f>SUMIF(tabParametros[Código do Posto],tabCustoUnit[[#This Row],[Código do Posto]],tabParametros[Multa Rescisória do FGTS])*tabCustoUnit[[#This Row],[MODULO 1 - REMUNERAÇÃO ]]</f>
        <v>65.277547022222208</v>
      </c>
      <c r="AS196" s="22">
        <f>SUMIF(tabParametros[Código do Posto],tabCustoUnit[[#This Row],[Código do Posto]],tabParametros[Indenização Adicional (Art. 9º da Lei nº 7.238/84)])*tabCustoUnit[[#This Row],[MODULO 1 - REMUNERAÇÃO ]]</f>
        <v>1.7790029166666668</v>
      </c>
      <c r="AT196" s="22">
        <f>SUM(tabCustoUnit[[#This Row],[Aviso Prévio Indenizado (API) e Reflexo do Aviso Prévio Indenizado]:[Indenização Adicional (Art. 9º da Lei nº 7.238/84)]])</f>
        <v>93.997951303630387</v>
      </c>
      <c r="AU196" s="22">
        <f>SUMIF(tabParametros[Código do Posto],tabCustoUnit[[#This Row],[Código do Posto]],tabParametros[Ausência por Doença])*tabCustoUnit[[#This Row],[MODULO 1 - REMUNERAÇÃO ]]</f>
        <v>18.027229555555554</v>
      </c>
      <c r="AV196" s="22">
        <f>SUMIF(tabParametros[Código do Posto],tabCustoUnit[[#This Row],[Código do Posto]],tabParametros[Ausências Legais])*tabCustoUnit[[#This Row],[MODULO 1 - REMUNERAÇÃO ]]</f>
        <v>4.3289070972222223</v>
      </c>
      <c r="AW196" s="22">
        <f>SUMIF(tabParametros[Código do Posto],tabCustoUnit[[#This Row],[Código do Posto]],tabParametros[Licença Paternidade])*tabCustoUnit[[#This Row],[MODULO 1 - REMUNERAÇÃO ]]</f>
        <v>0.36469559791666667</v>
      </c>
      <c r="AX196" s="22">
        <f>SUMIF(tabParametros[Código do Posto],tabCustoUnit[[#This Row],[Código do Posto]],tabParametros[Ausência por Acidente de Trabalho])*tabCustoUnit[[#This Row],[MODULO 1 - REMUNERAÇÃO ]]</f>
        <v>0.44475072916666669</v>
      </c>
      <c r="AY196" s="22">
        <f>SUMIF(tabParametros[Código do Posto],tabCustoUnit[[#This Row],[Código do Posto]],tabParametros[Férias, Adicional de Férias e 13º  com empregada em gozo de Licença Maternidade])*tabCustoUnit[[#This Row],[MODULO 1 - REMUNERAÇÃO ]]</f>
        <v>2.7673378703703704</v>
      </c>
      <c r="AZ196" s="22">
        <f>SUMIF(tabParametros[Código do Posto],tabCustoUnit[[#This Row],[Código do Posto]],tabParametros[Incidência do Submódulo 2.1 sobre Ausências Legais])*tabCustoUnit[[#This Row],[MODULO 1 - REMUNERAÇÃO ]]</f>
        <v>9.802644081387502</v>
      </c>
      <c r="BA196" s="22">
        <f>SUM(tabCustoUnit[[#This Row],[Ausência por Doença]:[Incidência do Submódulo 2.1 sobre Ausências Legais]])</f>
        <v>35.735564931618981</v>
      </c>
      <c r="BB196" s="22">
        <f>SUMIF(tabParametros[Código do Posto],tabCustoUnit[[#This Row],[Código do Posto]],tabParametros[Intervalo para Repouso ou Alimentação])</f>
        <v>291.10956680899955</v>
      </c>
      <c r="BC196" s="22">
        <f>tabCustoUnit[[#This Row],[Intervalo para Repouso ou Alimentação]]</f>
        <v>291.10956680899955</v>
      </c>
      <c r="BD19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6" s="22">
        <f>tabCustoUnit[[#This Row],[Suspensão Temporária do Contrato de Trabalho]]</f>
        <v>0</v>
      </c>
      <c r="BF196" s="22">
        <f>tabCustoUnit[[#This Row],[Submódulo 4.1]]+tabCustoUnit[[#This Row],[Submódulo 4.2]]+tabCustoUnit[[#This Row],[Submódulo 4.3]]</f>
        <v>326.84513174061851</v>
      </c>
      <c r="BG196" s="22">
        <f>VLOOKUP(tabCustoUnit[[#This Row],[Código do Posto]],tabParametros[],MATCH(tabCustoUnit[[#Headers],[Uniformes e EPIs]],tabParametros[#Headers],0),0)</f>
        <v>56.642978962543395</v>
      </c>
      <c r="BH196" s="22">
        <f>VLOOKUP(tabCustoUnit[[#This Row],[Código do Posto]],tabParametros[],MATCH(tabCustoUnit[[#Headers],[Materiais de Consumo]],tabParametros[#Headers],0),0)</f>
        <v>0</v>
      </c>
      <c r="BI196" s="22">
        <f>VLOOKUP(tabCustoUnit[[#This Row],[Código do Posto]],tabParametros[],MATCH(tabCustoUnit[[#Headers],[Máquinas e Equipamentos (depreciação)]],tabParametros[#Headers],0),0)</f>
        <v>0</v>
      </c>
      <c r="BJ196" s="22">
        <f>VLOOKUP(tabCustoUnit[[#This Row],[Código do Posto]],tabParametros[],MATCH(tabCustoUnit[[#Headers],[Produtos de Limpeza e Materiais de Higiene Pessoal]],tabParametros[#Headers],0),0)</f>
        <v>0</v>
      </c>
      <c r="BK196" s="22">
        <f>VLOOKUP(tabCustoUnit[[#This Row],[Código do Posto]],tabParametros[],MATCH(tabCustoUnit[[#Headers],[Outros (especificar)]],tabParametros[#Headers],0),0)</f>
        <v>0</v>
      </c>
      <c r="BL196" s="22">
        <f>SUM(tabCustoUnit[[#This Row],[Uniformes e EPIs]:[Outros (especificar)]])</f>
        <v>56.642978962543395</v>
      </c>
      <c r="BM19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6" s="22" t="e">
        <f ca="1">VLOOKUP(tabCustoUnit[[#This Row],[Código do Posto]],tabParametros[],MATCH(tabCustoUnit[[#Headers],[Custos Indiretos]],tabParametros[#Headers],0),0)</f>
        <v>#NAME?</v>
      </c>
      <c r="BO196" s="22" t="e">
        <f ca="1">VLOOKUP(tabCustoUnit[[#This Row],[Código do Posto]],tabParametros[],MATCH(tabCustoUnit[[#Headers],[Lucro]],tabParametros[#Headers],0),0)</f>
        <v>#NAME?</v>
      </c>
      <c r="BP196" s="26">
        <f>((100/((1-tabCustoUnit[[#This Row],[Resumo de Alíquotas (PIS+CONFINS+ISS)]]))-100)*VLOOKUP(tabCustoUnit[[#This Row],[Código do Posto]],tabParametros[],MATCH(tabCustoUnit[[#Headers],[COFINS]],tabParametros[#Headers],0),0))/(tabCustoUnit[[#This Row],[Resumo de Alíquotas (PIS+CONFINS+ISS)]]*100)</f>
        <v>8.8629737609329504E-2</v>
      </c>
      <c r="BQ196" s="26">
        <f>((100/((100-(tabCustoUnit[[#This Row],[Resumo de Alíquotas (PIS+CONFINS+ISS)]]*100))%)-100)*VLOOKUP(tabCustoUnit[[#This Row],[Código do Posto]],tabParametros[],MATCH(tabCustoUnit[[#Headers],[PIS]],tabParametros[#Headers],0),0))/(tabCustoUnit[[#This Row],[Resumo de Alíquotas (PIS+CONFINS+ISS)]]*100)</f>
        <v>1.9241982507288629E-2</v>
      </c>
      <c r="BR196" s="28">
        <f>VLOOKUP(tabCustoUnit[[#This Row],[Código do Posto]],tabParametros[],MATCH(tabCustoUnit[[#Headers],[ISS]],tabParametros[#Headers],0),0)</f>
        <v>0.05</v>
      </c>
      <c r="BS196" s="26">
        <f>(((100/((100-(tabCustoUnit[[#This Row],[Resumo de Alíquotas (PIS+CONFINS+ISS)]]*100))%)-100)*tabCustoUnit[[#This Row],[ISS]])/tabCustoUnit[[#This Row],[Resumo de Alíquotas (PIS+CONFINS+ISS)]])/100</f>
        <v>5.8309037900874633E-2</v>
      </c>
      <c r="BT19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6" s="138">
        <f>tabCustoUnit[[#This Row],[COFINS]]+tabCustoUnit[[#This Row],[PIS]]+tabCustoUnit[[#This Row],[ISS (Conversão Alíquota s/ fatura)]]</f>
        <v>0.16618075801749277</v>
      </c>
      <c r="BV196" s="22" t="e">
        <f ca="1">(tabCustoUnit[[#This Row],[TOTAL MÓDULOS 1+2+3+4+5]]+tabCustoUnit[[#This Row],[Custos Indiretos]]+tabCustoUnit[[#This Row],[Lucro]])*tabCustoUnit[[#This Row],[PIS + COFINS + ISS (Total Conversão  Alíquota s/ Fatura)]]</f>
        <v>#NAME?</v>
      </c>
      <c r="BW196" s="22" t="e">
        <f ca="1">tabCustoUnit[[#This Row],[Custos Indiretos]]+tabCustoUnit[[#This Row],[Lucro]]+tabCustoUnit[[#This Row],[Valor dos Tributos (ISS, PIS, CONFINS)]]</f>
        <v>#NAME?</v>
      </c>
      <c r="BX196" s="22" t="e">
        <f ca="1">tabCustoUnit[[#This Row],[TOTAL MÓDULOS 1+2+3+4+5]]+tabCustoUnit[[#This Row],[MÓDULO 6 – CUSTOS INDIRETOS, TRIBUTOS E LUCRO]]</f>
        <v>#NAME?</v>
      </c>
      <c r="BY196" s="22" t="e">
        <f ca="1">tabCustoUnit[[#This Row],[CUSTO TOTAL MENSAL]]*12</f>
        <v>#NAME?</v>
      </c>
      <c r="BZ196" s="24">
        <f>VLOOKUP(tabCustoUnit[[#This Row],[Código do Posto]],tabParametros[],MATCH(tabCustoUnit[[#Headers],[ANO DA CCT]],tabParametros[#Headers],0),0)</f>
        <v>45658</v>
      </c>
      <c r="CA196" s="25" t="str">
        <f>VLOOKUP(tabCustoUnit[[#This Row],[Código do Posto]],tabParametros[],MATCH(tabCustoUnit[[#Headers],[Nº DE PEDIDO DA CCT]],tabParametros[#Headers],0),0)</f>
        <v>-</v>
      </c>
      <c r="CB196" s="25" t="str">
        <f>VLOOKUP(tabCustoUnit[[#This Row],[Código do Posto]],tabParametros[],MATCH(tabCustoUnit[[#Headers],[TERMO ADITIVO ALTERAÇÃO DA CCT]],tabParametros[#Headers],0),0)</f>
        <v>-</v>
      </c>
    </row>
    <row r="197" spans="1:80">
      <c r="A197" s="20" t="s">
        <v>1487</v>
      </c>
      <c r="B197" t="s">
        <v>1159</v>
      </c>
      <c r="C197" t="s">
        <v>200</v>
      </c>
      <c r="D197" t="s">
        <v>961</v>
      </c>
      <c r="E197" s="20" t="s">
        <v>1090</v>
      </c>
      <c r="F197" s="20" t="s">
        <v>120</v>
      </c>
      <c r="G197" s="418">
        <v>1596.2737999999999</v>
      </c>
      <c r="H197" s="418">
        <v>0</v>
      </c>
      <c r="I197" s="418">
        <v>0</v>
      </c>
      <c r="J197" s="418">
        <v>0</v>
      </c>
      <c r="K197" s="418">
        <v>0</v>
      </c>
      <c r="L197" s="418">
        <v>0</v>
      </c>
      <c r="M197" s="418">
        <v>0</v>
      </c>
      <c r="N197" s="418">
        <v>0</v>
      </c>
      <c r="O197" s="21">
        <f>SUM(tabCustoUnit[[#This Row],[Salário Base]:[Adicional de Acúmulo de função]])</f>
        <v>1596.2737999999999</v>
      </c>
      <c r="P197" s="21">
        <f>tabCustoUnit[[#This Row],[MODULO 1 - REMUNERAÇÃO ]]*SUMIFS(tabParametros[INSS],tabParametros[Código do Posto],tabCustoUnit[[#This Row],[Código do Posto]])</f>
        <v>319.25476000000003</v>
      </c>
      <c r="Q197" s="21">
        <f>tabCustoUnit[[#This Row],[MODULO 1 - REMUNERAÇÃO ]]*SUMIFS(tabParametros[SESI OU SESC],tabParametros[Código do Posto],tabCustoUnit[[#This Row],[Código do Posto]])</f>
        <v>23.944106999999999</v>
      </c>
      <c r="R197" s="21">
        <f>tabCustoUnit[[#This Row],[MODULO 1 - REMUNERAÇÃO ]]*SUMIFS(tabParametros[SENAI OU SENAC],tabParametros[Código do Posto],tabCustoUnit[[#This Row],[Código do Posto]])</f>
        <v>15.962738</v>
      </c>
      <c r="S197" s="21">
        <f>tabCustoUnit[[#This Row],[MODULO 1 - REMUNERAÇÃO ]]*SUMIFS(tabParametros[INCRA],tabParametros[Código do Posto],tabCustoUnit[[#This Row],[Código do Posto]])</f>
        <v>3.1925476000000002</v>
      </c>
      <c r="T197" s="21">
        <f>tabCustoUnit[[#This Row],[MODULO 1 - REMUNERAÇÃO ]]*SUMIFS(tabParametros[Salário Educação],tabParametros[Código do Posto],tabCustoUnit[[#This Row],[Código do Posto]])</f>
        <v>39.906845000000004</v>
      </c>
      <c r="U197" s="21">
        <f>tabCustoUnit[[#This Row],[MODULO 1 - REMUNERAÇÃO ]]*SUMIFS(tabParametros[FGTS],tabParametros[Código do Posto],tabCustoUnit[[#This Row],[Código do Posto]])</f>
        <v>127.701904</v>
      </c>
      <c r="V197" s="21">
        <f>tabCustoUnit[[#This Row],[MODULO 1 - REMUNERAÇÃO ]]*SUMIFS(tabParametros[RAT Ajustado],tabParametros[Código do Posto],tabCustoUnit[[#This Row],[Código do Posto]])</f>
        <v>63.850951999999999</v>
      </c>
      <c r="W197" s="21">
        <f>tabCustoUnit[[#This Row],[MODULO 1 - REMUNERAÇÃO ]]*SUMIFS(tabParametros[SEBRAE],tabParametros[Código do Posto],tabCustoUnit[[#This Row],[Código do Posto]])</f>
        <v>9.5776427999999996</v>
      </c>
      <c r="X197" s="21">
        <f>SUM(tabCustoUnit[[#This Row],[INSS]:[SEBRAE]])</f>
        <v>603.39149640000005</v>
      </c>
      <c r="Y197" s="21">
        <f>tabCustoUnit[[#This Row],[MODULO 1 - REMUNERAÇÃO ]]*SUMIFS(tabParametros[13º salário (titular)],tabParametros[Código do Posto],tabCustoUnit[[#This Row],[Código do Posto]])</f>
        <v>133.02281666666664</v>
      </c>
      <c r="Z197" s="21">
        <f>tabCustoUnit[[#This Row],[MODULO 1 - REMUNERAÇÃO ]]*SUMIFS(tabParametros[Férias e Adicional de Férias (titular)],tabParametros[Código do Posto],tabCustoUnit[[#This Row],[Código do Posto]])</f>
        <v>177.36375555555554</v>
      </c>
      <c r="AA197" s="21">
        <f>IFERROR((tabCustoUnit[[#This Row],[Submódulo 2.1]]/tabCustoUnit[[#This Row],[MODULO 1 - REMUNERAÇÃO ]])*SUM(tabCustoUnit[[#This Row],[13º salário (titular)]:[Férias e Adicional de Férias (titular)]]),0)</f>
        <v>117.3261243</v>
      </c>
      <c r="AB197" s="21">
        <f>SUM(tabCustoUnit[[#This Row],[13º salário (titular)]:[Incidência do Submódulo 2.1 sobre 13º Salário, Férias e Adicional de Férias]])</f>
        <v>427.71269652222219</v>
      </c>
      <c r="AC197" s="22" t="e">
        <f ca="1">_xlfn.LET(_xlpm.VT,SUMIF(tabParametros[Código do Posto],tabCustoUnit[[#This Row],[Código do Posto]],tabParametros[Vale - Transporte])*2*20,
IF((_xlpm.VT-tabCustoUnit[[#This Row],[Salário Base]]*0.06)&gt;=0,(_xlpm.VT-tabCustoUnit[[#This Row],[Salário Base]]*0.06),0)
)</f>
        <v>#NAME?</v>
      </c>
      <c r="AD197" s="22">
        <f>IF(SUMIF(tabParametros[Código do Posto],tabCustoUnit[[#This Row],[Código do Posto]],tabParametros[Vale - Alimentação])&lt;=0,0,
SUMIF(tabParametros[Código do Posto],tabCustoUnit[[#This Row],[Código do Posto]],tabParametros[Vale - Alimentação])*20-1)</f>
        <v>582</v>
      </c>
      <c r="AE197" s="22">
        <f>SUMIF(tabParametros[Código do Posto],tabCustoUnit[[#This Row],[Código do Posto]],tabParametros[Cesta Básica])</f>
        <v>0</v>
      </c>
      <c r="AF197" s="22">
        <f>SUMIF(tabParametros[Código do Posto],tabCustoUnit[[#This Row],[Código do Posto]],tabParametros[PAF])</f>
        <v>53.27</v>
      </c>
      <c r="AG197" s="22">
        <f>SUMIF(tabParametros[Código do Posto],tabCustoUnit[[#This Row],[Código do Posto]],tabParametros[PQM])</f>
        <v>0</v>
      </c>
      <c r="AH197" s="22">
        <f>SUMIF(tabParametros[Código do Posto],tabCustoUnit[[#This Row],[Código do Posto]],tabParametros[Abono Único e Especial])</f>
        <v>0</v>
      </c>
      <c r="AI197" s="22">
        <f>SUMIF(tabParametros[Código do Posto],tabCustoUnit[[#This Row],[Código do Posto]],tabParametros[Seguro de Vida])</f>
        <v>3.36</v>
      </c>
      <c r="AJ197" s="22">
        <f>SUMIF(tabParametros[Código do Posto],tabCustoUnit[[#This Row],[Código do Posto]],tabParametros[Despesas de Viagem])</f>
        <v>0</v>
      </c>
      <c r="AK197" s="22" t="e">
        <f ca="1">SUM(tabCustoUnit[[#This Row],[Vale - Transporte (Descontada parcela do empregado)]:[Despesas de Viagem]])</f>
        <v>#NAME?</v>
      </c>
      <c r="AL197" s="22" t="e">
        <f ca="1">tabCustoUnit[[#This Row],[Submódulo 2.1]]+tabCustoUnit[[#This Row],[Submódulo 2.2]]+tabCustoUnit[[#This Row],[Submódulo 2.3]]</f>
        <v>#NAME?</v>
      </c>
      <c r="AM197" s="22">
        <f>SUMIF(tabParametros[Código do Posto],tabCustoUnit[[#This Row],[Código do Posto]],tabParametros[Aviso Prévio Indenizado (API) e Reflexo do Aviso Prévio Indenizado])*tabCustoUnit[[#This Row],[MODULO 1 - REMUNERAÇÃO ]]</f>
        <v>11.192699914390431</v>
      </c>
      <c r="AN197" s="22">
        <f>SUMIF(tabParametros[Código do Posto],tabCustoUnit[[#This Row],[Código do Posto]],tabParametros[Incidência do FGTS sobre API e Reflexo do API])*tabCustoUnit[[#This Row],[MODULO 1 - REMUNERAÇÃO ]]</f>
        <v>0.89541599315123466</v>
      </c>
      <c r="AO197" s="22">
        <f>SUMIF(tabParametros[Código do Posto],tabCustoUnit[[#This Row],[Código do Posto]],tabParametros[Multa Rescisória do FGTS sobre o Aviso Prévio Indenizado])*tabCustoUnit[[#This Row],[MODULO 1 - REMUNERAÇÃO ]]</f>
        <v>0.35816639726049387</v>
      </c>
      <c r="AP197" s="22">
        <f>SUMIF(tabParametros[Código do Posto],tabCustoUnit[[#This Row],[Código do Posto]],tabParametros[Aviso Prévio Trabalhado - APT])*tabCustoUnit[[#This Row],[MODULO 1 - REMUNERAÇÃO ]]</f>
        <v>5.5869583000000009</v>
      </c>
      <c r="AQ197" s="22">
        <f>SUMIF(tabParametros[Código do Posto],tabCustoUnit[[#This Row],[Código do Posto]],tabParametros[Incidência dos encargos do submódulo 2.1 sobre Aviso Prévio Trabalhado])*tabCustoUnit[[#This Row],[MODULO 1 - REMUNERAÇÃO ]]</f>
        <v>2.1118702374000007</v>
      </c>
      <c r="AR197" s="22">
        <f>SUMIF(tabParametros[Código do Posto],tabCustoUnit[[#This Row],[Código do Posto]],tabParametros[Multa Rescisória do FGTS])*tabCustoUnit[[#This Row],[MODULO 1 - REMUNERAÇÃO ]]</f>
        <v>48.810505528888882</v>
      </c>
      <c r="AS197" s="22">
        <f>SUMIF(tabParametros[Código do Posto],tabCustoUnit[[#This Row],[Código do Posto]],tabParametros[Indenização Adicional (Art. 9º da Lei nº 7.238/84)])*tabCustoUnit[[#This Row],[MODULO 1 - REMUNERAÇÃO ]]</f>
        <v>1.3302281666666667</v>
      </c>
      <c r="AT197" s="22">
        <f>SUM(tabCustoUnit[[#This Row],[Aviso Prévio Indenizado (API) e Reflexo do Aviso Prévio Indenizado]:[Indenização Adicional (Art. 9º da Lei nº 7.238/84)]])</f>
        <v>70.285844537757711</v>
      </c>
      <c r="AU197" s="22">
        <f>SUMIF(tabParametros[Código do Posto],tabCustoUnit[[#This Row],[Código do Posto]],tabParametros[Ausência por Doença])*tabCustoUnit[[#This Row],[MODULO 1 - REMUNERAÇÃO ]]</f>
        <v>13.479645422222221</v>
      </c>
      <c r="AV197" s="22">
        <f>SUMIF(tabParametros[Código do Posto],tabCustoUnit[[#This Row],[Código do Posto]],tabParametros[Ausências Legais])*tabCustoUnit[[#This Row],[MODULO 1 - REMUNERAÇÃO ]]</f>
        <v>3.2368885388888886</v>
      </c>
      <c r="AW197" s="22">
        <f>SUMIF(tabParametros[Código do Posto],tabCustoUnit[[#This Row],[Código do Posto]],tabParametros[Licença Paternidade])*tabCustoUnit[[#This Row],[MODULO 1 - REMUNERAÇÃO ]]</f>
        <v>0.27269677416666666</v>
      </c>
      <c r="AX197" s="22">
        <f>SUMIF(tabParametros[Código do Posto],tabCustoUnit[[#This Row],[Código do Posto]],tabParametros[Ausência por Acidente de Trabalho])*tabCustoUnit[[#This Row],[MODULO 1 - REMUNERAÇÃO ]]</f>
        <v>0.33255704166666666</v>
      </c>
      <c r="AY197" s="22">
        <f>SUMIF(tabParametros[Código do Posto],tabCustoUnit[[#This Row],[Código do Posto]],tabParametros[Férias, Adicional de Férias e 13º  com empregada em gozo de Licença Maternidade])*tabCustoUnit[[#This Row],[MODULO 1 - REMUNERAÇÃO ]]</f>
        <v>2.0692438148148145</v>
      </c>
      <c r="AZ197" s="22">
        <f>SUMIF(tabParametros[Código do Posto],tabCustoUnit[[#This Row],[Código do Posto]],tabParametros[Incidência do Submódulo 2.1 sobre Ausências Legais])*tabCustoUnit[[#This Row],[MODULO 1 - REMUNERAÇÃO ]]</f>
        <v>7.3298099416850011</v>
      </c>
      <c r="BA197" s="22">
        <f>SUM(tabCustoUnit[[#This Row],[Ausência por Doença]:[Incidência do Submódulo 2.1 sobre Ausências Legais]])</f>
        <v>26.720841533444265</v>
      </c>
      <c r="BB197" s="22">
        <f>SUMIF(tabParametros[Código do Posto],tabCustoUnit[[#This Row],[Código do Posto]],tabParametros[Intervalo para Repouso ou Alimentação])</f>
        <v>0</v>
      </c>
      <c r="BC197" s="22">
        <f>tabCustoUnit[[#This Row],[Intervalo para Repouso ou Alimentação]]</f>
        <v>0</v>
      </c>
      <c r="BD19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7" s="22">
        <f>tabCustoUnit[[#This Row],[Suspensão Temporária do Contrato de Trabalho]]</f>
        <v>0</v>
      </c>
      <c r="BF197" s="22">
        <f>tabCustoUnit[[#This Row],[Submódulo 4.1]]+tabCustoUnit[[#This Row],[Submódulo 4.2]]+tabCustoUnit[[#This Row],[Submódulo 4.3]]</f>
        <v>26.720841533444265</v>
      </c>
      <c r="BG197" s="22">
        <f>VLOOKUP(tabCustoUnit[[#This Row],[Código do Posto]],tabParametros[],MATCH(tabCustoUnit[[#Headers],[Uniformes e EPIs]],tabParametros[#Headers],0),0)</f>
        <v>56.141713661989918</v>
      </c>
      <c r="BH197" s="22">
        <f>VLOOKUP(tabCustoUnit[[#This Row],[Código do Posto]],tabParametros[],MATCH(tabCustoUnit[[#Headers],[Materiais de Consumo]],tabParametros[#Headers],0),0)</f>
        <v>0</v>
      </c>
      <c r="BI197" s="22">
        <f>VLOOKUP(tabCustoUnit[[#This Row],[Código do Posto]],tabParametros[],MATCH(tabCustoUnit[[#Headers],[Máquinas e Equipamentos (depreciação)]],tabParametros[#Headers],0),0)</f>
        <v>0</v>
      </c>
      <c r="BJ197" s="22">
        <f>VLOOKUP(tabCustoUnit[[#This Row],[Código do Posto]],tabParametros[],MATCH(tabCustoUnit[[#Headers],[Produtos de Limpeza e Materiais de Higiene Pessoal]],tabParametros[#Headers],0),0)</f>
        <v>0</v>
      </c>
      <c r="BK197" s="22">
        <f>VLOOKUP(tabCustoUnit[[#This Row],[Código do Posto]],tabParametros[],MATCH(tabCustoUnit[[#Headers],[Outros (especificar)]],tabParametros[#Headers],0),0)</f>
        <v>0</v>
      </c>
      <c r="BL197" s="22">
        <f>SUM(tabCustoUnit[[#This Row],[Uniformes e EPIs]:[Outros (especificar)]])</f>
        <v>56.141713661989918</v>
      </c>
      <c r="BM19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7" s="22" t="e">
        <f ca="1">VLOOKUP(tabCustoUnit[[#This Row],[Código do Posto]],tabParametros[],MATCH(tabCustoUnit[[#Headers],[Custos Indiretos]],tabParametros[#Headers],0),0)</f>
        <v>#NAME?</v>
      </c>
      <c r="BO197" s="22" t="e">
        <f ca="1">VLOOKUP(tabCustoUnit[[#This Row],[Código do Posto]],tabParametros[],MATCH(tabCustoUnit[[#Headers],[Lucro]],tabParametros[#Headers],0),0)</f>
        <v>#NAME?</v>
      </c>
      <c r="BP197" s="26">
        <f>((100/((1-tabCustoUnit[[#This Row],[Resumo de Alíquotas (PIS+CONFINS+ISS)]]))-100)*VLOOKUP(tabCustoUnit[[#This Row],[Código do Posto]],tabParametros[],MATCH(tabCustoUnit[[#Headers],[COFINS]],tabParametros[#Headers],0),0))/(tabCustoUnit[[#This Row],[Resumo de Alíquotas (PIS+CONFINS+ISS)]]*100)</f>
        <v>8.8629737609329504E-2</v>
      </c>
      <c r="BQ197" s="26">
        <f>((100/((100-(tabCustoUnit[[#This Row],[Resumo de Alíquotas (PIS+CONFINS+ISS)]]*100))%)-100)*VLOOKUP(tabCustoUnit[[#This Row],[Código do Posto]],tabParametros[],MATCH(tabCustoUnit[[#Headers],[PIS]],tabParametros[#Headers],0),0))/(tabCustoUnit[[#This Row],[Resumo de Alíquotas (PIS+CONFINS+ISS)]]*100)</f>
        <v>1.9241982507288629E-2</v>
      </c>
      <c r="BR197" s="28">
        <f>VLOOKUP(tabCustoUnit[[#This Row],[Código do Posto]],tabParametros[],MATCH(tabCustoUnit[[#Headers],[ISS]],tabParametros[#Headers],0),0)</f>
        <v>0.05</v>
      </c>
      <c r="BS197" s="26">
        <f>(((100/((100-(tabCustoUnit[[#This Row],[Resumo de Alíquotas (PIS+CONFINS+ISS)]]*100))%)-100)*tabCustoUnit[[#This Row],[ISS]])/tabCustoUnit[[#This Row],[Resumo de Alíquotas (PIS+CONFINS+ISS)]])/100</f>
        <v>5.8309037900874633E-2</v>
      </c>
      <c r="BT19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7" s="138">
        <f>tabCustoUnit[[#This Row],[COFINS]]+tabCustoUnit[[#This Row],[PIS]]+tabCustoUnit[[#This Row],[ISS (Conversão Alíquota s/ fatura)]]</f>
        <v>0.16618075801749277</v>
      </c>
      <c r="BV197" s="22" t="e">
        <f ca="1">(tabCustoUnit[[#This Row],[TOTAL MÓDULOS 1+2+3+4+5]]+tabCustoUnit[[#This Row],[Custos Indiretos]]+tabCustoUnit[[#This Row],[Lucro]])*tabCustoUnit[[#This Row],[PIS + COFINS + ISS (Total Conversão  Alíquota s/ Fatura)]]</f>
        <v>#NAME?</v>
      </c>
      <c r="BW197" s="22" t="e">
        <f ca="1">tabCustoUnit[[#This Row],[Custos Indiretos]]+tabCustoUnit[[#This Row],[Lucro]]+tabCustoUnit[[#This Row],[Valor dos Tributos (ISS, PIS, CONFINS)]]</f>
        <v>#NAME?</v>
      </c>
      <c r="BX197" s="22" t="e">
        <f ca="1">tabCustoUnit[[#This Row],[TOTAL MÓDULOS 1+2+3+4+5]]+tabCustoUnit[[#This Row],[MÓDULO 6 – CUSTOS INDIRETOS, TRIBUTOS E LUCRO]]</f>
        <v>#NAME?</v>
      </c>
      <c r="BY197" s="22" t="e">
        <f ca="1">tabCustoUnit[[#This Row],[CUSTO TOTAL MENSAL]]*12</f>
        <v>#NAME?</v>
      </c>
      <c r="BZ197" s="24">
        <f>VLOOKUP(tabCustoUnit[[#This Row],[Código do Posto]],tabParametros[],MATCH(tabCustoUnit[[#Headers],[ANO DA CCT]],tabParametros[#Headers],0),0)</f>
        <v>45658</v>
      </c>
      <c r="CA197" s="25" t="str">
        <f>VLOOKUP(tabCustoUnit[[#This Row],[Código do Posto]],tabParametros[],MATCH(tabCustoUnit[[#Headers],[Nº DE PEDIDO DA CCT]],tabParametros[#Headers],0),0)</f>
        <v>-</v>
      </c>
      <c r="CB197" s="25" t="str">
        <f>VLOOKUP(tabCustoUnit[[#This Row],[Código do Posto]],tabParametros[],MATCH(tabCustoUnit[[#Headers],[TERMO ADITIVO ALTERAÇÃO DA CCT]],tabParametros[#Headers],0),0)</f>
        <v>-</v>
      </c>
    </row>
    <row r="198" spans="1:80">
      <c r="A198" s="20" t="s">
        <v>1636</v>
      </c>
      <c r="B198" t="s">
        <v>1159</v>
      </c>
      <c r="C198" t="s">
        <v>244</v>
      </c>
      <c r="D198" t="s">
        <v>961</v>
      </c>
      <c r="E198" s="20" t="s">
        <v>1090</v>
      </c>
      <c r="F198" s="20" t="s">
        <v>120</v>
      </c>
      <c r="G198" s="418">
        <v>2296.1756999999998</v>
      </c>
      <c r="H198" s="418">
        <v>0</v>
      </c>
      <c r="I198" s="418">
        <v>303.60000000000002</v>
      </c>
      <c r="J198" s="418">
        <v>0</v>
      </c>
      <c r="K198" s="418">
        <v>0</v>
      </c>
      <c r="L198" s="418">
        <v>0</v>
      </c>
      <c r="M198" s="418">
        <v>0</v>
      </c>
      <c r="N198" s="418">
        <v>0</v>
      </c>
      <c r="O198" s="21">
        <f>SUM(tabCustoUnit[[#This Row],[Salário Base]:[Adicional de Acúmulo de função]])</f>
        <v>2599.7756999999997</v>
      </c>
      <c r="P198" s="21">
        <f>tabCustoUnit[[#This Row],[MODULO 1 - REMUNERAÇÃO ]]*SUMIFS(tabParametros[INSS],tabParametros[Código do Posto],tabCustoUnit[[#This Row],[Código do Posto]])</f>
        <v>519.95513999999991</v>
      </c>
      <c r="Q198" s="21">
        <f>tabCustoUnit[[#This Row],[MODULO 1 - REMUNERAÇÃO ]]*SUMIFS(tabParametros[SESI OU SESC],tabParametros[Código do Posto],tabCustoUnit[[#This Row],[Código do Posto]])</f>
        <v>38.996635499999996</v>
      </c>
      <c r="R198" s="21">
        <f>tabCustoUnit[[#This Row],[MODULO 1 - REMUNERAÇÃO ]]*SUMIFS(tabParametros[SENAI OU SENAC],tabParametros[Código do Posto],tabCustoUnit[[#This Row],[Código do Posto]])</f>
        <v>25.997756999999996</v>
      </c>
      <c r="S198" s="21">
        <f>tabCustoUnit[[#This Row],[MODULO 1 - REMUNERAÇÃO ]]*SUMIFS(tabParametros[INCRA],tabParametros[Código do Posto],tabCustoUnit[[#This Row],[Código do Posto]])</f>
        <v>5.1995513999999998</v>
      </c>
      <c r="T198" s="21">
        <f>tabCustoUnit[[#This Row],[MODULO 1 - REMUNERAÇÃO ]]*SUMIFS(tabParametros[Salário Educação],tabParametros[Código do Posto],tabCustoUnit[[#This Row],[Código do Posto]])</f>
        <v>64.994392499999989</v>
      </c>
      <c r="U198" s="21">
        <f>tabCustoUnit[[#This Row],[MODULO 1 - REMUNERAÇÃO ]]*SUMIFS(tabParametros[FGTS],tabParametros[Código do Posto],tabCustoUnit[[#This Row],[Código do Posto]])</f>
        <v>207.98205599999997</v>
      </c>
      <c r="V198" s="21">
        <f>tabCustoUnit[[#This Row],[MODULO 1 - REMUNERAÇÃO ]]*SUMIFS(tabParametros[RAT Ajustado],tabParametros[Código do Posto],tabCustoUnit[[#This Row],[Código do Posto]])</f>
        <v>103.99102799999999</v>
      </c>
      <c r="W198" s="21">
        <f>tabCustoUnit[[#This Row],[MODULO 1 - REMUNERAÇÃO ]]*SUMIFS(tabParametros[SEBRAE],tabParametros[Código do Posto],tabCustoUnit[[#This Row],[Código do Posto]])</f>
        <v>15.598654199999999</v>
      </c>
      <c r="X198" s="21">
        <f>SUM(tabCustoUnit[[#This Row],[INSS]:[SEBRAE]])</f>
        <v>982.71521459999985</v>
      </c>
      <c r="Y198" s="21">
        <f>tabCustoUnit[[#This Row],[MODULO 1 - REMUNERAÇÃO ]]*SUMIFS(tabParametros[13º salário (titular)],tabParametros[Código do Posto],tabCustoUnit[[#This Row],[Código do Posto]])</f>
        <v>216.64797499999997</v>
      </c>
      <c r="Z198" s="21">
        <f>tabCustoUnit[[#This Row],[MODULO 1 - REMUNERAÇÃO ]]*SUMIFS(tabParametros[Férias e Adicional de Férias (titular)],tabParametros[Código do Posto],tabCustoUnit[[#This Row],[Código do Posto]])</f>
        <v>288.86396666666661</v>
      </c>
      <c r="AA198" s="21">
        <f>IFERROR((tabCustoUnit[[#This Row],[Submódulo 2.1]]/tabCustoUnit[[#This Row],[MODULO 1 - REMUNERAÇÃO ]])*SUM(tabCustoUnit[[#This Row],[13º salário (titular)]:[Férias e Adicional de Férias (titular)]]),0)</f>
        <v>191.08351394999997</v>
      </c>
      <c r="AB198" s="21">
        <f>SUM(tabCustoUnit[[#This Row],[13º salário (titular)]:[Incidência do Submódulo 2.1 sobre 13º Salário, Férias e Adicional de Férias]])</f>
        <v>696.59545561666653</v>
      </c>
      <c r="AC198" s="22" t="e">
        <f ca="1">_xlfn.LET(_xlpm.VT,SUMIF(tabParametros[Código do Posto],tabCustoUnit[[#This Row],[Código do Posto]],tabParametros[Vale - Transporte])*2*20,
IF((_xlpm.VT-tabCustoUnit[[#This Row],[Salário Base]]*0.06)&gt;=0,(_xlpm.VT-tabCustoUnit[[#This Row],[Salário Base]]*0.06),0)
)</f>
        <v>#NAME?</v>
      </c>
      <c r="AD198" s="22">
        <f>IF(SUMIF(tabParametros[Código do Posto],tabCustoUnit[[#This Row],[Código do Posto]],tabParametros[Vale - Alimentação])&lt;=0,0,
SUMIF(tabParametros[Código do Posto],tabCustoUnit[[#This Row],[Código do Posto]],tabParametros[Vale - Alimentação])*20-1)</f>
        <v>582</v>
      </c>
      <c r="AE198" s="22">
        <f>SUMIF(tabParametros[Código do Posto],tabCustoUnit[[#This Row],[Código do Posto]],tabParametros[Cesta Básica])</f>
        <v>0</v>
      </c>
      <c r="AF198" s="22">
        <f>SUMIF(tabParametros[Código do Posto],tabCustoUnit[[#This Row],[Código do Posto]],tabParametros[PAF])</f>
        <v>53.27</v>
      </c>
      <c r="AG198" s="22">
        <f>SUMIF(tabParametros[Código do Posto],tabCustoUnit[[#This Row],[Código do Posto]],tabParametros[PQM])</f>
        <v>0</v>
      </c>
      <c r="AH198" s="22">
        <f>SUMIF(tabParametros[Código do Posto],tabCustoUnit[[#This Row],[Código do Posto]],tabParametros[Abono Único e Especial])</f>
        <v>0</v>
      </c>
      <c r="AI198" s="22">
        <f>SUMIF(tabParametros[Código do Posto],tabCustoUnit[[#This Row],[Código do Posto]],tabParametros[Seguro de Vida])</f>
        <v>3.36</v>
      </c>
      <c r="AJ198" s="22">
        <f>SUMIF(tabParametros[Código do Posto],tabCustoUnit[[#This Row],[Código do Posto]],tabParametros[Despesas de Viagem])</f>
        <v>0</v>
      </c>
      <c r="AK198" s="22" t="e">
        <f ca="1">SUM(tabCustoUnit[[#This Row],[Vale - Transporte (Descontada parcela do empregado)]:[Despesas de Viagem]])</f>
        <v>#NAME?</v>
      </c>
      <c r="AL198" s="22" t="e">
        <f ca="1">tabCustoUnit[[#This Row],[Submódulo 2.1]]+tabCustoUnit[[#This Row],[Submódulo 2.2]]+tabCustoUnit[[#This Row],[Submódulo 2.3]]</f>
        <v>#NAME?</v>
      </c>
      <c r="AM198" s="22">
        <f>SUMIF(tabParametros[Código do Posto],tabCustoUnit[[#This Row],[Código do Posto]],tabParametros[Aviso Prévio Indenizado (API) e Reflexo do Aviso Prévio Indenizado])*tabCustoUnit[[#This Row],[MODULO 1 - REMUNERAÇÃO ]]</f>
        <v>18.229021396469907</v>
      </c>
      <c r="AN198" s="22">
        <f>SUMIF(tabParametros[Código do Posto],tabCustoUnit[[#This Row],[Código do Posto]],tabParametros[Incidência do FGTS sobre API e Reflexo do API])*tabCustoUnit[[#This Row],[MODULO 1 - REMUNERAÇÃO ]]</f>
        <v>1.4583217117175926</v>
      </c>
      <c r="AO198" s="22">
        <f>SUMIF(tabParametros[Código do Posto],tabCustoUnit[[#This Row],[Código do Posto]],tabParametros[Multa Rescisória do FGTS sobre o Aviso Prévio Indenizado])*tabCustoUnit[[#This Row],[MODULO 1 - REMUNERAÇÃO ]]</f>
        <v>0.58332868468703702</v>
      </c>
      <c r="AP198" s="22">
        <f>SUMIF(tabParametros[Código do Posto],tabCustoUnit[[#This Row],[Código do Posto]],tabParametros[Aviso Prévio Trabalhado - APT])*tabCustoUnit[[#This Row],[MODULO 1 - REMUNERAÇÃO ]]</f>
        <v>9.0992149500000004</v>
      </c>
      <c r="AQ198" s="22">
        <f>SUMIF(tabParametros[Código do Posto],tabCustoUnit[[#This Row],[Código do Posto]],tabParametros[Incidência dos encargos do submódulo 2.1 sobre Aviso Prévio Trabalhado])*tabCustoUnit[[#This Row],[MODULO 1 - REMUNERAÇÃO ]]</f>
        <v>3.4395032511000005</v>
      </c>
      <c r="AR198" s="22">
        <f>SUMIF(tabParametros[Código do Posto],tabCustoUnit[[#This Row],[Código do Posto]],tabParametros[Multa Rescisória do FGTS])*tabCustoUnit[[#This Row],[MODULO 1 - REMUNERAÇÃO ]]</f>
        <v>79.495363626666645</v>
      </c>
      <c r="AS198" s="22">
        <f>SUMIF(tabParametros[Código do Posto],tabCustoUnit[[#This Row],[Código do Posto]],tabParametros[Indenização Adicional (Art. 9º da Lei nº 7.238/84)])*tabCustoUnit[[#This Row],[MODULO 1 - REMUNERAÇÃO ]]</f>
        <v>2.1664797499999997</v>
      </c>
      <c r="AT198" s="22">
        <f>SUM(tabCustoUnit[[#This Row],[Aviso Prévio Indenizado (API) e Reflexo do Aviso Prévio Indenizado]:[Indenização Adicional (Art. 9º da Lei nº 7.238/84)]])</f>
        <v>114.47123337064117</v>
      </c>
      <c r="AU198" s="22">
        <f>SUMIF(tabParametros[Código do Posto],tabCustoUnit[[#This Row],[Código do Posto]],tabParametros[Ausência por Doença])*tabCustoUnit[[#This Row],[MODULO 1 - REMUNERAÇÃO ]]</f>
        <v>21.953661466666663</v>
      </c>
      <c r="AV198" s="22">
        <f>SUMIF(tabParametros[Código do Posto],tabCustoUnit[[#This Row],[Código do Posto]],tabParametros[Ausências Legais])*tabCustoUnit[[#This Row],[MODULO 1 - REMUNERAÇÃO ]]</f>
        <v>5.2717673916666659</v>
      </c>
      <c r="AW198" s="22">
        <f>SUMIF(tabParametros[Código do Posto],tabCustoUnit[[#This Row],[Código do Posto]],tabParametros[Licença Paternidade])*tabCustoUnit[[#This Row],[MODULO 1 - REMUNERAÇÃO ]]</f>
        <v>0.44412834874999996</v>
      </c>
      <c r="AX198" s="22">
        <f>SUMIF(tabParametros[Código do Posto],tabCustoUnit[[#This Row],[Código do Posto]],tabParametros[Ausência por Acidente de Trabalho])*tabCustoUnit[[#This Row],[MODULO 1 - REMUNERAÇÃO ]]</f>
        <v>0.54161993749999993</v>
      </c>
      <c r="AY198" s="22">
        <f>SUMIF(tabParametros[Código do Posto],tabCustoUnit[[#This Row],[Código do Posto]],tabParametros[Férias, Adicional de Férias e 13º  com empregada em gozo de Licença Maternidade])*tabCustoUnit[[#This Row],[MODULO 1 - REMUNERAÇÃO ]]</f>
        <v>3.3700796111111107</v>
      </c>
      <c r="AZ198" s="22">
        <f>SUMIF(tabParametros[Código do Posto],tabCustoUnit[[#This Row],[Código do Posto]],tabParametros[Incidência do Submódulo 2.1 sobre Ausências Legais])*tabCustoUnit[[#This Row],[MODULO 1 - REMUNERAÇÃO ]]</f>
        <v>11.9377150536525</v>
      </c>
      <c r="BA198" s="22">
        <f>SUM(tabCustoUnit[[#This Row],[Ausência por Doença]:[Incidência do Submódulo 2.1 sobre Ausências Legais]])</f>
        <v>43.518971809346937</v>
      </c>
      <c r="BB198" s="22">
        <f>SUMIF(tabParametros[Código do Posto],tabCustoUnit[[#This Row],[Código do Posto]],tabParametros[Intervalo para Repouso ou Alimentação])</f>
        <v>0</v>
      </c>
      <c r="BC198" s="22">
        <f>tabCustoUnit[[#This Row],[Intervalo para Repouso ou Alimentação]]</f>
        <v>0</v>
      </c>
      <c r="BD19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8" s="22">
        <f>tabCustoUnit[[#This Row],[Suspensão Temporária do Contrato de Trabalho]]</f>
        <v>0</v>
      </c>
      <c r="BF198" s="22">
        <f>tabCustoUnit[[#This Row],[Submódulo 4.1]]+tabCustoUnit[[#This Row],[Submódulo 4.2]]+tabCustoUnit[[#This Row],[Submódulo 4.3]]</f>
        <v>43.518971809346937</v>
      </c>
      <c r="BG198" s="22">
        <f>VLOOKUP(tabCustoUnit[[#This Row],[Código do Posto]],tabParametros[],MATCH(tabCustoUnit[[#Headers],[Uniformes e EPIs]],tabParametros[#Headers],0),0)</f>
        <v>226.33322732312172</v>
      </c>
      <c r="BH198" s="22">
        <f>VLOOKUP(tabCustoUnit[[#This Row],[Código do Posto]],tabParametros[],MATCH(tabCustoUnit[[#Headers],[Materiais de Consumo]],tabParametros[#Headers],0),0)</f>
        <v>441.81099462365592</v>
      </c>
      <c r="BI198" s="22">
        <f>VLOOKUP(tabCustoUnit[[#This Row],[Código do Posto]],tabParametros[],MATCH(tabCustoUnit[[#Headers],[Máquinas e Equipamentos (depreciação)]],tabParametros[#Headers],0),0)</f>
        <v>113.11309677419354</v>
      </c>
      <c r="BJ198" s="22">
        <f>VLOOKUP(tabCustoUnit[[#This Row],[Código do Posto]],tabParametros[],MATCH(tabCustoUnit[[#Headers],[Produtos de Limpeza e Materiais de Higiene Pessoal]],tabParametros[#Headers],0),0)</f>
        <v>0</v>
      </c>
      <c r="BK198" s="22">
        <f>VLOOKUP(tabCustoUnit[[#This Row],[Código do Posto]],tabParametros[],MATCH(tabCustoUnit[[#Headers],[Outros (especificar)]],tabParametros[#Headers],0),0)</f>
        <v>0</v>
      </c>
      <c r="BL198" s="22">
        <f>SUM(tabCustoUnit[[#This Row],[Uniformes e EPIs]:[Outros (especificar)]])</f>
        <v>781.25731872097117</v>
      </c>
      <c r="BM19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8" s="22" t="e">
        <f ca="1">VLOOKUP(tabCustoUnit[[#This Row],[Código do Posto]],tabParametros[],MATCH(tabCustoUnit[[#Headers],[Custos Indiretos]],tabParametros[#Headers],0),0)</f>
        <v>#NAME?</v>
      </c>
      <c r="BO198" s="22" t="e">
        <f ca="1">VLOOKUP(tabCustoUnit[[#This Row],[Código do Posto]],tabParametros[],MATCH(tabCustoUnit[[#Headers],[Lucro]],tabParametros[#Headers],0),0)</f>
        <v>#NAME?</v>
      </c>
      <c r="BP198" s="26">
        <f>((100/((1-tabCustoUnit[[#This Row],[Resumo de Alíquotas (PIS+CONFINS+ISS)]]))-100)*VLOOKUP(tabCustoUnit[[#This Row],[Código do Posto]],tabParametros[],MATCH(tabCustoUnit[[#Headers],[COFINS]],tabParametros[#Headers],0),0))/(tabCustoUnit[[#This Row],[Resumo de Alíquotas (PIS+CONFINS+ISS)]]*100)</f>
        <v>8.8629737609329504E-2</v>
      </c>
      <c r="BQ198" s="26">
        <f>((100/((100-(tabCustoUnit[[#This Row],[Resumo de Alíquotas (PIS+CONFINS+ISS)]]*100))%)-100)*VLOOKUP(tabCustoUnit[[#This Row],[Código do Posto]],tabParametros[],MATCH(tabCustoUnit[[#Headers],[PIS]],tabParametros[#Headers],0),0))/(tabCustoUnit[[#This Row],[Resumo de Alíquotas (PIS+CONFINS+ISS)]]*100)</f>
        <v>1.9241982507288629E-2</v>
      </c>
      <c r="BR198" s="28">
        <f>VLOOKUP(tabCustoUnit[[#This Row],[Código do Posto]],tabParametros[],MATCH(tabCustoUnit[[#Headers],[ISS]],tabParametros[#Headers],0),0)</f>
        <v>0.05</v>
      </c>
      <c r="BS198" s="26">
        <f>(((100/((100-(tabCustoUnit[[#This Row],[Resumo de Alíquotas (PIS+CONFINS+ISS)]]*100))%)-100)*tabCustoUnit[[#This Row],[ISS]])/tabCustoUnit[[#This Row],[Resumo de Alíquotas (PIS+CONFINS+ISS)]])/100</f>
        <v>5.8309037900874633E-2</v>
      </c>
      <c r="BT19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8" s="138">
        <f>tabCustoUnit[[#This Row],[COFINS]]+tabCustoUnit[[#This Row],[PIS]]+tabCustoUnit[[#This Row],[ISS (Conversão Alíquota s/ fatura)]]</f>
        <v>0.16618075801749277</v>
      </c>
      <c r="BV198" s="22" t="e">
        <f ca="1">(tabCustoUnit[[#This Row],[TOTAL MÓDULOS 1+2+3+4+5]]+tabCustoUnit[[#This Row],[Custos Indiretos]]+tabCustoUnit[[#This Row],[Lucro]])*tabCustoUnit[[#This Row],[PIS + COFINS + ISS (Total Conversão  Alíquota s/ Fatura)]]</f>
        <v>#NAME?</v>
      </c>
      <c r="BW198" s="22" t="e">
        <f ca="1">tabCustoUnit[[#This Row],[Custos Indiretos]]+tabCustoUnit[[#This Row],[Lucro]]+tabCustoUnit[[#This Row],[Valor dos Tributos (ISS, PIS, CONFINS)]]</f>
        <v>#NAME?</v>
      </c>
      <c r="BX198" s="22" t="e">
        <f ca="1">tabCustoUnit[[#This Row],[TOTAL MÓDULOS 1+2+3+4+5]]+tabCustoUnit[[#This Row],[MÓDULO 6 – CUSTOS INDIRETOS, TRIBUTOS E LUCRO]]</f>
        <v>#NAME?</v>
      </c>
      <c r="BY198" s="22" t="e">
        <f ca="1">tabCustoUnit[[#This Row],[CUSTO TOTAL MENSAL]]*12</f>
        <v>#NAME?</v>
      </c>
      <c r="BZ198" s="24">
        <f>VLOOKUP(tabCustoUnit[[#This Row],[Código do Posto]],tabParametros[],MATCH(tabCustoUnit[[#Headers],[ANO DA CCT]],tabParametros[#Headers],0),0)</f>
        <v>45658</v>
      </c>
      <c r="CA198" s="25" t="str">
        <f>VLOOKUP(tabCustoUnit[[#This Row],[Código do Posto]],tabParametros[],MATCH(tabCustoUnit[[#Headers],[Nº DE PEDIDO DA CCT]],tabParametros[#Headers],0),0)</f>
        <v>-</v>
      </c>
      <c r="CB198" s="25" t="str">
        <f>VLOOKUP(tabCustoUnit[[#This Row],[Código do Posto]],tabParametros[],MATCH(tabCustoUnit[[#Headers],[TERMO ADITIVO ALTERAÇÃO DA CCT]],tabParametros[#Headers],0),0)</f>
        <v>-</v>
      </c>
    </row>
    <row r="199" spans="1:80">
      <c r="A199" s="20" t="s">
        <v>1637</v>
      </c>
      <c r="B199" t="s">
        <v>1159</v>
      </c>
      <c r="C199" t="s">
        <v>1368</v>
      </c>
      <c r="D199" t="s">
        <v>961</v>
      </c>
      <c r="E199" s="20" t="s">
        <v>1090</v>
      </c>
      <c r="F199" s="20" t="s">
        <v>120</v>
      </c>
      <c r="G199" s="418">
        <v>2296.1756999999998</v>
      </c>
      <c r="H199" s="418">
        <v>0</v>
      </c>
      <c r="I199" s="418">
        <v>303.60000000000002</v>
      </c>
      <c r="J199" s="418">
        <v>0</v>
      </c>
      <c r="K199" s="418">
        <v>0</v>
      </c>
      <c r="L199" s="418">
        <v>0</v>
      </c>
      <c r="M199" s="418">
        <v>0</v>
      </c>
      <c r="N199" s="418">
        <v>0</v>
      </c>
      <c r="O199" s="21">
        <f>SUM(tabCustoUnit[[#This Row],[Salário Base]:[Adicional de Acúmulo de função]])</f>
        <v>2599.7756999999997</v>
      </c>
      <c r="P199" s="21">
        <f>tabCustoUnit[[#This Row],[MODULO 1 - REMUNERAÇÃO ]]*SUMIFS(tabParametros[INSS],tabParametros[Código do Posto],tabCustoUnit[[#This Row],[Código do Posto]])</f>
        <v>519.95513999999991</v>
      </c>
      <c r="Q199" s="21">
        <f>tabCustoUnit[[#This Row],[MODULO 1 - REMUNERAÇÃO ]]*SUMIFS(tabParametros[SESI OU SESC],tabParametros[Código do Posto],tabCustoUnit[[#This Row],[Código do Posto]])</f>
        <v>38.996635499999996</v>
      </c>
      <c r="R199" s="21">
        <f>tabCustoUnit[[#This Row],[MODULO 1 - REMUNERAÇÃO ]]*SUMIFS(tabParametros[SENAI OU SENAC],tabParametros[Código do Posto],tabCustoUnit[[#This Row],[Código do Posto]])</f>
        <v>25.997756999999996</v>
      </c>
      <c r="S199" s="21">
        <f>tabCustoUnit[[#This Row],[MODULO 1 - REMUNERAÇÃO ]]*SUMIFS(tabParametros[INCRA],tabParametros[Código do Posto],tabCustoUnit[[#This Row],[Código do Posto]])</f>
        <v>5.1995513999999998</v>
      </c>
      <c r="T199" s="21">
        <f>tabCustoUnit[[#This Row],[MODULO 1 - REMUNERAÇÃO ]]*SUMIFS(tabParametros[Salário Educação],tabParametros[Código do Posto],tabCustoUnit[[#This Row],[Código do Posto]])</f>
        <v>64.994392499999989</v>
      </c>
      <c r="U199" s="21">
        <f>tabCustoUnit[[#This Row],[MODULO 1 - REMUNERAÇÃO ]]*SUMIFS(tabParametros[FGTS],tabParametros[Código do Posto],tabCustoUnit[[#This Row],[Código do Posto]])</f>
        <v>207.98205599999997</v>
      </c>
      <c r="V199" s="21">
        <f>tabCustoUnit[[#This Row],[MODULO 1 - REMUNERAÇÃO ]]*SUMIFS(tabParametros[RAT Ajustado],tabParametros[Código do Posto],tabCustoUnit[[#This Row],[Código do Posto]])</f>
        <v>103.99102799999999</v>
      </c>
      <c r="W199" s="21">
        <f>tabCustoUnit[[#This Row],[MODULO 1 - REMUNERAÇÃO ]]*SUMIFS(tabParametros[SEBRAE],tabParametros[Código do Posto],tabCustoUnit[[#This Row],[Código do Posto]])</f>
        <v>15.598654199999999</v>
      </c>
      <c r="X199" s="21">
        <f>SUM(tabCustoUnit[[#This Row],[INSS]:[SEBRAE]])</f>
        <v>982.71521459999985</v>
      </c>
      <c r="Y199" s="21">
        <f>tabCustoUnit[[#This Row],[MODULO 1 - REMUNERAÇÃO ]]*SUMIFS(tabParametros[13º salário (titular)],tabParametros[Código do Posto],tabCustoUnit[[#This Row],[Código do Posto]])</f>
        <v>216.64797499999997</v>
      </c>
      <c r="Z199" s="21">
        <f>tabCustoUnit[[#This Row],[MODULO 1 - REMUNERAÇÃO ]]*SUMIFS(tabParametros[Férias e Adicional de Férias (titular)],tabParametros[Código do Posto],tabCustoUnit[[#This Row],[Código do Posto]])</f>
        <v>288.86396666666661</v>
      </c>
      <c r="AA199" s="21">
        <f>IFERROR((tabCustoUnit[[#This Row],[Submódulo 2.1]]/tabCustoUnit[[#This Row],[MODULO 1 - REMUNERAÇÃO ]])*SUM(tabCustoUnit[[#This Row],[13º salário (titular)]:[Férias e Adicional de Férias (titular)]]),0)</f>
        <v>191.08351394999997</v>
      </c>
      <c r="AB199" s="21">
        <f>SUM(tabCustoUnit[[#This Row],[13º salário (titular)]:[Incidência do Submódulo 2.1 sobre 13º Salário, Férias e Adicional de Férias]])</f>
        <v>696.59545561666653</v>
      </c>
      <c r="AC199" s="22" t="e">
        <f ca="1">_xlfn.LET(_xlpm.VT,SUMIF(tabParametros[Código do Posto],tabCustoUnit[[#This Row],[Código do Posto]],tabParametros[Vale - Transporte])*2*20,
IF((_xlpm.VT-tabCustoUnit[[#This Row],[Salário Base]]*0.06)&gt;=0,(_xlpm.VT-tabCustoUnit[[#This Row],[Salário Base]]*0.06),0)
)</f>
        <v>#NAME?</v>
      </c>
      <c r="AD199" s="22">
        <f>IF(SUMIF(tabParametros[Código do Posto],tabCustoUnit[[#This Row],[Código do Posto]],tabParametros[Vale - Alimentação])&lt;=0,0,
SUMIF(tabParametros[Código do Posto],tabCustoUnit[[#This Row],[Código do Posto]],tabParametros[Vale - Alimentação])*20-1)</f>
        <v>582</v>
      </c>
      <c r="AE199" s="22">
        <f>SUMIF(tabParametros[Código do Posto],tabCustoUnit[[#This Row],[Código do Posto]],tabParametros[Cesta Básica])</f>
        <v>0</v>
      </c>
      <c r="AF199" s="22">
        <f>SUMIF(tabParametros[Código do Posto],tabCustoUnit[[#This Row],[Código do Posto]],tabParametros[PAF])</f>
        <v>53.27</v>
      </c>
      <c r="AG199" s="22">
        <f>SUMIF(tabParametros[Código do Posto],tabCustoUnit[[#This Row],[Código do Posto]],tabParametros[PQM])</f>
        <v>0</v>
      </c>
      <c r="AH199" s="22">
        <f>SUMIF(tabParametros[Código do Posto],tabCustoUnit[[#This Row],[Código do Posto]],tabParametros[Abono Único e Especial])</f>
        <v>0</v>
      </c>
      <c r="AI199" s="22">
        <f>SUMIF(tabParametros[Código do Posto],tabCustoUnit[[#This Row],[Código do Posto]],tabParametros[Seguro de Vida])</f>
        <v>3.36</v>
      </c>
      <c r="AJ199" s="22">
        <f>SUMIF(tabParametros[Código do Posto],tabCustoUnit[[#This Row],[Código do Posto]],tabParametros[Despesas de Viagem])</f>
        <v>0</v>
      </c>
      <c r="AK199" s="22" t="e">
        <f ca="1">SUM(tabCustoUnit[[#This Row],[Vale - Transporte (Descontada parcela do empregado)]:[Despesas de Viagem]])</f>
        <v>#NAME?</v>
      </c>
      <c r="AL199" s="22" t="e">
        <f ca="1">tabCustoUnit[[#This Row],[Submódulo 2.1]]+tabCustoUnit[[#This Row],[Submódulo 2.2]]+tabCustoUnit[[#This Row],[Submódulo 2.3]]</f>
        <v>#NAME?</v>
      </c>
      <c r="AM199" s="22">
        <f>SUMIF(tabParametros[Código do Posto],tabCustoUnit[[#This Row],[Código do Posto]],tabParametros[Aviso Prévio Indenizado (API) e Reflexo do Aviso Prévio Indenizado])*tabCustoUnit[[#This Row],[MODULO 1 - REMUNERAÇÃO ]]</f>
        <v>18.229021396469907</v>
      </c>
      <c r="AN199" s="22">
        <f>SUMIF(tabParametros[Código do Posto],tabCustoUnit[[#This Row],[Código do Posto]],tabParametros[Incidência do FGTS sobre API e Reflexo do API])*tabCustoUnit[[#This Row],[MODULO 1 - REMUNERAÇÃO ]]</f>
        <v>1.4583217117175926</v>
      </c>
      <c r="AO199" s="22">
        <f>SUMIF(tabParametros[Código do Posto],tabCustoUnit[[#This Row],[Código do Posto]],tabParametros[Multa Rescisória do FGTS sobre o Aviso Prévio Indenizado])*tabCustoUnit[[#This Row],[MODULO 1 - REMUNERAÇÃO ]]</f>
        <v>0.58332868468703702</v>
      </c>
      <c r="AP199" s="22">
        <f>SUMIF(tabParametros[Código do Posto],tabCustoUnit[[#This Row],[Código do Posto]],tabParametros[Aviso Prévio Trabalhado - APT])*tabCustoUnit[[#This Row],[MODULO 1 - REMUNERAÇÃO ]]</f>
        <v>9.0992149500000004</v>
      </c>
      <c r="AQ199" s="22">
        <f>SUMIF(tabParametros[Código do Posto],tabCustoUnit[[#This Row],[Código do Posto]],tabParametros[Incidência dos encargos do submódulo 2.1 sobre Aviso Prévio Trabalhado])*tabCustoUnit[[#This Row],[MODULO 1 - REMUNERAÇÃO ]]</f>
        <v>3.4395032511000005</v>
      </c>
      <c r="AR199" s="22">
        <f>SUMIF(tabParametros[Código do Posto],tabCustoUnit[[#This Row],[Código do Posto]],tabParametros[Multa Rescisória do FGTS])*tabCustoUnit[[#This Row],[MODULO 1 - REMUNERAÇÃO ]]</f>
        <v>79.495363626666645</v>
      </c>
      <c r="AS199" s="22">
        <f>SUMIF(tabParametros[Código do Posto],tabCustoUnit[[#This Row],[Código do Posto]],tabParametros[Indenização Adicional (Art. 9º da Lei nº 7.238/84)])*tabCustoUnit[[#This Row],[MODULO 1 - REMUNERAÇÃO ]]</f>
        <v>2.1664797499999997</v>
      </c>
      <c r="AT199" s="22">
        <f>SUM(tabCustoUnit[[#This Row],[Aviso Prévio Indenizado (API) e Reflexo do Aviso Prévio Indenizado]:[Indenização Adicional (Art. 9º da Lei nº 7.238/84)]])</f>
        <v>114.47123337064117</v>
      </c>
      <c r="AU199" s="22">
        <f>SUMIF(tabParametros[Código do Posto],tabCustoUnit[[#This Row],[Código do Posto]],tabParametros[Ausência por Doença])*tabCustoUnit[[#This Row],[MODULO 1 - REMUNERAÇÃO ]]</f>
        <v>21.953661466666663</v>
      </c>
      <c r="AV199" s="22">
        <f>SUMIF(tabParametros[Código do Posto],tabCustoUnit[[#This Row],[Código do Posto]],tabParametros[Ausências Legais])*tabCustoUnit[[#This Row],[MODULO 1 - REMUNERAÇÃO ]]</f>
        <v>5.2717673916666659</v>
      </c>
      <c r="AW199" s="22">
        <f>SUMIF(tabParametros[Código do Posto],tabCustoUnit[[#This Row],[Código do Posto]],tabParametros[Licença Paternidade])*tabCustoUnit[[#This Row],[MODULO 1 - REMUNERAÇÃO ]]</f>
        <v>0.44412834874999996</v>
      </c>
      <c r="AX199" s="22">
        <f>SUMIF(tabParametros[Código do Posto],tabCustoUnit[[#This Row],[Código do Posto]],tabParametros[Ausência por Acidente de Trabalho])*tabCustoUnit[[#This Row],[MODULO 1 - REMUNERAÇÃO ]]</f>
        <v>0.54161993749999993</v>
      </c>
      <c r="AY199" s="22">
        <f>SUMIF(tabParametros[Código do Posto],tabCustoUnit[[#This Row],[Código do Posto]],tabParametros[Férias, Adicional de Férias e 13º  com empregada em gozo de Licença Maternidade])*tabCustoUnit[[#This Row],[MODULO 1 - REMUNERAÇÃO ]]</f>
        <v>3.3700796111111107</v>
      </c>
      <c r="AZ199" s="22">
        <f>SUMIF(tabParametros[Código do Posto],tabCustoUnit[[#This Row],[Código do Posto]],tabParametros[Incidência do Submódulo 2.1 sobre Ausências Legais])*tabCustoUnit[[#This Row],[MODULO 1 - REMUNERAÇÃO ]]</f>
        <v>11.9377150536525</v>
      </c>
      <c r="BA199" s="22">
        <f>SUM(tabCustoUnit[[#This Row],[Ausência por Doença]:[Incidência do Submódulo 2.1 sobre Ausências Legais]])</f>
        <v>43.518971809346937</v>
      </c>
      <c r="BB199" s="22">
        <f>SUMIF(tabParametros[Código do Posto],tabCustoUnit[[#This Row],[Código do Posto]],tabParametros[Intervalo para Repouso ou Alimentação])</f>
        <v>0</v>
      </c>
      <c r="BC199" s="22">
        <f>tabCustoUnit[[#This Row],[Intervalo para Repouso ou Alimentação]]</f>
        <v>0</v>
      </c>
      <c r="BD19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199" s="22">
        <f>tabCustoUnit[[#This Row],[Suspensão Temporária do Contrato de Trabalho]]</f>
        <v>0</v>
      </c>
      <c r="BF199" s="22">
        <f>tabCustoUnit[[#This Row],[Submódulo 4.1]]+tabCustoUnit[[#This Row],[Submódulo 4.2]]+tabCustoUnit[[#This Row],[Submódulo 4.3]]</f>
        <v>43.518971809346937</v>
      </c>
      <c r="BG199" s="22">
        <f>VLOOKUP(tabCustoUnit[[#This Row],[Código do Posto]],tabParametros[],MATCH(tabCustoUnit[[#Headers],[Uniformes e EPIs]],tabParametros[#Headers],0),0)</f>
        <v>196.62072732312174</v>
      </c>
      <c r="BH199" s="22">
        <f>VLOOKUP(tabCustoUnit[[#This Row],[Código do Posto]],tabParametros[],MATCH(tabCustoUnit[[#Headers],[Materiais de Consumo]],tabParametros[#Headers],0),0)</f>
        <v>441.81099462365592</v>
      </c>
      <c r="BI199" s="22">
        <f>VLOOKUP(tabCustoUnit[[#This Row],[Código do Posto]],tabParametros[],MATCH(tabCustoUnit[[#Headers],[Máquinas e Equipamentos (depreciação)]],tabParametros[#Headers],0),0)</f>
        <v>113.11309677419354</v>
      </c>
      <c r="BJ199" s="22">
        <f>VLOOKUP(tabCustoUnit[[#This Row],[Código do Posto]],tabParametros[],MATCH(tabCustoUnit[[#Headers],[Produtos de Limpeza e Materiais de Higiene Pessoal]],tabParametros[#Headers],0),0)</f>
        <v>0</v>
      </c>
      <c r="BK199" s="22">
        <f>VLOOKUP(tabCustoUnit[[#This Row],[Código do Posto]],tabParametros[],MATCH(tabCustoUnit[[#Headers],[Outros (especificar)]],tabParametros[#Headers],0),0)</f>
        <v>0</v>
      </c>
      <c r="BL199" s="22">
        <f>SUM(tabCustoUnit[[#This Row],[Uniformes e EPIs]:[Outros (especificar)]])</f>
        <v>751.54481872097119</v>
      </c>
      <c r="BM19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199" s="22" t="e">
        <f ca="1">VLOOKUP(tabCustoUnit[[#This Row],[Código do Posto]],tabParametros[],MATCH(tabCustoUnit[[#Headers],[Custos Indiretos]],tabParametros[#Headers],0),0)</f>
        <v>#NAME?</v>
      </c>
      <c r="BO199" s="22" t="e">
        <f ca="1">VLOOKUP(tabCustoUnit[[#This Row],[Código do Posto]],tabParametros[],MATCH(tabCustoUnit[[#Headers],[Lucro]],tabParametros[#Headers],0),0)</f>
        <v>#NAME?</v>
      </c>
      <c r="BP199" s="26">
        <f>((100/((1-tabCustoUnit[[#This Row],[Resumo de Alíquotas (PIS+CONFINS+ISS)]]))-100)*VLOOKUP(tabCustoUnit[[#This Row],[Código do Posto]],tabParametros[],MATCH(tabCustoUnit[[#Headers],[COFINS]],tabParametros[#Headers],0),0))/(tabCustoUnit[[#This Row],[Resumo de Alíquotas (PIS+CONFINS+ISS)]]*100)</f>
        <v>8.8629737609329504E-2</v>
      </c>
      <c r="BQ199" s="26">
        <f>((100/((100-(tabCustoUnit[[#This Row],[Resumo de Alíquotas (PIS+CONFINS+ISS)]]*100))%)-100)*VLOOKUP(tabCustoUnit[[#This Row],[Código do Posto]],tabParametros[],MATCH(tabCustoUnit[[#Headers],[PIS]],tabParametros[#Headers],0),0))/(tabCustoUnit[[#This Row],[Resumo de Alíquotas (PIS+CONFINS+ISS)]]*100)</f>
        <v>1.9241982507288629E-2</v>
      </c>
      <c r="BR199" s="28">
        <f>VLOOKUP(tabCustoUnit[[#This Row],[Código do Posto]],tabParametros[],MATCH(tabCustoUnit[[#Headers],[ISS]],tabParametros[#Headers],0),0)</f>
        <v>0.05</v>
      </c>
      <c r="BS199" s="26">
        <f>(((100/((100-(tabCustoUnit[[#This Row],[Resumo de Alíquotas (PIS+CONFINS+ISS)]]*100))%)-100)*tabCustoUnit[[#This Row],[ISS]])/tabCustoUnit[[#This Row],[Resumo de Alíquotas (PIS+CONFINS+ISS)]])/100</f>
        <v>5.8309037900874633E-2</v>
      </c>
      <c r="BT19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9" s="138">
        <f>tabCustoUnit[[#This Row],[COFINS]]+tabCustoUnit[[#This Row],[PIS]]+tabCustoUnit[[#This Row],[ISS (Conversão Alíquota s/ fatura)]]</f>
        <v>0.16618075801749277</v>
      </c>
      <c r="BV199" s="22" t="e">
        <f ca="1">(tabCustoUnit[[#This Row],[TOTAL MÓDULOS 1+2+3+4+5]]+tabCustoUnit[[#This Row],[Custos Indiretos]]+tabCustoUnit[[#This Row],[Lucro]])*tabCustoUnit[[#This Row],[PIS + COFINS + ISS (Total Conversão  Alíquota s/ Fatura)]]</f>
        <v>#NAME?</v>
      </c>
      <c r="BW199" s="22" t="e">
        <f ca="1">tabCustoUnit[[#This Row],[Custos Indiretos]]+tabCustoUnit[[#This Row],[Lucro]]+tabCustoUnit[[#This Row],[Valor dos Tributos (ISS, PIS, CONFINS)]]</f>
        <v>#NAME?</v>
      </c>
      <c r="BX199" s="22" t="e">
        <f ca="1">tabCustoUnit[[#This Row],[TOTAL MÓDULOS 1+2+3+4+5]]+tabCustoUnit[[#This Row],[MÓDULO 6 – CUSTOS INDIRETOS, TRIBUTOS E LUCRO]]</f>
        <v>#NAME?</v>
      </c>
      <c r="BY199" s="22" t="e">
        <f ca="1">tabCustoUnit[[#This Row],[CUSTO TOTAL MENSAL]]*12</f>
        <v>#NAME?</v>
      </c>
      <c r="BZ199" s="24">
        <f>VLOOKUP(tabCustoUnit[[#This Row],[Código do Posto]],tabParametros[],MATCH(tabCustoUnit[[#Headers],[ANO DA CCT]],tabParametros[#Headers],0),0)</f>
        <v>45658</v>
      </c>
      <c r="CA199" s="25" t="str">
        <f>VLOOKUP(tabCustoUnit[[#This Row],[Código do Posto]],tabParametros[],MATCH(tabCustoUnit[[#Headers],[Nº DE PEDIDO DA CCT]],tabParametros[#Headers],0),0)</f>
        <v>-</v>
      </c>
      <c r="CB199" s="25" t="str">
        <f>VLOOKUP(tabCustoUnit[[#This Row],[Código do Posto]],tabParametros[],MATCH(tabCustoUnit[[#Headers],[TERMO ADITIVO ALTERAÇÃO DA CCT]],tabParametros[#Headers],0),0)</f>
        <v>-</v>
      </c>
    </row>
    <row r="200" spans="1:80">
      <c r="A200" s="20" t="s">
        <v>1638</v>
      </c>
      <c r="B200" t="s">
        <v>1159</v>
      </c>
      <c r="C200" t="s">
        <v>274</v>
      </c>
      <c r="D200" t="s">
        <v>999</v>
      </c>
      <c r="E200" s="20" t="s">
        <v>1090</v>
      </c>
      <c r="F200" s="20" t="s">
        <v>120</v>
      </c>
      <c r="G200" s="418">
        <v>4599.5983999999999</v>
      </c>
      <c r="H200" s="418">
        <v>0</v>
      </c>
      <c r="I200" s="418">
        <v>0</v>
      </c>
      <c r="J200" s="418">
        <v>0</v>
      </c>
      <c r="K200" s="418">
        <v>0</v>
      </c>
      <c r="L200" s="418">
        <v>0</v>
      </c>
      <c r="M200" s="418">
        <v>0</v>
      </c>
      <c r="N200" s="418">
        <v>0</v>
      </c>
      <c r="O200" s="21">
        <f>SUM(tabCustoUnit[[#This Row],[Salário Base]:[Adicional de Acúmulo de função]])</f>
        <v>4599.5983999999999</v>
      </c>
      <c r="P200" s="21">
        <f>tabCustoUnit[[#This Row],[MODULO 1 - REMUNERAÇÃO ]]*SUMIFS(tabParametros[INSS],tabParametros[Código do Posto],tabCustoUnit[[#This Row],[Código do Posto]])</f>
        <v>919.91967999999997</v>
      </c>
      <c r="Q200" s="21">
        <f>tabCustoUnit[[#This Row],[MODULO 1 - REMUNERAÇÃO ]]*SUMIFS(tabParametros[SESI OU SESC],tabParametros[Código do Posto],tabCustoUnit[[#This Row],[Código do Posto]])</f>
        <v>68.993975999999989</v>
      </c>
      <c r="R200" s="21">
        <f>tabCustoUnit[[#This Row],[MODULO 1 - REMUNERAÇÃO ]]*SUMIFS(tabParametros[SENAI OU SENAC],tabParametros[Código do Posto],tabCustoUnit[[#This Row],[Código do Posto]])</f>
        <v>45.995984</v>
      </c>
      <c r="S200" s="21">
        <f>tabCustoUnit[[#This Row],[MODULO 1 - REMUNERAÇÃO ]]*SUMIFS(tabParametros[INCRA],tabParametros[Código do Posto],tabCustoUnit[[#This Row],[Código do Posto]])</f>
        <v>9.1991967999999993</v>
      </c>
      <c r="T200" s="21">
        <f>tabCustoUnit[[#This Row],[MODULO 1 - REMUNERAÇÃO ]]*SUMIFS(tabParametros[Salário Educação],tabParametros[Código do Posto],tabCustoUnit[[#This Row],[Código do Posto]])</f>
        <v>114.98996</v>
      </c>
      <c r="U200" s="21">
        <f>tabCustoUnit[[#This Row],[MODULO 1 - REMUNERAÇÃO ]]*SUMIFS(tabParametros[FGTS],tabParametros[Código do Posto],tabCustoUnit[[#This Row],[Código do Posto]])</f>
        <v>367.967872</v>
      </c>
      <c r="V200" s="21">
        <f>tabCustoUnit[[#This Row],[MODULO 1 - REMUNERAÇÃO ]]*SUMIFS(tabParametros[RAT Ajustado],tabParametros[Código do Posto],tabCustoUnit[[#This Row],[Código do Posto]])</f>
        <v>183.983936</v>
      </c>
      <c r="W200" s="21">
        <f>tabCustoUnit[[#This Row],[MODULO 1 - REMUNERAÇÃO ]]*SUMIFS(tabParametros[SEBRAE],tabParametros[Código do Posto],tabCustoUnit[[#This Row],[Código do Posto]])</f>
        <v>27.597590400000001</v>
      </c>
      <c r="X200" s="21">
        <f>SUM(tabCustoUnit[[#This Row],[INSS]:[SEBRAE]])</f>
        <v>1738.6481951999999</v>
      </c>
      <c r="Y200" s="21">
        <f>tabCustoUnit[[#This Row],[MODULO 1 - REMUNERAÇÃO ]]*SUMIFS(tabParametros[13º salário (titular)],tabParametros[Código do Posto],tabCustoUnit[[#This Row],[Código do Posto]])</f>
        <v>383.29986666666662</v>
      </c>
      <c r="Z200" s="21">
        <f>tabCustoUnit[[#This Row],[MODULO 1 - REMUNERAÇÃO ]]*SUMIFS(tabParametros[Férias e Adicional de Férias (titular)],tabParametros[Código do Posto],tabCustoUnit[[#This Row],[Código do Posto]])</f>
        <v>511.06648888888884</v>
      </c>
      <c r="AA200" s="21">
        <f>IFERROR((tabCustoUnit[[#This Row],[Submódulo 2.1]]/tabCustoUnit[[#This Row],[MODULO 1 - REMUNERAÇÃO ]])*SUM(tabCustoUnit[[#This Row],[13º salário (titular)]:[Férias e Adicional de Férias (titular)]]),0)</f>
        <v>338.07048239999995</v>
      </c>
      <c r="AB200" s="21">
        <f>SUM(tabCustoUnit[[#This Row],[13º salário (titular)]:[Incidência do Submódulo 2.1 sobre 13º Salário, Férias e Adicional de Férias]])</f>
        <v>1232.4368379555553</v>
      </c>
      <c r="AC200" s="22" t="e">
        <f ca="1">_xlfn.LET(_xlpm.VT,SUMIF(tabParametros[Código do Posto],tabCustoUnit[[#This Row],[Código do Posto]],tabParametros[Vale - Transporte])*2*20,
IF((_xlpm.VT-tabCustoUnit[[#This Row],[Salário Base]]*0.06)&gt;=0,(_xlpm.VT-tabCustoUnit[[#This Row],[Salário Base]]*0.06),0)
)</f>
        <v>#NAME?</v>
      </c>
      <c r="AD200" s="22">
        <f>IF(SUMIF(tabParametros[Código do Posto],tabCustoUnit[[#This Row],[Código do Posto]],tabParametros[Vale - Alimentação])&lt;=0,0,
SUMIF(tabParametros[Código do Posto],tabCustoUnit[[#This Row],[Código do Posto]],tabParametros[Vale - Alimentação])*20-1)</f>
        <v>578.4</v>
      </c>
      <c r="AE200" s="22">
        <f>SUMIF(tabParametros[Código do Posto],tabCustoUnit[[#This Row],[Código do Posto]],tabParametros[Cesta Básica])</f>
        <v>0</v>
      </c>
      <c r="AF200" s="22">
        <f>SUMIF(tabParametros[Código do Posto],tabCustoUnit[[#This Row],[Código do Posto]],tabParametros[PAF])</f>
        <v>0</v>
      </c>
      <c r="AG200" s="22">
        <f>SUMIF(tabParametros[Código do Posto],tabCustoUnit[[#This Row],[Código do Posto]],tabParametros[PQM])</f>
        <v>0</v>
      </c>
      <c r="AH200" s="22">
        <f>SUMIF(tabParametros[Código do Posto],tabCustoUnit[[#This Row],[Código do Posto]],tabParametros[Abono Único e Especial])</f>
        <v>0</v>
      </c>
      <c r="AI200" s="22">
        <f>SUMIF(tabParametros[Código do Posto],tabCustoUnit[[#This Row],[Código do Posto]],tabParametros[Seguro de Vida])</f>
        <v>3.36</v>
      </c>
      <c r="AJ200" s="22">
        <f>SUMIF(tabParametros[Código do Posto],tabCustoUnit[[#This Row],[Código do Posto]],tabParametros[Despesas de Viagem])</f>
        <v>662.42</v>
      </c>
      <c r="AK200" s="22" t="e">
        <f ca="1">SUM(tabCustoUnit[[#This Row],[Vale - Transporte (Descontada parcela do empregado)]:[Despesas de Viagem]])</f>
        <v>#NAME?</v>
      </c>
      <c r="AL200" s="22" t="e">
        <f ca="1">tabCustoUnit[[#This Row],[Submódulo 2.1]]+tabCustoUnit[[#This Row],[Submódulo 2.2]]+tabCustoUnit[[#This Row],[Submódulo 2.3]]</f>
        <v>#NAME?</v>
      </c>
      <c r="AM200" s="22">
        <f>SUMIF(tabParametros[Código do Posto],tabCustoUnit[[#This Row],[Código do Posto]],tabParametros[Aviso Prévio Indenizado (API) e Reflexo do Aviso Prévio Indenizado])*tabCustoUnit[[#This Row],[MODULO 1 - REMUNERAÇÃO ]]</f>
        <v>32.25131216080247</v>
      </c>
      <c r="AN200" s="22">
        <f>SUMIF(tabParametros[Código do Posto],tabCustoUnit[[#This Row],[Código do Posto]],tabParametros[Incidência do FGTS sobre API e Reflexo do API])*tabCustoUnit[[#This Row],[MODULO 1 - REMUNERAÇÃO ]]</f>
        <v>2.5801049728641976</v>
      </c>
      <c r="AO200" s="22">
        <f>SUMIF(tabParametros[Código do Posto],tabCustoUnit[[#This Row],[Código do Posto]],tabParametros[Multa Rescisória do FGTS sobre o Aviso Prévio Indenizado])*tabCustoUnit[[#This Row],[MODULO 1 - REMUNERAÇÃO ]]</f>
        <v>1.0320419891456791</v>
      </c>
      <c r="AP200" s="22">
        <f>SUMIF(tabParametros[Código do Posto],tabCustoUnit[[#This Row],[Código do Posto]],tabParametros[Aviso Prévio Trabalhado - APT])*tabCustoUnit[[#This Row],[MODULO 1 - REMUNERAÇÃO ]]</f>
        <v>16.098594400000003</v>
      </c>
      <c r="AQ200" s="22">
        <f>SUMIF(tabParametros[Código do Posto],tabCustoUnit[[#This Row],[Código do Posto]],tabParametros[Incidência dos encargos do submódulo 2.1 sobre Aviso Prévio Trabalhado])*tabCustoUnit[[#This Row],[MODULO 1 - REMUNERAÇÃO ]]</f>
        <v>6.0852686832000016</v>
      </c>
      <c r="AR200" s="22">
        <f>SUMIF(tabParametros[Código do Posto],tabCustoUnit[[#This Row],[Código do Posto]],tabParametros[Multa Rescisória do FGTS])*tabCustoUnit[[#This Row],[MODULO 1 - REMUNERAÇÃO ]]</f>
        <v>140.6454977422222</v>
      </c>
      <c r="AS200" s="22">
        <f>SUMIF(tabParametros[Código do Posto],tabCustoUnit[[#This Row],[Código do Posto]],tabParametros[Indenização Adicional (Art. 9º da Lei nº 7.238/84)])*tabCustoUnit[[#This Row],[MODULO 1 - REMUNERAÇÃO ]]</f>
        <v>3.8329986666666667</v>
      </c>
      <c r="AT200" s="22">
        <f>SUM(tabCustoUnit[[#This Row],[Aviso Prévio Indenizado (API) e Reflexo do Aviso Prévio Indenizado]:[Indenização Adicional (Art. 9º da Lei nº 7.238/84)]])</f>
        <v>202.52581861490123</v>
      </c>
      <c r="AU200" s="22">
        <f>SUMIF(tabParametros[Código do Posto],tabCustoUnit[[#This Row],[Código do Posto]],tabParametros[Ausência por Doença])*tabCustoUnit[[#This Row],[MODULO 1 - REMUNERAÇÃO ]]</f>
        <v>38.841053155555549</v>
      </c>
      <c r="AV200" s="22">
        <f>SUMIF(tabParametros[Código do Posto],tabCustoUnit[[#This Row],[Código do Posto]],tabParametros[Ausências Legais])*tabCustoUnit[[#This Row],[MODULO 1 - REMUNERAÇÃO ]]</f>
        <v>9.3269634222222209</v>
      </c>
      <c r="AW200" s="22">
        <f>SUMIF(tabParametros[Código do Posto],tabCustoUnit[[#This Row],[Código do Posto]],tabParametros[Licença Paternidade])*tabCustoUnit[[#This Row],[MODULO 1 - REMUNERAÇÃO ]]</f>
        <v>0.78576472666666664</v>
      </c>
      <c r="AX200" s="22">
        <f>SUMIF(tabParametros[Código do Posto],tabCustoUnit[[#This Row],[Código do Posto]],tabParametros[Ausência por Acidente de Trabalho])*tabCustoUnit[[#This Row],[MODULO 1 - REMUNERAÇÃO ]]</f>
        <v>0.95824966666666667</v>
      </c>
      <c r="AY200" s="22">
        <f>SUMIF(tabParametros[Código do Posto],tabCustoUnit[[#This Row],[Código do Posto]],tabParametros[Férias, Adicional de Férias e 13º  com empregada em gozo de Licença Maternidade])*tabCustoUnit[[#This Row],[MODULO 1 - REMUNERAÇÃO ]]</f>
        <v>5.9624423703703702</v>
      </c>
      <c r="AZ200" s="22">
        <f>SUMIF(tabParametros[Código do Posto],tabCustoUnit[[#This Row],[Código do Posto]],tabParametros[Incidência do Submódulo 2.1 sobre Ausências Legais])*tabCustoUnit[[#This Row],[MODULO 1 - REMUNERAÇÃO ]]</f>
        <v>21.120550923080003</v>
      </c>
      <c r="BA200" s="22">
        <f>SUM(tabCustoUnit[[#This Row],[Ausência por Doença]:[Incidência do Submódulo 2.1 sobre Ausências Legais]])</f>
        <v>76.995024264561465</v>
      </c>
      <c r="BB200" s="22">
        <f>SUMIF(tabParametros[Código do Posto],tabCustoUnit[[#This Row],[Código do Posto]],tabParametros[Intervalo para Repouso ou Alimentação])</f>
        <v>0</v>
      </c>
      <c r="BC200" s="22">
        <f>tabCustoUnit[[#This Row],[Intervalo para Repouso ou Alimentação]]</f>
        <v>0</v>
      </c>
      <c r="BD20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0" s="22">
        <f>tabCustoUnit[[#This Row],[Suspensão Temporária do Contrato de Trabalho]]</f>
        <v>0</v>
      </c>
      <c r="BF200" s="22">
        <f>tabCustoUnit[[#This Row],[Submódulo 4.1]]+tabCustoUnit[[#This Row],[Submódulo 4.2]]+tabCustoUnit[[#This Row],[Submódulo 4.3]]</f>
        <v>76.995024264561465</v>
      </c>
      <c r="BG200" s="22">
        <f>VLOOKUP(tabCustoUnit[[#This Row],[Código do Posto]],tabParametros[],MATCH(tabCustoUnit[[#Headers],[Uniformes e EPIs]],tabParametros[#Headers],0),0)</f>
        <v>92.100763771570698</v>
      </c>
      <c r="BH200" s="22">
        <f>VLOOKUP(tabCustoUnit[[#This Row],[Código do Posto]],tabParametros[],MATCH(tabCustoUnit[[#Headers],[Materiais de Consumo]],tabParametros[#Headers],0),0)</f>
        <v>0</v>
      </c>
      <c r="BI200" s="22">
        <f>VLOOKUP(tabCustoUnit[[#This Row],[Código do Posto]],tabParametros[],MATCH(tabCustoUnit[[#Headers],[Máquinas e Equipamentos (depreciação)]],tabParametros[#Headers],0),0)</f>
        <v>0</v>
      </c>
      <c r="BJ200" s="22">
        <f>VLOOKUP(tabCustoUnit[[#This Row],[Código do Posto]],tabParametros[],MATCH(tabCustoUnit[[#Headers],[Produtos de Limpeza e Materiais de Higiene Pessoal]],tabParametros[#Headers],0),0)</f>
        <v>0</v>
      </c>
      <c r="BK200" s="22">
        <f>VLOOKUP(tabCustoUnit[[#This Row],[Código do Posto]],tabParametros[],MATCH(tabCustoUnit[[#Headers],[Outros (especificar)]],tabParametros[#Headers],0),0)</f>
        <v>0</v>
      </c>
      <c r="BL200" s="22">
        <f>SUM(tabCustoUnit[[#This Row],[Uniformes e EPIs]:[Outros (especificar)]])</f>
        <v>92.100763771570698</v>
      </c>
      <c r="BM20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0" s="22" t="e">
        <f ca="1">VLOOKUP(tabCustoUnit[[#This Row],[Código do Posto]],tabParametros[],MATCH(tabCustoUnit[[#Headers],[Custos Indiretos]],tabParametros[#Headers],0),0)</f>
        <v>#NAME?</v>
      </c>
      <c r="BO200" s="22" t="e">
        <f ca="1">VLOOKUP(tabCustoUnit[[#This Row],[Código do Posto]],tabParametros[],MATCH(tabCustoUnit[[#Headers],[Lucro]],tabParametros[#Headers],0),0)</f>
        <v>#NAME?</v>
      </c>
      <c r="BP200" s="26">
        <f>((100/((1-tabCustoUnit[[#This Row],[Resumo de Alíquotas (PIS+CONFINS+ISS)]]))-100)*VLOOKUP(tabCustoUnit[[#This Row],[Código do Posto]],tabParametros[],MATCH(tabCustoUnit[[#Headers],[COFINS]],tabParametros[#Headers],0),0))/(tabCustoUnit[[#This Row],[Resumo de Alíquotas (PIS+CONFINS+ISS)]]*100)</f>
        <v>8.8629737609329504E-2</v>
      </c>
      <c r="BQ200" s="26">
        <f>((100/((100-(tabCustoUnit[[#This Row],[Resumo de Alíquotas (PIS+CONFINS+ISS)]]*100))%)-100)*VLOOKUP(tabCustoUnit[[#This Row],[Código do Posto]],tabParametros[],MATCH(tabCustoUnit[[#Headers],[PIS]],tabParametros[#Headers],0),0))/(tabCustoUnit[[#This Row],[Resumo de Alíquotas (PIS+CONFINS+ISS)]]*100)</f>
        <v>1.9241982507288629E-2</v>
      </c>
      <c r="BR200" s="28">
        <f>VLOOKUP(tabCustoUnit[[#This Row],[Código do Posto]],tabParametros[],MATCH(tabCustoUnit[[#Headers],[ISS]],tabParametros[#Headers],0),0)</f>
        <v>0.05</v>
      </c>
      <c r="BS200" s="26">
        <f>(((100/((100-(tabCustoUnit[[#This Row],[Resumo de Alíquotas (PIS+CONFINS+ISS)]]*100))%)-100)*tabCustoUnit[[#This Row],[ISS]])/tabCustoUnit[[#This Row],[Resumo de Alíquotas (PIS+CONFINS+ISS)]])/100</f>
        <v>5.8309037900874633E-2</v>
      </c>
      <c r="BT20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00" s="138">
        <f>tabCustoUnit[[#This Row],[COFINS]]+tabCustoUnit[[#This Row],[PIS]]+tabCustoUnit[[#This Row],[ISS (Conversão Alíquota s/ fatura)]]</f>
        <v>0.16618075801749277</v>
      </c>
      <c r="BV200" s="22" t="e">
        <f ca="1">(tabCustoUnit[[#This Row],[TOTAL MÓDULOS 1+2+3+4+5]]+tabCustoUnit[[#This Row],[Custos Indiretos]]+tabCustoUnit[[#This Row],[Lucro]])*tabCustoUnit[[#This Row],[PIS + COFINS + ISS (Total Conversão  Alíquota s/ Fatura)]]</f>
        <v>#NAME?</v>
      </c>
      <c r="BW200" s="22" t="e">
        <f ca="1">tabCustoUnit[[#This Row],[Custos Indiretos]]+tabCustoUnit[[#This Row],[Lucro]]+tabCustoUnit[[#This Row],[Valor dos Tributos (ISS, PIS, CONFINS)]]</f>
        <v>#NAME?</v>
      </c>
      <c r="BX200" s="22" t="e">
        <f ca="1">tabCustoUnit[[#This Row],[TOTAL MÓDULOS 1+2+3+4+5]]+tabCustoUnit[[#This Row],[MÓDULO 6 – CUSTOS INDIRETOS, TRIBUTOS E LUCRO]]</f>
        <v>#NAME?</v>
      </c>
      <c r="BY200" s="22" t="e">
        <f ca="1">tabCustoUnit[[#This Row],[CUSTO TOTAL MENSAL]]*12</f>
        <v>#NAME?</v>
      </c>
      <c r="BZ200" s="24">
        <f>VLOOKUP(tabCustoUnit[[#This Row],[Código do Posto]],tabParametros[],MATCH(tabCustoUnit[[#Headers],[ANO DA CCT]],tabParametros[#Headers],0),0)</f>
        <v>45658</v>
      </c>
      <c r="CA200" s="25" t="str">
        <f>VLOOKUP(tabCustoUnit[[#This Row],[Código do Posto]],tabParametros[],MATCH(tabCustoUnit[[#Headers],[Nº DE PEDIDO DA CCT]],tabParametros[#Headers],0),0)</f>
        <v>-</v>
      </c>
      <c r="CB200" s="25" t="str">
        <f>VLOOKUP(tabCustoUnit[[#This Row],[Código do Posto]],tabParametros[],MATCH(tabCustoUnit[[#Headers],[TERMO ADITIVO ALTERAÇÃO DA CCT]],tabParametros[#Headers],0),0)</f>
        <v>-</v>
      </c>
    </row>
    <row r="201" spans="1:80">
      <c r="A201" s="20" t="s">
        <v>1488</v>
      </c>
      <c r="B201" t="s">
        <v>1159</v>
      </c>
      <c r="C201" t="s">
        <v>314</v>
      </c>
      <c r="D201" t="s">
        <v>961</v>
      </c>
      <c r="E201" s="20" t="s">
        <v>1090</v>
      </c>
      <c r="F201" s="20" t="s">
        <v>120</v>
      </c>
      <c r="G201" s="418">
        <v>1963.405</v>
      </c>
      <c r="H201" s="418">
        <v>0</v>
      </c>
      <c r="I201" s="418">
        <v>0</v>
      </c>
      <c r="J201" s="418">
        <v>0</v>
      </c>
      <c r="K201" s="418">
        <v>0</v>
      </c>
      <c r="L201" s="418">
        <v>0</v>
      </c>
      <c r="M201" s="418">
        <v>0</v>
      </c>
      <c r="N201" s="418">
        <v>0</v>
      </c>
      <c r="O201" s="21">
        <f>SUM(tabCustoUnit[[#This Row],[Salário Base]:[Adicional de Acúmulo de função]])</f>
        <v>1963.405</v>
      </c>
      <c r="P201" s="21">
        <f>tabCustoUnit[[#This Row],[MODULO 1 - REMUNERAÇÃO ]]*SUMIFS(tabParametros[INSS],tabParametros[Código do Posto],tabCustoUnit[[#This Row],[Código do Posto]])</f>
        <v>392.68100000000004</v>
      </c>
      <c r="Q201" s="21">
        <f>tabCustoUnit[[#This Row],[MODULO 1 - REMUNERAÇÃO ]]*SUMIFS(tabParametros[SESI OU SESC],tabParametros[Código do Posto],tabCustoUnit[[#This Row],[Código do Posto]])</f>
        <v>29.451074999999999</v>
      </c>
      <c r="R201" s="21">
        <f>tabCustoUnit[[#This Row],[MODULO 1 - REMUNERAÇÃO ]]*SUMIFS(tabParametros[SENAI OU SENAC],tabParametros[Código do Posto],tabCustoUnit[[#This Row],[Código do Posto]])</f>
        <v>19.634049999999998</v>
      </c>
      <c r="S201" s="21">
        <f>tabCustoUnit[[#This Row],[MODULO 1 - REMUNERAÇÃO ]]*SUMIFS(tabParametros[INCRA],tabParametros[Código do Posto],tabCustoUnit[[#This Row],[Código do Posto]])</f>
        <v>3.9268100000000001</v>
      </c>
      <c r="T201" s="21">
        <f>tabCustoUnit[[#This Row],[MODULO 1 - REMUNERAÇÃO ]]*SUMIFS(tabParametros[Salário Educação],tabParametros[Código do Posto],tabCustoUnit[[#This Row],[Código do Posto]])</f>
        <v>49.085125000000005</v>
      </c>
      <c r="U201" s="21">
        <f>tabCustoUnit[[#This Row],[MODULO 1 - REMUNERAÇÃO ]]*SUMIFS(tabParametros[FGTS],tabParametros[Código do Posto],tabCustoUnit[[#This Row],[Código do Posto]])</f>
        <v>157.07239999999999</v>
      </c>
      <c r="V201" s="21">
        <f>tabCustoUnit[[#This Row],[MODULO 1 - REMUNERAÇÃO ]]*SUMIFS(tabParametros[RAT Ajustado],tabParametros[Código do Posto],tabCustoUnit[[#This Row],[Código do Posto]])</f>
        <v>78.536199999999994</v>
      </c>
      <c r="W201" s="21">
        <f>tabCustoUnit[[#This Row],[MODULO 1 - REMUNERAÇÃO ]]*SUMIFS(tabParametros[SEBRAE],tabParametros[Código do Posto],tabCustoUnit[[#This Row],[Código do Posto]])</f>
        <v>11.780430000000001</v>
      </c>
      <c r="X201" s="21">
        <f>SUM(tabCustoUnit[[#This Row],[INSS]:[SEBRAE]])</f>
        <v>742.16709000000003</v>
      </c>
      <c r="Y201" s="21">
        <f>tabCustoUnit[[#This Row],[MODULO 1 - REMUNERAÇÃO ]]*SUMIFS(tabParametros[13º salário (titular)],tabParametros[Código do Posto],tabCustoUnit[[#This Row],[Código do Posto]])</f>
        <v>163.61708333333331</v>
      </c>
      <c r="Z201" s="21">
        <f>tabCustoUnit[[#This Row],[MODULO 1 - REMUNERAÇÃO ]]*SUMIFS(tabParametros[Férias e Adicional de Férias (titular)],tabParametros[Código do Posto],tabCustoUnit[[#This Row],[Código do Posto]])</f>
        <v>218.1561111111111</v>
      </c>
      <c r="AA201" s="21">
        <f>IFERROR((tabCustoUnit[[#This Row],[Submódulo 2.1]]/tabCustoUnit[[#This Row],[MODULO 1 - REMUNERAÇÃO ]])*SUM(tabCustoUnit[[#This Row],[13º salário (titular)]:[Férias e Adicional de Férias (titular)]]),0)</f>
        <v>144.31026749999998</v>
      </c>
      <c r="AB201" s="21">
        <f>SUM(tabCustoUnit[[#This Row],[13º salário (titular)]:[Incidência do Submódulo 2.1 sobre 13º Salário, Férias e Adicional de Férias]])</f>
        <v>526.08346194444437</v>
      </c>
      <c r="AC201" s="22" t="e">
        <f ca="1">_xlfn.LET(_xlpm.VT,SUMIF(tabParametros[Código do Posto],tabCustoUnit[[#This Row],[Código do Posto]],tabParametros[Vale - Transporte])*2*20,
IF((_xlpm.VT-tabCustoUnit[[#This Row],[Salário Base]]*0.06)&gt;=0,(_xlpm.VT-tabCustoUnit[[#This Row],[Salário Base]]*0.06),0)
)</f>
        <v>#NAME?</v>
      </c>
      <c r="AD201" s="22">
        <f>IF(SUMIF(tabParametros[Código do Posto],tabCustoUnit[[#This Row],[Código do Posto]],tabParametros[Vale - Alimentação])&lt;=0,0,
SUMIF(tabParametros[Código do Posto],tabCustoUnit[[#This Row],[Código do Posto]],tabParametros[Vale - Alimentação])*20-1)</f>
        <v>582</v>
      </c>
      <c r="AE201" s="22">
        <f>SUMIF(tabParametros[Código do Posto],tabCustoUnit[[#This Row],[Código do Posto]],tabParametros[Cesta Básica])</f>
        <v>0</v>
      </c>
      <c r="AF201" s="22">
        <f>SUMIF(tabParametros[Código do Posto],tabCustoUnit[[#This Row],[Código do Posto]],tabParametros[PAF])</f>
        <v>53.27</v>
      </c>
      <c r="AG201" s="22">
        <f>SUMIF(tabParametros[Código do Posto],tabCustoUnit[[#This Row],[Código do Posto]],tabParametros[PQM])</f>
        <v>0</v>
      </c>
      <c r="AH201" s="22">
        <f>SUMIF(tabParametros[Código do Posto],tabCustoUnit[[#This Row],[Código do Posto]],tabParametros[Abono Único e Especial])</f>
        <v>0</v>
      </c>
      <c r="AI201" s="22">
        <f>SUMIF(tabParametros[Código do Posto],tabCustoUnit[[#This Row],[Código do Posto]],tabParametros[Seguro de Vida])</f>
        <v>3.36</v>
      </c>
      <c r="AJ201" s="22">
        <f>SUMIF(tabParametros[Código do Posto],tabCustoUnit[[#This Row],[Código do Posto]],tabParametros[Despesas de Viagem])</f>
        <v>0</v>
      </c>
      <c r="AK201" s="22" t="e">
        <f ca="1">SUM(tabCustoUnit[[#This Row],[Vale - Transporte (Descontada parcela do empregado)]:[Despesas de Viagem]])</f>
        <v>#NAME?</v>
      </c>
      <c r="AL201" s="22" t="e">
        <f ca="1">tabCustoUnit[[#This Row],[Submódulo 2.1]]+tabCustoUnit[[#This Row],[Submódulo 2.2]]+tabCustoUnit[[#This Row],[Submódulo 2.3]]</f>
        <v>#NAME?</v>
      </c>
      <c r="AM201" s="22">
        <f>SUMIF(tabParametros[Código do Posto],tabCustoUnit[[#This Row],[Código do Posto]],tabParametros[Aviso Prévio Indenizado (API) e Reflexo do Aviso Prévio Indenizado])*tabCustoUnit[[#This Row],[MODULO 1 - REMUNERAÇÃO ]]</f>
        <v>13.766938338155864</v>
      </c>
      <c r="AN201" s="22">
        <f>SUMIF(tabParametros[Código do Posto],tabCustoUnit[[#This Row],[Código do Posto]],tabParametros[Incidência do FGTS sobre API e Reflexo do API])*tabCustoUnit[[#This Row],[MODULO 1 - REMUNERAÇÃO ]]</f>
        <v>1.1013550670524692</v>
      </c>
      <c r="AO201" s="22">
        <f>SUMIF(tabParametros[Código do Posto],tabCustoUnit[[#This Row],[Código do Posto]],tabParametros[Multa Rescisória do FGTS sobre o Aviso Prévio Indenizado])*tabCustoUnit[[#This Row],[MODULO 1 - REMUNERAÇÃO ]]</f>
        <v>0.44054202682098775</v>
      </c>
      <c r="AP201" s="22">
        <f>SUMIF(tabParametros[Código do Posto],tabCustoUnit[[#This Row],[Código do Posto]],tabParametros[Aviso Prévio Trabalhado - APT])*tabCustoUnit[[#This Row],[MODULO 1 - REMUNERAÇÃO ]]</f>
        <v>6.8719175000000012</v>
      </c>
      <c r="AQ201" s="22">
        <f>SUMIF(tabParametros[Código do Posto],tabCustoUnit[[#This Row],[Código do Posto]],tabParametros[Incidência dos encargos do submódulo 2.1 sobre Aviso Prévio Trabalhado])*tabCustoUnit[[#This Row],[MODULO 1 - REMUNERAÇÃO ]]</f>
        <v>2.5975848150000007</v>
      </c>
      <c r="AR201" s="22">
        <f>SUMIF(tabParametros[Código do Posto],tabCustoUnit[[#This Row],[Código do Posto]],tabParametros[Multa Rescisória do FGTS])*tabCustoUnit[[#This Row],[MODULO 1 - REMUNERAÇÃO ]]</f>
        <v>60.03656177777777</v>
      </c>
      <c r="AS201" s="22">
        <f>SUMIF(tabParametros[Código do Posto],tabCustoUnit[[#This Row],[Código do Posto]],tabParametros[Indenização Adicional (Art. 9º da Lei nº 7.238/84)])*tabCustoUnit[[#This Row],[MODULO 1 - REMUNERAÇÃO ]]</f>
        <v>1.6361708333333334</v>
      </c>
      <c r="AT201" s="22">
        <f>SUM(tabCustoUnit[[#This Row],[Aviso Prévio Indenizado (API) e Reflexo do Aviso Prévio Indenizado]:[Indenização Adicional (Art. 9º da Lei nº 7.238/84)]])</f>
        <v>86.451070358140427</v>
      </c>
      <c r="AU201" s="22">
        <f>SUMIF(tabParametros[Código do Posto],tabCustoUnit[[#This Row],[Código do Posto]],tabParametros[Ausência por Doença])*tabCustoUnit[[#This Row],[MODULO 1 - REMUNERAÇÃO ]]</f>
        <v>16.579864444444443</v>
      </c>
      <c r="AV201" s="22">
        <f>SUMIF(tabParametros[Código do Posto],tabCustoUnit[[#This Row],[Código do Posto]],tabParametros[Ausências Legais])*tabCustoUnit[[#This Row],[MODULO 1 - REMUNERAÇÃO ]]</f>
        <v>3.9813490277777777</v>
      </c>
      <c r="AW201" s="22">
        <f>SUMIF(tabParametros[Código do Posto],tabCustoUnit[[#This Row],[Código do Posto]],tabParametros[Licença Paternidade])*tabCustoUnit[[#This Row],[MODULO 1 - REMUNERAÇÃO ]]</f>
        <v>0.3354150208333333</v>
      </c>
      <c r="AX201" s="22">
        <f>SUMIF(tabParametros[Código do Posto],tabCustoUnit[[#This Row],[Código do Posto]],tabParametros[Ausência por Acidente de Trabalho])*tabCustoUnit[[#This Row],[MODULO 1 - REMUNERAÇÃO ]]</f>
        <v>0.40904270833333334</v>
      </c>
      <c r="AY201" s="22">
        <f>SUMIF(tabParametros[Código do Posto],tabCustoUnit[[#This Row],[Código do Posto]],tabParametros[Férias, Adicional de Férias e 13º  com empregada em gozo de Licença Maternidade])*tabCustoUnit[[#This Row],[MODULO 1 - REMUNERAÇÃO ]]</f>
        <v>2.5451546296296295</v>
      </c>
      <c r="AZ201" s="22">
        <f>SUMIF(tabParametros[Código do Posto],tabCustoUnit[[#This Row],[Código do Posto]],tabParametros[Incidência do Submódulo 2.1 sobre Ausências Legais])*tabCustoUnit[[#This Row],[MODULO 1 - REMUNERAÇÃO ]]</f>
        <v>9.0156121641250007</v>
      </c>
      <c r="BA201" s="22">
        <f>SUM(tabCustoUnit[[#This Row],[Ausência por Doença]:[Incidência do Submódulo 2.1 sobre Ausências Legais]])</f>
        <v>32.866437995143521</v>
      </c>
      <c r="BB201" s="22">
        <f>SUMIF(tabParametros[Código do Posto],tabCustoUnit[[#This Row],[Código do Posto]],tabParametros[Intervalo para Repouso ou Alimentação])</f>
        <v>267.73704981301341</v>
      </c>
      <c r="BC201" s="22">
        <f>tabCustoUnit[[#This Row],[Intervalo para Repouso ou Alimentação]]</f>
        <v>267.73704981301341</v>
      </c>
      <c r="BD20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1" s="22">
        <f>tabCustoUnit[[#This Row],[Suspensão Temporária do Contrato de Trabalho]]</f>
        <v>0</v>
      </c>
      <c r="BF201" s="22">
        <f>tabCustoUnit[[#This Row],[Submódulo 4.1]]+tabCustoUnit[[#This Row],[Submódulo 4.2]]+tabCustoUnit[[#This Row],[Submódulo 4.3]]</f>
        <v>300.60348780815696</v>
      </c>
      <c r="BG201" s="22">
        <f>VLOOKUP(tabCustoUnit[[#This Row],[Código do Posto]],tabParametros[],MATCH(tabCustoUnit[[#Headers],[Uniformes e EPIs]],tabParametros[#Headers],0),0)</f>
        <v>56.642978962543395</v>
      </c>
      <c r="BH201" s="22">
        <f>VLOOKUP(tabCustoUnit[[#This Row],[Código do Posto]],tabParametros[],MATCH(tabCustoUnit[[#Headers],[Materiais de Consumo]],tabParametros[#Headers],0),0)</f>
        <v>0</v>
      </c>
      <c r="BI201" s="22">
        <f>VLOOKUP(tabCustoUnit[[#This Row],[Código do Posto]],tabParametros[],MATCH(tabCustoUnit[[#Headers],[Máquinas e Equipamentos (depreciação)]],tabParametros[#Headers],0),0)</f>
        <v>0</v>
      </c>
      <c r="BJ201" s="22">
        <f>VLOOKUP(tabCustoUnit[[#This Row],[Código do Posto]],tabParametros[],MATCH(tabCustoUnit[[#Headers],[Produtos de Limpeza e Materiais de Higiene Pessoal]],tabParametros[#Headers],0),0)</f>
        <v>0</v>
      </c>
      <c r="BK201" s="22">
        <f>VLOOKUP(tabCustoUnit[[#This Row],[Código do Posto]],tabParametros[],MATCH(tabCustoUnit[[#Headers],[Outros (especificar)]],tabParametros[#Headers],0),0)</f>
        <v>0</v>
      </c>
      <c r="BL201" s="22">
        <f>SUM(tabCustoUnit[[#This Row],[Uniformes e EPIs]:[Outros (especificar)]])</f>
        <v>56.642978962543395</v>
      </c>
      <c r="BM20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1" s="22" t="e">
        <f ca="1">VLOOKUP(tabCustoUnit[[#This Row],[Código do Posto]],tabParametros[],MATCH(tabCustoUnit[[#Headers],[Custos Indiretos]],tabParametros[#Headers],0),0)</f>
        <v>#NAME?</v>
      </c>
      <c r="BO201" s="22" t="e">
        <f ca="1">VLOOKUP(tabCustoUnit[[#This Row],[Código do Posto]],tabParametros[],MATCH(tabCustoUnit[[#Headers],[Lucro]],tabParametros[#Headers],0),0)</f>
        <v>#NAME?</v>
      </c>
      <c r="BP201" s="26">
        <f>((100/((1-tabCustoUnit[[#This Row],[Resumo de Alíquotas (PIS+CONFINS+ISS)]]))-100)*VLOOKUP(tabCustoUnit[[#This Row],[Código do Posto]],tabParametros[],MATCH(tabCustoUnit[[#Headers],[COFINS]],tabParametros[#Headers],0),0))/(tabCustoUnit[[#This Row],[Resumo de Alíquotas (PIS+CONFINS+ISS)]]*100)</f>
        <v>8.8629737609329504E-2</v>
      </c>
      <c r="BQ201" s="26">
        <f>((100/((100-(tabCustoUnit[[#This Row],[Resumo de Alíquotas (PIS+CONFINS+ISS)]]*100))%)-100)*VLOOKUP(tabCustoUnit[[#This Row],[Código do Posto]],tabParametros[],MATCH(tabCustoUnit[[#Headers],[PIS]],tabParametros[#Headers],0),0))/(tabCustoUnit[[#This Row],[Resumo de Alíquotas (PIS+CONFINS+ISS)]]*100)</f>
        <v>1.9241982507288629E-2</v>
      </c>
      <c r="BR201" s="28">
        <f>VLOOKUP(tabCustoUnit[[#This Row],[Código do Posto]],tabParametros[],MATCH(tabCustoUnit[[#Headers],[ISS]],tabParametros[#Headers],0),0)</f>
        <v>0.05</v>
      </c>
      <c r="BS201" s="26">
        <f>(((100/((100-(tabCustoUnit[[#This Row],[Resumo de Alíquotas (PIS+CONFINS+ISS)]]*100))%)-100)*tabCustoUnit[[#This Row],[ISS]])/tabCustoUnit[[#This Row],[Resumo de Alíquotas (PIS+CONFINS+ISS)]])/100</f>
        <v>5.8309037900874633E-2</v>
      </c>
      <c r="BT20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01" s="138">
        <f>tabCustoUnit[[#This Row],[COFINS]]+tabCustoUnit[[#This Row],[PIS]]+tabCustoUnit[[#This Row],[ISS (Conversão Alíquota s/ fatura)]]</f>
        <v>0.16618075801749277</v>
      </c>
      <c r="BV201" s="22" t="e">
        <f ca="1">(tabCustoUnit[[#This Row],[TOTAL MÓDULOS 1+2+3+4+5]]+tabCustoUnit[[#This Row],[Custos Indiretos]]+tabCustoUnit[[#This Row],[Lucro]])*tabCustoUnit[[#This Row],[PIS + COFINS + ISS (Total Conversão  Alíquota s/ Fatura)]]</f>
        <v>#NAME?</v>
      </c>
      <c r="BW201" s="22" t="e">
        <f ca="1">tabCustoUnit[[#This Row],[Custos Indiretos]]+tabCustoUnit[[#This Row],[Lucro]]+tabCustoUnit[[#This Row],[Valor dos Tributos (ISS, PIS, CONFINS)]]</f>
        <v>#NAME?</v>
      </c>
      <c r="BX201" s="22" t="e">
        <f ca="1">tabCustoUnit[[#This Row],[TOTAL MÓDULOS 1+2+3+4+5]]+tabCustoUnit[[#This Row],[MÓDULO 6 – CUSTOS INDIRETOS, TRIBUTOS E LUCRO]]</f>
        <v>#NAME?</v>
      </c>
      <c r="BY201" s="22" t="e">
        <f ca="1">tabCustoUnit[[#This Row],[CUSTO TOTAL MENSAL]]*12</f>
        <v>#NAME?</v>
      </c>
      <c r="BZ201" s="24">
        <f>VLOOKUP(tabCustoUnit[[#This Row],[Código do Posto]],tabParametros[],MATCH(tabCustoUnit[[#Headers],[ANO DA CCT]],tabParametros[#Headers],0),0)</f>
        <v>45658</v>
      </c>
      <c r="CA201" s="25" t="str">
        <f>VLOOKUP(tabCustoUnit[[#This Row],[Código do Posto]],tabParametros[],MATCH(tabCustoUnit[[#Headers],[Nº DE PEDIDO DA CCT]],tabParametros[#Headers],0),0)</f>
        <v>-</v>
      </c>
      <c r="CB201" s="25" t="str">
        <f>VLOOKUP(tabCustoUnit[[#This Row],[Código do Posto]],tabParametros[],MATCH(tabCustoUnit[[#Headers],[TERMO ADITIVO ALTERAÇÃO DA CCT]],tabParametros[#Headers],0),0)</f>
        <v>-</v>
      </c>
    </row>
    <row r="202" spans="1:80">
      <c r="A202" s="20" t="s">
        <v>1639</v>
      </c>
      <c r="B202" t="s">
        <v>1159</v>
      </c>
      <c r="C202" t="s">
        <v>324</v>
      </c>
      <c r="D202" t="s">
        <v>961</v>
      </c>
      <c r="E202" s="20" t="s">
        <v>1090</v>
      </c>
      <c r="F202" s="20" t="s">
        <v>120</v>
      </c>
      <c r="G202" s="418">
        <v>3397.1305000000002</v>
      </c>
      <c r="H202" s="418">
        <v>0</v>
      </c>
      <c r="I202" s="418">
        <v>0</v>
      </c>
      <c r="J202" s="418">
        <v>0</v>
      </c>
      <c r="K202" s="418">
        <v>0</v>
      </c>
      <c r="L202" s="418">
        <v>0</v>
      </c>
      <c r="M202" s="418">
        <v>0</v>
      </c>
      <c r="N202" s="418">
        <v>0</v>
      </c>
      <c r="O202" s="21">
        <f>SUM(tabCustoUnit[[#This Row],[Salário Base]:[Adicional de Acúmulo de função]])</f>
        <v>3397.1305000000002</v>
      </c>
      <c r="P202" s="21">
        <f>tabCustoUnit[[#This Row],[MODULO 1 - REMUNERAÇÃO ]]*SUMIFS(tabParametros[INSS],tabParametros[Código do Posto],tabCustoUnit[[#This Row],[Código do Posto]])</f>
        <v>679.42610000000013</v>
      </c>
      <c r="Q202" s="21">
        <f>tabCustoUnit[[#This Row],[MODULO 1 - REMUNERAÇÃO ]]*SUMIFS(tabParametros[SESI OU SESC],tabParametros[Código do Posto],tabCustoUnit[[#This Row],[Código do Posto]])</f>
        <v>50.956957500000001</v>
      </c>
      <c r="R202" s="21">
        <f>tabCustoUnit[[#This Row],[MODULO 1 - REMUNERAÇÃO ]]*SUMIFS(tabParametros[SENAI OU SENAC],tabParametros[Código do Posto],tabCustoUnit[[#This Row],[Código do Posto]])</f>
        <v>33.971305000000001</v>
      </c>
      <c r="S202" s="21">
        <f>tabCustoUnit[[#This Row],[MODULO 1 - REMUNERAÇÃO ]]*SUMIFS(tabParametros[INCRA],tabParametros[Código do Posto],tabCustoUnit[[#This Row],[Código do Posto]])</f>
        <v>6.7942610000000005</v>
      </c>
      <c r="T202" s="21">
        <f>tabCustoUnit[[#This Row],[MODULO 1 - REMUNERAÇÃO ]]*SUMIFS(tabParametros[Salário Educação],tabParametros[Código do Posto],tabCustoUnit[[#This Row],[Código do Posto]])</f>
        <v>84.928262500000017</v>
      </c>
      <c r="U202" s="21">
        <f>tabCustoUnit[[#This Row],[MODULO 1 - REMUNERAÇÃO ]]*SUMIFS(tabParametros[FGTS],tabParametros[Código do Posto],tabCustoUnit[[#This Row],[Código do Posto]])</f>
        <v>271.77044000000001</v>
      </c>
      <c r="V202" s="21">
        <f>tabCustoUnit[[#This Row],[MODULO 1 - REMUNERAÇÃO ]]*SUMIFS(tabParametros[RAT Ajustado],tabParametros[Código do Posto],tabCustoUnit[[#This Row],[Código do Posto]])</f>
        <v>135.88522</v>
      </c>
      <c r="W202" s="21">
        <f>tabCustoUnit[[#This Row],[MODULO 1 - REMUNERAÇÃO ]]*SUMIFS(tabParametros[SEBRAE],tabParametros[Código do Posto],tabCustoUnit[[#This Row],[Código do Posto]])</f>
        <v>20.382783000000003</v>
      </c>
      <c r="X202" s="21">
        <f>SUM(tabCustoUnit[[#This Row],[INSS]:[SEBRAE]])</f>
        <v>1284.1153290000002</v>
      </c>
      <c r="Y202" s="21">
        <f>tabCustoUnit[[#This Row],[MODULO 1 - REMUNERAÇÃO ]]*SUMIFS(tabParametros[13º salário (titular)],tabParametros[Código do Posto],tabCustoUnit[[#This Row],[Código do Posto]])</f>
        <v>283.09420833333331</v>
      </c>
      <c r="Z202" s="21">
        <f>tabCustoUnit[[#This Row],[MODULO 1 - REMUNERAÇÃO ]]*SUMIFS(tabParametros[Férias e Adicional de Férias (titular)],tabParametros[Código do Posto],tabCustoUnit[[#This Row],[Código do Posto]])</f>
        <v>377.45894444444446</v>
      </c>
      <c r="AA202" s="21">
        <f>IFERROR((tabCustoUnit[[#This Row],[Submódulo 2.1]]/tabCustoUnit[[#This Row],[MODULO 1 - REMUNERAÇÃO ]])*SUM(tabCustoUnit[[#This Row],[13º salário (titular)]:[Férias e Adicional de Férias (titular)]]),0)</f>
        <v>249.68909175000005</v>
      </c>
      <c r="AB202" s="21">
        <f>SUM(tabCustoUnit[[#This Row],[13º salário (titular)]:[Incidência do Submódulo 2.1 sobre 13º Salário, Férias e Adicional de Férias]])</f>
        <v>910.24224452777776</v>
      </c>
      <c r="AC202" s="22" t="e">
        <f ca="1">_xlfn.LET(_xlpm.VT,SUMIF(tabParametros[Código do Posto],tabCustoUnit[[#This Row],[Código do Posto]],tabParametros[Vale - Transporte])*2*20,
IF((_xlpm.VT-tabCustoUnit[[#This Row],[Salário Base]]*0.06)&gt;=0,(_xlpm.VT-tabCustoUnit[[#This Row],[Salário Base]]*0.06),0)
)</f>
        <v>#NAME?</v>
      </c>
      <c r="AD202" s="22">
        <f>IF(SUMIF(tabParametros[Código do Posto],tabCustoUnit[[#This Row],[Código do Posto]],tabParametros[Vale - Alimentação])&lt;=0,0,
SUMIF(tabParametros[Código do Posto],tabCustoUnit[[#This Row],[Código do Posto]],tabParametros[Vale - Alimentação])*20-1)</f>
        <v>582</v>
      </c>
      <c r="AE202" s="22">
        <f>SUMIF(tabParametros[Código do Posto],tabCustoUnit[[#This Row],[Código do Posto]],tabParametros[Cesta Básica])</f>
        <v>0</v>
      </c>
      <c r="AF202" s="22">
        <f>SUMIF(tabParametros[Código do Posto],tabCustoUnit[[#This Row],[Código do Posto]],tabParametros[PAF])</f>
        <v>53.27</v>
      </c>
      <c r="AG202" s="22">
        <f>SUMIF(tabParametros[Código do Posto],tabCustoUnit[[#This Row],[Código do Posto]],tabParametros[PQM])</f>
        <v>0</v>
      </c>
      <c r="AH202" s="22">
        <f>SUMIF(tabParametros[Código do Posto],tabCustoUnit[[#This Row],[Código do Posto]],tabParametros[Abono Único e Especial])</f>
        <v>0</v>
      </c>
      <c r="AI202" s="22">
        <f>SUMIF(tabParametros[Código do Posto],tabCustoUnit[[#This Row],[Código do Posto]],tabParametros[Seguro de Vida])</f>
        <v>3.36</v>
      </c>
      <c r="AJ202" s="22">
        <f>SUMIF(tabParametros[Código do Posto],tabCustoUnit[[#This Row],[Código do Posto]],tabParametros[Despesas de Viagem])</f>
        <v>0</v>
      </c>
      <c r="AK202" s="22" t="e">
        <f ca="1">SUM(tabCustoUnit[[#This Row],[Vale - Transporte (Descontada parcela do empregado)]:[Despesas de Viagem]])</f>
        <v>#NAME?</v>
      </c>
      <c r="AL202" s="22" t="e">
        <f ca="1">tabCustoUnit[[#This Row],[Submódulo 2.1]]+tabCustoUnit[[#This Row],[Submódulo 2.2]]+tabCustoUnit[[#This Row],[Submódulo 2.3]]</f>
        <v>#NAME?</v>
      </c>
      <c r="AM202" s="22">
        <f>SUMIF(tabParametros[Código do Posto],tabCustoUnit[[#This Row],[Código do Posto]],tabParametros[Aviso Prévio Indenizado (API) e Reflexo do Aviso Prévio Indenizado])*tabCustoUnit[[#This Row],[MODULO 1 - REMUNERAÇÃO ]]</f>
        <v>23.819887450713736</v>
      </c>
      <c r="AN202" s="22">
        <f>SUMIF(tabParametros[Código do Posto],tabCustoUnit[[#This Row],[Código do Posto]],tabParametros[Incidência do FGTS sobre API e Reflexo do API])*tabCustoUnit[[#This Row],[MODULO 1 - REMUNERAÇÃO ]]</f>
        <v>1.9055909960570991</v>
      </c>
      <c r="AO202" s="22">
        <f>SUMIF(tabParametros[Código do Posto],tabCustoUnit[[#This Row],[Código do Posto]],tabParametros[Multa Rescisória do FGTS sobre o Aviso Prévio Indenizado])*tabCustoUnit[[#This Row],[MODULO 1 - REMUNERAÇÃO ]]</f>
        <v>0.76223639842283974</v>
      </c>
      <c r="AP202" s="22">
        <f>SUMIF(tabParametros[Código do Posto],tabCustoUnit[[#This Row],[Código do Posto]],tabParametros[Aviso Prévio Trabalhado - APT])*tabCustoUnit[[#This Row],[MODULO 1 - REMUNERAÇÃO ]]</f>
        <v>11.889956750000003</v>
      </c>
      <c r="AQ202" s="22">
        <f>SUMIF(tabParametros[Código do Posto],tabCustoUnit[[#This Row],[Código do Posto]],tabParametros[Incidência dos encargos do submódulo 2.1 sobre Aviso Prévio Trabalhado])*tabCustoUnit[[#This Row],[MODULO 1 - REMUNERAÇÃO ]]</f>
        <v>4.4944036515000017</v>
      </c>
      <c r="AR202" s="22">
        <f>SUMIF(tabParametros[Código do Posto],tabCustoUnit[[#This Row],[Código do Posto]],tabParametros[Multa Rescisória do FGTS])*tabCustoUnit[[#This Row],[MODULO 1 - REMUNERAÇÃO ]]</f>
        <v>103.87670151111111</v>
      </c>
      <c r="AS202" s="22">
        <f>SUMIF(tabParametros[Código do Posto],tabCustoUnit[[#This Row],[Código do Posto]],tabParametros[Indenização Adicional (Art. 9º da Lei nº 7.238/84)])*tabCustoUnit[[#This Row],[MODULO 1 - REMUNERAÇÃO ]]</f>
        <v>2.8309420833333339</v>
      </c>
      <c r="AT202" s="22">
        <f>SUM(tabCustoUnit[[#This Row],[Aviso Prévio Indenizado (API) e Reflexo do Aviso Prévio Indenizado]:[Indenização Adicional (Art. 9º da Lei nº 7.238/84)]])</f>
        <v>149.57971884113812</v>
      </c>
      <c r="AU202" s="22">
        <f>SUMIF(tabParametros[Código do Posto],tabCustoUnit[[#This Row],[Código do Posto]],tabParametros[Ausência por Doença])*tabCustoUnit[[#This Row],[MODULO 1 - REMUNERAÇÃO ]]</f>
        <v>28.686879777777776</v>
      </c>
      <c r="AV202" s="22">
        <f>SUMIF(tabParametros[Código do Posto],tabCustoUnit[[#This Row],[Código do Posto]],tabParametros[Ausências Legais])*tabCustoUnit[[#This Row],[MODULO 1 - REMUNERAÇÃO ]]</f>
        <v>6.888625736111111</v>
      </c>
      <c r="AW202" s="22">
        <f>SUMIF(tabParametros[Código do Posto],tabCustoUnit[[#This Row],[Código do Posto]],tabParametros[Licença Paternidade])*tabCustoUnit[[#This Row],[MODULO 1 - REMUNERAÇÃO ]]</f>
        <v>0.58034312708333335</v>
      </c>
      <c r="AX202" s="22">
        <f>SUMIF(tabParametros[Código do Posto],tabCustoUnit[[#This Row],[Código do Posto]],tabParametros[Ausência por Acidente de Trabalho])*tabCustoUnit[[#This Row],[MODULO 1 - REMUNERAÇÃO ]]</f>
        <v>0.70773552083333346</v>
      </c>
      <c r="AY202" s="22">
        <f>SUMIF(tabParametros[Código do Posto],tabCustoUnit[[#This Row],[Código do Posto]],tabParametros[Férias, Adicional de Férias e 13º  com empregada em gozo de Licença Maternidade])*tabCustoUnit[[#This Row],[MODULO 1 - REMUNERAÇÃO ]]</f>
        <v>4.4036876851851856</v>
      </c>
      <c r="AZ202" s="22">
        <f>SUMIF(tabParametros[Código do Posto],tabCustoUnit[[#This Row],[Código do Posto]],tabParametros[Incidência do Submódulo 2.1 sobre Ausências Legais])*tabCustoUnit[[#This Row],[MODULO 1 - REMUNERAÇÃO ]]</f>
        <v>15.599028758162504</v>
      </c>
      <c r="BA202" s="22">
        <f>SUM(tabCustoUnit[[#This Row],[Ausência por Doença]:[Incidência do Submódulo 2.1 sobre Ausências Legais]])</f>
        <v>56.866300605153235</v>
      </c>
      <c r="BB202" s="22">
        <f>SUMIF(tabParametros[Código do Posto],tabCustoUnit[[#This Row],[Código do Posto]],tabParametros[Intervalo para Repouso ou Alimentação])</f>
        <v>0</v>
      </c>
      <c r="BC202" s="22">
        <f>tabCustoUnit[[#This Row],[Intervalo para Repouso ou Alimentação]]</f>
        <v>0</v>
      </c>
      <c r="BD20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2" s="22">
        <f>tabCustoUnit[[#This Row],[Suspensão Temporária do Contrato de Trabalho]]</f>
        <v>0</v>
      </c>
      <c r="BF202" s="22">
        <f>tabCustoUnit[[#This Row],[Submódulo 4.1]]+tabCustoUnit[[#This Row],[Submódulo 4.2]]+tabCustoUnit[[#This Row],[Submódulo 4.3]]</f>
        <v>56.866300605153235</v>
      </c>
      <c r="BG202" s="22">
        <f>VLOOKUP(tabCustoUnit[[#This Row],[Código do Posto]],tabParametros[],MATCH(tabCustoUnit[[#Headers],[Uniformes e EPIs]],tabParametros[#Headers],0),0)</f>
        <v>56.642978962543395</v>
      </c>
      <c r="BH202" s="22">
        <f>VLOOKUP(tabCustoUnit[[#This Row],[Código do Posto]],tabParametros[],MATCH(tabCustoUnit[[#Headers],[Materiais de Consumo]],tabParametros[#Headers],0),0)</f>
        <v>0</v>
      </c>
      <c r="BI202" s="22">
        <f>VLOOKUP(tabCustoUnit[[#This Row],[Código do Posto]],tabParametros[],MATCH(tabCustoUnit[[#Headers],[Máquinas e Equipamentos (depreciação)]],tabParametros[#Headers],0),0)</f>
        <v>0</v>
      </c>
      <c r="BJ202" s="22">
        <f>VLOOKUP(tabCustoUnit[[#This Row],[Código do Posto]],tabParametros[],MATCH(tabCustoUnit[[#Headers],[Produtos de Limpeza e Materiais de Higiene Pessoal]],tabParametros[#Headers],0),0)</f>
        <v>0</v>
      </c>
      <c r="BK202" s="22">
        <f>VLOOKUP(tabCustoUnit[[#This Row],[Código do Posto]],tabParametros[],MATCH(tabCustoUnit[[#Headers],[Outros (especificar)]],tabParametros[#Headers],0),0)</f>
        <v>0</v>
      </c>
      <c r="BL202" s="22">
        <f>SUM(tabCustoUnit[[#This Row],[Uniformes e EPIs]:[Outros (especificar)]])</f>
        <v>56.642978962543395</v>
      </c>
      <c r="BM20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2" s="22" t="e">
        <f ca="1">VLOOKUP(tabCustoUnit[[#This Row],[Código do Posto]],tabParametros[],MATCH(tabCustoUnit[[#Headers],[Custos Indiretos]],tabParametros[#Headers],0),0)</f>
        <v>#NAME?</v>
      </c>
      <c r="BO202" s="22" t="e">
        <f ca="1">VLOOKUP(tabCustoUnit[[#This Row],[Código do Posto]],tabParametros[],MATCH(tabCustoUnit[[#Headers],[Lucro]],tabParametros[#Headers],0),0)</f>
        <v>#NAME?</v>
      </c>
      <c r="BP202" s="26">
        <f>((100/((1-tabCustoUnit[[#This Row],[Resumo de Alíquotas (PIS+CONFINS+ISS)]]))-100)*VLOOKUP(tabCustoUnit[[#This Row],[Código do Posto]],tabParametros[],MATCH(tabCustoUnit[[#Headers],[COFINS]],tabParametros[#Headers],0),0))/(tabCustoUnit[[#This Row],[Resumo de Alíquotas (PIS+CONFINS+ISS)]]*100)</f>
        <v>8.8629737609329504E-2</v>
      </c>
      <c r="BQ202" s="26">
        <f>((100/((100-(tabCustoUnit[[#This Row],[Resumo de Alíquotas (PIS+CONFINS+ISS)]]*100))%)-100)*VLOOKUP(tabCustoUnit[[#This Row],[Código do Posto]],tabParametros[],MATCH(tabCustoUnit[[#Headers],[PIS]],tabParametros[#Headers],0),0))/(tabCustoUnit[[#This Row],[Resumo de Alíquotas (PIS+CONFINS+ISS)]]*100)</f>
        <v>1.9241982507288629E-2</v>
      </c>
      <c r="BR202" s="28">
        <f>VLOOKUP(tabCustoUnit[[#This Row],[Código do Posto]],tabParametros[],MATCH(tabCustoUnit[[#Headers],[ISS]],tabParametros[#Headers],0),0)</f>
        <v>0.05</v>
      </c>
      <c r="BS202" s="26">
        <f>(((100/((100-(tabCustoUnit[[#This Row],[Resumo de Alíquotas (PIS+CONFINS+ISS)]]*100))%)-100)*tabCustoUnit[[#This Row],[ISS]])/tabCustoUnit[[#This Row],[Resumo de Alíquotas (PIS+CONFINS+ISS)]])/100</f>
        <v>5.8309037900874633E-2</v>
      </c>
      <c r="BT20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02" s="138">
        <f>tabCustoUnit[[#This Row],[COFINS]]+tabCustoUnit[[#This Row],[PIS]]+tabCustoUnit[[#This Row],[ISS (Conversão Alíquota s/ fatura)]]</f>
        <v>0.16618075801749277</v>
      </c>
      <c r="BV202" s="22" t="e">
        <f ca="1">(tabCustoUnit[[#This Row],[TOTAL MÓDULOS 1+2+3+4+5]]+tabCustoUnit[[#This Row],[Custos Indiretos]]+tabCustoUnit[[#This Row],[Lucro]])*tabCustoUnit[[#This Row],[PIS + COFINS + ISS (Total Conversão  Alíquota s/ Fatura)]]</f>
        <v>#NAME?</v>
      </c>
      <c r="BW202" s="22" t="e">
        <f ca="1">tabCustoUnit[[#This Row],[Custos Indiretos]]+tabCustoUnit[[#This Row],[Lucro]]+tabCustoUnit[[#This Row],[Valor dos Tributos (ISS, PIS, CONFINS)]]</f>
        <v>#NAME?</v>
      </c>
      <c r="BX202" s="22" t="e">
        <f ca="1">tabCustoUnit[[#This Row],[TOTAL MÓDULOS 1+2+3+4+5]]+tabCustoUnit[[#This Row],[MÓDULO 6 – CUSTOS INDIRETOS, TRIBUTOS E LUCRO]]</f>
        <v>#NAME?</v>
      </c>
      <c r="BY202" s="22" t="e">
        <f ca="1">tabCustoUnit[[#This Row],[CUSTO TOTAL MENSAL]]*12</f>
        <v>#NAME?</v>
      </c>
      <c r="BZ202" s="24">
        <f>VLOOKUP(tabCustoUnit[[#This Row],[Código do Posto]],tabParametros[],MATCH(tabCustoUnit[[#Headers],[ANO DA CCT]],tabParametros[#Headers],0),0)</f>
        <v>45658</v>
      </c>
      <c r="CA202" s="25" t="str">
        <f>VLOOKUP(tabCustoUnit[[#This Row],[Código do Posto]],tabParametros[],MATCH(tabCustoUnit[[#Headers],[Nº DE PEDIDO DA CCT]],tabParametros[#Headers],0),0)</f>
        <v>-</v>
      </c>
      <c r="CB202" s="25" t="str">
        <f>VLOOKUP(tabCustoUnit[[#This Row],[Código do Posto]],tabParametros[],MATCH(tabCustoUnit[[#Headers],[TERMO ADITIVO ALTERAÇÃO DA CCT]],tabParametros[#Headers],0),0)</f>
        <v>-</v>
      </c>
    </row>
    <row r="203" spans="1:80">
      <c r="A203" s="20" t="s">
        <v>1640</v>
      </c>
      <c r="B203" t="s">
        <v>1159</v>
      </c>
      <c r="C203" t="s">
        <v>319</v>
      </c>
      <c r="D203" t="s">
        <v>961</v>
      </c>
      <c r="E203" s="20" t="s">
        <v>1090</v>
      </c>
      <c r="F203" s="20" t="s">
        <v>120</v>
      </c>
      <c r="G203" s="418">
        <v>2316.2253000000001</v>
      </c>
      <c r="H203" s="418">
        <v>0</v>
      </c>
      <c r="I203" s="418">
        <v>0</v>
      </c>
      <c r="J203" s="418">
        <v>0</v>
      </c>
      <c r="K203" s="418">
        <v>0</v>
      </c>
      <c r="L203" s="418">
        <v>0</v>
      </c>
      <c r="M203" s="418">
        <v>0</v>
      </c>
      <c r="N203" s="418">
        <v>0</v>
      </c>
      <c r="O203" s="21">
        <f>SUM(tabCustoUnit[[#This Row],[Salário Base]:[Adicional de Acúmulo de função]])</f>
        <v>2316.2253000000001</v>
      </c>
      <c r="P203" s="21">
        <f>tabCustoUnit[[#This Row],[MODULO 1 - REMUNERAÇÃO ]]*SUMIFS(tabParametros[INSS],tabParametros[Código do Posto],tabCustoUnit[[#This Row],[Código do Posto]])</f>
        <v>463.24506000000002</v>
      </c>
      <c r="Q203" s="21">
        <f>tabCustoUnit[[#This Row],[MODULO 1 - REMUNERAÇÃO ]]*SUMIFS(tabParametros[SESI OU SESC],tabParametros[Código do Posto],tabCustoUnit[[#This Row],[Código do Posto]])</f>
        <v>34.743379499999996</v>
      </c>
      <c r="R203" s="21">
        <f>tabCustoUnit[[#This Row],[MODULO 1 - REMUNERAÇÃO ]]*SUMIFS(tabParametros[SENAI OU SENAC],tabParametros[Código do Posto],tabCustoUnit[[#This Row],[Código do Posto]])</f>
        <v>23.162253</v>
      </c>
      <c r="S203" s="21">
        <f>tabCustoUnit[[#This Row],[MODULO 1 - REMUNERAÇÃO ]]*SUMIFS(tabParametros[INCRA],tabParametros[Código do Posto],tabCustoUnit[[#This Row],[Código do Posto]])</f>
        <v>4.6324506000000003</v>
      </c>
      <c r="T203" s="21">
        <f>tabCustoUnit[[#This Row],[MODULO 1 - REMUNERAÇÃO ]]*SUMIFS(tabParametros[Salário Educação],tabParametros[Código do Posto],tabCustoUnit[[#This Row],[Código do Posto]])</f>
        <v>57.905632500000003</v>
      </c>
      <c r="U203" s="21">
        <f>tabCustoUnit[[#This Row],[MODULO 1 - REMUNERAÇÃO ]]*SUMIFS(tabParametros[FGTS],tabParametros[Código do Posto],tabCustoUnit[[#This Row],[Código do Posto]])</f>
        <v>185.298024</v>
      </c>
      <c r="V203" s="21">
        <f>tabCustoUnit[[#This Row],[MODULO 1 - REMUNERAÇÃO ]]*SUMIFS(tabParametros[RAT Ajustado],tabParametros[Código do Posto],tabCustoUnit[[#This Row],[Código do Posto]])</f>
        <v>92.649011999999999</v>
      </c>
      <c r="W203" s="21">
        <f>tabCustoUnit[[#This Row],[MODULO 1 - REMUNERAÇÃO ]]*SUMIFS(tabParametros[SEBRAE],tabParametros[Código do Posto],tabCustoUnit[[#This Row],[Código do Posto]])</f>
        <v>13.897351800000001</v>
      </c>
      <c r="X203" s="21">
        <f>SUM(tabCustoUnit[[#This Row],[INSS]:[SEBRAE]])</f>
        <v>875.53316340000003</v>
      </c>
      <c r="Y203" s="21">
        <f>tabCustoUnit[[#This Row],[MODULO 1 - REMUNERAÇÃO ]]*SUMIFS(tabParametros[13º salário (titular)],tabParametros[Código do Posto],tabCustoUnit[[#This Row],[Código do Posto]])</f>
        <v>193.01877500000001</v>
      </c>
      <c r="Z203" s="21">
        <f>tabCustoUnit[[#This Row],[MODULO 1 - REMUNERAÇÃO ]]*SUMIFS(tabParametros[Férias e Adicional de Férias (titular)],tabParametros[Código do Posto],tabCustoUnit[[#This Row],[Código do Posto]])</f>
        <v>257.35836666666665</v>
      </c>
      <c r="AA203" s="21">
        <f>IFERROR((tabCustoUnit[[#This Row],[Submódulo 2.1]]/tabCustoUnit[[#This Row],[MODULO 1 - REMUNERAÇÃO ]])*SUM(tabCustoUnit[[#This Row],[13º salário (titular)]:[Férias e Adicional de Férias (titular)]]),0)</f>
        <v>170.24255955000001</v>
      </c>
      <c r="AB203" s="21">
        <f>SUM(tabCustoUnit[[#This Row],[13º salário (titular)]:[Incidência do Submódulo 2.1 sobre 13º Salário, Férias e Adicional de Férias]])</f>
        <v>620.61970121666673</v>
      </c>
      <c r="AC203" s="22" t="e">
        <f ca="1">_xlfn.LET(_xlpm.VT,SUMIF(tabParametros[Código do Posto],tabCustoUnit[[#This Row],[Código do Posto]],tabParametros[Vale - Transporte])*2*20,
IF((_xlpm.VT-tabCustoUnit[[#This Row],[Salário Base]]*0.06)&gt;=0,(_xlpm.VT-tabCustoUnit[[#This Row],[Salário Base]]*0.06),0)
)</f>
        <v>#NAME?</v>
      </c>
      <c r="AD203" s="22">
        <f>IF(SUMIF(tabParametros[Código do Posto],tabCustoUnit[[#This Row],[Código do Posto]],tabParametros[Vale - Alimentação])&lt;=0,0,
SUMIF(tabParametros[Código do Posto],tabCustoUnit[[#This Row],[Código do Posto]],tabParametros[Vale - Alimentação])*20-1)</f>
        <v>582</v>
      </c>
      <c r="AE203" s="22">
        <f>SUMIF(tabParametros[Código do Posto],tabCustoUnit[[#This Row],[Código do Posto]],tabParametros[Cesta Básica])</f>
        <v>0</v>
      </c>
      <c r="AF203" s="22">
        <f>SUMIF(tabParametros[Código do Posto],tabCustoUnit[[#This Row],[Código do Posto]],tabParametros[PAF])</f>
        <v>53.27</v>
      </c>
      <c r="AG203" s="22">
        <f>SUMIF(tabParametros[Código do Posto],tabCustoUnit[[#This Row],[Código do Posto]],tabParametros[PQM])</f>
        <v>0</v>
      </c>
      <c r="AH203" s="22">
        <f>SUMIF(tabParametros[Código do Posto],tabCustoUnit[[#This Row],[Código do Posto]],tabParametros[Abono Único e Especial])</f>
        <v>0</v>
      </c>
      <c r="AI203" s="22">
        <f>SUMIF(tabParametros[Código do Posto],tabCustoUnit[[#This Row],[Código do Posto]],tabParametros[Seguro de Vida])</f>
        <v>3.36</v>
      </c>
      <c r="AJ203" s="22">
        <f>SUMIF(tabParametros[Código do Posto],tabCustoUnit[[#This Row],[Código do Posto]],tabParametros[Despesas de Viagem])</f>
        <v>0</v>
      </c>
      <c r="AK203" s="22" t="e">
        <f ca="1">SUM(tabCustoUnit[[#This Row],[Vale - Transporte (Descontada parcela do empregado)]:[Despesas de Viagem]])</f>
        <v>#NAME?</v>
      </c>
      <c r="AL203" s="22" t="e">
        <f ca="1">tabCustoUnit[[#This Row],[Submódulo 2.1]]+tabCustoUnit[[#This Row],[Submódulo 2.2]]+tabCustoUnit[[#This Row],[Submódulo 2.3]]</f>
        <v>#NAME?</v>
      </c>
      <c r="AM203" s="22">
        <f>SUMIF(tabParametros[Código do Posto],tabCustoUnit[[#This Row],[Código do Posto]],tabParametros[Aviso Prévio Indenizado (API) e Reflexo do Aviso Prévio Indenizado])*tabCustoUnit[[#This Row],[MODULO 1 - REMUNERAÇÃO ]]</f>
        <v>16.240832065914354</v>
      </c>
      <c r="AN203" s="22">
        <f>SUMIF(tabParametros[Código do Posto],tabCustoUnit[[#This Row],[Código do Posto]],tabParametros[Incidência do FGTS sobre API e Reflexo do API])*tabCustoUnit[[#This Row],[MODULO 1 - REMUNERAÇÃO ]]</f>
        <v>1.2992665652731483</v>
      </c>
      <c r="AO203" s="22">
        <f>SUMIF(tabParametros[Código do Posto],tabCustoUnit[[#This Row],[Código do Posto]],tabParametros[Multa Rescisória do FGTS sobre o Aviso Prévio Indenizado])*tabCustoUnit[[#This Row],[MODULO 1 - REMUNERAÇÃO ]]</f>
        <v>0.51970662610925933</v>
      </c>
      <c r="AP203" s="22">
        <f>SUMIF(tabParametros[Código do Posto],tabCustoUnit[[#This Row],[Código do Posto]],tabParametros[Aviso Prévio Trabalhado - APT])*tabCustoUnit[[#This Row],[MODULO 1 - REMUNERAÇÃO ]]</f>
        <v>8.106788550000001</v>
      </c>
      <c r="AQ203" s="22">
        <f>SUMIF(tabParametros[Código do Posto],tabCustoUnit[[#This Row],[Código do Posto]],tabParametros[Incidência dos encargos do submódulo 2.1 sobre Aviso Prévio Trabalhado])*tabCustoUnit[[#This Row],[MODULO 1 - REMUNERAÇÃO ]]</f>
        <v>3.0643660719000008</v>
      </c>
      <c r="AR203" s="22">
        <f>SUMIF(tabParametros[Código do Posto],tabCustoUnit[[#This Row],[Código do Posto]],tabParametros[Multa Rescisória do FGTS])*tabCustoUnit[[#This Row],[MODULO 1 - REMUNERAÇÃO ]]</f>
        <v>70.825022506666656</v>
      </c>
      <c r="AS203" s="22">
        <f>SUMIF(tabParametros[Código do Posto],tabCustoUnit[[#This Row],[Código do Posto]],tabParametros[Indenização Adicional (Art. 9º da Lei nº 7.238/84)])*tabCustoUnit[[#This Row],[MODULO 1 - REMUNERAÇÃO ]]</f>
        <v>1.9301877500000002</v>
      </c>
      <c r="AT203" s="22">
        <f>SUM(tabCustoUnit[[#This Row],[Aviso Prévio Indenizado (API) e Reflexo do Aviso Prévio Indenizado]:[Indenização Adicional (Art. 9º da Lei nº 7.238/84)]])</f>
        <v>101.98617013586342</v>
      </c>
      <c r="AU203" s="22">
        <f>SUMIF(tabParametros[Código do Posto],tabCustoUnit[[#This Row],[Código do Posto]],tabParametros[Ausência por Doença])*tabCustoUnit[[#This Row],[MODULO 1 - REMUNERAÇÃO ]]</f>
        <v>19.559235866666665</v>
      </c>
      <c r="AV203" s="22">
        <f>SUMIF(tabParametros[Código do Posto],tabCustoUnit[[#This Row],[Código do Posto]],tabParametros[Ausências Legais])*tabCustoUnit[[#This Row],[MODULO 1 - REMUNERAÇÃO ]]</f>
        <v>4.6967901916666666</v>
      </c>
      <c r="AW203" s="22">
        <f>SUMIF(tabParametros[Código do Posto],tabCustoUnit[[#This Row],[Código do Posto]],tabParametros[Licença Paternidade])*tabCustoUnit[[#This Row],[MODULO 1 - REMUNERAÇÃO ]]</f>
        <v>0.39568848875000001</v>
      </c>
      <c r="AX203" s="22">
        <f>SUMIF(tabParametros[Código do Posto],tabCustoUnit[[#This Row],[Código do Posto]],tabParametros[Ausência por Acidente de Trabalho])*tabCustoUnit[[#This Row],[MODULO 1 - REMUNERAÇÃO ]]</f>
        <v>0.48254693750000005</v>
      </c>
      <c r="AY203" s="22">
        <f>SUMIF(tabParametros[Código do Posto],tabCustoUnit[[#This Row],[Código do Posto]],tabParametros[Férias, Adicional de Férias e 13º  com empregada em gozo de Licença Maternidade])*tabCustoUnit[[#This Row],[MODULO 1 - REMUNERAÇÃO ]]</f>
        <v>3.0025142777777778</v>
      </c>
      <c r="AZ203" s="22">
        <f>SUMIF(tabParametros[Código do Posto],tabCustoUnit[[#This Row],[Código do Posto]],tabParametros[Incidência do Submódulo 2.1 sobre Ausências Legais])*tabCustoUnit[[#This Row],[MODULO 1 - REMUNERAÇÃO ]]</f>
        <v>10.635701238172501</v>
      </c>
      <c r="BA203" s="22">
        <f>SUM(tabCustoUnit[[#This Row],[Ausência por Doença]:[Incidência do Submódulo 2.1 sobre Ausências Legais]])</f>
        <v>38.772477000533613</v>
      </c>
      <c r="BB203" s="22">
        <f>SUMIF(tabParametros[Código do Posto],tabCustoUnit[[#This Row],[Código do Posto]],tabParametros[Intervalo para Repouso ou Alimentação])</f>
        <v>0</v>
      </c>
      <c r="BC203" s="22">
        <f>tabCustoUnit[[#This Row],[Intervalo para Repouso ou Alimentação]]</f>
        <v>0</v>
      </c>
      <c r="BD20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3" s="22">
        <f>tabCustoUnit[[#This Row],[Suspensão Temporária do Contrato de Trabalho]]</f>
        <v>0</v>
      </c>
      <c r="BF203" s="22">
        <f>tabCustoUnit[[#This Row],[Submódulo 4.1]]+tabCustoUnit[[#This Row],[Submódulo 4.2]]+tabCustoUnit[[#This Row],[Submódulo 4.3]]</f>
        <v>38.772477000533613</v>
      </c>
      <c r="BG203" s="22">
        <f>VLOOKUP(tabCustoUnit[[#This Row],[Código do Posto]],tabParametros[],MATCH(tabCustoUnit[[#Headers],[Uniformes e EPIs]],tabParametros[#Headers],0),0)</f>
        <v>56.642978962543395</v>
      </c>
      <c r="BH203" s="22">
        <f>VLOOKUP(tabCustoUnit[[#This Row],[Código do Posto]],tabParametros[],MATCH(tabCustoUnit[[#Headers],[Materiais de Consumo]],tabParametros[#Headers],0),0)</f>
        <v>0</v>
      </c>
      <c r="BI203" s="22">
        <f>VLOOKUP(tabCustoUnit[[#This Row],[Código do Posto]],tabParametros[],MATCH(tabCustoUnit[[#Headers],[Máquinas e Equipamentos (depreciação)]],tabParametros[#Headers],0),0)</f>
        <v>0</v>
      </c>
      <c r="BJ203" s="22">
        <f>VLOOKUP(tabCustoUnit[[#This Row],[Código do Posto]],tabParametros[],MATCH(tabCustoUnit[[#Headers],[Produtos de Limpeza e Materiais de Higiene Pessoal]],tabParametros[#Headers],0),0)</f>
        <v>0</v>
      </c>
      <c r="BK203" s="22">
        <f>VLOOKUP(tabCustoUnit[[#This Row],[Código do Posto]],tabParametros[],MATCH(tabCustoUnit[[#Headers],[Outros (especificar)]],tabParametros[#Headers],0),0)</f>
        <v>0</v>
      </c>
      <c r="BL203" s="22">
        <f>SUM(tabCustoUnit[[#This Row],[Uniformes e EPIs]:[Outros (especificar)]])</f>
        <v>56.642978962543395</v>
      </c>
      <c r="BM20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3" s="22" t="e">
        <f ca="1">VLOOKUP(tabCustoUnit[[#This Row],[Código do Posto]],tabParametros[],MATCH(tabCustoUnit[[#Headers],[Custos Indiretos]],tabParametros[#Headers],0),0)</f>
        <v>#NAME?</v>
      </c>
      <c r="BO203" s="22" t="e">
        <f ca="1">VLOOKUP(tabCustoUnit[[#This Row],[Código do Posto]],tabParametros[],MATCH(tabCustoUnit[[#Headers],[Lucro]],tabParametros[#Headers],0),0)</f>
        <v>#NAME?</v>
      </c>
      <c r="BP203" s="26">
        <f>((100/((1-tabCustoUnit[[#This Row],[Resumo de Alíquotas (PIS+CONFINS+ISS)]]))-100)*VLOOKUP(tabCustoUnit[[#This Row],[Código do Posto]],tabParametros[],MATCH(tabCustoUnit[[#Headers],[COFINS]],tabParametros[#Headers],0),0))/(tabCustoUnit[[#This Row],[Resumo de Alíquotas (PIS+CONFINS+ISS)]]*100)</f>
        <v>8.8629737609329504E-2</v>
      </c>
      <c r="BQ203" s="26">
        <f>((100/((100-(tabCustoUnit[[#This Row],[Resumo de Alíquotas (PIS+CONFINS+ISS)]]*100))%)-100)*VLOOKUP(tabCustoUnit[[#This Row],[Código do Posto]],tabParametros[],MATCH(tabCustoUnit[[#Headers],[PIS]],tabParametros[#Headers],0),0))/(tabCustoUnit[[#This Row],[Resumo de Alíquotas (PIS+CONFINS+ISS)]]*100)</f>
        <v>1.9241982507288629E-2</v>
      </c>
      <c r="BR203" s="28">
        <f>VLOOKUP(tabCustoUnit[[#This Row],[Código do Posto]],tabParametros[],MATCH(tabCustoUnit[[#Headers],[ISS]],tabParametros[#Headers],0),0)</f>
        <v>0.05</v>
      </c>
      <c r="BS203" s="26">
        <f>(((100/((100-(tabCustoUnit[[#This Row],[Resumo de Alíquotas (PIS+CONFINS+ISS)]]*100))%)-100)*tabCustoUnit[[#This Row],[ISS]])/tabCustoUnit[[#This Row],[Resumo de Alíquotas (PIS+CONFINS+ISS)]])/100</f>
        <v>5.8309037900874633E-2</v>
      </c>
      <c r="BT20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03" s="138">
        <f>tabCustoUnit[[#This Row],[COFINS]]+tabCustoUnit[[#This Row],[PIS]]+tabCustoUnit[[#This Row],[ISS (Conversão Alíquota s/ fatura)]]</f>
        <v>0.16618075801749277</v>
      </c>
      <c r="BV203" s="22" t="e">
        <f ca="1">(tabCustoUnit[[#This Row],[TOTAL MÓDULOS 1+2+3+4+5]]+tabCustoUnit[[#This Row],[Custos Indiretos]]+tabCustoUnit[[#This Row],[Lucro]])*tabCustoUnit[[#This Row],[PIS + COFINS + ISS (Total Conversão  Alíquota s/ Fatura)]]</f>
        <v>#NAME?</v>
      </c>
      <c r="BW203" s="22" t="e">
        <f ca="1">tabCustoUnit[[#This Row],[Custos Indiretos]]+tabCustoUnit[[#This Row],[Lucro]]+tabCustoUnit[[#This Row],[Valor dos Tributos (ISS, PIS, CONFINS)]]</f>
        <v>#NAME?</v>
      </c>
      <c r="BX203" s="22" t="e">
        <f ca="1">tabCustoUnit[[#This Row],[TOTAL MÓDULOS 1+2+3+4+5]]+tabCustoUnit[[#This Row],[MÓDULO 6 – CUSTOS INDIRETOS, TRIBUTOS E LUCRO]]</f>
        <v>#NAME?</v>
      </c>
      <c r="BY203" s="22" t="e">
        <f ca="1">tabCustoUnit[[#This Row],[CUSTO TOTAL MENSAL]]*12</f>
        <v>#NAME?</v>
      </c>
      <c r="BZ203" s="24">
        <f>VLOOKUP(tabCustoUnit[[#This Row],[Código do Posto]],tabParametros[],MATCH(tabCustoUnit[[#Headers],[ANO DA CCT]],tabParametros[#Headers],0),0)</f>
        <v>45658</v>
      </c>
      <c r="CA203" s="25" t="str">
        <f>VLOOKUP(tabCustoUnit[[#This Row],[Código do Posto]],tabParametros[],MATCH(tabCustoUnit[[#Headers],[Nº DE PEDIDO DA CCT]],tabParametros[#Headers],0),0)</f>
        <v>-</v>
      </c>
      <c r="CB203" s="25" t="str">
        <f>VLOOKUP(tabCustoUnit[[#This Row],[Código do Posto]],tabParametros[],MATCH(tabCustoUnit[[#Headers],[TERMO ADITIVO ALTERAÇÃO DA CCT]],tabParametros[#Headers],0),0)</f>
        <v>-</v>
      </c>
    </row>
    <row r="204" spans="1:80">
      <c r="A204" s="20" t="s">
        <v>1489</v>
      </c>
      <c r="B204" t="s">
        <v>1160</v>
      </c>
      <c r="C204" t="s">
        <v>214</v>
      </c>
      <c r="D204" t="s">
        <v>1054</v>
      </c>
      <c r="E204" s="20" t="s">
        <v>1090</v>
      </c>
      <c r="F204" s="20" t="s">
        <v>120</v>
      </c>
      <c r="G204" s="418">
        <v>1836.5985000000001</v>
      </c>
      <c r="H204" s="418">
        <v>0</v>
      </c>
      <c r="I204" s="418">
        <v>0</v>
      </c>
      <c r="J204" s="418">
        <v>0</v>
      </c>
      <c r="K204" s="418">
        <v>0</v>
      </c>
      <c r="L204" s="418">
        <v>0</v>
      </c>
      <c r="M204" s="418">
        <v>0</v>
      </c>
      <c r="N204" s="418">
        <v>0</v>
      </c>
      <c r="O204" s="21">
        <f>SUM(tabCustoUnit[[#This Row],[Salário Base]:[Adicional de Acúmulo de função]])</f>
        <v>1836.5985000000001</v>
      </c>
      <c r="P204" s="21">
        <f>tabCustoUnit[[#This Row],[MODULO 1 - REMUNERAÇÃO ]]*SUMIFS(tabParametros[INSS],tabParametros[Código do Posto],tabCustoUnit[[#This Row],[Código do Posto]])</f>
        <v>367.31970000000001</v>
      </c>
      <c r="Q204" s="21">
        <f>tabCustoUnit[[#This Row],[MODULO 1 - REMUNERAÇÃO ]]*SUMIFS(tabParametros[SESI OU SESC],tabParametros[Código do Posto],tabCustoUnit[[#This Row],[Código do Posto]])</f>
        <v>27.548977499999999</v>
      </c>
      <c r="R204" s="21">
        <f>tabCustoUnit[[#This Row],[MODULO 1 - REMUNERAÇÃO ]]*SUMIFS(tabParametros[SENAI OU SENAC],tabParametros[Código do Posto],tabCustoUnit[[#This Row],[Código do Posto]])</f>
        <v>18.365985000000002</v>
      </c>
      <c r="S204" s="21">
        <f>tabCustoUnit[[#This Row],[MODULO 1 - REMUNERAÇÃO ]]*SUMIFS(tabParametros[INCRA],tabParametros[Código do Posto],tabCustoUnit[[#This Row],[Código do Posto]])</f>
        <v>3.673197</v>
      </c>
      <c r="T204" s="21">
        <f>tabCustoUnit[[#This Row],[MODULO 1 - REMUNERAÇÃO ]]*SUMIFS(tabParametros[Salário Educação],tabParametros[Código do Posto],tabCustoUnit[[#This Row],[Código do Posto]])</f>
        <v>45.914962500000001</v>
      </c>
      <c r="U204" s="21">
        <f>tabCustoUnit[[#This Row],[MODULO 1 - REMUNERAÇÃO ]]*SUMIFS(tabParametros[FGTS],tabParametros[Código do Posto],tabCustoUnit[[#This Row],[Código do Posto]])</f>
        <v>146.92788000000002</v>
      </c>
      <c r="V204" s="21">
        <f>tabCustoUnit[[#This Row],[MODULO 1 - REMUNERAÇÃO ]]*SUMIFS(tabParametros[RAT Ajustado],tabParametros[Código do Posto],tabCustoUnit[[#This Row],[Código do Posto]])</f>
        <v>73.463940000000008</v>
      </c>
      <c r="W204" s="21">
        <f>tabCustoUnit[[#This Row],[MODULO 1 - REMUNERAÇÃO ]]*SUMIFS(tabParametros[SEBRAE],tabParametros[Código do Posto],tabCustoUnit[[#This Row],[Código do Posto]])</f>
        <v>11.019591</v>
      </c>
      <c r="X204" s="21">
        <f>SUM(tabCustoUnit[[#This Row],[INSS]:[SEBRAE]])</f>
        <v>694.23423300000002</v>
      </c>
      <c r="Y204" s="21">
        <f>tabCustoUnit[[#This Row],[MODULO 1 - REMUNERAÇÃO ]]*SUMIFS(tabParametros[13º salário (titular)],tabParametros[Código do Posto],tabCustoUnit[[#This Row],[Código do Posto]])</f>
        <v>153.04987499999999</v>
      </c>
      <c r="Z204" s="21">
        <f>tabCustoUnit[[#This Row],[MODULO 1 - REMUNERAÇÃO ]]*SUMIFS(tabParametros[Férias e Adicional de Férias (titular)],tabParametros[Código do Posto],tabCustoUnit[[#This Row],[Código do Posto]])</f>
        <v>204.06649999999999</v>
      </c>
      <c r="AA204" s="21">
        <f>IFERROR((tabCustoUnit[[#This Row],[Submódulo 2.1]]/tabCustoUnit[[#This Row],[MODULO 1 - REMUNERAÇÃO ]])*SUM(tabCustoUnit[[#This Row],[13º salário (titular)]:[Férias e Adicional de Férias (titular)]]),0)</f>
        <v>134.98998974999998</v>
      </c>
      <c r="AB204" s="21">
        <f>SUM(tabCustoUnit[[#This Row],[13º salário (titular)]:[Incidência do Submódulo 2.1 sobre 13º Salário, Férias e Adicional de Férias]])</f>
        <v>492.1063647499999</v>
      </c>
      <c r="AC204" s="22" t="e">
        <f ca="1">_xlfn.LET(_xlpm.VT,SUMIF(tabParametros[Código do Posto],tabCustoUnit[[#This Row],[Código do Posto]],tabParametros[Vale - Transporte])*2*20,
IF((_xlpm.VT-tabCustoUnit[[#This Row],[Salário Base]]*0.06)&gt;=0,(_xlpm.VT-tabCustoUnit[[#This Row],[Salário Base]]*0.06),0)
)</f>
        <v>#NAME?</v>
      </c>
      <c r="AD204" s="22">
        <f>IF(SUMIF(tabParametros[Código do Posto],tabCustoUnit[[#This Row],[Código do Posto]],tabParametros[Vale - Alimentação])&lt;=0,0,
SUMIF(tabParametros[Código do Posto],tabCustoUnit[[#This Row],[Código do Posto]],tabParametros[Vale - Alimentação])*20-1)</f>
        <v>581.79999999999995</v>
      </c>
      <c r="AE204" s="22">
        <f>SUMIF(tabParametros[Código do Posto],tabCustoUnit[[#This Row],[Código do Posto]],tabParametros[Cesta Básica])</f>
        <v>0</v>
      </c>
      <c r="AF204" s="22">
        <f>SUMIF(tabParametros[Código do Posto],tabCustoUnit[[#This Row],[Código do Posto]],tabParametros[PAF])</f>
        <v>51.73</v>
      </c>
      <c r="AG204" s="22">
        <f>SUMIF(tabParametros[Código do Posto],tabCustoUnit[[#This Row],[Código do Posto]],tabParametros[PQM])</f>
        <v>0</v>
      </c>
      <c r="AH204" s="22">
        <f>SUMIF(tabParametros[Código do Posto],tabCustoUnit[[#This Row],[Código do Posto]],tabParametros[Abono Único e Especial])</f>
        <v>0</v>
      </c>
      <c r="AI204" s="22">
        <f>SUMIF(tabParametros[Código do Posto],tabCustoUnit[[#This Row],[Código do Posto]],tabParametros[Seguro de Vida])</f>
        <v>3.36</v>
      </c>
      <c r="AJ204" s="22">
        <f>SUMIF(tabParametros[Código do Posto],tabCustoUnit[[#This Row],[Código do Posto]],tabParametros[Despesas de Viagem])</f>
        <v>0</v>
      </c>
      <c r="AK204" s="22" t="e">
        <f ca="1">SUM(tabCustoUnit[[#This Row],[Vale - Transporte (Descontada parcela do empregado)]:[Despesas de Viagem]])</f>
        <v>#NAME?</v>
      </c>
      <c r="AL204" s="22" t="e">
        <f ca="1">tabCustoUnit[[#This Row],[Submódulo 2.1]]+tabCustoUnit[[#This Row],[Submódulo 2.2]]+tabCustoUnit[[#This Row],[Submódulo 2.3]]</f>
        <v>#NAME?</v>
      </c>
      <c r="AM204" s="22">
        <f>SUMIF(tabParametros[Código do Posto],tabCustoUnit[[#This Row],[Código do Posto]],tabParametros[Aviso Prévio Indenizado (API) e Reflexo do Aviso Prévio Indenizado])*tabCustoUnit[[#This Row],[MODULO 1 - REMUNERAÇÃO ]]</f>
        <v>12.87780070920139</v>
      </c>
      <c r="AN204" s="22">
        <f>SUMIF(tabParametros[Código do Posto],tabCustoUnit[[#This Row],[Código do Posto]],tabParametros[Incidência do FGTS sobre API e Reflexo do API])*tabCustoUnit[[#This Row],[MODULO 1 - REMUNERAÇÃO ]]</f>
        <v>1.0302240567361112</v>
      </c>
      <c r="AO204" s="22">
        <f>SUMIF(tabParametros[Código do Posto],tabCustoUnit[[#This Row],[Código do Posto]],tabParametros[Multa Rescisória do FGTS sobre o Aviso Prévio Indenizado])*tabCustoUnit[[#This Row],[MODULO 1 - REMUNERAÇÃO ]]</f>
        <v>0.41208962269444455</v>
      </c>
      <c r="AP204" s="22">
        <f>SUMIF(tabParametros[Código do Posto],tabCustoUnit[[#This Row],[Código do Posto]],tabParametros[Aviso Prévio Trabalhado - APT])*tabCustoUnit[[#This Row],[MODULO 1 - REMUNERAÇÃO ]]</f>
        <v>6.4280947500000014</v>
      </c>
      <c r="AQ204" s="22">
        <f>SUMIF(tabParametros[Código do Posto],tabCustoUnit[[#This Row],[Código do Posto]],tabParametros[Incidência dos encargos do submódulo 2.1 sobre Aviso Prévio Trabalhado])*tabCustoUnit[[#This Row],[MODULO 1 - REMUNERAÇÃO ]]</f>
        <v>2.4298198155000006</v>
      </c>
      <c r="AR204" s="22">
        <f>SUMIF(tabParametros[Código do Posto],tabCustoUnit[[#This Row],[Código do Posto]],tabParametros[Multa Rescisória do FGTS])*tabCustoUnit[[#This Row],[MODULO 1 - REMUNERAÇÃO ]]</f>
        <v>56.15910079999999</v>
      </c>
      <c r="AS204" s="22">
        <f>SUMIF(tabParametros[Código do Posto],tabCustoUnit[[#This Row],[Código do Posto]],tabParametros[Indenização Adicional (Art. 9º da Lei nº 7.238/84)])*tabCustoUnit[[#This Row],[MODULO 1 - REMUNERAÇÃO ]]</f>
        <v>1.5304987500000002</v>
      </c>
      <c r="AT204" s="22">
        <f>SUM(tabCustoUnit[[#This Row],[Aviso Prévio Indenizado (API) e Reflexo do Aviso Prévio Indenizado]:[Indenização Adicional (Art. 9º da Lei nº 7.238/84)]])</f>
        <v>80.867628504131943</v>
      </c>
      <c r="AU204" s="22">
        <f>SUMIF(tabParametros[Código do Posto],tabCustoUnit[[#This Row],[Código do Posto]],tabParametros[Ausência por Doença])*tabCustoUnit[[#This Row],[MODULO 1 - REMUNERAÇÃO ]]</f>
        <v>15.509053999999999</v>
      </c>
      <c r="AV204" s="22">
        <f>SUMIF(tabParametros[Código do Posto],tabCustoUnit[[#This Row],[Código do Posto]],tabParametros[Ausências Legais])*tabCustoUnit[[#This Row],[MODULO 1 - REMUNERAÇÃO ]]</f>
        <v>3.724213625</v>
      </c>
      <c r="AW204" s="22">
        <f>SUMIF(tabParametros[Código do Posto],tabCustoUnit[[#This Row],[Código do Posto]],tabParametros[Licença Paternidade])*tabCustoUnit[[#This Row],[MODULO 1 - REMUNERAÇÃO ]]</f>
        <v>0.31375224374999999</v>
      </c>
      <c r="AX204" s="22">
        <f>SUMIF(tabParametros[Código do Posto],tabCustoUnit[[#This Row],[Código do Posto]],tabParametros[Ausência por Acidente de Trabalho])*tabCustoUnit[[#This Row],[MODULO 1 - REMUNERAÇÃO ]]</f>
        <v>0.38262468750000006</v>
      </c>
      <c r="AY204" s="22">
        <f>SUMIF(tabParametros[Código do Posto],tabCustoUnit[[#This Row],[Código do Posto]],tabParametros[Férias, Adicional de Férias e 13º  com empregada em gozo de Licença Maternidade])*tabCustoUnit[[#This Row],[MODULO 1 - REMUNERAÇÃO ]]</f>
        <v>2.3807758333333333</v>
      </c>
      <c r="AZ204" s="22">
        <f>SUMIF(tabParametros[Código do Posto],tabCustoUnit[[#This Row],[Código do Posto]],tabParametros[Incidência do Submódulo 2.1 sobre Ausências Legais])*tabCustoUnit[[#This Row],[MODULO 1 - REMUNERAÇÃO ]]</f>
        <v>8.4333389072625025</v>
      </c>
      <c r="BA204" s="22">
        <f>SUM(tabCustoUnit[[#This Row],[Ausência por Doença]:[Incidência do Submódulo 2.1 sobre Ausências Legais]])</f>
        <v>30.743759296845838</v>
      </c>
      <c r="BB204" s="22">
        <f>SUMIF(tabParametros[Código do Posto],tabCustoUnit[[#This Row],[Código do Posto]],tabParametros[Intervalo para Repouso ou Alimentação])</f>
        <v>0</v>
      </c>
      <c r="BC204" s="22">
        <f>tabCustoUnit[[#This Row],[Intervalo para Repouso ou Alimentação]]</f>
        <v>0</v>
      </c>
      <c r="BD20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4" s="22">
        <f>tabCustoUnit[[#This Row],[Suspensão Temporária do Contrato de Trabalho]]</f>
        <v>0</v>
      </c>
      <c r="BF204" s="22">
        <f>tabCustoUnit[[#This Row],[Submódulo 4.1]]+tabCustoUnit[[#This Row],[Submódulo 4.2]]+tabCustoUnit[[#This Row],[Submódulo 4.3]]</f>
        <v>30.743759296845838</v>
      </c>
      <c r="BG204" s="22">
        <f>VLOOKUP(tabCustoUnit[[#This Row],[Código do Posto]],tabParametros[],MATCH(tabCustoUnit[[#Headers],[Uniformes e EPIs]],tabParametros[#Headers],0),0)</f>
        <v>44.111346448706357</v>
      </c>
      <c r="BH204" s="22">
        <f>VLOOKUP(tabCustoUnit[[#This Row],[Código do Posto]],tabParametros[],MATCH(tabCustoUnit[[#Headers],[Materiais de Consumo]],tabParametros[#Headers],0),0)</f>
        <v>0</v>
      </c>
      <c r="BI204" s="22">
        <f>VLOOKUP(tabCustoUnit[[#This Row],[Código do Posto]],tabParametros[],MATCH(tabCustoUnit[[#Headers],[Máquinas e Equipamentos (depreciação)]],tabParametros[#Headers],0),0)</f>
        <v>0</v>
      </c>
      <c r="BJ204" s="22">
        <f>VLOOKUP(tabCustoUnit[[#This Row],[Código do Posto]],tabParametros[],MATCH(tabCustoUnit[[#Headers],[Produtos de Limpeza e Materiais de Higiene Pessoal]],tabParametros[#Headers],0),0)</f>
        <v>0</v>
      </c>
      <c r="BK204" s="22">
        <f>VLOOKUP(tabCustoUnit[[#This Row],[Código do Posto]],tabParametros[],MATCH(tabCustoUnit[[#Headers],[Outros (especificar)]],tabParametros[#Headers],0),0)</f>
        <v>0</v>
      </c>
      <c r="BL204" s="22">
        <f>SUM(tabCustoUnit[[#This Row],[Uniformes e EPIs]:[Outros (especificar)]])</f>
        <v>44.111346448706357</v>
      </c>
      <c r="BM20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4" s="22" t="e">
        <f ca="1">VLOOKUP(tabCustoUnit[[#This Row],[Código do Posto]],tabParametros[],MATCH(tabCustoUnit[[#Headers],[Custos Indiretos]],tabParametros[#Headers],0),0)</f>
        <v>#NAME?</v>
      </c>
      <c r="BO204" s="22" t="e">
        <f ca="1">VLOOKUP(tabCustoUnit[[#This Row],[Código do Posto]],tabParametros[],MATCH(tabCustoUnit[[#Headers],[Lucro]],tabParametros[#Headers],0),0)</f>
        <v>#NAME?</v>
      </c>
      <c r="BP204" s="26">
        <f>((100/((1-tabCustoUnit[[#This Row],[Resumo de Alíquotas (PIS+CONFINS+ISS)]]))-100)*VLOOKUP(tabCustoUnit[[#This Row],[Código do Posto]],tabParametros[],MATCH(tabCustoUnit[[#Headers],[COFINS]],tabParametros[#Headers],0),0))/(tabCustoUnit[[#This Row],[Resumo de Alíquotas (PIS+CONFINS+ISS)]]*100)</f>
        <v>8.6609686609686695E-2</v>
      </c>
      <c r="BQ204" s="26">
        <f>((100/((100-(tabCustoUnit[[#This Row],[Resumo de Alíquotas (PIS+CONFINS+ISS)]]*100))%)-100)*VLOOKUP(tabCustoUnit[[#This Row],[Código do Posto]],tabParametros[],MATCH(tabCustoUnit[[#Headers],[PIS]],tabParametros[#Headers],0),0))/(tabCustoUnit[[#This Row],[Resumo de Alíquotas (PIS+CONFINS+ISS)]]*100)</f>
        <v>1.880341880341882E-2</v>
      </c>
      <c r="BR204" s="28">
        <f>VLOOKUP(tabCustoUnit[[#This Row],[Código do Posto]],tabParametros[],MATCH(tabCustoUnit[[#Headers],[ISS]],tabParametros[#Headers],0),0)</f>
        <v>0.03</v>
      </c>
      <c r="BS204" s="26">
        <f>(((100/((100-(tabCustoUnit[[#This Row],[Resumo de Alíquotas (PIS+CONFINS+ISS)]]*100))%)-100)*tabCustoUnit[[#This Row],[ISS]])/tabCustoUnit[[#This Row],[Resumo de Alíquotas (PIS+CONFINS+ISS)]])/100</f>
        <v>3.4188034188034219E-2</v>
      </c>
      <c r="BT20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04" s="138">
        <f>tabCustoUnit[[#This Row],[COFINS]]+tabCustoUnit[[#This Row],[PIS]]+tabCustoUnit[[#This Row],[ISS (Conversão Alíquota s/ fatura)]]</f>
        <v>0.13960113960113973</v>
      </c>
      <c r="BV204" s="22" t="e">
        <f ca="1">(tabCustoUnit[[#This Row],[TOTAL MÓDULOS 1+2+3+4+5]]+tabCustoUnit[[#This Row],[Custos Indiretos]]+tabCustoUnit[[#This Row],[Lucro]])*tabCustoUnit[[#This Row],[PIS + COFINS + ISS (Total Conversão  Alíquota s/ Fatura)]]</f>
        <v>#NAME?</v>
      </c>
      <c r="BW204" s="22" t="e">
        <f ca="1">tabCustoUnit[[#This Row],[Custos Indiretos]]+tabCustoUnit[[#This Row],[Lucro]]+tabCustoUnit[[#This Row],[Valor dos Tributos (ISS, PIS, CONFINS)]]</f>
        <v>#NAME?</v>
      </c>
      <c r="BX204" s="22" t="e">
        <f ca="1">tabCustoUnit[[#This Row],[TOTAL MÓDULOS 1+2+3+4+5]]+tabCustoUnit[[#This Row],[MÓDULO 6 – CUSTOS INDIRETOS, TRIBUTOS E LUCRO]]</f>
        <v>#NAME?</v>
      </c>
      <c r="BY204" s="22" t="e">
        <f ca="1">tabCustoUnit[[#This Row],[CUSTO TOTAL MENSAL]]*12</f>
        <v>#NAME?</v>
      </c>
      <c r="BZ204" s="24">
        <f>VLOOKUP(tabCustoUnit[[#This Row],[Código do Posto]],tabParametros[],MATCH(tabCustoUnit[[#Headers],[ANO DA CCT]],tabParametros[#Headers],0),0)</f>
        <v>45658</v>
      </c>
      <c r="CA204" s="25" t="str">
        <f>VLOOKUP(tabCustoUnit[[#This Row],[Código do Posto]],tabParametros[],MATCH(tabCustoUnit[[#Headers],[Nº DE PEDIDO DA CCT]],tabParametros[#Headers],0),0)</f>
        <v>-</v>
      </c>
      <c r="CB204" s="25" t="str">
        <f>VLOOKUP(tabCustoUnit[[#This Row],[Código do Posto]],tabParametros[],MATCH(tabCustoUnit[[#Headers],[TERMO ADITIVO ALTERAÇÃO DA CCT]],tabParametros[#Headers],0),0)</f>
        <v>-</v>
      </c>
    </row>
    <row r="205" spans="1:80">
      <c r="A205" s="20" t="s">
        <v>1641</v>
      </c>
      <c r="B205" t="s">
        <v>1160</v>
      </c>
      <c r="C205" t="s">
        <v>324</v>
      </c>
      <c r="D205" t="s">
        <v>961</v>
      </c>
      <c r="E205" s="20" t="s">
        <v>1090</v>
      </c>
      <c r="F205" s="20" t="s">
        <v>120</v>
      </c>
      <c r="G205" s="418">
        <v>3397.1305000000002</v>
      </c>
      <c r="H205" s="418">
        <v>0</v>
      </c>
      <c r="I205" s="418">
        <v>0</v>
      </c>
      <c r="J205" s="418">
        <v>0</v>
      </c>
      <c r="K205" s="418">
        <v>0</v>
      </c>
      <c r="L205" s="418">
        <v>0</v>
      </c>
      <c r="M205" s="418">
        <v>0</v>
      </c>
      <c r="N205" s="418">
        <v>0</v>
      </c>
      <c r="O205" s="21">
        <f>SUM(tabCustoUnit[[#This Row],[Salário Base]:[Adicional de Acúmulo de função]])</f>
        <v>3397.1305000000002</v>
      </c>
      <c r="P205" s="21">
        <f>tabCustoUnit[[#This Row],[MODULO 1 - REMUNERAÇÃO ]]*SUMIFS(tabParametros[INSS],tabParametros[Código do Posto],tabCustoUnit[[#This Row],[Código do Posto]])</f>
        <v>679.42610000000013</v>
      </c>
      <c r="Q205" s="21">
        <f>tabCustoUnit[[#This Row],[MODULO 1 - REMUNERAÇÃO ]]*SUMIFS(tabParametros[SESI OU SESC],tabParametros[Código do Posto],tabCustoUnit[[#This Row],[Código do Posto]])</f>
        <v>50.956957500000001</v>
      </c>
      <c r="R205" s="21">
        <f>tabCustoUnit[[#This Row],[MODULO 1 - REMUNERAÇÃO ]]*SUMIFS(tabParametros[SENAI OU SENAC],tabParametros[Código do Posto],tabCustoUnit[[#This Row],[Código do Posto]])</f>
        <v>33.971305000000001</v>
      </c>
      <c r="S205" s="21">
        <f>tabCustoUnit[[#This Row],[MODULO 1 - REMUNERAÇÃO ]]*SUMIFS(tabParametros[INCRA],tabParametros[Código do Posto],tabCustoUnit[[#This Row],[Código do Posto]])</f>
        <v>6.7942610000000005</v>
      </c>
      <c r="T205" s="21">
        <f>tabCustoUnit[[#This Row],[MODULO 1 - REMUNERAÇÃO ]]*SUMIFS(tabParametros[Salário Educação],tabParametros[Código do Posto],tabCustoUnit[[#This Row],[Código do Posto]])</f>
        <v>84.928262500000017</v>
      </c>
      <c r="U205" s="21">
        <f>tabCustoUnit[[#This Row],[MODULO 1 - REMUNERAÇÃO ]]*SUMIFS(tabParametros[FGTS],tabParametros[Código do Posto],tabCustoUnit[[#This Row],[Código do Posto]])</f>
        <v>271.77044000000001</v>
      </c>
      <c r="V205" s="21">
        <f>tabCustoUnit[[#This Row],[MODULO 1 - REMUNERAÇÃO ]]*SUMIFS(tabParametros[RAT Ajustado],tabParametros[Código do Posto],tabCustoUnit[[#This Row],[Código do Posto]])</f>
        <v>135.88522</v>
      </c>
      <c r="W205" s="21">
        <f>tabCustoUnit[[#This Row],[MODULO 1 - REMUNERAÇÃO ]]*SUMIFS(tabParametros[SEBRAE],tabParametros[Código do Posto],tabCustoUnit[[#This Row],[Código do Posto]])</f>
        <v>20.382783000000003</v>
      </c>
      <c r="X205" s="21">
        <f>SUM(tabCustoUnit[[#This Row],[INSS]:[SEBRAE]])</f>
        <v>1284.1153290000002</v>
      </c>
      <c r="Y205" s="21">
        <f>tabCustoUnit[[#This Row],[MODULO 1 - REMUNERAÇÃO ]]*SUMIFS(tabParametros[13º salário (titular)],tabParametros[Código do Posto],tabCustoUnit[[#This Row],[Código do Posto]])</f>
        <v>283.09420833333331</v>
      </c>
      <c r="Z205" s="21">
        <f>tabCustoUnit[[#This Row],[MODULO 1 - REMUNERAÇÃO ]]*SUMIFS(tabParametros[Férias e Adicional de Férias (titular)],tabParametros[Código do Posto],tabCustoUnit[[#This Row],[Código do Posto]])</f>
        <v>377.45894444444446</v>
      </c>
      <c r="AA205" s="21">
        <f>IFERROR((tabCustoUnit[[#This Row],[Submódulo 2.1]]/tabCustoUnit[[#This Row],[MODULO 1 - REMUNERAÇÃO ]])*SUM(tabCustoUnit[[#This Row],[13º salário (titular)]:[Férias e Adicional de Férias (titular)]]),0)</f>
        <v>249.68909175000005</v>
      </c>
      <c r="AB205" s="21">
        <f>SUM(tabCustoUnit[[#This Row],[13º salário (titular)]:[Incidência do Submódulo 2.1 sobre 13º Salário, Férias e Adicional de Férias]])</f>
        <v>910.24224452777776</v>
      </c>
      <c r="AC205" s="22" t="e">
        <f ca="1">_xlfn.LET(_xlpm.VT,SUMIF(tabParametros[Código do Posto],tabCustoUnit[[#This Row],[Código do Posto]],tabParametros[Vale - Transporte])*2*20,
IF((_xlpm.VT-tabCustoUnit[[#This Row],[Salário Base]]*0.06)&gt;=0,(_xlpm.VT-tabCustoUnit[[#This Row],[Salário Base]]*0.06),0)
)</f>
        <v>#NAME?</v>
      </c>
      <c r="AD205" s="22">
        <f>IF(SUMIF(tabParametros[Código do Posto],tabCustoUnit[[#This Row],[Código do Posto]],tabParametros[Vale - Alimentação])&lt;=0,0,
SUMIF(tabParametros[Código do Posto],tabCustoUnit[[#This Row],[Código do Posto]],tabParametros[Vale - Alimentação])*20-1)</f>
        <v>582</v>
      </c>
      <c r="AE205" s="22">
        <f>SUMIF(tabParametros[Código do Posto],tabCustoUnit[[#This Row],[Código do Posto]],tabParametros[Cesta Básica])</f>
        <v>0</v>
      </c>
      <c r="AF205" s="22">
        <f>SUMIF(tabParametros[Código do Posto],tabCustoUnit[[#This Row],[Código do Posto]],tabParametros[PAF])</f>
        <v>0</v>
      </c>
      <c r="AG205" s="22">
        <f>SUMIF(tabParametros[Código do Posto],tabCustoUnit[[#This Row],[Código do Posto]],tabParametros[PQM])</f>
        <v>0</v>
      </c>
      <c r="AH205" s="22">
        <f>SUMIF(tabParametros[Código do Posto],tabCustoUnit[[#This Row],[Código do Posto]],tabParametros[Abono Único e Especial])</f>
        <v>0</v>
      </c>
      <c r="AI205" s="22">
        <f>SUMIF(tabParametros[Código do Posto],tabCustoUnit[[#This Row],[Código do Posto]],tabParametros[Seguro de Vida])</f>
        <v>3.36</v>
      </c>
      <c r="AJ205" s="22">
        <f>SUMIF(tabParametros[Código do Posto],tabCustoUnit[[#This Row],[Código do Posto]],tabParametros[Despesas de Viagem])</f>
        <v>0</v>
      </c>
      <c r="AK205" s="22" t="e">
        <f ca="1">SUM(tabCustoUnit[[#This Row],[Vale - Transporte (Descontada parcela do empregado)]:[Despesas de Viagem]])</f>
        <v>#NAME?</v>
      </c>
      <c r="AL205" s="22" t="e">
        <f ca="1">tabCustoUnit[[#This Row],[Submódulo 2.1]]+tabCustoUnit[[#This Row],[Submódulo 2.2]]+tabCustoUnit[[#This Row],[Submódulo 2.3]]</f>
        <v>#NAME?</v>
      </c>
      <c r="AM205" s="22">
        <f>SUMIF(tabParametros[Código do Posto],tabCustoUnit[[#This Row],[Código do Posto]],tabParametros[Aviso Prévio Indenizado (API) e Reflexo do Aviso Prévio Indenizado])*tabCustoUnit[[#This Row],[MODULO 1 - REMUNERAÇÃO ]]</f>
        <v>23.819887450713736</v>
      </c>
      <c r="AN205" s="22">
        <f>SUMIF(tabParametros[Código do Posto],tabCustoUnit[[#This Row],[Código do Posto]],tabParametros[Incidência do FGTS sobre API e Reflexo do API])*tabCustoUnit[[#This Row],[MODULO 1 - REMUNERAÇÃO ]]</f>
        <v>1.9055909960570991</v>
      </c>
      <c r="AO205" s="22">
        <f>SUMIF(tabParametros[Código do Posto],tabCustoUnit[[#This Row],[Código do Posto]],tabParametros[Multa Rescisória do FGTS sobre o Aviso Prévio Indenizado])*tabCustoUnit[[#This Row],[MODULO 1 - REMUNERAÇÃO ]]</f>
        <v>0.76223639842283974</v>
      </c>
      <c r="AP205" s="22">
        <f>SUMIF(tabParametros[Código do Posto],tabCustoUnit[[#This Row],[Código do Posto]],tabParametros[Aviso Prévio Trabalhado - APT])*tabCustoUnit[[#This Row],[MODULO 1 - REMUNERAÇÃO ]]</f>
        <v>11.889956750000003</v>
      </c>
      <c r="AQ205" s="22">
        <f>SUMIF(tabParametros[Código do Posto],tabCustoUnit[[#This Row],[Código do Posto]],tabParametros[Incidência dos encargos do submódulo 2.1 sobre Aviso Prévio Trabalhado])*tabCustoUnit[[#This Row],[MODULO 1 - REMUNERAÇÃO ]]</f>
        <v>4.4944036515000017</v>
      </c>
      <c r="AR205" s="22">
        <f>SUMIF(tabParametros[Código do Posto],tabCustoUnit[[#This Row],[Código do Posto]],tabParametros[Multa Rescisória do FGTS])*tabCustoUnit[[#This Row],[MODULO 1 - REMUNERAÇÃO ]]</f>
        <v>103.87670151111111</v>
      </c>
      <c r="AS205" s="22">
        <f>SUMIF(tabParametros[Código do Posto],tabCustoUnit[[#This Row],[Código do Posto]],tabParametros[Indenização Adicional (Art. 9º da Lei nº 7.238/84)])*tabCustoUnit[[#This Row],[MODULO 1 - REMUNERAÇÃO ]]</f>
        <v>2.8309420833333339</v>
      </c>
      <c r="AT205" s="22">
        <f>SUM(tabCustoUnit[[#This Row],[Aviso Prévio Indenizado (API) e Reflexo do Aviso Prévio Indenizado]:[Indenização Adicional (Art. 9º da Lei nº 7.238/84)]])</f>
        <v>149.57971884113812</v>
      </c>
      <c r="AU205" s="22">
        <f>SUMIF(tabParametros[Código do Posto],tabCustoUnit[[#This Row],[Código do Posto]],tabParametros[Ausência por Doença])*tabCustoUnit[[#This Row],[MODULO 1 - REMUNERAÇÃO ]]</f>
        <v>28.686879777777776</v>
      </c>
      <c r="AV205" s="22">
        <f>SUMIF(tabParametros[Código do Posto],tabCustoUnit[[#This Row],[Código do Posto]],tabParametros[Ausências Legais])*tabCustoUnit[[#This Row],[MODULO 1 - REMUNERAÇÃO ]]</f>
        <v>6.888625736111111</v>
      </c>
      <c r="AW205" s="22">
        <f>SUMIF(tabParametros[Código do Posto],tabCustoUnit[[#This Row],[Código do Posto]],tabParametros[Licença Paternidade])*tabCustoUnit[[#This Row],[MODULO 1 - REMUNERAÇÃO ]]</f>
        <v>0.58034312708333335</v>
      </c>
      <c r="AX205" s="22">
        <f>SUMIF(tabParametros[Código do Posto],tabCustoUnit[[#This Row],[Código do Posto]],tabParametros[Ausência por Acidente de Trabalho])*tabCustoUnit[[#This Row],[MODULO 1 - REMUNERAÇÃO ]]</f>
        <v>0.70773552083333346</v>
      </c>
      <c r="AY205" s="22">
        <f>SUMIF(tabParametros[Código do Posto],tabCustoUnit[[#This Row],[Código do Posto]],tabParametros[Férias, Adicional de Férias e 13º  com empregada em gozo de Licença Maternidade])*tabCustoUnit[[#This Row],[MODULO 1 - REMUNERAÇÃO ]]</f>
        <v>4.4036876851851856</v>
      </c>
      <c r="AZ205" s="22">
        <f>SUMIF(tabParametros[Código do Posto],tabCustoUnit[[#This Row],[Código do Posto]],tabParametros[Incidência do Submódulo 2.1 sobre Ausências Legais])*tabCustoUnit[[#This Row],[MODULO 1 - REMUNERAÇÃO ]]</f>
        <v>15.599028758162504</v>
      </c>
      <c r="BA205" s="22">
        <f>SUM(tabCustoUnit[[#This Row],[Ausência por Doença]:[Incidência do Submódulo 2.1 sobre Ausências Legais]])</f>
        <v>56.866300605153235</v>
      </c>
      <c r="BB205" s="22">
        <f>SUMIF(tabParametros[Código do Posto],tabCustoUnit[[#This Row],[Código do Posto]],tabParametros[Intervalo para Repouso ou Alimentação])</f>
        <v>0</v>
      </c>
      <c r="BC205" s="22">
        <f>tabCustoUnit[[#This Row],[Intervalo para Repouso ou Alimentação]]</f>
        <v>0</v>
      </c>
      <c r="BD20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5" s="22">
        <f>tabCustoUnit[[#This Row],[Suspensão Temporária do Contrato de Trabalho]]</f>
        <v>0</v>
      </c>
      <c r="BF205" s="22">
        <f>tabCustoUnit[[#This Row],[Submódulo 4.1]]+tabCustoUnit[[#This Row],[Submódulo 4.2]]+tabCustoUnit[[#This Row],[Submódulo 4.3]]</f>
        <v>56.866300605153235</v>
      </c>
      <c r="BG205" s="22">
        <f>VLOOKUP(tabCustoUnit[[#This Row],[Código do Posto]],tabParametros[],MATCH(tabCustoUnit[[#Headers],[Uniformes e EPIs]],tabParametros[#Headers],0),0)</f>
        <v>56.642978962543395</v>
      </c>
      <c r="BH205" s="22">
        <f>VLOOKUP(tabCustoUnit[[#This Row],[Código do Posto]],tabParametros[],MATCH(tabCustoUnit[[#Headers],[Materiais de Consumo]],tabParametros[#Headers],0),0)</f>
        <v>0</v>
      </c>
      <c r="BI205" s="22">
        <f>VLOOKUP(tabCustoUnit[[#This Row],[Código do Posto]],tabParametros[],MATCH(tabCustoUnit[[#Headers],[Máquinas e Equipamentos (depreciação)]],tabParametros[#Headers],0),0)</f>
        <v>0</v>
      </c>
      <c r="BJ205" s="22">
        <f>VLOOKUP(tabCustoUnit[[#This Row],[Código do Posto]],tabParametros[],MATCH(tabCustoUnit[[#Headers],[Produtos de Limpeza e Materiais de Higiene Pessoal]],tabParametros[#Headers],0),0)</f>
        <v>0</v>
      </c>
      <c r="BK205" s="22">
        <f>VLOOKUP(tabCustoUnit[[#This Row],[Código do Posto]],tabParametros[],MATCH(tabCustoUnit[[#Headers],[Outros (especificar)]],tabParametros[#Headers],0),0)</f>
        <v>0</v>
      </c>
      <c r="BL205" s="22">
        <f>SUM(tabCustoUnit[[#This Row],[Uniformes e EPIs]:[Outros (especificar)]])</f>
        <v>56.642978962543395</v>
      </c>
      <c r="BM20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5" s="22" t="e">
        <f ca="1">VLOOKUP(tabCustoUnit[[#This Row],[Código do Posto]],tabParametros[],MATCH(tabCustoUnit[[#Headers],[Custos Indiretos]],tabParametros[#Headers],0),0)</f>
        <v>#NAME?</v>
      </c>
      <c r="BO205" s="22" t="e">
        <f ca="1">VLOOKUP(tabCustoUnit[[#This Row],[Código do Posto]],tabParametros[],MATCH(tabCustoUnit[[#Headers],[Lucro]],tabParametros[#Headers],0),0)</f>
        <v>#NAME?</v>
      </c>
      <c r="BP205" s="26">
        <f>((100/((1-tabCustoUnit[[#This Row],[Resumo de Alíquotas (PIS+CONFINS+ISS)]]))-100)*VLOOKUP(tabCustoUnit[[#This Row],[Código do Posto]],tabParametros[],MATCH(tabCustoUnit[[#Headers],[COFINS]],tabParametros[#Headers],0),0))/(tabCustoUnit[[#This Row],[Resumo de Alíquotas (PIS+CONFINS+ISS)]]*100)</f>
        <v>8.6609686609686695E-2</v>
      </c>
      <c r="BQ205" s="26">
        <f>((100/((100-(tabCustoUnit[[#This Row],[Resumo de Alíquotas (PIS+CONFINS+ISS)]]*100))%)-100)*VLOOKUP(tabCustoUnit[[#This Row],[Código do Posto]],tabParametros[],MATCH(tabCustoUnit[[#Headers],[PIS]],tabParametros[#Headers],0),0))/(tabCustoUnit[[#This Row],[Resumo de Alíquotas (PIS+CONFINS+ISS)]]*100)</f>
        <v>1.880341880341882E-2</v>
      </c>
      <c r="BR205" s="28">
        <f>VLOOKUP(tabCustoUnit[[#This Row],[Código do Posto]],tabParametros[],MATCH(tabCustoUnit[[#Headers],[ISS]],tabParametros[#Headers],0),0)</f>
        <v>0.03</v>
      </c>
      <c r="BS205" s="26">
        <f>(((100/((100-(tabCustoUnit[[#This Row],[Resumo de Alíquotas (PIS+CONFINS+ISS)]]*100))%)-100)*tabCustoUnit[[#This Row],[ISS]])/tabCustoUnit[[#This Row],[Resumo de Alíquotas (PIS+CONFINS+ISS)]])/100</f>
        <v>3.4188034188034219E-2</v>
      </c>
      <c r="BT20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05" s="138">
        <f>tabCustoUnit[[#This Row],[COFINS]]+tabCustoUnit[[#This Row],[PIS]]+tabCustoUnit[[#This Row],[ISS (Conversão Alíquota s/ fatura)]]</f>
        <v>0.13960113960113973</v>
      </c>
      <c r="BV205" s="22" t="e">
        <f ca="1">(tabCustoUnit[[#This Row],[TOTAL MÓDULOS 1+2+3+4+5]]+tabCustoUnit[[#This Row],[Custos Indiretos]]+tabCustoUnit[[#This Row],[Lucro]])*tabCustoUnit[[#This Row],[PIS + COFINS + ISS (Total Conversão  Alíquota s/ Fatura)]]</f>
        <v>#NAME?</v>
      </c>
      <c r="BW205" s="22" t="e">
        <f ca="1">tabCustoUnit[[#This Row],[Custos Indiretos]]+tabCustoUnit[[#This Row],[Lucro]]+tabCustoUnit[[#This Row],[Valor dos Tributos (ISS, PIS, CONFINS)]]</f>
        <v>#NAME?</v>
      </c>
      <c r="BX205" s="22" t="e">
        <f ca="1">tabCustoUnit[[#This Row],[TOTAL MÓDULOS 1+2+3+4+5]]+tabCustoUnit[[#This Row],[MÓDULO 6 – CUSTOS INDIRETOS, TRIBUTOS E LUCRO]]</f>
        <v>#NAME?</v>
      </c>
      <c r="BY205" s="22" t="e">
        <f ca="1">tabCustoUnit[[#This Row],[CUSTO TOTAL MENSAL]]*12</f>
        <v>#NAME?</v>
      </c>
      <c r="BZ205" s="24">
        <f>VLOOKUP(tabCustoUnit[[#This Row],[Código do Posto]],tabParametros[],MATCH(tabCustoUnit[[#Headers],[ANO DA CCT]],tabParametros[#Headers],0),0)</f>
        <v>45658</v>
      </c>
      <c r="CA205" s="25" t="str">
        <f>VLOOKUP(tabCustoUnit[[#This Row],[Código do Posto]],tabParametros[],MATCH(tabCustoUnit[[#Headers],[Nº DE PEDIDO DA CCT]],tabParametros[#Headers],0),0)</f>
        <v>-</v>
      </c>
      <c r="CB205" s="25" t="str">
        <f>VLOOKUP(tabCustoUnit[[#This Row],[Código do Posto]],tabParametros[],MATCH(tabCustoUnit[[#Headers],[TERMO ADITIVO ALTERAÇÃO DA CCT]],tabParametros[#Headers],0),0)</f>
        <v>-</v>
      </c>
    </row>
    <row r="206" spans="1:80">
      <c r="A206" s="20" t="s">
        <v>1490</v>
      </c>
      <c r="B206" t="s">
        <v>1161</v>
      </c>
      <c r="C206" t="s">
        <v>200</v>
      </c>
      <c r="D206" t="s">
        <v>1048</v>
      </c>
      <c r="E206" s="20" t="s">
        <v>1090</v>
      </c>
      <c r="F206" s="20" t="s">
        <v>120</v>
      </c>
      <c r="G206" s="418">
        <v>1596.2737999999999</v>
      </c>
      <c r="H206" s="418">
        <v>0</v>
      </c>
      <c r="I206" s="418">
        <v>0</v>
      </c>
      <c r="J206" s="418">
        <v>0</v>
      </c>
      <c r="K206" s="418">
        <v>0</v>
      </c>
      <c r="L206" s="418">
        <v>0</v>
      </c>
      <c r="M206" s="418">
        <v>0</v>
      </c>
      <c r="N206" s="418">
        <v>0</v>
      </c>
      <c r="O206" s="21">
        <f>SUM(tabCustoUnit[[#This Row],[Salário Base]:[Adicional de Acúmulo de função]])</f>
        <v>1596.2737999999999</v>
      </c>
      <c r="P206" s="21">
        <f>tabCustoUnit[[#This Row],[MODULO 1 - REMUNERAÇÃO ]]*SUMIFS(tabParametros[INSS],tabParametros[Código do Posto],tabCustoUnit[[#This Row],[Código do Posto]])</f>
        <v>319.25476000000003</v>
      </c>
      <c r="Q206" s="21">
        <f>tabCustoUnit[[#This Row],[MODULO 1 - REMUNERAÇÃO ]]*SUMIFS(tabParametros[SESI OU SESC],tabParametros[Código do Posto],tabCustoUnit[[#This Row],[Código do Posto]])</f>
        <v>23.944106999999999</v>
      </c>
      <c r="R206" s="21">
        <f>tabCustoUnit[[#This Row],[MODULO 1 - REMUNERAÇÃO ]]*SUMIFS(tabParametros[SENAI OU SENAC],tabParametros[Código do Posto],tabCustoUnit[[#This Row],[Código do Posto]])</f>
        <v>15.962738</v>
      </c>
      <c r="S206" s="21">
        <f>tabCustoUnit[[#This Row],[MODULO 1 - REMUNERAÇÃO ]]*SUMIFS(tabParametros[INCRA],tabParametros[Código do Posto],tabCustoUnit[[#This Row],[Código do Posto]])</f>
        <v>3.1925476000000002</v>
      </c>
      <c r="T206" s="21">
        <f>tabCustoUnit[[#This Row],[MODULO 1 - REMUNERAÇÃO ]]*SUMIFS(tabParametros[Salário Educação],tabParametros[Código do Posto],tabCustoUnit[[#This Row],[Código do Posto]])</f>
        <v>39.906845000000004</v>
      </c>
      <c r="U206" s="21">
        <f>tabCustoUnit[[#This Row],[MODULO 1 - REMUNERAÇÃO ]]*SUMIFS(tabParametros[FGTS],tabParametros[Código do Posto],tabCustoUnit[[#This Row],[Código do Posto]])</f>
        <v>127.701904</v>
      </c>
      <c r="V206" s="21">
        <f>tabCustoUnit[[#This Row],[MODULO 1 - REMUNERAÇÃO ]]*SUMIFS(tabParametros[RAT Ajustado],tabParametros[Código do Posto],tabCustoUnit[[#This Row],[Código do Posto]])</f>
        <v>63.850951999999999</v>
      </c>
      <c r="W206" s="21">
        <f>tabCustoUnit[[#This Row],[MODULO 1 - REMUNERAÇÃO ]]*SUMIFS(tabParametros[SEBRAE],tabParametros[Código do Posto],tabCustoUnit[[#This Row],[Código do Posto]])</f>
        <v>9.5776427999999996</v>
      </c>
      <c r="X206" s="21">
        <f>SUM(tabCustoUnit[[#This Row],[INSS]:[SEBRAE]])</f>
        <v>603.39149640000005</v>
      </c>
      <c r="Y206" s="21">
        <f>tabCustoUnit[[#This Row],[MODULO 1 - REMUNERAÇÃO ]]*SUMIFS(tabParametros[13º salário (titular)],tabParametros[Código do Posto],tabCustoUnit[[#This Row],[Código do Posto]])</f>
        <v>133.02281666666664</v>
      </c>
      <c r="Z206" s="21">
        <f>tabCustoUnit[[#This Row],[MODULO 1 - REMUNERAÇÃO ]]*SUMIFS(tabParametros[Férias e Adicional de Férias (titular)],tabParametros[Código do Posto],tabCustoUnit[[#This Row],[Código do Posto]])</f>
        <v>177.36375555555554</v>
      </c>
      <c r="AA206" s="21">
        <f>IFERROR((tabCustoUnit[[#This Row],[Submódulo 2.1]]/tabCustoUnit[[#This Row],[MODULO 1 - REMUNERAÇÃO ]])*SUM(tabCustoUnit[[#This Row],[13º salário (titular)]:[Férias e Adicional de Férias (titular)]]),0)</f>
        <v>117.3261243</v>
      </c>
      <c r="AB206" s="21">
        <f>SUM(tabCustoUnit[[#This Row],[13º salário (titular)]:[Incidência do Submódulo 2.1 sobre 13º Salário, Férias e Adicional de Férias]])</f>
        <v>427.71269652222219</v>
      </c>
      <c r="AC206" s="22" t="e">
        <f ca="1">_xlfn.LET(_xlpm.VT,SUMIF(tabParametros[Código do Posto],tabCustoUnit[[#This Row],[Código do Posto]],tabParametros[Vale - Transporte])*2*20,
IF((_xlpm.VT-tabCustoUnit[[#This Row],[Salário Base]]*0.06)&gt;=0,(_xlpm.VT-tabCustoUnit[[#This Row],[Salário Base]]*0.06),0)
)</f>
        <v>#NAME?</v>
      </c>
      <c r="AD206" s="22">
        <f>IF(SUMIF(tabParametros[Código do Posto],tabCustoUnit[[#This Row],[Código do Posto]],tabParametros[Vale - Alimentação])&lt;=0,0,
SUMIF(tabParametros[Código do Posto],tabCustoUnit[[#This Row],[Código do Posto]],tabParametros[Vale - Alimentação])*20-1)</f>
        <v>582</v>
      </c>
      <c r="AE206" s="22">
        <f>SUMIF(tabParametros[Código do Posto],tabCustoUnit[[#This Row],[Código do Posto]],tabParametros[Cesta Básica])</f>
        <v>0</v>
      </c>
      <c r="AF206" s="22">
        <f>SUMIF(tabParametros[Código do Posto],tabCustoUnit[[#This Row],[Código do Posto]],tabParametros[PAF])</f>
        <v>0</v>
      </c>
      <c r="AG206" s="22">
        <f>SUMIF(tabParametros[Código do Posto],tabCustoUnit[[#This Row],[Código do Posto]],tabParametros[PQM])</f>
        <v>0</v>
      </c>
      <c r="AH206" s="22">
        <f>SUMIF(tabParametros[Código do Posto],tabCustoUnit[[#This Row],[Código do Posto]],tabParametros[Abono Único e Especial])</f>
        <v>0</v>
      </c>
      <c r="AI206" s="22">
        <f>SUMIF(tabParametros[Código do Posto],tabCustoUnit[[#This Row],[Código do Posto]],tabParametros[Seguro de Vida])</f>
        <v>3.36</v>
      </c>
      <c r="AJ206" s="22">
        <f>SUMIF(tabParametros[Código do Posto],tabCustoUnit[[#This Row],[Código do Posto]],tabParametros[Despesas de Viagem])</f>
        <v>0</v>
      </c>
      <c r="AK206" s="22" t="e">
        <f ca="1">SUM(tabCustoUnit[[#This Row],[Vale - Transporte (Descontada parcela do empregado)]:[Despesas de Viagem]])</f>
        <v>#NAME?</v>
      </c>
      <c r="AL206" s="22" t="e">
        <f ca="1">tabCustoUnit[[#This Row],[Submódulo 2.1]]+tabCustoUnit[[#This Row],[Submódulo 2.2]]+tabCustoUnit[[#This Row],[Submódulo 2.3]]</f>
        <v>#NAME?</v>
      </c>
      <c r="AM206" s="22">
        <f>SUMIF(tabParametros[Código do Posto],tabCustoUnit[[#This Row],[Código do Posto]],tabParametros[Aviso Prévio Indenizado (API) e Reflexo do Aviso Prévio Indenizado])*tabCustoUnit[[#This Row],[MODULO 1 - REMUNERAÇÃO ]]</f>
        <v>11.192699914390431</v>
      </c>
      <c r="AN206" s="22">
        <f>SUMIF(tabParametros[Código do Posto],tabCustoUnit[[#This Row],[Código do Posto]],tabParametros[Incidência do FGTS sobre API e Reflexo do API])*tabCustoUnit[[#This Row],[MODULO 1 - REMUNERAÇÃO ]]</f>
        <v>0.89541599315123466</v>
      </c>
      <c r="AO206" s="22">
        <f>SUMIF(tabParametros[Código do Posto],tabCustoUnit[[#This Row],[Código do Posto]],tabParametros[Multa Rescisória do FGTS sobre o Aviso Prévio Indenizado])*tabCustoUnit[[#This Row],[MODULO 1 - REMUNERAÇÃO ]]</f>
        <v>0.35816639726049387</v>
      </c>
      <c r="AP206" s="22">
        <f>SUMIF(tabParametros[Código do Posto],tabCustoUnit[[#This Row],[Código do Posto]],tabParametros[Aviso Prévio Trabalhado - APT])*tabCustoUnit[[#This Row],[MODULO 1 - REMUNERAÇÃO ]]</f>
        <v>5.5869583000000009</v>
      </c>
      <c r="AQ206" s="22">
        <f>SUMIF(tabParametros[Código do Posto],tabCustoUnit[[#This Row],[Código do Posto]],tabParametros[Incidência dos encargos do submódulo 2.1 sobre Aviso Prévio Trabalhado])*tabCustoUnit[[#This Row],[MODULO 1 - REMUNERAÇÃO ]]</f>
        <v>2.1118702374000007</v>
      </c>
      <c r="AR206" s="22">
        <f>SUMIF(tabParametros[Código do Posto],tabCustoUnit[[#This Row],[Código do Posto]],tabParametros[Multa Rescisória do FGTS])*tabCustoUnit[[#This Row],[MODULO 1 - REMUNERAÇÃO ]]</f>
        <v>48.810505528888882</v>
      </c>
      <c r="AS206" s="22">
        <f>SUMIF(tabParametros[Código do Posto],tabCustoUnit[[#This Row],[Código do Posto]],tabParametros[Indenização Adicional (Art. 9º da Lei nº 7.238/84)])*tabCustoUnit[[#This Row],[MODULO 1 - REMUNERAÇÃO ]]</f>
        <v>1.3302281666666667</v>
      </c>
      <c r="AT206" s="22">
        <f>SUM(tabCustoUnit[[#This Row],[Aviso Prévio Indenizado (API) e Reflexo do Aviso Prévio Indenizado]:[Indenização Adicional (Art. 9º da Lei nº 7.238/84)]])</f>
        <v>70.285844537757711</v>
      </c>
      <c r="AU206" s="22">
        <f>SUMIF(tabParametros[Código do Posto],tabCustoUnit[[#This Row],[Código do Posto]],tabParametros[Ausência por Doença])*tabCustoUnit[[#This Row],[MODULO 1 - REMUNERAÇÃO ]]</f>
        <v>13.479645422222221</v>
      </c>
      <c r="AV206" s="22">
        <f>SUMIF(tabParametros[Código do Posto],tabCustoUnit[[#This Row],[Código do Posto]],tabParametros[Ausências Legais])*tabCustoUnit[[#This Row],[MODULO 1 - REMUNERAÇÃO ]]</f>
        <v>3.2368885388888886</v>
      </c>
      <c r="AW206" s="22">
        <f>SUMIF(tabParametros[Código do Posto],tabCustoUnit[[#This Row],[Código do Posto]],tabParametros[Licença Paternidade])*tabCustoUnit[[#This Row],[MODULO 1 - REMUNERAÇÃO ]]</f>
        <v>0.27269677416666666</v>
      </c>
      <c r="AX206" s="22">
        <f>SUMIF(tabParametros[Código do Posto],tabCustoUnit[[#This Row],[Código do Posto]],tabParametros[Ausência por Acidente de Trabalho])*tabCustoUnit[[#This Row],[MODULO 1 - REMUNERAÇÃO ]]</f>
        <v>0.33255704166666666</v>
      </c>
      <c r="AY206" s="22">
        <f>SUMIF(tabParametros[Código do Posto],tabCustoUnit[[#This Row],[Código do Posto]],tabParametros[Férias, Adicional de Férias e 13º  com empregada em gozo de Licença Maternidade])*tabCustoUnit[[#This Row],[MODULO 1 - REMUNERAÇÃO ]]</f>
        <v>2.0692438148148145</v>
      </c>
      <c r="AZ206" s="22">
        <f>SUMIF(tabParametros[Código do Posto],tabCustoUnit[[#This Row],[Código do Posto]],tabParametros[Incidência do Submódulo 2.1 sobre Ausências Legais])*tabCustoUnit[[#This Row],[MODULO 1 - REMUNERAÇÃO ]]</f>
        <v>7.3298099416850011</v>
      </c>
      <c r="BA206" s="22">
        <f>SUM(tabCustoUnit[[#This Row],[Ausência por Doença]:[Incidência do Submódulo 2.1 sobre Ausências Legais]])</f>
        <v>26.720841533444265</v>
      </c>
      <c r="BB206" s="22">
        <f>SUMIF(tabParametros[Código do Posto],tabCustoUnit[[#This Row],[Código do Posto]],tabParametros[Intervalo para Repouso ou Alimentação])</f>
        <v>0</v>
      </c>
      <c r="BC206" s="22">
        <f>tabCustoUnit[[#This Row],[Intervalo para Repouso ou Alimentação]]</f>
        <v>0</v>
      </c>
      <c r="BD20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6" s="22">
        <f>tabCustoUnit[[#This Row],[Suspensão Temporária do Contrato de Trabalho]]</f>
        <v>0</v>
      </c>
      <c r="BF206" s="22">
        <f>tabCustoUnit[[#This Row],[Submódulo 4.1]]+tabCustoUnit[[#This Row],[Submódulo 4.2]]+tabCustoUnit[[#This Row],[Submódulo 4.3]]</f>
        <v>26.720841533444265</v>
      </c>
      <c r="BG206" s="22">
        <f>VLOOKUP(tabCustoUnit[[#This Row],[Código do Posto]],tabParametros[],MATCH(tabCustoUnit[[#Headers],[Uniformes e EPIs]],tabParametros[#Headers],0),0)</f>
        <v>56.141713661989918</v>
      </c>
      <c r="BH206" s="22">
        <f>VLOOKUP(tabCustoUnit[[#This Row],[Código do Posto]],tabParametros[],MATCH(tabCustoUnit[[#Headers],[Materiais de Consumo]],tabParametros[#Headers],0),0)</f>
        <v>0</v>
      </c>
      <c r="BI206" s="22">
        <f>VLOOKUP(tabCustoUnit[[#This Row],[Código do Posto]],tabParametros[],MATCH(tabCustoUnit[[#Headers],[Máquinas e Equipamentos (depreciação)]],tabParametros[#Headers],0),0)</f>
        <v>0</v>
      </c>
      <c r="BJ206" s="22">
        <f>VLOOKUP(tabCustoUnit[[#This Row],[Código do Posto]],tabParametros[],MATCH(tabCustoUnit[[#Headers],[Produtos de Limpeza e Materiais de Higiene Pessoal]],tabParametros[#Headers],0),0)</f>
        <v>0</v>
      </c>
      <c r="BK206" s="22">
        <f>VLOOKUP(tabCustoUnit[[#This Row],[Código do Posto]],tabParametros[],MATCH(tabCustoUnit[[#Headers],[Outros (especificar)]],tabParametros[#Headers],0),0)</f>
        <v>0</v>
      </c>
      <c r="BL206" s="22">
        <f>SUM(tabCustoUnit[[#This Row],[Uniformes e EPIs]:[Outros (especificar)]])</f>
        <v>56.141713661989918</v>
      </c>
      <c r="BM20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6" s="22" t="e">
        <f ca="1">VLOOKUP(tabCustoUnit[[#This Row],[Código do Posto]],tabParametros[],MATCH(tabCustoUnit[[#Headers],[Custos Indiretos]],tabParametros[#Headers],0),0)</f>
        <v>#NAME?</v>
      </c>
      <c r="BO206" s="22" t="e">
        <f ca="1">VLOOKUP(tabCustoUnit[[#This Row],[Código do Posto]],tabParametros[],MATCH(tabCustoUnit[[#Headers],[Lucro]],tabParametros[#Headers],0),0)</f>
        <v>#NAME?</v>
      </c>
      <c r="BP206" s="26">
        <f>((100/((1-tabCustoUnit[[#This Row],[Resumo de Alíquotas (PIS+CONFINS+ISS)]]))-100)*VLOOKUP(tabCustoUnit[[#This Row],[Código do Posto]],tabParametros[],MATCH(tabCustoUnit[[#Headers],[COFINS]],tabParametros[#Headers],0),0))/(tabCustoUnit[[#This Row],[Resumo de Alíquotas (PIS+CONFINS+ISS)]]*100)</f>
        <v>8.5633802816901458E-2</v>
      </c>
      <c r="BQ206" s="26">
        <f>((100/((100-(tabCustoUnit[[#This Row],[Resumo de Alíquotas (PIS+CONFINS+ISS)]]*100))%)-100)*VLOOKUP(tabCustoUnit[[#This Row],[Código do Posto]],tabParametros[],MATCH(tabCustoUnit[[#Headers],[PIS]],tabParametros[#Headers],0),0))/(tabCustoUnit[[#This Row],[Resumo de Alíquotas (PIS+CONFINS+ISS)]]*100)</f>
        <v>1.8591549295774657E-2</v>
      </c>
      <c r="BR206" s="28">
        <f>VLOOKUP(tabCustoUnit[[#This Row],[Código do Posto]],tabParametros[],MATCH(tabCustoUnit[[#Headers],[ISS]],tabParametros[#Headers],0),0)</f>
        <v>0.02</v>
      </c>
      <c r="BS206" s="26">
        <f>(((100/((100-(tabCustoUnit[[#This Row],[Resumo de Alíquotas (PIS+CONFINS+ISS)]]*100))%)-100)*tabCustoUnit[[#This Row],[ISS]])/tabCustoUnit[[#This Row],[Resumo de Alíquotas (PIS+CONFINS+ISS)]])/100</f>
        <v>2.2535211267605645E-2</v>
      </c>
      <c r="BT20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06" s="138">
        <f>tabCustoUnit[[#This Row],[COFINS]]+tabCustoUnit[[#This Row],[PIS]]+tabCustoUnit[[#This Row],[ISS (Conversão Alíquota s/ fatura)]]</f>
        <v>0.12676056338028174</v>
      </c>
      <c r="BV206" s="22" t="e">
        <f ca="1">(tabCustoUnit[[#This Row],[TOTAL MÓDULOS 1+2+3+4+5]]+tabCustoUnit[[#This Row],[Custos Indiretos]]+tabCustoUnit[[#This Row],[Lucro]])*tabCustoUnit[[#This Row],[PIS + COFINS + ISS (Total Conversão  Alíquota s/ Fatura)]]</f>
        <v>#NAME?</v>
      </c>
      <c r="BW206" s="22" t="e">
        <f ca="1">tabCustoUnit[[#This Row],[Custos Indiretos]]+tabCustoUnit[[#This Row],[Lucro]]+tabCustoUnit[[#This Row],[Valor dos Tributos (ISS, PIS, CONFINS)]]</f>
        <v>#NAME?</v>
      </c>
      <c r="BX206" s="22" t="e">
        <f ca="1">tabCustoUnit[[#This Row],[TOTAL MÓDULOS 1+2+3+4+5]]+tabCustoUnit[[#This Row],[MÓDULO 6 – CUSTOS INDIRETOS, TRIBUTOS E LUCRO]]</f>
        <v>#NAME?</v>
      </c>
      <c r="BY206" s="22" t="e">
        <f ca="1">tabCustoUnit[[#This Row],[CUSTO TOTAL MENSAL]]*12</f>
        <v>#NAME?</v>
      </c>
      <c r="BZ206" s="24">
        <f>VLOOKUP(tabCustoUnit[[#This Row],[Código do Posto]],tabParametros[],MATCH(tabCustoUnit[[#Headers],[ANO DA CCT]],tabParametros[#Headers],0),0)</f>
        <v>45658</v>
      </c>
      <c r="CA206" s="25" t="str">
        <f>VLOOKUP(tabCustoUnit[[#This Row],[Código do Posto]],tabParametros[],MATCH(tabCustoUnit[[#Headers],[Nº DE PEDIDO DA CCT]],tabParametros[#Headers],0),0)</f>
        <v>-</v>
      </c>
      <c r="CB206" s="25" t="str">
        <f>VLOOKUP(tabCustoUnit[[#This Row],[Código do Posto]],tabParametros[],MATCH(tabCustoUnit[[#Headers],[TERMO ADITIVO ALTERAÇÃO DA CCT]],tabParametros[#Headers],0),0)</f>
        <v>-</v>
      </c>
    </row>
    <row r="207" spans="1:80">
      <c r="A207" s="20" t="s">
        <v>1642</v>
      </c>
      <c r="B207" t="s">
        <v>1161</v>
      </c>
      <c r="C207" t="s">
        <v>304</v>
      </c>
      <c r="D207" t="s">
        <v>1048</v>
      </c>
      <c r="E207" s="20" t="s">
        <v>1090</v>
      </c>
      <c r="F207" s="20" t="s">
        <v>120</v>
      </c>
      <c r="G207" s="418">
        <v>1963.4110000000001</v>
      </c>
      <c r="H207" s="418">
        <v>0</v>
      </c>
      <c r="I207" s="418">
        <v>0</v>
      </c>
      <c r="J207" s="418">
        <v>0</v>
      </c>
      <c r="K207" s="418">
        <v>0</v>
      </c>
      <c r="L207" s="418">
        <v>0</v>
      </c>
      <c r="M207" s="418">
        <v>0</v>
      </c>
      <c r="N207" s="418">
        <v>0</v>
      </c>
      <c r="O207" s="21">
        <f>SUM(tabCustoUnit[[#This Row],[Salário Base]:[Adicional de Acúmulo de função]])</f>
        <v>1963.4110000000001</v>
      </c>
      <c r="P207" s="21">
        <f>tabCustoUnit[[#This Row],[MODULO 1 - REMUNERAÇÃO ]]*SUMIFS(tabParametros[INSS],tabParametros[Código do Posto],tabCustoUnit[[#This Row],[Código do Posto]])</f>
        <v>392.68220000000002</v>
      </c>
      <c r="Q207" s="21">
        <f>tabCustoUnit[[#This Row],[MODULO 1 - REMUNERAÇÃO ]]*SUMIFS(tabParametros[SESI OU SESC],tabParametros[Código do Posto],tabCustoUnit[[#This Row],[Código do Posto]])</f>
        <v>29.451165</v>
      </c>
      <c r="R207" s="21">
        <f>tabCustoUnit[[#This Row],[MODULO 1 - REMUNERAÇÃO ]]*SUMIFS(tabParametros[SENAI OU SENAC],tabParametros[Código do Posto],tabCustoUnit[[#This Row],[Código do Posto]])</f>
        <v>19.63411</v>
      </c>
      <c r="S207" s="21">
        <f>tabCustoUnit[[#This Row],[MODULO 1 - REMUNERAÇÃO ]]*SUMIFS(tabParametros[INCRA],tabParametros[Código do Posto],tabCustoUnit[[#This Row],[Código do Posto]])</f>
        <v>3.926822</v>
      </c>
      <c r="T207" s="21">
        <f>tabCustoUnit[[#This Row],[MODULO 1 - REMUNERAÇÃO ]]*SUMIFS(tabParametros[Salário Educação],tabParametros[Código do Posto],tabCustoUnit[[#This Row],[Código do Posto]])</f>
        <v>49.085275000000003</v>
      </c>
      <c r="U207" s="21">
        <f>tabCustoUnit[[#This Row],[MODULO 1 - REMUNERAÇÃO ]]*SUMIFS(tabParametros[FGTS],tabParametros[Código do Posto],tabCustoUnit[[#This Row],[Código do Posto]])</f>
        <v>157.07288</v>
      </c>
      <c r="V207" s="21">
        <f>tabCustoUnit[[#This Row],[MODULO 1 - REMUNERAÇÃO ]]*SUMIFS(tabParametros[RAT Ajustado],tabParametros[Código do Posto],tabCustoUnit[[#This Row],[Código do Posto]])</f>
        <v>78.536439999999999</v>
      </c>
      <c r="W207" s="21">
        <f>tabCustoUnit[[#This Row],[MODULO 1 - REMUNERAÇÃO ]]*SUMIFS(tabParametros[SEBRAE],tabParametros[Código do Posto],tabCustoUnit[[#This Row],[Código do Posto]])</f>
        <v>11.780466000000001</v>
      </c>
      <c r="X207" s="21">
        <f>SUM(tabCustoUnit[[#This Row],[INSS]:[SEBRAE]])</f>
        <v>742.1693580000001</v>
      </c>
      <c r="Y207" s="21">
        <f>tabCustoUnit[[#This Row],[MODULO 1 - REMUNERAÇÃO ]]*SUMIFS(tabParametros[13º salário (titular)],tabParametros[Código do Posto],tabCustoUnit[[#This Row],[Código do Posto]])</f>
        <v>163.61758333333333</v>
      </c>
      <c r="Z207" s="21">
        <f>tabCustoUnit[[#This Row],[MODULO 1 - REMUNERAÇÃO ]]*SUMIFS(tabParametros[Férias e Adicional de Férias (titular)],tabParametros[Código do Posto],tabCustoUnit[[#This Row],[Código do Posto]])</f>
        <v>218.15677777777776</v>
      </c>
      <c r="AA207" s="21">
        <f>IFERROR((tabCustoUnit[[#This Row],[Submódulo 2.1]]/tabCustoUnit[[#This Row],[MODULO 1 - REMUNERAÇÃO ]])*SUM(tabCustoUnit[[#This Row],[13º salário (titular)]:[Férias e Adicional de Férias (titular)]]),0)</f>
        <v>144.3107085</v>
      </c>
      <c r="AB207" s="21">
        <f>SUM(tabCustoUnit[[#This Row],[13º salário (titular)]:[Incidência do Submódulo 2.1 sobre 13º Salário, Férias e Adicional de Férias]])</f>
        <v>526.08506961111107</v>
      </c>
      <c r="AC207" s="22" t="e">
        <f ca="1">_xlfn.LET(_xlpm.VT,SUMIF(tabParametros[Código do Posto],tabCustoUnit[[#This Row],[Código do Posto]],tabParametros[Vale - Transporte])*2*20,
IF((_xlpm.VT-tabCustoUnit[[#This Row],[Salário Base]]*0.06)&gt;=0,(_xlpm.VT-tabCustoUnit[[#This Row],[Salário Base]]*0.06),0)
)</f>
        <v>#NAME?</v>
      </c>
      <c r="AD207" s="22">
        <f>IF(SUMIF(tabParametros[Código do Posto],tabCustoUnit[[#This Row],[Código do Posto]],tabParametros[Vale - Alimentação])&lt;=0,0,
SUMIF(tabParametros[Código do Posto],tabCustoUnit[[#This Row],[Código do Posto]],tabParametros[Vale - Alimentação])*20-1)</f>
        <v>582</v>
      </c>
      <c r="AE207" s="22">
        <f>SUMIF(tabParametros[Código do Posto],tabCustoUnit[[#This Row],[Código do Posto]],tabParametros[Cesta Básica])</f>
        <v>0</v>
      </c>
      <c r="AF207" s="22">
        <f>SUMIF(tabParametros[Código do Posto],tabCustoUnit[[#This Row],[Código do Posto]],tabParametros[PAF])</f>
        <v>0</v>
      </c>
      <c r="AG207" s="22">
        <f>SUMIF(tabParametros[Código do Posto],tabCustoUnit[[#This Row],[Código do Posto]],tabParametros[PQM])</f>
        <v>0</v>
      </c>
      <c r="AH207" s="22">
        <f>SUMIF(tabParametros[Código do Posto],tabCustoUnit[[#This Row],[Código do Posto]],tabParametros[Abono Único e Especial])</f>
        <v>0</v>
      </c>
      <c r="AI207" s="22">
        <f>SUMIF(tabParametros[Código do Posto],tabCustoUnit[[#This Row],[Código do Posto]],tabParametros[Seguro de Vida])</f>
        <v>3.36</v>
      </c>
      <c r="AJ207" s="22">
        <f>SUMIF(tabParametros[Código do Posto],tabCustoUnit[[#This Row],[Código do Posto]],tabParametros[Despesas de Viagem])</f>
        <v>0</v>
      </c>
      <c r="AK207" s="22" t="e">
        <f ca="1">SUM(tabCustoUnit[[#This Row],[Vale - Transporte (Descontada parcela do empregado)]:[Despesas de Viagem]])</f>
        <v>#NAME?</v>
      </c>
      <c r="AL207" s="22" t="e">
        <f ca="1">tabCustoUnit[[#This Row],[Submódulo 2.1]]+tabCustoUnit[[#This Row],[Submódulo 2.2]]+tabCustoUnit[[#This Row],[Submódulo 2.3]]</f>
        <v>#NAME?</v>
      </c>
      <c r="AM207" s="22">
        <f>SUMIF(tabParametros[Código do Posto],tabCustoUnit[[#This Row],[Código do Posto]],tabParametros[Aviso Prévio Indenizado (API) e Reflexo do Aviso Prévio Indenizado])*tabCustoUnit[[#This Row],[MODULO 1 - REMUNERAÇÃO ]]</f>
        <v>13.766980408757716</v>
      </c>
      <c r="AN207" s="22">
        <f>SUMIF(tabParametros[Código do Posto],tabCustoUnit[[#This Row],[Código do Posto]],tabParametros[Incidência do FGTS sobre API e Reflexo do API])*tabCustoUnit[[#This Row],[MODULO 1 - REMUNERAÇÃO ]]</f>
        <v>1.1013584327006174</v>
      </c>
      <c r="AO207" s="22">
        <f>SUMIF(tabParametros[Código do Posto],tabCustoUnit[[#This Row],[Código do Posto]],tabParametros[Multa Rescisória do FGTS sobre o Aviso Prévio Indenizado])*tabCustoUnit[[#This Row],[MODULO 1 - REMUNERAÇÃO ]]</f>
        <v>0.44054337308024699</v>
      </c>
      <c r="AP207" s="22">
        <f>SUMIF(tabParametros[Código do Posto],tabCustoUnit[[#This Row],[Código do Posto]],tabParametros[Aviso Prévio Trabalhado - APT])*tabCustoUnit[[#This Row],[MODULO 1 - REMUNERAÇÃO ]]</f>
        <v>6.8719385000000015</v>
      </c>
      <c r="AQ207" s="22">
        <f>SUMIF(tabParametros[Código do Posto],tabCustoUnit[[#This Row],[Código do Posto]],tabParametros[Incidência dos encargos do submódulo 2.1 sobre Aviso Prévio Trabalhado])*tabCustoUnit[[#This Row],[MODULO 1 - REMUNERAÇÃO ]]</f>
        <v>2.5975927530000007</v>
      </c>
      <c r="AR207" s="22">
        <f>SUMIF(tabParametros[Código do Posto],tabCustoUnit[[#This Row],[Código do Posto]],tabParametros[Multa Rescisória do FGTS])*tabCustoUnit[[#This Row],[MODULO 1 - REMUNERAÇÃO ]]</f>
        <v>60.03674524444444</v>
      </c>
      <c r="AS207" s="22">
        <f>SUMIF(tabParametros[Código do Posto],tabCustoUnit[[#This Row],[Código do Posto]],tabParametros[Indenização Adicional (Art. 9º da Lei nº 7.238/84)])*tabCustoUnit[[#This Row],[MODULO 1 - REMUNERAÇÃO ]]</f>
        <v>1.6361758333333334</v>
      </c>
      <c r="AT207" s="22">
        <f>SUM(tabCustoUnit[[#This Row],[Aviso Prévio Indenizado (API) e Reflexo do Aviso Prévio Indenizado]:[Indenização Adicional (Art. 9º da Lei nº 7.238/84)]])</f>
        <v>86.451334545316371</v>
      </c>
      <c r="AU207" s="22">
        <f>SUMIF(tabParametros[Código do Posto],tabCustoUnit[[#This Row],[Código do Posto]],tabParametros[Ausência por Doença])*tabCustoUnit[[#This Row],[MODULO 1 - REMUNERAÇÃO ]]</f>
        <v>16.579915111111109</v>
      </c>
      <c r="AV207" s="22">
        <f>SUMIF(tabParametros[Código do Posto],tabCustoUnit[[#This Row],[Código do Posto]],tabParametros[Ausências Legais])*tabCustoUnit[[#This Row],[MODULO 1 - REMUNERAÇÃO ]]</f>
        <v>3.9813611944444443</v>
      </c>
      <c r="AW207" s="22">
        <f>SUMIF(tabParametros[Código do Posto],tabCustoUnit[[#This Row],[Código do Posto]],tabParametros[Licença Paternidade])*tabCustoUnit[[#This Row],[MODULO 1 - REMUNERAÇÃO ]]</f>
        <v>0.33541604583333334</v>
      </c>
      <c r="AX207" s="22">
        <f>SUMIF(tabParametros[Código do Posto],tabCustoUnit[[#This Row],[Código do Posto]],tabParametros[Ausência por Acidente de Trabalho])*tabCustoUnit[[#This Row],[MODULO 1 - REMUNERAÇÃO ]]</f>
        <v>0.40904395833333335</v>
      </c>
      <c r="AY207" s="22">
        <f>SUMIF(tabParametros[Código do Posto],tabCustoUnit[[#This Row],[Código do Posto]],tabParametros[Férias, Adicional de Férias e 13º  com empregada em gozo de Licença Maternidade])*tabCustoUnit[[#This Row],[MODULO 1 - REMUNERAÇÃO ]]</f>
        <v>2.5451624074074073</v>
      </c>
      <c r="AZ207" s="22">
        <f>SUMIF(tabParametros[Código do Posto],tabCustoUnit[[#This Row],[Código do Posto]],tabParametros[Incidência do Submódulo 2.1 sobre Ausências Legais])*tabCustoUnit[[#This Row],[MODULO 1 - REMUNERAÇÃO ]]</f>
        <v>9.0156397150750021</v>
      </c>
      <c r="BA207" s="22">
        <f>SUM(tabCustoUnit[[#This Row],[Ausência por Doença]:[Incidência do Submódulo 2.1 sobre Ausências Legais]])</f>
        <v>32.866538432204628</v>
      </c>
      <c r="BB207" s="22">
        <f>SUMIF(tabParametros[Código do Posto],tabCustoUnit[[#This Row],[Código do Posto]],tabParametros[Intervalo para Repouso ou Alimentação])</f>
        <v>217.37764744799577</v>
      </c>
      <c r="BC207" s="22">
        <f>tabCustoUnit[[#This Row],[Intervalo para Repouso ou Alimentação]]</f>
        <v>217.37764744799577</v>
      </c>
      <c r="BD20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7" s="22">
        <f>tabCustoUnit[[#This Row],[Suspensão Temporária do Contrato de Trabalho]]</f>
        <v>0</v>
      </c>
      <c r="BF207" s="22">
        <f>tabCustoUnit[[#This Row],[Submódulo 4.1]]+tabCustoUnit[[#This Row],[Submódulo 4.2]]+tabCustoUnit[[#This Row],[Submódulo 4.3]]</f>
        <v>250.2441858802004</v>
      </c>
      <c r="BG207" s="22">
        <f>VLOOKUP(tabCustoUnit[[#This Row],[Código do Posto]],tabParametros[],MATCH(tabCustoUnit[[#Headers],[Uniformes e EPIs]],tabParametros[#Headers],0),0)</f>
        <v>56.642978962543395</v>
      </c>
      <c r="BH207" s="22">
        <f>VLOOKUP(tabCustoUnit[[#This Row],[Código do Posto]],tabParametros[],MATCH(tabCustoUnit[[#Headers],[Materiais de Consumo]],tabParametros[#Headers],0),0)</f>
        <v>0</v>
      </c>
      <c r="BI207" s="22">
        <f>VLOOKUP(tabCustoUnit[[#This Row],[Código do Posto]],tabParametros[],MATCH(tabCustoUnit[[#Headers],[Máquinas e Equipamentos (depreciação)]],tabParametros[#Headers],0),0)</f>
        <v>0</v>
      </c>
      <c r="BJ207" s="22">
        <f>VLOOKUP(tabCustoUnit[[#This Row],[Código do Posto]],tabParametros[],MATCH(tabCustoUnit[[#Headers],[Produtos de Limpeza e Materiais de Higiene Pessoal]],tabParametros[#Headers],0),0)</f>
        <v>0</v>
      </c>
      <c r="BK207" s="22">
        <f>VLOOKUP(tabCustoUnit[[#This Row],[Código do Posto]],tabParametros[],MATCH(tabCustoUnit[[#Headers],[Outros (especificar)]],tabParametros[#Headers],0),0)</f>
        <v>0</v>
      </c>
      <c r="BL207" s="22">
        <f>SUM(tabCustoUnit[[#This Row],[Uniformes e EPIs]:[Outros (especificar)]])</f>
        <v>56.642978962543395</v>
      </c>
      <c r="BM20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7" s="22" t="e">
        <f ca="1">VLOOKUP(tabCustoUnit[[#This Row],[Código do Posto]],tabParametros[],MATCH(tabCustoUnit[[#Headers],[Custos Indiretos]],tabParametros[#Headers],0),0)</f>
        <v>#NAME?</v>
      </c>
      <c r="BO207" s="22" t="e">
        <f ca="1">VLOOKUP(tabCustoUnit[[#This Row],[Código do Posto]],tabParametros[],MATCH(tabCustoUnit[[#Headers],[Lucro]],tabParametros[#Headers],0),0)</f>
        <v>#NAME?</v>
      </c>
      <c r="BP207" s="26">
        <f>((100/((1-tabCustoUnit[[#This Row],[Resumo de Alíquotas (PIS+CONFINS+ISS)]]))-100)*VLOOKUP(tabCustoUnit[[#This Row],[Código do Posto]],tabParametros[],MATCH(tabCustoUnit[[#Headers],[COFINS]],tabParametros[#Headers],0),0))/(tabCustoUnit[[#This Row],[Resumo de Alíquotas (PIS+CONFINS+ISS)]]*100)</f>
        <v>8.5633802816901458E-2</v>
      </c>
      <c r="BQ207" s="26">
        <f>((100/((100-(tabCustoUnit[[#This Row],[Resumo de Alíquotas (PIS+CONFINS+ISS)]]*100))%)-100)*VLOOKUP(tabCustoUnit[[#This Row],[Código do Posto]],tabParametros[],MATCH(tabCustoUnit[[#Headers],[PIS]],tabParametros[#Headers],0),0))/(tabCustoUnit[[#This Row],[Resumo de Alíquotas (PIS+CONFINS+ISS)]]*100)</f>
        <v>1.8591549295774657E-2</v>
      </c>
      <c r="BR207" s="28">
        <f>VLOOKUP(tabCustoUnit[[#This Row],[Código do Posto]],tabParametros[],MATCH(tabCustoUnit[[#Headers],[ISS]],tabParametros[#Headers],0),0)</f>
        <v>0.02</v>
      </c>
      <c r="BS207" s="26">
        <f>(((100/((100-(tabCustoUnit[[#This Row],[Resumo de Alíquotas (PIS+CONFINS+ISS)]]*100))%)-100)*tabCustoUnit[[#This Row],[ISS]])/tabCustoUnit[[#This Row],[Resumo de Alíquotas (PIS+CONFINS+ISS)]])/100</f>
        <v>2.2535211267605645E-2</v>
      </c>
      <c r="BT20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07" s="138">
        <f>tabCustoUnit[[#This Row],[COFINS]]+tabCustoUnit[[#This Row],[PIS]]+tabCustoUnit[[#This Row],[ISS (Conversão Alíquota s/ fatura)]]</f>
        <v>0.12676056338028174</v>
      </c>
      <c r="BV207" s="22" t="e">
        <f ca="1">(tabCustoUnit[[#This Row],[TOTAL MÓDULOS 1+2+3+4+5]]+tabCustoUnit[[#This Row],[Custos Indiretos]]+tabCustoUnit[[#This Row],[Lucro]])*tabCustoUnit[[#This Row],[PIS + COFINS + ISS (Total Conversão  Alíquota s/ Fatura)]]</f>
        <v>#NAME?</v>
      </c>
      <c r="BW207" s="22" t="e">
        <f ca="1">tabCustoUnit[[#This Row],[Custos Indiretos]]+tabCustoUnit[[#This Row],[Lucro]]+tabCustoUnit[[#This Row],[Valor dos Tributos (ISS, PIS, CONFINS)]]</f>
        <v>#NAME?</v>
      </c>
      <c r="BX207" s="22" t="e">
        <f ca="1">tabCustoUnit[[#This Row],[TOTAL MÓDULOS 1+2+3+4+5]]+tabCustoUnit[[#This Row],[MÓDULO 6 – CUSTOS INDIRETOS, TRIBUTOS E LUCRO]]</f>
        <v>#NAME?</v>
      </c>
      <c r="BY207" s="22" t="e">
        <f ca="1">tabCustoUnit[[#This Row],[CUSTO TOTAL MENSAL]]*12</f>
        <v>#NAME?</v>
      </c>
      <c r="BZ207" s="24">
        <f>VLOOKUP(tabCustoUnit[[#This Row],[Código do Posto]],tabParametros[],MATCH(tabCustoUnit[[#Headers],[ANO DA CCT]],tabParametros[#Headers],0),0)</f>
        <v>45658</v>
      </c>
      <c r="CA207" s="25" t="str">
        <f>VLOOKUP(tabCustoUnit[[#This Row],[Código do Posto]],tabParametros[],MATCH(tabCustoUnit[[#Headers],[Nº DE PEDIDO DA CCT]],tabParametros[#Headers],0),0)</f>
        <v>-</v>
      </c>
      <c r="CB207" s="25" t="str">
        <f>VLOOKUP(tabCustoUnit[[#This Row],[Código do Posto]],tabParametros[],MATCH(tabCustoUnit[[#Headers],[TERMO ADITIVO ALTERAÇÃO DA CCT]],tabParametros[#Headers],0),0)</f>
        <v>-</v>
      </c>
    </row>
    <row r="208" spans="1:80">
      <c r="A208" s="20" t="s">
        <v>1643</v>
      </c>
      <c r="B208" t="s">
        <v>1161</v>
      </c>
      <c r="C208" t="s">
        <v>309</v>
      </c>
      <c r="D208" t="s">
        <v>1048</v>
      </c>
      <c r="E208" s="20" t="s">
        <v>1090</v>
      </c>
      <c r="F208" s="20" t="s">
        <v>120</v>
      </c>
      <c r="G208" s="418">
        <v>1963.4110000000001</v>
      </c>
      <c r="H208" s="418">
        <v>0</v>
      </c>
      <c r="I208" s="418">
        <v>0</v>
      </c>
      <c r="J208" s="418">
        <v>395.62729999999999</v>
      </c>
      <c r="K208" s="418">
        <v>0</v>
      </c>
      <c r="L208" s="418">
        <v>0</v>
      </c>
      <c r="M208" s="418">
        <v>0</v>
      </c>
      <c r="N208" s="418">
        <v>0</v>
      </c>
      <c r="O208" s="21">
        <f>SUM(tabCustoUnit[[#This Row],[Salário Base]:[Adicional de Acúmulo de função]])</f>
        <v>2359.0383000000002</v>
      </c>
      <c r="P208" s="21">
        <f>tabCustoUnit[[#This Row],[MODULO 1 - REMUNERAÇÃO ]]*SUMIFS(tabParametros[INSS],tabParametros[Código do Posto],tabCustoUnit[[#This Row],[Código do Posto]])</f>
        <v>471.80766000000006</v>
      </c>
      <c r="Q208" s="21">
        <f>tabCustoUnit[[#This Row],[MODULO 1 - REMUNERAÇÃO ]]*SUMIFS(tabParametros[SESI OU SESC],tabParametros[Código do Posto],tabCustoUnit[[#This Row],[Código do Posto]])</f>
        <v>35.385574500000004</v>
      </c>
      <c r="R208" s="21">
        <f>tabCustoUnit[[#This Row],[MODULO 1 - REMUNERAÇÃO ]]*SUMIFS(tabParametros[SENAI OU SENAC],tabParametros[Código do Posto],tabCustoUnit[[#This Row],[Código do Posto]])</f>
        <v>23.590383000000003</v>
      </c>
      <c r="S208" s="21">
        <f>tabCustoUnit[[#This Row],[MODULO 1 - REMUNERAÇÃO ]]*SUMIFS(tabParametros[INCRA],tabParametros[Código do Posto],tabCustoUnit[[#This Row],[Código do Posto]])</f>
        <v>4.7180766000000007</v>
      </c>
      <c r="T208" s="21">
        <f>tabCustoUnit[[#This Row],[MODULO 1 - REMUNERAÇÃO ]]*SUMIFS(tabParametros[Salário Educação],tabParametros[Código do Posto],tabCustoUnit[[#This Row],[Código do Posto]])</f>
        <v>58.975957500000007</v>
      </c>
      <c r="U208" s="21">
        <f>tabCustoUnit[[#This Row],[MODULO 1 - REMUNERAÇÃO ]]*SUMIFS(tabParametros[FGTS],tabParametros[Código do Posto],tabCustoUnit[[#This Row],[Código do Posto]])</f>
        <v>188.72306400000002</v>
      </c>
      <c r="V208" s="21">
        <f>tabCustoUnit[[#This Row],[MODULO 1 - REMUNERAÇÃO ]]*SUMIFS(tabParametros[RAT Ajustado],tabParametros[Código do Posto],tabCustoUnit[[#This Row],[Código do Posto]])</f>
        <v>94.361532000000011</v>
      </c>
      <c r="W208" s="21">
        <f>tabCustoUnit[[#This Row],[MODULO 1 - REMUNERAÇÃO ]]*SUMIFS(tabParametros[SEBRAE],tabParametros[Código do Posto],tabCustoUnit[[#This Row],[Código do Posto]])</f>
        <v>14.154229800000001</v>
      </c>
      <c r="X208" s="21">
        <f>SUM(tabCustoUnit[[#This Row],[INSS]:[SEBRAE]])</f>
        <v>891.71647740000026</v>
      </c>
      <c r="Y208" s="21">
        <f>tabCustoUnit[[#This Row],[MODULO 1 - REMUNERAÇÃO ]]*SUMIFS(tabParametros[13º salário (titular)],tabParametros[Código do Posto],tabCustoUnit[[#This Row],[Código do Posto]])</f>
        <v>196.58652499999999</v>
      </c>
      <c r="Z208" s="21">
        <f>tabCustoUnit[[#This Row],[MODULO 1 - REMUNERAÇÃO ]]*SUMIFS(tabParametros[Férias e Adicional de Férias (titular)],tabParametros[Código do Posto],tabCustoUnit[[#This Row],[Código do Posto]])</f>
        <v>262.11536666666666</v>
      </c>
      <c r="AA208" s="21">
        <f>IFERROR((tabCustoUnit[[#This Row],[Submódulo 2.1]]/tabCustoUnit[[#This Row],[MODULO 1 - REMUNERAÇÃO ]])*SUM(tabCustoUnit[[#This Row],[13º salário (titular)]:[Férias e Adicional de Férias (titular)]]),0)</f>
        <v>173.38931505000002</v>
      </c>
      <c r="AB208" s="21">
        <f>SUM(tabCustoUnit[[#This Row],[13º salário (titular)]:[Incidência do Submódulo 2.1 sobre 13º Salário, Férias e Adicional de Férias]])</f>
        <v>632.09120671666665</v>
      </c>
      <c r="AC208" s="22" t="e">
        <f ca="1">_xlfn.LET(_xlpm.VT,SUMIF(tabParametros[Código do Posto],tabCustoUnit[[#This Row],[Código do Posto]],tabParametros[Vale - Transporte])*2*20,
IF((_xlpm.VT-tabCustoUnit[[#This Row],[Salário Base]]*0.06)&gt;=0,(_xlpm.VT-tabCustoUnit[[#This Row],[Salário Base]]*0.06),0)
)</f>
        <v>#NAME?</v>
      </c>
      <c r="AD208" s="22">
        <f>IF(SUMIF(tabParametros[Código do Posto],tabCustoUnit[[#This Row],[Código do Posto]],tabParametros[Vale - Alimentação])&lt;=0,0,
SUMIF(tabParametros[Código do Posto],tabCustoUnit[[#This Row],[Código do Posto]],tabParametros[Vale - Alimentação])*20-1)</f>
        <v>582</v>
      </c>
      <c r="AE208" s="22">
        <f>SUMIF(tabParametros[Código do Posto],tabCustoUnit[[#This Row],[Código do Posto]],tabParametros[Cesta Básica])</f>
        <v>0</v>
      </c>
      <c r="AF208" s="22">
        <f>SUMIF(tabParametros[Código do Posto],tabCustoUnit[[#This Row],[Código do Posto]],tabParametros[PAF])</f>
        <v>0</v>
      </c>
      <c r="AG208" s="22">
        <f>SUMIF(tabParametros[Código do Posto],tabCustoUnit[[#This Row],[Código do Posto]],tabParametros[PQM])</f>
        <v>0</v>
      </c>
      <c r="AH208" s="22">
        <f>SUMIF(tabParametros[Código do Posto],tabCustoUnit[[#This Row],[Código do Posto]],tabParametros[Abono Único e Especial])</f>
        <v>0</v>
      </c>
      <c r="AI208" s="22">
        <f>SUMIF(tabParametros[Código do Posto],tabCustoUnit[[#This Row],[Código do Posto]],tabParametros[Seguro de Vida])</f>
        <v>3.36</v>
      </c>
      <c r="AJ208" s="22">
        <f>SUMIF(tabParametros[Código do Posto],tabCustoUnit[[#This Row],[Código do Posto]],tabParametros[Despesas de Viagem])</f>
        <v>0</v>
      </c>
      <c r="AK208" s="22" t="e">
        <f ca="1">SUM(tabCustoUnit[[#This Row],[Vale - Transporte (Descontada parcela do empregado)]:[Despesas de Viagem]])</f>
        <v>#NAME?</v>
      </c>
      <c r="AL208" s="22" t="e">
        <f ca="1">tabCustoUnit[[#This Row],[Submódulo 2.1]]+tabCustoUnit[[#This Row],[Submódulo 2.2]]+tabCustoUnit[[#This Row],[Submódulo 2.3]]</f>
        <v>#NAME?</v>
      </c>
      <c r="AM208" s="22">
        <f>SUMIF(tabParametros[Código do Posto],tabCustoUnit[[#This Row],[Código do Posto]],tabParametros[Aviso Prévio Indenizado (API) e Reflexo do Aviso Prévio Indenizado])*tabCustoUnit[[#This Row],[MODULO 1 - REMUNERAÇÃO ]]</f>
        <v>16.541026845428242</v>
      </c>
      <c r="AN208" s="22">
        <f>SUMIF(tabParametros[Código do Posto],tabCustoUnit[[#This Row],[Código do Posto]],tabParametros[Incidência do FGTS sobre API e Reflexo do API])*tabCustoUnit[[#This Row],[MODULO 1 - REMUNERAÇÃO ]]</f>
        <v>1.3232821476342596</v>
      </c>
      <c r="AO208" s="22">
        <f>SUMIF(tabParametros[Código do Posto],tabCustoUnit[[#This Row],[Código do Posto]],tabParametros[Multa Rescisória do FGTS sobre o Aviso Prévio Indenizado])*tabCustoUnit[[#This Row],[MODULO 1 - REMUNERAÇÃO ]]</f>
        <v>0.52931285905370384</v>
      </c>
      <c r="AP208" s="22">
        <f>SUMIF(tabParametros[Código do Posto],tabCustoUnit[[#This Row],[Código do Posto]],tabParametros[Aviso Prévio Trabalhado - APT])*tabCustoUnit[[#This Row],[MODULO 1 - REMUNERAÇÃO ]]</f>
        <v>8.2566340500000024</v>
      </c>
      <c r="AQ208" s="22">
        <f>SUMIF(tabParametros[Código do Posto],tabCustoUnit[[#This Row],[Código do Posto]],tabParametros[Incidência dos encargos do submódulo 2.1 sobre Aviso Prévio Trabalhado])*tabCustoUnit[[#This Row],[MODULO 1 - REMUNERAÇÃO ]]</f>
        <v>3.121007670900001</v>
      </c>
      <c r="AR208" s="22">
        <f>SUMIF(tabParametros[Código do Posto],tabCustoUnit[[#This Row],[Código do Posto]],tabParametros[Multa Rescisória do FGTS])*tabCustoUnit[[#This Row],[MODULO 1 - REMUNERAÇÃO ]]</f>
        <v>72.134148906666667</v>
      </c>
      <c r="AS208" s="22">
        <f>SUMIF(tabParametros[Código do Posto],tabCustoUnit[[#This Row],[Código do Posto]],tabParametros[Indenização Adicional (Art. 9º da Lei nº 7.238/84)])*tabCustoUnit[[#This Row],[MODULO 1 - REMUNERAÇÃO ]]</f>
        <v>1.9658652500000002</v>
      </c>
      <c r="AT208" s="22">
        <f>SUM(tabCustoUnit[[#This Row],[Aviso Prévio Indenizado (API) e Reflexo do Aviso Prévio Indenizado]:[Indenização Adicional (Art. 9º da Lei nº 7.238/84)]])</f>
        <v>103.87127772968287</v>
      </c>
      <c r="AU208" s="22">
        <f>SUMIF(tabParametros[Código do Posto],tabCustoUnit[[#This Row],[Código do Posto]],tabParametros[Ausência por Doença])*tabCustoUnit[[#This Row],[MODULO 1 - REMUNERAÇÃO ]]</f>
        <v>19.920767866666665</v>
      </c>
      <c r="AV208" s="22">
        <f>SUMIF(tabParametros[Código do Posto],tabCustoUnit[[#This Row],[Código do Posto]],tabParametros[Ausências Legais])*tabCustoUnit[[#This Row],[MODULO 1 - REMUNERAÇÃO ]]</f>
        <v>4.7836054416666665</v>
      </c>
      <c r="AW208" s="22">
        <f>SUMIF(tabParametros[Código do Posto],tabCustoUnit[[#This Row],[Código do Posto]],tabParametros[Licença Paternidade])*tabCustoUnit[[#This Row],[MODULO 1 - REMUNERAÇÃO ]]</f>
        <v>0.40300237625000002</v>
      </c>
      <c r="AX208" s="22">
        <f>SUMIF(tabParametros[Código do Posto],tabCustoUnit[[#This Row],[Código do Posto]],tabParametros[Ausência por Acidente de Trabalho])*tabCustoUnit[[#This Row],[MODULO 1 - REMUNERAÇÃO ]]</f>
        <v>0.49146631250000006</v>
      </c>
      <c r="AY208" s="22">
        <f>SUMIF(tabParametros[Código do Posto],tabCustoUnit[[#This Row],[Código do Posto]],tabParametros[Férias, Adicional de Férias e 13º  com empregada em gozo de Licença Maternidade])*tabCustoUnit[[#This Row],[MODULO 1 - REMUNERAÇÃO ]]</f>
        <v>3.0580126111111112</v>
      </c>
      <c r="AZ208" s="22">
        <f>SUMIF(tabParametros[Código do Posto],tabCustoUnit[[#This Row],[Código do Posto]],tabParametros[Incidência do Submódulo 2.1 sobre Ausências Legais])*tabCustoUnit[[#This Row],[MODULO 1 - REMUNERAÇÃO ]]</f>
        <v>10.832291041897502</v>
      </c>
      <c r="BA208" s="22">
        <f>SUM(tabCustoUnit[[#This Row],[Ausência por Doença]:[Incidência do Submódulo 2.1 sobre Ausências Legais]])</f>
        <v>39.489145650091942</v>
      </c>
      <c r="BB208" s="22">
        <f>SUMIF(tabParametros[Código do Posto],tabCustoUnit[[#This Row],[Código do Posto]],tabParametros[Intervalo para Repouso ou Alimentação])</f>
        <v>261.17924340876692</v>
      </c>
      <c r="BC208" s="22">
        <f>tabCustoUnit[[#This Row],[Intervalo para Repouso ou Alimentação]]</f>
        <v>261.17924340876692</v>
      </c>
      <c r="BD20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8" s="22">
        <f>tabCustoUnit[[#This Row],[Suspensão Temporária do Contrato de Trabalho]]</f>
        <v>0</v>
      </c>
      <c r="BF208" s="22">
        <f>tabCustoUnit[[#This Row],[Submódulo 4.1]]+tabCustoUnit[[#This Row],[Submódulo 4.2]]+tabCustoUnit[[#This Row],[Submódulo 4.3]]</f>
        <v>300.66838905885885</v>
      </c>
      <c r="BG208" s="22">
        <f>VLOOKUP(tabCustoUnit[[#This Row],[Código do Posto]],tabParametros[],MATCH(tabCustoUnit[[#Headers],[Uniformes e EPIs]],tabParametros[#Headers],0),0)</f>
        <v>56.642978962543395</v>
      </c>
      <c r="BH208" s="22">
        <f>VLOOKUP(tabCustoUnit[[#This Row],[Código do Posto]],tabParametros[],MATCH(tabCustoUnit[[#Headers],[Materiais de Consumo]],tabParametros[#Headers],0),0)</f>
        <v>0</v>
      </c>
      <c r="BI208" s="22">
        <f>VLOOKUP(tabCustoUnit[[#This Row],[Código do Posto]],tabParametros[],MATCH(tabCustoUnit[[#Headers],[Máquinas e Equipamentos (depreciação)]],tabParametros[#Headers],0),0)</f>
        <v>0</v>
      </c>
      <c r="BJ208" s="22">
        <f>VLOOKUP(tabCustoUnit[[#This Row],[Código do Posto]],tabParametros[],MATCH(tabCustoUnit[[#Headers],[Produtos de Limpeza e Materiais de Higiene Pessoal]],tabParametros[#Headers],0),0)</f>
        <v>0</v>
      </c>
      <c r="BK208" s="22">
        <f>VLOOKUP(tabCustoUnit[[#This Row],[Código do Posto]],tabParametros[],MATCH(tabCustoUnit[[#Headers],[Outros (especificar)]],tabParametros[#Headers],0),0)</f>
        <v>0</v>
      </c>
      <c r="BL208" s="22">
        <f>SUM(tabCustoUnit[[#This Row],[Uniformes e EPIs]:[Outros (especificar)]])</f>
        <v>56.642978962543395</v>
      </c>
      <c r="BM20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8" s="22" t="e">
        <f ca="1">VLOOKUP(tabCustoUnit[[#This Row],[Código do Posto]],tabParametros[],MATCH(tabCustoUnit[[#Headers],[Custos Indiretos]],tabParametros[#Headers],0),0)</f>
        <v>#NAME?</v>
      </c>
      <c r="BO208" s="22" t="e">
        <f ca="1">VLOOKUP(tabCustoUnit[[#This Row],[Código do Posto]],tabParametros[],MATCH(tabCustoUnit[[#Headers],[Lucro]],tabParametros[#Headers],0),0)</f>
        <v>#NAME?</v>
      </c>
      <c r="BP208" s="26">
        <f>((100/((1-tabCustoUnit[[#This Row],[Resumo de Alíquotas (PIS+CONFINS+ISS)]]))-100)*VLOOKUP(tabCustoUnit[[#This Row],[Código do Posto]],tabParametros[],MATCH(tabCustoUnit[[#Headers],[COFINS]],tabParametros[#Headers],0),0))/(tabCustoUnit[[#This Row],[Resumo de Alíquotas (PIS+CONFINS+ISS)]]*100)</f>
        <v>8.5633802816901458E-2</v>
      </c>
      <c r="BQ208" s="26">
        <f>((100/((100-(tabCustoUnit[[#This Row],[Resumo de Alíquotas (PIS+CONFINS+ISS)]]*100))%)-100)*VLOOKUP(tabCustoUnit[[#This Row],[Código do Posto]],tabParametros[],MATCH(tabCustoUnit[[#Headers],[PIS]],tabParametros[#Headers],0),0))/(tabCustoUnit[[#This Row],[Resumo de Alíquotas (PIS+CONFINS+ISS)]]*100)</f>
        <v>1.8591549295774657E-2</v>
      </c>
      <c r="BR208" s="28">
        <f>VLOOKUP(tabCustoUnit[[#This Row],[Código do Posto]],tabParametros[],MATCH(tabCustoUnit[[#Headers],[ISS]],tabParametros[#Headers],0),0)</f>
        <v>0.02</v>
      </c>
      <c r="BS208" s="26">
        <f>(((100/((100-(tabCustoUnit[[#This Row],[Resumo de Alíquotas (PIS+CONFINS+ISS)]]*100))%)-100)*tabCustoUnit[[#This Row],[ISS]])/tabCustoUnit[[#This Row],[Resumo de Alíquotas (PIS+CONFINS+ISS)]])/100</f>
        <v>2.2535211267605645E-2</v>
      </c>
      <c r="BT20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08" s="138">
        <f>tabCustoUnit[[#This Row],[COFINS]]+tabCustoUnit[[#This Row],[PIS]]+tabCustoUnit[[#This Row],[ISS (Conversão Alíquota s/ fatura)]]</f>
        <v>0.12676056338028174</v>
      </c>
      <c r="BV208" s="22" t="e">
        <f ca="1">(tabCustoUnit[[#This Row],[TOTAL MÓDULOS 1+2+3+4+5]]+tabCustoUnit[[#This Row],[Custos Indiretos]]+tabCustoUnit[[#This Row],[Lucro]])*tabCustoUnit[[#This Row],[PIS + COFINS + ISS (Total Conversão  Alíquota s/ Fatura)]]</f>
        <v>#NAME?</v>
      </c>
      <c r="BW208" s="22" t="e">
        <f ca="1">tabCustoUnit[[#This Row],[Custos Indiretos]]+tabCustoUnit[[#This Row],[Lucro]]+tabCustoUnit[[#This Row],[Valor dos Tributos (ISS, PIS, CONFINS)]]</f>
        <v>#NAME?</v>
      </c>
      <c r="BX208" s="22" t="e">
        <f ca="1">tabCustoUnit[[#This Row],[TOTAL MÓDULOS 1+2+3+4+5]]+tabCustoUnit[[#This Row],[MÓDULO 6 – CUSTOS INDIRETOS, TRIBUTOS E LUCRO]]</f>
        <v>#NAME?</v>
      </c>
      <c r="BY208" s="22" t="e">
        <f ca="1">tabCustoUnit[[#This Row],[CUSTO TOTAL MENSAL]]*12</f>
        <v>#NAME?</v>
      </c>
      <c r="BZ208" s="24">
        <f>VLOOKUP(tabCustoUnit[[#This Row],[Código do Posto]],tabParametros[],MATCH(tabCustoUnit[[#Headers],[ANO DA CCT]],tabParametros[#Headers],0),0)</f>
        <v>45658</v>
      </c>
      <c r="CA208" s="25" t="str">
        <f>VLOOKUP(tabCustoUnit[[#This Row],[Código do Posto]],tabParametros[],MATCH(tabCustoUnit[[#Headers],[Nº DE PEDIDO DA CCT]],tabParametros[#Headers],0),0)</f>
        <v>-</v>
      </c>
      <c r="CB208" s="25" t="str">
        <f>VLOOKUP(tabCustoUnit[[#This Row],[Código do Posto]],tabParametros[],MATCH(tabCustoUnit[[#Headers],[TERMO ADITIVO ALTERAÇÃO DA CCT]],tabParametros[#Headers],0),0)</f>
        <v>-</v>
      </c>
    </row>
    <row r="209" spans="1:80">
      <c r="A209" s="20" t="s">
        <v>1491</v>
      </c>
      <c r="B209" t="s">
        <v>1162</v>
      </c>
      <c r="C209" t="s">
        <v>314</v>
      </c>
      <c r="D209" t="s">
        <v>954</v>
      </c>
      <c r="E209" s="20" t="s">
        <v>1090</v>
      </c>
      <c r="F209" s="20" t="s">
        <v>120</v>
      </c>
      <c r="G209" s="418">
        <v>1963.4110000000001</v>
      </c>
      <c r="H209" s="418">
        <v>0</v>
      </c>
      <c r="I209" s="418">
        <v>0</v>
      </c>
      <c r="J209" s="418">
        <v>0</v>
      </c>
      <c r="K209" s="418">
        <v>0</v>
      </c>
      <c r="L209" s="418">
        <v>0</v>
      </c>
      <c r="M209" s="418">
        <v>0</v>
      </c>
      <c r="N209" s="418">
        <v>0</v>
      </c>
      <c r="O209" s="21">
        <f>SUM(tabCustoUnit[[#This Row],[Salário Base]:[Adicional de Acúmulo de função]])</f>
        <v>1963.4110000000001</v>
      </c>
      <c r="P209" s="21">
        <f>tabCustoUnit[[#This Row],[MODULO 1 - REMUNERAÇÃO ]]*SUMIFS(tabParametros[INSS],tabParametros[Código do Posto],tabCustoUnit[[#This Row],[Código do Posto]])</f>
        <v>392.68220000000002</v>
      </c>
      <c r="Q209" s="21">
        <f>tabCustoUnit[[#This Row],[MODULO 1 - REMUNERAÇÃO ]]*SUMIFS(tabParametros[SESI OU SESC],tabParametros[Código do Posto],tabCustoUnit[[#This Row],[Código do Posto]])</f>
        <v>29.451165</v>
      </c>
      <c r="R209" s="21">
        <f>tabCustoUnit[[#This Row],[MODULO 1 - REMUNERAÇÃO ]]*SUMIFS(tabParametros[SENAI OU SENAC],tabParametros[Código do Posto],tabCustoUnit[[#This Row],[Código do Posto]])</f>
        <v>19.63411</v>
      </c>
      <c r="S209" s="21">
        <f>tabCustoUnit[[#This Row],[MODULO 1 - REMUNERAÇÃO ]]*SUMIFS(tabParametros[INCRA],tabParametros[Código do Posto],tabCustoUnit[[#This Row],[Código do Posto]])</f>
        <v>3.926822</v>
      </c>
      <c r="T209" s="21">
        <f>tabCustoUnit[[#This Row],[MODULO 1 - REMUNERAÇÃO ]]*SUMIFS(tabParametros[Salário Educação],tabParametros[Código do Posto],tabCustoUnit[[#This Row],[Código do Posto]])</f>
        <v>49.085275000000003</v>
      </c>
      <c r="U209" s="21">
        <f>tabCustoUnit[[#This Row],[MODULO 1 - REMUNERAÇÃO ]]*SUMIFS(tabParametros[FGTS],tabParametros[Código do Posto],tabCustoUnit[[#This Row],[Código do Posto]])</f>
        <v>157.07288</v>
      </c>
      <c r="V209" s="21">
        <f>tabCustoUnit[[#This Row],[MODULO 1 - REMUNERAÇÃO ]]*SUMIFS(tabParametros[RAT Ajustado],tabParametros[Código do Posto],tabCustoUnit[[#This Row],[Código do Posto]])</f>
        <v>78.536439999999999</v>
      </c>
      <c r="W209" s="21">
        <f>tabCustoUnit[[#This Row],[MODULO 1 - REMUNERAÇÃO ]]*SUMIFS(tabParametros[SEBRAE],tabParametros[Código do Posto],tabCustoUnit[[#This Row],[Código do Posto]])</f>
        <v>11.780466000000001</v>
      </c>
      <c r="X209" s="21">
        <f>SUM(tabCustoUnit[[#This Row],[INSS]:[SEBRAE]])</f>
        <v>742.1693580000001</v>
      </c>
      <c r="Y209" s="21">
        <f>tabCustoUnit[[#This Row],[MODULO 1 - REMUNERAÇÃO ]]*SUMIFS(tabParametros[13º salário (titular)],tabParametros[Código do Posto],tabCustoUnit[[#This Row],[Código do Posto]])</f>
        <v>163.61758333333333</v>
      </c>
      <c r="Z209" s="21">
        <f>tabCustoUnit[[#This Row],[MODULO 1 - REMUNERAÇÃO ]]*SUMIFS(tabParametros[Férias e Adicional de Férias (titular)],tabParametros[Código do Posto],tabCustoUnit[[#This Row],[Código do Posto]])</f>
        <v>218.15677777777776</v>
      </c>
      <c r="AA209" s="21">
        <f>IFERROR((tabCustoUnit[[#This Row],[Submódulo 2.1]]/tabCustoUnit[[#This Row],[MODULO 1 - REMUNERAÇÃO ]])*SUM(tabCustoUnit[[#This Row],[13º salário (titular)]:[Férias e Adicional de Férias (titular)]]),0)</f>
        <v>144.3107085</v>
      </c>
      <c r="AB209" s="21">
        <f>SUM(tabCustoUnit[[#This Row],[13º salário (titular)]:[Incidência do Submódulo 2.1 sobre 13º Salário, Férias e Adicional de Férias]])</f>
        <v>526.08506961111107</v>
      </c>
      <c r="AC209" s="22" t="e">
        <f ca="1">_xlfn.LET(_xlpm.VT,SUMIF(tabParametros[Código do Posto],tabCustoUnit[[#This Row],[Código do Posto]],tabParametros[Vale - Transporte])*2*20,
IF((_xlpm.VT-tabCustoUnit[[#This Row],[Salário Base]]*0.06)&gt;=0,(_xlpm.VT-tabCustoUnit[[#This Row],[Salário Base]]*0.06),0)
)</f>
        <v>#NAME?</v>
      </c>
      <c r="AD209" s="22">
        <f>IF(SUMIF(tabParametros[Código do Posto],tabCustoUnit[[#This Row],[Código do Posto]],tabParametros[Vale - Alimentação])&lt;=0,0,
SUMIF(tabParametros[Código do Posto],tabCustoUnit[[#This Row],[Código do Posto]],tabParametros[Vale - Alimentação])*20-1)</f>
        <v>582</v>
      </c>
      <c r="AE209" s="22">
        <f>SUMIF(tabParametros[Código do Posto],tabCustoUnit[[#This Row],[Código do Posto]],tabParametros[Cesta Básica])</f>
        <v>0</v>
      </c>
      <c r="AF209" s="22">
        <f>SUMIF(tabParametros[Código do Posto],tabCustoUnit[[#This Row],[Código do Posto]],tabParametros[PAF])</f>
        <v>51.88</v>
      </c>
      <c r="AG209" s="22">
        <f>SUMIF(tabParametros[Código do Posto],tabCustoUnit[[#This Row],[Código do Posto]],tabParametros[PQM])</f>
        <v>0</v>
      </c>
      <c r="AH209" s="22">
        <f>SUMIF(tabParametros[Código do Posto],tabCustoUnit[[#This Row],[Código do Posto]],tabParametros[Abono Único e Especial])</f>
        <v>0</v>
      </c>
      <c r="AI209" s="22">
        <f>SUMIF(tabParametros[Código do Posto],tabCustoUnit[[#This Row],[Código do Posto]],tabParametros[Seguro de Vida])</f>
        <v>3.36</v>
      </c>
      <c r="AJ209" s="22">
        <f>SUMIF(tabParametros[Código do Posto],tabCustoUnit[[#This Row],[Código do Posto]],tabParametros[Despesas de Viagem])</f>
        <v>0</v>
      </c>
      <c r="AK209" s="22" t="e">
        <f ca="1">SUM(tabCustoUnit[[#This Row],[Vale - Transporte (Descontada parcela do empregado)]:[Despesas de Viagem]])</f>
        <v>#NAME?</v>
      </c>
      <c r="AL209" s="22" t="e">
        <f ca="1">tabCustoUnit[[#This Row],[Submódulo 2.1]]+tabCustoUnit[[#This Row],[Submódulo 2.2]]+tabCustoUnit[[#This Row],[Submódulo 2.3]]</f>
        <v>#NAME?</v>
      </c>
      <c r="AM209" s="22">
        <f>SUMIF(tabParametros[Código do Posto],tabCustoUnit[[#This Row],[Código do Posto]],tabParametros[Aviso Prévio Indenizado (API) e Reflexo do Aviso Prévio Indenizado])*tabCustoUnit[[#This Row],[MODULO 1 - REMUNERAÇÃO ]]</f>
        <v>13.766980408757716</v>
      </c>
      <c r="AN209" s="22">
        <f>SUMIF(tabParametros[Código do Posto],tabCustoUnit[[#This Row],[Código do Posto]],tabParametros[Incidência do FGTS sobre API e Reflexo do API])*tabCustoUnit[[#This Row],[MODULO 1 - REMUNERAÇÃO ]]</f>
        <v>1.1013584327006174</v>
      </c>
      <c r="AO209" s="22">
        <f>SUMIF(tabParametros[Código do Posto],tabCustoUnit[[#This Row],[Código do Posto]],tabParametros[Multa Rescisória do FGTS sobre o Aviso Prévio Indenizado])*tabCustoUnit[[#This Row],[MODULO 1 - REMUNERAÇÃO ]]</f>
        <v>0.44054337308024699</v>
      </c>
      <c r="AP209" s="22">
        <f>SUMIF(tabParametros[Código do Posto],tabCustoUnit[[#This Row],[Código do Posto]],tabParametros[Aviso Prévio Trabalhado - APT])*tabCustoUnit[[#This Row],[MODULO 1 - REMUNERAÇÃO ]]</f>
        <v>6.8719385000000015</v>
      </c>
      <c r="AQ209" s="22">
        <f>SUMIF(tabParametros[Código do Posto],tabCustoUnit[[#This Row],[Código do Posto]],tabParametros[Incidência dos encargos do submódulo 2.1 sobre Aviso Prévio Trabalhado])*tabCustoUnit[[#This Row],[MODULO 1 - REMUNERAÇÃO ]]</f>
        <v>2.5975927530000007</v>
      </c>
      <c r="AR209" s="22">
        <f>SUMIF(tabParametros[Código do Posto],tabCustoUnit[[#This Row],[Código do Posto]],tabParametros[Multa Rescisória do FGTS])*tabCustoUnit[[#This Row],[MODULO 1 - REMUNERAÇÃO ]]</f>
        <v>60.03674524444444</v>
      </c>
      <c r="AS209" s="22">
        <f>SUMIF(tabParametros[Código do Posto],tabCustoUnit[[#This Row],[Código do Posto]],tabParametros[Indenização Adicional (Art. 9º da Lei nº 7.238/84)])*tabCustoUnit[[#This Row],[MODULO 1 - REMUNERAÇÃO ]]</f>
        <v>1.6361758333333334</v>
      </c>
      <c r="AT209" s="22">
        <f>SUM(tabCustoUnit[[#This Row],[Aviso Prévio Indenizado (API) e Reflexo do Aviso Prévio Indenizado]:[Indenização Adicional (Art. 9º da Lei nº 7.238/84)]])</f>
        <v>86.451334545316371</v>
      </c>
      <c r="AU209" s="22">
        <f>SUMIF(tabParametros[Código do Posto],tabCustoUnit[[#This Row],[Código do Posto]],tabParametros[Ausência por Doença])*tabCustoUnit[[#This Row],[MODULO 1 - REMUNERAÇÃO ]]</f>
        <v>16.579915111111109</v>
      </c>
      <c r="AV209" s="22">
        <f>SUMIF(tabParametros[Código do Posto],tabCustoUnit[[#This Row],[Código do Posto]],tabParametros[Ausências Legais])*tabCustoUnit[[#This Row],[MODULO 1 - REMUNERAÇÃO ]]</f>
        <v>3.9813611944444443</v>
      </c>
      <c r="AW209" s="22">
        <f>SUMIF(tabParametros[Código do Posto],tabCustoUnit[[#This Row],[Código do Posto]],tabParametros[Licença Paternidade])*tabCustoUnit[[#This Row],[MODULO 1 - REMUNERAÇÃO ]]</f>
        <v>0.33541604583333334</v>
      </c>
      <c r="AX209" s="22">
        <f>SUMIF(tabParametros[Código do Posto],tabCustoUnit[[#This Row],[Código do Posto]],tabParametros[Ausência por Acidente de Trabalho])*tabCustoUnit[[#This Row],[MODULO 1 - REMUNERAÇÃO ]]</f>
        <v>0.40904395833333335</v>
      </c>
      <c r="AY209" s="22">
        <f>SUMIF(tabParametros[Código do Posto],tabCustoUnit[[#This Row],[Código do Posto]],tabParametros[Férias, Adicional de Férias e 13º  com empregada em gozo de Licença Maternidade])*tabCustoUnit[[#This Row],[MODULO 1 - REMUNERAÇÃO ]]</f>
        <v>2.5451624074074073</v>
      </c>
      <c r="AZ209" s="22">
        <f>SUMIF(tabParametros[Código do Posto],tabCustoUnit[[#This Row],[Código do Posto]],tabParametros[Incidência do Submódulo 2.1 sobre Ausências Legais])*tabCustoUnit[[#This Row],[MODULO 1 - REMUNERAÇÃO ]]</f>
        <v>9.0156397150750021</v>
      </c>
      <c r="BA209" s="22">
        <f>SUM(tabCustoUnit[[#This Row],[Ausência por Doença]:[Incidência do Submódulo 2.1 sobre Ausências Legais]])</f>
        <v>32.866538432204628</v>
      </c>
      <c r="BB209" s="22">
        <f>SUMIF(tabParametros[Código do Posto],tabCustoUnit[[#This Row],[Código do Posto]],tabParametros[Intervalo para Repouso ou Alimentação])</f>
        <v>267.73786489195959</v>
      </c>
      <c r="BC209" s="22">
        <f>tabCustoUnit[[#This Row],[Intervalo para Repouso ou Alimentação]]</f>
        <v>267.73786489195959</v>
      </c>
      <c r="BD20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09" s="22">
        <f>tabCustoUnit[[#This Row],[Suspensão Temporária do Contrato de Trabalho]]</f>
        <v>0</v>
      </c>
      <c r="BF209" s="22">
        <f>tabCustoUnit[[#This Row],[Submódulo 4.1]]+tabCustoUnit[[#This Row],[Submódulo 4.2]]+tabCustoUnit[[#This Row],[Submódulo 4.3]]</f>
        <v>300.6044033241642</v>
      </c>
      <c r="BG209" s="22">
        <f>VLOOKUP(tabCustoUnit[[#This Row],[Código do Posto]],tabParametros[],MATCH(tabCustoUnit[[#Headers],[Uniformes e EPIs]],tabParametros[#Headers],0),0)</f>
        <v>56.642978962543395</v>
      </c>
      <c r="BH209" s="22">
        <f>VLOOKUP(tabCustoUnit[[#This Row],[Código do Posto]],tabParametros[],MATCH(tabCustoUnit[[#Headers],[Materiais de Consumo]],tabParametros[#Headers],0),0)</f>
        <v>0</v>
      </c>
      <c r="BI209" s="22">
        <f>VLOOKUP(tabCustoUnit[[#This Row],[Código do Posto]],tabParametros[],MATCH(tabCustoUnit[[#Headers],[Máquinas e Equipamentos (depreciação)]],tabParametros[#Headers],0),0)</f>
        <v>0</v>
      </c>
      <c r="BJ209" s="22">
        <f>VLOOKUP(tabCustoUnit[[#This Row],[Código do Posto]],tabParametros[],MATCH(tabCustoUnit[[#Headers],[Produtos de Limpeza e Materiais de Higiene Pessoal]],tabParametros[#Headers],0),0)</f>
        <v>0</v>
      </c>
      <c r="BK209" s="22">
        <f>VLOOKUP(tabCustoUnit[[#This Row],[Código do Posto]],tabParametros[],MATCH(tabCustoUnit[[#Headers],[Outros (especificar)]],tabParametros[#Headers],0),0)</f>
        <v>0</v>
      </c>
      <c r="BL209" s="22">
        <f>SUM(tabCustoUnit[[#This Row],[Uniformes e EPIs]:[Outros (especificar)]])</f>
        <v>56.642978962543395</v>
      </c>
      <c r="BM20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09" s="22" t="e">
        <f ca="1">VLOOKUP(tabCustoUnit[[#This Row],[Código do Posto]],tabParametros[],MATCH(tabCustoUnit[[#Headers],[Custos Indiretos]],tabParametros[#Headers],0),0)</f>
        <v>#NAME?</v>
      </c>
      <c r="BO209" s="22" t="e">
        <f ca="1">VLOOKUP(tabCustoUnit[[#This Row],[Código do Posto]],tabParametros[],MATCH(tabCustoUnit[[#Headers],[Lucro]],tabParametros[#Headers],0),0)</f>
        <v>#NAME?</v>
      </c>
      <c r="BP209" s="26">
        <f>((100/((1-tabCustoUnit[[#This Row],[Resumo de Alíquotas (PIS+CONFINS+ISS)]]))-100)*VLOOKUP(tabCustoUnit[[#This Row],[Código do Posto]],tabParametros[],MATCH(tabCustoUnit[[#Headers],[COFINS]],tabParametros[#Headers],0),0))/(tabCustoUnit[[#This Row],[Resumo de Alíquotas (PIS+CONFINS+ISS)]]*100)</f>
        <v>8.6609686609686695E-2</v>
      </c>
      <c r="BQ209" s="26">
        <f>((100/((100-(tabCustoUnit[[#This Row],[Resumo de Alíquotas (PIS+CONFINS+ISS)]]*100))%)-100)*VLOOKUP(tabCustoUnit[[#This Row],[Código do Posto]],tabParametros[],MATCH(tabCustoUnit[[#Headers],[PIS]],tabParametros[#Headers],0),0))/(tabCustoUnit[[#This Row],[Resumo de Alíquotas (PIS+CONFINS+ISS)]]*100)</f>
        <v>1.880341880341882E-2</v>
      </c>
      <c r="BR209" s="28">
        <f>VLOOKUP(tabCustoUnit[[#This Row],[Código do Posto]],tabParametros[],MATCH(tabCustoUnit[[#Headers],[ISS]],tabParametros[#Headers],0),0)</f>
        <v>0.03</v>
      </c>
      <c r="BS209" s="26">
        <f>(((100/((100-(tabCustoUnit[[#This Row],[Resumo de Alíquotas (PIS+CONFINS+ISS)]]*100))%)-100)*tabCustoUnit[[#This Row],[ISS]])/tabCustoUnit[[#This Row],[Resumo de Alíquotas (PIS+CONFINS+ISS)]])/100</f>
        <v>3.4188034188034219E-2</v>
      </c>
      <c r="BT20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09" s="138">
        <f>tabCustoUnit[[#This Row],[COFINS]]+tabCustoUnit[[#This Row],[PIS]]+tabCustoUnit[[#This Row],[ISS (Conversão Alíquota s/ fatura)]]</f>
        <v>0.13960113960113973</v>
      </c>
      <c r="BV209" s="22" t="e">
        <f ca="1">(tabCustoUnit[[#This Row],[TOTAL MÓDULOS 1+2+3+4+5]]+tabCustoUnit[[#This Row],[Custos Indiretos]]+tabCustoUnit[[#This Row],[Lucro]])*tabCustoUnit[[#This Row],[PIS + COFINS + ISS (Total Conversão  Alíquota s/ Fatura)]]</f>
        <v>#NAME?</v>
      </c>
      <c r="BW209" s="22" t="e">
        <f ca="1">tabCustoUnit[[#This Row],[Custos Indiretos]]+tabCustoUnit[[#This Row],[Lucro]]+tabCustoUnit[[#This Row],[Valor dos Tributos (ISS, PIS, CONFINS)]]</f>
        <v>#NAME?</v>
      </c>
      <c r="BX209" s="22" t="e">
        <f ca="1">tabCustoUnit[[#This Row],[TOTAL MÓDULOS 1+2+3+4+5]]+tabCustoUnit[[#This Row],[MÓDULO 6 – CUSTOS INDIRETOS, TRIBUTOS E LUCRO]]</f>
        <v>#NAME?</v>
      </c>
      <c r="BY209" s="22" t="e">
        <f ca="1">tabCustoUnit[[#This Row],[CUSTO TOTAL MENSAL]]*12</f>
        <v>#NAME?</v>
      </c>
      <c r="BZ209" s="24">
        <f>VLOOKUP(tabCustoUnit[[#This Row],[Código do Posto]],tabParametros[],MATCH(tabCustoUnit[[#Headers],[ANO DA CCT]],tabParametros[#Headers],0),0)</f>
        <v>45658</v>
      </c>
      <c r="CA209" s="25" t="str">
        <f>VLOOKUP(tabCustoUnit[[#This Row],[Código do Posto]],tabParametros[],MATCH(tabCustoUnit[[#Headers],[Nº DE PEDIDO DA CCT]],tabParametros[#Headers],0),0)</f>
        <v>-</v>
      </c>
      <c r="CB209" s="25" t="str">
        <f>VLOOKUP(tabCustoUnit[[#This Row],[Código do Posto]],tabParametros[],MATCH(tabCustoUnit[[#Headers],[TERMO ADITIVO ALTERAÇÃO DA CCT]],tabParametros[#Headers],0),0)</f>
        <v>-</v>
      </c>
    </row>
    <row r="210" spans="1:80">
      <c r="A210" s="20" t="s">
        <v>1644</v>
      </c>
      <c r="B210" t="s">
        <v>1162</v>
      </c>
      <c r="C210" t="s">
        <v>324</v>
      </c>
      <c r="D210" t="s">
        <v>954</v>
      </c>
      <c r="E210" s="20" t="s">
        <v>1090</v>
      </c>
      <c r="F210" s="20" t="s">
        <v>120</v>
      </c>
      <c r="G210" s="418">
        <v>3397.1306</v>
      </c>
      <c r="H210" s="418">
        <v>0</v>
      </c>
      <c r="I210" s="418">
        <v>0</v>
      </c>
      <c r="J210" s="418">
        <v>0</v>
      </c>
      <c r="K210" s="418">
        <v>0</v>
      </c>
      <c r="L210" s="418">
        <v>0</v>
      </c>
      <c r="M210" s="418">
        <v>0</v>
      </c>
      <c r="N210" s="418">
        <v>0</v>
      </c>
      <c r="O210" s="21">
        <f>SUM(tabCustoUnit[[#This Row],[Salário Base]:[Adicional de Acúmulo de função]])</f>
        <v>3397.1306</v>
      </c>
      <c r="P210" s="21">
        <f>tabCustoUnit[[#This Row],[MODULO 1 - REMUNERAÇÃO ]]*SUMIFS(tabParametros[INSS],tabParametros[Código do Posto],tabCustoUnit[[#This Row],[Código do Posto]])</f>
        <v>679.42612000000008</v>
      </c>
      <c r="Q210" s="21">
        <f>tabCustoUnit[[#This Row],[MODULO 1 - REMUNERAÇÃO ]]*SUMIFS(tabParametros[SESI OU SESC],tabParametros[Código do Posto],tabCustoUnit[[#This Row],[Código do Posto]])</f>
        <v>50.956958999999998</v>
      </c>
      <c r="R210" s="21">
        <f>tabCustoUnit[[#This Row],[MODULO 1 - REMUNERAÇÃO ]]*SUMIFS(tabParametros[SENAI OU SENAC],tabParametros[Código do Posto],tabCustoUnit[[#This Row],[Código do Posto]])</f>
        <v>33.971305999999998</v>
      </c>
      <c r="S210" s="21">
        <f>tabCustoUnit[[#This Row],[MODULO 1 - REMUNERAÇÃO ]]*SUMIFS(tabParametros[INCRA],tabParametros[Código do Posto],tabCustoUnit[[#This Row],[Código do Posto]])</f>
        <v>6.7942612000000002</v>
      </c>
      <c r="T210" s="21">
        <f>tabCustoUnit[[#This Row],[MODULO 1 - REMUNERAÇÃO ]]*SUMIFS(tabParametros[Salário Educação],tabParametros[Código do Posto],tabCustoUnit[[#This Row],[Código do Posto]])</f>
        <v>84.92826500000001</v>
      </c>
      <c r="U210" s="21">
        <f>tabCustoUnit[[#This Row],[MODULO 1 - REMUNERAÇÃO ]]*SUMIFS(tabParametros[FGTS],tabParametros[Código do Posto],tabCustoUnit[[#This Row],[Código do Posto]])</f>
        <v>271.77044799999999</v>
      </c>
      <c r="V210" s="21">
        <f>tabCustoUnit[[#This Row],[MODULO 1 - REMUNERAÇÃO ]]*SUMIFS(tabParametros[RAT Ajustado],tabParametros[Código do Posto],tabCustoUnit[[#This Row],[Código do Posto]])</f>
        <v>135.88522399999999</v>
      </c>
      <c r="W210" s="21">
        <f>tabCustoUnit[[#This Row],[MODULO 1 - REMUNERAÇÃO ]]*SUMIFS(tabParametros[SEBRAE],tabParametros[Código do Posto],tabCustoUnit[[#This Row],[Código do Posto]])</f>
        <v>20.3827836</v>
      </c>
      <c r="X210" s="21">
        <f>SUM(tabCustoUnit[[#This Row],[INSS]:[SEBRAE]])</f>
        <v>1284.1153668000002</v>
      </c>
      <c r="Y210" s="21">
        <f>tabCustoUnit[[#This Row],[MODULO 1 - REMUNERAÇÃO ]]*SUMIFS(tabParametros[13º salário (titular)],tabParametros[Código do Posto],tabCustoUnit[[#This Row],[Código do Posto]])</f>
        <v>283.09421666666663</v>
      </c>
      <c r="Z210" s="21">
        <f>tabCustoUnit[[#This Row],[MODULO 1 - REMUNERAÇÃO ]]*SUMIFS(tabParametros[Férias e Adicional de Férias (titular)],tabParametros[Código do Posto],tabCustoUnit[[#This Row],[Código do Posto]])</f>
        <v>377.45895555555552</v>
      </c>
      <c r="AA210" s="21">
        <f>IFERROR((tabCustoUnit[[#This Row],[Submódulo 2.1]]/tabCustoUnit[[#This Row],[MODULO 1 - REMUNERAÇÃO ]])*SUM(tabCustoUnit[[#This Row],[13º salário (titular)]:[Férias e Adicional de Férias (titular)]]),0)</f>
        <v>249.68909910000002</v>
      </c>
      <c r="AB210" s="21">
        <f>SUM(tabCustoUnit[[#This Row],[13º salário (titular)]:[Incidência do Submódulo 2.1 sobre 13º Salário, Férias e Adicional de Férias]])</f>
        <v>910.24227132222222</v>
      </c>
      <c r="AC210" s="22" t="e">
        <f ca="1">_xlfn.LET(_xlpm.VT,SUMIF(tabParametros[Código do Posto],tabCustoUnit[[#This Row],[Código do Posto]],tabParametros[Vale - Transporte])*2*20,
IF((_xlpm.VT-tabCustoUnit[[#This Row],[Salário Base]]*0.06)&gt;=0,(_xlpm.VT-tabCustoUnit[[#This Row],[Salário Base]]*0.06),0)
)</f>
        <v>#NAME?</v>
      </c>
      <c r="AD210" s="22">
        <f>IF(SUMIF(tabParametros[Código do Posto],tabCustoUnit[[#This Row],[Código do Posto]],tabParametros[Vale - Alimentação])&lt;=0,0,
SUMIF(tabParametros[Código do Posto],tabCustoUnit[[#This Row],[Código do Posto]],tabParametros[Vale - Alimentação])*20-1)</f>
        <v>582</v>
      </c>
      <c r="AE210" s="22">
        <f>SUMIF(tabParametros[Código do Posto],tabCustoUnit[[#This Row],[Código do Posto]],tabParametros[Cesta Básica])</f>
        <v>0</v>
      </c>
      <c r="AF210" s="22">
        <f>SUMIF(tabParametros[Código do Posto],tabCustoUnit[[#This Row],[Código do Posto]],tabParametros[PAF])</f>
        <v>51.88</v>
      </c>
      <c r="AG210" s="22">
        <f>SUMIF(tabParametros[Código do Posto],tabCustoUnit[[#This Row],[Código do Posto]],tabParametros[PQM])</f>
        <v>0</v>
      </c>
      <c r="AH210" s="22">
        <f>SUMIF(tabParametros[Código do Posto],tabCustoUnit[[#This Row],[Código do Posto]],tabParametros[Abono Único e Especial])</f>
        <v>0</v>
      </c>
      <c r="AI210" s="22">
        <f>SUMIF(tabParametros[Código do Posto],tabCustoUnit[[#This Row],[Código do Posto]],tabParametros[Seguro de Vida])</f>
        <v>3.36</v>
      </c>
      <c r="AJ210" s="22">
        <f>SUMIF(tabParametros[Código do Posto],tabCustoUnit[[#This Row],[Código do Posto]],tabParametros[Despesas de Viagem])</f>
        <v>0</v>
      </c>
      <c r="AK210" s="22" t="e">
        <f ca="1">SUM(tabCustoUnit[[#This Row],[Vale - Transporte (Descontada parcela do empregado)]:[Despesas de Viagem]])</f>
        <v>#NAME?</v>
      </c>
      <c r="AL210" s="22" t="e">
        <f ca="1">tabCustoUnit[[#This Row],[Submódulo 2.1]]+tabCustoUnit[[#This Row],[Submódulo 2.2]]+tabCustoUnit[[#This Row],[Submódulo 2.3]]</f>
        <v>#NAME?</v>
      </c>
      <c r="AM210" s="22">
        <f>SUMIF(tabParametros[Código do Posto],tabCustoUnit[[#This Row],[Código do Posto]],tabParametros[Aviso Prévio Indenizado (API) e Reflexo do Aviso Prévio Indenizado])*tabCustoUnit[[#This Row],[MODULO 1 - REMUNERAÇÃO ]]</f>
        <v>23.819888151890432</v>
      </c>
      <c r="AN210" s="22">
        <f>SUMIF(tabParametros[Código do Posto],tabCustoUnit[[#This Row],[Código do Posto]],tabParametros[Incidência do FGTS sobre API e Reflexo do API])*tabCustoUnit[[#This Row],[MODULO 1 - REMUNERAÇÃO ]]</f>
        <v>1.9055910521512347</v>
      </c>
      <c r="AO210" s="22">
        <f>SUMIF(tabParametros[Código do Posto],tabCustoUnit[[#This Row],[Código do Posto]],tabParametros[Multa Rescisória do FGTS sobre o Aviso Prévio Indenizado])*tabCustoUnit[[#This Row],[MODULO 1 - REMUNERAÇÃO ]]</f>
        <v>0.76223642086049392</v>
      </c>
      <c r="AP210" s="22">
        <f>SUMIF(tabParametros[Código do Posto],tabCustoUnit[[#This Row],[Código do Posto]],tabParametros[Aviso Prévio Trabalhado - APT])*tabCustoUnit[[#This Row],[MODULO 1 - REMUNERAÇÃO ]]</f>
        <v>11.889957100000002</v>
      </c>
      <c r="AQ210" s="22">
        <f>SUMIF(tabParametros[Código do Posto],tabCustoUnit[[#This Row],[Código do Posto]],tabParametros[Incidência dos encargos do submódulo 2.1 sobre Aviso Prévio Trabalhado])*tabCustoUnit[[#This Row],[MODULO 1 - REMUNERAÇÃO ]]</f>
        <v>4.4944037838000011</v>
      </c>
      <c r="AR210" s="22">
        <f>SUMIF(tabParametros[Código do Posto],tabCustoUnit[[#This Row],[Código do Posto]],tabParametros[Multa Rescisória do FGTS])*tabCustoUnit[[#This Row],[MODULO 1 - REMUNERAÇÃO ]]</f>
        <v>103.87670456888887</v>
      </c>
      <c r="AS210" s="22">
        <f>SUMIF(tabParametros[Código do Posto],tabCustoUnit[[#This Row],[Código do Posto]],tabParametros[Indenização Adicional (Art. 9º da Lei nº 7.238/84)])*tabCustoUnit[[#This Row],[MODULO 1 - REMUNERAÇÃO ]]</f>
        <v>2.830942166666667</v>
      </c>
      <c r="AT210" s="22">
        <f>SUM(tabCustoUnit[[#This Row],[Aviso Prévio Indenizado (API) e Reflexo do Aviso Prévio Indenizado]:[Indenização Adicional (Art. 9º da Lei nº 7.238/84)]])</f>
        <v>149.57972324425771</v>
      </c>
      <c r="AU210" s="22">
        <f>SUMIF(tabParametros[Código do Posto],tabCustoUnit[[#This Row],[Código do Posto]],tabParametros[Ausência por Doença])*tabCustoUnit[[#This Row],[MODULO 1 - REMUNERAÇÃO ]]</f>
        <v>28.686880622222219</v>
      </c>
      <c r="AV210" s="22">
        <f>SUMIF(tabParametros[Código do Posto],tabCustoUnit[[#This Row],[Código do Posto]],tabParametros[Ausências Legais])*tabCustoUnit[[#This Row],[MODULO 1 - REMUNERAÇÃO ]]</f>
        <v>6.8886259388888886</v>
      </c>
      <c r="AW210" s="22">
        <f>SUMIF(tabParametros[Código do Posto],tabCustoUnit[[#This Row],[Código do Posto]],tabParametros[Licença Paternidade])*tabCustoUnit[[#This Row],[MODULO 1 - REMUNERAÇÃO ]]</f>
        <v>0.58034314416666666</v>
      </c>
      <c r="AX210" s="22">
        <f>SUMIF(tabParametros[Código do Posto],tabCustoUnit[[#This Row],[Código do Posto]],tabParametros[Ausência por Acidente de Trabalho])*tabCustoUnit[[#This Row],[MODULO 1 - REMUNERAÇÃO ]]</f>
        <v>0.70773554166666675</v>
      </c>
      <c r="AY210" s="22">
        <f>SUMIF(tabParametros[Código do Posto],tabCustoUnit[[#This Row],[Código do Posto]],tabParametros[Férias, Adicional de Férias e 13º  com empregada em gozo de Licença Maternidade])*tabCustoUnit[[#This Row],[MODULO 1 - REMUNERAÇÃO ]]</f>
        <v>4.4036878148148144</v>
      </c>
      <c r="AZ210" s="22">
        <f>SUMIF(tabParametros[Código do Posto],tabCustoUnit[[#This Row],[Código do Posto]],tabParametros[Incidência do Submódulo 2.1 sobre Ausências Legais])*tabCustoUnit[[#This Row],[MODULO 1 - REMUNERAÇÃO ]]</f>
        <v>15.599029217345002</v>
      </c>
      <c r="BA210" s="22">
        <f>SUM(tabCustoUnit[[#This Row],[Ausência por Doença]:[Incidência do Submódulo 2.1 sobre Ausências Legais]])</f>
        <v>56.866302279104261</v>
      </c>
      <c r="BB210" s="22">
        <f>SUMIF(tabParametros[Código do Posto],tabCustoUnit[[#This Row],[Código do Posto]],tabParametros[Intervalo para Repouso ou Alimentação])</f>
        <v>0</v>
      </c>
      <c r="BC210" s="22">
        <f>tabCustoUnit[[#This Row],[Intervalo para Repouso ou Alimentação]]</f>
        <v>0</v>
      </c>
      <c r="BD21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0" s="22">
        <f>tabCustoUnit[[#This Row],[Suspensão Temporária do Contrato de Trabalho]]</f>
        <v>0</v>
      </c>
      <c r="BF210" s="22">
        <f>tabCustoUnit[[#This Row],[Submódulo 4.1]]+tabCustoUnit[[#This Row],[Submódulo 4.2]]+tabCustoUnit[[#This Row],[Submódulo 4.3]]</f>
        <v>56.866302279104261</v>
      </c>
      <c r="BG210" s="22">
        <f>VLOOKUP(tabCustoUnit[[#This Row],[Código do Posto]],tabParametros[],MATCH(tabCustoUnit[[#Headers],[Uniformes e EPIs]],tabParametros[#Headers],0),0)</f>
        <v>56.642978962543395</v>
      </c>
      <c r="BH210" s="22">
        <f>VLOOKUP(tabCustoUnit[[#This Row],[Código do Posto]],tabParametros[],MATCH(tabCustoUnit[[#Headers],[Materiais de Consumo]],tabParametros[#Headers],0),0)</f>
        <v>0</v>
      </c>
      <c r="BI210" s="22">
        <f>VLOOKUP(tabCustoUnit[[#This Row],[Código do Posto]],tabParametros[],MATCH(tabCustoUnit[[#Headers],[Máquinas e Equipamentos (depreciação)]],tabParametros[#Headers],0),0)</f>
        <v>0</v>
      </c>
      <c r="BJ210" s="22">
        <f>VLOOKUP(tabCustoUnit[[#This Row],[Código do Posto]],tabParametros[],MATCH(tabCustoUnit[[#Headers],[Produtos de Limpeza e Materiais de Higiene Pessoal]],tabParametros[#Headers],0),0)</f>
        <v>0</v>
      </c>
      <c r="BK210" s="22">
        <f>VLOOKUP(tabCustoUnit[[#This Row],[Código do Posto]],tabParametros[],MATCH(tabCustoUnit[[#Headers],[Outros (especificar)]],tabParametros[#Headers],0),0)</f>
        <v>0</v>
      </c>
      <c r="BL210" s="22">
        <f>SUM(tabCustoUnit[[#This Row],[Uniformes e EPIs]:[Outros (especificar)]])</f>
        <v>56.642978962543395</v>
      </c>
      <c r="BM21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0" s="22" t="e">
        <f ca="1">VLOOKUP(tabCustoUnit[[#This Row],[Código do Posto]],tabParametros[],MATCH(tabCustoUnit[[#Headers],[Custos Indiretos]],tabParametros[#Headers],0),0)</f>
        <v>#NAME?</v>
      </c>
      <c r="BO210" s="22" t="e">
        <f ca="1">VLOOKUP(tabCustoUnit[[#This Row],[Código do Posto]],tabParametros[],MATCH(tabCustoUnit[[#Headers],[Lucro]],tabParametros[#Headers],0),0)</f>
        <v>#NAME?</v>
      </c>
      <c r="BP210" s="26">
        <f>((100/((1-tabCustoUnit[[#This Row],[Resumo de Alíquotas (PIS+CONFINS+ISS)]]))-100)*VLOOKUP(tabCustoUnit[[#This Row],[Código do Posto]],tabParametros[],MATCH(tabCustoUnit[[#Headers],[COFINS]],tabParametros[#Headers],0),0))/(tabCustoUnit[[#This Row],[Resumo de Alíquotas (PIS+CONFINS+ISS)]]*100)</f>
        <v>8.6609686609686695E-2</v>
      </c>
      <c r="BQ210" s="26">
        <f>((100/((100-(tabCustoUnit[[#This Row],[Resumo de Alíquotas (PIS+CONFINS+ISS)]]*100))%)-100)*VLOOKUP(tabCustoUnit[[#This Row],[Código do Posto]],tabParametros[],MATCH(tabCustoUnit[[#Headers],[PIS]],tabParametros[#Headers],0),0))/(tabCustoUnit[[#This Row],[Resumo de Alíquotas (PIS+CONFINS+ISS)]]*100)</f>
        <v>1.880341880341882E-2</v>
      </c>
      <c r="BR210" s="28">
        <f>VLOOKUP(tabCustoUnit[[#This Row],[Código do Posto]],tabParametros[],MATCH(tabCustoUnit[[#Headers],[ISS]],tabParametros[#Headers],0),0)</f>
        <v>0.03</v>
      </c>
      <c r="BS210" s="26">
        <f>(((100/((100-(tabCustoUnit[[#This Row],[Resumo de Alíquotas (PIS+CONFINS+ISS)]]*100))%)-100)*tabCustoUnit[[#This Row],[ISS]])/tabCustoUnit[[#This Row],[Resumo de Alíquotas (PIS+CONFINS+ISS)]])/100</f>
        <v>3.4188034188034219E-2</v>
      </c>
      <c r="BT21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0" s="138">
        <f>tabCustoUnit[[#This Row],[COFINS]]+tabCustoUnit[[#This Row],[PIS]]+tabCustoUnit[[#This Row],[ISS (Conversão Alíquota s/ fatura)]]</f>
        <v>0.13960113960113973</v>
      </c>
      <c r="BV210" s="22" t="e">
        <f ca="1">(tabCustoUnit[[#This Row],[TOTAL MÓDULOS 1+2+3+4+5]]+tabCustoUnit[[#This Row],[Custos Indiretos]]+tabCustoUnit[[#This Row],[Lucro]])*tabCustoUnit[[#This Row],[PIS + COFINS + ISS (Total Conversão  Alíquota s/ Fatura)]]</f>
        <v>#NAME?</v>
      </c>
      <c r="BW210" s="22" t="e">
        <f ca="1">tabCustoUnit[[#This Row],[Custos Indiretos]]+tabCustoUnit[[#This Row],[Lucro]]+tabCustoUnit[[#This Row],[Valor dos Tributos (ISS, PIS, CONFINS)]]</f>
        <v>#NAME?</v>
      </c>
      <c r="BX210" s="22" t="e">
        <f ca="1">tabCustoUnit[[#This Row],[TOTAL MÓDULOS 1+2+3+4+5]]+tabCustoUnit[[#This Row],[MÓDULO 6 – CUSTOS INDIRETOS, TRIBUTOS E LUCRO]]</f>
        <v>#NAME?</v>
      </c>
      <c r="BY210" s="22" t="e">
        <f ca="1">tabCustoUnit[[#This Row],[CUSTO TOTAL MENSAL]]*12</f>
        <v>#NAME?</v>
      </c>
      <c r="BZ210" s="24">
        <f>VLOOKUP(tabCustoUnit[[#This Row],[Código do Posto]],tabParametros[],MATCH(tabCustoUnit[[#Headers],[ANO DA CCT]],tabParametros[#Headers],0),0)</f>
        <v>45658</v>
      </c>
      <c r="CA210" s="25" t="str">
        <f>VLOOKUP(tabCustoUnit[[#This Row],[Código do Posto]],tabParametros[],MATCH(tabCustoUnit[[#Headers],[Nº DE PEDIDO DA CCT]],tabParametros[#Headers],0),0)</f>
        <v>-</v>
      </c>
      <c r="CB210" s="25" t="str">
        <f>VLOOKUP(tabCustoUnit[[#This Row],[Código do Posto]],tabParametros[],MATCH(tabCustoUnit[[#Headers],[TERMO ADITIVO ALTERAÇÃO DA CCT]],tabParametros[#Headers],0),0)</f>
        <v>-</v>
      </c>
    </row>
    <row r="211" spans="1:80">
      <c r="A211" s="20" t="s">
        <v>1492</v>
      </c>
      <c r="B211" t="s">
        <v>1163</v>
      </c>
      <c r="C211" t="s">
        <v>200</v>
      </c>
      <c r="D211" t="s">
        <v>957</v>
      </c>
      <c r="E211" s="20" t="s">
        <v>1090</v>
      </c>
      <c r="F211" s="20" t="s">
        <v>120</v>
      </c>
      <c r="G211" s="418">
        <v>1596.2737999999999</v>
      </c>
      <c r="H211" s="418">
        <v>0</v>
      </c>
      <c r="I211" s="418">
        <v>0</v>
      </c>
      <c r="J211" s="418">
        <v>0</v>
      </c>
      <c r="K211" s="418">
        <v>0</v>
      </c>
      <c r="L211" s="418">
        <v>0</v>
      </c>
      <c r="M211" s="418">
        <v>0</v>
      </c>
      <c r="N211" s="418">
        <v>0</v>
      </c>
      <c r="O211" s="21">
        <f>SUM(tabCustoUnit[[#This Row],[Salário Base]:[Adicional de Acúmulo de função]])</f>
        <v>1596.2737999999999</v>
      </c>
      <c r="P211" s="21">
        <f>tabCustoUnit[[#This Row],[MODULO 1 - REMUNERAÇÃO ]]*SUMIFS(tabParametros[INSS],tabParametros[Código do Posto],tabCustoUnit[[#This Row],[Código do Posto]])</f>
        <v>319.25476000000003</v>
      </c>
      <c r="Q211" s="21">
        <f>tabCustoUnit[[#This Row],[MODULO 1 - REMUNERAÇÃO ]]*SUMIFS(tabParametros[SESI OU SESC],tabParametros[Código do Posto],tabCustoUnit[[#This Row],[Código do Posto]])</f>
        <v>23.944106999999999</v>
      </c>
      <c r="R211" s="21">
        <f>tabCustoUnit[[#This Row],[MODULO 1 - REMUNERAÇÃO ]]*SUMIFS(tabParametros[SENAI OU SENAC],tabParametros[Código do Posto],tabCustoUnit[[#This Row],[Código do Posto]])</f>
        <v>15.962738</v>
      </c>
      <c r="S211" s="21">
        <f>tabCustoUnit[[#This Row],[MODULO 1 - REMUNERAÇÃO ]]*SUMIFS(tabParametros[INCRA],tabParametros[Código do Posto],tabCustoUnit[[#This Row],[Código do Posto]])</f>
        <v>3.1925476000000002</v>
      </c>
      <c r="T211" s="21">
        <f>tabCustoUnit[[#This Row],[MODULO 1 - REMUNERAÇÃO ]]*SUMIFS(tabParametros[Salário Educação],tabParametros[Código do Posto],tabCustoUnit[[#This Row],[Código do Posto]])</f>
        <v>39.906845000000004</v>
      </c>
      <c r="U211" s="21">
        <f>tabCustoUnit[[#This Row],[MODULO 1 - REMUNERAÇÃO ]]*SUMIFS(tabParametros[FGTS],tabParametros[Código do Posto],tabCustoUnit[[#This Row],[Código do Posto]])</f>
        <v>127.701904</v>
      </c>
      <c r="V211" s="21">
        <f>tabCustoUnit[[#This Row],[MODULO 1 - REMUNERAÇÃO ]]*SUMIFS(tabParametros[RAT Ajustado],tabParametros[Código do Posto],tabCustoUnit[[#This Row],[Código do Posto]])</f>
        <v>63.850951999999999</v>
      </c>
      <c r="W211" s="21">
        <f>tabCustoUnit[[#This Row],[MODULO 1 - REMUNERAÇÃO ]]*SUMIFS(tabParametros[SEBRAE],tabParametros[Código do Posto],tabCustoUnit[[#This Row],[Código do Posto]])</f>
        <v>9.5776427999999996</v>
      </c>
      <c r="X211" s="21">
        <f>SUM(tabCustoUnit[[#This Row],[INSS]:[SEBRAE]])</f>
        <v>603.39149640000005</v>
      </c>
      <c r="Y211" s="21">
        <f>tabCustoUnit[[#This Row],[MODULO 1 - REMUNERAÇÃO ]]*SUMIFS(tabParametros[13º salário (titular)],tabParametros[Código do Posto],tabCustoUnit[[#This Row],[Código do Posto]])</f>
        <v>133.02281666666664</v>
      </c>
      <c r="Z211" s="21">
        <f>tabCustoUnit[[#This Row],[MODULO 1 - REMUNERAÇÃO ]]*SUMIFS(tabParametros[Férias e Adicional de Férias (titular)],tabParametros[Código do Posto],tabCustoUnit[[#This Row],[Código do Posto]])</f>
        <v>177.36375555555554</v>
      </c>
      <c r="AA211" s="21">
        <f>IFERROR((tabCustoUnit[[#This Row],[Submódulo 2.1]]/tabCustoUnit[[#This Row],[MODULO 1 - REMUNERAÇÃO ]])*SUM(tabCustoUnit[[#This Row],[13º salário (titular)]:[Férias e Adicional de Férias (titular)]]),0)</f>
        <v>117.3261243</v>
      </c>
      <c r="AB211" s="21">
        <f>SUM(tabCustoUnit[[#This Row],[13º salário (titular)]:[Incidência do Submódulo 2.1 sobre 13º Salário, Férias e Adicional de Férias]])</f>
        <v>427.71269652222219</v>
      </c>
      <c r="AC211" s="22" t="e">
        <f ca="1">_xlfn.LET(_xlpm.VT,SUMIF(tabParametros[Código do Posto],tabCustoUnit[[#This Row],[Código do Posto]],tabParametros[Vale - Transporte])*2*20,
IF((_xlpm.VT-tabCustoUnit[[#This Row],[Salário Base]]*0.06)&gt;=0,(_xlpm.VT-tabCustoUnit[[#This Row],[Salário Base]]*0.06),0)
)</f>
        <v>#NAME?</v>
      </c>
      <c r="AD211" s="22">
        <f>IF(SUMIF(tabParametros[Código do Posto],tabCustoUnit[[#This Row],[Código do Posto]],tabParametros[Vale - Alimentação])&lt;=0,0,
SUMIF(tabParametros[Código do Posto],tabCustoUnit[[#This Row],[Código do Posto]],tabParametros[Vale - Alimentação])*20-1)</f>
        <v>582</v>
      </c>
      <c r="AE211" s="22">
        <f>SUMIF(tabParametros[Código do Posto],tabCustoUnit[[#This Row],[Código do Posto]],tabParametros[Cesta Básica])</f>
        <v>0</v>
      </c>
      <c r="AF211" s="22">
        <f>SUMIF(tabParametros[Código do Posto],tabCustoUnit[[#This Row],[Código do Posto]],tabParametros[PAF])</f>
        <v>0</v>
      </c>
      <c r="AG211" s="22">
        <f>SUMIF(tabParametros[Código do Posto],tabCustoUnit[[#This Row],[Código do Posto]],tabParametros[PQM])</f>
        <v>0</v>
      </c>
      <c r="AH211" s="22">
        <f>SUMIF(tabParametros[Código do Posto],tabCustoUnit[[#This Row],[Código do Posto]],tabParametros[Abono Único e Especial])</f>
        <v>0</v>
      </c>
      <c r="AI211" s="22">
        <f>SUMIF(tabParametros[Código do Posto],tabCustoUnit[[#This Row],[Código do Posto]],tabParametros[Seguro de Vida])</f>
        <v>3.36</v>
      </c>
      <c r="AJ211" s="22">
        <f>SUMIF(tabParametros[Código do Posto],tabCustoUnit[[#This Row],[Código do Posto]],tabParametros[Despesas de Viagem])</f>
        <v>0</v>
      </c>
      <c r="AK211" s="22" t="e">
        <f ca="1">SUM(tabCustoUnit[[#This Row],[Vale - Transporte (Descontada parcela do empregado)]:[Despesas de Viagem]])</f>
        <v>#NAME?</v>
      </c>
      <c r="AL211" s="22" t="e">
        <f ca="1">tabCustoUnit[[#This Row],[Submódulo 2.1]]+tabCustoUnit[[#This Row],[Submódulo 2.2]]+tabCustoUnit[[#This Row],[Submódulo 2.3]]</f>
        <v>#NAME?</v>
      </c>
      <c r="AM211" s="22">
        <f>SUMIF(tabParametros[Código do Posto],tabCustoUnit[[#This Row],[Código do Posto]],tabParametros[Aviso Prévio Indenizado (API) e Reflexo do Aviso Prévio Indenizado])*tabCustoUnit[[#This Row],[MODULO 1 - REMUNERAÇÃO ]]</f>
        <v>11.192699914390431</v>
      </c>
      <c r="AN211" s="22">
        <f>SUMIF(tabParametros[Código do Posto],tabCustoUnit[[#This Row],[Código do Posto]],tabParametros[Incidência do FGTS sobre API e Reflexo do API])*tabCustoUnit[[#This Row],[MODULO 1 - REMUNERAÇÃO ]]</f>
        <v>0.89541599315123466</v>
      </c>
      <c r="AO211" s="22">
        <f>SUMIF(tabParametros[Código do Posto],tabCustoUnit[[#This Row],[Código do Posto]],tabParametros[Multa Rescisória do FGTS sobre o Aviso Prévio Indenizado])*tabCustoUnit[[#This Row],[MODULO 1 - REMUNERAÇÃO ]]</f>
        <v>0.35816639726049387</v>
      </c>
      <c r="AP211" s="22">
        <f>SUMIF(tabParametros[Código do Posto],tabCustoUnit[[#This Row],[Código do Posto]],tabParametros[Aviso Prévio Trabalhado - APT])*tabCustoUnit[[#This Row],[MODULO 1 - REMUNERAÇÃO ]]</f>
        <v>5.5869583000000009</v>
      </c>
      <c r="AQ211" s="22">
        <f>SUMIF(tabParametros[Código do Posto],tabCustoUnit[[#This Row],[Código do Posto]],tabParametros[Incidência dos encargos do submódulo 2.1 sobre Aviso Prévio Trabalhado])*tabCustoUnit[[#This Row],[MODULO 1 - REMUNERAÇÃO ]]</f>
        <v>2.1118702374000007</v>
      </c>
      <c r="AR211" s="22">
        <f>SUMIF(tabParametros[Código do Posto],tabCustoUnit[[#This Row],[Código do Posto]],tabParametros[Multa Rescisória do FGTS])*tabCustoUnit[[#This Row],[MODULO 1 - REMUNERAÇÃO ]]</f>
        <v>48.810505528888882</v>
      </c>
      <c r="AS211" s="22">
        <f>SUMIF(tabParametros[Código do Posto],tabCustoUnit[[#This Row],[Código do Posto]],tabParametros[Indenização Adicional (Art. 9º da Lei nº 7.238/84)])*tabCustoUnit[[#This Row],[MODULO 1 - REMUNERAÇÃO ]]</f>
        <v>1.3302281666666667</v>
      </c>
      <c r="AT211" s="22">
        <f>SUM(tabCustoUnit[[#This Row],[Aviso Prévio Indenizado (API) e Reflexo do Aviso Prévio Indenizado]:[Indenização Adicional (Art. 9º da Lei nº 7.238/84)]])</f>
        <v>70.285844537757711</v>
      </c>
      <c r="AU211" s="22">
        <f>SUMIF(tabParametros[Código do Posto],tabCustoUnit[[#This Row],[Código do Posto]],tabParametros[Ausência por Doença])*tabCustoUnit[[#This Row],[MODULO 1 - REMUNERAÇÃO ]]</f>
        <v>13.479645422222221</v>
      </c>
      <c r="AV211" s="22">
        <f>SUMIF(tabParametros[Código do Posto],tabCustoUnit[[#This Row],[Código do Posto]],tabParametros[Ausências Legais])*tabCustoUnit[[#This Row],[MODULO 1 - REMUNERAÇÃO ]]</f>
        <v>3.2368885388888886</v>
      </c>
      <c r="AW211" s="22">
        <f>SUMIF(tabParametros[Código do Posto],tabCustoUnit[[#This Row],[Código do Posto]],tabParametros[Licença Paternidade])*tabCustoUnit[[#This Row],[MODULO 1 - REMUNERAÇÃO ]]</f>
        <v>0.27269677416666666</v>
      </c>
      <c r="AX211" s="22">
        <f>SUMIF(tabParametros[Código do Posto],tabCustoUnit[[#This Row],[Código do Posto]],tabParametros[Ausência por Acidente de Trabalho])*tabCustoUnit[[#This Row],[MODULO 1 - REMUNERAÇÃO ]]</f>
        <v>0.33255704166666666</v>
      </c>
      <c r="AY211" s="22">
        <f>SUMIF(tabParametros[Código do Posto],tabCustoUnit[[#This Row],[Código do Posto]],tabParametros[Férias, Adicional de Férias e 13º  com empregada em gozo de Licença Maternidade])*tabCustoUnit[[#This Row],[MODULO 1 - REMUNERAÇÃO ]]</f>
        <v>2.0692438148148145</v>
      </c>
      <c r="AZ211" s="22">
        <f>SUMIF(tabParametros[Código do Posto],tabCustoUnit[[#This Row],[Código do Posto]],tabParametros[Incidência do Submódulo 2.1 sobre Ausências Legais])*tabCustoUnit[[#This Row],[MODULO 1 - REMUNERAÇÃO ]]</f>
        <v>7.3298099416850011</v>
      </c>
      <c r="BA211" s="22">
        <f>SUM(tabCustoUnit[[#This Row],[Ausência por Doença]:[Incidência do Submódulo 2.1 sobre Ausências Legais]])</f>
        <v>26.720841533444265</v>
      </c>
      <c r="BB211" s="22">
        <f>SUMIF(tabParametros[Código do Posto],tabCustoUnit[[#This Row],[Código do Posto]],tabParametros[Intervalo para Repouso ou Alimentação])</f>
        <v>0</v>
      </c>
      <c r="BC211" s="22">
        <f>tabCustoUnit[[#This Row],[Intervalo para Repouso ou Alimentação]]</f>
        <v>0</v>
      </c>
      <c r="BD21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1" s="22">
        <f>tabCustoUnit[[#This Row],[Suspensão Temporária do Contrato de Trabalho]]</f>
        <v>0</v>
      </c>
      <c r="BF211" s="22">
        <f>tabCustoUnit[[#This Row],[Submódulo 4.1]]+tabCustoUnit[[#This Row],[Submódulo 4.2]]+tabCustoUnit[[#This Row],[Submódulo 4.3]]</f>
        <v>26.720841533444265</v>
      </c>
      <c r="BG211" s="22">
        <f>VLOOKUP(tabCustoUnit[[#This Row],[Código do Posto]],tabParametros[],MATCH(tabCustoUnit[[#Headers],[Uniformes e EPIs]],tabParametros[#Headers],0),0)</f>
        <v>56.141713661989918</v>
      </c>
      <c r="BH211" s="22">
        <f>VLOOKUP(tabCustoUnit[[#This Row],[Código do Posto]],tabParametros[],MATCH(tabCustoUnit[[#Headers],[Materiais de Consumo]],tabParametros[#Headers],0),0)</f>
        <v>0</v>
      </c>
      <c r="BI211" s="22">
        <f>VLOOKUP(tabCustoUnit[[#This Row],[Código do Posto]],tabParametros[],MATCH(tabCustoUnit[[#Headers],[Máquinas e Equipamentos (depreciação)]],tabParametros[#Headers],0),0)</f>
        <v>0</v>
      </c>
      <c r="BJ211" s="22">
        <f>VLOOKUP(tabCustoUnit[[#This Row],[Código do Posto]],tabParametros[],MATCH(tabCustoUnit[[#Headers],[Produtos de Limpeza e Materiais de Higiene Pessoal]],tabParametros[#Headers],0),0)</f>
        <v>0</v>
      </c>
      <c r="BK211" s="22">
        <f>VLOOKUP(tabCustoUnit[[#This Row],[Código do Posto]],tabParametros[],MATCH(tabCustoUnit[[#Headers],[Outros (especificar)]],tabParametros[#Headers],0),0)</f>
        <v>0</v>
      </c>
      <c r="BL211" s="22">
        <f>SUM(tabCustoUnit[[#This Row],[Uniformes e EPIs]:[Outros (especificar)]])</f>
        <v>56.141713661989918</v>
      </c>
      <c r="BM21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1" s="22" t="e">
        <f ca="1">VLOOKUP(tabCustoUnit[[#This Row],[Código do Posto]],tabParametros[],MATCH(tabCustoUnit[[#Headers],[Custos Indiretos]],tabParametros[#Headers],0),0)</f>
        <v>#NAME?</v>
      </c>
      <c r="BO211" s="22" t="e">
        <f ca="1">VLOOKUP(tabCustoUnit[[#This Row],[Código do Posto]],tabParametros[],MATCH(tabCustoUnit[[#Headers],[Lucro]],tabParametros[#Headers],0),0)</f>
        <v>#NAME?</v>
      </c>
      <c r="BP211" s="26">
        <f>((100/((1-tabCustoUnit[[#This Row],[Resumo de Alíquotas (PIS+CONFINS+ISS)]]))-100)*VLOOKUP(tabCustoUnit[[#This Row],[Código do Posto]],tabParametros[],MATCH(tabCustoUnit[[#Headers],[COFINS]],tabParametros[#Headers],0),0))/(tabCustoUnit[[#This Row],[Resumo de Alíquotas (PIS+CONFINS+ISS)]]*100)</f>
        <v>8.5633802816901458E-2</v>
      </c>
      <c r="BQ211" s="26">
        <f>((100/((100-(tabCustoUnit[[#This Row],[Resumo de Alíquotas (PIS+CONFINS+ISS)]]*100))%)-100)*VLOOKUP(tabCustoUnit[[#This Row],[Código do Posto]],tabParametros[],MATCH(tabCustoUnit[[#Headers],[PIS]],tabParametros[#Headers],0),0))/(tabCustoUnit[[#This Row],[Resumo de Alíquotas (PIS+CONFINS+ISS)]]*100)</f>
        <v>1.8591549295774657E-2</v>
      </c>
      <c r="BR211" s="28">
        <f>VLOOKUP(tabCustoUnit[[#This Row],[Código do Posto]],tabParametros[],MATCH(tabCustoUnit[[#Headers],[ISS]],tabParametros[#Headers],0),0)</f>
        <v>0.02</v>
      </c>
      <c r="BS211" s="26">
        <f>(((100/((100-(tabCustoUnit[[#This Row],[Resumo de Alíquotas (PIS+CONFINS+ISS)]]*100))%)-100)*tabCustoUnit[[#This Row],[ISS]])/tabCustoUnit[[#This Row],[Resumo de Alíquotas (PIS+CONFINS+ISS)]])/100</f>
        <v>2.2535211267605645E-2</v>
      </c>
      <c r="BT21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11" s="138">
        <f>tabCustoUnit[[#This Row],[COFINS]]+tabCustoUnit[[#This Row],[PIS]]+tabCustoUnit[[#This Row],[ISS (Conversão Alíquota s/ fatura)]]</f>
        <v>0.12676056338028174</v>
      </c>
      <c r="BV211" s="22" t="e">
        <f ca="1">(tabCustoUnit[[#This Row],[TOTAL MÓDULOS 1+2+3+4+5]]+tabCustoUnit[[#This Row],[Custos Indiretos]]+tabCustoUnit[[#This Row],[Lucro]])*tabCustoUnit[[#This Row],[PIS + COFINS + ISS (Total Conversão  Alíquota s/ Fatura)]]</f>
        <v>#NAME?</v>
      </c>
      <c r="BW211" s="22" t="e">
        <f ca="1">tabCustoUnit[[#This Row],[Custos Indiretos]]+tabCustoUnit[[#This Row],[Lucro]]+tabCustoUnit[[#This Row],[Valor dos Tributos (ISS, PIS, CONFINS)]]</f>
        <v>#NAME?</v>
      </c>
      <c r="BX211" s="22" t="e">
        <f ca="1">tabCustoUnit[[#This Row],[TOTAL MÓDULOS 1+2+3+4+5]]+tabCustoUnit[[#This Row],[MÓDULO 6 – CUSTOS INDIRETOS, TRIBUTOS E LUCRO]]</f>
        <v>#NAME?</v>
      </c>
      <c r="BY211" s="22" t="e">
        <f ca="1">tabCustoUnit[[#This Row],[CUSTO TOTAL MENSAL]]*12</f>
        <v>#NAME?</v>
      </c>
      <c r="BZ211" s="24">
        <f>VLOOKUP(tabCustoUnit[[#This Row],[Código do Posto]],tabParametros[],MATCH(tabCustoUnit[[#Headers],[ANO DA CCT]],tabParametros[#Headers],0),0)</f>
        <v>45658</v>
      </c>
      <c r="CA211" s="25" t="str">
        <f>VLOOKUP(tabCustoUnit[[#This Row],[Código do Posto]],tabParametros[],MATCH(tabCustoUnit[[#Headers],[Nº DE PEDIDO DA CCT]],tabParametros[#Headers],0),0)</f>
        <v>-</v>
      </c>
      <c r="CB211" s="25" t="str">
        <f>VLOOKUP(tabCustoUnit[[#This Row],[Código do Posto]],tabParametros[],MATCH(tabCustoUnit[[#Headers],[TERMO ADITIVO ALTERAÇÃO DA CCT]],tabParametros[#Headers],0),0)</f>
        <v>-</v>
      </c>
    </row>
    <row r="212" spans="1:80">
      <c r="A212" s="20" t="s">
        <v>1645</v>
      </c>
      <c r="B212" t="s">
        <v>1163</v>
      </c>
      <c r="C212" t="s">
        <v>324</v>
      </c>
      <c r="D212" t="s">
        <v>957</v>
      </c>
      <c r="E212" s="20" t="s">
        <v>1090</v>
      </c>
      <c r="F212" s="20" t="s">
        <v>120</v>
      </c>
      <c r="G212" s="418">
        <v>3397.1306</v>
      </c>
      <c r="H212" s="418">
        <v>0</v>
      </c>
      <c r="I212" s="418">
        <v>0</v>
      </c>
      <c r="J212" s="418">
        <v>0</v>
      </c>
      <c r="K212" s="418">
        <v>0</v>
      </c>
      <c r="L212" s="418">
        <v>0</v>
      </c>
      <c r="M212" s="418">
        <v>0</v>
      </c>
      <c r="N212" s="418">
        <v>0</v>
      </c>
      <c r="O212" s="21">
        <f>SUM(tabCustoUnit[[#This Row],[Salário Base]:[Adicional de Acúmulo de função]])</f>
        <v>3397.1306</v>
      </c>
      <c r="P212" s="21">
        <f>tabCustoUnit[[#This Row],[MODULO 1 - REMUNERAÇÃO ]]*SUMIFS(tabParametros[INSS],tabParametros[Código do Posto],tabCustoUnit[[#This Row],[Código do Posto]])</f>
        <v>679.42612000000008</v>
      </c>
      <c r="Q212" s="21">
        <f>tabCustoUnit[[#This Row],[MODULO 1 - REMUNERAÇÃO ]]*SUMIFS(tabParametros[SESI OU SESC],tabParametros[Código do Posto],tabCustoUnit[[#This Row],[Código do Posto]])</f>
        <v>50.956958999999998</v>
      </c>
      <c r="R212" s="21">
        <f>tabCustoUnit[[#This Row],[MODULO 1 - REMUNERAÇÃO ]]*SUMIFS(tabParametros[SENAI OU SENAC],tabParametros[Código do Posto],tabCustoUnit[[#This Row],[Código do Posto]])</f>
        <v>33.971305999999998</v>
      </c>
      <c r="S212" s="21">
        <f>tabCustoUnit[[#This Row],[MODULO 1 - REMUNERAÇÃO ]]*SUMIFS(tabParametros[INCRA],tabParametros[Código do Posto],tabCustoUnit[[#This Row],[Código do Posto]])</f>
        <v>6.7942612000000002</v>
      </c>
      <c r="T212" s="21">
        <f>tabCustoUnit[[#This Row],[MODULO 1 - REMUNERAÇÃO ]]*SUMIFS(tabParametros[Salário Educação],tabParametros[Código do Posto],tabCustoUnit[[#This Row],[Código do Posto]])</f>
        <v>84.92826500000001</v>
      </c>
      <c r="U212" s="21">
        <f>tabCustoUnit[[#This Row],[MODULO 1 - REMUNERAÇÃO ]]*SUMIFS(tabParametros[FGTS],tabParametros[Código do Posto],tabCustoUnit[[#This Row],[Código do Posto]])</f>
        <v>271.77044799999999</v>
      </c>
      <c r="V212" s="21">
        <f>tabCustoUnit[[#This Row],[MODULO 1 - REMUNERAÇÃO ]]*SUMIFS(tabParametros[RAT Ajustado],tabParametros[Código do Posto],tabCustoUnit[[#This Row],[Código do Posto]])</f>
        <v>135.88522399999999</v>
      </c>
      <c r="W212" s="21">
        <f>tabCustoUnit[[#This Row],[MODULO 1 - REMUNERAÇÃO ]]*SUMIFS(tabParametros[SEBRAE],tabParametros[Código do Posto],tabCustoUnit[[#This Row],[Código do Posto]])</f>
        <v>20.3827836</v>
      </c>
      <c r="X212" s="21">
        <f>SUM(tabCustoUnit[[#This Row],[INSS]:[SEBRAE]])</f>
        <v>1284.1153668000002</v>
      </c>
      <c r="Y212" s="21">
        <f>tabCustoUnit[[#This Row],[MODULO 1 - REMUNERAÇÃO ]]*SUMIFS(tabParametros[13º salário (titular)],tabParametros[Código do Posto],tabCustoUnit[[#This Row],[Código do Posto]])</f>
        <v>283.09421666666663</v>
      </c>
      <c r="Z212" s="21">
        <f>tabCustoUnit[[#This Row],[MODULO 1 - REMUNERAÇÃO ]]*SUMIFS(tabParametros[Férias e Adicional de Férias (titular)],tabParametros[Código do Posto],tabCustoUnit[[#This Row],[Código do Posto]])</f>
        <v>377.45895555555552</v>
      </c>
      <c r="AA212" s="21">
        <f>IFERROR((tabCustoUnit[[#This Row],[Submódulo 2.1]]/tabCustoUnit[[#This Row],[MODULO 1 - REMUNERAÇÃO ]])*SUM(tabCustoUnit[[#This Row],[13º salário (titular)]:[Férias e Adicional de Férias (titular)]]),0)</f>
        <v>249.68909910000002</v>
      </c>
      <c r="AB212" s="21">
        <f>SUM(tabCustoUnit[[#This Row],[13º salário (titular)]:[Incidência do Submódulo 2.1 sobre 13º Salário, Férias e Adicional de Férias]])</f>
        <v>910.24227132222222</v>
      </c>
      <c r="AC212" s="22" t="e">
        <f ca="1">_xlfn.LET(_xlpm.VT,SUMIF(tabParametros[Código do Posto],tabCustoUnit[[#This Row],[Código do Posto]],tabParametros[Vale - Transporte])*2*20,
IF((_xlpm.VT-tabCustoUnit[[#This Row],[Salário Base]]*0.06)&gt;=0,(_xlpm.VT-tabCustoUnit[[#This Row],[Salário Base]]*0.06),0)
)</f>
        <v>#NAME?</v>
      </c>
      <c r="AD212" s="22">
        <f>IF(SUMIF(tabParametros[Código do Posto],tabCustoUnit[[#This Row],[Código do Posto]],tabParametros[Vale - Alimentação])&lt;=0,0,
SUMIF(tabParametros[Código do Posto],tabCustoUnit[[#This Row],[Código do Posto]],tabParametros[Vale - Alimentação])*20-1)</f>
        <v>582</v>
      </c>
      <c r="AE212" s="22">
        <f>SUMIF(tabParametros[Código do Posto],tabCustoUnit[[#This Row],[Código do Posto]],tabParametros[Cesta Básica])</f>
        <v>0</v>
      </c>
      <c r="AF212" s="22">
        <f>SUMIF(tabParametros[Código do Posto],tabCustoUnit[[#This Row],[Código do Posto]],tabParametros[PAF])</f>
        <v>0</v>
      </c>
      <c r="AG212" s="22">
        <f>SUMIF(tabParametros[Código do Posto],tabCustoUnit[[#This Row],[Código do Posto]],tabParametros[PQM])</f>
        <v>0</v>
      </c>
      <c r="AH212" s="22">
        <f>SUMIF(tabParametros[Código do Posto],tabCustoUnit[[#This Row],[Código do Posto]],tabParametros[Abono Único e Especial])</f>
        <v>0</v>
      </c>
      <c r="AI212" s="22">
        <f>SUMIF(tabParametros[Código do Posto],tabCustoUnit[[#This Row],[Código do Posto]],tabParametros[Seguro de Vida])</f>
        <v>3.36</v>
      </c>
      <c r="AJ212" s="22">
        <f>SUMIF(tabParametros[Código do Posto],tabCustoUnit[[#This Row],[Código do Posto]],tabParametros[Despesas de Viagem])</f>
        <v>0</v>
      </c>
      <c r="AK212" s="22" t="e">
        <f ca="1">SUM(tabCustoUnit[[#This Row],[Vale - Transporte (Descontada parcela do empregado)]:[Despesas de Viagem]])</f>
        <v>#NAME?</v>
      </c>
      <c r="AL212" s="22" t="e">
        <f ca="1">tabCustoUnit[[#This Row],[Submódulo 2.1]]+tabCustoUnit[[#This Row],[Submódulo 2.2]]+tabCustoUnit[[#This Row],[Submódulo 2.3]]</f>
        <v>#NAME?</v>
      </c>
      <c r="AM212" s="22">
        <f>SUMIF(tabParametros[Código do Posto],tabCustoUnit[[#This Row],[Código do Posto]],tabParametros[Aviso Prévio Indenizado (API) e Reflexo do Aviso Prévio Indenizado])*tabCustoUnit[[#This Row],[MODULO 1 - REMUNERAÇÃO ]]</f>
        <v>23.819888151890432</v>
      </c>
      <c r="AN212" s="22">
        <f>SUMIF(tabParametros[Código do Posto],tabCustoUnit[[#This Row],[Código do Posto]],tabParametros[Incidência do FGTS sobre API e Reflexo do API])*tabCustoUnit[[#This Row],[MODULO 1 - REMUNERAÇÃO ]]</f>
        <v>1.9055910521512347</v>
      </c>
      <c r="AO212" s="22">
        <f>SUMIF(tabParametros[Código do Posto],tabCustoUnit[[#This Row],[Código do Posto]],tabParametros[Multa Rescisória do FGTS sobre o Aviso Prévio Indenizado])*tabCustoUnit[[#This Row],[MODULO 1 - REMUNERAÇÃO ]]</f>
        <v>0.76223642086049392</v>
      </c>
      <c r="AP212" s="22">
        <f>SUMIF(tabParametros[Código do Posto],tabCustoUnit[[#This Row],[Código do Posto]],tabParametros[Aviso Prévio Trabalhado - APT])*tabCustoUnit[[#This Row],[MODULO 1 - REMUNERAÇÃO ]]</f>
        <v>11.889957100000002</v>
      </c>
      <c r="AQ212" s="22">
        <f>SUMIF(tabParametros[Código do Posto],tabCustoUnit[[#This Row],[Código do Posto]],tabParametros[Incidência dos encargos do submódulo 2.1 sobre Aviso Prévio Trabalhado])*tabCustoUnit[[#This Row],[MODULO 1 - REMUNERAÇÃO ]]</f>
        <v>4.4944037838000011</v>
      </c>
      <c r="AR212" s="22">
        <f>SUMIF(tabParametros[Código do Posto],tabCustoUnit[[#This Row],[Código do Posto]],tabParametros[Multa Rescisória do FGTS])*tabCustoUnit[[#This Row],[MODULO 1 - REMUNERAÇÃO ]]</f>
        <v>103.87670456888887</v>
      </c>
      <c r="AS212" s="22">
        <f>SUMIF(tabParametros[Código do Posto],tabCustoUnit[[#This Row],[Código do Posto]],tabParametros[Indenização Adicional (Art. 9º da Lei nº 7.238/84)])*tabCustoUnit[[#This Row],[MODULO 1 - REMUNERAÇÃO ]]</f>
        <v>2.830942166666667</v>
      </c>
      <c r="AT212" s="22">
        <f>SUM(tabCustoUnit[[#This Row],[Aviso Prévio Indenizado (API) e Reflexo do Aviso Prévio Indenizado]:[Indenização Adicional (Art. 9º da Lei nº 7.238/84)]])</f>
        <v>149.57972324425771</v>
      </c>
      <c r="AU212" s="22">
        <f>SUMIF(tabParametros[Código do Posto],tabCustoUnit[[#This Row],[Código do Posto]],tabParametros[Ausência por Doença])*tabCustoUnit[[#This Row],[MODULO 1 - REMUNERAÇÃO ]]</f>
        <v>28.686880622222219</v>
      </c>
      <c r="AV212" s="22">
        <f>SUMIF(tabParametros[Código do Posto],tabCustoUnit[[#This Row],[Código do Posto]],tabParametros[Ausências Legais])*tabCustoUnit[[#This Row],[MODULO 1 - REMUNERAÇÃO ]]</f>
        <v>6.8886259388888886</v>
      </c>
      <c r="AW212" s="22">
        <f>SUMIF(tabParametros[Código do Posto],tabCustoUnit[[#This Row],[Código do Posto]],tabParametros[Licença Paternidade])*tabCustoUnit[[#This Row],[MODULO 1 - REMUNERAÇÃO ]]</f>
        <v>0.58034314416666666</v>
      </c>
      <c r="AX212" s="22">
        <f>SUMIF(tabParametros[Código do Posto],tabCustoUnit[[#This Row],[Código do Posto]],tabParametros[Ausência por Acidente de Trabalho])*tabCustoUnit[[#This Row],[MODULO 1 - REMUNERAÇÃO ]]</f>
        <v>0.70773554166666675</v>
      </c>
      <c r="AY212" s="22">
        <f>SUMIF(tabParametros[Código do Posto],tabCustoUnit[[#This Row],[Código do Posto]],tabParametros[Férias, Adicional de Férias e 13º  com empregada em gozo de Licença Maternidade])*tabCustoUnit[[#This Row],[MODULO 1 - REMUNERAÇÃO ]]</f>
        <v>4.4036878148148144</v>
      </c>
      <c r="AZ212" s="22">
        <f>SUMIF(tabParametros[Código do Posto],tabCustoUnit[[#This Row],[Código do Posto]],tabParametros[Incidência do Submódulo 2.1 sobre Ausências Legais])*tabCustoUnit[[#This Row],[MODULO 1 - REMUNERAÇÃO ]]</f>
        <v>15.599029217345002</v>
      </c>
      <c r="BA212" s="22">
        <f>SUM(tabCustoUnit[[#This Row],[Ausência por Doença]:[Incidência do Submódulo 2.1 sobre Ausências Legais]])</f>
        <v>56.866302279104261</v>
      </c>
      <c r="BB212" s="22">
        <f>SUMIF(tabParametros[Código do Posto],tabCustoUnit[[#This Row],[Código do Posto]],tabParametros[Intervalo para Repouso ou Alimentação])</f>
        <v>0</v>
      </c>
      <c r="BC212" s="22">
        <f>tabCustoUnit[[#This Row],[Intervalo para Repouso ou Alimentação]]</f>
        <v>0</v>
      </c>
      <c r="BD21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2" s="22">
        <f>tabCustoUnit[[#This Row],[Suspensão Temporária do Contrato de Trabalho]]</f>
        <v>0</v>
      </c>
      <c r="BF212" s="22">
        <f>tabCustoUnit[[#This Row],[Submódulo 4.1]]+tabCustoUnit[[#This Row],[Submódulo 4.2]]+tabCustoUnit[[#This Row],[Submódulo 4.3]]</f>
        <v>56.866302279104261</v>
      </c>
      <c r="BG212" s="22">
        <f>VLOOKUP(tabCustoUnit[[#This Row],[Código do Posto]],tabParametros[],MATCH(tabCustoUnit[[#Headers],[Uniformes e EPIs]],tabParametros[#Headers],0),0)</f>
        <v>56.642978962543395</v>
      </c>
      <c r="BH212" s="22">
        <f>VLOOKUP(tabCustoUnit[[#This Row],[Código do Posto]],tabParametros[],MATCH(tabCustoUnit[[#Headers],[Materiais de Consumo]],tabParametros[#Headers],0),0)</f>
        <v>0</v>
      </c>
      <c r="BI212" s="22">
        <f>VLOOKUP(tabCustoUnit[[#This Row],[Código do Posto]],tabParametros[],MATCH(tabCustoUnit[[#Headers],[Máquinas e Equipamentos (depreciação)]],tabParametros[#Headers],0),0)</f>
        <v>0</v>
      </c>
      <c r="BJ212" s="22">
        <f>VLOOKUP(tabCustoUnit[[#This Row],[Código do Posto]],tabParametros[],MATCH(tabCustoUnit[[#Headers],[Produtos de Limpeza e Materiais de Higiene Pessoal]],tabParametros[#Headers],0),0)</f>
        <v>0</v>
      </c>
      <c r="BK212" s="22">
        <f>VLOOKUP(tabCustoUnit[[#This Row],[Código do Posto]],tabParametros[],MATCH(tabCustoUnit[[#Headers],[Outros (especificar)]],tabParametros[#Headers],0),0)</f>
        <v>0</v>
      </c>
      <c r="BL212" s="22">
        <f>SUM(tabCustoUnit[[#This Row],[Uniformes e EPIs]:[Outros (especificar)]])</f>
        <v>56.642978962543395</v>
      </c>
      <c r="BM21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2" s="22" t="e">
        <f ca="1">VLOOKUP(tabCustoUnit[[#This Row],[Código do Posto]],tabParametros[],MATCH(tabCustoUnit[[#Headers],[Custos Indiretos]],tabParametros[#Headers],0),0)</f>
        <v>#NAME?</v>
      </c>
      <c r="BO212" s="22" t="e">
        <f ca="1">VLOOKUP(tabCustoUnit[[#This Row],[Código do Posto]],tabParametros[],MATCH(tabCustoUnit[[#Headers],[Lucro]],tabParametros[#Headers],0),0)</f>
        <v>#NAME?</v>
      </c>
      <c r="BP212" s="26">
        <f>((100/((1-tabCustoUnit[[#This Row],[Resumo de Alíquotas (PIS+CONFINS+ISS)]]))-100)*VLOOKUP(tabCustoUnit[[#This Row],[Código do Posto]],tabParametros[],MATCH(tabCustoUnit[[#Headers],[COFINS]],tabParametros[#Headers],0),0))/(tabCustoUnit[[#This Row],[Resumo de Alíquotas (PIS+CONFINS+ISS)]]*100)</f>
        <v>8.5633802816901458E-2</v>
      </c>
      <c r="BQ212" s="26">
        <f>((100/((100-(tabCustoUnit[[#This Row],[Resumo de Alíquotas (PIS+CONFINS+ISS)]]*100))%)-100)*VLOOKUP(tabCustoUnit[[#This Row],[Código do Posto]],tabParametros[],MATCH(tabCustoUnit[[#Headers],[PIS]],tabParametros[#Headers],0),0))/(tabCustoUnit[[#This Row],[Resumo de Alíquotas (PIS+CONFINS+ISS)]]*100)</f>
        <v>1.8591549295774657E-2</v>
      </c>
      <c r="BR212" s="28">
        <f>VLOOKUP(tabCustoUnit[[#This Row],[Código do Posto]],tabParametros[],MATCH(tabCustoUnit[[#Headers],[ISS]],tabParametros[#Headers],0),0)</f>
        <v>0.02</v>
      </c>
      <c r="BS212" s="26">
        <f>(((100/((100-(tabCustoUnit[[#This Row],[Resumo de Alíquotas (PIS+CONFINS+ISS)]]*100))%)-100)*tabCustoUnit[[#This Row],[ISS]])/tabCustoUnit[[#This Row],[Resumo de Alíquotas (PIS+CONFINS+ISS)]])/100</f>
        <v>2.2535211267605645E-2</v>
      </c>
      <c r="BT21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12" s="138">
        <f>tabCustoUnit[[#This Row],[COFINS]]+tabCustoUnit[[#This Row],[PIS]]+tabCustoUnit[[#This Row],[ISS (Conversão Alíquota s/ fatura)]]</f>
        <v>0.12676056338028174</v>
      </c>
      <c r="BV212" s="22" t="e">
        <f ca="1">(tabCustoUnit[[#This Row],[TOTAL MÓDULOS 1+2+3+4+5]]+tabCustoUnit[[#This Row],[Custos Indiretos]]+tabCustoUnit[[#This Row],[Lucro]])*tabCustoUnit[[#This Row],[PIS + COFINS + ISS (Total Conversão  Alíquota s/ Fatura)]]</f>
        <v>#NAME?</v>
      </c>
      <c r="BW212" s="22" t="e">
        <f ca="1">tabCustoUnit[[#This Row],[Custos Indiretos]]+tabCustoUnit[[#This Row],[Lucro]]+tabCustoUnit[[#This Row],[Valor dos Tributos (ISS, PIS, CONFINS)]]</f>
        <v>#NAME?</v>
      </c>
      <c r="BX212" s="22" t="e">
        <f ca="1">tabCustoUnit[[#This Row],[TOTAL MÓDULOS 1+2+3+4+5]]+tabCustoUnit[[#This Row],[MÓDULO 6 – CUSTOS INDIRETOS, TRIBUTOS E LUCRO]]</f>
        <v>#NAME?</v>
      </c>
      <c r="BY212" s="22" t="e">
        <f ca="1">tabCustoUnit[[#This Row],[CUSTO TOTAL MENSAL]]*12</f>
        <v>#NAME?</v>
      </c>
      <c r="BZ212" s="24">
        <f>VLOOKUP(tabCustoUnit[[#This Row],[Código do Posto]],tabParametros[],MATCH(tabCustoUnit[[#Headers],[ANO DA CCT]],tabParametros[#Headers],0),0)</f>
        <v>45658</v>
      </c>
      <c r="CA212" s="25" t="str">
        <f>VLOOKUP(tabCustoUnit[[#This Row],[Código do Posto]],tabParametros[],MATCH(tabCustoUnit[[#Headers],[Nº DE PEDIDO DA CCT]],tabParametros[#Headers],0),0)</f>
        <v>-</v>
      </c>
      <c r="CB212" s="25" t="str">
        <f>VLOOKUP(tabCustoUnit[[#This Row],[Código do Posto]],tabParametros[],MATCH(tabCustoUnit[[#Headers],[TERMO ADITIVO ALTERAÇÃO DA CCT]],tabParametros[#Headers],0),0)</f>
        <v>-</v>
      </c>
    </row>
    <row r="213" spans="1:80">
      <c r="A213" s="20" t="s">
        <v>1493</v>
      </c>
      <c r="B213" t="s">
        <v>1164</v>
      </c>
      <c r="C213" t="s">
        <v>200</v>
      </c>
      <c r="D213" t="s">
        <v>918</v>
      </c>
      <c r="E213" s="20" t="s">
        <v>1090</v>
      </c>
      <c r="F213" s="20" t="s">
        <v>120</v>
      </c>
      <c r="G213" s="418">
        <v>1596.2737999999999</v>
      </c>
      <c r="H213" s="418">
        <v>0</v>
      </c>
      <c r="I213" s="418">
        <v>0</v>
      </c>
      <c r="J213" s="418">
        <v>0</v>
      </c>
      <c r="K213" s="418">
        <v>0</v>
      </c>
      <c r="L213" s="418">
        <v>0</v>
      </c>
      <c r="M213" s="418">
        <v>0</v>
      </c>
      <c r="N213" s="418">
        <v>0</v>
      </c>
      <c r="O213" s="21">
        <f>SUM(tabCustoUnit[[#This Row],[Salário Base]:[Adicional de Acúmulo de função]])</f>
        <v>1596.2737999999999</v>
      </c>
      <c r="P213" s="21">
        <f>tabCustoUnit[[#This Row],[MODULO 1 - REMUNERAÇÃO ]]*SUMIFS(tabParametros[INSS],tabParametros[Código do Posto],tabCustoUnit[[#This Row],[Código do Posto]])</f>
        <v>319.25476000000003</v>
      </c>
      <c r="Q213" s="21">
        <f>tabCustoUnit[[#This Row],[MODULO 1 - REMUNERAÇÃO ]]*SUMIFS(tabParametros[SESI OU SESC],tabParametros[Código do Posto],tabCustoUnit[[#This Row],[Código do Posto]])</f>
        <v>23.944106999999999</v>
      </c>
      <c r="R213" s="21">
        <f>tabCustoUnit[[#This Row],[MODULO 1 - REMUNERAÇÃO ]]*SUMIFS(tabParametros[SENAI OU SENAC],tabParametros[Código do Posto],tabCustoUnit[[#This Row],[Código do Posto]])</f>
        <v>15.962738</v>
      </c>
      <c r="S213" s="21">
        <f>tabCustoUnit[[#This Row],[MODULO 1 - REMUNERAÇÃO ]]*SUMIFS(tabParametros[INCRA],tabParametros[Código do Posto],tabCustoUnit[[#This Row],[Código do Posto]])</f>
        <v>3.1925476000000002</v>
      </c>
      <c r="T213" s="21">
        <f>tabCustoUnit[[#This Row],[MODULO 1 - REMUNERAÇÃO ]]*SUMIFS(tabParametros[Salário Educação],tabParametros[Código do Posto],tabCustoUnit[[#This Row],[Código do Posto]])</f>
        <v>39.906845000000004</v>
      </c>
      <c r="U213" s="21">
        <f>tabCustoUnit[[#This Row],[MODULO 1 - REMUNERAÇÃO ]]*SUMIFS(tabParametros[FGTS],tabParametros[Código do Posto],tabCustoUnit[[#This Row],[Código do Posto]])</f>
        <v>127.701904</v>
      </c>
      <c r="V213" s="21">
        <f>tabCustoUnit[[#This Row],[MODULO 1 - REMUNERAÇÃO ]]*SUMIFS(tabParametros[RAT Ajustado],tabParametros[Código do Posto],tabCustoUnit[[#This Row],[Código do Posto]])</f>
        <v>63.850951999999999</v>
      </c>
      <c r="W213" s="21">
        <f>tabCustoUnit[[#This Row],[MODULO 1 - REMUNERAÇÃO ]]*SUMIFS(tabParametros[SEBRAE],tabParametros[Código do Posto],tabCustoUnit[[#This Row],[Código do Posto]])</f>
        <v>9.5776427999999996</v>
      </c>
      <c r="X213" s="21">
        <f>SUM(tabCustoUnit[[#This Row],[INSS]:[SEBRAE]])</f>
        <v>603.39149640000005</v>
      </c>
      <c r="Y213" s="21">
        <f>tabCustoUnit[[#This Row],[MODULO 1 - REMUNERAÇÃO ]]*SUMIFS(tabParametros[13º salário (titular)],tabParametros[Código do Posto],tabCustoUnit[[#This Row],[Código do Posto]])</f>
        <v>133.02281666666664</v>
      </c>
      <c r="Z213" s="21">
        <f>tabCustoUnit[[#This Row],[MODULO 1 - REMUNERAÇÃO ]]*SUMIFS(tabParametros[Férias e Adicional de Férias (titular)],tabParametros[Código do Posto],tabCustoUnit[[#This Row],[Código do Posto]])</f>
        <v>177.36375555555554</v>
      </c>
      <c r="AA213" s="21">
        <f>IFERROR((tabCustoUnit[[#This Row],[Submódulo 2.1]]/tabCustoUnit[[#This Row],[MODULO 1 - REMUNERAÇÃO ]])*SUM(tabCustoUnit[[#This Row],[13º salário (titular)]:[Férias e Adicional de Férias (titular)]]),0)</f>
        <v>117.3261243</v>
      </c>
      <c r="AB213" s="21">
        <f>SUM(tabCustoUnit[[#This Row],[13º salário (titular)]:[Incidência do Submódulo 2.1 sobre 13º Salário, Férias e Adicional de Férias]])</f>
        <v>427.71269652222219</v>
      </c>
      <c r="AC213" s="22" t="e">
        <f ca="1">_xlfn.LET(_xlpm.VT,SUMIF(tabParametros[Código do Posto],tabCustoUnit[[#This Row],[Código do Posto]],tabParametros[Vale - Transporte])*2*20,
IF((_xlpm.VT-tabCustoUnit[[#This Row],[Salário Base]]*0.06)&gt;=0,(_xlpm.VT-tabCustoUnit[[#This Row],[Salário Base]]*0.06),0)
)</f>
        <v>#NAME?</v>
      </c>
      <c r="AD213" s="22">
        <f>IF(SUMIF(tabParametros[Código do Posto],tabCustoUnit[[#This Row],[Código do Posto]],tabParametros[Vale - Alimentação])&lt;=0,0,
SUMIF(tabParametros[Código do Posto],tabCustoUnit[[#This Row],[Código do Posto]],tabParametros[Vale - Alimentação])*20-1)</f>
        <v>582</v>
      </c>
      <c r="AE213" s="22">
        <f>SUMIF(tabParametros[Código do Posto],tabCustoUnit[[#This Row],[Código do Posto]],tabParametros[Cesta Básica])</f>
        <v>0</v>
      </c>
      <c r="AF213" s="22">
        <f>SUMIF(tabParametros[Código do Posto],tabCustoUnit[[#This Row],[Código do Posto]],tabParametros[PAF])</f>
        <v>0</v>
      </c>
      <c r="AG213" s="22">
        <f>SUMIF(tabParametros[Código do Posto],tabCustoUnit[[#This Row],[Código do Posto]],tabParametros[PQM])</f>
        <v>15.07</v>
      </c>
      <c r="AH213" s="22">
        <f>SUMIF(tabParametros[Código do Posto],tabCustoUnit[[#This Row],[Código do Posto]],tabParametros[Abono Único e Especial])</f>
        <v>0</v>
      </c>
      <c r="AI213" s="22">
        <f>SUMIF(tabParametros[Código do Posto],tabCustoUnit[[#This Row],[Código do Posto]],tabParametros[Seguro de Vida])</f>
        <v>3.36</v>
      </c>
      <c r="AJ213" s="22">
        <f>SUMIF(tabParametros[Código do Posto],tabCustoUnit[[#This Row],[Código do Posto]],tabParametros[Despesas de Viagem])</f>
        <v>0</v>
      </c>
      <c r="AK213" s="22" t="e">
        <f ca="1">SUM(tabCustoUnit[[#This Row],[Vale - Transporte (Descontada parcela do empregado)]:[Despesas de Viagem]])</f>
        <v>#NAME?</v>
      </c>
      <c r="AL213" s="22" t="e">
        <f ca="1">tabCustoUnit[[#This Row],[Submódulo 2.1]]+tabCustoUnit[[#This Row],[Submódulo 2.2]]+tabCustoUnit[[#This Row],[Submódulo 2.3]]</f>
        <v>#NAME?</v>
      </c>
      <c r="AM213" s="22">
        <f>SUMIF(tabParametros[Código do Posto],tabCustoUnit[[#This Row],[Código do Posto]],tabParametros[Aviso Prévio Indenizado (API) e Reflexo do Aviso Prévio Indenizado])*tabCustoUnit[[#This Row],[MODULO 1 - REMUNERAÇÃO ]]</f>
        <v>11.192699914390431</v>
      </c>
      <c r="AN213" s="22">
        <f>SUMIF(tabParametros[Código do Posto],tabCustoUnit[[#This Row],[Código do Posto]],tabParametros[Incidência do FGTS sobre API e Reflexo do API])*tabCustoUnit[[#This Row],[MODULO 1 - REMUNERAÇÃO ]]</f>
        <v>0.89541599315123466</v>
      </c>
      <c r="AO213" s="22">
        <f>SUMIF(tabParametros[Código do Posto],tabCustoUnit[[#This Row],[Código do Posto]],tabParametros[Multa Rescisória do FGTS sobre o Aviso Prévio Indenizado])*tabCustoUnit[[#This Row],[MODULO 1 - REMUNERAÇÃO ]]</f>
        <v>0.35816639726049387</v>
      </c>
      <c r="AP213" s="22">
        <f>SUMIF(tabParametros[Código do Posto],tabCustoUnit[[#This Row],[Código do Posto]],tabParametros[Aviso Prévio Trabalhado - APT])*tabCustoUnit[[#This Row],[MODULO 1 - REMUNERAÇÃO ]]</f>
        <v>5.5869583000000009</v>
      </c>
      <c r="AQ213" s="22">
        <f>SUMIF(tabParametros[Código do Posto],tabCustoUnit[[#This Row],[Código do Posto]],tabParametros[Incidência dos encargos do submódulo 2.1 sobre Aviso Prévio Trabalhado])*tabCustoUnit[[#This Row],[MODULO 1 - REMUNERAÇÃO ]]</f>
        <v>2.1118702374000007</v>
      </c>
      <c r="AR213" s="22">
        <f>SUMIF(tabParametros[Código do Posto],tabCustoUnit[[#This Row],[Código do Posto]],tabParametros[Multa Rescisória do FGTS])*tabCustoUnit[[#This Row],[MODULO 1 - REMUNERAÇÃO ]]</f>
        <v>48.810505528888882</v>
      </c>
      <c r="AS213" s="22">
        <f>SUMIF(tabParametros[Código do Posto],tabCustoUnit[[#This Row],[Código do Posto]],tabParametros[Indenização Adicional (Art. 9º da Lei nº 7.238/84)])*tabCustoUnit[[#This Row],[MODULO 1 - REMUNERAÇÃO ]]</f>
        <v>1.3302281666666667</v>
      </c>
      <c r="AT213" s="22">
        <f>SUM(tabCustoUnit[[#This Row],[Aviso Prévio Indenizado (API) e Reflexo do Aviso Prévio Indenizado]:[Indenização Adicional (Art. 9º da Lei nº 7.238/84)]])</f>
        <v>70.285844537757711</v>
      </c>
      <c r="AU213" s="22">
        <f>SUMIF(tabParametros[Código do Posto],tabCustoUnit[[#This Row],[Código do Posto]],tabParametros[Ausência por Doença])*tabCustoUnit[[#This Row],[MODULO 1 - REMUNERAÇÃO ]]</f>
        <v>13.479645422222221</v>
      </c>
      <c r="AV213" s="22">
        <f>SUMIF(tabParametros[Código do Posto],tabCustoUnit[[#This Row],[Código do Posto]],tabParametros[Ausências Legais])*tabCustoUnit[[#This Row],[MODULO 1 - REMUNERAÇÃO ]]</f>
        <v>3.2368885388888886</v>
      </c>
      <c r="AW213" s="22">
        <f>SUMIF(tabParametros[Código do Posto],tabCustoUnit[[#This Row],[Código do Posto]],tabParametros[Licença Paternidade])*tabCustoUnit[[#This Row],[MODULO 1 - REMUNERAÇÃO ]]</f>
        <v>0.27269677416666666</v>
      </c>
      <c r="AX213" s="22">
        <f>SUMIF(tabParametros[Código do Posto],tabCustoUnit[[#This Row],[Código do Posto]],tabParametros[Ausência por Acidente de Trabalho])*tabCustoUnit[[#This Row],[MODULO 1 - REMUNERAÇÃO ]]</f>
        <v>0.33255704166666666</v>
      </c>
      <c r="AY213" s="22">
        <f>SUMIF(tabParametros[Código do Posto],tabCustoUnit[[#This Row],[Código do Posto]],tabParametros[Férias, Adicional de Férias e 13º  com empregada em gozo de Licença Maternidade])*tabCustoUnit[[#This Row],[MODULO 1 - REMUNERAÇÃO ]]</f>
        <v>2.0692438148148145</v>
      </c>
      <c r="AZ213" s="22">
        <f>SUMIF(tabParametros[Código do Posto],tabCustoUnit[[#This Row],[Código do Posto]],tabParametros[Incidência do Submódulo 2.1 sobre Ausências Legais])*tabCustoUnit[[#This Row],[MODULO 1 - REMUNERAÇÃO ]]</f>
        <v>7.3298099416850011</v>
      </c>
      <c r="BA213" s="22">
        <f>SUM(tabCustoUnit[[#This Row],[Ausência por Doença]:[Incidência do Submódulo 2.1 sobre Ausências Legais]])</f>
        <v>26.720841533444265</v>
      </c>
      <c r="BB213" s="22">
        <f>SUMIF(tabParametros[Código do Posto],tabCustoUnit[[#This Row],[Código do Posto]],tabParametros[Intervalo para Repouso ou Alimentação])</f>
        <v>0</v>
      </c>
      <c r="BC213" s="22">
        <f>tabCustoUnit[[#This Row],[Intervalo para Repouso ou Alimentação]]</f>
        <v>0</v>
      </c>
      <c r="BD21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3" s="22">
        <f>tabCustoUnit[[#This Row],[Suspensão Temporária do Contrato de Trabalho]]</f>
        <v>0</v>
      </c>
      <c r="BF213" s="22">
        <f>tabCustoUnit[[#This Row],[Submódulo 4.1]]+tabCustoUnit[[#This Row],[Submódulo 4.2]]+tabCustoUnit[[#This Row],[Submódulo 4.3]]</f>
        <v>26.720841533444265</v>
      </c>
      <c r="BG213" s="22">
        <f>VLOOKUP(tabCustoUnit[[#This Row],[Código do Posto]],tabParametros[],MATCH(tabCustoUnit[[#Headers],[Uniformes e EPIs]],tabParametros[#Headers],0),0)</f>
        <v>56.141713661989918</v>
      </c>
      <c r="BH213" s="22">
        <f>VLOOKUP(tabCustoUnit[[#This Row],[Código do Posto]],tabParametros[],MATCH(tabCustoUnit[[#Headers],[Materiais de Consumo]],tabParametros[#Headers],0),0)</f>
        <v>0</v>
      </c>
      <c r="BI213" s="22">
        <f>VLOOKUP(tabCustoUnit[[#This Row],[Código do Posto]],tabParametros[],MATCH(tabCustoUnit[[#Headers],[Máquinas e Equipamentos (depreciação)]],tabParametros[#Headers],0),0)</f>
        <v>0</v>
      </c>
      <c r="BJ213" s="22">
        <f>VLOOKUP(tabCustoUnit[[#This Row],[Código do Posto]],tabParametros[],MATCH(tabCustoUnit[[#Headers],[Produtos de Limpeza e Materiais de Higiene Pessoal]],tabParametros[#Headers],0),0)</f>
        <v>0</v>
      </c>
      <c r="BK213" s="22">
        <f>VLOOKUP(tabCustoUnit[[#This Row],[Código do Posto]],tabParametros[],MATCH(tabCustoUnit[[#Headers],[Outros (especificar)]],tabParametros[#Headers],0),0)</f>
        <v>0</v>
      </c>
      <c r="BL213" s="22">
        <f>SUM(tabCustoUnit[[#This Row],[Uniformes e EPIs]:[Outros (especificar)]])</f>
        <v>56.141713661989918</v>
      </c>
      <c r="BM21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3" s="22" t="e">
        <f ca="1">VLOOKUP(tabCustoUnit[[#This Row],[Código do Posto]],tabParametros[],MATCH(tabCustoUnit[[#Headers],[Custos Indiretos]],tabParametros[#Headers],0),0)</f>
        <v>#NAME?</v>
      </c>
      <c r="BO213" s="22" t="e">
        <f ca="1">VLOOKUP(tabCustoUnit[[#This Row],[Código do Posto]],tabParametros[],MATCH(tabCustoUnit[[#Headers],[Lucro]],tabParametros[#Headers],0),0)</f>
        <v>#NAME?</v>
      </c>
      <c r="BP213" s="26">
        <f>((100/((1-tabCustoUnit[[#This Row],[Resumo de Alíquotas (PIS+CONFINS+ISS)]]))-100)*VLOOKUP(tabCustoUnit[[#This Row],[Código do Posto]],tabParametros[],MATCH(tabCustoUnit[[#Headers],[COFINS]],tabParametros[#Headers],0),0))/(tabCustoUnit[[#This Row],[Resumo de Alíquotas (PIS+CONFINS+ISS)]]*100)</f>
        <v>8.6609686609686695E-2</v>
      </c>
      <c r="BQ213" s="26">
        <f>((100/((100-(tabCustoUnit[[#This Row],[Resumo de Alíquotas (PIS+CONFINS+ISS)]]*100))%)-100)*VLOOKUP(tabCustoUnit[[#This Row],[Código do Posto]],tabParametros[],MATCH(tabCustoUnit[[#Headers],[PIS]],tabParametros[#Headers],0),0))/(tabCustoUnit[[#This Row],[Resumo de Alíquotas (PIS+CONFINS+ISS)]]*100)</f>
        <v>1.880341880341882E-2</v>
      </c>
      <c r="BR213" s="28">
        <f>VLOOKUP(tabCustoUnit[[#This Row],[Código do Posto]],tabParametros[],MATCH(tabCustoUnit[[#Headers],[ISS]],tabParametros[#Headers],0),0)</f>
        <v>0.03</v>
      </c>
      <c r="BS213" s="26">
        <f>(((100/((100-(tabCustoUnit[[#This Row],[Resumo de Alíquotas (PIS+CONFINS+ISS)]]*100))%)-100)*tabCustoUnit[[#This Row],[ISS]])/tabCustoUnit[[#This Row],[Resumo de Alíquotas (PIS+CONFINS+ISS)]])/100</f>
        <v>3.4188034188034219E-2</v>
      </c>
      <c r="BT21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3" s="138">
        <f>tabCustoUnit[[#This Row],[COFINS]]+tabCustoUnit[[#This Row],[PIS]]+tabCustoUnit[[#This Row],[ISS (Conversão Alíquota s/ fatura)]]</f>
        <v>0.13960113960113973</v>
      </c>
      <c r="BV213" s="22" t="e">
        <f ca="1">(tabCustoUnit[[#This Row],[TOTAL MÓDULOS 1+2+3+4+5]]+tabCustoUnit[[#This Row],[Custos Indiretos]]+tabCustoUnit[[#This Row],[Lucro]])*tabCustoUnit[[#This Row],[PIS + COFINS + ISS (Total Conversão  Alíquota s/ Fatura)]]</f>
        <v>#NAME?</v>
      </c>
      <c r="BW213" s="22" t="e">
        <f ca="1">tabCustoUnit[[#This Row],[Custos Indiretos]]+tabCustoUnit[[#This Row],[Lucro]]+tabCustoUnit[[#This Row],[Valor dos Tributos (ISS, PIS, CONFINS)]]</f>
        <v>#NAME?</v>
      </c>
      <c r="BX213" s="22" t="e">
        <f ca="1">tabCustoUnit[[#This Row],[TOTAL MÓDULOS 1+2+3+4+5]]+tabCustoUnit[[#This Row],[MÓDULO 6 – CUSTOS INDIRETOS, TRIBUTOS E LUCRO]]</f>
        <v>#NAME?</v>
      </c>
      <c r="BY213" s="22" t="e">
        <f ca="1">tabCustoUnit[[#This Row],[CUSTO TOTAL MENSAL]]*12</f>
        <v>#NAME?</v>
      </c>
      <c r="BZ213" s="24">
        <f>VLOOKUP(tabCustoUnit[[#This Row],[Código do Posto]],tabParametros[],MATCH(tabCustoUnit[[#Headers],[ANO DA CCT]],tabParametros[#Headers],0),0)</f>
        <v>45658</v>
      </c>
      <c r="CA213" s="25" t="str">
        <f>VLOOKUP(tabCustoUnit[[#This Row],[Código do Posto]],tabParametros[],MATCH(tabCustoUnit[[#Headers],[Nº DE PEDIDO DA CCT]],tabParametros[#Headers],0),0)</f>
        <v>-</v>
      </c>
      <c r="CB213" s="25" t="str">
        <f>VLOOKUP(tabCustoUnit[[#This Row],[Código do Posto]],tabParametros[],MATCH(tabCustoUnit[[#Headers],[TERMO ADITIVO ALTERAÇÃO DA CCT]],tabParametros[#Headers],0),0)</f>
        <v>-</v>
      </c>
    </row>
    <row r="214" spans="1:80">
      <c r="A214" s="20" t="s">
        <v>1646</v>
      </c>
      <c r="B214" t="s">
        <v>1165</v>
      </c>
      <c r="C214" t="s">
        <v>324</v>
      </c>
      <c r="D214" t="s">
        <v>957</v>
      </c>
      <c r="E214" s="20" t="s">
        <v>1090</v>
      </c>
      <c r="F214" s="20" t="s">
        <v>120</v>
      </c>
      <c r="G214" s="418">
        <v>3397.1306</v>
      </c>
      <c r="H214" s="418">
        <v>0</v>
      </c>
      <c r="I214" s="418">
        <v>0</v>
      </c>
      <c r="J214" s="418">
        <v>0</v>
      </c>
      <c r="K214" s="418">
        <v>0</v>
      </c>
      <c r="L214" s="418">
        <v>0</v>
      </c>
      <c r="M214" s="418">
        <v>0</v>
      </c>
      <c r="N214" s="418">
        <v>0</v>
      </c>
      <c r="O214" s="21">
        <f>SUM(tabCustoUnit[[#This Row],[Salário Base]:[Adicional de Acúmulo de função]])</f>
        <v>3397.1306</v>
      </c>
      <c r="P214" s="21">
        <f>tabCustoUnit[[#This Row],[MODULO 1 - REMUNERAÇÃO ]]*SUMIFS(tabParametros[INSS],tabParametros[Código do Posto],tabCustoUnit[[#This Row],[Código do Posto]])</f>
        <v>679.42612000000008</v>
      </c>
      <c r="Q214" s="21">
        <f>tabCustoUnit[[#This Row],[MODULO 1 - REMUNERAÇÃO ]]*SUMIFS(tabParametros[SESI OU SESC],tabParametros[Código do Posto],tabCustoUnit[[#This Row],[Código do Posto]])</f>
        <v>50.956958999999998</v>
      </c>
      <c r="R214" s="21">
        <f>tabCustoUnit[[#This Row],[MODULO 1 - REMUNERAÇÃO ]]*SUMIFS(tabParametros[SENAI OU SENAC],tabParametros[Código do Posto],tabCustoUnit[[#This Row],[Código do Posto]])</f>
        <v>33.971305999999998</v>
      </c>
      <c r="S214" s="21">
        <f>tabCustoUnit[[#This Row],[MODULO 1 - REMUNERAÇÃO ]]*SUMIFS(tabParametros[INCRA],tabParametros[Código do Posto],tabCustoUnit[[#This Row],[Código do Posto]])</f>
        <v>6.7942612000000002</v>
      </c>
      <c r="T214" s="21">
        <f>tabCustoUnit[[#This Row],[MODULO 1 - REMUNERAÇÃO ]]*SUMIFS(tabParametros[Salário Educação],tabParametros[Código do Posto],tabCustoUnit[[#This Row],[Código do Posto]])</f>
        <v>84.92826500000001</v>
      </c>
      <c r="U214" s="21">
        <f>tabCustoUnit[[#This Row],[MODULO 1 - REMUNERAÇÃO ]]*SUMIFS(tabParametros[FGTS],tabParametros[Código do Posto],tabCustoUnit[[#This Row],[Código do Posto]])</f>
        <v>271.77044799999999</v>
      </c>
      <c r="V214" s="21">
        <f>tabCustoUnit[[#This Row],[MODULO 1 - REMUNERAÇÃO ]]*SUMIFS(tabParametros[RAT Ajustado],tabParametros[Código do Posto],tabCustoUnit[[#This Row],[Código do Posto]])</f>
        <v>135.88522399999999</v>
      </c>
      <c r="W214" s="21">
        <f>tabCustoUnit[[#This Row],[MODULO 1 - REMUNERAÇÃO ]]*SUMIFS(tabParametros[SEBRAE],tabParametros[Código do Posto],tabCustoUnit[[#This Row],[Código do Posto]])</f>
        <v>20.3827836</v>
      </c>
      <c r="X214" s="21">
        <f>SUM(tabCustoUnit[[#This Row],[INSS]:[SEBRAE]])</f>
        <v>1284.1153668000002</v>
      </c>
      <c r="Y214" s="21">
        <f>tabCustoUnit[[#This Row],[MODULO 1 - REMUNERAÇÃO ]]*SUMIFS(tabParametros[13º salário (titular)],tabParametros[Código do Posto],tabCustoUnit[[#This Row],[Código do Posto]])</f>
        <v>283.09421666666663</v>
      </c>
      <c r="Z214" s="21">
        <f>tabCustoUnit[[#This Row],[MODULO 1 - REMUNERAÇÃO ]]*SUMIFS(tabParametros[Férias e Adicional de Férias (titular)],tabParametros[Código do Posto],tabCustoUnit[[#This Row],[Código do Posto]])</f>
        <v>377.45895555555552</v>
      </c>
      <c r="AA214" s="21">
        <f>IFERROR((tabCustoUnit[[#This Row],[Submódulo 2.1]]/tabCustoUnit[[#This Row],[MODULO 1 - REMUNERAÇÃO ]])*SUM(tabCustoUnit[[#This Row],[13º salário (titular)]:[Férias e Adicional de Férias (titular)]]),0)</f>
        <v>249.68909910000002</v>
      </c>
      <c r="AB214" s="21">
        <f>SUM(tabCustoUnit[[#This Row],[13º salário (titular)]:[Incidência do Submódulo 2.1 sobre 13º Salário, Férias e Adicional de Férias]])</f>
        <v>910.24227132222222</v>
      </c>
      <c r="AC214" s="22" t="e">
        <f ca="1">_xlfn.LET(_xlpm.VT,SUMIF(tabParametros[Código do Posto],tabCustoUnit[[#This Row],[Código do Posto]],tabParametros[Vale - Transporte])*2*20,
IF((_xlpm.VT-tabCustoUnit[[#This Row],[Salário Base]]*0.06)&gt;=0,(_xlpm.VT-tabCustoUnit[[#This Row],[Salário Base]]*0.06),0)
)</f>
        <v>#NAME?</v>
      </c>
      <c r="AD214" s="22">
        <f>IF(SUMIF(tabParametros[Código do Posto],tabCustoUnit[[#This Row],[Código do Posto]],tabParametros[Vale - Alimentação])&lt;=0,0,
SUMIF(tabParametros[Código do Posto],tabCustoUnit[[#This Row],[Código do Posto]],tabParametros[Vale - Alimentação])*20-1)</f>
        <v>582</v>
      </c>
      <c r="AE214" s="22">
        <f>SUMIF(tabParametros[Código do Posto],tabCustoUnit[[#This Row],[Código do Posto]],tabParametros[Cesta Básica])</f>
        <v>0</v>
      </c>
      <c r="AF214" s="22">
        <f>SUMIF(tabParametros[Código do Posto],tabCustoUnit[[#This Row],[Código do Posto]],tabParametros[PAF])</f>
        <v>51.87</v>
      </c>
      <c r="AG214" s="22">
        <f>SUMIF(tabParametros[Código do Posto],tabCustoUnit[[#This Row],[Código do Posto]],tabParametros[PQM])</f>
        <v>0</v>
      </c>
      <c r="AH214" s="22">
        <f>SUMIF(tabParametros[Código do Posto],tabCustoUnit[[#This Row],[Código do Posto]],tabParametros[Abono Único e Especial])</f>
        <v>0</v>
      </c>
      <c r="AI214" s="22">
        <f>SUMIF(tabParametros[Código do Posto],tabCustoUnit[[#This Row],[Código do Posto]],tabParametros[Seguro de Vida])</f>
        <v>3.36</v>
      </c>
      <c r="AJ214" s="22">
        <f>SUMIF(tabParametros[Código do Posto],tabCustoUnit[[#This Row],[Código do Posto]],tabParametros[Despesas de Viagem])</f>
        <v>0</v>
      </c>
      <c r="AK214" s="22" t="e">
        <f ca="1">SUM(tabCustoUnit[[#This Row],[Vale - Transporte (Descontada parcela do empregado)]:[Despesas de Viagem]])</f>
        <v>#NAME?</v>
      </c>
      <c r="AL214" s="22" t="e">
        <f ca="1">tabCustoUnit[[#This Row],[Submódulo 2.1]]+tabCustoUnit[[#This Row],[Submódulo 2.2]]+tabCustoUnit[[#This Row],[Submódulo 2.3]]</f>
        <v>#NAME?</v>
      </c>
      <c r="AM214" s="22">
        <f>SUMIF(tabParametros[Código do Posto],tabCustoUnit[[#This Row],[Código do Posto]],tabParametros[Aviso Prévio Indenizado (API) e Reflexo do Aviso Prévio Indenizado])*tabCustoUnit[[#This Row],[MODULO 1 - REMUNERAÇÃO ]]</f>
        <v>23.819888151890432</v>
      </c>
      <c r="AN214" s="22">
        <f>SUMIF(tabParametros[Código do Posto],tabCustoUnit[[#This Row],[Código do Posto]],tabParametros[Incidência do FGTS sobre API e Reflexo do API])*tabCustoUnit[[#This Row],[MODULO 1 - REMUNERAÇÃO ]]</f>
        <v>1.9055910521512347</v>
      </c>
      <c r="AO214" s="22">
        <f>SUMIF(tabParametros[Código do Posto],tabCustoUnit[[#This Row],[Código do Posto]],tabParametros[Multa Rescisória do FGTS sobre o Aviso Prévio Indenizado])*tabCustoUnit[[#This Row],[MODULO 1 - REMUNERAÇÃO ]]</f>
        <v>0.76223642086049392</v>
      </c>
      <c r="AP214" s="22">
        <f>SUMIF(tabParametros[Código do Posto],tabCustoUnit[[#This Row],[Código do Posto]],tabParametros[Aviso Prévio Trabalhado - APT])*tabCustoUnit[[#This Row],[MODULO 1 - REMUNERAÇÃO ]]</f>
        <v>11.889957100000002</v>
      </c>
      <c r="AQ214" s="22">
        <f>SUMIF(tabParametros[Código do Posto],tabCustoUnit[[#This Row],[Código do Posto]],tabParametros[Incidência dos encargos do submódulo 2.1 sobre Aviso Prévio Trabalhado])*tabCustoUnit[[#This Row],[MODULO 1 - REMUNERAÇÃO ]]</f>
        <v>4.4944037838000011</v>
      </c>
      <c r="AR214" s="22">
        <f>SUMIF(tabParametros[Código do Posto],tabCustoUnit[[#This Row],[Código do Posto]],tabParametros[Multa Rescisória do FGTS])*tabCustoUnit[[#This Row],[MODULO 1 - REMUNERAÇÃO ]]</f>
        <v>103.87670456888887</v>
      </c>
      <c r="AS214" s="22">
        <f>SUMIF(tabParametros[Código do Posto],tabCustoUnit[[#This Row],[Código do Posto]],tabParametros[Indenização Adicional (Art. 9º da Lei nº 7.238/84)])*tabCustoUnit[[#This Row],[MODULO 1 - REMUNERAÇÃO ]]</f>
        <v>2.830942166666667</v>
      </c>
      <c r="AT214" s="22">
        <f>SUM(tabCustoUnit[[#This Row],[Aviso Prévio Indenizado (API) e Reflexo do Aviso Prévio Indenizado]:[Indenização Adicional (Art. 9º da Lei nº 7.238/84)]])</f>
        <v>149.57972324425771</v>
      </c>
      <c r="AU214" s="22">
        <f>SUMIF(tabParametros[Código do Posto],tabCustoUnit[[#This Row],[Código do Posto]],tabParametros[Ausência por Doença])*tabCustoUnit[[#This Row],[MODULO 1 - REMUNERAÇÃO ]]</f>
        <v>28.686880622222219</v>
      </c>
      <c r="AV214" s="22">
        <f>SUMIF(tabParametros[Código do Posto],tabCustoUnit[[#This Row],[Código do Posto]],tabParametros[Ausências Legais])*tabCustoUnit[[#This Row],[MODULO 1 - REMUNERAÇÃO ]]</f>
        <v>6.8886259388888886</v>
      </c>
      <c r="AW214" s="22">
        <f>SUMIF(tabParametros[Código do Posto],tabCustoUnit[[#This Row],[Código do Posto]],tabParametros[Licença Paternidade])*tabCustoUnit[[#This Row],[MODULO 1 - REMUNERAÇÃO ]]</f>
        <v>0.58034314416666666</v>
      </c>
      <c r="AX214" s="22">
        <f>SUMIF(tabParametros[Código do Posto],tabCustoUnit[[#This Row],[Código do Posto]],tabParametros[Ausência por Acidente de Trabalho])*tabCustoUnit[[#This Row],[MODULO 1 - REMUNERAÇÃO ]]</f>
        <v>0.70773554166666675</v>
      </c>
      <c r="AY214" s="22">
        <f>SUMIF(tabParametros[Código do Posto],tabCustoUnit[[#This Row],[Código do Posto]],tabParametros[Férias, Adicional de Férias e 13º  com empregada em gozo de Licença Maternidade])*tabCustoUnit[[#This Row],[MODULO 1 - REMUNERAÇÃO ]]</f>
        <v>4.4036878148148144</v>
      </c>
      <c r="AZ214" s="22">
        <f>SUMIF(tabParametros[Código do Posto],tabCustoUnit[[#This Row],[Código do Posto]],tabParametros[Incidência do Submódulo 2.1 sobre Ausências Legais])*tabCustoUnit[[#This Row],[MODULO 1 - REMUNERAÇÃO ]]</f>
        <v>15.599029217345002</v>
      </c>
      <c r="BA214" s="22">
        <f>SUM(tabCustoUnit[[#This Row],[Ausência por Doença]:[Incidência do Submódulo 2.1 sobre Ausências Legais]])</f>
        <v>56.866302279104261</v>
      </c>
      <c r="BB214" s="22">
        <f>SUMIF(tabParametros[Código do Posto],tabCustoUnit[[#This Row],[Código do Posto]],tabParametros[Intervalo para Repouso ou Alimentação])</f>
        <v>0</v>
      </c>
      <c r="BC214" s="22">
        <f>tabCustoUnit[[#This Row],[Intervalo para Repouso ou Alimentação]]</f>
        <v>0</v>
      </c>
      <c r="BD21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4" s="22">
        <f>tabCustoUnit[[#This Row],[Suspensão Temporária do Contrato de Trabalho]]</f>
        <v>0</v>
      </c>
      <c r="BF214" s="22">
        <f>tabCustoUnit[[#This Row],[Submódulo 4.1]]+tabCustoUnit[[#This Row],[Submódulo 4.2]]+tabCustoUnit[[#This Row],[Submódulo 4.3]]</f>
        <v>56.866302279104261</v>
      </c>
      <c r="BG214" s="22">
        <f>VLOOKUP(tabCustoUnit[[#This Row],[Código do Posto]],tabParametros[],MATCH(tabCustoUnit[[#Headers],[Uniformes e EPIs]],tabParametros[#Headers],0),0)</f>
        <v>56.642978962543395</v>
      </c>
      <c r="BH214" s="22">
        <f>VLOOKUP(tabCustoUnit[[#This Row],[Código do Posto]],tabParametros[],MATCH(tabCustoUnit[[#Headers],[Materiais de Consumo]],tabParametros[#Headers],0),0)</f>
        <v>0</v>
      </c>
      <c r="BI214" s="22">
        <f>VLOOKUP(tabCustoUnit[[#This Row],[Código do Posto]],tabParametros[],MATCH(tabCustoUnit[[#Headers],[Máquinas e Equipamentos (depreciação)]],tabParametros[#Headers],0),0)</f>
        <v>0</v>
      </c>
      <c r="BJ214" s="22">
        <f>VLOOKUP(tabCustoUnit[[#This Row],[Código do Posto]],tabParametros[],MATCH(tabCustoUnit[[#Headers],[Produtos de Limpeza e Materiais de Higiene Pessoal]],tabParametros[#Headers],0),0)</f>
        <v>0</v>
      </c>
      <c r="BK214" s="22">
        <f>VLOOKUP(tabCustoUnit[[#This Row],[Código do Posto]],tabParametros[],MATCH(tabCustoUnit[[#Headers],[Outros (especificar)]],tabParametros[#Headers],0),0)</f>
        <v>0</v>
      </c>
      <c r="BL214" s="22">
        <f>SUM(tabCustoUnit[[#This Row],[Uniformes e EPIs]:[Outros (especificar)]])</f>
        <v>56.642978962543395</v>
      </c>
      <c r="BM21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4" s="22" t="e">
        <f ca="1">VLOOKUP(tabCustoUnit[[#This Row],[Código do Posto]],tabParametros[],MATCH(tabCustoUnit[[#Headers],[Custos Indiretos]],tabParametros[#Headers],0),0)</f>
        <v>#NAME?</v>
      </c>
      <c r="BO214" s="22" t="e">
        <f ca="1">VLOOKUP(tabCustoUnit[[#This Row],[Código do Posto]],tabParametros[],MATCH(tabCustoUnit[[#Headers],[Lucro]],tabParametros[#Headers],0),0)</f>
        <v>#NAME?</v>
      </c>
      <c r="BP214" s="26">
        <f>((100/((1-tabCustoUnit[[#This Row],[Resumo de Alíquotas (PIS+CONFINS+ISS)]]))-100)*VLOOKUP(tabCustoUnit[[#This Row],[Código do Posto]],tabParametros[],MATCH(tabCustoUnit[[#Headers],[COFINS]],tabParametros[#Headers],0),0))/(tabCustoUnit[[#This Row],[Resumo de Alíquotas (PIS+CONFINS+ISS)]]*100)</f>
        <v>8.6609686609686695E-2</v>
      </c>
      <c r="BQ214" s="26">
        <f>((100/((100-(tabCustoUnit[[#This Row],[Resumo de Alíquotas (PIS+CONFINS+ISS)]]*100))%)-100)*VLOOKUP(tabCustoUnit[[#This Row],[Código do Posto]],tabParametros[],MATCH(tabCustoUnit[[#Headers],[PIS]],tabParametros[#Headers],0),0))/(tabCustoUnit[[#This Row],[Resumo de Alíquotas (PIS+CONFINS+ISS)]]*100)</f>
        <v>1.880341880341882E-2</v>
      </c>
      <c r="BR214" s="28">
        <f>VLOOKUP(tabCustoUnit[[#This Row],[Código do Posto]],tabParametros[],MATCH(tabCustoUnit[[#Headers],[ISS]],tabParametros[#Headers],0),0)</f>
        <v>0.03</v>
      </c>
      <c r="BS214" s="26">
        <f>(((100/((100-(tabCustoUnit[[#This Row],[Resumo de Alíquotas (PIS+CONFINS+ISS)]]*100))%)-100)*tabCustoUnit[[#This Row],[ISS]])/tabCustoUnit[[#This Row],[Resumo de Alíquotas (PIS+CONFINS+ISS)]])/100</f>
        <v>3.4188034188034219E-2</v>
      </c>
      <c r="BT21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4" s="138">
        <f>tabCustoUnit[[#This Row],[COFINS]]+tabCustoUnit[[#This Row],[PIS]]+tabCustoUnit[[#This Row],[ISS (Conversão Alíquota s/ fatura)]]</f>
        <v>0.13960113960113973</v>
      </c>
      <c r="BV214" s="22" t="e">
        <f ca="1">(tabCustoUnit[[#This Row],[TOTAL MÓDULOS 1+2+3+4+5]]+tabCustoUnit[[#This Row],[Custos Indiretos]]+tabCustoUnit[[#This Row],[Lucro]])*tabCustoUnit[[#This Row],[PIS + COFINS + ISS (Total Conversão  Alíquota s/ Fatura)]]</f>
        <v>#NAME?</v>
      </c>
      <c r="BW214" s="22" t="e">
        <f ca="1">tabCustoUnit[[#This Row],[Custos Indiretos]]+tabCustoUnit[[#This Row],[Lucro]]+tabCustoUnit[[#This Row],[Valor dos Tributos (ISS, PIS, CONFINS)]]</f>
        <v>#NAME?</v>
      </c>
      <c r="BX214" s="22" t="e">
        <f ca="1">tabCustoUnit[[#This Row],[TOTAL MÓDULOS 1+2+3+4+5]]+tabCustoUnit[[#This Row],[MÓDULO 6 – CUSTOS INDIRETOS, TRIBUTOS E LUCRO]]</f>
        <v>#NAME?</v>
      </c>
      <c r="BY214" s="22" t="e">
        <f ca="1">tabCustoUnit[[#This Row],[CUSTO TOTAL MENSAL]]*12</f>
        <v>#NAME?</v>
      </c>
      <c r="BZ214" s="24">
        <f>VLOOKUP(tabCustoUnit[[#This Row],[Código do Posto]],tabParametros[],MATCH(tabCustoUnit[[#Headers],[ANO DA CCT]],tabParametros[#Headers],0),0)</f>
        <v>45658</v>
      </c>
      <c r="CA214" s="25" t="str">
        <f>VLOOKUP(tabCustoUnit[[#This Row],[Código do Posto]],tabParametros[],MATCH(tabCustoUnit[[#Headers],[Nº DE PEDIDO DA CCT]],tabParametros[#Headers],0),0)</f>
        <v>-</v>
      </c>
      <c r="CB214" s="25" t="str">
        <f>VLOOKUP(tabCustoUnit[[#This Row],[Código do Posto]],tabParametros[],MATCH(tabCustoUnit[[#Headers],[TERMO ADITIVO ALTERAÇÃO DA CCT]],tabParametros[#Headers],0),0)</f>
        <v>-</v>
      </c>
    </row>
    <row r="215" spans="1:80">
      <c r="A215" s="20" t="s">
        <v>1647</v>
      </c>
      <c r="B215" t="s">
        <v>1166</v>
      </c>
      <c r="C215" t="s">
        <v>319</v>
      </c>
      <c r="D215" t="s">
        <v>1058</v>
      </c>
      <c r="E215" s="20" t="s">
        <v>1090</v>
      </c>
      <c r="F215" s="20" t="s">
        <v>120</v>
      </c>
      <c r="G215" s="418">
        <v>2316.2296999999999</v>
      </c>
      <c r="H215" s="418">
        <v>0</v>
      </c>
      <c r="I215" s="418">
        <v>0</v>
      </c>
      <c r="J215" s="418">
        <v>0</v>
      </c>
      <c r="K215" s="418">
        <v>0</v>
      </c>
      <c r="L215" s="418">
        <v>0</v>
      </c>
      <c r="M215" s="418">
        <v>0</v>
      </c>
      <c r="N215" s="418">
        <v>0</v>
      </c>
      <c r="O215" s="21">
        <f>SUM(tabCustoUnit[[#This Row],[Salário Base]:[Adicional de Acúmulo de função]])</f>
        <v>2316.2296999999999</v>
      </c>
      <c r="P215" s="21">
        <f>tabCustoUnit[[#This Row],[MODULO 1 - REMUNERAÇÃO ]]*SUMIFS(tabParametros[INSS],tabParametros[Código do Posto],tabCustoUnit[[#This Row],[Código do Posto]])</f>
        <v>463.24594000000002</v>
      </c>
      <c r="Q215" s="21">
        <f>tabCustoUnit[[#This Row],[MODULO 1 - REMUNERAÇÃO ]]*SUMIFS(tabParametros[SESI OU SESC],tabParametros[Código do Posto],tabCustoUnit[[#This Row],[Código do Posto]])</f>
        <v>34.7434455</v>
      </c>
      <c r="R215" s="21">
        <f>tabCustoUnit[[#This Row],[MODULO 1 - REMUNERAÇÃO ]]*SUMIFS(tabParametros[SENAI OU SENAC],tabParametros[Código do Posto],tabCustoUnit[[#This Row],[Código do Posto]])</f>
        <v>23.162296999999999</v>
      </c>
      <c r="S215" s="21">
        <f>tabCustoUnit[[#This Row],[MODULO 1 - REMUNERAÇÃO ]]*SUMIFS(tabParametros[INCRA],tabParametros[Código do Posto],tabCustoUnit[[#This Row],[Código do Posto]])</f>
        <v>4.6324594000000001</v>
      </c>
      <c r="T215" s="21">
        <f>tabCustoUnit[[#This Row],[MODULO 1 - REMUNERAÇÃO ]]*SUMIFS(tabParametros[Salário Educação],tabParametros[Código do Posto],tabCustoUnit[[#This Row],[Código do Posto]])</f>
        <v>57.905742500000002</v>
      </c>
      <c r="U215" s="21">
        <f>tabCustoUnit[[#This Row],[MODULO 1 - REMUNERAÇÃO ]]*SUMIFS(tabParametros[FGTS],tabParametros[Código do Posto],tabCustoUnit[[#This Row],[Código do Posto]])</f>
        <v>185.29837599999999</v>
      </c>
      <c r="V215" s="21">
        <f>tabCustoUnit[[#This Row],[MODULO 1 - REMUNERAÇÃO ]]*SUMIFS(tabParametros[RAT Ajustado],tabParametros[Código do Posto],tabCustoUnit[[#This Row],[Código do Posto]])</f>
        <v>92.649187999999995</v>
      </c>
      <c r="W215" s="21">
        <f>tabCustoUnit[[#This Row],[MODULO 1 - REMUNERAÇÃO ]]*SUMIFS(tabParametros[SEBRAE],tabParametros[Código do Posto],tabCustoUnit[[#This Row],[Código do Posto]])</f>
        <v>13.8973782</v>
      </c>
      <c r="X215" s="21">
        <f>SUM(tabCustoUnit[[#This Row],[INSS]:[SEBRAE]])</f>
        <v>875.53482659999997</v>
      </c>
      <c r="Y215" s="21">
        <f>tabCustoUnit[[#This Row],[MODULO 1 - REMUNERAÇÃO ]]*SUMIFS(tabParametros[13º salário (titular)],tabParametros[Código do Posto],tabCustoUnit[[#This Row],[Código do Posto]])</f>
        <v>193.01914166666666</v>
      </c>
      <c r="Z215" s="21">
        <f>tabCustoUnit[[#This Row],[MODULO 1 - REMUNERAÇÃO ]]*SUMIFS(tabParametros[Férias e Adicional de Férias (titular)],tabParametros[Código do Posto],tabCustoUnit[[#This Row],[Código do Posto]])</f>
        <v>257.35885555555552</v>
      </c>
      <c r="AA215" s="21">
        <f>IFERROR((tabCustoUnit[[#This Row],[Submódulo 2.1]]/tabCustoUnit[[#This Row],[MODULO 1 - REMUNERAÇÃO ]])*SUM(tabCustoUnit[[#This Row],[13º salário (titular)]:[Férias e Adicional de Férias (titular)]]),0)</f>
        <v>170.24288294999999</v>
      </c>
      <c r="AB215" s="21">
        <f>SUM(tabCustoUnit[[#This Row],[13º salário (titular)]:[Incidência do Submódulo 2.1 sobre 13º Salário, Férias e Adicional de Férias]])</f>
        <v>620.6208801722222</v>
      </c>
      <c r="AC215" s="22" t="e">
        <f ca="1">_xlfn.LET(_xlpm.VT,SUMIF(tabParametros[Código do Posto],tabCustoUnit[[#This Row],[Código do Posto]],tabParametros[Vale - Transporte])*2*20,
IF((_xlpm.VT-tabCustoUnit[[#This Row],[Salário Base]]*0.06)&gt;=0,(_xlpm.VT-tabCustoUnit[[#This Row],[Salário Base]]*0.06),0)
)</f>
        <v>#NAME?</v>
      </c>
      <c r="AD215" s="22">
        <f>IF(SUMIF(tabParametros[Código do Posto],tabCustoUnit[[#This Row],[Código do Posto]],tabParametros[Vale - Alimentação])&lt;=0,0,
SUMIF(tabParametros[Código do Posto],tabCustoUnit[[#This Row],[Código do Posto]],tabParametros[Vale - Alimentação])*20-1)</f>
        <v>582</v>
      </c>
      <c r="AE215" s="22">
        <f>SUMIF(tabParametros[Código do Posto],tabCustoUnit[[#This Row],[Código do Posto]],tabParametros[Cesta Básica])</f>
        <v>0</v>
      </c>
      <c r="AF215" s="22">
        <f>SUMIF(tabParametros[Código do Posto],tabCustoUnit[[#This Row],[Código do Posto]],tabParametros[PAF])</f>
        <v>77.25</v>
      </c>
      <c r="AG215" s="22">
        <f>SUMIF(tabParametros[Código do Posto],tabCustoUnit[[#This Row],[Código do Posto]],tabParametros[PQM])</f>
        <v>0</v>
      </c>
      <c r="AH215" s="22">
        <f>SUMIF(tabParametros[Código do Posto],tabCustoUnit[[#This Row],[Código do Posto]],tabParametros[Abono Único e Especial])</f>
        <v>0</v>
      </c>
      <c r="AI215" s="22">
        <f>SUMIF(tabParametros[Código do Posto],tabCustoUnit[[#This Row],[Código do Posto]],tabParametros[Seguro de Vida])</f>
        <v>3.36</v>
      </c>
      <c r="AJ215" s="22">
        <f>SUMIF(tabParametros[Código do Posto],tabCustoUnit[[#This Row],[Código do Posto]],tabParametros[Despesas de Viagem])</f>
        <v>0</v>
      </c>
      <c r="AK215" s="22" t="e">
        <f ca="1">SUM(tabCustoUnit[[#This Row],[Vale - Transporte (Descontada parcela do empregado)]:[Despesas de Viagem]])</f>
        <v>#NAME?</v>
      </c>
      <c r="AL215" s="22" t="e">
        <f ca="1">tabCustoUnit[[#This Row],[Submódulo 2.1]]+tabCustoUnit[[#This Row],[Submódulo 2.2]]+tabCustoUnit[[#This Row],[Submódulo 2.3]]</f>
        <v>#NAME?</v>
      </c>
      <c r="AM215" s="22">
        <f>SUMIF(tabParametros[Código do Posto],tabCustoUnit[[#This Row],[Código do Posto]],tabParametros[Aviso Prévio Indenizado (API) e Reflexo do Aviso Prévio Indenizado])*tabCustoUnit[[#This Row],[MODULO 1 - REMUNERAÇÃO ]]</f>
        <v>16.240862917689043</v>
      </c>
      <c r="AN215" s="22">
        <f>SUMIF(tabParametros[Código do Posto],tabCustoUnit[[#This Row],[Código do Posto]],tabParametros[Incidência do FGTS sobre API e Reflexo do API])*tabCustoUnit[[#This Row],[MODULO 1 - REMUNERAÇÃO ]]</f>
        <v>1.2992690334151236</v>
      </c>
      <c r="AO215" s="22">
        <f>SUMIF(tabParametros[Código do Posto],tabCustoUnit[[#This Row],[Código do Posto]],tabParametros[Multa Rescisória do FGTS sobre o Aviso Prévio Indenizado])*tabCustoUnit[[#This Row],[MODULO 1 - REMUNERAÇÃO ]]</f>
        <v>0.51970761336604943</v>
      </c>
      <c r="AP215" s="22">
        <f>SUMIF(tabParametros[Código do Posto],tabCustoUnit[[#This Row],[Código do Posto]],tabParametros[Aviso Prévio Trabalhado - APT])*tabCustoUnit[[#This Row],[MODULO 1 - REMUNERAÇÃO ]]</f>
        <v>8.1068039500000015</v>
      </c>
      <c r="AQ215" s="22">
        <f>SUMIF(tabParametros[Código do Posto],tabCustoUnit[[#This Row],[Código do Posto]],tabParametros[Incidência dos encargos do submódulo 2.1 sobre Aviso Prévio Trabalhado])*tabCustoUnit[[#This Row],[MODULO 1 - REMUNERAÇÃO ]]</f>
        <v>3.0643718931000006</v>
      </c>
      <c r="AR215" s="22">
        <f>SUMIF(tabParametros[Código do Posto],tabCustoUnit[[#This Row],[Código do Posto]],tabParametros[Multa Rescisória do FGTS])*tabCustoUnit[[#This Row],[MODULO 1 - REMUNERAÇÃO ]]</f>
        <v>70.825157048888869</v>
      </c>
      <c r="AS215" s="22">
        <f>SUMIF(tabParametros[Código do Posto],tabCustoUnit[[#This Row],[Código do Posto]],tabParametros[Indenização Adicional (Art. 9º da Lei nº 7.238/84)])*tabCustoUnit[[#This Row],[MODULO 1 - REMUNERAÇÃO ]]</f>
        <v>1.9301914166666667</v>
      </c>
      <c r="AT215" s="22">
        <f>SUM(tabCustoUnit[[#This Row],[Aviso Prévio Indenizado (API) e Reflexo do Aviso Prévio Indenizado]:[Indenização Adicional (Art. 9º da Lei nº 7.238/84)]])</f>
        <v>101.98636387312575</v>
      </c>
      <c r="AU215" s="22">
        <f>SUMIF(tabParametros[Código do Posto],tabCustoUnit[[#This Row],[Código do Posto]],tabParametros[Ausência por Doença])*tabCustoUnit[[#This Row],[MODULO 1 - REMUNERAÇÃO ]]</f>
        <v>19.559273022222218</v>
      </c>
      <c r="AV215" s="22">
        <f>SUMIF(tabParametros[Código do Posto],tabCustoUnit[[#This Row],[Código do Posto]],tabParametros[Ausências Legais])*tabCustoUnit[[#This Row],[MODULO 1 - REMUNERAÇÃO ]]</f>
        <v>4.696799113888888</v>
      </c>
      <c r="AW215" s="22">
        <f>SUMIF(tabParametros[Código do Posto],tabCustoUnit[[#This Row],[Código do Posto]],tabParametros[Licença Paternidade])*tabCustoUnit[[#This Row],[MODULO 1 - REMUNERAÇÃO ]]</f>
        <v>0.39568924041666664</v>
      </c>
      <c r="AX215" s="22">
        <f>SUMIF(tabParametros[Código do Posto],tabCustoUnit[[#This Row],[Código do Posto]],tabParametros[Ausência por Acidente de Trabalho])*tabCustoUnit[[#This Row],[MODULO 1 - REMUNERAÇÃO ]]</f>
        <v>0.48254785416666668</v>
      </c>
      <c r="AY215" s="22">
        <f>SUMIF(tabParametros[Código do Posto],tabCustoUnit[[#This Row],[Código do Posto]],tabParametros[Férias, Adicional de Férias e 13º  com empregada em gozo de Licença Maternidade])*tabCustoUnit[[#This Row],[MODULO 1 - REMUNERAÇÃO ]]</f>
        <v>3.0025199814814814</v>
      </c>
      <c r="AZ215" s="22">
        <f>SUMIF(tabParametros[Código do Posto],tabCustoUnit[[#This Row],[Código do Posto]],tabParametros[Incidência do Submódulo 2.1 sobre Ausências Legais])*tabCustoUnit[[#This Row],[MODULO 1 - REMUNERAÇÃO ]]</f>
        <v>10.635721442202501</v>
      </c>
      <c r="BA215" s="22">
        <f>SUM(tabCustoUnit[[#This Row],[Ausência por Doença]:[Incidência do Submódulo 2.1 sobre Ausências Legais]])</f>
        <v>38.772550654378421</v>
      </c>
      <c r="BB215" s="22">
        <f>SUMIF(tabParametros[Código do Posto],tabCustoUnit[[#This Row],[Código do Posto]],tabParametros[Intervalo para Repouso ou Alimentação])</f>
        <v>0</v>
      </c>
      <c r="BC215" s="22">
        <f>tabCustoUnit[[#This Row],[Intervalo para Repouso ou Alimentação]]</f>
        <v>0</v>
      </c>
      <c r="BD21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5" s="22">
        <f>tabCustoUnit[[#This Row],[Suspensão Temporária do Contrato de Trabalho]]</f>
        <v>0</v>
      </c>
      <c r="BF215" s="22">
        <f>tabCustoUnit[[#This Row],[Submódulo 4.1]]+tabCustoUnit[[#This Row],[Submódulo 4.2]]+tabCustoUnit[[#This Row],[Submódulo 4.3]]</f>
        <v>38.772550654378421</v>
      </c>
      <c r="BG215" s="22">
        <f>VLOOKUP(tabCustoUnit[[#This Row],[Código do Posto]],tabParametros[],MATCH(tabCustoUnit[[#Headers],[Uniformes e EPIs]],tabParametros[#Headers],0),0)</f>
        <v>56.642978962543395</v>
      </c>
      <c r="BH215" s="22">
        <f>VLOOKUP(tabCustoUnit[[#This Row],[Código do Posto]],tabParametros[],MATCH(tabCustoUnit[[#Headers],[Materiais de Consumo]],tabParametros[#Headers],0),0)</f>
        <v>0</v>
      </c>
      <c r="BI215" s="22">
        <f>VLOOKUP(tabCustoUnit[[#This Row],[Código do Posto]],tabParametros[],MATCH(tabCustoUnit[[#Headers],[Máquinas e Equipamentos (depreciação)]],tabParametros[#Headers],0),0)</f>
        <v>0</v>
      </c>
      <c r="BJ215" s="22">
        <f>VLOOKUP(tabCustoUnit[[#This Row],[Código do Posto]],tabParametros[],MATCH(tabCustoUnit[[#Headers],[Produtos de Limpeza e Materiais de Higiene Pessoal]],tabParametros[#Headers],0),0)</f>
        <v>0</v>
      </c>
      <c r="BK215" s="22">
        <f>VLOOKUP(tabCustoUnit[[#This Row],[Código do Posto]],tabParametros[],MATCH(tabCustoUnit[[#Headers],[Outros (especificar)]],tabParametros[#Headers],0),0)</f>
        <v>0</v>
      </c>
      <c r="BL215" s="22">
        <f>SUM(tabCustoUnit[[#This Row],[Uniformes e EPIs]:[Outros (especificar)]])</f>
        <v>56.642978962543395</v>
      </c>
      <c r="BM21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5" s="22" t="e">
        <f ca="1">VLOOKUP(tabCustoUnit[[#This Row],[Código do Posto]],tabParametros[],MATCH(tabCustoUnit[[#Headers],[Custos Indiretos]],tabParametros[#Headers],0),0)</f>
        <v>#NAME?</v>
      </c>
      <c r="BO215" s="22" t="e">
        <f ca="1">VLOOKUP(tabCustoUnit[[#This Row],[Código do Posto]],tabParametros[],MATCH(tabCustoUnit[[#Headers],[Lucro]],tabParametros[#Headers],0),0)</f>
        <v>#NAME?</v>
      </c>
      <c r="BP215" s="26">
        <f>((100/((1-tabCustoUnit[[#This Row],[Resumo de Alíquotas (PIS+CONFINS+ISS)]]))-100)*VLOOKUP(tabCustoUnit[[#This Row],[Código do Posto]],tabParametros[],MATCH(tabCustoUnit[[#Headers],[COFINS]],tabParametros[#Headers],0),0))/(tabCustoUnit[[#This Row],[Resumo de Alíquotas (PIS+CONFINS+ISS)]]*100)</f>
        <v>8.5633802816901458E-2</v>
      </c>
      <c r="BQ215" s="26">
        <f>((100/((100-(tabCustoUnit[[#This Row],[Resumo de Alíquotas (PIS+CONFINS+ISS)]]*100))%)-100)*VLOOKUP(tabCustoUnit[[#This Row],[Código do Posto]],tabParametros[],MATCH(tabCustoUnit[[#Headers],[PIS]],tabParametros[#Headers],0),0))/(tabCustoUnit[[#This Row],[Resumo de Alíquotas (PIS+CONFINS+ISS)]]*100)</f>
        <v>1.8591549295774657E-2</v>
      </c>
      <c r="BR215" s="28">
        <f>VLOOKUP(tabCustoUnit[[#This Row],[Código do Posto]],tabParametros[],MATCH(tabCustoUnit[[#Headers],[ISS]],tabParametros[#Headers],0),0)</f>
        <v>0.02</v>
      </c>
      <c r="BS215" s="26">
        <f>(((100/((100-(tabCustoUnit[[#This Row],[Resumo de Alíquotas (PIS+CONFINS+ISS)]]*100))%)-100)*tabCustoUnit[[#This Row],[ISS]])/tabCustoUnit[[#This Row],[Resumo de Alíquotas (PIS+CONFINS+ISS)]])/100</f>
        <v>2.2535211267605645E-2</v>
      </c>
      <c r="BT21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15" s="138">
        <f>tabCustoUnit[[#This Row],[COFINS]]+tabCustoUnit[[#This Row],[PIS]]+tabCustoUnit[[#This Row],[ISS (Conversão Alíquota s/ fatura)]]</f>
        <v>0.12676056338028174</v>
      </c>
      <c r="BV215" s="22" t="e">
        <f ca="1">(tabCustoUnit[[#This Row],[TOTAL MÓDULOS 1+2+3+4+5]]+tabCustoUnit[[#This Row],[Custos Indiretos]]+tabCustoUnit[[#This Row],[Lucro]])*tabCustoUnit[[#This Row],[PIS + COFINS + ISS (Total Conversão  Alíquota s/ Fatura)]]</f>
        <v>#NAME?</v>
      </c>
      <c r="BW215" s="22" t="e">
        <f ca="1">tabCustoUnit[[#This Row],[Custos Indiretos]]+tabCustoUnit[[#This Row],[Lucro]]+tabCustoUnit[[#This Row],[Valor dos Tributos (ISS, PIS, CONFINS)]]</f>
        <v>#NAME?</v>
      </c>
      <c r="BX215" s="22" t="e">
        <f ca="1">tabCustoUnit[[#This Row],[TOTAL MÓDULOS 1+2+3+4+5]]+tabCustoUnit[[#This Row],[MÓDULO 6 – CUSTOS INDIRETOS, TRIBUTOS E LUCRO]]</f>
        <v>#NAME?</v>
      </c>
      <c r="BY215" s="22" t="e">
        <f ca="1">tabCustoUnit[[#This Row],[CUSTO TOTAL MENSAL]]*12</f>
        <v>#NAME?</v>
      </c>
      <c r="BZ215" s="24">
        <f>VLOOKUP(tabCustoUnit[[#This Row],[Código do Posto]],tabParametros[],MATCH(tabCustoUnit[[#Headers],[ANO DA CCT]],tabParametros[#Headers],0),0)</f>
        <v>45658</v>
      </c>
      <c r="CA215" s="25" t="str">
        <f>VLOOKUP(tabCustoUnit[[#This Row],[Código do Posto]],tabParametros[],MATCH(tabCustoUnit[[#Headers],[Nº DE PEDIDO DA CCT]],tabParametros[#Headers],0),0)</f>
        <v>-</v>
      </c>
      <c r="CB215" s="25" t="str">
        <f>VLOOKUP(tabCustoUnit[[#This Row],[Código do Posto]],tabParametros[],MATCH(tabCustoUnit[[#Headers],[TERMO ADITIVO ALTERAÇÃO DA CCT]],tabParametros[#Headers],0),0)</f>
        <v>-</v>
      </c>
    </row>
    <row r="216" spans="1:80">
      <c r="A216" s="20" t="s">
        <v>1648</v>
      </c>
      <c r="B216" t="s">
        <v>1167</v>
      </c>
      <c r="C216" t="s">
        <v>314</v>
      </c>
      <c r="D216" t="s">
        <v>954</v>
      </c>
      <c r="E216" s="20" t="s">
        <v>1090</v>
      </c>
      <c r="F216" s="20" t="s">
        <v>120</v>
      </c>
      <c r="G216" s="418">
        <v>1963.4110000000001</v>
      </c>
      <c r="H216" s="418">
        <v>0</v>
      </c>
      <c r="I216" s="418">
        <v>0</v>
      </c>
      <c r="J216" s="418">
        <v>0</v>
      </c>
      <c r="K216" s="418">
        <v>0</v>
      </c>
      <c r="L216" s="418">
        <v>0</v>
      </c>
      <c r="M216" s="418">
        <v>0</v>
      </c>
      <c r="N216" s="418">
        <v>0</v>
      </c>
      <c r="O216" s="21">
        <f>SUM(tabCustoUnit[[#This Row],[Salário Base]:[Adicional de Acúmulo de função]])</f>
        <v>1963.4110000000001</v>
      </c>
      <c r="P216" s="21">
        <f>tabCustoUnit[[#This Row],[MODULO 1 - REMUNERAÇÃO ]]*SUMIFS(tabParametros[INSS],tabParametros[Código do Posto],tabCustoUnit[[#This Row],[Código do Posto]])</f>
        <v>392.68220000000002</v>
      </c>
      <c r="Q216" s="21">
        <f>tabCustoUnit[[#This Row],[MODULO 1 - REMUNERAÇÃO ]]*SUMIFS(tabParametros[SESI OU SESC],tabParametros[Código do Posto],tabCustoUnit[[#This Row],[Código do Posto]])</f>
        <v>29.451165</v>
      </c>
      <c r="R216" s="21">
        <f>tabCustoUnit[[#This Row],[MODULO 1 - REMUNERAÇÃO ]]*SUMIFS(tabParametros[SENAI OU SENAC],tabParametros[Código do Posto],tabCustoUnit[[#This Row],[Código do Posto]])</f>
        <v>19.63411</v>
      </c>
      <c r="S216" s="21">
        <f>tabCustoUnit[[#This Row],[MODULO 1 - REMUNERAÇÃO ]]*SUMIFS(tabParametros[INCRA],tabParametros[Código do Posto],tabCustoUnit[[#This Row],[Código do Posto]])</f>
        <v>3.926822</v>
      </c>
      <c r="T216" s="21">
        <f>tabCustoUnit[[#This Row],[MODULO 1 - REMUNERAÇÃO ]]*SUMIFS(tabParametros[Salário Educação],tabParametros[Código do Posto],tabCustoUnit[[#This Row],[Código do Posto]])</f>
        <v>49.085275000000003</v>
      </c>
      <c r="U216" s="21">
        <f>tabCustoUnit[[#This Row],[MODULO 1 - REMUNERAÇÃO ]]*SUMIFS(tabParametros[FGTS],tabParametros[Código do Posto],tabCustoUnit[[#This Row],[Código do Posto]])</f>
        <v>157.07288</v>
      </c>
      <c r="V216" s="21">
        <f>tabCustoUnit[[#This Row],[MODULO 1 - REMUNERAÇÃO ]]*SUMIFS(tabParametros[RAT Ajustado],tabParametros[Código do Posto],tabCustoUnit[[#This Row],[Código do Posto]])</f>
        <v>78.536439999999999</v>
      </c>
      <c r="W216" s="21">
        <f>tabCustoUnit[[#This Row],[MODULO 1 - REMUNERAÇÃO ]]*SUMIFS(tabParametros[SEBRAE],tabParametros[Código do Posto],tabCustoUnit[[#This Row],[Código do Posto]])</f>
        <v>11.780466000000001</v>
      </c>
      <c r="X216" s="21">
        <f>SUM(tabCustoUnit[[#This Row],[INSS]:[SEBRAE]])</f>
        <v>742.1693580000001</v>
      </c>
      <c r="Y216" s="21">
        <f>tabCustoUnit[[#This Row],[MODULO 1 - REMUNERAÇÃO ]]*SUMIFS(tabParametros[13º salário (titular)],tabParametros[Código do Posto],tabCustoUnit[[#This Row],[Código do Posto]])</f>
        <v>163.61758333333333</v>
      </c>
      <c r="Z216" s="21">
        <f>tabCustoUnit[[#This Row],[MODULO 1 - REMUNERAÇÃO ]]*SUMIFS(tabParametros[Férias e Adicional de Férias (titular)],tabParametros[Código do Posto],tabCustoUnit[[#This Row],[Código do Posto]])</f>
        <v>218.15677777777776</v>
      </c>
      <c r="AA216" s="21">
        <f>IFERROR((tabCustoUnit[[#This Row],[Submódulo 2.1]]/tabCustoUnit[[#This Row],[MODULO 1 - REMUNERAÇÃO ]])*SUM(tabCustoUnit[[#This Row],[13º salário (titular)]:[Férias e Adicional de Férias (titular)]]),0)</f>
        <v>144.3107085</v>
      </c>
      <c r="AB216" s="21">
        <f>SUM(tabCustoUnit[[#This Row],[13º salário (titular)]:[Incidência do Submódulo 2.1 sobre 13º Salário, Férias e Adicional de Férias]])</f>
        <v>526.08506961111107</v>
      </c>
      <c r="AC216" s="22" t="e">
        <f ca="1">_xlfn.LET(_xlpm.VT,SUMIF(tabParametros[Código do Posto],tabCustoUnit[[#This Row],[Código do Posto]],tabParametros[Vale - Transporte])*2*20,
IF((_xlpm.VT-tabCustoUnit[[#This Row],[Salário Base]]*0.06)&gt;=0,(_xlpm.VT-tabCustoUnit[[#This Row],[Salário Base]]*0.06),0)
)</f>
        <v>#NAME?</v>
      </c>
      <c r="AD216" s="22">
        <f>IF(SUMIF(tabParametros[Código do Posto],tabCustoUnit[[#This Row],[Código do Posto]],tabParametros[Vale - Alimentação])&lt;=0,0,
SUMIF(tabParametros[Código do Posto],tabCustoUnit[[#This Row],[Código do Posto]],tabParametros[Vale - Alimentação])*20-1)</f>
        <v>582</v>
      </c>
      <c r="AE216" s="22">
        <f>SUMIF(tabParametros[Código do Posto],tabCustoUnit[[#This Row],[Código do Posto]],tabParametros[Cesta Básica])</f>
        <v>0</v>
      </c>
      <c r="AF216" s="22">
        <f>SUMIF(tabParametros[Código do Posto],tabCustoUnit[[#This Row],[Código do Posto]],tabParametros[PAF])</f>
        <v>51.88</v>
      </c>
      <c r="AG216" s="22">
        <f>SUMIF(tabParametros[Código do Posto],tabCustoUnit[[#This Row],[Código do Posto]],tabParametros[PQM])</f>
        <v>0</v>
      </c>
      <c r="AH216" s="22">
        <f>SUMIF(tabParametros[Código do Posto],tabCustoUnit[[#This Row],[Código do Posto]],tabParametros[Abono Único e Especial])</f>
        <v>0</v>
      </c>
      <c r="AI216" s="22">
        <f>SUMIF(tabParametros[Código do Posto],tabCustoUnit[[#This Row],[Código do Posto]],tabParametros[Seguro de Vida])</f>
        <v>3.36</v>
      </c>
      <c r="AJ216" s="22">
        <f>SUMIF(tabParametros[Código do Posto],tabCustoUnit[[#This Row],[Código do Posto]],tabParametros[Despesas de Viagem])</f>
        <v>0</v>
      </c>
      <c r="AK216" s="22" t="e">
        <f ca="1">SUM(tabCustoUnit[[#This Row],[Vale - Transporte (Descontada parcela do empregado)]:[Despesas de Viagem]])</f>
        <v>#NAME?</v>
      </c>
      <c r="AL216" s="22" t="e">
        <f ca="1">tabCustoUnit[[#This Row],[Submódulo 2.1]]+tabCustoUnit[[#This Row],[Submódulo 2.2]]+tabCustoUnit[[#This Row],[Submódulo 2.3]]</f>
        <v>#NAME?</v>
      </c>
      <c r="AM216" s="22">
        <f>SUMIF(tabParametros[Código do Posto],tabCustoUnit[[#This Row],[Código do Posto]],tabParametros[Aviso Prévio Indenizado (API) e Reflexo do Aviso Prévio Indenizado])*tabCustoUnit[[#This Row],[MODULO 1 - REMUNERAÇÃO ]]</f>
        <v>13.766980408757716</v>
      </c>
      <c r="AN216" s="22">
        <f>SUMIF(tabParametros[Código do Posto],tabCustoUnit[[#This Row],[Código do Posto]],tabParametros[Incidência do FGTS sobre API e Reflexo do API])*tabCustoUnit[[#This Row],[MODULO 1 - REMUNERAÇÃO ]]</f>
        <v>1.1013584327006174</v>
      </c>
      <c r="AO216" s="22">
        <f>SUMIF(tabParametros[Código do Posto],tabCustoUnit[[#This Row],[Código do Posto]],tabParametros[Multa Rescisória do FGTS sobre o Aviso Prévio Indenizado])*tabCustoUnit[[#This Row],[MODULO 1 - REMUNERAÇÃO ]]</f>
        <v>0.44054337308024699</v>
      </c>
      <c r="AP216" s="22">
        <f>SUMIF(tabParametros[Código do Posto],tabCustoUnit[[#This Row],[Código do Posto]],tabParametros[Aviso Prévio Trabalhado - APT])*tabCustoUnit[[#This Row],[MODULO 1 - REMUNERAÇÃO ]]</f>
        <v>6.8719385000000015</v>
      </c>
      <c r="AQ216" s="22">
        <f>SUMIF(tabParametros[Código do Posto],tabCustoUnit[[#This Row],[Código do Posto]],tabParametros[Incidência dos encargos do submódulo 2.1 sobre Aviso Prévio Trabalhado])*tabCustoUnit[[#This Row],[MODULO 1 - REMUNERAÇÃO ]]</f>
        <v>2.5975927530000007</v>
      </c>
      <c r="AR216" s="22">
        <f>SUMIF(tabParametros[Código do Posto],tabCustoUnit[[#This Row],[Código do Posto]],tabParametros[Multa Rescisória do FGTS])*tabCustoUnit[[#This Row],[MODULO 1 - REMUNERAÇÃO ]]</f>
        <v>60.03674524444444</v>
      </c>
      <c r="AS216" s="22">
        <f>SUMIF(tabParametros[Código do Posto],tabCustoUnit[[#This Row],[Código do Posto]],tabParametros[Indenização Adicional (Art. 9º da Lei nº 7.238/84)])*tabCustoUnit[[#This Row],[MODULO 1 - REMUNERAÇÃO ]]</f>
        <v>1.6361758333333334</v>
      </c>
      <c r="AT216" s="22">
        <f>SUM(tabCustoUnit[[#This Row],[Aviso Prévio Indenizado (API) e Reflexo do Aviso Prévio Indenizado]:[Indenização Adicional (Art. 9º da Lei nº 7.238/84)]])</f>
        <v>86.451334545316371</v>
      </c>
      <c r="AU216" s="22">
        <f>SUMIF(tabParametros[Código do Posto],tabCustoUnit[[#This Row],[Código do Posto]],tabParametros[Ausência por Doença])*tabCustoUnit[[#This Row],[MODULO 1 - REMUNERAÇÃO ]]</f>
        <v>16.579915111111109</v>
      </c>
      <c r="AV216" s="22">
        <f>SUMIF(tabParametros[Código do Posto],tabCustoUnit[[#This Row],[Código do Posto]],tabParametros[Ausências Legais])*tabCustoUnit[[#This Row],[MODULO 1 - REMUNERAÇÃO ]]</f>
        <v>3.9813611944444443</v>
      </c>
      <c r="AW216" s="22">
        <f>SUMIF(tabParametros[Código do Posto],tabCustoUnit[[#This Row],[Código do Posto]],tabParametros[Licença Paternidade])*tabCustoUnit[[#This Row],[MODULO 1 - REMUNERAÇÃO ]]</f>
        <v>0.33541604583333334</v>
      </c>
      <c r="AX216" s="22">
        <f>SUMIF(tabParametros[Código do Posto],tabCustoUnit[[#This Row],[Código do Posto]],tabParametros[Ausência por Acidente de Trabalho])*tabCustoUnit[[#This Row],[MODULO 1 - REMUNERAÇÃO ]]</f>
        <v>0.40904395833333335</v>
      </c>
      <c r="AY216" s="22">
        <f>SUMIF(tabParametros[Código do Posto],tabCustoUnit[[#This Row],[Código do Posto]],tabParametros[Férias, Adicional de Férias e 13º  com empregada em gozo de Licença Maternidade])*tabCustoUnit[[#This Row],[MODULO 1 - REMUNERAÇÃO ]]</f>
        <v>2.5451624074074073</v>
      </c>
      <c r="AZ216" s="22">
        <f>SUMIF(tabParametros[Código do Posto],tabCustoUnit[[#This Row],[Código do Posto]],tabParametros[Incidência do Submódulo 2.1 sobre Ausências Legais])*tabCustoUnit[[#This Row],[MODULO 1 - REMUNERAÇÃO ]]</f>
        <v>9.0156397150750021</v>
      </c>
      <c r="BA216" s="22">
        <f>SUM(tabCustoUnit[[#This Row],[Ausência por Doença]:[Incidência do Submódulo 2.1 sobre Ausências Legais]])</f>
        <v>32.866538432204628</v>
      </c>
      <c r="BB216" s="22">
        <f>SUMIF(tabParametros[Código do Posto],tabCustoUnit[[#This Row],[Código do Posto]],tabParametros[Intervalo para Repouso ou Alimentação])</f>
        <v>267.73786489195959</v>
      </c>
      <c r="BC216" s="22">
        <f>tabCustoUnit[[#This Row],[Intervalo para Repouso ou Alimentação]]</f>
        <v>267.73786489195959</v>
      </c>
      <c r="BD21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6" s="22">
        <f>tabCustoUnit[[#This Row],[Suspensão Temporária do Contrato de Trabalho]]</f>
        <v>0</v>
      </c>
      <c r="BF216" s="22">
        <f>tabCustoUnit[[#This Row],[Submódulo 4.1]]+tabCustoUnit[[#This Row],[Submódulo 4.2]]+tabCustoUnit[[#This Row],[Submódulo 4.3]]</f>
        <v>300.6044033241642</v>
      </c>
      <c r="BG216" s="22">
        <f>VLOOKUP(tabCustoUnit[[#This Row],[Código do Posto]],tabParametros[],MATCH(tabCustoUnit[[#Headers],[Uniformes e EPIs]],tabParametros[#Headers],0),0)</f>
        <v>56.642978962543395</v>
      </c>
      <c r="BH216" s="22">
        <f>VLOOKUP(tabCustoUnit[[#This Row],[Código do Posto]],tabParametros[],MATCH(tabCustoUnit[[#Headers],[Materiais de Consumo]],tabParametros[#Headers],0),0)</f>
        <v>0</v>
      </c>
      <c r="BI216" s="22">
        <f>VLOOKUP(tabCustoUnit[[#This Row],[Código do Posto]],tabParametros[],MATCH(tabCustoUnit[[#Headers],[Máquinas e Equipamentos (depreciação)]],tabParametros[#Headers],0),0)</f>
        <v>0</v>
      </c>
      <c r="BJ216" s="22">
        <f>VLOOKUP(tabCustoUnit[[#This Row],[Código do Posto]],tabParametros[],MATCH(tabCustoUnit[[#Headers],[Produtos de Limpeza e Materiais de Higiene Pessoal]],tabParametros[#Headers],0),0)</f>
        <v>0</v>
      </c>
      <c r="BK216" s="22">
        <f>VLOOKUP(tabCustoUnit[[#This Row],[Código do Posto]],tabParametros[],MATCH(tabCustoUnit[[#Headers],[Outros (especificar)]],tabParametros[#Headers],0),0)</f>
        <v>0</v>
      </c>
      <c r="BL216" s="22">
        <f>SUM(tabCustoUnit[[#This Row],[Uniformes e EPIs]:[Outros (especificar)]])</f>
        <v>56.642978962543395</v>
      </c>
      <c r="BM21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6" s="22" t="e">
        <f ca="1">VLOOKUP(tabCustoUnit[[#This Row],[Código do Posto]],tabParametros[],MATCH(tabCustoUnit[[#Headers],[Custos Indiretos]],tabParametros[#Headers],0),0)</f>
        <v>#NAME?</v>
      </c>
      <c r="BO216" s="22" t="e">
        <f ca="1">VLOOKUP(tabCustoUnit[[#This Row],[Código do Posto]],tabParametros[],MATCH(tabCustoUnit[[#Headers],[Lucro]],tabParametros[#Headers],0),0)</f>
        <v>#NAME?</v>
      </c>
      <c r="BP216" s="26">
        <f>((100/((1-tabCustoUnit[[#This Row],[Resumo de Alíquotas (PIS+CONFINS+ISS)]]))-100)*VLOOKUP(tabCustoUnit[[#This Row],[Código do Posto]],tabParametros[],MATCH(tabCustoUnit[[#Headers],[COFINS]],tabParametros[#Headers],0),0))/(tabCustoUnit[[#This Row],[Resumo de Alíquotas (PIS+CONFINS+ISS)]]*100)</f>
        <v>8.6609686609686695E-2</v>
      </c>
      <c r="BQ216" s="26">
        <f>((100/((100-(tabCustoUnit[[#This Row],[Resumo de Alíquotas (PIS+CONFINS+ISS)]]*100))%)-100)*VLOOKUP(tabCustoUnit[[#This Row],[Código do Posto]],tabParametros[],MATCH(tabCustoUnit[[#Headers],[PIS]],tabParametros[#Headers],0),0))/(tabCustoUnit[[#This Row],[Resumo de Alíquotas (PIS+CONFINS+ISS)]]*100)</f>
        <v>1.880341880341882E-2</v>
      </c>
      <c r="BR216" s="28">
        <f>VLOOKUP(tabCustoUnit[[#This Row],[Código do Posto]],tabParametros[],MATCH(tabCustoUnit[[#Headers],[ISS]],tabParametros[#Headers],0),0)</f>
        <v>0.03</v>
      </c>
      <c r="BS216" s="26">
        <f>(((100/((100-(tabCustoUnit[[#This Row],[Resumo de Alíquotas (PIS+CONFINS+ISS)]]*100))%)-100)*tabCustoUnit[[#This Row],[ISS]])/tabCustoUnit[[#This Row],[Resumo de Alíquotas (PIS+CONFINS+ISS)]])/100</f>
        <v>3.4188034188034219E-2</v>
      </c>
      <c r="BT21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6" s="138">
        <f>tabCustoUnit[[#This Row],[COFINS]]+tabCustoUnit[[#This Row],[PIS]]+tabCustoUnit[[#This Row],[ISS (Conversão Alíquota s/ fatura)]]</f>
        <v>0.13960113960113973</v>
      </c>
      <c r="BV216" s="22" t="e">
        <f ca="1">(tabCustoUnit[[#This Row],[TOTAL MÓDULOS 1+2+3+4+5]]+tabCustoUnit[[#This Row],[Custos Indiretos]]+tabCustoUnit[[#This Row],[Lucro]])*tabCustoUnit[[#This Row],[PIS + COFINS + ISS (Total Conversão  Alíquota s/ Fatura)]]</f>
        <v>#NAME?</v>
      </c>
      <c r="BW216" s="22" t="e">
        <f ca="1">tabCustoUnit[[#This Row],[Custos Indiretos]]+tabCustoUnit[[#This Row],[Lucro]]+tabCustoUnit[[#This Row],[Valor dos Tributos (ISS, PIS, CONFINS)]]</f>
        <v>#NAME?</v>
      </c>
      <c r="BX216" s="22" t="e">
        <f ca="1">tabCustoUnit[[#This Row],[TOTAL MÓDULOS 1+2+3+4+5]]+tabCustoUnit[[#This Row],[MÓDULO 6 – CUSTOS INDIRETOS, TRIBUTOS E LUCRO]]</f>
        <v>#NAME?</v>
      </c>
      <c r="BY216" s="22" t="e">
        <f ca="1">tabCustoUnit[[#This Row],[CUSTO TOTAL MENSAL]]*12</f>
        <v>#NAME?</v>
      </c>
      <c r="BZ216" s="24">
        <f>VLOOKUP(tabCustoUnit[[#This Row],[Código do Posto]],tabParametros[],MATCH(tabCustoUnit[[#Headers],[ANO DA CCT]],tabParametros[#Headers],0),0)</f>
        <v>45658</v>
      </c>
      <c r="CA216" s="25" t="str">
        <f>VLOOKUP(tabCustoUnit[[#This Row],[Código do Posto]],tabParametros[],MATCH(tabCustoUnit[[#Headers],[Nº DE PEDIDO DA CCT]],tabParametros[#Headers],0),0)</f>
        <v>-</v>
      </c>
      <c r="CB216" s="25" t="str">
        <f>VLOOKUP(tabCustoUnit[[#This Row],[Código do Posto]],tabParametros[],MATCH(tabCustoUnit[[#Headers],[TERMO ADITIVO ALTERAÇÃO DA CCT]],tabParametros[#Headers],0),0)</f>
        <v>-</v>
      </c>
    </row>
    <row r="217" spans="1:80">
      <c r="A217" s="20" t="s">
        <v>1649</v>
      </c>
      <c r="B217" t="s">
        <v>1168</v>
      </c>
      <c r="C217" t="s">
        <v>314</v>
      </c>
      <c r="D217" t="s">
        <v>1048</v>
      </c>
      <c r="E217" s="20" t="s">
        <v>1090</v>
      </c>
      <c r="F217" s="20" t="s">
        <v>120</v>
      </c>
      <c r="G217" s="418">
        <v>1963.4110000000001</v>
      </c>
      <c r="H217" s="418">
        <v>0</v>
      </c>
      <c r="I217" s="418">
        <v>0</v>
      </c>
      <c r="J217" s="418">
        <v>0</v>
      </c>
      <c r="K217" s="418">
        <v>0</v>
      </c>
      <c r="L217" s="418">
        <v>0</v>
      </c>
      <c r="M217" s="418">
        <v>0</v>
      </c>
      <c r="N217" s="418">
        <v>0</v>
      </c>
      <c r="O217" s="21">
        <f>SUM(tabCustoUnit[[#This Row],[Salário Base]:[Adicional de Acúmulo de função]])</f>
        <v>1963.4110000000001</v>
      </c>
      <c r="P217" s="21">
        <f>tabCustoUnit[[#This Row],[MODULO 1 - REMUNERAÇÃO ]]*SUMIFS(tabParametros[INSS],tabParametros[Código do Posto],tabCustoUnit[[#This Row],[Código do Posto]])</f>
        <v>392.68220000000002</v>
      </c>
      <c r="Q217" s="21">
        <f>tabCustoUnit[[#This Row],[MODULO 1 - REMUNERAÇÃO ]]*SUMIFS(tabParametros[SESI OU SESC],tabParametros[Código do Posto],tabCustoUnit[[#This Row],[Código do Posto]])</f>
        <v>29.451165</v>
      </c>
      <c r="R217" s="21">
        <f>tabCustoUnit[[#This Row],[MODULO 1 - REMUNERAÇÃO ]]*SUMIFS(tabParametros[SENAI OU SENAC],tabParametros[Código do Posto],tabCustoUnit[[#This Row],[Código do Posto]])</f>
        <v>19.63411</v>
      </c>
      <c r="S217" s="21">
        <f>tabCustoUnit[[#This Row],[MODULO 1 - REMUNERAÇÃO ]]*SUMIFS(tabParametros[INCRA],tabParametros[Código do Posto],tabCustoUnit[[#This Row],[Código do Posto]])</f>
        <v>3.926822</v>
      </c>
      <c r="T217" s="21">
        <f>tabCustoUnit[[#This Row],[MODULO 1 - REMUNERAÇÃO ]]*SUMIFS(tabParametros[Salário Educação],tabParametros[Código do Posto],tabCustoUnit[[#This Row],[Código do Posto]])</f>
        <v>49.085275000000003</v>
      </c>
      <c r="U217" s="21">
        <f>tabCustoUnit[[#This Row],[MODULO 1 - REMUNERAÇÃO ]]*SUMIFS(tabParametros[FGTS],tabParametros[Código do Posto],tabCustoUnit[[#This Row],[Código do Posto]])</f>
        <v>157.07288</v>
      </c>
      <c r="V217" s="21">
        <f>tabCustoUnit[[#This Row],[MODULO 1 - REMUNERAÇÃO ]]*SUMIFS(tabParametros[RAT Ajustado],tabParametros[Código do Posto],tabCustoUnit[[#This Row],[Código do Posto]])</f>
        <v>78.536439999999999</v>
      </c>
      <c r="W217" s="21">
        <f>tabCustoUnit[[#This Row],[MODULO 1 - REMUNERAÇÃO ]]*SUMIFS(tabParametros[SEBRAE],tabParametros[Código do Posto],tabCustoUnit[[#This Row],[Código do Posto]])</f>
        <v>11.780466000000001</v>
      </c>
      <c r="X217" s="21">
        <f>SUM(tabCustoUnit[[#This Row],[INSS]:[SEBRAE]])</f>
        <v>742.1693580000001</v>
      </c>
      <c r="Y217" s="21">
        <f>tabCustoUnit[[#This Row],[MODULO 1 - REMUNERAÇÃO ]]*SUMIFS(tabParametros[13º salário (titular)],tabParametros[Código do Posto],tabCustoUnit[[#This Row],[Código do Posto]])</f>
        <v>163.61758333333333</v>
      </c>
      <c r="Z217" s="21">
        <f>tabCustoUnit[[#This Row],[MODULO 1 - REMUNERAÇÃO ]]*SUMIFS(tabParametros[Férias e Adicional de Férias (titular)],tabParametros[Código do Posto],tabCustoUnit[[#This Row],[Código do Posto]])</f>
        <v>218.15677777777776</v>
      </c>
      <c r="AA217" s="21">
        <f>IFERROR((tabCustoUnit[[#This Row],[Submódulo 2.1]]/tabCustoUnit[[#This Row],[MODULO 1 - REMUNERAÇÃO ]])*SUM(tabCustoUnit[[#This Row],[13º salário (titular)]:[Férias e Adicional de Férias (titular)]]),0)</f>
        <v>144.3107085</v>
      </c>
      <c r="AB217" s="21">
        <f>SUM(tabCustoUnit[[#This Row],[13º salário (titular)]:[Incidência do Submódulo 2.1 sobre 13º Salário, Férias e Adicional de Férias]])</f>
        <v>526.08506961111107</v>
      </c>
      <c r="AC217" s="22" t="e">
        <f ca="1">_xlfn.LET(_xlpm.VT,SUMIF(tabParametros[Código do Posto],tabCustoUnit[[#This Row],[Código do Posto]],tabParametros[Vale - Transporte])*2*20,
IF((_xlpm.VT-tabCustoUnit[[#This Row],[Salário Base]]*0.06)&gt;=0,(_xlpm.VT-tabCustoUnit[[#This Row],[Salário Base]]*0.06),0)
)</f>
        <v>#NAME?</v>
      </c>
      <c r="AD217" s="22">
        <f>IF(SUMIF(tabParametros[Código do Posto],tabCustoUnit[[#This Row],[Código do Posto]],tabParametros[Vale - Alimentação])&lt;=0,0,
SUMIF(tabParametros[Código do Posto],tabCustoUnit[[#This Row],[Código do Posto]],tabParametros[Vale - Alimentação])*20-1)</f>
        <v>582</v>
      </c>
      <c r="AE217" s="22">
        <f>SUMIF(tabParametros[Código do Posto],tabCustoUnit[[#This Row],[Código do Posto]],tabParametros[Cesta Básica])</f>
        <v>0</v>
      </c>
      <c r="AF217" s="22">
        <f>SUMIF(tabParametros[Código do Posto],tabCustoUnit[[#This Row],[Código do Posto]],tabParametros[PAF])</f>
        <v>0</v>
      </c>
      <c r="AG217" s="22">
        <f>SUMIF(tabParametros[Código do Posto],tabCustoUnit[[#This Row],[Código do Posto]],tabParametros[PQM])</f>
        <v>0</v>
      </c>
      <c r="AH217" s="22">
        <f>SUMIF(tabParametros[Código do Posto],tabCustoUnit[[#This Row],[Código do Posto]],tabParametros[Abono Único e Especial])</f>
        <v>0</v>
      </c>
      <c r="AI217" s="22">
        <f>SUMIF(tabParametros[Código do Posto],tabCustoUnit[[#This Row],[Código do Posto]],tabParametros[Seguro de Vida])</f>
        <v>3.36</v>
      </c>
      <c r="AJ217" s="22">
        <f>SUMIF(tabParametros[Código do Posto],tabCustoUnit[[#This Row],[Código do Posto]],tabParametros[Despesas de Viagem])</f>
        <v>0</v>
      </c>
      <c r="AK217" s="22" t="e">
        <f ca="1">SUM(tabCustoUnit[[#This Row],[Vale - Transporte (Descontada parcela do empregado)]:[Despesas de Viagem]])</f>
        <v>#NAME?</v>
      </c>
      <c r="AL217" s="22" t="e">
        <f ca="1">tabCustoUnit[[#This Row],[Submódulo 2.1]]+tabCustoUnit[[#This Row],[Submódulo 2.2]]+tabCustoUnit[[#This Row],[Submódulo 2.3]]</f>
        <v>#NAME?</v>
      </c>
      <c r="AM217" s="22">
        <f>SUMIF(tabParametros[Código do Posto],tabCustoUnit[[#This Row],[Código do Posto]],tabParametros[Aviso Prévio Indenizado (API) e Reflexo do Aviso Prévio Indenizado])*tabCustoUnit[[#This Row],[MODULO 1 - REMUNERAÇÃO ]]</f>
        <v>13.766980408757716</v>
      </c>
      <c r="AN217" s="22">
        <f>SUMIF(tabParametros[Código do Posto],tabCustoUnit[[#This Row],[Código do Posto]],tabParametros[Incidência do FGTS sobre API e Reflexo do API])*tabCustoUnit[[#This Row],[MODULO 1 - REMUNERAÇÃO ]]</f>
        <v>1.1013584327006174</v>
      </c>
      <c r="AO217" s="22">
        <f>SUMIF(tabParametros[Código do Posto],tabCustoUnit[[#This Row],[Código do Posto]],tabParametros[Multa Rescisória do FGTS sobre o Aviso Prévio Indenizado])*tabCustoUnit[[#This Row],[MODULO 1 - REMUNERAÇÃO ]]</f>
        <v>0.44054337308024699</v>
      </c>
      <c r="AP217" s="22">
        <f>SUMIF(tabParametros[Código do Posto],tabCustoUnit[[#This Row],[Código do Posto]],tabParametros[Aviso Prévio Trabalhado - APT])*tabCustoUnit[[#This Row],[MODULO 1 - REMUNERAÇÃO ]]</f>
        <v>6.8719385000000015</v>
      </c>
      <c r="AQ217" s="22">
        <f>SUMIF(tabParametros[Código do Posto],tabCustoUnit[[#This Row],[Código do Posto]],tabParametros[Incidência dos encargos do submódulo 2.1 sobre Aviso Prévio Trabalhado])*tabCustoUnit[[#This Row],[MODULO 1 - REMUNERAÇÃO ]]</f>
        <v>2.5975927530000007</v>
      </c>
      <c r="AR217" s="22">
        <f>SUMIF(tabParametros[Código do Posto],tabCustoUnit[[#This Row],[Código do Posto]],tabParametros[Multa Rescisória do FGTS])*tabCustoUnit[[#This Row],[MODULO 1 - REMUNERAÇÃO ]]</f>
        <v>60.03674524444444</v>
      </c>
      <c r="AS217" s="22">
        <f>SUMIF(tabParametros[Código do Posto],tabCustoUnit[[#This Row],[Código do Posto]],tabParametros[Indenização Adicional (Art. 9º da Lei nº 7.238/84)])*tabCustoUnit[[#This Row],[MODULO 1 - REMUNERAÇÃO ]]</f>
        <v>1.6361758333333334</v>
      </c>
      <c r="AT217" s="22">
        <f>SUM(tabCustoUnit[[#This Row],[Aviso Prévio Indenizado (API) e Reflexo do Aviso Prévio Indenizado]:[Indenização Adicional (Art. 9º da Lei nº 7.238/84)]])</f>
        <v>86.451334545316371</v>
      </c>
      <c r="AU217" s="22">
        <f>SUMIF(tabParametros[Código do Posto],tabCustoUnit[[#This Row],[Código do Posto]],tabParametros[Ausência por Doença])*tabCustoUnit[[#This Row],[MODULO 1 - REMUNERAÇÃO ]]</f>
        <v>16.579915111111109</v>
      </c>
      <c r="AV217" s="22">
        <f>SUMIF(tabParametros[Código do Posto],tabCustoUnit[[#This Row],[Código do Posto]],tabParametros[Ausências Legais])*tabCustoUnit[[#This Row],[MODULO 1 - REMUNERAÇÃO ]]</f>
        <v>3.9813611944444443</v>
      </c>
      <c r="AW217" s="22">
        <f>SUMIF(tabParametros[Código do Posto],tabCustoUnit[[#This Row],[Código do Posto]],tabParametros[Licença Paternidade])*tabCustoUnit[[#This Row],[MODULO 1 - REMUNERAÇÃO ]]</f>
        <v>0.33541604583333334</v>
      </c>
      <c r="AX217" s="22">
        <f>SUMIF(tabParametros[Código do Posto],tabCustoUnit[[#This Row],[Código do Posto]],tabParametros[Ausência por Acidente de Trabalho])*tabCustoUnit[[#This Row],[MODULO 1 - REMUNERAÇÃO ]]</f>
        <v>0.40904395833333335</v>
      </c>
      <c r="AY217" s="22">
        <f>SUMIF(tabParametros[Código do Posto],tabCustoUnit[[#This Row],[Código do Posto]],tabParametros[Férias, Adicional de Férias e 13º  com empregada em gozo de Licença Maternidade])*tabCustoUnit[[#This Row],[MODULO 1 - REMUNERAÇÃO ]]</f>
        <v>2.5451624074074073</v>
      </c>
      <c r="AZ217" s="22">
        <f>SUMIF(tabParametros[Código do Posto],tabCustoUnit[[#This Row],[Código do Posto]],tabParametros[Incidência do Submódulo 2.1 sobre Ausências Legais])*tabCustoUnit[[#This Row],[MODULO 1 - REMUNERAÇÃO ]]</f>
        <v>9.0156397150750021</v>
      </c>
      <c r="BA217" s="22">
        <f>SUM(tabCustoUnit[[#This Row],[Ausência por Doença]:[Incidência do Submódulo 2.1 sobre Ausências Legais]])</f>
        <v>32.866538432204628</v>
      </c>
      <c r="BB217" s="22">
        <f>SUMIF(tabParametros[Código do Posto],tabCustoUnit[[#This Row],[Código do Posto]],tabParametros[Intervalo para Repouso ou Alimentação])</f>
        <v>267.73786489195959</v>
      </c>
      <c r="BC217" s="22">
        <f>tabCustoUnit[[#This Row],[Intervalo para Repouso ou Alimentação]]</f>
        <v>267.73786489195959</v>
      </c>
      <c r="BD21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7" s="22">
        <f>tabCustoUnit[[#This Row],[Suspensão Temporária do Contrato de Trabalho]]</f>
        <v>0</v>
      </c>
      <c r="BF217" s="22">
        <f>tabCustoUnit[[#This Row],[Submódulo 4.1]]+tabCustoUnit[[#This Row],[Submódulo 4.2]]+tabCustoUnit[[#This Row],[Submódulo 4.3]]</f>
        <v>300.6044033241642</v>
      </c>
      <c r="BG217" s="22">
        <f>VLOOKUP(tabCustoUnit[[#This Row],[Código do Posto]],tabParametros[],MATCH(tabCustoUnit[[#Headers],[Uniformes e EPIs]],tabParametros[#Headers],0),0)</f>
        <v>56.642978962543395</v>
      </c>
      <c r="BH217" s="22">
        <f>VLOOKUP(tabCustoUnit[[#This Row],[Código do Posto]],tabParametros[],MATCH(tabCustoUnit[[#Headers],[Materiais de Consumo]],tabParametros[#Headers],0),0)</f>
        <v>0</v>
      </c>
      <c r="BI217" s="22">
        <f>VLOOKUP(tabCustoUnit[[#This Row],[Código do Posto]],tabParametros[],MATCH(tabCustoUnit[[#Headers],[Máquinas e Equipamentos (depreciação)]],tabParametros[#Headers],0),0)</f>
        <v>0</v>
      </c>
      <c r="BJ217" s="22">
        <f>VLOOKUP(tabCustoUnit[[#This Row],[Código do Posto]],tabParametros[],MATCH(tabCustoUnit[[#Headers],[Produtos de Limpeza e Materiais de Higiene Pessoal]],tabParametros[#Headers],0),0)</f>
        <v>0</v>
      </c>
      <c r="BK217" s="22">
        <f>VLOOKUP(tabCustoUnit[[#This Row],[Código do Posto]],tabParametros[],MATCH(tabCustoUnit[[#Headers],[Outros (especificar)]],tabParametros[#Headers],0),0)</f>
        <v>0</v>
      </c>
      <c r="BL217" s="22">
        <f>SUM(tabCustoUnit[[#This Row],[Uniformes e EPIs]:[Outros (especificar)]])</f>
        <v>56.642978962543395</v>
      </c>
      <c r="BM21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7" s="22" t="e">
        <f ca="1">VLOOKUP(tabCustoUnit[[#This Row],[Código do Posto]],tabParametros[],MATCH(tabCustoUnit[[#Headers],[Custos Indiretos]],tabParametros[#Headers],0),0)</f>
        <v>#NAME?</v>
      </c>
      <c r="BO217" s="22" t="e">
        <f ca="1">VLOOKUP(tabCustoUnit[[#This Row],[Código do Posto]],tabParametros[],MATCH(tabCustoUnit[[#Headers],[Lucro]],tabParametros[#Headers],0),0)</f>
        <v>#NAME?</v>
      </c>
      <c r="BP217" s="26">
        <f>((100/((1-tabCustoUnit[[#This Row],[Resumo de Alíquotas (PIS+CONFINS+ISS)]]))-100)*VLOOKUP(tabCustoUnit[[#This Row],[Código do Posto]],tabParametros[],MATCH(tabCustoUnit[[#Headers],[COFINS]],tabParametros[#Headers],0),0))/(tabCustoUnit[[#This Row],[Resumo de Alíquotas (PIS+CONFINS+ISS)]]*100)</f>
        <v>8.6609686609686695E-2</v>
      </c>
      <c r="BQ217" s="26">
        <f>((100/((100-(tabCustoUnit[[#This Row],[Resumo de Alíquotas (PIS+CONFINS+ISS)]]*100))%)-100)*VLOOKUP(tabCustoUnit[[#This Row],[Código do Posto]],tabParametros[],MATCH(tabCustoUnit[[#Headers],[PIS]],tabParametros[#Headers],0),0))/(tabCustoUnit[[#This Row],[Resumo de Alíquotas (PIS+CONFINS+ISS)]]*100)</f>
        <v>1.880341880341882E-2</v>
      </c>
      <c r="BR217" s="28">
        <f>VLOOKUP(tabCustoUnit[[#This Row],[Código do Posto]],tabParametros[],MATCH(tabCustoUnit[[#Headers],[ISS]],tabParametros[#Headers],0),0)</f>
        <v>0.03</v>
      </c>
      <c r="BS217" s="26">
        <f>(((100/((100-(tabCustoUnit[[#This Row],[Resumo de Alíquotas (PIS+CONFINS+ISS)]]*100))%)-100)*tabCustoUnit[[#This Row],[ISS]])/tabCustoUnit[[#This Row],[Resumo de Alíquotas (PIS+CONFINS+ISS)]])/100</f>
        <v>3.4188034188034219E-2</v>
      </c>
      <c r="BT21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7" s="138">
        <f>tabCustoUnit[[#This Row],[COFINS]]+tabCustoUnit[[#This Row],[PIS]]+tabCustoUnit[[#This Row],[ISS (Conversão Alíquota s/ fatura)]]</f>
        <v>0.13960113960113973</v>
      </c>
      <c r="BV217" s="22" t="e">
        <f ca="1">(tabCustoUnit[[#This Row],[TOTAL MÓDULOS 1+2+3+4+5]]+tabCustoUnit[[#This Row],[Custos Indiretos]]+tabCustoUnit[[#This Row],[Lucro]])*tabCustoUnit[[#This Row],[PIS + COFINS + ISS (Total Conversão  Alíquota s/ Fatura)]]</f>
        <v>#NAME?</v>
      </c>
      <c r="BW217" s="22" t="e">
        <f ca="1">tabCustoUnit[[#This Row],[Custos Indiretos]]+tabCustoUnit[[#This Row],[Lucro]]+tabCustoUnit[[#This Row],[Valor dos Tributos (ISS, PIS, CONFINS)]]</f>
        <v>#NAME?</v>
      </c>
      <c r="BX217" s="22" t="e">
        <f ca="1">tabCustoUnit[[#This Row],[TOTAL MÓDULOS 1+2+3+4+5]]+tabCustoUnit[[#This Row],[MÓDULO 6 – CUSTOS INDIRETOS, TRIBUTOS E LUCRO]]</f>
        <v>#NAME?</v>
      </c>
      <c r="BY217" s="22" t="e">
        <f ca="1">tabCustoUnit[[#This Row],[CUSTO TOTAL MENSAL]]*12</f>
        <v>#NAME?</v>
      </c>
      <c r="BZ217" s="24">
        <f>VLOOKUP(tabCustoUnit[[#This Row],[Código do Posto]],tabParametros[],MATCH(tabCustoUnit[[#Headers],[ANO DA CCT]],tabParametros[#Headers],0),0)</f>
        <v>45658</v>
      </c>
      <c r="CA217" s="25" t="str">
        <f>VLOOKUP(tabCustoUnit[[#This Row],[Código do Posto]],tabParametros[],MATCH(tabCustoUnit[[#Headers],[Nº DE PEDIDO DA CCT]],tabParametros[#Headers],0),0)</f>
        <v>-</v>
      </c>
      <c r="CB217" s="25" t="str">
        <f>VLOOKUP(tabCustoUnit[[#This Row],[Código do Posto]],tabParametros[],MATCH(tabCustoUnit[[#Headers],[TERMO ADITIVO ALTERAÇÃO DA CCT]],tabParametros[#Headers],0),0)</f>
        <v>-</v>
      </c>
    </row>
    <row r="218" spans="1:80">
      <c r="A218" s="20" t="s">
        <v>1801</v>
      </c>
      <c r="B218" t="s">
        <v>939</v>
      </c>
      <c r="C218" t="s">
        <v>165</v>
      </c>
      <c r="D218" t="s">
        <v>939</v>
      </c>
      <c r="E218" s="20" t="s">
        <v>1090</v>
      </c>
      <c r="F218" s="20" t="s">
        <v>120</v>
      </c>
      <c r="G218" s="418">
        <v>2443.5248999999999</v>
      </c>
      <c r="H218" s="418">
        <v>0</v>
      </c>
      <c r="I218" s="418">
        <v>0</v>
      </c>
      <c r="J218" s="418">
        <v>0</v>
      </c>
      <c r="K218" s="418">
        <v>0</v>
      </c>
      <c r="L218" s="418">
        <v>0</v>
      </c>
      <c r="M218" s="418">
        <v>0</v>
      </c>
      <c r="N218" s="418">
        <v>0</v>
      </c>
      <c r="O218" s="21">
        <f>SUM(tabCustoUnit[[#This Row],[Salário Base]:[Adicional de Acúmulo de função]])</f>
        <v>2443.5248999999999</v>
      </c>
      <c r="P218" s="21">
        <f>tabCustoUnit[[#This Row],[MODULO 1 - REMUNERAÇÃO ]]*SUMIFS(tabParametros[INSS],tabParametros[Código do Posto],tabCustoUnit[[#This Row],[Código do Posto]])</f>
        <v>488.70497999999998</v>
      </c>
      <c r="Q218" s="21">
        <f>tabCustoUnit[[#This Row],[MODULO 1 - REMUNERAÇÃO ]]*SUMIFS(tabParametros[SESI OU SESC],tabParametros[Código do Posto],tabCustoUnit[[#This Row],[Código do Posto]])</f>
        <v>36.652873499999998</v>
      </c>
      <c r="R218" s="21">
        <f>tabCustoUnit[[#This Row],[MODULO 1 - REMUNERAÇÃO ]]*SUMIFS(tabParametros[SENAI OU SENAC],tabParametros[Código do Posto],tabCustoUnit[[#This Row],[Código do Posto]])</f>
        <v>24.435248999999999</v>
      </c>
      <c r="S218" s="21">
        <f>tabCustoUnit[[#This Row],[MODULO 1 - REMUNERAÇÃO ]]*SUMIFS(tabParametros[INCRA],tabParametros[Código do Posto],tabCustoUnit[[#This Row],[Código do Posto]])</f>
        <v>4.8870497999999998</v>
      </c>
      <c r="T218" s="21">
        <f>tabCustoUnit[[#This Row],[MODULO 1 - REMUNERAÇÃO ]]*SUMIFS(tabParametros[Salário Educação],tabParametros[Código do Posto],tabCustoUnit[[#This Row],[Código do Posto]])</f>
        <v>61.088122499999997</v>
      </c>
      <c r="U218" s="21">
        <f>tabCustoUnit[[#This Row],[MODULO 1 - REMUNERAÇÃO ]]*SUMIFS(tabParametros[FGTS],tabParametros[Código do Posto],tabCustoUnit[[#This Row],[Código do Posto]])</f>
        <v>195.48199199999999</v>
      </c>
      <c r="V218" s="21">
        <f>tabCustoUnit[[#This Row],[MODULO 1 - REMUNERAÇÃO ]]*SUMIFS(tabParametros[RAT Ajustado],tabParametros[Código do Posto],tabCustoUnit[[#This Row],[Código do Posto]])</f>
        <v>97.740995999999996</v>
      </c>
      <c r="W218" s="21">
        <f>tabCustoUnit[[#This Row],[MODULO 1 - REMUNERAÇÃO ]]*SUMIFS(tabParametros[SEBRAE],tabParametros[Código do Posto],tabCustoUnit[[#This Row],[Código do Posto]])</f>
        <v>14.661149399999999</v>
      </c>
      <c r="X218" s="21">
        <f>SUM(tabCustoUnit[[#This Row],[INSS]:[SEBRAE]])</f>
        <v>923.65241219999996</v>
      </c>
      <c r="Y218" s="21">
        <f>tabCustoUnit[[#This Row],[MODULO 1 - REMUNERAÇÃO ]]*SUMIFS(tabParametros[13º salário (titular)],tabParametros[Código do Posto],tabCustoUnit[[#This Row],[Código do Posto]])</f>
        <v>203.62707499999999</v>
      </c>
      <c r="Z218" s="21">
        <f>tabCustoUnit[[#This Row],[MODULO 1 - REMUNERAÇÃO ]]*SUMIFS(tabParametros[Férias e Adicional de Férias (titular)],tabParametros[Código do Posto],tabCustoUnit[[#This Row],[Código do Posto]])</f>
        <v>271.50276666666662</v>
      </c>
      <c r="AA218" s="21">
        <f>IFERROR((tabCustoUnit[[#This Row],[Submódulo 2.1]]/tabCustoUnit[[#This Row],[MODULO 1 - REMUNERAÇÃO ]])*SUM(tabCustoUnit[[#This Row],[13º salário (titular)]:[Férias e Adicional de Férias (titular)]]),0)</f>
        <v>179.59908014999999</v>
      </c>
      <c r="AB218" s="21">
        <f>SUM(tabCustoUnit[[#This Row],[13º salário (titular)]:[Incidência do Submódulo 2.1 sobre 13º Salário, Férias e Adicional de Férias]])</f>
        <v>654.72892181666657</v>
      </c>
      <c r="AC218" s="22" t="e">
        <f ca="1">_xlfn.LET(_xlpm.VT,SUMIF(tabParametros[Código do Posto],tabCustoUnit[[#This Row],[Código do Posto]],tabParametros[Vale - Transporte])*2*20,
IF((_xlpm.VT-tabCustoUnit[[#This Row],[Salário Base]]*0.06)&gt;=0,(_xlpm.VT-tabCustoUnit[[#This Row],[Salário Base]]*0.06),0)
)</f>
        <v>#NAME?</v>
      </c>
      <c r="AD218" s="22">
        <f>IF(SUMIF(tabParametros[Código do Posto],tabCustoUnit[[#This Row],[Código do Posto]],tabParametros[Vale - Alimentação])&lt;=0,0,
SUMIF(tabParametros[Código do Posto],tabCustoUnit[[#This Row],[Código do Posto]],tabParametros[Vale - Alimentação])*20-1)</f>
        <v>582</v>
      </c>
      <c r="AE218" s="22">
        <f>SUMIF(tabParametros[Código do Posto],tabCustoUnit[[#This Row],[Código do Posto]],tabParametros[Cesta Básica])</f>
        <v>0</v>
      </c>
      <c r="AF218" s="22">
        <f>SUMIF(tabParametros[Código do Posto],tabCustoUnit[[#This Row],[Código do Posto]],tabParametros[PAF])</f>
        <v>51.86</v>
      </c>
      <c r="AG218" s="22">
        <f>SUMIF(tabParametros[Código do Posto],tabCustoUnit[[#This Row],[Código do Posto]],tabParametros[PQM])</f>
        <v>0</v>
      </c>
      <c r="AH218" s="22">
        <f>SUMIF(tabParametros[Código do Posto],tabCustoUnit[[#This Row],[Código do Posto]],tabParametros[Abono Único e Especial])</f>
        <v>0</v>
      </c>
      <c r="AI218" s="22">
        <f>SUMIF(tabParametros[Código do Posto],tabCustoUnit[[#This Row],[Código do Posto]],tabParametros[Seguro de Vida])</f>
        <v>3.36</v>
      </c>
      <c r="AJ218" s="22">
        <f>SUMIF(tabParametros[Código do Posto],tabCustoUnit[[#This Row],[Código do Posto]],tabParametros[Despesas de Viagem])</f>
        <v>0</v>
      </c>
      <c r="AK218" s="22" t="e">
        <f ca="1">SUM(tabCustoUnit[[#This Row],[Vale - Transporte (Descontada parcela do empregado)]:[Despesas de Viagem]])</f>
        <v>#NAME?</v>
      </c>
      <c r="AL218" s="22" t="e">
        <f ca="1">tabCustoUnit[[#This Row],[Submódulo 2.1]]+tabCustoUnit[[#This Row],[Submódulo 2.2]]+tabCustoUnit[[#This Row],[Submódulo 2.3]]</f>
        <v>#NAME?</v>
      </c>
      <c r="AM218" s="22">
        <f>SUMIF(tabParametros[Código do Posto],tabCustoUnit[[#This Row],[Código do Posto]],tabParametros[Aviso Prévio Indenizado (API) e Reflexo do Aviso Prévio Indenizado])*tabCustoUnit[[#This Row],[MODULO 1 - REMUNERAÇÃO ]]</f>
        <v>17.133427197164352</v>
      </c>
      <c r="AN218" s="22">
        <f>SUMIF(tabParametros[Código do Posto],tabCustoUnit[[#This Row],[Código do Posto]],tabParametros[Incidência do FGTS sobre API e Reflexo do API])*tabCustoUnit[[#This Row],[MODULO 1 - REMUNERAÇÃO ]]</f>
        <v>1.3706741757731482</v>
      </c>
      <c r="AO218" s="22">
        <f>SUMIF(tabParametros[Código do Posto],tabCustoUnit[[#This Row],[Código do Posto]],tabParametros[Multa Rescisória do FGTS sobre o Aviso Prévio Indenizado])*tabCustoUnit[[#This Row],[MODULO 1 - REMUNERAÇÃO ]]</f>
        <v>0.54826967030925933</v>
      </c>
      <c r="AP218" s="22">
        <f>SUMIF(tabParametros[Código do Posto],tabCustoUnit[[#This Row],[Código do Posto]],tabParametros[Aviso Prévio Trabalhado - APT])*tabCustoUnit[[#This Row],[MODULO 1 - REMUNERAÇÃO ]]</f>
        <v>8.5523371500000014</v>
      </c>
      <c r="AQ218" s="22">
        <f>SUMIF(tabParametros[Código do Posto],tabCustoUnit[[#This Row],[Código do Posto]],tabParametros[Incidência dos encargos do submódulo 2.1 sobre Aviso Prévio Trabalhado])*tabCustoUnit[[#This Row],[MODULO 1 - REMUNERAÇÃO ]]</f>
        <v>3.2327834427000006</v>
      </c>
      <c r="AR218" s="22">
        <f>SUMIF(tabParametros[Código do Posto],tabCustoUnit[[#This Row],[Código do Posto]],tabParametros[Multa Rescisória do FGTS])*tabCustoUnit[[#This Row],[MODULO 1 - REMUNERAÇÃO ]]</f>
        <v>74.717561386666645</v>
      </c>
      <c r="AS218" s="22">
        <f>SUMIF(tabParametros[Código do Posto],tabCustoUnit[[#This Row],[Código do Posto]],tabParametros[Indenização Adicional (Art. 9º da Lei nº 7.238/84)])*tabCustoUnit[[#This Row],[MODULO 1 - REMUNERAÇÃO ]]</f>
        <v>2.0362707499999999</v>
      </c>
      <c r="AT218" s="22">
        <f>SUM(tabCustoUnit[[#This Row],[Aviso Prévio Indenizado (API) e Reflexo do Aviso Prévio Indenizado]:[Indenização Adicional (Art. 9º da Lei nº 7.238/84)]])</f>
        <v>107.59132377261341</v>
      </c>
      <c r="AU218" s="22">
        <f>SUMIF(tabParametros[Código do Posto],tabCustoUnit[[#This Row],[Código do Posto]],tabParametros[Ausência por Doença])*tabCustoUnit[[#This Row],[MODULO 1 - REMUNERAÇÃO ]]</f>
        <v>20.634210266666663</v>
      </c>
      <c r="AV218" s="22">
        <f>SUMIF(tabParametros[Código do Posto],tabCustoUnit[[#This Row],[Código do Posto]],tabParametros[Ausências Legais])*tabCustoUnit[[#This Row],[MODULO 1 - REMUNERAÇÃO ]]</f>
        <v>4.9549254916666658</v>
      </c>
      <c r="AW218" s="22">
        <f>SUMIF(tabParametros[Código do Posto],tabCustoUnit[[#This Row],[Código do Posto]],tabParametros[Licença Paternidade])*tabCustoUnit[[#This Row],[MODULO 1 - REMUNERAÇÃO ]]</f>
        <v>0.41743550374999999</v>
      </c>
      <c r="AX218" s="22">
        <f>SUMIF(tabParametros[Código do Posto],tabCustoUnit[[#This Row],[Código do Posto]],tabParametros[Ausência por Acidente de Trabalho])*tabCustoUnit[[#This Row],[MODULO 1 - REMUNERAÇÃO ]]</f>
        <v>0.50906768749999998</v>
      </c>
      <c r="AY218" s="22">
        <f>SUMIF(tabParametros[Código do Posto],tabCustoUnit[[#This Row],[Código do Posto]],tabParametros[Férias, Adicional de Férias e 13º  com empregada em gozo de Licença Maternidade])*tabCustoUnit[[#This Row],[MODULO 1 - REMUNERAÇÃO ]]</f>
        <v>3.1675322777777777</v>
      </c>
      <c r="AZ218" s="22">
        <f>SUMIF(tabParametros[Código do Posto],tabCustoUnit[[#This Row],[Código do Posto]],tabParametros[Incidência do Submódulo 2.1 sobre Ausências Legais])*tabCustoUnit[[#This Row],[MODULO 1 - REMUNERAÇÃO ]]</f>
        <v>11.220238723942501</v>
      </c>
      <c r="BA218" s="22">
        <f>SUM(tabCustoUnit[[#This Row],[Ausência por Doença]:[Incidência do Submódulo 2.1 sobre Ausências Legais]])</f>
        <v>40.903409951303601</v>
      </c>
      <c r="BB218" s="22">
        <f>SUMIF(tabParametros[Código do Posto],tabCustoUnit[[#This Row],[Código do Posto]],tabParametros[Intervalo para Repouso ou Alimentação])</f>
        <v>0</v>
      </c>
      <c r="BC218" s="22">
        <f>tabCustoUnit[[#This Row],[Intervalo para Repouso ou Alimentação]]</f>
        <v>0</v>
      </c>
      <c r="BD21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8" s="22">
        <f>tabCustoUnit[[#This Row],[Suspensão Temporária do Contrato de Trabalho]]</f>
        <v>0</v>
      </c>
      <c r="BF218" s="22">
        <f>tabCustoUnit[[#This Row],[Submódulo 4.1]]+tabCustoUnit[[#This Row],[Submódulo 4.2]]+tabCustoUnit[[#This Row],[Submódulo 4.3]]</f>
        <v>40.903409951303601</v>
      </c>
      <c r="BG218" s="22">
        <f>VLOOKUP(tabCustoUnit[[#This Row],[Código do Posto]],tabParametros[],MATCH(tabCustoUnit[[#Headers],[Uniformes e EPIs]],tabParametros[#Headers],0),0)</f>
        <v>190.56060491869394</v>
      </c>
      <c r="BH218" s="22">
        <f>VLOOKUP(tabCustoUnit[[#This Row],[Código do Posto]],tabParametros[],MATCH(tabCustoUnit[[#Headers],[Materiais de Consumo]],tabParametros[#Headers],0),0)</f>
        <v>0</v>
      </c>
      <c r="BI218" s="22">
        <f>VLOOKUP(tabCustoUnit[[#This Row],[Código do Posto]],tabParametros[],MATCH(tabCustoUnit[[#Headers],[Máquinas e Equipamentos (depreciação)]],tabParametros[#Headers],0),0)</f>
        <v>0</v>
      </c>
      <c r="BJ218" s="22">
        <f>VLOOKUP(tabCustoUnit[[#This Row],[Código do Posto]],tabParametros[],MATCH(tabCustoUnit[[#Headers],[Produtos de Limpeza e Materiais de Higiene Pessoal]],tabParametros[#Headers],0),0)</f>
        <v>0</v>
      </c>
      <c r="BK218" s="22">
        <f>VLOOKUP(tabCustoUnit[[#This Row],[Código do Posto]],tabParametros[],MATCH(tabCustoUnit[[#Headers],[Outros (especificar)]],tabParametros[#Headers],0),0)</f>
        <v>0</v>
      </c>
      <c r="BL218" s="22">
        <f>SUM(tabCustoUnit[[#This Row],[Uniformes e EPIs]:[Outros (especificar)]])</f>
        <v>190.56060491869394</v>
      </c>
      <c r="BM21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8" s="22" t="e">
        <f ca="1">VLOOKUP(tabCustoUnit[[#This Row],[Código do Posto]],tabParametros[],MATCH(tabCustoUnit[[#Headers],[Custos Indiretos]],tabParametros[#Headers],0),0)</f>
        <v>#NAME?</v>
      </c>
      <c r="BO218" s="22" t="e">
        <f ca="1">VLOOKUP(tabCustoUnit[[#This Row],[Código do Posto]],tabParametros[],MATCH(tabCustoUnit[[#Headers],[Lucro]],tabParametros[#Headers],0),0)</f>
        <v>#NAME?</v>
      </c>
      <c r="BP218" s="26">
        <f>((100/((1-tabCustoUnit[[#This Row],[Resumo de Alíquotas (PIS+CONFINS+ISS)]]))-100)*VLOOKUP(tabCustoUnit[[#This Row],[Código do Posto]],tabParametros[],MATCH(tabCustoUnit[[#Headers],[COFINS]],tabParametros[#Headers],0),0))/(tabCustoUnit[[#This Row],[Resumo de Alíquotas (PIS+CONFINS+ISS)]]*100)</f>
        <v>8.6609686609686695E-2</v>
      </c>
      <c r="BQ218" s="26">
        <f>((100/((100-(tabCustoUnit[[#This Row],[Resumo de Alíquotas (PIS+CONFINS+ISS)]]*100))%)-100)*VLOOKUP(tabCustoUnit[[#This Row],[Código do Posto]],tabParametros[],MATCH(tabCustoUnit[[#Headers],[PIS]],tabParametros[#Headers],0),0))/(tabCustoUnit[[#This Row],[Resumo de Alíquotas (PIS+CONFINS+ISS)]]*100)</f>
        <v>1.880341880341882E-2</v>
      </c>
      <c r="BR218" s="28">
        <f>VLOOKUP(tabCustoUnit[[#This Row],[Código do Posto]],tabParametros[],MATCH(tabCustoUnit[[#Headers],[ISS]],tabParametros[#Headers],0),0)</f>
        <v>0.03</v>
      </c>
      <c r="BS218" s="26">
        <f>(((100/((100-(tabCustoUnit[[#This Row],[Resumo de Alíquotas (PIS+CONFINS+ISS)]]*100))%)-100)*tabCustoUnit[[#This Row],[ISS]])/tabCustoUnit[[#This Row],[Resumo de Alíquotas (PIS+CONFINS+ISS)]])/100</f>
        <v>3.4188034188034219E-2</v>
      </c>
      <c r="BT21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8" s="138">
        <f>tabCustoUnit[[#This Row],[COFINS]]+tabCustoUnit[[#This Row],[PIS]]+tabCustoUnit[[#This Row],[ISS (Conversão Alíquota s/ fatura)]]</f>
        <v>0.13960113960113973</v>
      </c>
      <c r="BV218" s="22" t="e">
        <f ca="1">(tabCustoUnit[[#This Row],[TOTAL MÓDULOS 1+2+3+4+5]]+tabCustoUnit[[#This Row],[Custos Indiretos]]+tabCustoUnit[[#This Row],[Lucro]])*tabCustoUnit[[#This Row],[PIS + COFINS + ISS (Total Conversão  Alíquota s/ Fatura)]]</f>
        <v>#NAME?</v>
      </c>
      <c r="BW218" s="22" t="e">
        <f ca="1">tabCustoUnit[[#This Row],[Custos Indiretos]]+tabCustoUnit[[#This Row],[Lucro]]+tabCustoUnit[[#This Row],[Valor dos Tributos (ISS, PIS, CONFINS)]]</f>
        <v>#NAME?</v>
      </c>
      <c r="BX218" s="22" t="e">
        <f ca="1">tabCustoUnit[[#This Row],[TOTAL MÓDULOS 1+2+3+4+5]]+tabCustoUnit[[#This Row],[MÓDULO 6 – CUSTOS INDIRETOS, TRIBUTOS E LUCRO]]</f>
        <v>#NAME?</v>
      </c>
      <c r="BY218" s="22" t="e">
        <f ca="1">tabCustoUnit[[#This Row],[CUSTO TOTAL MENSAL]]*12</f>
        <v>#NAME?</v>
      </c>
      <c r="BZ218" s="24">
        <f>VLOOKUP(tabCustoUnit[[#This Row],[Código do Posto]],tabParametros[],MATCH(tabCustoUnit[[#Headers],[ANO DA CCT]],tabParametros[#Headers],0),0)</f>
        <v>45658</v>
      </c>
      <c r="CA218" s="25" t="str">
        <f>VLOOKUP(tabCustoUnit[[#This Row],[Código do Posto]],tabParametros[],MATCH(tabCustoUnit[[#Headers],[Nº DE PEDIDO DA CCT]],tabParametros[#Headers],0),0)</f>
        <v>-</v>
      </c>
      <c r="CB218" s="25" t="str">
        <f>VLOOKUP(tabCustoUnit[[#This Row],[Código do Posto]],tabParametros[],MATCH(tabCustoUnit[[#Headers],[TERMO ADITIVO ALTERAÇÃO DA CCT]],tabParametros[#Headers],0),0)</f>
        <v>-</v>
      </c>
    </row>
    <row r="219" spans="1:80">
      <c r="A219" s="20" t="s">
        <v>1494</v>
      </c>
      <c r="B219" t="s">
        <v>939</v>
      </c>
      <c r="C219" t="s">
        <v>200</v>
      </c>
      <c r="D219" t="s">
        <v>939</v>
      </c>
      <c r="E219" s="20" t="s">
        <v>1090</v>
      </c>
      <c r="F219" s="20" t="s">
        <v>120</v>
      </c>
      <c r="G219" s="418">
        <v>1649.1152999999999</v>
      </c>
      <c r="H219" s="418">
        <v>0</v>
      </c>
      <c r="I219" s="418">
        <v>0</v>
      </c>
      <c r="J219" s="418">
        <v>0</v>
      </c>
      <c r="K219" s="418">
        <v>0</v>
      </c>
      <c r="L219" s="418">
        <v>0</v>
      </c>
      <c r="M219" s="418">
        <v>0</v>
      </c>
      <c r="N219" s="418">
        <v>0</v>
      </c>
      <c r="O219" s="21">
        <f>SUM(tabCustoUnit[[#This Row],[Salário Base]:[Adicional de Acúmulo de função]])</f>
        <v>1649.1152999999999</v>
      </c>
      <c r="P219" s="21">
        <f>tabCustoUnit[[#This Row],[MODULO 1 - REMUNERAÇÃO ]]*SUMIFS(tabParametros[INSS],tabParametros[Código do Posto],tabCustoUnit[[#This Row],[Código do Posto]])</f>
        <v>329.82306</v>
      </c>
      <c r="Q219" s="21">
        <f>tabCustoUnit[[#This Row],[MODULO 1 - REMUNERAÇÃO ]]*SUMIFS(tabParametros[SESI OU SESC],tabParametros[Código do Posto],tabCustoUnit[[#This Row],[Código do Posto]])</f>
        <v>24.736729499999999</v>
      </c>
      <c r="R219" s="21">
        <f>tabCustoUnit[[#This Row],[MODULO 1 - REMUNERAÇÃO ]]*SUMIFS(tabParametros[SENAI OU SENAC],tabParametros[Código do Posto],tabCustoUnit[[#This Row],[Código do Posto]])</f>
        <v>16.491153000000001</v>
      </c>
      <c r="S219" s="21">
        <f>tabCustoUnit[[#This Row],[MODULO 1 - REMUNERAÇÃO ]]*SUMIFS(tabParametros[INCRA],tabParametros[Código do Posto],tabCustoUnit[[#This Row],[Código do Posto]])</f>
        <v>3.2982306000000001</v>
      </c>
      <c r="T219" s="21">
        <f>tabCustoUnit[[#This Row],[MODULO 1 - REMUNERAÇÃO ]]*SUMIFS(tabParametros[Salário Educação],tabParametros[Código do Posto],tabCustoUnit[[#This Row],[Código do Posto]])</f>
        <v>41.2278825</v>
      </c>
      <c r="U219" s="21">
        <f>tabCustoUnit[[#This Row],[MODULO 1 - REMUNERAÇÃO ]]*SUMIFS(tabParametros[FGTS],tabParametros[Código do Posto],tabCustoUnit[[#This Row],[Código do Posto]])</f>
        <v>131.929224</v>
      </c>
      <c r="V219" s="21">
        <f>tabCustoUnit[[#This Row],[MODULO 1 - REMUNERAÇÃO ]]*SUMIFS(tabParametros[RAT Ajustado],tabParametros[Código do Posto],tabCustoUnit[[#This Row],[Código do Posto]])</f>
        <v>65.964612000000002</v>
      </c>
      <c r="W219" s="21">
        <f>tabCustoUnit[[#This Row],[MODULO 1 - REMUNERAÇÃO ]]*SUMIFS(tabParametros[SEBRAE],tabParametros[Código do Posto],tabCustoUnit[[#This Row],[Código do Posto]])</f>
        <v>9.8946918000000004</v>
      </c>
      <c r="X219" s="21">
        <f>SUM(tabCustoUnit[[#This Row],[INSS]:[SEBRAE]])</f>
        <v>623.36558340000011</v>
      </c>
      <c r="Y219" s="21">
        <f>tabCustoUnit[[#This Row],[MODULO 1 - REMUNERAÇÃO ]]*SUMIFS(tabParametros[13º salário (titular)],tabParametros[Código do Posto],tabCustoUnit[[#This Row],[Código do Posto]])</f>
        <v>137.42627499999998</v>
      </c>
      <c r="Z219" s="21">
        <f>tabCustoUnit[[#This Row],[MODULO 1 - REMUNERAÇÃO ]]*SUMIFS(tabParametros[Férias e Adicional de Férias (titular)],tabParametros[Código do Posto],tabCustoUnit[[#This Row],[Código do Posto]])</f>
        <v>183.23503333333332</v>
      </c>
      <c r="AA219" s="21">
        <f>IFERROR((tabCustoUnit[[#This Row],[Submódulo 2.1]]/tabCustoUnit[[#This Row],[MODULO 1 - REMUNERAÇÃO ]])*SUM(tabCustoUnit[[#This Row],[13º salário (titular)]:[Férias e Adicional de Férias (titular)]]),0)</f>
        <v>121.20997455</v>
      </c>
      <c r="AB219" s="21">
        <f>SUM(tabCustoUnit[[#This Row],[13º salário (titular)]:[Incidência do Submódulo 2.1 sobre 13º Salário, Férias e Adicional de Férias]])</f>
        <v>441.87128288333327</v>
      </c>
      <c r="AC219" s="22" t="e">
        <f ca="1">_xlfn.LET(_xlpm.VT,SUMIF(tabParametros[Código do Posto],tabCustoUnit[[#This Row],[Código do Posto]],tabParametros[Vale - Transporte])*2*20,
IF((_xlpm.VT-tabCustoUnit[[#This Row],[Salário Base]]*0.06)&gt;=0,(_xlpm.VT-tabCustoUnit[[#This Row],[Salário Base]]*0.06),0)
)</f>
        <v>#NAME?</v>
      </c>
      <c r="AD219" s="22">
        <f>IF(SUMIF(tabParametros[Código do Posto],tabCustoUnit[[#This Row],[Código do Posto]],tabParametros[Vale - Alimentação])&lt;=0,0,
SUMIF(tabParametros[Código do Posto],tabCustoUnit[[#This Row],[Código do Posto]],tabParametros[Vale - Alimentação])*20-1)</f>
        <v>582</v>
      </c>
      <c r="AE219" s="22">
        <f>SUMIF(tabParametros[Código do Posto],tabCustoUnit[[#This Row],[Código do Posto]],tabParametros[Cesta Básica])</f>
        <v>0</v>
      </c>
      <c r="AF219" s="22">
        <f>SUMIF(tabParametros[Código do Posto],tabCustoUnit[[#This Row],[Código do Posto]],tabParametros[PAF])</f>
        <v>51.86</v>
      </c>
      <c r="AG219" s="22">
        <f>SUMIF(tabParametros[Código do Posto],tabCustoUnit[[#This Row],[Código do Posto]],tabParametros[PQM])</f>
        <v>0</v>
      </c>
      <c r="AH219" s="22">
        <f>SUMIF(tabParametros[Código do Posto],tabCustoUnit[[#This Row],[Código do Posto]],tabParametros[Abono Único e Especial])</f>
        <v>0</v>
      </c>
      <c r="AI219" s="22">
        <f>SUMIF(tabParametros[Código do Posto],tabCustoUnit[[#This Row],[Código do Posto]],tabParametros[Seguro de Vida])</f>
        <v>3.36</v>
      </c>
      <c r="AJ219" s="22">
        <f>SUMIF(tabParametros[Código do Posto],tabCustoUnit[[#This Row],[Código do Posto]],tabParametros[Despesas de Viagem])</f>
        <v>0</v>
      </c>
      <c r="AK219" s="22" t="e">
        <f ca="1">SUM(tabCustoUnit[[#This Row],[Vale - Transporte (Descontada parcela do empregado)]:[Despesas de Viagem]])</f>
        <v>#NAME?</v>
      </c>
      <c r="AL219" s="22" t="e">
        <f ca="1">tabCustoUnit[[#This Row],[Submódulo 2.1]]+tabCustoUnit[[#This Row],[Submódulo 2.2]]+tabCustoUnit[[#This Row],[Submódulo 2.3]]</f>
        <v>#NAME?</v>
      </c>
      <c r="AM219" s="22">
        <f>SUMIF(tabParametros[Código do Posto],tabCustoUnit[[#This Row],[Código do Posto]],tabParametros[Aviso Prévio Indenizado (API) e Reflexo do Aviso Prévio Indenizado])*tabCustoUnit[[#This Row],[MODULO 1 - REMUNERAÇÃO ]]</f>
        <v>11.563212199016203</v>
      </c>
      <c r="AN219" s="22">
        <f>SUMIF(tabParametros[Código do Posto],tabCustoUnit[[#This Row],[Código do Posto]],tabParametros[Incidência do FGTS sobre API e Reflexo do API])*tabCustoUnit[[#This Row],[MODULO 1 - REMUNERAÇÃO ]]</f>
        <v>0.92505697592129632</v>
      </c>
      <c r="AO219" s="22">
        <f>SUMIF(tabParametros[Código do Posto],tabCustoUnit[[#This Row],[Código do Posto]],tabParametros[Multa Rescisória do FGTS sobre o Aviso Prévio Indenizado])*tabCustoUnit[[#This Row],[MODULO 1 - REMUNERAÇÃO ]]</f>
        <v>0.37002279036851859</v>
      </c>
      <c r="AP219" s="22">
        <f>SUMIF(tabParametros[Código do Posto],tabCustoUnit[[#This Row],[Código do Posto]],tabParametros[Aviso Prévio Trabalhado - APT])*tabCustoUnit[[#This Row],[MODULO 1 - REMUNERAÇÃO ]]</f>
        <v>5.7719035500000002</v>
      </c>
      <c r="AQ219" s="22">
        <f>SUMIF(tabParametros[Código do Posto],tabCustoUnit[[#This Row],[Código do Posto]],tabParametros[Incidência dos encargos do submódulo 2.1 sobre Aviso Prévio Trabalhado])*tabCustoUnit[[#This Row],[MODULO 1 - REMUNERAÇÃO ]]</f>
        <v>2.1817795419000006</v>
      </c>
      <c r="AR219" s="22">
        <f>SUMIF(tabParametros[Código do Posto],tabCustoUnit[[#This Row],[Código do Posto]],tabParametros[Multa Rescisória do FGTS])*tabCustoUnit[[#This Row],[MODULO 1 - REMUNERAÇÃO ]]</f>
        <v>50.426281173333322</v>
      </c>
      <c r="AS219" s="22">
        <f>SUMIF(tabParametros[Código do Posto],tabCustoUnit[[#This Row],[Código do Posto]],tabParametros[Indenização Adicional (Art. 9º da Lei nº 7.238/84)])*tabCustoUnit[[#This Row],[MODULO 1 - REMUNERAÇÃO ]]</f>
        <v>1.37426275</v>
      </c>
      <c r="AT219" s="22">
        <f>SUM(tabCustoUnit[[#This Row],[Aviso Prévio Indenizado (API) e Reflexo do Aviso Prévio Indenizado]:[Indenização Adicional (Art. 9º da Lei nº 7.238/84)]])</f>
        <v>72.612518980539335</v>
      </c>
      <c r="AU219" s="22">
        <f>SUMIF(tabParametros[Código do Posto],tabCustoUnit[[#This Row],[Código do Posto]],tabParametros[Ausência por Doença])*tabCustoUnit[[#This Row],[MODULO 1 - REMUNERAÇÃO ]]</f>
        <v>13.925862533333332</v>
      </c>
      <c r="AV219" s="22">
        <f>SUMIF(tabParametros[Código do Posto],tabCustoUnit[[#This Row],[Código do Posto]],tabParametros[Ausências Legais])*tabCustoUnit[[#This Row],[MODULO 1 - REMUNERAÇÃO ]]</f>
        <v>3.3440393583333332</v>
      </c>
      <c r="AW219" s="22">
        <f>SUMIF(tabParametros[Código do Posto],tabCustoUnit[[#This Row],[Código do Posto]],tabParametros[Licença Paternidade])*tabCustoUnit[[#This Row],[MODULO 1 - REMUNERAÇÃO ]]</f>
        <v>0.28172386374999997</v>
      </c>
      <c r="AX219" s="22">
        <f>SUMIF(tabParametros[Código do Posto],tabCustoUnit[[#This Row],[Código do Posto]],tabParametros[Ausência por Acidente de Trabalho])*tabCustoUnit[[#This Row],[MODULO 1 - REMUNERAÇÃO ]]</f>
        <v>0.34356568749999999</v>
      </c>
      <c r="AY219" s="22">
        <f>SUMIF(tabParametros[Código do Posto],tabCustoUnit[[#This Row],[Código do Posto]],tabParametros[Férias, Adicional de Férias e 13º  com empregada em gozo de Licença Maternidade])*tabCustoUnit[[#This Row],[MODULO 1 - REMUNERAÇÃO ]]</f>
        <v>2.1377420555555555</v>
      </c>
      <c r="AZ219" s="22">
        <f>SUMIF(tabParametros[Código do Posto],tabCustoUnit[[#This Row],[Código do Posto]],tabParametros[Incidência do Submódulo 2.1 sobre Ausências Legais])*tabCustoUnit[[#This Row],[MODULO 1 - REMUNERAÇÃO ]]</f>
        <v>7.572448862422501</v>
      </c>
      <c r="BA219" s="22">
        <f>SUM(tabCustoUnit[[#This Row],[Ausência por Doença]:[Incidência do Submódulo 2.1 sobre Ausências Legais]])</f>
        <v>27.605382360894719</v>
      </c>
      <c r="BB219" s="22">
        <f>SUMIF(tabParametros[Código do Posto],tabCustoUnit[[#This Row],[Código do Posto]],tabParametros[Intervalo para Repouso ou Alimentação])</f>
        <v>0</v>
      </c>
      <c r="BC219" s="22">
        <f>tabCustoUnit[[#This Row],[Intervalo para Repouso ou Alimentação]]</f>
        <v>0</v>
      </c>
      <c r="BD21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19" s="22">
        <f>tabCustoUnit[[#This Row],[Suspensão Temporária do Contrato de Trabalho]]</f>
        <v>0</v>
      </c>
      <c r="BF219" s="22">
        <f>tabCustoUnit[[#This Row],[Submódulo 4.1]]+tabCustoUnit[[#This Row],[Submódulo 4.2]]+tabCustoUnit[[#This Row],[Submódulo 4.3]]</f>
        <v>27.605382360894719</v>
      </c>
      <c r="BG219" s="22">
        <f>VLOOKUP(tabCustoUnit[[#This Row],[Código do Posto]],tabParametros[],MATCH(tabCustoUnit[[#Headers],[Uniformes e EPIs]],tabParametros[#Headers],0),0)</f>
        <v>56.141713661989918</v>
      </c>
      <c r="BH219" s="22">
        <f>VLOOKUP(tabCustoUnit[[#This Row],[Código do Posto]],tabParametros[],MATCH(tabCustoUnit[[#Headers],[Materiais de Consumo]],tabParametros[#Headers],0),0)</f>
        <v>0</v>
      </c>
      <c r="BI219" s="22">
        <f>VLOOKUP(tabCustoUnit[[#This Row],[Código do Posto]],tabParametros[],MATCH(tabCustoUnit[[#Headers],[Máquinas e Equipamentos (depreciação)]],tabParametros[#Headers],0),0)</f>
        <v>0</v>
      </c>
      <c r="BJ219" s="22">
        <f>VLOOKUP(tabCustoUnit[[#This Row],[Código do Posto]],tabParametros[],MATCH(tabCustoUnit[[#Headers],[Produtos de Limpeza e Materiais de Higiene Pessoal]],tabParametros[#Headers],0),0)</f>
        <v>0</v>
      </c>
      <c r="BK219" s="22">
        <f>VLOOKUP(tabCustoUnit[[#This Row],[Código do Posto]],tabParametros[],MATCH(tabCustoUnit[[#Headers],[Outros (especificar)]],tabParametros[#Headers],0),0)</f>
        <v>0</v>
      </c>
      <c r="BL219" s="22">
        <f>SUM(tabCustoUnit[[#This Row],[Uniformes e EPIs]:[Outros (especificar)]])</f>
        <v>56.141713661989918</v>
      </c>
      <c r="BM21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19" s="22" t="e">
        <f ca="1">VLOOKUP(tabCustoUnit[[#This Row],[Código do Posto]],tabParametros[],MATCH(tabCustoUnit[[#Headers],[Custos Indiretos]],tabParametros[#Headers],0),0)</f>
        <v>#NAME?</v>
      </c>
      <c r="BO219" s="22" t="e">
        <f ca="1">VLOOKUP(tabCustoUnit[[#This Row],[Código do Posto]],tabParametros[],MATCH(tabCustoUnit[[#Headers],[Lucro]],tabParametros[#Headers],0),0)</f>
        <v>#NAME?</v>
      </c>
      <c r="BP219" s="26">
        <f>((100/((1-tabCustoUnit[[#This Row],[Resumo de Alíquotas (PIS+CONFINS+ISS)]]))-100)*VLOOKUP(tabCustoUnit[[#This Row],[Código do Posto]],tabParametros[],MATCH(tabCustoUnit[[#Headers],[COFINS]],tabParametros[#Headers],0),0))/(tabCustoUnit[[#This Row],[Resumo de Alíquotas (PIS+CONFINS+ISS)]]*100)</f>
        <v>8.6609686609686695E-2</v>
      </c>
      <c r="BQ219" s="26">
        <f>((100/((100-(tabCustoUnit[[#This Row],[Resumo de Alíquotas (PIS+CONFINS+ISS)]]*100))%)-100)*VLOOKUP(tabCustoUnit[[#This Row],[Código do Posto]],tabParametros[],MATCH(tabCustoUnit[[#Headers],[PIS]],tabParametros[#Headers],0),0))/(tabCustoUnit[[#This Row],[Resumo de Alíquotas (PIS+CONFINS+ISS)]]*100)</f>
        <v>1.880341880341882E-2</v>
      </c>
      <c r="BR219" s="28">
        <f>VLOOKUP(tabCustoUnit[[#This Row],[Código do Posto]],tabParametros[],MATCH(tabCustoUnit[[#Headers],[ISS]],tabParametros[#Headers],0),0)</f>
        <v>0.03</v>
      </c>
      <c r="BS219" s="26">
        <f>(((100/((100-(tabCustoUnit[[#This Row],[Resumo de Alíquotas (PIS+CONFINS+ISS)]]*100))%)-100)*tabCustoUnit[[#This Row],[ISS]])/tabCustoUnit[[#This Row],[Resumo de Alíquotas (PIS+CONFINS+ISS)]])/100</f>
        <v>3.4188034188034219E-2</v>
      </c>
      <c r="BT21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9" s="138">
        <f>tabCustoUnit[[#This Row],[COFINS]]+tabCustoUnit[[#This Row],[PIS]]+tabCustoUnit[[#This Row],[ISS (Conversão Alíquota s/ fatura)]]</f>
        <v>0.13960113960113973</v>
      </c>
      <c r="BV219" s="22" t="e">
        <f ca="1">(tabCustoUnit[[#This Row],[TOTAL MÓDULOS 1+2+3+4+5]]+tabCustoUnit[[#This Row],[Custos Indiretos]]+tabCustoUnit[[#This Row],[Lucro]])*tabCustoUnit[[#This Row],[PIS + COFINS + ISS (Total Conversão  Alíquota s/ Fatura)]]</f>
        <v>#NAME?</v>
      </c>
      <c r="BW219" s="22" t="e">
        <f ca="1">tabCustoUnit[[#This Row],[Custos Indiretos]]+tabCustoUnit[[#This Row],[Lucro]]+tabCustoUnit[[#This Row],[Valor dos Tributos (ISS, PIS, CONFINS)]]</f>
        <v>#NAME?</v>
      </c>
      <c r="BX219" s="22" t="e">
        <f ca="1">tabCustoUnit[[#This Row],[TOTAL MÓDULOS 1+2+3+4+5]]+tabCustoUnit[[#This Row],[MÓDULO 6 – CUSTOS INDIRETOS, TRIBUTOS E LUCRO]]</f>
        <v>#NAME?</v>
      </c>
      <c r="BY219" s="22" t="e">
        <f ca="1">tabCustoUnit[[#This Row],[CUSTO TOTAL MENSAL]]*12</f>
        <v>#NAME?</v>
      </c>
      <c r="BZ219" s="24">
        <f>VLOOKUP(tabCustoUnit[[#This Row],[Código do Posto]],tabParametros[],MATCH(tabCustoUnit[[#Headers],[ANO DA CCT]],tabParametros[#Headers],0),0)</f>
        <v>45658</v>
      </c>
      <c r="CA219" s="25" t="str">
        <f>VLOOKUP(tabCustoUnit[[#This Row],[Código do Posto]],tabParametros[],MATCH(tabCustoUnit[[#Headers],[Nº DE PEDIDO DA CCT]],tabParametros[#Headers],0),0)</f>
        <v>-</v>
      </c>
      <c r="CB219" s="25" t="str">
        <f>VLOOKUP(tabCustoUnit[[#This Row],[Código do Posto]],tabParametros[],MATCH(tabCustoUnit[[#Headers],[TERMO ADITIVO ALTERAÇÃO DA CCT]],tabParametros[#Headers],0),0)</f>
        <v>-</v>
      </c>
    </row>
    <row r="220" spans="1:80">
      <c r="A220" s="20" t="s">
        <v>1650</v>
      </c>
      <c r="B220" t="s">
        <v>939</v>
      </c>
      <c r="C220" t="s">
        <v>244</v>
      </c>
      <c r="D220" t="s">
        <v>939</v>
      </c>
      <c r="E220" s="20" t="s">
        <v>1090</v>
      </c>
      <c r="F220" s="20" t="s">
        <v>120</v>
      </c>
      <c r="G220" s="418">
        <v>2296.1756999999998</v>
      </c>
      <c r="H220" s="418">
        <v>0</v>
      </c>
      <c r="I220" s="418">
        <v>303.60000000000002</v>
      </c>
      <c r="J220" s="418">
        <v>0</v>
      </c>
      <c r="K220" s="418">
        <v>0</v>
      </c>
      <c r="L220" s="418">
        <v>0</v>
      </c>
      <c r="M220" s="418">
        <v>0</v>
      </c>
      <c r="N220" s="418">
        <v>0</v>
      </c>
      <c r="O220" s="21">
        <f>SUM(tabCustoUnit[[#This Row],[Salário Base]:[Adicional de Acúmulo de função]])</f>
        <v>2599.7756999999997</v>
      </c>
      <c r="P220" s="21">
        <f>tabCustoUnit[[#This Row],[MODULO 1 - REMUNERAÇÃO ]]*SUMIFS(tabParametros[INSS],tabParametros[Código do Posto],tabCustoUnit[[#This Row],[Código do Posto]])</f>
        <v>519.95513999999991</v>
      </c>
      <c r="Q220" s="21">
        <f>tabCustoUnit[[#This Row],[MODULO 1 - REMUNERAÇÃO ]]*SUMIFS(tabParametros[SESI OU SESC],tabParametros[Código do Posto],tabCustoUnit[[#This Row],[Código do Posto]])</f>
        <v>38.996635499999996</v>
      </c>
      <c r="R220" s="21">
        <f>tabCustoUnit[[#This Row],[MODULO 1 - REMUNERAÇÃO ]]*SUMIFS(tabParametros[SENAI OU SENAC],tabParametros[Código do Posto],tabCustoUnit[[#This Row],[Código do Posto]])</f>
        <v>25.997756999999996</v>
      </c>
      <c r="S220" s="21">
        <f>tabCustoUnit[[#This Row],[MODULO 1 - REMUNERAÇÃO ]]*SUMIFS(tabParametros[INCRA],tabParametros[Código do Posto],tabCustoUnit[[#This Row],[Código do Posto]])</f>
        <v>5.1995513999999998</v>
      </c>
      <c r="T220" s="21">
        <f>tabCustoUnit[[#This Row],[MODULO 1 - REMUNERAÇÃO ]]*SUMIFS(tabParametros[Salário Educação],tabParametros[Código do Posto],tabCustoUnit[[#This Row],[Código do Posto]])</f>
        <v>64.994392499999989</v>
      </c>
      <c r="U220" s="21">
        <f>tabCustoUnit[[#This Row],[MODULO 1 - REMUNERAÇÃO ]]*SUMIFS(tabParametros[FGTS],tabParametros[Código do Posto],tabCustoUnit[[#This Row],[Código do Posto]])</f>
        <v>207.98205599999997</v>
      </c>
      <c r="V220" s="21">
        <f>tabCustoUnit[[#This Row],[MODULO 1 - REMUNERAÇÃO ]]*SUMIFS(tabParametros[RAT Ajustado],tabParametros[Código do Posto],tabCustoUnit[[#This Row],[Código do Posto]])</f>
        <v>103.99102799999999</v>
      </c>
      <c r="W220" s="21">
        <f>tabCustoUnit[[#This Row],[MODULO 1 - REMUNERAÇÃO ]]*SUMIFS(tabParametros[SEBRAE],tabParametros[Código do Posto],tabCustoUnit[[#This Row],[Código do Posto]])</f>
        <v>15.598654199999999</v>
      </c>
      <c r="X220" s="21">
        <f>SUM(tabCustoUnit[[#This Row],[INSS]:[SEBRAE]])</f>
        <v>982.71521459999985</v>
      </c>
      <c r="Y220" s="21">
        <f>tabCustoUnit[[#This Row],[MODULO 1 - REMUNERAÇÃO ]]*SUMIFS(tabParametros[13º salário (titular)],tabParametros[Código do Posto],tabCustoUnit[[#This Row],[Código do Posto]])</f>
        <v>216.64797499999997</v>
      </c>
      <c r="Z220" s="21">
        <f>tabCustoUnit[[#This Row],[MODULO 1 - REMUNERAÇÃO ]]*SUMIFS(tabParametros[Férias e Adicional de Férias (titular)],tabParametros[Código do Posto],tabCustoUnit[[#This Row],[Código do Posto]])</f>
        <v>288.86396666666661</v>
      </c>
      <c r="AA220" s="21">
        <f>IFERROR((tabCustoUnit[[#This Row],[Submódulo 2.1]]/tabCustoUnit[[#This Row],[MODULO 1 - REMUNERAÇÃO ]])*SUM(tabCustoUnit[[#This Row],[13º salário (titular)]:[Férias e Adicional de Férias (titular)]]),0)</f>
        <v>191.08351394999997</v>
      </c>
      <c r="AB220" s="21">
        <f>SUM(tabCustoUnit[[#This Row],[13º salário (titular)]:[Incidência do Submódulo 2.1 sobre 13º Salário, Férias e Adicional de Férias]])</f>
        <v>696.59545561666653</v>
      </c>
      <c r="AC220" s="22" t="e">
        <f ca="1">_xlfn.LET(_xlpm.VT,SUMIF(tabParametros[Código do Posto],tabCustoUnit[[#This Row],[Código do Posto]],tabParametros[Vale - Transporte])*2*20,
IF((_xlpm.VT-tabCustoUnit[[#This Row],[Salário Base]]*0.06)&gt;=0,(_xlpm.VT-tabCustoUnit[[#This Row],[Salário Base]]*0.06),0)
)</f>
        <v>#NAME?</v>
      </c>
      <c r="AD220" s="22">
        <f>IF(SUMIF(tabParametros[Código do Posto],tabCustoUnit[[#This Row],[Código do Posto]],tabParametros[Vale - Alimentação])&lt;=0,0,
SUMIF(tabParametros[Código do Posto],tabCustoUnit[[#This Row],[Código do Posto]],tabParametros[Vale - Alimentação])*20-1)</f>
        <v>582</v>
      </c>
      <c r="AE220" s="22">
        <f>SUMIF(tabParametros[Código do Posto],tabCustoUnit[[#This Row],[Código do Posto]],tabParametros[Cesta Básica])</f>
        <v>0</v>
      </c>
      <c r="AF220" s="22">
        <f>SUMIF(tabParametros[Código do Posto],tabCustoUnit[[#This Row],[Código do Posto]],tabParametros[PAF])</f>
        <v>51.86</v>
      </c>
      <c r="AG220" s="22">
        <f>SUMIF(tabParametros[Código do Posto],tabCustoUnit[[#This Row],[Código do Posto]],tabParametros[PQM])</f>
        <v>0</v>
      </c>
      <c r="AH220" s="22">
        <f>SUMIF(tabParametros[Código do Posto],tabCustoUnit[[#This Row],[Código do Posto]],tabParametros[Abono Único e Especial])</f>
        <v>0</v>
      </c>
      <c r="AI220" s="22">
        <f>SUMIF(tabParametros[Código do Posto],tabCustoUnit[[#This Row],[Código do Posto]],tabParametros[Seguro de Vida])</f>
        <v>3.36</v>
      </c>
      <c r="AJ220" s="22">
        <f>SUMIF(tabParametros[Código do Posto],tabCustoUnit[[#This Row],[Código do Posto]],tabParametros[Despesas de Viagem])</f>
        <v>0</v>
      </c>
      <c r="AK220" s="22" t="e">
        <f ca="1">SUM(tabCustoUnit[[#This Row],[Vale - Transporte (Descontada parcela do empregado)]:[Despesas de Viagem]])</f>
        <v>#NAME?</v>
      </c>
      <c r="AL220" s="22" t="e">
        <f ca="1">tabCustoUnit[[#This Row],[Submódulo 2.1]]+tabCustoUnit[[#This Row],[Submódulo 2.2]]+tabCustoUnit[[#This Row],[Submódulo 2.3]]</f>
        <v>#NAME?</v>
      </c>
      <c r="AM220" s="22">
        <f>SUMIF(tabParametros[Código do Posto],tabCustoUnit[[#This Row],[Código do Posto]],tabParametros[Aviso Prévio Indenizado (API) e Reflexo do Aviso Prévio Indenizado])*tabCustoUnit[[#This Row],[MODULO 1 - REMUNERAÇÃO ]]</f>
        <v>18.229021396469907</v>
      </c>
      <c r="AN220" s="22">
        <f>SUMIF(tabParametros[Código do Posto],tabCustoUnit[[#This Row],[Código do Posto]],tabParametros[Incidência do FGTS sobre API e Reflexo do API])*tabCustoUnit[[#This Row],[MODULO 1 - REMUNERAÇÃO ]]</f>
        <v>1.4583217117175926</v>
      </c>
      <c r="AO220" s="22">
        <f>SUMIF(tabParametros[Código do Posto],tabCustoUnit[[#This Row],[Código do Posto]],tabParametros[Multa Rescisória do FGTS sobre o Aviso Prévio Indenizado])*tabCustoUnit[[#This Row],[MODULO 1 - REMUNERAÇÃO ]]</f>
        <v>0.58332868468703702</v>
      </c>
      <c r="AP220" s="22">
        <f>SUMIF(tabParametros[Código do Posto],tabCustoUnit[[#This Row],[Código do Posto]],tabParametros[Aviso Prévio Trabalhado - APT])*tabCustoUnit[[#This Row],[MODULO 1 - REMUNERAÇÃO ]]</f>
        <v>9.0992149500000004</v>
      </c>
      <c r="AQ220" s="22">
        <f>SUMIF(tabParametros[Código do Posto],tabCustoUnit[[#This Row],[Código do Posto]],tabParametros[Incidência dos encargos do submódulo 2.1 sobre Aviso Prévio Trabalhado])*tabCustoUnit[[#This Row],[MODULO 1 - REMUNERAÇÃO ]]</f>
        <v>3.4395032511000005</v>
      </c>
      <c r="AR220" s="22">
        <f>SUMIF(tabParametros[Código do Posto],tabCustoUnit[[#This Row],[Código do Posto]],tabParametros[Multa Rescisória do FGTS])*tabCustoUnit[[#This Row],[MODULO 1 - REMUNERAÇÃO ]]</f>
        <v>79.495363626666645</v>
      </c>
      <c r="AS220" s="22">
        <f>SUMIF(tabParametros[Código do Posto],tabCustoUnit[[#This Row],[Código do Posto]],tabParametros[Indenização Adicional (Art. 9º da Lei nº 7.238/84)])*tabCustoUnit[[#This Row],[MODULO 1 - REMUNERAÇÃO ]]</f>
        <v>2.1664797499999997</v>
      </c>
      <c r="AT220" s="22">
        <f>SUM(tabCustoUnit[[#This Row],[Aviso Prévio Indenizado (API) e Reflexo do Aviso Prévio Indenizado]:[Indenização Adicional (Art. 9º da Lei nº 7.238/84)]])</f>
        <v>114.47123337064117</v>
      </c>
      <c r="AU220" s="22">
        <f>SUMIF(tabParametros[Código do Posto],tabCustoUnit[[#This Row],[Código do Posto]],tabParametros[Ausência por Doença])*tabCustoUnit[[#This Row],[MODULO 1 - REMUNERAÇÃO ]]</f>
        <v>21.953661466666663</v>
      </c>
      <c r="AV220" s="22">
        <f>SUMIF(tabParametros[Código do Posto],tabCustoUnit[[#This Row],[Código do Posto]],tabParametros[Ausências Legais])*tabCustoUnit[[#This Row],[MODULO 1 - REMUNERAÇÃO ]]</f>
        <v>5.2717673916666659</v>
      </c>
      <c r="AW220" s="22">
        <f>SUMIF(tabParametros[Código do Posto],tabCustoUnit[[#This Row],[Código do Posto]],tabParametros[Licença Paternidade])*tabCustoUnit[[#This Row],[MODULO 1 - REMUNERAÇÃO ]]</f>
        <v>0.44412834874999996</v>
      </c>
      <c r="AX220" s="22">
        <f>SUMIF(tabParametros[Código do Posto],tabCustoUnit[[#This Row],[Código do Posto]],tabParametros[Ausência por Acidente de Trabalho])*tabCustoUnit[[#This Row],[MODULO 1 - REMUNERAÇÃO ]]</f>
        <v>0.54161993749999993</v>
      </c>
      <c r="AY220" s="22">
        <f>SUMIF(tabParametros[Código do Posto],tabCustoUnit[[#This Row],[Código do Posto]],tabParametros[Férias, Adicional de Férias e 13º  com empregada em gozo de Licença Maternidade])*tabCustoUnit[[#This Row],[MODULO 1 - REMUNERAÇÃO ]]</f>
        <v>3.3700796111111107</v>
      </c>
      <c r="AZ220" s="22">
        <f>SUMIF(tabParametros[Código do Posto],tabCustoUnit[[#This Row],[Código do Posto]],tabParametros[Incidência do Submódulo 2.1 sobre Ausências Legais])*tabCustoUnit[[#This Row],[MODULO 1 - REMUNERAÇÃO ]]</f>
        <v>11.9377150536525</v>
      </c>
      <c r="BA220" s="22">
        <f>SUM(tabCustoUnit[[#This Row],[Ausência por Doença]:[Incidência do Submódulo 2.1 sobre Ausências Legais]])</f>
        <v>43.518971809346937</v>
      </c>
      <c r="BB220" s="22">
        <f>SUMIF(tabParametros[Código do Posto],tabCustoUnit[[#This Row],[Código do Posto]],tabParametros[Intervalo para Repouso ou Alimentação])</f>
        <v>0</v>
      </c>
      <c r="BC220" s="22">
        <f>tabCustoUnit[[#This Row],[Intervalo para Repouso ou Alimentação]]</f>
        <v>0</v>
      </c>
      <c r="BD22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0" s="22">
        <f>tabCustoUnit[[#This Row],[Suspensão Temporária do Contrato de Trabalho]]</f>
        <v>0</v>
      </c>
      <c r="BF220" s="22">
        <f>tabCustoUnit[[#This Row],[Submódulo 4.1]]+tabCustoUnit[[#This Row],[Submódulo 4.2]]+tabCustoUnit[[#This Row],[Submódulo 4.3]]</f>
        <v>43.518971809346937</v>
      </c>
      <c r="BG220" s="22">
        <f>VLOOKUP(tabCustoUnit[[#This Row],[Código do Posto]],tabParametros[],MATCH(tabCustoUnit[[#Headers],[Uniformes e EPIs]],tabParametros[#Headers],0),0)</f>
        <v>226.33322732312172</v>
      </c>
      <c r="BH220" s="22">
        <f>VLOOKUP(tabCustoUnit[[#This Row],[Código do Posto]],tabParametros[],MATCH(tabCustoUnit[[#Headers],[Materiais de Consumo]],tabParametros[#Headers],0),0)</f>
        <v>441.81099462365592</v>
      </c>
      <c r="BI220" s="22">
        <f>VLOOKUP(tabCustoUnit[[#This Row],[Código do Posto]],tabParametros[],MATCH(tabCustoUnit[[#Headers],[Máquinas e Equipamentos (depreciação)]],tabParametros[#Headers],0),0)</f>
        <v>113.11309677419354</v>
      </c>
      <c r="BJ220" s="22">
        <f>VLOOKUP(tabCustoUnit[[#This Row],[Código do Posto]],tabParametros[],MATCH(tabCustoUnit[[#Headers],[Produtos de Limpeza e Materiais de Higiene Pessoal]],tabParametros[#Headers],0),0)</f>
        <v>0</v>
      </c>
      <c r="BK220" s="22">
        <f>VLOOKUP(tabCustoUnit[[#This Row],[Código do Posto]],tabParametros[],MATCH(tabCustoUnit[[#Headers],[Outros (especificar)]],tabParametros[#Headers],0),0)</f>
        <v>0</v>
      </c>
      <c r="BL220" s="22">
        <f>SUM(tabCustoUnit[[#This Row],[Uniformes e EPIs]:[Outros (especificar)]])</f>
        <v>781.25731872097117</v>
      </c>
      <c r="BM22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0" s="22" t="e">
        <f ca="1">VLOOKUP(tabCustoUnit[[#This Row],[Código do Posto]],tabParametros[],MATCH(tabCustoUnit[[#Headers],[Custos Indiretos]],tabParametros[#Headers],0),0)</f>
        <v>#NAME?</v>
      </c>
      <c r="BO220" s="22" t="e">
        <f ca="1">VLOOKUP(tabCustoUnit[[#This Row],[Código do Posto]],tabParametros[],MATCH(tabCustoUnit[[#Headers],[Lucro]],tabParametros[#Headers],0),0)</f>
        <v>#NAME?</v>
      </c>
      <c r="BP220" s="26">
        <f>((100/((1-tabCustoUnit[[#This Row],[Resumo de Alíquotas (PIS+CONFINS+ISS)]]))-100)*VLOOKUP(tabCustoUnit[[#This Row],[Código do Posto]],tabParametros[],MATCH(tabCustoUnit[[#Headers],[COFINS]],tabParametros[#Headers],0),0))/(tabCustoUnit[[#This Row],[Resumo de Alíquotas (PIS+CONFINS+ISS)]]*100)</f>
        <v>8.6609686609686695E-2</v>
      </c>
      <c r="BQ220" s="26">
        <f>((100/((100-(tabCustoUnit[[#This Row],[Resumo de Alíquotas (PIS+CONFINS+ISS)]]*100))%)-100)*VLOOKUP(tabCustoUnit[[#This Row],[Código do Posto]],tabParametros[],MATCH(tabCustoUnit[[#Headers],[PIS]],tabParametros[#Headers],0),0))/(tabCustoUnit[[#This Row],[Resumo de Alíquotas (PIS+CONFINS+ISS)]]*100)</f>
        <v>1.880341880341882E-2</v>
      </c>
      <c r="BR220" s="28">
        <f>VLOOKUP(tabCustoUnit[[#This Row],[Código do Posto]],tabParametros[],MATCH(tabCustoUnit[[#Headers],[ISS]],tabParametros[#Headers],0),0)</f>
        <v>0.03</v>
      </c>
      <c r="BS220" s="26">
        <f>(((100/((100-(tabCustoUnit[[#This Row],[Resumo de Alíquotas (PIS+CONFINS+ISS)]]*100))%)-100)*tabCustoUnit[[#This Row],[ISS]])/tabCustoUnit[[#This Row],[Resumo de Alíquotas (PIS+CONFINS+ISS)]])/100</f>
        <v>3.4188034188034219E-2</v>
      </c>
      <c r="BT22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0" s="138">
        <f>tabCustoUnit[[#This Row],[COFINS]]+tabCustoUnit[[#This Row],[PIS]]+tabCustoUnit[[#This Row],[ISS (Conversão Alíquota s/ fatura)]]</f>
        <v>0.13960113960113973</v>
      </c>
      <c r="BV220" s="22" t="e">
        <f ca="1">(tabCustoUnit[[#This Row],[TOTAL MÓDULOS 1+2+3+4+5]]+tabCustoUnit[[#This Row],[Custos Indiretos]]+tabCustoUnit[[#This Row],[Lucro]])*tabCustoUnit[[#This Row],[PIS + COFINS + ISS (Total Conversão  Alíquota s/ Fatura)]]</f>
        <v>#NAME?</v>
      </c>
      <c r="BW220" s="22" t="e">
        <f ca="1">tabCustoUnit[[#This Row],[Custos Indiretos]]+tabCustoUnit[[#This Row],[Lucro]]+tabCustoUnit[[#This Row],[Valor dos Tributos (ISS, PIS, CONFINS)]]</f>
        <v>#NAME?</v>
      </c>
      <c r="BX220" s="22" t="e">
        <f ca="1">tabCustoUnit[[#This Row],[TOTAL MÓDULOS 1+2+3+4+5]]+tabCustoUnit[[#This Row],[MÓDULO 6 – CUSTOS INDIRETOS, TRIBUTOS E LUCRO]]</f>
        <v>#NAME?</v>
      </c>
      <c r="BY220" s="22" t="e">
        <f ca="1">tabCustoUnit[[#This Row],[CUSTO TOTAL MENSAL]]*12</f>
        <v>#NAME?</v>
      </c>
      <c r="BZ220" s="24">
        <f>VLOOKUP(tabCustoUnit[[#This Row],[Código do Posto]],tabParametros[],MATCH(tabCustoUnit[[#Headers],[ANO DA CCT]],tabParametros[#Headers],0),0)</f>
        <v>45658</v>
      </c>
      <c r="CA220" s="25" t="str">
        <f>VLOOKUP(tabCustoUnit[[#This Row],[Código do Posto]],tabParametros[],MATCH(tabCustoUnit[[#Headers],[Nº DE PEDIDO DA CCT]],tabParametros[#Headers],0),0)</f>
        <v>-</v>
      </c>
      <c r="CB220" s="25" t="str">
        <f>VLOOKUP(tabCustoUnit[[#This Row],[Código do Posto]],tabParametros[],MATCH(tabCustoUnit[[#Headers],[TERMO ADITIVO ALTERAÇÃO DA CCT]],tabParametros[#Headers],0),0)</f>
        <v>-</v>
      </c>
    </row>
    <row r="221" spans="1:80">
      <c r="A221" s="20" t="s">
        <v>1651</v>
      </c>
      <c r="B221" t="s">
        <v>939</v>
      </c>
      <c r="C221" t="s">
        <v>274</v>
      </c>
      <c r="D221" t="s">
        <v>1002</v>
      </c>
      <c r="E221" s="20" t="s">
        <v>1090</v>
      </c>
      <c r="F221" s="20" t="s">
        <v>120</v>
      </c>
      <c r="G221" s="418">
        <v>4341.0200000000004</v>
      </c>
      <c r="H221" s="418">
        <v>0</v>
      </c>
      <c r="I221" s="418">
        <v>0</v>
      </c>
      <c r="J221" s="418">
        <v>0</v>
      </c>
      <c r="K221" s="418">
        <v>0</v>
      </c>
      <c r="L221" s="418">
        <v>0</v>
      </c>
      <c r="M221" s="418">
        <v>0</v>
      </c>
      <c r="N221" s="418">
        <v>0</v>
      </c>
      <c r="O221" s="21">
        <f>SUM(tabCustoUnit[[#This Row],[Salário Base]:[Adicional de Acúmulo de função]])</f>
        <v>4341.0200000000004</v>
      </c>
      <c r="P221" s="21">
        <f>tabCustoUnit[[#This Row],[MODULO 1 - REMUNERAÇÃO ]]*SUMIFS(tabParametros[INSS],tabParametros[Código do Posto],tabCustoUnit[[#This Row],[Código do Posto]])</f>
        <v>868.20400000000018</v>
      </c>
      <c r="Q221" s="21">
        <f>tabCustoUnit[[#This Row],[MODULO 1 - REMUNERAÇÃO ]]*SUMIFS(tabParametros[SESI OU SESC],tabParametros[Código do Posto],tabCustoUnit[[#This Row],[Código do Posto]])</f>
        <v>65.115300000000005</v>
      </c>
      <c r="R221" s="21">
        <f>tabCustoUnit[[#This Row],[MODULO 1 - REMUNERAÇÃO ]]*SUMIFS(tabParametros[SENAI OU SENAC],tabParametros[Código do Posto],tabCustoUnit[[#This Row],[Código do Posto]])</f>
        <v>43.410200000000003</v>
      </c>
      <c r="S221" s="21">
        <f>tabCustoUnit[[#This Row],[MODULO 1 - REMUNERAÇÃO ]]*SUMIFS(tabParametros[INCRA],tabParametros[Código do Posto],tabCustoUnit[[#This Row],[Código do Posto]])</f>
        <v>8.6820400000000006</v>
      </c>
      <c r="T221" s="21">
        <f>tabCustoUnit[[#This Row],[MODULO 1 - REMUNERAÇÃO ]]*SUMIFS(tabParametros[Salário Educação],tabParametros[Código do Posto],tabCustoUnit[[#This Row],[Código do Posto]])</f>
        <v>108.52550000000002</v>
      </c>
      <c r="U221" s="21">
        <f>tabCustoUnit[[#This Row],[MODULO 1 - REMUNERAÇÃO ]]*SUMIFS(tabParametros[FGTS],tabParametros[Código do Posto],tabCustoUnit[[#This Row],[Código do Posto]])</f>
        <v>347.28160000000003</v>
      </c>
      <c r="V221" s="21">
        <f>tabCustoUnit[[#This Row],[MODULO 1 - REMUNERAÇÃO ]]*SUMIFS(tabParametros[RAT Ajustado],tabParametros[Código do Posto],tabCustoUnit[[#This Row],[Código do Posto]])</f>
        <v>173.64080000000001</v>
      </c>
      <c r="W221" s="21">
        <f>tabCustoUnit[[#This Row],[MODULO 1 - REMUNERAÇÃO ]]*SUMIFS(tabParametros[SEBRAE],tabParametros[Código do Posto],tabCustoUnit[[#This Row],[Código do Posto]])</f>
        <v>26.046120000000002</v>
      </c>
      <c r="X221" s="21">
        <f>SUM(tabCustoUnit[[#This Row],[INSS]:[SEBRAE]])</f>
        <v>1640.9055600000002</v>
      </c>
      <c r="Y221" s="21">
        <f>tabCustoUnit[[#This Row],[MODULO 1 - REMUNERAÇÃO ]]*SUMIFS(tabParametros[13º salário (titular)],tabParametros[Código do Posto],tabCustoUnit[[#This Row],[Código do Posto]])</f>
        <v>361.75166666666667</v>
      </c>
      <c r="Z221" s="21">
        <f>tabCustoUnit[[#This Row],[MODULO 1 - REMUNERAÇÃO ]]*SUMIFS(tabParametros[Férias e Adicional de Férias (titular)],tabParametros[Código do Posto],tabCustoUnit[[#This Row],[Código do Posto]])</f>
        <v>482.33555555555557</v>
      </c>
      <c r="AA221" s="21">
        <f>IFERROR((tabCustoUnit[[#This Row],[Submódulo 2.1]]/tabCustoUnit[[#This Row],[MODULO 1 - REMUNERAÇÃO ]])*SUM(tabCustoUnit[[#This Row],[13º salário (titular)]:[Férias e Adicional de Férias (titular)]]),0)</f>
        <v>319.06496999999996</v>
      </c>
      <c r="AB221" s="21">
        <f>SUM(tabCustoUnit[[#This Row],[13º salário (titular)]:[Incidência do Submódulo 2.1 sobre 13º Salário, Férias e Adicional de Férias]])</f>
        <v>1163.1521922222221</v>
      </c>
      <c r="AC221" s="22" t="e">
        <f ca="1">_xlfn.LET(_xlpm.VT,SUMIF(tabParametros[Código do Posto],tabCustoUnit[[#This Row],[Código do Posto]],tabParametros[Vale - Transporte])*2*20,
IF((_xlpm.VT-tabCustoUnit[[#This Row],[Salário Base]]*0.06)&gt;=0,(_xlpm.VT-tabCustoUnit[[#This Row],[Salário Base]]*0.06),0)
)</f>
        <v>#NAME?</v>
      </c>
      <c r="AD221" s="22">
        <f>IF(SUMIF(tabParametros[Código do Posto],tabCustoUnit[[#This Row],[Código do Posto]],tabParametros[Vale - Alimentação])&lt;=0,0,
SUMIF(tabParametros[Código do Posto],tabCustoUnit[[#This Row],[Código do Posto]],tabParametros[Vale - Alimentação])*20-1)</f>
        <v>578.4</v>
      </c>
      <c r="AE221" s="22">
        <f>SUMIF(tabParametros[Código do Posto],tabCustoUnit[[#This Row],[Código do Posto]],tabParametros[Cesta Básica])</f>
        <v>0</v>
      </c>
      <c r="AF221" s="22">
        <f>SUMIF(tabParametros[Código do Posto],tabCustoUnit[[#This Row],[Código do Posto]],tabParametros[PAF])</f>
        <v>22.52</v>
      </c>
      <c r="AG221" s="22">
        <f>SUMIF(tabParametros[Código do Posto],tabCustoUnit[[#This Row],[Código do Posto]],tabParametros[PQM])</f>
        <v>0</v>
      </c>
      <c r="AH221" s="22">
        <f>SUMIF(tabParametros[Código do Posto],tabCustoUnit[[#This Row],[Código do Posto]],tabParametros[Abono Único e Especial])</f>
        <v>0</v>
      </c>
      <c r="AI221" s="22">
        <f>SUMIF(tabParametros[Código do Posto],tabCustoUnit[[#This Row],[Código do Posto]],tabParametros[Seguro de Vida])</f>
        <v>3.36</v>
      </c>
      <c r="AJ221" s="22">
        <f>SUMIF(tabParametros[Código do Posto],tabCustoUnit[[#This Row],[Código do Posto]],tabParametros[Despesas de Viagem])</f>
        <v>662.42</v>
      </c>
      <c r="AK221" s="22" t="e">
        <f ca="1">SUM(tabCustoUnit[[#This Row],[Vale - Transporte (Descontada parcela do empregado)]:[Despesas de Viagem]])</f>
        <v>#NAME?</v>
      </c>
      <c r="AL221" s="22" t="e">
        <f ca="1">tabCustoUnit[[#This Row],[Submódulo 2.1]]+tabCustoUnit[[#This Row],[Submódulo 2.2]]+tabCustoUnit[[#This Row],[Submódulo 2.3]]</f>
        <v>#NAME?</v>
      </c>
      <c r="AM221" s="22">
        <f>SUMIF(tabParametros[Código do Posto],tabCustoUnit[[#This Row],[Código do Posto]],tabParametros[Aviso Prévio Indenizado (API) e Reflexo do Aviso Prévio Indenizado])*tabCustoUnit[[#This Row],[MODULO 1 - REMUNERAÇÃO ]]</f>
        <v>30.438220675154323</v>
      </c>
      <c r="AN221" s="22">
        <f>SUMIF(tabParametros[Código do Posto],tabCustoUnit[[#This Row],[Código do Posto]],tabParametros[Incidência do FGTS sobre API e Reflexo do API])*tabCustoUnit[[#This Row],[MODULO 1 - REMUNERAÇÃO ]]</f>
        <v>2.4350576540123461</v>
      </c>
      <c r="AO221" s="22">
        <f>SUMIF(tabParametros[Código do Posto],tabCustoUnit[[#This Row],[Código do Posto]],tabParametros[Multa Rescisória do FGTS sobre o Aviso Prévio Indenizado])*tabCustoUnit[[#This Row],[MODULO 1 - REMUNERAÇÃO ]]</f>
        <v>0.97402306160493857</v>
      </c>
      <c r="AP221" s="22">
        <f>SUMIF(tabParametros[Código do Posto],tabCustoUnit[[#This Row],[Código do Posto]],tabParametros[Aviso Prévio Trabalhado - APT])*tabCustoUnit[[#This Row],[MODULO 1 - REMUNERAÇÃO ]]</f>
        <v>15.193570000000003</v>
      </c>
      <c r="AQ221" s="22">
        <f>SUMIF(tabParametros[Código do Posto],tabCustoUnit[[#This Row],[Código do Posto]],tabParametros[Incidência dos encargos do submódulo 2.1 sobre Aviso Prévio Trabalhado])*tabCustoUnit[[#This Row],[MODULO 1 - REMUNERAÇÃO ]]</f>
        <v>5.7431694600000025</v>
      </c>
      <c r="AR221" s="22">
        <f>SUMIF(tabParametros[Código do Posto],tabCustoUnit[[#This Row],[Código do Posto]],tabParametros[Multa Rescisória do FGTS])*tabCustoUnit[[#This Row],[MODULO 1 - REMUNERAÇÃO ]]</f>
        <v>132.73874488888887</v>
      </c>
      <c r="AS221" s="22">
        <f>SUMIF(tabParametros[Código do Posto],tabCustoUnit[[#This Row],[Código do Posto]],tabParametros[Indenização Adicional (Art. 9º da Lei nº 7.238/84)])*tabCustoUnit[[#This Row],[MODULO 1 - REMUNERAÇÃO ]]</f>
        <v>3.6175166666666674</v>
      </c>
      <c r="AT221" s="22">
        <f>SUM(tabCustoUnit[[#This Row],[Aviso Prévio Indenizado (API) e Reflexo do Aviso Prévio Indenizado]:[Indenização Adicional (Art. 9º da Lei nº 7.238/84)]])</f>
        <v>191.14030240632715</v>
      </c>
      <c r="AU221" s="22">
        <f>SUMIF(tabParametros[Código do Posto],tabCustoUnit[[#This Row],[Código do Posto]],tabParametros[Ausência por Doença])*tabCustoUnit[[#This Row],[MODULO 1 - REMUNERAÇÃO ]]</f>
        <v>36.65750222222222</v>
      </c>
      <c r="AV221" s="22">
        <f>SUMIF(tabParametros[Código do Posto],tabCustoUnit[[#This Row],[Código do Posto]],tabParametros[Ausências Legais])*tabCustoUnit[[#This Row],[MODULO 1 - REMUNERAÇÃO ]]</f>
        <v>8.8026238888888884</v>
      </c>
      <c r="AW221" s="22">
        <f>SUMIF(tabParametros[Código do Posto],tabCustoUnit[[#This Row],[Código do Posto]],tabParametros[Licença Paternidade])*tabCustoUnit[[#This Row],[MODULO 1 - REMUNERAÇÃO ]]</f>
        <v>0.74159091666666677</v>
      </c>
      <c r="AX221" s="22">
        <f>SUMIF(tabParametros[Código do Posto],tabCustoUnit[[#This Row],[Código do Posto]],tabParametros[Ausência por Acidente de Trabalho])*tabCustoUnit[[#This Row],[MODULO 1 - REMUNERAÇÃO ]]</f>
        <v>0.90437916666666684</v>
      </c>
      <c r="AY221" s="22">
        <f>SUMIF(tabParametros[Código do Posto],tabCustoUnit[[#This Row],[Código do Posto]],tabParametros[Férias, Adicional de Férias e 13º  com empregada em gozo de Licença Maternidade])*tabCustoUnit[[#This Row],[MODULO 1 - REMUNERAÇÃO ]]</f>
        <v>5.6272481481481487</v>
      </c>
      <c r="AZ221" s="22">
        <f>SUMIF(tabParametros[Código do Posto],tabCustoUnit[[#This Row],[Código do Posto]],tabParametros[Incidência do Submódulo 2.1 sobre Ausências Legais])*tabCustoUnit[[#This Row],[MODULO 1 - REMUNERAÇÃO ]]</f>
        <v>19.933204161500004</v>
      </c>
      <c r="BA221" s="22">
        <f>SUM(tabCustoUnit[[#This Row],[Ausência por Doença]:[Incidência do Submódulo 2.1 sobre Ausências Legais]])</f>
        <v>72.666548504092589</v>
      </c>
      <c r="BB221" s="22">
        <f>SUMIF(tabParametros[Código do Posto],tabCustoUnit[[#This Row],[Código do Posto]],tabParametros[Intervalo para Repouso ou Alimentação])</f>
        <v>0</v>
      </c>
      <c r="BC221" s="22">
        <f>tabCustoUnit[[#This Row],[Intervalo para Repouso ou Alimentação]]</f>
        <v>0</v>
      </c>
      <c r="BD22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1" s="22">
        <f>tabCustoUnit[[#This Row],[Suspensão Temporária do Contrato de Trabalho]]</f>
        <v>0</v>
      </c>
      <c r="BF221" s="22">
        <f>tabCustoUnit[[#This Row],[Submódulo 4.1]]+tabCustoUnit[[#This Row],[Submódulo 4.2]]+tabCustoUnit[[#This Row],[Submódulo 4.3]]</f>
        <v>72.666548504092589</v>
      </c>
      <c r="BG221" s="22">
        <f>VLOOKUP(tabCustoUnit[[#This Row],[Código do Posto]],tabParametros[],MATCH(tabCustoUnit[[#Headers],[Uniformes e EPIs]],tabParametros[#Headers],0),0)</f>
        <v>92.100763771570698</v>
      </c>
      <c r="BH221" s="22">
        <f>VLOOKUP(tabCustoUnit[[#This Row],[Código do Posto]],tabParametros[],MATCH(tabCustoUnit[[#Headers],[Materiais de Consumo]],tabParametros[#Headers],0),0)</f>
        <v>0</v>
      </c>
      <c r="BI221" s="22">
        <f>VLOOKUP(tabCustoUnit[[#This Row],[Código do Posto]],tabParametros[],MATCH(tabCustoUnit[[#Headers],[Máquinas e Equipamentos (depreciação)]],tabParametros[#Headers],0),0)</f>
        <v>0</v>
      </c>
      <c r="BJ221" s="22">
        <f>VLOOKUP(tabCustoUnit[[#This Row],[Código do Posto]],tabParametros[],MATCH(tabCustoUnit[[#Headers],[Produtos de Limpeza e Materiais de Higiene Pessoal]],tabParametros[#Headers],0),0)</f>
        <v>0</v>
      </c>
      <c r="BK221" s="22">
        <f>VLOOKUP(tabCustoUnit[[#This Row],[Código do Posto]],tabParametros[],MATCH(tabCustoUnit[[#Headers],[Outros (especificar)]],tabParametros[#Headers],0),0)</f>
        <v>0</v>
      </c>
      <c r="BL221" s="22">
        <f>SUM(tabCustoUnit[[#This Row],[Uniformes e EPIs]:[Outros (especificar)]])</f>
        <v>92.100763771570698</v>
      </c>
      <c r="BM22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1" s="22" t="e">
        <f ca="1">VLOOKUP(tabCustoUnit[[#This Row],[Código do Posto]],tabParametros[],MATCH(tabCustoUnit[[#Headers],[Custos Indiretos]],tabParametros[#Headers],0),0)</f>
        <v>#NAME?</v>
      </c>
      <c r="BO221" s="22" t="e">
        <f ca="1">VLOOKUP(tabCustoUnit[[#This Row],[Código do Posto]],tabParametros[],MATCH(tabCustoUnit[[#Headers],[Lucro]],tabParametros[#Headers],0),0)</f>
        <v>#NAME?</v>
      </c>
      <c r="BP221" s="26">
        <f>((100/((1-tabCustoUnit[[#This Row],[Resumo de Alíquotas (PIS+CONFINS+ISS)]]))-100)*VLOOKUP(tabCustoUnit[[#This Row],[Código do Posto]],tabParametros[],MATCH(tabCustoUnit[[#Headers],[COFINS]],tabParametros[#Headers],0),0))/(tabCustoUnit[[#This Row],[Resumo de Alíquotas (PIS+CONFINS+ISS)]]*100)</f>
        <v>8.6609686609686695E-2</v>
      </c>
      <c r="BQ221" s="26">
        <f>((100/((100-(tabCustoUnit[[#This Row],[Resumo de Alíquotas (PIS+CONFINS+ISS)]]*100))%)-100)*VLOOKUP(tabCustoUnit[[#This Row],[Código do Posto]],tabParametros[],MATCH(tabCustoUnit[[#Headers],[PIS]],tabParametros[#Headers],0),0))/(tabCustoUnit[[#This Row],[Resumo de Alíquotas (PIS+CONFINS+ISS)]]*100)</f>
        <v>1.880341880341882E-2</v>
      </c>
      <c r="BR221" s="28">
        <f>VLOOKUP(tabCustoUnit[[#This Row],[Código do Posto]],tabParametros[],MATCH(tabCustoUnit[[#Headers],[ISS]],tabParametros[#Headers],0),0)</f>
        <v>0.03</v>
      </c>
      <c r="BS221" s="26">
        <f>(((100/((100-(tabCustoUnit[[#This Row],[Resumo de Alíquotas (PIS+CONFINS+ISS)]]*100))%)-100)*tabCustoUnit[[#This Row],[ISS]])/tabCustoUnit[[#This Row],[Resumo de Alíquotas (PIS+CONFINS+ISS)]])/100</f>
        <v>3.4188034188034219E-2</v>
      </c>
      <c r="BT22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1" s="138">
        <f>tabCustoUnit[[#This Row],[COFINS]]+tabCustoUnit[[#This Row],[PIS]]+tabCustoUnit[[#This Row],[ISS (Conversão Alíquota s/ fatura)]]</f>
        <v>0.13960113960113973</v>
      </c>
      <c r="BV221" s="22" t="e">
        <f ca="1">(tabCustoUnit[[#This Row],[TOTAL MÓDULOS 1+2+3+4+5]]+tabCustoUnit[[#This Row],[Custos Indiretos]]+tabCustoUnit[[#This Row],[Lucro]])*tabCustoUnit[[#This Row],[PIS + COFINS + ISS (Total Conversão  Alíquota s/ Fatura)]]</f>
        <v>#NAME?</v>
      </c>
      <c r="BW221" s="22" t="e">
        <f ca="1">tabCustoUnit[[#This Row],[Custos Indiretos]]+tabCustoUnit[[#This Row],[Lucro]]+tabCustoUnit[[#This Row],[Valor dos Tributos (ISS, PIS, CONFINS)]]</f>
        <v>#NAME?</v>
      </c>
      <c r="BX221" s="22" t="e">
        <f ca="1">tabCustoUnit[[#This Row],[TOTAL MÓDULOS 1+2+3+4+5]]+tabCustoUnit[[#This Row],[MÓDULO 6 – CUSTOS INDIRETOS, TRIBUTOS E LUCRO]]</f>
        <v>#NAME?</v>
      </c>
      <c r="BY221" s="22" t="e">
        <f ca="1">tabCustoUnit[[#This Row],[CUSTO TOTAL MENSAL]]*12</f>
        <v>#NAME?</v>
      </c>
      <c r="BZ221" s="24">
        <f>VLOOKUP(tabCustoUnit[[#This Row],[Código do Posto]],tabParametros[],MATCH(tabCustoUnit[[#Headers],[ANO DA CCT]],tabParametros[#Headers],0),0)</f>
        <v>45658</v>
      </c>
      <c r="CA221" s="25" t="str">
        <f>VLOOKUP(tabCustoUnit[[#This Row],[Código do Posto]],tabParametros[],MATCH(tabCustoUnit[[#Headers],[Nº DE PEDIDO DA CCT]],tabParametros[#Headers],0),0)</f>
        <v>-</v>
      </c>
      <c r="CB221" s="25" t="str">
        <f>VLOOKUP(tabCustoUnit[[#This Row],[Código do Posto]],tabParametros[],MATCH(tabCustoUnit[[#Headers],[TERMO ADITIVO ALTERAÇÃO DA CCT]],tabParametros[#Headers],0),0)</f>
        <v>-</v>
      </c>
    </row>
    <row r="222" spans="1:80">
      <c r="A222" s="20" t="s">
        <v>1652</v>
      </c>
      <c r="B222" t="s">
        <v>939</v>
      </c>
      <c r="C222" t="s">
        <v>304</v>
      </c>
      <c r="D222" t="s">
        <v>939</v>
      </c>
      <c r="E222" s="20" t="s">
        <v>1090</v>
      </c>
      <c r="F222" s="20" t="s">
        <v>120</v>
      </c>
      <c r="G222" s="418">
        <v>2134.8035</v>
      </c>
      <c r="H222" s="418">
        <v>0</v>
      </c>
      <c r="I222" s="418">
        <v>0</v>
      </c>
      <c r="J222" s="418">
        <v>0</v>
      </c>
      <c r="K222" s="418">
        <v>0</v>
      </c>
      <c r="L222" s="418">
        <v>0</v>
      </c>
      <c r="M222" s="418">
        <v>0</v>
      </c>
      <c r="N222" s="418">
        <v>0</v>
      </c>
      <c r="O222" s="21">
        <f>SUM(tabCustoUnit[[#This Row],[Salário Base]:[Adicional de Acúmulo de função]])</f>
        <v>2134.8035</v>
      </c>
      <c r="P222" s="21">
        <f>tabCustoUnit[[#This Row],[MODULO 1 - REMUNERAÇÃO ]]*SUMIFS(tabParametros[INSS],tabParametros[Código do Posto],tabCustoUnit[[#This Row],[Código do Posto]])</f>
        <v>426.96070000000003</v>
      </c>
      <c r="Q222" s="21">
        <f>tabCustoUnit[[#This Row],[MODULO 1 - REMUNERAÇÃO ]]*SUMIFS(tabParametros[SESI OU SESC],tabParametros[Código do Posto],tabCustoUnit[[#This Row],[Código do Posto]])</f>
        <v>32.022052500000001</v>
      </c>
      <c r="R222" s="21">
        <f>tabCustoUnit[[#This Row],[MODULO 1 - REMUNERAÇÃO ]]*SUMIFS(tabParametros[SENAI OU SENAC],tabParametros[Código do Posto],tabCustoUnit[[#This Row],[Código do Posto]])</f>
        <v>21.348034999999999</v>
      </c>
      <c r="S222" s="21">
        <f>tabCustoUnit[[#This Row],[MODULO 1 - REMUNERAÇÃO ]]*SUMIFS(tabParametros[INCRA],tabParametros[Código do Posto],tabCustoUnit[[#This Row],[Código do Posto]])</f>
        <v>4.2696069999999997</v>
      </c>
      <c r="T222" s="21">
        <f>tabCustoUnit[[#This Row],[MODULO 1 - REMUNERAÇÃO ]]*SUMIFS(tabParametros[Salário Educação],tabParametros[Código do Posto],tabCustoUnit[[#This Row],[Código do Posto]])</f>
        <v>53.370087500000004</v>
      </c>
      <c r="U222" s="21">
        <f>tabCustoUnit[[#This Row],[MODULO 1 - REMUNERAÇÃO ]]*SUMIFS(tabParametros[FGTS],tabParametros[Código do Posto],tabCustoUnit[[#This Row],[Código do Posto]])</f>
        <v>170.78428</v>
      </c>
      <c r="V222" s="21">
        <f>tabCustoUnit[[#This Row],[MODULO 1 - REMUNERAÇÃO ]]*SUMIFS(tabParametros[RAT Ajustado],tabParametros[Código do Posto],tabCustoUnit[[#This Row],[Código do Posto]])</f>
        <v>85.392139999999998</v>
      </c>
      <c r="W222" s="21">
        <f>tabCustoUnit[[#This Row],[MODULO 1 - REMUNERAÇÃO ]]*SUMIFS(tabParametros[SEBRAE],tabParametros[Código do Posto],tabCustoUnit[[#This Row],[Código do Posto]])</f>
        <v>12.808821</v>
      </c>
      <c r="X222" s="21">
        <f>SUM(tabCustoUnit[[#This Row],[INSS]:[SEBRAE]])</f>
        <v>806.95572300000003</v>
      </c>
      <c r="Y222" s="21">
        <f>tabCustoUnit[[#This Row],[MODULO 1 - REMUNERAÇÃO ]]*SUMIFS(tabParametros[13º salário (titular)],tabParametros[Código do Posto],tabCustoUnit[[#This Row],[Código do Posto]])</f>
        <v>177.90029166666665</v>
      </c>
      <c r="Z222" s="21">
        <f>tabCustoUnit[[#This Row],[MODULO 1 - REMUNERAÇÃO ]]*SUMIFS(tabParametros[Férias e Adicional de Férias (titular)],tabParametros[Código do Posto],tabCustoUnit[[#This Row],[Código do Posto]])</f>
        <v>237.20038888888888</v>
      </c>
      <c r="AA222" s="21">
        <f>IFERROR((tabCustoUnit[[#This Row],[Submódulo 2.1]]/tabCustoUnit[[#This Row],[MODULO 1 - REMUNERAÇÃO ]])*SUM(tabCustoUnit[[#This Row],[13º salário (titular)]:[Férias e Adicional de Férias (titular)]]),0)</f>
        <v>156.90805724999998</v>
      </c>
      <c r="AB222" s="21">
        <f>SUM(tabCustoUnit[[#This Row],[13º salário (titular)]:[Incidência do Submódulo 2.1 sobre 13º Salário, Férias e Adicional de Férias]])</f>
        <v>572.00873780555548</v>
      </c>
      <c r="AC222" s="22" t="e">
        <f ca="1">_xlfn.LET(_xlpm.VT,SUMIF(tabParametros[Código do Posto],tabCustoUnit[[#This Row],[Código do Posto]],tabParametros[Vale - Transporte])*2*20,
IF((_xlpm.VT-tabCustoUnit[[#This Row],[Salário Base]]*0.06)&gt;=0,(_xlpm.VT-tabCustoUnit[[#This Row],[Salário Base]]*0.06),0)
)</f>
        <v>#NAME?</v>
      </c>
      <c r="AD222" s="22">
        <f>IF(SUMIF(tabParametros[Código do Posto],tabCustoUnit[[#This Row],[Código do Posto]],tabParametros[Vale - Alimentação])&lt;=0,0,
SUMIF(tabParametros[Código do Posto],tabCustoUnit[[#This Row],[Código do Posto]],tabParametros[Vale - Alimentação])*20-1)</f>
        <v>582</v>
      </c>
      <c r="AE222" s="22">
        <f>SUMIF(tabParametros[Código do Posto],tabCustoUnit[[#This Row],[Código do Posto]],tabParametros[Cesta Básica])</f>
        <v>0</v>
      </c>
      <c r="AF222" s="22">
        <f>SUMIF(tabParametros[Código do Posto],tabCustoUnit[[#This Row],[Código do Posto]],tabParametros[PAF])</f>
        <v>51.86</v>
      </c>
      <c r="AG222" s="22">
        <f>SUMIF(tabParametros[Código do Posto],tabCustoUnit[[#This Row],[Código do Posto]],tabParametros[PQM])</f>
        <v>0</v>
      </c>
      <c r="AH222" s="22">
        <f>SUMIF(tabParametros[Código do Posto],tabCustoUnit[[#This Row],[Código do Posto]],tabParametros[Abono Único e Especial])</f>
        <v>0</v>
      </c>
      <c r="AI222" s="22">
        <f>SUMIF(tabParametros[Código do Posto],tabCustoUnit[[#This Row],[Código do Posto]],tabParametros[Seguro de Vida])</f>
        <v>3.36</v>
      </c>
      <c r="AJ222" s="22">
        <f>SUMIF(tabParametros[Código do Posto],tabCustoUnit[[#This Row],[Código do Posto]],tabParametros[Despesas de Viagem])</f>
        <v>0</v>
      </c>
      <c r="AK222" s="22" t="e">
        <f ca="1">SUM(tabCustoUnit[[#This Row],[Vale - Transporte (Descontada parcela do empregado)]:[Despesas de Viagem]])</f>
        <v>#NAME?</v>
      </c>
      <c r="AL222" s="22" t="e">
        <f ca="1">tabCustoUnit[[#This Row],[Submódulo 2.1]]+tabCustoUnit[[#This Row],[Submódulo 2.2]]+tabCustoUnit[[#This Row],[Submódulo 2.3]]</f>
        <v>#NAME?</v>
      </c>
      <c r="AM222" s="22">
        <f>SUMIF(tabParametros[Código do Posto],tabCustoUnit[[#This Row],[Código do Posto]],tabParametros[Aviso Prévio Indenizado (API) e Reflexo do Aviso Prévio Indenizado])*tabCustoUnit[[#This Row],[MODULO 1 - REMUNERAÇÃO ]]</f>
        <v>14.968744680073302</v>
      </c>
      <c r="AN222" s="22">
        <f>SUMIF(tabParametros[Código do Posto],tabCustoUnit[[#This Row],[Código do Posto]],tabParametros[Incidência do FGTS sobre API e Reflexo do API])*tabCustoUnit[[#This Row],[MODULO 1 - REMUNERAÇÃO ]]</f>
        <v>1.1974995744058643</v>
      </c>
      <c r="AO222" s="22">
        <f>SUMIF(tabParametros[Código do Posto],tabCustoUnit[[#This Row],[Código do Posto]],tabParametros[Multa Rescisória do FGTS sobre o Aviso Prévio Indenizado])*tabCustoUnit[[#This Row],[MODULO 1 - REMUNERAÇÃO ]]</f>
        <v>0.47899982976234579</v>
      </c>
      <c r="AP222" s="22">
        <f>SUMIF(tabParametros[Código do Posto],tabCustoUnit[[#This Row],[Código do Posto]],tabParametros[Aviso Prévio Trabalhado - APT])*tabCustoUnit[[#This Row],[MODULO 1 - REMUNERAÇÃO ]]</f>
        <v>7.471812250000001</v>
      </c>
      <c r="AQ222" s="22">
        <f>SUMIF(tabParametros[Código do Posto],tabCustoUnit[[#This Row],[Código do Posto]],tabParametros[Incidência dos encargos do submódulo 2.1 sobre Aviso Prévio Trabalhado])*tabCustoUnit[[#This Row],[MODULO 1 - REMUNERAÇÃO ]]</f>
        <v>2.8243450305000009</v>
      </c>
      <c r="AR222" s="22">
        <f>SUMIF(tabParametros[Código do Posto],tabCustoUnit[[#This Row],[Código do Posto]],tabParametros[Multa Rescisória do FGTS])*tabCustoUnit[[#This Row],[MODULO 1 - REMUNERAÇÃO ]]</f>
        <v>65.277547022222208</v>
      </c>
      <c r="AS222" s="22">
        <f>SUMIF(tabParametros[Código do Posto],tabCustoUnit[[#This Row],[Código do Posto]],tabParametros[Indenização Adicional (Art. 9º da Lei nº 7.238/84)])*tabCustoUnit[[#This Row],[MODULO 1 - REMUNERAÇÃO ]]</f>
        <v>1.7790029166666668</v>
      </c>
      <c r="AT222" s="22">
        <f>SUM(tabCustoUnit[[#This Row],[Aviso Prévio Indenizado (API) e Reflexo do Aviso Prévio Indenizado]:[Indenização Adicional (Art. 9º da Lei nº 7.238/84)]])</f>
        <v>93.997951303630387</v>
      </c>
      <c r="AU222" s="22">
        <f>SUMIF(tabParametros[Código do Posto],tabCustoUnit[[#This Row],[Código do Posto]],tabParametros[Ausência por Doença])*tabCustoUnit[[#This Row],[MODULO 1 - REMUNERAÇÃO ]]</f>
        <v>18.027229555555554</v>
      </c>
      <c r="AV222" s="22">
        <f>SUMIF(tabParametros[Código do Posto],tabCustoUnit[[#This Row],[Código do Posto]],tabParametros[Ausências Legais])*tabCustoUnit[[#This Row],[MODULO 1 - REMUNERAÇÃO ]]</f>
        <v>4.3289070972222223</v>
      </c>
      <c r="AW222" s="22">
        <f>SUMIF(tabParametros[Código do Posto],tabCustoUnit[[#This Row],[Código do Posto]],tabParametros[Licença Paternidade])*tabCustoUnit[[#This Row],[MODULO 1 - REMUNERAÇÃO ]]</f>
        <v>0.36469559791666667</v>
      </c>
      <c r="AX222" s="22">
        <f>SUMIF(tabParametros[Código do Posto],tabCustoUnit[[#This Row],[Código do Posto]],tabParametros[Ausência por Acidente de Trabalho])*tabCustoUnit[[#This Row],[MODULO 1 - REMUNERAÇÃO ]]</f>
        <v>0.44475072916666669</v>
      </c>
      <c r="AY222" s="22">
        <f>SUMIF(tabParametros[Código do Posto],tabCustoUnit[[#This Row],[Código do Posto]],tabParametros[Férias, Adicional de Férias e 13º  com empregada em gozo de Licença Maternidade])*tabCustoUnit[[#This Row],[MODULO 1 - REMUNERAÇÃO ]]</f>
        <v>2.7673378703703704</v>
      </c>
      <c r="AZ222" s="22">
        <f>SUMIF(tabParametros[Código do Posto],tabCustoUnit[[#This Row],[Código do Posto]],tabParametros[Incidência do Submódulo 2.1 sobre Ausências Legais])*tabCustoUnit[[#This Row],[MODULO 1 - REMUNERAÇÃO ]]</f>
        <v>9.802644081387502</v>
      </c>
      <c r="BA222" s="22">
        <f>SUM(tabCustoUnit[[#This Row],[Ausência por Doença]:[Incidência do Submódulo 2.1 sobre Ausências Legais]])</f>
        <v>35.735564931618981</v>
      </c>
      <c r="BB222" s="22">
        <f>SUMIF(tabParametros[Código do Posto],tabCustoUnit[[#This Row],[Código do Posto]],tabParametros[Intervalo para Repouso ou Alimentação])</f>
        <v>236.35324352825916</v>
      </c>
      <c r="BC222" s="22">
        <f>tabCustoUnit[[#This Row],[Intervalo para Repouso ou Alimentação]]</f>
        <v>236.35324352825916</v>
      </c>
      <c r="BD22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2" s="22">
        <f>tabCustoUnit[[#This Row],[Suspensão Temporária do Contrato de Trabalho]]</f>
        <v>0</v>
      </c>
      <c r="BF222" s="22">
        <f>tabCustoUnit[[#This Row],[Submódulo 4.1]]+tabCustoUnit[[#This Row],[Submódulo 4.2]]+tabCustoUnit[[#This Row],[Submódulo 4.3]]</f>
        <v>272.08880845987812</v>
      </c>
      <c r="BG222" s="22">
        <f>VLOOKUP(tabCustoUnit[[#This Row],[Código do Posto]],tabParametros[],MATCH(tabCustoUnit[[#Headers],[Uniformes e EPIs]],tabParametros[#Headers],0),0)</f>
        <v>56.642978962543395</v>
      </c>
      <c r="BH222" s="22">
        <f>VLOOKUP(tabCustoUnit[[#This Row],[Código do Posto]],tabParametros[],MATCH(tabCustoUnit[[#Headers],[Materiais de Consumo]],tabParametros[#Headers],0),0)</f>
        <v>0</v>
      </c>
      <c r="BI222" s="22">
        <f>VLOOKUP(tabCustoUnit[[#This Row],[Código do Posto]],tabParametros[],MATCH(tabCustoUnit[[#Headers],[Máquinas e Equipamentos (depreciação)]],tabParametros[#Headers],0),0)</f>
        <v>0</v>
      </c>
      <c r="BJ222" s="22">
        <f>VLOOKUP(tabCustoUnit[[#This Row],[Código do Posto]],tabParametros[],MATCH(tabCustoUnit[[#Headers],[Produtos de Limpeza e Materiais de Higiene Pessoal]],tabParametros[#Headers],0),0)</f>
        <v>0</v>
      </c>
      <c r="BK222" s="22">
        <f>VLOOKUP(tabCustoUnit[[#This Row],[Código do Posto]],tabParametros[],MATCH(tabCustoUnit[[#Headers],[Outros (especificar)]],tabParametros[#Headers],0),0)</f>
        <v>0</v>
      </c>
      <c r="BL222" s="22">
        <f>SUM(tabCustoUnit[[#This Row],[Uniformes e EPIs]:[Outros (especificar)]])</f>
        <v>56.642978962543395</v>
      </c>
      <c r="BM22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2" s="22" t="e">
        <f ca="1">VLOOKUP(tabCustoUnit[[#This Row],[Código do Posto]],tabParametros[],MATCH(tabCustoUnit[[#Headers],[Custos Indiretos]],tabParametros[#Headers],0),0)</f>
        <v>#NAME?</v>
      </c>
      <c r="BO222" s="22" t="e">
        <f ca="1">VLOOKUP(tabCustoUnit[[#This Row],[Código do Posto]],tabParametros[],MATCH(tabCustoUnit[[#Headers],[Lucro]],tabParametros[#Headers],0),0)</f>
        <v>#NAME?</v>
      </c>
      <c r="BP222" s="26">
        <f>((100/((1-tabCustoUnit[[#This Row],[Resumo de Alíquotas (PIS+CONFINS+ISS)]]))-100)*VLOOKUP(tabCustoUnit[[#This Row],[Código do Posto]],tabParametros[],MATCH(tabCustoUnit[[#Headers],[COFINS]],tabParametros[#Headers],0),0))/(tabCustoUnit[[#This Row],[Resumo de Alíquotas (PIS+CONFINS+ISS)]]*100)</f>
        <v>8.6609686609686695E-2</v>
      </c>
      <c r="BQ222" s="26">
        <f>((100/((100-(tabCustoUnit[[#This Row],[Resumo de Alíquotas (PIS+CONFINS+ISS)]]*100))%)-100)*VLOOKUP(tabCustoUnit[[#This Row],[Código do Posto]],tabParametros[],MATCH(tabCustoUnit[[#Headers],[PIS]],tabParametros[#Headers],0),0))/(tabCustoUnit[[#This Row],[Resumo de Alíquotas (PIS+CONFINS+ISS)]]*100)</f>
        <v>1.880341880341882E-2</v>
      </c>
      <c r="BR222" s="28">
        <f>VLOOKUP(tabCustoUnit[[#This Row],[Código do Posto]],tabParametros[],MATCH(tabCustoUnit[[#Headers],[ISS]],tabParametros[#Headers],0),0)</f>
        <v>0.03</v>
      </c>
      <c r="BS222" s="26">
        <f>(((100/((100-(tabCustoUnit[[#This Row],[Resumo de Alíquotas (PIS+CONFINS+ISS)]]*100))%)-100)*tabCustoUnit[[#This Row],[ISS]])/tabCustoUnit[[#This Row],[Resumo de Alíquotas (PIS+CONFINS+ISS)]])/100</f>
        <v>3.4188034188034219E-2</v>
      </c>
      <c r="BT22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2" s="138">
        <f>tabCustoUnit[[#This Row],[COFINS]]+tabCustoUnit[[#This Row],[PIS]]+tabCustoUnit[[#This Row],[ISS (Conversão Alíquota s/ fatura)]]</f>
        <v>0.13960113960113973</v>
      </c>
      <c r="BV222" s="22" t="e">
        <f ca="1">(tabCustoUnit[[#This Row],[TOTAL MÓDULOS 1+2+3+4+5]]+tabCustoUnit[[#This Row],[Custos Indiretos]]+tabCustoUnit[[#This Row],[Lucro]])*tabCustoUnit[[#This Row],[PIS + COFINS + ISS (Total Conversão  Alíquota s/ Fatura)]]</f>
        <v>#NAME?</v>
      </c>
      <c r="BW222" s="22" t="e">
        <f ca="1">tabCustoUnit[[#This Row],[Custos Indiretos]]+tabCustoUnit[[#This Row],[Lucro]]+tabCustoUnit[[#This Row],[Valor dos Tributos (ISS, PIS, CONFINS)]]</f>
        <v>#NAME?</v>
      </c>
      <c r="BX222" s="22" t="e">
        <f ca="1">tabCustoUnit[[#This Row],[TOTAL MÓDULOS 1+2+3+4+5]]+tabCustoUnit[[#This Row],[MÓDULO 6 – CUSTOS INDIRETOS, TRIBUTOS E LUCRO]]</f>
        <v>#NAME?</v>
      </c>
      <c r="BY222" s="22" t="e">
        <f ca="1">tabCustoUnit[[#This Row],[CUSTO TOTAL MENSAL]]*12</f>
        <v>#NAME?</v>
      </c>
      <c r="BZ222" s="24">
        <f>VLOOKUP(tabCustoUnit[[#This Row],[Código do Posto]],tabParametros[],MATCH(tabCustoUnit[[#Headers],[ANO DA CCT]],tabParametros[#Headers],0),0)</f>
        <v>45658</v>
      </c>
      <c r="CA222" s="25" t="str">
        <f>VLOOKUP(tabCustoUnit[[#This Row],[Código do Posto]],tabParametros[],MATCH(tabCustoUnit[[#Headers],[Nº DE PEDIDO DA CCT]],tabParametros[#Headers],0),0)</f>
        <v>-</v>
      </c>
      <c r="CB222" s="25" t="str">
        <f>VLOOKUP(tabCustoUnit[[#This Row],[Código do Posto]],tabParametros[],MATCH(tabCustoUnit[[#Headers],[TERMO ADITIVO ALTERAÇÃO DA CCT]],tabParametros[#Headers],0),0)</f>
        <v>-</v>
      </c>
    </row>
    <row r="223" spans="1:80">
      <c r="A223" s="20" t="s">
        <v>1653</v>
      </c>
      <c r="B223" t="s">
        <v>939</v>
      </c>
      <c r="C223" t="s">
        <v>309</v>
      </c>
      <c r="D223" t="s">
        <v>939</v>
      </c>
      <c r="E223" s="20" t="s">
        <v>1090</v>
      </c>
      <c r="F223" s="20" t="s">
        <v>120</v>
      </c>
      <c r="G223" s="418">
        <v>2134.8035</v>
      </c>
      <c r="H223" s="418">
        <v>0</v>
      </c>
      <c r="I223" s="418">
        <v>0</v>
      </c>
      <c r="J223" s="418">
        <v>430.16289999999998</v>
      </c>
      <c r="K223" s="418">
        <v>0</v>
      </c>
      <c r="L223" s="418">
        <v>0</v>
      </c>
      <c r="M223" s="418">
        <v>0</v>
      </c>
      <c r="N223" s="418">
        <v>0</v>
      </c>
      <c r="O223" s="21">
        <f>SUM(tabCustoUnit[[#This Row],[Salário Base]:[Adicional de Acúmulo de função]])</f>
        <v>2564.9663999999998</v>
      </c>
      <c r="P223" s="21">
        <f>tabCustoUnit[[#This Row],[MODULO 1 - REMUNERAÇÃO ]]*SUMIFS(tabParametros[INSS],tabParametros[Código do Posto],tabCustoUnit[[#This Row],[Código do Posto]])</f>
        <v>512.99328000000003</v>
      </c>
      <c r="Q223" s="21">
        <f>tabCustoUnit[[#This Row],[MODULO 1 - REMUNERAÇÃO ]]*SUMIFS(tabParametros[SESI OU SESC],tabParametros[Código do Posto],tabCustoUnit[[#This Row],[Código do Posto]])</f>
        <v>38.474495999999995</v>
      </c>
      <c r="R223" s="21">
        <f>tabCustoUnit[[#This Row],[MODULO 1 - REMUNERAÇÃO ]]*SUMIFS(tabParametros[SENAI OU SENAC],tabParametros[Código do Posto],tabCustoUnit[[#This Row],[Código do Posto]])</f>
        <v>25.649663999999998</v>
      </c>
      <c r="S223" s="21">
        <f>tabCustoUnit[[#This Row],[MODULO 1 - REMUNERAÇÃO ]]*SUMIFS(tabParametros[INCRA],tabParametros[Código do Posto],tabCustoUnit[[#This Row],[Código do Posto]])</f>
        <v>5.1299327999999997</v>
      </c>
      <c r="T223" s="21">
        <f>tabCustoUnit[[#This Row],[MODULO 1 - REMUNERAÇÃO ]]*SUMIFS(tabParametros[Salário Educação],tabParametros[Código do Posto],tabCustoUnit[[#This Row],[Código do Posto]])</f>
        <v>64.124160000000003</v>
      </c>
      <c r="U223" s="21">
        <f>tabCustoUnit[[#This Row],[MODULO 1 - REMUNERAÇÃO ]]*SUMIFS(tabParametros[FGTS],tabParametros[Código do Posto],tabCustoUnit[[#This Row],[Código do Posto]])</f>
        <v>205.19731199999998</v>
      </c>
      <c r="V223" s="21">
        <f>tabCustoUnit[[#This Row],[MODULO 1 - REMUNERAÇÃO ]]*SUMIFS(tabParametros[RAT Ajustado],tabParametros[Código do Posto],tabCustoUnit[[#This Row],[Código do Posto]])</f>
        <v>102.59865599999999</v>
      </c>
      <c r="W223" s="21">
        <f>tabCustoUnit[[#This Row],[MODULO 1 - REMUNERAÇÃO ]]*SUMIFS(tabParametros[SEBRAE],tabParametros[Código do Posto],tabCustoUnit[[#This Row],[Código do Posto]])</f>
        <v>15.389798399999998</v>
      </c>
      <c r="X223" s="21">
        <f>SUM(tabCustoUnit[[#This Row],[INSS]:[SEBRAE]])</f>
        <v>969.5572992000001</v>
      </c>
      <c r="Y223" s="21">
        <f>tabCustoUnit[[#This Row],[MODULO 1 - REMUNERAÇÃO ]]*SUMIFS(tabParametros[13º salário (titular)],tabParametros[Código do Posto],tabCustoUnit[[#This Row],[Código do Posto]])</f>
        <v>213.74719999999996</v>
      </c>
      <c r="Z223" s="21">
        <f>tabCustoUnit[[#This Row],[MODULO 1 - REMUNERAÇÃO ]]*SUMIFS(tabParametros[Férias e Adicional de Férias (titular)],tabParametros[Código do Posto],tabCustoUnit[[#This Row],[Código do Posto]])</f>
        <v>284.9962666666666</v>
      </c>
      <c r="AA223" s="21">
        <f>IFERROR((tabCustoUnit[[#This Row],[Submódulo 2.1]]/tabCustoUnit[[#This Row],[MODULO 1 - REMUNERAÇÃO ]])*SUM(tabCustoUnit[[#This Row],[13º salário (titular)]:[Férias e Adicional de Férias (titular)]]),0)</f>
        <v>188.52503039999999</v>
      </c>
      <c r="AB223" s="21">
        <f>SUM(tabCustoUnit[[#This Row],[13º salário (titular)]:[Incidência do Submódulo 2.1 sobre 13º Salário, Férias e Adicional de Férias]])</f>
        <v>687.26849706666655</v>
      </c>
      <c r="AC223" s="22" t="e">
        <f ca="1">_xlfn.LET(_xlpm.VT,SUMIF(tabParametros[Código do Posto],tabCustoUnit[[#This Row],[Código do Posto]],tabParametros[Vale - Transporte])*2*20,
IF((_xlpm.VT-tabCustoUnit[[#This Row],[Salário Base]]*0.06)&gt;=0,(_xlpm.VT-tabCustoUnit[[#This Row],[Salário Base]]*0.06),0)
)</f>
        <v>#NAME?</v>
      </c>
      <c r="AD223" s="22">
        <f>IF(SUMIF(tabParametros[Código do Posto],tabCustoUnit[[#This Row],[Código do Posto]],tabParametros[Vale - Alimentação])&lt;=0,0,
SUMIF(tabParametros[Código do Posto],tabCustoUnit[[#This Row],[Código do Posto]],tabParametros[Vale - Alimentação])*20-1)</f>
        <v>582</v>
      </c>
      <c r="AE223" s="22">
        <f>SUMIF(tabParametros[Código do Posto],tabCustoUnit[[#This Row],[Código do Posto]],tabParametros[Cesta Básica])</f>
        <v>0</v>
      </c>
      <c r="AF223" s="22">
        <f>SUMIF(tabParametros[Código do Posto],tabCustoUnit[[#This Row],[Código do Posto]],tabParametros[PAF])</f>
        <v>51.86</v>
      </c>
      <c r="AG223" s="22">
        <f>SUMIF(tabParametros[Código do Posto],tabCustoUnit[[#This Row],[Código do Posto]],tabParametros[PQM])</f>
        <v>0</v>
      </c>
      <c r="AH223" s="22">
        <f>SUMIF(tabParametros[Código do Posto],tabCustoUnit[[#This Row],[Código do Posto]],tabParametros[Abono Único e Especial])</f>
        <v>0</v>
      </c>
      <c r="AI223" s="22">
        <f>SUMIF(tabParametros[Código do Posto],tabCustoUnit[[#This Row],[Código do Posto]],tabParametros[Seguro de Vida])</f>
        <v>3.36</v>
      </c>
      <c r="AJ223" s="22">
        <f>SUMIF(tabParametros[Código do Posto],tabCustoUnit[[#This Row],[Código do Posto]],tabParametros[Despesas de Viagem])</f>
        <v>0</v>
      </c>
      <c r="AK223" s="22" t="e">
        <f ca="1">SUM(tabCustoUnit[[#This Row],[Vale - Transporte (Descontada parcela do empregado)]:[Despesas de Viagem]])</f>
        <v>#NAME?</v>
      </c>
      <c r="AL223" s="22" t="e">
        <f ca="1">tabCustoUnit[[#This Row],[Submódulo 2.1]]+tabCustoUnit[[#This Row],[Submódulo 2.2]]+tabCustoUnit[[#This Row],[Submódulo 2.3]]</f>
        <v>#NAME?</v>
      </c>
      <c r="AM223" s="22">
        <f>SUMIF(tabParametros[Código do Posto],tabCustoUnit[[#This Row],[Código do Posto]],tabParametros[Aviso Prévio Indenizado (API) e Reflexo do Aviso Prévio Indenizado])*tabCustoUnit[[#This Row],[MODULO 1 - REMUNERAÇÃO ]]</f>
        <v>17.984946696296294</v>
      </c>
      <c r="AN223" s="22">
        <f>SUMIF(tabParametros[Código do Posto],tabCustoUnit[[#This Row],[Código do Posto]],tabParametros[Incidência do FGTS sobre API e Reflexo do API])*tabCustoUnit[[#This Row],[MODULO 1 - REMUNERAÇÃO ]]</f>
        <v>1.4387957357037038</v>
      </c>
      <c r="AO223" s="22">
        <f>SUMIF(tabParametros[Código do Posto],tabCustoUnit[[#This Row],[Código do Posto]],tabParametros[Multa Rescisória do FGTS sobre o Aviso Prévio Indenizado])*tabCustoUnit[[#This Row],[MODULO 1 - REMUNERAÇÃO ]]</f>
        <v>0.57551829428148149</v>
      </c>
      <c r="AP223" s="22">
        <f>SUMIF(tabParametros[Código do Posto],tabCustoUnit[[#This Row],[Código do Posto]],tabParametros[Aviso Prévio Trabalhado - APT])*tabCustoUnit[[#This Row],[MODULO 1 - REMUNERAÇÃO ]]</f>
        <v>8.9773823999999998</v>
      </c>
      <c r="AQ223" s="22">
        <f>SUMIF(tabParametros[Código do Posto],tabCustoUnit[[#This Row],[Código do Posto]],tabParametros[Incidência dos encargos do submódulo 2.1 sobre Aviso Prévio Trabalhado])*tabCustoUnit[[#This Row],[MODULO 1 - REMUNERAÇÃO ]]</f>
        <v>3.3934505472000009</v>
      </c>
      <c r="AR223" s="22">
        <f>SUMIF(tabParametros[Código do Posto],tabCustoUnit[[#This Row],[Código do Posto]],tabParametros[Multa Rescisória do FGTS])*tabCustoUnit[[#This Row],[MODULO 1 - REMUNERAÇÃO ]]</f>
        <v>78.430972586666655</v>
      </c>
      <c r="AS223" s="22">
        <f>SUMIF(tabParametros[Código do Posto],tabCustoUnit[[#This Row],[Código do Posto]],tabParametros[Indenização Adicional (Art. 9º da Lei nº 7.238/84)])*tabCustoUnit[[#This Row],[MODULO 1 - REMUNERAÇÃO ]]</f>
        <v>2.1374719999999998</v>
      </c>
      <c r="AT223" s="22">
        <f>SUM(tabCustoUnit[[#This Row],[Aviso Prévio Indenizado (API) e Reflexo do Aviso Prévio Indenizado]:[Indenização Adicional (Art. 9º da Lei nº 7.238/84)]])</f>
        <v>112.93853826014814</v>
      </c>
      <c r="AU223" s="22">
        <f>SUMIF(tabParametros[Código do Posto],tabCustoUnit[[#This Row],[Código do Posto]],tabParametros[Ausência por Doença])*tabCustoUnit[[#This Row],[MODULO 1 - REMUNERAÇÃO ]]</f>
        <v>21.659716266666663</v>
      </c>
      <c r="AV223" s="22">
        <f>SUMIF(tabParametros[Código do Posto],tabCustoUnit[[#This Row],[Código do Posto]],tabParametros[Ausências Legais])*tabCustoUnit[[#This Row],[MODULO 1 - REMUNERAÇÃO ]]</f>
        <v>5.2011818666666656</v>
      </c>
      <c r="AW223" s="22">
        <f>SUMIF(tabParametros[Código do Posto],tabCustoUnit[[#This Row],[Código do Posto]],tabParametros[Licença Paternidade])*tabCustoUnit[[#This Row],[MODULO 1 - REMUNERAÇÃO ]]</f>
        <v>0.43818175999999998</v>
      </c>
      <c r="AX223" s="22">
        <f>SUMIF(tabParametros[Código do Posto],tabCustoUnit[[#This Row],[Código do Posto]],tabParametros[Ausência por Acidente de Trabalho])*tabCustoUnit[[#This Row],[MODULO 1 - REMUNERAÇÃO ]]</f>
        <v>0.53436799999999995</v>
      </c>
      <c r="AY223" s="22">
        <f>SUMIF(tabParametros[Código do Posto],tabCustoUnit[[#This Row],[Código do Posto]],tabParametros[Férias, Adicional de Férias e 13º  com empregada em gozo de Licença Maternidade])*tabCustoUnit[[#This Row],[MODULO 1 - REMUNERAÇÃO ]]</f>
        <v>3.3249564444444442</v>
      </c>
      <c r="AZ223" s="22">
        <f>SUMIF(tabParametros[Código do Posto],tabCustoUnit[[#This Row],[Código do Posto]],tabParametros[Incidência do Submódulo 2.1 sobre Ausências Legais])*tabCustoUnit[[#This Row],[MODULO 1 - REMUNERAÇÃO ]]</f>
        <v>11.777876839680001</v>
      </c>
      <c r="BA223" s="22">
        <f>SUM(tabCustoUnit[[#This Row],[Ausência por Doença]:[Incidência do Submódulo 2.1 sobre Ausências Legais]])</f>
        <v>42.936281177457772</v>
      </c>
      <c r="BB223" s="22">
        <f>SUMIF(tabParametros[Código do Posto],tabCustoUnit[[#This Row],[Código do Posto]],tabParametros[Intervalo para Repouso ou Alimentação])</f>
        <v>283.97842209920344</v>
      </c>
      <c r="BC223" s="22">
        <f>tabCustoUnit[[#This Row],[Intervalo para Repouso ou Alimentação]]</f>
        <v>283.97842209920344</v>
      </c>
      <c r="BD22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3" s="22">
        <f>tabCustoUnit[[#This Row],[Suspensão Temporária do Contrato de Trabalho]]</f>
        <v>0</v>
      </c>
      <c r="BF223" s="22">
        <f>tabCustoUnit[[#This Row],[Submódulo 4.1]]+tabCustoUnit[[#This Row],[Submódulo 4.2]]+tabCustoUnit[[#This Row],[Submódulo 4.3]]</f>
        <v>326.91470327666121</v>
      </c>
      <c r="BG223" s="22">
        <f>VLOOKUP(tabCustoUnit[[#This Row],[Código do Posto]],tabParametros[],MATCH(tabCustoUnit[[#Headers],[Uniformes e EPIs]],tabParametros[#Headers],0),0)</f>
        <v>56.642978962543395</v>
      </c>
      <c r="BH223" s="22">
        <f>VLOOKUP(tabCustoUnit[[#This Row],[Código do Posto]],tabParametros[],MATCH(tabCustoUnit[[#Headers],[Materiais de Consumo]],tabParametros[#Headers],0),0)</f>
        <v>0</v>
      </c>
      <c r="BI223" s="22">
        <f>VLOOKUP(tabCustoUnit[[#This Row],[Código do Posto]],tabParametros[],MATCH(tabCustoUnit[[#Headers],[Máquinas e Equipamentos (depreciação)]],tabParametros[#Headers],0),0)</f>
        <v>0</v>
      </c>
      <c r="BJ223" s="22">
        <f>VLOOKUP(tabCustoUnit[[#This Row],[Código do Posto]],tabParametros[],MATCH(tabCustoUnit[[#Headers],[Produtos de Limpeza e Materiais de Higiene Pessoal]],tabParametros[#Headers],0),0)</f>
        <v>0</v>
      </c>
      <c r="BK223" s="22">
        <f>VLOOKUP(tabCustoUnit[[#This Row],[Código do Posto]],tabParametros[],MATCH(tabCustoUnit[[#Headers],[Outros (especificar)]],tabParametros[#Headers],0),0)</f>
        <v>0</v>
      </c>
      <c r="BL223" s="22">
        <f>SUM(tabCustoUnit[[#This Row],[Uniformes e EPIs]:[Outros (especificar)]])</f>
        <v>56.642978962543395</v>
      </c>
      <c r="BM22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3" s="22" t="e">
        <f ca="1">VLOOKUP(tabCustoUnit[[#This Row],[Código do Posto]],tabParametros[],MATCH(tabCustoUnit[[#Headers],[Custos Indiretos]],tabParametros[#Headers],0),0)</f>
        <v>#NAME?</v>
      </c>
      <c r="BO223" s="22" t="e">
        <f ca="1">VLOOKUP(tabCustoUnit[[#This Row],[Código do Posto]],tabParametros[],MATCH(tabCustoUnit[[#Headers],[Lucro]],tabParametros[#Headers],0),0)</f>
        <v>#NAME?</v>
      </c>
      <c r="BP223" s="26">
        <f>((100/((1-tabCustoUnit[[#This Row],[Resumo de Alíquotas (PIS+CONFINS+ISS)]]))-100)*VLOOKUP(tabCustoUnit[[#This Row],[Código do Posto]],tabParametros[],MATCH(tabCustoUnit[[#Headers],[COFINS]],tabParametros[#Headers],0),0))/(tabCustoUnit[[#This Row],[Resumo de Alíquotas (PIS+CONFINS+ISS)]]*100)</f>
        <v>8.6609686609686695E-2</v>
      </c>
      <c r="BQ223" s="26">
        <f>((100/((100-(tabCustoUnit[[#This Row],[Resumo de Alíquotas (PIS+CONFINS+ISS)]]*100))%)-100)*VLOOKUP(tabCustoUnit[[#This Row],[Código do Posto]],tabParametros[],MATCH(tabCustoUnit[[#Headers],[PIS]],tabParametros[#Headers],0),0))/(tabCustoUnit[[#This Row],[Resumo de Alíquotas (PIS+CONFINS+ISS)]]*100)</f>
        <v>1.880341880341882E-2</v>
      </c>
      <c r="BR223" s="28">
        <f>VLOOKUP(tabCustoUnit[[#This Row],[Código do Posto]],tabParametros[],MATCH(tabCustoUnit[[#Headers],[ISS]],tabParametros[#Headers],0),0)</f>
        <v>0.03</v>
      </c>
      <c r="BS223" s="26">
        <f>(((100/((100-(tabCustoUnit[[#This Row],[Resumo de Alíquotas (PIS+CONFINS+ISS)]]*100))%)-100)*tabCustoUnit[[#This Row],[ISS]])/tabCustoUnit[[#This Row],[Resumo de Alíquotas (PIS+CONFINS+ISS)]])/100</f>
        <v>3.4188034188034219E-2</v>
      </c>
      <c r="BT22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3" s="138">
        <f>tabCustoUnit[[#This Row],[COFINS]]+tabCustoUnit[[#This Row],[PIS]]+tabCustoUnit[[#This Row],[ISS (Conversão Alíquota s/ fatura)]]</f>
        <v>0.13960113960113973</v>
      </c>
      <c r="BV223" s="22" t="e">
        <f ca="1">(tabCustoUnit[[#This Row],[TOTAL MÓDULOS 1+2+3+4+5]]+tabCustoUnit[[#This Row],[Custos Indiretos]]+tabCustoUnit[[#This Row],[Lucro]])*tabCustoUnit[[#This Row],[PIS + COFINS + ISS (Total Conversão  Alíquota s/ Fatura)]]</f>
        <v>#NAME?</v>
      </c>
      <c r="BW223" s="22" t="e">
        <f ca="1">tabCustoUnit[[#This Row],[Custos Indiretos]]+tabCustoUnit[[#This Row],[Lucro]]+tabCustoUnit[[#This Row],[Valor dos Tributos (ISS, PIS, CONFINS)]]</f>
        <v>#NAME?</v>
      </c>
      <c r="BX223" s="22" t="e">
        <f ca="1">tabCustoUnit[[#This Row],[TOTAL MÓDULOS 1+2+3+4+5]]+tabCustoUnit[[#This Row],[MÓDULO 6 – CUSTOS INDIRETOS, TRIBUTOS E LUCRO]]</f>
        <v>#NAME?</v>
      </c>
      <c r="BY223" s="22" t="e">
        <f ca="1">tabCustoUnit[[#This Row],[CUSTO TOTAL MENSAL]]*12</f>
        <v>#NAME?</v>
      </c>
      <c r="BZ223" s="24">
        <f>VLOOKUP(tabCustoUnit[[#This Row],[Código do Posto]],tabParametros[],MATCH(tabCustoUnit[[#Headers],[ANO DA CCT]],tabParametros[#Headers],0),0)</f>
        <v>45658</v>
      </c>
      <c r="CA223" s="25" t="str">
        <f>VLOOKUP(tabCustoUnit[[#This Row],[Código do Posto]],tabParametros[],MATCH(tabCustoUnit[[#Headers],[Nº DE PEDIDO DA CCT]],tabParametros[#Headers],0),0)</f>
        <v>-</v>
      </c>
      <c r="CB223" s="25" t="str">
        <f>VLOOKUP(tabCustoUnit[[#This Row],[Código do Posto]],tabParametros[],MATCH(tabCustoUnit[[#Headers],[TERMO ADITIVO ALTERAÇÃO DA CCT]],tabParametros[#Headers],0),0)</f>
        <v>-</v>
      </c>
    </row>
    <row r="224" spans="1:80">
      <c r="A224" s="20" t="s">
        <v>1654</v>
      </c>
      <c r="B224" t="s">
        <v>939</v>
      </c>
      <c r="C224" t="s">
        <v>324</v>
      </c>
      <c r="D224" t="s">
        <v>939</v>
      </c>
      <c r="E224" s="20" t="s">
        <v>1090</v>
      </c>
      <c r="F224" s="20" t="s">
        <v>120</v>
      </c>
      <c r="G224" s="418">
        <v>3397.1306</v>
      </c>
      <c r="H224" s="418">
        <v>0</v>
      </c>
      <c r="I224" s="418">
        <v>0</v>
      </c>
      <c r="J224" s="418">
        <v>0</v>
      </c>
      <c r="K224" s="418">
        <v>0</v>
      </c>
      <c r="L224" s="418">
        <v>0</v>
      </c>
      <c r="M224" s="418">
        <v>0</v>
      </c>
      <c r="N224" s="418">
        <v>0</v>
      </c>
      <c r="O224" s="21">
        <f>SUM(tabCustoUnit[[#This Row],[Salário Base]:[Adicional de Acúmulo de função]])</f>
        <v>3397.1306</v>
      </c>
      <c r="P224" s="21">
        <f>tabCustoUnit[[#This Row],[MODULO 1 - REMUNERAÇÃO ]]*SUMIFS(tabParametros[INSS],tabParametros[Código do Posto],tabCustoUnit[[#This Row],[Código do Posto]])</f>
        <v>679.42612000000008</v>
      </c>
      <c r="Q224" s="21">
        <f>tabCustoUnit[[#This Row],[MODULO 1 - REMUNERAÇÃO ]]*SUMIFS(tabParametros[SESI OU SESC],tabParametros[Código do Posto],tabCustoUnit[[#This Row],[Código do Posto]])</f>
        <v>50.956958999999998</v>
      </c>
      <c r="R224" s="21">
        <f>tabCustoUnit[[#This Row],[MODULO 1 - REMUNERAÇÃO ]]*SUMIFS(tabParametros[SENAI OU SENAC],tabParametros[Código do Posto],tabCustoUnit[[#This Row],[Código do Posto]])</f>
        <v>33.971305999999998</v>
      </c>
      <c r="S224" s="21">
        <f>tabCustoUnit[[#This Row],[MODULO 1 - REMUNERAÇÃO ]]*SUMIFS(tabParametros[INCRA],tabParametros[Código do Posto],tabCustoUnit[[#This Row],[Código do Posto]])</f>
        <v>6.7942612000000002</v>
      </c>
      <c r="T224" s="21">
        <f>tabCustoUnit[[#This Row],[MODULO 1 - REMUNERAÇÃO ]]*SUMIFS(tabParametros[Salário Educação],tabParametros[Código do Posto],tabCustoUnit[[#This Row],[Código do Posto]])</f>
        <v>84.92826500000001</v>
      </c>
      <c r="U224" s="21">
        <f>tabCustoUnit[[#This Row],[MODULO 1 - REMUNERAÇÃO ]]*SUMIFS(tabParametros[FGTS],tabParametros[Código do Posto],tabCustoUnit[[#This Row],[Código do Posto]])</f>
        <v>271.77044799999999</v>
      </c>
      <c r="V224" s="21">
        <f>tabCustoUnit[[#This Row],[MODULO 1 - REMUNERAÇÃO ]]*SUMIFS(tabParametros[RAT Ajustado],tabParametros[Código do Posto],tabCustoUnit[[#This Row],[Código do Posto]])</f>
        <v>135.88522399999999</v>
      </c>
      <c r="W224" s="21">
        <f>tabCustoUnit[[#This Row],[MODULO 1 - REMUNERAÇÃO ]]*SUMIFS(tabParametros[SEBRAE],tabParametros[Código do Posto],tabCustoUnit[[#This Row],[Código do Posto]])</f>
        <v>20.3827836</v>
      </c>
      <c r="X224" s="21">
        <f>SUM(tabCustoUnit[[#This Row],[INSS]:[SEBRAE]])</f>
        <v>1284.1153668000002</v>
      </c>
      <c r="Y224" s="21">
        <f>tabCustoUnit[[#This Row],[MODULO 1 - REMUNERAÇÃO ]]*SUMIFS(tabParametros[13º salário (titular)],tabParametros[Código do Posto],tabCustoUnit[[#This Row],[Código do Posto]])</f>
        <v>283.09421666666663</v>
      </c>
      <c r="Z224" s="21">
        <f>tabCustoUnit[[#This Row],[MODULO 1 - REMUNERAÇÃO ]]*SUMIFS(tabParametros[Férias e Adicional de Férias (titular)],tabParametros[Código do Posto],tabCustoUnit[[#This Row],[Código do Posto]])</f>
        <v>377.45895555555552</v>
      </c>
      <c r="AA224" s="21">
        <f>IFERROR((tabCustoUnit[[#This Row],[Submódulo 2.1]]/tabCustoUnit[[#This Row],[MODULO 1 - REMUNERAÇÃO ]])*SUM(tabCustoUnit[[#This Row],[13º salário (titular)]:[Férias e Adicional de Férias (titular)]]),0)</f>
        <v>249.68909910000002</v>
      </c>
      <c r="AB224" s="21">
        <f>SUM(tabCustoUnit[[#This Row],[13º salário (titular)]:[Incidência do Submódulo 2.1 sobre 13º Salário, Férias e Adicional de Férias]])</f>
        <v>910.24227132222222</v>
      </c>
      <c r="AC224" s="22" t="e">
        <f ca="1">_xlfn.LET(_xlpm.VT,SUMIF(tabParametros[Código do Posto],tabCustoUnit[[#This Row],[Código do Posto]],tabParametros[Vale - Transporte])*2*20,
IF((_xlpm.VT-tabCustoUnit[[#This Row],[Salário Base]]*0.06)&gt;=0,(_xlpm.VT-tabCustoUnit[[#This Row],[Salário Base]]*0.06),0)
)</f>
        <v>#NAME?</v>
      </c>
      <c r="AD224" s="22">
        <f>IF(SUMIF(tabParametros[Código do Posto],tabCustoUnit[[#This Row],[Código do Posto]],tabParametros[Vale - Alimentação])&lt;=0,0,
SUMIF(tabParametros[Código do Posto],tabCustoUnit[[#This Row],[Código do Posto]],tabParametros[Vale - Alimentação])*20-1)</f>
        <v>582</v>
      </c>
      <c r="AE224" s="22">
        <f>SUMIF(tabParametros[Código do Posto],tabCustoUnit[[#This Row],[Código do Posto]],tabParametros[Cesta Básica])</f>
        <v>0</v>
      </c>
      <c r="AF224" s="22">
        <f>SUMIF(tabParametros[Código do Posto],tabCustoUnit[[#This Row],[Código do Posto]],tabParametros[PAF])</f>
        <v>51.86</v>
      </c>
      <c r="AG224" s="22">
        <f>SUMIF(tabParametros[Código do Posto],tabCustoUnit[[#This Row],[Código do Posto]],tabParametros[PQM])</f>
        <v>0</v>
      </c>
      <c r="AH224" s="22">
        <f>SUMIF(tabParametros[Código do Posto],tabCustoUnit[[#This Row],[Código do Posto]],tabParametros[Abono Único e Especial])</f>
        <v>0</v>
      </c>
      <c r="AI224" s="22">
        <f>SUMIF(tabParametros[Código do Posto],tabCustoUnit[[#This Row],[Código do Posto]],tabParametros[Seguro de Vida])</f>
        <v>3.36</v>
      </c>
      <c r="AJ224" s="22">
        <f>SUMIF(tabParametros[Código do Posto],tabCustoUnit[[#This Row],[Código do Posto]],tabParametros[Despesas de Viagem])</f>
        <v>0</v>
      </c>
      <c r="AK224" s="22" t="e">
        <f ca="1">SUM(tabCustoUnit[[#This Row],[Vale - Transporte (Descontada parcela do empregado)]:[Despesas de Viagem]])</f>
        <v>#NAME?</v>
      </c>
      <c r="AL224" s="22" t="e">
        <f ca="1">tabCustoUnit[[#This Row],[Submódulo 2.1]]+tabCustoUnit[[#This Row],[Submódulo 2.2]]+tabCustoUnit[[#This Row],[Submódulo 2.3]]</f>
        <v>#NAME?</v>
      </c>
      <c r="AM224" s="22">
        <f>SUMIF(tabParametros[Código do Posto],tabCustoUnit[[#This Row],[Código do Posto]],tabParametros[Aviso Prévio Indenizado (API) e Reflexo do Aviso Prévio Indenizado])*tabCustoUnit[[#This Row],[MODULO 1 - REMUNERAÇÃO ]]</f>
        <v>23.819888151890432</v>
      </c>
      <c r="AN224" s="22">
        <f>SUMIF(tabParametros[Código do Posto],tabCustoUnit[[#This Row],[Código do Posto]],tabParametros[Incidência do FGTS sobre API e Reflexo do API])*tabCustoUnit[[#This Row],[MODULO 1 - REMUNERAÇÃO ]]</f>
        <v>1.9055910521512347</v>
      </c>
      <c r="AO224" s="22">
        <f>SUMIF(tabParametros[Código do Posto],tabCustoUnit[[#This Row],[Código do Posto]],tabParametros[Multa Rescisória do FGTS sobre o Aviso Prévio Indenizado])*tabCustoUnit[[#This Row],[MODULO 1 - REMUNERAÇÃO ]]</f>
        <v>0.76223642086049392</v>
      </c>
      <c r="AP224" s="22">
        <f>SUMIF(tabParametros[Código do Posto],tabCustoUnit[[#This Row],[Código do Posto]],tabParametros[Aviso Prévio Trabalhado - APT])*tabCustoUnit[[#This Row],[MODULO 1 - REMUNERAÇÃO ]]</f>
        <v>11.889957100000002</v>
      </c>
      <c r="AQ224" s="22">
        <f>SUMIF(tabParametros[Código do Posto],tabCustoUnit[[#This Row],[Código do Posto]],tabParametros[Incidência dos encargos do submódulo 2.1 sobre Aviso Prévio Trabalhado])*tabCustoUnit[[#This Row],[MODULO 1 - REMUNERAÇÃO ]]</f>
        <v>4.4944037838000011</v>
      </c>
      <c r="AR224" s="22">
        <f>SUMIF(tabParametros[Código do Posto],tabCustoUnit[[#This Row],[Código do Posto]],tabParametros[Multa Rescisória do FGTS])*tabCustoUnit[[#This Row],[MODULO 1 - REMUNERAÇÃO ]]</f>
        <v>103.87670456888887</v>
      </c>
      <c r="AS224" s="22">
        <f>SUMIF(tabParametros[Código do Posto],tabCustoUnit[[#This Row],[Código do Posto]],tabParametros[Indenização Adicional (Art. 9º da Lei nº 7.238/84)])*tabCustoUnit[[#This Row],[MODULO 1 - REMUNERAÇÃO ]]</f>
        <v>2.830942166666667</v>
      </c>
      <c r="AT224" s="22">
        <f>SUM(tabCustoUnit[[#This Row],[Aviso Prévio Indenizado (API) e Reflexo do Aviso Prévio Indenizado]:[Indenização Adicional (Art. 9º da Lei nº 7.238/84)]])</f>
        <v>149.57972324425771</v>
      </c>
      <c r="AU224" s="22">
        <f>SUMIF(tabParametros[Código do Posto],tabCustoUnit[[#This Row],[Código do Posto]],tabParametros[Ausência por Doença])*tabCustoUnit[[#This Row],[MODULO 1 - REMUNERAÇÃO ]]</f>
        <v>28.686880622222219</v>
      </c>
      <c r="AV224" s="22">
        <f>SUMIF(tabParametros[Código do Posto],tabCustoUnit[[#This Row],[Código do Posto]],tabParametros[Ausências Legais])*tabCustoUnit[[#This Row],[MODULO 1 - REMUNERAÇÃO ]]</f>
        <v>6.8886259388888886</v>
      </c>
      <c r="AW224" s="22">
        <f>SUMIF(tabParametros[Código do Posto],tabCustoUnit[[#This Row],[Código do Posto]],tabParametros[Licença Paternidade])*tabCustoUnit[[#This Row],[MODULO 1 - REMUNERAÇÃO ]]</f>
        <v>0.58034314416666666</v>
      </c>
      <c r="AX224" s="22">
        <f>SUMIF(tabParametros[Código do Posto],tabCustoUnit[[#This Row],[Código do Posto]],tabParametros[Ausência por Acidente de Trabalho])*tabCustoUnit[[#This Row],[MODULO 1 - REMUNERAÇÃO ]]</f>
        <v>0.70773554166666675</v>
      </c>
      <c r="AY224" s="22">
        <f>SUMIF(tabParametros[Código do Posto],tabCustoUnit[[#This Row],[Código do Posto]],tabParametros[Férias, Adicional de Férias e 13º  com empregada em gozo de Licença Maternidade])*tabCustoUnit[[#This Row],[MODULO 1 - REMUNERAÇÃO ]]</f>
        <v>4.4036878148148144</v>
      </c>
      <c r="AZ224" s="22">
        <f>SUMIF(tabParametros[Código do Posto],tabCustoUnit[[#This Row],[Código do Posto]],tabParametros[Incidência do Submódulo 2.1 sobre Ausências Legais])*tabCustoUnit[[#This Row],[MODULO 1 - REMUNERAÇÃO ]]</f>
        <v>15.599029217345002</v>
      </c>
      <c r="BA224" s="22">
        <f>SUM(tabCustoUnit[[#This Row],[Ausência por Doença]:[Incidência do Submódulo 2.1 sobre Ausências Legais]])</f>
        <v>56.866302279104261</v>
      </c>
      <c r="BB224" s="22">
        <f>SUMIF(tabParametros[Código do Posto],tabCustoUnit[[#This Row],[Código do Posto]],tabParametros[Intervalo para Repouso ou Alimentação])</f>
        <v>0</v>
      </c>
      <c r="BC224" s="22">
        <f>tabCustoUnit[[#This Row],[Intervalo para Repouso ou Alimentação]]</f>
        <v>0</v>
      </c>
      <c r="BD22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4" s="22">
        <f>tabCustoUnit[[#This Row],[Suspensão Temporária do Contrato de Trabalho]]</f>
        <v>0</v>
      </c>
      <c r="BF224" s="22">
        <f>tabCustoUnit[[#This Row],[Submódulo 4.1]]+tabCustoUnit[[#This Row],[Submódulo 4.2]]+tabCustoUnit[[#This Row],[Submódulo 4.3]]</f>
        <v>56.866302279104261</v>
      </c>
      <c r="BG224" s="22">
        <f>VLOOKUP(tabCustoUnit[[#This Row],[Código do Posto]],tabParametros[],MATCH(tabCustoUnit[[#Headers],[Uniformes e EPIs]],tabParametros[#Headers],0),0)</f>
        <v>56.642978962543395</v>
      </c>
      <c r="BH224" s="22">
        <f>VLOOKUP(tabCustoUnit[[#This Row],[Código do Posto]],tabParametros[],MATCH(tabCustoUnit[[#Headers],[Materiais de Consumo]],tabParametros[#Headers],0),0)</f>
        <v>0</v>
      </c>
      <c r="BI224" s="22">
        <f>VLOOKUP(tabCustoUnit[[#This Row],[Código do Posto]],tabParametros[],MATCH(tabCustoUnit[[#Headers],[Máquinas e Equipamentos (depreciação)]],tabParametros[#Headers],0),0)</f>
        <v>0</v>
      </c>
      <c r="BJ224" s="22">
        <f>VLOOKUP(tabCustoUnit[[#This Row],[Código do Posto]],tabParametros[],MATCH(tabCustoUnit[[#Headers],[Produtos de Limpeza e Materiais de Higiene Pessoal]],tabParametros[#Headers],0),0)</f>
        <v>0</v>
      </c>
      <c r="BK224" s="22">
        <f>VLOOKUP(tabCustoUnit[[#This Row],[Código do Posto]],tabParametros[],MATCH(tabCustoUnit[[#Headers],[Outros (especificar)]],tabParametros[#Headers],0),0)</f>
        <v>0</v>
      </c>
      <c r="BL224" s="22">
        <f>SUM(tabCustoUnit[[#This Row],[Uniformes e EPIs]:[Outros (especificar)]])</f>
        <v>56.642978962543395</v>
      </c>
      <c r="BM22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4" s="22" t="e">
        <f ca="1">VLOOKUP(tabCustoUnit[[#This Row],[Código do Posto]],tabParametros[],MATCH(tabCustoUnit[[#Headers],[Custos Indiretos]],tabParametros[#Headers],0),0)</f>
        <v>#NAME?</v>
      </c>
      <c r="BO224" s="22" t="e">
        <f ca="1">VLOOKUP(tabCustoUnit[[#This Row],[Código do Posto]],tabParametros[],MATCH(tabCustoUnit[[#Headers],[Lucro]],tabParametros[#Headers],0),0)</f>
        <v>#NAME?</v>
      </c>
      <c r="BP224" s="26">
        <f>((100/((1-tabCustoUnit[[#This Row],[Resumo de Alíquotas (PIS+CONFINS+ISS)]]))-100)*VLOOKUP(tabCustoUnit[[#This Row],[Código do Posto]],tabParametros[],MATCH(tabCustoUnit[[#Headers],[COFINS]],tabParametros[#Headers],0),0))/(tabCustoUnit[[#This Row],[Resumo de Alíquotas (PIS+CONFINS+ISS)]]*100)</f>
        <v>8.6609686609686695E-2</v>
      </c>
      <c r="BQ224" s="26">
        <f>((100/((100-(tabCustoUnit[[#This Row],[Resumo de Alíquotas (PIS+CONFINS+ISS)]]*100))%)-100)*VLOOKUP(tabCustoUnit[[#This Row],[Código do Posto]],tabParametros[],MATCH(tabCustoUnit[[#Headers],[PIS]],tabParametros[#Headers],0),0))/(tabCustoUnit[[#This Row],[Resumo de Alíquotas (PIS+CONFINS+ISS)]]*100)</f>
        <v>1.880341880341882E-2</v>
      </c>
      <c r="BR224" s="28">
        <f>VLOOKUP(tabCustoUnit[[#This Row],[Código do Posto]],tabParametros[],MATCH(tabCustoUnit[[#Headers],[ISS]],tabParametros[#Headers],0),0)</f>
        <v>0.03</v>
      </c>
      <c r="BS224" s="26">
        <f>(((100/((100-(tabCustoUnit[[#This Row],[Resumo de Alíquotas (PIS+CONFINS+ISS)]]*100))%)-100)*tabCustoUnit[[#This Row],[ISS]])/tabCustoUnit[[#This Row],[Resumo de Alíquotas (PIS+CONFINS+ISS)]])/100</f>
        <v>3.4188034188034219E-2</v>
      </c>
      <c r="BT22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4" s="138">
        <f>tabCustoUnit[[#This Row],[COFINS]]+tabCustoUnit[[#This Row],[PIS]]+tabCustoUnit[[#This Row],[ISS (Conversão Alíquota s/ fatura)]]</f>
        <v>0.13960113960113973</v>
      </c>
      <c r="BV224" s="22" t="e">
        <f ca="1">(tabCustoUnit[[#This Row],[TOTAL MÓDULOS 1+2+3+4+5]]+tabCustoUnit[[#This Row],[Custos Indiretos]]+tabCustoUnit[[#This Row],[Lucro]])*tabCustoUnit[[#This Row],[PIS + COFINS + ISS (Total Conversão  Alíquota s/ Fatura)]]</f>
        <v>#NAME?</v>
      </c>
      <c r="BW224" s="22" t="e">
        <f ca="1">tabCustoUnit[[#This Row],[Custos Indiretos]]+tabCustoUnit[[#This Row],[Lucro]]+tabCustoUnit[[#This Row],[Valor dos Tributos (ISS, PIS, CONFINS)]]</f>
        <v>#NAME?</v>
      </c>
      <c r="BX224" s="22" t="e">
        <f ca="1">tabCustoUnit[[#This Row],[TOTAL MÓDULOS 1+2+3+4+5]]+tabCustoUnit[[#This Row],[MÓDULO 6 – CUSTOS INDIRETOS, TRIBUTOS E LUCRO]]</f>
        <v>#NAME?</v>
      </c>
      <c r="BY224" s="22" t="e">
        <f ca="1">tabCustoUnit[[#This Row],[CUSTO TOTAL MENSAL]]*12</f>
        <v>#NAME?</v>
      </c>
      <c r="BZ224" s="24">
        <f>VLOOKUP(tabCustoUnit[[#This Row],[Código do Posto]],tabParametros[],MATCH(tabCustoUnit[[#Headers],[ANO DA CCT]],tabParametros[#Headers],0),0)</f>
        <v>45658</v>
      </c>
      <c r="CA224" s="25" t="str">
        <f>VLOOKUP(tabCustoUnit[[#This Row],[Código do Posto]],tabParametros[],MATCH(tabCustoUnit[[#Headers],[Nº DE PEDIDO DA CCT]],tabParametros[#Headers],0),0)</f>
        <v>-</v>
      </c>
      <c r="CB224" s="25" t="str">
        <f>VLOOKUP(tabCustoUnit[[#This Row],[Código do Posto]],tabParametros[],MATCH(tabCustoUnit[[#Headers],[TERMO ADITIVO ALTERAÇÃO DA CCT]],tabParametros[#Headers],0),0)</f>
        <v>-</v>
      </c>
    </row>
    <row r="225" spans="1:80">
      <c r="A225" s="20" t="s">
        <v>1495</v>
      </c>
      <c r="B225" t="s">
        <v>1169</v>
      </c>
      <c r="C225" t="s">
        <v>200</v>
      </c>
      <c r="D225" t="s">
        <v>905</v>
      </c>
      <c r="E225" s="20" t="s">
        <v>1090</v>
      </c>
      <c r="F225" s="20" t="s">
        <v>120</v>
      </c>
      <c r="G225" s="418">
        <v>1596.2737999999999</v>
      </c>
      <c r="H225" s="418">
        <v>0</v>
      </c>
      <c r="I225" s="418">
        <v>0</v>
      </c>
      <c r="J225" s="418">
        <v>0</v>
      </c>
      <c r="K225" s="418">
        <v>0</v>
      </c>
      <c r="L225" s="418">
        <v>0</v>
      </c>
      <c r="M225" s="418">
        <v>0</v>
      </c>
      <c r="N225" s="418">
        <v>0</v>
      </c>
      <c r="O225" s="21">
        <f>SUM(tabCustoUnit[[#This Row],[Salário Base]:[Adicional de Acúmulo de função]])</f>
        <v>1596.2737999999999</v>
      </c>
      <c r="P225" s="21">
        <f>tabCustoUnit[[#This Row],[MODULO 1 - REMUNERAÇÃO ]]*SUMIFS(tabParametros[INSS],tabParametros[Código do Posto],tabCustoUnit[[#This Row],[Código do Posto]])</f>
        <v>319.25476000000003</v>
      </c>
      <c r="Q225" s="21">
        <f>tabCustoUnit[[#This Row],[MODULO 1 - REMUNERAÇÃO ]]*SUMIFS(tabParametros[SESI OU SESC],tabParametros[Código do Posto],tabCustoUnit[[#This Row],[Código do Posto]])</f>
        <v>23.944106999999999</v>
      </c>
      <c r="R225" s="21">
        <f>tabCustoUnit[[#This Row],[MODULO 1 - REMUNERAÇÃO ]]*SUMIFS(tabParametros[SENAI OU SENAC],tabParametros[Código do Posto],tabCustoUnit[[#This Row],[Código do Posto]])</f>
        <v>15.962738</v>
      </c>
      <c r="S225" s="21">
        <f>tabCustoUnit[[#This Row],[MODULO 1 - REMUNERAÇÃO ]]*SUMIFS(tabParametros[INCRA],tabParametros[Código do Posto],tabCustoUnit[[#This Row],[Código do Posto]])</f>
        <v>3.1925476000000002</v>
      </c>
      <c r="T225" s="21">
        <f>tabCustoUnit[[#This Row],[MODULO 1 - REMUNERAÇÃO ]]*SUMIFS(tabParametros[Salário Educação],tabParametros[Código do Posto],tabCustoUnit[[#This Row],[Código do Posto]])</f>
        <v>39.906845000000004</v>
      </c>
      <c r="U225" s="21">
        <f>tabCustoUnit[[#This Row],[MODULO 1 - REMUNERAÇÃO ]]*SUMIFS(tabParametros[FGTS],tabParametros[Código do Posto],tabCustoUnit[[#This Row],[Código do Posto]])</f>
        <v>127.701904</v>
      </c>
      <c r="V225" s="21">
        <f>tabCustoUnit[[#This Row],[MODULO 1 - REMUNERAÇÃO ]]*SUMIFS(tabParametros[RAT Ajustado],tabParametros[Código do Posto],tabCustoUnit[[#This Row],[Código do Posto]])</f>
        <v>63.850951999999999</v>
      </c>
      <c r="W225" s="21">
        <f>tabCustoUnit[[#This Row],[MODULO 1 - REMUNERAÇÃO ]]*SUMIFS(tabParametros[SEBRAE],tabParametros[Código do Posto],tabCustoUnit[[#This Row],[Código do Posto]])</f>
        <v>9.5776427999999996</v>
      </c>
      <c r="X225" s="21">
        <f>SUM(tabCustoUnit[[#This Row],[INSS]:[SEBRAE]])</f>
        <v>603.39149640000005</v>
      </c>
      <c r="Y225" s="21">
        <f>tabCustoUnit[[#This Row],[MODULO 1 - REMUNERAÇÃO ]]*SUMIFS(tabParametros[13º salário (titular)],tabParametros[Código do Posto],tabCustoUnit[[#This Row],[Código do Posto]])</f>
        <v>133.02281666666664</v>
      </c>
      <c r="Z225" s="21">
        <f>tabCustoUnit[[#This Row],[MODULO 1 - REMUNERAÇÃO ]]*SUMIFS(tabParametros[Férias e Adicional de Férias (titular)],tabParametros[Código do Posto],tabCustoUnit[[#This Row],[Código do Posto]])</f>
        <v>177.36375555555554</v>
      </c>
      <c r="AA225" s="21">
        <f>IFERROR((tabCustoUnit[[#This Row],[Submódulo 2.1]]/tabCustoUnit[[#This Row],[MODULO 1 - REMUNERAÇÃO ]])*SUM(tabCustoUnit[[#This Row],[13º salário (titular)]:[Férias e Adicional de Férias (titular)]]),0)</f>
        <v>117.3261243</v>
      </c>
      <c r="AB225" s="21">
        <f>SUM(tabCustoUnit[[#This Row],[13º salário (titular)]:[Incidência do Submódulo 2.1 sobre 13º Salário, Férias e Adicional de Férias]])</f>
        <v>427.71269652222219</v>
      </c>
      <c r="AC225" s="22" t="e">
        <f ca="1">_xlfn.LET(_xlpm.VT,SUMIF(tabParametros[Código do Posto],tabCustoUnit[[#This Row],[Código do Posto]],tabParametros[Vale - Transporte])*2*20,
IF((_xlpm.VT-tabCustoUnit[[#This Row],[Salário Base]]*0.06)&gt;=0,(_xlpm.VT-tabCustoUnit[[#This Row],[Salário Base]]*0.06),0)
)</f>
        <v>#NAME?</v>
      </c>
      <c r="AD225" s="22">
        <f>IF(SUMIF(tabParametros[Código do Posto],tabCustoUnit[[#This Row],[Código do Posto]],tabParametros[Vale - Alimentação])&lt;=0,0,
SUMIF(tabParametros[Código do Posto],tabCustoUnit[[#This Row],[Código do Posto]],tabParametros[Vale - Alimentação])*20-1)</f>
        <v>582</v>
      </c>
      <c r="AE225" s="22">
        <f>SUMIF(tabParametros[Código do Posto],tabCustoUnit[[#This Row],[Código do Posto]],tabParametros[Cesta Básica])</f>
        <v>0</v>
      </c>
      <c r="AF225" s="22">
        <f>SUMIF(tabParametros[Código do Posto],tabCustoUnit[[#This Row],[Código do Posto]],tabParametros[PAF])</f>
        <v>57.07</v>
      </c>
      <c r="AG225" s="22">
        <f>SUMIF(tabParametros[Código do Posto],tabCustoUnit[[#This Row],[Código do Posto]],tabParametros[PQM])</f>
        <v>0</v>
      </c>
      <c r="AH225" s="22">
        <f>SUMIF(tabParametros[Código do Posto],tabCustoUnit[[#This Row],[Código do Posto]],tabParametros[Abono Único e Especial])</f>
        <v>0</v>
      </c>
      <c r="AI225" s="22">
        <f>SUMIF(tabParametros[Código do Posto],tabCustoUnit[[#This Row],[Código do Posto]],tabParametros[Seguro de Vida])</f>
        <v>3.36</v>
      </c>
      <c r="AJ225" s="22">
        <f>SUMIF(tabParametros[Código do Posto],tabCustoUnit[[#This Row],[Código do Posto]],tabParametros[Despesas de Viagem])</f>
        <v>0</v>
      </c>
      <c r="AK225" s="22" t="e">
        <f ca="1">SUM(tabCustoUnit[[#This Row],[Vale - Transporte (Descontada parcela do empregado)]:[Despesas de Viagem]])</f>
        <v>#NAME?</v>
      </c>
      <c r="AL225" s="22" t="e">
        <f ca="1">tabCustoUnit[[#This Row],[Submódulo 2.1]]+tabCustoUnit[[#This Row],[Submódulo 2.2]]+tabCustoUnit[[#This Row],[Submódulo 2.3]]</f>
        <v>#NAME?</v>
      </c>
      <c r="AM225" s="22">
        <f>SUMIF(tabParametros[Código do Posto],tabCustoUnit[[#This Row],[Código do Posto]],tabParametros[Aviso Prévio Indenizado (API) e Reflexo do Aviso Prévio Indenizado])*tabCustoUnit[[#This Row],[MODULO 1 - REMUNERAÇÃO ]]</f>
        <v>11.192699914390431</v>
      </c>
      <c r="AN225" s="22">
        <f>SUMIF(tabParametros[Código do Posto],tabCustoUnit[[#This Row],[Código do Posto]],tabParametros[Incidência do FGTS sobre API e Reflexo do API])*tabCustoUnit[[#This Row],[MODULO 1 - REMUNERAÇÃO ]]</f>
        <v>0.89541599315123466</v>
      </c>
      <c r="AO225" s="22">
        <f>SUMIF(tabParametros[Código do Posto],tabCustoUnit[[#This Row],[Código do Posto]],tabParametros[Multa Rescisória do FGTS sobre o Aviso Prévio Indenizado])*tabCustoUnit[[#This Row],[MODULO 1 - REMUNERAÇÃO ]]</f>
        <v>0.35816639726049387</v>
      </c>
      <c r="AP225" s="22">
        <f>SUMIF(tabParametros[Código do Posto],tabCustoUnit[[#This Row],[Código do Posto]],tabParametros[Aviso Prévio Trabalhado - APT])*tabCustoUnit[[#This Row],[MODULO 1 - REMUNERAÇÃO ]]</f>
        <v>5.5869583000000009</v>
      </c>
      <c r="AQ225" s="22">
        <f>SUMIF(tabParametros[Código do Posto],tabCustoUnit[[#This Row],[Código do Posto]],tabParametros[Incidência dos encargos do submódulo 2.1 sobre Aviso Prévio Trabalhado])*tabCustoUnit[[#This Row],[MODULO 1 - REMUNERAÇÃO ]]</f>
        <v>2.1118702374000007</v>
      </c>
      <c r="AR225" s="22">
        <f>SUMIF(tabParametros[Código do Posto],tabCustoUnit[[#This Row],[Código do Posto]],tabParametros[Multa Rescisória do FGTS])*tabCustoUnit[[#This Row],[MODULO 1 - REMUNERAÇÃO ]]</f>
        <v>48.810505528888882</v>
      </c>
      <c r="AS225" s="22">
        <f>SUMIF(tabParametros[Código do Posto],tabCustoUnit[[#This Row],[Código do Posto]],tabParametros[Indenização Adicional (Art. 9º da Lei nº 7.238/84)])*tabCustoUnit[[#This Row],[MODULO 1 - REMUNERAÇÃO ]]</f>
        <v>1.3302281666666667</v>
      </c>
      <c r="AT225" s="22">
        <f>SUM(tabCustoUnit[[#This Row],[Aviso Prévio Indenizado (API) e Reflexo do Aviso Prévio Indenizado]:[Indenização Adicional (Art. 9º da Lei nº 7.238/84)]])</f>
        <v>70.285844537757711</v>
      </c>
      <c r="AU225" s="22">
        <f>SUMIF(tabParametros[Código do Posto],tabCustoUnit[[#This Row],[Código do Posto]],tabParametros[Ausência por Doença])*tabCustoUnit[[#This Row],[MODULO 1 - REMUNERAÇÃO ]]</f>
        <v>13.479645422222221</v>
      </c>
      <c r="AV225" s="22">
        <f>SUMIF(tabParametros[Código do Posto],tabCustoUnit[[#This Row],[Código do Posto]],tabParametros[Ausências Legais])*tabCustoUnit[[#This Row],[MODULO 1 - REMUNERAÇÃO ]]</f>
        <v>3.2368885388888886</v>
      </c>
      <c r="AW225" s="22">
        <f>SUMIF(tabParametros[Código do Posto],tabCustoUnit[[#This Row],[Código do Posto]],tabParametros[Licença Paternidade])*tabCustoUnit[[#This Row],[MODULO 1 - REMUNERAÇÃO ]]</f>
        <v>0.27269677416666666</v>
      </c>
      <c r="AX225" s="22">
        <f>SUMIF(tabParametros[Código do Posto],tabCustoUnit[[#This Row],[Código do Posto]],tabParametros[Ausência por Acidente de Trabalho])*tabCustoUnit[[#This Row],[MODULO 1 - REMUNERAÇÃO ]]</f>
        <v>0.33255704166666666</v>
      </c>
      <c r="AY225" s="22">
        <f>SUMIF(tabParametros[Código do Posto],tabCustoUnit[[#This Row],[Código do Posto]],tabParametros[Férias, Adicional de Férias e 13º  com empregada em gozo de Licença Maternidade])*tabCustoUnit[[#This Row],[MODULO 1 - REMUNERAÇÃO ]]</f>
        <v>2.0692438148148145</v>
      </c>
      <c r="AZ225" s="22">
        <f>SUMIF(tabParametros[Código do Posto],tabCustoUnit[[#This Row],[Código do Posto]],tabParametros[Incidência do Submódulo 2.1 sobre Ausências Legais])*tabCustoUnit[[#This Row],[MODULO 1 - REMUNERAÇÃO ]]</f>
        <v>7.3298099416850011</v>
      </c>
      <c r="BA225" s="22">
        <f>SUM(tabCustoUnit[[#This Row],[Ausência por Doença]:[Incidência do Submódulo 2.1 sobre Ausências Legais]])</f>
        <v>26.720841533444265</v>
      </c>
      <c r="BB225" s="22">
        <f>SUMIF(tabParametros[Código do Posto],tabCustoUnit[[#This Row],[Código do Posto]],tabParametros[Intervalo para Repouso ou Alimentação])</f>
        <v>0</v>
      </c>
      <c r="BC225" s="22">
        <f>tabCustoUnit[[#This Row],[Intervalo para Repouso ou Alimentação]]</f>
        <v>0</v>
      </c>
      <c r="BD22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5" s="22">
        <f>tabCustoUnit[[#This Row],[Suspensão Temporária do Contrato de Trabalho]]</f>
        <v>0</v>
      </c>
      <c r="BF225" s="22">
        <f>tabCustoUnit[[#This Row],[Submódulo 4.1]]+tabCustoUnit[[#This Row],[Submódulo 4.2]]+tabCustoUnit[[#This Row],[Submódulo 4.3]]</f>
        <v>26.720841533444265</v>
      </c>
      <c r="BG225" s="22">
        <f>VLOOKUP(tabCustoUnit[[#This Row],[Código do Posto]],tabParametros[],MATCH(tabCustoUnit[[#Headers],[Uniformes e EPIs]],tabParametros[#Headers],0),0)</f>
        <v>56.141713661989918</v>
      </c>
      <c r="BH225" s="22">
        <f>VLOOKUP(tabCustoUnit[[#This Row],[Código do Posto]],tabParametros[],MATCH(tabCustoUnit[[#Headers],[Materiais de Consumo]],tabParametros[#Headers],0),0)</f>
        <v>0</v>
      </c>
      <c r="BI225" s="22">
        <f>VLOOKUP(tabCustoUnit[[#This Row],[Código do Posto]],tabParametros[],MATCH(tabCustoUnit[[#Headers],[Máquinas e Equipamentos (depreciação)]],tabParametros[#Headers],0),0)</f>
        <v>0</v>
      </c>
      <c r="BJ225" s="22">
        <f>VLOOKUP(tabCustoUnit[[#This Row],[Código do Posto]],tabParametros[],MATCH(tabCustoUnit[[#Headers],[Produtos de Limpeza e Materiais de Higiene Pessoal]],tabParametros[#Headers],0),0)</f>
        <v>0</v>
      </c>
      <c r="BK225" s="22">
        <f>VLOOKUP(tabCustoUnit[[#This Row],[Código do Posto]],tabParametros[],MATCH(tabCustoUnit[[#Headers],[Outros (especificar)]],tabParametros[#Headers],0),0)</f>
        <v>0</v>
      </c>
      <c r="BL225" s="22">
        <f>SUM(tabCustoUnit[[#This Row],[Uniformes e EPIs]:[Outros (especificar)]])</f>
        <v>56.141713661989918</v>
      </c>
      <c r="BM22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5" s="22" t="e">
        <f ca="1">VLOOKUP(tabCustoUnit[[#This Row],[Código do Posto]],tabParametros[],MATCH(tabCustoUnit[[#Headers],[Custos Indiretos]],tabParametros[#Headers],0),0)</f>
        <v>#NAME?</v>
      </c>
      <c r="BO225" s="22" t="e">
        <f ca="1">VLOOKUP(tabCustoUnit[[#This Row],[Código do Posto]],tabParametros[],MATCH(tabCustoUnit[[#Headers],[Lucro]],tabParametros[#Headers],0),0)</f>
        <v>#NAME?</v>
      </c>
      <c r="BP225" s="26">
        <f>((100/((1-tabCustoUnit[[#This Row],[Resumo de Alíquotas (PIS+CONFINS+ISS)]]))-100)*VLOOKUP(tabCustoUnit[[#This Row],[Código do Posto]],tabParametros[],MATCH(tabCustoUnit[[#Headers],[COFINS]],tabParametros[#Headers],0),0))/(tabCustoUnit[[#This Row],[Resumo de Alíquotas (PIS+CONFINS+ISS)]]*100)</f>
        <v>8.6609686609686695E-2</v>
      </c>
      <c r="BQ225" s="26">
        <f>((100/((100-(tabCustoUnit[[#This Row],[Resumo de Alíquotas (PIS+CONFINS+ISS)]]*100))%)-100)*VLOOKUP(tabCustoUnit[[#This Row],[Código do Posto]],tabParametros[],MATCH(tabCustoUnit[[#Headers],[PIS]],tabParametros[#Headers],0),0))/(tabCustoUnit[[#This Row],[Resumo de Alíquotas (PIS+CONFINS+ISS)]]*100)</f>
        <v>1.880341880341882E-2</v>
      </c>
      <c r="BR225" s="28">
        <f>VLOOKUP(tabCustoUnit[[#This Row],[Código do Posto]],tabParametros[],MATCH(tabCustoUnit[[#Headers],[ISS]],tabParametros[#Headers],0),0)</f>
        <v>0.03</v>
      </c>
      <c r="BS225" s="26">
        <f>(((100/((100-(tabCustoUnit[[#This Row],[Resumo de Alíquotas (PIS+CONFINS+ISS)]]*100))%)-100)*tabCustoUnit[[#This Row],[ISS]])/tabCustoUnit[[#This Row],[Resumo de Alíquotas (PIS+CONFINS+ISS)]])/100</f>
        <v>3.4188034188034219E-2</v>
      </c>
      <c r="BT22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5" s="138">
        <f>tabCustoUnit[[#This Row],[COFINS]]+tabCustoUnit[[#This Row],[PIS]]+tabCustoUnit[[#This Row],[ISS (Conversão Alíquota s/ fatura)]]</f>
        <v>0.13960113960113973</v>
      </c>
      <c r="BV225" s="22" t="e">
        <f ca="1">(tabCustoUnit[[#This Row],[TOTAL MÓDULOS 1+2+3+4+5]]+tabCustoUnit[[#This Row],[Custos Indiretos]]+tabCustoUnit[[#This Row],[Lucro]])*tabCustoUnit[[#This Row],[PIS + COFINS + ISS (Total Conversão  Alíquota s/ Fatura)]]</f>
        <v>#NAME?</v>
      </c>
      <c r="BW225" s="22" t="e">
        <f ca="1">tabCustoUnit[[#This Row],[Custos Indiretos]]+tabCustoUnit[[#This Row],[Lucro]]+tabCustoUnit[[#This Row],[Valor dos Tributos (ISS, PIS, CONFINS)]]</f>
        <v>#NAME?</v>
      </c>
      <c r="BX225" s="22" t="e">
        <f ca="1">tabCustoUnit[[#This Row],[TOTAL MÓDULOS 1+2+3+4+5]]+tabCustoUnit[[#This Row],[MÓDULO 6 – CUSTOS INDIRETOS, TRIBUTOS E LUCRO]]</f>
        <v>#NAME?</v>
      </c>
      <c r="BY225" s="22" t="e">
        <f ca="1">tabCustoUnit[[#This Row],[CUSTO TOTAL MENSAL]]*12</f>
        <v>#NAME?</v>
      </c>
      <c r="BZ225" s="24">
        <f>VLOOKUP(tabCustoUnit[[#This Row],[Código do Posto]],tabParametros[],MATCH(tabCustoUnit[[#Headers],[ANO DA CCT]],tabParametros[#Headers],0),0)</f>
        <v>45658</v>
      </c>
      <c r="CA225" s="25" t="str">
        <f>VLOOKUP(tabCustoUnit[[#This Row],[Código do Posto]],tabParametros[],MATCH(tabCustoUnit[[#Headers],[Nº DE PEDIDO DA CCT]],tabParametros[#Headers],0),0)</f>
        <v>-</v>
      </c>
      <c r="CB225" s="25" t="str">
        <f>VLOOKUP(tabCustoUnit[[#This Row],[Código do Posto]],tabParametros[],MATCH(tabCustoUnit[[#Headers],[TERMO ADITIVO ALTERAÇÃO DA CCT]],tabParametros[#Headers],0),0)</f>
        <v>-</v>
      </c>
    </row>
    <row r="226" spans="1:80">
      <c r="A226" s="20" t="s">
        <v>1655</v>
      </c>
      <c r="B226" t="s">
        <v>1169</v>
      </c>
      <c r="C226" t="s">
        <v>324</v>
      </c>
      <c r="D226" t="s">
        <v>905</v>
      </c>
      <c r="E226" s="20" t="s">
        <v>1090</v>
      </c>
      <c r="F226" s="20" t="s">
        <v>120</v>
      </c>
      <c r="G226" s="418">
        <v>3397.1306</v>
      </c>
      <c r="H226" s="418">
        <v>0</v>
      </c>
      <c r="I226" s="418">
        <v>0</v>
      </c>
      <c r="J226" s="418">
        <v>0</v>
      </c>
      <c r="K226" s="418">
        <v>0</v>
      </c>
      <c r="L226" s="418">
        <v>0</v>
      </c>
      <c r="M226" s="418">
        <v>0</v>
      </c>
      <c r="N226" s="418">
        <v>0</v>
      </c>
      <c r="O226" s="21">
        <f>SUM(tabCustoUnit[[#This Row],[Salário Base]:[Adicional de Acúmulo de função]])</f>
        <v>3397.1306</v>
      </c>
      <c r="P226" s="21">
        <f>tabCustoUnit[[#This Row],[MODULO 1 - REMUNERAÇÃO ]]*SUMIFS(tabParametros[INSS],tabParametros[Código do Posto],tabCustoUnit[[#This Row],[Código do Posto]])</f>
        <v>679.42612000000008</v>
      </c>
      <c r="Q226" s="21">
        <f>tabCustoUnit[[#This Row],[MODULO 1 - REMUNERAÇÃO ]]*SUMIFS(tabParametros[SESI OU SESC],tabParametros[Código do Posto],tabCustoUnit[[#This Row],[Código do Posto]])</f>
        <v>50.956958999999998</v>
      </c>
      <c r="R226" s="21">
        <f>tabCustoUnit[[#This Row],[MODULO 1 - REMUNERAÇÃO ]]*SUMIFS(tabParametros[SENAI OU SENAC],tabParametros[Código do Posto],tabCustoUnit[[#This Row],[Código do Posto]])</f>
        <v>33.971305999999998</v>
      </c>
      <c r="S226" s="21">
        <f>tabCustoUnit[[#This Row],[MODULO 1 - REMUNERAÇÃO ]]*SUMIFS(tabParametros[INCRA],tabParametros[Código do Posto],tabCustoUnit[[#This Row],[Código do Posto]])</f>
        <v>6.7942612000000002</v>
      </c>
      <c r="T226" s="21">
        <f>tabCustoUnit[[#This Row],[MODULO 1 - REMUNERAÇÃO ]]*SUMIFS(tabParametros[Salário Educação],tabParametros[Código do Posto],tabCustoUnit[[#This Row],[Código do Posto]])</f>
        <v>84.92826500000001</v>
      </c>
      <c r="U226" s="21">
        <f>tabCustoUnit[[#This Row],[MODULO 1 - REMUNERAÇÃO ]]*SUMIFS(tabParametros[FGTS],tabParametros[Código do Posto],tabCustoUnit[[#This Row],[Código do Posto]])</f>
        <v>271.77044799999999</v>
      </c>
      <c r="V226" s="21">
        <f>tabCustoUnit[[#This Row],[MODULO 1 - REMUNERAÇÃO ]]*SUMIFS(tabParametros[RAT Ajustado],tabParametros[Código do Posto],tabCustoUnit[[#This Row],[Código do Posto]])</f>
        <v>135.88522399999999</v>
      </c>
      <c r="W226" s="21">
        <f>tabCustoUnit[[#This Row],[MODULO 1 - REMUNERAÇÃO ]]*SUMIFS(tabParametros[SEBRAE],tabParametros[Código do Posto],tabCustoUnit[[#This Row],[Código do Posto]])</f>
        <v>20.3827836</v>
      </c>
      <c r="X226" s="21">
        <f>SUM(tabCustoUnit[[#This Row],[INSS]:[SEBRAE]])</f>
        <v>1284.1153668000002</v>
      </c>
      <c r="Y226" s="21">
        <f>tabCustoUnit[[#This Row],[MODULO 1 - REMUNERAÇÃO ]]*SUMIFS(tabParametros[13º salário (titular)],tabParametros[Código do Posto],tabCustoUnit[[#This Row],[Código do Posto]])</f>
        <v>283.09421666666663</v>
      </c>
      <c r="Z226" s="21">
        <f>tabCustoUnit[[#This Row],[MODULO 1 - REMUNERAÇÃO ]]*SUMIFS(tabParametros[Férias e Adicional de Férias (titular)],tabParametros[Código do Posto],tabCustoUnit[[#This Row],[Código do Posto]])</f>
        <v>377.45895555555552</v>
      </c>
      <c r="AA226" s="21">
        <f>IFERROR((tabCustoUnit[[#This Row],[Submódulo 2.1]]/tabCustoUnit[[#This Row],[MODULO 1 - REMUNERAÇÃO ]])*SUM(tabCustoUnit[[#This Row],[13º salário (titular)]:[Férias e Adicional de Férias (titular)]]),0)</f>
        <v>249.68909910000002</v>
      </c>
      <c r="AB226" s="21">
        <f>SUM(tabCustoUnit[[#This Row],[13º salário (titular)]:[Incidência do Submódulo 2.1 sobre 13º Salário, Férias e Adicional de Férias]])</f>
        <v>910.24227132222222</v>
      </c>
      <c r="AC226" s="22" t="e">
        <f ca="1">_xlfn.LET(_xlpm.VT,SUMIF(tabParametros[Código do Posto],tabCustoUnit[[#This Row],[Código do Posto]],tabParametros[Vale - Transporte])*2*20,
IF((_xlpm.VT-tabCustoUnit[[#This Row],[Salário Base]]*0.06)&gt;=0,(_xlpm.VT-tabCustoUnit[[#This Row],[Salário Base]]*0.06),0)
)</f>
        <v>#NAME?</v>
      </c>
      <c r="AD226" s="22">
        <f>IF(SUMIF(tabParametros[Código do Posto],tabCustoUnit[[#This Row],[Código do Posto]],tabParametros[Vale - Alimentação])&lt;=0,0,
SUMIF(tabParametros[Código do Posto],tabCustoUnit[[#This Row],[Código do Posto]],tabParametros[Vale - Alimentação])*20-1)</f>
        <v>582</v>
      </c>
      <c r="AE226" s="22">
        <f>SUMIF(tabParametros[Código do Posto],tabCustoUnit[[#This Row],[Código do Posto]],tabParametros[Cesta Básica])</f>
        <v>0</v>
      </c>
      <c r="AF226" s="22">
        <f>SUMIF(tabParametros[Código do Posto],tabCustoUnit[[#This Row],[Código do Posto]],tabParametros[PAF])</f>
        <v>57.07</v>
      </c>
      <c r="AG226" s="22">
        <f>SUMIF(tabParametros[Código do Posto],tabCustoUnit[[#This Row],[Código do Posto]],tabParametros[PQM])</f>
        <v>0</v>
      </c>
      <c r="AH226" s="22">
        <f>SUMIF(tabParametros[Código do Posto],tabCustoUnit[[#This Row],[Código do Posto]],tabParametros[Abono Único e Especial])</f>
        <v>0</v>
      </c>
      <c r="AI226" s="22">
        <f>SUMIF(tabParametros[Código do Posto],tabCustoUnit[[#This Row],[Código do Posto]],tabParametros[Seguro de Vida])</f>
        <v>3.36</v>
      </c>
      <c r="AJ226" s="22">
        <f>SUMIF(tabParametros[Código do Posto],tabCustoUnit[[#This Row],[Código do Posto]],tabParametros[Despesas de Viagem])</f>
        <v>0</v>
      </c>
      <c r="AK226" s="22" t="e">
        <f ca="1">SUM(tabCustoUnit[[#This Row],[Vale - Transporte (Descontada parcela do empregado)]:[Despesas de Viagem]])</f>
        <v>#NAME?</v>
      </c>
      <c r="AL226" s="22" t="e">
        <f ca="1">tabCustoUnit[[#This Row],[Submódulo 2.1]]+tabCustoUnit[[#This Row],[Submódulo 2.2]]+tabCustoUnit[[#This Row],[Submódulo 2.3]]</f>
        <v>#NAME?</v>
      </c>
      <c r="AM226" s="22">
        <f>SUMIF(tabParametros[Código do Posto],tabCustoUnit[[#This Row],[Código do Posto]],tabParametros[Aviso Prévio Indenizado (API) e Reflexo do Aviso Prévio Indenizado])*tabCustoUnit[[#This Row],[MODULO 1 - REMUNERAÇÃO ]]</f>
        <v>23.819888151890432</v>
      </c>
      <c r="AN226" s="22">
        <f>SUMIF(tabParametros[Código do Posto],tabCustoUnit[[#This Row],[Código do Posto]],tabParametros[Incidência do FGTS sobre API e Reflexo do API])*tabCustoUnit[[#This Row],[MODULO 1 - REMUNERAÇÃO ]]</f>
        <v>1.9055910521512347</v>
      </c>
      <c r="AO226" s="22">
        <f>SUMIF(tabParametros[Código do Posto],tabCustoUnit[[#This Row],[Código do Posto]],tabParametros[Multa Rescisória do FGTS sobre o Aviso Prévio Indenizado])*tabCustoUnit[[#This Row],[MODULO 1 - REMUNERAÇÃO ]]</f>
        <v>0.76223642086049392</v>
      </c>
      <c r="AP226" s="22">
        <f>SUMIF(tabParametros[Código do Posto],tabCustoUnit[[#This Row],[Código do Posto]],tabParametros[Aviso Prévio Trabalhado - APT])*tabCustoUnit[[#This Row],[MODULO 1 - REMUNERAÇÃO ]]</f>
        <v>11.889957100000002</v>
      </c>
      <c r="AQ226" s="22">
        <f>SUMIF(tabParametros[Código do Posto],tabCustoUnit[[#This Row],[Código do Posto]],tabParametros[Incidência dos encargos do submódulo 2.1 sobre Aviso Prévio Trabalhado])*tabCustoUnit[[#This Row],[MODULO 1 - REMUNERAÇÃO ]]</f>
        <v>4.4944037838000011</v>
      </c>
      <c r="AR226" s="22">
        <f>SUMIF(tabParametros[Código do Posto],tabCustoUnit[[#This Row],[Código do Posto]],tabParametros[Multa Rescisória do FGTS])*tabCustoUnit[[#This Row],[MODULO 1 - REMUNERAÇÃO ]]</f>
        <v>103.87670456888887</v>
      </c>
      <c r="AS226" s="22">
        <f>SUMIF(tabParametros[Código do Posto],tabCustoUnit[[#This Row],[Código do Posto]],tabParametros[Indenização Adicional (Art. 9º da Lei nº 7.238/84)])*tabCustoUnit[[#This Row],[MODULO 1 - REMUNERAÇÃO ]]</f>
        <v>2.830942166666667</v>
      </c>
      <c r="AT226" s="22">
        <f>SUM(tabCustoUnit[[#This Row],[Aviso Prévio Indenizado (API) e Reflexo do Aviso Prévio Indenizado]:[Indenização Adicional (Art. 9º da Lei nº 7.238/84)]])</f>
        <v>149.57972324425771</v>
      </c>
      <c r="AU226" s="22">
        <f>SUMIF(tabParametros[Código do Posto],tabCustoUnit[[#This Row],[Código do Posto]],tabParametros[Ausência por Doença])*tabCustoUnit[[#This Row],[MODULO 1 - REMUNERAÇÃO ]]</f>
        <v>28.686880622222219</v>
      </c>
      <c r="AV226" s="22">
        <f>SUMIF(tabParametros[Código do Posto],tabCustoUnit[[#This Row],[Código do Posto]],tabParametros[Ausências Legais])*tabCustoUnit[[#This Row],[MODULO 1 - REMUNERAÇÃO ]]</f>
        <v>6.8886259388888886</v>
      </c>
      <c r="AW226" s="22">
        <f>SUMIF(tabParametros[Código do Posto],tabCustoUnit[[#This Row],[Código do Posto]],tabParametros[Licença Paternidade])*tabCustoUnit[[#This Row],[MODULO 1 - REMUNERAÇÃO ]]</f>
        <v>0.58034314416666666</v>
      </c>
      <c r="AX226" s="22">
        <f>SUMIF(tabParametros[Código do Posto],tabCustoUnit[[#This Row],[Código do Posto]],tabParametros[Ausência por Acidente de Trabalho])*tabCustoUnit[[#This Row],[MODULO 1 - REMUNERAÇÃO ]]</f>
        <v>0.70773554166666675</v>
      </c>
      <c r="AY226" s="22">
        <f>SUMIF(tabParametros[Código do Posto],tabCustoUnit[[#This Row],[Código do Posto]],tabParametros[Férias, Adicional de Férias e 13º  com empregada em gozo de Licença Maternidade])*tabCustoUnit[[#This Row],[MODULO 1 - REMUNERAÇÃO ]]</f>
        <v>4.4036878148148144</v>
      </c>
      <c r="AZ226" s="22">
        <f>SUMIF(tabParametros[Código do Posto],tabCustoUnit[[#This Row],[Código do Posto]],tabParametros[Incidência do Submódulo 2.1 sobre Ausências Legais])*tabCustoUnit[[#This Row],[MODULO 1 - REMUNERAÇÃO ]]</f>
        <v>15.599029217345002</v>
      </c>
      <c r="BA226" s="22">
        <f>SUM(tabCustoUnit[[#This Row],[Ausência por Doença]:[Incidência do Submódulo 2.1 sobre Ausências Legais]])</f>
        <v>56.866302279104261</v>
      </c>
      <c r="BB226" s="22">
        <f>SUMIF(tabParametros[Código do Posto],tabCustoUnit[[#This Row],[Código do Posto]],tabParametros[Intervalo para Repouso ou Alimentação])</f>
        <v>0</v>
      </c>
      <c r="BC226" s="22">
        <f>tabCustoUnit[[#This Row],[Intervalo para Repouso ou Alimentação]]</f>
        <v>0</v>
      </c>
      <c r="BD22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6" s="22">
        <f>tabCustoUnit[[#This Row],[Suspensão Temporária do Contrato de Trabalho]]</f>
        <v>0</v>
      </c>
      <c r="BF226" s="22">
        <f>tabCustoUnit[[#This Row],[Submódulo 4.1]]+tabCustoUnit[[#This Row],[Submódulo 4.2]]+tabCustoUnit[[#This Row],[Submódulo 4.3]]</f>
        <v>56.866302279104261</v>
      </c>
      <c r="BG226" s="22">
        <f>VLOOKUP(tabCustoUnit[[#This Row],[Código do Posto]],tabParametros[],MATCH(tabCustoUnit[[#Headers],[Uniformes e EPIs]],tabParametros[#Headers],0),0)</f>
        <v>56.642978962543395</v>
      </c>
      <c r="BH226" s="22">
        <f>VLOOKUP(tabCustoUnit[[#This Row],[Código do Posto]],tabParametros[],MATCH(tabCustoUnit[[#Headers],[Materiais de Consumo]],tabParametros[#Headers],0),0)</f>
        <v>0</v>
      </c>
      <c r="BI226" s="22">
        <f>VLOOKUP(tabCustoUnit[[#This Row],[Código do Posto]],tabParametros[],MATCH(tabCustoUnit[[#Headers],[Máquinas e Equipamentos (depreciação)]],tabParametros[#Headers],0),0)</f>
        <v>0</v>
      </c>
      <c r="BJ226" s="22">
        <f>VLOOKUP(tabCustoUnit[[#This Row],[Código do Posto]],tabParametros[],MATCH(tabCustoUnit[[#Headers],[Produtos de Limpeza e Materiais de Higiene Pessoal]],tabParametros[#Headers],0),0)</f>
        <v>0</v>
      </c>
      <c r="BK226" s="22">
        <f>VLOOKUP(tabCustoUnit[[#This Row],[Código do Posto]],tabParametros[],MATCH(tabCustoUnit[[#Headers],[Outros (especificar)]],tabParametros[#Headers],0),0)</f>
        <v>0</v>
      </c>
      <c r="BL226" s="22">
        <f>SUM(tabCustoUnit[[#This Row],[Uniformes e EPIs]:[Outros (especificar)]])</f>
        <v>56.642978962543395</v>
      </c>
      <c r="BM22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6" s="22" t="e">
        <f ca="1">VLOOKUP(tabCustoUnit[[#This Row],[Código do Posto]],tabParametros[],MATCH(tabCustoUnit[[#Headers],[Custos Indiretos]],tabParametros[#Headers],0),0)</f>
        <v>#NAME?</v>
      </c>
      <c r="BO226" s="22" t="e">
        <f ca="1">VLOOKUP(tabCustoUnit[[#This Row],[Código do Posto]],tabParametros[],MATCH(tabCustoUnit[[#Headers],[Lucro]],tabParametros[#Headers],0),0)</f>
        <v>#NAME?</v>
      </c>
      <c r="BP226" s="26">
        <f>((100/((1-tabCustoUnit[[#This Row],[Resumo de Alíquotas (PIS+CONFINS+ISS)]]))-100)*VLOOKUP(tabCustoUnit[[#This Row],[Código do Posto]],tabParametros[],MATCH(tabCustoUnit[[#Headers],[COFINS]],tabParametros[#Headers],0),0))/(tabCustoUnit[[#This Row],[Resumo de Alíquotas (PIS+CONFINS+ISS)]]*100)</f>
        <v>8.6609686609686695E-2</v>
      </c>
      <c r="BQ226" s="26">
        <f>((100/((100-(tabCustoUnit[[#This Row],[Resumo de Alíquotas (PIS+CONFINS+ISS)]]*100))%)-100)*VLOOKUP(tabCustoUnit[[#This Row],[Código do Posto]],tabParametros[],MATCH(tabCustoUnit[[#Headers],[PIS]],tabParametros[#Headers],0),0))/(tabCustoUnit[[#This Row],[Resumo de Alíquotas (PIS+CONFINS+ISS)]]*100)</f>
        <v>1.880341880341882E-2</v>
      </c>
      <c r="BR226" s="28">
        <f>VLOOKUP(tabCustoUnit[[#This Row],[Código do Posto]],tabParametros[],MATCH(tabCustoUnit[[#Headers],[ISS]],tabParametros[#Headers],0),0)</f>
        <v>0.03</v>
      </c>
      <c r="BS226" s="26">
        <f>(((100/((100-(tabCustoUnit[[#This Row],[Resumo de Alíquotas (PIS+CONFINS+ISS)]]*100))%)-100)*tabCustoUnit[[#This Row],[ISS]])/tabCustoUnit[[#This Row],[Resumo de Alíquotas (PIS+CONFINS+ISS)]])/100</f>
        <v>3.4188034188034219E-2</v>
      </c>
      <c r="BT22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6" s="138">
        <f>tabCustoUnit[[#This Row],[COFINS]]+tabCustoUnit[[#This Row],[PIS]]+tabCustoUnit[[#This Row],[ISS (Conversão Alíquota s/ fatura)]]</f>
        <v>0.13960113960113973</v>
      </c>
      <c r="BV226" s="22" t="e">
        <f ca="1">(tabCustoUnit[[#This Row],[TOTAL MÓDULOS 1+2+3+4+5]]+tabCustoUnit[[#This Row],[Custos Indiretos]]+tabCustoUnit[[#This Row],[Lucro]])*tabCustoUnit[[#This Row],[PIS + COFINS + ISS (Total Conversão  Alíquota s/ Fatura)]]</f>
        <v>#NAME?</v>
      </c>
      <c r="BW226" s="22" t="e">
        <f ca="1">tabCustoUnit[[#This Row],[Custos Indiretos]]+tabCustoUnit[[#This Row],[Lucro]]+tabCustoUnit[[#This Row],[Valor dos Tributos (ISS, PIS, CONFINS)]]</f>
        <v>#NAME?</v>
      </c>
      <c r="BX226" s="22" t="e">
        <f ca="1">tabCustoUnit[[#This Row],[TOTAL MÓDULOS 1+2+3+4+5]]+tabCustoUnit[[#This Row],[MÓDULO 6 – CUSTOS INDIRETOS, TRIBUTOS E LUCRO]]</f>
        <v>#NAME?</v>
      </c>
      <c r="BY226" s="22" t="e">
        <f ca="1">tabCustoUnit[[#This Row],[CUSTO TOTAL MENSAL]]*12</f>
        <v>#NAME?</v>
      </c>
      <c r="BZ226" s="24">
        <f>VLOOKUP(tabCustoUnit[[#This Row],[Código do Posto]],tabParametros[],MATCH(tabCustoUnit[[#Headers],[ANO DA CCT]],tabParametros[#Headers],0),0)</f>
        <v>45658</v>
      </c>
      <c r="CA226" s="25" t="str">
        <f>VLOOKUP(tabCustoUnit[[#This Row],[Código do Posto]],tabParametros[],MATCH(tabCustoUnit[[#Headers],[Nº DE PEDIDO DA CCT]],tabParametros[#Headers],0),0)</f>
        <v>-</v>
      </c>
      <c r="CB226" s="25" t="str">
        <f>VLOOKUP(tabCustoUnit[[#This Row],[Código do Posto]],tabParametros[],MATCH(tabCustoUnit[[#Headers],[TERMO ADITIVO ALTERAÇÃO DA CCT]],tabParametros[#Headers],0),0)</f>
        <v>-</v>
      </c>
    </row>
    <row r="227" spans="1:80">
      <c r="A227" s="20" t="s">
        <v>1656</v>
      </c>
      <c r="B227" t="s">
        <v>1170</v>
      </c>
      <c r="C227" t="s">
        <v>319</v>
      </c>
      <c r="D227" t="s">
        <v>918</v>
      </c>
      <c r="E227" s="20" t="s">
        <v>1090</v>
      </c>
      <c r="F227" s="20" t="s">
        <v>120</v>
      </c>
      <c r="G227" s="418">
        <v>2316.2296999999999</v>
      </c>
      <c r="H227" s="418">
        <v>0</v>
      </c>
      <c r="I227" s="418">
        <v>0</v>
      </c>
      <c r="J227" s="418">
        <v>0</v>
      </c>
      <c r="K227" s="418">
        <v>0</v>
      </c>
      <c r="L227" s="418">
        <v>0</v>
      </c>
      <c r="M227" s="418">
        <v>0</v>
      </c>
      <c r="N227" s="418">
        <v>0</v>
      </c>
      <c r="O227" s="21">
        <f>SUM(tabCustoUnit[[#This Row],[Salário Base]:[Adicional de Acúmulo de função]])</f>
        <v>2316.2296999999999</v>
      </c>
      <c r="P227" s="21">
        <f>tabCustoUnit[[#This Row],[MODULO 1 - REMUNERAÇÃO ]]*SUMIFS(tabParametros[INSS],tabParametros[Código do Posto],tabCustoUnit[[#This Row],[Código do Posto]])</f>
        <v>463.24594000000002</v>
      </c>
      <c r="Q227" s="21">
        <f>tabCustoUnit[[#This Row],[MODULO 1 - REMUNERAÇÃO ]]*SUMIFS(tabParametros[SESI OU SESC],tabParametros[Código do Posto],tabCustoUnit[[#This Row],[Código do Posto]])</f>
        <v>34.7434455</v>
      </c>
      <c r="R227" s="21">
        <f>tabCustoUnit[[#This Row],[MODULO 1 - REMUNERAÇÃO ]]*SUMIFS(tabParametros[SENAI OU SENAC],tabParametros[Código do Posto],tabCustoUnit[[#This Row],[Código do Posto]])</f>
        <v>23.162296999999999</v>
      </c>
      <c r="S227" s="21">
        <f>tabCustoUnit[[#This Row],[MODULO 1 - REMUNERAÇÃO ]]*SUMIFS(tabParametros[INCRA],tabParametros[Código do Posto],tabCustoUnit[[#This Row],[Código do Posto]])</f>
        <v>4.6324594000000001</v>
      </c>
      <c r="T227" s="21">
        <f>tabCustoUnit[[#This Row],[MODULO 1 - REMUNERAÇÃO ]]*SUMIFS(tabParametros[Salário Educação],tabParametros[Código do Posto],tabCustoUnit[[#This Row],[Código do Posto]])</f>
        <v>57.905742500000002</v>
      </c>
      <c r="U227" s="21">
        <f>tabCustoUnit[[#This Row],[MODULO 1 - REMUNERAÇÃO ]]*SUMIFS(tabParametros[FGTS],tabParametros[Código do Posto],tabCustoUnit[[#This Row],[Código do Posto]])</f>
        <v>185.29837599999999</v>
      </c>
      <c r="V227" s="21">
        <f>tabCustoUnit[[#This Row],[MODULO 1 - REMUNERAÇÃO ]]*SUMIFS(tabParametros[RAT Ajustado],tabParametros[Código do Posto],tabCustoUnit[[#This Row],[Código do Posto]])</f>
        <v>92.649187999999995</v>
      </c>
      <c r="W227" s="21">
        <f>tabCustoUnit[[#This Row],[MODULO 1 - REMUNERAÇÃO ]]*SUMIFS(tabParametros[SEBRAE],tabParametros[Código do Posto],tabCustoUnit[[#This Row],[Código do Posto]])</f>
        <v>13.8973782</v>
      </c>
      <c r="X227" s="21">
        <f>SUM(tabCustoUnit[[#This Row],[INSS]:[SEBRAE]])</f>
        <v>875.53482659999997</v>
      </c>
      <c r="Y227" s="21">
        <f>tabCustoUnit[[#This Row],[MODULO 1 - REMUNERAÇÃO ]]*SUMIFS(tabParametros[13º salário (titular)],tabParametros[Código do Posto],tabCustoUnit[[#This Row],[Código do Posto]])</f>
        <v>193.01914166666666</v>
      </c>
      <c r="Z227" s="21">
        <f>tabCustoUnit[[#This Row],[MODULO 1 - REMUNERAÇÃO ]]*SUMIFS(tabParametros[Férias e Adicional de Férias (titular)],tabParametros[Código do Posto],tabCustoUnit[[#This Row],[Código do Posto]])</f>
        <v>257.35885555555552</v>
      </c>
      <c r="AA227" s="21">
        <f>IFERROR((tabCustoUnit[[#This Row],[Submódulo 2.1]]/tabCustoUnit[[#This Row],[MODULO 1 - REMUNERAÇÃO ]])*SUM(tabCustoUnit[[#This Row],[13º salário (titular)]:[Férias e Adicional de Férias (titular)]]),0)</f>
        <v>170.24288294999999</v>
      </c>
      <c r="AB227" s="21">
        <f>SUM(tabCustoUnit[[#This Row],[13º salário (titular)]:[Incidência do Submódulo 2.1 sobre 13º Salário, Férias e Adicional de Férias]])</f>
        <v>620.6208801722222</v>
      </c>
      <c r="AC227" s="22" t="e">
        <f ca="1">_xlfn.LET(_xlpm.VT,SUMIF(tabParametros[Código do Posto],tabCustoUnit[[#This Row],[Código do Posto]],tabParametros[Vale - Transporte])*2*20,
IF((_xlpm.VT-tabCustoUnit[[#This Row],[Salário Base]]*0.06)&gt;=0,(_xlpm.VT-tabCustoUnit[[#This Row],[Salário Base]]*0.06),0)
)</f>
        <v>#NAME?</v>
      </c>
      <c r="AD227" s="22">
        <f>IF(SUMIF(tabParametros[Código do Posto],tabCustoUnit[[#This Row],[Código do Posto]],tabParametros[Vale - Alimentação])&lt;=0,0,
SUMIF(tabParametros[Código do Posto],tabCustoUnit[[#This Row],[Código do Posto]],tabParametros[Vale - Alimentação])*20-1)</f>
        <v>582</v>
      </c>
      <c r="AE227" s="22">
        <f>SUMIF(tabParametros[Código do Posto],tabCustoUnit[[#This Row],[Código do Posto]],tabParametros[Cesta Básica])</f>
        <v>0</v>
      </c>
      <c r="AF227" s="22">
        <f>SUMIF(tabParametros[Código do Posto],tabCustoUnit[[#This Row],[Código do Posto]],tabParametros[PAF])</f>
        <v>0</v>
      </c>
      <c r="AG227" s="22">
        <f>SUMIF(tabParametros[Código do Posto],tabCustoUnit[[#This Row],[Código do Posto]],tabParametros[PQM])</f>
        <v>15.07</v>
      </c>
      <c r="AH227" s="22">
        <f>SUMIF(tabParametros[Código do Posto],tabCustoUnit[[#This Row],[Código do Posto]],tabParametros[Abono Único e Especial])</f>
        <v>0</v>
      </c>
      <c r="AI227" s="22">
        <f>SUMIF(tabParametros[Código do Posto],tabCustoUnit[[#This Row],[Código do Posto]],tabParametros[Seguro de Vida])</f>
        <v>3.36</v>
      </c>
      <c r="AJ227" s="22">
        <f>SUMIF(tabParametros[Código do Posto],tabCustoUnit[[#This Row],[Código do Posto]],tabParametros[Despesas de Viagem])</f>
        <v>0</v>
      </c>
      <c r="AK227" s="22" t="e">
        <f ca="1">SUM(tabCustoUnit[[#This Row],[Vale - Transporte (Descontada parcela do empregado)]:[Despesas de Viagem]])</f>
        <v>#NAME?</v>
      </c>
      <c r="AL227" s="22" t="e">
        <f ca="1">tabCustoUnit[[#This Row],[Submódulo 2.1]]+tabCustoUnit[[#This Row],[Submódulo 2.2]]+tabCustoUnit[[#This Row],[Submódulo 2.3]]</f>
        <v>#NAME?</v>
      </c>
      <c r="AM227" s="22">
        <f>SUMIF(tabParametros[Código do Posto],tabCustoUnit[[#This Row],[Código do Posto]],tabParametros[Aviso Prévio Indenizado (API) e Reflexo do Aviso Prévio Indenizado])*tabCustoUnit[[#This Row],[MODULO 1 - REMUNERAÇÃO ]]</f>
        <v>16.240862917689043</v>
      </c>
      <c r="AN227" s="22">
        <f>SUMIF(tabParametros[Código do Posto],tabCustoUnit[[#This Row],[Código do Posto]],tabParametros[Incidência do FGTS sobre API e Reflexo do API])*tabCustoUnit[[#This Row],[MODULO 1 - REMUNERAÇÃO ]]</f>
        <v>1.2992690334151236</v>
      </c>
      <c r="AO227" s="22">
        <f>SUMIF(tabParametros[Código do Posto],tabCustoUnit[[#This Row],[Código do Posto]],tabParametros[Multa Rescisória do FGTS sobre o Aviso Prévio Indenizado])*tabCustoUnit[[#This Row],[MODULO 1 - REMUNERAÇÃO ]]</f>
        <v>0.51970761336604943</v>
      </c>
      <c r="AP227" s="22">
        <f>SUMIF(tabParametros[Código do Posto],tabCustoUnit[[#This Row],[Código do Posto]],tabParametros[Aviso Prévio Trabalhado - APT])*tabCustoUnit[[#This Row],[MODULO 1 - REMUNERAÇÃO ]]</f>
        <v>8.1068039500000015</v>
      </c>
      <c r="AQ227" s="22">
        <f>SUMIF(tabParametros[Código do Posto],tabCustoUnit[[#This Row],[Código do Posto]],tabParametros[Incidência dos encargos do submódulo 2.1 sobre Aviso Prévio Trabalhado])*tabCustoUnit[[#This Row],[MODULO 1 - REMUNERAÇÃO ]]</f>
        <v>3.0643718931000006</v>
      </c>
      <c r="AR227" s="22">
        <f>SUMIF(tabParametros[Código do Posto],tabCustoUnit[[#This Row],[Código do Posto]],tabParametros[Multa Rescisória do FGTS])*tabCustoUnit[[#This Row],[MODULO 1 - REMUNERAÇÃO ]]</f>
        <v>70.825157048888869</v>
      </c>
      <c r="AS227" s="22">
        <f>SUMIF(tabParametros[Código do Posto],tabCustoUnit[[#This Row],[Código do Posto]],tabParametros[Indenização Adicional (Art. 9º da Lei nº 7.238/84)])*tabCustoUnit[[#This Row],[MODULO 1 - REMUNERAÇÃO ]]</f>
        <v>1.9301914166666667</v>
      </c>
      <c r="AT227" s="22">
        <f>SUM(tabCustoUnit[[#This Row],[Aviso Prévio Indenizado (API) e Reflexo do Aviso Prévio Indenizado]:[Indenização Adicional (Art. 9º da Lei nº 7.238/84)]])</f>
        <v>101.98636387312575</v>
      </c>
      <c r="AU227" s="22">
        <f>SUMIF(tabParametros[Código do Posto],tabCustoUnit[[#This Row],[Código do Posto]],tabParametros[Ausência por Doença])*tabCustoUnit[[#This Row],[MODULO 1 - REMUNERAÇÃO ]]</f>
        <v>19.559273022222218</v>
      </c>
      <c r="AV227" s="22">
        <f>SUMIF(tabParametros[Código do Posto],tabCustoUnit[[#This Row],[Código do Posto]],tabParametros[Ausências Legais])*tabCustoUnit[[#This Row],[MODULO 1 - REMUNERAÇÃO ]]</f>
        <v>4.696799113888888</v>
      </c>
      <c r="AW227" s="22">
        <f>SUMIF(tabParametros[Código do Posto],tabCustoUnit[[#This Row],[Código do Posto]],tabParametros[Licença Paternidade])*tabCustoUnit[[#This Row],[MODULO 1 - REMUNERAÇÃO ]]</f>
        <v>0.39568924041666664</v>
      </c>
      <c r="AX227" s="22">
        <f>SUMIF(tabParametros[Código do Posto],tabCustoUnit[[#This Row],[Código do Posto]],tabParametros[Ausência por Acidente de Trabalho])*tabCustoUnit[[#This Row],[MODULO 1 - REMUNERAÇÃO ]]</f>
        <v>0.48254785416666668</v>
      </c>
      <c r="AY227" s="22">
        <f>SUMIF(tabParametros[Código do Posto],tabCustoUnit[[#This Row],[Código do Posto]],tabParametros[Férias, Adicional de Férias e 13º  com empregada em gozo de Licença Maternidade])*tabCustoUnit[[#This Row],[MODULO 1 - REMUNERAÇÃO ]]</f>
        <v>3.0025199814814814</v>
      </c>
      <c r="AZ227" s="22">
        <f>SUMIF(tabParametros[Código do Posto],tabCustoUnit[[#This Row],[Código do Posto]],tabParametros[Incidência do Submódulo 2.1 sobre Ausências Legais])*tabCustoUnit[[#This Row],[MODULO 1 - REMUNERAÇÃO ]]</f>
        <v>10.635721442202501</v>
      </c>
      <c r="BA227" s="22">
        <f>SUM(tabCustoUnit[[#This Row],[Ausência por Doença]:[Incidência do Submódulo 2.1 sobre Ausências Legais]])</f>
        <v>38.772550654378421</v>
      </c>
      <c r="BB227" s="22">
        <f>SUMIF(tabParametros[Código do Posto],tabCustoUnit[[#This Row],[Código do Posto]],tabParametros[Intervalo para Repouso ou Alimentação])</f>
        <v>0</v>
      </c>
      <c r="BC227" s="22">
        <f>tabCustoUnit[[#This Row],[Intervalo para Repouso ou Alimentação]]</f>
        <v>0</v>
      </c>
      <c r="BD22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7" s="22">
        <f>tabCustoUnit[[#This Row],[Suspensão Temporária do Contrato de Trabalho]]</f>
        <v>0</v>
      </c>
      <c r="BF227" s="22">
        <f>tabCustoUnit[[#This Row],[Submódulo 4.1]]+tabCustoUnit[[#This Row],[Submódulo 4.2]]+tabCustoUnit[[#This Row],[Submódulo 4.3]]</f>
        <v>38.772550654378421</v>
      </c>
      <c r="BG227" s="22">
        <f>VLOOKUP(tabCustoUnit[[#This Row],[Código do Posto]],tabParametros[],MATCH(tabCustoUnit[[#Headers],[Uniformes e EPIs]],tabParametros[#Headers],0),0)</f>
        <v>56.642978962543395</v>
      </c>
      <c r="BH227" s="22">
        <f>VLOOKUP(tabCustoUnit[[#This Row],[Código do Posto]],tabParametros[],MATCH(tabCustoUnit[[#Headers],[Materiais de Consumo]],tabParametros[#Headers],0),0)</f>
        <v>0</v>
      </c>
      <c r="BI227" s="22">
        <f>VLOOKUP(tabCustoUnit[[#This Row],[Código do Posto]],tabParametros[],MATCH(tabCustoUnit[[#Headers],[Máquinas e Equipamentos (depreciação)]],tabParametros[#Headers],0),0)</f>
        <v>0</v>
      </c>
      <c r="BJ227" s="22">
        <f>VLOOKUP(tabCustoUnit[[#This Row],[Código do Posto]],tabParametros[],MATCH(tabCustoUnit[[#Headers],[Produtos de Limpeza e Materiais de Higiene Pessoal]],tabParametros[#Headers],0),0)</f>
        <v>0</v>
      </c>
      <c r="BK227" s="22">
        <f>VLOOKUP(tabCustoUnit[[#This Row],[Código do Posto]],tabParametros[],MATCH(tabCustoUnit[[#Headers],[Outros (especificar)]],tabParametros[#Headers],0),0)</f>
        <v>0</v>
      </c>
      <c r="BL227" s="22">
        <f>SUM(tabCustoUnit[[#This Row],[Uniformes e EPIs]:[Outros (especificar)]])</f>
        <v>56.642978962543395</v>
      </c>
      <c r="BM22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7" s="22" t="e">
        <f ca="1">VLOOKUP(tabCustoUnit[[#This Row],[Código do Posto]],tabParametros[],MATCH(tabCustoUnit[[#Headers],[Custos Indiretos]],tabParametros[#Headers],0),0)</f>
        <v>#NAME?</v>
      </c>
      <c r="BO227" s="22" t="e">
        <f ca="1">VLOOKUP(tabCustoUnit[[#This Row],[Código do Posto]],tabParametros[],MATCH(tabCustoUnit[[#Headers],[Lucro]],tabParametros[#Headers],0),0)</f>
        <v>#NAME?</v>
      </c>
      <c r="BP227" s="26">
        <f>((100/((1-tabCustoUnit[[#This Row],[Resumo de Alíquotas (PIS+CONFINS+ISS)]]))-100)*VLOOKUP(tabCustoUnit[[#This Row],[Código do Posto]],tabParametros[],MATCH(tabCustoUnit[[#Headers],[COFINS]],tabParametros[#Headers],0),0))/(tabCustoUnit[[#This Row],[Resumo de Alíquotas (PIS+CONFINS+ISS)]]*100)</f>
        <v>8.6609686609686695E-2</v>
      </c>
      <c r="BQ227" s="26">
        <f>((100/((100-(tabCustoUnit[[#This Row],[Resumo de Alíquotas (PIS+CONFINS+ISS)]]*100))%)-100)*VLOOKUP(tabCustoUnit[[#This Row],[Código do Posto]],tabParametros[],MATCH(tabCustoUnit[[#Headers],[PIS]],tabParametros[#Headers],0),0))/(tabCustoUnit[[#This Row],[Resumo de Alíquotas (PIS+CONFINS+ISS)]]*100)</f>
        <v>1.880341880341882E-2</v>
      </c>
      <c r="BR227" s="28">
        <f>VLOOKUP(tabCustoUnit[[#This Row],[Código do Posto]],tabParametros[],MATCH(tabCustoUnit[[#Headers],[ISS]],tabParametros[#Headers],0),0)</f>
        <v>0.03</v>
      </c>
      <c r="BS227" s="26">
        <f>(((100/((100-(tabCustoUnit[[#This Row],[Resumo de Alíquotas (PIS+CONFINS+ISS)]]*100))%)-100)*tabCustoUnit[[#This Row],[ISS]])/tabCustoUnit[[#This Row],[Resumo de Alíquotas (PIS+CONFINS+ISS)]])/100</f>
        <v>3.4188034188034219E-2</v>
      </c>
      <c r="BT22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7" s="138">
        <f>tabCustoUnit[[#This Row],[COFINS]]+tabCustoUnit[[#This Row],[PIS]]+tabCustoUnit[[#This Row],[ISS (Conversão Alíquota s/ fatura)]]</f>
        <v>0.13960113960113973</v>
      </c>
      <c r="BV227" s="22" t="e">
        <f ca="1">(tabCustoUnit[[#This Row],[TOTAL MÓDULOS 1+2+3+4+5]]+tabCustoUnit[[#This Row],[Custos Indiretos]]+tabCustoUnit[[#This Row],[Lucro]])*tabCustoUnit[[#This Row],[PIS + COFINS + ISS (Total Conversão  Alíquota s/ Fatura)]]</f>
        <v>#NAME?</v>
      </c>
      <c r="BW227" s="22" t="e">
        <f ca="1">tabCustoUnit[[#This Row],[Custos Indiretos]]+tabCustoUnit[[#This Row],[Lucro]]+tabCustoUnit[[#This Row],[Valor dos Tributos (ISS, PIS, CONFINS)]]</f>
        <v>#NAME?</v>
      </c>
      <c r="BX227" s="22" t="e">
        <f ca="1">tabCustoUnit[[#This Row],[TOTAL MÓDULOS 1+2+3+4+5]]+tabCustoUnit[[#This Row],[MÓDULO 6 – CUSTOS INDIRETOS, TRIBUTOS E LUCRO]]</f>
        <v>#NAME?</v>
      </c>
      <c r="BY227" s="22" t="e">
        <f ca="1">tabCustoUnit[[#This Row],[CUSTO TOTAL MENSAL]]*12</f>
        <v>#NAME?</v>
      </c>
      <c r="BZ227" s="24">
        <f>VLOOKUP(tabCustoUnit[[#This Row],[Código do Posto]],tabParametros[],MATCH(tabCustoUnit[[#Headers],[ANO DA CCT]],tabParametros[#Headers],0),0)</f>
        <v>45658</v>
      </c>
      <c r="CA227" s="25" t="str">
        <f>VLOOKUP(tabCustoUnit[[#This Row],[Código do Posto]],tabParametros[],MATCH(tabCustoUnit[[#Headers],[Nº DE PEDIDO DA CCT]],tabParametros[#Headers],0),0)</f>
        <v>-</v>
      </c>
      <c r="CB227" s="25" t="str">
        <f>VLOOKUP(tabCustoUnit[[#This Row],[Código do Posto]],tabParametros[],MATCH(tabCustoUnit[[#Headers],[TERMO ADITIVO ALTERAÇÃO DA CCT]],tabParametros[#Headers],0),0)</f>
        <v>-</v>
      </c>
    </row>
    <row r="228" spans="1:80">
      <c r="A228" s="20" t="s">
        <v>1657</v>
      </c>
      <c r="B228" t="s">
        <v>1171</v>
      </c>
      <c r="C228" t="s">
        <v>314</v>
      </c>
      <c r="D228" t="s">
        <v>918</v>
      </c>
      <c r="E228" s="20" t="s">
        <v>1090</v>
      </c>
      <c r="F228" s="20" t="s">
        <v>120</v>
      </c>
      <c r="G228" s="418">
        <v>1963.4110000000001</v>
      </c>
      <c r="H228" s="418">
        <v>0</v>
      </c>
      <c r="I228" s="418">
        <v>0</v>
      </c>
      <c r="J228" s="418">
        <v>0</v>
      </c>
      <c r="K228" s="418">
        <v>0</v>
      </c>
      <c r="L228" s="418">
        <v>0</v>
      </c>
      <c r="M228" s="418">
        <v>0</v>
      </c>
      <c r="N228" s="418">
        <v>0</v>
      </c>
      <c r="O228" s="21">
        <f>SUM(tabCustoUnit[[#This Row],[Salário Base]:[Adicional de Acúmulo de função]])</f>
        <v>1963.4110000000001</v>
      </c>
      <c r="P228" s="21">
        <f>tabCustoUnit[[#This Row],[MODULO 1 - REMUNERAÇÃO ]]*SUMIFS(tabParametros[INSS],tabParametros[Código do Posto],tabCustoUnit[[#This Row],[Código do Posto]])</f>
        <v>392.68220000000002</v>
      </c>
      <c r="Q228" s="21">
        <f>tabCustoUnit[[#This Row],[MODULO 1 - REMUNERAÇÃO ]]*SUMIFS(tabParametros[SESI OU SESC],tabParametros[Código do Posto],tabCustoUnit[[#This Row],[Código do Posto]])</f>
        <v>29.451165</v>
      </c>
      <c r="R228" s="21">
        <f>tabCustoUnit[[#This Row],[MODULO 1 - REMUNERAÇÃO ]]*SUMIFS(tabParametros[SENAI OU SENAC],tabParametros[Código do Posto],tabCustoUnit[[#This Row],[Código do Posto]])</f>
        <v>19.63411</v>
      </c>
      <c r="S228" s="21">
        <f>tabCustoUnit[[#This Row],[MODULO 1 - REMUNERAÇÃO ]]*SUMIFS(tabParametros[INCRA],tabParametros[Código do Posto],tabCustoUnit[[#This Row],[Código do Posto]])</f>
        <v>3.926822</v>
      </c>
      <c r="T228" s="21">
        <f>tabCustoUnit[[#This Row],[MODULO 1 - REMUNERAÇÃO ]]*SUMIFS(tabParametros[Salário Educação],tabParametros[Código do Posto],tabCustoUnit[[#This Row],[Código do Posto]])</f>
        <v>49.085275000000003</v>
      </c>
      <c r="U228" s="21">
        <f>tabCustoUnit[[#This Row],[MODULO 1 - REMUNERAÇÃO ]]*SUMIFS(tabParametros[FGTS],tabParametros[Código do Posto],tabCustoUnit[[#This Row],[Código do Posto]])</f>
        <v>157.07288</v>
      </c>
      <c r="V228" s="21">
        <f>tabCustoUnit[[#This Row],[MODULO 1 - REMUNERAÇÃO ]]*SUMIFS(tabParametros[RAT Ajustado],tabParametros[Código do Posto],tabCustoUnit[[#This Row],[Código do Posto]])</f>
        <v>78.536439999999999</v>
      </c>
      <c r="W228" s="21">
        <f>tabCustoUnit[[#This Row],[MODULO 1 - REMUNERAÇÃO ]]*SUMIFS(tabParametros[SEBRAE],tabParametros[Código do Posto],tabCustoUnit[[#This Row],[Código do Posto]])</f>
        <v>11.780466000000001</v>
      </c>
      <c r="X228" s="21">
        <f>SUM(tabCustoUnit[[#This Row],[INSS]:[SEBRAE]])</f>
        <v>742.1693580000001</v>
      </c>
      <c r="Y228" s="21">
        <f>tabCustoUnit[[#This Row],[MODULO 1 - REMUNERAÇÃO ]]*SUMIFS(tabParametros[13º salário (titular)],tabParametros[Código do Posto],tabCustoUnit[[#This Row],[Código do Posto]])</f>
        <v>163.61758333333333</v>
      </c>
      <c r="Z228" s="21">
        <f>tabCustoUnit[[#This Row],[MODULO 1 - REMUNERAÇÃO ]]*SUMIFS(tabParametros[Férias e Adicional de Férias (titular)],tabParametros[Código do Posto],tabCustoUnit[[#This Row],[Código do Posto]])</f>
        <v>218.15677777777776</v>
      </c>
      <c r="AA228" s="21">
        <f>IFERROR((tabCustoUnit[[#This Row],[Submódulo 2.1]]/tabCustoUnit[[#This Row],[MODULO 1 - REMUNERAÇÃO ]])*SUM(tabCustoUnit[[#This Row],[13º salário (titular)]:[Férias e Adicional de Férias (titular)]]),0)</f>
        <v>144.3107085</v>
      </c>
      <c r="AB228" s="21">
        <f>SUM(tabCustoUnit[[#This Row],[13º salário (titular)]:[Incidência do Submódulo 2.1 sobre 13º Salário, Férias e Adicional de Férias]])</f>
        <v>526.08506961111107</v>
      </c>
      <c r="AC228" s="22" t="e">
        <f ca="1">_xlfn.LET(_xlpm.VT,SUMIF(tabParametros[Código do Posto],tabCustoUnit[[#This Row],[Código do Posto]],tabParametros[Vale - Transporte])*2*20,
IF((_xlpm.VT-tabCustoUnit[[#This Row],[Salário Base]]*0.06)&gt;=0,(_xlpm.VT-tabCustoUnit[[#This Row],[Salário Base]]*0.06),0)
)</f>
        <v>#NAME?</v>
      </c>
      <c r="AD228" s="22">
        <f>IF(SUMIF(tabParametros[Código do Posto],tabCustoUnit[[#This Row],[Código do Posto]],tabParametros[Vale - Alimentação])&lt;=0,0,
SUMIF(tabParametros[Código do Posto],tabCustoUnit[[#This Row],[Código do Posto]],tabParametros[Vale - Alimentação])*20-1)</f>
        <v>582</v>
      </c>
      <c r="AE228" s="22">
        <f>SUMIF(tabParametros[Código do Posto],tabCustoUnit[[#This Row],[Código do Posto]],tabParametros[Cesta Básica])</f>
        <v>0</v>
      </c>
      <c r="AF228" s="22">
        <f>SUMIF(tabParametros[Código do Posto],tabCustoUnit[[#This Row],[Código do Posto]],tabParametros[PAF])</f>
        <v>0</v>
      </c>
      <c r="AG228" s="22">
        <f>SUMIF(tabParametros[Código do Posto],tabCustoUnit[[#This Row],[Código do Posto]],tabParametros[PQM])</f>
        <v>15.07</v>
      </c>
      <c r="AH228" s="22">
        <f>SUMIF(tabParametros[Código do Posto],tabCustoUnit[[#This Row],[Código do Posto]],tabParametros[Abono Único e Especial])</f>
        <v>0</v>
      </c>
      <c r="AI228" s="22">
        <f>SUMIF(tabParametros[Código do Posto],tabCustoUnit[[#This Row],[Código do Posto]],tabParametros[Seguro de Vida])</f>
        <v>3.36</v>
      </c>
      <c r="AJ228" s="22">
        <f>SUMIF(tabParametros[Código do Posto],tabCustoUnit[[#This Row],[Código do Posto]],tabParametros[Despesas de Viagem])</f>
        <v>0</v>
      </c>
      <c r="AK228" s="22" t="e">
        <f ca="1">SUM(tabCustoUnit[[#This Row],[Vale - Transporte (Descontada parcela do empregado)]:[Despesas de Viagem]])</f>
        <v>#NAME?</v>
      </c>
      <c r="AL228" s="22" t="e">
        <f ca="1">tabCustoUnit[[#This Row],[Submódulo 2.1]]+tabCustoUnit[[#This Row],[Submódulo 2.2]]+tabCustoUnit[[#This Row],[Submódulo 2.3]]</f>
        <v>#NAME?</v>
      </c>
      <c r="AM228" s="22">
        <f>SUMIF(tabParametros[Código do Posto],tabCustoUnit[[#This Row],[Código do Posto]],tabParametros[Aviso Prévio Indenizado (API) e Reflexo do Aviso Prévio Indenizado])*tabCustoUnit[[#This Row],[MODULO 1 - REMUNERAÇÃO ]]</f>
        <v>13.766980408757716</v>
      </c>
      <c r="AN228" s="22">
        <f>SUMIF(tabParametros[Código do Posto],tabCustoUnit[[#This Row],[Código do Posto]],tabParametros[Incidência do FGTS sobre API e Reflexo do API])*tabCustoUnit[[#This Row],[MODULO 1 - REMUNERAÇÃO ]]</f>
        <v>1.1013584327006174</v>
      </c>
      <c r="AO228" s="22">
        <f>SUMIF(tabParametros[Código do Posto],tabCustoUnit[[#This Row],[Código do Posto]],tabParametros[Multa Rescisória do FGTS sobre o Aviso Prévio Indenizado])*tabCustoUnit[[#This Row],[MODULO 1 - REMUNERAÇÃO ]]</f>
        <v>0.44054337308024699</v>
      </c>
      <c r="AP228" s="22">
        <f>SUMIF(tabParametros[Código do Posto],tabCustoUnit[[#This Row],[Código do Posto]],tabParametros[Aviso Prévio Trabalhado - APT])*tabCustoUnit[[#This Row],[MODULO 1 - REMUNERAÇÃO ]]</f>
        <v>6.8719385000000015</v>
      </c>
      <c r="AQ228" s="22">
        <f>SUMIF(tabParametros[Código do Posto],tabCustoUnit[[#This Row],[Código do Posto]],tabParametros[Incidência dos encargos do submódulo 2.1 sobre Aviso Prévio Trabalhado])*tabCustoUnit[[#This Row],[MODULO 1 - REMUNERAÇÃO ]]</f>
        <v>2.5975927530000007</v>
      </c>
      <c r="AR228" s="22">
        <f>SUMIF(tabParametros[Código do Posto],tabCustoUnit[[#This Row],[Código do Posto]],tabParametros[Multa Rescisória do FGTS])*tabCustoUnit[[#This Row],[MODULO 1 - REMUNERAÇÃO ]]</f>
        <v>60.03674524444444</v>
      </c>
      <c r="AS228" s="22">
        <f>SUMIF(tabParametros[Código do Posto],tabCustoUnit[[#This Row],[Código do Posto]],tabParametros[Indenização Adicional (Art. 9º da Lei nº 7.238/84)])*tabCustoUnit[[#This Row],[MODULO 1 - REMUNERAÇÃO ]]</f>
        <v>1.6361758333333334</v>
      </c>
      <c r="AT228" s="22">
        <f>SUM(tabCustoUnit[[#This Row],[Aviso Prévio Indenizado (API) e Reflexo do Aviso Prévio Indenizado]:[Indenização Adicional (Art. 9º da Lei nº 7.238/84)]])</f>
        <v>86.451334545316371</v>
      </c>
      <c r="AU228" s="22">
        <f>SUMIF(tabParametros[Código do Posto],tabCustoUnit[[#This Row],[Código do Posto]],tabParametros[Ausência por Doença])*tabCustoUnit[[#This Row],[MODULO 1 - REMUNERAÇÃO ]]</f>
        <v>16.579915111111109</v>
      </c>
      <c r="AV228" s="22">
        <f>SUMIF(tabParametros[Código do Posto],tabCustoUnit[[#This Row],[Código do Posto]],tabParametros[Ausências Legais])*tabCustoUnit[[#This Row],[MODULO 1 - REMUNERAÇÃO ]]</f>
        <v>3.9813611944444443</v>
      </c>
      <c r="AW228" s="22">
        <f>SUMIF(tabParametros[Código do Posto],tabCustoUnit[[#This Row],[Código do Posto]],tabParametros[Licença Paternidade])*tabCustoUnit[[#This Row],[MODULO 1 - REMUNERAÇÃO ]]</f>
        <v>0.33541604583333334</v>
      </c>
      <c r="AX228" s="22">
        <f>SUMIF(tabParametros[Código do Posto],tabCustoUnit[[#This Row],[Código do Posto]],tabParametros[Ausência por Acidente de Trabalho])*tabCustoUnit[[#This Row],[MODULO 1 - REMUNERAÇÃO ]]</f>
        <v>0.40904395833333335</v>
      </c>
      <c r="AY228" s="22">
        <f>SUMIF(tabParametros[Código do Posto],tabCustoUnit[[#This Row],[Código do Posto]],tabParametros[Férias, Adicional de Férias e 13º  com empregada em gozo de Licença Maternidade])*tabCustoUnit[[#This Row],[MODULO 1 - REMUNERAÇÃO ]]</f>
        <v>2.5451624074074073</v>
      </c>
      <c r="AZ228" s="22">
        <f>SUMIF(tabParametros[Código do Posto],tabCustoUnit[[#This Row],[Código do Posto]],tabParametros[Incidência do Submódulo 2.1 sobre Ausências Legais])*tabCustoUnit[[#This Row],[MODULO 1 - REMUNERAÇÃO ]]</f>
        <v>9.0156397150750021</v>
      </c>
      <c r="BA228" s="22">
        <f>SUM(tabCustoUnit[[#This Row],[Ausência por Doença]:[Incidência do Submódulo 2.1 sobre Ausências Legais]])</f>
        <v>32.866538432204628</v>
      </c>
      <c r="BB228" s="22">
        <f>SUMIF(tabParametros[Código do Posto],tabCustoUnit[[#This Row],[Código do Posto]],tabParametros[Intervalo para Repouso ou Alimentação])</f>
        <v>267.73786489195959</v>
      </c>
      <c r="BC228" s="22">
        <f>tabCustoUnit[[#This Row],[Intervalo para Repouso ou Alimentação]]</f>
        <v>267.73786489195959</v>
      </c>
      <c r="BD22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8" s="22">
        <f>tabCustoUnit[[#This Row],[Suspensão Temporária do Contrato de Trabalho]]</f>
        <v>0</v>
      </c>
      <c r="BF228" s="22">
        <f>tabCustoUnit[[#This Row],[Submódulo 4.1]]+tabCustoUnit[[#This Row],[Submódulo 4.2]]+tabCustoUnit[[#This Row],[Submódulo 4.3]]</f>
        <v>300.6044033241642</v>
      </c>
      <c r="BG228" s="22">
        <f>VLOOKUP(tabCustoUnit[[#This Row],[Código do Posto]],tabParametros[],MATCH(tabCustoUnit[[#Headers],[Uniformes e EPIs]],tabParametros[#Headers],0),0)</f>
        <v>56.642978962543395</v>
      </c>
      <c r="BH228" s="22">
        <f>VLOOKUP(tabCustoUnit[[#This Row],[Código do Posto]],tabParametros[],MATCH(tabCustoUnit[[#Headers],[Materiais de Consumo]],tabParametros[#Headers],0),0)</f>
        <v>0</v>
      </c>
      <c r="BI228" s="22">
        <f>VLOOKUP(tabCustoUnit[[#This Row],[Código do Posto]],tabParametros[],MATCH(tabCustoUnit[[#Headers],[Máquinas e Equipamentos (depreciação)]],tabParametros[#Headers],0),0)</f>
        <v>0</v>
      </c>
      <c r="BJ228" s="22">
        <f>VLOOKUP(tabCustoUnit[[#This Row],[Código do Posto]],tabParametros[],MATCH(tabCustoUnit[[#Headers],[Produtos de Limpeza e Materiais de Higiene Pessoal]],tabParametros[#Headers],0),0)</f>
        <v>0</v>
      </c>
      <c r="BK228" s="22">
        <f>VLOOKUP(tabCustoUnit[[#This Row],[Código do Posto]],tabParametros[],MATCH(tabCustoUnit[[#Headers],[Outros (especificar)]],tabParametros[#Headers],0),0)</f>
        <v>0</v>
      </c>
      <c r="BL228" s="22">
        <f>SUM(tabCustoUnit[[#This Row],[Uniformes e EPIs]:[Outros (especificar)]])</f>
        <v>56.642978962543395</v>
      </c>
      <c r="BM22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8" s="22" t="e">
        <f ca="1">VLOOKUP(tabCustoUnit[[#This Row],[Código do Posto]],tabParametros[],MATCH(tabCustoUnit[[#Headers],[Custos Indiretos]],tabParametros[#Headers],0),0)</f>
        <v>#NAME?</v>
      </c>
      <c r="BO228" s="22" t="e">
        <f ca="1">VLOOKUP(tabCustoUnit[[#This Row],[Código do Posto]],tabParametros[],MATCH(tabCustoUnit[[#Headers],[Lucro]],tabParametros[#Headers],0),0)</f>
        <v>#NAME?</v>
      </c>
      <c r="BP228" s="26">
        <f>((100/((1-tabCustoUnit[[#This Row],[Resumo de Alíquotas (PIS+CONFINS+ISS)]]))-100)*VLOOKUP(tabCustoUnit[[#This Row],[Código do Posto]],tabParametros[],MATCH(tabCustoUnit[[#Headers],[COFINS]],tabParametros[#Headers],0),0))/(tabCustoUnit[[#This Row],[Resumo de Alíquotas (PIS+CONFINS+ISS)]]*100)</f>
        <v>8.6609686609686695E-2</v>
      </c>
      <c r="BQ228" s="26">
        <f>((100/((100-(tabCustoUnit[[#This Row],[Resumo de Alíquotas (PIS+CONFINS+ISS)]]*100))%)-100)*VLOOKUP(tabCustoUnit[[#This Row],[Código do Posto]],tabParametros[],MATCH(tabCustoUnit[[#Headers],[PIS]],tabParametros[#Headers],0),0))/(tabCustoUnit[[#This Row],[Resumo de Alíquotas (PIS+CONFINS+ISS)]]*100)</f>
        <v>1.880341880341882E-2</v>
      </c>
      <c r="BR228" s="28">
        <f>VLOOKUP(tabCustoUnit[[#This Row],[Código do Posto]],tabParametros[],MATCH(tabCustoUnit[[#Headers],[ISS]],tabParametros[#Headers],0),0)</f>
        <v>0.03</v>
      </c>
      <c r="BS228" s="26">
        <f>(((100/((100-(tabCustoUnit[[#This Row],[Resumo de Alíquotas (PIS+CONFINS+ISS)]]*100))%)-100)*tabCustoUnit[[#This Row],[ISS]])/tabCustoUnit[[#This Row],[Resumo de Alíquotas (PIS+CONFINS+ISS)]])/100</f>
        <v>3.4188034188034219E-2</v>
      </c>
      <c r="BT22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8" s="138">
        <f>tabCustoUnit[[#This Row],[COFINS]]+tabCustoUnit[[#This Row],[PIS]]+tabCustoUnit[[#This Row],[ISS (Conversão Alíquota s/ fatura)]]</f>
        <v>0.13960113960113973</v>
      </c>
      <c r="BV228" s="22" t="e">
        <f ca="1">(tabCustoUnit[[#This Row],[TOTAL MÓDULOS 1+2+3+4+5]]+tabCustoUnit[[#This Row],[Custos Indiretos]]+tabCustoUnit[[#This Row],[Lucro]])*tabCustoUnit[[#This Row],[PIS + COFINS + ISS (Total Conversão  Alíquota s/ Fatura)]]</f>
        <v>#NAME?</v>
      </c>
      <c r="BW228" s="22" t="e">
        <f ca="1">tabCustoUnit[[#This Row],[Custos Indiretos]]+tabCustoUnit[[#This Row],[Lucro]]+tabCustoUnit[[#This Row],[Valor dos Tributos (ISS, PIS, CONFINS)]]</f>
        <v>#NAME?</v>
      </c>
      <c r="BX228" s="22" t="e">
        <f ca="1">tabCustoUnit[[#This Row],[TOTAL MÓDULOS 1+2+3+4+5]]+tabCustoUnit[[#This Row],[MÓDULO 6 – CUSTOS INDIRETOS, TRIBUTOS E LUCRO]]</f>
        <v>#NAME?</v>
      </c>
      <c r="BY228" s="22" t="e">
        <f ca="1">tabCustoUnit[[#This Row],[CUSTO TOTAL MENSAL]]*12</f>
        <v>#NAME?</v>
      </c>
      <c r="BZ228" s="24">
        <f>VLOOKUP(tabCustoUnit[[#This Row],[Código do Posto]],tabParametros[],MATCH(tabCustoUnit[[#Headers],[ANO DA CCT]],tabParametros[#Headers],0),0)</f>
        <v>45658</v>
      </c>
      <c r="CA228" s="25" t="str">
        <f>VLOOKUP(tabCustoUnit[[#This Row],[Código do Posto]],tabParametros[],MATCH(tabCustoUnit[[#Headers],[Nº DE PEDIDO DA CCT]],tabParametros[#Headers],0),0)</f>
        <v>-</v>
      </c>
      <c r="CB228" s="25" t="str">
        <f>VLOOKUP(tabCustoUnit[[#This Row],[Código do Posto]],tabParametros[],MATCH(tabCustoUnit[[#Headers],[TERMO ADITIVO ALTERAÇÃO DA CCT]],tabParametros[#Headers],0),0)</f>
        <v>-</v>
      </c>
    </row>
    <row r="229" spans="1:80">
      <c r="A229" s="20" t="s">
        <v>1658</v>
      </c>
      <c r="B229" t="s">
        <v>1172</v>
      </c>
      <c r="C229" t="s">
        <v>274</v>
      </c>
      <c r="D229" t="s">
        <v>977</v>
      </c>
      <c r="E229" s="20" t="s">
        <v>1090</v>
      </c>
      <c r="F229" s="20" t="s">
        <v>120</v>
      </c>
      <c r="G229" s="418">
        <v>4558.0709999999999</v>
      </c>
      <c r="H229" s="418">
        <v>0</v>
      </c>
      <c r="I229" s="418">
        <v>0</v>
      </c>
      <c r="J229" s="418">
        <v>0</v>
      </c>
      <c r="K229" s="418">
        <v>0</v>
      </c>
      <c r="L229" s="418">
        <v>0</v>
      </c>
      <c r="M229" s="418">
        <v>0</v>
      </c>
      <c r="N229" s="418">
        <v>0</v>
      </c>
      <c r="O229" s="21">
        <f>SUM(tabCustoUnit[[#This Row],[Salário Base]:[Adicional de Acúmulo de função]])</f>
        <v>4558.0709999999999</v>
      </c>
      <c r="P229" s="21">
        <f>tabCustoUnit[[#This Row],[MODULO 1 - REMUNERAÇÃO ]]*SUMIFS(tabParametros[INSS],tabParametros[Código do Posto],tabCustoUnit[[#This Row],[Código do Posto]])</f>
        <v>911.61419999999998</v>
      </c>
      <c r="Q229" s="21">
        <f>tabCustoUnit[[#This Row],[MODULO 1 - REMUNERAÇÃO ]]*SUMIFS(tabParametros[SESI OU SESC],tabParametros[Código do Posto],tabCustoUnit[[#This Row],[Código do Posto]])</f>
        <v>68.371065000000002</v>
      </c>
      <c r="R229" s="21">
        <f>tabCustoUnit[[#This Row],[MODULO 1 - REMUNERAÇÃO ]]*SUMIFS(tabParametros[SENAI OU SENAC],tabParametros[Código do Posto],tabCustoUnit[[#This Row],[Código do Posto]])</f>
        <v>45.580710000000003</v>
      </c>
      <c r="S229" s="21">
        <f>tabCustoUnit[[#This Row],[MODULO 1 - REMUNERAÇÃO ]]*SUMIFS(tabParametros[INCRA],tabParametros[Código do Posto],tabCustoUnit[[#This Row],[Código do Posto]])</f>
        <v>9.116142</v>
      </c>
      <c r="T229" s="21">
        <f>tabCustoUnit[[#This Row],[MODULO 1 - REMUNERAÇÃO ]]*SUMIFS(tabParametros[Salário Educação],tabParametros[Código do Posto],tabCustoUnit[[#This Row],[Código do Posto]])</f>
        <v>113.951775</v>
      </c>
      <c r="U229" s="21">
        <f>tabCustoUnit[[#This Row],[MODULO 1 - REMUNERAÇÃO ]]*SUMIFS(tabParametros[FGTS],tabParametros[Código do Posto],tabCustoUnit[[#This Row],[Código do Posto]])</f>
        <v>364.64568000000003</v>
      </c>
      <c r="V229" s="21">
        <f>tabCustoUnit[[#This Row],[MODULO 1 - REMUNERAÇÃO ]]*SUMIFS(tabParametros[RAT Ajustado],tabParametros[Código do Posto],tabCustoUnit[[#This Row],[Código do Posto]])</f>
        <v>182.32284000000001</v>
      </c>
      <c r="W229" s="21">
        <f>tabCustoUnit[[#This Row],[MODULO 1 - REMUNERAÇÃO ]]*SUMIFS(tabParametros[SEBRAE],tabParametros[Código do Posto],tabCustoUnit[[#This Row],[Código do Posto]])</f>
        <v>27.348426</v>
      </c>
      <c r="X229" s="21">
        <f>SUM(tabCustoUnit[[#This Row],[INSS]:[SEBRAE]])</f>
        <v>1722.9508380000002</v>
      </c>
      <c r="Y229" s="21">
        <f>tabCustoUnit[[#This Row],[MODULO 1 - REMUNERAÇÃO ]]*SUMIFS(tabParametros[13º salário (titular)],tabParametros[Código do Posto],tabCustoUnit[[#This Row],[Código do Posto]])</f>
        <v>379.83924999999999</v>
      </c>
      <c r="Z229" s="21">
        <f>tabCustoUnit[[#This Row],[MODULO 1 - REMUNERAÇÃO ]]*SUMIFS(tabParametros[Férias e Adicional de Férias (titular)],tabParametros[Código do Posto],tabCustoUnit[[#This Row],[Código do Posto]])</f>
        <v>506.45233333333329</v>
      </c>
      <c r="AA229" s="21">
        <f>IFERROR((tabCustoUnit[[#This Row],[Submódulo 2.1]]/tabCustoUnit[[#This Row],[MODULO 1 - REMUNERAÇÃO ]])*SUM(tabCustoUnit[[#This Row],[13º salário (titular)]:[Férias e Adicional de Férias (titular)]]),0)</f>
        <v>335.01821850000005</v>
      </c>
      <c r="AB229" s="21">
        <f>SUM(tabCustoUnit[[#This Row],[13º salário (titular)]:[Incidência do Submódulo 2.1 sobre 13º Salário, Férias e Adicional de Férias]])</f>
        <v>1221.3098018333333</v>
      </c>
      <c r="AC229" s="22" t="e">
        <f ca="1">_xlfn.LET(_xlpm.VT,SUMIF(tabParametros[Código do Posto],tabCustoUnit[[#This Row],[Código do Posto]],tabParametros[Vale - Transporte])*2*20,
IF((_xlpm.VT-tabCustoUnit[[#This Row],[Salário Base]]*0.06)&gt;=0,(_xlpm.VT-tabCustoUnit[[#This Row],[Salário Base]]*0.06),0)
)</f>
        <v>#NAME?</v>
      </c>
      <c r="AD229" s="22">
        <f>IF(SUMIF(tabParametros[Código do Posto],tabCustoUnit[[#This Row],[Código do Posto]],tabParametros[Vale - Alimentação])&lt;=0,0,
SUMIF(tabParametros[Código do Posto],tabCustoUnit[[#This Row],[Código do Posto]],tabParametros[Vale - Alimentação])*20-1)</f>
        <v>578.4</v>
      </c>
      <c r="AE229" s="22">
        <f>SUMIF(tabParametros[Código do Posto],tabCustoUnit[[#This Row],[Código do Posto]],tabParametros[Cesta Básica])</f>
        <v>0</v>
      </c>
      <c r="AF229" s="22">
        <f>SUMIF(tabParametros[Código do Posto],tabCustoUnit[[#This Row],[Código do Posto]],tabParametros[PAF])</f>
        <v>18.350000000000001</v>
      </c>
      <c r="AG229" s="22">
        <f>SUMIF(tabParametros[Código do Posto],tabCustoUnit[[#This Row],[Código do Posto]],tabParametros[PQM])</f>
        <v>0</v>
      </c>
      <c r="AH229" s="22">
        <f>SUMIF(tabParametros[Código do Posto],tabCustoUnit[[#This Row],[Código do Posto]],tabParametros[Abono Único e Especial])</f>
        <v>0</v>
      </c>
      <c r="AI229" s="22">
        <f>SUMIF(tabParametros[Código do Posto],tabCustoUnit[[#This Row],[Código do Posto]],tabParametros[Seguro de Vida])</f>
        <v>3.36</v>
      </c>
      <c r="AJ229" s="22">
        <f>SUMIF(tabParametros[Código do Posto],tabCustoUnit[[#This Row],[Código do Posto]],tabParametros[Despesas de Viagem])</f>
        <v>662.42</v>
      </c>
      <c r="AK229" s="22" t="e">
        <f ca="1">SUM(tabCustoUnit[[#This Row],[Vale - Transporte (Descontada parcela do empregado)]:[Despesas de Viagem]])</f>
        <v>#NAME?</v>
      </c>
      <c r="AL229" s="22" t="e">
        <f ca="1">tabCustoUnit[[#This Row],[Submódulo 2.1]]+tabCustoUnit[[#This Row],[Submódulo 2.2]]+tabCustoUnit[[#This Row],[Submódulo 2.3]]</f>
        <v>#NAME?</v>
      </c>
      <c r="AM229" s="22">
        <f>SUMIF(tabParametros[Código do Posto],tabCustoUnit[[#This Row],[Código do Posto]],tabParametros[Aviso Prévio Indenizado (API) e Reflexo do Aviso Prévio Indenizado])*tabCustoUnit[[#This Row],[MODULO 1 - REMUNERAÇÃO ]]</f>
        <v>31.960131708912037</v>
      </c>
      <c r="AN229" s="22">
        <f>SUMIF(tabParametros[Código do Posto],tabCustoUnit[[#This Row],[Código do Posto]],tabParametros[Incidência do FGTS sobre API e Reflexo do API])*tabCustoUnit[[#This Row],[MODULO 1 - REMUNERAÇÃO ]]</f>
        <v>2.556810536712963</v>
      </c>
      <c r="AO229" s="22">
        <f>SUMIF(tabParametros[Código do Posto],tabCustoUnit[[#This Row],[Código do Posto]],tabParametros[Multa Rescisória do FGTS sobre o Aviso Prévio Indenizado])*tabCustoUnit[[#This Row],[MODULO 1 - REMUNERAÇÃO ]]</f>
        <v>1.0227242146851854</v>
      </c>
      <c r="AP229" s="22">
        <f>SUMIF(tabParametros[Código do Posto],tabCustoUnit[[#This Row],[Código do Posto]],tabParametros[Aviso Prévio Trabalhado - APT])*tabCustoUnit[[#This Row],[MODULO 1 - REMUNERAÇÃO ]]</f>
        <v>15.953248500000003</v>
      </c>
      <c r="AQ229" s="22">
        <f>SUMIF(tabParametros[Código do Posto],tabCustoUnit[[#This Row],[Código do Posto]],tabParametros[Incidência dos encargos do submódulo 2.1 sobre Aviso Prévio Trabalhado])*tabCustoUnit[[#This Row],[MODULO 1 - REMUNERAÇÃO ]]</f>
        <v>6.0303279330000015</v>
      </c>
      <c r="AR229" s="22">
        <f>SUMIF(tabParametros[Código do Posto],tabCustoUnit[[#This Row],[Código do Posto]],tabParametros[Multa Rescisória do FGTS])*tabCustoUnit[[#This Row],[MODULO 1 - REMUNERAÇÃO ]]</f>
        <v>139.3756821333333</v>
      </c>
      <c r="AS229" s="22">
        <f>SUMIF(tabParametros[Código do Posto],tabCustoUnit[[#This Row],[Código do Posto]],tabParametros[Indenização Adicional (Art. 9º da Lei nº 7.238/84)])*tabCustoUnit[[#This Row],[MODULO 1 - REMUNERAÇÃO ]]</f>
        <v>3.7983925000000003</v>
      </c>
      <c r="AT229" s="22">
        <f>SUM(tabCustoUnit[[#This Row],[Aviso Prévio Indenizado (API) e Reflexo do Aviso Prévio Indenizado]:[Indenização Adicional (Art. 9º da Lei nº 7.238/84)]])</f>
        <v>200.6973175266435</v>
      </c>
      <c r="AU229" s="22">
        <f>SUMIF(tabParametros[Código do Posto],tabCustoUnit[[#This Row],[Código do Posto]],tabParametros[Ausência por Doença])*tabCustoUnit[[#This Row],[MODULO 1 - REMUNERAÇÃO ]]</f>
        <v>38.490377333333328</v>
      </c>
      <c r="AV229" s="22">
        <f>SUMIF(tabParametros[Código do Posto],tabCustoUnit[[#This Row],[Código do Posto]],tabParametros[Ausências Legais])*tabCustoUnit[[#This Row],[MODULO 1 - REMUNERAÇÃO ]]</f>
        <v>9.2427550833333321</v>
      </c>
      <c r="AW229" s="22">
        <f>SUMIF(tabParametros[Código do Posto],tabCustoUnit[[#This Row],[Código do Posto]],tabParametros[Licença Paternidade])*tabCustoUnit[[#This Row],[MODULO 1 - REMUNERAÇÃO ]]</f>
        <v>0.77867046249999994</v>
      </c>
      <c r="AX229" s="22">
        <f>SUMIF(tabParametros[Código do Posto],tabCustoUnit[[#This Row],[Código do Posto]],tabParametros[Ausência por Acidente de Trabalho])*tabCustoUnit[[#This Row],[MODULO 1 - REMUNERAÇÃO ]]</f>
        <v>0.94959812500000007</v>
      </c>
      <c r="AY229" s="22">
        <f>SUMIF(tabParametros[Código do Posto],tabCustoUnit[[#This Row],[Código do Posto]],tabParametros[Férias, Adicional de Férias e 13º  com empregada em gozo de Licença Maternidade])*tabCustoUnit[[#This Row],[MODULO 1 - REMUNERAÇÃO ]]</f>
        <v>5.9086105555555557</v>
      </c>
      <c r="AZ229" s="22">
        <f>SUMIF(tabParametros[Código do Posto],tabCustoUnit[[#This Row],[Código do Posto]],tabParametros[Incidência do Submódulo 2.1 sobre Ausências Legais])*tabCustoUnit[[#This Row],[MODULO 1 - REMUNERAÇÃO ]]</f>
        <v>20.929864369575004</v>
      </c>
      <c r="BA229" s="22">
        <f>SUM(tabCustoUnit[[#This Row],[Ausência por Doença]:[Incidência do Submódulo 2.1 sobre Ausências Legais]])</f>
        <v>76.29987592929723</v>
      </c>
      <c r="BB229" s="22">
        <f>SUMIF(tabParametros[Código do Posto],tabCustoUnit[[#This Row],[Código do Posto]],tabParametros[Intervalo para Repouso ou Alimentação])</f>
        <v>0</v>
      </c>
      <c r="BC229" s="22">
        <f>tabCustoUnit[[#This Row],[Intervalo para Repouso ou Alimentação]]</f>
        <v>0</v>
      </c>
      <c r="BD22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29" s="22">
        <f>tabCustoUnit[[#This Row],[Suspensão Temporária do Contrato de Trabalho]]</f>
        <v>0</v>
      </c>
      <c r="BF229" s="22">
        <f>tabCustoUnit[[#This Row],[Submódulo 4.1]]+tabCustoUnit[[#This Row],[Submódulo 4.2]]+tabCustoUnit[[#This Row],[Submódulo 4.3]]</f>
        <v>76.29987592929723</v>
      </c>
      <c r="BG229" s="22">
        <f>VLOOKUP(tabCustoUnit[[#This Row],[Código do Posto]],tabParametros[],MATCH(tabCustoUnit[[#Headers],[Uniformes e EPIs]],tabParametros[#Headers],0),0)</f>
        <v>92.100763771570698</v>
      </c>
      <c r="BH229" s="22">
        <f>VLOOKUP(tabCustoUnit[[#This Row],[Código do Posto]],tabParametros[],MATCH(tabCustoUnit[[#Headers],[Materiais de Consumo]],tabParametros[#Headers],0),0)</f>
        <v>0</v>
      </c>
      <c r="BI229" s="22">
        <f>VLOOKUP(tabCustoUnit[[#This Row],[Código do Posto]],tabParametros[],MATCH(tabCustoUnit[[#Headers],[Máquinas e Equipamentos (depreciação)]],tabParametros[#Headers],0),0)</f>
        <v>0</v>
      </c>
      <c r="BJ229" s="22">
        <f>VLOOKUP(tabCustoUnit[[#This Row],[Código do Posto]],tabParametros[],MATCH(tabCustoUnit[[#Headers],[Produtos de Limpeza e Materiais de Higiene Pessoal]],tabParametros[#Headers],0),0)</f>
        <v>0</v>
      </c>
      <c r="BK229" s="22">
        <f>VLOOKUP(tabCustoUnit[[#This Row],[Código do Posto]],tabParametros[],MATCH(tabCustoUnit[[#Headers],[Outros (especificar)]],tabParametros[#Headers],0),0)</f>
        <v>0</v>
      </c>
      <c r="BL229" s="22">
        <f>SUM(tabCustoUnit[[#This Row],[Uniformes e EPIs]:[Outros (especificar)]])</f>
        <v>92.100763771570698</v>
      </c>
      <c r="BM22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29" s="22" t="e">
        <f ca="1">VLOOKUP(tabCustoUnit[[#This Row],[Código do Posto]],tabParametros[],MATCH(tabCustoUnit[[#Headers],[Custos Indiretos]],tabParametros[#Headers],0),0)</f>
        <v>#NAME?</v>
      </c>
      <c r="BO229" s="22" t="e">
        <f ca="1">VLOOKUP(tabCustoUnit[[#This Row],[Código do Posto]],tabParametros[],MATCH(tabCustoUnit[[#Headers],[Lucro]],tabParametros[#Headers],0),0)</f>
        <v>#NAME?</v>
      </c>
      <c r="BP229" s="26">
        <f>((100/((1-tabCustoUnit[[#This Row],[Resumo de Alíquotas (PIS+CONFINS+ISS)]]))-100)*VLOOKUP(tabCustoUnit[[#This Row],[Código do Posto]],tabParametros[],MATCH(tabCustoUnit[[#Headers],[COFINS]],tabParametros[#Headers],0),0))/(tabCustoUnit[[#This Row],[Resumo de Alíquotas (PIS+CONFINS+ISS)]]*100)</f>
        <v>8.6609686609686695E-2</v>
      </c>
      <c r="BQ229" s="26">
        <f>((100/((100-(tabCustoUnit[[#This Row],[Resumo de Alíquotas (PIS+CONFINS+ISS)]]*100))%)-100)*VLOOKUP(tabCustoUnit[[#This Row],[Código do Posto]],tabParametros[],MATCH(tabCustoUnit[[#Headers],[PIS]],tabParametros[#Headers],0),0))/(tabCustoUnit[[#This Row],[Resumo de Alíquotas (PIS+CONFINS+ISS)]]*100)</f>
        <v>1.880341880341882E-2</v>
      </c>
      <c r="BR229" s="28">
        <f>VLOOKUP(tabCustoUnit[[#This Row],[Código do Posto]],tabParametros[],MATCH(tabCustoUnit[[#Headers],[ISS]],tabParametros[#Headers],0),0)</f>
        <v>0.03</v>
      </c>
      <c r="BS229" s="26">
        <f>(((100/((100-(tabCustoUnit[[#This Row],[Resumo de Alíquotas (PIS+CONFINS+ISS)]]*100))%)-100)*tabCustoUnit[[#This Row],[ISS]])/tabCustoUnit[[#This Row],[Resumo de Alíquotas (PIS+CONFINS+ISS)]])/100</f>
        <v>3.4188034188034219E-2</v>
      </c>
      <c r="BT22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9" s="138">
        <f>tabCustoUnit[[#This Row],[COFINS]]+tabCustoUnit[[#This Row],[PIS]]+tabCustoUnit[[#This Row],[ISS (Conversão Alíquota s/ fatura)]]</f>
        <v>0.13960113960113973</v>
      </c>
      <c r="BV229" s="22" t="e">
        <f ca="1">(tabCustoUnit[[#This Row],[TOTAL MÓDULOS 1+2+3+4+5]]+tabCustoUnit[[#This Row],[Custos Indiretos]]+tabCustoUnit[[#This Row],[Lucro]])*tabCustoUnit[[#This Row],[PIS + COFINS + ISS (Total Conversão  Alíquota s/ Fatura)]]</f>
        <v>#NAME?</v>
      </c>
      <c r="BW229" s="22" t="e">
        <f ca="1">tabCustoUnit[[#This Row],[Custos Indiretos]]+tabCustoUnit[[#This Row],[Lucro]]+tabCustoUnit[[#This Row],[Valor dos Tributos (ISS, PIS, CONFINS)]]</f>
        <v>#NAME?</v>
      </c>
      <c r="BX229" s="22" t="e">
        <f ca="1">tabCustoUnit[[#This Row],[TOTAL MÓDULOS 1+2+3+4+5]]+tabCustoUnit[[#This Row],[MÓDULO 6 – CUSTOS INDIRETOS, TRIBUTOS E LUCRO]]</f>
        <v>#NAME?</v>
      </c>
      <c r="BY229" s="22" t="e">
        <f ca="1">tabCustoUnit[[#This Row],[CUSTO TOTAL MENSAL]]*12</f>
        <v>#NAME?</v>
      </c>
      <c r="BZ229" s="24">
        <f>VLOOKUP(tabCustoUnit[[#This Row],[Código do Posto]],tabParametros[],MATCH(tabCustoUnit[[#Headers],[ANO DA CCT]],tabParametros[#Headers],0),0)</f>
        <v>45658</v>
      </c>
      <c r="CA229" s="25" t="str">
        <f>VLOOKUP(tabCustoUnit[[#This Row],[Código do Posto]],tabParametros[],MATCH(tabCustoUnit[[#Headers],[Nº DE PEDIDO DA CCT]],tabParametros[#Headers],0),0)</f>
        <v>-</v>
      </c>
      <c r="CB229" s="25" t="str">
        <f>VLOOKUP(tabCustoUnit[[#This Row],[Código do Posto]],tabParametros[],MATCH(tabCustoUnit[[#Headers],[TERMO ADITIVO ALTERAÇÃO DA CCT]],tabParametros[#Headers],0),0)</f>
        <v>-</v>
      </c>
    </row>
    <row r="230" spans="1:80">
      <c r="A230" s="20" t="s">
        <v>1659</v>
      </c>
      <c r="B230" t="s">
        <v>1172</v>
      </c>
      <c r="C230" t="s">
        <v>304</v>
      </c>
      <c r="D230" t="s">
        <v>1058</v>
      </c>
      <c r="E230" s="20" t="s">
        <v>1090</v>
      </c>
      <c r="F230" s="20" t="s">
        <v>120</v>
      </c>
      <c r="G230" s="418">
        <v>2134.8035</v>
      </c>
      <c r="H230" s="418">
        <v>0</v>
      </c>
      <c r="I230" s="418">
        <v>0</v>
      </c>
      <c r="J230" s="418">
        <v>0</v>
      </c>
      <c r="K230" s="418">
        <v>0</v>
      </c>
      <c r="L230" s="418">
        <v>0</v>
      </c>
      <c r="M230" s="418">
        <v>0</v>
      </c>
      <c r="N230" s="418">
        <v>0</v>
      </c>
      <c r="O230" s="21">
        <f>SUM(tabCustoUnit[[#This Row],[Salário Base]:[Adicional de Acúmulo de função]])</f>
        <v>2134.8035</v>
      </c>
      <c r="P230" s="21">
        <f>tabCustoUnit[[#This Row],[MODULO 1 - REMUNERAÇÃO ]]*SUMIFS(tabParametros[INSS],tabParametros[Código do Posto],tabCustoUnit[[#This Row],[Código do Posto]])</f>
        <v>426.96070000000003</v>
      </c>
      <c r="Q230" s="21">
        <f>tabCustoUnit[[#This Row],[MODULO 1 - REMUNERAÇÃO ]]*SUMIFS(tabParametros[SESI OU SESC],tabParametros[Código do Posto],tabCustoUnit[[#This Row],[Código do Posto]])</f>
        <v>32.022052500000001</v>
      </c>
      <c r="R230" s="21">
        <f>tabCustoUnit[[#This Row],[MODULO 1 - REMUNERAÇÃO ]]*SUMIFS(tabParametros[SENAI OU SENAC],tabParametros[Código do Posto],tabCustoUnit[[#This Row],[Código do Posto]])</f>
        <v>21.348034999999999</v>
      </c>
      <c r="S230" s="21">
        <f>tabCustoUnit[[#This Row],[MODULO 1 - REMUNERAÇÃO ]]*SUMIFS(tabParametros[INCRA],tabParametros[Código do Posto],tabCustoUnit[[#This Row],[Código do Posto]])</f>
        <v>4.2696069999999997</v>
      </c>
      <c r="T230" s="21">
        <f>tabCustoUnit[[#This Row],[MODULO 1 - REMUNERAÇÃO ]]*SUMIFS(tabParametros[Salário Educação],tabParametros[Código do Posto],tabCustoUnit[[#This Row],[Código do Posto]])</f>
        <v>53.370087500000004</v>
      </c>
      <c r="U230" s="21">
        <f>tabCustoUnit[[#This Row],[MODULO 1 - REMUNERAÇÃO ]]*SUMIFS(tabParametros[FGTS],tabParametros[Código do Posto],tabCustoUnit[[#This Row],[Código do Posto]])</f>
        <v>170.78428</v>
      </c>
      <c r="V230" s="21">
        <f>tabCustoUnit[[#This Row],[MODULO 1 - REMUNERAÇÃO ]]*SUMIFS(tabParametros[RAT Ajustado],tabParametros[Código do Posto],tabCustoUnit[[#This Row],[Código do Posto]])</f>
        <v>85.392139999999998</v>
      </c>
      <c r="W230" s="21">
        <f>tabCustoUnit[[#This Row],[MODULO 1 - REMUNERAÇÃO ]]*SUMIFS(tabParametros[SEBRAE],tabParametros[Código do Posto],tabCustoUnit[[#This Row],[Código do Posto]])</f>
        <v>12.808821</v>
      </c>
      <c r="X230" s="21">
        <f>SUM(tabCustoUnit[[#This Row],[INSS]:[SEBRAE]])</f>
        <v>806.95572300000003</v>
      </c>
      <c r="Y230" s="21">
        <f>tabCustoUnit[[#This Row],[MODULO 1 - REMUNERAÇÃO ]]*SUMIFS(tabParametros[13º salário (titular)],tabParametros[Código do Posto],tabCustoUnit[[#This Row],[Código do Posto]])</f>
        <v>177.90029166666665</v>
      </c>
      <c r="Z230" s="21">
        <f>tabCustoUnit[[#This Row],[MODULO 1 - REMUNERAÇÃO ]]*SUMIFS(tabParametros[Férias e Adicional de Férias (titular)],tabParametros[Código do Posto],tabCustoUnit[[#This Row],[Código do Posto]])</f>
        <v>237.20038888888888</v>
      </c>
      <c r="AA230" s="21">
        <f>IFERROR((tabCustoUnit[[#This Row],[Submódulo 2.1]]/tabCustoUnit[[#This Row],[MODULO 1 - REMUNERAÇÃO ]])*SUM(tabCustoUnit[[#This Row],[13º salário (titular)]:[Férias e Adicional de Férias (titular)]]),0)</f>
        <v>156.90805724999998</v>
      </c>
      <c r="AB230" s="21">
        <f>SUM(tabCustoUnit[[#This Row],[13º salário (titular)]:[Incidência do Submódulo 2.1 sobre 13º Salário, Férias e Adicional de Férias]])</f>
        <v>572.00873780555548</v>
      </c>
      <c r="AC230" s="22" t="e">
        <f ca="1">_xlfn.LET(_xlpm.VT,SUMIF(tabParametros[Código do Posto],tabCustoUnit[[#This Row],[Código do Posto]],tabParametros[Vale - Transporte])*2*20,
IF((_xlpm.VT-tabCustoUnit[[#This Row],[Salário Base]]*0.06)&gt;=0,(_xlpm.VT-tabCustoUnit[[#This Row],[Salário Base]]*0.06),0)
)</f>
        <v>#NAME?</v>
      </c>
      <c r="AD230" s="22">
        <f>IF(SUMIF(tabParametros[Código do Posto],tabCustoUnit[[#This Row],[Código do Posto]],tabParametros[Vale - Alimentação])&lt;=0,0,
SUMIF(tabParametros[Código do Posto],tabCustoUnit[[#This Row],[Código do Posto]],tabParametros[Vale - Alimentação])*20-1)</f>
        <v>582</v>
      </c>
      <c r="AE230" s="22">
        <f>SUMIF(tabParametros[Código do Posto],tabCustoUnit[[#This Row],[Código do Posto]],tabParametros[Cesta Básica])</f>
        <v>0</v>
      </c>
      <c r="AF230" s="22">
        <f>SUMIF(tabParametros[Código do Posto],tabCustoUnit[[#This Row],[Código do Posto]],tabParametros[PAF])</f>
        <v>77.25</v>
      </c>
      <c r="AG230" s="22">
        <f>SUMIF(tabParametros[Código do Posto],tabCustoUnit[[#This Row],[Código do Posto]],tabParametros[PQM])</f>
        <v>0</v>
      </c>
      <c r="AH230" s="22">
        <f>SUMIF(tabParametros[Código do Posto],tabCustoUnit[[#This Row],[Código do Posto]],tabParametros[Abono Único e Especial])</f>
        <v>0</v>
      </c>
      <c r="AI230" s="22">
        <f>SUMIF(tabParametros[Código do Posto],tabCustoUnit[[#This Row],[Código do Posto]],tabParametros[Seguro de Vida])</f>
        <v>3.36</v>
      </c>
      <c r="AJ230" s="22">
        <f>SUMIF(tabParametros[Código do Posto],tabCustoUnit[[#This Row],[Código do Posto]],tabParametros[Despesas de Viagem])</f>
        <v>0</v>
      </c>
      <c r="AK230" s="22" t="e">
        <f ca="1">SUM(tabCustoUnit[[#This Row],[Vale - Transporte (Descontada parcela do empregado)]:[Despesas de Viagem]])</f>
        <v>#NAME?</v>
      </c>
      <c r="AL230" s="22" t="e">
        <f ca="1">tabCustoUnit[[#This Row],[Submódulo 2.1]]+tabCustoUnit[[#This Row],[Submódulo 2.2]]+tabCustoUnit[[#This Row],[Submódulo 2.3]]</f>
        <v>#NAME?</v>
      </c>
      <c r="AM230" s="22">
        <f>SUMIF(tabParametros[Código do Posto],tabCustoUnit[[#This Row],[Código do Posto]],tabParametros[Aviso Prévio Indenizado (API) e Reflexo do Aviso Prévio Indenizado])*tabCustoUnit[[#This Row],[MODULO 1 - REMUNERAÇÃO ]]</f>
        <v>14.968744680073302</v>
      </c>
      <c r="AN230" s="22">
        <f>SUMIF(tabParametros[Código do Posto],tabCustoUnit[[#This Row],[Código do Posto]],tabParametros[Incidência do FGTS sobre API e Reflexo do API])*tabCustoUnit[[#This Row],[MODULO 1 - REMUNERAÇÃO ]]</f>
        <v>1.1974995744058643</v>
      </c>
      <c r="AO230" s="22">
        <f>SUMIF(tabParametros[Código do Posto],tabCustoUnit[[#This Row],[Código do Posto]],tabParametros[Multa Rescisória do FGTS sobre o Aviso Prévio Indenizado])*tabCustoUnit[[#This Row],[MODULO 1 - REMUNERAÇÃO ]]</f>
        <v>0.47899982976234579</v>
      </c>
      <c r="AP230" s="22">
        <f>SUMIF(tabParametros[Código do Posto],tabCustoUnit[[#This Row],[Código do Posto]],tabParametros[Aviso Prévio Trabalhado - APT])*tabCustoUnit[[#This Row],[MODULO 1 - REMUNERAÇÃO ]]</f>
        <v>7.471812250000001</v>
      </c>
      <c r="AQ230" s="22">
        <f>SUMIF(tabParametros[Código do Posto],tabCustoUnit[[#This Row],[Código do Posto]],tabParametros[Incidência dos encargos do submódulo 2.1 sobre Aviso Prévio Trabalhado])*tabCustoUnit[[#This Row],[MODULO 1 - REMUNERAÇÃO ]]</f>
        <v>2.8243450305000009</v>
      </c>
      <c r="AR230" s="22">
        <f>SUMIF(tabParametros[Código do Posto],tabCustoUnit[[#This Row],[Código do Posto]],tabParametros[Multa Rescisória do FGTS])*tabCustoUnit[[#This Row],[MODULO 1 - REMUNERAÇÃO ]]</f>
        <v>65.277547022222208</v>
      </c>
      <c r="AS230" s="22">
        <f>SUMIF(tabParametros[Código do Posto],tabCustoUnit[[#This Row],[Código do Posto]],tabParametros[Indenização Adicional (Art. 9º da Lei nº 7.238/84)])*tabCustoUnit[[#This Row],[MODULO 1 - REMUNERAÇÃO ]]</f>
        <v>1.7790029166666668</v>
      </c>
      <c r="AT230" s="22">
        <f>SUM(tabCustoUnit[[#This Row],[Aviso Prévio Indenizado (API) e Reflexo do Aviso Prévio Indenizado]:[Indenização Adicional (Art. 9º da Lei nº 7.238/84)]])</f>
        <v>93.997951303630387</v>
      </c>
      <c r="AU230" s="22">
        <f>SUMIF(tabParametros[Código do Posto],tabCustoUnit[[#This Row],[Código do Posto]],tabParametros[Ausência por Doença])*tabCustoUnit[[#This Row],[MODULO 1 - REMUNERAÇÃO ]]</f>
        <v>18.027229555555554</v>
      </c>
      <c r="AV230" s="22">
        <f>SUMIF(tabParametros[Código do Posto],tabCustoUnit[[#This Row],[Código do Posto]],tabParametros[Ausências Legais])*tabCustoUnit[[#This Row],[MODULO 1 - REMUNERAÇÃO ]]</f>
        <v>4.3289070972222223</v>
      </c>
      <c r="AW230" s="22">
        <f>SUMIF(tabParametros[Código do Posto],tabCustoUnit[[#This Row],[Código do Posto]],tabParametros[Licença Paternidade])*tabCustoUnit[[#This Row],[MODULO 1 - REMUNERAÇÃO ]]</f>
        <v>0.36469559791666667</v>
      </c>
      <c r="AX230" s="22">
        <f>SUMIF(tabParametros[Código do Posto],tabCustoUnit[[#This Row],[Código do Posto]],tabParametros[Ausência por Acidente de Trabalho])*tabCustoUnit[[#This Row],[MODULO 1 - REMUNERAÇÃO ]]</f>
        <v>0.44475072916666669</v>
      </c>
      <c r="AY230" s="22">
        <f>SUMIF(tabParametros[Código do Posto],tabCustoUnit[[#This Row],[Código do Posto]],tabParametros[Férias, Adicional de Férias e 13º  com empregada em gozo de Licença Maternidade])*tabCustoUnit[[#This Row],[MODULO 1 - REMUNERAÇÃO ]]</f>
        <v>2.7673378703703704</v>
      </c>
      <c r="AZ230" s="22">
        <f>SUMIF(tabParametros[Código do Posto],tabCustoUnit[[#This Row],[Código do Posto]],tabParametros[Incidência do Submódulo 2.1 sobre Ausências Legais])*tabCustoUnit[[#This Row],[MODULO 1 - REMUNERAÇÃO ]]</f>
        <v>9.802644081387502</v>
      </c>
      <c r="BA230" s="22">
        <f>SUM(tabCustoUnit[[#This Row],[Ausência por Doença]:[Incidência do Submódulo 2.1 sobre Ausências Legais]])</f>
        <v>35.735564931618981</v>
      </c>
      <c r="BB230" s="22">
        <f>SUMIF(tabParametros[Código do Posto],tabCustoUnit[[#This Row],[Código do Posto]],tabParametros[Intervalo para Repouso ou Alimentação])</f>
        <v>236.35324352825916</v>
      </c>
      <c r="BC230" s="22">
        <f>tabCustoUnit[[#This Row],[Intervalo para Repouso ou Alimentação]]</f>
        <v>236.35324352825916</v>
      </c>
      <c r="BD23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0" s="22">
        <f>tabCustoUnit[[#This Row],[Suspensão Temporária do Contrato de Trabalho]]</f>
        <v>0</v>
      </c>
      <c r="BF230" s="22">
        <f>tabCustoUnit[[#This Row],[Submódulo 4.1]]+tabCustoUnit[[#This Row],[Submódulo 4.2]]+tabCustoUnit[[#This Row],[Submódulo 4.3]]</f>
        <v>272.08880845987812</v>
      </c>
      <c r="BG230" s="22">
        <f>VLOOKUP(tabCustoUnit[[#This Row],[Código do Posto]],tabParametros[],MATCH(tabCustoUnit[[#Headers],[Uniformes e EPIs]],tabParametros[#Headers],0),0)</f>
        <v>56.642978962543395</v>
      </c>
      <c r="BH230" s="22">
        <f>VLOOKUP(tabCustoUnit[[#This Row],[Código do Posto]],tabParametros[],MATCH(tabCustoUnit[[#Headers],[Materiais de Consumo]],tabParametros[#Headers],0),0)</f>
        <v>0</v>
      </c>
      <c r="BI230" s="22">
        <f>VLOOKUP(tabCustoUnit[[#This Row],[Código do Posto]],tabParametros[],MATCH(tabCustoUnit[[#Headers],[Máquinas e Equipamentos (depreciação)]],tabParametros[#Headers],0),0)</f>
        <v>0</v>
      </c>
      <c r="BJ230" s="22">
        <f>VLOOKUP(tabCustoUnit[[#This Row],[Código do Posto]],tabParametros[],MATCH(tabCustoUnit[[#Headers],[Produtos de Limpeza e Materiais de Higiene Pessoal]],tabParametros[#Headers],0),0)</f>
        <v>0</v>
      </c>
      <c r="BK230" s="22">
        <f>VLOOKUP(tabCustoUnit[[#This Row],[Código do Posto]],tabParametros[],MATCH(tabCustoUnit[[#Headers],[Outros (especificar)]],tabParametros[#Headers],0),0)</f>
        <v>0</v>
      </c>
      <c r="BL230" s="22">
        <f>SUM(tabCustoUnit[[#This Row],[Uniformes e EPIs]:[Outros (especificar)]])</f>
        <v>56.642978962543395</v>
      </c>
      <c r="BM23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0" s="22" t="e">
        <f ca="1">VLOOKUP(tabCustoUnit[[#This Row],[Código do Posto]],tabParametros[],MATCH(tabCustoUnit[[#Headers],[Custos Indiretos]],tabParametros[#Headers],0),0)</f>
        <v>#NAME?</v>
      </c>
      <c r="BO230" s="22" t="e">
        <f ca="1">VLOOKUP(tabCustoUnit[[#This Row],[Código do Posto]],tabParametros[],MATCH(tabCustoUnit[[#Headers],[Lucro]],tabParametros[#Headers],0),0)</f>
        <v>#NAME?</v>
      </c>
      <c r="BP230" s="26">
        <f>((100/((1-tabCustoUnit[[#This Row],[Resumo de Alíquotas (PIS+CONFINS+ISS)]]))-100)*VLOOKUP(tabCustoUnit[[#This Row],[Código do Posto]],tabParametros[],MATCH(tabCustoUnit[[#Headers],[COFINS]],tabParametros[#Headers],0),0))/(tabCustoUnit[[#This Row],[Resumo de Alíquotas (PIS+CONFINS+ISS)]]*100)</f>
        <v>8.6609686609686695E-2</v>
      </c>
      <c r="BQ230" s="26">
        <f>((100/((100-(tabCustoUnit[[#This Row],[Resumo de Alíquotas (PIS+CONFINS+ISS)]]*100))%)-100)*VLOOKUP(tabCustoUnit[[#This Row],[Código do Posto]],tabParametros[],MATCH(tabCustoUnit[[#Headers],[PIS]],tabParametros[#Headers],0),0))/(tabCustoUnit[[#This Row],[Resumo de Alíquotas (PIS+CONFINS+ISS)]]*100)</f>
        <v>1.880341880341882E-2</v>
      </c>
      <c r="BR230" s="28">
        <f>VLOOKUP(tabCustoUnit[[#This Row],[Código do Posto]],tabParametros[],MATCH(tabCustoUnit[[#Headers],[ISS]],tabParametros[#Headers],0),0)</f>
        <v>0.03</v>
      </c>
      <c r="BS230" s="26">
        <f>(((100/((100-(tabCustoUnit[[#This Row],[Resumo de Alíquotas (PIS+CONFINS+ISS)]]*100))%)-100)*tabCustoUnit[[#This Row],[ISS]])/tabCustoUnit[[#This Row],[Resumo de Alíquotas (PIS+CONFINS+ISS)]])/100</f>
        <v>3.4188034188034219E-2</v>
      </c>
      <c r="BT23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0" s="138">
        <f>tabCustoUnit[[#This Row],[COFINS]]+tabCustoUnit[[#This Row],[PIS]]+tabCustoUnit[[#This Row],[ISS (Conversão Alíquota s/ fatura)]]</f>
        <v>0.13960113960113973</v>
      </c>
      <c r="BV230" s="22" t="e">
        <f ca="1">(tabCustoUnit[[#This Row],[TOTAL MÓDULOS 1+2+3+4+5]]+tabCustoUnit[[#This Row],[Custos Indiretos]]+tabCustoUnit[[#This Row],[Lucro]])*tabCustoUnit[[#This Row],[PIS + COFINS + ISS (Total Conversão  Alíquota s/ Fatura)]]</f>
        <v>#NAME?</v>
      </c>
      <c r="BW230" s="22" t="e">
        <f ca="1">tabCustoUnit[[#This Row],[Custos Indiretos]]+tabCustoUnit[[#This Row],[Lucro]]+tabCustoUnit[[#This Row],[Valor dos Tributos (ISS, PIS, CONFINS)]]</f>
        <v>#NAME?</v>
      </c>
      <c r="BX230" s="22" t="e">
        <f ca="1">tabCustoUnit[[#This Row],[TOTAL MÓDULOS 1+2+3+4+5]]+tabCustoUnit[[#This Row],[MÓDULO 6 – CUSTOS INDIRETOS, TRIBUTOS E LUCRO]]</f>
        <v>#NAME?</v>
      </c>
      <c r="BY230" s="22" t="e">
        <f ca="1">tabCustoUnit[[#This Row],[CUSTO TOTAL MENSAL]]*12</f>
        <v>#NAME?</v>
      </c>
      <c r="BZ230" s="24">
        <f>VLOOKUP(tabCustoUnit[[#This Row],[Código do Posto]],tabParametros[],MATCH(tabCustoUnit[[#Headers],[ANO DA CCT]],tabParametros[#Headers],0),0)</f>
        <v>45658</v>
      </c>
      <c r="CA230" s="25" t="str">
        <f>VLOOKUP(tabCustoUnit[[#This Row],[Código do Posto]],tabParametros[],MATCH(tabCustoUnit[[#Headers],[Nº DE PEDIDO DA CCT]],tabParametros[#Headers],0),0)</f>
        <v>-</v>
      </c>
      <c r="CB230" s="25" t="str">
        <f>VLOOKUP(tabCustoUnit[[#This Row],[Código do Posto]],tabParametros[],MATCH(tabCustoUnit[[#Headers],[TERMO ADITIVO ALTERAÇÃO DA CCT]],tabParametros[#Headers],0),0)</f>
        <v>-</v>
      </c>
    </row>
    <row r="231" spans="1:80">
      <c r="A231" s="20" t="s">
        <v>1496</v>
      </c>
      <c r="B231" t="s">
        <v>1172</v>
      </c>
      <c r="C231" t="s">
        <v>309</v>
      </c>
      <c r="D231" t="s">
        <v>1058</v>
      </c>
      <c r="E231" s="20" t="s">
        <v>1090</v>
      </c>
      <c r="F231" s="20" t="s">
        <v>120</v>
      </c>
      <c r="G231" s="418">
        <v>2134.8035</v>
      </c>
      <c r="H231" s="418">
        <v>0</v>
      </c>
      <c r="I231" s="418">
        <v>0</v>
      </c>
      <c r="J231" s="418">
        <v>430.16289999999998</v>
      </c>
      <c r="K231" s="418">
        <v>0</v>
      </c>
      <c r="L231" s="418">
        <v>0</v>
      </c>
      <c r="M231" s="418">
        <v>0</v>
      </c>
      <c r="N231" s="418">
        <v>0</v>
      </c>
      <c r="O231" s="21">
        <f>SUM(tabCustoUnit[[#This Row],[Salário Base]:[Adicional de Acúmulo de função]])</f>
        <v>2564.9663999999998</v>
      </c>
      <c r="P231" s="21">
        <f>tabCustoUnit[[#This Row],[MODULO 1 - REMUNERAÇÃO ]]*SUMIFS(tabParametros[INSS],tabParametros[Código do Posto],tabCustoUnit[[#This Row],[Código do Posto]])</f>
        <v>512.99328000000003</v>
      </c>
      <c r="Q231" s="21">
        <f>tabCustoUnit[[#This Row],[MODULO 1 - REMUNERAÇÃO ]]*SUMIFS(tabParametros[SESI OU SESC],tabParametros[Código do Posto],tabCustoUnit[[#This Row],[Código do Posto]])</f>
        <v>38.474495999999995</v>
      </c>
      <c r="R231" s="21">
        <f>tabCustoUnit[[#This Row],[MODULO 1 - REMUNERAÇÃO ]]*SUMIFS(tabParametros[SENAI OU SENAC],tabParametros[Código do Posto],tabCustoUnit[[#This Row],[Código do Posto]])</f>
        <v>25.649663999999998</v>
      </c>
      <c r="S231" s="21">
        <f>tabCustoUnit[[#This Row],[MODULO 1 - REMUNERAÇÃO ]]*SUMIFS(tabParametros[INCRA],tabParametros[Código do Posto],tabCustoUnit[[#This Row],[Código do Posto]])</f>
        <v>5.1299327999999997</v>
      </c>
      <c r="T231" s="21">
        <f>tabCustoUnit[[#This Row],[MODULO 1 - REMUNERAÇÃO ]]*SUMIFS(tabParametros[Salário Educação],tabParametros[Código do Posto],tabCustoUnit[[#This Row],[Código do Posto]])</f>
        <v>64.124160000000003</v>
      </c>
      <c r="U231" s="21">
        <f>tabCustoUnit[[#This Row],[MODULO 1 - REMUNERAÇÃO ]]*SUMIFS(tabParametros[FGTS],tabParametros[Código do Posto],tabCustoUnit[[#This Row],[Código do Posto]])</f>
        <v>205.19731199999998</v>
      </c>
      <c r="V231" s="21">
        <f>tabCustoUnit[[#This Row],[MODULO 1 - REMUNERAÇÃO ]]*SUMIFS(tabParametros[RAT Ajustado],tabParametros[Código do Posto],tabCustoUnit[[#This Row],[Código do Posto]])</f>
        <v>102.59865599999999</v>
      </c>
      <c r="W231" s="21">
        <f>tabCustoUnit[[#This Row],[MODULO 1 - REMUNERAÇÃO ]]*SUMIFS(tabParametros[SEBRAE],tabParametros[Código do Posto],tabCustoUnit[[#This Row],[Código do Posto]])</f>
        <v>15.389798399999998</v>
      </c>
      <c r="X231" s="21">
        <f>SUM(tabCustoUnit[[#This Row],[INSS]:[SEBRAE]])</f>
        <v>969.5572992000001</v>
      </c>
      <c r="Y231" s="21">
        <f>tabCustoUnit[[#This Row],[MODULO 1 - REMUNERAÇÃO ]]*SUMIFS(tabParametros[13º salário (titular)],tabParametros[Código do Posto],tabCustoUnit[[#This Row],[Código do Posto]])</f>
        <v>213.74719999999996</v>
      </c>
      <c r="Z231" s="21">
        <f>tabCustoUnit[[#This Row],[MODULO 1 - REMUNERAÇÃO ]]*SUMIFS(tabParametros[Férias e Adicional de Férias (titular)],tabParametros[Código do Posto],tabCustoUnit[[#This Row],[Código do Posto]])</f>
        <v>284.9962666666666</v>
      </c>
      <c r="AA231" s="21">
        <f>IFERROR((tabCustoUnit[[#This Row],[Submódulo 2.1]]/tabCustoUnit[[#This Row],[MODULO 1 - REMUNERAÇÃO ]])*SUM(tabCustoUnit[[#This Row],[13º salário (titular)]:[Férias e Adicional de Férias (titular)]]),0)</f>
        <v>188.52503039999999</v>
      </c>
      <c r="AB231" s="21">
        <f>SUM(tabCustoUnit[[#This Row],[13º salário (titular)]:[Incidência do Submódulo 2.1 sobre 13º Salário, Férias e Adicional de Férias]])</f>
        <v>687.26849706666655</v>
      </c>
      <c r="AC231" s="22" t="e">
        <f ca="1">_xlfn.LET(_xlpm.VT,SUMIF(tabParametros[Código do Posto],tabCustoUnit[[#This Row],[Código do Posto]],tabParametros[Vale - Transporte])*2*20,
IF((_xlpm.VT-tabCustoUnit[[#This Row],[Salário Base]]*0.06)&gt;=0,(_xlpm.VT-tabCustoUnit[[#This Row],[Salário Base]]*0.06),0)
)</f>
        <v>#NAME?</v>
      </c>
      <c r="AD231" s="22">
        <f>IF(SUMIF(tabParametros[Código do Posto],tabCustoUnit[[#This Row],[Código do Posto]],tabParametros[Vale - Alimentação])&lt;=0,0,
SUMIF(tabParametros[Código do Posto],tabCustoUnit[[#This Row],[Código do Posto]],tabParametros[Vale - Alimentação])*20-1)</f>
        <v>582</v>
      </c>
      <c r="AE231" s="22">
        <f>SUMIF(tabParametros[Código do Posto],tabCustoUnit[[#This Row],[Código do Posto]],tabParametros[Cesta Básica])</f>
        <v>0</v>
      </c>
      <c r="AF231" s="22">
        <f>SUMIF(tabParametros[Código do Posto],tabCustoUnit[[#This Row],[Código do Posto]],tabParametros[PAF])</f>
        <v>77.25</v>
      </c>
      <c r="AG231" s="22">
        <f>SUMIF(tabParametros[Código do Posto],tabCustoUnit[[#This Row],[Código do Posto]],tabParametros[PQM])</f>
        <v>0</v>
      </c>
      <c r="AH231" s="22">
        <f>SUMIF(tabParametros[Código do Posto],tabCustoUnit[[#This Row],[Código do Posto]],tabParametros[Abono Único e Especial])</f>
        <v>0</v>
      </c>
      <c r="AI231" s="22">
        <f>SUMIF(tabParametros[Código do Posto],tabCustoUnit[[#This Row],[Código do Posto]],tabParametros[Seguro de Vida])</f>
        <v>3.36</v>
      </c>
      <c r="AJ231" s="22">
        <f>SUMIF(tabParametros[Código do Posto],tabCustoUnit[[#This Row],[Código do Posto]],tabParametros[Despesas de Viagem])</f>
        <v>0</v>
      </c>
      <c r="AK231" s="22" t="e">
        <f ca="1">SUM(tabCustoUnit[[#This Row],[Vale - Transporte (Descontada parcela do empregado)]:[Despesas de Viagem]])</f>
        <v>#NAME?</v>
      </c>
      <c r="AL231" s="22" t="e">
        <f ca="1">tabCustoUnit[[#This Row],[Submódulo 2.1]]+tabCustoUnit[[#This Row],[Submódulo 2.2]]+tabCustoUnit[[#This Row],[Submódulo 2.3]]</f>
        <v>#NAME?</v>
      </c>
      <c r="AM231" s="22">
        <f>SUMIF(tabParametros[Código do Posto],tabCustoUnit[[#This Row],[Código do Posto]],tabParametros[Aviso Prévio Indenizado (API) e Reflexo do Aviso Prévio Indenizado])*tabCustoUnit[[#This Row],[MODULO 1 - REMUNERAÇÃO ]]</f>
        <v>17.984946696296294</v>
      </c>
      <c r="AN231" s="22">
        <f>SUMIF(tabParametros[Código do Posto],tabCustoUnit[[#This Row],[Código do Posto]],tabParametros[Incidência do FGTS sobre API e Reflexo do API])*tabCustoUnit[[#This Row],[MODULO 1 - REMUNERAÇÃO ]]</f>
        <v>1.4387957357037038</v>
      </c>
      <c r="AO231" s="22">
        <f>SUMIF(tabParametros[Código do Posto],tabCustoUnit[[#This Row],[Código do Posto]],tabParametros[Multa Rescisória do FGTS sobre o Aviso Prévio Indenizado])*tabCustoUnit[[#This Row],[MODULO 1 - REMUNERAÇÃO ]]</f>
        <v>0.57551829428148149</v>
      </c>
      <c r="AP231" s="22">
        <f>SUMIF(tabParametros[Código do Posto],tabCustoUnit[[#This Row],[Código do Posto]],tabParametros[Aviso Prévio Trabalhado - APT])*tabCustoUnit[[#This Row],[MODULO 1 - REMUNERAÇÃO ]]</f>
        <v>8.9773823999999998</v>
      </c>
      <c r="AQ231" s="22">
        <f>SUMIF(tabParametros[Código do Posto],tabCustoUnit[[#This Row],[Código do Posto]],tabParametros[Incidência dos encargos do submódulo 2.1 sobre Aviso Prévio Trabalhado])*tabCustoUnit[[#This Row],[MODULO 1 - REMUNERAÇÃO ]]</f>
        <v>3.3934505472000009</v>
      </c>
      <c r="AR231" s="22">
        <f>SUMIF(tabParametros[Código do Posto],tabCustoUnit[[#This Row],[Código do Posto]],tabParametros[Multa Rescisória do FGTS])*tabCustoUnit[[#This Row],[MODULO 1 - REMUNERAÇÃO ]]</f>
        <v>78.430972586666655</v>
      </c>
      <c r="AS231" s="22">
        <f>SUMIF(tabParametros[Código do Posto],tabCustoUnit[[#This Row],[Código do Posto]],tabParametros[Indenização Adicional (Art. 9º da Lei nº 7.238/84)])*tabCustoUnit[[#This Row],[MODULO 1 - REMUNERAÇÃO ]]</f>
        <v>2.1374719999999998</v>
      </c>
      <c r="AT231" s="22">
        <f>SUM(tabCustoUnit[[#This Row],[Aviso Prévio Indenizado (API) e Reflexo do Aviso Prévio Indenizado]:[Indenização Adicional (Art. 9º da Lei nº 7.238/84)]])</f>
        <v>112.93853826014814</v>
      </c>
      <c r="AU231" s="22">
        <f>SUMIF(tabParametros[Código do Posto],tabCustoUnit[[#This Row],[Código do Posto]],tabParametros[Ausência por Doença])*tabCustoUnit[[#This Row],[MODULO 1 - REMUNERAÇÃO ]]</f>
        <v>21.659716266666663</v>
      </c>
      <c r="AV231" s="22">
        <f>SUMIF(tabParametros[Código do Posto],tabCustoUnit[[#This Row],[Código do Posto]],tabParametros[Ausências Legais])*tabCustoUnit[[#This Row],[MODULO 1 - REMUNERAÇÃO ]]</f>
        <v>5.2011818666666656</v>
      </c>
      <c r="AW231" s="22">
        <f>SUMIF(tabParametros[Código do Posto],tabCustoUnit[[#This Row],[Código do Posto]],tabParametros[Licença Paternidade])*tabCustoUnit[[#This Row],[MODULO 1 - REMUNERAÇÃO ]]</f>
        <v>0.43818175999999998</v>
      </c>
      <c r="AX231" s="22">
        <f>SUMIF(tabParametros[Código do Posto],tabCustoUnit[[#This Row],[Código do Posto]],tabParametros[Ausência por Acidente de Trabalho])*tabCustoUnit[[#This Row],[MODULO 1 - REMUNERAÇÃO ]]</f>
        <v>0.53436799999999995</v>
      </c>
      <c r="AY231" s="22">
        <f>SUMIF(tabParametros[Código do Posto],tabCustoUnit[[#This Row],[Código do Posto]],tabParametros[Férias, Adicional de Férias e 13º  com empregada em gozo de Licença Maternidade])*tabCustoUnit[[#This Row],[MODULO 1 - REMUNERAÇÃO ]]</f>
        <v>3.3249564444444442</v>
      </c>
      <c r="AZ231" s="22">
        <f>SUMIF(tabParametros[Código do Posto],tabCustoUnit[[#This Row],[Código do Posto]],tabParametros[Incidência do Submódulo 2.1 sobre Ausências Legais])*tabCustoUnit[[#This Row],[MODULO 1 - REMUNERAÇÃO ]]</f>
        <v>11.777876839680001</v>
      </c>
      <c r="BA231" s="22">
        <f>SUM(tabCustoUnit[[#This Row],[Ausência por Doença]:[Incidência do Submódulo 2.1 sobre Ausências Legais]])</f>
        <v>42.936281177457772</v>
      </c>
      <c r="BB231" s="22">
        <f>SUMIF(tabParametros[Código do Posto],tabCustoUnit[[#This Row],[Código do Posto]],tabParametros[Intervalo para Repouso ou Alimentação])</f>
        <v>283.97842209920344</v>
      </c>
      <c r="BC231" s="22">
        <f>tabCustoUnit[[#This Row],[Intervalo para Repouso ou Alimentação]]</f>
        <v>283.97842209920344</v>
      </c>
      <c r="BD23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1" s="22">
        <f>tabCustoUnit[[#This Row],[Suspensão Temporária do Contrato de Trabalho]]</f>
        <v>0</v>
      </c>
      <c r="BF231" s="22">
        <f>tabCustoUnit[[#This Row],[Submódulo 4.1]]+tabCustoUnit[[#This Row],[Submódulo 4.2]]+tabCustoUnit[[#This Row],[Submódulo 4.3]]</f>
        <v>326.91470327666121</v>
      </c>
      <c r="BG231" s="22">
        <f>VLOOKUP(tabCustoUnit[[#This Row],[Código do Posto]],tabParametros[],MATCH(tabCustoUnit[[#Headers],[Uniformes e EPIs]],tabParametros[#Headers],0),0)</f>
        <v>56.642978962543395</v>
      </c>
      <c r="BH231" s="22">
        <f>VLOOKUP(tabCustoUnit[[#This Row],[Código do Posto]],tabParametros[],MATCH(tabCustoUnit[[#Headers],[Materiais de Consumo]],tabParametros[#Headers],0),0)</f>
        <v>0</v>
      </c>
      <c r="BI231" s="22">
        <f>VLOOKUP(tabCustoUnit[[#This Row],[Código do Posto]],tabParametros[],MATCH(tabCustoUnit[[#Headers],[Máquinas e Equipamentos (depreciação)]],tabParametros[#Headers],0),0)</f>
        <v>0</v>
      </c>
      <c r="BJ231" s="22">
        <f>VLOOKUP(tabCustoUnit[[#This Row],[Código do Posto]],tabParametros[],MATCH(tabCustoUnit[[#Headers],[Produtos de Limpeza e Materiais de Higiene Pessoal]],tabParametros[#Headers],0),0)</f>
        <v>0</v>
      </c>
      <c r="BK231" s="22">
        <f>VLOOKUP(tabCustoUnit[[#This Row],[Código do Posto]],tabParametros[],MATCH(tabCustoUnit[[#Headers],[Outros (especificar)]],tabParametros[#Headers],0),0)</f>
        <v>0</v>
      </c>
      <c r="BL231" s="22">
        <f>SUM(tabCustoUnit[[#This Row],[Uniformes e EPIs]:[Outros (especificar)]])</f>
        <v>56.642978962543395</v>
      </c>
      <c r="BM23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1" s="22" t="e">
        <f ca="1">VLOOKUP(tabCustoUnit[[#This Row],[Código do Posto]],tabParametros[],MATCH(tabCustoUnit[[#Headers],[Custos Indiretos]],tabParametros[#Headers],0),0)</f>
        <v>#NAME?</v>
      </c>
      <c r="BO231" s="22" t="e">
        <f ca="1">VLOOKUP(tabCustoUnit[[#This Row],[Código do Posto]],tabParametros[],MATCH(tabCustoUnit[[#Headers],[Lucro]],tabParametros[#Headers],0),0)</f>
        <v>#NAME?</v>
      </c>
      <c r="BP231" s="26">
        <f>((100/((1-tabCustoUnit[[#This Row],[Resumo de Alíquotas (PIS+CONFINS+ISS)]]))-100)*VLOOKUP(tabCustoUnit[[#This Row],[Código do Posto]],tabParametros[],MATCH(tabCustoUnit[[#Headers],[COFINS]],tabParametros[#Headers],0),0))/(tabCustoUnit[[#This Row],[Resumo de Alíquotas (PIS+CONFINS+ISS)]]*100)</f>
        <v>8.6609686609686695E-2</v>
      </c>
      <c r="BQ231" s="26">
        <f>((100/((100-(tabCustoUnit[[#This Row],[Resumo de Alíquotas (PIS+CONFINS+ISS)]]*100))%)-100)*VLOOKUP(tabCustoUnit[[#This Row],[Código do Posto]],tabParametros[],MATCH(tabCustoUnit[[#Headers],[PIS]],tabParametros[#Headers],0),0))/(tabCustoUnit[[#This Row],[Resumo de Alíquotas (PIS+CONFINS+ISS)]]*100)</f>
        <v>1.880341880341882E-2</v>
      </c>
      <c r="BR231" s="28">
        <f>VLOOKUP(tabCustoUnit[[#This Row],[Código do Posto]],tabParametros[],MATCH(tabCustoUnit[[#Headers],[ISS]],tabParametros[#Headers],0),0)</f>
        <v>0.03</v>
      </c>
      <c r="BS231" s="26">
        <f>(((100/((100-(tabCustoUnit[[#This Row],[Resumo de Alíquotas (PIS+CONFINS+ISS)]]*100))%)-100)*tabCustoUnit[[#This Row],[ISS]])/tabCustoUnit[[#This Row],[Resumo de Alíquotas (PIS+CONFINS+ISS)]])/100</f>
        <v>3.4188034188034219E-2</v>
      </c>
      <c r="BT23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1" s="138">
        <f>tabCustoUnit[[#This Row],[COFINS]]+tabCustoUnit[[#This Row],[PIS]]+tabCustoUnit[[#This Row],[ISS (Conversão Alíquota s/ fatura)]]</f>
        <v>0.13960113960113973</v>
      </c>
      <c r="BV231" s="22" t="e">
        <f ca="1">(tabCustoUnit[[#This Row],[TOTAL MÓDULOS 1+2+3+4+5]]+tabCustoUnit[[#This Row],[Custos Indiretos]]+tabCustoUnit[[#This Row],[Lucro]])*tabCustoUnit[[#This Row],[PIS + COFINS + ISS (Total Conversão  Alíquota s/ Fatura)]]</f>
        <v>#NAME?</v>
      </c>
      <c r="BW231" s="22" t="e">
        <f ca="1">tabCustoUnit[[#This Row],[Custos Indiretos]]+tabCustoUnit[[#This Row],[Lucro]]+tabCustoUnit[[#This Row],[Valor dos Tributos (ISS, PIS, CONFINS)]]</f>
        <v>#NAME?</v>
      </c>
      <c r="BX231" s="22" t="e">
        <f ca="1">tabCustoUnit[[#This Row],[TOTAL MÓDULOS 1+2+3+4+5]]+tabCustoUnit[[#This Row],[MÓDULO 6 – CUSTOS INDIRETOS, TRIBUTOS E LUCRO]]</f>
        <v>#NAME?</v>
      </c>
      <c r="BY231" s="22" t="e">
        <f ca="1">tabCustoUnit[[#This Row],[CUSTO TOTAL MENSAL]]*12</f>
        <v>#NAME?</v>
      </c>
      <c r="BZ231" s="24">
        <f>VLOOKUP(tabCustoUnit[[#This Row],[Código do Posto]],tabParametros[],MATCH(tabCustoUnit[[#Headers],[ANO DA CCT]],tabParametros[#Headers],0),0)</f>
        <v>45658</v>
      </c>
      <c r="CA231" s="25" t="str">
        <f>VLOOKUP(tabCustoUnit[[#This Row],[Código do Posto]],tabParametros[],MATCH(tabCustoUnit[[#Headers],[Nº DE PEDIDO DA CCT]],tabParametros[#Headers],0),0)</f>
        <v>-</v>
      </c>
      <c r="CB231" s="25" t="str">
        <f>VLOOKUP(tabCustoUnit[[#This Row],[Código do Posto]],tabParametros[],MATCH(tabCustoUnit[[#Headers],[TERMO ADITIVO ALTERAÇÃO DA CCT]],tabParametros[#Headers],0),0)</f>
        <v>-</v>
      </c>
    </row>
    <row r="232" spans="1:80">
      <c r="A232" s="20" t="s">
        <v>1660</v>
      </c>
      <c r="B232" t="s">
        <v>1172</v>
      </c>
      <c r="C232" t="s">
        <v>319</v>
      </c>
      <c r="D232" t="s">
        <v>1058</v>
      </c>
      <c r="E232" s="20" t="s">
        <v>1090</v>
      </c>
      <c r="F232" s="20" t="s">
        <v>120</v>
      </c>
      <c r="G232" s="418">
        <v>2316.2296999999999</v>
      </c>
      <c r="H232" s="418">
        <v>0</v>
      </c>
      <c r="I232" s="418">
        <v>0</v>
      </c>
      <c r="J232" s="418">
        <v>0</v>
      </c>
      <c r="K232" s="418">
        <v>0</v>
      </c>
      <c r="L232" s="418">
        <v>0</v>
      </c>
      <c r="M232" s="418">
        <v>0</v>
      </c>
      <c r="N232" s="418">
        <v>0</v>
      </c>
      <c r="O232" s="21">
        <f>SUM(tabCustoUnit[[#This Row],[Salário Base]:[Adicional de Acúmulo de função]])</f>
        <v>2316.2296999999999</v>
      </c>
      <c r="P232" s="21">
        <f>tabCustoUnit[[#This Row],[MODULO 1 - REMUNERAÇÃO ]]*SUMIFS(tabParametros[INSS],tabParametros[Código do Posto],tabCustoUnit[[#This Row],[Código do Posto]])</f>
        <v>463.24594000000002</v>
      </c>
      <c r="Q232" s="21">
        <f>tabCustoUnit[[#This Row],[MODULO 1 - REMUNERAÇÃO ]]*SUMIFS(tabParametros[SESI OU SESC],tabParametros[Código do Posto],tabCustoUnit[[#This Row],[Código do Posto]])</f>
        <v>34.7434455</v>
      </c>
      <c r="R232" s="21">
        <f>tabCustoUnit[[#This Row],[MODULO 1 - REMUNERAÇÃO ]]*SUMIFS(tabParametros[SENAI OU SENAC],tabParametros[Código do Posto],tabCustoUnit[[#This Row],[Código do Posto]])</f>
        <v>23.162296999999999</v>
      </c>
      <c r="S232" s="21">
        <f>tabCustoUnit[[#This Row],[MODULO 1 - REMUNERAÇÃO ]]*SUMIFS(tabParametros[INCRA],tabParametros[Código do Posto],tabCustoUnit[[#This Row],[Código do Posto]])</f>
        <v>4.6324594000000001</v>
      </c>
      <c r="T232" s="21">
        <f>tabCustoUnit[[#This Row],[MODULO 1 - REMUNERAÇÃO ]]*SUMIFS(tabParametros[Salário Educação],tabParametros[Código do Posto],tabCustoUnit[[#This Row],[Código do Posto]])</f>
        <v>57.905742500000002</v>
      </c>
      <c r="U232" s="21">
        <f>tabCustoUnit[[#This Row],[MODULO 1 - REMUNERAÇÃO ]]*SUMIFS(tabParametros[FGTS],tabParametros[Código do Posto],tabCustoUnit[[#This Row],[Código do Posto]])</f>
        <v>185.29837599999999</v>
      </c>
      <c r="V232" s="21">
        <f>tabCustoUnit[[#This Row],[MODULO 1 - REMUNERAÇÃO ]]*SUMIFS(tabParametros[RAT Ajustado],tabParametros[Código do Posto],tabCustoUnit[[#This Row],[Código do Posto]])</f>
        <v>92.649187999999995</v>
      </c>
      <c r="W232" s="21">
        <f>tabCustoUnit[[#This Row],[MODULO 1 - REMUNERAÇÃO ]]*SUMIFS(tabParametros[SEBRAE],tabParametros[Código do Posto],tabCustoUnit[[#This Row],[Código do Posto]])</f>
        <v>13.8973782</v>
      </c>
      <c r="X232" s="21">
        <f>SUM(tabCustoUnit[[#This Row],[INSS]:[SEBRAE]])</f>
        <v>875.53482659999997</v>
      </c>
      <c r="Y232" s="21">
        <f>tabCustoUnit[[#This Row],[MODULO 1 - REMUNERAÇÃO ]]*SUMIFS(tabParametros[13º salário (titular)],tabParametros[Código do Posto],tabCustoUnit[[#This Row],[Código do Posto]])</f>
        <v>193.01914166666666</v>
      </c>
      <c r="Z232" s="21">
        <f>tabCustoUnit[[#This Row],[MODULO 1 - REMUNERAÇÃO ]]*SUMIFS(tabParametros[Férias e Adicional de Férias (titular)],tabParametros[Código do Posto],tabCustoUnit[[#This Row],[Código do Posto]])</f>
        <v>257.35885555555552</v>
      </c>
      <c r="AA232" s="21">
        <f>IFERROR((tabCustoUnit[[#This Row],[Submódulo 2.1]]/tabCustoUnit[[#This Row],[MODULO 1 - REMUNERAÇÃO ]])*SUM(tabCustoUnit[[#This Row],[13º salário (titular)]:[Férias e Adicional de Férias (titular)]]),0)</f>
        <v>170.24288294999999</v>
      </c>
      <c r="AB232" s="21">
        <f>SUM(tabCustoUnit[[#This Row],[13º salário (titular)]:[Incidência do Submódulo 2.1 sobre 13º Salário, Férias e Adicional de Férias]])</f>
        <v>620.6208801722222</v>
      </c>
      <c r="AC232" s="22" t="e">
        <f ca="1">_xlfn.LET(_xlpm.VT,SUMIF(tabParametros[Código do Posto],tabCustoUnit[[#This Row],[Código do Posto]],tabParametros[Vale - Transporte])*2*20,
IF((_xlpm.VT-tabCustoUnit[[#This Row],[Salário Base]]*0.06)&gt;=0,(_xlpm.VT-tabCustoUnit[[#This Row],[Salário Base]]*0.06),0)
)</f>
        <v>#NAME?</v>
      </c>
      <c r="AD232" s="22">
        <f>IF(SUMIF(tabParametros[Código do Posto],tabCustoUnit[[#This Row],[Código do Posto]],tabParametros[Vale - Alimentação])&lt;=0,0,
SUMIF(tabParametros[Código do Posto],tabCustoUnit[[#This Row],[Código do Posto]],tabParametros[Vale - Alimentação])*20-1)</f>
        <v>582</v>
      </c>
      <c r="AE232" s="22">
        <f>SUMIF(tabParametros[Código do Posto],tabCustoUnit[[#This Row],[Código do Posto]],tabParametros[Cesta Básica])</f>
        <v>0</v>
      </c>
      <c r="AF232" s="22">
        <f>SUMIF(tabParametros[Código do Posto],tabCustoUnit[[#This Row],[Código do Posto]],tabParametros[PAF])</f>
        <v>77.25</v>
      </c>
      <c r="AG232" s="22">
        <f>SUMIF(tabParametros[Código do Posto],tabCustoUnit[[#This Row],[Código do Posto]],tabParametros[PQM])</f>
        <v>0</v>
      </c>
      <c r="AH232" s="22">
        <f>SUMIF(tabParametros[Código do Posto],tabCustoUnit[[#This Row],[Código do Posto]],tabParametros[Abono Único e Especial])</f>
        <v>0</v>
      </c>
      <c r="AI232" s="22">
        <f>SUMIF(tabParametros[Código do Posto],tabCustoUnit[[#This Row],[Código do Posto]],tabParametros[Seguro de Vida])</f>
        <v>3.36</v>
      </c>
      <c r="AJ232" s="22">
        <f>SUMIF(tabParametros[Código do Posto],tabCustoUnit[[#This Row],[Código do Posto]],tabParametros[Despesas de Viagem])</f>
        <v>0</v>
      </c>
      <c r="AK232" s="22" t="e">
        <f ca="1">SUM(tabCustoUnit[[#This Row],[Vale - Transporte (Descontada parcela do empregado)]:[Despesas de Viagem]])</f>
        <v>#NAME?</v>
      </c>
      <c r="AL232" s="22" t="e">
        <f ca="1">tabCustoUnit[[#This Row],[Submódulo 2.1]]+tabCustoUnit[[#This Row],[Submódulo 2.2]]+tabCustoUnit[[#This Row],[Submódulo 2.3]]</f>
        <v>#NAME?</v>
      </c>
      <c r="AM232" s="22">
        <f>SUMIF(tabParametros[Código do Posto],tabCustoUnit[[#This Row],[Código do Posto]],tabParametros[Aviso Prévio Indenizado (API) e Reflexo do Aviso Prévio Indenizado])*tabCustoUnit[[#This Row],[MODULO 1 - REMUNERAÇÃO ]]</f>
        <v>16.240862917689043</v>
      </c>
      <c r="AN232" s="22">
        <f>SUMIF(tabParametros[Código do Posto],tabCustoUnit[[#This Row],[Código do Posto]],tabParametros[Incidência do FGTS sobre API e Reflexo do API])*tabCustoUnit[[#This Row],[MODULO 1 - REMUNERAÇÃO ]]</f>
        <v>1.2992690334151236</v>
      </c>
      <c r="AO232" s="22">
        <f>SUMIF(tabParametros[Código do Posto],tabCustoUnit[[#This Row],[Código do Posto]],tabParametros[Multa Rescisória do FGTS sobre o Aviso Prévio Indenizado])*tabCustoUnit[[#This Row],[MODULO 1 - REMUNERAÇÃO ]]</f>
        <v>0.51970761336604943</v>
      </c>
      <c r="AP232" s="22">
        <f>SUMIF(tabParametros[Código do Posto],tabCustoUnit[[#This Row],[Código do Posto]],tabParametros[Aviso Prévio Trabalhado - APT])*tabCustoUnit[[#This Row],[MODULO 1 - REMUNERAÇÃO ]]</f>
        <v>8.1068039500000015</v>
      </c>
      <c r="AQ232" s="22">
        <f>SUMIF(tabParametros[Código do Posto],tabCustoUnit[[#This Row],[Código do Posto]],tabParametros[Incidência dos encargos do submódulo 2.1 sobre Aviso Prévio Trabalhado])*tabCustoUnit[[#This Row],[MODULO 1 - REMUNERAÇÃO ]]</f>
        <v>3.0643718931000006</v>
      </c>
      <c r="AR232" s="22">
        <f>SUMIF(tabParametros[Código do Posto],tabCustoUnit[[#This Row],[Código do Posto]],tabParametros[Multa Rescisória do FGTS])*tabCustoUnit[[#This Row],[MODULO 1 - REMUNERAÇÃO ]]</f>
        <v>70.825157048888869</v>
      </c>
      <c r="AS232" s="22">
        <f>SUMIF(tabParametros[Código do Posto],tabCustoUnit[[#This Row],[Código do Posto]],tabParametros[Indenização Adicional (Art. 9º da Lei nº 7.238/84)])*tabCustoUnit[[#This Row],[MODULO 1 - REMUNERAÇÃO ]]</f>
        <v>1.9301914166666667</v>
      </c>
      <c r="AT232" s="22">
        <f>SUM(tabCustoUnit[[#This Row],[Aviso Prévio Indenizado (API) e Reflexo do Aviso Prévio Indenizado]:[Indenização Adicional (Art. 9º da Lei nº 7.238/84)]])</f>
        <v>101.98636387312575</v>
      </c>
      <c r="AU232" s="22">
        <f>SUMIF(tabParametros[Código do Posto],tabCustoUnit[[#This Row],[Código do Posto]],tabParametros[Ausência por Doença])*tabCustoUnit[[#This Row],[MODULO 1 - REMUNERAÇÃO ]]</f>
        <v>19.559273022222218</v>
      </c>
      <c r="AV232" s="22">
        <f>SUMIF(tabParametros[Código do Posto],tabCustoUnit[[#This Row],[Código do Posto]],tabParametros[Ausências Legais])*tabCustoUnit[[#This Row],[MODULO 1 - REMUNERAÇÃO ]]</f>
        <v>4.696799113888888</v>
      </c>
      <c r="AW232" s="22">
        <f>SUMIF(tabParametros[Código do Posto],tabCustoUnit[[#This Row],[Código do Posto]],tabParametros[Licença Paternidade])*tabCustoUnit[[#This Row],[MODULO 1 - REMUNERAÇÃO ]]</f>
        <v>0.39568924041666664</v>
      </c>
      <c r="AX232" s="22">
        <f>SUMIF(tabParametros[Código do Posto],tabCustoUnit[[#This Row],[Código do Posto]],tabParametros[Ausência por Acidente de Trabalho])*tabCustoUnit[[#This Row],[MODULO 1 - REMUNERAÇÃO ]]</f>
        <v>0.48254785416666668</v>
      </c>
      <c r="AY232" s="22">
        <f>SUMIF(tabParametros[Código do Posto],tabCustoUnit[[#This Row],[Código do Posto]],tabParametros[Férias, Adicional de Férias e 13º  com empregada em gozo de Licença Maternidade])*tabCustoUnit[[#This Row],[MODULO 1 - REMUNERAÇÃO ]]</f>
        <v>3.0025199814814814</v>
      </c>
      <c r="AZ232" s="22">
        <f>SUMIF(tabParametros[Código do Posto],tabCustoUnit[[#This Row],[Código do Posto]],tabParametros[Incidência do Submódulo 2.1 sobre Ausências Legais])*tabCustoUnit[[#This Row],[MODULO 1 - REMUNERAÇÃO ]]</f>
        <v>10.635721442202501</v>
      </c>
      <c r="BA232" s="22">
        <f>SUM(tabCustoUnit[[#This Row],[Ausência por Doença]:[Incidência do Submódulo 2.1 sobre Ausências Legais]])</f>
        <v>38.772550654378421</v>
      </c>
      <c r="BB232" s="22">
        <f>SUMIF(tabParametros[Código do Posto],tabCustoUnit[[#This Row],[Código do Posto]],tabParametros[Intervalo para Repouso ou Alimentação])</f>
        <v>0</v>
      </c>
      <c r="BC232" s="22">
        <f>tabCustoUnit[[#This Row],[Intervalo para Repouso ou Alimentação]]</f>
        <v>0</v>
      </c>
      <c r="BD23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2" s="22">
        <f>tabCustoUnit[[#This Row],[Suspensão Temporária do Contrato de Trabalho]]</f>
        <v>0</v>
      </c>
      <c r="BF232" s="22">
        <f>tabCustoUnit[[#This Row],[Submódulo 4.1]]+tabCustoUnit[[#This Row],[Submódulo 4.2]]+tabCustoUnit[[#This Row],[Submódulo 4.3]]</f>
        <v>38.772550654378421</v>
      </c>
      <c r="BG232" s="22">
        <f>VLOOKUP(tabCustoUnit[[#This Row],[Código do Posto]],tabParametros[],MATCH(tabCustoUnit[[#Headers],[Uniformes e EPIs]],tabParametros[#Headers],0),0)</f>
        <v>56.642978962543395</v>
      </c>
      <c r="BH232" s="22">
        <f>VLOOKUP(tabCustoUnit[[#This Row],[Código do Posto]],tabParametros[],MATCH(tabCustoUnit[[#Headers],[Materiais de Consumo]],tabParametros[#Headers],0),0)</f>
        <v>0</v>
      </c>
      <c r="BI232" s="22">
        <f>VLOOKUP(tabCustoUnit[[#This Row],[Código do Posto]],tabParametros[],MATCH(tabCustoUnit[[#Headers],[Máquinas e Equipamentos (depreciação)]],tabParametros[#Headers],0),0)</f>
        <v>0</v>
      </c>
      <c r="BJ232" s="22">
        <f>VLOOKUP(tabCustoUnit[[#This Row],[Código do Posto]],tabParametros[],MATCH(tabCustoUnit[[#Headers],[Produtos de Limpeza e Materiais de Higiene Pessoal]],tabParametros[#Headers],0),0)</f>
        <v>0</v>
      </c>
      <c r="BK232" s="22">
        <f>VLOOKUP(tabCustoUnit[[#This Row],[Código do Posto]],tabParametros[],MATCH(tabCustoUnit[[#Headers],[Outros (especificar)]],tabParametros[#Headers],0),0)</f>
        <v>0</v>
      </c>
      <c r="BL232" s="22">
        <f>SUM(tabCustoUnit[[#This Row],[Uniformes e EPIs]:[Outros (especificar)]])</f>
        <v>56.642978962543395</v>
      </c>
      <c r="BM23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2" s="22" t="e">
        <f ca="1">VLOOKUP(tabCustoUnit[[#This Row],[Código do Posto]],tabParametros[],MATCH(tabCustoUnit[[#Headers],[Custos Indiretos]],tabParametros[#Headers],0),0)</f>
        <v>#NAME?</v>
      </c>
      <c r="BO232" s="22" t="e">
        <f ca="1">VLOOKUP(tabCustoUnit[[#This Row],[Código do Posto]],tabParametros[],MATCH(tabCustoUnit[[#Headers],[Lucro]],tabParametros[#Headers],0),0)</f>
        <v>#NAME?</v>
      </c>
      <c r="BP232" s="26">
        <f>((100/((1-tabCustoUnit[[#This Row],[Resumo de Alíquotas (PIS+CONFINS+ISS)]]))-100)*VLOOKUP(tabCustoUnit[[#This Row],[Código do Posto]],tabParametros[],MATCH(tabCustoUnit[[#Headers],[COFINS]],tabParametros[#Headers],0),0))/(tabCustoUnit[[#This Row],[Resumo de Alíquotas (PIS+CONFINS+ISS)]]*100)</f>
        <v>8.6609686609686695E-2</v>
      </c>
      <c r="BQ232" s="26">
        <f>((100/((100-(tabCustoUnit[[#This Row],[Resumo de Alíquotas (PIS+CONFINS+ISS)]]*100))%)-100)*VLOOKUP(tabCustoUnit[[#This Row],[Código do Posto]],tabParametros[],MATCH(tabCustoUnit[[#Headers],[PIS]],tabParametros[#Headers],0),0))/(tabCustoUnit[[#This Row],[Resumo de Alíquotas (PIS+CONFINS+ISS)]]*100)</f>
        <v>1.880341880341882E-2</v>
      </c>
      <c r="BR232" s="28">
        <f>VLOOKUP(tabCustoUnit[[#This Row],[Código do Posto]],tabParametros[],MATCH(tabCustoUnit[[#Headers],[ISS]],tabParametros[#Headers],0),0)</f>
        <v>0.03</v>
      </c>
      <c r="BS232" s="26">
        <f>(((100/((100-(tabCustoUnit[[#This Row],[Resumo de Alíquotas (PIS+CONFINS+ISS)]]*100))%)-100)*tabCustoUnit[[#This Row],[ISS]])/tabCustoUnit[[#This Row],[Resumo de Alíquotas (PIS+CONFINS+ISS)]])/100</f>
        <v>3.4188034188034219E-2</v>
      </c>
      <c r="BT23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2" s="138">
        <f>tabCustoUnit[[#This Row],[COFINS]]+tabCustoUnit[[#This Row],[PIS]]+tabCustoUnit[[#This Row],[ISS (Conversão Alíquota s/ fatura)]]</f>
        <v>0.13960113960113973</v>
      </c>
      <c r="BV232" s="22" t="e">
        <f ca="1">(tabCustoUnit[[#This Row],[TOTAL MÓDULOS 1+2+3+4+5]]+tabCustoUnit[[#This Row],[Custos Indiretos]]+tabCustoUnit[[#This Row],[Lucro]])*tabCustoUnit[[#This Row],[PIS + COFINS + ISS (Total Conversão  Alíquota s/ Fatura)]]</f>
        <v>#NAME?</v>
      </c>
      <c r="BW232" s="22" t="e">
        <f ca="1">tabCustoUnit[[#This Row],[Custos Indiretos]]+tabCustoUnit[[#This Row],[Lucro]]+tabCustoUnit[[#This Row],[Valor dos Tributos (ISS, PIS, CONFINS)]]</f>
        <v>#NAME?</v>
      </c>
      <c r="BX232" s="22" t="e">
        <f ca="1">tabCustoUnit[[#This Row],[TOTAL MÓDULOS 1+2+3+4+5]]+tabCustoUnit[[#This Row],[MÓDULO 6 – CUSTOS INDIRETOS, TRIBUTOS E LUCRO]]</f>
        <v>#NAME?</v>
      </c>
      <c r="BY232" s="22" t="e">
        <f ca="1">tabCustoUnit[[#This Row],[CUSTO TOTAL MENSAL]]*12</f>
        <v>#NAME?</v>
      </c>
      <c r="BZ232" s="24">
        <f>VLOOKUP(tabCustoUnit[[#This Row],[Código do Posto]],tabParametros[],MATCH(tabCustoUnit[[#Headers],[ANO DA CCT]],tabParametros[#Headers],0),0)</f>
        <v>45658</v>
      </c>
      <c r="CA232" s="25" t="str">
        <f>VLOOKUP(tabCustoUnit[[#This Row],[Código do Posto]],tabParametros[],MATCH(tabCustoUnit[[#Headers],[Nº DE PEDIDO DA CCT]],tabParametros[#Headers],0),0)</f>
        <v>-</v>
      </c>
      <c r="CB232" s="25" t="str">
        <f>VLOOKUP(tabCustoUnit[[#This Row],[Código do Posto]],tabParametros[],MATCH(tabCustoUnit[[#Headers],[TERMO ADITIVO ALTERAÇÃO DA CCT]],tabParametros[#Headers],0),0)</f>
        <v>-</v>
      </c>
    </row>
    <row r="233" spans="1:80">
      <c r="A233" s="20" t="s">
        <v>1661</v>
      </c>
      <c r="B233" t="s">
        <v>1173</v>
      </c>
      <c r="C233" t="s">
        <v>324</v>
      </c>
      <c r="D233" t="s">
        <v>899</v>
      </c>
      <c r="E233" s="20" t="s">
        <v>1090</v>
      </c>
      <c r="F233" s="20" t="s">
        <v>120</v>
      </c>
      <c r="G233" s="418">
        <v>3397.1305000000002</v>
      </c>
      <c r="H233" s="418">
        <v>0</v>
      </c>
      <c r="I233" s="418">
        <v>0</v>
      </c>
      <c r="J233" s="418">
        <v>0</v>
      </c>
      <c r="K233" s="418">
        <v>0</v>
      </c>
      <c r="L233" s="418">
        <v>0</v>
      </c>
      <c r="M233" s="418">
        <v>0</v>
      </c>
      <c r="N233" s="418">
        <v>0</v>
      </c>
      <c r="O233" s="21">
        <f>SUM(tabCustoUnit[[#This Row],[Salário Base]:[Adicional de Acúmulo de função]])</f>
        <v>3397.1305000000002</v>
      </c>
      <c r="P233" s="21">
        <f>tabCustoUnit[[#This Row],[MODULO 1 - REMUNERAÇÃO ]]*SUMIFS(tabParametros[INSS],tabParametros[Código do Posto],tabCustoUnit[[#This Row],[Código do Posto]])</f>
        <v>679.42610000000013</v>
      </c>
      <c r="Q233" s="21">
        <f>tabCustoUnit[[#This Row],[MODULO 1 - REMUNERAÇÃO ]]*SUMIFS(tabParametros[SESI OU SESC],tabParametros[Código do Posto],tabCustoUnit[[#This Row],[Código do Posto]])</f>
        <v>50.956957500000001</v>
      </c>
      <c r="R233" s="21">
        <f>tabCustoUnit[[#This Row],[MODULO 1 - REMUNERAÇÃO ]]*SUMIFS(tabParametros[SENAI OU SENAC],tabParametros[Código do Posto],tabCustoUnit[[#This Row],[Código do Posto]])</f>
        <v>33.971305000000001</v>
      </c>
      <c r="S233" s="21">
        <f>tabCustoUnit[[#This Row],[MODULO 1 - REMUNERAÇÃO ]]*SUMIFS(tabParametros[INCRA],tabParametros[Código do Posto],tabCustoUnit[[#This Row],[Código do Posto]])</f>
        <v>6.7942610000000005</v>
      </c>
      <c r="T233" s="21">
        <f>tabCustoUnit[[#This Row],[MODULO 1 - REMUNERAÇÃO ]]*SUMIFS(tabParametros[Salário Educação],tabParametros[Código do Posto],tabCustoUnit[[#This Row],[Código do Posto]])</f>
        <v>84.928262500000017</v>
      </c>
      <c r="U233" s="21">
        <f>tabCustoUnit[[#This Row],[MODULO 1 - REMUNERAÇÃO ]]*SUMIFS(tabParametros[FGTS],tabParametros[Código do Posto],tabCustoUnit[[#This Row],[Código do Posto]])</f>
        <v>271.77044000000001</v>
      </c>
      <c r="V233" s="21">
        <f>tabCustoUnit[[#This Row],[MODULO 1 - REMUNERAÇÃO ]]*SUMIFS(tabParametros[RAT Ajustado],tabParametros[Código do Posto],tabCustoUnit[[#This Row],[Código do Posto]])</f>
        <v>135.88522</v>
      </c>
      <c r="W233" s="21">
        <f>tabCustoUnit[[#This Row],[MODULO 1 - REMUNERAÇÃO ]]*SUMIFS(tabParametros[SEBRAE],tabParametros[Código do Posto],tabCustoUnit[[#This Row],[Código do Posto]])</f>
        <v>20.382783000000003</v>
      </c>
      <c r="X233" s="21">
        <f>SUM(tabCustoUnit[[#This Row],[INSS]:[SEBRAE]])</f>
        <v>1284.1153290000002</v>
      </c>
      <c r="Y233" s="21">
        <f>tabCustoUnit[[#This Row],[MODULO 1 - REMUNERAÇÃO ]]*SUMIFS(tabParametros[13º salário (titular)],tabParametros[Código do Posto],tabCustoUnit[[#This Row],[Código do Posto]])</f>
        <v>283.09420833333331</v>
      </c>
      <c r="Z233" s="21">
        <f>tabCustoUnit[[#This Row],[MODULO 1 - REMUNERAÇÃO ]]*SUMIFS(tabParametros[Férias e Adicional de Férias (titular)],tabParametros[Código do Posto],tabCustoUnit[[#This Row],[Código do Posto]])</f>
        <v>377.45894444444446</v>
      </c>
      <c r="AA233" s="21">
        <f>IFERROR((tabCustoUnit[[#This Row],[Submódulo 2.1]]/tabCustoUnit[[#This Row],[MODULO 1 - REMUNERAÇÃO ]])*SUM(tabCustoUnit[[#This Row],[13º salário (titular)]:[Férias e Adicional de Férias (titular)]]),0)</f>
        <v>249.68909175000005</v>
      </c>
      <c r="AB233" s="21">
        <f>SUM(tabCustoUnit[[#This Row],[13º salário (titular)]:[Incidência do Submódulo 2.1 sobre 13º Salário, Férias e Adicional de Férias]])</f>
        <v>910.24224452777776</v>
      </c>
      <c r="AC233" s="22" t="e">
        <f ca="1">_xlfn.LET(_xlpm.VT,SUMIF(tabParametros[Código do Posto],tabCustoUnit[[#This Row],[Código do Posto]],tabParametros[Vale - Transporte])*2*20,
IF((_xlpm.VT-tabCustoUnit[[#This Row],[Salário Base]]*0.06)&gt;=0,(_xlpm.VT-tabCustoUnit[[#This Row],[Salário Base]]*0.06),0)
)</f>
        <v>#NAME?</v>
      </c>
      <c r="AD233" s="22">
        <f>IF(SUMIF(tabParametros[Código do Posto],tabCustoUnit[[#This Row],[Código do Posto]],tabParametros[Vale - Alimentação])&lt;=0,0,
SUMIF(tabParametros[Código do Posto],tabCustoUnit[[#This Row],[Código do Posto]],tabParametros[Vale - Alimentação])*20-1)</f>
        <v>0</v>
      </c>
      <c r="AE233" s="22">
        <f>SUMIF(tabParametros[Código do Posto],tabCustoUnit[[#This Row],[Código do Posto]],tabParametros[Cesta Básica])</f>
        <v>387.79</v>
      </c>
      <c r="AF233" s="22">
        <f>SUMIF(tabParametros[Código do Posto],tabCustoUnit[[#This Row],[Código do Posto]],tabParametros[PAF])</f>
        <v>42.97</v>
      </c>
      <c r="AG233" s="22">
        <f>SUMIF(tabParametros[Código do Posto],tabCustoUnit[[#This Row],[Código do Posto]],tabParametros[PQM])</f>
        <v>0</v>
      </c>
      <c r="AH233" s="22">
        <f>SUMIF(tabParametros[Código do Posto],tabCustoUnit[[#This Row],[Código do Posto]],tabParametros[Abono Único e Especial])</f>
        <v>0</v>
      </c>
      <c r="AI233" s="22">
        <f>SUMIF(tabParametros[Código do Posto],tabCustoUnit[[#This Row],[Código do Posto]],tabParametros[Seguro de Vida])</f>
        <v>3.36</v>
      </c>
      <c r="AJ233" s="22">
        <f>SUMIF(tabParametros[Código do Posto],tabCustoUnit[[#This Row],[Código do Posto]],tabParametros[Despesas de Viagem])</f>
        <v>0</v>
      </c>
      <c r="AK233" s="22" t="e">
        <f ca="1">SUM(tabCustoUnit[[#This Row],[Vale - Transporte (Descontada parcela do empregado)]:[Despesas de Viagem]])</f>
        <v>#NAME?</v>
      </c>
      <c r="AL233" s="22" t="e">
        <f ca="1">tabCustoUnit[[#This Row],[Submódulo 2.1]]+tabCustoUnit[[#This Row],[Submódulo 2.2]]+tabCustoUnit[[#This Row],[Submódulo 2.3]]</f>
        <v>#NAME?</v>
      </c>
      <c r="AM233" s="22">
        <f>SUMIF(tabParametros[Código do Posto],tabCustoUnit[[#This Row],[Código do Posto]],tabParametros[Aviso Prévio Indenizado (API) e Reflexo do Aviso Prévio Indenizado])*tabCustoUnit[[#This Row],[MODULO 1 - REMUNERAÇÃO ]]</f>
        <v>23.819887450713736</v>
      </c>
      <c r="AN233" s="22">
        <f>SUMIF(tabParametros[Código do Posto],tabCustoUnit[[#This Row],[Código do Posto]],tabParametros[Incidência do FGTS sobre API e Reflexo do API])*tabCustoUnit[[#This Row],[MODULO 1 - REMUNERAÇÃO ]]</f>
        <v>1.9055909960570991</v>
      </c>
      <c r="AO233" s="22">
        <f>SUMIF(tabParametros[Código do Posto],tabCustoUnit[[#This Row],[Código do Posto]],tabParametros[Multa Rescisória do FGTS sobre o Aviso Prévio Indenizado])*tabCustoUnit[[#This Row],[MODULO 1 - REMUNERAÇÃO ]]</f>
        <v>0.76223639842283974</v>
      </c>
      <c r="AP233" s="22">
        <f>SUMIF(tabParametros[Código do Posto],tabCustoUnit[[#This Row],[Código do Posto]],tabParametros[Aviso Prévio Trabalhado - APT])*tabCustoUnit[[#This Row],[MODULO 1 - REMUNERAÇÃO ]]</f>
        <v>11.889956750000003</v>
      </c>
      <c r="AQ233" s="22">
        <f>SUMIF(tabParametros[Código do Posto],tabCustoUnit[[#This Row],[Código do Posto]],tabParametros[Incidência dos encargos do submódulo 2.1 sobre Aviso Prévio Trabalhado])*tabCustoUnit[[#This Row],[MODULO 1 - REMUNERAÇÃO ]]</f>
        <v>4.4944036515000017</v>
      </c>
      <c r="AR233" s="22">
        <f>SUMIF(tabParametros[Código do Posto],tabCustoUnit[[#This Row],[Código do Posto]],tabParametros[Multa Rescisória do FGTS])*tabCustoUnit[[#This Row],[MODULO 1 - REMUNERAÇÃO ]]</f>
        <v>103.87670151111111</v>
      </c>
      <c r="AS233" s="22">
        <f>SUMIF(tabParametros[Código do Posto],tabCustoUnit[[#This Row],[Código do Posto]],tabParametros[Indenização Adicional (Art. 9º da Lei nº 7.238/84)])*tabCustoUnit[[#This Row],[MODULO 1 - REMUNERAÇÃO ]]</f>
        <v>2.8309420833333339</v>
      </c>
      <c r="AT233" s="22">
        <f>SUM(tabCustoUnit[[#This Row],[Aviso Prévio Indenizado (API) e Reflexo do Aviso Prévio Indenizado]:[Indenização Adicional (Art. 9º da Lei nº 7.238/84)]])</f>
        <v>149.57971884113812</v>
      </c>
      <c r="AU233" s="22">
        <f>SUMIF(tabParametros[Código do Posto],tabCustoUnit[[#This Row],[Código do Posto]],tabParametros[Ausência por Doença])*tabCustoUnit[[#This Row],[MODULO 1 - REMUNERAÇÃO ]]</f>
        <v>28.686879777777776</v>
      </c>
      <c r="AV233" s="22">
        <f>SUMIF(tabParametros[Código do Posto],tabCustoUnit[[#This Row],[Código do Posto]],tabParametros[Ausências Legais])*tabCustoUnit[[#This Row],[MODULO 1 - REMUNERAÇÃO ]]</f>
        <v>6.888625736111111</v>
      </c>
      <c r="AW233" s="22">
        <f>SUMIF(tabParametros[Código do Posto],tabCustoUnit[[#This Row],[Código do Posto]],tabParametros[Licença Paternidade])*tabCustoUnit[[#This Row],[MODULO 1 - REMUNERAÇÃO ]]</f>
        <v>0.58034312708333335</v>
      </c>
      <c r="AX233" s="22">
        <f>SUMIF(tabParametros[Código do Posto],tabCustoUnit[[#This Row],[Código do Posto]],tabParametros[Ausência por Acidente de Trabalho])*tabCustoUnit[[#This Row],[MODULO 1 - REMUNERAÇÃO ]]</f>
        <v>0.70773552083333346</v>
      </c>
      <c r="AY233" s="22">
        <f>SUMIF(tabParametros[Código do Posto],tabCustoUnit[[#This Row],[Código do Posto]],tabParametros[Férias, Adicional de Férias e 13º  com empregada em gozo de Licença Maternidade])*tabCustoUnit[[#This Row],[MODULO 1 - REMUNERAÇÃO ]]</f>
        <v>4.4036876851851856</v>
      </c>
      <c r="AZ233" s="22">
        <f>SUMIF(tabParametros[Código do Posto],tabCustoUnit[[#This Row],[Código do Posto]],tabParametros[Incidência do Submódulo 2.1 sobre Ausências Legais])*tabCustoUnit[[#This Row],[MODULO 1 - REMUNERAÇÃO ]]</f>
        <v>15.599028758162504</v>
      </c>
      <c r="BA233" s="22">
        <f>SUM(tabCustoUnit[[#This Row],[Ausência por Doença]:[Incidência do Submódulo 2.1 sobre Ausências Legais]])</f>
        <v>56.866300605153235</v>
      </c>
      <c r="BB233" s="22">
        <f>SUMIF(tabParametros[Código do Posto],tabCustoUnit[[#This Row],[Código do Posto]],tabParametros[Intervalo para Repouso ou Alimentação])</f>
        <v>0</v>
      </c>
      <c r="BC233" s="22">
        <f>tabCustoUnit[[#This Row],[Intervalo para Repouso ou Alimentação]]</f>
        <v>0</v>
      </c>
      <c r="BD23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3" s="22">
        <f>tabCustoUnit[[#This Row],[Suspensão Temporária do Contrato de Trabalho]]</f>
        <v>0</v>
      </c>
      <c r="BF233" s="22">
        <f>tabCustoUnit[[#This Row],[Submódulo 4.1]]+tabCustoUnit[[#This Row],[Submódulo 4.2]]+tabCustoUnit[[#This Row],[Submódulo 4.3]]</f>
        <v>56.866300605153235</v>
      </c>
      <c r="BG233" s="22">
        <f>VLOOKUP(tabCustoUnit[[#This Row],[Código do Posto]],tabParametros[],MATCH(tabCustoUnit[[#Headers],[Uniformes e EPIs]],tabParametros[#Headers],0),0)</f>
        <v>56.642978962543395</v>
      </c>
      <c r="BH233" s="22">
        <f>VLOOKUP(tabCustoUnit[[#This Row],[Código do Posto]],tabParametros[],MATCH(tabCustoUnit[[#Headers],[Materiais de Consumo]],tabParametros[#Headers],0),0)</f>
        <v>0</v>
      </c>
      <c r="BI233" s="22">
        <f>VLOOKUP(tabCustoUnit[[#This Row],[Código do Posto]],tabParametros[],MATCH(tabCustoUnit[[#Headers],[Máquinas e Equipamentos (depreciação)]],tabParametros[#Headers],0),0)</f>
        <v>0</v>
      </c>
      <c r="BJ233" s="22">
        <f>VLOOKUP(tabCustoUnit[[#This Row],[Código do Posto]],tabParametros[],MATCH(tabCustoUnit[[#Headers],[Produtos de Limpeza e Materiais de Higiene Pessoal]],tabParametros[#Headers],0),0)</f>
        <v>0</v>
      </c>
      <c r="BK233" s="22">
        <f>VLOOKUP(tabCustoUnit[[#This Row],[Código do Posto]],tabParametros[],MATCH(tabCustoUnit[[#Headers],[Outros (especificar)]],tabParametros[#Headers],0),0)</f>
        <v>0</v>
      </c>
      <c r="BL233" s="22">
        <f>SUM(tabCustoUnit[[#This Row],[Uniformes e EPIs]:[Outros (especificar)]])</f>
        <v>56.642978962543395</v>
      </c>
      <c r="BM23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3" s="22" t="e">
        <f ca="1">VLOOKUP(tabCustoUnit[[#This Row],[Código do Posto]],tabParametros[],MATCH(tabCustoUnit[[#Headers],[Custos Indiretos]],tabParametros[#Headers],0),0)</f>
        <v>#NAME?</v>
      </c>
      <c r="BO233" s="22" t="e">
        <f ca="1">VLOOKUP(tabCustoUnit[[#This Row],[Código do Posto]],tabParametros[],MATCH(tabCustoUnit[[#Headers],[Lucro]],tabParametros[#Headers],0),0)</f>
        <v>#NAME?</v>
      </c>
      <c r="BP233" s="26">
        <f>((100/((1-tabCustoUnit[[#This Row],[Resumo de Alíquotas (PIS+CONFINS+ISS)]]))-100)*VLOOKUP(tabCustoUnit[[#This Row],[Código do Posto]],tabParametros[],MATCH(tabCustoUnit[[#Headers],[COFINS]],tabParametros[#Headers],0),0))/(tabCustoUnit[[#This Row],[Resumo de Alíquotas (PIS+CONFINS+ISS)]]*100)</f>
        <v>8.6609686609686695E-2</v>
      </c>
      <c r="BQ233" s="26">
        <f>((100/((100-(tabCustoUnit[[#This Row],[Resumo de Alíquotas (PIS+CONFINS+ISS)]]*100))%)-100)*VLOOKUP(tabCustoUnit[[#This Row],[Código do Posto]],tabParametros[],MATCH(tabCustoUnit[[#Headers],[PIS]],tabParametros[#Headers],0),0))/(tabCustoUnit[[#This Row],[Resumo de Alíquotas (PIS+CONFINS+ISS)]]*100)</f>
        <v>1.880341880341882E-2</v>
      </c>
      <c r="BR233" s="28">
        <f>VLOOKUP(tabCustoUnit[[#This Row],[Código do Posto]],tabParametros[],MATCH(tabCustoUnit[[#Headers],[ISS]],tabParametros[#Headers],0),0)</f>
        <v>0.03</v>
      </c>
      <c r="BS233" s="26">
        <f>(((100/((100-(tabCustoUnit[[#This Row],[Resumo de Alíquotas (PIS+CONFINS+ISS)]]*100))%)-100)*tabCustoUnit[[#This Row],[ISS]])/tabCustoUnit[[#This Row],[Resumo de Alíquotas (PIS+CONFINS+ISS)]])/100</f>
        <v>3.4188034188034219E-2</v>
      </c>
      <c r="BT23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3" s="138">
        <f>tabCustoUnit[[#This Row],[COFINS]]+tabCustoUnit[[#This Row],[PIS]]+tabCustoUnit[[#This Row],[ISS (Conversão Alíquota s/ fatura)]]</f>
        <v>0.13960113960113973</v>
      </c>
      <c r="BV233" s="22" t="e">
        <f ca="1">(tabCustoUnit[[#This Row],[TOTAL MÓDULOS 1+2+3+4+5]]+tabCustoUnit[[#This Row],[Custos Indiretos]]+tabCustoUnit[[#This Row],[Lucro]])*tabCustoUnit[[#This Row],[PIS + COFINS + ISS (Total Conversão  Alíquota s/ Fatura)]]</f>
        <v>#NAME?</v>
      </c>
      <c r="BW233" s="22" t="e">
        <f ca="1">tabCustoUnit[[#This Row],[Custos Indiretos]]+tabCustoUnit[[#This Row],[Lucro]]+tabCustoUnit[[#This Row],[Valor dos Tributos (ISS, PIS, CONFINS)]]</f>
        <v>#NAME?</v>
      </c>
      <c r="BX233" s="22" t="e">
        <f ca="1">tabCustoUnit[[#This Row],[TOTAL MÓDULOS 1+2+3+4+5]]+tabCustoUnit[[#This Row],[MÓDULO 6 – CUSTOS INDIRETOS, TRIBUTOS E LUCRO]]</f>
        <v>#NAME?</v>
      </c>
      <c r="BY233" s="22" t="e">
        <f ca="1">tabCustoUnit[[#This Row],[CUSTO TOTAL MENSAL]]*12</f>
        <v>#NAME?</v>
      </c>
      <c r="BZ233" s="24">
        <f>VLOOKUP(tabCustoUnit[[#This Row],[Código do Posto]],tabParametros[],MATCH(tabCustoUnit[[#Headers],[ANO DA CCT]],tabParametros[#Headers],0),0)</f>
        <v>45658</v>
      </c>
      <c r="CA233" s="25" t="str">
        <f>VLOOKUP(tabCustoUnit[[#This Row],[Código do Posto]],tabParametros[],MATCH(tabCustoUnit[[#Headers],[Nº DE PEDIDO DA CCT]],tabParametros[#Headers],0),0)</f>
        <v>-</v>
      </c>
      <c r="CB233" s="25" t="str">
        <f>VLOOKUP(tabCustoUnit[[#This Row],[Código do Posto]],tabParametros[],MATCH(tabCustoUnit[[#Headers],[TERMO ADITIVO ALTERAÇÃO DA CCT]],tabParametros[#Headers],0),0)</f>
        <v>-</v>
      </c>
    </row>
    <row r="234" spans="1:80">
      <c r="A234" s="20" t="s">
        <v>1497</v>
      </c>
      <c r="B234" t="s">
        <v>1174</v>
      </c>
      <c r="C234" t="s">
        <v>200</v>
      </c>
      <c r="D234" t="s">
        <v>942</v>
      </c>
      <c r="E234" s="20" t="s">
        <v>1090</v>
      </c>
      <c r="F234" s="20" t="s">
        <v>120</v>
      </c>
      <c r="G234" s="418">
        <v>1596.2737999999999</v>
      </c>
      <c r="H234" s="418">
        <v>0</v>
      </c>
      <c r="I234" s="418">
        <v>0</v>
      </c>
      <c r="J234" s="418">
        <v>0</v>
      </c>
      <c r="K234" s="418">
        <v>0</v>
      </c>
      <c r="L234" s="418">
        <v>0</v>
      </c>
      <c r="M234" s="418">
        <v>0</v>
      </c>
      <c r="N234" s="418">
        <v>0</v>
      </c>
      <c r="O234" s="21">
        <f>SUM(tabCustoUnit[[#This Row],[Salário Base]:[Adicional de Acúmulo de função]])</f>
        <v>1596.2737999999999</v>
      </c>
      <c r="P234" s="21">
        <f>tabCustoUnit[[#This Row],[MODULO 1 - REMUNERAÇÃO ]]*SUMIFS(tabParametros[INSS],tabParametros[Código do Posto],tabCustoUnit[[#This Row],[Código do Posto]])</f>
        <v>319.25476000000003</v>
      </c>
      <c r="Q234" s="21">
        <f>tabCustoUnit[[#This Row],[MODULO 1 - REMUNERAÇÃO ]]*SUMIFS(tabParametros[SESI OU SESC],tabParametros[Código do Posto],tabCustoUnit[[#This Row],[Código do Posto]])</f>
        <v>23.944106999999999</v>
      </c>
      <c r="R234" s="21">
        <f>tabCustoUnit[[#This Row],[MODULO 1 - REMUNERAÇÃO ]]*SUMIFS(tabParametros[SENAI OU SENAC],tabParametros[Código do Posto],tabCustoUnit[[#This Row],[Código do Posto]])</f>
        <v>15.962738</v>
      </c>
      <c r="S234" s="21">
        <f>tabCustoUnit[[#This Row],[MODULO 1 - REMUNERAÇÃO ]]*SUMIFS(tabParametros[INCRA],tabParametros[Código do Posto],tabCustoUnit[[#This Row],[Código do Posto]])</f>
        <v>3.1925476000000002</v>
      </c>
      <c r="T234" s="21">
        <f>tabCustoUnit[[#This Row],[MODULO 1 - REMUNERAÇÃO ]]*SUMIFS(tabParametros[Salário Educação],tabParametros[Código do Posto],tabCustoUnit[[#This Row],[Código do Posto]])</f>
        <v>39.906845000000004</v>
      </c>
      <c r="U234" s="21">
        <f>tabCustoUnit[[#This Row],[MODULO 1 - REMUNERAÇÃO ]]*SUMIFS(tabParametros[FGTS],tabParametros[Código do Posto],tabCustoUnit[[#This Row],[Código do Posto]])</f>
        <v>127.701904</v>
      </c>
      <c r="V234" s="21">
        <f>tabCustoUnit[[#This Row],[MODULO 1 - REMUNERAÇÃO ]]*SUMIFS(tabParametros[RAT Ajustado],tabParametros[Código do Posto],tabCustoUnit[[#This Row],[Código do Posto]])</f>
        <v>63.850951999999999</v>
      </c>
      <c r="W234" s="21">
        <f>tabCustoUnit[[#This Row],[MODULO 1 - REMUNERAÇÃO ]]*SUMIFS(tabParametros[SEBRAE],tabParametros[Código do Posto],tabCustoUnit[[#This Row],[Código do Posto]])</f>
        <v>9.5776427999999996</v>
      </c>
      <c r="X234" s="21">
        <f>SUM(tabCustoUnit[[#This Row],[INSS]:[SEBRAE]])</f>
        <v>603.39149640000005</v>
      </c>
      <c r="Y234" s="21">
        <f>tabCustoUnit[[#This Row],[MODULO 1 - REMUNERAÇÃO ]]*SUMIFS(tabParametros[13º salário (titular)],tabParametros[Código do Posto],tabCustoUnit[[#This Row],[Código do Posto]])</f>
        <v>133.02281666666664</v>
      </c>
      <c r="Z234" s="21">
        <f>tabCustoUnit[[#This Row],[MODULO 1 - REMUNERAÇÃO ]]*SUMIFS(tabParametros[Férias e Adicional de Férias (titular)],tabParametros[Código do Posto],tabCustoUnit[[#This Row],[Código do Posto]])</f>
        <v>177.36375555555554</v>
      </c>
      <c r="AA234" s="21">
        <f>IFERROR((tabCustoUnit[[#This Row],[Submódulo 2.1]]/tabCustoUnit[[#This Row],[MODULO 1 - REMUNERAÇÃO ]])*SUM(tabCustoUnit[[#This Row],[13º salário (titular)]:[Férias e Adicional de Férias (titular)]]),0)</f>
        <v>117.3261243</v>
      </c>
      <c r="AB234" s="21">
        <f>SUM(tabCustoUnit[[#This Row],[13º salário (titular)]:[Incidência do Submódulo 2.1 sobre 13º Salário, Férias e Adicional de Férias]])</f>
        <v>427.71269652222219</v>
      </c>
      <c r="AC234" s="22" t="e">
        <f ca="1">_xlfn.LET(_xlpm.VT,SUMIF(tabParametros[Código do Posto],tabCustoUnit[[#This Row],[Código do Posto]],tabParametros[Vale - Transporte])*2*20,
IF((_xlpm.VT-tabCustoUnit[[#This Row],[Salário Base]]*0.06)&gt;=0,(_xlpm.VT-tabCustoUnit[[#This Row],[Salário Base]]*0.06),0)
)</f>
        <v>#NAME?</v>
      </c>
      <c r="AD234" s="22">
        <f>IF(SUMIF(tabParametros[Código do Posto],tabCustoUnit[[#This Row],[Código do Posto]],tabParametros[Vale - Alimentação])&lt;=0,0,
SUMIF(tabParametros[Código do Posto],tabCustoUnit[[#This Row],[Código do Posto]],tabParametros[Vale - Alimentação])*20-1)</f>
        <v>582</v>
      </c>
      <c r="AE234" s="22">
        <f>SUMIF(tabParametros[Código do Posto],tabCustoUnit[[#This Row],[Código do Posto]],tabParametros[Cesta Básica])</f>
        <v>0</v>
      </c>
      <c r="AF234" s="22">
        <f>SUMIF(tabParametros[Código do Posto],tabCustoUnit[[#This Row],[Código do Posto]],tabParametros[PAF])</f>
        <v>51.88</v>
      </c>
      <c r="AG234" s="22">
        <f>SUMIF(tabParametros[Código do Posto],tabCustoUnit[[#This Row],[Código do Posto]],tabParametros[PQM])</f>
        <v>0</v>
      </c>
      <c r="AH234" s="22">
        <f>SUMIF(tabParametros[Código do Posto],tabCustoUnit[[#This Row],[Código do Posto]],tabParametros[Abono Único e Especial])</f>
        <v>0</v>
      </c>
      <c r="AI234" s="22">
        <f>SUMIF(tabParametros[Código do Posto],tabCustoUnit[[#This Row],[Código do Posto]],tabParametros[Seguro de Vida])</f>
        <v>3.36</v>
      </c>
      <c r="AJ234" s="22">
        <f>SUMIF(tabParametros[Código do Posto],tabCustoUnit[[#This Row],[Código do Posto]],tabParametros[Despesas de Viagem])</f>
        <v>0</v>
      </c>
      <c r="AK234" s="22" t="e">
        <f ca="1">SUM(tabCustoUnit[[#This Row],[Vale - Transporte (Descontada parcela do empregado)]:[Despesas de Viagem]])</f>
        <v>#NAME?</v>
      </c>
      <c r="AL234" s="22" t="e">
        <f ca="1">tabCustoUnit[[#This Row],[Submódulo 2.1]]+tabCustoUnit[[#This Row],[Submódulo 2.2]]+tabCustoUnit[[#This Row],[Submódulo 2.3]]</f>
        <v>#NAME?</v>
      </c>
      <c r="AM234" s="22">
        <f>SUMIF(tabParametros[Código do Posto],tabCustoUnit[[#This Row],[Código do Posto]],tabParametros[Aviso Prévio Indenizado (API) e Reflexo do Aviso Prévio Indenizado])*tabCustoUnit[[#This Row],[MODULO 1 - REMUNERAÇÃO ]]</f>
        <v>11.192699914390431</v>
      </c>
      <c r="AN234" s="22">
        <f>SUMIF(tabParametros[Código do Posto],tabCustoUnit[[#This Row],[Código do Posto]],tabParametros[Incidência do FGTS sobre API e Reflexo do API])*tabCustoUnit[[#This Row],[MODULO 1 - REMUNERAÇÃO ]]</f>
        <v>0.89541599315123466</v>
      </c>
      <c r="AO234" s="22">
        <f>SUMIF(tabParametros[Código do Posto],tabCustoUnit[[#This Row],[Código do Posto]],tabParametros[Multa Rescisória do FGTS sobre o Aviso Prévio Indenizado])*tabCustoUnit[[#This Row],[MODULO 1 - REMUNERAÇÃO ]]</f>
        <v>0.35816639726049387</v>
      </c>
      <c r="AP234" s="22">
        <f>SUMIF(tabParametros[Código do Posto],tabCustoUnit[[#This Row],[Código do Posto]],tabParametros[Aviso Prévio Trabalhado - APT])*tabCustoUnit[[#This Row],[MODULO 1 - REMUNERAÇÃO ]]</f>
        <v>5.5869583000000009</v>
      </c>
      <c r="AQ234" s="22">
        <f>SUMIF(tabParametros[Código do Posto],tabCustoUnit[[#This Row],[Código do Posto]],tabParametros[Incidência dos encargos do submódulo 2.1 sobre Aviso Prévio Trabalhado])*tabCustoUnit[[#This Row],[MODULO 1 - REMUNERAÇÃO ]]</f>
        <v>2.1118702374000007</v>
      </c>
      <c r="AR234" s="22">
        <f>SUMIF(tabParametros[Código do Posto],tabCustoUnit[[#This Row],[Código do Posto]],tabParametros[Multa Rescisória do FGTS])*tabCustoUnit[[#This Row],[MODULO 1 - REMUNERAÇÃO ]]</f>
        <v>48.810505528888882</v>
      </c>
      <c r="AS234" s="22">
        <f>SUMIF(tabParametros[Código do Posto],tabCustoUnit[[#This Row],[Código do Posto]],tabParametros[Indenização Adicional (Art. 9º da Lei nº 7.238/84)])*tabCustoUnit[[#This Row],[MODULO 1 - REMUNERAÇÃO ]]</f>
        <v>1.3302281666666667</v>
      </c>
      <c r="AT234" s="22">
        <f>SUM(tabCustoUnit[[#This Row],[Aviso Prévio Indenizado (API) e Reflexo do Aviso Prévio Indenizado]:[Indenização Adicional (Art. 9º da Lei nº 7.238/84)]])</f>
        <v>70.285844537757711</v>
      </c>
      <c r="AU234" s="22">
        <f>SUMIF(tabParametros[Código do Posto],tabCustoUnit[[#This Row],[Código do Posto]],tabParametros[Ausência por Doença])*tabCustoUnit[[#This Row],[MODULO 1 - REMUNERAÇÃO ]]</f>
        <v>13.479645422222221</v>
      </c>
      <c r="AV234" s="22">
        <f>SUMIF(tabParametros[Código do Posto],tabCustoUnit[[#This Row],[Código do Posto]],tabParametros[Ausências Legais])*tabCustoUnit[[#This Row],[MODULO 1 - REMUNERAÇÃO ]]</f>
        <v>3.2368885388888886</v>
      </c>
      <c r="AW234" s="22">
        <f>SUMIF(tabParametros[Código do Posto],tabCustoUnit[[#This Row],[Código do Posto]],tabParametros[Licença Paternidade])*tabCustoUnit[[#This Row],[MODULO 1 - REMUNERAÇÃO ]]</f>
        <v>0.27269677416666666</v>
      </c>
      <c r="AX234" s="22">
        <f>SUMIF(tabParametros[Código do Posto],tabCustoUnit[[#This Row],[Código do Posto]],tabParametros[Ausência por Acidente de Trabalho])*tabCustoUnit[[#This Row],[MODULO 1 - REMUNERAÇÃO ]]</f>
        <v>0.33255704166666666</v>
      </c>
      <c r="AY234" s="22">
        <f>SUMIF(tabParametros[Código do Posto],tabCustoUnit[[#This Row],[Código do Posto]],tabParametros[Férias, Adicional de Férias e 13º  com empregada em gozo de Licença Maternidade])*tabCustoUnit[[#This Row],[MODULO 1 - REMUNERAÇÃO ]]</f>
        <v>2.0692438148148145</v>
      </c>
      <c r="AZ234" s="22">
        <f>SUMIF(tabParametros[Código do Posto],tabCustoUnit[[#This Row],[Código do Posto]],tabParametros[Incidência do Submódulo 2.1 sobre Ausências Legais])*tabCustoUnit[[#This Row],[MODULO 1 - REMUNERAÇÃO ]]</f>
        <v>7.3298099416850011</v>
      </c>
      <c r="BA234" s="22">
        <f>SUM(tabCustoUnit[[#This Row],[Ausência por Doença]:[Incidência do Submódulo 2.1 sobre Ausências Legais]])</f>
        <v>26.720841533444265</v>
      </c>
      <c r="BB234" s="22">
        <f>SUMIF(tabParametros[Código do Posto],tabCustoUnit[[#This Row],[Código do Posto]],tabParametros[Intervalo para Repouso ou Alimentação])</f>
        <v>0</v>
      </c>
      <c r="BC234" s="22">
        <f>tabCustoUnit[[#This Row],[Intervalo para Repouso ou Alimentação]]</f>
        <v>0</v>
      </c>
      <c r="BD23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4" s="22">
        <f>tabCustoUnit[[#This Row],[Suspensão Temporária do Contrato de Trabalho]]</f>
        <v>0</v>
      </c>
      <c r="BF234" s="22">
        <f>tabCustoUnit[[#This Row],[Submódulo 4.1]]+tabCustoUnit[[#This Row],[Submódulo 4.2]]+tabCustoUnit[[#This Row],[Submódulo 4.3]]</f>
        <v>26.720841533444265</v>
      </c>
      <c r="BG234" s="22">
        <f>VLOOKUP(tabCustoUnit[[#This Row],[Código do Posto]],tabParametros[],MATCH(tabCustoUnit[[#Headers],[Uniformes e EPIs]],tabParametros[#Headers],0),0)</f>
        <v>56.141713661989918</v>
      </c>
      <c r="BH234" s="22">
        <f>VLOOKUP(tabCustoUnit[[#This Row],[Código do Posto]],tabParametros[],MATCH(tabCustoUnit[[#Headers],[Materiais de Consumo]],tabParametros[#Headers],0),0)</f>
        <v>0</v>
      </c>
      <c r="BI234" s="22">
        <f>VLOOKUP(tabCustoUnit[[#This Row],[Código do Posto]],tabParametros[],MATCH(tabCustoUnit[[#Headers],[Máquinas e Equipamentos (depreciação)]],tabParametros[#Headers],0),0)</f>
        <v>0</v>
      </c>
      <c r="BJ234" s="22">
        <f>VLOOKUP(tabCustoUnit[[#This Row],[Código do Posto]],tabParametros[],MATCH(tabCustoUnit[[#Headers],[Produtos de Limpeza e Materiais de Higiene Pessoal]],tabParametros[#Headers],0),0)</f>
        <v>0</v>
      </c>
      <c r="BK234" s="22">
        <f>VLOOKUP(tabCustoUnit[[#This Row],[Código do Posto]],tabParametros[],MATCH(tabCustoUnit[[#Headers],[Outros (especificar)]],tabParametros[#Headers],0),0)</f>
        <v>0</v>
      </c>
      <c r="BL234" s="22">
        <f>SUM(tabCustoUnit[[#This Row],[Uniformes e EPIs]:[Outros (especificar)]])</f>
        <v>56.141713661989918</v>
      </c>
      <c r="BM23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4" s="22" t="e">
        <f ca="1">VLOOKUP(tabCustoUnit[[#This Row],[Código do Posto]],tabParametros[],MATCH(tabCustoUnit[[#Headers],[Custos Indiretos]],tabParametros[#Headers],0),0)</f>
        <v>#NAME?</v>
      </c>
      <c r="BO234" s="22" t="e">
        <f ca="1">VLOOKUP(tabCustoUnit[[#This Row],[Código do Posto]],tabParametros[],MATCH(tabCustoUnit[[#Headers],[Lucro]],tabParametros[#Headers],0),0)</f>
        <v>#NAME?</v>
      </c>
      <c r="BP234" s="26">
        <f>((100/((1-tabCustoUnit[[#This Row],[Resumo de Alíquotas (PIS+CONFINS+ISS)]]))-100)*VLOOKUP(tabCustoUnit[[#This Row],[Código do Posto]],tabParametros[],MATCH(tabCustoUnit[[#Headers],[COFINS]],tabParametros[#Headers],0),0))/(tabCustoUnit[[#This Row],[Resumo de Alíquotas (PIS+CONFINS+ISS)]]*100)</f>
        <v>8.6609686609686695E-2</v>
      </c>
      <c r="BQ234" s="26">
        <f>((100/((100-(tabCustoUnit[[#This Row],[Resumo de Alíquotas (PIS+CONFINS+ISS)]]*100))%)-100)*VLOOKUP(tabCustoUnit[[#This Row],[Código do Posto]],tabParametros[],MATCH(tabCustoUnit[[#Headers],[PIS]],tabParametros[#Headers],0),0))/(tabCustoUnit[[#This Row],[Resumo de Alíquotas (PIS+CONFINS+ISS)]]*100)</f>
        <v>1.880341880341882E-2</v>
      </c>
      <c r="BR234" s="28">
        <f>VLOOKUP(tabCustoUnit[[#This Row],[Código do Posto]],tabParametros[],MATCH(tabCustoUnit[[#Headers],[ISS]],tabParametros[#Headers],0),0)</f>
        <v>0.03</v>
      </c>
      <c r="BS234" s="26">
        <f>(((100/((100-(tabCustoUnit[[#This Row],[Resumo de Alíquotas (PIS+CONFINS+ISS)]]*100))%)-100)*tabCustoUnit[[#This Row],[ISS]])/tabCustoUnit[[#This Row],[Resumo de Alíquotas (PIS+CONFINS+ISS)]])/100</f>
        <v>3.4188034188034219E-2</v>
      </c>
      <c r="BT23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4" s="138">
        <f>tabCustoUnit[[#This Row],[COFINS]]+tabCustoUnit[[#This Row],[PIS]]+tabCustoUnit[[#This Row],[ISS (Conversão Alíquota s/ fatura)]]</f>
        <v>0.13960113960113973</v>
      </c>
      <c r="BV234" s="22" t="e">
        <f ca="1">(tabCustoUnit[[#This Row],[TOTAL MÓDULOS 1+2+3+4+5]]+tabCustoUnit[[#This Row],[Custos Indiretos]]+tabCustoUnit[[#This Row],[Lucro]])*tabCustoUnit[[#This Row],[PIS + COFINS + ISS (Total Conversão  Alíquota s/ Fatura)]]</f>
        <v>#NAME?</v>
      </c>
      <c r="BW234" s="22" t="e">
        <f ca="1">tabCustoUnit[[#This Row],[Custos Indiretos]]+tabCustoUnit[[#This Row],[Lucro]]+tabCustoUnit[[#This Row],[Valor dos Tributos (ISS, PIS, CONFINS)]]</f>
        <v>#NAME?</v>
      </c>
      <c r="BX234" s="22" t="e">
        <f ca="1">tabCustoUnit[[#This Row],[TOTAL MÓDULOS 1+2+3+4+5]]+tabCustoUnit[[#This Row],[MÓDULO 6 – CUSTOS INDIRETOS, TRIBUTOS E LUCRO]]</f>
        <v>#NAME?</v>
      </c>
      <c r="BY234" s="22" t="e">
        <f ca="1">tabCustoUnit[[#This Row],[CUSTO TOTAL MENSAL]]*12</f>
        <v>#NAME?</v>
      </c>
      <c r="BZ234" s="24">
        <f>VLOOKUP(tabCustoUnit[[#This Row],[Código do Posto]],tabParametros[],MATCH(tabCustoUnit[[#Headers],[ANO DA CCT]],tabParametros[#Headers],0),0)</f>
        <v>45658</v>
      </c>
      <c r="CA234" s="25" t="str">
        <f>VLOOKUP(tabCustoUnit[[#This Row],[Código do Posto]],tabParametros[],MATCH(tabCustoUnit[[#Headers],[Nº DE PEDIDO DA CCT]],tabParametros[#Headers],0),0)</f>
        <v>-</v>
      </c>
      <c r="CB234" s="25" t="str">
        <f>VLOOKUP(tabCustoUnit[[#This Row],[Código do Posto]],tabParametros[],MATCH(tabCustoUnit[[#Headers],[TERMO ADITIVO ALTERAÇÃO DA CCT]],tabParametros[#Headers],0),0)</f>
        <v>-</v>
      </c>
    </row>
    <row r="235" spans="1:80">
      <c r="A235" s="20" t="s">
        <v>1662</v>
      </c>
      <c r="B235" t="s">
        <v>1174</v>
      </c>
      <c r="C235" t="s">
        <v>324</v>
      </c>
      <c r="D235" t="s">
        <v>942</v>
      </c>
      <c r="E235" s="20" t="s">
        <v>1090</v>
      </c>
      <c r="F235" s="20" t="s">
        <v>120</v>
      </c>
      <c r="G235" s="418">
        <v>3397.1305000000002</v>
      </c>
      <c r="H235" s="418">
        <v>0</v>
      </c>
      <c r="I235" s="418">
        <v>0</v>
      </c>
      <c r="J235" s="418">
        <v>0</v>
      </c>
      <c r="K235" s="418">
        <v>0</v>
      </c>
      <c r="L235" s="418">
        <v>0</v>
      </c>
      <c r="M235" s="418">
        <v>0</v>
      </c>
      <c r="N235" s="418">
        <v>0</v>
      </c>
      <c r="O235" s="21">
        <f>SUM(tabCustoUnit[[#This Row],[Salário Base]:[Adicional de Acúmulo de função]])</f>
        <v>3397.1305000000002</v>
      </c>
      <c r="P235" s="21">
        <f>tabCustoUnit[[#This Row],[MODULO 1 - REMUNERAÇÃO ]]*SUMIFS(tabParametros[INSS],tabParametros[Código do Posto],tabCustoUnit[[#This Row],[Código do Posto]])</f>
        <v>679.42610000000013</v>
      </c>
      <c r="Q235" s="21">
        <f>tabCustoUnit[[#This Row],[MODULO 1 - REMUNERAÇÃO ]]*SUMIFS(tabParametros[SESI OU SESC],tabParametros[Código do Posto],tabCustoUnit[[#This Row],[Código do Posto]])</f>
        <v>50.956957500000001</v>
      </c>
      <c r="R235" s="21">
        <f>tabCustoUnit[[#This Row],[MODULO 1 - REMUNERAÇÃO ]]*SUMIFS(tabParametros[SENAI OU SENAC],tabParametros[Código do Posto],tabCustoUnit[[#This Row],[Código do Posto]])</f>
        <v>33.971305000000001</v>
      </c>
      <c r="S235" s="21">
        <f>tabCustoUnit[[#This Row],[MODULO 1 - REMUNERAÇÃO ]]*SUMIFS(tabParametros[INCRA],tabParametros[Código do Posto],tabCustoUnit[[#This Row],[Código do Posto]])</f>
        <v>6.7942610000000005</v>
      </c>
      <c r="T235" s="21">
        <f>tabCustoUnit[[#This Row],[MODULO 1 - REMUNERAÇÃO ]]*SUMIFS(tabParametros[Salário Educação],tabParametros[Código do Posto],tabCustoUnit[[#This Row],[Código do Posto]])</f>
        <v>84.928262500000017</v>
      </c>
      <c r="U235" s="21">
        <f>tabCustoUnit[[#This Row],[MODULO 1 - REMUNERAÇÃO ]]*SUMIFS(tabParametros[FGTS],tabParametros[Código do Posto],tabCustoUnit[[#This Row],[Código do Posto]])</f>
        <v>271.77044000000001</v>
      </c>
      <c r="V235" s="21">
        <f>tabCustoUnit[[#This Row],[MODULO 1 - REMUNERAÇÃO ]]*SUMIFS(tabParametros[RAT Ajustado],tabParametros[Código do Posto],tabCustoUnit[[#This Row],[Código do Posto]])</f>
        <v>135.88522</v>
      </c>
      <c r="W235" s="21">
        <f>tabCustoUnit[[#This Row],[MODULO 1 - REMUNERAÇÃO ]]*SUMIFS(tabParametros[SEBRAE],tabParametros[Código do Posto],tabCustoUnit[[#This Row],[Código do Posto]])</f>
        <v>20.382783000000003</v>
      </c>
      <c r="X235" s="21">
        <f>SUM(tabCustoUnit[[#This Row],[INSS]:[SEBRAE]])</f>
        <v>1284.1153290000002</v>
      </c>
      <c r="Y235" s="21">
        <f>tabCustoUnit[[#This Row],[MODULO 1 - REMUNERAÇÃO ]]*SUMIFS(tabParametros[13º salário (titular)],tabParametros[Código do Posto],tabCustoUnit[[#This Row],[Código do Posto]])</f>
        <v>283.09420833333331</v>
      </c>
      <c r="Z235" s="21">
        <f>tabCustoUnit[[#This Row],[MODULO 1 - REMUNERAÇÃO ]]*SUMIFS(tabParametros[Férias e Adicional de Férias (titular)],tabParametros[Código do Posto],tabCustoUnit[[#This Row],[Código do Posto]])</f>
        <v>377.45894444444446</v>
      </c>
      <c r="AA235" s="21">
        <f>IFERROR((tabCustoUnit[[#This Row],[Submódulo 2.1]]/tabCustoUnit[[#This Row],[MODULO 1 - REMUNERAÇÃO ]])*SUM(tabCustoUnit[[#This Row],[13º salário (titular)]:[Férias e Adicional de Férias (titular)]]),0)</f>
        <v>249.68909175000005</v>
      </c>
      <c r="AB235" s="21">
        <f>SUM(tabCustoUnit[[#This Row],[13º salário (titular)]:[Incidência do Submódulo 2.1 sobre 13º Salário, Férias e Adicional de Férias]])</f>
        <v>910.24224452777776</v>
      </c>
      <c r="AC235" s="22" t="e">
        <f ca="1">_xlfn.LET(_xlpm.VT,SUMIF(tabParametros[Código do Posto],tabCustoUnit[[#This Row],[Código do Posto]],tabParametros[Vale - Transporte])*2*20,
IF((_xlpm.VT-tabCustoUnit[[#This Row],[Salário Base]]*0.06)&gt;=0,(_xlpm.VT-tabCustoUnit[[#This Row],[Salário Base]]*0.06),0)
)</f>
        <v>#NAME?</v>
      </c>
      <c r="AD235" s="22">
        <f>IF(SUMIF(tabParametros[Código do Posto],tabCustoUnit[[#This Row],[Código do Posto]],tabParametros[Vale - Alimentação])&lt;=0,0,
SUMIF(tabParametros[Código do Posto],tabCustoUnit[[#This Row],[Código do Posto]],tabParametros[Vale - Alimentação])*20-1)</f>
        <v>582</v>
      </c>
      <c r="AE235" s="22">
        <f>SUMIF(tabParametros[Código do Posto],tabCustoUnit[[#This Row],[Código do Posto]],tabParametros[Cesta Básica])</f>
        <v>0</v>
      </c>
      <c r="AF235" s="22">
        <f>SUMIF(tabParametros[Código do Posto],tabCustoUnit[[#This Row],[Código do Posto]],tabParametros[PAF])</f>
        <v>51.88</v>
      </c>
      <c r="AG235" s="22">
        <f>SUMIF(tabParametros[Código do Posto],tabCustoUnit[[#This Row],[Código do Posto]],tabParametros[PQM])</f>
        <v>0</v>
      </c>
      <c r="AH235" s="22">
        <f>SUMIF(tabParametros[Código do Posto],tabCustoUnit[[#This Row],[Código do Posto]],tabParametros[Abono Único e Especial])</f>
        <v>0</v>
      </c>
      <c r="AI235" s="22">
        <f>SUMIF(tabParametros[Código do Posto],tabCustoUnit[[#This Row],[Código do Posto]],tabParametros[Seguro de Vida])</f>
        <v>3.36</v>
      </c>
      <c r="AJ235" s="22">
        <f>SUMIF(tabParametros[Código do Posto],tabCustoUnit[[#This Row],[Código do Posto]],tabParametros[Despesas de Viagem])</f>
        <v>0</v>
      </c>
      <c r="AK235" s="22" t="e">
        <f ca="1">SUM(tabCustoUnit[[#This Row],[Vale - Transporte (Descontada parcela do empregado)]:[Despesas de Viagem]])</f>
        <v>#NAME?</v>
      </c>
      <c r="AL235" s="22" t="e">
        <f ca="1">tabCustoUnit[[#This Row],[Submódulo 2.1]]+tabCustoUnit[[#This Row],[Submódulo 2.2]]+tabCustoUnit[[#This Row],[Submódulo 2.3]]</f>
        <v>#NAME?</v>
      </c>
      <c r="AM235" s="22">
        <f>SUMIF(tabParametros[Código do Posto],tabCustoUnit[[#This Row],[Código do Posto]],tabParametros[Aviso Prévio Indenizado (API) e Reflexo do Aviso Prévio Indenizado])*tabCustoUnit[[#This Row],[MODULO 1 - REMUNERAÇÃO ]]</f>
        <v>23.819887450713736</v>
      </c>
      <c r="AN235" s="22">
        <f>SUMIF(tabParametros[Código do Posto],tabCustoUnit[[#This Row],[Código do Posto]],tabParametros[Incidência do FGTS sobre API e Reflexo do API])*tabCustoUnit[[#This Row],[MODULO 1 - REMUNERAÇÃO ]]</f>
        <v>1.9055909960570991</v>
      </c>
      <c r="AO235" s="22">
        <f>SUMIF(tabParametros[Código do Posto],tabCustoUnit[[#This Row],[Código do Posto]],tabParametros[Multa Rescisória do FGTS sobre o Aviso Prévio Indenizado])*tabCustoUnit[[#This Row],[MODULO 1 - REMUNERAÇÃO ]]</f>
        <v>0.76223639842283974</v>
      </c>
      <c r="AP235" s="22">
        <f>SUMIF(tabParametros[Código do Posto],tabCustoUnit[[#This Row],[Código do Posto]],tabParametros[Aviso Prévio Trabalhado - APT])*tabCustoUnit[[#This Row],[MODULO 1 - REMUNERAÇÃO ]]</f>
        <v>11.889956750000003</v>
      </c>
      <c r="AQ235" s="22">
        <f>SUMIF(tabParametros[Código do Posto],tabCustoUnit[[#This Row],[Código do Posto]],tabParametros[Incidência dos encargos do submódulo 2.1 sobre Aviso Prévio Trabalhado])*tabCustoUnit[[#This Row],[MODULO 1 - REMUNERAÇÃO ]]</f>
        <v>4.4944036515000017</v>
      </c>
      <c r="AR235" s="22">
        <f>SUMIF(tabParametros[Código do Posto],tabCustoUnit[[#This Row],[Código do Posto]],tabParametros[Multa Rescisória do FGTS])*tabCustoUnit[[#This Row],[MODULO 1 - REMUNERAÇÃO ]]</f>
        <v>103.87670151111111</v>
      </c>
      <c r="AS235" s="22">
        <f>SUMIF(tabParametros[Código do Posto],tabCustoUnit[[#This Row],[Código do Posto]],tabParametros[Indenização Adicional (Art. 9º da Lei nº 7.238/84)])*tabCustoUnit[[#This Row],[MODULO 1 - REMUNERAÇÃO ]]</f>
        <v>2.8309420833333339</v>
      </c>
      <c r="AT235" s="22">
        <f>SUM(tabCustoUnit[[#This Row],[Aviso Prévio Indenizado (API) e Reflexo do Aviso Prévio Indenizado]:[Indenização Adicional (Art. 9º da Lei nº 7.238/84)]])</f>
        <v>149.57971884113812</v>
      </c>
      <c r="AU235" s="22">
        <f>SUMIF(tabParametros[Código do Posto],tabCustoUnit[[#This Row],[Código do Posto]],tabParametros[Ausência por Doença])*tabCustoUnit[[#This Row],[MODULO 1 - REMUNERAÇÃO ]]</f>
        <v>28.686879777777776</v>
      </c>
      <c r="AV235" s="22">
        <f>SUMIF(tabParametros[Código do Posto],tabCustoUnit[[#This Row],[Código do Posto]],tabParametros[Ausências Legais])*tabCustoUnit[[#This Row],[MODULO 1 - REMUNERAÇÃO ]]</f>
        <v>6.888625736111111</v>
      </c>
      <c r="AW235" s="22">
        <f>SUMIF(tabParametros[Código do Posto],tabCustoUnit[[#This Row],[Código do Posto]],tabParametros[Licença Paternidade])*tabCustoUnit[[#This Row],[MODULO 1 - REMUNERAÇÃO ]]</f>
        <v>0.58034312708333335</v>
      </c>
      <c r="AX235" s="22">
        <f>SUMIF(tabParametros[Código do Posto],tabCustoUnit[[#This Row],[Código do Posto]],tabParametros[Ausência por Acidente de Trabalho])*tabCustoUnit[[#This Row],[MODULO 1 - REMUNERAÇÃO ]]</f>
        <v>0.70773552083333346</v>
      </c>
      <c r="AY235" s="22">
        <f>SUMIF(tabParametros[Código do Posto],tabCustoUnit[[#This Row],[Código do Posto]],tabParametros[Férias, Adicional de Férias e 13º  com empregada em gozo de Licença Maternidade])*tabCustoUnit[[#This Row],[MODULO 1 - REMUNERAÇÃO ]]</f>
        <v>4.4036876851851856</v>
      </c>
      <c r="AZ235" s="22">
        <f>SUMIF(tabParametros[Código do Posto],tabCustoUnit[[#This Row],[Código do Posto]],tabParametros[Incidência do Submódulo 2.1 sobre Ausências Legais])*tabCustoUnit[[#This Row],[MODULO 1 - REMUNERAÇÃO ]]</f>
        <v>15.599028758162504</v>
      </c>
      <c r="BA235" s="22">
        <f>SUM(tabCustoUnit[[#This Row],[Ausência por Doença]:[Incidência do Submódulo 2.1 sobre Ausências Legais]])</f>
        <v>56.866300605153235</v>
      </c>
      <c r="BB235" s="22">
        <f>SUMIF(tabParametros[Código do Posto],tabCustoUnit[[#This Row],[Código do Posto]],tabParametros[Intervalo para Repouso ou Alimentação])</f>
        <v>0</v>
      </c>
      <c r="BC235" s="22">
        <f>tabCustoUnit[[#This Row],[Intervalo para Repouso ou Alimentação]]</f>
        <v>0</v>
      </c>
      <c r="BD23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5" s="22">
        <f>tabCustoUnit[[#This Row],[Suspensão Temporária do Contrato de Trabalho]]</f>
        <v>0</v>
      </c>
      <c r="BF235" s="22">
        <f>tabCustoUnit[[#This Row],[Submódulo 4.1]]+tabCustoUnit[[#This Row],[Submódulo 4.2]]+tabCustoUnit[[#This Row],[Submódulo 4.3]]</f>
        <v>56.866300605153235</v>
      </c>
      <c r="BG235" s="22">
        <f>VLOOKUP(tabCustoUnit[[#This Row],[Código do Posto]],tabParametros[],MATCH(tabCustoUnit[[#Headers],[Uniformes e EPIs]],tabParametros[#Headers],0),0)</f>
        <v>56.642978962543395</v>
      </c>
      <c r="BH235" s="22">
        <f>VLOOKUP(tabCustoUnit[[#This Row],[Código do Posto]],tabParametros[],MATCH(tabCustoUnit[[#Headers],[Materiais de Consumo]],tabParametros[#Headers],0),0)</f>
        <v>0</v>
      </c>
      <c r="BI235" s="22">
        <f>VLOOKUP(tabCustoUnit[[#This Row],[Código do Posto]],tabParametros[],MATCH(tabCustoUnit[[#Headers],[Máquinas e Equipamentos (depreciação)]],tabParametros[#Headers],0),0)</f>
        <v>0</v>
      </c>
      <c r="BJ235" s="22">
        <f>VLOOKUP(tabCustoUnit[[#This Row],[Código do Posto]],tabParametros[],MATCH(tabCustoUnit[[#Headers],[Produtos de Limpeza e Materiais de Higiene Pessoal]],tabParametros[#Headers],0),0)</f>
        <v>0</v>
      </c>
      <c r="BK235" s="22">
        <f>VLOOKUP(tabCustoUnit[[#This Row],[Código do Posto]],tabParametros[],MATCH(tabCustoUnit[[#Headers],[Outros (especificar)]],tabParametros[#Headers],0),0)</f>
        <v>0</v>
      </c>
      <c r="BL235" s="22">
        <f>SUM(tabCustoUnit[[#This Row],[Uniformes e EPIs]:[Outros (especificar)]])</f>
        <v>56.642978962543395</v>
      </c>
      <c r="BM23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5" s="22" t="e">
        <f ca="1">VLOOKUP(tabCustoUnit[[#This Row],[Código do Posto]],tabParametros[],MATCH(tabCustoUnit[[#Headers],[Custos Indiretos]],tabParametros[#Headers],0),0)</f>
        <v>#NAME?</v>
      </c>
      <c r="BO235" s="22" t="e">
        <f ca="1">VLOOKUP(tabCustoUnit[[#This Row],[Código do Posto]],tabParametros[],MATCH(tabCustoUnit[[#Headers],[Lucro]],tabParametros[#Headers],0),0)</f>
        <v>#NAME?</v>
      </c>
      <c r="BP235" s="26">
        <f>((100/((1-tabCustoUnit[[#This Row],[Resumo de Alíquotas (PIS+CONFINS+ISS)]]))-100)*VLOOKUP(tabCustoUnit[[#This Row],[Código do Posto]],tabParametros[],MATCH(tabCustoUnit[[#Headers],[COFINS]],tabParametros[#Headers],0),0))/(tabCustoUnit[[#This Row],[Resumo de Alíquotas (PIS+CONFINS+ISS)]]*100)</f>
        <v>8.6609686609686695E-2</v>
      </c>
      <c r="BQ235" s="26">
        <f>((100/((100-(tabCustoUnit[[#This Row],[Resumo de Alíquotas (PIS+CONFINS+ISS)]]*100))%)-100)*VLOOKUP(tabCustoUnit[[#This Row],[Código do Posto]],tabParametros[],MATCH(tabCustoUnit[[#Headers],[PIS]],tabParametros[#Headers],0),0))/(tabCustoUnit[[#This Row],[Resumo de Alíquotas (PIS+CONFINS+ISS)]]*100)</f>
        <v>1.880341880341882E-2</v>
      </c>
      <c r="BR235" s="28">
        <f>VLOOKUP(tabCustoUnit[[#This Row],[Código do Posto]],tabParametros[],MATCH(tabCustoUnit[[#Headers],[ISS]],tabParametros[#Headers],0),0)</f>
        <v>0.03</v>
      </c>
      <c r="BS235" s="26">
        <f>(((100/((100-(tabCustoUnit[[#This Row],[Resumo de Alíquotas (PIS+CONFINS+ISS)]]*100))%)-100)*tabCustoUnit[[#This Row],[ISS]])/tabCustoUnit[[#This Row],[Resumo de Alíquotas (PIS+CONFINS+ISS)]])/100</f>
        <v>3.4188034188034219E-2</v>
      </c>
      <c r="BT23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5" s="138">
        <f>tabCustoUnit[[#This Row],[COFINS]]+tabCustoUnit[[#This Row],[PIS]]+tabCustoUnit[[#This Row],[ISS (Conversão Alíquota s/ fatura)]]</f>
        <v>0.13960113960113973</v>
      </c>
      <c r="BV235" s="22" t="e">
        <f ca="1">(tabCustoUnit[[#This Row],[TOTAL MÓDULOS 1+2+3+4+5]]+tabCustoUnit[[#This Row],[Custos Indiretos]]+tabCustoUnit[[#This Row],[Lucro]])*tabCustoUnit[[#This Row],[PIS + COFINS + ISS (Total Conversão  Alíquota s/ Fatura)]]</f>
        <v>#NAME?</v>
      </c>
      <c r="BW235" s="22" t="e">
        <f ca="1">tabCustoUnit[[#This Row],[Custos Indiretos]]+tabCustoUnit[[#This Row],[Lucro]]+tabCustoUnit[[#This Row],[Valor dos Tributos (ISS, PIS, CONFINS)]]</f>
        <v>#NAME?</v>
      </c>
      <c r="BX235" s="22" t="e">
        <f ca="1">tabCustoUnit[[#This Row],[TOTAL MÓDULOS 1+2+3+4+5]]+tabCustoUnit[[#This Row],[MÓDULO 6 – CUSTOS INDIRETOS, TRIBUTOS E LUCRO]]</f>
        <v>#NAME?</v>
      </c>
      <c r="BY235" s="22" t="e">
        <f ca="1">tabCustoUnit[[#This Row],[CUSTO TOTAL MENSAL]]*12</f>
        <v>#NAME?</v>
      </c>
      <c r="BZ235" s="24">
        <f>VLOOKUP(tabCustoUnit[[#This Row],[Código do Posto]],tabParametros[],MATCH(tabCustoUnit[[#Headers],[ANO DA CCT]],tabParametros[#Headers],0),0)</f>
        <v>45658</v>
      </c>
      <c r="CA235" s="25" t="str">
        <f>VLOOKUP(tabCustoUnit[[#This Row],[Código do Posto]],tabParametros[],MATCH(tabCustoUnit[[#Headers],[Nº DE PEDIDO DA CCT]],tabParametros[#Headers],0),0)</f>
        <v>-</v>
      </c>
      <c r="CB235" s="25" t="str">
        <f>VLOOKUP(tabCustoUnit[[#This Row],[Código do Posto]],tabParametros[],MATCH(tabCustoUnit[[#Headers],[TERMO ADITIVO ALTERAÇÃO DA CCT]],tabParametros[#Headers],0),0)</f>
        <v>-</v>
      </c>
    </row>
    <row r="236" spans="1:80">
      <c r="A236" s="20" t="s">
        <v>1498</v>
      </c>
      <c r="B236" t="s">
        <v>1175</v>
      </c>
      <c r="C236" t="s">
        <v>314</v>
      </c>
      <c r="D236" t="s">
        <v>942</v>
      </c>
      <c r="E236" s="20" t="s">
        <v>1090</v>
      </c>
      <c r="F236" s="20" t="s">
        <v>120</v>
      </c>
      <c r="G236" s="418">
        <v>1963.405</v>
      </c>
      <c r="H236" s="418">
        <v>0</v>
      </c>
      <c r="I236" s="418">
        <v>0</v>
      </c>
      <c r="J236" s="418">
        <v>0</v>
      </c>
      <c r="K236" s="418">
        <v>0</v>
      </c>
      <c r="L236" s="418">
        <v>0</v>
      </c>
      <c r="M236" s="418">
        <v>0</v>
      </c>
      <c r="N236" s="418">
        <v>0</v>
      </c>
      <c r="O236" s="21">
        <f>SUM(tabCustoUnit[[#This Row],[Salário Base]:[Adicional de Acúmulo de função]])</f>
        <v>1963.405</v>
      </c>
      <c r="P236" s="21">
        <f>tabCustoUnit[[#This Row],[MODULO 1 - REMUNERAÇÃO ]]*SUMIFS(tabParametros[INSS],tabParametros[Código do Posto],tabCustoUnit[[#This Row],[Código do Posto]])</f>
        <v>392.68100000000004</v>
      </c>
      <c r="Q236" s="21">
        <f>tabCustoUnit[[#This Row],[MODULO 1 - REMUNERAÇÃO ]]*SUMIFS(tabParametros[SESI OU SESC],tabParametros[Código do Posto],tabCustoUnit[[#This Row],[Código do Posto]])</f>
        <v>29.451074999999999</v>
      </c>
      <c r="R236" s="21">
        <f>tabCustoUnit[[#This Row],[MODULO 1 - REMUNERAÇÃO ]]*SUMIFS(tabParametros[SENAI OU SENAC],tabParametros[Código do Posto],tabCustoUnit[[#This Row],[Código do Posto]])</f>
        <v>19.634049999999998</v>
      </c>
      <c r="S236" s="21">
        <f>tabCustoUnit[[#This Row],[MODULO 1 - REMUNERAÇÃO ]]*SUMIFS(tabParametros[INCRA],tabParametros[Código do Posto],tabCustoUnit[[#This Row],[Código do Posto]])</f>
        <v>3.9268100000000001</v>
      </c>
      <c r="T236" s="21">
        <f>tabCustoUnit[[#This Row],[MODULO 1 - REMUNERAÇÃO ]]*SUMIFS(tabParametros[Salário Educação],tabParametros[Código do Posto],tabCustoUnit[[#This Row],[Código do Posto]])</f>
        <v>49.085125000000005</v>
      </c>
      <c r="U236" s="21">
        <f>tabCustoUnit[[#This Row],[MODULO 1 - REMUNERAÇÃO ]]*SUMIFS(tabParametros[FGTS],tabParametros[Código do Posto],tabCustoUnit[[#This Row],[Código do Posto]])</f>
        <v>157.07239999999999</v>
      </c>
      <c r="V236" s="21">
        <f>tabCustoUnit[[#This Row],[MODULO 1 - REMUNERAÇÃO ]]*SUMIFS(tabParametros[RAT Ajustado],tabParametros[Código do Posto],tabCustoUnit[[#This Row],[Código do Posto]])</f>
        <v>78.536199999999994</v>
      </c>
      <c r="W236" s="21">
        <f>tabCustoUnit[[#This Row],[MODULO 1 - REMUNERAÇÃO ]]*SUMIFS(tabParametros[SEBRAE],tabParametros[Código do Posto],tabCustoUnit[[#This Row],[Código do Posto]])</f>
        <v>11.780430000000001</v>
      </c>
      <c r="X236" s="21">
        <f>SUM(tabCustoUnit[[#This Row],[INSS]:[SEBRAE]])</f>
        <v>742.16709000000003</v>
      </c>
      <c r="Y236" s="21">
        <f>tabCustoUnit[[#This Row],[MODULO 1 - REMUNERAÇÃO ]]*SUMIFS(tabParametros[13º salário (titular)],tabParametros[Código do Posto],tabCustoUnit[[#This Row],[Código do Posto]])</f>
        <v>163.61708333333331</v>
      </c>
      <c r="Z236" s="21">
        <f>tabCustoUnit[[#This Row],[MODULO 1 - REMUNERAÇÃO ]]*SUMIFS(tabParametros[Férias e Adicional de Férias (titular)],tabParametros[Código do Posto],tabCustoUnit[[#This Row],[Código do Posto]])</f>
        <v>218.1561111111111</v>
      </c>
      <c r="AA236" s="21">
        <f>IFERROR((tabCustoUnit[[#This Row],[Submódulo 2.1]]/tabCustoUnit[[#This Row],[MODULO 1 - REMUNERAÇÃO ]])*SUM(tabCustoUnit[[#This Row],[13º salário (titular)]:[Férias e Adicional de Férias (titular)]]),0)</f>
        <v>144.31026749999998</v>
      </c>
      <c r="AB236" s="21">
        <f>SUM(tabCustoUnit[[#This Row],[13º salário (titular)]:[Incidência do Submódulo 2.1 sobre 13º Salário, Férias e Adicional de Férias]])</f>
        <v>526.08346194444437</v>
      </c>
      <c r="AC236" s="22" t="e">
        <f ca="1">_xlfn.LET(_xlpm.VT,SUMIF(tabParametros[Código do Posto],tabCustoUnit[[#This Row],[Código do Posto]],tabParametros[Vale - Transporte])*2*20,
IF((_xlpm.VT-tabCustoUnit[[#This Row],[Salário Base]]*0.06)&gt;=0,(_xlpm.VT-tabCustoUnit[[#This Row],[Salário Base]]*0.06),0)
)</f>
        <v>#NAME?</v>
      </c>
      <c r="AD236" s="22">
        <f>IF(SUMIF(tabParametros[Código do Posto],tabCustoUnit[[#This Row],[Código do Posto]],tabParametros[Vale - Alimentação])&lt;=0,0,
SUMIF(tabParametros[Código do Posto],tabCustoUnit[[#This Row],[Código do Posto]],tabParametros[Vale - Alimentação])*20-1)</f>
        <v>582</v>
      </c>
      <c r="AE236" s="22">
        <f>SUMIF(tabParametros[Código do Posto],tabCustoUnit[[#This Row],[Código do Posto]],tabParametros[Cesta Básica])</f>
        <v>0</v>
      </c>
      <c r="AF236" s="22">
        <f>SUMIF(tabParametros[Código do Posto],tabCustoUnit[[#This Row],[Código do Posto]],tabParametros[PAF])</f>
        <v>51.88</v>
      </c>
      <c r="AG236" s="22">
        <f>SUMIF(tabParametros[Código do Posto],tabCustoUnit[[#This Row],[Código do Posto]],tabParametros[PQM])</f>
        <v>0</v>
      </c>
      <c r="AH236" s="22">
        <f>SUMIF(tabParametros[Código do Posto],tabCustoUnit[[#This Row],[Código do Posto]],tabParametros[Abono Único e Especial])</f>
        <v>0</v>
      </c>
      <c r="AI236" s="22">
        <f>SUMIF(tabParametros[Código do Posto],tabCustoUnit[[#This Row],[Código do Posto]],tabParametros[Seguro de Vida])</f>
        <v>3.36</v>
      </c>
      <c r="AJ236" s="22">
        <f>SUMIF(tabParametros[Código do Posto],tabCustoUnit[[#This Row],[Código do Posto]],tabParametros[Despesas de Viagem])</f>
        <v>0</v>
      </c>
      <c r="AK236" s="22" t="e">
        <f ca="1">SUM(tabCustoUnit[[#This Row],[Vale - Transporte (Descontada parcela do empregado)]:[Despesas de Viagem]])</f>
        <v>#NAME?</v>
      </c>
      <c r="AL236" s="22" t="e">
        <f ca="1">tabCustoUnit[[#This Row],[Submódulo 2.1]]+tabCustoUnit[[#This Row],[Submódulo 2.2]]+tabCustoUnit[[#This Row],[Submódulo 2.3]]</f>
        <v>#NAME?</v>
      </c>
      <c r="AM236" s="22">
        <f>SUMIF(tabParametros[Código do Posto],tabCustoUnit[[#This Row],[Código do Posto]],tabParametros[Aviso Prévio Indenizado (API) e Reflexo do Aviso Prévio Indenizado])*tabCustoUnit[[#This Row],[MODULO 1 - REMUNERAÇÃO ]]</f>
        <v>13.766938338155864</v>
      </c>
      <c r="AN236" s="22">
        <f>SUMIF(tabParametros[Código do Posto],tabCustoUnit[[#This Row],[Código do Posto]],tabParametros[Incidência do FGTS sobre API e Reflexo do API])*tabCustoUnit[[#This Row],[MODULO 1 - REMUNERAÇÃO ]]</f>
        <v>1.1013550670524692</v>
      </c>
      <c r="AO236" s="22">
        <f>SUMIF(tabParametros[Código do Posto],tabCustoUnit[[#This Row],[Código do Posto]],tabParametros[Multa Rescisória do FGTS sobre o Aviso Prévio Indenizado])*tabCustoUnit[[#This Row],[MODULO 1 - REMUNERAÇÃO ]]</f>
        <v>0.44054202682098775</v>
      </c>
      <c r="AP236" s="22">
        <f>SUMIF(tabParametros[Código do Posto],tabCustoUnit[[#This Row],[Código do Posto]],tabParametros[Aviso Prévio Trabalhado - APT])*tabCustoUnit[[#This Row],[MODULO 1 - REMUNERAÇÃO ]]</f>
        <v>6.8719175000000012</v>
      </c>
      <c r="AQ236" s="22">
        <f>SUMIF(tabParametros[Código do Posto],tabCustoUnit[[#This Row],[Código do Posto]],tabParametros[Incidência dos encargos do submódulo 2.1 sobre Aviso Prévio Trabalhado])*tabCustoUnit[[#This Row],[MODULO 1 - REMUNERAÇÃO ]]</f>
        <v>2.5975848150000007</v>
      </c>
      <c r="AR236" s="22">
        <f>SUMIF(tabParametros[Código do Posto],tabCustoUnit[[#This Row],[Código do Posto]],tabParametros[Multa Rescisória do FGTS])*tabCustoUnit[[#This Row],[MODULO 1 - REMUNERAÇÃO ]]</f>
        <v>60.03656177777777</v>
      </c>
      <c r="AS236" s="22">
        <f>SUMIF(tabParametros[Código do Posto],tabCustoUnit[[#This Row],[Código do Posto]],tabParametros[Indenização Adicional (Art. 9º da Lei nº 7.238/84)])*tabCustoUnit[[#This Row],[MODULO 1 - REMUNERAÇÃO ]]</f>
        <v>1.6361708333333334</v>
      </c>
      <c r="AT236" s="22">
        <f>SUM(tabCustoUnit[[#This Row],[Aviso Prévio Indenizado (API) e Reflexo do Aviso Prévio Indenizado]:[Indenização Adicional (Art. 9º da Lei nº 7.238/84)]])</f>
        <v>86.451070358140427</v>
      </c>
      <c r="AU236" s="22">
        <f>SUMIF(tabParametros[Código do Posto],tabCustoUnit[[#This Row],[Código do Posto]],tabParametros[Ausência por Doença])*tabCustoUnit[[#This Row],[MODULO 1 - REMUNERAÇÃO ]]</f>
        <v>16.579864444444443</v>
      </c>
      <c r="AV236" s="22">
        <f>SUMIF(tabParametros[Código do Posto],tabCustoUnit[[#This Row],[Código do Posto]],tabParametros[Ausências Legais])*tabCustoUnit[[#This Row],[MODULO 1 - REMUNERAÇÃO ]]</f>
        <v>3.9813490277777777</v>
      </c>
      <c r="AW236" s="22">
        <f>SUMIF(tabParametros[Código do Posto],tabCustoUnit[[#This Row],[Código do Posto]],tabParametros[Licença Paternidade])*tabCustoUnit[[#This Row],[MODULO 1 - REMUNERAÇÃO ]]</f>
        <v>0.3354150208333333</v>
      </c>
      <c r="AX236" s="22">
        <f>SUMIF(tabParametros[Código do Posto],tabCustoUnit[[#This Row],[Código do Posto]],tabParametros[Ausência por Acidente de Trabalho])*tabCustoUnit[[#This Row],[MODULO 1 - REMUNERAÇÃO ]]</f>
        <v>0.40904270833333334</v>
      </c>
      <c r="AY236" s="22">
        <f>SUMIF(tabParametros[Código do Posto],tabCustoUnit[[#This Row],[Código do Posto]],tabParametros[Férias, Adicional de Férias e 13º  com empregada em gozo de Licença Maternidade])*tabCustoUnit[[#This Row],[MODULO 1 - REMUNERAÇÃO ]]</f>
        <v>2.5451546296296295</v>
      </c>
      <c r="AZ236" s="22">
        <f>SUMIF(tabParametros[Código do Posto],tabCustoUnit[[#This Row],[Código do Posto]],tabParametros[Incidência do Submódulo 2.1 sobre Ausências Legais])*tabCustoUnit[[#This Row],[MODULO 1 - REMUNERAÇÃO ]]</f>
        <v>9.0156121641250007</v>
      </c>
      <c r="BA236" s="22">
        <f>SUM(tabCustoUnit[[#This Row],[Ausência por Doença]:[Incidência do Submódulo 2.1 sobre Ausências Legais]])</f>
        <v>32.866437995143521</v>
      </c>
      <c r="BB236" s="22">
        <f>SUMIF(tabParametros[Código do Posto],tabCustoUnit[[#This Row],[Código do Posto]],tabParametros[Intervalo para Repouso ou Alimentação])</f>
        <v>267.73704981301341</v>
      </c>
      <c r="BC236" s="22">
        <f>tabCustoUnit[[#This Row],[Intervalo para Repouso ou Alimentação]]</f>
        <v>267.73704981301341</v>
      </c>
      <c r="BD23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6" s="22">
        <f>tabCustoUnit[[#This Row],[Suspensão Temporária do Contrato de Trabalho]]</f>
        <v>0</v>
      </c>
      <c r="BF236" s="22">
        <f>tabCustoUnit[[#This Row],[Submódulo 4.1]]+tabCustoUnit[[#This Row],[Submódulo 4.2]]+tabCustoUnit[[#This Row],[Submódulo 4.3]]</f>
        <v>300.60348780815696</v>
      </c>
      <c r="BG236" s="22">
        <f>VLOOKUP(tabCustoUnit[[#This Row],[Código do Posto]],tabParametros[],MATCH(tabCustoUnit[[#Headers],[Uniformes e EPIs]],tabParametros[#Headers],0),0)</f>
        <v>56.642978962543395</v>
      </c>
      <c r="BH236" s="22">
        <f>VLOOKUP(tabCustoUnit[[#This Row],[Código do Posto]],tabParametros[],MATCH(tabCustoUnit[[#Headers],[Materiais de Consumo]],tabParametros[#Headers],0),0)</f>
        <v>0</v>
      </c>
      <c r="BI236" s="22">
        <f>VLOOKUP(tabCustoUnit[[#This Row],[Código do Posto]],tabParametros[],MATCH(tabCustoUnit[[#Headers],[Máquinas e Equipamentos (depreciação)]],tabParametros[#Headers],0),0)</f>
        <v>0</v>
      </c>
      <c r="BJ236" s="22">
        <f>VLOOKUP(tabCustoUnit[[#This Row],[Código do Posto]],tabParametros[],MATCH(tabCustoUnit[[#Headers],[Produtos de Limpeza e Materiais de Higiene Pessoal]],tabParametros[#Headers],0),0)</f>
        <v>0</v>
      </c>
      <c r="BK236" s="22">
        <f>VLOOKUP(tabCustoUnit[[#This Row],[Código do Posto]],tabParametros[],MATCH(tabCustoUnit[[#Headers],[Outros (especificar)]],tabParametros[#Headers],0),0)</f>
        <v>0</v>
      </c>
      <c r="BL236" s="22">
        <f>SUM(tabCustoUnit[[#This Row],[Uniformes e EPIs]:[Outros (especificar)]])</f>
        <v>56.642978962543395</v>
      </c>
      <c r="BM23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6" s="22" t="e">
        <f ca="1">VLOOKUP(tabCustoUnit[[#This Row],[Código do Posto]],tabParametros[],MATCH(tabCustoUnit[[#Headers],[Custos Indiretos]],tabParametros[#Headers],0),0)</f>
        <v>#NAME?</v>
      </c>
      <c r="BO236" s="22" t="e">
        <f ca="1">VLOOKUP(tabCustoUnit[[#This Row],[Código do Posto]],tabParametros[],MATCH(tabCustoUnit[[#Headers],[Lucro]],tabParametros[#Headers],0),0)</f>
        <v>#NAME?</v>
      </c>
      <c r="BP236" s="26">
        <f>((100/((1-tabCustoUnit[[#This Row],[Resumo de Alíquotas (PIS+CONFINS+ISS)]]))-100)*VLOOKUP(tabCustoUnit[[#This Row],[Código do Posto]],tabParametros[],MATCH(tabCustoUnit[[#Headers],[COFINS]],tabParametros[#Headers],0),0))/(tabCustoUnit[[#This Row],[Resumo de Alíquotas (PIS+CONFINS+ISS)]]*100)</f>
        <v>8.6609686609686695E-2</v>
      </c>
      <c r="BQ236" s="26">
        <f>((100/((100-(tabCustoUnit[[#This Row],[Resumo de Alíquotas (PIS+CONFINS+ISS)]]*100))%)-100)*VLOOKUP(tabCustoUnit[[#This Row],[Código do Posto]],tabParametros[],MATCH(tabCustoUnit[[#Headers],[PIS]],tabParametros[#Headers],0),0))/(tabCustoUnit[[#This Row],[Resumo de Alíquotas (PIS+CONFINS+ISS)]]*100)</f>
        <v>1.880341880341882E-2</v>
      </c>
      <c r="BR236" s="28">
        <f>VLOOKUP(tabCustoUnit[[#This Row],[Código do Posto]],tabParametros[],MATCH(tabCustoUnit[[#Headers],[ISS]],tabParametros[#Headers],0),0)</f>
        <v>0.03</v>
      </c>
      <c r="BS236" s="26">
        <f>(((100/((100-(tabCustoUnit[[#This Row],[Resumo de Alíquotas (PIS+CONFINS+ISS)]]*100))%)-100)*tabCustoUnit[[#This Row],[ISS]])/tabCustoUnit[[#This Row],[Resumo de Alíquotas (PIS+CONFINS+ISS)]])/100</f>
        <v>3.4188034188034219E-2</v>
      </c>
      <c r="BT23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6" s="138">
        <f>tabCustoUnit[[#This Row],[COFINS]]+tabCustoUnit[[#This Row],[PIS]]+tabCustoUnit[[#This Row],[ISS (Conversão Alíquota s/ fatura)]]</f>
        <v>0.13960113960113973</v>
      </c>
      <c r="BV236" s="22" t="e">
        <f ca="1">(tabCustoUnit[[#This Row],[TOTAL MÓDULOS 1+2+3+4+5]]+tabCustoUnit[[#This Row],[Custos Indiretos]]+tabCustoUnit[[#This Row],[Lucro]])*tabCustoUnit[[#This Row],[PIS + COFINS + ISS (Total Conversão  Alíquota s/ Fatura)]]</f>
        <v>#NAME?</v>
      </c>
      <c r="BW236" s="22" t="e">
        <f ca="1">tabCustoUnit[[#This Row],[Custos Indiretos]]+tabCustoUnit[[#This Row],[Lucro]]+tabCustoUnit[[#This Row],[Valor dos Tributos (ISS, PIS, CONFINS)]]</f>
        <v>#NAME?</v>
      </c>
      <c r="BX236" s="22" t="e">
        <f ca="1">tabCustoUnit[[#This Row],[TOTAL MÓDULOS 1+2+3+4+5]]+tabCustoUnit[[#This Row],[MÓDULO 6 – CUSTOS INDIRETOS, TRIBUTOS E LUCRO]]</f>
        <v>#NAME?</v>
      </c>
      <c r="BY236" s="22" t="e">
        <f ca="1">tabCustoUnit[[#This Row],[CUSTO TOTAL MENSAL]]*12</f>
        <v>#NAME?</v>
      </c>
      <c r="BZ236" s="24">
        <f>VLOOKUP(tabCustoUnit[[#This Row],[Código do Posto]],tabParametros[],MATCH(tabCustoUnit[[#Headers],[ANO DA CCT]],tabParametros[#Headers],0),0)</f>
        <v>45658</v>
      </c>
      <c r="CA236" s="25" t="str">
        <f>VLOOKUP(tabCustoUnit[[#This Row],[Código do Posto]],tabParametros[],MATCH(tabCustoUnit[[#Headers],[Nº DE PEDIDO DA CCT]],tabParametros[#Headers],0),0)</f>
        <v>-</v>
      </c>
      <c r="CB236" s="25" t="str">
        <f>VLOOKUP(tabCustoUnit[[#This Row],[Código do Posto]],tabParametros[],MATCH(tabCustoUnit[[#Headers],[TERMO ADITIVO ALTERAÇÃO DA CCT]],tabParametros[#Headers],0),0)</f>
        <v>-</v>
      </c>
    </row>
    <row r="237" spans="1:80">
      <c r="A237" s="20" t="s">
        <v>1663</v>
      </c>
      <c r="B237" t="s">
        <v>1175</v>
      </c>
      <c r="C237" t="s">
        <v>324</v>
      </c>
      <c r="D237" t="s">
        <v>942</v>
      </c>
      <c r="E237" s="20" t="s">
        <v>1090</v>
      </c>
      <c r="F237" s="20" t="s">
        <v>120</v>
      </c>
      <c r="G237" s="418">
        <v>3397.1305000000002</v>
      </c>
      <c r="H237" s="418">
        <v>0</v>
      </c>
      <c r="I237" s="418">
        <v>0</v>
      </c>
      <c r="J237" s="418">
        <v>0</v>
      </c>
      <c r="K237" s="418">
        <v>0</v>
      </c>
      <c r="L237" s="418">
        <v>0</v>
      </c>
      <c r="M237" s="418">
        <v>0</v>
      </c>
      <c r="N237" s="418">
        <v>0</v>
      </c>
      <c r="O237" s="21">
        <f>SUM(tabCustoUnit[[#This Row],[Salário Base]:[Adicional de Acúmulo de função]])</f>
        <v>3397.1305000000002</v>
      </c>
      <c r="P237" s="21">
        <f>tabCustoUnit[[#This Row],[MODULO 1 - REMUNERAÇÃO ]]*SUMIFS(tabParametros[INSS],tabParametros[Código do Posto],tabCustoUnit[[#This Row],[Código do Posto]])</f>
        <v>679.42610000000013</v>
      </c>
      <c r="Q237" s="21">
        <f>tabCustoUnit[[#This Row],[MODULO 1 - REMUNERAÇÃO ]]*SUMIFS(tabParametros[SESI OU SESC],tabParametros[Código do Posto],tabCustoUnit[[#This Row],[Código do Posto]])</f>
        <v>50.956957500000001</v>
      </c>
      <c r="R237" s="21">
        <f>tabCustoUnit[[#This Row],[MODULO 1 - REMUNERAÇÃO ]]*SUMIFS(tabParametros[SENAI OU SENAC],tabParametros[Código do Posto],tabCustoUnit[[#This Row],[Código do Posto]])</f>
        <v>33.971305000000001</v>
      </c>
      <c r="S237" s="21">
        <f>tabCustoUnit[[#This Row],[MODULO 1 - REMUNERAÇÃO ]]*SUMIFS(tabParametros[INCRA],tabParametros[Código do Posto],tabCustoUnit[[#This Row],[Código do Posto]])</f>
        <v>6.7942610000000005</v>
      </c>
      <c r="T237" s="21">
        <f>tabCustoUnit[[#This Row],[MODULO 1 - REMUNERAÇÃO ]]*SUMIFS(tabParametros[Salário Educação],tabParametros[Código do Posto],tabCustoUnit[[#This Row],[Código do Posto]])</f>
        <v>84.928262500000017</v>
      </c>
      <c r="U237" s="21">
        <f>tabCustoUnit[[#This Row],[MODULO 1 - REMUNERAÇÃO ]]*SUMIFS(tabParametros[FGTS],tabParametros[Código do Posto],tabCustoUnit[[#This Row],[Código do Posto]])</f>
        <v>271.77044000000001</v>
      </c>
      <c r="V237" s="21">
        <f>tabCustoUnit[[#This Row],[MODULO 1 - REMUNERAÇÃO ]]*SUMIFS(tabParametros[RAT Ajustado],tabParametros[Código do Posto],tabCustoUnit[[#This Row],[Código do Posto]])</f>
        <v>135.88522</v>
      </c>
      <c r="W237" s="21">
        <f>tabCustoUnit[[#This Row],[MODULO 1 - REMUNERAÇÃO ]]*SUMIFS(tabParametros[SEBRAE],tabParametros[Código do Posto],tabCustoUnit[[#This Row],[Código do Posto]])</f>
        <v>20.382783000000003</v>
      </c>
      <c r="X237" s="21">
        <f>SUM(tabCustoUnit[[#This Row],[INSS]:[SEBRAE]])</f>
        <v>1284.1153290000002</v>
      </c>
      <c r="Y237" s="21">
        <f>tabCustoUnit[[#This Row],[MODULO 1 - REMUNERAÇÃO ]]*SUMIFS(tabParametros[13º salário (titular)],tabParametros[Código do Posto],tabCustoUnit[[#This Row],[Código do Posto]])</f>
        <v>283.09420833333331</v>
      </c>
      <c r="Z237" s="21">
        <f>tabCustoUnit[[#This Row],[MODULO 1 - REMUNERAÇÃO ]]*SUMIFS(tabParametros[Férias e Adicional de Férias (titular)],tabParametros[Código do Posto],tabCustoUnit[[#This Row],[Código do Posto]])</f>
        <v>377.45894444444446</v>
      </c>
      <c r="AA237" s="21">
        <f>IFERROR((tabCustoUnit[[#This Row],[Submódulo 2.1]]/tabCustoUnit[[#This Row],[MODULO 1 - REMUNERAÇÃO ]])*SUM(tabCustoUnit[[#This Row],[13º salário (titular)]:[Férias e Adicional de Férias (titular)]]),0)</f>
        <v>249.68909175000005</v>
      </c>
      <c r="AB237" s="21">
        <f>SUM(tabCustoUnit[[#This Row],[13º salário (titular)]:[Incidência do Submódulo 2.1 sobre 13º Salário, Férias e Adicional de Férias]])</f>
        <v>910.24224452777776</v>
      </c>
      <c r="AC237" s="22" t="e">
        <f ca="1">_xlfn.LET(_xlpm.VT,SUMIF(tabParametros[Código do Posto],tabCustoUnit[[#This Row],[Código do Posto]],tabParametros[Vale - Transporte])*2*20,
IF((_xlpm.VT-tabCustoUnit[[#This Row],[Salário Base]]*0.06)&gt;=0,(_xlpm.VT-tabCustoUnit[[#This Row],[Salário Base]]*0.06),0)
)</f>
        <v>#NAME?</v>
      </c>
      <c r="AD237" s="22">
        <f>IF(SUMIF(tabParametros[Código do Posto],tabCustoUnit[[#This Row],[Código do Posto]],tabParametros[Vale - Alimentação])&lt;=0,0,
SUMIF(tabParametros[Código do Posto],tabCustoUnit[[#This Row],[Código do Posto]],tabParametros[Vale - Alimentação])*20-1)</f>
        <v>582</v>
      </c>
      <c r="AE237" s="22">
        <f>SUMIF(tabParametros[Código do Posto],tabCustoUnit[[#This Row],[Código do Posto]],tabParametros[Cesta Básica])</f>
        <v>0</v>
      </c>
      <c r="AF237" s="22">
        <f>SUMIF(tabParametros[Código do Posto],tabCustoUnit[[#This Row],[Código do Posto]],tabParametros[PAF])</f>
        <v>51.88</v>
      </c>
      <c r="AG237" s="22">
        <f>SUMIF(tabParametros[Código do Posto],tabCustoUnit[[#This Row],[Código do Posto]],tabParametros[PQM])</f>
        <v>0</v>
      </c>
      <c r="AH237" s="22">
        <f>SUMIF(tabParametros[Código do Posto],tabCustoUnit[[#This Row],[Código do Posto]],tabParametros[Abono Único e Especial])</f>
        <v>0</v>
      </c>
      <c r="AI237" s="22">
        <f>SUMIF(tabParametros[Código do Posto],tabCustoUnit[[#This Row],[Código do Posto]],tabParametros[Seguro de Vida])</f>
        <v>3.36</v>
      </c>
      <c r="AJ237" s="22">
        <f>SUMIF(tabParametros[Código do Posto],tabCustoUnit[[#This Row],[Código do Posto]],tabParametros[Despesas de Viagem])</f>
        <v>0</v>
      </c>
      <c r="AK237" s="22" t="e">
        <f ca="1">SUM(tabCustoUnit[[#This Row],[Vale - Transporte (Descontada parcela do empregado)]:[Despesas de Viagem]])</f>
        <v>#NAME?</v>
      </c>
      <c r="AL237" s="22" t="e">
        <f ca="1">tabCustoUnit[[#This Row],[Submódulo 2.1]]+tabCustoUnit[[#This Row],[Submódulo 2.2]]+tabCustoUnit[[#This Row],[Submódulo 2.3]]</f>
        <v>#NAME?</v>
      </c>
      <c r="AM237" s="22">
        <f>SUMIF(tabParametros[Código do Posto],tabCustoUnit[[#This Row],[Código do Posto]],tabParametros[Aviso Prévio Indenizado (API) e Reflexo do Aviso Prévio Indenizado])*tabCustoUnit[[#This Row],[MODULO 1 - REMUNERAÇÃO ]]</f>
        <v>23.819887450713736</v>
      </c>
      <c r="AN237" s="22">
        <f>SUMIF(tabParametros[Código do Posto],tabCustoUnit[[#This Row],[Código do Posto]],tabParametros[Incidência do FGTS sobre API e Reflexo do API])*tabCustoUnit[[#This Row],[MODULO 1 - REMUNERAÇÃO ]]</f>
        <v>1.9055909960570991</v>
      </c>
      <c r="AO237" s="22">
        <f>SUMIF(tabParametros[Código do Posto],tabCustoUnit[[#This Row],[Código do Posto]],tabParametros[Multa Rescisória do FGTS sobre o Aviso Prévio Indenizado])*tabCustoUnit[[#This Row],[MODULO 1 - REMUNERAÇÃO ]]</f>
        <v>0.76223639842283974</v>
      </c>
      <c r="AP237" s="22">
        <f>SUMIF(tabParametros[Código do Posto],tabCustoUnit[[#This Row],[Código do Posto]],tabParametros[Aviso Prévio Trabalhado - APT])*tabCustoUnit[[#This Row],[MODULO 1 - REMUNERAÇÃO ]]</f>
        <v>11.889956750000003</v>
      </c>
      <c r="AQ237" s="22">
        <f>SUMIF(tabParametros[Código do Posto],tabCustoUnit[[#This Row],[Código do Posto]],tabParametros[Incidência dos encargos do submódulo 2.1 sobre Aviso Prévio Trabalhado])*tabCustoUnit[[#This Row],[MODULO 1 - REMUNERAÇÃO ]]</f>
        <v>4.4944036515000017</v>
      </c>
      <c r="AR237" s="22">
        <f>SUMIF(tabParametros[Código do Posto],tabCustoUnit[[#This Row],[Código do Posto]],tabParametros[Multa Rescisória do FGTS])*tabCustoUnit[[#This Row],[MODULO 1 - REMUNERAÇÃO ]]</f>
        <v>103.87670151111111</v>
      </c>
      <c r="AS237" s="22">
        <f>SUMIF(tabParametros[Código do Posto],tabCustoUnit[[#This Row],[Código do Posto]],tabParametros[Indenização Adicional (Art. 9º da Lei nº 7.238/84)])*tabCustoUnit[[#This Row],[MODULO 1 - REMUNERAÇÃO ]]</f>
        <v>2.8309420833333339</v>
      </c>
      <c r="AT237" s="22">
        <f>SUM(tabCustoUnit[[#This Row],[Aviso Prévio Indenizado (API) e Reflexo do Aviso Prévio Indenizado]:[Indenização Adicional (Art. 9º da Lei nº 7.238/84)]])</f>
        <v>149.57971884113812</v>
      </c>
      <c r="AU237" s="22">
        <f>SUMIF(tabParametros[Código do Posto],tabCustoUnit[[#This Row],[Código do Posto]],tabParametros[Ausência por Doença])*tabCustoUnit[[#This Row],[MODULO 1 - REMUNERAÇÃO ]]</f>
        <v>28.686879777777776</v>
      </c>
      <c r="AV237" s="22">
        <f>SUMIF(tabParametros[Código do Posto],tabCustoUnit[[#This Row],[Código do Posto]],tabParametros[Ausências Legais])*tabCustoUnit[[#This Row],[MODULO 1 - REMUNERAÇÃO ]]</f>
        <v>6.888625736111111</v>
      </c>
      <c r="AW237" s="22">
        <f>SUMIF(tabParametros[Código do Posto],tabCustoUnit[[#This Row],[Código do Posto]],tabParametros[Licença Paternidade])*tabCustoUnit[[#This Row],[MODULO 1 - REMUNERAÇÃO ]]</f>
        <v>0.58034312708333335</v>
      </c>
      <c r="AX237" s="22">
        <f>SUMIF(tabParametros[Código do Posto],tabCustoUnit[[#This Row],[Código do Posto]],tabParametros[Ausência por Acidente de Trabalho])*tabCustoUnit[[#This Row],[MODULO 1 - REMUNERAÇÃO ]]</f>
        <v>0.70773552083333346</v>
      </c>
      <c r="AY237" s="22">
        <f>SUMIF(tabParametros[Código do Posto],tabCustoUnit[[#This Row],[Código do Posto]],tabParametros[Férias, Adicional de Férias e 13º  com empregada em gozo de Licença Maternidade])*tabCustoUnit[[#This Row],[MODULO 1 - REMUNERAÇÃO ]]</f>
        <v>4.4036876851851856</v>
      </c>
      <c r="AZ237" s="22">
        <f>SUMIF(tabParametros[Código do Posto],tabCustoUnit[[#This Row],[Código do Posto]],tabParametros[Incidência do Submódulo 2.1 sobre Ausências Legais])*tabCustoUnit[[#This Row],[MODULO 1 - REMUNERAÇÃO ]]</f>
        <v>15.599028758162504</v>
      </c>
      <c r="BA237" s="22">
        <f>SUM(tabCustoUnit[[#This Row],[Ausência por Doença]:[Incidência do Submódulo 2.1 sobre Ausências Legais]])</f>
        <v>56.866300605153235</v>
      </c>
      <c r="BB237" s="22">
        <f>SUMIF(tabParametros[Código do Posto],tabCustoUnit[[#This Row],[Código do Posto]],tabParametros[Intervalo para Repouso ou Alimentação])</f>
        <v>0</v>
      </c>
      <c r="BC237" s="22">
        <f>tabCustoUnit[[#This Row],[Intervalo para Repouso ou Alimentação]]</f>
        <v>0</v>
      </c>
      <c r="BD23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7" s="22">
        <f>tabCustoUnit[[#This Row],[Suspensão Temporária do Contrato de Trabalho]]</f>
        <v>0</v>
      </c>
      <c r="BF237" s="22">
        <f>tabCustoUnit[[#This Row],[Submódulo 4.1]]+tabCustoUnit[[#This Row],[Submódulo 4.2]]+tabCustoUnit[[#This Row],[Submódulo 4.3]]</f>
        <v>56.866300605153235</v>
      </c>
      <c r="BG237" s="22">
        <f>VLOOKUP(tabCustoUnit[[#This Row],[Código do Posto]],tabParametros[],MATCH(tabCustoUnit[[#Headers],[Uniformes e EPIs]],tabParametros[#Headers],0),0)</f>
        <v>56.642978962543395</v>
      </c>
      <c r="BH237" s="22">
        <f>VLOOKUP(tabCustoUnit[[#This Row],[Código do Posto]],tabParametros[],MATCH(tabCustoUnit[[#Headers],[Materiais de Consumo]],tabParametros[#Headers],0),0)</f>
        <v>0</v>
      </c>
      <c r="BI237" s="22">
        <f>VLOOKUP(tabCustoUnit[[#This Row],[Código do Posto]],tabParametros[],MATCH(tabCustoUnit[[#Headers],[Máquinas e Equipamentos (depreciação)]],tabParametros[#Headers],0),0)</f>
        <v>0</v>
      </c>
      <c r="BJ237" s="22">
        <f>VLOOKUP(tabCustoUnit[[#This Row],[Código do Posto]],tabParametros[],MATCH(tabCustoUnit[[#Headers],[Produtos de Limpeza e Materiais de Higiene Pessoal]],tabParametros[#Headers],0),0)</f>
        <v>0</v>
      </c>
      <c r="BK237" s="22">
        <f>VLOOKUP(tabCustoUnit[[#This Row],[Código do Posto]],tabParametros[],MATCH(tabCustoUnit[[#Headers],[Outros (especificar)]],tabParametros[#Headers],0),0)</f>
        <v>0</v>
      </c>
      <c r="BL237" s="22">
        <f>SUM(tabCustoUnit[[#This Row],[Uniformes e EPIs]:[Outros (especificar)]])</f>
        <v>56.642978962543395</v>
      </c>
      <c r="BM23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7" s="22" t="e">
        <f ca="1">VLOOKUP(tabCustoUnit[[#This Row],[Código do Posto]],tabParametros[],MATCH(tabCustoUnit[[#Headers],[Custos Indiretos]],tabParametros[#Headers],0),0)</f>
        <v>#NAME?</v>
      </c>
      <c r="BO237" s="22" t="e">
        <f ca="1">VLOOKUP(tabCustoUnit[[#This Row],[Código do Posto]],tabParametros[],MATCH(tabCustoUnit[[#Headers],[Lucro]],tabParametros[#Headers],0),0)</f>
        <v>#NAME?</v>
      </c>
      <c r="BP237" s="26">
        <f>((100/((1-tabCustoUnit[[#This Row],[Resumo de Alíquotas (PIS+CONFINS+ISS)]]))-100)*VLOOKUP(tabCustoUnit[[#This Row],[Código do Posto]],tabParametros[],MATCH(tabCustoUnit[[#Headers],[COFINS]],tabParametros[#Headers],0),0))/(tabCustoUnit[[#This Row],[Resumo de Alíquotas (PIS+CONFINS+ISS)]]*100)</f>
        <v>8.6609686609686695E-2</v>
      </c>
      <c r="BQ237" s="26">
        <f>((100/((100-(tabCustoUnit[[#This Row],[Resumo de Alíquotas (PIS+CONFINS+ISS)]]*100))%)-100)*VLOOKUP(tabCustoUnit[[#This Row],[Código do Posto]],tabParametros[],MATCH(tabCustoUnit[[#Headers],[PIS]],tabParametros[#Headers],0),0))/(tabCustoUnit[[#This Row],[Resumo de Alíquotas (PIS+CONFINS+ISS)]]*100)</f>
        <v>1.880341880341882E-2</v>
      </c>
      <c r="BR237" s="28">
        <f>VLOOKUP(tabCustoUnit[[#This Row],[Código do Posto]],tabParametros[],MATCH(tabCustoUnit[[#Headers],[ISS]],tabParametros[#Headers],0),0)</f>
        <v>0.03</v>
      </c>
      <c r="BS237" s="26">
        <f>(((100/((100-(tabCustoUnit[[#This Row],[Resumo de Alíquotas (PIS+CONFINS+ISS)]]*100))%)-100)*tabCustoUnit[[#This Row],[ISS]])/tabCustoUnit[[#This Row],[Resumo de Alíquotas (PIS+CONFINS+ISS)]])/100</f>
        <v>3.4188034188034219E-2</v>
      </c>
      <c r="BT23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7" s="138">
        <f>tabCustoUnit[[#This Row],[COFINS]]+tabCustoUnit[[#This Row],[PIS]]+tabCustoUnit[[#This Row],[ISS (Conversão Alíquota s/ fatura)]]</f>
        <v>0.13960113960113973</v>
      </c>
      <c r="BV237" s="22" t="e">
        <f ca="1">(tabCustoUnit[[#This Row],[TOTAL MÓDULOS 1+2+3+4+5]]+tabCustoUnit[[#This Row],[Custos Indiretos]]+tabCustoUnit[[#This Row],[Lucro]])*tabCustoUnit[[#This Row],[PIS + COFINS + ISS (Total Conversão  Alíquota s/ Fatura)]]</f>
        <v>#NAME?</v>
      </c>
      <c r="BW237" s="22" t="e">
        <f ca="1">tabCustoUnit[[#This Row],[Custos Indiretos]]+tabCustoUnit[[#This Row],[Lucro]]+tabCustoUnit[[#This Row],[Valor dos Tributos (ISS, PIS, CONFINS)]]</f>
        <v>#NAME?</v>
      </c>
      <c r="BX237" s="22" t="e">
        <f ca="1">tabCustoUnit[[#This Row],[TOTAL MÓDULOS 1+2+3+4+5]]+tabCustoUnit[[#This Row],[MÓDULO 6 – CUSTOS INDIRETOS, TRIBUTOS E LUCRO]]</f>
        <v>#NAME?</v>
      </c>
      <c r="BY237" s="22" t="e">
        <f ca="1">tabCustoUnit[[#This Row],[CUSTO TOTAL MENSAL]]*12</f>
        <v>#NAME?</v>
      </c>
      <c r="BZ237" s="24">
        <f>VLOOKUP(tabCustoUnit[[#This Row],[Código do Posto]],tabParametros[],MATCH(tabCustoUnit[[#Headers],[ANO DA CCT]],tabParametros[#Headers],0),0)</f>
        <v>45658</v>
      </c>
      <c r="CA237" s="25" t="str">
        <f>VLOOKUP(tabCustoUnit[[#This Row],[Código do Posto]],tabParametros[],MATCH(tabCustoUnit[[#Headers],[Nº DE PEDIDO DA CCT]],tabParametros[#Headers],0),0)</f>
        <v>-</v>
      </c>
      <c r="CB237" s="25" t="str">
        <f>VLOOKUP(tabCustoUnit[[#This Row],[Código do Posto]],tabParametros[],MATCH(tabCustoUnit[[#Headers],[TERMO ADITIVO ALTERAÇÃO DA CCT]],tabParametros[#Headers],0),0)</f>
        <v>-</v>
      </c>
    </row>
    <row r="238" spans="1:80">
      <c r="A238" s="20" t="s">
        <v>1499</v>
      </c>
      <c r="B238" t="s">
        <v>1176</v>
      </c>
      <c r="C238" t="s">
        <v>200</v>
      </c>
      <c r="D238" t="s">
        <v>957</v>
      </c>
      <c r="E238" s="20" t="s">
        <v>1090</v>
      </c>
      <c r="F238" s="20" t="s">
        <v>120</v>
      </c>
      <c r="G238" s="418">
        <v>1596.2737999999999</v>
      </c>
      <c r="H238" s="418">
        <v>0</v>
      </c>
      <c r="I238" s="418">
        <v>0</v>
      </c>
      <c r="J238" s="418">
        <v>0</v>
      </c>
      <c r="K238" s="418">
        <v>0</v>
      </c>
      <c r="L238" s="418">
        <v>0</v>
      </c>
      <c r="M238" s="418">
        <v>0</v>
      </c>
      <c r="N238" s="418">
        <v>0</v>
      </c>
      <c r="O238" s="21">
        <f>SUM(tabCustoUnit[[#This Row],[Salário Base]:[Adicional de Acúmulo de função]])</f>
        <v>1596.2737999999999</v>
      </c>
      <c r="P238" s="21">
        <f>tabCustoUnit[[#This Row],[MODULO 1 - REMUNERAÇÃO ]]*SUMIFS(tabParametros[INSS],tabParametros[Código do Posto],tabCustoUnit[[#This Row],[Código do Posto]])</f>
        <v>319.25476000000003</v>
      </c>
      <c r="Q238" s="21">
        <f>tabCustoUnit[[#This Row],[MODULO 1 - REMUNERAÇÃO ]]*SUMIFS(tabParametros[SESI OU SESC],tabParametros[Código do Posto],tabCustoUnit[[#This Row],[Código do Posto]])</f>
        <v>23.944106999999999</v>
      </c>
      <c r="R238" s="21">
        <f>tabCustoUnit[[#This Row],[MODULO 1 - REMUNERAÇÃO ]]*SUMIFS(tabParametros[SENAI OU SENAC],tabParametros[Código do Posto],tabCustoUnit[[#This Row],[Código do Posto]])</f>
        <v>15.962738</v>
      </c>
      <c r="S238" s="21">
        <f>tabCustoUnit[[#This Row],[MODULO 1 - REMUNERAÇÃO ]]*SUMIFS(tabParametros[INCRA],tabParametros[Código do Posto],tabCustoUnit[[#This Row],[Código do Posto]])</f>
        <v>3.1925476000000002</v>
      </c>
      <c r="T238" s="21">
        <f>tabCustoUnit[[#This Row],[MODULO 1 - REMUNERAÇÃO ]]*SUMIFS(tabParametros[Salário Educação],tabParametros[Código do Posto],tabCustoUnit[[#This Row],[Código do Posto]])</f>
        <v>39.906845000000004</v>
      </c>
      <c r="U238" s="21">
        <f>tabCustoUnit[[#This Row],[MODULO 1 - REMUNERAÇÃO ]]*SUMIFS(tabParametros[FGTS],tabParametros[Código do Posto],tabCustoUnit[[#This Row],[Código do Posto]])</f>
        <v>127.701904</v>
      </c>
      <c r="V238" s="21">
        <f>tabCustoUnit[[#This Row],[MODULO 1 - REMUNERAÇÃO ]]*SUMIFS(tabParametros[RAT Ajustado],tabParametros[Código do Posto],tabCustoUnit[[#This Row],[Código do Posto]])</f>
        <v>63.850951999999999</v>
      </c>
      <c r="W238" s="21">
        <f>tabCustoUnit[[#This Row],[MODULO 1 - REMUNERAÇÃO ]]*SUMIFS(tabParametros[SEBRAE],tabParametros[Código do Posto],tabCustoUnit[[#This Row],[Código do Posto]])</f>
        <v>9.5776427999999996</v>
      </c>
      <c r="X238" s="21">
        <f>SUM(tabCustoUnit[[#This Row],[INSS]:[SEBRAE]])</f>
        <v>603.39149640000005</v>
      </c>
      <c r="Y238" s="21">
        <f>tabCustoUnit[[#This Row],[MODULO 1 - REMUNERAÇÃO ]]*SUMIFS(tabParametros[13º salário (titular)],tabParametros[Código do Posto],tabCustoUnit[[#This Row],[Código do Posto]])</f>
        <v>133.02281666666664</v>
      </c>
      <c r="Z238" s="21">
        <f>tabCustoUnit[[#This Row],[MODULO 1 - REMUNERAÇÃO ]]*SUMIFS(tabParametros[Férias e Adicional de Férias (titular)],tabParametros[Código do Posto],tabCustoUnit[[#This Row],[Código do Posto]])</f>
        <v>177.36375555555554</v>
      </c>
      <c r="AA238" s="21">
        <f>IFERROR((tabCustoUnit[[#This Row],[Submódulo 2.1]]/tabCustoUnit[[#This Row],[MODULO 1 - REMUNERAÇÃO ]])*SUM(tabCustoUnit[[#This Row],[13º salário (titular)]:[Férias e Adicional de Férias (titular)]]),0)</f>
        <v>117.3261243</v>
      </c>
      <c r="AB238" s="21">
        <f>SUM(tabCustoUnit[[#This Row],[13º salário (titular)]:[Incidência do Submódulo 2.1 sobre 13º Salário, Férias e Adicional de Férias]])</f>
        <v>427.71269652222219</v>
      </c>
      <c r="AC238" s="22" t="e">
        <f ca="1">_xlfn.LET(_xlpm.VT,SUMIF(tabParametros[Código do Posto],tabCustoUnit[[#This Row],[Código do Posto]],tabParametros[Vale - Transporte])*2*20,
IF((_xlpm.VT-tabCustoUnit[[#This Row],[Salário Base]]*0.06)&gt;=0,(_xlpm.VT-tabCustoUnit[[#This Row],[Salário Base]]*0.06),0)
)</f>
        <v>#NAME?</v>
      </c>
      <c r="AD238" s="22">
        <f>IF(SUMIF(tabParametros[Código do Posto],tabCustoUnit[[#This Row],[Código do Posto]],tabParametros[Vale - Alimentação])&lt;=0,0,
SUMIF(tabParametros[Código do Posto],tabCustoUnit[[#This Row],[Código do Posto]],tabParametros[Vale - Alimentação])*20-1)</f>
        <v>582</v>
      </c>
      <c r="AE238" s="22">
        <f>SUMIF(tabParametros[Código do Posto],tabCustoUnit[[#This Row],[Código do Posto]],tabParametros[Cesta Básica])</f>
        <v>0</v>
      </c>
      <c r="AF238" s="22">
        <f>SUMIF(tabParametros[Código do Posto],tabCustoUnit[[#This Row],[Código do Posto]],tabParametros[PAF])</f>
        <v>51.87</v>
      </c>
      <c r="AG238" s="22">
        <f>SUMIF(tabParametros[Código do Posto],tabCustoUnit[[#This Row],[Código do Posto]],tabParametros[PQM])</f>
        <v>0</v>
      </c>
      <c r="AH238" s="22">
        <f>SUMIF(tabParametros[Código do Posto],tabCustoUnit[[#This Row],[Código do Posto]],tabParametros[Abono Único e Especial])</f>
        <v>0</v>
      </c>
      <c r="AI238" s="22">
        <f>SUMIF(tabParametros[Código do Posto],tabCustoUnit[[#This Row],[Código do Posto]],tabParametros[Seguro de Vida])</f>
        <v>3.36</v>
      </c>
      <c r="AJ238" s="22">
        <f>SUMIF(tabParametros[Código do Posto],tabCustoUnit[[#This Row],[Código do Posto]],tabParametros[Despesas de Viagem])</f>
        <v>0</v>
      </c>
      <c r="AK238" s="22" t="e">
        <f ca="1">SUM(tabCustoUnit[[#This Row],[Vale - Transporte (Descontada parcela do empregado)]:[Despesas de Viagem]])</f>
        <v>#NAME?</v>
      </c>
      <c r="AL238" s="22" t="e">
        <f ca="1">tabCustoUnit[[#This Row],[Submódulo 2.1]]+tabCustoUnit[[#This Row],[Submódulo 2.2]]+tabCustoUnit[[#This Row],[Submódulo 2.3]]</f>
        <v>#NAME?</v>
      </c>
      <c r="AM238" s="22">
        <f>SUMIF(tabParametros[Código do Posto],tabCustoUnit[[#This Row],[Código do Posto]],tabParametros[Aviso Prévio Indenizado (API) e Reflexo do Aviso Prévio Indenizado])*tabCustoUnit[[#This Row],[MODULO 1 - REMUNERAÇÃO ]]</f>
        <v>11.192699914390431</v>
      </c>
      <c r="AN238" s="22">
        <f>SUMIF(tabParametros[Código do Posto],tabCustoUnit[[#This Row],[Código do Posto]],tabParametros[Incidência do FGTS sobre API e Reflexo do API])*tabCustoUnit[[#This Row],[MODULO 1 - REMUNERAÇÃO ]]</f>
        <v>0.89541599315123466</v>
      </c>
      <c r="AO238" s="22">
        <f>SUMIF(tabParametros[Código do Posto],tabCustoUnit[[#This Row],[Código do Posto]],tabParametros[Multa Rescisória do FGTS sobre o Aviso Prévio Indenizado])*tabCustoUnit[[#This Row],[MODULO 1 - REMUNERAÇÃO ]]</f>
        <v>0.35816639726049387</v>
      </c>
      <c r="AP238" s="22">
        <f>SUMIF(tabParametros[Código do Posto],tabCustoUnit[[#This Row],[Código do Posto]],tabParametros[Aviso Prévio Trabalhado - APT])*tabCustoUnit[[#This Row],[MODULO 1 - REMUNERAÇÃO ]]</f>
        <v>5.5869583000000009</v>
      </c>
      <c r="AQ238" s="22">
        <f>SUMIF(tabParametros[Código do Posto],tabCustoUnit[[#This Row],[Código do Posto]],tabParametros[Incidência dos encargos do submódulo 2.1 sobre Aviso Prévio Trabalhado])*tabCustoUnit[[#This Row],[MODULO 1 - REMUNERAÇÃO ]]</f>
        <v>2.1118702374000007</v>
      </c>
      <c r="AR238" s="22">
        <f>SUMIF(tabParametros[Código do Posto],tabCustoUnit[[#This Row],[Código do Posto]],tabParametros[Multa Rescisória do FGTS])*tabCustoUnit[[#This Row],[MODULO 1 - REMUNERAÇÃO ]]</f>
        <v>48.810505528888882</v>
      </c>
      <c r="AS238" s="22">
        <f>SUMIF(tabParametros[Código do Posto],tabCustoUnit[[#This Row],[Código do Posto]],tabParametros[Indenização Adicional (Art. 9º da Lei nº 7.238/84)])*tabCustoUnit[[#This Row],[MODULO 1 - REMUNERAÇÃO ]]</f>
        <v>1.3302281666666667</v>
      </c>
      <c r="AT238" s="22">
        <f>SUM(tabCustoUnit[[#This Row],[Aviso Prévio Indenizado (API) e Reflexo do Aviso Prévio Indenizado]:[Indenização Adicional (Art. 9º da Lei nº 7.238/84)]])</f>
        <v>70.285844537757711</v>
      </c>
      <c r="AU238" s="22">
        <f>SUMIF(tabParametros[Código do Posto],tabCustoUnit[[#This Row],[Código do Posto]],tabParametros[Ausência por Doença])*tabCustoUnit[[#This Row],[MODULO 1 - REMUNERAÇÃO ]]</f>
        <v>13.479645422222221</v>
      </c>
      <c r="AV238" s="22">
        <f>SUMIF(tabParametros[Código do Posto],tabCustoUnit[[#This Row],[Código do Posto]],tabParametros[Ausências Legais])*tabCustoUnit[[#This Row],[MODULO 1 - REMUNERAÇÃO ]]</f>
        <v>3.2368885388888886</v>
      </c>
      <c r="AW238" s="22">
        <f>SUMIF(tabParametros[Código do Posto],tabCustoUnit[[#This Row],[Código do Posto]],tabParametros[Licença Paternidade])*tabCustoUnit[[#This Row],[MODULO 1 - REMUNERAÇÃO ]]</f>
        <v>0.27269677416666666</v>
      </c>
      <c r="AX238" s="22">
        <f>SUMIF(tabParametros[Código do Posto],tabCustoUnit[[#This Row],[Código do Posto]],tabParametros[Ausência por Acidente de Trabalho])*tabCustoUnit[[#This Row],[MODULO 1 - REMUNERAÇÃO ]]</f>
        <v>0.33255704166666666</v>
      </c>
      <c r="AY238" s="22">
        <f>SUMIF(tabParametros[Código do Posto],tabCustoUnit[[#This Row],[Código do Posto]],tabParametros[Férias, Adicional de Férias e 13º  com empregada em gozo de Licença Maternidade])*tabCustoUnit[[#This Row],[MODULO 1 - REMUNERAÇÃO ]]</f>
        <v>2.0692438148148145</v>
      </c>
      <c r="AZ238" s="22">
        <f>SUMIF(tabParametros[Código do Posto],tabCustoUnit[[#This Row],[Código do Posto]],tabParametros[Incidência do Submódulo 2.1 sobre Ausências Legais])*tabCustoUnit[[#This Row],[MODULO 1 - REMUNERAÇÃO ]]</f>
        <v>7.3298099416850011</v>
      </c>
      <c r="BA238" s="22">
        <f>SUM(tabCustoUnit[[#This Row],[Ausência por Doença]:[Incidência do Submódulo 2.1 sobre Ausências Legais]])</f>
        <v>26.720841533444265</v>
      </c>
      <c r="BB238" s="22">
        <f>SUMIF(tabParametros[Código do Posto],tabCustoUnit[[#This Row],[Código do Posto]],tabParametros[Intervalo para Repouso ou Alimentação])</f>
        <v>0</v>
      </c>
      <c r="BC238" s="22">
        <f>tabCustoUnit[[#This Row],[Intervalo para Repouso ou Alimentação]]</f>
        <v>0</v>
      </c>
      <c r="BD23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8" s="22">
        <f>tabCustoUnit[[#This Row],[Suspensão Temporária do Contrato de Trabalho]]</f>
        <v>0</v>
      </c>
      <c r="BF238" s="22">
        <f>tabCustoUnit[[#This Row],[Submódulo 4.1]]+tabCustoUnit[[#This Row],[Submódulo 4.2]]+tabCustoUnit[[#This Row],[Submódulo 4.3]]</f>
        <v>26.720841533444265</v>
      </c>
      <c r="BG238" s="22">
        <f>VLOOKUP(tabCustoUnit[[#This Row],[Código do Posto]],tabParametros[],MATCH(tabCustoUnit[[#Headers],[Uniformes e EPIs]],tabParametros[#Headers],0),0)</f>
        <v>56.141713661989918</v>
      </c>
      <c r="BH238" s="22">
        <f>VLOOKUP(tabCustoUnit[[#This Row],[Código do Posto]],tabParametros[],MATCH(tabCustoUnit[[#Headers],[Materiais de Consumo]],tabParametros[#Headers],0),0)</f>
        <v>0</v>
      </c>
      <c r="BI238" s="22">
        <f>VLOOKUP(tabCustoUnit[[#This Row],[Código do Posto]],tabParametros[],MATCH(tabCustoUnit[[#Headers],[Máquinas e Equipamentos (depreciação)]],tabParametros[#Headers],0),0)</f>
        <v>0</v>
      </c>
      <c r="BJ238" s="22">
        <f>VLOOKUP(tabCustoUnit[[#This Row],[Código do Posto]],tabParametros[],MATCH(tabCustoUnit[[#Headers],[Produtos de Limpeza e Materiais de Higiene Pessoal]],tabParametros[#Headers],0),0)</f>
        <v>0</v>
      </c>
      <c r="BK238" s="22">
        <f>VLOOKUP(tabCustoUnit[[#This Row],[Código do Posto]],tabParametros[],MATCH(tabCustoUnit[[#Headers],[Outros (especificar)]],tabParametros[#Headers],0),0)</f>
        <v>0</v>
      </c>
      <c r="BL238" s="22">
        <f>SUM(tabCustoUnit[[#This Row],[Uniformes e EPIs]:[Outros (especificar)]])</f>
        <v>56.141713661989918</v>
      </c>
      <c r="BM23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8" s="22" t="e">
        <f ca="1">VLOOKUP(tabCustoUnit[[#This Row],[Código do Posto]],tabParametros[],MATCH(tabCustoUnit[[#Headers],[Custos Indiretos]],tabParametros[#Headers],0),0)</f>
        <v>#NAME?</v>
      </c>
      <c r="BO238" s="22" t="e">
        <f ca="1">VLOOKUP(tabCustoUnit[[#This Row],[Código do Posto]],tabParametros[],MATCH(tabCustoUnit[[#Headers],[Lucro]],tabParametros[#Headers],0),0)</f>
        <v>#NAME?</v>
      </c>
      <c r="BP238" s="26">
        <f>((100/((1-tabCustoUnit[[#This Row],[Resumo de Alíquotas (PIS+CONFINS+ISS)]]))-100)*VLOOKUP(tabCustoUnit[[#This Row],[Código do Posto]],tabParametros[],MATCH(tabCustoUnit[[#Headers],[COFINS]],tabParametros[#Headers],0),0))/(tabCustoUnit[[#This Row],[Resumo de Alíquotas (PIS+CONFINS+ISS)]]*100)</f>
        <v>8.8629737609329504E-2</v>
      </c>
      <c r="BQ238" s="26">
        <f>((100/((100-(tabCustoUnit[[#This Row],[Resumo de Alíquotas (PIS+CONFINS+ISS)]]*100))%)-100)*VLOOKUP(tabCustoUnit[[#This Row],[Código do Posto]],tabParametros[],MATCH(tabCustoUnit[[#Headers],[PIS]],tabParametros[#Headers],0),0))/(tabCustoUnit[[#This Row],[Resumo de Alíquotas (PIS+CONFINS+ISS)]]*100)</f>
        <v>1.9241982507288629E-2</v>
      </c>
      <c r="BR238" s="28">
        <f>VLOOKUP(tabCustoUnit[[#This Row],[Código do Posto]],tabParametros[],MATCH(tabCustoUnit[[#Headers],[ISS]],tabParametros[#Headers],0),0)</f>
        <v>0.05</v>
      </c>
      <c r="BS238" s="26">
        <f>(((100/((100-(tabCustoUnit[[#This Row],[Resumo de Alíquotas (PIS+CONFINS+ISS)]]*100))%)-100)*tabCustoUnit[[#This Row],[ISS]])/tabCustoUnit[[#This Row],[Resumo de Alíquotas (PIS+CONFINS+ISS)]])/100</f>
        <v>5.8309037900874633E-2</v>
      </c>
      <c r="BT23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38" s="138">
        <f>tabCustoUnit[[#This Row],[COFINS]]+tabCustoUnit[[#This Row],[PIS]]+tabCustoUnit[[#This Row],[ISS (Conversão Alíquota s/ fatura)]]</f>
        <v>0.16618075801749277</v>
      </c>
      <c r="BV238" s="22" t="e">
        <f ca="1">(tabCustoUnit[[#This Row],[TOTAL MÓDULOS 1+2+3+4+5]]+tabCustoUnit[[#This Row],[Custos Indiretos]]+tabCustoUnit[[#This Row],[Lucro]])*tabCustoUnit[[#This Row],[PIS + COFINS + ISS (Total Conversão  Alíquota s/ Fatura)]]</f>
        <v>#NAME?</v>
      </c>
      <c r="BW238" s="22" t="e">
        <f ca="1">tabCustoUnit[[#This Row],[Custos Indiretos]]+tabCustoUnit[[#This Row],[Lucro]]+tabCustoUnit[[#This Row],[Valor dos Tributos (ISS, PIS, CONFINS)]]</f>
        <v>#NAME?</v>
      </c>
      <c r="BX238" s="22" t="e">
        <f ca="1">tabCustoUnit[[#This Row],[TOTAL MÓDULOS 1+2+3+4+5]]+tabCustoUnit[[#This Row],[MÓDULO 6 – CUSTOS INDIRETOS, TRIBUTOS E LUCRO]]</f>
        <v>#NAME?</v>
      </c>
      <c r="BY238" s="22" t="e">
        <f ca="1">tabCustoUnit[[#This Row],[CUSTO TOTAL MENSAL]]*12</f>
        <v>#NAME?</v>
      </c>
      <c r="BZ238" s="24">
        <f>VLOOKUP(tabCustoUnit[[#This Row],[Código do Posto]],tabParametros[],MATCH(tabCustoUnit[[#Headers],[ANO DA CCT]],tabParametros[#Headers],0),0)</f>
        <v>45658</v>
      </c>
      <c r="CA238" s="25" t="str">
        <f>VLOOKUP(tabCustoUnit[[#This Row],[Código do Posto]],tabParametros[],MATCH(tabCustoUnit[[#Headers],[Nº DE PEDIDO DA CCT]],tabParametros[#Headers],0),0)</f>
        <v>-</v>
      </c>
      <c r="CB238" s="25" t="str">
        <f>VLOOKUP(tabCustoUnit[[#This Row],[Código do Posto]],tabParametros[],MATCH(tabCustoUnit[[#Headers],[TERMO ADITIVO ALTERAÇÃO DA CCT]],tabParametros[#Headers],0),0)</f>
        <v>-</v>
      </c>
    </row>
    <row r="239" spans="1:80">
      <c r="A239" s="20" t="s">
        <v>1664</v>
      </c>
      <c r="B239" t="s">
        <v>1176</v>
      </c>
      <c r="C239" t="s">
        <v>314</v>
      </c>
      <c r="D239" t="s">
        <v>957</v>
      </c>
      <c r="E239" s="20" t="s">
        <v>1090</v>
      </c>
      <c r="F239" s="20" t="s">
        <v>120</v>
      </c>
      <c r="G239" s="418">
        <v>1963.4110000000001</v>
      </c>
      <c r="H239" s="418">
        <v>0</v>
      </c>
      <c r="I239" s="418">
        <v>0</v>
      </c>
      <c r="J239" s="418">
        <v>0</v>
      </c>
      <c r="K239" s="418">
        <v>0</v>
      </c>
      <c r="L239" s="418">
        <v>0</v>
      </c>
      <c r="M239" s="418">
        <v>0</v>
      </c>
      <c r="N239" s="418">
        <v>0</v>
      </c>
      <c r="O239" s="21">
        <f>SUM(tabCustoUnit[[#This Row],[Salário Base]:[Adicional de Acúmulo de função]])</f>
        <v>1963.4110000000001</v>
      </c>
      <c r="P239" s="21">
        <f>tabCustoUnit[[#This Row],[MODULO 1 - REMUNERAÇÃO ]]*SUMIFS(tabParametros[INSS],tabParametros[Código do Posto],tabCustoUnit[[#This Row],[Código do Posto]])</f>
        <v>392.68220000000002</v>
      </c>
      <c r="Q239" s="21">
        <f>tabCustoUnit[[#This Row],[MODULO 1 - REMUNERAÇÃO ]]*SUMIFS(tabParametros[SESI OU SESC],tabParametros[Código do Posto],tabCustoUnit[[#This Row],[Código do Posto]])</f>
        <v>29.451165</v>
      </c>
      <c r="R239" s="21">
        <f>tabCustoUnit[[#This Row],[MODULO 1 - REMUNERAÇÃO ]]*SUMIFS(tabParametros[SENAI OU SENAC],tabParametros[Código do Posto],tabCustoUnit[[#This Row],[Código do Posto]])</f>
        <v>19.63411</v>
      </c>
      <c r="S239" s="21">
        <f>tabCustoUnit[[#This Row],[MODULO 1 - REMUNERAÇÃO ]]*SUMIFS(tabParametros[INCRA],tabParametros[Código do Posto],tabCustoUnit[[#This Row],[Código do Posto]])</f>
        <v>3.926822</v>
      </c>
      <c r="T239" s="21">
        <f>tabCustoUnit[[#This Row],[MODULO 1 - REMUNERAÇÃO ]]*SUMIFS(tabParametros[Salário Educação],tabParametros[Código do Posto],tabCustoUnit[[#This Row],[Código do Posto]])</f>
        <v>49.085275000000003</v>
      </c>
      <c r="U239" s="21">
        <f>tabCustoUnit[[#This Row],[MODULO 1 - REMUNERAÇÃO ]]*SUMIFS(tabParametros[FGTS],tabParametros[Código do Posto],tabCustoUnit[[#This Row],[Código do Posto]])</f>
        <v>157.07288</v>
      </c>
      <c r="V239" s="21">
        <f>tabCustoUnit[[#This Row],[MODULO 1 - REMUNERAÇÃO ]]*SUMIFS(tabParametros[RAT Ajustado],tabParametros[Código do Posto],tabCustoUnit[[#This Row],[Código do Posto]])</f>
        <v>78.536439999999999</v>
      </c>
      <c r="W239" s="21">
        <f>tabCustoUnit[[#This Row],[MODULO 1 - REMUNERAÇÃO ]]*SUMIFS(tabParametros[SEBRAE],tabParametros[Código do Posto],tabCustoUnit[[#This Row],[Código do Posto]])</f>
        <v>11.780466000000001</v>
      </c>
      <c r="X239" s="21">
        <f>SUM(tabCustoUnit[[#This Row],[INSS]:[SEBRAE]])</f>
        <v>742.1693580000001</v>
      </c>
      <c r="Y239" s="21">
        <f>tabCustoUnit[[#This Row],[MODULO 1 - REMUNERAÇÃO ]]*SUMIFS(tabParametros[13º salário (titular)],tabParametros[Código do Posto],tabCustoUnit[[#This Row],[Código do Posto]])</f>
        <v>163.61758333333333</v>
      </c>
      <c r="Z239" s="21">
        <f>tabCustoUnit[[#This Row],[MODULO 1 - REMUNERAÇÃO ]]*SUMIFS(tabParametros[Férias e Adicional de Férias (titular)],tabParametros[Código do Posto],tabCustoUnit[[#This Row],[Código do Posto]])</f>
        <v>218.15677777777776</v>
      </c>
      <c r="AA239" s="21">
        <f>IFERROR((tabCustoUnit[[#This Row],[Submódulo 2.1]]/tabCustoUnit[[#This Row],[MODULO 1 - REMUNERAÇÃO ]])*SUM(tabCustoUnit[[#This Row],[13º salário (titular)]:[Férias e Adicional de Férias (titular)]]),0)</f>
        <v>144.3107085</v>
      </c>
      <c r="AB239" s="21">
        <f>SUM(tabCustoUnit[[#This Row],[13º salário (titular)]:[Incidência do Submódulo 2.1 sobre 13º Salário, Férias e Adicional de Férias]])</f>
        <v>526.08506961111107</v>
      </c>
      <c r="AC239" s="22" t="e">
        <f ca="1">_xlfn.LET(_xlpm.VT,SUMIF(tabParametros[Código do Posto],tabCustoUnit[[#This Row],[Código do Posto]],tabParametros[Vale - Transporte])*2*20,
IF((_xlpm.VT-tabCustoUnit[[#This Row],[Salário Base]]*0.06)&gt;=0,(_xlpm.VT-tabCustoUnit[[#This Row],[Salário Base]]*0.06),0)
)</f>
        <v>#NAME?</v>
      </c>
      <c r="AD239" s="22">
        <f>IF(SUMIF(tabParametros[Código do Posto],tabCustoUnit[[#This Row],[Código do Posto]],tabParametros[Vale - Alimentação])&lt;=0,0,
SUMIF(tabParametros[Código do Posto],tabCustoUnit[[#This Row],[Código do Posto]],tabParametros[Vale - Alimentação])*20-1)</f>
        <v>582</v>
      </c>
      <c r="AE239" s="22">
        <f>SUMIF(tabParametros[Código do Posto],tabCustoUnit[[#This Row],[Código do Posto]],tabParametros[Cesta Básica])</f>
        <v>0</v>
      </c>
      <c r="AF239" s="22">
        <f>SUMIF(tabParametros[Código do Posto],tabCustoUnit[[#This Row],[Código do Posto]],tabParametros[PAF])</f>
        <v>51.87</v>
      </c>
      <c r="AG239" s="22">
        <f>SUMIF(tabParametros[Código do Posto],tabCustoUnit[[#This Row],[Código do Posto]],tabParametros[PQM])</f>
        <v>0</v>
      </c>
      <c r="AH239" s="22">
        <f>SUMIF(tabParametros[Código do Posto],tabCustoUnit[[#This Row],[Código do Posto]],tabParametros[Abono Único e Especial])</f>
        <v>0</v>
      </c>
      <c r="AI239" s="22">
        <f>SUMIF(tabParametros[Código do Posto],tabCustoUnit[[#This Row],[Código do Posto]],tabParametros[Seguro de Vida])</f>
        <v>3.36</v>
      </c>
      <c r="AJ239" s="22">
        <f>SUMIF(tabParametros[Código do Posto],tabCustoUnit[[#This Row],[Código do Posto]],tabParametros[Despesas de Viagem])</f>
        <v>0</v>
      </c>
      <c r="AK239" s="22" t="e">
        <f ca="1">SUM(tabCustoUnit[[#This Row],[Vale - Transporte (Descontada parcela do empregado)]:[Despesas de Viagem]])</f>
        <v>#NAME?</v>
      </c>
      <c r="AL239" s="22" t="e">
        <f ca="1">tabCustoUnit[[#This Row],[Submódulo 2.1]]+tabCustoUnit[[#This Row],[Submódulo 2.2]]+tabCustoUnit[[#This Row],[Submódulo 2.3]]</f>
        <v>#NAME?</v>
      </c>
      <c r="AM239" s="22">
        <f>SUMIF(tabParametros[Código do Posto],tabCustoUnit[[#This Row],[Código do Posto]],tabParametros[Aviso Prévio Indenizado (API) e Reflexo do Aviso Prévio Indenizado])*tabCustoUnit[[#This Row],[MODULO 1 - REMUNERAÇÃO ]]</f>
        <v>13.766980408757716</v>
      </c>
      <c r="AN239" s="22">
        <f>SUMIF(tabParametros[Código do Posto],tabCustoUnit[[#This Row],[Código do Posto]],tabParametros[Incidência do FGTS sobre API e Reflexo do API])*tabCustoUnit[[#This Row],[MODULO 1 - REMUNERAÇÃO ]]</f>
        <v>1.1013584327006174</v>
      </c>
      <c r="AO239" s="22">
        <f>SUMIF(tabParametros[Código do Posto],tabCustoUnit[[#This Row],[Código do Posto]],tabParametros[Multa Rescisória do FGTS sobre o Aviso Prévio Indenizado])*tabCustoUnit[[#This Row],[MODULO 1 - REMUNERAÇÃO ]]</f>
        <v>0.44054337308024699</v>
      </c>
      <c r="AP239" s="22">
        <f>SUMIF(tabParametros[Código do Posto],tabCustoUnit[[#This Row],[Código do Posto]],tabParametros[Aviso Prévio Trabalhado - APT])*tabCustoUnit[[#This Row],[MODULO 1 - REMUNERAÇÃO ]]</f>
        <v>6.8719385000000015</v>
      </c>
      <c r="AQ239" s="22">
        <f>SUMIF(tabParametros[Código do Posto],tabCustoUnit[[#This Row],[Código do Posto]],tabParametros[Incidência dos encargos do submódulo 2.1 sobre Aviso Prévio Trabalhado])*tabCustoUnit[[#This Row],[MODULO 1 - REMUNERAÇÃO ]]</f>
        <v>2.5975927530000007</v>
      </c>
      <c r="AR239" s="22">
        <f>SUMIF(tabParametros[Código do Posto],tabCustoUnit[[#This Row],[Código do Posto]],tabParametros[Multa Rescisória do FGTS])*tabCustoUnit[[#This Row],[MODULO 1 - REMUNERAÇÃO ]]</f>
        <v>60.03674524444444</v>
      </c>
      <c r="AS239" s="22">
        <f>SUMIF(tabParametros[Código do Posto],tabCustoUnit[[#This Row],[Código do Posto]],tabParametros[Indenização Adicional (Art. 9º da Lei nº 7.238/84)])*tabCustoUnit[[#This Row],[MODULO 1 - REMUNERAÇÃO ]]</f>
        <v>1.6361758333333334</v>
      </c>
      <c r="AT239" s="22">
        <f>SUM(tabCustoUnit[[#This Row],[Aviso Prévio Indenizado (API) e Reflexo do Aviso Prévio Indenizado]:[Indenização Adicional (Art. 9º da Lei nº 7.238/84)]])</f>
        <v>86.451334545316371</v>
      </c>
      <c r="AU239" s="22">
        <f>SUMIF(tabParametros[Código do Posto],tabCustoUnit[[#This Row],[Código do Posto]],tabParametros[Ausência por Doença])*tabCustoUnit[[#This Row],[MODULO 1 - REMUNERAÇÃO ]]</f>
        <v>16.579915111111109</v>
      </c>
      <c r="AV239" s="22">
        <f>SUMIF(tabParametros[Código do Posto],tabCustoUnit[[#This Row],[Código do Posto]],tabParametros[Ausências Legais])*tabCustoUnit[[#This Row],[MODULO 1 - REMUNERAÇÃO ]]</f>
        <v>3.9813611944444443</v>
      </c>
      <c r="AW239" s="22">
        <f>SUMIF(tabParametros[Código do Posto],tabCustoUnit[[#This Row],[Código do Posto]],tabParametros[Licença Paternidade])*tabCustoUnit[[#This Row],[MODULO 1 - REMUNERAÇÃO ]]</f>
        <v>0.33541604583333334</v>
      </c>
      <c r="AX239" s="22">
        <f>SUMIF(tabParametros[Código do Posto],tabCustoUnit[[#This Row],[Código do Posto]],tabParametros[Ausência por Acidente de Trabalho])*tabCustoUnit[[#This Row],[MODULO 1 - REMUNERAÇÃO ]]</f>
        <v>0.40904395833333335</v>
      </c>
      <c r="AY239" s="22">
        <f>SUMIF(tabParametros[Código do Posto],tabCustoUnit[[#This Row],[Código do Posto]],tabParametros[Férias, Adicional de Férias e 13º  com empregada em gozo de Licença Maternidade])*tabCustoUnit[[#This Row],[MODULO 1 - REMUNERAÇÃO ]]</f>
        <v>2.5451624074074073</v>
      </c>
      <c r="AZ239" s="22">
        <f>SUMIF(tabParametros[Código do Posto],tabCustoUnit[[#This Row],[Código do Posto]],tabParametros[Incidência do Submódulo 2.1 sobre Ausências Legais])*tabCustoUnit[[#This Row],[MODULO 1 - REMUNERAÇÃO ]]</f>
        <v>9.0156397150750021</v>
      </c>
      <c r="BA239" s="22">
        <f>SUM(tabCustoUnit[[#This Row],[Ausência por Doença]:[Incidência do Submódulo 2.1 sobre Ausências Legais]])</f>
        <v>32.866538432204628</v>
      </c>
      <c r="BB239" s="22">
        <f>SUMIF(tabParametros[Código do Posto],tabCustoUnit[[#This Row],[Código do Posto]],tabParametros[Intervalo para Repouso ou Alimentação])</f>
        <v>267.73786489195959</v>
      </c>
      <c r="BC239" s="22">
        <f>tabCustoUnit[[#This Row],[Intervalo para Repouso ou Alimentação]]</f>
        <v>267.73786489195959</v>
      </c>
      <c r="BD23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39" s="22">
        <f>tabCustoUnit[[#This Row],[Suspensão Temporária do Contrato de Trabalho]]</f>
        <v>0</v>
      </c>
      <c r="BF239" s="22">
        <f>tabCustoUnit[[#This Row],[Submódulo 4.1]]+tabCustoUnit[[#This Row],[Submódulo 4.2]]+tabCustoUnit[[#This Row],[Submódulo 4.3]]</f>
        <v>300.6044033241642</v>
      </c>
      <c r="BG239" s="22">
        <f>VLOOKUP(tabCustoUnit[[#This Row],[Código do Posto]],tabParametros[],MATCH(tabCustoUnit[[#Headers],[Uniformes e EPIs]],tabParametros[#Headers],0),0)</f>
        <v>56.642978962543395</v>
      </c>
      <c r="BH239" s="22">
        <f>VLOOKUP(tabCustoUnit[[#This Row],[Código do Posto]],tabParametros[],MATCH(tabCustoUnit[[#Headers],[Materiais de Consumo]],tabParametros[#Headers],0),0)</f>
        <v>0</v>
      </c>
      <c r="BI239" s="22">
        <f>VLOOKUP(tabCustoUnit[[#This Row],[Código do Posto]],tabParametros[],MATCH(tabCustoUnit[[#Headers],[Máquinas e Equipamentos (depreciação)]],tabParametros[#Headers],0),0)</f>
        <v>0</v>
      </c>
      <c r="BJ239" s="22">
        <f>VLOOKUP(tabCustoUnit[[#This Row],[Código do Posto]],tabParametros[],MATCH(tabCustoUnit[[#Headers],[Produtos de Limpeza e Materiais de Higiene Pessoal]],tabParametros[#Headers],0),0)</f>
        <v>0</v>
      </c>
      <c r="BK239" s="22">
        <f>VLOOKUP(tabCustoUnit[[#This Row],[Código do Posto]],tabParametros[],MATCH(tabCustoUnit[[#Headers],[Outros (especificar)]],tabParametros[#Headers],0),0)</f>
        <v>0</v>
      </c>
      <c r="BL239" s="22">
        <f>SUM(tabCustoUnit[[#This Row],[Uniformes e EPIs]:[Outros (especificar)]])</f>
        <v>56.642978962543395</v>
      </c>
      <c r="BM23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39" s="22" t="e">
        <f ca="1">VLOOKUP(tabCustoUnit[[#This Row],[Código do Posto]],tabParametros[],MATCH(tabCustoUnit[[#Headers],[Custos Indiretos]],tabParametros[#Headers],0),0)</f>
        <v>#NAME?</v>
      </c>
      <c r="BO239" s="22" t="e">
        <f ca="1">VLOOKUP(tabCustoUnit[[#This Row],[Código do Posto]],tabParametros[],MATCH(tabCustoUnit[[#Headers],[Lucro]],tabParametros[#Headers],0),0)</f>
        <v>#NAME?</v>
      </c>
      <c r="BP239" s="26">
        <f>((100/((1-tabCustoUnit[[#This Row],[Resumo de Alíquotas (PIS+CONFINS+ISS)]]))-100)*VLOOKUP(tabCustoUnit[[#This Row],[Código do Posto]],tabParametros[],MATCH(tabCustoUnit[[#Headers],[COFINS]],tabParametros[#Headers],0),0))/(tabCustoUnit[[#This Row],[Resumo de Alíquotas (PIS+CONFINS+ISS)]]*100)</f>
        <v>8.8629737609329504E-2</v>
      </c>
      <c r="BQ239" s="26">
        <f>((100/((100-(tabCustoUnit[[#This Row],[Resumo de Alíquotas (PIS+CONFINS+ISS)]]*100))%)-100)*VLOOKUP(tabCustoUnit[[#This Row],[Código do Posto]],tabParametros[],MATCH(tabCustoUnit[[#Headers],[PIS]],tabParametros[#Headers],0),0))/(tabCustoUnit[[#This Row],[Resumo de Alíquotas (PIS+CONFINS+ISS)]]*100)</f>
        <v>1.9241982507288629E-2</v>
      </c>
      <c r="BR239" s="28">
        <f>VLOOKUP(tabCustoUnit[[#This Row],[Código do Posto]],tabParametros[],MATCH(tabCustoUnit[[#Headers],[ISS]],tabParametros[#Headers],0),0)</f>
        <v>0.05</v>
      </c>
      <c r="BS239" s="26">
        <f>(((100/((100-(tabCustoUnit[[#This Row],[Resumo de Alíquotas (PIS+CONFINS+ISS)]]*100))%)-100)*tabCustoUnit[[#This Row],[ISS]])/tabCustoUnit[[#This Row],[Resumo de Alíquotas (PIS+CONFINS+ISS)]])/100</f>
        <v>5.8309037900874633E-2</v>
      </c>
      <c r="BT23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39" s="138">
        <f>tabCustoUnit[[#This Row],[COFINS]]+tabCustoUnit[[#This Row],[PIS]]+tabCustoUnit[[#This Row],[ISS (Conversão Alíquota s/ fatura)]]</f>
        <v>0.16618075801749277</v>
      </c>
      <c r="BV239" s="22" t="e">
        <f ca="1">(tabCustoUnit[[#This Row],[TOTAL MÓDULOS 1+2+3+4+5]]+tabCustoUnit[[#This Row],[Custos Indiretos]]+tabCustoUnit[[#This Row],[Lucro]])*tabCustoUnit[[#This Row],[PIS + COFINS + ISS (Total Conversão  Alíquota s/ Fatura)]]</f>
        <v>#NAME?</v>
      </c>
      <c r="BW239" s="22" t="e">
        <f ca="1">tabCustoUnit[[#This Row],[Custos Indiretos]]+tabCustoUnit[[#This Row],[Lucro]]+tabCustoUnit[[#This Row],[Valor dos Tributos (ISS, PIS, CONFINS)]]</f>
        <v>#NAME?</v>
      </c>
      <c r="BX239" s="22" t="e">
        <f ca="1">tabCustoUnit[[#This Row],[TOTAL MÓDULOS 1+2+3+4+5]]+tabCustoUnit[[#This Row],[MÓDULO 6 – CUSTOS INDIRETOS, TRIBUTOS E LUCRO]]</f>
        <v>#NAME?</v>
      </c>
      <c r="BY239" s="22" t="e">
        <f ca="1">tabCustoUnit[[#This Row],[CUSTO TOTAL MENSAL]]*12</f>
        <v>#NAME?</v>
      </c>
      <c r="BZ239" s="24">
        <f>VLOOKUP(tabCustoUnit[[#This Row],[Código do Posto]],tabParametros[],MATCH(tabCustoUnit[[#Headers],[ANO DA CCT]],tabParametros[#Headers],0),0)</f>
        <v>45658</v>
      </c>
      <c r="CA239" s="25" t="str">
        <f>VLOOKUP(tabCustoUnit[[#This Row],[Código do Posto]],tabParametros[],MATCH(tabCustoUnit[[#Headers],[Nº DE PEDIDO DA CCT]],tabParametros[#Headers],0),0)</f>
        <v>-</v>
      </c>
      <c r="CB239" s="25" t="str">
        <f>VLOOKUP(tabCustoUnit[[#This Row],[Código do Posto]],tabParametros[],MATCH(tabCustoUnit[[#Headers],[TERMO ADITIVO ALTERAÇÃO DA CCT]],tabParametros[#Headers],0),0)</f>
        <v>-</v>
      </c>
    </row>
    <row r="240" spans="1:80">
      <c r="A240" s="20" t="s">
        <v>1665</v>
      </c>
      <c r="B240" t="s">
        <v>1177</v>
      </c>
      <c r="C240" t="s">
        <v>324</v>
      </c>
      <c r="D240" t="s">
        <v>918</v>
      </c>
      <c r="E240" s="20" t="s">
        <v>1090</v>
      </c>
      <c r="F240" s="20" t="s">
        <v>120</v>
      </c>
      <c r="G240" s="418">
        <v>3397.1306</v>
      </c>
      <c r="H240" s="418">
        <v>0</v>
      </c>
      <c r="I240" s="418">
        <v>0</v>
      </c>
      <c r="J240" s="418">
        <v>0</v>
      </c>
      <c r="K240" s="418">
        <v>0</v>
      </c>
      <c r="L240" s="418">
        <v>0</v>
      </c>
      <c r="M240" s="418">
        <v>0</v>
      </c>
      <c r="N240" s="418">
        <v>0</v>
      </c>
      <c r="O240" s="21">
        <f>SUM(tabCustoUnit[[#This Row],[Salário Base]:[Adicional de Acúmulo de função]])</f>
        <v>3397.1306</v>
      </c>
      <c r="P240" s="21">
        <f>tabCustoUnit[[#This Row],[MODULO 1 - REMUNERAÇÃO ]]*SUMIFS(tabParametros[INSS],tabParametros[Código do Posto],tabCustoUnit[[#This Row],[Código do Posto]])</f>
        <v>679.42612000000008</v>
      </c>
      <c r="Q240" s="21">
        <f>tabCustoUnit[[#This Row],[MODULO 1 - REMUNERAÇÃO ]]*SUMIFS(tabParametros[SESI OU SESC],tabParametros[Código do Posto],tabCustoUnit[[#This Row],[Código do Posto]])</f>
        <v>50.956958999999998</v>
      </c>
      <c r="R240" s="21">
        <f>tabCustoUnit[[#This Row],[MODULO 1 - REMUNERAÇÃO ]]*SUMIFS(tabParametros[SENAI OU SENAC],tabParametros[Código do Posto],tabCustoUnit[[#This Row],[Código do Posto]])</f>
        <v>33.971305999999998</v>
      </c>
      <c r="S240" s="21">
        <f>tabCustoUnit[[#This Row],[MODULO 1 - REMUNERAÇÃO ]]*SUMIFS(tabParametros[INCRA],tabParametros[Código do Posto],tabCustoUnit[[#This Row],[Código do Posto]])</f>
        <v>6.7942612000000002</v>
      </c>
      <c r="T240" s="21">
        <f>tabCustoUnit[[#This Row],[MODULO 1 - REMUNERAÇÃO ]]*SUMIFS(tabParametros[Salário Educação],tabParametros[Código do Posto],tabCustoUnit[[#This Row],[Código do Posto]])</f>
        <v>84.92826500000001</v>
      </c>
      <c r="U240" s="21">
        <f>tabCustoUnit[[#This Row],[MODULO 1 - REMUNERAÇÃO ]]*SUMIFS(tabParametros[FGTS],tabParametros[Código do Posto],tabCustoUnit[[#This Row],[Código do Posto]])</f>
        <v>271.77044799999999</v>
      </c>
      <c r="V240" s="21">
        <f>tabCustoUnit[[#This Row],[MODULO 1 - REMUNERAÇÃO ]]*SUMIFS(tabParametros[RAT Ajustado],tabParametros[Código do Posto],tabCustoUnit[[#This Row],[Código do Posto]])</f>
        <v>135.88522399999999</v>
      </c>
      <c r="W240" s="21">
        <f>tabCustoUnit[[#This Row],[MODULO 1 - REMUNERAÇÃO ]]*SUMIFS(tabParametros[SEBRAE],tabParametros[Código do Posto],tabCustoUnit[[#This Row],[Código do Posto]])</f>
        <v>20.3827836</v>
      </c>
      <c r="X240" s="21">
        <f>SUM(tabCustoUnit[[#This Row],[INSS]:[SEBRAE]])</f>
        <v>1284.1153668000002</v>
      </c>
      <c r="Y240" s="21">
        <f>tabCustoUnit[[#This Row],[MODULO 1 - REMUNERAÇÃO ]]*SUMIFS(tabParametros[13º salário (titular)],tabParametros[Código do Posto],tabCustoUnit[[#This Row],[Código do Posto]])</f>
        <v>283.09421666666663</v>
      </c>
      <c r="Z240" s="21">
        <f>tabCustoUnit[[#This Row],[MODULO 1 - REMUNERAÇÃO ]]*SUMIFS(tabParametros[Férias e Adicional de Férias (titular)],tabParametros[Código do Posto],tabCustoUnit[[#This Row],[Código do Posto]])</f>
        <v>377.45895555555552</v>
      </c>
      <c r="AA240" s="21">
        <f>IFERROR((tabCustoUnit[[#This Row],[Submódulo 2.1]]/tabCustoUnit[[#This Row],[MODULO 1 - REMUNERAÇÃO ]])*SUM(tabCustoUnit[[#This Row],[13º salário (titular)]:[Férias e Adicional de Férias (titular)]]),0)</f>
        <v>249.68909910000002</v>
      </c>
      <c r="AB240" s="21">
        <f>SUM(tabCustoUnit[[#This Row],[13º salário (titular)]:[Incidência do Submódulo 2.1 sobre 13º Salário, Férias e Adicional de Férias]])</f>
        <v>910.24227132222222</v>
      </c>
      <c r="AC240" s="22" t="e">
        <f ca="1">_xlfn.LET(_xlpm.VT,SUMIF(tabParametros[Código do Posto],tabCustoUnit[[#This Row],[Código do Posto]],tabParametros[Vale - Transporte])*2*20,
IF((_xlpm.VT-tabCustoUnit[[#This Row],[Salário Base]]*0.06)&gt;=0,(_xlpm.VT-tabCustoUnit[[#This Row],[Salário Base]]*0.06),0)
)</f>
        <v>#NAME?</v>
      </c>
      <c r="AD240" s="22">
        <f>IF(SUMIF(tabParametros[Código do Posto],tabCustoUnit[[#This Row],[Código do Posto]],tabParametros[Vale - Alimentação])&lt;=0,0,
SUMIF(tabParametros[Código do Posto],tabCustoUnit[[#This Row],[Código do Posto]],tabParametros[Vale - Alimentação])*20-1)</f>
        <v>582</v>
      </c>
      <c r="AE240" s="22">
        <f>SUMIF(tabParametros[Código do Posto],tabCustoUnit[[#This Row],[Código do Posto]],tabParametros[Cesta Básica])</f>
        <v>0</v>
      </c>
      <c r="AF240" s="22">
        <f>SUMIF(tabParametros[Código do Posto],tabCustoUnit[[#This Row],[Código do Posto]],tabParametros[PAF])</f>
        <v>0</v>
      </c>
      <c r="AG240" s="22">
        <f>SUMIF(tabParametros[Código do Posto],tabCustoUnit[[#This Row],[Código do Posto]],tabParametros[PQM])</f>
        <v>15.07</v>
      </c>
      <c r="AH240" s="22">
        <f>SUMIF(tabParametros[Código do Posto],tabCustoUnit[[#This Row],[Código do Posto]],tabParametros[Abono Único e Especial])</f>
        <v>0</v>
      </c>
      <c r="AI240" s="22">
        <f>SUMIF(tabParametros[Código do Posto],tabCustoUnit[[#This Row],[Código do Posto]],tabParametros[Seguro de Vida])</f>
        <v>3.36</v>
      </c>
      <c r="AJ240" s="22">
        <f>SUMIF(tabParametros[Código do Posto],tabCustoUnit[[#This Row],[Código do Posto]],tabParametros[Despesas de Viagem])</f>
        <v>0</v>
      </c>
      <c r="AK240" s="22" t="e">
        <f ca="1">SUM(tabCustoUnit[[#This Row],[Vale - Transporte (Descontada parcela do empregado)]:[Despesas de Viagem]])</f>
        <v>#NAME?</v>
      </c>
      <c r="AL240" s="22" t="e">
        <f ca="1">tabCustoUnit[[#This Row],[Submódulo 2.1]]+tabCustoUnit[[#This Row],[Submódulo 2.2]]+tabCustoUnit[[#This Row],[Submódulo 2.3]]</f>
        <v>#NAME?</v>
      </c>
      <c r="AM240" s="22">
        <f>SUMIF(tabParametros[Código do Posto],tabCustoUnit[[#This Row],[Código do Posto]],tabParametros[Aviso Prévio Indenizado (API) e Reflexo do Aviso Prévio Indenizado])*tabCustoUnit[[#This Row],[MODULO 1 - REMUNERAÇÃO ]]</f>
        <v>23.819888151890432</v>
      </c>
      <c r="AN240" s="22">
        <f>SUMIF(tabParametros[Código do Posto],tabCustoUnit[[#This Row],[Código do Posto]],tabParametros[Incidência do FGTS sobre API e Reflexo do API])*tabCustoUnit[[#This Row],[MODULO 1 - REMUNERAÇÃO ]]</f>
        <v>1.9055910521512347</v>
      </c>
      <c r="AO240" s="22">
        <f>SUMIF(tabParametros[Código do Posto],tabCustoUnit[[#This Row],[Código do Posto]],tabParametros[Multa Rescisória do FGTS sobre o Aviso Prévio Indenizado])*tabCustoUnit[[#This Row],[MODULO 1 - REMUNERAÇÃO ]]</f>
        <v>0.76223642086049392</v>
      </c>
      <c r="AP240" s="22">
        <f>SUMIF(tabParametros[Código do Posto],tabCustoUnit[[#This Row],[Código do Posto]],tabParametros[Aviso Prévio Trabalhado - APT])*tabCustoUnit[[#This Row],[MODULO 1 - REMUNERAÇÃO ]]</f>
        <v>11.889957100000002</v>
      </c>
      <c r="AQ240" s="22">
        <f>SUMIF(tabParametros[Código do Posto],tabCustoUnit[[#This Row],[Código do Posto]],tabParametros[Incidência dos encargos do submódulo 2.1 sobre Aviso Prévio Trabalhado])*tabCustoUnit[[#This Row],[MODULO 1 - REMUNERAÇÃO ]]</f>
        <v>4.4944037838000011</v>
      </c>
      <c r="AR240" s="22">
        <f>SUMIF(tabParametros[Código do Posto],tabCustoUnit[[#This Row],[Código do Posto]],tabParametros[Multa Rescisória do FGTS])*tabCustoUnit[[#This Row],[MODULO 1 - REMUNERAÇÃO ]]</f>
        <v>103.87670456888887</v>
      </c>
      <c r="AS240" s="22">
        <f>SUMIF(tabParametros[Código do Posto],tabCustoUnit[[#This Row],[Código do Posto]],tabParametros[Indenização Adicional (Art. 9º da Lei nº 7.238/84)])*tabCustoUnit[[#This Row],[MODULO 1 - REMUNERAÇÃO ]]</f>
        <v>2.830942166666667</v>
      </c>
      <c r="AT240" s="22">
        <f>SUM(tabCustoUnit[[#This Row],[Aviso Prévio Indenizado (API) e Reflexo do Aviso Prévio Indenizado]:[Indenização Adicional (Art. 9º da Lei nº 7.238/84)]])</f>
        <v>149.57972324425771</v>
      </c>
      <c r="AU240" s="22">
        <f>SUMIF(tabParametros[Código do Posto],tabCustoUnit[[#This Row],[Código do Posto]],tabParametros[Ausência por Doença])*tabCustoUnit[[#This Row],[MODULO 1 - REMUNERAÇÃO ]]</f>
        <v>28.686880622222219</v>
      </c>
      <c r="AV240" s="22">
        <f>SUMIF(tabParametros[Código do Posto],tabCustoUnit[[#This Row],[Código do Posto]],tabParametros[Ausências Legais])*tabCustoUnit[[#This Row],[MODULO 1 - REMUNERAÇÃO ]]</f>
        <v>6.8886259388888886</v>
      </c>
      <c r="AW240" s="22">
        <f>SUMIF(tabParametros[Código do Posto],tabCustoUnit[[#This Row],[Código do Posto]],tabParametros[Licença Paternidade])*tabCustoUnit[[#This Row],[MODULO 1 - REMUNERAÇÃO ]]</f>
        <v>0.58034314416666666</v>
      </c>
      <c r="AX240" s="22">
        <f>SUMIF(tabParametros[Código do Posto],tabCustoUnit[[#This Row],[Código do Posto]],tabParametros[Ausência por Acidente de Trabalho])*tabCustoUnit[[#This Row],[MODULO 1 - REMUNERAÇÃO ]]</f>
        <v>0.70773554166666675</v>
      </c>
      <c r="AY240" s="22">
        <f>SUMIF(tabParametros[Código do Posto],tabCustoUnit[[#This Row],[Código do Posto]],tabParametros[Férias, Adicional de Férias e 13º  com empregada em gozo de Licença Maternidade])*tabCustoUnit[[#This Row],[MODULO 1 - REMUNERAÇÃO ]]</f>
        <v>4.4036878148148144</v>
      </c>
      <c r="AZ240" s="22">
        <f>SUMIF(tabParametros[Código do Posto],tabCustoUnit[[#This Row],[Código do Posto]],tabParametros[Incidência do Submódulo 2.1 sobre Ausências Legais])*tabCustoUnit[[#This Row],[MODULO 1 - REMUNERAÇÃO ]]</f>
        <v>15.599029217345002</v>
      </c>
      <c r="BA240" s="22">
        <f>SUM(tabCustoUnit[[#This Row],[Ausência por Doença]:[Incidência do Submódulo 2.1 sobre Ausências Legais]])</f>
        <v>56.866302279104261</v>
      </c>
      <c r="BB240" s="22">
        <f>SUMIF(tabParametros[Código do Posto],tabCustoUnit[[#This Row],[Código do Posto]],tabParametros[Intervalo para Repouso ou Alimentação])</f>
        <v>0</v>
      </c>
      <c r="BC240" s="22">
        <f>tabCustoUnit[[#This Row],[Intervalo para Repouso ou Alimentação]]</f>
        <v>0</v>
      </c>
      <c r="BD24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0" s="22">
        <f>tabCustoUnit[[#This Row],[Suspensão Temporária do Contrato de Trabalho]]</f>
        <v>0</v>
      </c>
      <c r="BF240" s="22">
        <f>tabCustoUnit[[#This Row],[Submódulo 4.1]]+tabCustoUnit[[#This Row],[Submódulo 4.2]]+tabCustoUnit[[#This Row],[Submódulo 4.3]]</f>
        <v>56.866302279104261</v>
      </c>
      <c r="BG240" s="22">
        <f>VLOOKUP(tabCustoUnit[[#This Row],[Código do Posto]],tabParametros[],MATCH(tabCustoUnit[[#Headers],[Uniformes e EPIs]],tabParametros[#Headers],0),0)</f>
        <v>56.642978962543395</v>
      </c>
      <c r="BH240" s="22">
        <f>VLOOKUP(tabCustoUnit[[#This Row],[Código do Posto]],tabParametros[],MATCH(tabCustoUnit[[#Headers],[Materiais de Consumo]],tabParametros[#Headers],0),0)</f>
        <v>0</v>
      </c>
      <c r="BI240" s="22">
        <f>VLOOKUP(tabCustoUnit[[#This Row],[Código do Posto]],tabParametros[],MATCH(tabCustoUnit[[#Headers],[Máquinas e Equipamentos (depreciação)]],tabParametros[#Headers],0),0)</f>
        <v>0</v>
      </c>
      <c r="BJ240" s="22">
        <f>VLOOKUP(tabCustoUnit[[#This Row],[Código do Posto]],tabParametros[],MATCH(tabCustoUnit[[#Headers],[Produtos de Limpeza e Materiais de Higiene Pessoal]],tabParametros[#Headers],0),0)</f>
        <v>0</v>
      </c>
      <c r="BK240" s="22">
        <f>VLOOKUP(tabCustoUnit[[#This Row],[Código do Posto]],tabParametros[],MATCH(tabCustoUnit[[#Headers],[Outros (especificar)]],tabParametros[#Headers],0),0)</f>
        <v>0</v>
      </c>
      <c r="BL240" s="22">
        <f>SUM(tabCustoUnit[[#This Row],[Uniformes e EPIs]:[Outros (especificar)]])</f>
        <v>56.642978962543395</v>
      </c>
      <c r="BM24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0" s="22" t="e">
        <f ca="1">VLOOKUP(tabCustoUnit[[#This Row],[Código do Posto]],tabParametros[],MATCH(tabCustoUnit[[#Headers],[Custos Indiretos]],tabParametros[#Headers],0),0)</f>
        <v>#NAME?</v>
      </c>
      <c r="BO240" s="22" t="e">
        <f ca="1">VLOOKUP(tabCustoUnit[[#This Row],[Código do Posto]],tabParametros[],MATCH(tabCustoUnit[[#Headers],[Lucro]],tabParametros[#Headers],0),0)</f>
        <v>#NAME?</v>
      </c>
      <c r="BP240" s="26">
        <f>((100/((1-tabCustoUnit[[#This Row],[Resumo de Alíquotas (PIS+CONFINS+ISS)]]))-100)*VLOOKUP(tabCustoUnit[[#This Row],[Código do Posto]],tabParametros[],MATCH(tabCustoUnit[[#Headers],[COFINS]],tabParametros[#Headers],0),0))/(tabCustoUnit[[#This Row],[Resumo de Alíquotas (PIS+CONFINS+ISS)]]*100)</f>
        <v>8.7608069164265154E-2</v>
      </c>
      <c r="BQ240" s="26">
        <f>((100/((100-(tabCustoUnit[[#This Row],[Resumo de Alíquotas (PIS+CONFINS+ISS)]]*100))%)-100)*VLOOKUP(tabCustoUnit[[#This Row],[Código do Posto]],tabParametros[],MATCH(tabCustoUnit[[#Headers],[PIS]],tabParametros[#Headers],0),0))/(tabCustoUnit[[#This Row],[Resumo de Alíquotas (PIS+CONFINS+ISS)]]*100)</f>
        <v>1.9020172910662814E-2</v>
      </c>
      <c r="BR240" s="28">
        <f>VLOOKUP(tabCustoUnit[[#This Row],[Código do Posto]],tabParametros[],MATCH(tabCustoUnit[[#Headers],[ISS]],tabParametros[#Headers],0),0)</f>
        <v>0.04</v>
      </c>
      <c r="BS240" s="26">
        <f>(((100/((100-(tabCustoUnit[[#This Row],[Resumo de Alíquotas (PIS+CONFINS+ISS)]]*100))%)-100)*tabCustoUnit[[#This Row],[ISS]])/tabCustoUnit[[#This Row],[Resumo de Alíquotas (PIS+CONFINS+ISS)]])/100</f>
        <v>4.6109510086455294E-2</v>
      </c>
      <c r="BT24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240" s="138">
        <f>tabCustoUnit[[#This Row],[COFINS]]+tabCustoUnit[[#This Row],[PIS]]+tabCustoUnit[[#This Row],[ISS (Conversão Alíquota s/ fatura)]]</f>
        <v>0.15273775216138324</v>
      </c>
      <c r="BV240" s="22" t="e">
        <f ca="1">(tabCustoUnit[[#This Row],[TOTAL MÓDULOS 1+2+3+4+5]]+tabCustoUnit[[#This Row],[Custos Indiretos]]+tabCustoUnit[[#This Row],[Lucro]])*tabCustoUnit[[#This Row],[PIS + COFINS + ISS (Total Conversão  Alíquota s/ Fatura)]]</f>
        <v>#NAME?</v>
      </c>
      <c r="BW240" s="22" t="e">
        <f ca="1">tabCustoUnit[[#This Row],[Custos Indiretos]]+tabCustoUnit[[#This Row],[Lucro]]+tabCustoUnit[[#This Row],[Valor dos Tributos (ISS, PIS, CONFINS)]]</f>
        <v>#NAME?</v>
      </c>
      <c r="BX240" s="22" t="e">
        <f ca="1">tabCustoUnit[[#This Row],[TOTAL MÓDULOS 1+2+3+4+5]]+tabCustoUnit[[#This Row],[MÓDULO 6 – CUSTOS INDIRETOS, TRIBUTOS E LUCRO]]</f>
        <v>#NAME?</v>
      </c>
      <c r="BY240" s="22" t="e">
        <f ca="1">tabCustoUnit[[#This Row],[CUSTO TOTAL MENSAL]]*12</f>
        <v>#NAME?</v>
      </c>
      <c r="BZ240" s="24">
        <f>VLOOKUP(tabCustoUnit[[#This Row],[Código do Posto]],tabParametros[],MATCH(tabCustoUnit[[#Headers],[ANO DA CCT]],tabParametros[#Headers],0),0)</f>
        <v>45658</v>
      </c>
      <c r="CA240" s="25" t="str">
        <f>VLOOKUP(tabCustoUnit[[#This Row],[Código do Posto]],tabParametros[],MATCH(tabCustoUnit[[#Headers],[Nº DE PEDIDO DA CCT]],tabParametros[#Headers],0),0)</f>
        <v>-</v>
      </c>
      <c r="CB240" s="25" t="str">
        <f>VLOOKUP(tabCustoUnit[[#This Row],[Código do Posto]],tabParametros[],MATCH(tabCustoUnit[[#Headers],[TERMO ADITIVO ALTERAÇÃO DA CCT]],tabParametros[#Headers],0),0)</f>
        <v>-</v>
      </c>
    </row>
    <row r="241" spans="1:80">
      <c r="A241" s="20" t="s">
        <v>1666</v>
      </c>
      <c r="B241" t="s">
        <v>1178</v>
      </c>
      <c r="C241" t="s">
        <v>314</v>
      </c>
      <c r="D241" t="s">
        <v>961</v>
      </c>
      <c r="E241" s="20" t="s">
        <v>1090</v>
      </c>
      <c r="F241" s="20" t="s">
        <v>120</v>
      </c>
      <c r="G241" s="418">
        <v>1963.405</v>
      </c>
      <c r="H241" s="418">
        <v>0</v>
      </c>
      <c r="I241" s="418">
        <v>0</v>
      </c>
      <c r="J241" s="418">
        <v>0</v>
      </c>
      <c r="K241" s="418">
        <v>0</v>
      </c>
      <c r="L241" s="418">
        <v>0</v>
      </c>
      <c r="M241" s="418">
        <v>0</v>
      </c>
      <c r="N241" s="418">
        <v>0</v>
      </c>
      <c r="O241" s="21">
        <f>SUM(tabCustoUnit[[#This Row],[Salário Base]:[Adicional de Acúmulo de função]])</f>
        <v>1963.405</v>
      </c>
      <c r="P241" s="21">
        <f>tabCustoUnit[[#This Row],[MODULO 1 - REMUNERAÇÃO ]]*SUMIFS(tabParametros[INSS],tabParametros[Código do Posto],tabCustoUnit[[#This Row],[Código do Posto]])</f>
        <v>392.68100000000004</v>
      </c>
      <c r="Q241" s="21">
        <f>tabCustoUnit[[#This Row],[MODULO 1 - REMUNERAÇÃO ]]*SUMIFS(tabParametros[SESI OU SESC],tabParametros[Código do Posto],tabCustoUnit[[#This Row],[Código do Posto]])</f>
        <v>29.451074999999999</v>
      </c>
      <c r="R241" s="21">
        <f>tabCustoUnit[[#This Row],[MODULO 1 - REMUNERAÇÃO ]]*SUMIFS(tabParametros[SENAI OU SENAC],tabParametros[Código do Posto],tabCustoUnit[[#This Row],[Código do Posto]])</f>
        <v>19.634049999999998</v>
      </c>
      <c r="S241" s="21">
        <f>tabCustoUnit[[#This Row],[MODULO 1 - REMUNERAÇÃO ]]*SUMIFS(tabParametros[INCRA],tabParametros[Código do Posto],tabCustoUnit[[#This Row],[Código do Posto]])</f>
        <v>3.9268100000000001</v>
      </c>
      <c r="T241" s="21">
        <f>tabCustoUnit[[#This Row],[MODULO 1 - REMUNERAÇÃO ]]*SUMIFS(tabParametros[Salário Educação],tabParametros[Código do Posto],tabCustoUnit[[#This Row],[Código do Posto]])</f>
        <v>49.085125000000005</v>
      </c>
      <c r="U241" s="21">
        <f>tabCustoUnit[[#This Row],[MODULO 1 - REMUNERAÇÃO ]]*SUMIFS(tabParametros[FGTS],tabParametros[Código do Posto],tabCustoUnit[[#This Row],[Código do Posto]])</f>
        <v>157.07239999999999</v>
      </c>
      <c r="V241" s="21">
        <f>tabCustoUnit[[#This Row],[MODULO 1 - REMUNERAÇÃO ]]*SUMIFS(tabParametros[RAT Ajustado],tabParametros[Código do Posto],tabCustoUnit[[#This Row],[Código do Posto]])</f>
        <v>78.536199999999994</v>
      </c>
      <c r="W241" s="21">
        <f>tabCustoUnit[[#This Row],[MODULO 1 - REMUNERAÇÃO ]]*SUMIFS(tabParametros[SEBRAE],tabParametros[Código do Posto],tabCustoUnit[[#This Row],[Código do Posto]])</f>
        <v>11.780430000000001</v>
      </c>
      <c r="X241" s="21">
        <f>SUM(tabCustoUnit[[#This Row],[INSS]:[SEBRAE]])</f>
        <v>742.16709000000003</v>
      </c>
      <c r="Y241" s="21">
        <f>tabCustoUnit[[#This Row],[MODULO 1 - REMUNERAÇÃO ]]*SUMIFS(tabParametros[13º salário (titular)],tabParametros[Código do Posto],tabCustoUnit[[#This Row],[Código do Posto]])</f>
        <v>163.61708333333331</v>
      </c>
      <c r="Z241" s="21">
        <f>tabCustoUnit[[#This Row],[MODULO 1 - REMUNERAÇÃO ]]*SUMIFS(tabParametros[Férias e Adicional de Férias (titular)],tabParametros[Código do Posto],tabCustoUnit[[#This Row],[Código do Posto]])</f>
        <v>218.1561111111111</v>
      </c>
      <c r="AA241" s="21">
        <f>IFERROR((tabCustoUnit[[#This Row],[Submódulo 2.1]]/tabCustoUnit[[#This Row],[MODULO 1 - REMUNERAÇÃO ]])*SUM(tabCustoUnit[[#This Row],[13º salário (titular)]:[Férias e Adicional de Férias (titular)]]),0)</f>
        <v>144.31026749999998</v>
      </c>
      <c r="AB241" s="21">
        <f>SUM(tabCustoUnit[[#This Row],[13º salário (titular)]:[Incidência do Submódulo 2.1 sobre 13º Salário, Férias e Adicional de Férias]])</f>
        <v>526.08346194444437</v>
      </c>
      <c r="AC241" s="22" t="e">
        <f ca="1">_xlfn.LET(_xlpm.VT,SUMIF(tabParametros[Código do Posto],tabCustoUnit[[#This Row],[Código do Posto]],tabParametros[Vale - Transporte])*2*20,
IF((_xlpm.VT-tabCustoUnit[[#This Row],[Salário Base]]*0.06)&gt;=0,(_xlpm.VT-tabCustoUnit[[#This Row],[Salário Base]]*0.06),0)
)</f>
        <v>#NAME?</v>
      </c>
      <c r="AD241" s="22">
        <f>IF(SUMIF(tabParametros[Código do Posto],tabCustoUnit[[#This Row],[Código do Posto]],tabParametros[Vale - Alimentação])&lt;=0,0,
SUMIF(tabParametros[Código do Posto],tabCustoUnit[[#This Row],[Código do Posto]],tabParametros[Vale - Alimentação])*20-1)</f>
        <v>582</v>
      </c>
      <c r="AE241" s="22">
        <f>SUMIF(tabParametros[Código do Posto],tabCustoUnit[[#This Row],[Código do Posto]],tabParametros[Cesta Básica])</f>
        <v>0</v>
      </c>
      <c r="AF241" s="22">
        <f>SUMIF(tabParametros[Código do Posto],tabCustoUnit[[#This Row],[Código do Posto]],tabParametros[PAF])</f>
        <v>0</v>
      </c>
      <c r="AG241" s="22">
        <f>SUMIF(tabParametros[Código do Posto],tabCustoUnit[[#This Row],[Código do Posto]],tabParametros[PQM])</f>
        <v>0</v>
      </c>
      <c r="AH241" s="22">
        <f>SUMIF(tabParametros[Código do Posto],tabCustoUnit[[#This Row],[Código do Posto]],tabParametros[Abono Único e Especial])</f>
        <v>0</v>
      </c>
      <c r="AI241" s="22">
        <f>SUMIF(tabParametros[Código do Posto],tabCustoUnit[[#This Row],[Código do Posto]],tabParametros[Seguro de Vida])</f>
        <v>3.36</v>
      </c>
      <c r="AJ241" s="22">
        <f>SUMIF(tabParametros[Código do Posto],tabCustoUnit[[#This Row],[Código do Posto]],tabParametros[Despesas de Viagem])</f>
        <v>0</v>
      </c>
      <c r="AK241" s="22" t="e">
        <f ca="1">SUM(tabCustoUnit[[#This Row],[Vale - Transporte (Descontada parcela do empregado)]:[Despesas de Viagem]])</f>
        <v>#NAME?</v>
      </c>
      <c r="AL241" s="22" t="e">
        <f ca="1">tabCustoUnit[[#This Row],[Submódulo 2.1]]+tabCustoUnit[[#This Row],[Submódulo 2.2]]+tabCustoUnit[[#This Row],[Submódulo 2.3]]</f>
        <v>#NAME?</v>
      </c>
      <c r="AM241" s="22">
        <f>SUMIF(tabParametros[Código do Posto],tabCustoUnit[[#This Row],[Código do Posto]],tabParametros[Aviso Prévio Indenizado (API) e Reflexo do Aviso Prévio Indenizado])*tabCustoUnit[[#This Row],[MODULO 1 - REMUNERAÇÃO ]]</f>
        <v>13.766938338155864</v>
      </c>
      <c r="AN241" s="22">
        <f>SUMIF(tabParametros[Código do Posto],tabCustoUnit[[#This Row],[Código do Posto]],tabParametros[Incidência do FGTS sobre API e Reflexo do API])*tabCustoUnit[[#This Row],[MODULO 1 - REMUNERAÇÃO ]]</f>
        <v>1.1013550670524692</v>
      </c>
      <c r="AO241" s="22">
        <f>SUMIF(tabParametros[Código do Posto],tabCustoUnit[[#This Row],[Código do Posto]],tabParametros[Multa Rescisória do FGTS sobre o Aviso Prévio Indenizado])*tabCustoUnit[[#This Row],[MODULO 1 - REMUNERAÇÃO ]]</f>
        <v>0.44054202682098775</v>
      </c>
      <c r="AP241" s="22">
        <f>SUMIF(tabParametros[Código do Posto],tabCustoUnit[[#This Row],[Código do Posto]],tabParametros[Aviso Prévio Trabalhado - APT])*tabCustoUnit[[#This Row],[MODULO 1 - REMUNERAÇÃO ]]</f>
        <v>6.8719175000000012</v>
      </c>
      <c r="AQ241" s="22">
        <f>SUMIF(tabParametros[Código do Posto],tabCustoUnit[[#This Row],[Código do Posto]],tabParametros[Incidência dos encargos do submódulo 2.1 sobre Aviso Prévio Trabalhado])*tabCustoUnit[[#This Row],[MODULO 1 - REMUNERAÇÃO ]]</f>
        <v>2.5975848150000007</v>
      </c>
      <c r="AR241" s="22">
        <f>SUMIF(tabParametros[Código do Posto],tabCustoUnit[[#This Row],[Código do Posto]],tabParametros[Multa Rescisória do FGTS])*tabCustoUnit[[#This Row],[MODULO 1 - REMUNERAÇÃO ]]</f>
        <v>60.03656177777777</v>
      </c>
      <c r="AS241" s="22">
        <f>SUMIF(tabParametros[Código do Posto],tabCustoUnit[[#This Row],[Código do Posto]],tabParametros[Indenização Adicional (Art. 9º da Lei nº 7.238/84)])*tabCustoUnit[[#This Row],[MODULO 1 - REMUNERAÇÃO ]]</f>
        <v>1.6361708333333334</v>
      </c>
      <c r="AT241" s="22">
        <f>SUM(tabCustoUnit[[#This Row],[Aviso Prévio Indenizado (API) e Reflexo do Aviso Prévio Indenizado]:[Indenização Adicional (Art. 9º da Lei nº 7.238/84)]])</f>
        <v>86.451070358140427</v>
      </c>
      <c r="AU241" s="22">
        <f>SUMIF(tabParametros[Código do Posto],tabCustoUnit[[#This Row],[Código do Posto]],tabParametros[Ausência por Doença])*tabCustoUnit[[#This Row],[MODULO 1 - REMUNERAÇÃO ]]</f>
        <v>16.579864444444443</v>
      </c>
      <c r="AV241" s="22">
        <f>SUMIF(tabParametros[Código do Posto],tabCustoUnit[[#This Row],[Código do Posto]],tabParametros[Ausências Legais])*tabCustoUnit[[#This Row],[MODULO 1 - REMUNERAÇÃO ]]</f>
        <v>3.9813490277777777</v>
      </c>
      <c r="AW241" s="22">
        <f>SUMIF(tabParametros[Código do Posto],tabCustoUnit[[#This Row],[Código do Posto]],tabParametros[Licença Paternidade])*tabCustoUnit[[#This Row],[MODULO 1 - REMUNERAÇÃO ]]</f>
        <v>0.3354150208333333</v>
      </c>
      <c r="AX241" s="22">
        <f>SUMIF(tabParametros[Código do Posto],tabCustoUnit[[#This Row],[Código do Posto]],tabParametros[Ausência por Acidente de Trabalho])*tabCustoUnit[[#This Row],[MODULO 1 - REMUNERAÇÃO ]]</f>
        <v>0.40904270833333334</v>
      </c>
      <c r="AY241" s="22">
        <f>SUMIF(tabParametros[Código do Posto],tabCustoUnit[[#This Row],[Código do Posto]],tabParametros[Férias, Adicional de Férias e 13º  com empregada em gozo de Licença Maternidade])*tabCustoUnit[[#This Row],[MODULO 1 - REMUNERAÇÃO ]]</f>
        <v>2.5451546296296295</v>
      </c>
      <c r="AZ241" s="22">
        <f>SUMIF(tabParametros[Código do Posto],tabCustoUnit[[#This Row],[Código do Posto]],tabParametros[Incidência do Submódulo 2.1 sobre Ausências Legais])*tabCustoUnit[[#This Row],[MODULO 1 - REMUNERAÇÃO ]]</f>
        <v>9.0156121641250007</v>
      </c>
      <c r="BA241" s="22">
        <f>SUM(tabCustoUnit[[#This Row],[Ausência por Doença]:[Incidência do Submódulo 2.1 sobre Ausências Legais]])</f>
        <v>32.866437995143521</v>
      </c>
      <c r="BB241" s="22">
        <f>SUMIF(tabParametros[Código do Posto],tabCustoUnit[[#This Row],[Código do Posto]],tabParametros[Intervalo para Repouso ou Alimentação])</f>
        <v>267.73704981301341</v>
      </c>
      <c r="BC241" s="22">
        <f>tabCustoUnit[[#This Row],[Intervalo para Repouso ou Alimentação]]</f>
        <v>267.73704981301341</v>
      </c>
      <c r="BD24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1" s="22">
        <f>tabCustoUnit[[#This Row],[Suspensão Temporária do Contrato de Trabalho]]</f>
        <v>0</v>
      </c>
      <c r="BF241" s="22">
        <f>tabCustoUnit[[#This Row],[Submódulo 4.1]]+tabCustoUnit[[#This Row],[Submódulo 4.2]]+tabCustoUnit[[#This Row],[Submódulo 4.3]]</f>
        <v>300.60348780815696</v>
      </c>
      <c r="BG241" s="22">
        <f>VLOOKUP(tabCustoUnit[[#This Row],[Código do Posto]],tabParametros[],MATCH(tabCustoUnit[[#Headers],[Uniformes e EPIs]],tabParametros[#Headers],0),0)</f>
        <v>56.642978962543395</v>
      </c>
      <c r="BH241" s="22">
        <f>VLOOKUP(tabCustoUnit[[#This Row],[Código do Posto]],tabParametros[],MATCH(tabCustoUnit[[#Headers],[Materiais de Consumo]],tabParametros[#Headers],0),0)</f>
        <v>0</v>
      </c>
      <c r="BI241" s="22">
        <f>VLOOKUP(tabCustoUnit[[#This Row],[Código do Posto]],tabParametros[],MATCH(tabCustoUnit[[#Headers],[Máquinas e Equipamentos (depreciação)]],tabParametros[#Headers],0),0)</f>
        <v>0</v>
      </c>
      <c r="BJ241" s="22">
        <f>VLOOKUP(tabCustoUnit[[#This Row],[Código do Posto]],tabParametros[],MATCH(tabCustoUnit[[#Headers],[Produtos de Limpeza e Materiais de Higiene Pessoal]],tabParametros[#Headers],0),0)</f>
        <v>0</v>
      </c>
      <c r="BK241" s="22">
        <f>VLOOKUP(tabCustoUnit[[#This Row],[Código do Posto]],tabParametros[],MATCH(tabCustoUnit[[#Headers],[Outros (especificar)]],tabParametros[#Headers],0),0)</f>
        <v>0</v>
      </c>
      <c r="BL241" s="22">
        <f>SUM(tabCustoUnit[[#This Row],[Uniformes e EPIs]:[Outros (especificar)]])</f>
        <v>56.642978962543395</v>
      </c>
      <c r="BM24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1" s="22" t="e">
        <f ca="1">VLOOKUP(tabCustoUnit[[#This Row],[Código do Posto]],tabParametros[],MATCH(tabCustoUnit[[#Headers],[Custos Indiretos]],tabParametros[#Headers],0),0)</f>
        <v>#NAME?</v>
      </c>
      <c r="BO241" s="22" t="e">
        <f ca="1">VLOOKUP(tabCustoUnit[[#This Row],[Código do Posto]],tabParametros[],MATCH(tabCustoUnit[[#Headers],[Lucro]],tabParametros[#Headers],0),0)</f>
        <v>#NAME?</v>
      </c>
      <c r="BP241" s="26">
        <f>((100/((1-tabCustoUnit[[#This Row],[Resumo de Alíquotas (PIS+CONFINS+ISS)]]))-100)*VLOOKUP(tabCustoUnit[[#This Row],[Código do Posto]],tabParametros[],MATCH(tabCustoUnit[[#Headers],[COFINS]],tabParametros[#Headers],0),0))/(tabCustoUnit[[#This Row],[Resumo de Alíquotas (PIS+CONFINS+ISS)]]*100)</f>
        <v>8.6609686609686695E-2</v>
      </c>
      <c r="BQ241" s="26">
        <f>((100/((100-(tabCustoUnit[[#This Row],[Resumo de Alíquotas (PIS+CONFINS+ISS)]]*100))%)-100)*VLOOKUP(tabCustoUnit[[#This Row],[Código do Posto]],tabParametros[],MATCH(tabCustoUnit[[#Headers],[PIS]],tabParametros[#Headers],0),0))/(tabCustoUnit[[#This Row],[Resumo de Alíquotas (PIS+CONFINS+ISS)]]*100)</f>
        <v>1.880341880341882E-2</v>
      </c>
      <c r="BR241" s="28">
        <f>VLOOKUP(tabCustoUnit[[#This Row],[Código do Posto]],tabParametros[],MATCH(tabCustoUnit[[#Headers],[ISS]],tabParametros[#Headers],0),0)</f>
        <v>0.03</v>
      </c>
      <c r="BS241" s="26">
        <f>(((100/((100-(tabCustoUnit[[#This Row],[Resumo de Alíquotas (PIS+CONFINS+ISS)]]*100))%)-100)*tabCustoUnit[[#This Row],[ISS]])/tabCustoUnit[[#This Row],[Resumo de Alíquotas (PIS+CONFINS+ISS)]])/100</f>
        <v>3.4188034188034219E-2</v>
      </c>
      <c r="BT24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1" s="138">
        <f>tabCustoUnit[[#This Row],[COFINS]]+tabCustoUnit[[#This Row],[PIS]]+tabCustoUnit[[#This Row],[ISS (Conversão Alíquota s/ fatura)]]</f>
        <v>0.13960113960113973</v>
      </c>
      <c r="BV241" s="22" t="e">
        <f ca="1">(tabCustoUnit[[#This Row],[TOTAL MÓDULOS 1+2+3+4+5]]+tabCustoUnit[[#This Row],[Custos Indiretos]]+tabCustoUnit[[#This Row],[Lucro]])*tabCustoUnit[[#This Row],[PIS + COFINS + ISS (Total Conversão  Alíquota s/ Fatura)]]</f>
        <v>#NAME?</v>
      </c>
      <c r="BW241" s="22" t="e">
        <f ca="1">tabCustoUnit[[#This Row],[Custos Indiretos]]+tabCustoUnit[[#This Row],[Lucro]]+tabCustoUnit[[#This Row],[Valor dos Tributos (ISS, PIS, CONFINS)]]</f>
        <v>#NAME?</v>
      </c>
      <c r="BX241" s="22" t="e">
        <f ca="1">tabCustoUnit[[#This Row],[TOTAL MÓDULOS 1+2+3+4+5]]+tabCustoUnit[[#This Row],[MÓDULO 6 – CUSTOS INDIRETOS, TRIBUTOS E LUCRO]]</f>
        <v>#NAME?</v>
      </c>
      <c r="BY241" s="22" t="e">
        <f ca="1">tabCustoUnit[[#This Row],[CUSTO TOTAL MENSAL]]*12</f>
        <v>#NAME?</v>
      </c>
      <c r="BZ241" s="24">
        <f>VLOOKUP(tabCustoUnit[[#This Row],[Código do Posto]],tabParametros[],MATCH(tabCustoUnit[[#Headers],[ANO DA CCT]],tabParametros[#Headers],0),0)</f>
        <v>45658</v>
      </c>
      <c r="CA241" s="25" t="str">
        <f>VLOOKUP(tabCustoUnit[[#This Row],[Código do Posto]],tabParametros[],MATCH(tabCustoUnit[[#Headers],[Nº DE PEDIDO DA CCT]],tabParametros[#Headers],0),0)</f>
        <v>-</v>
      </c>
      <c r="CB241" s="25" t="str">
        <f>VLOOKUP(tabCustoUnit[[#This Row],[Código do Posto]],tabParametros[],MATCH(tabCustoUnit[[#Headers],[TERMO ADITIVO ALTERAÇÃO DA CCT]],tabParametros[#Headers],0),0)</f>
        <v>-</v>
      </c>
    </row>
    <row r="242" spans="1:80">
      <c r="A242" s="20" t="s">
        <v>1667</v>
      </c>
      <c r="B242" t="s">
        <v>1179</v>
      </c>
      <c r="C242" t="s">
        <v>314</v>
      </c>
      <c r="D242" t="s">
        <v>1045</v>
      </c>
      <c r="E242" s="20" t="s">
        <v>1090</v>
      </c>
      <c r="F242" s="20" t="s">
        <v>120</v>
      </c>
      <c r="G242" s="418">
        <v>2134.8035</v>
      </c>
      <c r="H242" s="418">
        <v>0</v>
      </c>
      <c r="I242" s="418">
        <v>0</v>
      </c>
      <c r="J242" s="418">
        <v>0</v>
      </c>
      <c r="K242" s="418">
        <v>0</v>
      </c>
      <c r="L242" s="418">
        <v>0</v>
      </c>
      <c r="M242" s="418">
        <v>0</v>
      </c>
      <c r="N242" s="418">
        <v>0</v>
      </c>
      <c r="O242" s="21">
        <f>SUM(tabCustoUnit[[#This Row],[Salário Base]:[Adicional de Acúmulo de função]])</f>
        <v>2134.8035</v>
      </c>
      <c r="P242" s="21">
        <f>tabCustoUnit[[#This Row],[MODULO 1 - REMUNERAÇÃO ]]*SUMIFS(tabParametros[INSS],tabParametros[Código do Posto],tabCustoUnit[[#This Row],[Código do Posto]])</f>
        <v>426.96070000000003</v>
      </c>
      <c r="Q242" s="21">
        <f>tabCustoUnit[[#This Row],[MODULO 1 - REMUNERAÇÃO ]]*SUMIFS(tabParametros[SESI OU SESC],tabParametros[Código do Posto],tabCustoUnit[[#This Row],[Código do Posto]])</f>
        <v>32.022052500000001</v>
      </c>
      <c r="R242" s="21">
        <f>tabCustoUnit[[#This Row],[MODULO 1 - REMUNERAÇÃO ]]*SUMIFS(tabParametros[SENAI OU SENAC],tabParametros[Código do Posto],tabCustoUnit[[#This Row],[Código do Posto]])</f>
        <v>21.348034999999999</v>
      </c>
      <c r="S242" s="21">
        <f>tabCustoUnit[[#This Row],[MODULO 1 - REMUNERAÇÃO ]]*SUMIFS(tabParametros[INCRA],tabParametros[Código do Posto],tabCustoUnit[[#This Row],[Código do Posto]])</f>
        <v>4.2696069999999997</v>
      </c>
      <c r="T242" s="21">
        <f>tabCustoUnit[[#This Row],[MODULO 1 - REMUNERAÇÃO ]]*SUMIFS(tabParametros[Salário Educação],tabParametros[Código do Posto],tabCustoUnit[[#This Row],[Código do Posto]])</f>
        <v>53.370087500000004</v>
      </c>
      <c r="U242" s="21">
        <f>tabCustoUnit[[#This Row],[MODULO 1 - REMUNERAÇÃO ]]*SUMIFS(tabParametros[FGTS],tabParametros[Código do Posto],tabCustoUnit[[#This Row],[Código do Posto]])</f>
        <v>170.78428</v>
      </c>
      <c r="V242" s="21">
        <f>tabCustoUnit[[#This Row],[MODULO 1 - REMUNERAÇÃO ]]*SUMIFS(tabParametros[RAT Ajustado],tabParametros[Código do Posto],tabCustoUnit[[#This Row],[Código do Posto]])</f>
        <v>85.392139999999998</v>
      </c>
      <c r="W242" s="21">
        <f>tabCustoUnit[[#This Row],[MODULO 1 - REMUNERAÇÃO ]]*SUMIFS(tabParametros[SEBRAE],tabParametros[Código do Posto],tabCustoUnit[[#This Row],[Código do Posto]])</f>
        <v>12.808821</v>
      </c>
      <c r="X242" s="21">
        <f>SUM(tabCustoUnit[[#This Row],[INSS]:[SEBRAE]])</f>
        <v>806.95572300000003</v>
      </c>
      <c r="Y242" s="21">
        <f>tabCustoUnit[[#This Row],[MODULO 1 - REMUNERAÇÃO ]]*SUMIFS(tabParametros[13º salário (titular)],tabParametros[Código do Posto],tabCustoUnit[[#This Row],[Código do Posto]])</f>
        <v>177.90029166666665</v>
      </c>
      <c r="Z242" s="21">
        <f>tabCustoUnit[[#This Row],[MODULO 1 - REMUNERAÇÃO ]]*SUMIFS(tabParametros[Férias e Adicional de Férias (titular)],tabParametros[Código do Posto],tabCustoUnit[[#This Row],[Código do Posto]])</f>
        <v>237.20038888888888</v>
      </c>
      <c r="AA242" s="21">
        <f>IFERROR((tabCustoUnit[[#This Row],[Submódulo 2.1]]/tabCustoUnit[[#This Row],[MODULO 1 - REMUNERAÇÃO ]])*SUM(tabCustoUnit[[#This Row],[13º salário (titular)]:[Férias e Adicional de Férias (titular)]]),0)</f>
        <v>156.90805724999998</v>
      </c>
      <c r="AB242" s="21">
        <f>SUM(tabCustoUnit[[#This Row],[13º salário (titular)]:[Incidência do Submódulo 2.1 sobre 13º Salário, Férias e Adicional de Férias]])</f>
        <v>572.00873780555548</v>
      </c>
      <c r="AC242" s="22" t="e">
        <f ca="1">_xlfn.LET(_xlpm.VT,SUMIF(tabParametros[Código do Posto],tabCustoUnit[[#This Row],[Código do Posto]],tabParametros[Vale - Transporte])*2*20,
IF((_xlpm.VT-tabCustoUnit[[#This Row],[Salário Base]]*0.06)&gt;=0,(_xlpm.VT-tabCustoUnit[[#This Row],[Salário Base]]*0.06),0)
)</f>
        <v>#NAME?</v>
      </c>
      <c r="AD242" s="22">
        <f>IF(SUMIF(tabParametros[Código do Posto],tabCustoUnit[[#This Row],[Código do Posto]],tabParametros[Vale - Alimentação])&lt;=0,0,
SUMIF(tabParametros[Código do Posto],tabCustoUnit[[#This Row],[Código do Posto]],tabParametros[Vale - Alimentação])*20-1)</f>
        <v>582</v>
      </c>
      <c r="AE242" s="22">
        <f>SUMIF(tabParametros[Código do Posto],tabCustoUnit[[#This Row],[Código do Posto]],tabParametros[Cesta Básica])</f>
        <v>0</v>
      </c>
      <c r="AF242" s="22">
        <f>SUMIF(tabParametros[Código do Posto],tabCustoUnit[[#This Row],[Código do Posto]],tabParametros[PAF])</f>
        <v>51.86</v>
      </c>
      <c r="AG242" s="22">
        <f>SUMIF(tabParametros[Código do Posto],tabCustoUnit[[#This Row],[Código do Posto]],tabParametros[PQM])</f>
        <v>0</v>
      </c>
      <c r="AH242" s="22">
        <f>SUMIF(tabParametros[Código do Posto],tabCustoUnit[[#This Row],[Código do Posto]],tabParametros[Abono Único e Especial])</f>
        <v>0</v>
      </c>
      <c r="AI242" s="22">
        <f>SUMIF(tabParametros[Código do Posto],tabCustoUnit[[#This Row],[Código do Posto]],tabParametros[Seguro de Vida])</f>
        <v>3.36</v>
      </c>
      <c r="AJ242" s="22">
        <f>SUMIF(tabParametros[Código do Posto],tabCustoUnit[[#This Row],[Código do Posto]],tabParametros[Despesas de Viagem])</f>
        <v>0</v>
      </c>
      <c r="AK242" s="22" t="e">
        <f ca="1">SUM(tabCustoUnit[[#This Row],[Vale - Transporte (Descontada parcela do empregado)]:[Despesas de Viagem]])</f>
        <v>#NAME?</v>
      </c>
      <c r="AL242" s="22" t="e">
        <f ca="1">tabCustoUnit[[#This Row],[Submódulo 2.1]]+tabCustoUnit[[#This Row],[Submódulo 2.2]]+tabCustoUnit[[#This Row],[Submódulo 2.3]]</f>
        <v>#NAME?</v>
      </c>
      <c r="AM242" s="22">
        <f>SUMIF(tabParametros[Código do Posto],tabCustoUnit[[#This Row],[Código do Posto]],tabParametros[Aviso Prévio Indenizado (API) e Reflexo do Aviso Prévio Indenizado])*tabCustoUnit[[#This Row],[MODULO 1 - REMUNERAÇÃO ]]</f>
        <v>14.968744680073302</v>
      </c>
      <c r="AN242" s="22">
        <f>SUMIF(tabParametros[Código do Posto],tabCustoUnit[[#This Row],[Código do Posto]],tabParametros[Incidência do FGTS sobre API e Reflexo do API])*tabCustoUnit[[#This Row],[MODULO 1 - REMUNERAÇÃO ]]</f>
        <v>1.1974995744058643</v>
      </c>
      <c r="AO242" s="22">
        <f>SUMIF(tabParametros[Código do Posto],tabCustoUnit[[#This Row],[Código do Posto]],tabParametros[Multa Rescisória do FGTS sobre o Aviso Prévio Indenizado])*tabCustoUnit[[#This Row],[MODULO 1 - REMUNERAÇÃO ]]</f>
        <v>0.47899982976234579</v>
      </c>
      <c r="AP242" s="22">
        <f>SUMIF(tabParametros[Código do Posto],tabCustoUnit[[#This Row],[Código do Posto]],tabParametros[Aviso Prévio Trabalhado - APT])*tabCustoUnit[[#This Row],[MODULO 1 - REMUNERAÇÃO ]]</f>
        <v>7.471812250000001</v>
      </c>
      <c r="AQ242" s="22">
        <f>SUMIF(tabParametros[Código do Posto],tabCustoUnit[[#This Row],[Código do Posto]],tabParametros[Incidência dos encargos do submódulo 2.1 sobre Aviso Prévio Trabalhado])*tabCustoUnit[[#This Row],[MODULO 1 - REMUNERAÇÃO ]]</f>
        <v>2.8243450305000009</v>
      </c>
      <c r="AR242" s="22">
        <f>SUMIF(tabParametros[Código do Posto],tabCustoUnit[[#This Row],[Código do Posto]],tabParametros[Multa Rescisória do FGTS])*tabCustoUnit[[#This Row],[MODULO 1 - REMUNERAÇÃO ]]</f>
        <v>65.277547022222208</v>
      </c>
      <c r="AS242" s="22">
        <f>SUMIF(tabParametros[Código do Posto],tabCustoUnit[[#This Row],[Código do Posto]],tabParametros[Indenização Adicional (Art. 9º da Lei nº 7.238/84)])*tabCustoUnit[[#This Row],[MODULO 1 - REMUNERAÇÃO ]]</f>
        <v>1.7790029166666668</v>
      </c>
      <c r="AT242" s="22">
        <f>SUM(tabCustoUnit[[#This Row],[Aviso Prévio Indenizado (API) e Reflexo do Aviso Prévio Indenizado]:[Indenização Adicional (Art. 9º da Lei nº 7.238/84)]])</f>
        <v>93.997951303630387</v>
      </c>
      <c r="AU242" s="22">
        <f>SUMIF(tabParametros[Código do Posto],tabCustoUnit[[#This Row],[Código do Posto]],tabParametros[Ausência por Doença])*tabCustoUnit[[#This Row],[MODULO 1 - REMUNERAÇÃO ]]</f>
        <v>18.027229555555554</v>
      </c>
      <c r="AV242" s="22">
        <f>SUMIF(tabParametros[Código do Posto],tabCustoUnit[[#This Row],[Código do Posto]],tabParametros[Ausências Legais])*tabCustoUnit[[#This Row],[MODULO 1 - REMUNERAÇÃO ]]</f>
        <v>4.3289070972222223</v>
      </c>
      <c r="AW242" s="22">
        <f>SUMIF(tabParametros[Código do Posto],tabCustoUnit[[#This Row],[Código do Posto]],tabParametros[Licença Paternidade])*tabCustoUnit[[#This Row],[MODULO 1 - REMUNERAÇÃO ]]</f>
        <v>0.36469559791666667</v>
      </c>
      <c r="AX242" s="22">
        <f>SUMIF(tabParametros[Código do Posto],tabCustoUnit[[#This Row],[Código do Posto]],tabParametros[Ausência por Acidente de Trabalho])*tabCustoUnit[[#This Row],[MODULO 1 - REMUNERAÇÃO ]]</f>
        <v>0.44475072916666669</v>
      </c>
      <c r="AY242" s="22">
        <f>SUMIF(tabParametros[Código do Posto],tabCustoUnit[[#This Row],[Código do Posto]],tabParametros[Férias, Adicional de Férias e 13º  com empregada em gozo de Licença Maternidade])*tabCustoUnit[[#This Row],[MODULO 1 - REMUNERAÇÃO ]]</f>
        <v>2.7673378703703704</v>
      </c>
      <c r="AZ242" s="22">
        <f>SUMIF(tabParametros[Código do Posto],tabCustoUnit[[#This Row],[Código do Posto]],tabParametros[Incidência do Submódulo 2.1 sobre Ausências Legais])*tabCustoUnit[[#This Row],[MODULO 1 - REMUNERAÇÃO ]]</f>
        <v>9.802644081387502</v>
      </c>
      <c r="BA242" s="22">
        <f>SUM(tabCustoUnit[[#This Row],[Ausência por Doença]:[Incidência do Submódulo 2.1 sobre Ausências Legais]])</f>
        <v>35.735564931618981</v>
      </c>
      <c r="BB242" s="22">
        <f>SUMIF(tabParametros[Código do Posto],tabCustoUnit[[#This Row],[Código do Posto]],tabParametros[Intervalo para Repouso ou Alimentação])</f>
        <v>291.10956680899955</v>
      </c>
      <c r="BC242" s="22">
        <f>tabCustoUnit[[#This Row],[Intervalo para Repouso ou Alimentação]]</f>
        <v>291.10956680899955</v>
      </c>
      <c r="BD24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2" s="22">
        <f>tabCustoUnit[[#This Row],[Suspensão Temporária do Contrato de Trabalho]]</f>
        <v>0</v>
      </c>
      <c r="BF242" s="22">
        <f>tabCustoUnit[[#This Row],[Submódulo 4.1]]+tabCustoUnit[[#This Row],[Submódulo 4.2]]+tabCustoUnit[[#This Row],[Submódulo 4.3]]</f>
        <v>326.84513174061851</v>
      </c>
      <c r="BG242" s="22">
        <f>VLOOKUP(tabCustoUnit[[#This Row],[Código do Posto]],tabParametros[],MATCH(tabCustoUnit[[#Headers],[Uniformes e EPIs]],tabParametros[#Headers],0),0)</f>
        <v>56.642978962543395</v>
      </c>
      <c r="BH242" s="22">
        <f>VLOOKUP(tabCustoUnit[[#This Row],[Código do Posto]],tabParametros[],MATCH(tabCustoUnit[[#Headers],[Materiais de Consumo]],tabParametros[#Headers],0),0)</f>
        <v>0</v>
      </c>
      <c r="BI242" s="22">
        <f>VLOOKUP(tabCustoUnit[[#This Row],[Código do Posto]],tabParametros[],MATCH(tabCustoUnit[[#Headers],[Máquinas e Equipamentos (depreciação)]],tabParametros[#Headers],0),0)</f>
        <v>0</v>
      </c>
      <c r="BJ242" s="22">
        <f>VLOOKUP(tabCustoUnit[[#This Row],[Código do Posto]],tabParametros[],MATCH(tabCustoUnit[[#Headers],[Produtos de Limpeza e Materiais de Higiene Pessoal]],tabParametros[#Headers],0),0)</f>
        <v>0</v>
      </c>
      <c r="BK242" s="22">
        <f>VLOOKUP(tabCustoUnit[[#This Row],[Código do Posto]],tabParametros[],MATCH(tabCustoUnit[[#Headers],[Outros (especificar)]],tabParametros[#Headers],0),0)</f>
        <v>0</v>
      </c>
      <c r="BL242" s="22">
        <f>SUM(tabCustoUnit[[#This Row],[Uniformes e EPIs]:[Outros (especificar)]])</f>
        <v>56.642978962543395</v>
      </c>
      <c r="BM24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2" s="22" t="e">
        <f ca="1">VLOOKUP(tabCustoUnit[[#This Row],[Código do Posto]],tabParametros[],MATCH(tabCustoUnit[[#Headers],[Custos Indiretos]],tabParametros[#Headers],0),0)</f>
        <v>#NAME?</v>
      </c>
      <c r="BO242" s="22" t="e">
        <f ca="1">VLOOKUP(tabCustoUnit[[#This Row],[Código do Posto]],tabParametros[],MATCH(tabCustoUnit[[#Headers],[Lucro]],tabParametros[#Headers],0),0)</f>
        <v>#NAME?</v>
      </c>
      <c r="BP242" s="26">
        <f>((100/((1-tabCustoUnit[[#This Row],[Resumo de Alíquotas (PIS+CONFINS+ISS)]]))-100)*VLOOKUP(tabCustoUnit[[#This Row],[Código do Posto]],tabParametros[],MATCH(tabCustoUnit[[#Headers],[COFINS]],tabParametros[#Headers],0),0))/(tabCustoUnit[[#This Row],[Resumo de Alíquotas (PIS+CONFINS+ISS)]]*100)</f>
        <v>8.6609686609686695E-2</v>
      </c>
      <c r="BQ242" s="26">
        <f>((100/((100-(tabCustoUnit[[#This Row],[Resumo de Alíquotas (PIS+CONFINS+ISS)]]*100))%)-100)*VLOOKUP(tabCustoUnit[[#This Row],[Código do Posto]],tabParametros[],MATCH(tabCustoUnit[[#Headers],[PIS]],tabParametros[#Headers],0),0))/(tabCustoUnit[[#This Row],[Resumo de Alíquotas (PIS+CONFINS+ISS)]]*100)</f>
        <v>1.880341880341882E-2</v>
      </c>
      <c r="BR242" s="28">
        <f>VLOOKUP(tabCustoUnit[[#This Row],[Código do Posto]],tabParametros[],MATCH(tabCustoUnit[[#Headers],[ISS]],tabParametros[#Headers],0),0)</f>
        <v>0.03</v>
      </c>
      <c r="BS242" s="26">
        <f>(((100/((100-(tabCustoUnit[[#This Row],[Resumo de Alíquotas (PIS+CONFINS+ISS)]]*100))%)-100)*tabCustoUnit[[#This Row],[ISS]])/tabCustoUnit[[#This Row],[Resumo de Alíquotas (PIS+CONFINS+ISS)]])/100</f>
        <v>3.4188034188034219E-2</v>
      </c>
      <c r="BT24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2" s="138">
        <f>tabCustoUnit[[#This Row],[COFINS]]+tabCustoUnit[[#This Row],[PIS]]+tabCustoUnit[[#This Row],[ISS (Conversão Alíquota s/ fatura)]]</f>
        <v>0.13960113960113973</v>
      </c>
      <c r="BV242" s="22" t="e">
        <f ca="1">(tabCustoUnit[[#This Row],[TOTAL MÓDULOS 1+2+3+4+5]]+tabCustoUnit[[#This Row],[Custos Indiretos]]+tabCustoUnit[[#This Row],[Lucro]])*tabCustoUnit[[#This Row],[PIS + COFINS + ISS (Total Conversão  Alíquota s/ Fatura)]]</f>
        <v>#NAME?</v>
      </c>
      <c r="BW242" s="22" t="e">
        <f ca="1">tabCustoUnit[[#This Row],[Custos Indiretos]]+tabCustoUnit[[#This Row],[Lucro]]+tabCustoUnit[[#This Row],[Valor dos Tributos (ISS, PIS, CONFINS)]]</f>
        <v>#NAME?</v>
      </c>
      <c r="BX242" s="22" t="e">
        <f ca="1">tabCustoUnit[[#This Row],[TOTAL MÓDULOS 1+2+3+4+5]]+tabCustoUnit[[#This Row],[MÓDULO 6 – CUSTOS INDIRETOS, TRIBUTOS E LUCRO]]</f>
        <v>#NAME?</v>
      </c>
      <c r="BY242" s="22" t="e">
        <f ca="1">tabCustoUnit[[#This Row],[CUSTO TOTAL MENSAL]]*12</f>
        <v>#NAME?</v>
      </c>
      <c r="BZ242" s="24">
        <f>VLOOKUP(tabCustoUnit[[#This Row],[Código do Posto]],tabParametros[],MATCH(tabCustoUnit[[#Headers],[ANO DA CCT]],tabParametros[#Headers],0),0)</f>
        <v>45658</v>
      </c>
      <c r="CA242" s="25" t="str">
        <f>VLOOKUP(tabCustoUnit[[#This Row],[Código do Posto]],tabParametros[],MATCH(tabCustoUnit[[#Headers],[Nº DE PEDIDO DA CCT]],tabParametros[#Headers],0),0)</f>
        <v>-</v>
      </c>
      <c r="CB242" s="25" t="str">
        <f>VLOOKUP(tabCustoUnit[[#This Row],[Código do Posto]],tabParametros[],MATCH(tabCustoUnit[[#Headers],[TERMO ADITIVO ALTERAÇÃO DA CCT]],tabParametros[#Headers],0),0)</f>
        <v>-</v>
      </c>
    </row>
    <row r="243" spans="1:80">
      <c r="A243" s="20" t="s">
        <v>1668</v>
      </c>
      <c r="B243" t="s">
        <v>1180</v>
      </c>
      <c r="C243" t="s">
        <v>274</v>
      </c>
      <c r="D243" t="s">
        <v>1004</v>
      </c>
      <c r="E243" s="20" t="s">
        <v>1090</v>
      </c>
      <c r="F243" s="20" t="s">
        <v>120</v>
      </c>
      <c r="G243" s="418">
        <v>4599.5953</v>
      </c>
      <c r="H243" s="418">
        <v>0</v>
      </c>
      <c r="I243" s="418">
        <v>0</v>
      </c>
      <c r="J243" s="418">
        <v>0</v>
      </c>
      <c r="K243" s="418">
        <v>0</v>
      </c>
      <c r="L243" s="418">
        <v>0</v>
      </c>
      <c r="M243" s="418">
        <v>0</v>
      </c>
      <c r="N243" s="418">
        <v>0</v>
      </c>
      <c r="O243" s="21">
        <f>SUM(tabCustoUnit[[#This Row],[Salário Base]:[Adicional de Acúmulo de função]])</f>
        <v>4599.5953</v>
      </c>
      <c r="P243" s="21">
        <f>tabCustoUnit[[#This Row],[MODULO 1 - REMUNERAÇÃO ]]*SUMIFS(tabParametros[INSS],tabParametros[Código do Posto],tabCustoUnit[[#This Row],[Código do Posto]])</f>
        <v>919.91906000000006</v>
      </c>
      <c r="Q243" s="21">
        <f>tabCustoUnit[[#This Row],[MODULO 1 - REMUNERAÇÃO ]]*SUMIFS(tabParametros[SESI OU SESC],tabParametros[Código do Posto],tabCustoUnit[[#This Row],[Código do Posto]])</f>
        <v>68.993929499999993</v>
      </c>
      <c r="R243" s="21">
        <f>tabCustoUnit[[#This Row],[MODULO 1 - REMUNERAÇÃO ]]*SUMIFS(tabParametros[SENAI OU SENAC],tabParametros[Código do Posto],tabCustoUnit[[#This Row],[Código do Posto]])</f>
        <v>45.995953</v>
      </c>
      <c r="S243" s="21">
        <f>tabCustoUnit[[#This Row],[MODULO 1 - REMUNERAÇÃO ]]*SUMIFS(tabParametros[INCRA],tabParametros[Código do Posto],tabCustoUnit[[#This Row],[Código do Posto]])</f>
        <v>9.1991905999999997</v>
      </c>
      <c r="T243" s="21">
        <f>tabCustoUnit[[#This Row],[MODULO 1 - REMUNERAÇÃO ]]*SUMIFS(tabParametros[Salário Educação],tabParametros[Código do Posto],tabCustoUnit[[#This Row],[Código do Posto]])</f>
        <v>114.98988250000001</v>
      </c>
      <c r="U243" s="21">
        <f>tabCustoUnit[[#This Row],[MODULO 1 - REMUNERAÇÃO ]]*SUMIFS(tabParametros[FGTS],tabParametros[Código do Posto],tabCustoUnit[[#This Row],[Código do Posto]])</f>
        <v>367.967624</v>
      </c>
      <c r="V243" s="21">
        <f>tabCustoUnit[[#This Row],[MODULO 1 - REMUNERAÇÃO ]]*SUMIFS(tabParametros[RAT Ajustado],tabParametros[Código do Posto],tabCustoUnit[[#This Row],[Código do Posto]])</f>
        <v>183.983812</v>
      </c>
      <c r="W243" s="21">
        <f>tabCustoUnit[[#This Row],[MODULO 1 - REMUNERAÇÃO ]]*SUMIFS(tabParametros[SEBRAE],tabParametros[Código do Posto],tabCustoUnit[[#This Row],[Código do Posto]])</f>
        <v>27.597571800000001</v>
      </c>
      <c r="X243" s="21">
        <f>SUM(tabCustoUnit[[#This Row],[INSS]:[SEBRAE]])</f>
        <v>1738.6470234000003</v>
      </c>
      <c r="Y243" s="21">
        <f>tabCustoUnit[[#This Row],[MODULO 1 - REMUNERAÇÃO ]]*SUMIFS(tabParametros[13º salário (titular)],tabParametros[Código do Posto],tabCustoUnit[[#This Row],[Código do Posto]])</f>
        <v>383.29960833333331</v>
      </c>
      <c r="Z243" s="21">
        <f>tabCustoUnit[[#This Row],[MODULO 1 - REMUNERAÇÃO ]]*SUMIFS(tabParametros[Férias e Adicional de Férias (titular)],tabParametros[Código do Posto],tabCustoUnit[[#This Row],[Código do Posto]])</f>
        <v>511.06614444444443</v>
      </c>
      <c r="AA243" s="21">
        <f>IFERROR((tabCustoUnit[[#This Row],[Submódulo 2.1]]/tabCustoUnit[[#This Row],[MODULO 1 - REMUNERAÇÃO ]])*SUM(tabCustoUnit[[#This Row],[13º salário (titular)]:[Férias e Adicional de Férias (titular)]]),0)</f>
        <v>338.07025455000002</v>
      </c>
      <c r="AB243" s="21">
        <f>SUM(tabCustoUnit[[#This Row],[13º salário (titular)]:[Incidência do Submódulo 2.1 sobre 13º Salário, Férias e Adicional de Férias]])</f>
        <v>1232.4360073277778</v>
      </c>
      <c r="AC243" s="22" t="e">
        <f ca="1">_xlfn.LET(_xlpm.VT,SUMIF(tabParametros[Código do Posto],tabCustoUnit[[#This Row],[Código do Posto]],tabParametros[Vale - Transporte])*2*20,
IF((_xlpm.VT-tabCustoUnit[[#This Row],[Salário Base]]*0.06)&gt;=0,(_xlpm.VT-tabCustoUnit[[#This Row],[Salário Base]]*0.06),0)
)</f>
        <v>#NAME?</v>
      </c>
      <c r="AD243" s="22">
        <f>IF(SUMIF(tabParametros[Código do Posto],tabCustoUnit[[#This Row],[Código do Posto]],tabParametros[Vale - Alimentação])&lt;=0,0,
SUMIF(tabParametros[Código do Posto],tabCustoUnit[[#This Row],[Código do Posto]],tabParametros[Vale - Alimentação])*20-1)</f>
        <v>578.4</v>
      </c>
      <c r="AE243" s="22">
        <f>SUMIF(tabParametros[Código do Posto],tabCustoUnit[[#This Row],[Código do Posto]],tabParametros[Cesta Básica])</f>
        <v>0</v>
      </c>
      <c r="AF243" s="22">
        <f>SUMIF(tabParametros[Código do Posto],tabCustoUnit[[#This Row],[Código do Posto]],tabParametros[PAF])</f>
        <v>0</v>
      </c>
      <c r="AG243" s="22">
        <f>SUMIF(tabParametros[Código do Posto],tabCustoUnit[[#This Row],[Código do Posto]],tabParametros[PQM])</f>
        <v>0</v>
      </c>
      <c r="AH243" s="22">
        <f>SUMIF(tabParametros[Código do Posto],tabCustoUnit[[#This Row],[Código do Posto]],tabParametros[Abono Único e Especial])</f>
        <v>0</v>
      </c>
      <c r="AI243" s="22">
        <f>SUMIF(tabParametros[Código do Posto],tabCustoUnit[[#This Row],[Código do Posto]],tabParametros[Seguro de Vida])</f>
        <v>3.36</v>
      </c>
      <c r="AJ243" s="22">
        <f>SUMIF(tabParametros[Código do Posto],tabCustoUnit[[#This Row],[Código do Posto]],tabParametros[Despesas de Viagem])</f>
        <v>662.42</v>
      </c>
      <c r="AK243" s="22" t="e">
        <f ca="1">SUM(tabCustoUnit[[#This Row],[Vale - Transporte (Descontada parcela do empregado)]:[Despesas de Viagem]])</f>
        <v>#NAME?</v>
      </c>
      <c r="AL243" s="22" t="e">
        <f ca="1">tabCustoUnit[[#This Row],[Submódulo 2.1]]+tabCustoUnit[[#This Row],[Submódulo 2.2]]+tabCustoUnit[[#This Row],[Submódulo 2.3]]</f>
        <v>#NAME?</v>
      </c>
      <c r="AM243" s="22">
        <f>SUMIF(tabParametros[Código do Posto],tabCustoUnit[[#This Row],[Código do Posto]],tabParametros[Aviso Prévio Indenizado (API) e Reflexo do Aviso Prévio Indenizado])*tabCustoUnit[[#This Row],[MODULO 1 - REMUNERAÇÃO ]]</f>
        <v>32.251290424324843</v>
      </c>
      <c r="AN243" s="22">
        <f>SUMIF(tabParametros[Código do Posto],tabCustoUnit[[#This Row],[Código do Posto]],tabParametros[Incidência do FGTS sobre API e Reflexo do API])*tabCustoUnit[[#This Row],[MODULO 1 - REMUNERAÇÃO ]]</f>
        <v>2.5801032339459877</v>
      </c>
      <c r="AO243" s="22">
        <f>SUMIF(tabParametros[Código do Posto],tabCustoUnit[[#This Row],[Código do Posto]],tabParametros[Multa Rescisória do FGTS sobre o Aviso Prévio Indenizado])*tabCustoUnit[[#This Row],[MODULO 1 - REMUNERAÇÃO ]]</f>
        <v>1.0320412935783951</v>
      </c>
      <c r="AP243" s="22">
        <f>SUMIF(tabParametros[Código do Posto],tabCustoUnit[[#This Row],[Código do Posto]],tabParametros[Aviso Prévio Trabalhado - APT])*tabCustoUnit[[#This Row],[MODULO 1 - REMUNERAÇÃO ]]</f>
        <v>16.098583550000001</v>
      </c>
      <c r="AQ243" s="22">
        <f>SUMIF(tabParametros[Código do Posto],tabCustoUnit[[#This Row],[Código do Posto]],tabParametros[Incidência dos encargos do submódulo 2.1 sobre Aviso Prévio Trabalhado])*tabCustoUnit[[#This Row],[MODULO 1 - REMUNERAÇÃO ]]</f>
        <v>6.0852645819000015</v>
      </c>
      <c r="AR243" s="22">
        <f>SUMIF(tabParametros[Código do Posto],tabCustoUnit[[#This Row],[Código do Posto]],tabParametros[Multa Rescisória do FGTS])*tabCustoUnit[[#This Row],[MODULO 1 - REMUNERAÇÃO ]]</f>
        <v>140.64540295111109</v>
      </c>
      <c r="AS243" s="22">
        <f>SUMIF(tabParametros[Código do Posto],tabCustoUnit[[#This Row],[Código do Posto]],tabParametros[Indenização Adicional (Art. 9º da Lei nº 7.238/84)])*tabCustoUnit[[#This Row],[MODULO 1 - REMUNERAÇÃO ]]</f>
        <v>3.8329960833333336</v>
      </c>
      <c r="AT243" s="22">
        <f>SUM(tabCustoUnit[[#This Row],[Aviso Prévio Indenizado (API) e Reflexo do Aviso Prévio Indenizado]:[Indenização Adicional (Art. 9º da Lei nº 7.238/84)]])</f>
        <v>202.52568211819366</v>
      </c>
      <c r="AU243" s="22">
        <f>SUMIF(tabParametros[Código do Posto],tabCustoUnit[[#This Row],[Código do Posto]],tabParametros[Ausência por Doença])*tabCustoUnit[[#This Row],[MODULO 1 - REMUNERAÇÃO ]]</f>
        <v>38.841026977777773</v>
      </c>
      <c r="AV243" s="22">
        <f>SUMIF(tabParametros[Código do Posto],tabCustoUnit[[#This Row],[Código do Posto]],tabParametros[Ausências Legais])*tabCustoUnit[[#This Row],[MODULO 1 - REMUNERAÇÃO ]]</f>
        <v>9.3269571361111101</v>
      </c>
      <c r="AW243" s="22">
        <f>SUMIF(tabParametros[Código do Posto],tabCustoUnit[[#This Row],[Código do Posto]],tabParametros[Licença Paternidade])*tabCustoUnit[[#This Row],[MODULO 1 - REMUNERAÇÃO ]]</f>
        <v>0.78576419708333334</v>
      </c>
      <c r="AX243" s="22">
        <f>SUMIF(tabParametros[Código do Posto],tabCustoUnit[[#This Row],[Código do Posto]],tabParametros[Ausência por Acidente de Trabalho])*tabCustoUnit[[#This Row],[MODULO 1 - REMUNERAÇÃO ]]</f>
        <v>0.95824902083333341</v>
      </c>
      <c r="AY243" s="22">
        <f>SUMIF(tabParametros[Código do Posto],tabCustoUnit[[#This Row],[Código do Posto]],tabParametros[Férias, Adicional de Férias e 13º  com empregada em gozo de Licença Maternidade])*tabCustoUnit[[#This Row],[MODULO 1 - REMUNERAÇÃO ]]</f>
        <v>5.9624383518518513</v>
      </c>
      <c r="AZ243" s="22">
        <f>SUMIF(tabParametros[Código do Posto],tabCustoUnit[[#This Row],[Código do Posto]],tabParametros[Incidência do Submódulo 2.1 sobre Ausências Legais])*tabCustoUnit[[#This Row],[MODULO 1 - REMUNERAÇÃO ]]</f>
        <v>21.120536688422504</v>
      </c>
      <c r="BA243" s="22">
        <f>SUM(tabCustoUnit[[#This Row],[Ausência por Doença]:[Incidência do Submódulo 2.1 sobre Ausências Legais]])</f>
        <v>76.9949723720799</v>
      </c>
      <c r="BB243" s="22">
        <f>SUMIF(tabParametros[Código do Posto],tabCustoUnit[[#This Row],[Código do Posto]],tabParametros[Intervalo para Repouso ou Alimentação])</f>
        <v>0</v>
      </c>
      <c r="BC243" s="22">
        <f>tabCustoUnit[[#This Row],[Intervalo para Repouso ou Alimentação]]</f>
        <v>0</v>
      </c>
      <c r="BD24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3" s="22">
        <f>tabCustoUnit[[#This Row],[Suspensão Temporária do Contrato de Trabalho]]</f>
        <v>0</v>
      </c>
      <c r="BF243" s="22">
        <f>tabCustoUnit[[#This Row],[Submódulo 4.1]]+tabCustoUnit[[#This Row],[Submódulo 4.2]]+tabCustoUnit[[#This Row],[Submódulo 4.3]]</f>
        <v>76.9949723720799</v>
      </c>
      <c r="BG243" s="22">
        <f>VLOOKUP(tabCustoUnit[[#This Row],[Código do Posto]],tabParametros[],MATCH(tabCustoUnit[[#Headers],[Uniformes e EPIs]],tabParametros[#Headers],0),0)</f>
        <v>92.100763771570698</v>
      </c>
      <c r="BH243" s="22">
        <f>VLOOKUP(tabCustoUnit[[#This Row],[Código do Posto]],tabParametros[],MATCH(tabCustoUnit[[#Headers],[Materiais de Consumo]],tabParametros[#Headers],0),0)</f>
        <v>0</v>
      </c>
      <c r="BI243" s="22">
        <f>VLOOKUP(tabCustoUnit[[#This Row],[Código do Posto]],tabParametros[],MATCH(tabCustoUnit[[#Headers],[Máquinas e Equipamentos (depreciação)]],tabParametros[#Headers],0),0)</f>
        <v>0</v>
      </c>
      <c r="BJ243" s="22">
        <f>VLOOKUP(tabCustoUnit[[#This Row],[Código do Posto]],tabParametros[],MATCH(tabCustoUnit[[#Headers],[Produtos de Limpeza e Materiais de Higiene Pessoal]],tabParametros[#Headers],0),0)</f>
        <v>0</v>
      </c>
      <c r="BK243" s="22">
        <f>VLOOKUP(tabCustoUnit[[#This Row],[Código do Posto]],tabParametros[],MATCH(tabCustoUnit[[#Headers],[Outros (especificar)]],tabParametros[#Headers],0),0)</f>
        <v>0</v>
      </c>
      <c r="BL243" s="22">
        <f>SUM(tabCustoUnit[[#This Row],[Uniformes e EPIs]:[Outros (especificar)]])</f>
        <v>92.100763771570698</v>
      </c>
      <c r="BM24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3" s="22" t="e">
        <f ca="1">VLOOKUP(tabCustoUnit[[#This Row],[Código do Posto]],tabParametros[],MATCH(tabCustoUnit[[#Headers],[Custos Indiretos]],tabParametros[#Headers],0),0)</f>
        <v>#NAME?</v>
      </c>
      <c r="BO243" s="22" t="e">
        <f ca="1">VLOOKUP(tabCustoUnit[[#This Row],[Código do Posto]],tabParametros[],MATCH(tabCustoUnit[[#Headers],[Lucro]],tabParametros[#Headers],0),0)</f>
        <v>#NAME?</v>
      </c>
      <c r="BP243" s="26">
        <f>((100/((1-tabCustoUnit[[#This Row],[Resumo de Alíquotas (PIS+CONFINS+ISS)]]))-100)*VLOOKUP(tabCustoUnit[[#This Row],[Código do Posto]],tabParametros[],MATCH(tabCustoUnit[[#Headers],[COFINS]],tabParametros[#Headers],0),0))/(tabCustoUnit[[#This Row],[Resumo de Alíquotas (PIS+CONFINS+ISS)]]*100)</f>
        <v>8.6609686609686695E-2</v>
      </c>
      <c r="BQ243" s="26">
        <f>((100/((100-(tabCustoUnit[[#This Row],[Resumo de Alíquotas (PIS+CONFINS+ISS)]]*100))%)-100)*VLOOKUP(tabCustoUnit[[#This Row],[Código do Posto]],tabParametros[],MATCH(tabCustoUnit[[#Headers],[PIS]],tabParametros[#Headers],0),0))/(tabCustoUnit[[#This Row],[Resumo de Alíquotas (PIS+CONFINS+ISS)]]*100)</f>
        <v>1.880341880341882E-2</v>
      </c>
      <c r="BR243" s="28">
        <f>VLOOKUP(tabCustoUnit[[#This Row],[Código do Posto]],tabParametros[],MATCH(tabCustoUnit[[#Headers],[ISS]],tabParametros[#Headers],0),0)</f>
        <v>0.03</v>
      </c>
      <c r="BS243" s="26">
        <f>(((100/((100-(tabCustoUnit[[#This Row],[Resumo de Alíquotas (PIS+CONFINS+ISS)]]*100))%)-100)*tabCustoUnit[[#This Row],[ISS]])/tabCustoUnit[[#This Row],[Resumo de Alíquotas (PIS+CONFINS+ISS)]])/100</f>
        <v>3.4188034188034219E-2</v>
      </c>
      <c r="BT24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3" s="138">
        <f>tabCustoUnit[[#This Row],[COFINS]]+tabCustoUnit[[#This Row],[PIS]]+tabCustoUnit[[#This Row],[ISS (Conversão Alíquota s/ fatura)]]</f>
        <v>0.13960113960113973</v>
      </c>
      <c r="BV243" s="22" t="e">
        <f ca="1">(tabCustoUnit[[#This Row],[TOTAL MÓDULOS 1+2+3+4+5]]+tabCustoUnit[[#This Row],[Custos Indiretos]]+tabCustoUnit[[#This Row],[Lucro]])*tabCustoUnit[[#This Row],[PIS + COFINS + ISS (Total Conversão  Alíquota s/ Fatura)]]</f>
        <v>#NAME?</v>
      </c>
      <c r="BW243" s="22" t="e">
        <f ca="1">tabCustoUnit[[#This Row],[Custos Indiretos]]+tabCustoUnit[[#This Row],[Lucro]]+tabCustoUnit[[#This Row],[Valor dos Tributos (ISS, PIS, CONFINS)]]</f>
        <v>#NAME?</v>
      </c>
      <c r="BX243" s="22" t="e">
        <f ca="1">tabCustoUnit[[#This Row],[TOTAL MÓDULOS 1+2+3+4+5]]+tabCustoUnit[[#This Row],[MÓDULO 6 – CUSTOS INDIRETOS, TRIBUTOS E LUCRO]]</f>
        <v>#NAME?</v>
      </c>
      <c r="BY243" s="22" t="e">
        <f ca="1">tabCustoUnit[[#This Row],[CUSTO TOTAL MENSAL]]*12</f>
        <v>#NAME?</v>
      </c>
      <c r="BZ243" s="24">
        <f>VLOOKUP(tabCustoUnit[[#This Row],[Código do Posto]],tabParametros[],MATCH(tabCustoUnit[[#Headers],[ANO DA CCT]],tabParametros[#Headers],0),0)</f>
        <v>45658</v>
      </c>
      <c r="CA243" s="25" t="str">
        <f>VLOOKUP(tabCustoUnit[[#This Row],[Código do Posto]],tabParametros[],MATCH(tabCustoUnit[[#Headers],[Nº DE PEDIDO DA CCT]],tabParametros[#Headers],0),0)</f>
        <v>-</v>
      </c>
      <c r="CB243" s="25" t="str">
        <f>VLOOKUP(tabCustoUnit[[#This Row],[Código do Posto]],tabParametros[],MATCH(tabCustoUnit[[#Headers],[TERMO ADITIVO ALTERAÇÃO DA CCT]],tabParametros[#Headers],0),0)</f>
        <v>-</v>
      </c>
    </row>
    <row r="244" spans="1:80">
      <c r="A244" s="20" t="s">
        <v>1669</v>
      </c>
      <c r="B244" t="s">
        <v>1180</v>
      </c>
      <c r="C244" t="s">
        <v>274</v>
      </c>
      <c r="D244" t="s">
        <v>1004</v>
      </c>
      <c r="E244" s="20" t="s">
        <v>1090</v>
      </c>
      <c r="F244" s="20" t="s">
        <v>135</v>
      </c>
      <c r="G244" s="418">
        <v>4599.5953</v>
      </c>
      <c r="H244" s="418">
        <v>0</v>
      </c>
      <c r="I244" s="418">
        <v>0</v>
      </c>
      <c r="J244" s="418">
        <v>0</v>
      </c>
      <c r="K244" s="418">
        <v>0</v>
      </c>
      <c r="L244" s="418">
        <v>0</v>
      </c>
      <c r="M244" s="418">
        <v>0</v>
      </c>
      <c r="N244" s="418">
        <v>0</v>
      </c>
      <c r="O244" s="21">
        <f>SUM(tabCustoUnit[[#This Row],[Salário Base]:[Adicional de Acúmulo de função]])</f>
        <v>4599.5953</v>
      </c>
      <c r="P244" s="21">
        <f>tabCustoUnit[[#This Row],[MODULO 1 - REMUNERAÇÃO ]]*SUMIFS(tabParametros[INSS],tabParametros[Código do Posto],tabCustoUnit[[#This Row],[Código do Posto]])</f>
        <v>919.91906000000006</v>
      </c>
      <c r="Q244" s="21">
        <f>tabCustoUnit[[#This Row],[MODULO 1 - REMUNERAÇÃO ]]*SUMIFS(tabParametros[SESI OU SESC],tabParametros[Código do Posto],tabCustoUnit[[#This Row],[Código do Posto]])</f>
        <v>68.993929499999993</v>
      </c>
      <c r="R244" s="21">
        <f>tabCustoUnit[[#This Row],[MODULO 1 - REMUNERAÇÃO ]]*SUMIFS(tabParametros[SENAI OU SENAC],tabParametros[Código do Posto],tabCustoUnit[[#This Row],[Código do Posto]])</f>
        <v>45.995953</v>
      </c>
      <c r="S244" s="21">
        <f>tabCustoUnit[[#This Row],[MODULO 1 - REMUNERAÇÃO ]]*SUMIFS(tabParametros[INCRA],tabParametros[Código do Posto],tabCustoUnit[[#This Row],[Código do Posto]])</f>
        <v>9.1991905999999997</v>
      </c>
      <c r="T244" s="21">
        <f>tabCustoUnit[[#This Row],[MODULO 1 - REMUNERAÇÃO ]]*SUMIFS(tabParametros[Salário Educação],tabParametros[Código do Posto],tabCustoUnit[[#This Row],[Código do Posto]])</f>
        <v>114.98988250000001</v>
      </c>
      <c r="U244" s="21">
        <f>tabCustoUnit[[#This Row],[MODULO 1 - REMUNERAÇÃO ]]*SUMIFS(tabParametros[FGTS],tabParametros[Código do Posto],tabCustoUnit[[#This Row],[Código do Posto]])</f>
        <v>367.967624</v>
      </c>
      <c r="V244" s="21">
        <f>tabCustoUnit[[#This Row],[MODULO 1 - REMUNERAÇÃO ]]*SUMIFS(tabParametros[RAT Ajustado],tabParametros[Código do Posto],tabCustoUnit[[#This Row],[Código do Posto]])</f>
        <v>183.983812</v>
      </c>
      <c r="W244" s="21">
        <f>tabCustoUnit[[#This Row],[MODULO 1 - REMUNERAÇÃO ]]*SUMIFS(tabParametros[SEBRAE],tabParametros[Código do Posto],tabCustoUnit[[#This Row],[Código do Posto]])</f>
        <v>27.597571800000001</v>
      </c>
      <c r="X244" s="21">
        <f>SUM(tabCustoUnit[[#This Row],[INSS]:[SEBRAE]])</f>
        <v>1738.6470234000003</v>
      </c>
      <c r="Y244" s="21">
        <f>tabCustoUnit[[#This Row],[MODULO 1 - REMUNERAÇÃO ]]*SUMIFS(tabParametros[13º salário (titular)],tabParametros[Código do Posto],tabCustoUnit[[#This Row],[Código do Posto]])</f>
        <v>383.29960833333331</v>
      </c>
      <c r="Z244" s="21">
        <f>tabCustoUnit[[#This Row],[MODULO 1 - REMUNERAÇÃO ]]*SUMIFS(tabParametros[Férias e Adicional de Férias (titular)],tabParametros[Código do Posto],tabCustoUnit[[#This Row],[Código do Posto]])</f>
        <v>511.06614444444443</v>
      </c>
      <c r="AA244" s="21">
        <f>IFERROR((tabCustoUnit[[#This Row],[Submódulo 2.1]]/tabCustoUnit[[#This Row],[MODULO 1 - REMUNERAÇÃO ]])*SUM(tabCustoUnit[[#This Row],[13º salário (titular)]:[Férias e Adicional de Férias (titular)]]),0)</f>
        <v>338.07025455000002</v>
      </c>
      <c r="AB244" s="21">
        <f>SUM(tabCustoUnit[[#This Row],[13º salário (titular)]:[Incidência do Submódulo 2.1 sobre 13º Salário, Férias e Adicional de Férias]])</f>
        <v>1232.4360073277778</v>
      </c>
      <c r="AC244" s="22" t="e">
        <f ca="1">_xlfn.LET(_xlpm.VT,SUMIF(tabParametros[Código do Posto],tabCustoUnit[[#This Row],[Código do Posto]],tabParametros[Vale - Transporte])*2*20,
IF((_xlpm.VT-tabCustoUnit[[#This Row],[Salário Base]]*0.06)&gt;=0,(_xlpm.VT-tabCustoUnit[[#This Row],[Salário Base]]*0.06),0)
)</f>
        <v>#NAME?</v>
      </c>
      <c r="AD244" s="22">
        <f>IF(SUMIF(tabParametros[Código do Posto],tabCustoUnit[[#This Row],[Código do Posto]],tabParametros[Vale - Alimentação])&lt;=0,0,
SUMIF(tabParametros[Código do Posto],tabCustoUnit[[#This Row],[Código do Posto]],tabParametros[Vale - Alimentação])*20-1)</f>
        <v>578.4</v>
      </c>
      <c r="AE244" s="22">
        <f>SUMIF(tabParametros[Código do Posto],tabCustoUnit[[#This Row],[Código do Posto]],tabParametros[Cesta Básica])</f>
        <v>0</v>
      </c>
      <c r="AF244" s="22">
        <f>SUMIF(tabParametros[Código do Posto],tabCustoUnit[[#This Row],[Código do Posto]],tabParametros[PAF])</f>
        <v>0</v>
      </c>
      <c r="AG244" s="22">
        <f>SUMIF(tabParametros[Código do Posto],tabCustoUnit[[#This Row],[Código do Posto]],tabParametros[PQM])</f>
        <v>0</v>
      </c>
      <c r="AH244" s="22">
        <f>SUMIF(tabParametros[Código do Posto],tabCustoUnit[[#This Row],[Código do Posto]],tabParametros[Abono Único e Especial])</f>
        <v>0</v>
      </c>
      <c r="AI244" s="22">
        <f>SUMIF(tabParametros[Código do Posto],tabCustoUnit[[#This Row],[Código do Posto]],tabParametros[Seguro de Vida])</f>
        <v>3.36</v>
      </c>
      <c r="AJ244" s="22">
        <f>SUMIF(tabParametros[Código do Posto],tabCustoUnit[[#This Row],[Código do Posto]],tabParametros[Despesas de Viagem])</f>
        <v>662.42</v>
      </c>
      <c r="AK244" s="22" t="e">
        <f ca="1">SUM(tabCustoUnit[[#This Row],[Vale - Transporte (Descontada parcela do empregado)]:[Despesas de Viagem]])</f>
        <v>#NAME?</v>
      </c>
      <c r="AL244" s="22" t="e">
        <f ca="1">tabCustoUnit[[#This Row],[Submódulo 2.1]]+tabCustoUnit[[#This Row],[Submódulo 2.2]]+tabCustoUnit[[#This Row],[Submódulo 2.3]]</f>
        <v>#NAME?</v>
      </c>
      <c r="AM244" s="22">
        <f>SUMIF(tabParametros[Código do Posto],tabCustoUnit[[#This Row],[Código do Posto]],tabParametros[Aviso Prévio Indenizado (API) e Reflexo do Aviso Prévio Indenizado])*tabCustoUnit[[#This Row],[MODULO 1 - REMUNERAÇÃO ]]</f>
        <v>32.251290424324843</v>
      </c>
      <c r="AN244" s="22">
        <f>SUMIF(tabParametros[Código do Posto],tabCustoUnit[[#This Row],[Código do Posto]],tabParametros[Incidência do FGTS sobre API e Reflexo do API])*tabCustoUnit[[#This Row],[MODULO 1 - REMUNERAÇÃO ]]</f>
        <v>2.5801032339459877</v>
      </c>
      <c r="AO244" s="22">
        <f>SUMIF(tabParametros[Código do Posto],tabCustoUnit[[#This Row],[Código do Posto]],tabParametros[Multa Rescisória do FGTS sobre o Aviso Prévio Indenizado])*tabCustoUnit[[#This Row],[MODULO 1 - REMUNERAÇÃO ]]</f>
        <v>1.0320412935783951</v>
      </c>
      <c r="AP244" s="22">
        <f>SUMIF(tabParametros[Código do Posto],tabCustoUnit[[#This Row],[Código do Posto]],tabParametros[Aviso Prévio Trabalhado - APT])*tabCustoUnit[[#This Row],[MODULO 1 - REMUNERAÇÃO ]]</f>
        <v>16.098583550000001</v>
      </c>
      <c r="AQ244" s="22">
        <f>SUMIF(tabParametros[Código do Posto],tabCustoUnit[[#This Row],[Código do Posto]],tabParametros[Incidência dos encargos do submódulo 2.1 sobre Aviso Prévio Trabalhado])*tabCustoUnit[[#This Row],[MODULO 1 - REMUNERAÇÃO ]]</f>
        <v>6.0852645819000015</v>
      </c>
      <c r="AR244" s="22">
        <f>SUMIF(tabParametros[Código do Posto],tabCustoUnit[[#This Row],[Código do Posto]],tabParametros[Multa Rescisória do FGTS])*tabCustoUnit[[#This Row],[MODULO 1 - REMUNERAÇÃO ]]</f>
        <v>140.64540295111109</v>
      </c>
      <c r="AS244" s="22">
        <f>SUMIF(tabParametros[Código do Posto],tabCustoUnit[[#This Row],[Código do Posto]],tabParametros[Indenização Adicional (Art. 9º da Lei nº 7.238/84)])*tabCustoUnit[[#This Row],[MODULO 1 - REMUNERAÇÃO ]]</f>
        <v>3.8329960833333336</v>
      </c>
      <c r="AT244" s="22">
        <f>SUM(tabCustoUnit[[#This Row],[Aviso Prévio Indenizado (API) e Reflexo do Aviso Prévio Indenizado]:[Indenização Adicional (Art. 9º da Lei nº 7.238/84)]])</f>
        <v>202.52568211819366</v>
      </c>
      <c r="AU244" s="22">
        <f>SUMIF(tabParametros[Código do Posto],tabCustoUnit[[#This Row],[Código do Posto]],tabParametros[Ausência por Doença])*tabCustoUnit[[#This Row],[MODULO 1 - REMUNERAÇÃO ]]</f>
        <v>38.841026977777773</v>
      </c>
      <c r="AV244" s="22">
        <f>SUMIF(tabParametros[Código do Posto],tabCustoUnit[[#This Row],[Código do Posto]],tabParametros[Ausências Legais])*tabCustoUnit[[#This Row],[MODULO 1 - REMUNERAÇÃO ]]</f>
        <v>9.3269571361111101</v>
      </c>
      <c r="AW244" s="22">
        <f>SUMIF(tabParametros[Código do Posto],tabCustoUnit[[#This Row],[Código do Posto]],tabParametros[Licença Paternidade])*tabCustoUnit[[#This Row],[MODULO 1 - REMUNERAÇÃO ]]</f>
        <v>0.78576419708333334</v>
      </c>
      <c r="AX244" s="22">
        <f>SUMIF(tabParametros[Código do Posto],tabCustoUnit[[#This Row],[Código do Posto]],tabParametros[Ausência por Acidente de Trabalho])*tabCustoUnit[[#This Row],[MODULO 1 - REMUNERAÇÃO ]]</f>
        <v>0.95824902083333341</v>
      </c>
      <c r="AY244" s="22">
        <f>SUMIF(tabParametros[Código do Posto],tabCustoUnit[[#This Row],[Código do Posto]],tabParametros[Férias, Adicional de Férias e 13º  com empregada em gozo de Licença Maternidade])*tabCustoUnit[[#This Row],[MODULO 1 - REMUNERAÇÃO ]]</f>
        <v>5.9624383518518513</v>
      </c>
      <c r="AZ244" s="22">
        <f>SUMIF(tabParametros[Código do Posto],tabCustoUnit[[#This Row],[Código do Posto]],tabParametros[Incidência do Submódulo 2.1 sobre Ausências Legais])*tabCustoUnit[[#This Row],[MODULO 1 - REMUNERAÇÃO ]]</f>
        <v>21.120536688422504</v>
      </c>
      <c r="BA244" s="22">
        <f>SUM(tabCustoUnit[[#This Row],[Ausência por Doença]:[Incidência do Submódulo 2.1 sobre Ausências Legais]])</f>
        <v>76.9949723720799</v>
      </c>
      <c r="BB244" s="22">
        <f>SUMIF(tabParametros[Código do Posto],tabCustoUnit[[#This Row],[Código do Posto]],tabParametros[Intervalo para Repouso ou Alimentação])</f>
        <v>0</v>
      </c>
      <c r="BC244" s="22">
        <f>tabCustoUnit[[#This Row],[Intervalo para Repouso ou Alimentação]]</f>
        <v>0</v>
      </c>
      <c r="BD24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4" s="22">
        <f>tabCustoUnit[[#This Row],[Suspensão Temporária do Contrato de Trabalho]]</f>
        <v>0</v>
      </c>
      <c r="BF244" s="22">
        <f>tabCustoUnit[[#This Row],[Submódulo 4.1]]+tabCustoUnit[[#This Row],[Submódulo 4.2]]+tabCustoUnit[[#This Row],[Submódulo 4.3]]</f>
        <v>76.9949723720799</v>
      </c>
      <c r="BG244" s="22">
        <f>VLOOKUP(tabCustoUnit[[#This Row],[Código do Posto]],tabParametros[],MATCH(tabCustoUnit[[#Headers],[Uniformes e EPIs]],tabParametros[#Headers],0),0)</f>
        <v>92.100763771570698</v>
      </c>
      <c r="BH244" s="22">
        <f>VLOOKUP(tabCustoUnit[[#This Row],[Código do Posto]],tabParametros[],MATCH(tabCustoUnit[[#Headers],[Materiais de Consumo]],tabParametros[#Headers],0),0)</f>
        <v>0</v>
      </c>
      <c r="BI244" s="22">
        <f>VLOOKUP(tabCustoUnit[[#This Row],[Código do Posto]],tabParametros[],MATCH(tabCustoUnit[[#Headers],[Máquinas e Equipamentos (depreciação)]],tabParametros[#Headers],0),0)</f>
        <v>0</v>
      </c>
      <c r="BJ244" s="22">
        <f>VLOOKUP(tabCustoUnit[[#This Row],[Código do Posto]],tabParametros[],MATCH(tabCustoUnit[[#Headers],[Produtos de Limpeza e Materiais de Higiene Pessoal]],tabParametros[#Headers],0),0)</f>
        <v>0</v>
      </c>
      <c r="BK244" s="22">
        <f>VLOOKUP(tabCustoUnit[[#This Row],[Código do Posto]],tabParametros[],MATCH(tabCustoUnit[[#Headers],[Outros (especificar)]],tabParametros[#Headers],0),0)</f>
        <v>0</v>
      </c>
      <c r="BL244" s="22">
        <f>SUM(tabCustoUnit[[#This Row],[Uniformes e EPIs]:[Outros (especificar)]])</f>
        <v>92.100763771570698</v>
      </c>
      <c r="BM24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4" s="22" t="e">
        <f ca="1">VLOOKUP(tabCustoUnit[[#This Row],[Código do Posto]],tabParametros[],MATCH(tabCustoUnit[[#Headers],[Custos Indiretos]],tabParametros[#Headers],0),0)</f>
        <v>#NAME?</v>
      </c>
      <c r="BO244" s="22" t="e">
        <f ca="1">VLOOKUP(tabCustoUnit[[#This Row],[Código do Posto]],tabParametros[],MATCH(tabCustoUnit[[#Headers],[Lucro]],tabParametros[#Headers],0),0)</f>
        <v>#NAME?</v>
      </c>
      <c r="BP244" s="26">
        <f>((100/((1-tabCustoUnit[[#This Row],[Resumo de Alíquotas (PIS+CONFINS+ISS)]]))-100)*VLOOKUP(tabCustoUnit[[#This Row],[Código do Posto]],tabParametros[],MATCH(tabCustoUnit[[#Headers],[COFINS]],tabParametros[#Headers],0),0))/(tabCustoUnit[[#This Row],[Resumo de Alíquotas (PIS+CONFINS+ISS)]]*100)</f>
        <v>8.6609686609686695E-2</v>
      </c>
      <c r="BQ244" s="26">
        <f>((100/((100-(tabCustoUnit[[#This Row],[Resumo de Alíquotas (PIS+CONFINS+ISS)]]*100))%)-100)*VLOOKUP(tabCustoUnit[[#This Row],[Código do Posto]],tabParametros[],MATCH(tabCustoUnit[[#Headers],[PIS]],tabParametros[#Headers],0),0))/(tabCustoUnit[[#This Row],[Resumo de Alíquotas (PIS+CONFINS+ISS)]]*100)</f>
        <v>1.880341880341882E-2</v>
      </c>
      <c r="BR244" s="28">
        <f>VLOOKUP(tabCustoUnit[[#This Row],[Código do Posto]],tabParametros[],MATCH(tabCustoUnit[[#Headers],[ISS]],tabParametros[#Headers],0),0)</f>
        <v>0.03</v>
      </c>
      <c r="BS244" s="26">
        <f>(((100/((100-(tabCustoUnit[[#This Row],[Resumo de Alíquotas (PIS+CONFINS+ISS)]]*100))%)-100)*tabCustoUnit[[#This Row],[ISS]])/tabCustoUnit[[#This Row],[Resumo de Alíquotas (PIS+CONFINS+ISS)]])/100</f>
        <v>3.4188034188034219E-2</v>
      </c>
      <c r="BT24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4" s="138">
        <f>tabCustoUnit[[#This Row],[COFINS]]+tabCustoUnit[[#This Row],[PIS]]+tabCustoUnit[[#This Row],[ISS (Conversão Alíquota s/ fatura)]]</f>
        <v>0.13960113960113973</v>
      </c>
      <c r="BV244" s="22" t="e">
        <f ca="1">(tabCustoUnit[[#This Row],[TOTAL MÓDULOS 1+2+3+4+5]]+tabCustoUnit[[#This Row],[Custos Indiretos]]+tabCustoUnit[[#This Row],[Lucro]])*tabCustoUnit[[#This Row],[PIS + COFINS + ISS (Total Conversão  Alíquota s/ Fatura)]]</f>
        <v>#NAME?</v>
      </c>
      <c r="BW244" s="22" t="e">
        <f ca="1">tabCustoUnit[[#This Row],[Custos Indiretos]]+tabCustoUnit[[#This Row],[Lucro]]+tabCustoUnit[[#This Row],[Valor dos Tributos (ISS, PIS, CONFINS)]]</f>
        <v>#NAME?</v>
      </c>
      <c r="BX244" s="22" t="e">
        <f ca="1">tabCustoUnit[[#This Row],[TOTAL MÓDULOS 1+2+3+4+5]]+tabCustoUnit[[#This Row],[MÓDULO 6 – CUSTOS INDIRETOS, TRIBUTOS E LUCRO]]</f>
        <v>#NAME?</v>
      </c>
      <c r="BY244" s="22" t="e">
        <f ca="1">tabCustoUnit[[#This Row],[CUSTO TOTAL MENSAL]]*12</f>
        <v>#NAME?</v>
      </c>
      <c r="BZ244" s="24">
        <f>VLOOKUP(tabCustoUnit[[#This Row],[Código do Posto]],tabParametros[],MATCH(tabCustoUnit[[#Headers],[ANO DA CCT]],tabParametros[#Headers],0),0)</f>
        <v>45658</v>
      </c>
      <c r="CA244" s="25" t="str">
        <f>VLOOKUP(tabCustoUnit[[#This Row],[Código do Posto]],tabParametros[],MATCH(tabCustoUnit[[#Headers],[Nº DE PEDIDO DA CCT]],tabParametros[#Headers],0),0)</f>
        <v>-</v>
      </c>
      <c r="CB244" s="25" t="str">
        <f>VLOOKUP(tabCustoUnit[[#This Row],[Código do Posto]],tabParametros[],MATCH(tabCustoUnit[[#Headers],[TERMO ADITIVO ALTERAÇÃO DA CCT]],tabParametros[#Headers],0),0)</f>
        <v>-</v>
      </c>
    </row>
    <row r="245" spans="1:80">
      <c r="A245" s="20" t="s">
        <v>1500</v>
      </c>
      <c r="B245" t="s">
        <v>1180</v>
      </c>
      <c r="C245" t="s">
        <v>314</v>
      </c>
      <c r="D245" t="s">
        <v>961</v>
      </c>
      <c r="E245" s="20" t="s">
        <v>1090</v>
      </c>
      <c r="F245" s="20" t="s">
        <v>120</v>
      </c>
      <c r="G245" s="418">
        <v>1963.405</v>
      </c>
      <c r="H245" s="418">
        <v>0</v>
      </c>
      <c r="I245" s="418">
        <v>0</v>
      </c>
      <c r="J245" s="418">
        <v>0</v>
      </c>
      <c r="K245" s="418">
        <v>0</v>
      </c>
      <c r="L245" s="418">
        <v>0</v>
      </c>
      <c r="M245" s="418">
        <v>0</v>
      </c>
      <c r="N245" s="418">
        <v>0</v>
      </c>
      <c r="O245" s="21">
        <f>SUM(tabCustoUnit[[#This Row],[Salário Base]:[Adicional de Acúmulo de função]])</f>
        <v>1963.405</v>
      </c>
      <c r="P245" s="21">
        <f>tabCustoUnit[[#This Row],[MODULO 1 - REMUNERAÇÃO ]]*SUMIFS(tabParametros[INSS],tabParametros[Código do Posto],tabCustoUnit[[#This Row],[Código do Posto]])</f>
        <v>392.68100000000004</v>
      </c>
      <c r="Q245" s="21">
        <f>tabCustoUnit[[#This Row],[MODULO 1 - REMUNERAÇÃO ]]*SUMIFS(tabParametros[SESI OU SESC],tabParametros[Código do Posto],tabCustoUnit[[#This Row],[Código do Posto]])</f>
        <v>29.451074999999999</v>
      </c>
      <c r="R245" s="21">
        <f>tabCustoUnit[[#This Row],[MODULO 1 - REMUNERAÇÃO ]]*SUMIFS(tabParametros[SENAI OU SENAC],tabParametros[Código do Posto],tabCustoUnit[[#This Row],[Código do Posto]])</f>
        <v>19.634049999999998</v>
      </c>
      <c r="S245" s="21">
        <f>tabCustoUnit[[#This Row],[MODULO 1 - REMUNERAÇÃO ]]*SUMIFS(tabParametros[INCRA],tabParametros[Código do Posto],tabCustoUnit[[#This Row],[Código do Posto]])</f>
        <v>3.9268100000000001</v>
      </c>
      <c r="T245" s="21">
        <f>tabCustoUnit[[#This Row],[MODULO 1 - REMUNERAÇÃO ]]*SUMIFS(tabParametros[Salário Educação],tabParametros[Código do Posto],tabCustoUnit[[#This Row],[Código do Posto]])</f>
        <v>49.085125000000005</v>
      </c>
      <c r="U245" s="21">
        <f>tabCustoUnit[[#This Row],[MODULO 1 - REMUNERAÇÃO ]]*SUMIFS(tabParametros[FGTS],tabParametros[Código do Posto],tabCustoUnit[[#This Row],[Código do Posto]])</f>
        <v>157.07239999999999</v>
      </c>
      <c r="V245" s="21">
        <f>tabCustoUnit[[#This Row],[MODULO 1 - REMUNERAÇÃO ]]*SUMIFS(tabParametros[RAT Ajustado],tabParametros[Código do Posto],tabCustoUnit[[#This Row],[Código do Posto]])</f>
        <v>78.536199999999994</v>
      </c>
      <c r="W245" s="21">
        <f>tabCustoUnit[[#This Row],[MODULO 1 - REMUNERAÇÃO ]]*SUMIFS(tabParametros[SEBRAE],tabParametros[Código do Posto],tabCustoUnit[[#This Row],[Código do Posto]])</f>
        <v>11.780430000000001</v>
      </c>
      <c r="X245" s="21">
        <f>SUM(tabCustoUnit[[#This Row],[INSS]:[SEBRAE]])</f>
        <v>742.16709000000003</v>
      </c>
      <c r="Y245" s="21">
        <f>tabCustoUnit[[#This Row],[MODULO 1 - REMUNERAÇÃO ]]*SUMIFS(tabParametros[13º salário (titular)],tabParametros[Código do Posto],tabCustoUnit[[#This Row],[Código do Posto]])</f>
        <v>163.61708333333331</v>
      </c>
      <c r="Z245" s="21">
        <f>tabCustoUnit[[#This Row],[MODULO 1 - REMUNERAÇÃO ]]*SUMIFS(tabParametros[Férias e Adicional de Férias (titular)],tabParametros[Código do Posto],tabCustoUnit[[#This Row],[Código do Posto]])</f>
        <v>218.1561111111111</v>
      </c>
      <c r="AA245" s="21">
        <f>IFERROR((tabCustoUnit[[#This Row],[Submódulo 2.1]]/tabCustoUnit[[#This Row],[MODULO 1 - REMUNERAÇÃO ]])*SUM(tabCustoUnit[[#This Row],[13º salário (titular)]:[Férias e Adicional de Férias (titular)]]),0)</f>
        <v>144.31026749999998</v>
      </c>
      <c r="AB245" s="21">
        <f>SUM(tabCustoUnit[[#This Row],[13º salário (titular)]:[Incidência do Submódulo 2.1 sobre 13º Salário, Férias e Adicional de Férias]])</f>
        <v>526.08346194444437</v>
      </c>
      <c r="AC245" s="22" t="e">
        <f ca="1">_xlfn.LET(_xlpm.VT,SUMIF(tabParametros[Código do Posto],tabCustoUnit[[#This Row],[Código do Posto]],tabParametros[Vale - Transporte])*2*20,
IF((_xlpm.VT-tabCustoUnit[[#This Row],[Salário Base]]*0.06)&gt;=0,(_xlpm.VT-tabCustoUnit[[#This Row],[Salário Base]]*0.06),0)
)</f>
        <v>#NAME?</v>
      </c>
      <c r="AD245" s="22">
        <f>IF(SUMIF(tabParametros[Código do Posto],tabCustoUnit[[#This Row],[Código do Posto]],tabParametros[Vale - Alimentação])&lt;=0,0,
SUMIF(tabParametros[Código do Posto],tabCustoUnit[[#This Row],[Código do Posto]],tabParametros[Vale - Alimentação])*20-1)</f>
        <v>582</v>
      </c>
      <c r="AE245" s="22">
        <f>SUMIF(tabParametros[Código do Posto],tabCustoUnit[[#This Row],[Código do Posto]],tabParametros[Cesta Básica])</f>
        <v>0</v>
      </c>
      <c r="AF245" s="22">
        <f>SUMIF(tabParametros[Código do Posto],tabCustoUnit[[#This Row],[Código do Posto]],tabParametros[PAF])</f>
        <v>0</v>
      </c>
      <c r="AG245" s="22">
        <f>SUMIF(tabParametros[Código do Posto],tabCustoUnit[[#This Row],[Código do Posto]],tabParametros[PQM])</f>
        <v>0</v>
      </c>
      <c r="AH245" s="22">
        <f>SUMIF(tabParametros[Código do Posto],tabCustoUnit[[#This Row],[Código do Posto]],tabParametros[Abono Único e Especial])</f>
        <v>0</v>
      </c>
      <c r="AI245" s="22">
        <f>SUMIF(tabParametros[Código do Posto],tabCustoUnit[[#This Row],[Código do Posto]],tabParametros[Seguro de Vida])</f>
        <v>3.36</v>
      </c>
      <c r="AJ245" s="22">
        <f>SUMIF(tabParametros[Código do Posto],tabCustoUnit[[#This Row],[Código do Posto]],tabParametros[Despesas de Viagem])</f>
        <v>0</v>
      </c>
      <c r="AK245" s="22" t="e">
        <f ca="1">SUM(tabCustoUnit[[#This Row],[Vale - Transporte (Descontada parcela do empregado)]:[Despesas de Viagem]])</f>
        <v>#NAME?</v>
      </c>
      <c r="AL245" s="22" t="e">
        <f ca="1">tabCustoUnit[[#This Row],[Submódulo 2.1]]+tabCustoUnit[[#This Row],[Submódulo 2.2]]+tabCustoUnit[[#This Row],[Submódulo 2.3]]</f>
        <v>#NAME?</v>
      </c>
      <c r="AM245" s="22">
        <f>SUMIF(tabParametros[Código do Posto],tabCustoUnit[[#This Row],[Código do Posto]],tabParametros[Aviso Prévio Indenizado (API) e Reflexo do Aviso Prévio Indenizado])*tabCustoUnit[[#This Row],[MODULO 1 - REMUNERAÇÃO ]]</f>
        <v>13.766938338155864</v>
      </c>
      <c r="AN245" s="22">
        <f>SUMIF(tabParametros[Código do Posto],tabCustoUnit[[#This Row],[Código do Posto]],tabParametros[Incidência do FGTS sobre API e Reflexo do API])*tabCustoUnit[[#This Row],[MODULO 1 - REMUNERAÇÃO ]]</f>
        <v>1.1013550670524692</v>
      </c>
      <c r="AO245" s="22">
        <f>SUMIF(tabParametros[Código do Posto],tabCustoUnit[[#This Row],[Código do Posto]],tabParametros[Multa Rescisória do FGTS sobre o Aviso Prévio Indenizado])*tabCustoUnit[[#This Row],[MODULO 1 - REMUNERAÇÃO ]]</f>
        <v>0.44054202682098775</v>
      </c>
      <c r="AP245" s="22">
        <f>SUMIF(tabParametros[Código do Posto],tabCustoUnit[[#This Row],[Código do Posto]],tabParametros[Aviso Prévio Trabalhado - APT])*tabCustoUnit[[#This Row],[MODULO 1 - REMUNERAÇÃO ]]</f>
        <v>6.8719175000000012</v>
      </c>
      <c r="AQ245" s="22">
        <f>SUMIF(tabParametros[Código do Posto],tabCustoUnit[[#This Row],[Código do Posto]],tabParametros[Incidência dos encargos do submódulo 2.1 sobre Aviso Prévio Trabalhado])*tabCustoUnit[[#This Row],[MODULO 1 - REMUNERAÇÃO ]]</f>
        <v>2.5975848150000007</v>
      </c>
      <c r="AR245" s="22">
        <f>SUMIF(tabParametros[Código do Posto],tabCustoUnit[[#This Row],[Código do Posto]],tabParametros[Multa Rescisória do FGTS])*tabCustoUnit[[#This Row],[MODULO 1 - REMUNERAÇÃO ]]</f>
        <v>60.03656177777777</v>
      </c>
      <c r="AS245" s="22">
        <f>SUMIF(tabParametros[Código do Posto],tabCustoUnit[[#This Row],[Código do Posto]],tabParametros[Indenização Adicional (Art. 9º da Lei nº 7.238/84)])*tabCustoUnit[[#This Row],[MODULO 1 - REMUNERAÇÃO ]]</f>
        <v>1.6361708333333334</v>
      </c>
      <c r="AT245" s="22">
        <f>SUM(tabCustoUnit[[#This Row],[Aviso Prévio Indenizado (API) e Reflexo do Aviso Prévio Indenizado]:[Indenização Adicional (Art. 9º da Lei nº 7.238/84)]])</f>
        <v>86.451070358140427</v>
      </c>
      <c r="AU245" s="22">
        <f>SUMIF(tabParametros[Código do Posto],tabCustoUnit[[#This Row],[Código do Posto]],tabParametros[Ausência por Doença])*tabCustoUnit[[#This Row],[MODULO 1 - REMUNERAÇÃO ]]</f>
        <v>16.579864444444443</v>
      </c>
      <c r="AV245" s="22">
        <f>SUMIF(tabParametros[Código do Posto],tabCustoUnit[[#This Row],[Código do Posto]],tabParametros[Ausências Legais])*tabCustoUnit[[#This Row],[MODULO 1 - REMUNERAÇÃO ]]</f>
        <v>3.9813490277777777</v>
      </c>
      <c r="AW245" s="22">
        <f>SUMIF(tabParametros[Código do Posto],tabCustoUnit[[#This Row],[Código do Posto]],tabParametros[Licença Paternidade])*tabCustoUnit[[#This Row],[MODULO 1 - REMUNERAÇÃO ]]</f>
        <v>0.3354150208333333</v>
      </c>
      <c r="AX245" s="22">
        <f>SUMIF(tabParametros[Código do Posto],tabCustoUnit[[#This Row],[Código do Posto]],tabParametros[Ausência por Acidente de Trabalho])*tabCustoUnit[[#This Row],[MODULO 1 - REMUNERAÇÃO ]]</f>
        <v>0.40904270833333334</v>
      </c>
      <c r="AY245" s="22">
        <f>SUMIF(tabParametros[Código do Posto],tabCustoUnit[[#This Row],[Código do Posto]],tabParametros[Férias, Adicional de Férias e 13º  com empregada em gozo de Licença Maternidade])*tabCustoUnit[[#This Row],[MODULO 1 - REMUNERAÇÃO ]]</f>
        <v>2.5451546296296295</v>
      </c>
      <c r="AZ245" s="22">
        <f>SUMIF(tabParametros[Código do Posto],tabCustoUnit[[#This Row],[Código do Posto]],tabParametros[Incidência do Submódulo 2.1 sobre Ausências Legais])*tabCustoUnit[[#This Row],[MODULO 1 - REMUNERAÇÃO ]]</f>
        <v>9.0156121641250007</v>
      </c>
      <c r="BA245" s="22">
        <f>SUM(tabCustoUnit[[#This Row],[Ausência por Doença]:[Incidência do Submódulo 2.1 sobre Ausências Legais]])</f>
        <v>32.866437995143521</v>
      </c>
      <c r="BB245" s="22">
        <f>SUMIF(tabParametros[Código do Posto],tabCustoUnit[[#This Row],[Código do Posto]],tabParametros[Intervalo para Repouso ou Alimentação])</f>
        <v>267.73704981301341</v>
      </c>
      <c r="BC245" s="22">
        <f>tabCustoUnit[[#This Row],[Intervalo para Repouso ou Alimentação]]</f>
        <v>267.73704981301341</v>
      </c>
      <c r="BD24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5" s="22">
        <f>tabCustoUnit[[#This Row],[Suspensão Temporária do Contrato de Trabalho]]</f>
        <v>0</v>
      </c>
      <c r="BF245" s="22">
        <f>tabCustoUnit[[#This Row],[Submódulo 4.1]]+tabCustoUnit[[#This Row],[Submódulo 4.2]]+tabCustoUnit[[#This Row],[Submódulo 4.3]]</f>
        <v>300.60348780815696</v>
      </c>
      <c r="BG245" s="22">
        <f>VLOOKUP(tabCustoUnit[[#This Row],[Código do Posto]],tabParametros[],MATCH(tabCustoUnit[[#Headers],[Uniformes e EPIs]],tabParametros[#Headers],0),0)</f>
        <v>56.642978962543395</v>
      </c>
      <c r="BH245" s="22">
        <f>VLOOKUP(tabCustoUnit[[#This Row],[Código do Posto]],tabParametros[],MATCH(tabCustoUnit[[#Headers],[Materiais de Consumo]],tabParametros[#Headers],0),0)</f>
        <v>0</v>
      </c>
      <c r="BI245" s="22">
        <f>VLOOKUP(tabCustoUnit[[#This Row],[Código do Posto]],tabParametros[],MATCH(tabCustoUnit[[#Headers],[Máquinas e Equipamentos (depreciação)]],tabParametros[#Headers],0),0)</f>
        <v>0</v>
      </c>
      <c r="BJ245" s="22">
        <f>VLOOKUP(tabCustoUnit[[#This Row],[Código do Posto]],tabParametros[],MATCH(tabCustoUnit[[#Headers],[Produtos de Limpeza e Materiais de Higiene Pessoal]],tabParametros[#Headers],0),0)</f>
        <v>0</v>
      </c>
      <c r="BK245" s="22">
        <f>VLOOKUP(tabCustoUnit[[#This Row],[Código do Posto]],tabParametros[],MATCH(tabCustoUnit[[#Headers],[Outros (especificar)]],tabParametros[#Headers],0),0)</f>
        <v>0</v>
      </c>
      <c r="BL245" s="22">
        <f>SUM(tabCustoUnit[[#This Row],[Uniformes e EPIs]:[Outros (especificar)]])</f>
        <v>56.642978962543395</v>
      </c>
      <c r="BM24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5" s="22" t="e">
        <f ca="1">VLOOKUP(tabCustoUnit[[#This Row],[Código do Posto]],tabParametros[],MATCH(tabCustoUnit[[#Headers],[Custos Indiretos]],tabParametros[#Headers],0),0)</f>
        <v>#NAME?</v>
      </c>
      <c r="BO245" s="22" t="e">
        <f ca="1">VLOOKUP(tabCustoUnit[[#This Row],[Código do Posto]],tabParametros[],MATCH(tabCustoUnit[[#Headers],[Lucro]],tabParametros[#Headers],0),0)</f>
        <v>#NAME?</v>
      </c>
      <c r="BP245" s="26">
        <f>((100/((1-tabCustoUnit[[#This Row],[Resumo de Alíquotas (PIS+CONFINS+ISS)]]))-100)*VLOOKUP(tabCustoUnit[[#This Row],[Código do Posto]],tabParametros[],MATCH(tabCustoUnit[[#Headers],[COFINS]],tabParametros[#Headers],0),0))/(tabCustoUnit[[#This Row],[Resumo de Alíquotas (PIS+CONFINS+ISS)]]*100)</f>
        <v>8.6609686609686695E-2</v>
      </c>
      <c r="BQ245" s="26">
        <f>((100/((100-(tabCustoUnit[[#This Row],[Resumo de Alíquotas (PIS+CONFINS+ISS)]]*100))%)-100)*VLOOKUP(tabCustoUnit[[#This Row],[Código do Posto]],tabParametros[],MATCH(tabCustoUnit[[#Headers],[PIS]],tabParametros[#Headers],0),0))/(tabCustoUnit[[#This Row],[Resumo de Alíquotas (PIS+CONFINS+ISS)]]*100)</f>
        <v>1.880341880341882E-2</v>
      </c>
      <c r="BR245" s="28">
        <f>VLOOKUP(tabCustoUnit[[#This Row],[Código do Posto]],tabParametros[],MATCH(tabCustoUnit[[#Headers],[ISS]],tabParametros[#Headers],0),0)</f>
        <v>0.03</v>
      </c>
      <c r="BS245" s="26">
        <f>(((100/((100-(tabCustoUnit[[#This Row],[Resumo de Alíquotas (PIS+CONFINS+ISS)]]*100))%)-100)*tabCustoUnit[[#This Row],[ISS]])/tabCustoUnit[[#This Row],[Resumo de Alíquotas (PIS+CONFINS+ISS)]])/100</f>
        <v>3.4188034188034219E-2</v>
      </c>
      <c r="BT24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5" s="138">
        <f>tabCustoUnit[[#This Row],[COFINS]]+tabCustoUnit[[#This Row],[PIS]]+tabCustoUnit[[#This Row],[ISS (Conversão Alíquota s/ fatura)]]</f>
        <v>0.13960113960113973</v>
      </c>
      <c r="BV245" s="22" t="e">
        <f ca="1">(tabCustoUnit[[#This Row],[TOTAL MÓDULOS 1+2+3+4+5]]+tabCustoUnit[[#This Row],[Custos Indiretos]]+tabCustoUnit[[#This Row],[Lucro]])*tabCustoUnit[[#This Row],[PIS + COFINS + ISS (Total Conversão  Alíquota s/ Fatura)]]</f>
        <v>#NAME?</v>
      </c>
      <c r="BW245" s="22" t="e">
        <f ca="1">tabCustoUnit[[#This Row],[Custos Indiretos]]+tabCustoUnit[[#This Row],[Lucro]]+tabCustoUnit[[#This Row],[Valor dos Tributos (ISS, PIS, CONFINS)]]</f>
        <v>#NAME?</v>
      </c>
      <c r="BX245" s="22" t="e">
        <f ca="1">tabCustoUnit[[#This Row],[TOTAL MÓDULOS 1+2+3+4+5]]+tabCustoUnit[[#This Row],[MÓDULO 6 – CUSTOS INDIRETOS, TRIBUTOS E LUCRO]]</f>
        <v>#NAME?</v>
      </c>
      <c r="BY245" s="22" t="e">
        <f ca="1">tabCustoUnit[[#This Row],[CUSTO TOTAL MENSAL]]*12</f>
        <v>#NAME?</v>
      </c>
      <c r="BZ245" s="24">
        <f>VLOOKUP(tabCustoUnit[[#This Row],[Código do Posto]],tabParametros[],MATCH(tabCustoUnit[[#Headers],[ANO DA CCT]],tabParametros[#Headers],0),0)</f>
        <v>45658</v>
      </c>
      <c r="CA245" s="25" t="str">
        <f>VLOOKUP(tabCustoUnit[[#This Row],[Código do Posto]],tabParametros[],MATCH(tabCustoUnit[[#Headers],[Nº DE PEDIDO DA CCT]],tabParametros[#Headers],0),0)</f>
        <v>-</v>
      </c>
      <c r="CB245" s="25" t="str">
        <f>VLOOKUP(tabCustoUnit[[#This Row],[Código do Posto]],tabParametros[],MATCH(tabCustoUnit[[#Headers],[TERMO ADITIVO ALTERAÇÃO DA CCT]],tabParametros[#Headers],0),0)</f>
        <v>-</v>
      </c>
    </row>
    <row r="246" spans="1:80">
      <c r="A246" s="20" t="s">
        <v>1670</v>
      </c>
      <c r="B246" t="s">
        <v>1180</v>
      </c>
      <c r="C246" t="s">
        <v>324</v>
      </c>
      <c r="D246" t="s">
        <v>961</v>
      </c>
      <c r="E246" s="20" t="s">
        <v>1090</v>
      </c>
      <c r="F246" s="20" t="s">
        <v>120</v>
      </c>
      <c r="G246" s="418">
        <v>3397.1305000000002</v>
      </c>
      <c r="H246" s="418">
        <v>0</v>
      </c>
      <c r="I246" s="418">
        <v>0</v>
      </c>
      <c r="J246" s="418">
        <v>0</v>
      </c>
      <c r="K246" s="418">
        <v>0</v>
      </c>
      <c r="L246" s="418">
        <v>0</v>
      </c>
      <c r="M246" s="418">
        <v>0</v>
      </c>
      <c r="N246" s="418">
        <v>0</v>
      </c>
      <c r="O246" s="21">
        <f>SUM(tabCustoUnit[[#This Row],[Salário Base]:[Adicional de Acúmulo de função]])</f>
        <v>3397.1305000000002</v>
      </c>
      <c r="P246" s="21">
        <f>tabCustoUnit[[#This Row],[MODULO 1 - REMUNERAÇÃO ]]*SUMIFS(tabParametros[INSS],tabParametros[Código do Posto],tabCustoUnit[[#This Row],[Código do Posto]])</f>
        <v>679.42610000000013</v>
      </c>
      <c r="Q246" s="21">
        <f>tabCustoUnit[[#This Row],[MODULO 1 - REMUNERAÇÃO ]]*SUMIFS(tabParametros[SESI OU SESC],tabParametros[Código do Posto],tabCustoUnit[[#This Row],[Código do Posto]])</f>
        <v>50.956957500000001</v>
      </c>
      <c r="R246" s="21">
        <f>tabCustoUnit[[#This Row],[MODULO 1 - REMUNERAÇÃO ]]*SUMIFS(tabParametros[SENAI OU SENAC],tabParametros[Código do Posto],tabCustoUnit[[#This Row],[Código do Posto]])</f>
        <v>33.971305000000001</v>
      </c>
      <c r="S246" s="21">
        <f>tabCustoUnit[[#This Row],[MODULO 1 - REMUNERAÇÃO ]]*SUMIFS(tabParametros[INCRA],tabParametros[Código do Posto],tabCustoUnit[[#This Row],[Código do Posto]])</f>
        <v>6.7942610000000005</v>
      </c>
      <c r="T246" s="21">
        <f>tabCustoUnit[[#This Row],[MODULO 1 - REMUNERAÇÃO ]]*SUMIFS(tabParametros[Salário Educação],tabParametros[Código do Posto],tabCustoUnit[[#This Row],[Código do Posto]])</f>
        <v>84.928262500000017</v>
      </c>
      <c r="U246" s="21">
        <f>tabCustoUnit[[#This Row],[MODULO 1 - REMUNERAÇÃO ]]*SUMIFS(tabParametros[FGTS],tabParametros[Código do Posto],tabCustoUnit[[#This Row],[Código do Posto]])</f>
        <v>271.77044000000001</v>
      </c>
      <c r="V246" s="21">
        <f>tabCustoUnit[[#This Row],[MODULO 1 - REMUNERAÇÃO ]]*SUMIFS(tabParametros[RAT Ajustado],tabParametros[Código do Posto],tabCustoUnit[[#This Row],[Código do Posto]])</f>
        <v>135.88522</v>
      </c>
      <c r="W246" s="21">
        <f>tabCustoUnit[[#This Row],[MODULO 1 - REMUNERAÇÃO ]]*SUMIFS(tabParametros[SEBRAE],tabParametros[Código do Posto],tabCustoUnit[[#This Row],[Código do Posto]])</f>
        <v>20.382783000000003</v>
      </c>
      <c r="X246" s="21">
        <f>SUM(tabCustoUnit[[#This Row],[INSS]:[SEBRAE]])</f>
        <v>1284.1153290000002</v>
      </c>
      <c r="Y246" s="21">
        <f>tabCustoUnit[[#This Row],[MODULO 1 - REMUNERAÇÃO ]]*SUMIFS(tabParametros[13º salário (titular)],tabParametros[Código do Posto],tabCustoUnit[[#This Row],[Código do Posto]])</f>
        <v>283.09420833333331</v>
      </c>
      <c r="Z246" s="21">
        <f>tabCustoUnit[[#This Row],[MODULO 1 - REMUNERAÇÃO ]]*SUMIFS(tabParametros[Férias e Adicional de Férias (titular)],tabParametros[Código do Posto],tabCustoUnit[[#This Row],[Código do Posto]])</f>
        <v>377.45894444444446</v>
      </c>
      <c r="AA246" s="21">
        <f>IFERROR((tabCustoUnit[[#This Row],[Submódulo 2.1]]/tabCustoUnit[[#This Row],[MODULO 1 - REMUNERAÇÃO ]])*SUM(tabCustoUnit[[#This Row],[13º salário (titular)]:[Férias e Adicional de Férias (titular)]]),0)</f>
        <v>249.68909175000005</v>
      </c>
      <c r="AB246" s="21">
        <f>SUM(tabCustoUnit[[#This Row],[13º salário (titular)]:[Incidência do Submódulo 2.1 sobre 13º Salário, Férias e Adicional de Férias]])</f>
        <v>910.24224452777776</v>
      </c>
      <c r="AC246" s="22" t="e">
        <f ca="1">_xlfn.LET(_xlpm.VT,SUMIF(tabParametros[Código do Posto],tabCustoUnit[[#This Row],[Código do Posto]],tabParametros[Vale - Transporte])*2*20,
IF((_xlpm.VT-tabCustoUnit[[#This Row],[Salário Base]]*0.06)&gt;=0,(_xlpm.VT-tabCustoUnit[[#This Row],[Salário Base]]*0.06),0)
)</f>
        <v>#NAME?</v>
      </c>
      <c r="AD246" s="22">
        <f>IF(SUMIF(tabParametros[Código do Posto],tabCustoUnit[[#This Row],[Código do Posto]],tabParametros[Vale - Alimentação])&lt;=0,0,
SUMIF(tabParametros[Código do Posto],tabCustoUnit[[#This Row],[Código do Posto]],tabParametros[Vale - Alimentação])*20-1)</f>
        <v>582</v>
      </c>
      <c r="AE246" s="22">
        <f>SUMIF(tabParametros[Código do Posto],tabCustoUnit[[#This Row],[Código do Posto]],tabParametros[Cesta Básica])</f>
        <v>0</v>
      </c>
      <c r="AF246" s="22">
        <f>SUMIF(tabParametros[Código do Posto],tabCustoUnit[[#This Row],[Código do Posto]],tabParametros[PAF])</f>
        <v>0</v>
      </c>
      <c r="AG246" s="22">
        <f>SUMIF(tabParametros[Código do Posto],tabCustoUnit[[#This Row],[Código do Posto]],tabParametros[PQM])</f>
        <v>0</v>
      </c>
      <c r="AH246" s="22">
        <f>SUMIF(tabParametros[Código do Posto],tabCustoUnit[[#This Row],[Código do Posto]],tabParametros[Abono Único e Especial])</f>
        <v>0</v>
      </c>
      <c r="AI246" s="22">
        <f>SUMIF(tabParametros[Código do Posto],tabCustoUnit[[#This Row],[Código do Posto]],tabParametros[Seguro de Vida])</f>
        <v>3.36</v>
      </c>
      <c r="AJ246" s="22">
        <f>SUMIF(tabParametros[Código do Posto],tabCustoUnit[[#This Row],[Código do Posto]],tabParametros[Despesas de Viagem])</f>
        <v>0</v>
      </c>
      <c r="AK246" s="22" t="e">
        <f ca="1">SUM(tabCustoUnit[[#This Row],[Vale - Transporte (Descontada parcela do empregado)]:[Despesas de Viagem]])</f>
        <v>#NAME?</v>
      </c>
      <c r="AL246" s="22" t="e">
        <f ca="1">tabCustoUnit[[#This Row],[Submódulo 2.1]]+tabCustoUnit[[#This Row],[Submódulo 2.2]]+tabCustoUnit[[#This Row],[Submódulo 2.3]]</f>
        <v>#NAME?</v>
      </c>
      <c r="AM246" s="22">
        <f>SUMIF(tabParametros[Código do Posto],tabCustoUnit[[#This Row],[Código do Posto]],tabParametros[Aviso Prévio Indenizado (API) e Reflexo do Aviso Prévio Indenizado])*tabCustoUnit[[#This Row],[MODULO 1 - REMUNERAÇÃO ]]</f>
        <v>23.819887450713736</v>
      </c>
      <c r="AN246" s="22">
        <f>SUMIF(tabParametros[Código do Posto],tabCustoUnit[[#This Row],[Código do Posto]],tabParametros[Incidência do FGTS sobre API e Reflexo do API])*tabCustoUnit[[#This Row],[MODULO 1 - REMUNERAÇÃO ]]</f>
        <v>1.9055909960570991</v>
      </c>
      <c r="AO246" s="22">
        <f>SUMIF(tabParametros[Código do Posto],tabCustoUnit[[#This Row],[Código do Posto]],tabParametros[Multa Rescisória do FGTS sobre o Aviso Prévio Indenizado])*tabCustoUnit[[#This Row],[MODULO 1 - REMUNERAÇÃO ]]</f>
        <v>0.76223639842283974</v>
      </c>
      <c r="AP246" s="22">
        <f>SUMIF(tabParametros[Código do Posto],tabCustoUnit[[#This Row],[Código do Posto]],tabParametros[Aviso Prévio Trabalhado - APT])*tabCustoUnit[[#This Row],[MODULO 1 - REMUNERAÇÃO ]]</f>
        <v>11.889956750000003</v>
      </c>
      <c r="AQ246" s="22">
        <f>SUMIF(tabParametros[Código do Posto],tabCustoUnit[[#This Row],[Código do Posto]],tabParametros[Incidência dos encargos do submódulo 2.1 sobre Aviso Prévio Trabalhado])*tabCustoUnit[[#This Row],[MODULO 1 - REMUNERAÇÃO ]]</f>
        <v>4.4944036515000017</v>
      </c>
      <c r="AR246" s="22">
        <f>SUMIF(tabParametros[Código do Posto],tabCustoUnit[[#This Row],[Código do Posto]],tabParametros[Multa Rescisória do FGTS])*tabCustoUnit[[#This Row],[MODULO 1 - REMUNERAÇÃO ]]</f>
        <v>103.87670151111111</v>
      </c>
      <c r="AS246" s="22">
        <f>SUMIF(tabParametros[Código do Posto],tabCustoUnit[[#This Row],[Código do Posto]],tabParametros[Indenização Adicional (Art. 9º da Lei nº 7.238/84)])*tabCustoUnit[[#This Row],[MODULO 1 - REMUNERAÇÃO ]]</f>
        <v>2.8309420833333339</v>
      </c>
      <c r="AT246" s="22">
        <f>SUM(tabCustoUnit[[#This Row],[Aviso Prévio Indenizado (API) e Reflexo do Aviso Prévio Indenizado]:[Indenização Adicional (Art. 9º da Lei nº 7.238/84)]])</f>
        <v>149.57971884113812</v>
      </c>
      <c r="AU246" s="22">
        <f>SUMIF(tabParametros[Código do Posto],tabCustoUnit[[#This Row],[Código do Posto]],tabParametros[Ausência por Doença])*tabCustoUnit[[#This Row],[MODULO 1 - REMUNERAÇÃO ]]</f>
        <v>28.686879777777776</v>
      </c>
      <c r="AV246" s="22">
        <f>SUMIF(tabParametros[Código do Posto],tabCustoUnit[[#This Row],[Código do Posto]],tabParametros[Ausências Legais])*tabCustoUnit[[#This Row],[MODULO 1 - REMUNERAÇÃO ]]</f>
        <v>6.888625736111111</v>
      </c>
      <c r="AW246" s="22">
        <f>SUMIF(tabParametros[Código do Posto],tabCustoUnit[[#This Row],[Código do Posto]],tabParametros[Licença Paternidade])*tabCustoUnit[[#This Row],[MODULO 1 - REMUNERAÇÃO ]]</f>
        <v>0.58034312708333335</v>
      </c>
      <c r="AX246" s="22">
        <f>SUMIF(tabParametros[Código do Posto],tabCustoUnit[[#This Row],[Código do Posto]],tabParametros[Ausência por Acidente de Trabalho])*tabCustoUnit[[#This Row],[MODULO 1 - REMUNERAÇÃO ]]</f>
        <v>0.70773552083333346</v>
      </c>
      <c r="AY246" s="22">
        <f>SUMIF(tabParametros[Código do Posto],tabCustoUnit[[#This Row],[Código do Posto]],tabParametros[Férias, Adicional de Férias e 13º  com empregada em gozo de Licença Maternidade])*tabCustoUnit[[#This Row],[MODULO 1 - REMUNERAÇÃO ]]</f>
        <v>4.4036876851851856</v>
      </c>
      <c r="AZ246" s="22">
        <f>SUMIF(tabParametros[Código do Posto],tabCustoUnit[[#This Row],[Código do Posto]],tabParametros[Incidência do Submódulo 2.1 sobre Ausências Legais])*tabCustoUnit[[#This Row],[MODULO 1 - REMUNERAÇÃO ]]</f>
        <v>15.599028758162504</v>
      </c>
      <c r="BA246" s="22">
        <f>SUM(tabCustoUnit[[#This Row],[Ausência por Doença]:[Incidência do Submódulo 2.1 sobre Ausências Legais]])</f>
        <v>56.866300605153235</v>
      </c>
      <c r="BB246" s="22">
        <f>SUMIF(tabParametros[Código do Posto],tabCustoUnit[[#This Row],[Código do Posto]],tabParametros[Intervalo para Repouso ou Alimentação])</f>
        <v>0</v>
      </c>
      <c r="BC246" s="22">
        <f>tabCustoUnit[[#This Row],[Intervalo para Repouso ou Alimentação]]</f>
        <v>0</v>
      </c>
      <c r="BD24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6" s="22">
        <f>tabCustoUnit[[#This Row],[Suspensão Temporária do Contrato de Trabalho]]</f>
        <v>0</v>
      </c>
      <c r="BF246" s="22">
        <f>tabCustoUnit[[#This Row],[Submódulo 4.1]]+tabCustoUnit[[#This Row],[Submódulo 4.2]]+tabCustoUnit[[#This Row],[Submódulo 4.3]]</f>
        <v>56.866300605153235</v>
      </c>
      <c r="BG246" s="22">
        <f>VLOOKUP(tabCustoUnit[[#This Row],[Código do Posto]],tabParametros[],MATCH(tabCustoUnit[[#Headers],[Uniformes e EPIs]],tabParametros[#Headers],0),0)</f>
        <v>56.642978962543395</v>
      </c>
      <c r="BH246" s="22">
        <f>VLOOKUP(tabCustoUnit[[#This Row],[Código do Posto]],tabParametros[],MATCH(tabCustoUnit[[#Headers],[Materiais de Consumo]],tabParametros[#Headers],0),0)</f>
        <v>0</v>
      </c>
      <c r="BI246" s="22">
        <f>VLOOKUP(tabCustoUnit[[#This Row],[Código do Posto]],tabParametros[],MATCH(tabCustoUnit[[#Headers],[Máquinas e Equipamentos (depreciação)]],tabParametros[#Headers],0),0)</f>
        <v>0</v>
      </c>
      <c r="BJ246" s="22">
        <f>VLOOKUP(tabCustoUnit[[#This Row],[Código do Posto]],tabParametros[],MATCH(tabCustoUnit[[#Headers],[Produtos de Limpeza e Materiais de Higiene Pessoal]],tabParametros[#Headers],0),0)</f>
        <v>0</v>
      </c>
      <c r="BK246" s="22">
        <f>VLOOKUP(tabCustoUnit[[#This Row],[Código do Posto]],tabParametros[],MATCH(tabCustoUnit[[#Headers],[Outros (especificar)]],tabParametros[#Headers],0),0)</f>
        <v>0</v>
      </c>
      <c r="BL246" s="22">
        <f>SUM(tabCustoUnit[[#This Row],[Uniformes e EPIs]:[Outros (especificar)]])</f>
        <v>56.642978962543395</v>
      </c>
      <c r="BM24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6" s="22" t="e">
        <f ca="1">VLOOKUP(tabCustoUnit[[#This Row],[Código do Posto]],tabParametros[],MATCH(tabCustoUnit[[#Headers],[Custos Indiretos]],tabParametros[#Headers],0),0)</f>
        <v>#NAME?</v>
      </c>
      <c r="BO246" s="22" t="e">
        <f ca="1">VLOOKUP(tabCustoUnit[[#This Row],[Código do Posto]],tabParametros[],MATCH(tabCustoUnit[[#Headers],[Lucro]],tabParametros[#Headers],0),0)</f>
        <v>#NAME?</v>
      </c>
      <c r="BP246" s="26">
        <f>((100/((1-tabCustoUnit[[#This Row],[Resumo de Alíquotas (PIS+CONFINS+ISS)]]))-100)*VLOOKUP(tabCustoUnit[[#This Row],[Código do Posto]],tabParametros[],MATCH(tabCustoUnit[[#Headers],[COFINS]],tabParametros[#Headers],0),0))/(tabCustoUnit[[#This Row],[Resumo de Alíquotas (PIS+CONFINS+ISS)]]*100)</f>
        <v>8.6609686609686695E-2</v>
      </c>
      <c r="BQ246" s="26">
        <f>((100/((100-(tabCustoUnit[[#This Row],[Resumo de Alíquotas (PIS+CONFINS+ISS)]]*100))%)-100)*VLOOKUP(tabCustoUnit[[#This Row],[Código do Posto]],tabParametros[],MATCH(tabCustoUnit[[#Headers],[PIS]],tabParametros[#Headers],0),0))/(tabCustoUnit[[#This Row],[Resumo de Alíquotas (PIS+CONFINS+ISS)]]*100)</f>
        <v>1.880341880341882E-2</v>
      </c>
      <c r="BR246" s="28">
        <f>VLOOKUP(tabCustoUnit[[#This Row],[Código do Posto]],tabParametros[],MATCH(tabCustoUnit[[#Headers],[ISS]],tabParametros[#Headers],0),0)</f>
        <v>0.03</v>
      </c>
      <c r="BS246" s="26">
        <f>(((100/((100-(tabCustoUnit[[#This Row],[Resumo de Alíquotas (PIS+CONFINS+ISS)]]*100))%)-100)*tabCustoUnit[[#This Row],[ISS]])/tabCustoUnit[[#This Row],[Resumo de Alíquotas (PIS+CONFINS+ISS)]])/100</f>
        <v>3.4188034188034219E-2</v>
      </c>
      <c r="BT24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6" s="138">
        <f>tabCustoUnit[[#This Row],[COFINS]]+tabCustoUnit[[#This Row],[PIS]]+tabCustoUnit[[#This Row],[ISS (Conversão Alíquota s/ fatura)]]</f>
        <v>0.13960113960113973</v>
      </c>
      <c r="BV246" s="22" t="e">
        <f ca="1">(tabCustoUnit[[#This Row],[TOTAL MÓDULOS 1+2+3+4+5]]+tabCustoUnit[[#This Row],[Custos Indiretos]]+tabCustoUnit[[#This Row],[Lucro]])*tabCustoUnit[[#This Row],[PIS + COFINS + ISS (Total Conversão  Alíquota s/ Fatura)]]</f>
        <v>#NAME?</v>
      </c>
      <c r="BW246" s="22" t="e">
        <f ca="1">tabCustoUnit[[#This Row],[Custos Indiretos]]+tabCustoUnit[[#This Row],[Lucro]]+tabCustoUnit[[#This Row],[Valor dos Tributos (ISS, PIS, CONFINS)]]</f>
        <v>#NAME?</v>
      </c>
      <c r="BX246" s="22" t="e">
        <f ca="1">tabCustoUnit[[#This Row],[TOTAL MÓDULOS 1+2+3+4+5]]+tabCustoUnit[[#This Row],[MÓDULO 6 – CUSTOS INDIRETOS, TRIBUTOS E LUCRO]]</f>
        <v>#NAME?</v>
      </c>
      <c r="BY246" s="22" t="e">
        <f ca="1">tabCustoUnit[[#This Row],[CUSTO TOTAL MENSAL]]*12</f>
        <v>#NAME?</v>
      </c>
      <c r="BZ246" s="24">
        <f>VLOOKUP(tabCustoUnit[[#This Row],[Código do Posto]],tabParametros[],MATCH(tabCustoUnit[[#Headers],[ANO DA CCT]],tabParametros[#Headers],0),0)</f>
        <v>45658</v>
      </c>
      <c r="CA246" s="25" t="str">
        <f>VLOOKUP(tabCustoUnit[[#This Row],[Código do Posto]],tabParametros[],MATCH(tabCustoUnit[[#Headers],[Nº DE PEDIDO DA CCT]],tabParametros[#Headers],0),0)</f>
        <v>-</v>
      </c>
      <c r="CB246" s="25" t="str">
        <f>VLOOKUP(tabCustoUnit[[#This Row],[Código do Posto]],tabParametros[],MATCH(tabCustoUnit[[#Headers],[TERMO ADITIVO ALTERAÇÃO DA CCT]],tabParametros[#Headers],0),0)</f>
        <v>-</v>
      </c>
    </row>
    <row r="247" spans="1:80">
      <c r="A247" s="20" t="s">
        <v>1671</v>
      </c>
      <c r="B247" t="s">
        <v>1181</v>
      </c>
      <c r="C247" t="s">
        <v>274</v>
      </c>
      <c r="D247" t="s">
        <v>1007</v>
      </c>
      <c r="E247" s="20" t="s">
        <v>1090</v>
      </c>
      <c r="F247" s="20" t="s">
        <v>120</v>
      </c>
      <c r="G247" s="418">
        <v>4558.0709999999999</v>
      </c>
      <c r="H247" s="418">
        <v>0</v>
      </c>
      <c r="I247" s="418">
        <v>0</v>
      </c>
      <c r="J247" s="418">
        <v>0</v>
      </c>
      <c r="K247" s="418">
        <v>0</v>
      </c>
      <c r="L247" s="418">
        <v>0</v>
      </c>
      <c r="M247" s="418">
        <v>0</v>
      </c>
      <c r="N247" s="418">
        <v>0</v>
      </c>
      <c r="O247" s="21">
        <f>SUM(tabCustoUnit[[#This Row],[Salário Base]:[Adicional de Acúmulo de função]])</f>
        <v>4558.0709999999999</v>
      </c>
      <c r="P247" s="21">
        <f>tabCustoUnit[[#This Row],[MODULO 1 - REMUNERAÇÃO ]]*SUMIFS(tabParametros[INSS],tabParametros[Código do Posto],tabCustoUnit[[#This Row],[Código do Posto]])</f>
        <v>911.61419999999998</v>
      </c>
      <c r="Q247" s="21">
        <f>tabCustoUnit[[#This Row],[MODULO 1 - REMUNERAÇÃO ]]*SUMIFS(tabParametros[SESI OU SESC],tabParametros[Código do Posto],tabCustoUnit[[#This Row],[Código do Posto]])</f>
        <v>68.371065000000002</v>
      </c>
      <c r="R247" s="21">
        <f>tabCustoUnit[[#This Row],[MODULO 1 - REMUNERAÇÃO ]]*SUMIFS(tabParametros[SENAI OU SENAC],tabParametros[Código do Posto],tabCustoUnit[[#This Row],[Código do Posto]])</f>
        <v>45.580710000000003</v>
      </c>
      <c r="S247" s="21">
        <f>tabCustoUnit[[#This Row],[MODULO 1 - REMUNERAÇÃO ]]*SUMIFS(tabParametros[INCRA],tabParametros[Código do Posto],tabCustoUnit[[#This Row],[Código do Posto]])</f>
        <v>9.116142</v>
      </c>
      <c r="T247" s="21">
        <f>tabCustoUnit[[#This Row],[MODULO 1 - REMUNERAÇÃO ]]*SUMIFS(tabParametros[Salário Educação],tabParametros[Código do Posto],tabCustoUnit[[#This Row],[Código do Posto]])</f>
        <v>113.951775</v>
      </c>
      <c r="U247" s="21">
        <f>tabCustoUnit[[#This Row],[MODULO 1 - REMUNERAÇÃO ]]*SUMIFS(tabParametros[FGTS],tabParametros[Código do Posto],tabCustoUnit[[#This Row],[Código do Posto]])</f>
        <v>364.64568000000003</v>
      </c>
      <c r="V247" s="21">
        <f>tabCustoUnit[[#This Row],[MODULO 1 - REMUNERAÇÃO ]]*SUMIFS(tabParametros[RAT Ajustado],tabParametros[Código do Posto],tabCustoUnit[[#This Row],[Código do Posto]])</f>
        <v>182.32284000000001</v>
      </c>
      <c r="W247" s="21">
        <f>tabCustoUnit[[#This Row],[MODULO 1 - REMUNERAÇÃO ]]*SUMIFS(tabParametros[SEBRAE],tabParametros[Código do Posto],tabCustoUnit[[#This Row],[Código do Posto]])</f>
        <v>27.348426</v>
      </c>
      <c r="X247" s="21">
        <f>SUM(tabCustoUnit[[#This Row],[INSS]:[SEBRAE]])</f>
        <v>1722.9508380000002</v>
      </c>
      <c r="Y247" s="21">
        <f>tabCustoUnit[[#This Row],[MODULO 1 - REMUNERAÇÃO ]]*SUMIFS(tabParametros[13º salário (titular)],tabParametros[Código do Posto],tabCustoUnit[[#This Row],[Código do Posto]])</f>
        <v>379.83924999999999</v>
      </c>
      <c r="Z247" s="21">
        <f>tabCustoUnit[[#This Row],[MODULO 1 - REMUNERAÇÃO ]]*SUMIFS(tabParametros[Férias e Adicional de Férias (titular)],tabParametros[Código do Posto],tabCustoUnit[[#This Row],[Código do Posto]])</f>
        <v>506.45233333333329</v>
      </c>
      <c r="AA247" s="21">
        <f>IFERROR((tabCustoUnit[[#This Row],[Submódulo 2.1]]/tabCustoUnit[[#This Row],[MODULO 1 - REMUNERAÇÃO ]])*SUM(tabCustoUnit[[#This Row],[13º salário (titular)]:[Férias e Adicional de Férias (titular)]]),0)</f>
        <v>335.01821850000005</v>
      </c>
      <c r="AB247" s="21">
        <f>SUM(tabCustoUnit[[#This Row],[13º salário (titular)]:[Incidência do Submódulo 2.1 sobre 13º Salário, Férias e Adicional de Férias]])</f>
        <v>1221.3098018333333</v>
      </c>
      <c r="AC247" s="22" t="e">
        <f ca="1">_xlfn.LET(_xlpm.VT,SUMIF(tabParametros[Código do Posto],tabCustoUnit[[#This Row],[Código do Posto]],tabParametros[Vale - Transporte])*2*20,
IF((_xlpm.VT-tabCustoUnit[[#This Row],[Salário Base]]*0.06)&gt;=0,(_xlpm.VT-tabCustoUnit[[#This Row],[Salário Base]]*0.06),0)
)</f>
        <v>#NAME?</v>
      </c>
      <c r="AD247" s="22">
        <f>IF(SUMIF(tabParametros[Código do Posto],tabCustoUnit[[#This Row],[Código do Posto]],tabParametros[Vale - Alimentação])&lt;=0,0,
SUMIF(tabParametros[Código do Posto],tabCustoUnit[[#This Row],[Código do Posto]],tabParametros[Vale - Alimentação])*20-1)</f>
        <v>578.4</v>
      </c>
      <c r="AE247" s="22">
        <f>SUMIF(tabParametros[Código do Posto],tabCustoUnit[[#This Row],[Código do Posto]],tabParametros[Cesta Básica])</f>
        <v>0</v>
      </c>
      <c r="AF247" s="22">
        <f>SUMIF(tabParametros[Código do Posto],tabCustoUnit[[#This Row],[Código do Posto]],tabParametros[PAF])</f>
        <v>22.52</v>
      </c>
      <c r="AG247" s="22">
        <f>SUMIF(tabParametros[Código do Posto],tabCustoUnit[[#This Row],[Código do Posto]],tabParametros[PQM])</f>
        <v>0</v>
      </c>
      <c r="AH247" s="22">
        <f>SUMIF(tabParametros[Código do Posto],tabCustoUnit[[#This Row],[Código do Posto]],tabParametros[Abono Único e Especial])</f>
        <v>0</v>
      </c>
      <c r="AI247" s="22">
        <f>SUMIF(tabParametros[Código do Posto],tabCustoUnit[[#This Row],[Código do Posto]],tabParametros[Seguro de Vida])</f>
        <v>3.36</v>
      </c>
      <c r="AJ247" s="22">
        <f>SUMIF(tabParametros[Código do Posto],tabCustoUnit[[#This Row],[Código do Posto]],tabParametros[Despesas de Viagem])</f>
        <v>662.42</v>
      </c>
      <c r="AK247" s="22" t="e">
        <f ca="1">SUM(tabCustoUnit[[#This Row],[Vale - Transporte (Descontada parcela do empregado)]:[Despesas de Viagem]])</f>
        <v>#NAME?</v>
      </c>
      <c r="AL247" s="22" t="e">
        <f ca="1">tabCustoUnit[[#This Row],[Submódulo 2.1]]+tabCustoUnit[[#This Row],[Submódulo 2.2]]+tabCustoUnit[[#This Row],[Submódulo 2.3]]</f>
        <v>#NAME?</v>
      </c>
      <c r="AM247" s="22">
        <f>SUMIF(tabParametros[Código do Posto],tabCustoUnit[[#This Row],[Código do Posto]],tabParametros[Aviso Prévio Indenizado (API) e Reflexo do Aviso Prévio Indenizado])*tabCustoUnit[[#This Row],[MODULO 1 - REMUNERAÇÃO ]]</f>
        <v>31.960131708912037</v>
      </c>
      <c r="AN247" s="22">
        <f>SUMIF(tabParametros[Código do Posto],tabCustoUnit[[#This Row],[Código do Posto]],tabParametros[Incidência do FGTS sobre API e Reflexo do API])*tabCustoUnit[[#This Row],[MODULO 1 - REMUNERAÇÃO ]]</f>
        <v>2.556810536712963</v>
      </c>
      <c r="AO247" s="22">
        <f>SUMIF(tabParametros[Código do Posto],tabCustoUnit[[#This Row],[Código do Posto]],tabParametros[Multa Rescisória do FGTS sobre o Aviso Prévio Indenizado])*tabCustoUnit[[#This Row],[MODULO 1 - REMUNERAÇÃO ]]</f>
        <v>1.0227242146851854</v>
      </c>
      <c r="AP247" s="22">
        <f>SUMIF(tabParametros[Código do Posto],tabCustoUnit[[#This Row],[Código do Posto]],tabParametros[Aviso Prévio Trabalhado - APT])*tabCustoUnit[[#This Row],[MODULO 1 - REMUNERAÇÃO ]]</f>
        <v>15.953248500000003</v>
      </c>
      <c r="AQ247" s="22">
        <f>SUMIF(tabParametros[Código do Posto],tabCustoUnit[[#This Row],[Código do Posto]],tabParametros[Incidência dos encargos do submódulo 2.1 sobre Aviso Prévio Trabalhado])*tabCustoUnit[[#This Row],[MODULO 1 - REMUNERAÇÃO ]]</f>
        <v>6.0303279330000015</v>
      </c>
      <c r="AR247" s="22">
        <f>SUMIF(tabParametros[Código do Posto],tabCustoUnit[[#This Row],[Código do Posto]],tabParametros[Multa Rescisória do FGTS])*tabCustoUnit[[#This Row],[MODULO 1 - REMUNERAÇÃO ]]</f>
        <v>139.3756821333333</v>
      </c>
      <c r="AS247" s="22">
        <f>SUMIF(tabParametros[Código do Posto],tabCustoUnit[[#This Row],[Código do Posto]],tabParametros[Indenização Adicional (Art. 9º da Lei nº 7.238/84)])*tabCustoUnit[[#This Row],[MODULO 1 - REMUNERAÇÃO ]]</f>
        <v>3.7983925000000003</v>
      </c>
      <c r="AT247" s="22">
        <f>SUM(tabCustoUnit[[#This Row],[Aviso Prévio Indenizado (API) e Reflexo do Aviso Prévio Indenizado]:[Indenização Adicional (Art. 9º da Lei nº 7.238/84)]])</f>
        <v>200.6973175266435</v>
      </c>
      <c r="AU247" s="22">
        <f>SUMIF(tabParametros[Código do Posto],tabCustoUnit[[#This Row],[Código do Posto]],tabParametros[Ausência por Doença])*tabCustoUnit[[#This Row],[MODULO 1 - REMUNERAÇÃO ]]</f>
        <v>38.490377333333328</v>
      </c>
      <c r="AV247" s="22">
        <f>SUMIF(tabParametros[Código do Posto],tabCustoUnit[[#This Row],[Código do Posto]],tabParametros[Ausências Legais])*tabCustoUnit[[#This Row],[MODULO 1 - REMUNERAÇÃO ]]</f>
        <v>9.2427550833333321</v>
      </c>
      <c r="AW247" s="22">
        <f>SUMIF(tabParametros[Código do Posto],tabCustoUnit[[#This Row],[Código do Posto]],tabParametros[Licença Paternidade])*tabCustoUnit[[#This Row],[MODULO 1 - REMUNERAÇÃO ]]</f>
        <v>0.77867046249999994</v>
      </c>
      <c r="AX247" s="22">
        <f>SUMIF(tabParametros[Código do Posto],tabCustoUnit[[#This Row],[Código do Posto]],tabParametros[Ausência por Acidente de Trabalho])*tabCustoUnit[[#This Row],[MODULO 1 - REMUNERAÇÃO ]]</f>
        <v>0.94959812500000007</v>
      </c>
      <c r="AY247" s="22">
        <f>SUMIF(tabParametros[Código do Posto],tabCustoUnit[[#This Row],[Código do Posto]],tabParametros[Férias, Adicional de Férias e 13º  com empregada em gozo de Licença Maternidade])*tabCustoUnit[[#This Row],[MODULO 1 - REMUNERAÇÃO ]]</f>
        <v>5.9086105555555557</v>
      </c>
      <c r="AZ247" s="22">
        <f>SUMIF(tabParametros[Código do Posto],tabCustoUnit[[#This Row],[Código do Posto]],tabParametros[Incidência do Submódulo 2.1 sobre Ausências Legais])*tabCustoUnit[[#This Row],[MODULO 1 - REMUNERAÇÃO ]]</f>
        <v>20.929864369575004</v>
      </c>
      <c r="BA247" s="22">
        <f>SUM(tabCustoUnit[[#This Row],[Ausência por Doença]:[Incidência do Submódulo 2.1 sobre Ausências Legais]])</f>
        <v>76.29987592929723</v>
      </c>
      <c r="BB247" s="22">
        <f>SUMIF(tabParametros[Código do Posto],tabCustoUnit[[#This Row],[Código do Posto]],tabParametros[Intervalo para Repouso ou Alimentação])</f>
        <v>0</v>
      </c>
      <c r="BC247" s="22">
        <f>tabCustoUnit[[#This Row],[Intervalo para Repouso ou Alimentação]]</f>
        <v>0</v>
      </c>
      <c r="BD24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7" s="22">
        <f>tabCustoUnit[[#This Row],[Suspensão Temporária do Contrato de Trabalho]]</f>
        <v>0</v>
      </c>
      <c r="BF247" s="22">
        <f>tabCustoUnit[[#This Row],[Submódulo 4.1]]+tabCustoUnit[[#This Row],[Submódulo 4.2]]+tabCustoUnit[[#This Row],[Submódulo 4.3]]</f>
        <v>76.29987592929723</v>
      </c>
      <c r="BG247" s="22">
        <f>VLOOKUP(tabCustoUnit[[#This Row],[Código do Posto]],tabParametros[],MATCH(tabCustoUnit[[#Headers],[Uniformes e EPIs]],tabParametros[#Headers],0),0)</f>
        <v>92.100763771570698</v>
      </c>
      <c r="BH247" s="22">
        <f>VLOOKUP(tabCustoUnit[[#This Row],[Código do Posto]],tabParametros[],MATCH(tabCustoUnit[[#Headers],[Materiais de Consumo]],tabParametros[#Headers],0),0)</f>
        <v>0</v>
      </c>
      <c r="BI247" s="22">
        <f>VLOOKUP(tabCustoUnit[[#This Row],[Código do Posto]],tabParametros[],MATCH(tabCustoUnit[[#Headers],[Máquinas e Equipamentos (depreciação)]],tabParametros[#Headers],0),0)</f>
        <v>0</v>
      </c>
      <c r="BJ247" s="22">
        <f>VLOOKUP(tabCustoUnit[[#This Row],[Código do Posto]],tabParametros[],MATCH(tabCustoUnit[[#Headers],[Produtos de Limpeza e Materiais de Higiene Pessoal]],tabParametros[#Headers],0),0)</f>
        <v>0</v>
      </c>
      <c r="BK247" s="22">
        <f>VLOOKUP(tabCustoUnit[[#This Row],[Código do Posto]],tabParametros[],MATCH(tabCustoUnit[[#Headers],[Outros (especificar)]],tabParametros[#Headers],0),0)</f>
        <v>0</v>
      </c>
      <c r="BL247" s="22">
        <f>SUM(tabCustoUnit[[#This Row],[Uniformes e EPIs]:[Outros (especificar)]])</f>
        <v>92.100763771570698</v>
      </c>
      <c r="BM24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7" s="22" t="e">
        <f ca="1">VLOOKUP(tabCustoUnit[[#This Row],[Código do Posto]],tabParametros[],MATCH(tabCustoUnit[[#Headers],[Custos Indiretos]],tabParametros[#Headers],0),0)</f>
        <v>#NAME?</v>
      </c>
      <c r="BO247" s="22" t="e">
        <f ca="1">VLOOKUP(tabCustoUnit[[#This Row],[Código do Posto]],tabParametros[],MATCH(tabCustoUnit[[#Headers],[Lucro]],tabParametros[#Headers],0),0)</f>
        <v>#NAME?</v>
      </c>
      <c r="BP247" s="26">
        <f>((100/((1-tabCustoUnit[[#This Row],[Resumo de Alíquotas (PIS+CONFINS+ISS)]]))-100)*VLOOKUP(tabCustoUnit[[#This Row],[Código do Posto]],tabParametros[],MATCH(tabCustoUnit[[#Headers],[COFINS]],tabParametros[#Headers],0),0))/(tabCustoUnit[[#This Row],[Resumo de Alíquotas (PIS+CONFINS+ISS)]]*100)</f>
        <v>8.5633802816901458E-2</v>
      </c>
      <c r="BQ247" s="26">
        <f>((100/((100-(tabCustoUnit[[#This Row],[Resumo de Alíquotas (PIS+CONFINS+ISS)]]*100))%)-100)*VLOOKUP(tabCustoUnit[[#This Row],[Código do Posto]],tabParametros[],MATCH(tabCustoUnit[[#Headers],[PIS]],tabParametros[#Headers],0),0))/(tabCustoUnit[[#This Row],[Resumo de Alíquotas (PIS+CONFINS+ISS)]]*100)</f>
        <v>1.8591549295774657E-2</v>
      </c>
      <c r="BR247" s="28">
        <f>VLOOKUP(tabCustoUnit[[#This Row],[Código do Posto]],tabParametros[],MATCH(tabCustoUnit[[#Headers],[ISS]],tabParametros[#Headers],0),0)</f>
        <v>0.02</v>
      </c>
      <c r="BS247" s="26">
        <f>(((100/((100-(tabCustoUnit[[#This Row],[Resumo de Alíquotas (PIS+CONFINS+ISS)]]*100))%)-100)*tabCustoUnit[[#This Row],[ISS]])/tabCustoUnit[[#This Row],[Resumo de Alíquotas (PIS+CONFINS+ISS)]])/100</f>
        <v>2.2535211267605645E-2</v>
      </c>
      <c r="BT24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47" s="138">
        <f>tabCustoUnit[[#This Row],[COFINS]]+tabCustoUnit[[#This Row],[PIS]]+tabCustoUnit[[#This Row],[ISS (Conversão Alíquota s/ fatura)]]</f>
        <v>0.12676056338028174</v>
      </c>
      <c r="BV247" s="22" t="e">
        <f ca="1">(tabCustoUnit[[#This Row],[TOTAL MÓDULOS 1+2+3+4+5]]+tabCustoUnit[[#This Row],[Custos Indiretos]]+tabCustoUnit[[#This Row],[Lucro]])*tabCustoUnit[[#This Row],[PIS + COFINS + ISS (Total Conversão  Alíquota s/ Fatura)]]</f>
        <v>#NAME?</v>
      </c>
      <c r="BW247" s="22" t="e">
        <f ca="1">tabCustoUnit[[#This Row],[Custos Indiretos]]+tabCustoUnit[[#This Row],[Lucro]]+tabCustoUnit[[#This Row],[Valor dos Tributos (ISS, PIS, CONFINS)]]</f>
        <v>#NAME?</v>
      </c>
      <c r="BX247" s="22" t="e">
        <f ca="1">tabCustoUnit[[#This Row],[TOTAL MÓDULOS 1+2+3+4+5]]+tabCustoUnit[[#This Row],[MÓDULO 6 – CUSTOS INDIRETOS, TRIBUTOS E LUCRO]]</f>
        <v>#NAME?</v>
      </c>
      <c r="BY247" s="22" t="e">
        <f ca="1">tabCustoUnit[[#This Row],[CUSTO TOTAL MENSAL]]*12</f>
        <v>#NAME?</v>
      </c>
      <c r="BZ247" s="24">
        <f>VLOOKUP(tabCustoUnit[[#This Row],[Código do Posto]],tabParametros[],MATCH(tabCustoUnit[[#Headers],[ANO DA CCT]],tabParametros[#Headers],0),0)</f>
        <v>45658</v>
      </c>
      <c r="CA247" s="25" t="str">
        <f>VLOOKUP(tabCustoUnit[[#This Row],[Código do Posto]],tabParametros[],MATCH(tabCustoUnit[[#Headers],[Nº DE PEDIDO DA CCT]],tabParametros[#Headers],0),0)</f>
        <v>-</v>
      </c>
      <c r="CB247" s="25" t="str">
        <f>VLOOKUP(tabCustoUnit[[#This Row],[Código do Posto]],tabParametros[],MATCH(tabCustoUnit[[#Headers],[TERMO ADITIVO ALTERAÇÃO DA CCT]],tabParametros[#Headers],0),0)</f>
        <v>-</v>
      </c>
    </row>
    <row r="248" spans="1:80">
      <c r="A248" s="20" t="s">
        <v>1672</v>
      </c>
      <c r="B248" t="s">
        <v>1181</v>
      </c>
      <c r="C248" t="s">
        <v>324</v>
      </c>
      <c r="D248" t="s">
        <v>968</v>
      </c>
      <c r="E248" s="20" t="s">
        <v>1090</v>
      </c>
      <c r="F248" s="20" t="s">
        <v>120</v>
      </c>
      <c r="G248" s="418">
        <v>3397.1305000000002</v>
      </c>
      <c r="H248" s="418">
        <v>0</v>
      </c>
      <c r="I248" s="418">
        <v>0</v>
      </c>
      <c r="J248" s="418">
        <v>0</v>
      </c>
      <c r="K248" s="418">
        <v>0</v>
      </c>
      <c r="L248" s="418">
        <v>0</v>
      </c>
      <c r="M248" s="418">
        <v>0</v>
      </c>
      <c r="N248" s="418">
        <v>0</v>
      </c>
      <c r="O248" s="21">
        <f>SUM(tabCustoUnit[[#This Row],[Salário Base]:[Adicional de Acúmulo de função]])</f>
        <v>3397.1305000000002</v>
      </c>
      <c r="P248" s="21">
        <f>tabCustoUnit[[#This Row],[MODULO 1 - REMUNERAÇÃO ]]*SUMIFS(tabParametros[INSS],tabParametros[Código do Posto],tabCustoUnit[[#This Row],[Código do Posto]])</f>
        <v>679.42610000000013</v>
      </c>
      <c r="Q248" s="21">
        <f>tabCustoUnit[[#This Row],[MODULO 1 - REMUNERAÇÃO ]]*SUMIFS(tabParametros[SESI OU SESC],tabParametros[Código do Posto],tabCustoUnit[[#This Row],[Código do Posto]])</f>
        <v>50.956957500000001</v>
      </c>
      <c r="R248" s="21">
        <f>tabCustoUnit[[#This Row],[MODULO 1 - REMUNERAÇÃO ]]*SUMIFS(tabParametros[SENAI OU SENAC],tabParametros[Código do Posto],tabCustoUnit[[#This Row],[Código do Posto]])</f>
        <v>33.971305000000001</v>
      </c>
      <c r="S248" s="21">
        <f>tabCustoUnit[[#This Row],[MODULO 1 - REMUNERAÇÃO ]]*SUMIFS(tabParametros[INCRA],tabParametros[Código do Posto],tabCustoUnit[[#This Row],[Código do Posto]])</f>
        <v>6.7942610000000005</v>
      </c>
      <c r="T248" s="21">
        <f>tabCustoUnit[[#This Row],[MODULO 1 - REMUNERAÇÃO ]]*SUMIFS(tabParametros[Salário Educação],tabParametros[Código do Posto],tabCustoUnit[[#This Row],[Código do Posto]])</f>
        <v>84.928262500000017</v>
      </c>
      <c r="U248" s="21">
        <f>tabCustoUnit[[#This Row],[MODULO 1 - REMUNERAÇÃO ]]*SUMIFS(tabParametros[FGTS],tabParametros[Código do Posto],tabCustoUnit[[#This Row],[Código do Posto]])</f>
        <v>271.77044000000001</v>
      </c>
      <c r="V248" s="21">
        <f>tabCustoUnit[[#This Row],[MODULO 1 - REMUNERAÇÃO ]]*SUMIFS(tabParametros[RAT Ajustado],tabParametros[Código do Posto],tabCustoUnit[[#This Row],[Código do Posto]])</f>
        <v>135.88522</v>
      </c>
      <c r="W248" s="21">
        <f>tabCustoUnit[[#This Row],[MODULO 1 - REMUNERAÇÃO ]]*SUMIFS(tabParametros[SEBRAE],tabParametros[Código do Posto],tabCustoUnit[[#This Row],[Código do Posto]])</f>
        <v>20.382783000000003</v>
      </c>
      <c r="X248" s="21">
        <f>SUM(tabCustoUnit[[#This Row],[INSS]:[SEBRAE]])</f>
        <v>1284.1153290000002</v>
      </c>
      <c r="Y248" s="21">
        <f>tabCustoUnit[[#This Row],[MODULO 1 - REMUNERAÇÃO ]]*SUMIFS(tabParametros[13º salário (titular)],tabParametros[Código do Posto],tabCustoUnit[[#This Row],[Código do Posto]])</f>
        <v>283.09420833333331</v>
      </c>
      <c r="Z248" s="21">
        <f>tabCustoUnit[[#This Row],[MODULO 1 - REMUNERAÇÃO ]]*SUMIFS(tabParametros[Férias e Adicional de Férias (titular)],tabParametros[Código do Posto],tabCustoUnit[[#This Row],[Código do Posto]])</f>
        <v>377.45894444444446</v>
      </c>
      <c r="AA248" s="21">
        <f>IFERROR((tabCustoUnit[[#This Row],[Submódulo 2.1]]/tabCustoUnit[[#This Row],[MODULO 1 - REMUNERAÇÃO ]])*SUM(tabCustoUnit[[#This Row],[13º salário (titular)]:[Férias e Adicional de Férias (titular)]]),0)</f>
        <v>249.68909175000005</v>
      </c>
      <c r="AB248" s="21">
        <f>SUM(tabCustoUnit[[#This Row],[13º salário (titular)]:[Incidência do Submódulo 2.1 sobre 13º Salário, Férias e Adicional de Férias]])</f>
        <v>910.24224452777776</v>
      </c>
      <c r="AC248" s="22" t="e">
        <f ca="1">_xlfn.LET(_xlpm.VT,SUMIF(tabParametros[Código do Posto],tabCustoUnit[[#This Row],[Código do Posto]],tabParametros[Vale - Transporte])*2*20,
IF((_xlpm.VT-tabCustoUnit[[#This Row],[Salário Base]]*0.06)&gt;=0,(_xlpm.VT-tabCustoUnit[[#This Row],[Salário Base]]*0.06),0)
)</f>
        <v>#NAME?</v>
      </c>
      <c r="AD248" s="22">
        <f>IF(SUMIF(tabParametros[Código do Posto],tabCustoUnit[[#This Row],[Código do Posto]],tabParametros[Vale - Alimentação])&lt;=0,0,
SUMIF(tabParametros[Código do Posto],tabCustoUnit[[#This Row],[Código do Posto]],tabParametros[Vale - Alimentação])*20-1)</f>
        <v>582</v>
      </c>
      <c r="AE248" s="22">
        <f>SUMIF(tabParametros[Código do Posto],tabCustoUnit[[#This Row],[Código do Posto]],tabParametros[Cesta Básica])</f>
        <v>0</v>
      </c>
      <c r="AF248" s="22">
        <f>SUMIF(tabParametros[Código do Posto],tabCustoUnit[[#This Row],[Código do Posto]],tabParametros[PAF])</f>
        <v>51.86</v>
      </c>
      <c r="AG248" s="22">
        <f>SUMIF(tabParametros[Código do Posto],tabCustoUnit[[#This Row],[Código do Posto]],tabParametros[PQM])</f>
        <v>0</v>
      </c>
      <c r="AH248" s="22">
        <f>SUMIF(tabParametros[Código do Posto],tabCustoUnit[[#This Row],[Código do Posto]],tabParametros[Abono Único e Especial])</f>
        <v>0</v>
      </c>
      <c r="AI248" s="22">
        <f>SUMIF(tabParametros[Código do Posto],tabCustoUnit[[#This Row],[Código do Posto]],tabParametros[Seguro de Vida])</f>
        <v>3.36</v>
      </c>
      <c r="AJ248" s="22">
        <f>SUMIF(tabParametros[Código do Posto],tabCustoUnit[[#This Row],[Código do Posto]],tabParametros[Despesas de Viagem])</f>
        <v>0</v>
      </c>
      <c r="AK248" s="22" t="e">
        <f ca="1">SUM(tabCustoUnit[[#This Row],[Vale - Transporte (Descontada parcela do empregado)]:[Despesas de Viagem]])</f>
        <v>#NAME?</v>
      </c>
      <c r="AL248" s="22" t="e">
        <f ca="1">tabCustoUnit[[#This Row],[Submódulo 2.1]]+tabCustoUnit[[#This Row],[Submódulo 2.2]]+tabCustoUnit[[#This Row],[Submódulo 2.3]]</f>
        <v>#NAME?</v>
      </c>
      <c r="AM248" s="22">
        <f>SUMIF(tabParametros[Código do Posto],tabCustoUnit[[#This Row],[Código do Posto]],tabParametros[Aviso Prévio Indenizado (API) e Reflexo do Aviso Prévio Indenizado])*tabCustoUnit[[#This Row],[MODULO 1 - REMUNERAÇÃO ]]</f>
        <v>23.819887450713736</v>
      </c>
      <c r="AN248" s="22">
        <f>SUMIF(tabParametros[Código do Posto],tabCustoUnit[[#This Row],[Código do Posto]],tabParametros[Incidência do FGTS sobre API e Reflexo do API])*tabCustoUnit[[#This Row],[MODULO 1 - REMUNERAÇÃO ]]</f>
        <v>1.9055909960570991</v>
      </c>
      <c r="AO248" s="22">
        <f>SUMIF(tabParametros[Código do Posto],tabCustoUnit[[#This Row],[Código do Posto]],tabParametros[Multa Rescisória do FGTS sobre o Aviso Prévio Indenizado])*tabCustoUnit[[#This Row],[MODULO 1 - REMUNERAÇÃO ]]</f>
        <v>0.76223639842283974</v>
      </c>
      <c r="AP248" s="22">
        <f>SUMIF(tabParametros[Código do Posto],tabCustoUnit[[#This Row],[Código do Posto]],tabParametros[Aviso Prévio Trabalhado - APT])*tabCustoUnit[[#This Row],[MODULO 1 - REMUNERAÇÃO ]]</f>
        <v>11.889956750000003</v>
      </c>
      <c r="AQ248" s="22">
        <f>SUMIF(tabParametros[Código do Posto],tabCustoUnit[[#This Row],[Código do Posto]],tabParametros[Incidência dos encargos do submódulo 2.1 sobre Aviso Prévio Trabalhado])*tabCustoUnit[[#This Row],[MODULO 1 - REMUNERAÇÃO ]]</f>
        <v>4.4944036515000017</v>
      </c>
      <c r="AR248" s="22">
        <f>SUMIF(tabParametros[Código do Posto],tabCustoUnit[[#This Row],[Código do Posto]],tabParametros[Multa Rescisória do FGTS])*tabCustoUnit[[#This Row],[MODULO 1 - REMUNERAÇÃO ]]</f>
        <v>103.87670151111111</v>
      </c>
      <c r="AS248" s="22">
        <f>SUMIF(tabParametros[Código do Posto],tabCustoUnit[[#This Row],[Código do Posto]],tabParametros[Indenização Adicional (Art. 9º da Lei nº 7.238/84)])*tabCustoUnit[[#This Row],[MODULO 1 - REMUNERAÇÃO ]]</f>
        <v>2.8309420833333339</v>
      </c>
      <c r="AT248" s="22">
        <f>SUM(tabCustoUnit[[#This Row],[Aviso Prévio Indenizado (API) e Reflexo do Aviso Prévio Indenizado]:[Indenização Adicional (Art. 9º da Lei nº 7.238/84)]])</f>
        <v>149.57971884113812</v>
      </c>
      <c r="AU248" s="22">
        <f>SUMIF(tabParametros[Código do Posto],tabCustoUnit[[#This Row],[Código do Posto]],tabParametros[Ausência por Doença])*tabCustoUnit[[#This Row],[MODULO 1 - REMUNERAÇÃO ]]</f>
        <v>28.686879777777776</v>
      </c>
      <c r="AV248" s="22">
        <f>SUMIF(tabParametros[Código do Posto],tabCustoUnit[[#This Row],[Código do Posto]],tabParametros[Ausências Legais])*tabCustoUnit[[#This Row],[MODULO 1 - REMUNERAÇÃO ]]</f>
        <v>6.888625736111111</v>
      </c>
      <c r="AW248" s="22">
        <f>SUMIF(tabParametros[Código do Posto],tabCustoUnit[[#This Row],[Código do Posto]],tabParametros[Licença Paternidade])*tabCustoUnit[[#This Row],[MODULO 1 - REMUNERAÇÃO ]]</f>
        <v>0.58034312708333335</v>
      </c>
      <c r="AX248" s="22">
        <f>SUMIF(tabParametros[Código do Posto],tabCustoUnit[[#This Row],[Código do Posto]],tabParametros[Ausência por Acidente de Trabalho])*tabCustoUnit[[#This Row],[MODULO 1 - REMUNERAÇÃO ]]</f>
        <v>0.70773552083333346</v>
      </c>
      <c r="AY248" s="22">
        <f>SUMIF(tabParametros[Código do Posto],tabCustoUnit[[#This Row],[Código do Posto]],tabParametros[Férias, Adicional de Férias e 13º  com empregada em gozo de Licença Maternidade])*tabCustoUnit[[#This Row],[MODULO 1 - REMUNERAÇÃO ]]</f>
        <v>4.4036876851851856</v>
      </c>
      <c r="AZ248" s="22">
        <f>SUMIF(tabParametros[Código do Posto],tabCustoUnit[[#This Row],[Código do Posto]],tabParametros[Incidência do Submódulo 2.1 sobre Ausências Legais])*tabCustoUnit[[#This Row],[MODULO 1 - REMUNERAÇÃO ]]</f>
        <v>15.599028758162504</v>
      </c>
      <c r="BA248" s="22">
        <f>SUM(tabCustoUnit[[#This Row],[Ausência por Doença]:[Incidência do Submódulo 2.1 sobre Ausências Legais]])</f>
        <v>56.866300605153235</v>
      </c>
      <c r="BB248" s="22">
        <f>SUMIF(tabParametros[Código do Posto],tabCustoUnit[[#This Row],[Código do Posto]],tabParametros[Intervalo para Repouso ou Alimentação])</f>
        <v>0</v>
      </c>
      <c r="BC248" s="22">
        <f>tabCustoUnit[[#This Row],[Intervalo para Repouso ou Alimentação]]</f>
        <v>0</v>
      </c>
      <c r="BD24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8" s="22">
        <f>tabCustoUnit[[#This Row],[Suspensão Temporária do Contrato de Trabalho]]</f>
        <v>0</v>
      </c>
      <c r="BF248" s="22">
        <f>tabCustoUnit[[#This Row],[Submódulo 4.1]]+tabCustoUnit[[#This Row],[Submódulo 4.2]]+tabCustoUnit[[#This Row],[Submódulo 4.3]]</f>
        <v>56.866300605153235</v>
      </c>
      <c r="BG248" s="22">
        <f>VLOOKUP(tabCustoUnit[[#This Row],[Código do Posto]],tabParametros[],MATCH(tabCustoUnit[[#Headers],[Uniformes e EPIs]],tabParametros[#Headers],0),0)</f>
        <v>56.642978962543395</v>
      </c>
      <c r="BH248" s="22">
        <f>VLOOKUP(tabCustoUnit[[#This Row],[Código do Posto]],tabParametros[],MATCH(tabCustoUnit[[#Headers],[Materiais de Consumo]],tabParametros[#Headers],0),0)</f>
        <v>0</v>
      </c>
      <c r="BI248" s="22">
        <f>VLOOKUP(tabCustoUnit[[#This Row],[Código do Posto]],tabParametros[],MATCH(tabCustoUnit[[#Headers],[Máquinas e Equipamentos (depreciação)]],tabParametros[#Headers],0),0)</f>
        <v>0</v>
      </c>
      <c r="BJ248" s="22">
        <f>VLOOKUP(tabCustoUnit[[#This Row],[Código do Posto]],tabParametros[],MATCH(tabCustoUnit[[#Headers],[Produtos de Limpeza e Materiais de Higiene Pessoal]],tabParametros[#Headers],0),0)</f>
        <v>0</v>
      </c>
      <c r="BK248" s="22">
        <f>VLOOKUP(tabCustoUnit[[#This Row],[Código do Posto]],tabParametros[],MATCH(tabCustoUnit[[#Headers],[Outros (especificar)]],tabParametros[#Headers],0),0)</f>
        <v>0</v>
      </c>
      <c r="BL248" s="22">
        <f>SUM(tabCustoUnit[[#This Row],[Uniformes e EPIs]:[Outros (especificar)]])</f>
        <v>56.642978962543395</v>
      </c>
      <c r="BM24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8" s="22" t="e">
        <f ca="1">VLOOKUP(tabCustoUnit[[#This Row],[Código do Posto]],tabParametros[],MATCH(tabCustoUnit[[#Headers],[Custos Indiretos]],tabParametros[#Headers],0),0)</f>
        <v>#NAME?</v>
      </c>
      <c r="BO248" s="22" t="e">
        <f ca="1">VLOOKUP(tabCustoUnit[[#This Row],[Código do Posto]],tabParametros[],MATCH(tabCustoUnit[[#Headers],[Lucro]],tabParametros[#Headers],0),0)</f>
        <v>#NAME?</v>
      </c>
      <c r="BP248" s="26">
        <f>((100/((1-tabCustoUnit[[#This Row],[Resumo de Alíquotas (PIS+CONFINS+ISS)]]))-100)*VLOOKUP(tabCustoUnit[[#This Row],[Código do Posto]],tabParametros[],MATCH(tabCustoUnit[[#Headers],[COFINS]],tabParametros[#Headers],0),0))/(tabCustoUnit[[#This Row],[Resumo de Alíquotas (PIS+CONFINS+ISS)]]*100)</f>
        <v>8.5633802816901458E-2</v>
      </c>
      <c r="BQ248" s="26">
        <f>((100/((100-(tabCustoUnit[[#This Row],[Resumo de Alíquotas (PIS+CONFINS+ISS)]]*100))%)-100)*VLOOKUP(tabCustoUnit[[#This Row],[Código do Posto]],tabParametros[],MATCH(tabCustoUnit[[#Headers],[PIS]],tabParametros[#Headers],0),0))/(tabCustoUnit[[#This Row],[Resumo de Alíquotas (PIS+CONFINS+ISS)]]*100)</f>
        <v>1.8591549295774657E-2</v>
      </c>
      <c r="BR248" s="28">
        <f>VLOOKUP(tabCustoUnit[[#This Row],[Código do Posto]],tabParametros[],MATCH(tabCustoUnit[[#Headers],[ISS]],tabParametros[#Headers],0),0)</f>
        <v>0.02</v>
      </c>
      <c r="BS248" s="26">
        <f>(((100/((100-(tabCustoUnit[[#This Row],[Resumo de Alíquotas (PIS+CONFINS+ISS)]]*100))%)-100)*tabCustoUnit[[#This Row],[ISS]])/tabCustoUnit[[#This Row],[Resumo de Alíquotas (PIS+CONFINS+ISS)]])/100</f>
        <v>2.2535211267605645E-2</v>
      </c>
      <c r="BT24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48" s="138">
        <f>tabCustoUnit[[#This Row],[COFINS]]+tabCustoUnit[[#This Row],[PIS]]+tabCustoUnit[[#This Row],[ISS (Conversão Alíquota s/ fatura)]]</f>
        <v>0.12676056338028174</v>
      </c>
      <c r="BV248" s="22" t="e">
        <f ca="1">(tabCustoUnit[[#This Row],[TOTAL MÓDULOS 1+2+3+4+5]]+tabCustoUnit[[#This Row],[Custos Indiretos]]+tabCustoUnit[[#This Row],[Lucro]])*tabCustoUnit[[#This Row],[PIS + COFINS + ISS (Total Conversão  Alíquota s/ Fatura)]]</f>
        <v>#NAME?</v>
      </c>
      <c r="BW248" s="22" t="e">
        <f ca="1">tabCustoUnit[[#This Row],[Custos Indiretos]]+tabCustoUnit[[#This Row],[Lucro]]+tabCustoUnit[[#This Row],[Valor dos Tributos (ISS, PIS, CONFINS)]]</f>
        <v>#NAME?</v>
      </c>
      <c r="BX248" s="22" t="e">
        <f ca="1">tabCustoUnit[[#This Row],[TOTAL MÓDULOS 1+2+3+4+5]]+tabCustoUnit[[#This Row],[MÓDULO 6 – CUSTOS INDIRETOS, TRIBUTOS E LUCRO]]</f>
        <v>#NAME?</v>
      </c>
      <c r="BY248" s="22" t="e">
        <f ca="1">tabCustoUnit[[#This Row],[CUSTO TOTAL MENSAL]]*12</f>
        <v>#NAME?</v>
      </c>
      <c r="BZ248" s="24">
        <f>VLOOKUP(tabCustoUnit[[#This Row],[Código do Posto]],tabParametros[],MATCH(tabCustoUnit[[#Headers],[ANO DA CCT]],tabParametros[#Headers],0),0)</f>
        <v>45658</v>
      </c>
      <c r="CA248" s="25" t="str">
        <f>VLOOKUP(tabCustoUnit[[#This Row],[Código do Posto]],tabParametros[],MATCH(tabCustoUnit[[#Headers],[Nº DE PEDIDO DA CCT]],tabParametros[#Headers],0),0)</f>
        <v>-</v>
      </c>
      <c r="CB248" s="25" t="str">
        <f>VLOOKUP(tabCustoUnit[[#This Row],[Código do Posto]],tabParametros[],MATCH(tabCustoUnit[[#Headers],[TERMO ADITIVO ALTERAÇÃO DA CCT]],tabParametros[#Headers],0),0)</f>
        <v>-</v>
      </c>
    </row>
    <row r="249" spans="1:80">
      <c r="A249" s="20" t="s">
        <v>1673</v>
      </c>
      <c r="B249" t="s">
        <v>1182</v>
      </c>
      <c r="C249" t="s">
        <v>314</v>
      </c>
      <c r="D249" t="s">
        <v>918</v>
      </c>
      <c r="E249" s="20" t="s">
        <v>1090</v>
      </c>
      <c r="F249" s="20" t="s">
        <v>120</v>
      </c>
      <c r="G249" s="418">
        <v>1963.4110000000001</v>
      </c>
      <c r="H249" s="418">
        <v>0</v>
      </c>
      <c r="I249" s="418">
        <v>0</v>
      </c>
      <c r="J249" s="418">
        <v>0</v>
      </c>
      <c r="K249" s="418">
        <v>0</v>
      </c>
      <c r="L249" s="418">
        <v>0</v>
      </c>
      <c r="M249" s="418">
        <v>0</v>
      </c>
      <c r="N249" s="418">
        <v>0</v>
      </c>
      <c r="O249" s="21">
        <f>SUM(tabCustoUnit[[#This Row],[Salário Base]:[Adicional de Acúmulo de função]])</f>
        <v>1963.4110000000001</v>
      </c>
      <c r="P249" s="21">
        <f>tabCustoUnit[[#This Row],[MODULO 1 - REMUNERAÇÃO ]]*SUMIFS(tabParametros[INSS],tabParametros[Código do Posto],tabCustoUnit[[#This Row],[Código do Posto]])</f>
        <v>392.68220000000002</v>
      </c>
      <c r="Q249" s="21">
        <f>tabCustoUnit[[#This Row],[MODULO 1 - REMUNERAÇÃO ]]*SUMIFS(tabParametros[SESI OU SESC],tabParametros[Código do Posto],tabCustoUnit[[#This Row],[Código do Posto]])</f>
        <v>29.451165</v>
      </c>
      <c r="R249" s="21">
        <f>tabCustoUnit[[#This Row],[MODULO 1 - REMUNERAÇÃO ]]*SUMIFS(tabParametros[SENAI OU SENAC],tabParametros[Código do Posto],tabCustoUnit[[#This Row],[Código do Posto]])</f>
        <v>19.63411</v>
      </c>
      <c r="S249" s="21">
        <f>tabCustoUnit[[#This Row],[MODULO 1 - REMUNERAÇÃO ]]*SUMIFS(tabParametros[INCRA],tabParametros[Código do Posto],tabCustoUnit[[#This Row],[Código do Posto]])</f>
        <v>3.926822</v>
      </c>
      <c r="T249" s="21">
        <f>tabCustoUnit[[#This Row],[MODULO 1 - REMUNERAÇÃO ]]*SUMIFS(tabParametros[Salário Educação],tabParametros[Código do Posto],tabCustoUnit[[#This Row],[Código do Posto]])</f>
        <v>49.085275000000003</v>
      </c>
      <c r="U249" s="21">
        <f>tabCustoUnit[[#This Row],[MODULO 1 - REMUNERAÇÃO ]]*SUMIFS(tabParametros[FGTS],tabParametros[Código do Posto],tabCustoUnit[[#This Row],[Código do Posto]])</f>
        <v>157.07288</v>
      </c>
      <c r="V249" s="21">
        <f>tabCustoUnit[[#This Row],[MODULO 1 - REMUNERAÇÃO ]]*SUMIFS(tabParametros[RAT Ajustado],tabParametros[Código do Posto],tabCustoUnit[[#This Row],[Código do Posto]])</f>
        <v>78.536439999999999</v>
      </c>
      <c r="W249" s="21">
        <f>tabCustoUnit[[#This Row],[MODULO 1 - REMUNERAÇÃO ]]*SUMIFS(tabParametros[SEBRAE],tabParametros[Código do Posto],tabCustoUnit[[#This Row],[Código do Posto]])</f>
        <v>11.780466000000001</v>
      </c>
      <c r="X249" s="21">
        <f>SUM(tabCustoUnit[[#This Row],[INSS]:[SEBRAE]])</f>
        <v>742.1693580000001</v>
      </c>
      <c r="Y249" s="21">
        <f>tabCustoUnit[[#This Row],[MODULO 1 - REMUNERAÇÃO ]]*SUMIFS(tabParametros[13º salário (titular)],tabParametros[Código do Posto],tabCustoUnit[[#This Row],[Código do Posto]])</f>
        <v>163.61758333333333</v>
      </c>
      <c r="Z249" s="21">
        <f>tabCustoUnit[[#This Row],[MODULO 1 - REMUNERAÇÃO ]]*SUMIFS(tabParametros[Férias e Adicional de Férias (titular)],tabParametros[Código do Posto],tabCustoUnit[[#This Row],[Código do Posto]])</f>
        <v>218.15677777777776</v>
      </c>
      <c r="AA249" s="21">
        <f>IFERROR((tabCustoUnit[[#This Row],[Submódulo 2.1]]/tabCustoUnit[[#This Row],[MODULO 1 - REMUNERAÇÃO ]])*SUM(tabCustoUnit[[#This Row],[13º salário (titular)]:[Férias e Adicional de Férias (titular)]]),0)</f>
        <v>144.3107085</v>
      </c>
      <c r="AB249" s="21">
        <f>SUM(tabCustoUnit[[#This Row],[13º salário (titular)]:[Incidência do Submódulo 2.1 sobre 13º Salário, Férias e Adicional de Férias]])</f>
        <v>526.08506961111107</v>
      </c>
      <c r="AC249" s="22" t="e">
        <f ca="1">_xlfn.LET(_xlpm.VT,SUMIF(tabParametros[Código do Posto],tabCustoUnit[[#This Row],[Código do Posto]],tabParametros[Vale - Transporte])*2*20,
IF((_xlpm.VT-tabCustoUnit[[#This Row],[Salário Base]]*0.06)&gt;=0,(_xlpm.VT-tabCustoUnit[[#This Row],[Salário Base]]*0.06),0)
)</f>
        <v>#NAME?</v>
      </c>
      <c r="AD249" s="22">
        <f>IF(SUMIF(tabParametros[Código do Posto],tabCustoUnit[[#This Row],[Código do Posto]],tabParametros[Vale - Alimentação])&lt;=0,0,
SUMIF(tabParametros[Código do Posto],tabCustoUnit[[#This Row],[Código do Posto]],tabParametros[Vale - Alimentação])*20-1)</f>
        <v>582</v>
      </c>
      <c r="AE249" s="22">
        <f>SUMIF(tabParametros[Código do Posto],tabCustoUnit[[#This Row],[Código do Posto]],tabParametros[Cesta Básica])</f>
        <v>0</v>
      </c>
      <c r="AF249" s="22">
        <f>SUMIF(tabParametros[Código do Posto],tabCustoUnit[[#This Row],[Código do Posto]],tabParametros[PAF])</f>
        <v>0</v>
      </c>
      <c r="AG249" s="22">
        <f>SUMIF(tabParametros[Código do Posto],tabCustoUnit[[#This Row],[Código do Posto]],tabParametros[PQM])</f>
        <v>15.07</v>
      </c>
      <c r="AH249" s="22">
        <f>SUMIF(tabParametros[Código do Posto],tabCustoUnit[[#This Row],[Código do Posto]],tabParametros[Abono Único e Especial])</f>
        <v>0</v>
      </c>
      <c r="AI249" s="22">
        <f>SUMIF(tabParametros[Código do Posto],tabCustoUnit[[#This Row],[Código do Posto]],tabParametros[Seguro de Vida])</f>
        <v>3.36</v>
      </c>
      <c r="AJ249" s="22">
        <f>SUMIF(tabParametros[Código do Posto],tabCustoUnit[[#This Row],[Código do Posto]],tabParametros[Despesas de Viagem])</f>
        <v>0</v>
      </c>
      <c r="AK249" s="22" t="e">
        <f ca="1">SUM(tabCustoUnit[[#This Row],[Vale - Transporte (Descontada parcela do empregado)]:[Despesas de Viagem]])</f>
        <v>#NAME?</v>
      </c>
      <c r="AL249" s="22" t="e">
        <f ca="1">tabCustoUnit[[#This Row],[Submódulo 2.1]]+tabCustoUnit[[#This Row],[Submódulo 2.2]]+tabCustoUnit[[#This Row],[Submódulo 2.3]]</f>
        <v>#NAME?</v>
      </c>
      <c r="AM249" s="22">
        <f>SUMIF(tabParametros[Código do Posto],tabCustoUnit[[#This Row],[Código do Posto]],tabParametros[Aviso Prévio Indenizado (API) e Reflexo do Aviso Prévio Indenizado])*tabCustoUnit[[#This Row],[MODULO 1 - REMUNERAÇÃO ]]</f>
        <v>13.766980408757716</v>
      </c>
      <c r="AN249" s="22">
        <f>SUMIF(tabParametros[Código do Posto],tabCustoUnit[[#This Row],[Código do Posto]],tabParametros[Incidência do FGTS sobre API e Reflexo do API])*tabCustoUnit[[#This Row],[MODULO 1 - REMUNERAÇÃO ]]</f>
        <v>1.1013584327006174</v>
      </c>
      <c r="AO249" s="22">
        <f>SUMIF(tabParametros[Código do Posto],tabCustoUnit[[#This Row],[Código do Posto]],tabParametros[Multa Rescisória do FGTS sobre o Aviso Prévio Indenizado])*tabCustoUnit[[#This Row],[MODULO 1 - REMUNERAÇÃO ]]</f>
        <v>0.44054337308024699</v>
      </c>
      <c r="AP249" s="22">
        <f>SUMIF(tabParametros[Código do Posto],tabCustoUnit[[#This Row],[Código do Posto]],tabParametros[Aviso Prévio Trabalhado - APT])*tabCustoUnit[[#This Row],[MODULO 1 - REMUNERAÇÃO ]]</f>
        <v>6.8719385000000015</v>
      </c>
      <c r="AQ249" s="22">
        <f>SUMIF(tabParametros[Código do Posto],tabCustoUnit[[#This Row],[Código do Posto]],tabParametros[Incidência dos encargos do submódulo 2.1 sobre Aviso Prévio Trabalhado])*tabCustoUnit[[#This Row],[MODULO 1 - REMUNERAÇÃO ]]</f>
        <v>2.5975927530000007</v>
      </c>
      <c r="AR249" s="22">
        <f>SUMIF(tabParametros[Código do Posto],tabCustoUnit[[#This Row],[Código do Posto]],tabParametros[Multa Rescisória do FGTS])*tabCustoUnit[[#This Row],[MODULO 1 - REMUNERAÇÃO ]]</f>
        <v>60.03674524444444</v>
      </c>
      <c r="AS249" s="22">
        <f>SUMIF(tabParametros[Código do Posto],tabCustoUnit[[#This Row],[Código do Posto]],tabParametros[Indenização Adicional (Art. 9º da Lei nº 7.238/84)])*tabCustoUnit[[#This Row],[MODULO 1 - REMUNERAÇÃO ]]</f>
        <v>1.6361758333333334</v>
      </c>
      <c r="AT249" s="22">
        <f>SUM(tabCustoUnit[[#This Row],[Aviso Prévio Indenizado (API) e Reflexo do Aviso Prévio Indenizado]:[Indenização Adicional (Art. 9º da Lei nº 7.238/84)]])</f>
        <v>86.451334545316371</v>
      </c>
      <c r="AU249" s="22">
        <f>SUMIF(tabParametros[Código do Posto],tabCustoUnit[[#This Row],[Código do Posto]],tabParametros[Ausência por Doença])*tabCustoUnit[[#This Row],[MODULO 1 - REMUNERAÇÃO ]]</f>
        <v>16.579915111111109</v>
      </c>
      <c r="AV249" s="22">
        <f>SUMIF(tabParametros[Código do Posto],tabCustoUnit[[#This Row],[Código do Posto]],tabParametros[Ausências Legais])*tabCustoUnit[[#This Row],[MODULO 1 - REMUNERAÇÃO ]]</f>
        <v>3.9813611944444443</v>
      </c>
      <c r="AW249" s="22">
        <f>SUMIF(tabParametros[Código do Posto],tabCustoUnit[[#This Row],[Código do Posto]],tabParametros[Licença Paternidade])*tabCustoUnit[[#This Row],[MODULO 1 - REMUNERAÇÃO ]]</f>
        <v>0.33541604583333334</v>
      </c>
      <c r="AX249" s="22">
        <f>SUMIF(tabParametros[Código do Posto],tabCustoUnit[[#This Row],[Código do Posto]],tabParametros[Ausência por Acidente de Trabalho])*tabCustoUnit[[#This Row],[MODULO 1 - REMUNERAÇÃO ]]</f>
        <v>0.40904395833333335</v>
      </c>
      <c r="AY249" s="22">
        <f>SUMIF(tabParametros[Código do Posto],tabCustoUnit[[#This Row],[Código do Posto]],tabParametros[Férias, Adicional de Férias e 13º  com empregada em gozo de Licença Maternidade])*tabCustoUnit[[#This Row],[MODULO 1 - REMUNERAÇÃO ]]</f>
        <v>2.5451624074074073</v>
      </c>
      <c r="AZ249" s="22">
        <f>SUMIF(tabParametros[Código do Posto],tabCustoUnit[[#This Row],[Código do Posto]],tabParametros[Incidência do Submódulo 2.1 sobre Ausências Legais])*tabCustoUnit[[#This Row],[MODULO 1 - REMUNERAÇÃO ]]</f>
        <v>9.0156397150750021</v>
      </c>
      <c r="BA249" s="22">
        <f>SUM(tabCustoUnit[[#This Row],[Ausência por Doença]:[Incidência do Submódulo 2.1 sobre Ausências Legais]])</f>
        <v>32.866538432204628</v>
      </c>
      <c r="BB249" s="22">
        <f>SUMIF(tabParametros[Código do Posto],tabCustoUnit[[#This Row],[Código do Posto]],tabParametros[Intervalo para Repouso ou Alimentação])</f>
        <v>267.73786489195959</v>
      </c>
      <c r="BC249" s="22">
        <f>tabCustoUnit[[#This Row],[Intervalo para Repouso ou Alimentação]]</f>
        <v>267.73786489195959</v>
      </c>
      <c r="BD24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49" s="22">
        <f>tabCustoUnit[[#This Row],[Suspensão Temporária do Contrato de Trabalho]]</f>
        <v>0</v>
      </c>
      <c r="BF249" s="22">
        <f>tabCustoUnit[[#This Row],[Submódulo 4.1]]+tabCustoUnit[[#This Row],[Submódulo 4.2]]+tabCustoUnit[[#This Row],[Submódulo 4.3]]</f>
        <v>300.6044033241642</v>
      </c>
      <c r="BG249" s="22">
        <f>VLOOKUP(tabCustoUnit[[#This Row],[Código do Posto]],tabParametros[],MATCH(tabCustoUnit[[#Headers],[Uniformes e EPIs]],tabParametros[#Headers],0),0)</f>
        <v>56.642978962543395</v>
      </c>
      <c r="BH249" s="22">
        <f>VLOOKUP(tabCustoUnit[[#This Row],[Código do Posto]],tabParametros[],MATCH(tabCustoUnit[[#Headers],[Materiais de Consumo]],tabParametros[#Headers],0),0)</f>
        <v>0</v>
      </c>
      <c r="BI249" s="22">
        <f>VLOOKUP(tabCustoUnit[[#This Row],[Código do Posto]],tabParametros[],MATCH(tabCustoUnit[[#Headers],[Máquinas e Equipamentos (depreciação)]],tabParametros[#Headers],0),0)</f>
        <v>0</v>
      </c>
      <c r="BJ249" s="22">
        <f>VLOOKUP(tabCustoUnit[[#This Row],[Código do Posto]],tabParametros[],MATCH(tabCustoUnit[[#Headers],[Produtos de Limpeza e Materiais de Higiene Pessoal]],tabParametros[#Headers],0),0)</f>
        <v>0</v>
      </c>
      <c r="BK249" s="22">
        <f>VLOOKUP(tabCustoUnit[[#This Row],[Código do Posto]],tabParametros[],MATCH(tabCustoUnit[[#Headers],[Outros (especificar)]],tabParametros[#Headers],0),0)</f>
        <v>0</v>
      </c>
      <c r="BL249" s="22">
        <f>SUM(tabCustoUnit[[#This Row],[Uniformes e EPIs]:[Outros (especificar)]])</f>
        <v>56.642978962543395</v>
      </c>
      <c r="BM24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49" s="22" t="e">
        <f ca="1">VLOOKUP(tabCustoUnit[[#This Row],[Código do Posto]],tabParametros[],MATCH(tabCustoUnit[[#Headers],[Custos Indiretos]],tabParametros[#Headers],0),0)</f>
        <v>#NAME?</v>
      </c>
      <c r="BO249" s="22" t="e">
        <f ca="1">VLOOKUP(tabCustoUnit[[#This Row],[Código do Posto]],tabParametros[],MATCH(tabCustoUnit[[#Headers],[Lucro]],tabParametros[#Headers],0),0)</f>
        <v>#NAME?</v>
      </c>
      <c r="BP249" s="26">
        <f>((100/((1-tabCustoUnit[[#This Row],[Resumo de Alíquotas (PIS+CONFINS+ISS)]]))-100)*VLOOKUP(tabCustoUnit[[#This Row],[Código do Posto]],tabParametros[],MATCH(tabCustoUnit[[#Headers],[COFINS]],tabParametros[#Headers],0),0))/(tabCustoUnit[[#This Row],[Resumo de Alíquotas (PIS+CONFINS+ISS)]]*100)</f>
        <v>8.8629737609329504E-2</v>
      </c>
      <c r="BQ249" s="26">
        <f>((100/((100-(tabCustoUnit[[#This Row],[Resumo de Alíquotas (PIS+CONFINS+ISS)]]*100))%)-100)*VLOOKUP(tabCustoUnit[[#This Row],[Código do Posto]],tabParametros[],MATCH(tabCustoUnit[[#Headers],[PIS]],tabParametros[#Headers],0),0))/(tabCustoUnit[[#This Row],[Resumo de Alíquotas (PIS+CONFINS+ISS)]]*100)</f>
        <v>1.9241982507288629E-2</v>
      </c>
      <c r="BR249" s="28">
        <f>VLOOKUP(tabCustoUnit[[#This Row],[Código do Posto]],tabParametros[],MATCH(tabCustoUnit[[#Headers],[ISS]],tabParametros[#Headers],0),0)</f>
        <v>0.05</v>
      </c>
      <c r="BS249" s="26">
        <f>(((100/((100-(tabCustoUnit[[#This Row],[Resumo de Alíquotas (PIS+CONFINS+ISS)]]*100))%)-100)*tabCustoUnit[[#This Row],[ISS]])/tabCustoUnit[[#This Row],[Resumo de Alíquotas (PIS+CONFINS+ISS)]])/100</f>
        <v>5.8309037900874633E-2</v>
      </c>
      <c r="BT24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49" s="138">
        <f>tabCustoUnit[[#This Row],[COFINS]]+tabCustoUnit[[#This Row],[PIS]]+tabCustoUnit[[#This Row],[ISS (Conversão Alíquota s/ fatura)]]</f>
        <v>0.16618075801749277</v>
      </c>
      <c r="BV249" s="22" t="e">
        <f ca="1">(tabCustoUnit[[#This Row],[TOTAL MÓDULOS 1+2+3+4+5]]+tabCustoUnit[[#This Row],[Custos Indiretos]]+tabCustoUnit[[#This Row],[Lucro]])*tabCustoUnit[[#This Row],[PIS + COFINS + ISS (Total Conversão  Alíquota s/ Fatura)]]</f>
        <v>#NAME?</v>
      </c>
      <c r="BW249" s="22" t="e">
        <f ca="1">tabCustoUnit[[#This Row],[Custos Indiretos]]+tabCustoUnit[[#This Row],[Lucro]]+tabCustoUnit[[#This Row],[Valor dos Tributos (ISS, PIS, CONFINS)]]</f>
        <v>#NAME?</v>
      </c>
      <c r="BX249" s="22" t="e">
        <f ca="1">tabCustoUnit[[#This Row],[TOTAL MÓDULOS 1+2+3+4+5]]+tabCustoUnit[[#This Row],[MÓDULO 6 – CUSTOS INDIRETOS, TRIBUTOS E LUCRO]]</f>
        <v>#NAME?</v>
      </c>
      <c r="BY249" s="22" t="e">
        <f ca="1">tabCustoUnit[[#This Row],[CUSTO TOTAL MENSAL]]*12</f>
        <v>#NAME?</v>
      </c>
      <c r="BZ249" s="24">
        <f>VLOOKUP(tabCustoUnit[[#This Row],[Código do Posto]],tabParametros[],MATCH(tabCustoUnit[[#Headers],[ANO DA CCT]],tabParametros[#Headers],0),0)</f>
        <v>45658</v>
      </c>
      <c r="CA249" s="25" t="str">
        <f>VLOOKUP(tabCustoUnit[[#This Row],[Código do Posto]],tabParametros[],MATCH(tabCustoUnit[[#Headers],[Nº DE PEDIDO DA CCT]],tabParametros[#Headers],0),0)</f>
        <v>-</v>
      </c>
      <c r="CB249" s="25" t="str">
        <f>VLOOKUP(tabCustoUnit[[#This Row],[Código do Posto]],tabParametros[],MATCH(tabCustoUnit[[#Headers],[TERMO ADITIVO ALTERAÇÃO DA CCT]],tabParametros[#Headers],0),0)</f>
        <v>-</v>
      </c>
    </row>
    <row r="250" spans="1:80">
      <c r="A250" s="20" t="s">
        <v>1501</v>
      </c>
      <c r="B250" t="s">
        <v>1183</v>
      </c>
      <c r="C250" t="s">
        <v>200</v>
      </c>
      <c r="D250" t="s">
        <v>921</v>
      </c>
      <c r="E250" s="20" t="s">
        <v>1090</v>
      </c>
      <c r="F250" s="20" t="s">
        <v>120</v>
      </c>
      <c r="G250" s="418">
        <v>1649.1152999999999</v>
      </c>
      <c r="H250" s="418">
        <v>0</v>
      </c>
      <c r="I250" s="418">
        <v>0</v>
      </c>
      <c r="J250" s="418">
        <v>0</v>
      </c>
      <c r="K250" s="418">
        <v>0</v>
      </c>
      <c r="L250" s="418">
        <v>0</v>
      </c>
      <c r="M250" s="418">
        <v>0</v>
      </c>
      <c r="N250" s="418">
        <v>0</v>
      </c>
      <c r="O250" s="21">
        <f>SUM(tabCustoUnit[[#This Row],[Salário Base]:[Adicional de Acúmulo de função]])</f>
        <v>1649.1152999999999</v>
      </c>
      <c r="P250" s="21">
        <f>tabCustoUnit[[#This Row],[MODULO 1 - REMUNERAÇÃO ]]*SUMIFS(tabParametros[INSS],tabParametros[Código do Posto],tabCustoUnit[[#This Row],[Código do Posto]])</f>
        <v>329.82306</v>
      </c>
      <c r="Q250" s="21">
        <f>tabCustoUnit[[#This Row],[MODULO 1 - REMUNERAÇÃO ]]*SUMIFS(tabParametros[SESI OU SESC],tabParametros[Código do Posto],tabCustoUnit[[#This Row],[Código do Posto]])</f>
        <v>24.736729499999999</v>
      </c>
      <c r="R250" s="21">
        <f>tabCustoUnit[[#This Row],[MODULO 1 - REMUNERAÇÃO ]]*SUMIFS(tabParametros[SENAI OU SENAC],tabParametros[Código do Posto],tabCustoUnit[[#This Row],[Código do Posto]])</f>
        <v>16.491153000000001</v>
      </c>
      <c r="S250" s="21">
        <f>tabCustoUnit[[#This Row],[MODULO 1 - REMUNERAÇÃO ]]*SUMIFS(tabParametros[INCRA],tabParametros[Código do Posto],tabCustoUnit[[#This Row],[Código do Posto]])</f>
        <v>3.2982306000000001</v>
      </c>
      <c r="T250" s="21">
        <f>tabCustoUnit[[#This Row],[MODULO 1 - REMUNERAÇÃO ]]*SUMIFS(tabParametros[Salário Educação],tabParametros[Código do Posto],tabCustoUnit[[#This Row],[Código do Posto]])</f>
        <v>41.2278825</v>
      </c>
      <c r="U250" s="21">
        <f>tabCustoUnit[[#This Row],[MODULO 1 - REMUNERAÇÃO ]]*SUMIFS(tabParametros[FGTS],tabParametros[Código do Posto],tabCustoUnit[[#This Row],[Código do Posto]])</f>
        <v>131.929224</v>
      </c>
      <c r="V250" s="21">
        <f>tabCustoUnit[[#This Row],[MODULO 1 - REMUNERAÇÃO ]]*SUMIFS(tabParametros[RAT Ajustado],tabParametros[Código do Posto],tabCustoUnit[[#This Row],[Código do Posto]])</f>
        <v>65.964612000000002</v>
      </c>
      <c r="W250" s="21">
        <f>tabCustoUnit[[#This Row],[MODULO 1 - REMUNERAÇÃO ]]*SUMIFS(tabParametros[SEBRAE],tabParametros[Código do Posto],tabCustoUnit[[#This Row],[Código do Posto]])</f>
        <v>9.8946918000000004</v>
      </c>
      <c r="X250" s="21">
        <f>SUM(tabCustoUnit[[#This Row],[INSS]:[SEBRAE]])</f>
        <v>623.36558340000011</v>
      </c>
      <c r="Y250" s="21">
        <f>tabCustoUnit[[#This Row],[MODULO 1 - REMUNERAÇÃO ]]*SUMIFS(tabParametros[13º salário (titular)],tabParametros[Código do Posto],tabCustoUnit[[#This Row],[Código do Posto]])</f>
        <v>137.42627499999998</v>
      </c>
      <c r="Z250" s="21">
        <f>tabCustoUnit[[#This Row],[MODULO 1 - REMUNERAÇÃO ]]*SUMIFS(tabParametros[Férias e Adicional de Férias (titular)],tabParametros[Código do Posto],tabCustoUnit[[#This Row],[Código do Posto]])</f>
        <v>183.23503333333332</v>
      </c>
      <c r="AA250" s="21">
        <f>IFERROR((tabCustoUnit[[#This Row],[Submódulo 2.1]]/tabCustoUnit[[#This Row],[MODULO 1 - REMUNERAÇÃO ]])*SUM(tabCustoUnit[[#This Row],[13º salário (titular)]:[Férias e Adicional de Férias (titular)]]),0)</f>
        <v>121.20997455</v>
      </c>
      <c r="AB250" s="21">
        <f>SUM(tabCustoUnit[[#This Row],[13º salário (titular)]:[Incidência do Submódulo 2.1 sobre 13º Salário, Férias e Adicional de Férias]])</f>
        <v>441.87128288333327</v>
      </c>
      <c r="AC250" s="22" t="e">
        <f ca="1">_xlfn.LET(_xlpm.VT,SUMIF(tabParametros[Código do Posto],tabCustoUnit[[#This Row],[Código do Posto]],tabParametros[Vale - Transporte])*2*20,
IF((_xlpm.VT-tabCustoUnit[[#This Row],[Salário Base]]*0.06)&gt;=0,(_xlpm.VT-tabCustoUnit[[#This Row],[Salário Base]]*0.06),0)
)</f>
        <v>#NAME?</v>
      </c>
      <c r="AD250" s="22">
        <f>IF(SUMIF(tabParametros[Código do Posto],tabCustoUnit[[#This Row],[Código do Posto]],tabParametros[Vale - Alimentação])&lt;=0,0,
SUMIF(tabParametros[Código do Posto],tabCustoUnit[[#This Row],[Código do Posto]],tabParametros[Vale - Alimentação])*20-1)</f>
        <v>582</v>
      </c>
      <c r="AE250" s="22">
        <f>SUMIF(tabParametros[Código do Posto],tabCustoUnit[[#This Row],[Código do Posto]],tabParametros[Cesta Básica])</f>
        <v>0</v>
      </c>
      <c r="AF250" s="22">
        <f>SUMIF(tabParametros[Código do Posto],tabCustoUnit[[#This Row],[Código do Posto]],tabParametros[PAF])</f>
        <v>0</v>
      </c>
      <c r="AG250" s="22">
        <f>SUMIF(tabParametros[Código do Posto],tabCustoUnit[[#This Row],[Código do Posto]],tabParametros[PQM])</f>
        <v>15.07</v>
      </c>
      <c r="AH250" s="22">
        <f>SUMIF(tabParametros[Código do Posto],tabCustoUnit[[#This Row],[Código do Posto]],tabParametros[Abono Único e Especial])</f>
        <v>0</v>
      </c>
      <c r="AI250" s="22">
        <f>SUMIF(tabParametros[Código do Posto],tabCustoUnit[[#This Row],[Código do Posto]],tabParametros[Seguro de Vida])</f>
        <v>3.36</v>
      </c>
      <c r="AJ250" s="22">
        <f>SUMIF(tabParametros[Código do Posto],tabCustoUnit[[#This Row],[Código do Posto]],tabParametros[Despesas de Viagem])</f>
        <v>0</v>
      </c>
      <c r="AK250" s="22" t="e">
        <f ca="1">SUM(tabCustoUnit[[#This Row],[Vale - Transporte (Descontada parcela do empregado)]:[Despesas de Viagem]])</f>
        <v>#NAME?</v>
      </c>
      <c r="AL250" s="22" t="e">
        <f ca="1">tabCustoUnit[[#This Row],[Submódulo 2.1]]+tabCustoUnit[[#This Row],[Submódulo 2.2]]+tabCustoUnit[[#This Row],[Submódulo 2.3]]</f>
        <v>#NAME?</v>
      </c>
      <c r="AM250" s="22">
        <f>SUMIF(tabParametros[Código do Posto],tabCustoUnit[[#This Row],[Código do Posto]],tabParametros[Aviso Prévio Indenizado (API) e Reflexo do Aviso Prévio Indenizado])*tabCustoUnit[[#This Row],[MODULO 1 - REMUNERAÇÃO ]]</f>
        <v>11.563212199016203</v>
      </c>
      <c r="AN250" s="22">
        <f>SUMIF(tabParametros[Código do Posto],tabCustoUnit[[#This Row],[Código do Posto]],tabParametros[Incidência do FGTS sobre API e Reflexo do API])*tabCustoUnit[[#This Row],[MODULO 1 - REMUNERAÇÃO ]]</f>
        <v>0.92505697592129632</v>
      </c>
      <c r="AO250" s="22">
        <f>SUMIF(tabParametros[Código do Posto],tabCustoUnit[[#This Row],[Código do Posto]],tabParametros[Multa Rescisória do FGTS sobre o Aviso Prévio Indenizado])*tabCustoUnit[[#This Row],[MODULO 1 - REMUNERAÇÃO ]]</f>
        <v>0.37002279036851859</v>
      </c>
      <c r="AP250" s="22">
        <f>SUMIF(tabParametros[Código do Posto],tabCustoUnit[[#This Row],[Código do Posto]],tabParametros[Aviso Prévio Trabalhado - APT])*tabCustoUnit[[#This Row],[MODULO 1 - REMUNERAÇÃO ]]</f>
        <v>5.7719035500000002</v>
      </c>
      <c r="AQ250" s="22">
        <f>SUMIF(tabParametros[Código do Posto],tabCustoUnit[[#This Row],[Código do Posto]],tabParametros[Incidência dos encargos do submódulo 2.1 sobre Aviso Prévio Trabalhado])*tabCustoUnit[[#This Row],[MODULO 1 - REMUNERAÇÃO ]]</f>
        <v>2.1817795419000006</v>
      </c>
      <c r="AR250" s="22">
        <f>SUMIF(tabParametros[Código do Posto],tabCustoUnit[[#This Row],[Código do Posto]],tabParametros[Multa Rescisória do FGTS])*tabCustoUnit[[#This Row],[MODULO 1 - REMUNERAÇÃO ]]</f>
        <v>50.426281173333322</v>
      </c>
      <c r="AS250" s="22">
        <f>SUMIF(tabParametros[Código do Posto],tabCustoUnit[[#This Row],[Código do Posto]],tabParametros[Indenização Adicional (Art. 9º da Lei nº 7.238/84)])*tabCustoUnit[[#This Row],[MODULO 1 - REMUNERAÇÃO ]]</f>
        <v>1.37426275</v>
      </c>
      <c r="AT250" s="22">
        <f>SUM(tabCustoUnit[[#This Row],[Aviso Prévio Indenizado (API) e Reflexo do Aviso Prévio Indenizado]:[Indenização Adicional (Art. 9º da Lei nº 7.238/84)]])</f>
        <v>72.612518980539335</v>
      </c>
      <c r="AU250" s="22">
        <f>SUMIF(tabParametros[Código do Posto],tabCustoUnit[[#This Row],[Código do Posto]],tabParametros[Ausência por Doença])*tabCustoUnit[[#This Row],[MODULO 1 - REMUNERAÇÃO ]]</f>
        <v>13.925862533333332</v>
      </c>
      <c r="AV250" s="22">
        <f>SUMIF(tabParametros[Código do Posto],tabCustoUnit[[#This Row],[Código do Posto]],tabParametros[Ausências Legais])*tabCustoUnit[[#This Row],[MODULO 1 - REMUNERAÇÃO ]]</f>
        <v>3.3440393583333332</v>
      </c>
      <c r="AW250" s="22">
        <f>SUMIF(tabParametros[Código do Posto],tabCustoUnit[[#This Row],[Código do Posto]],tabParametros[Licença Paternidade])*tabCustoUnit[[#This Row],[MODULO 1 - REMUNERAÇÃO ]]</f>
        <v>0.28172386374999997</v>
      </c>
      <c r="AX250" s="22">
        <f>SUMIF(tabParametros[Código do Posto],tabCustoUnit[[#This Row],[Código do Posto]],tabParametros[Ausência por Acidente de Trabalho])*tabCustoUnit[[#This Row],[MODULO 1 - REMUNERAÇÃO ]]</f>
        <v>0.34356568749999999</v>
      </c>
      <c r="AY250" s="22">
        <f>SUMIF(tabParametros[Código do Posto],tabCustoUnit[[#This Row],[Código do Posto]],tabParametros[Férias, Adicional de Férias e 13º  com empregada em gozo de Licença Maternidade])*tabCustoUnit[[#This Row],[MODULO 1 - REMUNERAÇÃO ]]</f>
        <v>2.1377420555555555</v>
      </c>
      <c r="AZ250" s="22">
        <f>SUMIF(tabParametros[Código do Posto],tabCustoUnit[[#This Row],[Código do Posto]],tabParametros[Incidência do Submódulo 2.1 sobre Ausências Legais])*tabCustoUnit[[#This Row],[MODULO 1 - REMUNERAÇÃO ]]</f>
        <v>7.572448862422501</v>
      </c>
      <c r="BA250" s="22">
        <f>SUM(tabCustoUnit[[#This Row],[Ausência por Doença]:[Incidência do Submódulo 2.1 sobre Ausências Legais]])</f>
        <v>27.605382360894719</v>
      </c>
      <c r="BB250" s="22">
        <f>SUMIF(tabParametros[Código do Posto],tabCustoUnit[[#This Row],[Código do Posto]],tabParametros[Intervalo para Repouso ou Alimentação])</f>
        <v>0</v>
      </c>
      <c r="BC250" s="22">
        <f>tabCustoUnit[[#This Row],[Intervalo para Repouso ou Alimentação]]</f>
        <v>0</v>
      </c>
      <c r="BD25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0" s="22">
        <f>tabCustoUnit[[#This Row],[Suspensão Temporária do Contrato de Trabalho]]</f>
        <v>0</v>
      </c>
      <c r="BF250" s="22">
        <f>tabCustoUnit[[#This Row],[Submódulo 4.1]]+tabCustoUnit[[#This Row],[Submódulo 4.2]]+tabCustoUnit[[#This Row],[Submódulo 4.3]]</f>
        <v>27.605382360894719</v>
      </c>
      <c r="BG250" s="22">
        <f>VLOOKUP(tabCustoUnit[[#This Row],[Código do Posto]],tabParametros[],MATCH(tabCustoUnit[[#Headers],[Uniformes e EPIs]],tabParametros[#Headers],0),0)</f>
        <v>56.141713661989918</v>
      </c>
      <c r="BH250" s="22">
        <f>VLOOKUP(tabCustoUnit[[#This Row],[Código do Posto]],tabParametros[],MATCH(tabCustoUnit[[#Headers],[Materiais de Consumo]],tabParametros[#Headers],0),0)</f>
        <v>0</v>
      </c>
      <c r="BI250" s="22">
        <f>VLOOKUP(tabCustoUnit[[#This Row],[Código do Posto]],tabParametros[],MATCH(tabCustoUnit[[#Headers],[Máquinas e Equipamentos (depreciação)]],tabParametros[#Headers],0),0)</f>
        <v>0</v>
      </c>
      <c r="BJ250" s="22">
        <f>VLOOKUP(tabCustoUnit[[#This Row],[Código do Posto]],tabParametros[],MATCH(tabCustoUnit[[#Headers],[Produtos de Limpeza e Materiais de Higiene Pessoal]],tabParametros[#Headers],0),0)</f>
        <v>0</v>
      </c>
      <c r="BK250" s="22">
        <f>VLOOKUP(tabCustoUnit[[#This Row],[Código do Posto]],tabParametros[],MATCH(tabCustoUnit[[#Headers],[Outros (especificar)]],tabParametros[#Headers],0),0)</f>
        <v>0</v>
      </c>
      <c r="BL250" s="22">
        <f>SUM(tabCustoUnit[[#This Row],[Uniformes e EPIs]:[Outros (especificar)]])</f>
        <v>56.141713661989918</v>
      </c>
      <c r="BM25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0" s="22" t="e">
        <f ca="1">VLOOKUP(tabCustoUnit[[#This Row],[Código do Posto]],tabParametros[],MATCH(tabCustoUnit[[#Headers],[Custos Indiretos]],tabParametros[#Headers],0),0)</f>
        <v>#NAME?</v>
      </c>
      <c r="BO250" s="22" t="e">
        <f ca="1">VLOOKUP(tabCustoUnit[[#This Row],[Código do Posto]],tabParametros[],MATCH(tabCustoUnit[[#Headers],[Lucro]],tabParametros[#Headers],0),0)</f>
        <v>#NAME?</v>
      </c>
      <c r="BP250" s="26">
        <f>((100/((1-tabCustoUnit[[#This Row],[Resumo de Alíquotas (PIS+CONFINS+ISS)]]))-100)*VLOOKUP(tabCustoUnit[[#This Row],[Código do Posto]],tabParametros[],MATCH(tabCustoUnit[[#Headers],[COFINS]],tabParametros[#Headers],0),0))/(tabCustoUnit[[#This Row],[Resumo de Alíquotas (PIS+CONFINS+ISS)]]*100)</f>
        <v>8.6314593980692772E-2</v>
      </c>
      <c r="BQ250" s="26">
        <f>((100/((100-(tabCustoUnit[[#This Row],[Resumo de Alíquotas (PIS+CONFINS+ISS)]]*100))%)-100)*VLOOKUP(tabCustoUnit[[#This Row],[Código do Posto]],tabParametros[],MATCH(tabCustoUnit[[#Headers],[PIS]],tabParametros[#Headers],0),0))/(tabCustoUnit[[#This Row],[Resumo de Alíquotas (PIS+CONFINS+ISS)]]*100)</f>
        <v>1.8739352640545163E-2</v>
      </c>
      <c r="BR250" s="28">
        <f>VLOOKUP(tabCustoUnit[[#This Row],[Código do Posto]],tabParametros[],MATCH(tabCustoUnit[[#Headers],[ISS]],tabParametros[#Headers],0),0)</f>
        <v>2.7000000000000003E-2</v>
      </c>
      <c r="BS250" s="26">
        <f>(((100/((100-(tabCustoUnit[[#This Row],[Resumo de Alíquotas (PIS+CONFINS+ISS)]]*100))%)-100)*tabCustoUnit[[#This Row],[ISS]])/tabCustoUnit[[#This Row],[Resumo de Alíquotas (PIS+CONFINS+ISS)]])/100</f>
        <v>3.0664395229982992E-2</v>
      </c>
      <c r="BT25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0.1195</v>
      </c>
      <c r="BU250" s="138">
        <f>tabCustoUnit[[#This Row],[COFINS]]+tabCustoUnit[[#This Row],[PIS]]+tabCustoUnit[[#This Row],[ISS (Conversão Alíquota s/ fatura)]]</f>
        <v>0.13571834185122092</v>
      </c>
      <c r="BV250" s="22" t="e">
        <f ca="1">(tabCustoUnit[[#This Row],[TOTAL MÓDULOS 1+2+3+4+5]]+tabCustoUnit[[#This Row],[Custos Indiretos]]+tabCustoUnit[[#This Row],[Lucro]])*tabCustoUnit[[#This Row],[PIS + COFINS + ISS (Total Conversão  Alíquota s/ Fatura)]]</f>
        <v>#NAME?</v>
      </c>
      <c r="BW250" s="22" t="e">
        <f ca="1">tabCustoUnit[[#This Row],[Custos Indiretos]]+tabCustoUnit[[#This Row],[Lucro]]+tabCustoUnit[[#This Row],[Valor dos Tributos (ISS, PIS, CONFINS)]]</f>
        <v>#NAME?</v>
      </c>
      <c r="BX250" s="22" t="e">
        <f ca="1">tabCustoUnit[[#This Row],[TOTAL MÓDULOS 1+2+3+4+5]]+tabCustoUnit[[#This Row],[MÓDULO 6 – CUSTOS INDIRETOS, TRIBUTOS E LUCRO]]</f>
        <v>#NAME?</v>
      </c>
      <c r="BY250" s="22" t="e">
        <f ca="1">tabCustoUnit[[#This Row],[CUSTO TOTAL MENSAL]]*12</f>
        <v>#NAME?</v>
      </c>
      <c r="BZ250" s="24">
        <f>VLOOKUP(tabCustoUnit[[#This Row],[Código do Posto]],tabParametros[],MATCH(tabCustoUnit[[#Headers],[ANO DA CCT]],tabParametros[#Headers],0),0)</f>
        <v>45658</v>
      </c>
      <c r="CA250" s="25" t="str">
        <f>VLOOKUP(tabCustoUnit[[#This Row],[Código do Posto]],tabParametros[],MATCH(tabCustoUnit[[#Headers],[Nº DE PEDIDO DA CCT]],tabParametros[#Headers],0),0)</f>
        <v>-</v>
      </c>
      <c r="CB250" s="25" t="str">
        <f>VLOOKUP(tabCustoUnit[[#This Row],[Código do Posto]],tabParametros[],MATCH(tabCustoUnit[[#Headers],[TERMO ADITIVO ALTERAÇÃO DA CCT]],tabParametros[#Headers],0),0)</f>
        <v>-</v>
      </c>
    </row>
    <row r="251" spans="1:80">
      <c r="A251" s="20" t="s">
        <v>1674</v>
      </c>
      <c r="B251" t="s">
        <v>1183</v>
      </c>
      <c r="C251" t="s">
        <v>324</v>
      </c>
      <c r="D251" t="s">
        <v>921</v>
      </c>
      <c r="E251" s="20" t="s">
        <v>1090</v>
      </c>
      <c r="F251" s="20" t="s">
        <v>120</v>
      </c>
      <c r="G251" s="418">
        <v>3397.1306</v>
      </c>
      <c r="H251" s="418">
        <v>0</v>
      </c>
      <c r="I251" s="418">
        <v>0</v>
      </c>
      <c r="J251" s="418">
        <v>0</v>
      </c>
      <c r="K251" s="418">
        <v>0</v>
      </c>
      <c r="L251" s="418">
        <v>0</v>
      </c>
      <c r="M251" s="418">
        <v>0</v>
      </c>
      <c r="N251" s="418">
        <v>0</v>
      </c>
      <c r="O251" s="21">
        <f>SUM(tabCustoUnit[[#This Row],[Salário Base]:[Adicional de Acúmulo de função]])</f>
        <v>3397.1306</v>
      </c>
      <c r="P251" s="21">
        <f>tabCustoUnit[[#This Row],[MODULO 1 - REMUNERAÇÃO ]]*SUMIFS(tabParametros[INSS],tabParametros[Código do Posto],tabCustoUnit[[#This Row],[Código do Posto]])</f>
        <v>679.42612000000008</v>
      </c>
      <c r="Q251" s="21">
        <f>tabCustoUnit[[#This Row],[MODULO 1 - REMUNERAÇÃO ]]*SUMIFS(tabParametros[SESI OU SESC],tabParametros[Código do Posto],tabCustoUnit[[#This Row],[Código do Posto]])</f>
        <v>50.956958999999998</v>
      </c>
      <c r="R251" s="21">
        <f>tabCustoUnit[[#This Row],[MODULO 1 - REMUNERAÇÃO ]]*SUMIFS(tabParametros[SENAI OU SENAC],tabParametros[Código do Posto],tabCustoUnit[[#This Row],[Código do Posto]])</f>
        <v>33.971305999999998</v>
      </c>
      <c r="S251" s="21">
        <f>tabCustoUnit[[#This Row],[MODULO 1 - REMUNERAÇÃO ]]*SUMIFS(tabParametros[INCRA],tabParametros[Código do Posto],tabCustoUnit[[#This Row],[Código do Posto]])</f>
        <v>6.7942612000000002</v>
      </c>
      <c r="T251" s="21">
        <f>tabCustoUnit[[#This Row],[MODULO 1 - REMUNERAÇÃO ]]*SUMIFS(tabParametros[Salário Educação],tabParametros[Código do Posto],tabCustoUnit[[#This Row],[Código do Posto]])</f>
        <v>84.92826500000001</v>
      </c>
      <c r="U251" s="21">
        <f>tabCustoUnit[[#This Row],[MODULO 1 - REMUNERAÇÃO ]]*SUMIFS(tabParametros[FGTS],tabParametros[Código do Posto],tabCustoUnit[[#This Row],[Código do Posto]])</f>
        <v>271.77044799999999</v>
      </c>
      <c r="V251" s="21">
        <f>tabCustoUnit[[#This Row],[MODULO 1 - REMUNERAÇÃO ]]*SUMIFS(tabParametros[RAT Ajustado],tabParametros[Código do Posto],tabCustoUnit[[#This Row],[Código do Posto]])</f>
        <v>135.88522399999999</v>
      </c>
      <c r="W251" s="21">
        <f>tabCustoUnit[[#This Row],[MODULO 1 - REMUNERAÇÃO ]]*SUMIFS(tabParametros[SEBRAE],tabParametros[Código do Posto],tabCustoUnit[[#This Row],[Código do Posto]])</f>
        <v>20.3827836</v>
      </c>
      <c r="X251" s="21">
        <f>SUM(tabCustoUnit[[#This Row],[INSS]:[SEBRAE]])</f>
        <v>1284.1153668000002</v>
      </c>
      <c r="Y251" s="21">
        <f>tabCustoUnit[[#This Row],[MODULO 1 - REMUNERAÇÃO ]]*SUMIFS(tabParametros[13º salário (titular)],tabParametros[Código do Posto],tabCustoUnit[[#This Row],[Código do Posto]])</f>
        <v>283.09421666666663</v>
      </c>
      <c r="Z251" s="21">
        <f>tabCustoUnit[[#This Row],[MODULO 1 - REMUNERAÇÃO ]]*SUMIFS(tabParametros[Férias e Adicional de Férias (titular)],tabParametros[Código do Posto],tabCustoUnit[[#This Row],[Código do Posto]])</f>
        <v>377.45895555555552</v>
      </c>
      <c r="AA251" s="21">
        <f>IFERROR((tabCustoUnit[[#This Row],[Submódulo 2.1]]/tabCustoUnit[[#This Row],[MODULO 1 - REMUNERAÇÃO ]])*SUM(tabCustoUnit[[#This Row],[13º salário (titular)]:[Férias e Adicional de Férias (titular)]]),0)</f>
        <v>249.68909910000002</v>
      </c>
      <c r="AB251" s="21">
        <f>SUM(tabCustoUnit[[#This Row],[13º salário (titular)]:[Incidência do Submódulo 2.1 sobre 13º Salário, Férias e Adicional de Férias]])</f>
        <v>910.24227132222222</v>
      </c>
      <c r="AC251" s="22" t="e">
        <f ca="1">_xlfn.LET(_xlpm.VT,SUMIF(tabParametros[Código do Posto],tabCustoUnit[[#This Row],[Código do Posto]],tabParametros[Vale - Transporte])*2*20,
IF((_xlpm.VT-tabCustoUnit[[#This Row],[Salário Base]]*0.06)&gt;=0,(_xlpm.VT-tabCustoUnit[[#This Row],[Salário Base]]*0.06),0)
)</f>
        <v>#NAME?</v>
      </c>
      <c r="AD251" s="22">
        <f>IF(SUMIF(tabParametros[Código do Posto],tabCustoUnit[[#This Row],[Código do Posto]],tabParametros[Vale - Alimentação])&lt;=0,0,
SUMIF(tabParametros[Código do Posto],tabCustoUnit[[#This Row],[Código do Posto]],tabParametros[Vale - Alimentação])*20-1)</f>
        <v>582</v>
      </c>
      <c r="AE251" s="22">
        <f>SUMIF(tabParametros[Código do Posto],tabCustoUnit[[#This Row],[Código do Posto]],tabParametros[Cesta Básica])</f>
        <v>0</v>
      </c>
      <c r="AF251" s="22">
        <f>SUMIF(tabParametros[Código do Posto],tabCustoUnit[[#This Row],[Código do Posto]],tabParametros[PAF])</f>
        <v>0</v>
      </c>
      <c r="AG251" s="22">
        <f>SUMIF(tabParametros[Código do Posto],tabCustoUnit[[#This Row],[Código do Posto]],tabParametros[PQM])</f>
        <v>15.07</v>
      </c>
      <c r="AH251" s="22">
        <f>SUMIF(tabParametros[Código do Posto],tabCustoUnit[[#This Row],[Código do Posto]],tabParametros[Abono Único e Especial])</f>
        <v>0</v>
      </c>
      <c r="AI251" s="22">
        <f>SUMIF(tabParametros[Código do Posto],tabCustoUnit[[#This Row],[Código do Posto]],tabParametros[Seguro de Vida])</f>
        <v>3.36</v>
      </c>
      <c r="AJ251" s="22">
        <f>SUMIF(tabParametros[Código do Posto],tabCustoUnit[[#This Row],[Código do Posto]],tabParametros[Despesas de Viagem])</f>
        <v>0</v>
      </c>
      <c r="AK251" s="22" t="e">
        <f ca="1">SUM(tabCustoUnit[[#This Row],[Vale - Transporte (Descontada parcela do empregado)]:[Despesas de Viagem]])</f>
        <v>#NAME?</v>
      </c>
      <c r="AL251" s="22" t="e">
        <f ca="1">tabCustoUnit[[#This Row],[Submódulo 2.1]]+tabCustoUnit[[#This Row],[Submódulo 2.2]]+tabCustoUnit[[#This Row],[Submódulo 2.3]]</f>
        <v>#NAME?</v>
      </c>
      <c r="AM251" s="22">
        <f>SUMIF(tabParametros[Código do Posto],tabCustoUnit[[#This Row],[Código do Posto]],tabParametros[Aviso Prévio Indenizado (API) e Reflexo do Aviso Prévio Indenizado])*tabCustoUnit[[#This Row],[MODULO 1 - REMUNERAÇÃO ]]</f>
        <v>23.819888151890432</v>
      </c>
      <c r="AN251" s="22">
        <f>SUMIF(tabParametros[Código do Posto],tabCustoUnit[[#This Row],[Código do Posto]],tabParametros[Incidência do FGTS sobre API e Reflexo do API])*tabCustoUnit[[#This Row],[MODULO 1 - REMUNERAÇÃO ]]</f>
        <v>1.9055910521512347</v>
      </c>
      <c r="AO251" s="22">
        <f>SUMIF(tabParametros[Código do Posto],tabCustoUnit[[#This Row],[Código do Posto]],tabParametros[Multa Rescisória do FGTS sobre o Aviso Prévio Indenizado])*tabCustoUnit[[#This Row],[MODULO 1 - REMUNERAÇÃO ]]</f>
        <v>0.76223642086049392</v>
      </c>
      <c r="AP251" s="22">
        <f>SUMIF(tabParametros[Código do Posto],tabCustoUnit[[#This Row],[Código do Posto]],tabParametros[Aviso Prévio Trabalhado - APT])*tabCustoUnit[[#This Row],[MODULO 1 - REMUNERAÇÃO ]]</f>
        <v>11.889957100000002</v>
      </c>
      <c r="AQ251" s="22">
        <f>SUMIF(tabParametros[Código do Posto],tabCustoUnit[[#This Row],[Código do Posto]],tabParametros[Incidência dos encargos do submódulo 2.1 sobre Aviso Prévio Trabalhado])*tabCustoUnit[[#This Row],[MODULO 1 - REMUNERAÇÃO ]]</f>
        <v>4.4944037838000011</v>
      </c>
      <c r="AR251" s="22">
        <f>SUMIF(tabParametros[Código do Posto],tabCustoUnit[[#This Row],[Código do Posto]],tabParametros[Multa Rescisória do FGTS])*tabCustoUnit[[#This Row],[MODULO 1 - REMUNERAÇÃO ]]</f>
        <v>103.87670456888887</v>
      </c>
      <c r="AS251" s="22">
        <f>SUMIF(tabParametros[Código do Posto],tabCustoUnit[[#This Row],[Código do Posto]],tabParametros[Indenização Adicional (Art. 9º da Lei nº 7.238/84)])*tabCustoUnit[[#This Row],[MODULO 1 - REMUNERAÇÃO ]]</f>
        <v>2.830942166666667</v>
      </c>
      <c r="AT251" s="22">
        <f>SUM(tabCustoUnit[[#This Row],[Aviso Prévio Indenizado (API) e Reflexo do Aviso Prévio Indenizado]:[Indenização Adicional (Art. 9º da Lei nº 7.238/84)]])</f>
        <v>149.57972324425771</v>
      </c>
      <c r="AU251" s="22">
        <f>SUMIF(tabParametros[Código do Posto],tabCustoUnit[[#This Row],[Código do Posto]],tabParametros[Ausência por Doença])*tabCustoUnit[[#This Row],[MODULO 1 - REMUNERAÇÃO ]]</f>
        <v>28.686880622222219</v>
      </c>
      <c r="AV251" s="22">
        <f>SUMIF(tabParametros[Código do Posto],tabCustoUnit[[#This Row],[Código do Posto]],tabParametros[Ausências Legais])*tabCustoUnit[[#This Row],[MODULO 1 - REMUNERAÇÃO ]]</f>
        <v>6.8886259388888886</v>
      </c>
      <c r="AW251" s="22">
        <f>SUMIF(tabParametros[Código do Posto],tabCustoUnit[[#This Row],[Código do Posto]],tabParametros[Licença Paternidade])*tabCustoUnit[[#This Row],[MODULO 1 - REMUNERAÇÃO ]]</f>
        <v>0.58034314416666666</v>
      </c>
      <c r="AX251" s="22">
        <f>SUMIF(tabParametros[Código do Posto],tabCustoUnit[[#This Row],[Código do Posto]],tabParametros[Ausência por Acidente de Trabalho])*tabCustoUnit[[#This Row],[MODULO 1 - REMUNERAÇÃO ]]</f>
        <v>0.70773554166666675</v>
      </c>
      <c r="AY251" s="22">
        <f>SUMIF(tabParametros[Código do Posto],tabCustoUnit[[#This Row],[Código do Posto]],tabParametros[Férias, Adicional de Férias e 13º  com empregada em gozo de Licença Maternidade])*tabCustoUnit[[#This Row],[MODULO 1 - REMUNERAÇÃO ]]</f>
        <v>4.4036878148148144</v>
      </c>
      <c r="AZ251" s="22">
        <f>SUMIF(tabParametros[Código do Posto],tabCustoUnit[[#This Row],[Código do Posto]],tabParametros[Incidência do Submódulo 2.1 sobre Ausências Legais])*tabCustoUnit[[#This Row],[MODULO 1 - REMUNERAÇÃO ]]</f>
        <v>15.599029217345002</v>
      </c>
      <c r="BA251" s="22">
        <f>SUM(tabCustoUnit[[#This Row],[Ausência por Doença]:[Incidência do Submódulo 2.1 sobre Ausências Legais]])</f>
        <v>56.866302279104261</v>
      </c>
      <c r="BB251" s="22">
        <f>SUMIF(tabParametros[Código do Posto],tabCustoUnit[[#This Row],[Código do Posto]],tabParametros[Intervalo para Repouso ou Alimentação])</f>
        <v>0</v>
      </c>
      <c r="BC251" s="22">
        <f>tabCustoUnit[[#This Row],[Intervalo para Repouso ou Alimentação]]</f>
        <v>0</v>
      </c>
      <c r="BD25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1" s="22">
        <f>tabCustoUnit[[#This Row],[Suspensão Temporária do Contrato de Trabalho]]</f>
        <v>0</v>
      </c>
      <c r="BF251" s="22">
        <f>tabCustoUnit[[#This Row],[Submódulo 4.1]]+tabCustoUnit[[#This Row],[Submódulo 4.2]]+tabCustoUnit[[#This Row],[Submódulo 4.3]]</f>
        <v>56.866302279104261</v>
      </c>
      <c r="BG251" s="22">
        <f>VLOOKUP(tabCustoUnit[[#This Row],[Código do Posto]],tabParametros[],MATCH(tabCustoUnit[[#Headers],[Uniformes e EPIs]],tabParametros[#Headers],0),0)</f>
        <v>56.642978962543395</v>
      </c>
      <c r="BH251" s="22">
        <f>VLOOKUP(tabCustoUnit[[#This Row],[Código do Posto]],tabParametros[],MATCH(tabCustoUnit[[#Headers],[Materiais de Consumo]],tabParametros[#Headers],0),0)</f>
        <v>0</v>
      </c>
      <c r="BI251" s="22">
        <f>VLOOKUP(tabCustoUnit[[#This Row],[Código do Posto]],tabParametros[],MATCH(tabCustoUnit[[#Headers],[Máquinas e Equipamentos (depreciação)]],tabParametros[#Headers],0),0)</f>
        <v>0</v>
      </c>
      <c r="BJ251" s="22">
        <f>VLOOKUP(tabCustoUnit[[#This Row],[Código do Posto]],tabParametros[],MATCH(tabCustoUnit[[#Headers],[Produtos de Limpeza e Materiais de Higiene Pessoal]],tabParametros[#Headers],0),0)</f>
        <v>0</v>
      </c>
      <c r="BK251" s="22">
        <f>VLOOKUP(tabCustoUnit[[#This Row],[Código do Posto]],tabParametros[],MATCH(tabCustoUnit[[#Headers],[Outros (especificar)]],tabParametros[#Headers],0),0)</f>
        <v>0</v>
      </c>
      <c r="BL251" s="22">
        <f>SUM(tabCustoUnit[[#This Row],[Uniformes e EPIs]:[Outros (especificar)]])</f>
        <v>56.642978962543395</v>
      </c>
      <c r="BM25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1" s="22" t="e">
        <f ca="1">VLOOKUP(tabCustoUnit[[#This Row],[Código do Posto]],tabParametros[],MATCH(tabCustoUnit[[#Headers],[Custos Indiretos]],tabParametros[#Headers],0),0)</f>
        <v>#NAME?</v>
      </c>
      <c r="BO251" s="22" t="e">
        <f ca="1">VLOOKUP(tabCustoUnit[[#This Row],[Código do Posto]],tabParametros[],MATCH(tabCustoUnit[[#Headers],[Lucro]],tabParametros[#Headers],0),0)</f>
        <v>#NAME?</v>
      </c>
      <c r="BP251" s="26">
        <f>((100/((1-tabCustoUnit[[#This Row],[Resumo de Alíquotas (PIS+CONFINS+ISS)]]))-100)*VLOOKUP(tabCustoUnit[[#This Row],[Código do Posto]],tabParametros[],MATCH(tabCustoUnit[[#Headers],[COFINS]],tabParametros[#Headers],0),0))/(tabCustoUnit[[#This Row],[Resumo de Alíquotas (PIS+CONFINS+ISS)]]*100)</f>
        <v>8.6314593980692772E-2</v>
      </c>
      <c r="BQ251" s="26">
        <f>((100/((100-(tabCustoUnit[[#This Row],[Resumo de Alíquotas (PIS+CONFINS+ISS)]]*100))%)-100)*VLOOKUP(tabCustoUnit[[#This Row],[Código do Posto]],tabParametros[],MATCH(tabCustoUnit[[#Headers],[PIS]],tabParametros[#Headers],0),0))/(tabCustoUnit[[#This Row],[Resumo de Alíquotas (PIS+CONFINS+ISS)]]*100)</f>
        <v>1.8739352640545163E-2</v>
      </c>
      <c r="BR251" s="28">
        <f>VLOOKUP(tabCustoUnit[[#This Row],[Código do Posto]],tabParametros[],MATCH(tabCustoUnit[[#Headers],[ISS]],tabParametros[#Headers],0),0)</f>
        <v>2.7000000000000003E-2</v>
      </c>
      <c r="BS251" s="26">
        <f>(((100/((100-(tabCustoUnit[[#This Row],[Resumo de Alíquotas (PIS+CONFINS+ISS)]]*100))%)-100)*tabCustoUnit[[#This Row],[ISS]])/tabCustoUnit[[#This Row],[Resumo de Alíquotas (PIS+CONFINS+ISS)]])/100</f>
        <v>3.0664395229982992E-2</v>
      </c>
      <c r="BT25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0.1195</v>
      </c>
      <c r="BU251" s="138">
        <f>tabCustoUnit[[#This Row],[COFINS]]+tabCustoUnit[[#This Row],[PIS]]+tabCustoUnit[[#This Row],[ISS (Conversão Alíquota s/ fatura)]]</f>
        <v>0.13571834185122092</v>
      </c>
      <c r="BV251" s="22" t="e">
        <f ca="1">(tabCustoUnit[[#This Row],[TOTAL MÓDULOS 1+2+3+4+5]]+tabCustoUnit[[#This Row],[Custos Indiretos]]+tabCustoUnit[[#This Row],[Lucro]])*tabCustoUnit[[#This Row],[PIS + COFINS + ISS (Total Conversão  Alíquota s/ Fatura)]]</f>
        <v>#NAME?</v>
      </c>
      <c r="BW251" s="22" t="e">
        <f ca="1">tabCustoUnit[[#This Row],[Custos Indiretos]]+tabCustoUnit[[#This Row],[Lucro]]+tabCustoUnit[[#This Row],[Valor dos Tributos (ISS, PIS, CONFINS)]]</f>
        <v>#NAME?</v>
      </c>
      <c r="BX251" s="22" t="e">
        <f ca="1">tabCustoUnit[[#This Row],[TOTAL MÓDULOS 1+2+3+4+5]]+tabCustoUnit[[#This Row],[MÓDULO 6 – CUSTOS INDIRETOS, TRIBUTOS E LUCRO]]</f>
        <v>#NAME?</v>
      </c>
      <c r="BY251" s="22" t="e">
        <f ca="1">tabCustoUnit[[#This Row],[CUSTO TOTAL MENSAL]]*12</f>
        <v>#NAME?</v>
      </c>
      <c r="BZ251" s="24">
        <f>VLOOKUP(tabCustoUnit[[#This Row],[Código do Posto]],tabParametros[],MATCH(tabCustoUnit[[#Headers],[ANO DA CCT]],tabParametros[#Headers],0),0)</f>
        <v>45658</v>
      </c>
      <c r="CA251" s="25" t="str">
        <f>VLOOKUP(tabCustoUnit[[#This Row],[Código do Posto]],tabParametros[],MATCH(tabCustoUnit[[#Headers],[Nº DE PEDIDO DA CCT]],tabParametros[#Headers],0),0)</f>
        <v>-</v>
      </c>
      <c r="CB251" s="25" t="str">
        <f>VLOOKUP(tabCustoUnit[[#This Row],[Código do Posto]],tabParametros[],MATCH(tabCustoUnit[[#Headers],[TERMO ADITIVO ALTERAÇÃO DA CCT]],tabParametros[#Headers],0),0)</f>
        <v>-</v>
      </c>
    </row>
    <row r="252" spans="1:80">
      <c r="A252" s="20" t="s">
        <v>1675</v>
      </c>
      <c r="B252" t="s">
        <v>1184</v>
      </c>
      <c r="C252" t="s">
        <v>319</v>
      </c>
      <c r="D252" t="s">
        <v>957</v>
      </c>
      <c r="E252" s="20" t="s">
        <v>1090</v>
      </c>
      <c r="F252" s="20" t="s">
        <v>120</v>
      </c>
      <c r="G252" s="418">
        <v>2316.2296999999999</v>
      </c>
      <c r="H252" s="418">
        <v>0</v>
      </c>
      <c r="I252" s="418">
        <v>0</v>
      </c>
      <c r="J252" s="418">
        <v>0</v>
      </c>
      <c r="K252" s="418">
        <v>0</v>
      </c>
      <c r="L252" s="418">
        <v>0</v>
      </c>
      <c r="M252" s="418">
        <v>0</v>
      </c>
      <c r="N252" s="418">
        <v>0</v>
      </c>
      <c r="O252" s="21">
        <f>SUM(tabCustoUnit[[#This Row],[Salário Base]:[Adicional de Acúmulo de função]])</f>
        <v>2316.2296999999999</v>
      </c>
      <c r="P252" s="21">
        <f>tabCustoUnit[[#This Row],[MODULO 1 - REMUNERAÇÃO ]]*SUMIFS(tabParametros[INSS],tabParametros[Código do Posto],tabCustoUnit[[#This Row],[Código do Posto]])</f>
        <v>463.24594000000002</v>
      </c>
      <c r="Q252" s="21">
        <f>tabCustoUnit[[#This Row],[MODULO 1 - REMUNERAÇÃO ]]*SUMIFS(tabParametros[SESI OU SESC],tabParametros[Código do Posto],tabCustoUnit[[#This Row],[Código do Posto]])</f>
        <v>34.7434455</v>
      </c>
      <c r="R252" s="21">
        <f>tabCustoUnit[[#This Row],[MODULO 1 - REMUNERAÇÃO ]]*SUMIFS(tabParametros[SENAI OU SENAC],tabParametros[Código do Posto],tabCustoUnit[[#This Row],[Código do Posto]])</f>
        <v>23.162296999999999</v>
      </c>
      <c r="S252" s="21">
        <f>tabCustoUnit[[#This Row],[MODULO 1 - REMUNERAÇÃO ]]*SUMIFS(tabParametros[INCRA],tabParametros[Código do Posto],tabCustoUnit[[#This Row],[Código do Posto]])</f>
        <v>4.6324594000000001</v>
      </c>
      <c r="T252" s="21">
        <f>tabCustoUnit[[#This Row],[MODULO 1 - REMUNERAÇÃO ]]*SUMIFS(tabParametros[Salário Educação],tabParametros[Código do Posto],tabCustoUnit[[#This Row],[Código do Posto]])</f>
        <v>57.905742500000002</v>
      </c>
      <c r="U252" s="21">
        <f>tabCustoUnit[[#This Row],[MODULO 1 - REMUNERAÇÃO ]]*SUMIFS(tabParametros[FGTS],tabParametros[Código do Posto],tabCustoUnit[[#This Row],[Código do Posto]])</f>
        <v>185.29837599999999</v>
      </c>
      <c r="V252" s="21">
        <f>tabCustoUnit[[#This Row],[MODULO 1 - REMUNERAÇÃO ]]*SUMIFS(tabParametros[RAT Ajustado],tabParametros[Código do Posto],tabCustoUnit[[#This Row],[Código do Posto]])</f>
        <v>92.649187999999995</v>
      </c>
      <c r="W252" s="21">
        <f>tabCustoUnit[[#This Row],[MODULO 1 - REMUNERAÇÃO ]]*SUMIFS(tabParametros[SEBRAE],tabParametros[Código do Posto],tabCustoUnit[[#This Row],[Código do Posto]])</f>
        <v>13.8973782</v>
      </c>
      <c r="X252" s="21">
        <f>SUM(tabCustoUnit[[#This Row],[INSS]:[SEBRAE]])</f>
        <v>875.53482659999997</v>
      </c>
      <c r="Y252" s="21">
        <f>tabCustoUnit[[#This Row],[MODULO 1 - REMUNERAÇÃO ]]*SUMIFS(tabParametros[13º salário (titular)],tabParametros[Código do Posto],tabCustoUnit[[#This Row],[Código do Posto]])</f>
        <v>193.01914166666666</v>
      </c>
      <c r="Z252" s="21">
        <f>tabCustoUnit[[#This Row],[MODULO 1 - REMUNERAÇÃO ]]*SUMIFS(tabParametros[Férias e Adicional de Férias (titular)],tabParametros[Código do Posto],tabCustoUnit[[#This Row],[Código do Posto]])</f>
        <v>257.35885555555552</v>
      </c>
      <c r="AA252" s="21">
        <f>IFERROR((tabCustoUnit[[#This Row],[Submódulo 2.1]]/tabCustoUnit[[#This Row],[MODULO 1 - REMUNERAÇÃO ]])*SUM(tabCustoUnit[[#This Row],[13º salário (titular)]:[Férias e Adicional de Férias (titular)]]),0)</f>
        <v>170.24288294999999</v>
      </c>
      <c r="AB252" s="21">
        <f>SUM(tabCustoUnit[[#This Row],[13º salário (titular)]:[Incidência do Submódulo 2.1 sobre 13º Salário, Férias e Adicional de Férias]])</f>
        <v>620.6208801722222</v>
      </c>
      <c r="AC252" s="22" t="e">
        <f ca="1">_xlfn.LET(_xlpm.VT,SUMIF(tabParametros[Código do Posto],tabCustoUnit[[#This Row],[Código do Posto]],tabParametros[Vale - Transporte])*2*20,
IF((_xlpm.VT-tabCustoUnit[[#This Row],[Salário Base]]*0.06)&gt;=0,(_xlpm.VT-tabCustoUnit[[#This Row],[Salário Base]]*0.06),0)
)</f>
        <v>#NAME?</v>
      </c>
      <c r="AD252" s="22">
        <f>IF(SUMIF(tabParametros[Código do Posto],tabCustoUnit[[#This Row],[Código do Posto]],tabParametros[Vale - Alimentação])&lt;=0,0,
SUMIF(tabParametros[Código do Posto],tabCustoUnit[[#This Row],[Código do Posto]],tabParametros[Vale - Alimentação])*20-1)</f>
        <v>582</v>
      </c>
      <c r="AE252" s="22">
        <f>SUMIF(tabParametros[Código do Posto],tabCustoUnit[[#This Row],[Código do Posto]],tabParametros[Cesta Básica])</f>
        <v>0</v>
      </c>
      <c r="AF252" s="22">
        <f>SUMIF(tabParametros[Código do Posto],tabCustoUnit[[#This Row],[Código do Posto]],tabParametros[PAF])</f>
        <v>0</v>
      </c>
      <c r="AG252" s="22">
        <f>SUMIF(tabParametros[Código do Posto],tabCustoUnit[[#This Row],[Código do Posto]],tabParametros[PQM])</f>
        <v>0</v>
      </c>
      <c r="AH252" s="22">
        <f>SUMIF(tabParametros[Código do Posto],tabCustoUnit[[#This Row],[Código do Posto]],tabParametros[Abono Único e Especial])</f>
        <v>0</v>
      </c>
      <c r="AI252" s="22">
        <f>SUMIF(tabParametros[Código do Posto],tabCustoUnit[[#This Row],[Código do Posto]],tabParametros[Seguro de Vida])</f>
        <v>3.36</v>
      </c>
      <c r="AJ252" s="22">
        <f>SUMIF(tabParametros[Código do Posto],tabCustoUnit[[#This Row],[Código do Posto]],tabParametros[Despesas de Viagem])</f>
        <v>0</v>
      </c>
      <c r="AK252" s="22" t="e">
        <f ca="1">SUM(tabCustoUnit[[#This Row],[Vale - Transporte (Descontada parcela do empregado)]:[Despesas de Viagem]])</f>
        <v>#NAME?</v>
      </c>
      <c r="AL252" s="22" t="e">
        <f ca="1">tabCustoUnit[[#This Row],[Submódulo 2.1]]+tabCustoUnit[[#This Row],[Submódulo 2.2]]+tabCustoUnit[[#This Row],[Submódulo 2.3]]</f>
        <v>#NAME?</v>
      </c>
      <c r="AM252" s="22">
        <f>SUMIF(tabParametros[Código do Posto],tabCustoUnit[[#This Row],[Código do Posto]],tabParametros[Aviso Prévio Indenizado (API) e Reflexo do Aviso Prévio Indenizado])*tabCustoUnit[[#This Row],[MODULO 1 - REMUNERAÇÃO ]]</f>
        <v>16.240862917689043</v>
      </c>
      <c r="AN252" s="22">
        <f>SUMIF(tabParametros[Código do Posto],tabCustoUnit[[#This Row],[Código do Posto]],tabParametros[Incidência do FGTS sobre API e Reflexo do API])*tabCustoUnit[[#This Row],[MODULO 1 - REMUNERAÇÃO ]]</f>
        <v>1.2992690334151236</v>
      </c>
      <c r="AO252" s="22">
        <f>SUMIF(tabParametros[Código do Posto],tabCustoUnit[[#This Row],[Código do Posto]],tabParametros[Multa Rescisória do FGTS sobre o Aviso Prévio Indenizado])*tabCustoUnit[[#This Row],[MODULO 1 - REMUNERAÇÃO ]]</f>
        <v>0.51970761336604943</v>
      </c>
      <c r="AP252" s="22">
        <f>SUMIF(tabParametros[Código do Posto],tabCustoUnit[[#This Row],[Código do Posto]],tabParametros[Aviso Prévio Trabalhado - APT])*tabCustoUnit[[#This Row],[MODULO 1 - REMUNERAÇÃO ]]</f>
        <v>8.1068039500000015</v>
      </c>
      <c r="AQ252" s="22">
        <f>SUMIF(tabParametros[Código do Posto],tabCustoUnit[[#This Row],[Código do Posto]],tabParametros[Incidência dos encargos do submódulo 2.1 sobre Aviso Prévio Trabalhado])*tabCustoUnit[[#This Row],[MODULO 1 - REMUNERAÇÃO ]]</f>
        <v>3.0643718931000006</v>
      </c>
      <c r="AR252" s="22">
        <f>SUMIF(tabParametros[Código do Posto],tabCustoUnit[[#This Row],[Código do Posto]],tabParametros[Multa Rescisória do FGTS])*tabCustoUnit[[#This Row],[MODULO 1 - REMUNERAÇÃO ]]</f>
        <v>70.825157048888869</v>
      </c>
      <c r="AS252" s="22">
        <f>SUMIF(tabParametros[Código do Posto],tabCustoUnit[[#This Row],[Código do Posto]],tabParametros[Indenização Adicional (Art. 9º da Lei nº 7.238/84)])*tabCustoUnit[[#This Row],[MODULO 1 - REMUNERAÇÃO ]]</f>
        <v>1.9301914166666667</v>
      </c>
      <c r="AT252" s="22">
        <f>SUM(tabCustoUnit[[#This Row],[Aviso Prévio Indenizado (API) e Reflexo do Aviso Prévio Indenizado]:[Indenização Adicional (Art. 9º da Lei nº 7.238/84)]])</f>
        <v>101.98636387312575</v>
      </c>
      <c r="AU252" s="22">
        <f>SUMIF(tabParametros[Código do Posto],tabCustoUnit[[#This Row],[Código do Posto]],tabParametros[Ausência por Doença])*tabCustoUnit[[#This Row],[MODULO 1 - REMUNERAÇÃO ]]</f>
        <v>19.559273022222218</v>
      </c>
      <c r="AV252" s="22">
        <f>SUMIF(tabParametros[Código do Posto],tabCustoUnit[[#This Row],[Código do Posto]],tabParametros[Ausências Legais])*tabCustoUnit[[#This Row],[MODULO 1 - REMUNERAÇÃO ]]</f>
        <v>4.696799113888888</v>
      </c>
      <c r="AW252" s="22">
        <f>SUMIF(tabParametros[Código do Posto],tabCustoUnit[[#This Row],[Código do Posto]],tabParametros[Licença Paternidade])*tabCustoUnit[[#This Row],[MODULO 1 - REMUNERAÇÃO ]]</f>
        <v>0.39568924041666664</v>
      </c>
      <c r="AX252" s="22">
        <f>SUMIF(tabParametros[Código do Posto],tabCustoUnit[[#This Row],[Código do Posto]],tabParametros[Ausência por Acidente de Trabalho])*tabCustoUnit[[#This Row],[MODULO 1 - REMUNERAÇÃO ]]</f>
        <v>0.48254785416666668</v>
      </c>
      <c r="AY252" s="22">
        <f>SUMIF(tabParametros[Código do Posto],tabCustoUnit[[#This Row],[Código do Posto]],tabParametros[Férias, Adicional de Férias e 13º  com empregada em gozo de Licença Maternidade])*tabCustoUnit[[#This Row],[MODULO 1 - REMUNERAÇÃO ]]</f>
        <v>3.0025199814814814</v>
      </c>
      <c r="AZ252" s="22">
        <f>SUMIF(tabParametros[Código do Posto],tabCustoUnit[[#This Row],[Código do Posto]],tabParametros[Incidência do Submódulo 2.1 sobre Ausências Legais])*tabCustoUnit[[#This Row],[MODULO 1 - REMUNERAÇÃO ]]</f>
        <v>10.635721442202501</v>
      </c>
      <c r="BA252" s="22">
        <f>SUM(tabCustoUnit[[#This Row],[Ausência por Doença]:[Incidência do Submódulo 2.1 sobre Ausências Legais]])</f>
        <v>38.772550654378421</v>
      </c>
      <c r="BB252" s="22">
        <f>SUMIF(tabParametros[Código do Posto],tabCustoUnit[[#This Row],[Código do Posto]],tabParametros[Intervalo para Repouso ou Alimentação])</f>
        <v>0</v>
      </c>
      <c r="BC252" s="22">
        <f>tabCustoUnit[[#This Row],[Intervalo para Repouso ou Alimentação]]</f>
        <v>0</v>
      </c>
      <c r="BD25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2" s="22">
        <f>tabCustoUnit[[#This Row],[Suspensão Temporária do Contrato de Trabalho]]</f>
        <v>0</v>
      </c>
      <c r="BF252" s="22">
        <f>tabCustoUnit[[#This Row],[Submódulo 4.1]]+tabCustoUnit[[#This Row],[Submódulo 4.2]]+tabCustoUnit[[#This Row],[Submódulo 4.3]]</f>
        <v>38.772550654378421</v>
      </c>
      <c r="BG252" s="22">
        <f>VLOOKUP(tabCustoUnit[[#This Row],[Código do Posto]],tabParametros[],MATCH(tabCustoUnit[[#Headers],[Uniformes e EPIs]],tabParametros[#Headers],0),0)</f>
        <v>56.642978962543395</v>
      </c>
      <c r="BH252" s="22">
        <f>VLOOKUP(tabCustoUnit[[#This Row],[Código do Posto]],tabParametros[],MATCH(tabCustoUnit[[#Headers],[Materiais de Consumo]],tabParametros[#Headers],0),0)</f>
        <v>0</v>
      </c>
      <c r="BI252" s="22">
        <f>VLOOKUP(tabCustoUnit[[#This Row],[Código do Posto]],tabParametros[],MATCH(tabCustoUnit[[#Headers],[Máquinas e Equipamentos (depreciação)]],tabParametros[#Headers],0),0)</f>
        <v>0</v>
      </c>
      <c r="BJ252" s="22">
        <f>VLOOKUP(tabCustoUnit[[#This Row],[Código do Posto]],tabParametros[],MATCH(tabCustoUnit[[#Headers],[Produtos de Limpeza e Materiais de Higiene Pessoal]],tabParametros[#Headers],0),0)</f>
        <v>0</v>
      </c>
      <c r="BK252" s="22">
        <f>VLOOKUP(tabCustoUnit[[#This Row],[Código do Posto]],tabParametros[],MATCH(tabCustoUnit[[#Headers],[Outros (especificar)]],tabParametros[#Headers],0),0)</f>
        <v>0</v>
      </c>
      <c r="BL252" s="22">
        <f>SUM(tabCustoUnit[[#This Row],[Uniformes e EPIs]:[Outros (especificar)]])</f>
        <v>56.642978962543395</v>
      </c>
      <c r="BM25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2" s="22" t="e">
        <f ca="1">VLOOKUP(tabCustoUnit[[#This Row],[Código do Posto]],tabParametros[],MATCH(tabCustoUnit[[#Headers],[Custos Indiretos]],tabParametros[#Headers],0),0)</f>
        <v>#NAME?</v>
      </c>
      <c r="BO252" s="22" t="e">
        <f ca="1">VLOOKUP(tabCustoUnit[[#This Row],[Código do Posto]],tabParametros[],MATCH(tabCustoUnit[[#Headers],[Lucro]],tabParametros[#Headers],0),0)</f>
        <v>#NAME?</v>
      </c>
      <c r="BP252" s="26">
        <f>((100/((1-tabCustoUnit[[#This Row],[Resumo de Alíquotas (PIS+CONFINS+ISS)]]))-100)*VLOOKUP(tabCustoUnit[[#This Row],[Código do Posto]],tabParametros[],MATCH(tabCustoUnit[[#Headers],[COFINS]],tabParametros[#Headers],0),0))/(tabCustoUnit[[#This Row],[Resumo de Alíquotas (PIS+CONFINS+ISS)]]*100)</f>
        <v>8.6609686609686695E-2</v>
      </c>
      <c r="BQ252" s="26">
        <f>((100/((100-(tabCustoUnit[[#This Row],[Resumo de Alíquotas (PIS+CONFINS+ISS)]]*100))%)-100)*VLOOKUP(tabCustoUnit[[#This Row],[Código do Posto]],tabParametros[],MATCH(tabCustoUnit[[#Headers],[PIS]],tabParametros[#Headers],0),0))/(tabCustoUnit[[#This Row],[Resumo de Alíquotas (PIS+CONFINS+ISS)]]*100)</f>
        <v>1.880341880341882E-2</v>
      </c>
      <c r="BR252" s="28">
        <f>VLOOKUP(tabCustoUnit[[#This Row],[Código do Posto]],tabParametros[],MATCH(tabCustoUnit[[#Headers],[ISS]],tabParametros[#Headers],0),0)</f>
        <v>0.03</v>
      </c>
      <c r="BS252" s="26">
        <f>(((100/((100-(tabCustoUnit[[#This Row],[Resumo de Alíquotas (PIS+CONFINS+ISS)]]*100))%)-100)*tabCustoUnit[[#This Row],[ISS]])/tabCustoUnit[[#This Row],[Resumo de Alíquotas (PIS+CONFINS+ISS)]])/100</f>
        <v>3.4188034188034219E-2</v>
      </c>
      <c r="BT25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52" s="138">
        <f>tabCustoUnit[[#This Row],[COFINS]]+tabCustoUnit[[#This Row],[PIS]]+tabCustoUnit[[#This Row],[ISS (Conversão Alíquota s/ fatura)]]</f>
        <v>0.13960113960113973</v>
      </c>
      <c r="BV252" s="22" t="e">
        <f ca="1">(tabCustoUnit[[#This Row],[TOTAL MÓDULOS 1+2+3+4+5]]+tabCustoUnit[[#This Row],[Custos Indiretos]]+tabCustoUnit[[#This Row],[Lucro]])*tabCustoUnit[[#This Row],[PIS + COFINS + ISS (Total Conversão  Alíquota s/ Fatura)]]</f>
        <v>#NAME?</v>
      </c>
      <c r="BW252" s="22" t="e">
        <f ca="1">tabCustoUnit[[#This Row],[Custos Indiretos]]+tabCustoUnit[[#This Row],[Lucro]]+tabCustoUnit[[#This Row],[Valor dos Tributos (ISS, PIS, CONFINS)]]</f>
        <v>#NAME?</v>
      </c>
      <c r="BX252" s="22" t="e">
        <f ca="1">tabCustoUnit[[#This Row],[TOTAL MÓDULOS 1+2+3+4+5]]+tabCustoUnit[[#This Row],[MÓDULO 6 – CUSTOS INDIRETOS, TRIBUTOS E LUCRO]]</f>
        <v>#NAME?</v>
      </c>
      <c r="BY252" s="22" t="e">
        <f ca="1">tabCustoUnit[[#This Row],[CUSTO TOTAL MENSAL]]*12</f>
        <v>#NAME?</v>
      </c>
      <c r="BZ252" s="24">
        <f>VLOOKUP(tabCustoUnit[[#This Row],[Código do Posto]],tabParametros[],MATCH(tabCustoUnit[[#Headers],[ANO DA CCT]],tabParametros[#Headers],0),0)</f>
        <v>45658</v>
      </c>
      <c r="CA252" s="25" t="str">
        <f>VLOOKUP(tabCustoUnit[[#This Row],[Código do Posto]],tabParametros[],MATCH(tabCustoUnit[[#Headers],[Nº DE PEDIDO DA CCT]],tabParametros[#Headers],0),0)</f>
        <v>-</v>
      </c>
      <c r="CB252" s="25" t="str">
        <f>VLOOKUP(tabCustoUnit[[#This Row],[Código do Posto]],tabParametros[],MATCH(tabCustoUnit[[#Headers],[TERMO ADITIVO ALTERAÇÃO DA CCT]],tabParametros[#Headers],0),0)</f>
        <v>-</v>
      </c>
    </row>
    <row r="253" spans="1:80">
      <c r="A253" s="20" t="s">
        <v>1676</v>
      </c>
      <c r="B253" t="s">
        <v>1185</v>
      </c>
      <c r="C253" t="s">
        <v>324</v>
      </c>
      <c r="D253" t="s">
        <v>1048</v>
      </c>
      <c r="E253" s="20" t="s">
        <v>1090</v>
      </c>
      <c r="F253" s="20" t="s">
        <v>120</v>
      </c>
      <c r="G253" s="418">
        <v>3397.1306</v>
      </c>
      <c r="H253" s="418">
        <v>0</v>
      </c>
      <c r="I253" s="418">
        <v>0</v>
      </c>
      <c r="J253" s="418">
        <v>0</v>
      </c>
      <c r="K253" s="418">
        <v>0</v>
      </c>
      <c r="L253" s="418">
        <v>0</v>
      </c>
      <c r="M253" s="418">
        <v>0</v>
      </c>
      <c r="N253" s="418">
        <v>0</v>
      </c>
      <c r="O253" s="21">
        <f>SUM(tabCustoUnit[[#This Row],[Salário Base]:[Adicional de Acúmulo de função]])</f>
        <v>3397.1306</v>
      </c>
      <c r="P253" s="21">
        <f>tabCustoUnit[[#This Row],[MODULO 1 - REMUNERAÇÃO ]]*SUMIFS(tabParametros[INSS],tabParametros[Código do Posto],tabCustoUnit[[#This Row],[Código do Posto]])</f>
        <v>679.42612000000008</v>
      </c>
      <c r="Q253" s="21">
        <f>tabCustoUnit[[#This Row],[MODULO 1 - REMUNERAÇÃO ]]*SUMIFS(tabParametros[SESI OU SESC],tabParametros[Código do Posto],tabCustoUnit[[#This Row],[Código do Posto]])</f>
        <v>50.956958999999998</v>
      </c>
      <c r="R253" s="21">
        <f>tabCustoUnit[[#This Row],[MODULO 1 - REMUNERAÇÃO ]]*SUMIFS(tabParametros[SENAI OU SENAC],tabParametros[Código do Posto],tabCustoUnit[[#This Row],[Código do Posto]])</f>
        <v>33.971305999999998</v>
      </c>
      <c r="S253" s="21">
        <f>tabCustoUnit[[#This Row],[MODULO 1 - REMUNERAÇÃO ]]*SUMIFS(tabParametros[INCRA],tabParametros[Código do Posto],tabCustoUnit[[#This Row],[Código do Posto]])</f>
        <v>6.7942612000000002</v>
      </c>
      <c r="T253" s="21">
        <f>tabCustoUnit[[#This Row],[MODULO 1 - REMUNERAÇÃO ]]*SUMIFS(tabParametros[Salário Educação],tabParametros[Código do Posto],tabCustoUnit[[#This Row],[Código do Posto]])</f>
        <v>84.92826500000001</v>
      </c>
      <c r="U253" s="21">
        <f>tabCustoUnit[[#This Row],[MODULO 1 - REMUNERAÇÃO ]]*SUMIFS(tabParametros[FGTS],tabParametros[Código do Posto],tabCustoUnit[[#This Row],[Código do Posto]])</f>
        <v>271.77044799999999</v>
      </c>
      <c r="V253" s="21">
        <f>tabCustoUnit[[#This Row],[MODULO 1 - REMUNERAÇÃO ]]*SUMIFS(tabParametros[RAT Ajustado],tabParametros[Código do Posto],tabCustoUnit[[#This Row],[Código do Posto]])</f>
        <v>135.88522399999999</v>
      </c>
      <c r="W253" s="21">
        <f>tabCustoUnit[[#This Row],[MODULO 1 - REMUNERAÇÃO ]]*SUMIFS(tabParametros[SEBRAE],tabParametros[Código do Posto],tabCustoUnit[[#This Row],[Código do Posto]])</f>
        <v>20.3827836</v>
      </c>
      <c r="X253" s="21">
        <f>SUM(tabCustoUnit[[#This Row],[INSS]:[SEBRAE]])</f>
        <v>1284.1153668000002</v>
      </c>
      <c r="Y253" s="21">
        <f>tabCustoUnit[[#This Row],[MODULO 1 - REMUNERAÇÃO ]]*SUMIFS(tabParametros[13º salário (titular)],tabParametros[Código do Posto],tabCustoUnit[[#This Row],[Código do Posto]])</f>
        <v>283.09421666666663</v>
      </c>
      <c r="Z253" s="21">
        <f>tabCustoUnit[[#This Row],[MODULO 1 - REMUNERAÇÃO ]]*SUMIFS(tabParametros[Férias e Adicional de Férias (titular)],tabParametros[Código do Posto],tabCustoUnit[[#This Row],[Código do Posto]])</f>
        <v>377.45895555555552</v>
      </c>
      <c r="AA253" s="21">
        <f>IFERROR((tabCustoUnit[[#This Row],[Submódulo 2.1]]/tabCustoUnit[[#This Row],[MODULO 1 - REMUNERAÇÃO ]])*SUM(tabCustoUnit[[#This Row],[13º salário (titular)]:[Férias e Adicional de Férias (titular)]]),0)</f>
        <v>249.68909910000002</v>
      </c>
      <c r="AB253" s="21">
        <f>SUM(tabCustoUnit[[#This Row],[13º salário (titular)]:[Incidência do Submódulo 2.1 sobre 13º Salário, Férias e Adicional de Férias]])</f>
        <v>910.24227132222222</v>
      </c>
      <c r="AC253" s="22" t="e">
        <f ca="1">_xlfn.LET(_xlpm.VT,SUMIF(tabParametros[Código do Posto],tabCustoUnit[[#This Row],[Código do Posto]],tabParametros[Vale - Transporte])*2*20,
IF((_xlpm.VT-tabCustoUnit[[#This Row],[Salário Base]]*0.06)&gt;=0,(_xlpm.VT-tabCustoUnit[[#This Row],[Salário Base]]*0.06),0)
)</f>
        <v>#NAME?</v>
      </c>
      <c r="AD253" s="22">
        <f>IF(SUMIF(tabParametros[Código do Posto],tabCustoUnit[[#This Row],[Código do Posto]],tabParametros[Vale - Alimentação])&lt;=0,0,
SUMIF(tabParametros[Código do Posto],tabCustoUnit[[#This Row],[Código do Posto]],tabParametros[Vale - Alimentação])*20-1)</f>
        <v>582</v>
      </c>
      <c r="AE253" s="22">
        <f>SUMIF(tabParametros[Código do Posto],tabCustoUnit[[#This Row],[Código do Posto]],tabParametros[Cesta Básica])</f>
        <v>0</v>
      </c>
      <c r="AF253" s="22">
        <f>SUMIF(tabParametros[Código do Posto],tabCustoUnit[[#This Row],[Código do Posto]],tabParametros[PAF])</f>
        <v>51.86</v>
      </c>
      <c r="AG253" s="22">
        <f>SUMIF(tabParametros[Código do Posto],tabCustoUnit[[#This Row],[Código do Posto]],tabParametros[PQM])</f>
        <v>0</v>
      </c>
      <c r="AH253" s="22">
        <f>SUMIF(tabParametros[Código do Posto],tabCustoUnit[[#This Row],[Código do Posto]],tabParametros[Abono Único e Especial])</f>
        <v>0</v>
      </c>
      <c r="AI253" s="22">
        <f>SUMIF(tabParametros[Código do Posto],tabCustoUnit[[#This Row],[Código do Posto]],tabParametros[Seguro de Vida])</f>
        <v>3.36</v>
      </c>
      <c r="AJ253" s="22">
        <f>SUMIF(tabParametros[Código do Posto],tabCustoUnit[[#This Row],[Código do Posto]],tabParametros[Despesas de Viagem])</f>
        <v>0</v>
      </c>
      <c r="AK253" s="22" t="e">
        <f ca="1">SUM(tabCustoUnit[[#This Row],[Vale - Transporte (Descontada parcela do empregado)]:[Despesas de Viagem]])</f>
        <v>#NAME?</v>
      </c>
      <c r="AL253" s="22" t="e">
        <f ca="1">tabCustoUnit[[#This Row],[Submódulo 2.1]]+tabCustoUnit[[#This Row],[Submódulo 2.2]]+tabCustoUnit[[#This Row],[Submódulo 2.3]]</f>
        <v>#NAME?</v>
      </c>
      <c r="AM253" s="22">
        <f>SUMIF(tabParametros[Código do Posto],tabCustoUnit[[#This Row],[Código do Posto]],tabParametros[Aviso Prévio Indenizado (API) e Reflexo do Aviso Prévio Indenizado])*tabCustoUnit[[#This Row],[MODULO 1 - REMUNERAÇÃO ]]</f>
        <v>23.819888151890432</v>
      </c>
      <c r="AN253" s="22">
        <f>SUMIF(tabParametros[Código do Posto],tabCustoUnit[[#This Row],[Código do Posto]],tabParametros[Incidência do FGTS sobre API e Reflexo do API])*tabCustoUnit[[#This Row],[MODULO 1 - REMUNERAÇÃO ]]</f>
        <v>1.9055910521512347</v>
      </c>
      <c r="AO253" s="22">
        <f>SUMIF(tabParametros[Código do Posto],tabCustoUnit[[#This Row],[Código do Posto]],tabParametros[Multa Rescisória do FGTS sobre o Aviso Prévio Indenizado])*tabCustoUnit[[#This Row],[MODULO 1 - REMUNERAÇÃO ]]</f>
        <v>0.76223642086049392</v>
      </c>
      <c r="AP253" s="22">
        <f>SUMIF(tabParametros[Código do Posto],tabCustoUnit[[#This Row],[Código do Posto]],tabParametros[Aviso Prévio Trabalhado - APT])*tabCustoUnit[[#This Row],[MODULO 1 - REMUNERAÇÃO ]]</f>
        <v>11.889957100000002</v>
      </c>
      <c r="AQ253" s="22">
        <f>SUMIF(tabParametros[Código do Posto],tabCustoUnit[[#This Row],[Código do Posto]],tabParametros[Incidência dos encargos do submódulo 2.1 sobre Aviso Prévio Trabalhado])*tabCustoUnit[[#This Row],[MODULO 1 - REMUNERAÇÃO ]]</f>
        <v>4.4944037838000011</v>
      </c>
      <c r="AR253" s="22">
        <f>SUMIF(tabParametros[Código do Posto],tabCustoUnit[[#This Row],[Código do Posto]],tabParametros[Multa Rescisória do FGTS])*tabCustoUnit[[#This Row],[MODULO 1 - REMUNERAÇÃO ]]</f>
        <v>103.87670456888887</v>
      </c>
      <c r="AS253" s="22">
        <f>SUMIF(tabParametros[Código do Posto],tabCustoUnit[[#This Row],[Código do Posto]],tabParametros[Indenização Adicional (Art. 9º da Lei nº 7.238/84)])*tabCustoUnit[[#This Row],[MODULO 1 - REMUNERAÇÃO ]]</f>
        <v>2.830942166666667</v>
      </c>
      <c r="AT253" s="22">
        <f>SUM(tabCustoUnit[[#This Row],[Aviso Prévio Indenizado (API) e Reflexo do Aviso Prévio Indenizado]:[Indenização Adicional (Art. 9º da Lei nº 7.238/84)]])</f>
        <v>149.57972324425771</v>
      </c>
      <c r="AU253" s="22">
        <f>SUMIF(tabParametros[Código do Posto],tabCustoUnit[[#This Row],[Código do Posto]],tabParametros[Ausência por Doença])*tabCustoUnit[[#This Row],[MODULO 1 - REMUNERAÇÃO ]]</f>
        <v>28.686880622222219</v>
      </c>
      <c r="AV253" s="22">
        <f>SUMIF(tabParametros[Código do Posto],tabCustoUnit[[#This Row],[Código do Posto]],tabParametros[Ausências Legais])*tabCustoUnit[[#This Row],[MODULO 1 - REMUNERAÇÃO ]]</f>
        <v>6.8886259388888886</v>
      </c>
      <c r="AW253" s="22">
        <f>SUMIF(tabParametros[Código do Posto],tabCustoUnit[[#This Row],[Código do Posto]],tabParametros[Licença Paternidade])*tabCustoUnit[[#This Row],[MODULO 1 - REMUNERAÇÃO ]]</f>
        <v>0.58034314416666666</v>
      </c>
      <c r="AX253" s="22">
        <f>SUMIF(tabParametros[Código do Posto],tabCustoUnit[[#This Row],[Código do Posto]],tabParametros[Ausência por Acidente de Trabalho])*tabCustoUnit[[#This Row],[MODULO 1 - REMUNERAÇÃO ]]</f>
        <v>0.70773554166666675</v>
      </c>
      <c r="AY253" s="22">
        <f>SUMIF(tabParametros[Código do Posto],tabCustoUnit[[#This Row],[Código do Posto]],tabParametros[Férias, Adicional de Férias e 13º  com empregada em gozo de Licença Maternidade])*tabCustoUnit[[#This Row],[MODULO 1 - REMUNERAÇÃO ]]</f>
        <v>4.4036878148148144</v>
      </c>
      <c r="AZ253" s="22">
        <f>SUMIF(tabParametros[Código do Posto],tabCustoUnit[[#This Row],[Código do Posto]],tabParametros[Incidência do Submódulo 2.1 sobre Ausências Legais])*tabCustoUnit[[#This Row],[MODULO 1 - REMUNERAÇÃO ]]</f>
        <v>15.599029217345002</v>
      </c>
      <c r="BA253" s="22">
        <f>SUM(tabCustoUnit[[#This Row],[Ausência por Doença]:[Incidência do Submódulo 2.1 sobre Ausências Legais]])</f>
        <v>56.866302279104261</v>
      </c>
      <c r="BB253" s="22">
        <f>SUMIF(tabParametros[Código do Posto],tabCustoUnit[[#This Row],[Código do Posto]],tabParametros[Intervalo para Repouso ou Alimentação])</f>
        <v>0</v>
      </c>
      <c r="BC253" s="22">
        <f>tabCustoUnit[[#This Row],[Intervalo para Repouso ou Alimentação]]</f>
        <v>0</v>
      </c>
      <c r="BD25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3" s="22">
        <f>tabCustoUnit[[#This Row],[Suspensão Temporária do Contrato de Trabalho]]</f>
        <v>0</v>
      </c>
      <c r="BF253" s="22">
        <f>tabCustoUnit[[#This Row],[Submódulo 4.1]]+tabCustoUnit[[#This Row],[Submódulo 4.2]]+tabCustoUnit[[#This Row],[Submódulo 4.3]]</f>
        <v>56.866302279104261</v>
      </c>
      <c r="BG253" s="22">
        <f>VLOOKUP(tabCustoUnit[[#This Row],[Código do Posto]],tabParametros[],MATCH(tabCustoUnit[[#Headers],[Uniformes e EPIs]],tabParametros[#Headers],0),0)</f>
        <v>56.642978962543395</v>
      </c>
      <c r="BH253" s="22">
        <f>VLOOKUP(tabCustoUnit[[#This Row],[Código do Posto]],tabParametros[],MATCH(tabCustoUnit[[#Headers],[Materiais de Consumo]],tabParametros[#Headers],0),0)</f>
        <v>0</v>
      </c>
      <c r="BI253" s="22">
        <f>VLOOKUP(tabCustoUnit[[#This Row],[Código do Posto]],tabParametros[],MATCH(tabCustoUnit[[#Headers],[Máquinas e Equipamentos (depreciação)]],tabParametros[#Headers],0),0)</f>
        <v>0</v>
      </c>
      <c r="BJ253" s="22">
        <f>VLOOKUP(tabCustoUnit[[#This Row],[Código do Posto]],tabParametros[],MATCH(tabCustoUnit[[#Headers],[Produtos de Limpeza e Materiais de Higiene Pessoal]],tabParametros[#Headers],0),0)</f>
        <v>0</v>
      </c>
      <c r="BK253" s="22">
        <f>VLOOKUP(tabCustoUnit[[#This Row],[Código do Posto]],tabParametros[],MATCH(tabCustoUnit[[#Headers],[Outros (especificar)]],tabParametros[#Headers],0),0)</f>
        <v>0</v>
      </c>
      <c r="BL253" s="22">
        <f>SUM(tabCustoUnit[[#This Row],[Uniformes e EPIs]:[Outros (especificar)]])</f>
        <v>56.642978962543395</v>
      </c>
      <c r="BM25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3" s="22" t="e">
        <f ca="1">VLOOKUP(tabCustoUnit[[#This Row],[Código do Posto]],tabParametros[],MATCH(tabCustoUnit[[#Headers],[Custos Indiretos]],tabParametros[#Headers],0),0)</f>
        <v>#NAME?</v>
      </c>
      <c r="BO253" s="22" t="e">
        <f ca="1">VLOOKUP(tabCustoUnit[[#This Row],[Código do Posto]],tabParametros[],MATCH(tabCustoUnit[[#Headers],[Lucro]],tabParametros[#Headers],0),0)</f>
        <v>#NAME?</v>
      </c>
      <c r="BP253" s="26">
        <f>((100/((1-tabCustoUnit[[#This Row],[Resumo de Alíquotas (PIS+CONFINS+ISS)]]))-100)*VLOOKUP(tabCustoUnit[[#This Row],[Código do Posto]],tabParametros[],MATCH(tabCustoUnit[[#Headers],[COFINS]],tabParametros[#Headers],0),0))/(tabCustoUnit[[#This Row],[Resumo de Alíquotas (PIS+CONFINS+ISS)]]*100)</f>
        <v>8.6609686609686695E-2</v>
      </c>
      <c r="BQ253" s="26">
        <f>((100/((100-(tabCustoUnit[[#This Row],[Resumo de Alíquotas (PIS+CONFINS+ISS)]]*100))%)-100)*VLOOKUP(tabCustoUnit[[#This Row],[Código do Posto]],tabParametros[],MATCH(tabCustoUnit[[#Headers],[PIS]],tabParametros[#Headers],0),0))/(tabCustoUnit[[#This Row],[Resumo de Alíquotas (PIS+CONFINS+ISS)]]*100)</f>
        <v>1.880341880341882E-2</v>
      </c>
      <c r="BR253" s="28">
        <f>VLOOKUP(tabCustoUnit[[#This Row],[Código do Posto]],tabParametros[],MATCH(tabCustoUnit[[#Headers],[ISS]],tabParametros[#Headers],0),0)</f>
        <v>0.03</v>
      </c>
      <c r="BS253" s="26">
        <f>(((100/((100-(tabCustoUnit[[#This Row],[Resumo de Alíquotas (PIS+CONFINS+ISS)]]*100))%)-100)*tabCustoUnit[[#This Row],[ISS]])/tabCustoUnit[[#This Row],[Resumo de Alíquotas (PIS+CONFINS+ISS)]])/100</f>
        <v>3.4188034188034219E-2</v>
      </c>
      <c r="BT25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53" s="138">
        <f>tabCustoUnit[[#This Row],[COFINS]]+tabCustoUnit[[#This Row],[PIS]]+tabCustoUnit[[#This Row],[ISS (Conversão Alíquota s/ fatura)]]</f>
        <v>0.13960113960113973</v>
      </c>
      <c r="BV253" s="22" t="e">
        <f ca="1">(tabCustoUnit[[#This Row],[TOTAL MÓDULOS 1+2+3+4+5]]+tabCustoUnit[[#This Row],[Custos Indiretos]]+tabCustoUnit[[#This Row],[Lucro]])*tabCustoUnit[[#This Row],[PIS + COFINS + ISS (Total Conversão  Alíquota s/ Fatura)]]</f>
        <v>#NAME?</v>
      </c>
      <c r="BW253" s="22" t="e">
        <f ca="1">tabCustoUnit[[#This Row],[Custos Indiretos]]+tabCustoUnit[[#This Row],[Lucro]]+tabCustoUnit[[#This Row],[Valor dos Tributos (ISS, PIS, CONFINS)]]</f>
        <v>#NAME?</v>
      </c>
      <c r="BX253" s="22" t="e">
        <f ca="1">tabCustoUnit[[#This Row],[TOTAL MÓDULOS 1+2+3+4+5]]+tabCustoUnit[[#This Row],[MÓDULO 6 – CUSTOS INDIRETOS, TRIBUTOS E LUCRO]]</f>
        <v>#NAME?</v>
      </c>
      <c r="BY253" s="22" t="e">
        <f ca="1">tabCustoUnit[[#This Row],[CUSTO TOTAL MENSAL]]*12</f>
        <v>#NAME?</v>
      </c>
      <c r="BZ253" s="24">
        <f>VLOOKUP(tabCustoUnit[[#This Row],[Código do Posto]],tabParametros[],MATCH(tabCustoUnit[[#Headers],[ANO DA CCT]],tabParametros[#Headers],0),0)</f>
        <v>45658</v>
      </c>
      <c r="CA253" s="25" t="str">
        <f>VLOOKUP(tabCustoUnit[[#This Row],[Código do Posto]],tabParametros[],MATCH(tabCustoUnit[[#Headers],[Nº DE PEDIDO DA CCT]],tabParametros[#Headers],0),0)</f>
        <v>-</v>
      </c>
      <c r="CB253" s="25" t="str">
        <f>VLOOKUP(tabCustoUnit[[#This Row],[Código do Posto]],tabParametros[],MATCH(tabCustoUnit[[#Headers],[TERMO ADITIVO ALTERAÇÃO DA CCT]],tabParametros[#Headers],0),0)</f>
        <v>-</v>
      </c>
    </row>
    <row r="254" spans="1:80">
      <c r="A254" s="20" t="s">
        <v>1677</v>
      </c>
      <c r="B254" t="s">
        <v>1186</v>
      </c>
      <c r="C254" t="s">
        <v>319</v>
      </c>
      <c r="D254" t="s">
        <v>942</v>
      </c>
      <c r="E254" s="20" t="s">
        <v>1090</v>
      </c>
      <c r="F254" s="20" t="s">
        <v>120</v>
      </c>
      <c r="G254" s="418">
        <v>2316.2253000000001</v>
      </c>
      <c r="H254" s="418">
        <v>0</v>
      </c>
      <c r="I254" s="418">
        <v>0</v>
      </c>
      <c r="J254" s="418">
        <v>0</v>
      </c>
      <c r="K254" s="418">
        <v>0</v>
      </c>
      <c r="L254" s="418">
        <v>0</v>
      </c>
      <c r="M254" s="418">
        <v>0</v>
      </c>
      <c r="N254" s="418">
        <v>0</v>
      </c>
      <c r="O254" s="21">
        <f>SUM(tabCustoUnit[[#This Row],[Salário Base]:[Adicional de Acúmulo de função]])</f>
        <v>2316.2253000000001</v>
      </c>
      <c r="P254" s="21">
        <f>tabCustoUnit[[#This Row],[MODULO 1 - REMUNERAÇÃO ]]*SUMIFS(tabParametros[INSS],tabParametros[Código do Posto],tabCustoUnit[[#This Row],[Código do Posto]])</f>
        <v>463.24506000000002</v>
      </c>
      <c r="Q254" s="21">
        <f>tabCustoUnit[[#This Row],[MODULO 1 - REMUNERAÇÃO ]]*SUMIFS(tabParametros[SESI OU SESC],tabParametros[Código do Posto],tabCustoUnit[[#This Row],[Código do Posto]])</f>
        <v>34.743379499999996</v>
      </c>
      <c r="R254" s="21">
        <f>tabCustoUnit[[#This Row],[MODULO 1 - REMUNERAÇÃO ]]*SUMIFS(tabParametros[SENAI OU SENAC],tabParametros[Código do Posto],tabCustoUnit[[#This Row],[Código do Posto]])</f>
        <v>23.162253</v>
      </c>
      <c r="S254" s="21">
        <f>tabCustoUnit[[#This Row],[MODULO 1 - REMUNERAÇÃO ]]*SUMIFS(tabParametros[INCRA],tabParametros[Código do Posto],tabCustoUnit[[#This Row],[Código do Posto]])</f>
        <v>4.6324506000000003</v>
      </c>
      <c r="T254" s="21">
        <f>tabCustoUnit[[#This Row],[MODULO 1 - REMUNERAÇÃO ]]*SUMIFS(tabParametros[Salário Educação],tabParametros[Código do Posto],tabCustoUnit[[#This Row],[Código do Posto]])</f>
        <v>57.905632500000003</v>
      </c>
      <c r="U254" s="21">
        <f>tabCustoUnit[[#This Row],[MODULO 1 - REMUNERAÇÃO ]]*SUMIFS(tabParametros[FGTS],tabParametros[Código do Posto],tabCustoUnit[[#This Row],[Código do Posto]])</f>
        <v>185.298024</v>
      </c>
      <c r="V254" s="21">
        <f>tabCustoUnit[[#This Row],[MODULO 1 - REMUNERAÇÃO ]]*SUMIFS(tabParametros[RAT Ajustado],tabParametros[Código do Posto],tabCustoUnit[[#This Row],[Código do Posto]])</f>
        <v>92.649011999999999</v>
      </c>
      <c r="W254" s="21">
        <f>tabCustoUnit[[#This Row],[MODULO 1 - REMUNERAÇÃO ]]*SUMIFS(tabParametros[SEBRAE],tabParametros[Código do Posto],tabCustoUnit[[#This Row],[Código do Posto]])</f>
        <v>13.897351800000001</v>
      </c>
      <c r="X254" s="21">
        <f>SUM(tabCustoUnit[[#This Row],[INSS]:[SEBRAE]])</f>
        <v>875.53316340000003</v>
      </c>
      <c r="Y254" s="21">
        <f>tabCustoUnit[[#This Row],[MODULO 1 - REMUNERAÇÃO ]]*SUMIFS(tabParametros[13º salário (titular)],tabParametros[Código do Posto],tabCustoUnit[[#This Row],[Código do Posto]])</f>
        <v>193.01877500000001</v>
      </c>
      <c r="Z254" s="21">
        <f>tabCustoUnit[[#This Row],[MODULO 1 - REMUNERAÇÃO ]]*SUMIFS(tabParametros[Férias e Adicional de Férias (titular)],tabParametros[Código do Posto],tabCustoUnit[[#This Row],[Código do Posto]])</f>
        <v>257.35836666666665</v>
      </c>
      <c r="AA254" s="21">
        <f>IFERROR((tabCustoUnit[[#This Row],[Submódulo 2.1]]/tabCustoUnit[[#This Row],[MODULO 1 - REMUNERAÇÃO ]])*SUM(tabCustoUnit[[#This Row],[13º salário (titular)]:[Férias e Adicional de Férias (titular)]]),0)</f>
        <v>170.24255955000001</v>
      </c>
      <c r="AB254" s="21">
        <f>SUM(tabCustoUnit[[#This Row],[13º salário (titular)]:[Incidência do Submódulo 2.1 sobre 13º Salário, Férias e Adicional de Férias]])</f>
        <v>620.61970121666673</v>
      </c>
      <c r="AC254" s="22" t="e">
        <f ca="1">_xlfn.LET(_xlpm.VT,SUMIF(tabParametros[Código do Posto],tabCustoUnit[[#This Row],[Código do Posto]],tabParametros[Vale - Transporte])*2*20,
IF((_xlpm.VT-tabCustoUnit[[#This Row],[Salário Base]]*0.06)&gt;=0,(_xlpm.VT-tabCustoUnit[[#This Row],[Salário Base]]*0.06),0)
)</f>
        <v>#NAME?</v>
      </c>
      <c r="AD254" s="22">
        <f>IF(SUMIF(tabParametros[Código do Posto],tabCustoUnit[[#This Row],[Código do Posto]],tabParametros[Vale - Alimentação])&lt;=0,0,
SUMIF(tabParametros[Código do Posto],tabCustoUnit[[#This Row],[Código do Posto]],tabParametros[Vale - Alimentação])*20-1)</f>
        <v>582</v>
      </c>
      <c r="AE254" s="22">
        <f>SUMIF(tabParametros[Código do Posto],tabCustoUnit[[#This Row],[Código do Posto]],tabParametros[Cesta Básica])</f>
        <v>0</v>
      </c>
      <c r="AF254" s="22">
        <f>SUMIF(tabParametros[Código do Posto],tabCustoUnit[[#This Row],[Código do Posto]],tabParametros[PAF])</f>
        <v>0</v>
      </c>
      <c r="AG254" s="22">
        <f>SUMIF(tabParametros[Código do Posto],tabCustoUnit[[#This Row],[Código do Posto]],tabParametros[PQM])</f>
        <v>0</v>
      </c>
      <c r="AH254" s="22">
        <f>SUMIF(tabParametros[Código do Posto],tabCustoUnit[[#This Row],[Código do Posto]],tabParametros[Abono Único e Especial])</f>
        <v>0</v>
      </c>
      <c r="AI254" s="22">
        <f>SUMIF(tabParametros[Código do Posto],tabCustoUnit[[#This Row],[Código do Posto]],tabParametros[Seguro de Vida])</f>
        <v>3.36</v>
      </c>
      <c r="AJ254" s="22">
        <f>SUMIF(tabParametros[Código do Posto],tabCustoUnit[[#This Row],[Código do Posto]],tabParametros[Despesas de Viagem])</f>
        <v>0</v>
      </c>
      <c r="AK254" s="22" t="e">
        <f ca="1">SUM(tabCustoUnit[[#This Row],[Vale - Transporte (Descontada parcela do empregado)]:[Despesas de Viagem]])</f>
        <v>#NAME?</v>
      </c>
      <c r="AL254" s="22" t="e">
        <f ca="1">tabCustoUnit[[#This Row],[Submódulo 2.1]]+tabCustoUnit[[#This Row],[Submódulo 2.2]]+tabCustoUnit[[#This Row],[Submódulo 2.3]]</f>
        <v>#NAME?</v>
      </c>
      <c r="AM254" s="22">
        <f>SUMIF(tabParametros[Código do Posto],tabCustoUnit[[#This Row],[Código do Posto]],tabParametros[Aviso Prévio Indenizado (API) e Reflexo do Aviso Prévio Indenizado])*tabCustoUnit[[#This Row],[MODULO 1 - REMUNERAÇÃO ]]</f>
        <v>16.240832065914354</v>
      </c>
      <c r="AN254" s="22">
        <f>SUMIF(tabParametros[Código do Posto],tabCustoUnit[[#This Row],[Código do Posto]],tabParametros[Incidência do FGTS sobre API e Reflexo do API])*tabCustoUnit[[#This Row],[MODULO 1 - REMUNERAÇÃO ]]</f>
        <v>1.2992665652731483</v>
      </c>
      <c r="AO254" s="22">
        <f>SUMIF(tabParametros[Código do Posto],tabCustoUnit[[#This Row],[Código do Posto]],tabParametros[Multa Rescisória do FGTS sobre o Aviso Prévio Indenizado])*tabCustoUnit[[#This Row],[MODULO 1 - REMUNERAÇÃO ]]</f>
        <v>0.51970662610925933</v>
      </c>
      <c r="AP254" s="22">
        <f>SUMIF(tabParametros[Código do Posto],tabCustoUnit[[#This Row],[Código do Posto]],tabParametros[Aviso Prévio Trabalhado - APT])*tabCustoUnit[[#This Row],[MODULO 1 - REMUNERAÇÃO ]]</f>
        <v>8.106788550000001</v>
      </c>
      <c r="AQ254" s="22">
        <f>SUMIF(tabParametros[Código do Posto],tabCustoUnit[[#This Row],[Código do Posto]],tabParametros[Incidência dos encargos do submódulo 2.1 sobre Aviso Prévio Trabalhado])*tabCustoUnit[[#This Row],[MODULO 1 - REMUNERAÇÃO ]]</f>
        <v>3.0643660719000008</v>
      </c>
      <c r="AR254" s="22">
        <f>SUMIF(tabParametros[Código do Posto],tabCustoUnit[[#This Row],[Código do Posto]],tabParametros[Multa Rescisória do FGTS])*tabCustoUnit[[#This Row],[MODULO 1 - REMUNERAÇÃO ]]</f>
        <v>70.825022506666656</v>
      </c>
      <c r="AS254" s="22">
        <f>SUMIF(tabParametros[Código do Posto],tabCustoUnit[[#This Row],[Código do Posto]],tabParametros[Indenização Adicional (Art. 9º da Lei nº 7.238/84)])*tabCustoUnit[[#This Row],[MODULO 1 - REMUNERAÇÃO ]]</f>
        <v>1.9301877500000002</v>
      </c>
      <c r="AT254" s="22">
        <f>SUM(tabCustoUnit[[#This Row],[Aviso Prévio Indenizado (API) e Reflexo do Aviso Prévio Indenizado]:[Indenização Adicional (Art. 9º da Lei nº 7.238/84)]])</f>
        <v>101.98617013586342</v>
      </c>
      <c r="AU254" s="22">
        <f>SUMIF(tabParametros[Código do Posto],tabCustoUnit[[#This Row],[Código do Posto]],tabParametros[Ausência por Doença])*tabCustoUnit[[#This Row],[MODULO 1 - REMUNERAÇÃO ]]</f>
        <v>19.559235866666665</v>
      </c>
      <c r="AV254" s="22">
        <f>SUMIF(tabParametros[Código do Posto],tabCustoUnit[[#This Row],[Código do Posto]],tabParametros[Ausências Legais])*tabCustoUnit[[#This Row],[MODULO 1 - REMUNERAÇÃO ]]</f>
        <v>4.6967901916666666</v>
      </c>
      <c r="AW254" s="22">
        <f>SUMIF(tabParametros[Código do Posto],tabCustoUnit[[#This Row],[Código do Posto]],tabParametros[Licença Paternidade])*tabCustoUnit[[#This Row],[MODULO 1 - REMUNERAÇÃO ]]</f>
        <v>0.39568848875000001</v>
      </c>
      <c r="AX254" s="22">
        <f>SUMIF(tabParametros[Código do Posto],tabCustoUnit[[#This Row],[Código do Posto]],tabParametros[Ausência por Acidente de Trabalho])*tabCustoUnit[[#This Row],[MODULO 1 - REMUNERAÇÃO ]]</f>
        <v>0.48254693750000005</v>
      </c>
      <c r="AY254" s="22">
        <f>SUMIF(tabParametros[Código do Posto],tabCustoUnit[[#This Row],[Código do Posto]],tabParametros[Férias, Adicional de Férias e 13º  com empregada em gozo de Licença Maternidade])*tabCustoUnit[[#This Row],[MODULO 1 - REMUNERAÇÃO ]]</f>
        <v>3.0025142777777778</v>
      </c>
      <c r="AZ254" s="22">
        <f>SUMIF(tabParametros[Código do Posto],tabCustoUnit[[#This Row],[Código do Posto]],tabParametros[Incidência do Submódulo 2.1 sobre Ausências Legais])*tabCustoUnit[[#This Row],[MODULO 1 - REMUNERAÇÃO ]]</f>
        <v>10.635701238172501</v>
      </c>
      <c r="BA254" s="22">
        <f>SUM(tabCustoUnit[[#This Row],[Ausência por Doença]:[Incidência do Submódulo 2.1 sobre Ausências Legais]])</f>
        <v>38.772477000533613</v>
      </c>
      <c r="BB254" s="22">
        <f>SUMIF(tabParametros[Código do Posto],tabCustoUnit[[#This Row],[Código do Posto]],tabParametros[Intervalo para Repouso ou Alimentação])</f>
        <v>0</v>
      </c>
      <c r="BC254" s="22">
        <f>tabCustoUnit[[#This Row],[Intervalo para Repouso ou Alimentação]]</f>
        <v>0</v>
      </c>
      <c r="BD25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4" s="22">
        <f>tabCustoUnit[[#This Row],[Suspensão Temporária do Contrato de Trabalho]]</f>
        <v>0</v>
      </c>
      <c r="BF254" s="22">
        <f>tabCustoUnit[[#This Row],[Submódulo 4.1]]+tabCustoUnit[[#This Row],[Submódulo 4.2]]+tabCustoUnit[[#This Row],[Submódulo 4.3]]</f>
        <v>38.772477000533613</v>
      </c>
      <c r="BG254" s="22">
        <f>VLOOKUP(tabCustoUnit[[#This Row],[Código do Posto]],tabParametros[],MATCH(tabCustoUnit[[#Headers],[Uniformes e EPIs]],tabParametros[#Headers],0),0)</f>
        <v>56.642978962543395</v>
      </c>
      <c r="BH254" s="22">
        <f>VLOOKUP(tabCustoUnit[[#This Row],[Código do Posto]],tabParametros[],MATCH(tabCustoUnit[[#Headers],[Materiais de Consumo]],tabParametros[#Headers],0),0)</f>
        <v>0</v>
      </c>
      <c r="BI254" s="22">
        <f>VLOOKUP(tabCustoUnit[[#This Row],[Código do Posto]],tabParametros[],MATCH(tabCustoUnit[[#Headers],[Máquinas e Equipamentos (depreciação)]],tabParametros[#Headers],0),0)</f>
        <v>0</v>
      </c>
      <c r="BJ254" s="22">
        <f>VLOOKUP(tabCustoUnit[[#This Row],[Código do Posto]],tabParametros[],MATCH(tabCustoUnit[[#Headers],[Produtos de Limpeza e Materiais de Higiene Pessoal]],tabParametros[#Headers],0),0)</f>
        <v>0</v>
      </c>
      <c r="BK254" s="22">
        <f>VLOOKUP(tabCustoUnit[[#This Row],[Código do Posto]],tabParametros[],MATCH(tabCustoUnit[[#Headers],[Outros (especificar)]],tabParametros[#Headers],0),0)</f>
        <v>0</v>
      </c>
      <c r="BL254" s="22">
        <f>SUM(tabCustoUnit[[#This Row],[Uniformes e EPIs]:[Outros (especificar)]])</f>
        <v>56.642978962543395</v>
      </c>
      <c r="BM25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4" s="22" t="e">
        <f ca="1">VLOOKUP(tabCustoUnit[[#This Row],[Código do Posto]],tabParametros[],MATCH(tabCustoUnit[[#Headers],[Custos Indiretos]],tabParametros[#Headers],0),0)</f>
        <v>#NAME?</v>
      </c>
      <c r="BO254" s="22" t="e">
        <f ca="1">VLOOKUP(tabCustoUnit[[#This Row],[Código do Posto]],tabParametros[],MATCH(tabCustoUnit[[#Headers],[Lucro]],tabParametros[#Headers],0),0)</f>
        <v>#NAME?</v>
      </c>
      <c r="BP254" s="26">
        <f>((100/((1-tabCustoUnit[[#This Row],[Resumo de Alíquotas (PIS+CONFINS+ISS)]]))-100)*VLOOKUP(tabCustoUnit[[#This Row],[Código do Posto]],tabParametros[],MATCH(tabCustoUnit[[#Headers],[COFINS]],tabParametros[#Headers],0),0))/(tabCustoUnit[[#This Row],[Resumo de Alíquotas (PIS+CONFINS+ISS)]]*100)</f>
        <v>8.5633802816901458E-2</v>
      </c>
      <c r="BQ254" s="26">
        <f>((100/((100-(tabCustoUnit[[#This Row],[Resumo de Alíquotas (PIS+CONFINS+ISS)]]*100))%)-100)*VLOOKUP(tabCustoUnit[[#This Row],[Código do Posto]],tabParametros[],MATCH(tabCustoUnit[[#Headers],[PIS]],tabParametros[#Headers],0),0))/(tabCustoUnit[[#This Row],[Resumo de Alíquotas (PIS+CONFINS+ISS)]]*100)</f>
        <v>1.8591549295774657E-2</v>
      </c>
      <c r="BR254" s="28">
        <f>VLOOKUP(tabCustoUnit[[#This Row],[Código do Posto]],tabParametros[],MATCH(tabCustoUnit[[#Headers],[ISS]],tabParametros[#Headers],0),0)</f>
        <v>0.02</v>
      </c>
      <c r="BS254" s="26">
        <f>(((100/((100-(tabCustoUnit[[#This Row],[Resumo de Alíquotas (PIS+CONFINS+ISS)]]*100))%)-100)*tabCustoUnit[[#This Row],[ISS]])/tabCustoUnit[[#This Row],[Resumo de Alíquotas (PIS+CONFINS+ISS)]])/100</f>
        <v>2.2535211267605645E-2</v>
      </c>
      <c r="BT25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54" s="138">
        <f>tabCustoUnit[[#This Row],[COFINS]]+tabCustoUnit[[#This Row],[PIS]]+tabCustoUnit[[#This Row],[ISS (Conversão Alíquota s/ fatura)]]</f>
        <v>0.12676056338028174</v>
      </c>
      <c r="BV254" s="22" t="e">
        <f ca="1">(tabCustoUnit[[#This Row],[TOTAL MÓDULOS 1+2+3+4+5]]+tabCustoUnit[[#This Row],[Custos Indiretos]]+tabCustoUnit[[#This Row],[Lucro]])*tabCustoUnit[[#This Row],[PIS + COFINS + ISS (Total Conversão  Alíquota s/ Fatura)]]</f>
        <v>#NAME?</v>
      </c>
      <c r="BW254" s="22" t="e">
        <f ca="1">tabCustoUnit[[#This Row],[Custos Indiretos]]+tabCustoUnit[[#This Row],[Lucro]]+tabCustoUnit[[#This Row],[Valor dos Tributos (ISS, PIS, CONFINS)]]</f>
        <v>#NAME?</v>
      </c>
      <c r="BX254" s="22" t="e">
        <f ca="1">tabCustoUnit[[#This Row],[TOTAL MÓDULOS 1+2+3+4+5]]+tabCustoUnit[[#This Row],[MÓDULO 6 – CUSTOS INDIRETOS, TRIBUTOS E LUCRO]]</f>
        <v>#NAME?</v>
      </c>
      <c r="BY254" s="22" t="e">
        <f ca="1">tabCustoUnit[[#This Row],[CUSTO TOTAL MENSAL]]*12</f>
        <v>#NAME?</v>
      </c>
      <c r="BZ254" s="24">
        <f>VLOOKUP(tabCustoUnit[[#This Row],[Código do Posto]],tabParametros[],MATCH(tabCustoUnit[[#Headers],[ANO DA CCT]],tabParametros[#Headers],0),0)</f>
        <v>45658</v>
      </c>
      <c r="CA254" s="25" t="str">
        <f>VLOOKUP(tabCustoUnit[[#This Row],[Código do Posto]],tabParametros[],MATCH(tabCustoUnit[[#Headers],[Nº DE PEDIDO DA CCT]],tabParametros[#Headers],0),0)</f>
        <v>-</v>
      </c>
      <c r="CB254" s="25" t="str">
        <f>VLOOKUP(tabCustoUnit[[#This Row],[Código do Posto]],tabParametros[],MATCH(tabCustoUnit[[#Headers],[TERMO ADITIVO ALTERAÇÃO DA CCT]],tabParametros[#Headers],0),0)</f>
        <v>-</v>
      </c>
    </row>
    <row r="255" spans="1:80">
      <c r="A255" s="20" t="s">
        <v>1502</v>
      </c>
      <c r="B255" t="s">
        <v>1187</v>
      </c>
      <c r="C255" t="s">
        <v>200</v>
      </c>
      <c r="D255" t="s">
        <v>961</v>
      </c>
      <c r="E255" s="20" t="s">
        <v>1090</v>
      </c>
      <c r="F255" s="20" t="s">
        <v>120</v>
      </c>
      <c r="G255" s="418">
        <v>1596.2737999999999</v>
      </c>
      <c r="H255" s="418">
        <v>0</v>
      </c>
      <c r="I255" s="418">
        <v>0</v>
      </c>
      <c r="J255" s="418">
        <v>0</v>
      </c>
      <c r="K255" s="418">
        <v>0</v>
      </c>
      <c r="L255" s="418">
        <v>0</v>
      </c>
      <c r="M255" s="418">
        <v>0</v>
      </c>
      <c r="N255" s="418">
        <v>0</v>
      </c>
      <c r="O255" s="21">
        <f>SUM(tabCustoUnit[[#This Row],[Salário Base]:[Adicional de Acúmulo de função]])</f>
        <v>1596.2737999999999</v>
      </c>
      <c r="P255" s="21">
        <f>tabCustoUnit[[#This Row],[MODULO 1 - REMUNERAÇÃO ]]*SUMIFS(tabParametros[INSS],tabParametros[Código do Posto],tabCustoUnit[[#This Row],[Código do Posto]])</f>
        <v>319.25476000000003</v>
      </c>
      <c r="Q255" s="21">
        <f>tabCustoUnit[[#This Row],[MODULO 1 - REMUNERAÇÃO ]]*SUMIFS(tabParametros[SESI OU SESC],tabParametros[Código do Posto],tabCustoUnit[[#This Row],[Código do Posto]])</f>
        <v>23.944106999999999</v>
      </c>
      <c r="R255" s="21">
        <f>tabCustoUnit[[#This Row],[MODULO 1 - REMUNERAÇÃO ]]*SUMIFS(tabParametros[SENAI OU SENAC],tabParametros[Código do Posto],tabCustoUnit[[#This Row],[Código do Posto]])</f>
        <v>15.962738</v>
      </c>
      <c r="S255" s="21">
        <f>tabCustoUnit[[#This Row],[MODULO 1 - REMUNERAÇÃO ]]*SUMIFS(tabParametros[INCRA],tabParametros[Código do Posto],tabCustoUnit[[#This Row],[Código do Posto]])</f>
        <v>3.1925476000000002</v>
      </c>
      <c r="T255" s="21">
        <f>tabCustoUnit[[#This Row],[MODULO 1 - REMUNERAÇÃO ]]*SUMIFS(tabParametros[Salário Educação],tabParametros[Código do Posto],tabCustoUnit[[#This Row],[Código do Posto]])</f>
        <v>39.906845000000004</v>
      </c>
      <c r="U255" s="21">
        <f>tabCustoUnit[[#This Row],[MODULO 1 - REMUNERAÇÃO ]]*SUMIFS(tabParametros[FGTS],tabParametros[Código do Posto],tabCustoUnit[[#This Row],[Código do Posto]])</f>
        <v>127.701904</v>
      </c>
      <c r="V255" s="21">
        <f>tabCustoUnit[[#This Row],[MODULO 1 - REMUNERAÇÃO ]]*SUMIFS(tabParametros[RAT Ajustado],tabParametros[Código do Posto],tabCustoUnit[[#This Row],[Código do Posto]])</f>
        <v>63.850951999999999</v>
      </c>
      <c r="W255" s="21">
        <f>tabCustoUnit[[#This Row],[MODULO 1 - REMUNERAÇÃO ]]*SUMIFS(tabParametros[SEBRAE],tabParametros[Código do Posto],tabCustoUnit[[#This Row],[Código do Posto]])</f>
        <v>9.5776427999999996</v>
      </c>
      <c r="X255" s="21">
        <f>SUM(tabCustoUnit[[#This Row],[INSS]:[SEBRAE]])</f>
        <v>603.39149640000005</v>
      </c>
      <c r="Y255" s="21">
        <f>tabCustoUnit[[#This Row],[MODULO 1 - REMUNERAÇÃO ]]*SUMIFS(tabParametros[13º salário (titular)],tabParametros[Código do Posto],tabCustoUnit[[#This Row],[Código do Posto]])</f>
        <v>133.02281666666664</v>
      </c>
      <c r="Z255" s="21">
        <f>tabCustoUnit[[#This Row],[MODULO 1 - REMUNERAÇÃO ]]*SUMIFS(tabParametros[Férias e Adicional de Férias (titular)],tabParametros[Código do Posto],tabCustoUnit[[#This Row],[Código do Posto]])</f>
        <v>177.36375555555554</v>
      </c>
      <c r="AA255" s="21">
        <f>IFERROR((tabCustoUnit[[#This Row],[Submódulo 2.1]]/tabCustoUnit[[#This Row],[MODULO 1 - REMUNERAÇÃO ]])*SUM(tabCustoUnit[[#This Row],[13º salário (titular)]:[Férias e Adicional de Férias (titular)]]),0)</f>
        <v>117.3261243</v>
      </c>
      <c r="AB255" s="21">
        <f>SUM(tabCustoUnit[[#This Row],[13º salário (titular)]:[Incidência do Submódulo 2.1 sobre 13º Salário, Férias e Adicional de Férias]])</f>
        <v>427.71269652222219</v>
      </c>
      <c r="AC255" s="22" t="e">
        <f ca="1">_xlfn.LET(_xlpm.VT,SUMIF(tabParametros[Código do Posto],tabCustoUnit[[#This Row],[Código do Posto]],tabParametros[Vale - Transporte])*2*20,
IF((_xlpm.VT-tabCustoUnit[[#This Row],[Salário Base]]*0.06)&gt;=0,(_xlpm.VT-tabCustoUnit[[#This Row],[Salário Base]]*0.06),0)
)</f>
        <v>#NAME?</v>
      </c>
      <c r="AD255" s="22">
        <f>IF(SUMIF(tabParametros[Código do Posto],tabCustoUnit[[#This Row],[Código do Posto]],tabParametros[Vale - Alimentação])&lt;=0,0,
SUMIF(tabParametros[Código do Posto],tabCustoUnit[[#This Row],[Código do Posto]],tabParametros[Vale - Alimentação])*20-1)</f>
        <v>582</v>
      </c>
      <c r="AE255" s="22">
        <f>SUMIF(tabParametros[Código do Posto],tabCustoUnit[[#This Row],[Código do Posto]],tabParametros[Cesta Básica])</f>
        <v>0</v>
      </c>
      <c r="AF255" s="22">
        <f>SUMIF(tabParametros[Código do Posto],tabCustoUnit[[#This Row],[Código do Posto]],tabParametros[PAF])</f>
        <v>0</v>
      </c>
      <c r="AG255" s="22">
        <f>SUMIF(tabParametros[Código do Posto],tabCustoUnit[[#This Row],[Código do Posto]],tabParametros[PQM])</f>
        <v>0</v>
      </c>
      <c r="AH255" s="22">
        <f>SUMIF(tabParametros[Código do Posto],tabCustoUnit[[#This Row],[Código do Posto]],tabParametros[Abono Único e Especial])</f>
        <v>0</v>
      </c>
      <c r="AI255" s="22">
        <f>SUMIF(tabParametros[Código do Posto],tabCustoUnit[[#This Row],[Código do Posto]],tabParametros[Seguro de Vida])</f>
        <v>3.36</v>
      </c>
      <c r="AJ255" s="22">
        <f>SUMIF(tabParametros[Código do Posto],tabCustoUnit[[#This Row],[Código do Posto]],tabParametros[Despesas de Viagem])</f>
        <v>0</v>
      </c>
      <c r="AK255" s="22" t="e">
        <f ca="1">SUM(tabCustoUnit[[#This Row],[Vale - Transporte (Descontada parcela do empregado)]:[Despesas de Viagem]])</f>
        <v>#NAME?</v>
      </c>
      <c r="AL255" s="22" t="e">
        <f ca="1">tabCustoUnit[[#This Row],[Submódulo 2.1]]+tabCustoUnit[[#This Row],[Submódulo 2.2]]+tabCustoUnit[[#This Row],[Submódulo 2.3]]</f>
        <v>#NAME?</v>
      </c>
      <c r="AM255" s="22">
        <f>SUMIF(tabParametros[Código do Posto],tabCustoUnit[[#This Row],[Código do Posto]],tabParametros[Aviso Prévio Indenizado (API) e Reflexo do Aviso Prévio Indenizado])*tabCustoUnit[[#This Row],[MODULO 1 - REMUNERAÇÃO ]]</f>
        <v>11.192699914390431</v>
      </c>
      <c r="AN255" s="22">
        <f>SUMIF(tabParametros[Código do Posto],tabCustoUnit[[#This Row],[Código do Posto]],tabParametros[Incidência do FGTS sobre API e Reflexo do API])*tabCustoUnit[[#This Row],[MODULO 1 - REMUNERAÇÃO ]]</f>
        <v>0.89541599315123466</v>
      </c>
      <c r="AO255" s="22">
        <f>SUMIF(tabParametros[Código do Posto],tabCustoUnit[[#This Row],[Código do Posto]],tabParametros[Multa Rescisória do FGTS sobre o Aviso Prévio Indenizado])*tabCustoUnit[[#This Row],[MODULO 1 - REMUNERAÇÃO ]]</f>
        <v>0.35816639726049387</v>
      </c>
      <c r="AP255" s="22">
        <f>SUMIF(tabParametros[Código do Posto],tabCustoUnit[[#This Row],[Código do Posto]],tabParametros[Aviso Prévio Trabalhado - APT])*tabCustoUnit[[#This Row],[MODULO 1 - REMUNERAÇÃO ]]</f>
        <v>5.5869583000000009</v>
      </c>
      <c r="AQ255" s="22">
        <f>SUMIF(tabParametros[Código do Posto],tabCustoUnit[[#This Row],[Código do Posto]],tabParametros[Incidência dos encargos do submódulo 2.1 sobre Aviso Prévio Trabalhado])*tabCustoUnit[[#This Row],[MODULO 1 - REMUNERAÇÃO ]]</f>
        <v>2.1118702374000007</v>
      </c>
      <c r="AR255" s="22">
        <f>SUMIF(tabParametros[Código do Posto],tabCustoUnit[[#This Row],[Código do Posto]],tabParametros[Multa Rescisória do FGTS])*tabCustoUnit[[#This Row],[MODULO 1 - REMUNERAÇÃO ]]</f>
        <v>48.810505528888882</v>
      </c>
      <c r="AS255" s="22">
        <f>SUMIF(tabParametros[Código do Posto],tabCustoUnit[[#This Row],[Código do Posto]],tabParametros[Indenização Adicional (Art. 9º da Lei nº 7.238/84)])*tabCustoUnit[[#This Row],[MODULO 1 - REMUNERAÇÃO ]]</f>
        <v>1.3302281666666667</v>
      </c>
      <c r="AT255" s="22">
        <f>SUM(tabCustoUnit[[#This Row],[Aviso Prévio Indenizado (API) e Reflexo do Aviso Prévio Indenizado]:[Indenização Adicional (Art. 9º da Lei nº 7.238/84)]])</f>
        <v>70.285844537757711</v>
      </c>
      <c r="AU255" s="22">
        <f>SUMIF(tabParametros[Código do Posto],tabCustoUnit[[#This Row],[Código do Posto]],tabParametros[Ausência por Doença])*tabCustoUnit[[#This Row],[MODULO 1 - REMUNERAÇÃO ]]</f>
        <v>13.479645422222221</v>
      </c>
      <c r="AV255" s="22">
        <f>SUMIF(tabParametros[Código do Posto],tabCustoUnit[[#This Row],[Código do Posto]],tabParametros[Ausências Legais])*tabCustoUnit[[#This Row],[MODULO 1 - REMUNERAÇÃO ]]</f>
        <v>3.2368885388888886</v>
      </c>
      <c r="AW255" s="22">
        <f>SUMIF(tabParametros[Código do Posto],tabCustoUnit[[#This Row],[Código do Posto]],tabParametros[Licença Paternidade])*tabCustoUnit[[#This Row],[MODULO 1 - REMUNERAÇÃO ]]</f>
        <v>0.27269677416666666</v>
      </c>
      <c r="AX255" s="22">
        <f>SUMIF(tabParametros[Código do Posto],tabCustoUnit[[#This Row],[Código do Posto]],tabParametros[Ausência por Acidente de Trabalho])*tabCustoUnit[[#This Row],[MODULO 1 - REMUNERAÇÃO ]]</f>
        <v>0.33255704166666666</v>
      </c>
      <c r="AY255" s="22">
        <f>SUMIF(tabParametros[Código do Posto],tabCustoUnit[[#This Row],[Código do Posto]],tabParametros[Férias, Adicional de Férias e 13º  com empregada em gozo de Licença Maternidade])*tabCustoUnit[[#This Row],[MODULO 1 - REMUNERAÇÃO ]]</f>
        <v>2.0692438148148145</v>
      </c>
      <c r="AZ255" s="22">
        <f>SUMIF(tabParametros[Código do Posto],tabCustoUnit[[#This Row],[Código do Posto]],tabParametros[Incidência do Submódulo 2.1 sobre Ausências Legais])*tabCustoUnit[[#This Row],[MODULO 1 - REMUNERAÇÃO ]]</f>
        <v>7.3298099416850011</v>
      </c>
      <c r="BA255" s="22">
        <f>SUM(tabCustoUnit[[#This Row],[Ausência por Doença]:[Incidência do Submódulo 2.1 sobre Ausências Legais]])</f>
        <v>26.720841533444265</v>
      </c>
      <c r="BB255" s="22">
        <f>SUMIF(tabParametros[Código do Posto],tabCustoUnit[[#This Row],[Código do Posto]],tabParametros[Intervalo para Repouso ou Alimentação])</f>
        <v>0</v>
      </c>
      <c r="BC255" s="22">
        <f>tabCustoUnit[[#This Row],[Intervalo para Repouso ou Alimentação]]</f>
        <v>0</v>
      </c>
      <c r="BD25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5" s="22">
        <f>tabCustoUnit[[#This Row],[Suspensão Temporária do Contrato de Trabalho]]</f>
        <v>0</v>
      </c>
      <c r="BF255" s="22">
        <f>tabCustoUnit[[#This Row],[Submódulo 4.1]]+tabCustoUnit[[#This Row],[Submódulo 4.2]]+tabCustoUnit[[#This Row],[Submódulo 4.3]]</f>
        <v>26.720841533444265</v>
      </c>
      <c r="BG255" s="22">
        <f>VLOOKUP(tabCustoUnit[[#This Row],[Código do Posto]],tabParametros[],MATCH(tabCustoUnit[[#Headers],[Uniformes e EPIs]],tabParametros[#Headers],0),0)</f>
        <v>56.141713661989918</v>
      </c>
      <c r="BH255" s="22">
        <f>VLOOKUP(tabCustoUnit[[#This Row],[Código do Posto]],tabParametros[],MATCH(tabCustoUnit[[#Headers],[Materiais de Consumo]],tabParametros[#Headers],0),0)</f>
        <v>0</v>
      </c>
      <c r="BI255" s="22">
        <f>VLOOKUP(tabCustoUnit[[#This Row],[Código do Posto]],tabParametros[],MATCH(tabCustoUnit[[#Headers],[Máquinas e Equipamentos (depreciação)]],tabParametros[#Headers],0),0)</f>
        <v>0</v>
      </c>
      <c r="BJ255" s="22">
        <f>VLOOKUP(tabCustoUnit[[#This Row],[Código do Posto]],tabParametros[],MATCH(tabCustoUnit[[#Headers],[Produtos de Limpeza e Materiais de Higiene Pessoal]],tabParametros[#Headers],0),0)</f>
        <v>0</v>
      </c>
      <c r="BK255" s="22">
        <f>VLOOKUP(tabCustoUnit[[#This Row],[Código do Posto]],tabParametros[],MATCH(tabCustoUnit[[#Headers],[Outros (especificar)]],tabParametros[#Headers],0),0)</f>
        <v>0</v>
      </c>
      <c r="BL255" s="22">
        <f>SUM(tabCustoUnit[[#This Row],[Uniformes e EPIs]:[Outros (especificar)]])</f>
        <v>56.141713661989918</v>
      </c>
      <c r="BM25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5" s="22" t="e">
        <f ca="1">VLOOKUP(tabCustoUnit[[#This Row],[Código do Posto]],tabParametros[],MATCH(tabCustoUnit[[#Headers],[Custos Indiretos]],tabParametros[#Headers],0),0)</f>
        <v>#NAME?</v>
      </c>
      <c r="BO255" s="22" t="e">
        <f ca="1">VLOOKUP(tabCustoUnit[[#This Row],[Código do Posto]],tabParametros[],MATCH(tabCustoUnit[[#Headers],[Lucro]],tabParametros[#Headers],0),0)</f>
        <v>#NAME?</v>
      </c>
      <c r="BP255" s="26">
        <f>((100/((1-tabCustoUnit[[#This Row],[Resumo de Alíquotas (PIS+CONFINS+ISS)]]))-100)*VLOOKUP(tabCustoUnit[[#This Row],[Código do Posto]],tabParametros[],MATCH(tabCustoUnit[[#Headers],[COFINS]],tabParametros[#Headers],0),0))/(tabCustoUnit[[#This Row],[Resumo de Alíquotas (PIS+CONFINS+ISS)]]*100)</f>
        <v>8.6609686609686695E-2</v>
      </c>
      <c r="BQ255" s="26">
        <f>((100/((100-(tabCustoUnit[[#This Row],[Resumo de Alíquotas (PIS+CONFINS+ISS)]]*100))%)-100)*VLOOKUP(tabCustoUnit[[#This Row],[Código do Posto]],tabParametros[],MATCH(tabCustoUnit[[#Headers],[PIS]],tabParametros[#Headers],0),0))/(tabCustoUnit[[#This Row],[Resumo de Alíquotas (PIS+CONFINS+ISS)]]*100)</f>
        <v>1.880341880341882E-2</v>
      </c>
      <c r="BR255" s="28">
        <f>VLOOKUP(tabCustoUnit[[#This Row],[Código do Posto]],tabParametros[],MATCH(tabCustoUnit[[#Headers],[ISS]],tabParametros[#Headers],0),0)</f>
        <v>0.03</v>
      </c>
      <c r="BS255" s="26">
        <f>(((100/((100-(tabCustoUnit[[#This Row],[Resumo de Alíquotas (PIS+CONFINS+ISS)]]*100))%)-100)*tabCustoUnit[[#This Row],[ISS]])/tabCustoUnit[[#This Row],[Resumo de Alíquotas (PIS+CONFINS+ISS)]])/100</f>
        <v>3.4188034188034219E-2</v>
      </c>
      <c r="BT25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55" s="138">
        <f>tabCustoUnit[[#This Row],[COFINS]]+tabCustoUnit[[#This Row],[PIS]]+tabCustoUnit[[#This Row],[ISS (Conversão Alíquota s/ fatura)]]</f>
        <v>0.13960113960113973</v>
      </c>
      <c r="BV255" s="22" t="e">
        <f ca="1">(tabCustoUnit[[#This Row],[TOTAL MÓDULOS 1+2+3+4+5]]+tabCustoUnit[[#This Row],[Custos Indiretos]]+tabCustoUnit[[#This Row],[Lucro]])*tabCustoUnit[[#This Row],[PIS + COFINS + ISS (Total Conversão  Alíquota s/ Fatura)]]</f>
        <v>#NAME?</v>
      </c>
      <c r="BW255" s="22" t="e">
        <f ca="1">tabCustoUnit[[#This Row],[Custos Indiretos]]+tabCustoUnit[[#This Row],[Lucro]]+tabCustoUnit[[#This Row],[Valor dos Tributos (ISS, PIS, CONFINS)]]</f>
        <v>#NAME?</v>
      </c>
      <c r="BX255" s="22" t="e">
        <f ca="1">tabCustoUnit[[#This Row],[TOTAL MÓDULOS 1+2+3+4+5]]+tabCustoUnit[[#This Row],[MÓDULO 6 – CUSTOS INDIRETOS, TRIBUTOS E LUCRO]]</f>
        <v>#NAME?</v>
      </c>
      <c r="BY255" s="22" t="e">
        <f ca="1">tabCustoUnit[[#This Row],[CUSTO TOTAL MENSAL]]*12</f>
        <v>#NAME?</v>
      </c>
      <c r="BZ255" s="24">
        <f>VLOOKUP(tabCustoUnit[[#This Row],[Código do Posto]],tabParametros[],MATCH(tabCustoUnit[[#Headers],[ANO DA CCT]],tabParametros[#Headers],0),0)</f>
        <v>45658</v>
      </c>
      <c r="CA255" s="25" t="str">
        <f>VLOOKUP(tabCustoUnit[[#This Row],[Código do Posto]],tabParametros[],MATCH(tabCustoUnit[[#Headers],[Nº DE PEDIDO DA CCT]],tabParametros[#Headers],0),0)</f>
        <v>-</v>
      </c>
      <c r="CB255" s="25" t="str">
        <f>VLOOKUP(tabCustoUnit[[#This Row],[Código do Posto]],tabParametros[],MATCH(tabCustoUnit[[#Headers],[TERMO ADITIVO ALTERAÇÃO DA CCT]],tabParametros[#Headers],0),0)</f>
        <v>-</v>
      </c>
    </row>
    <row r="256" spans="1:80">
      <c r="A256" s="20" t="s">
        <v>1503</v>
      </c>
      <c r="B256" t="s">
        <v>1188</v>
      </c>
      <c r="C256" t="s">
        <v>200</v>
      </c>
      <c r="D256" t="s">
        <v>1052</v>
      </c>
      <c r="E256" s="20" t="s">
        <v>1090</v>
      </c>
      <c r="F256" s="20" t="s">
        <v>120</v>
      </c>
      <c r="G256" s="418">
        <v>1596.2737999999999</v>
      </c>
      <c r="H256" s="418">
        <v>0</v>
      </c>
      <c r="I256" s="418">
        <v>0</v>
      </c>
      <c r="J256" s="418">
        <v>0</v>
      </c>
      <c r="K256" s="418">
        <v>0</v>
      </c>
      <c r="L256" s="418">
        <v>0</v>
      </c>
      <c r="M256" s="418">
        <v>0</v>
      </c>
      <c r="N256" s="418">
        <v>0</v>
      </c>
      <c r="O256" s="21">
        <f>SUM(tabCustoUnit[[#This Row],[Salário Base]:[Adicional de Acúmulo de função]])</f>
        <v>1596.2737999999999</v>
      </c>
      <c r="P256" s="21">
        <f>tabCustoUnit[[#This Row],[MODULO 1 - REMUNERAÇÃO ]]*SUMIFS(tabParametros[INSS],tabParametros[Código do Posto],tabCustoUnit[[#This Row],[Código do Posto]])</f>
        <v>319.25476000000003</v>
      </c>
      <c r="Q256" s="21">
        <f>tabCustoUnit[[#This Row],[MODULO 1 - REMUNERAÇÃO ]]*SUMIFS(tabParametros[SESI OU SESC],tabParametros[Código do Posto],tabCustoUnit[[#This Row],[Código do Posto]])</f>
        <v>23.944106999999999</v>
      </c>
      <c r="R256" s="21">
        <f>tabCustoUnit[[#This Row],[MODULO 1 - REMUNERAÇÃO ]]*SUMIFS(tabParametros[SENAI OU SENAC],tabParametros[Código do Posto],tabCustoUnit[[#This Row],[Código do Posto]])</f>
        <v>15.962738</v>
      </c>
      <c r="S256" s="21">
        <f>tabCustoUnit[[#This Row],[MODULO 1 - REMUNERAÇÃO ]]*SUMIFS(tabParametros[INCRA],tabParametros[Código do Posto],tabCustoUnit[[#This Row],[Código do Posto]])</f>
        <v>3.1925476000000002</v>
      </c>
      <c r="T256" s="21">
        <f>tabCustoUnit[[#This Row],[MODULO 1 - REMUNERAÇÃO ]]*SUMIFS(tabParametros[Salário Educação],tabParametros[Código do Posto],tabCustoUnit[[#This Row],[Código do Posto]])</f>
        <v>39.906845000000004</v>
      </c>
      <c r="U256" s="21">
        <f>tabCustoUnit[[#This Row],[MODULO 1 - REMUNERAÇÃO ]]*SUMIFS(tabParametros[FGTS],tabParametros[Código do Posto],tabCustoUnit[[#This Row],[Código do Posto]])</f>
        <v>127.701904</v>
      </c>
      <c r="V256" s="21">
        <f>tabCustoUnit[[#This Row],[MODULO 1 - REMUNERAÇÃO ]]*SUMIFS(tabParametros[RAT Ajustado],tabParametros[Código do Posto],tabCustoUnit[[#This Row],[Código do Posto]])</f>
        <v>63.850951999999999</v>
      </c>
      <c r="W256" s="21">
        <f>tabCustoUnit[[#This Row],[MODULO 1 - REMUNERAÇÃO ]]*SUMIFS(tabParametros[SEBRAE],tabParametros[Código do Posto],tabCustoUnit[[#This Row],[Código do Posto]])</f>
        <v>9.5776427999999996</v>
      </c>
      <c r="X256" s="21">
        <f>SUM(tabCustoUnit[[#This Row],[INSS]:[SEBRAE]])</f>
        <v>603.39149640000005</v>
      </c>
      <c r="Y256" s="21">
        <f>tabCustoUnit[[#This Row],[MODULO 1 - REMUNERAÇÃO ]]*SUMIFS(tabParametros[13º salário (titular)],tabParametros[Código do Posto],tabCustoUnit[[#This Row],[Código do Posto]])</f>
        <v>133.02281666666664</v>
      </c>
      <c r="Z256" s="21">
        <f>tabCustoUnit[[#This Row],[MODULO 1 - REMUNERAÇÃO ]]*SUMIFS(tabParametros[Férias e Adicional de Férias (titular)],tabParametros[Código do Posto],tabCustoUnit[[#This Row],[Código do Posto]])</f>
        <v>177.36375555555554</v>
      </c>
      <c r="AA256" s="21">
        <f>IFERROR((tabCustoUnit[[#This Row],[Submódulo 2.1]]/tabCustoUnit[[#This Row],[MODULO 1 - REMUNERAÇÃO ]])*SUM(tabCustoUnit[[#This Row],[13º salário (titular)]:[Férias e Adicional de Férias (titular)]]),0)</f>
        <v>117.3261243</v>
      </c>
      <c r="AB256" s="21">
        <f>SUM(tabCustoUnit[[#This Row],[13º salário (titular)]:[Incidência do Submódulo 2.1 sobre 13º Salário, Férias e Adicional de Férias]])</f>
        <v>427.71269652222219</v>
      </c>
      <c r="AC256" s="22" t="e">
        <f ca="1">_xlfn.LET(_xlpm.VT,SUMIF(tabParametros[Código do Posto],tabCustoUnit[[#This Row],[Código do Posto]],tabParametros[Vale - Transporte])*2*20,
IF((_xlpm.VT-tabCustoUnit[[#This Row],[Salário Base]]*0.06)&gt;=0,(_xlpm.VT-tabCustoUnit[[#This Row],[Salário Base]]*0.06),0)
)</f>
        <v>#NAME?</v>
      </c>
      <c r="AD256" s="22">
        <f>IF(SUMIF(tabParametros[Código do Posto],tabCustoUnit[[#This Row],[Código do Posto]],tabParametros[Vale - Alimentação])&lt;=0,0,
SUMIF(tabParametros[Código do Posto],tabCustoUnit[[#This Row],[Código do Posto]],tabParametros[Vale - Alimentação])*20-1)</f>
        <v>582</v>
      </c>
      <c r="AE256" s="22">
        <f>SUMIF(tabParametros[Código do Posto],tabCustoUnit[[#This Row],[Código do Posto]],tabParametros[Cesta Básica])</f>
        <v>0</v>
      </c>
      <c r="AF256" s="22">
        <f>SUMIF(tabParametros[Código do Posto],tabCustoUnit[[#This Row],[Código do Posto]],tabParametros[PAF])</f>
        <v>51.86</v>
      </c>
      <c r="AG256" s="22">
        <f>SUMIF(tabParametros[Código do Posto],tabCustoUnit[[#This Row],[Código do Posto]],tabParametros[PQM])</f>
        <v>0</v>
      </c>
      <c r="AH256" s="22">
        <f>SUMIF(tabParametros[Código do Posto],tabCustoUnit[[#This Row],[Código do Posto]],tabParametros[Abono Único e Especial])</f>
        <v>0</v>
      </c>
      <c r="AI256" s="22">
        <f>SUMIF(tabParametros[Código do Posto],tabCustoUnit[[#This Row],[Código do Posto]],tabParametros[Seguro de Vida])</f>
        <v>3.36</v>
      </c>
      <c r="AJ256" s="22">
        <f>SUMIF(tabParametros[Código do Posto],tabCustoUnit[[#This Row],[Código do Posto]],tabParametros[Despesas de Viagem])</f>
        <v>0</v>
      </c>
      <c r="AK256" s="22" t="e">
        <f ca="1">SUM(tabCustoUnit[[#This Row],[Vale - Transporte (Descontada parcela do empregado)]:[Despesas de Viagem]])</f>
        <v>#NAME?</v>
      </c>
      <c r="AL256" s="22" t="e">
        <f ca="1">tabCustoUnit[[#This Row],[Submódulo 2.1]]+tabCustoUnit[[#This Row],[Submódulo 2.2]]+tabCustoUnit[[#This Row],[Submódulo 2.3]]</f>
        <v>#NAME?</v>
      </c>
      <c r="AM256" s="22">
        <f>SUMIF(tabParametros[Código do Posto],tabCustoUnit[[#This Row],[Código do Posto]],tabParametros[Aviso Prévio Indenizado (API) e Reflexo do Aviso Prévio Indenizado])*tabCustoUnit[[#This Row],[MODULO 1 - REMUNERAÇÃO ]]</f>
        <v>11.192699914390431</v>
      </c>
      <c r="AN256" s="22">
        <f>SUMIF(tabParametros[Código do Posto],tabCustoUnit[[#This Row],[Código do Posto]],tabParametros[Incidência do FGTS sobre API e Reflexo do API])*tabCustoUnit[[#This Row],[MODULO 1 - REMUNERAÇÃO ]]</f>
        <v>0.89541599315123466</v>
      </c>
      <c r="AO256" s="22">
        <f>SUMIF(tabParametros[Código do Posto],tabCustoUnit[[#This Row],[Código do Posto]],tabParametros[Multa Rescisória do FGTS sobre o Aviso Prévio Indenizado])*tabCustoUnit[[#This Row],[MODULO 1 - REMUNERAÇÃO ]]</f>
        <v>0.35816639726049387</v>
      </c>
      <c r="AP256" s="22">
        <f>SUMIF(tabParametros[Código do Posto],tabCustoUnit[[#This Row],[Código do Posto]],tabParametros[Aviso Prévio Trabalhado - APT])*tabCustoUnit[[#This Row],[MODULO 1 - REMUNERAÇÃO ]]</f>
        <v>5.5869583000000009</v>
      </c>
      <c r="AQ256" s="22">
        <f>SUMIF(tabParametros[Código do Posto],tabCustoUnit[[#This Row],[Código do Posto]],tabParametros[Incidência dos encargos do submódulo 2.1 sobre Aviso Prévio Trabalhado])*tabCustoUnit[[#This Row],[MODULO 1 - REMUNERAÇÃO ]]</f>
        <v>2.1118702374000007</v>
      </c>
      <c r="AR256" s="22">
        <f>SUMIF(tabParametros[Código do Posto],tabCustoUnit[[#This Row],[Código do Posto]],tabParametros[Multa Rescisória do FGTS])*tabCustoUnit[[#This Row],[MODULO 1 - REMUNERAÇÃO ]]</f>
        <v>48.810505528888882</v>
      </c>
      <c r="AS256" s="22">
        <f>SUMIF(tabParametros[Código do Posto],tabCustoUnit[[#This Row],[Código do Posto]],tabParametros[Indenização Adicional (Art. 9º da Lei nº 7.238/84)])*tabCustoUnit[[#This Row],[MODULO 1 - REMUNERAÇÃO ]]</f>
        <v>1.3302281666666667</v>
      </c>
      <c r="AT256" s="22">
        <f>SUM(tabCustoUnit[[#This Row],[Aviso Prévio Indenizado (API) e Reflexo do Aviso Prévio Indenizado]:[Indenização Adicional (Art. 9º da Lei nº 7.238/84)]])</f>
        <v>70.285844537757711</v>
      </c>
      <c r="AU256" s="22">
        <f>SUMIF(tabParametros[Código do Posto],tabCustoUnit[[#This Row],[Código do Posto]],tabParametros[Ausência por Doença])*tabCustoUnit[[#This Row],[MODULO 1 - REMUNERAÇÃO ]]</f>
        <v>13.479645422222221</v>
      </c>
      <c r="AV256" s="22">
        <f>SUMIF(tabParametros[Código do Posto],tabCustoUnit[[#This Row],[Código do Posto]],tabParametros[Ausências Legais])*tabCustoUnit[[#This Row],[MODULO 1 - REMUNERAÇÃO ]]</f>
        <v>3.2368885388888886</v>
      </c>
      <c r="AW256" s="22">
        <f>SUMIF(tabParametros[Código do Posto],tabCustoUnit[[#This Row],[Código do Posto]],tabParametros[Licença Paternidade])*tabCustoUnit[[#This Row],[MODULO 1 - REMUNERAÇÃO ]]</f>
        <v>0.27269677416666666</v>
      </c>
      <c r="AX256" s="22">
        <f>SUMIF(tabParametros[Código do Posto],tabCustoUnit[[#This Row],[Código do Posto]],tabParametros[Ausência por Acidente de Trabalho])*tabCustoUnit[[#This Row],[MODULO 1 - REMUNERAÇÃO ]]</f>
        <v>0.33255704166666666</v>
      </c>
      <c r="AY256" s="22">
        <f>SUMIF(tabParametros[Código do Posto],tabCustoUnit[[#This Row],[Código do Posto]],tabParametros[Férias, Adicional de Férias e 13º  com empregada em gozo de Licença Maternidade])*tabCustoUnit[[#This Row],[MODULO 1 - REMUNERAÇÃO ]]</f>
        <v>2.0692438148148145</v>
      </c>
      <c r="AZ256" s="22">
        <f>SUMIF(tabParametros[Código do Posto],tabCustoUnit[[#This Row],[Código do Posto]],tabParametros[Incidência do Submódulo 2.1 sobre Ausências Legais])*tabCustoUnit[[#This Row],[MODULO 1 - REMUNERAÇÃO ]]</f>
        <v>7.3298099416850011</v>
      </c>
      <c r="BA256" s="22">
        <f>SUM(tabCustoUnit[[#This Row],[Ausência por Doença]:[Incidência do Submódulo 2.1 sobre Ausências Legais]])</f>
        <v>26.720841533444265</v>
      </c>
      <c r="BB256" s="22">
        <f>SUMIF(tabParametros[Código do Posto],tabCustoUnit[[#This Row],[Código do Posto]],tabParametros[Intervalo para Repouso ou Alimentação])</f>
        <v>0</v>
      </c>
      <c r="BC256" s="22">
        <f>tabCustoUnit[[#This Row],[Intervalo para Repouso ou Alimentação]]</f>
        <v>0</v>
      </c>
      <c r="BD25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6" s="22">
        <f>tabCustoUnit[[#This Row],[Suspensão Temporária do Contrato de Trabalho]]</f>
        <v>0</v>
      </c>
      <c r="BF256" s="22">
        <f>tabCustoUnit[[#This Row],[Submódulo 4.1]]+tabCustoUnit[[#This Row],[Submódulo 4.2]]+tabCustoUnit[[#This Row],[Submódulo 4.3]]</f>
        <v>26.720841533444265</v>
      </c>
      <c r="BG256" s="22">
        <f>VLOOKUP(tabCustoUnit[[#This Row],[Código do Posto]],tabParametros[],MATCH(tabCustoUnit[[#Headers],[Uniformes e EPIs]],tabParametros[#Headers],0),0)</f>
        <v>56.141713661989918</v>
      </c>
      <c r="BH256" s="22">
        <f>VLOOKUP(tabCustoUnit[[#This Row],[Código do Posto]],tabParametros[],MATCH(tabCustoUnit[[#Headers],[Materiais de Consumo]],tabParametros[#Headers],0),0)</f>
        <v>0</v>
      </c>
      <c r="BI256" s="22">
        <f>VLOOKUP(tabCustoUnit[[#This Row],[Código do Posto]],tabParametros[],MATCH(tabCustoUnit[[#Headers],[Máquinas e Equipamentos (depreciação)]],tabParametros[#Headers],0),0)</f>
        <v>0</v>
      </c>
      <c r="BJ256" s="22">
        <f>VLOOKUP(tabCustoUnit[[#This Row],[Código do Posto]],tabParametros[],MATCH(tabCustoUnit[[#Headers],[Produtos de Limpeza e Materiais de Higiene Pessoal]],tabParametros[#Headers],0),0)</f>
        <v>0</v>
      </c>
      <c r="BK256" s="22">
        <f>VLOOKUP(tabCustoUnit[[#This Row],[Código do Posto]],tabParametros[],MATCH(tabCustoUnit[[#Headers],[Outros (especificar)]],tabParametros[#Headers],0),0)</f>
        <v>0</v>
      </c>
      <c r="BL256" s="22">
        <f>SUM(tabCustoUnit[[#This Row],[Uniformes e EPIs]:[Outros (especificar)]])</f>
        <v>56.141713661989918</v>
      </c>
      <c r="BM25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6" s="22" t="e">
        <f ca="1">VLOOKUP(tabCustoUnit[[#This Row],[Código do Posto]],tabParametros[],MATCH(tabCustoUnit[[#Headers],[Custos Indiretos]],tabParametros[#Headers],0),0)</f>
        <v>#NAME?</v>
      </c>
      <c r="BO256" s="22" t="e">
        <f ca="1">VLOOKUP(tabCustoUnit[[#This Row],[Código do Posto]],tabParametros[],MATCH(tabCustoUnit[[#Headers],[Lucro]],tabParametros[#Headers],0),0)</f>
        <v>#NAME?</v>
      </c>
      <c r="BP256" s="26">
        <f>((100/((1-tabCustoUnit[[#This Row],[Resumo de Alíquotas (PIS+CONFINS+ISS)]]))-100)*VLOOKUP(tabCustoUnit[[#This Row],[Código do Posto]],tabParametros[],MATCH(tabCustoUnit[[#Headers],[COFINS]],tabParametros[#Headers],0),0))/(tabCustoUnit[[#This Row],[Resumo de Alíquotas (PIS+CONFINS+ISS)]]*100)</f>
        <v>8.8629737609329504E-2</v>
      </c>
      <c r="BQ256" s="26">
        <f>((100/((100-(tabCustoUnit[[#This Row],[Resumo de Alíquotas (PIS+CONFINS+ISS)]]*100))%)-100)*VLOOKUP(tabCustoUnit[[#This Row],[Código do Posto]],tabParametros[],MATCH(tabCustoUnit[[#Headers],[PIS]],tabParametros[#Headers],0),0))/(tabCustoUnit[[#This Row],[Resumo de Alíquotas (PIS+CONFINS+ISS)]]*100)</f>
        <v>1.9241982507288629E-2</v>
      </c>
      <c r="BR256" s="28">
        <f>VLOOKUP(tabCustoUnit[[#This Row],[Código do Posto]],tabParametros[],MATCH(tabCustoUnit[[#Headers],[ISS]],tabParametros[#Headers],0),0)</f>
        <v>0.05</v>
      </c>
      <c r="BS256" s="26">
        <f>(((100/((100-(tabCustoUnit[[#This Row],[Resumo de Alíquotas (PIS+CONFINS+ISS)]]*100))%)-100)*tabCustoUnit[[#This Row],[ISS]])/tabCustoUnit[[#This Row],[Resumo de Alíquotas (PIS+CONFINS+ISS)]])/100</f>
        <v>5.8309037900874633E-2</v>
      </c>
      <c r="BT25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56" s="138">
        <f>tabCustoUnit[[#This Row],[COFINS]]+tabCustoUnit[[#This Row],[PIS]]+tabCustoUnit[[#This Row],[ISS (Conversão Alíquota s/ fatura)]]</f>
        <v>0.16618075801749277</v>
      </c>
      <c r="BV256" s="22" t="e">
        <f ca="1">(tabCustoUnit[[#This Row],[TOTAL MÓDULOS 1+2+3+4+5]]+tabCustoUnit[[#This Row],[Custos Indiretos]]+tabCustoUnit[[#This Row],[Lucro]])*tabCustoUnit[[#This Row],[PIS + COFINS + ISS (Total Conversão  Alíquota s/ Fatura)]]</f>
        <v>#NAME?</v>
      </c>
      <c r="BW256" s="22" t="e">
        <f ca="1">tabCustoUnit[[#This Row],[Custos Indiretos]]+tabCustoUnit[[#This Row],[Lucro]]+tabCustoUnit[[#This Row],[Valor dos Tributos (ISS, PIS, CONFINS)]]</f>
        <v>#NAME?</v>
      </c>
      <c r="BX256" s="22" t="e">
        <f ca="1">tabCustoUnit[[#This Row],[TOTAL MÓDULOS 1+2+3+4+5]]+tabCustoUnit[[#This Row],[MÓDULO 6 – CUSTOS INDIRETOS, TRIBUTOS E LUCRO]]</f>
        <v>#NAME?</v>
      </c>
      <c r="BY256" s="22" t="e">
        <f ca="1">tabCustoUnit[[#This Row],[CUSTO TOTAL MENSAL]]*12</f>
        <v>#NAME?</v>
      </c>
      <c r="BZ256" s="24">
        <f>VLOOKUP(tabCustoUnit[[#This Row],[Código do Posto]],tabParametros[],MATCH(tabCustoUnit[[#Headers],[ANO DA CCT]],tabParametros[#Headers],0),0)</f>
        <v>45658</v>
      </c>
      <c r="CA256" s="25" t="str">
        <f>VLOOKUP(tabCustoUnit[[#This Row],[Código do Posto]],tabParametros[],MATCH(tabCustoUnit[[#Headers],[Nº DE PEDIDO DA CCT]],tabParametros[#Headers],0),0)</f>
        <v>-</v>
      </c>
      <c r="CB256" s="25" t="str">
        <f>VLOOKUP(tabCustoUnit[[#This Row],[Código do Posto]],tabParametros[],MATCH(tabCustoUnit[[#Headers],[TERMO ADITIVO ALTERAÇÃO DA CCT]],tabParametros[#Headers],0),0)</f>
        <v>-</v>
      </c>
    </row>
    <row r="257" spans="1:80">
      <c r="A257" s="20" t="s">
        <v>1678</v>
      </c>
      <c r="B257" t="s">
        <v>1188</v>
      </c>
      <c r="C257" t="s">
        <v>274</v>
      </c>
      <c r="D257" t="s">
        <v>1010</v>
      </c>
      <c r="E257" s="20" t="s">
        <v>1090</v>
      </c>
      <c r="F257" s="20" t="s">
        <v>120</v>
      </c>
      <c r="G257" s="418">
        <v>4599.5953</v>
      </c>
      <c r="H257" s="418">
        <v>0</v>
      </c>
      <c r="I257" s="418">
        <v>0</v>
      </c>
      <c r="J257" s="418">
        <v>0</v>
      </c>
      <c r="K257" s="418">
        <v>0</v>
      </c>
      <c r="L257" s="418">
        <v>0</v>
      </c>
      <c r="M257" s="418">
        <v>0</v>
      </c>
      <c r="N257" s="418">
        <v>0</v>
      </c>
      <c r="O257" s="21">
        <f>SUM(tabCustoUnit[[#This Row],[Salário Base]:[Adicional de Acúmulo de função]])</f>
        <v>4599.5953</v>
      </c>
      <c r="P257" s="21">
        <f>tabCustoUnit[[#This Row],[MODULO 1 - REMUNERAÇÃO ]]*SUMIFS(tabParametros[INSS],tabParametros[Código do Posto],tabCustoUnit[[#This Row],[Código do Posto]])</f>
        <v>919.91906000000006</v>
      </c>
      <c r="Q257" s="21">
        <f>tabCustoUnit[[#This Row],[MODULO 1 - REMUNERAÇÃO ]]*SUMIFS(tabParametros[SESI OU SESC],tabParametros[Código do Posto],tabCustoUnit[[#This Row],[Código do Posto]])</f>
        <v>68.993929499999993</v>
      </c>
      <c r="R257" s="21">
        <f>tabCustoUnit[[#This Row],[MODULO 1 - REMUNERAÇÃO ]]*SUMIFS(tabParametros[SENAI OU SENAC],tabParametros[Código do Posto],tabCustoUnit[[#This Row],[Código do Posto]])</f>
        <v>45.995953</v>
      </c>
      <c r="S257" s="21">
        <f>tabCustoUnit[[#This Row],[MODULO 1 - REMUNERAÇÃO ]]*SUMIFS(tabParametros[INCRA],tabParametros[Código do Posto],tabCustoUnit[[#This Row],[Código do Posto]])</f>
        <v>9.1991905999999997</v>
      </c>
      <c r="T257" s="21">
        <f>tabCustoUnit[[#This Row],[MODULO 1 - REMUNERAÇÃO ]]*SUMIFS(tabParametros[Salário Educação],tabParametros[Código do Posto],tabCustoUnit[[#This Row],[Código do Posto]])</f>
        <v>114.98988250000001</v>
      </c>
      <c r="U257" s="21">
        <f>tabCustoUnit[[#This Row],[MODULO 1 - REMUNERAÇÃO ]]*SUMIFS(tabParametros[FGTS],tabParametros[Código do Posto],tabCustoUnit[[#This Row],[Código do Posto]])</f>
        <v>367.967624</v>
      </c>
      <c r="V257" s="21">
        <f>tabCustoUnit[[#This Row],[MODULO 1 - REMUNERAÇÃO ]]*SUMIFS(tabParametros[RAT Ajustado],tabParametros[Código do Posto],tabCustoUnit[[#This Row],[Código do Posto]])</f>
        <v>183.983812</v>
      </c>
      <c r="W257" s="21">
        <f>tabCustoUnit[[#This Row],[MODULO 1 - REMUNERAÇÃO ]]*SUMIFS(tabParametros[SEBRAE],tabParametros[Código do Posto],tabCustoUnit[[#This Row],[Código do Posto]])</f>
        <v>27.597571800000001</v>
      </c>
      <c r="X257" s="21">
        <f>SUM(tabCustoUnit[[#This Row],[INSS]:[SEBRAE]])</f>
        <v>1738.6470234000003</v>
      </c>
      <c r="Y257" s="21">
        <f>tabCustoUnit[[#This Row],[MODULO 1 - REMUNERAÇÃO ]]*SUMIFS(tabParametros[13º salário (titular)],tabParametros[Código do Posto],tabCustoUnit[[#This Row],[Código do Posto]])</f>
        <v>383.29960833333331</v>
      </c>
      <c r="Z257" s="21">
        <f>tabCustoUnit[[#This Row],[MODULO 1 - REMUNERAÇÃO ]]*SUMIFS(tabParametros[Férias e Adicional de Férias (titular)],tabParametros[Código do Posto],tabCustoUnit[[#This Row],[Código do Posto]])</f>
        <v>511.06614444444443</v>
      </c>
      <c r="AA257" s="21">
        <f>IFERROR((tabCustoUnit[[#This Row],[Submódulo 2.1]]/tabCustoUnit[[#This Row],[MODULO 1 - REMUNERAÇÃO ]])*SUM(tabCustoUnit[[#This Row],[13º salário (titular)]:[Férias e Adicional de Férias (titular)]]),0)</f>
        <v>338.07025455000002</v>
      </c>
      <c r="AB257" s="21">
        <f>SUM(tabCustoUnit[[#This Row],[13º salário (titular)]:[Incidência do Submódulo 2.1 sobre 13º Salário, Férias e Adicional de Férias]])</f>
        <v>1232.4360073277778</v>
      </c>
      <c r="AC257" s="22" t="e">
        <f ca="1">_xlfn.LET(_xlpm.VT,SUMIF(tabParametros[Código do Posto],tabCustoUnit[[#This Row],[Código do Posto]],tabParametros[Vale - Transporte])*2*20,
IF((_xlpm.VT-tabCustoUnit[[#This Row],[Salário Base]]*0.06)&gt;=0,(_xlpm.VT-tabCustoUnit[[#This Row],[Salário Base]]*0.06),0)
)</f>
        <v>#NAME?</v>
      </c>
      <c r="AD257" s="22">
        <f>IF(SUMIF(tabParametros[Código do Posto],tabCustoUnit[[#This Row],[Código do Posto]],tabParametros[Vale - Alimentação])&lt;=0,0,
SUMIF(tabParametros[Código do Posto],tabCustoUnit[[#This Row],[Código do Posto]],tabParametros[Vale - Alimentação])*20-1)</f>
        <v>578.4</v>
      </c>
      <c r="AE257" s="22">
        <f>SUMIF(tabParametros[Código do Posto],tabCustoUnit[[#This Row],[Código do Posto]],tabParametros[Cesta Básica])</f>
        <v>0</v>
      </c>
      <c r="AF257" s="22">
        <f>SUMIF(tabParametros[Código do Posto],tabCustoUnit[[#This Row],[Código do Posto]],tabParametros[PAF])</f>
        <v>0</v>
      </c>
      <c r="AG257" s="22">
        <f>SUMIF(tabParametros[Código do Posto],tabCustoUnit[[#This Row],[Código do Posto]],tabParametros[PQM])</f>
        <v>0</v>
      </c>
      <c r="AH257" s="22">
        <f>SUMIF(tabParametros[Código do Posto],tabCustoUnit[[#This Row],[Código do Posto]],tabParametros[Abono Único e Especial])</f>
        <v>0</v>
      </c>
      <c r="AI257" s="22">
        <f>SUMIF(tabParametros[Código do Posto],tabCustoUnit[[#This Row],[Código do Posto]],tabParametros[Seguro de Vida])</f>
        <v>3.36</v>
      </c>
      <c r="AJ257" s="22">
        <f>SUMIF(tabParametros[Código do Posto],tabCustoUnit[[#This Row],[Código do Posto]],tabParametros[Despesas de Viagem])</f>
        <v>662.42</v>
      </c>
      <c r="AK257" s="22" t="e">
        <f ca="1">SUM(tabCustoUnit[[#This Row],[Vale - Transporte (Descontada parcela do empregado)]:[Despesas de Viagem]])</f>
        <v>#NAME?</v>
      </c>
      <c r="AL257" s="22" t="e">
        <f ca="1">tabCustoUnit[[#This Row],[Submódulo 2.1]]+tabCustoUnit[[#This Row],[Submódulo 2.2]]+tabCustoUnit[[#This Row],[Submódulo 2.3]]</f>
        <v>#NAME?</v>
      </c>
      <c r="AM257" s="22">
        <f>SUMIF(tabParametros[Código do Posto],tabCustoUnit[[#This Row],[Código do Posto]],tabParametros[Aviso Prévio Indenizado (API) e Reflexo do Aviso Prévio Indenizado])*tabCustoUnit[[#This Row],[MODULO 1 - REMUNERAÇÃO ]]</f>
        <v>32.251290424324843</v>
      </c>
      <c r="AN257" s="22">
        <f>SUMIF(tabParametros[Código do Posto],tabCustoUnit[[#This Row],[Código do Posto]],tabParametros[Incidência do FGTS sobre API e Reflexo do API])*tabCustoUnit[[#This Row],[MODULO 1 - REMUNERAÇÃO ]]</f>
        <v>2.5801032339459877</v>
      </c>
      <c r="AO257" s="22">
        <f>SUMIF(tabParametros[Código do Posto],tabCustoUnit[[#This Row],[Código do Posto]],tabParametros[Multa Rescisória do FGTS sobre o Aviso Prévio Indenizado])*tabCustoUnit[[#This Row],[MODULO 1 - REMUNERAÇÃO ]]</f>
        <v>1.0320412935783951</v>
      </c>
      <c r="AP257" s="22">
        <f>SUMIF(tabParametros[Código do Posto],tabCustoUnit[[#This Row],[Código do Posto]],tabParametros[Aviso Prévio Trabalhado - APT])*tabCustoUnit[[#This Row],[MODULO 1 - REMUNERAÇÃO ]]</f>
        <v>16.098583550000001</v>
      </c>
      <c r="AQ257" s="22">
        <f>SUMIF(tabParametros[Código do Posto],tabCustoUnit[[#This Row],[Código do Posto]],tabParametros[Incidência dos encargos do submódulo 2.1 sobre Aviso Prévio Trabalhado])*tabCustoUnit[[#This Row],[MODULO 1 - REMUNERAÇÃO ]]</f>
        <v>6.0852645819000015</v>
      </c>
      <c r="AR257" s="22">
        <f>SUMIF(tabParametros[Código do Posto],tabCustoUnit[[#This Row],[Código do Posto]],tabParametros[Multa Rescisória do FGTS])*tabCustoUnit[[#This Row],[MODULO 1 - REMUNERAÇÃO ]]</f>
        <v>140.64540295111109</v>
      </c>
      <c r="AS257" s="22">
        <f>SUMIF(tabParametros[Código do Posto],tabCustoUnit[[#This Row],[Código do Posto]],tabParametros[Indenização Adicional (Art. 9º da Lei nº 7.238/84)])*tabCustoUnit[[#This Row],[MODULO 1 - REMUNERAÇÃO ]]</f>
        <v>3.8329960833333336</v>
      </c>
      <c r="AT257" s="22">
        <f>SUM(tabCustoUnit[[#This Row],[Aviso Prévio Indenizado (API) e Reflexo do Aviso Prévio Indenizado]:[Indenização Adicional (Art. 9º da Lei nº 7.238/84)]])</f>
        <v>202.52568211819366</v>
      </c>
      <c r="AU257" s="22">
        <f>SUMIF(tabParametros[Código do Posto],tabCustoUnit[[#This Row],[Código do Posto]],tabParametros[Ausência por Doença])*tabCustoUnit[[#This Row],[MODULO 1 - REMUNERAÇÃO ]]</f>
        <v>38.841026977777773</v>
      </c>
      <c r="AV257" s="22">
        <f>SUMIF(tabParametros[Código do Posto],tabCustoUnit[[#This Row],[Código do Posto]],tabParametros[Ausências Legais])*tabCustoUnit[[#This Row],[MODULO 1 - REMUNERAÇÃO ]]</f>
        <v>9.3269571361111101</v>
      </c>
      <c r="AW257" s="22">
        <f>SUMIF(tabParametros[Código do Posto],tabCustoUnit[[#This Row],[Código do Posto]],tabParametros[Licença Paternidade])*tabCustoUnit[[#This Row],[MODULO 1 - REMUNERAÇÃO ]]</f>
        <v>0.78576419708333334</v>
      </c>
      <c r="AX257" s="22">
        <f>SUMIF(tabParametros[Código do Posto],tabCustoUnit[[#This Row],[Código do Posto]],tabParametros[Ausência por Acidente de Trabalho])*tabCustoUnit[[#This Row],[MODULO 1 - REMUNERAÇÃO ]]</f>
        <v>0.95824902083333341</v>
      </c>
      <c r="AY257" s="22">
        <f>SUMIF(tabParametros[Código do Posto],tabCustoUnit[[#This Row],[Código do Posto]],tabParametros[Férias, Adicional de Férias e 13º  com empregada em gozo de Licença Maternidade])*tabCustoUnit[[#This Row],[MODULO 1 - REMUNERAÇÃO ]]</f>
        <v>5.9624383518518513</v>
      </c>
      <c r="AZ257" s="22">
        <f>SUMIF(tabParametros[Código do Posto],tabCustoUnit[[#This Row],[Código do Posto]],tabParametros[Incidência do Submódulo 2.1 sobre Ausências Legais])*tabCustoUnit[[#This Row],[MODULO 1 - REMUNERAÇÃO ]]</f>
        <v>21.120536688422504</v>
      </c>
      <c r="BA257" s="22">
        <f>SUM(tabCustoUnit[[#This Row],[Ausência por Doença]:[Incidência do Submódulo 2.1 sobre Ausências Legais]])</f>
        <v>76.9949723720799</v>
      </c>
      <c r="BB257" s="22">
        <f>SUMIF(tabParametros[Código do Posto],tabCustoUnit[[#This Row],[Código do Posto]],tabParametros[Intervalo para Repouso ou Alimentação])</f>
        <v>0</v>
      </c>
      <c r="BC257" s="22">
        <f>tabCustoUnit[[#This Row],[Intervalo para Repouso ou Alimentação]]</f>
        <v>0</v>
      </c>
      <c r="BD25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7" s="22">
        <f>tabCustoUnit[[#This Row],[Suspensão Temporária do Contrato de Trabalho]]</f>
        <v>0</v>
      </c>
      <c r="BF257" s="22">
        <f>tabCustoUnit[[#This Row],[Submódulo 4.1]]+tabCustoUnit[[#This Row],[Submódulo 4.2]]+tabCustoUnit[[#This Row],[Submódulo 4.3]]</f>
        <v>76.9949723720799</v>
      </c>
      <c r="BG257" s="22">
        <f>VLOOKUP(tabCustoUnit[[#This Row],[Código do Posto]],tabParametros[],MATCH(tabCustoUnit[[#Headers],[Uniformes e EPIs]],tabParametros[#Headers],0),0)</f>
        <v>92.100763771570698</v>
      </c>
      <c r="BH257" s="22">
        <f>VLOOKUP(tabCustoUnit[[#This Row],[Código do Posto]],tabParametros[],MATCH(tabCustoUnit[[#Headers],[Materiais de Consumo]],tabParametros[#Headers],0),0)</f>
        <v>0</v>
      </c>
      <c r="BI257" s="22">
        <f>VLOOKUP(tabCustoUnit[[#This Row],[Código do Posto]],tabParametros[],MATCH(tabCustoUnit[[#Headers],[Máquinas e Equipamentos (depreciação)]],tabParametros[#Headers],0),0)</f>
        <v>0</v>
      </c>
      <c r="BJ257" s="22">
        <f>VLOOKUP(tabCustoUnit[[#This Row],[Código do Posto]],tabParametros[],MATCH(tabCustoUnit[[#Headers],[Produtos de Limpeza e Materiais de Higiene Pessoal]],tabParametros[#Headers],0),0)</f>
        <v>0</v>
      </c>
      <c r="BK257" s="22">
        <f>VLOOKUP(tabCustoUnit[[#This Row],[Código do Posto]],tabParametros[],MATCH(tabCustoUnit[[#Headers],[Outros (especificar)]],tabParametros[#Headers],0),0)</f>
        <v>0</v>
      </c>
      <c r="BL257" s="22">
        <f>SUM(tabCustoUnit[[#This Row],[Uniformes e EPIs]:[Outros (especificar)]])</f>
        <v>92.100763771570698</v>
      </c>
      <c r="BM25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7" s="22" t="e">
        <f ca="1">VLOOKUP(tabCustoUnit[[#This Row],[Código do Posto]],tabParametros[],MATCH(tabCustoUnit[[#Headers],[Custos Indiretos]],tabParametros[#Headers],0),0)</f>
        <v>#NAME?</v>
      </c>
      <c r="BO257" s="22" t="e">
        <f ca="1">VLOOKUP(tabCustoUnit[[#This Row],[Código do Posto]],tabParametros[],MATCH(tabCustoUnit[[#Headers],[Lucro]],tabParametros[#Headers],0),0)</f>
        <v>#NAME?</v>
      </c>
      <c r="BP257" s="26">
        <f>((100/((1-tabCustoUnit[[#This Row],[Resumo de Alíquotas (PIS+CONFINS+ISS)]]))-100)*VLOOKUP(tabCustoUnit[[#This Row],[Código do Posto]],tabParametros[],MATCH(tabCustoUnit[[#Headers],[COFINS]],tabParametros[#Headers],0),0))/(tabCustoUnit[[#This Row],[Resumo de Alíquotas (PIS+CONFINS+ISS)]]*100)</f>
        <v>8.8629737609329504E-2</v>
      </c>
      <c r="BQ257" s="26">
        <f>((100/((100-(tabCustoUnit[[#This Row],[Resumo de Alíquotas (PIS+CONFINS+ISS)]]*100))%)-100)*VLOOKUP(tabCustoUnit[[#This Row],[Código do Posto]],tabParametros[],MATCH(tabCustoUnit[[#Headers],[PIS]],tabParametros[#Headers],0),0))/(tabCustoUnit[[#This Row],[Resumo de Alíquotas (PIS+CONFINS+ISS)]]*100)</f>
        <v>1.9241982507288629E-2</v>
      </c>
      <c r="BR257" s="28">
        <f>VLOOKUP(tabCustoUnit[[#This Row],[Código do Posto]],tabParametros[],MATCH(tabCustoUnit[[#Headers],[ISS]],tabParametros[#Headers],0),0)</f>
        <v>0.05</v>
      </c>
      <c r="BS257" s="26">
        <f>(((100/((100-(tabCustoUnit[[#This Row],[Resumo de Alíquotas (PIS+CONFINS+ISS)]]*100))%)-100)*tabCustoUnit[[#This Row],[ISS]])/tabCustoUnit[[#This Row],[Resumo de Alíquotas (PIS+CONFINS+ISS)]])/100</f>
        <v>5.8309037900874633E-2</v>
      </c>
      <c r="BT25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57" s="138">
        <f>tabCustoUnit[[#This Row],[COFINS]]+tabCustoUnit[[#This Row],[PIS]]+tabCustoUnit[[#This Row],[ISS (Conversão Alíquota s/ fatura)]]</f>
        <v>0.16618075801749277</v>
      </c>
      <c r="BV257" s="22" t="e">
        <f ca="1">(tabCustoUnit[[#This Row],[TOTAL MÓDULOS 1+2+3+4+5]]+tabCustoUnit[[#This Row],[Custos Indiretos]]+tabCustoUnit[[#This Row],[Lucro]])*tabCustoUnit[[#This Row],[PIS + COFINS + ISS (Total Conversão  Alíquota s/ Fatura)]]</f>
        <v>#NAME?</v>
      </c>
      <c r="BW257" s="22" t="e">
        <f ca="1">tabCustoUnit[[#This Row],[Custos Indiretos]]+tabCustoUnit[[#This Row],[Lucro]]+tabCustoUnit[[#This Row],[Valor dos Tributos (ISS, PIS, CONFINS)]]</f>
        <v>#NAME?</v>
      </c>
      <c r="BX257" s="22" t="e">
        <f ca="1">tabCustoUnit[[#This Row],[TOTAL MÓDULOS 1+2+3+4+5]]+tabCustoUnit[[#This Row],[MÓDULO 6 – CUSTOS INDIRETOS, TRIBUTOS E LUCRO]]</f>
        <v>#NAME?</v>
      </c>
      <c r="BY257" s="22" t="e">
        <f ca="1">tabCustoUnit[[#This Row],[CUSTO TOTAL MENSAL]]*12</f>
        <v>#NAME?</v>
      </c>
      <c r="BZ257" s="24">
        <f>VLOOKUP(tabCustoUnit[[#This Row],[Código do Posto]],tabParametros[],MATCH(tabCustoUnit[[#Headers],[ANO DA CCT]],tabParametros[#Headers],0),0)</f>
        <v>45658</v>
      </c>
      <c r="CA257" s="25" t="str">
        <f>VLOOKUP(tabCustoUnit[[#This Row],[Código do Posto]],tabParametros[],MATCH(tabCustoUnit[[#Headers],[Nº DE PEDIDO DA CCT]],tabParametros[#Headers],0),0)</f>
        <v>-</v>
      </c>
      <c r="CB257" s="25" t="str">
        <f>VLOOKUP(tabCustoUnit[[#This Row],[Código do Posto]],tabParametros[],MATCH(tabCustoUnit[[#Headers],[TERMO ADITIVO ALTERAÇÃO DA CCT]],tabParametros[#Headers],0),0)</f>
        <v>-</v>
      </c>
    </row>
    <row r="258" spans="1:80">
      <c r="A258" s="20" t="s">
        <v>1679</v>
      </c>
      <c r="B258" t="s">
        <v>1188</v>
      </c>
      <c r="C258" t="s">
        <v>274</v>
      </c>
      <c r="D258" t="s">
        <v>1010</v>
      </c>
      <c r="E258" s="20" t="s">
        <v>1090</v>
      </c>
      <c r="F258" s="20" t="s">
        <v>135</v>
      </c>
      <c r="G258" s="418">
        <v>4599.5953</v>
      </c>
      <c r="H258" s="418">
        <v>0</v>
      </c>
      <c r="I258" s="418">
        <v>0</v>
      </c>
      <c r="J258" s="418">
        <v>0</v>
      </c>
      <c r="K258" s="418">
        <v>0</v>
      </c>
      <c r="L258" s="418">
        <v>0</v>
      </c>
      <c r="M258" s="418">
        <v>0</v>
      </c>
      <c r="N258" s="418">
        <v>0</v>
      </c>
      <c r="O258" s="21">
        <f>SUM(tabCustoUnit[[#This Row],[Salário Base]:[Adicional de Acúmulo de função]])</f>
        <v>4599.5953</v>
      </c>
      <c r="P258" s="21">
        <f>tabCustoUnit[[#This Row],[MODULO 1 - REMUNERAÇÃO ]]*SUMIFS(tabParametros[INSS],tabParametros[Código do Posto],tabCustoUnit[[#This Row],[Código do Posto]])</f>
        <v>919.91906000000006</v>
      </c>
      <c r="Q258" s="21">
        <f>tabCustoUnit[[#This Row],[MODULO 1 - REMUNERAÇÃO ]]*SUMIFS(tabParametros[SESI OU SESC],tabParametros[Código do Posto],tabCustoUnit[[#This Row],[Código do Posto]])</f>
        <v>68.993929499999993</v>
      </c>
      <c r="R258" s="21">
        <f>tabCustoUnit[[#This Row],[MODULO 1 - REMUNERAÇÃO ]]*SUMIFS(tabParametros[SENAI OU SENAC],tabParametros[Código do Posto],tabCustoUnit[[#This Row],[Código do Posto]])</f>
        <v>45.995953</v>
      </c>
      <c r="S258" s="21">
        <f>tabCustoUnit[[#This Row],[MODULO 1 - REMUNERAÇÃO ]]*SUMIFS(tabParametros[INCRA],tabParametros[Código do Posto],tabCustoUnit[[#This Row],[Código do Posto]])</f>
        <v>9.1991905999999997</v>
      </c>
      <c r="T258" s="21">
        <f>tabCustoUnit[[#This Row],[MODULO 1 - REMUNERAÇÃO ]]*SUMIFS(tabParametros[Salário Educação],tabParametros[Código do Posto],tabCustoUnit[[#This Row],[Código do Posto]])</f>
        <v>114.98988250000001</v>
      </c>
      <c r="U258" s="21">
        <f>tabCustoUnit[[#This Row],[MODULO 1 - REMUNERAÇÃO ]]*SUMIFS(tabParametros[FGTS],tabParametros[Código do Posto],tabCustoUnit[[#This Row],[Código do Posto]])</f>
        <v>367.967624</v>
      </c>
      <c r="V258" s="21">
        <f>tabCustoUnit[[#This Row],[MODULO 1 - REMUNERAÇÃO ]]*SUMIFS(tabParametros[RAT Ajustado],tabParametros[Código do Posto],tabCustoUnit[[#This Row],[Código do Posto]])</f>
        <v>183.983812</v>
      </c>
      <c r="W258" s="21">
        <f>tabCustoUnit[[#This Row],[MODULO 1 - REMUNERAÇÃO ]]*SUMIFS(tabParametros[SEBRAE],tabParametros[Código do Posto],tabCustoUnit[[#This Row],[Código do Posto]])</f>
        <v>27.597571800000001</v>
      </c>
      <c r="X258" s="21">
        <f>SUM(tabCustoUnit[[#This Row],[INSS]:[SEBRAE]])</f>
        <v>1738.6470234000003</v>
      </c>
      <c r="Y258" s="21">
        <f>tabCustoUnit[[#This Row],[MODULO 1 - REMUNERAÇÃO ]]*SUMIFS(tabParametros[13º salário (titular)],tabParametros[Código do Posto],tabCustoUnit[[#This Row],[Código do Posto]])</f>
        <v>383.29960833333331</v>
      </c>
      <c r="Z258" s="21">
        <f>tabCustoUnit[[#This Row],[MODULO 1 - REMUNERAÇÃO ]]*SUMIFS(tabParametros[Férias e Adicional de Férias (titular)],tabParametros[Código do Posto],tabCustoUnit[[#This Row],[Código do Posto]])</f>
        <v>511.06614444444443</v>
      </c>
      <c r="AA258" s="21">
        <f>IFERROR((tabCustoUnit[[#This Row],[Submódulo 2.1]]/tabCustoUnit[[#This Row],[MODULO 1 - REMUNERAÇÃO ]])*SUM(tabCustoUnit[[#This Row],[13º salário (titular)]:[Férias e Adicional de Férias (titular)]]),0)</f>
        <v>338.07025455000002</v>
      </c>
      <c r="AB258" s="21">
        <f>SUM(tabCustoUnit[[#This Row],[13º salário (titular)]:[Incidência do Submódulo 2.1 sobre 13º Salário, Férias e Adicional de Férias]])</f>
        <v>1232.4360073277778</v>
      </c>
      <c r="AC258" s="22" t="e">
        <f ca="1">_xlfn.LET(_xlpm.VT,SUMIF(tabParametros[Código do Posto],tabCustoUnit[[#This Row],[Código do Posto]],tabParametros[Vale - Transporte])*2*20,
IF((_xlpm.VT-tabCustoUnit[[#This Row],[Salário Base]]*0.06)&gt;=0,(_xlpm.VT-tabCustoUnit[[#This Row],[Salário Base]]*0.06),0)
)</f>
        <v>#NAME?</v>
      </c>
      <c r="AD258" s="22">
        <f>IF(SUMIF(tabParametros[Código do Posto],tabCustoUnit[[#This Row],[Código do Posto]],tabParametros[Vale - Alimentação])&lt;=0,0,
SUMIF(tabParametros[Código do Posto],tabCustoUnit[[#This Row],[Código do Posto]],tabParametros[Vale - Alimentação])*20-1)</f>
        <v>578.4</v>
      </c>
      <c r="AE258" s="22">
        <f>SUMIF(tabParametros[Código do Posto],tabCustoUnit[[#This Row],[Código do Posto]],tabParametros[Cesta Básica])</f>
        <v>0</v>
      </c>
      <c r="AF258" s="22">
        <f>SUMIF(tabParametros[Código do Posto],tabCustoUnit[[#This Row],[Código do Posto]],tabParametros[PAF])</f>
        <v>0</v>
      </c>
      <c r="AG258" s="22">
        <f>SUMIF(tabParametros[Código do Posto],tabCustoUnit[[#This Row],[Código do Posto]],tabParametros[PQM])</f>
        <v>0</v>
      </c>
      <c r="AH258" s="22">
        <f>SUMIF(tabParametros[Código do Posto],tabCustoUnit[[#This Row],[Código do Posto]],tabParametros[Abono Único e Especial])</f>
        <v>0</v>
      </c>
      <c r="AI258" s="22">
        <f>SUMIF(tabParametros[Código do Posto],tabCustoUnit[[#This Row],[Código do Posto]],tabParametros[Seguro de Vida])</f>
        <v>3.36</v>
      </c>
      <c r="AJ258" s="22">
        <f>SUMIF(tabParametros[Código do Posto],tabCustoUnit[[#This Row],[Código do Posto]],tabParametros[Despesas de Viagem])</f>
        <v>662.42</v>
      </c>
      <c r="AK258" s="22" t="e">
        <f ca="1">SUM(tabCustoUnit[[#This Row],[Vale - Transporte (Descontada parcela do empregado)]:[Despesas de Viagem]])</f>
        <v>#NAME?</v>
      </c>
      <c r="AL258" s="22" t="e">
        <f ca="1">tabCustoUnit[[#This Row],[Submódulo 2.1]]+tabCustoUnit[[#This Row],[Submódulo 2.2]]+tabCustoUnit[[#This Row],[Submódulo 2.3]]</f>
        <v>#NAME?</v>
      </c>
      <c r="AM258" s="22">
        <f>SUMIF(tabParametros[Código do Posto],tabCustoUnit[[#This Row],[Código do Posto]],tabParametros[Aviso Prévio Indenizado (API) e Reflexo do Aviso Prévio Indenizado])*tabCustoUnit[[#This Row],[MODULO 1 - REMUNERAÇÃO ]]</f>
        <v>32.251290424324843</v>
      </c>
      <c r="AN258" s="22">
        <f>SUMIF(tabParametros[Código do Posto],tabCustoUnit[[#This Row],[Código do Posto]],tabParametros[Incidência do FGTS sobre API e Reflexo do API])*tabCustoUnit[[#This Row],[MODULO 1 - REMUNERAÇÃO ]]</f>
        <v>2.5801032339459877</v>
      </c>
      <c r="AO258" s="22">
        <f>SUMIF(tabParametros[Código do Posto],tabCustoUnit[[#This Row],[Código do Posto]],tabParametros[Multa Rescisória do FGTS sobre o Aviso Prévio Indenizado])*tabCustoUnit[[#This Row],[MODULO 1 - REMUNERAÇÃO ]]</f>
        <v>1.0320412935783951</v>
      </c>
      <c r="AP258" s="22">
        <f>SUMIF(tabParametros[Código do Posto],tabCustoUnit[[#This Row],[Código do Posto]],tabParametros[Aviso Prévio Trabalhado - APT])*tabCustoUnit[[#This Row],[MODULO 1 - REMUNERAÇÃO ]]</f>
        <v>16.098583550000001</v>
      </c>
      <c r="AQ258" s="22">
        <f>SUMIF(tabParametros[Código do Posto],tabCustoUnit[[#This Row],[Código do Posto]],tabParametros[Incidência dos encargos do submódulo 2.1 sobre Aviso Prévio Trabalhado])*tabCustoUnit[[#This Row],[MODULO 1 - REMUNERAÇÃO ]]</f>
        <v>6.0852645819000015</v>
      </c>
      <c r="AR258" s="22">
        <f>SUMIF(tabParametros[Código do Posto],tabCustoUnit[[#This Row],[Código do Posto]],tabParametros[Multa Rescisória do FGTS])*tabCustoUnit[[#This Row],[MODULO 1 - REMUNERAÇÃO ]]</f>
        <v>140.64540295111109</v>
      </c>
      <c r="AS258" s="22">
        <f>SUMIF(tabParametros[Código do Posto],tabCustoUnit[[#This Row],[Código do Posto]],tabParametros[Indenização Adicional (Art. 9º da Lei nº 7.238/84)])*tabCustoUnit[[#This Row],[MODULO 1 - REMUNERAÇÃO ]]</f>
        <v>3.8329960833333336</v>
      </c>
      <c r="AT258" s="22">
        <f>SUM(tabCustoUnit[[#This Row],[Aviso Prévio Indenizado (API) e Reflexo do Aviso Prévio Indenizado]:[Indenização Adicional (Art. 9º da Lei nº 7.238/84)]])</f>
        <v>202.52568211819366</v>
      </c>
      <c r="AU258" s="22">
        <f>SUMIF(tabParametros[Código do Posto],tabCustoUnit[[#This Row],[Código do Posto]],tabParametros[Ausência por Doença])*tabCustoUnit[[#This Row],[MODULO 1 - REMUNERAÇÃO ]]</f>
        <v>38.841026977777773</v>
      </c>
      <c r="AV258" s="22">
        <f>SUMIF(tabParametros[Código do Posto],tabCustoUnit[[#This Row],[Código do Posto]],tabParametros[Ausências Legais])*tabCustoUnit[[#This Row],[MODULO 1 - REMUNERAÇÃO ]]</f>
        <v>9.3269571361111101</v>
      </c>
      <c r="AW258" s="22">
        <f>SUMIF(tabParametros[Código do Posto],tabCustoUnit[[#This Row],[Código do Posto]],tabParametros[Licença Paternidade])*tabCustoUnit[[#This Row],[MODULO 1 - REMUNERAÇÃO ]]</f>
        <v>0.78576419708333334</v>
      </c>
      <c r="AX258" s="22">
        <f>SUMIF(tabParametros[Código do Posto],tabCustoUnit[[#This Row],[Código do Posto]],tabParametros[Ausência por Acidente de Trabalho])*tabCustoUnit[[#This Row],[MODULO 1 - REMUNERAÇÃO ]]</f>
        <v>0.95824902083333341</v>
      </c>
      <c r="AY258" s="22">
        <f>SUMIF(tabParametros[Código do Posto],tabCustoUnit[[#This Row],[Código do Posto]],tabParametros[Férias, Adicional de Férias e 13º  com empregada em gozo de Licença Maternidade])*tabCustoUnit[[#This Row],[MODULO 1 - REMUNERAÇÃO ]]</f>
        <v>5.9624383518518513</v>
      </c>
      <c r="AZ258" s="22">
        <f>SUMIF(tabParametros[Código do Posto],tabCustoUnit[[#This Row],[Código do Posto]],tabParametros[Incidência do Submódulo 2.1 sobre Ausências Legais])*tabCustoUnit[[#This Row],[MODULO 1 - REMUNERAÇÃO ]]</f>
        <v>21.120536688422504</v>
      </c>
      <c r="BA258" s="22">
        <f>SUM(tabCustoUnit[[#This Row],[Ausência por Doença]:[Incidência do Submódulo 2.1 sobre Ausências Legais]])</f>
        <v>76.9949723720799</v>
      </c>
      <c r="BB258" s="22">
        <f>SUMIF(tabParametros[Código do Posto],tabCustoUnit[[#This Row],[Código do Posto]],tabParametros[Intervalo para Repouso ou Alimentação])</f>
        <v>0</v>
      </c>
      <c r="BC258" s="22">
        <f>tabCustoUnit[[#This Row],[Intervalo para Repouso ou Alimentação]]</f>
        <v>0</v>
      </c>
      <c r="BD25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8" s="22">
        <f>tabCustoUnit[[#This Row],[Suspensão Temporária do Contrato de Trabalho]]</f>
        <v>0</v>
      </c>
      <c r="BF258" s="22">
        <f>tabCustoUnit[[#This Row],[Submódulo 4.1]]+tabCustoUnit[[#This Row],[Submódulo 4.2]]+tabCustoUnit[[#This Row],[Submódulo 4.3]]</f>
        <v>76.9949723720799</v>
      </c>
      <c r="BG258" s="22">
        <f>VLOOKUP(tabCustoUnit[[#This Row],[Código do Posto]],tabParametros[],MATCH(tabCustoUnit[[#Headers],[Uniformes e EPIs]],tabParametros[#Headers],0),0)</f>
        <v>92.100763771570698</v>
      </c>
      <c r="BH258" s="22">
        <f>VLOOKUP(tabCustoUnit[[#This Row],[Código do Posto]],tabParametros[],MATCH(tabCustoUnit[[#Headers],[Materiais de Consumo]],tabParametros[#Headers],0),0)</f>
        <v>0</v>
      </c>
      <c r="BI258" s="22">
        <f>VLOOKUP(tabCustoUnit[[#This Row],[Código do Posto]],tabParametros[],MATCH(tabCustoUnit[[#Headers],[Máquinas e Equipamentos (depreciação)]],tabParametros[#Headers],0),0)</f>
        <v>0</v>
      </c>
      <c r="BJ258" s="22">
        <f>VLOOKUP(tabCustoUnit[[#This Row],[Código do Posto]],tabParametros[],MATCH(tabCustoUnit[[#Headers],[Produtos de Limpeza e Materiais de Higiene Pessoal]],tabParametros[#Headers],0),0)</f>
        <v>0</v>
      </c>
      <c r="BK258" s="22">
        <f>VLOOKUP(tabCustoUnit[[#This Row],[Código do Posto]],tabParametros[],MATCH(tabCustoUnit[[#Headers],[Outros (especificar)]],tabParametros[#Headers],0),0)</f>
        <v>0</v>
      </c>
      <c r="BL258" s="22">
        <f>SUM(tabCustoUnit[[#This Row],[Uniformes e EPIs]:[Outros (especificar)]])</f>
        <v>92.100763771570698</v>
      </c>
      <c r="BM25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8" s="22" t="e">
        <f ca="1">VLOOKUP(tabCustoUnit[[#This Row],[Código do Posto]],tabParametros[],MATCH(tabCustoUnit[[#Headers],[Custos Indiretos]],tabParametros[#Headers],0),0)</f>
        <v>#NAME?</v>
      </c>
      <c r="BO258" s="22" t="e">
        <f ca="1">VLOOKUP(tabCustoUnit[[#This Row],[Código do Posto]],tabParametros[],MATCH(tabCustoUnit[[#Headers],[Lucro]],tabParametros[#Headers],0),0)</f>
        <v>#NAME?</v>
      </c>
      <c r="BP258" s="26">
        <f>((100/((1-tabCustoUnit[[#This Row],[Resumo de Alíquotas (PIS+CONFINS+ISS)]]))-100)*VLOOKUP(tabCustoUnit[[#This Row],[Código do Posto]],tabParametros[],MATCH(tabCustoUnit[[#Headers],[COFINS]],tabParametros[#Headers],0),0))/(tabCustoUnit[[#This Row],[Resumo de Alíquotas (PIS+CONFINS+ISS)]]*100)</f>
        <v>8.8629737609329504E-2</v>
      </c>
      <c r="BQ258" s="26">
        <f>((100/((100-(tabCustoUnit[[#This Row],[Resumo de Alíquotas (PIS+CONFINS+ISS)]]*100))%)-100)*VLOOKUP(tabCustoUnit[[#This Row],[Código do Posto]],tabParametros[],MATCH(tabCustoUnit[[#Headers],[PIS]],tabParametros[#Headers],0),0))/(tabCustoUnit[[#This Row],[Resumo de Alíquotas (PIS+CONFINS+ISS)]]*100)</f>
        <v>1.9241982507288629E-2</v>
      </c>
      <c r="BR258" s="28">
        <f>VLOOKUP(tabCustoUnit[[#This Row],[Código do Posto]],tabParametros[],MATCH(tabCustoUnit[[#Headers],[ISS]],tabParametros[#Headers],0),0)</f>
        <v>0.05</v>
      </c>
      <c r="BS258" s="26">
        <f>(((100/((100-(tabCustoUnit[[#This Row],[Resumo de Alíquotas (PIS+CONFINS+ISS)]]*100))%)-100)*tabCustoUnit[[#This Row],[ISS]])/tabCustoUnit[[#This Row],[Resumo de Alíquotas (PIS+CONFINS+ISS)]])/100</f>
        <v>5.8309037900874633E-2</v>
      </c>
      <c r="BT25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58" s="138">
        <f>tabCustoUnit[[#This Row],[COFINS]]+tabCustoUnit[[#This Row],[PIS]]+tabCustoUnit[[#This Row],[ISS (Conversão Alíquota s/ fatura)]]</f>
        <v>0.16618075801749277</v>
      </c>
      <c r="BV258" s="22" t="e">
        <f ca="1">(tabCustoUnit[[#This Row],[TOTAL MÓDULOS 1+2+3+4+5]]+tabCustoUnit[[#This Row],[Custos Indiretos]]+tabCustoUnit[[#This Row],[Lucro]])*tabCustoUnit[[#This Row],[PIS + COFINS + ISS (Total Conversão  Alíquota s/ Fatura)]]</f>
        <v>#NAME?</v>
      </c>
      <c r="BW258" s="22" t="e">
        <f ca="1">tabCustoUnit[[#This Row],[Custos Indiretos]]+tabCustoUnit[[#This Row],[Lucro]]+tabCustoUnit[[#This Row],[Valor dos Tributos (ISS, PIS, CONFINS)]]</f>
        <v>#NAME?</v>
      </c>
      <c r="BX258" s="22" t="e">
        <f ca="1">tabCustoUnit[[#This Row],[TOTAL MÓDULOS 1+2+3+4+5]]+tabCustoUnit[[#This Row],[MÓDULO 6 – CUSTOS INDIRETOS, TRIBUTOS E LUCRO]]</f>
        <v>#NAME?</v>
      </c>
      <c r="BY258" s="22" t="e">
        <f ca="1">tabCustoUnit[[#This Row],[CUSTO TOTAL MENSAL]]*12</f>
        <v>#NAME?</v>
      </c>
      <c r="BZ258" s="24">
        <f>VLOOKUP(tabCustoUnit[[#This Row],[Código do Posto]],tabParametros[],MATCH(tabCustoUnit[[#Headers],[ANO DA CCT]],tabParametros[#Headers],0),0)</f>
        <v>45658</v>
      </c>
      <c r="CA258" s="25" t="str">
        <f>VLOOKUP(tabCustoUnit[[#This Row],[Código do Posto]],tabParametros[],MATCH(tabCustoUnit[[#Headers],[Nº DE PEDIDO DA CCT]],tabParametros[#Headers],0),0)</f>
        <v>-</v>
      </c>
      <c r="CB258" s="25" t="str">
        <f>VLOOKUP(tabCustoUnit[[#This Row],[Código do Posto]],tabParametros[],MATCH(tabCustoUnit[[#Headers],[TERMO ADITIVO ALTERAÇÃO DA CCT]],tabParametros[#Headers],0),0)</f>
        <v>-</v>
      </c>
    </row>
    <row r="259" spans="1:80">
      <c r="A259" s="20" t="s">
        <v>1680</v>
      </c>
      <c r="B259" t="s">
        <v>1189</v>
      </c>
      <c r="C259" t="s">
        <v>314</v>
      </c>
      <c r="D259" t="s">
        <v>911</v>
      </c>
      <c r="E259" s="20" t="s">
        <v>1090</v>
      </c>
      <c r="F259" s="20" t="s">
        <v>120</v>
      </c>
      <c r="G259" s="418">
        <v>1963.4110000000001</v>
      </c>
      <c r="H259" s="418">
        <v>0</v>
      </c>
      <c r="I259" s="418">
        <v>0</v>
      </c>
      <c r="J259" s="418">
        <v>0</v>
      </c>
      <c r="K259" s="418">
        <v>0</v>
      </c>
      <c r="L259" s="418">
        <v>0</v>
      </c>
      <c r="M259" s="418">
        <v>0</v>
      </c>
      <c r="N259" s="418">
        <v>0</v>
      </c>
      <c r="O259" s="21">
        <f>SUM(tabCustoUnit[[#This Row],[Salário Base]:[Adicional de Acúmulo de função]])</f>
        <v>1963.4110000000001</v>
      </c>
      <c r="P259" s="21">
        <f>tabCustoUnit[[#This Row],[MODULO 1 - REMUNERAÇÃO ]]*SUMIFS(tabParametros[INSS],tabParametros[Código do Posto],tabCustoUnit[[#This Row],[Código do Posto]])</f>
        <v>392.68220000000002</v>
      </c>
      <c r="Q259" s="21">
        <f>tabCustoUnit[[#This Row],[MODULO 1 - REMUNERAÇÃO ]]*SUMIFS(tabParametros[SESI OU SESC],tabParametros[Código do Posto],tabCustoUnit[[#This Row],[Código do Posto]])</f>
        <v>29.451165</v>
      </c>
      <c r="R259" s="21">
        <f>tabCustoUnit[[#This Row],[MODULO 1 - REMUNERAÇÃO ]]*SUMIFS(tabParametros[SENAI OU SENAC],tabParametros[Código do Posto],tabCustoUnit[[#This Row],[Código do Posto]])</f>
        <v>19.63411</v>
      </c>
      <c r="S259" s="21">
        <f>tabCustoUnit[[#This Row],[MODULO 1 - REMUNERAÇÃO ]]*SUMIFS(tabParametros[INCRA],tabParametros[Código do Posto],tabCustoUnit[[#This Row],[Código do Posto]])</f>
        <v>3.926822</v>
      </c>
      <c r="T259" s="21">
        <f>tabCustoUnit[[#This Row],[MODULO 1 - REMUNERAÇÃO ]]*SUMIFS(tabParametros[Salário Educação],tabParametros[Código do Posto],tabCustoUnit[[#This Row],[Código do Posto]])</f>
        <v>49.085275000000003</v>
      </c>
      <c r="U259" s="21">
        <f>tabCustoUnit[[#This Row],[MODULO 1 - REMUNERAÇÃO ]]*SUMIFS(tabParametros[FGTS],tabParametros[Código do Posto],tabCustoUnit[[#This Row],[Código do Posto]])</f>
        <v>157.07288</v>
      </c>
      <c r="V259" s="21">
        <f>tabCustoUnit[[#This Row],[MODULO 1 - REMUNERAÇÃO ]]*SUMIFS(tabParametros[RAT Ajustado],tabParametros[Código do Posto],tabCustoUnit[[#This Row],[Código do Posto]])</f>
        <v>78.536439999999999</v>
      </c>
      <c r="W259" s="21">
        <f>tabCustoUnit[[#This Row],[MODULO 1 - REMUNERAÇÃO ]]*SUMIFS(tabParametros[SEBRAE],tabParametros[Código do Posto],tabCustoUnit[[#This Row],[Código do Posto]])</f>
        <v>11.780466000000001</v>
      </c>
      <c r="X259" s="21">
        <f>SUM(tabCustoUnit[[#This Row],[INSS]:[SEBRAE]])</f>
        <v>742.1693580000001</v>
      </c>
      <c r="Y259" s="21">
        <f>tabCustoUnit[[#This Row],[MODULO 1 - REMUNERAÇÃO ]]*SUMIFS(tabParametros[13º salário (titular)],tabParametros[Código do Posto],tabCustoUnit[[#This Row],[Código do Posto]])</f>
        <v>163.61758333333333</v>
      </c>
      <c r="Z259" s="21">
        <f>tabCustoUnit[[#This Row],[MODULO 1 - REMUNERAÇÃO ]]*SUMIFS(tabParametros[Férias e Adicional de Férias (titular)],tabParametros[Código do Posto],tabCustoUnit[[#This Row],[Código do Posto]])</f>
        <v>218.15677777777776</v>
      </c>
      <c r="AA259" s="21">
        <f>IFERROR((tabCustoUnit[[#This Row],[Submódulo 2.1]]/tabCustoUnit[[#This Row],[MODULO 1 - REMUNERAÇÃO ]])*SUM(tabCustoUnit[[#This Row],[13º salário (titular)]:[Férias e Adicional de Férias (titular)]]),0)</f>
        <v>144.3107085</v>
      </c>
      <c r="AB259" s="21">
        <f>SUM(tabCustoUnit[[#This Row],[13º salário (titular)]:[Incidência do Submódulo 2.1 sobre 13º Salário, Férias e Adicional de Férias]])</f>
        <v>526.08506961111107</v>
      </c>
      <c r="AC259" s="22" t="e">
        <f ca="1">_xlfn.LET(_xlpm.VT,SUMIF(tabParametros[Código do Posto],tabCustoUnit[[#This Row],[Código do Posto]],tabParametros[Vale - Transporte])*2*20,
IF((_xlpm.VT-tabCustoUnit[[#This Row],[Salário Base]]*0.06)&gt;=0,(_xlpm.VT-tabCustoUnit[[#This Row],[Salário Base]]*0.06),0)
)</f>
        <v>#NAME?</v>
      </c>
      <c r="AD259" s="22">
        <f>IF(SUMIF(tabParametros[Código do Posto],tabCustoUnit[[#This Row],[Código do Posto]],tabParametros[Vale - Alimentação])&lt;=0,0,
SUMIF(tabParametros[Código do Posto],tabCustoUnit[[#This Row],[Código do Posto]],tabParametros[Vale - Alimentação])*20-1)</f>
        <v>582</v>
      </c>
      <c r="AE259" s="22">
        <f>SUMIF(tabParametros[Código do Posto],tabCustoUnit[[#This Row],[Código do Posto]],tabParametros[Cesta Básica])</f>
        <v>0</v>
      </c>
      <c r="AF259" s="22">
        <f>SUMIF(tabParametros[Código do Posto],tabCustoUnit[[#This Row],[Código do Posto]],tabParametros[PAF])</f>
        <v>0</v>
      </c>
      <c r="AG259" s="22">
        <f>SUMIF(tabParametros[Código do Posto],tabCustoUnit[[#This Row],[Código do Posto]],tabParametros[PQM])</f>
        <v>0</v>
      </c>
      <c r="AH259" s="22">
        <f>SUMIF(tabParametros[Código do Posto],tabCustoUnit[[#This Row],[Código do Posto]],tabParametros[Abono Único e Especial])</f>
        <v>0</v>
      </c>
      <c r="AI259" s="22">
        <f>SUMIF(tabParametros[Código do Posto],tabCustoUnit[[#This Row],[Código do Posto]],tabParametros[Seguro de Vida])</f>
        <v>3.36</v>
      </c>
      <c r="AJ259" s="22">
        <f>SUMIF(tabParametros[Código do Posto],tabCustoUnit[[#This Row],[Código do Posto]],tabParametros[Despesas de Viagem])</f>
        <v>0</v>
      </c>
      <c r="AK259" s="22" t="e">
        <f ca="1">SUM(tabCustoUnit[[#This Row],[Vale - Transporte (Descontada parcela do empregado)]:[Despesas de Viagem]])</f>
        <v>#NAME?</v>
      </c>
      <c r="AL259" s="22" t="e">
        <f ca="1">tabCustoUnit[[#This Row],[Submódulo 2.1]]+tabCustoUnit[[#This Row],[Submódulo 2.2]]+tabCustoUnit[[#This Row],[Submódulo 2.3]]</f>
        <v>#NAME?</v>
      </c>
      <c r="AM259" s="22">
        <f>SUMIF(tabParametros[Código do Posto],tabCustoUnit[[#This Row],[Código do Posto]],tabParametros[Aviso Prévio Indenizado (API) e Reflexo do Aviso Prévio Indenizado])*tabCustoUnit[[#This Row],[MODULO 1 - REMUNERAÇÃO ]]</f>
        <v>13.766980408757716</v>
      </c>
      <c r="AN259" s="22">
        <f>SUMIF(tabParametros[Código do Posto],tabCustoUnit[[#This Row],[Código do Posto]],tabParametros[Incidência do FGTS sobre API e Reflexo do API])*tabCustoUnit[[#This Row],[MODULO 1 - REMUNERAÇÃO ]]</f>
        <v>1.1013584327006174</v>
      </c>
      <c r="AO259" s="22">
        <f>SUMIF(tabParametros[Código do Posto],tabCustoUnit[[#This Row],[Código do Posto]],tabParametros[Multa Rescisória do FGTS sobre o Aviso Prévio Indenizado])*tabCustoUnit[[#This Row],[MODULO 1 - REMUNERAÇÃO ]]</f>
        <v>0.44054337308024699</v>
      </c>
      <c r="AP259" s="22">
        <f>SUMIF(tabParametros[Código do Posto],tabCustoUnit[[#This Row],[Código do Posto]],tabParametros[Aviso Prévio Trabalhado - APT])*tabCustoUnit[[#This Row],[MODULO 1 - REMUNERAÇÃO ]]</f>
        <v>6.8719385000000015</v>
      </c>
      <c r="AQ259" s="22">
        <f>SUMIF(tabParametros[Código do Posto],tabCustoUnit[[#This Row],[Código do Posto]],tabParametros[Incidência dos encargos do submódulo 2.1 sobre Aviso Prévio Trabalhado])*tabCustoUnit[[#This Row],[MODULO 1 - REMUNERAÇÃO ]]</f>
        <v>2.5975927530000007</v>
      </c>
      <c r="AR259" s="22">
        <f>SUMIF(tabParametros[Código do Posto],tabCustoUnit[[#This Row],[Código do Posto]],tabParametros[Multa Rescisória do FGTS])*tabCustoUnit[[#This Row],[MODULO 1 - REMUNERAÇÃO ]]</f>
        <v>60.03674524444444</v>
      </c>
      <c r="AS259" s="22">
        <f>SUMIF(tabParametros[Código do Posto],tabCustoUnit[[#This Row],[Código do Posto]],tabParametros[Indenização Adicional (Art. 9º da Lei nº 7.238/84)])*tabCustoUnit[[#This Row],[MODULO 1 - REMUNERAÇÃO ]]</f>
        <v>1.6361758333333334</v>
      </c>
      <c r="AT259" s="22">
        <f>SUM(tabCustoUnit[[#This Row],[Aviso Prévio Indenizado (API) e Reflexo do Aviso Prévio Indenizado]:[Indenização Adicional (Art. 9º da Lei nº 7.238/84)]])</f>
        <v>86.451334545316371</v>
      </c>
      <c r="AU259" s="22">
        <f>SUMIF(tabParametros[Código do Posto],tabCustoUnit[[#This Row],[Código do Posto]],tabParametros[Ausência por Doença])*tabCustoUnit[[#This Row],[MODULO 1 - REMUNERAÇÃO ]]</f>
        <v>16.579915111111109</v>
      </c>
      <c r="AV259" s="22">
        <f>SUMIF(tabParametros[Código do Posto],tabCustoUnit[[#This Row],[Código do Posto]],tabParametros[Ausências Legais])*tabCustoUnit[[#This Row],[MODULO 1 - REMUNERAÇÃO ]]</f>
        <v>3.9813611944444443</v>
      </c>
      <c r="AW259" s="22">
        <f>SUMIF(tabParametros[Código do Posto],tabCustoUnit[[#This Row],[Código do Posto]],tabParametros[Licença Paternidade])*tabCustoUnit[[#This Row],[MODULO 1 - REMUNERAÇÃO ]]</f>
        <v>0.33541604583333334</v>
      </c>
      <c r="AX259" s="22">
        <f>SUMIF(tabParametros[Código do Posto],tabCustoUnit[[#This Row],[Código do Posto]],tabParametros[Ausência por Acidente de Trabalho])*tabCustoUnit[[#This Row],[MODULO 1 - REMUNERAÇÃO ]]</f>
        <v>0.40904395833333335</v>
      </c>
      <c r="AY259" s="22">
        <f>SUMIF(tabParametros[Código do Posto],tabCustoUnit[[#This Row],[Código do Posto]],tabParametros[Férias, Adicional de Férias e 13º  com empregada em gozo de Licença Maternidade])*tabCustoUnit[[#This Row],[MODULO 1 - REMUNERAÇÃO ]]</f>
        <v>2.5451624074074073</v>
      </c>
      <c r="AZ259" s="22">
        <f>SUMIF(tabParametros[Código do Posto],tabCustoUnit[[#This Row],[Código do Posto]],tabParametros[Incidência do Submódulo 2.1 sobre Ausências Legais])*tabCustoUnit[[#This Row],[MODULO 1 - REMUNERAÇÃO ]]</f>
        <v>9.0156397150750021</v>
      </c>
      <c r="BA259" s="22">
        <f>SUM(tabCustoUnit[[#This Row],[Ausência por Doença]:[Incidência do Submódulo 2.1 sobre Ausências Legais]])</f>
        <v>32.866538432204628</v>
      </c>
      <c r="BB259" s="22">
        <f>SUMIF(tabParametros[Código do Posto],tabCustoUnit[[#This Row],[Código do Posto]],tabParametros[Intervalo para Repouso ou Alimentação])</f>
        <v>267.73786489195959</v>
      </c>
      <c r="BC259" s="22">
        <f>tabCustoUnit[[#This Row],[Intervalo para Repouso ou Alimentação]]</f>
        <v>267.73786489195959</v>
      </c>
      <c r="BD25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59" s="22">
        <f>tabCustoUnit[[#This Row],[Suspensão Temporária do Contrato de Trabalho]]</f>
        <v>0</v>
      </c>
      <c r="BF259" s="22">
        <f>tabCustoUnit[[#This Row],[Submódulo 4.1]]+tabCustoUnit[[#This Row],[Submódulo 4.2]]+tabCustoUnit[[#This Row],[Submódulo 4.3]]</f>
        <v>300.6044033241642</v>
      </c>
      <c r="BG259" s="22">
        <f>VLOOKUP(tabCustoUnit[[#This Row],[Código do Posto]],tabParametros[],MATCH(tabCustoUnit[[#Headers],[Uniformes e EPIs]],tabParametros[#Headers],0),0)</f>
        <v>56.642978962543395</v>
      </c>
      <c r="BH259" s="22">
        <f>VLOOKUP(tabCustoUnit[[#This Row],[Código do Posto]],tabParametros[],MATCH(tabCustoUnit[[#Headers],[Materiais de Consumo]],tabParametros[#Headers],0),0)</f>
        <v>0</v>
      </c>
      <c r="BI259" s="22">
        <f>VLOOKUP(tabCustoUnit[[#This Row],[Código do Posto]],tabParametros[],MATCH(tabCustoUnit[[#Headers],[Máquinas e Equipamentos (depreciação)]],tabParametros[#Headers],0),0)</f>
        <v>0</v>
      </c>
      <c r="BJ259" s="22">
        <f>VLOOKUP(tabCustoUnit[[#This Row],[Código do Posto]],tabParametros[],MATCH(tabCustoUnit[[#Headers],[Produtos de Limpeza e Materiais de Higiene Pessoal]],tabParametros[#Headers],0),0)</f>
        <v>0</v>
      </c>
      <c r="BK259" s="22">
        <f>VLOOKUP(tabCustoUnit[[#This Row],[Código do Posto]],tabParametros[],MATCH(tabCustoUnit[[#Headers],[Outros (especificar)]],tabParametros[#Headers],0),0)</f>
        <v>0</v>
      </c>
      <c r="BL259" s="22">
        <f>SUM(tabCustoUnit[[#This Row],[Uniformes e EPIs]:[Outros (especificar)]])</f>
        <v>56.642978962543395</v>
      </c>
      <c r="BM25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59" s="22" t="e">
        <f ca="1">VLOOKUP(tabCustoUnit[[#This Row],[Código do Posto]],tabParametros[],MATCH(tabCustoUnit[[#Headers],[Custos Indiretos]],tabParametros[#Headers],0),0)</f>
        <v>#NAME?</v>
      </c>
      <c r="BO259" s="22" t="e">
        <f ca="1">VLOOKUP(tabCustoUnit[[#This Row],[Código do Posto]],tabParametros[],MATCH(tabCustoUnit[[#Headers],[Lucro]],tabParametros[#Headers],0),0)</f>
        <v>#NAME?</v>
      </c>
      <c r="BP259" s="26">
        <f>((100/((1-tabCustoUnit[[#This Row],[Resumo de Alíquotas (PIS+CONFINS+ISS)]]))-100)*VLOOKUP(tabCustoUnit[[#This Row],[Código do Posto]],tabParametros[],MATCH(tabCustoUnit[[#Headers],[COFINS]],tabParametros[#Headers],0),0))/(tabCustoUnit[[#This Row],[Resumo de Alíquotas (PIS+CONFINS+ISS)]]*100)</f>
        <v>8.5633802816901458E-2</v>
      </c>
      <c r="BQ259" s="26">
        <f>((100/((100-(tabCustoUnit[[#This Row],[Resumo de Alíquotas (PIS+CONFINS+ISS)]]*100))%)-100)*VLOOKUP(tabCustoUnit[[#This Row],[Código do Posto]],tabParametros[],MATCH(tabCustoUnit[[#Headers],[PIS]],tabParametros[#Headers],0),0))/(tabCustoUnit[[#This Row],[Resumo de Alíquotas (PIS+CONFINS+ISS)]]*100)</f>
        <v>1.8591549295774657E-2</v>
      </c>
      <c r="BR259" s="28">
        <f>VLOOKUP(tabCustoUnit[[#This Row],[Código do Posto]],tabParametros[],MATCH(tabCustoUnit[[#Headers],[ISS]],tabParametros[#Headers],0),0)</f>
        <v>0.02</v>
      </c>
      <c r="BS259" s="26">
        <f>(((100/((100-(tabCustoUnit[[#This Row],[Resumo de Alíquotas (PIS+CONFINS+ISS)]]*100))%)-100)*tabCustoUnit[[#This Row],[ISS]])/tabCustoUnit[[#This Row],[Resumo de Alíquotas (PIS+CONFINS+ISS)]])/100</f>
        <v>2.2535211267605645E-2</v>
      </c>
      <c r="BT25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59" s="138">
        <f>tabCustoUnit[[#This Row],[COFINS]]+tabCustoUnit[[#This Row],[PIS]]+tabCustoUnit[[#This Row],[ISS (Conversão Alíquota s/ fatura)]]</f>
        <v>0.12676056338028174</v>
      </c>
      <c r="BV259" s="22" t="e">
        <f ca="1">(tabCustoUnit[[#This Row],[TOTAL MÓDULOS 1+2+3+4+5]]+tabCustoUnit[[#This Row],[Custos Indiretos]]+tabCustoUnit[[#This Row],[Lucro]])*tabCustoUnit[[#This Row],[PIS + COFINS + ISS (Total Conversão  Alíquota s/ Fatura)]]</f>
        <v>#NAME?</v>
      </c>
      <c r="BW259" s="22" t="e">
        <f ca="1">tabCustoUnit[[#This Row],[Custos Indiretos]]+tabCustoUnit[[#This Row],[Lucro]]+tabCustoUnit[[#This Row],[Valor dos Tributos (ISS, PIS, CONFINS)]]</f>
        <v>#NAME?</v>
      </c>
      <c r="BX259" s="22" t="e">
        <f ca="1">tabCustoUnit[[#This Row],[TOTAL MÓDULOS 1+2+3+4+5]]+tabCustoUnit[[#This Row],[MÓDULO 6 – CUSTOS INDIRETOS, TRIBUTOS E LUCRO]]</f>
        <v>#NAME?</v>
      </c>
      <c r="BY259" s="22" t="e">
        <f ca="1">tabCustoUnit[[#This Row],[CUSTO TOTAL MENSAL]]*12</f>
        <v>#NAME?</v>
      </c>
      <c r="BZ259" s="24">
        <f>VLOOKUP(tabCustoUnit[[#This Row],[Código do Posto]],tabParametros[],MATCH(tabCustoUnit[[#Headers],[ANO DA CCT]],tabParametros[#Headers],0),0)</f>
        <v>45658</v>
      </c>
      <c r="CA259" s="25" t="str">
        <f>VLOOKUP(tabCustoUnit[[#This Row],[Código do Posto]],tabParametros[],MATCH(tabCustoUnit[[#Headers],[Nº DE PEDIDO DA CCT]],tabParametros[#Headers],0),0)</f>
        <v>-</v>
      </c>
      <c r="CB259" s="25" t="str">
        <f>VLOOKUP(tabCustoUnit[[#This Row],[Código do Posto]],tabParametros[],MATCH(tabCustoUnit[[#Headers],[TERMO ADITIVO ALTERAÇÃO DA CCT]],tabParametros[#Headers],0),0)</f>
        <v>-</v>
      </c>
    </row>
    <row r="260" spans="1:80">
      <c r="A260" s="20" t="s">
        <v>1504</v>
      </c>
      <c r="B260" t="s">
        <v>1190</v>
      </c>
      <c r="C260" t="s">
        <v>1367</v>
      </c>
      <c r="D260" t="s">
        <v>957</v>
      </c>
      <c r="E260" s="20" t="s">
        <v>1090</v>
      </c>
      <c r="F260" s="20" t="s">
        <v>120</v>
      </c>
      <c r="G260" s="418">
        <v>2087.4324000000001</v>
      </c>
      <c r="H260" s="418">
        <v>0</v>
      </c>
      <c r="I260" s="418">
        <v>303.60000000000002</v>
      </c>
      <c r="J260" s="418">
        <v>0</v>
      </c>
      <c r="K260" s="418">
        <v>0</v>
      </c>
      <c r="L260" s="418">
        <v>0</v>
      </c>
      <c r="M260" s="418">
        <v>0</v>
      </c>
      <c r="N260" s="418">
        <v>0</v>
      </c>
      <c r="O260" s="21">
        <f>SUM(tabCustoUnit[[#This Row],[Salário Base]:[Adicional de Acúmulo de função]])</f>
        <v>2391.0324000000001</v>
      </c>
      <c r="P260" s="21">
        <f>tabCustoUnit[[#This Row],[MODULO 1 - REMUNERAÇÃO ]]*SUMIFS(tabParametros[INSS],tabParametros[Código do Posto],tabCustoUnit[[#This Row],[Código do Posto]])</f>
        <v>478.20648000000006</v>
      </c>
      <c r="Q260" s="21">
        <f>tabCustoUnit[[#This Row],[MODULO 1 - REMUNERAÇÃO ]]*SUMIFS(tabParametros[SESI OU SESC],tabParametros[Código do Posto],tabCustoUnit[[#This Row],[Código do Posto]])</f>
        <v>35.865485999999997</v>
      </c>
      <c r="R260" s="21">
        <f>tabCustoUnit[[#This Row],[MODULO 1 - REMUNERAÇÃO ]]*SUMIFS(tabParametros[SENAI OU SENAC],tabParametros[Código do Posto],tabCustoUnit[[#This Row],[Código do Posto]])</f>
        <v>23.910324000000003</v>
      </c>
      <c r="S260" s="21">
        <f>tabCustoUnit[[#This Row],[MODULO 1 - REMUNERAÇÃO ]]*SUMIFS(tabParametros[INCRA],tabParametros[Código do Posto],tabCustoUnit[[#This Row],[Código do Posto]])</f>
        <v>4.7820648000000006</v>
      </c>
      <c r="T260" s="21">
        <f>tabCustoUnit[[#This Row],[MODULO 1 - REMUNERAÇÃO ]]*SUMIFS(tabParametros[Salário Educação],tabParametros[Código do Posto],tabCustoUnit[[#This Row],[Código do Posto]])</f>
        <v>59.775810000000007</v>
      </c>
      <c r="U260" s="21">
        <f>tabCustoUnit[[#This Row],[MODULO 1 - REMUNERAÇÃO ]]*SUMIFS(tabParametros[FGTS],tabParametros[Código do Posto],tabCustoUnit[[#This Row],[Código do Posto]])</f>
        <v>191.28259200000002</v>
      </c>
      <c r="V260" s="21">
        <f>tabCustoUnit[[#This Row],[MODULO 1 - REMUNERAÇÃO ]]*SUMIFS(tabParametros[RAT Ajustado],tabParametros[Código do Posto],tabCustoUnit[[#This Row],[Código do Posto]])</f>
        <v>95.641296000000011</v>
      </c>
      <c r="W260" s="21">
        <f>tabCustoUnit[[#This Row],[MODULO 1 - REMUNERAÇÃO ]]*SUMIFS(tabParametros[SEBRAE],tabParametros[Código do Posto],tabCustoUnit[[#This Row],[Código do Posto]])</f>
        <v>14.3461944</v>
      </c>
      <c r="X260" s="21">
        <f>SUM(tabCustoUnit[[#This Row],[INSS]:[SEBRAE]])</f>
        <v>903.81024720000005</v>
      </c>
      <c r="Y260" s="21">
        <f>tabCustoUnit[[#This Row],[MODULO 1 - REMUNERAÇÃO ]]*SUMIFS(tabParametros[13º salário (titular)],tabParametros[Código do Posto],tabCustoUnit[[#This Row],[Código do Posto]])</f>
        <v>199.2527</v>
      </c>
      <c r="Z260" s="21">
        <f>tabCustoUnit[[#This Row],[MODULO 1 - REMUNERAÇÃO ]]*SUMIFS(tabParametros[Férias e Adicional de Férias (titular)],tabParametros[Código do Posto],tabCustoUnit[[#This Row],[Código do Posto]])</f>
        <v>265.67026666666663</v>
      </c>
      <c r="AA260" s="21">
        <f>IFERROR((tabCustoUnit[[#This Row],[Submódulo 2.1]]/tabCustoUnit[[#This Row],[MODULO 1 - REMUNERAÇÃO ]])*SUM(tabCustoUnit[[#This Row],[13º salário (titular)]:[Férias e Adicional de Férias (titular)]]),0)</f>
        <v>175.74088139999998</v>
      </c>
      <c r="AB260" s="21">
        <f>SUM(tabCustoUnit[[#This Row],[13º salário (titular)]:[Incidência do Submódulo 2.1 sobre 13º Salário, Férias e Adicional de Férias]])</f>
        <v>640.66384806666656</v>
      </c>
      <c r="AC260" s="22" t="e">
        <f ca="1">_xlfn.LET(_xlpm.VT,SUMIF(tabParametros[Código do Posto],tabCustoUnit[[#This Row],[Código do Posto]],tabParametros[Vale - Transporte])*2*20,
IF((_xlpm.VT-tabCustoUnit[[#This Row],[Salário Base]]*0.06)&gt;=0,(_xlpm.VT-tabCustoUnit[[#This Row],[Salário Base]]*0.06),0)
)</f>
        <v>#NAME?</v>
      </c>
      <c r="AD260" s="22">
        <f>IF(SUMIF(tabParametros[Código do Posto],tabCustoUnit[[#This Row],[Código do Posto]],tabParametros[Vale - Alimentação])&lt;=0,0,
SUMIF(tabParametros[Código do Posto],tabCustoUnit[[#This Row],[Código do Posto]],tabParametros[Vale - Alimentação])*20-1)</f>
        <v>582</v>
      </c>
      <c r="AE260" s="22">
        <f>SUMIF(tabParametros[Código do Posto],tabCustoUnit[[#This Row],[Código do Posto]],tabParametros[Cesta Básica])</f>
        <v>0</v>
      </c>
      <c r="AF260" s="22">
        <f>SUMIF(tabParametros[Código do Posto],tabCustoUnit[[#This Row],[Código do Posto]],tabParametros[PAF])</f>
        <v>0</v>
      </c>
      <c r="AG260" s="22">
        <f>SUMIF(tabParametros[Código do Posto],tabCustoUnit[[#This Row],[Código do Posto]],tabParametros[PQM])</f>
        <v>0</v>
      </c>
      <c r="AH260" s="22">
        <f>SUMIF(tabParametros[Código do Posto],tabCustoUnit[[#This Row],[Código do Posto]],tabParametros[Abono Único e Especial])</f>
        <v>0</v>
      </c>
      <c r="AI260" s="22">
        <f>SUMIF(tabParametros[Código do Posto],tabCustoUnit[[#This Row],[Código do Posto]],tabParametros[Seguro de Vida])</f>
        <v>3.36</v>
      </c>
      <c r="AJ260" s="22">
        <f>SUMIF(tabParametros[Código do Posto],tabCustoUnit[[#This Row],[Código do Posto]],tabParametros[Despesas de Viagem])</f>
        <v>0</v>
      </c>
      <c r="AK260" s="22" t="e">
        <f ca="1">SUM(tabCustoUnit[[#This Row],[Vale - Transporte (Descontada parcela do empregado)]:[Despesas de Viagem]])</f>
        <v>#NAME?</v>
      </c>
      <c r="AL260" s="22" t="e">
        <f ca="1">tabCustoUnit[[#This Row],[Submódulo 2.1]]+tabCustoUnit[[#This Row],[Submódulo 2.2]]+tabCustoUnit[[#This Row],[Submódulo 2.3]]</f>
        <v>#NAME?</v>
      </c>
      <c r="AM260" s="22">
        <f>SUMIF(tabParametros[Código do Posto],tabCustoUnit[[#This Row],[Código do Posto]],tabParametros[Aviso Prévio Indenizado (API) e Reflexo do Aviso Prévio Indenizado])*tabCustoUnit[[#This Row],[MODULO 1 - REMUNERAÇÃO ]]</f>
        <v>16.765362019212965</v>
      </c>
      <c r="AN260" s="22">
        <f>SUMIF(tabParametros[Código do Posto],tabCustoUnit[[#This Row],[Código do Posto]],tabParametros[Incidência do FGTS sobre API e Reflexo do API])*tabCustoUnit[[#This Row],[MODULO 1 - REMUNERAÇÃO ]]</f>
        <v>1.3412289615370372</v>
      </c>
      <c r="AO260" s="22">
        <f>SUMIF(tabParametros[Código do Posto],tabCustoUnit[[#This Row],[Código do Posto]],tabParametros[Multa Rescisória do FGTS sobre o Aviso Prévio Indenizado])*tabCustoUnit[[#This Row],[MODULO 1 - REMUNERAÇÃO ]]</f>
        <v>0.53649158461481494</v>
      </c>
      <c r="AP260" s="22">
        <f>SUMIF(tabParametros[Código do Posto],tabCustoUnit[[#This Row],[Código do Posto]],tabParametros[Aviso Prévio Trabalhado - APT])*tabCustoUnit[[#This Row],[MODULO 1 - REMUNERAÇÃO ]]</f>
        <v>8.368613400000001</v>
      </c>
      <c r="AQ260" s="22">
        <f>SUMIF(tabParametros[Código do Posto],tabCustoUnit[[#This Row],[Código do Posto]],tabParametros[Incidência dos encargos do submódulo 2.1 sobre Aviso Prévio Trabalhado])*tabCustoUnit[[#This Row],[MODULO 1 - REMUNERAÇÃO ]]</f>
        <v>3.163335865200001</v>
      </c>
      <c r="AR260" s="22">
        <f>SUMIF(tabParametros[Código do Posto],tabCustoUnit[[#This Row],[Código do Posto]],tabParametros[Multa Rescisória do FGTS])*tabCustoUnit[[#This Row],[MODULO 1 - REMUNERAÇÃO ]]</f>
        <v>73.112457386666662</v>
      </c>
      <c r="AS260" s="22">
        <f>SUMIF(tabParametros[Código do Posto],tabCustoUnit[[#This Row],[Código do Posto]],tabParametros[Indenização Adicional (Art. 9º da Lei nº 7.238/84)])*tabCustoUnit[[#This Row],[MODULO 1 - REMUNERAÇÃO ]]</f>
        <v>1.9925270000000002</v>
      </c>
      <c r="AT260" s="22">
        <f>SUM(tabCustoUnit[[#This Row],[Aviso Prévio Indenizado (API) e Reflexo do Aviso Prévio Indenizado]:[Indenização Adicional (Art. 9º da Lei nº 7.238/84)]])</f>
        <v>105.28001621723148</v>
      </c>
      <c r="AU260" s="22">
        <f>SUMIF(tabParametros[Código do Posto],tabCustoUnit[[#This Row],[Código do Posto]],tabParametros[Ausência por Doença])*tabCustoUnit[[#This Row],[MODULO 1 - REMUNERAÇÃO ]]</f>
        <v>20.190940266666665</v>
      </c>
      <c r="AV260" s="22">
        <f>SUMIF(tabParametros[Código do Posto],tabCustoUnit[[#This Row],[Código do Posto]],tabParametros[Ausências Legais])*tabCustoUnit[[#This Row],[MODULO 1 - REMUNERAÇÃO ]]</f>
        <v>4.8484823666666665</v>
      </c>
      <c r="AW260" s="22">
        <f>SUMIF(tabParametros[Código do Posto],tabCustoUnit[[#This Row],[Código do Posto]],tabParametros[Licença Paternidade])*tabCustoUnit[[#This Row],[MODULO 1 - REMUNERAÇÃO ]]</f>
        <v>0.40846803500000001</v>
      </c>
      <c r="AX260" s="22">
        <f>SUMIF(tabParametros[Código do Posto],tabCustoUnit[[#This Row],[Código do Posto]],tabParametros[Ausência por Acidente de Trabalho])*tabCustoUnit[[#This Row],[MODULO 1 - REMUNERAÇÃO ]]</f>
        <v>0.49813175000000004</v>
      </c>
      <c r="AY260" s="22">
        <f>SUMIF(tabParametros[Código do Posto],tabCustoUnit[[#This Row],[Código do Posto]],tabParametros[Férias, Adicional de Férias e 13º  com empregada em gozo de Licença Maternidade])*tabCustoUnit[[#This Row],[MODULO 1 - REMUNERAÇÃO ]]</f>
        <v>3.0994864444444445</v>
      </c>
      <c r="AZ260" s="22">
        <f>SUMIF(tabParametros[Código do Posto],tabCustoUnit[[#This Row],[Código do Posto]],tabParametros[Incidência do Submódulo 2.1 sobre Ausências Legais])*tabCustoUnit[[#This Row],[MODULO 1 - REMUNERAÇÃO ]]</f>
        <v>10.979202350130002</v>
      </c>
      <c r="BA260" s="22">
        <f>SUM(tabCustoUnit[[#This Row],[Ausência por Doença]:[Incidência do Submódulo 2.1 sobre Ausências Legais]])</f>
        <v>40.024711212907775</v>
      </c>
      <c r="BB260" s="22">
        <f>SUMIF(tabParametros[Código do Posto],tabCustoUnit[[#This Row],[Código do Posto]],tabParametros[Intervalo para Repouso ou Alimentação])</f>
        <v>0</v>
      </c>
      <c r="BC260" s="22">
        <f>tabCustoUnit[[#This Row],[Intervalo para Repouso ou Alimentação]]</f>
        <v>0</v>
      </c>
      <c r="BD26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0" s="22">
        <f>tabCustoUnit[[#This Row],[Suspensão Temporária do Contrato de Trabalho]]</f>
        <v>0</v>
      </c>
      <c r="BF260" s="22">
        <f>tabCustoUnit[[#This Row],[Submódulo 4.1]]+tabCustoUnit[[#This Row],[Submódulo 4.2]]+tabCustoUnit[[#This Row],[Submódulo 4.3]]</f>
        <v>40.024711212907775</v>
      </c>
      <c r="BG260" s="22">
        <f>VLOOKUP(tabCustoUnit[[#This Row],[Código do Posto]],tabParametros[],MATCH(tabCustoUnit[[#Headers],[Uniformes e EPIs]],tabParametros[#Headers],0),0)</f>
        <v>253.83572732312174</v>
      </c>
      <c r="BH260" s="22">
        <f>VLOOKUP(tabCustoUnit[[#This Row],[Código do Posto]],tabParametros[],MATCH(tabCustoUnit[[#Headers],[Materiais de Consumo]],tabParametros[#Headers],0),0)</f>
        <v>441.81099462365592</v>
      </c>
      <c r="BI260" s="22">
        <f>VLOOKUP(tabCustoUnit[[#This Row],[Código do Posto]],tabParametros[],MATCH(tabCustoUnit[[#Headers],[Máquinas e Equipamentos (depreciação)]],tabParametros[#Headers],0),0)</f>
        <v>113.11309677419354</v>
      </c>
      <c r="BJ260" s="22">
        <f>VLOOKUP(tabCustoUnit[[#This Row],[Código do Posto]],tabParametros[],MATCH(tabCustoUnit[[#Headers],[Produtos de Limpeza e Materiais de Higiene Pessoal]],tabParametros[#Headers],0),0)</f>
        <v>0</v>
      </c>
      <c r="BK260" s="22">
        <f>VLOOKUP(tabCustoUnit[[#This Row],[Código do Posto]],tabParametros[],MATCH(tabCustoUnit[[#Headers],[Outros (especificar)]],tabParametros[#Headers],0),0)</f>
        <v>0</v>
      </c>
      <c r="BL260" s="22">
        <f>SUM(tabCustoUnit[[#This Row],[Uniformes e EPIs]:[Outros (especificar)]])</f>
        <v>808.75981872097123</v>
      </c>
      <c r="BM26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0" s="22" t="e">
        <f ca="1">VLOOKUP(tabCustoUnit[[#This Row],[Código do Posto]],tabParametros[],MATCH(tabCustoUnit[[#Headers],[Custos Indiretos]],tabParametros[#Headers],0),0)</f>
        <v>#NAME?</v>
      </c>
      <c r="BO260" s="22" t="e">
        <f ca="1">VLOOKUP(tabCustoUnit[[#This Row],[Código do Posto]],tabParametros[],MATCH(tabCustoUnit[[#Headers],[Lucro]],tabParametros[#Headers],0),0)</f>
        <v>#NAME?</v>
      </c>
      <c r="BP260" s="26">
        <f>((100/((1-tabCustoUnit[[#This Row],[Resumo de Alíquotas (PIS+CONFINS+ISS)]]))-100)*VLOOKUP(tabCustoUnit[[#This Row],[Código do Posto]],tabParametros[],MATCH(tabCustoUnit[[#Headers],[COFINS]],tabParametros[#Headers],0),0))/(tabCustoUnit[[#This Row],[Resumo de Alíquotas (PIS+CONFINS+ISS)]]*100)</f>
        <v>8.6609686609686695E-2</v>
      </c>
      <c r="BQ260" s="26">
        <f>((100/((100-(tabCustoUnit[[#This Row],[Resumo de Alíquotas (PIS+CONFINS+ISS)]]*100))%)-100)*VLOOKUP(tabCustoUnit[[#This Row],[Código do Posto]],tabParametros[],MATCH(tabCustoUnit[[#Headers],[PIS]],tabParametros[#Headers],0),0))/(tabCustoUnit[[#This Row],[Resumo de Alíquotas (PIS+CONFINS+ISS)]]*100)</f>
        <v>1.880341880341882E-2</v>
      </c>
      <c r="BR260" s="28">
        <f>VLOOKUP(tabCustoUnit[[#This Row],[Código do Posto]],tabParametros[],MATCH(tabCustoUnit[[#Headers],[ISS]],tabParametros[#Headers],0),0)</f>
        <v>0.03</v>
      </c>
      <c r="BS260" s="26">
        <f>(((100/((100-(tabCustoUnit[[#This Row],[Resumo de Alíquotas (PIS+CONFINS+ISS)]]*100))%)-100)*tabCustoUnit[[#This Row],[ISS]])/tabCustoUnit[[#This Row],[Resumo de Alíquotas (PIS+CONFINS+ISS)]])/100</f>
        <v>3.4188034188034219E-2</v>
      </c>
      <c r="BT26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60" s="138">
        <f>tabCustoUnit[[#This Row],[COFINS]]+tabCustoUnit[[#This Row],[PIS]]+tabCustoUnit[[#This Row],[ISS (Conversão Alíquota s/ fatura)]]</f>
        <v>0.13960113960113973</v>
      </c>
      <c r="BV260" s="22" t="e">
        <f ca="1">(tabCustoUnit[[#This Row],[TOTAL MÓDULOS 1+2+3+4+5]]+tabCustoUnit[[#This Row],[Custos Indiretos]]+tabCustoUnit[[#This Row],[Lucro]])*tabCustoUnit[[#This Row],[PIS + COFINS + ISS (Total Conversão  Alíquota s/ Fatura)]]</f>
        <v>#NAME?</v>
      </c>
      <c r="BW260" s="22" t="e">
        <f ca="1">tabCustoUnit[[#This Row],[Custos Indiretos]]+tabCustoUnit[[#This Row],[Lucro]]+tabCustoUnit[[#This Row],[Valor dos Tributos (ISS, PIS, CONFINS)]]</f>
        <v>#NAME?</v>
      </c>
      <c r="BX260" s="22" t="e">
        <f ca="1">tabCustoUnit[[#This Row],[TOTAL MÓDULOS 1+2+3+4+5]]+tabCustoUnit[[#This Row],[MÓDULO 6 – CUSTOS INDIRETOS, TRIBUTOS E LUCRO]]</f>
        <v>#NAME?</v>
      </c>
      <c r="BY260" s="22" t="e">
        <f ca="1">tabCustoUnit[[#This Row],[CUSTO TOTAL MENSAL]]*12</f>
        <v>#NAME?</v>
      </c>
      <c r="BZ260" s="24">
        <f>VLOOKUP(tabCustoUnit[[#This Row],[Código do Posto]],tabParametros[],MATCH(tabCustoUnit[[#Headers],[ANO DA CCT]],tabParametros[#Headers],0),0)</f>
        <v>45658</v>
      </c>
      <c r="CA260" s="25" t="str">
        <f>VLOOKUP(tabCustoUnit[[#This Row],[Código do Posto]],tabParametros[],MATCH(tabCustoUnit[[#Headers],[Nº DE PEDIDO DA CCT]],tabParametros[#Headers],0),0)</f>
        <v>-</v>
      </c>
      <c r="CB260" s="25" t="str">
        <f>VLOOKUP(tabCustoUnit[[#This Row],[Código do Posto]],tabParametros[],MATCH(tabCustoUnit[[#Headers],[TERMO ADITIVO ALTERAÇÃO DA CCT]],tabParametros[#Headers],0),0)</f>
        <v>-</v>
      </c>
    </row>
    <row r="261" spans="1:80">
      <c r="A261" s="20" t="s">
        <v>1681</v>
      </c>
      <c r="B261" t="s">
        <v>1190</v>
      </c>
      <c r="C261" t="s">
        <v>1368</v>
      </c>
      <c r="D261" t="s">
        <v>957</v>
      </c>
      <c r="E261" s="20" t="s">
        <v>1090</v>
      </c>
      <c r="F261" s="20" t="s">
        <v>120</v>
      </c>
      <c r="G261" s="418">
        <v>2296.1756999999998</v>
      </c>
      <c r="H261" s="418">
        <v>0</v>
      </c>
      <c r="I261" s="418">
        <v>303.60000000000002</v>
      </c>
      <c r="J261" s="418">
        <v>0</v>
      </c>
      <c r="K261" s="418">
        <v>0</v>
      </c>
      <c r="L261" s="418">
        <v>0</v>
      </c>
      <c r="M261" s="418">
        <v>0</v>
      </c>
      <c r="N261" s="418">
        <v>0</v>
      </c>
      <c r="O261" s="21">
        <f>SUM(tabCustoUnit[[#This Row],[Salário Base]:[Adicional de Acúmulo de função]])</f>
        <v>2599.7756999999997</v>
      </c>
      <c r="P261" s="21">
        <f>tabCustoUnit[[#This Row],[MODULO 1 - REMUNERAÇÃO ]]*SUMIFS(tabParametros[INSS],tabParametros[Código do Posto],tabCustoUnit[[#This Row],[Código do Posto]])</f>
        <v>519.95513999999991</v>
      </c>
      <c r="Q261" s="21">
        <f>tabCustoUnit[[#This Row],[MODULO 1 - REMUNERAÇÃO ]]*SUMIFS(tabParametros[SESI OU SESC],tabParametros[Código do Posto],tabCustoUnit[[#This Row],[Código do Posto]])</f>
        <v>38.996635499999996</v>
      </c>
      <c r="R261" s="21">
        <f>tabCustoUnit[[#This Row],[MODULO 1 - REMUNERAÇÃO ]]*SUMIFS(tabParametros[SENAI OU SENAC],tabParametros[Código do Posto],tabCustoUnit[[#This Row],[Código do Posto]])</f>
        <v>25.997756999999996</v>
      </c>
      <c r="S261" s="21">
        <f>tabCustoUnit[[#This Row],[MODULO 1 - REMUNERAÇÃO ]]*SUMIFS(tabParametros[INCRA],tabParametros[Código do Posto],tabCustoUnit[[#This Row],[Código do Posto]])</f>
        <v>5.1995513999999998</v>
      </c>
      <c r="T261" s="21">
        <f>tabCustoUnit[[#This Row],[MODULO 1 - REMUNERAÇÃO ]]*SUMIFS(tabParametros[Salário Educação],tabParametros[Código do Posto],tabCustoUnit[[#This Row],[Código do Posto]])</f>
        <v>64.994392499999989</v>
      </c>
      <c r="U261" s="21">
        <f>tabCustoUnit[[#This Row],[MODULO 1 - REMUNERAÇÃO ]]*SUMIFS(tabParametros[FGTS],tabParametros[Código do Posto],tabCustoUnit[[#This Row],[Código do Posto]])</f>
        <v>207.98205599999997</v>
      </c>
      <c r="V261" s="21">
        <f>tabCustoUnit[[#This Row],[MODULO 1 - REMUNERAÇÃO ]]*SUMIFS(tabParametros[RAT Ajustado],tabParametros[Código do Posto],tabCustoUnit[[#This Row],[Código do Posto]])</f>
        <v>103.99102799999999</v>
      </c>
      <c r="W261" s="21">
        <f>tabCustoUnit[[#This Row],[MODULO 1 - REMUNERAÇÃO ]]*SUMIFS(tabParametros[SEBRAE],tabParametros[Código do Posto],tabCustoUnit[[#This Row],[Código do Posto]])</f>
        <v>15.598654199999999</v>
      </c>
      <c r="X261" s="21">
        <f>SUM(tabCustoUnit[[#This Row],[INSS]:[SEBRAE]])</f>
        <v>982.71521459999985</v>
      </c>
      <c r="Y261" s="21">
        <f>tabCustoUnit[[#This Row],[MODULO 1 - REMUNERAÇÃO ]]*SUMIFS(tabParametros[13º salário (titular)],tabParametros[Código do Posto],tabCustoUnit[[#This Row],[Código do Posto]])</f>
        <v>216.64797499999997</v>
      </c>
      <c r="Z261" s="21">
        <f>tabCustoUnit[[#This Row],[MODULO 1 - REMUNERAÇÃO ]]*SUMIFS(tabParametros[Férias e Adicional de Férias (titular)],tabParametros[Código do Posto],tabCustoUnit[[#This Row],[Código do Posto]])</f>
        <v>288.86396666666661</v>
      </c>
      <c r="AA261" s="21">
        <f>IFERROR((tabCustoUnit[[#This Row],[Submódulo 2.1]]/tabCustoUnit[[#This Row],[MODULO 1 - REMUNERAÇÃO ]])*SUM(tabCustoUnit[[#This Row],[13º salário (titular)]:[Férias e Adicional de Férias (titular)]]),0)</f>
        <v>191.08351394999997</v>
      </c>
      <c r="AB261" s="21">
        <f>SUM(tabCustoUnit[[#This Row],[13º salário (titular)]:[Incidência do Submódulo 2.1 sobre 13º Salário, Férias e Adicional de Férias]])</f>
        <v>696.59545561666653</v>
      </c>
      <c r="AC261" s="22" t="e">
        <f ca="1">_xlfn.LET(_xlpm.VT,SUMIF(tabParametros[Código do Posto],tabCustoUnit[[#This Row],[Código do Posto]],tabParametros[Vale - Transporte])*2*20,
IF((_xlpm.VT-tabCustoUnit[[#This Row],[Salário Base]]*0.06)&gt;=0,(_xlpm.VT-tabCustoUnit[[#This Row],[Salário Base]]*0.06),0)
)</f>
        <v>#NAME?</v>
      </c>
      <c r="AD261" s="22">
        <f>IF(SUMIF(tabParametros[Código do Posto],tabCustoUnit[[#This Row],[Código do Posto]],tabParametros[Vale - Alimentação])&lt;=0,0,
SUMIF(tabParametros[Código do Posto],tabCustoUnit[[#This Row],[Código do Posto]],tabParametros[Vale - Alimentação])*20-1)</f>
        <v>582</v>
      </c>
      <c r="AE261" s="22">
        <f>SUMIF(tabParametros[Código do Posto],tabCustoUnit[[#This Row],[Código do Posto]],tabParametros[Cesta Básica])</f>
        <v>0</v>
      </c>
      <c r="AF261" s="22">
        <f>SUMIF(tabParametros[Código do Posto],tabCustoUnit[[#This Row],[Código do Posto]],tabParametros[PAF])</f>
        <v>0</v>
      </c>
      <c r="AG261" s="22">
        <f>SUMIF(tabParametros[Código do Posto],tabCustoUnit[[#This Row],[Código do Posto]],tabParametros[PQM])</f>
        <v>0</v>
      </c>
      <c r="AH261" s="22">
        <f>SUMIF(tabParametros[Código do Posto],tabCustoUnit[[#This Row],[Código do Posto]],tabParametros[Abono Único e Especial])</f>
        <v>0</v>
      </c>
      <c r="AI261" s="22">
        <f>SUMIF(tabParametros[Código do Posto],tabCustoUnit[[#This Row],[Código do Posto]],tabParametros[Seguro de Vida])</f>
        <v>3.36</v>
      </c>
      <c r="AJ261" s="22">
        <f>SUMIF(tabParametros[Código do Posto],tabCustoUnit[[#This Row],[Código do Posto]],tabParametros[Despesas de Viagem])</f>
        <v>0</v>
      </c>
      <c r="AK261" s="22" t="e">
        <f ca="1">SUM(tabCustoUnit[[#This Row],[Vale - Transporte (Descontada parcela do empregado)]:[Despesas de Viagem]])</f>
        <v>#NAME?</v>
      </c>
      <c r="AL261" s="22" t="e">
        <f ca="1">tabCustoUnit[[#This Row],[Submódulo 2.1]]+tabCustoUnit[[#This Row],[Submódulo 2.2]]+tabCustoUnit[[#This Row],[Submódulo 2.3]]</f>
        <v>#NAME?</v>
      </c>
      <c r="AM261" s="22">
        <f>SUMIF(tabParametros[Código do Posto],tabCustoUnit[[#This Row],[Código do Posto]],tabParametros[Aviso Prévio Indenizado (API) e Reflexo do Aviso Prévio Indenizado])*tabCustoUnit[[#This Row],[MODULO 1 - REMUNERAÇÃO ]]</f>
        <v>18.229021396469907</v>
      </c>
      <c r="AN261" s="22">
        <f>SUMIF(tabParametros[Código do Posto],tabCustoUnit[[#This Row],[Código do Posto]],tabParametros[Incidência do FGTS sobre API e Reflexo do API])*tabCustoUnit[[#This Row],[MODULO 1 - REMUNERAÇÃO ]]</f>
        <v>1.4583217117175926</v>
      </c>
      <c r="AO261" s="22">
        <f>SUMIF(tabParametros[Código do Posto],tabCustoUnit[[#This Row],[Código do Posto]],tabParametros[Multa Rescisória do FGTS sobre o Aviso Prévio Indenizado])*tabCustoUnit[[#This Row],[MODULO 1 - REMUNERAÇÃO ]]</f>
        <v>0.58332868468703702</v>
      </c>
      <c r="AP261" s="22">
        <f>SUMIF(tabParametros[Código do Posto],tabCustoUnit[[#This Row],[Código do Posto]],tabParametros[Aviso Prévio Trabalhado - APT])*tabCustoUnit[[#This Row],[MODULO 1 - REMUNERAÇÃO ]]</f>
        <v>9.0992149500000004</v>
      </c>
      <c r="AQ261" s="22">
        <f>SUMIF(tabParametros[Código do Posto],tabCustoUnit[[#This Row],[Código do Posto]],tabParametros[Incidência dos encargos do submódulo 2.1 sobre Aviso Prévio Trabalhado])*tabCustoUnit[[#This Row],[MODULO 1 - REMUNERAÇÃO ]]</f>
        <v>3.4395032511000005</v>
      </c>
      <c r="AR261" s="22">
        <f>SUMIF(tabParametros[Código do Posto],tabCustoUnit[[#This Row],[Código do Posto]],tabParametros[Multa Rescisória do FGTS])*tabCustoUnit[[#This Row],[MODULO 1 - REMUNERAÇÃO ]]</f>
        <v>79.495363626666645</v>
      </c>
      <c r="AS261" s="22">
        <f>SUMIF(tabParametros[Código do Posto],tabCustoUnit[[#This Row],[Código do Posto]],tabParametros[Indenização Adicional (Art. 9º da Lei nº 7.238/84)])*tabCustoUnit[[#This Row],[MODULO 1 - REMUNERAÇÃO ]]</f>
        <v>2.1664797499999997</v>
      </c>
      <c r="AT261" s="22">
        <f>SUM(tabCustoUnit[[#This Row],[Aviso Prévio Indenizado (API) e Reflexo do Aviso Prévio Indenizado]:[Indenização Adicional (Art. 9º da Lei nº 7.238/84)]])</f>
        <v>114.47123337064117</v>
      </c>
      <c r="AU261" s="22">
        <f>SUMIF(tabParametros[Código do Posto],tabCustoUnit[[#This Row],[Código do Posto]],tabParametros[Ausência por Doença])*tabCustoUnit[[#This Row],[MODULO 1 - REMUNERAÇÃO ]]</f>
        <v>21.953661466666663</v>
      </c>
      <c r="AV261" s="22">
        <f>SUMIF(tabParametros[Código do Posto],tabCustoUnit[[#This Row],[Código do Posto]],tabParametros[Ausências Legais])*tabCustoUnit[[#This Row],[MODULO 1 - REMUNERAÇÃO ]]</f>
        <v>5.2717673916666659</v>
      </c>
      <c r="AW261" s="22">
        <f>SUMIF(tabParametros[Código do Posto],tabCustoUnit[[#This Row],[Código do Posto]],tabParametros[Licença Paternidade])*tabCustoUnit[[#This Row],[MODULO 1 - REMUNERAÇÃO ]]</f>
        <v>0.44412834874999996</v>
      </c>
      <c r="AX261" s="22">
        <f>SUMIF(tabParametros[Código do Posto],tabCustoUnit[[#This Row],[Código do Posto]],tabParametros[Ausência por Acidente de Trabalho])*tabCustoUnit[[#This Row],[MODULO 1 - REMUNERAÇÃO ]]</f>
        <v>0.54161993749999993</v>
      </c>
      <c r="AY261" s="22">
        <f>SUMIF(tabParametros[Código do Posto],tabCustoUnit[[#This Row],[Código do Posto]],tabParametros[Férias, Adicional de Férias e 13º  com empregada em gozo de Licença Maternidade])*tabCustoUnit[[#This Row],[MODULO 1 - REMUNERAÇÃO ]]</f>
        <v>3.3700796111111107</v>
      </c>
      <c r="AZ261" s="22">
        <f>SUMIF(tabParametros[Código do Posto],tabCustoUnit[[#This Row],[Código do Posto]],tabParametros[Incidência do Submódulo 2.1 sobre Ausências Legais])*tabCustoUnit[[#This Row],[MODULO 1 - REMUNERAÇÃO ]]</f>
        <v>11.9377150536525</v>
      </c>
      <c r="BA261" s="22">
        <f>SUM(tabCustoUnit[[#This Row],[Ausência por Doença]:[Incidência do Submódulo 2.1 sobre Ausências Legais]])</f>
        <v>43.518971809346937</v>
      </c>
      <c r="BB261" s="22">
        <f>SUMIF(tabParametros[Código do Posto],tabCustoUnit[[#This Row],[Código do Posto]],tabParametros[Intervalo para Repouso ou Alimentação])</f>
        <v>0</v>
      </c>
      <c r="BC261" s="22">
        <f>tabCustoUnit[[#This Row],[Intervalo para Repouso ou Alimentação]]</f>
        <v>0</v>
      </c>
      <c r="BD26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1" s="22">
        <f>tabCustoUnit[[#This Row],[Suspensão Temporária do Contrato de Trabalho]]</f>
        <v>0</v>
      </c>
      <c r="BF261" s="22">
        <f>tabCustoUnit[[#This Row],[Submódulo 4.1]]+tabCustoUnit[[#This Row],[Submódulo 4.2]]+tabCustoUnit[[#This Row],[Submódulo 4.3]]</f>
        <v>43.518971809346937</v>
      </c>
      <c r="BG261" s="22">
        <f>VLOOKUP(tabCustoUnit[[#This Row],[Código do Posto]],tabParametros[],MATCH(tabCustoUnit[[#Headers],[Uniformes e EPIs]],tabParametros[#Headers],0),0)</f>
        <v>196.62072732312174</v>
      </c>
      <c r="BH261" s="22">
        <f>VLOOKUP(tabCustoUnit[[#This Row],[Código do Posto]],tabParametros[],MATCH(tabCustoUnit[[#Headers],[Materiais de Consumo]],tabParametros[#Headers],0),0)</f>
        <v>441.81099462365592</v>
      </c>
      <c r="BI261" s="22">
        <f>VLOOKUP(tabCustoUnit[[#This Row],[Código do Posto]],tabParametros[],MATCH(tabCustoUnit[[#Headers],[Máquinas e Equipamentos (depreciação)]],tabParametros[#Headers],0),0)</f>
        <v>113.11309677419354</v>
      </c>
      <c r="BJ261" s="22">
        <f>VLOOKUP(tabCustoUnit[[#This Row],[Código do Posto]],tabParametros[],MATCH(tabCustoUnit[[#Headers],[Produtos de Limpeza e Materiais de Higiene Pessoal]],tabParametros[#Headers],0),0)</f>
        <v>0</v>
      </c>
      <c r="BK261" s="22">
        <f>VLOOKUP(tabCustoUnit[[#This Row],[Código do Posto]],tabParametros[],MATCH(tabCustoUnit[[#Headers],[Outros (especificar)]],tabParametros[#Headers],0),0)</f>
        <v>0</v>
      </c>
      <c r="BL261" s="22">
        <f>SUM(tabCustoUnit[[#This Row],[Uniformes e EPIs]:[Outros (especificar)]])</f>
        <v>751.54481872097119</v>
      </c>
      <c r="BM26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1" s="22" t="e">
        <f ca="1">VLOOKUP(tabCustoUnit[[#This Row],[Código do Posto]],tabParametros[],MATCH(tabCustoUnit[[#Headers],[Custos Indiretos]],tabParametros[#Headers],0),0)</f>
        <v>#NAME?</v>
      </c>
      <c r="BO261" s="22" t="e">
        <f ca="1">VLOOKUP(tabCustoUnit[[#This Row],[Código do Posto]],tabParametros[],MATCH(tabCustoUnit[[#Headers],[Lucro]],tabParametros[#Headers],0),0)</f>
        <v>#NAME?</v>
      </c>
      <c r="BP261" s="26">
        <f>((100/((1-tabCustoUnit[[#This Row],[Resumo de Alíquotas (PIS+CONFINS+ISS)]]))-100)*VLOOKUP(tabCustoUnit[[#This Row],[Código do Posto]],tabParametros[],MATCH(tabCustoUnit[[#Headers],[COFINS]],tabParametros[#Headers],0),0))/(tabCustoUnit[[#This Row],[Resumo de Alíquotas (PIS+CONFINS+ISS)]]*100)</f>
        <v>8.6609686609686695E-2</v>
      </c>
      <c r="BQ261" s="26">
        <f>((100/((100-(tabCustoUnit[[#This Row],[Resumo de Alíquotas (PIS+CONFINS+ISS)]]*100))%)-100)*VLOOKUP(tabCustoUnit[[#This Row],[Código do Posto]],tabParametros[],MATCH(tabCustoUnit[[#Headers],[PIS]],tabParametros[#Headers],0),0))/(tabCustoUnit[[#This Row],[Resumo de Alíquotas (PIS+CONFINS+ISS)]]*100)</f>
        <v>1.880341880341882E-2</v>
      </c>
      <c r="BR261" s="28">
        <f>VLOOKUP(tabCustoUnit[[#This Row],[Código do Posto]],tabParametros[],MATCH(tabCustoUnit[[#Headers],[ISS]],tabParametros[#Headers],0),0)</f>
        <v>0.03</v>
      </c>
      <c r="BS261" s="26">
        <f>(((100/((100-(tabCustoUnit[[#This Row],[Resumo de Alíquotas (PIS+CONFINS+ISS)]]*100))%)-100)*tabCustoUnit[[#This Row],[ISS]])/tabCustoUnit[[#This Row],[Resumo de Alíquotas (PIS+CONFINS+ISS)]])/100</f>
        <v>3.4188034188034219E-2</v>
      </c>
      <c r="BT26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61" s="138">
        <f>tabCustoUnit[[#This Row],[COFINS]]+tabCustoUnit[[#This Row],[PIS]]+tabCustoUnit[[#This Row],[ISS (Conversão Alíquota s/ fatura)]]</f>
        <v>0.13960113960113973</v>
      </c>
      <c r="BV261" s="22" t="e">
        <f ca="1">(tabCustoUnit[[#This Row],[TOTAL MÓDULOS 1+2+3+4+5]]+tabCustoUnit[[#This Row],[Custos Indiretos]]+tabCustoUnit[[#This Row],[Lucro]])*tabCustoUnit[[#This Row],[PIS + COFINS + ISS (Total Conversão  Alíquota s/ Fatura)]]</f>
        <v>#NAME?</v>
      </c>
      <c r="BW261" s="22" t="e">
        <f ca="1">tabCustoUnit[[#This Row],[Custos Indiretos]]+tabCustoUnit[[#This Row],[Lucro]]+tabCustoUnit[[#This Row],[Valor dos Tributos (ISS, PIS, CONFINS)]]</f>
        <v>#NAME?</v>
      </c>
      <c r="BX261" s="22" t="e">
        <f ca="1">tabCustoUnit[[#This Row],[TOTAL MÓDULOS 1+2+3+4+5]]+tabCustoUnit[[#This Row],[MÓDULO 6 – CUSTOS INDIRETOS, TRIBUTOS E LUCRO]]</f>
        <v>#NAME?</v>
      </c>
      <c r="BY261" s="22" t="e">
        <f ca="1">tabCustoUnit[[#This Row],[CUSTO TOTAL MENSAL]]*12</f>
        <v>#NAME?</v>
      </c>
      <c r="BZ261" s="24">
        <f>VLOOKUP(tabCustoUnit[[#This Row],[Código do Posto]],tabParametros[],MATCH(tabCustoUnit[[#Headers],[ANO DA CCT]],tabParametros[#Headers],0),0)</f>
        <v>45658</v>
      </c>
      <c r="CA261" s="25" t="str">
        <f>VLOOKUP(tabCustoUnit[[#This Row],[Código do Posto]],tabParametros[],MATCH(tabCustoUnit[[#Headers],[Nº DE PEDIDO DA CCT]],tabParametros[#Headers],0),0)</f>
        <v>-</v>
      </c>
      <c r="CB261" s="25" t="str">
        <f>VLOOKUP(tabCustoUnit[[#This Row],[Código do Posto]],tabParametros[],MATCH(tabCustoUnit[[#Headers],[TERMO ADITIVO ALTERAÇÃO DA CCT]],tabParametros[#Headers],0),0)</f>
        <v>-</v>
      </c>
    </row>
    <row r="262" spans="1:80">
      <c r="A262" s="20" t="s">
        <v>1682</v>
      </c>
      <c r="B262" t="s">
        <v>1190</v>
      </c>
      <c r="C262" t="s">
        <v>309</v>
      </c>
      <c r="D262" t="s">
        <v>957</v>
      </c>
      <c r="E262" s="20" t="s">
        <v>1090</v>
      </c>
      <c r="F262" s="20" t="s">
        <v>120</v>
      </c>
      <c r="G262" s="418">
        <v>1963.4110000000001</v>
      </c>
      <c r="H262" s="418">
        <v>0</v>
      </c>
      <c r="I262" s="418">
        <v>0</v>
      </c>
      <c r="J262" s="418">
        <v>395.62729999999999</v>
      </c>
      <c r="K262" s="418">
        <v>0</v>
      </c>
      <c r="L262" s="418">
        <v>0</v>
      </c>
      <c r="M262" s="418">
        <v>0</v>
      </c>
      <c r="N262" s="418">
        <v>0</v>
      </c>
      <c r="O262" s="21">
        <f>SUM(tabCustoUnit[[#This Row],[Salário Base]:[Adicional de Acúmulo de função]])</f>
        <v>2359.0383000000002</v>
      </c>
      <c r="P262" s="21">
        <f>tabCustoUnit[[#This Row],[MODULO 1 - REMUNERAÇÃO ]]*SUMIFS(tabParametros[INSS],tabParametros[Código do Posto],tabCustoUnit[[#This Row],[Código do Posto]])</f>
        <v>471.80766000000006</v>
      </c>
      <c r="Q262" s="21">
        <f>tabCustoUnit[[#This Row],[MODULO 1 - REMUNERAÇÃO ]]*SUMIFS(tabParametros[SESI OU SESC],tabParametros[Código do Posto],tabCustoUnit[[#This Row],[Código do Posto]])</f>
        <v>35.385574500000004</v>
      </c>
      <c r="R262" s="21">
        <f>tabCustoUnit[[#This Row],[MODULO 1 - REMUNERAÇÃO ]]*SUMIFS(tabParametros[SENAI OU SENAC],tabParametros[Código do Posto],tabCustoUnit[[#This Row],[Código do Posto]])</f>
        <v>23.590383000000003</v>
      </c>
      <c r="S262" s="21">
        <f>tabCustoUnit[[#This Row],[MODULO 1 - REMUNERAÇÃO ]]*SUMIFS(tabParametros[INCRA],tabParametros[Código do Posto],tabCustoUnit[[#This Row],[Código do Posto]])</f>
        <v>4.7180766000000007</v>
      </c>
      <c r="T262" s="21">
        <f>tabCustoUnit[[#This Row],[MODULO 1 - REMUNERAÇÃO ]]*SUMIFS(tabParametros[Salário Educação],tabParametros[Código do Posto],tabCustoUnit[[#This Row],[Código do Posto]])</f>
        <v>58.975957500000007</v>
      </c>
      <c r="U262" s="21">
        <f>tabCustoUnit[[#This Row],[MODULO 1 - REMUNERAÇÃO ]]*SUMIFS(tabParametros[FGTS],tabParametros[Código do Posto],tabCustoUnit[[#This Row],[Código do Posto]])</f>
        <v>188.72306400000002</v>
      </c>
      <c r="V262" s="21">
        <f>tabCustoUnit[[#This Row],[MODULO 1 - REMUNERAÇÃO ]]*SUMIFS(tabParametros[RAT Ajustado],tabParametros[Código do Posto],tabCustoUnit[[#This Row],[Código do Posto]])</f>
        <v>94.361532000000011</v>
      </c>
      <c r="W262" s="21">
        <f>tabCustoUnit[[#This Row],[MODULO 1 - REMUNERAÇÃO ]]*SUMIFS(tabParametros[SEBRAE],tabParametros[Código do Posto],tabCustoUnit[[#This Row],[Código do Posto]])</f>
        <v>14.154229800000001</v>
      </c>
      <c r="X262" s="21">
        <f>SUM(tabCustoUnit[[#This Row],[INSS]:[SEBRAE]])</f>
        <v>891.71647740000026</v>
      </c>
      <c r="Y262" s="21">
        <f>tabCustoUnit[[#This Row],[MODULO 1 - REMUNERAÇÃO ]]*SUMIFS(tabParametros[13º salário (titular)],tabParametros[Código do Posto],tabCustoUnit[[#This Row],[Código do Posto]])</f>
        <v>196.58652499999999</v>
      </c>
      <c r="Z262" s="21">
        <f>tabCustoUnit[[#This Row],[MODULO 1 - REMUNERAÇÃO ]]*SUMIFS(tabParametros[Férias e Adicional de Férias (titular)],tabParametros[Código do Posto],tabCustoUnit[[#This Row],[Código do Posto]])</f>
        <v>262.11536666666666</v>
      </c>
      <c r="AA262" s="21">
        <f>IFERROR((tabCustoUnit[[#This Row],[Submódulo 2.1]]/tabCustoUnit[[#This Row],[MODULO 1 - REMUNERAÇÃO ]])*SUM(tabCustoUnit[[#This Row],[13º salário (titular)]:[Férias e Adicional de Férias (titular)]]),0)</f>
        <v>173.38931505000002</v>
      </c>
      <c r="AB262" s="21">
        <f>SUM(tabCustoUnit[[#This Row],[13º salário (titular)]:[Incidência do Submódulo 2.1 sobre 13º Salário, Férias e Adicional de Férias]])</f>
        <v>632.09120671666665</v>
      </c>
      <c r="AC262" s="22" t="e">
        <f ca="1">_xlfn.LET(_xlpm.VT,SUMIF(tabParametros[Código do Posto],tabCustoUnit[[#This Row],[Código do Posto]],tabParametros[Vale - Transporte])*2*20,
IF((_xlpm.VT-tabCustoUnit[[#This Row],[Salário Base]]*0.06)&gt;=0,(_xlpm.VT-tabCustoUnit[[#This Row],[Salário Base]]*0.06),0)
)</f>
        <v>#NAME?</v>
      </c>
      <c r="AD262" s="22">
        <f>IF(SUMIF(tabParametros[Código do Posto],tabCustoUnit[[#This Row],[Código do Posto]],tabParametros[Vale - Alimentação])&lt;=0,0,
SUMIF(tabParametros[Código do Posto],tabCustoUnit[[#This Row],[Código do Posto]],tabParametros[Vale - Alimentação])*20-1)</f>
        <v>582</v>
      </c>
      <c r="AE262" s="22">
        <f>SUMIF(tabParametros[Código do Posto],tabCustoUnit[[#This Row],[Código do Posto]],tabParametros[Cesta Básica])</f>
        <v>0</v>
      </c>
      <c r="AF262" s="22">
        <f>SUMIF(tabParametros[Código do Posto],tabCustoUnit[[#This Row],[Código do Posto]],tabParametros[PAF])</f>
        <v>0</v>
      </c>
      <c r="AG262" s="22">
        <f>SUMIF(tabParametros[Código do Posto],tabCustoUnit[[#This Row],[Código do Posto]],tabParametros[PQM])</f>
        <v>0</v>
      </c>
      <c r="AH262" s="22">
        <f>SUMIF(tabParametros[Código do Posto],tabCustoUnit[[#This Row],[Código do Posto]],tabParametros[Abono Único e Especial])</f>
        <v>0</v>
      </c>
      <c r="AI262" s="22">
        <f>SUMIF(tabParametros[Código do Posto],tabCustoUnit[[#This Row],[Código do Posto]],tabParametros[Seguro de Vida])</f>
        <v>3.36</v>
      </c>
      <c r="AJ262" s="22">
        <f>SUMIF(tabParametros[Código do Posto],tabCustoUnit[[#This Row],[Código do Posto]],tabParametros[Despesas de Viagem])</f>
        <v>0</v>
      </c>
      <c r="AK262" s="22" t="e">
        <f ca="1">SUM(tabCustoUnit[[#This Row],[Vale - Transporte (Descontada parcela do empregado)]:[Despesas de Viagem]])</f>
        <v>#NAME?</v>
      </c>
      <c r="AL262" s="22" t="e">
        <f ca="1">tabCustoUnit[[#This Row],[Submódulo 2.1]]+tabCustoUnit[[#This Row],[Submódulo 2.2]]+tabCustoUnit[[#This Row],[Submódulo 2.3]]</f>
        <v>#NAME?</v>
      </c>
      <c r="AM262" s="22">
        <f>SUMIF(tabParametros[Código do Posto],tabCustoUnit[[#This Row],[Código do Posto]],tabParametros[Aviso Prévio Indenizado (API) e Reflexo do Aviso Prévio Indenizado])*tabCustoUnit[[#This Row],[MODULO 1 - REMUNERAÇÃO ]]</f>
        <v>16.541026845428242</v>
      </c>
      <c r="AN262" s="22">
        <f>SUMIF(tabParametros[Código do Posto],tabCustoUnit[[#This Row],[Código do Posto]],tabParametros[Incidência do FGTS sobre API e Reflexo do API])*tabCustoUnit[[#This Row],[MODULO 1 - REMUNERAÇÃO ]]</f>
        <v>1.3232821476342596</v>
      </c>
      <c r="AO262" s="22">
        <f>SUMIF(tabParametros[Código do Posto],tabCustoUnit[[#This Row],[Código do Posto]],tabParametros[Multa Rescisória do FGTS sobre o Aviso Prévio Indenizado])*tabCustoUnit[[#This Row],[MODULO 1 - REMUNERAÇÃO ]]</f>
        <v>0.52931285905370384</v>
      </c>
      <c r="AP262" s="22">
        <f>SUMIF(tabParametros[Código do Posto],tabCustoUnit[[#This Row],[Código do Posto]],tabParametros[Aviso Prévio Trabalhado - APT])*tabCustoUnit[[#This Row],[MODULO 1 - REMUNERAÇÃO ]]</f>
        <v>8.2566340500000024</v>
      </c>
      <c r="AQ262" s="22">
        <f>SUMIF(tabParametros[Código do Posto],tabCustoUnit[[#This Row],[Código do Posto]],tabParametros[Incidência dos encargos do submódulo 2.1 sobre Aviso Prévio Trabalhado])*tabCustoUnit[[#This Row],[MODULO 1 - REMUNERAÇÃO ]]</f>
        <v>3.121007670900001</v>
      </c>
      <c r="AR262" s="22">
        <f>SUMIF(tabParametros[Código do Posto],tabCustoUnit[[#This Row],[Código do Posto]],tabParametros[Multa Rescisória do FGTS])*tabCustoUnit[[#This Row],[MODULO 1 - REMUNERAÇÃO ]]</f>
        <v>72.134148906666667</v>
      </c>
      <c r="AS262" s="22">
        <f>SUMIF(tabParametros[Código do Posto],tabCustoUnit[[#This Row],[Código do Posto]],tabParametros[Indenização Adicional (Art. 9º da Lei nº 7.238/84)])*tabCustoUnit[[#This Row],[MODULO 1 - REMUNERAÇÃO ]]</f>
        <v>1.9658652500000002</v>
      </c>
      <c r="AT262" s="22">
        <f>SUM(tabCustoUnit[[#This Row],[Aviso Prévio Indenizado (API) e Reflexo do Aviso Prévio Indenizado]:[Indenização Adicional (Art. 9º da Lei nº 7.238/84)]])</f>
        <v>103.87127772968287</v>
      </c>
      <c r="AU262" s="22">
        <f>SUMIF(tabParametros[Código do Posto],tabCustoUnit[[#This Row],[Código do Posto]],tabParametros[Ausência por Doença])*tabCustoUnit[[#This Row],[MODULO 1 - REMUNERAÇÃO ]]</f>
        <v>19.920767866666665</v>
      </c>
      <c r="AV262" s="22">
        <f>SUMIF(tabParametros[Código do Posto],tabCustoUnit[[#This Row],[Código do Posto]],tabParametros[Ausências Legais])*tabCustoUnit[[#This Row],[MODULO 1 - REMUNERAÇÃO ]]</f>
        <v>4.7836054416666665</v>
      </c>
      <c r="AW262" s="22">
        <f>SUMIF(tabParametros[Código do Posto],tabCustoUnit[[#This Row],[Código do Posto]],tabParametros[Licença Paternidade])*tabCustoUnit[[#This Row],[MODULO 1 - REMUNERAÇÃO ]]</f>
        <v>0.40300237625000002</v>
      </c>
      <c r="AX262" s="22">
        <f>SUMIF(tabParametros[Código do Posto],tabCustoUnit[[#This Row],[Código do Posto]],tabParametros[Ausência por Acidente de Trabalho])*tabCustoUnit[[#This Row],[MODULO 1 - REMUNERAÇÃO ]]</f>
        <v>0.49146631250000006</v>
      </c>
      <c r="AY262" s="22">
        <f>SUMIF(tabParametros[Código do Posto],tabCustoUnit[[#This Row],[Código do Posto]],tabParametros[Férias, Adicional de Férias e 13º  com empregada em gozo de Licença Maternidade])*tabCustoUnit[[#This Row],[MODULO 1 - REMUNERAÇÃO ]]</f>
        <v>3.0580126111111112</v>
      </c>
      <c r="AZ262" s="22">
        <f>SUMIF(tabParametros[Código do Posto],tabCustoUnit[[#This Row],[Código do Posto]],tabParametros[Incidência do Submódulo 2.1 sobre Ausências Legais])*tabCustoUnit[[#This Row],[MODULO 1 - REMUNERAÇÃO ]]</f>
        <v>10.832291041897502</v>
      </c>
      <c r="BA262" s="22">
        <f>SUM(tabCustoUnit[[#This Row],[Ausência por Doença]:[Incidência do Submódulo 2.1 sobre Ausências Legais]])</f>
        <v>39.489145650091942</v>
      </c>
      <c r="BB262" s="22">
        <f>SUMIF(tabParametros[Código do Posto],tabCustoUnit[[#This Row],[Código do Posto]],tabParametros[Intervalo para Repouso ou Alimentação])</f>
        <v>261.17924340876692</v>
      </c>
      <c r="BC262" s="22">
        <f>tabCustoUnit[[#This Row],[Intervalo para Repouso ou Alimentação]]</f>
        <v>261.17924340876692</v>
      </c>
      <c r="BD26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2" s="22">
        <f>tabCustoUnit[[#This Row],[Suspensão Temporária do Contrato de Trabalho]]</f>
        <v>0</v>
      </c>
      <c r="BF262" s="22">
        <f>tabCustoUnit[[#This Row],[Submódulo 4.1]]+tabCustoUnit[[#This Row],[Submódulo 4.2]]+tabCustoUnit[[#This Row],[Submódulo 4.3]]</f>
        <v>300.66838905885885</v>
      </c>
      <c r="BG262" s="22">
        <f>VLOOKUP(tabCustoUnit[[#This Row],[Código do Posto]],tabParametros[],MATCH(tabCustoUnit[[#Headers],[Uniformes e EPIs]],tabParametros[#Headers],0),0)</f>
        <v>56.642978962543395</v>
      </c>
      <c r="BH262" s="22">
        <f>VLOOKUP(tabCustoUnit[[#This Row],[Código do Posto]],tabParametros[],MATCH(tabCustoUnit[[#Headers],[Materiais de Consumo]],tabParametros[#Headers],0),0)</f>
        <v>0</v>
      </c>
      <c r="BI262" s="22">
        <f>VLOOKUP(tabCustoUnit[[#This Row],[Código do Posto]],tabParametros[],MATCH(tabCustoUnit[[#Headers],[Máquinas e Equipamentos (depreciação)]],tabParametros[#Headers],0),0)</f>
        <v>0</v>
      </c>
      <c r="BJ262" s="22">
        <f>VLOOKUP(tabCustoUnit[[#This Row],[Código do Posto]],tabParametros[],MATCH(tabCustoUnit[[#Headers],[Produtos de Limpeza e Materiais de Higiene Pessoal]],tabParametros[#Headers],0),0)</f>
        <v>0</v>
      </c>
      <c r="BK262" s="22">
        <f>VLOOKUP(tabCustoUnit[[#This Row],[Código do Posto]],tabParametros[],MATCH(tabCustoUnit[[#Headers],[Outros (especificar)]],tabParametros[#Headers],0),0)</f>
        <v>0</v>
      </c>
      <c r="BL262" s="22">
        <f>SUM(tabCustoUnit[[#This Row],[Uniformes e EPIs]:[Outros (especificar)]])</f>
        <v>56.642978962543395</v>
      </c>
      <c r="BM26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2" s="22" t="e">
        <f ca="1">VLOOKUP(tabCustoUnit[[#This Row],[Código do Posto]],tabParametros[],MATCH(tabCustoUnit[[#Headers],[Custos Indiretos]],tabParametros[#Headers],0),0)</f>
        <v>#NAME?</v>
      </c>
      <c r="BO262" s="22" t="e">
        <f ca="1">VLOOKUP(tabCustoUnit[[#This Row],[Código do Posto]],tabParametros[],MATCH(tabCustoUnit[[#Headers],[Lucro]],tabParametros[#Headers],0),0)</f>
        <v>#NAME?</v>
      </c>
      <c r="BP262" s="26">
        <f>((100/((1-tabCustoUnit[[#This Row],[Resumo de Alíquotas (PIS+CONFINS+ISS)]]))-100)*VLOOKUP(tabCustoUnit[[#This Row],[Código do Posto]],tabParametros[],MATCH(tabCustoUnit[[#Headers],[COFINS]],tabParametros[#Headers],0),0))/(tabCustoUnit[[#This Row],[Resumo de Alíquotas (PIS+CONFINS+ISS)]]*100)</f>
        <v>8.6609686609686695E-2</v>
      </c>
      <c r="BQ262" s="26">
        <f>((100/((100-(tabCustoUnit[[#This Row],[Resumo de Alíquotas (PIS+CONFINS+ISS)]]*100))%)-100)*VLOOKUP(tabCustoUnit[[#This Row],[Código do Posto]],tabParametros[],MATCH(tabCustoUnit[[#Headers],[PIS]],tabParametros[#Headers],0),0))/(tabCustoUnit[[#This Row],[Resumo de Alíquotas (PIS+CONFINS+ISS)]]*100)</f>
        <v>1.880341880341882E-2</v>
      </c>
      <c r="BR262" s="28">
        <f>VLOOKUP(tabCustoUnit[[#This Row],[Código do Posto]],tabParametros[],MATCH(tabCustoUnit[[#Headers],[ISS]],tabParametros[#Headers],0),0)</f>
        <v>0.03</v>
      </c>
      <c r="BS262" s="26">
        <f>(((100/((100-(tabCustoUnit[[#This Row],[Resumo de Alíquotas (PIS+CONFINS+ISS)]]*100))%)-100)*tabCustoUnit[[#This Row],[ISS]])/tabCustoUnit[[#This Row],[Resumo de Alíquotas (PIS+CONFINS+ISS)]])/100</f>
        <v>3.4188034188034219E-2</v>
      </c>
      <c r="BT26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62" s="138">
        <f>tabCustoUnit[[#This Row],[COFINS]]+tabCustoUnit[[#This Row],[PIS]]+tabCustoUnit[[#This Row],[ISS (Conversão Alíquota s/ fatura)]]</f>
        <v>0.13960113960113973</v>
      </c>
      <c r="BV262" s="22" t="e">
        <f ca="1">(tabCustoUnit[[#This Row],[TOTAL MÓDULOS 1+2+3+4+5]]+tabCustoUnit[[#This Row],[Custos Indiretos]]+tabCustoUnit[[#This Row],[Lucro]])*tabCustoUnit[[#This Row],[PIS + COFINS + ISS (Total Conversão  Alíquota s/ Fatura)]]</f>
        <v>#NAME?</v>
      </c>
      <c r="BW262" s="22" t="e">
        <f ca="1">tabCustoUnit[[#This Row],[Custos Indiretos]]+tabCustoUnit[[#This Row],[Lucro]]+tabCustoUnit[[#This Row],[Valor dos Tributos (ISS, PIS, CONFINS)]]</f>
        <v>#NAME?</v>
      </c>
      <c r="BX262" s="22" t="e">
        <f ca="1">tabCustoUnit[[#This Row],[TOTAL MÓDULOS 1+2+3+4+5]]+tabCustoUnit[[#This Row],[MÓDULO 6 – CUSTOS INDIRETOS, TRIBUTOS E LUCRO]]</f>
        <v>#NAME?</v>
      </c>
      <c r="BY262" s="22" t="e">
        <f ca="1">tabCustoUnit[[#This Row],[CUSTO TOTAL MENSAL]]*12</f>
        <v>#NAME?</v>
      </c>
      <c r="BZ262" s="24">
        <f>VLOOKUP(tabCustoUnit[[#This Row],[Código do Posto]],tabParametros[],MATCH(tabCustoUnit[[#Headers],[ANO DA CCT]],tabParametros[#Headers],0),0)</f>
        <v>45658</v>
      </c>
      <c r="CA262" s="25" t="str">
        <f>VLOOKUP(tabCustoUnit[[#This Row],[Código do Posto]],tabParametros[],MATCH(tabCustoUnit[[#Headers],[Nº DE PEDIDO DA CCT]],tabParametros[#Headers],0),0)</f>
        <v>-</v>
      </c>
      <c r="CB262" s="25" t="str">
        <f>VLOOKUP(tabCustoUnit[[#This Row],[Código do Posto]],tabParametros[],MATCH(tabCustoUnit[[#Headers],[TERMO ADITIVO ALTERAÇÃO DA CCT]],tabParametros[#Headers],0),0)</f>
        <v>-</v>
      </c>
    </row>
    <row r="263" spans="1:80">
      <c r="A263" s="20" t="s">
        <v>1683</v>
      </c>
      <c r="B263" t="s">
        <v>1190</v>
      </c>
      <c r="C263" t="s">
        <v>314</v>
      </c>
      <c r="D263" t="s">
        <v>957</v>
      </c>
      <c r="E263" s="20" t="s">
        <v>1090</v>
      </c>
      <c r="F263" s="20" t="s">
        <v>120</v>
      </c>
      <c r="G263" s="418">
        <v>1963.4110000000001</v>
      </c>
      <c r="H263" s="418">
        <v>0</v>
      </c>
      <c r="I263" s="418">
        <v>0</v>
      </c>
      <c r="J263" s="418">
        <v>0</v>
      </c>
      <c r="K263" s="418">
        <v>0</v>
      </c>
      <c r="L263" s="418">
        <v>0</v>
      </c>
      <c r="M263" s="418">
        <v>0</v>
      </c>
      <c r="N263" s="418">
        <v>0</v>
      </c>
      <c r="O263" s="21">
        <f>SUM(tabCustoUnit[[#This Row],[Salário Base]:[Adicional de Acúmulo de função]])</f>
        <v>1963.4110000000001</v>
      </c>
      <c r="P263" s="21">
        <f>tabCustoUnit[[#This Row],[MODULO 1 - REMUNERAÇÃO ]]*SUMIFS(tabParametros[INSS],tabParametros[Código do Posto],tabCustoUnit[[#This Row],[Código do Posto]])</f>
        <v>392.68220000000002</v>
      </c>
      <c r="Q263" s="21">
        <f>tabCustoUnit[[#This Row],[MODULO 1 - REMUNERAÇÃO ]]*SUMIFS(tabParametros[SESI OU SESC],tabParametros[Código do Posto],tabCustoUnit[[#This Row],[Código do Posto]])</f>
        <v>29.451165</v>
      </c>
      <c r="R263" s="21">
        <f>tabCustoUnit[[#This Row],[MODULO 1 - REMUNERAÇÃO ]]*SUMIFS(tabParametros[SENAI OU SENAC],tabParametros[Código do Posto],tabCustoUnit[[#This Row],[Código do Posto]])</f>
        <v>19.63411</v>
      </c>
      <c r="S263" s="21">
        <f>tabCustoUnit[[#This Row],[MODULO 1 - REMUNERAÇÃO ]]*SUMIFS(tabParametros[INCRA],tabParametros[Código do Posto],tabCustoUnit[[#This Row],[Código do Posto]])</f>
        <v>3.926822</v>
      </c>
      <c r="T263" s="21">
        <f>tabCustoUnit[[#This Row],[MODULO 1 - REMUNERAÇÃO ]]*SUMIFS(tabParametros[Salário Educação],tabParametros[Código do Posto],tabCustoUnit[[#This Row],[Código do Posto]])</f>
        <v>49.085275000000003</v>
      </c>
      <c r="U263" s="21">
        <f>tabCustoUnit[[#This Row],[MODULO 1 - REMUNERAÇÃO ]]*SUMIFS(tabParametros[FGTS],tabParametros[Código do Posto],tabCustoUnit[[#This Row],[Código do Posto]])</f>
        <v>157.07288</v>
      </c>
      <c r="V263" s="21">
        <f>tabCustoUnit[[#This Row],[MODULO 1 - REMUNERAÇÃO ]]*SUMIFS(tabParametros[RAT Ajustado],tabParametros[Código do Posto],tabCustoUnit[[#This Row],[Código do Posto]])</f>
        <v>78.536439999999999</v>
      </c>
      <c r="W263" s="21">
        <f>tabCustoUnit[[#This Row],[MODULO 1 - REMUNERAÇÃO ]]*SUMIFS(tabParametros[SEBRAE],tabParametros[Código do Posto],tabCustoUnit[[#This Row],[Código do Posto]])</f>
        <v>11.780466000000001</v>
      </c>
      <c r="X263" s="21">
        <f>SUM(tabCustoUnit[[#This Row],[INSS]:[SEBRAE]])</f>
        <v>742.1693580000001</v>
      </c>
      <c r="Y263" s="21">
        <f>tabCustoUnit[[#This Row],[MODULO 1 - REMUNERAÇÃO ]]*SUMIFS(tabParametros[13º salário (titular)],tabParametros[Código do Posto],tabCustoUnit[[#This Row],[Código do Posto]])</f>
        <v>163.61758333333333</v>
      </c>
      <c r="Z263" s="21">
        <f>tabCustoUnit[[#This Row],[MODULO 1 - REMUNERAÇÃO ]]*SUMIFS(tabParametros[Férias e Adicional de Férias (titular)],tabParametros[Código do Posto],tabCustoUnit[[#This Row],[Código do Posto]])</f>
        <v>218.15677777777776</v>
      </c>
      <c r="AA263" s="21">
        <f>IFERROR((tabCustoUnit[[#This Row],[Submódulo 2.1]]/tabCustoUnit[[#This Row],[MODULO 1 - REMUNERAÇÃO ]])*SUM(tabCustoUnit[[#This Row],[13º salário (titular)]:[Férias e Adicional de Férias (titular)]]),0)</f>
        <v>144.3107085</v>
      </c>
      <c r="AB263" s="21">
        <f>SUM(tabCustoUnit[[#This Row],[13º salário (titular)]:[Incidência do Submódulo 2.1 sobre 13º Salário, Férias e Adicional de Férias]])</f>
        <v>526.08506961111107</v>
      </c>
      <c r="AC263" s="22" t="e">
        <f ca="1">_xlfn.LET(_xlpm.VT,SUMIF(tabParametros[Código do Posto],tabCustoUnit[[#This Row],[Código do Posto]],tabParametros[Vale - Transporte])*2*20,
IF((_xlpm.VT-tabCustoUnit[[#This Row],[Salário Base]]*0.06)&gt;=0,(_xlpm.VT-tabCustoUnit[[#This Row],[Salário Base]]*0.06),0)
)</f>
        <v>#NAME?</v>
      </c>
      <c r="AD263" s="22">
        <f>IF(SUMIF(tabParametros[Código do Posto],tabCustoUnit[[#This Row],[Código do Posto]],tabParametros[Vale - Alimentação])&lt;=0,0,
SUMIF(tabParametros[Código do Posto],tabCustoUnit[[#This Row],[Código do Posto]],tabParametros[Vale - Alimentação])*20-1)</f>
        <v>582</v>
      </c>
      <c r="AE263" s="22">
        <f>SUMIF(tabParametros[Código do Posto],tabCustoUnit[[#This Row],[Código do Posto]],tabParametros[Cesta Básica])</f>
        <v>0</v>
      </c>
      <c r="AF263" s="22">
        <f>SUMIF(tabParametros[Código do Posto],tabCustoUnit[[#This Row],[Código do Posto]],tabParametros[PAF])</f>
        <v>0</v>
      </c>
      <c r="AG263" s="22">
        <f>SUMIF(tabParametros[Código do Posto],tabCustoUnit[[#This Row],[Código do Posto]],tabParametros[PQM])</f>
        <v>0</v>
      </c>
      <c r="AH263" s="22">
        <f>SUMIF(tabParametros[Código do Posto],tabCustoUnit[[#This Row],[Código do Posto]],tabParametros[Abono Único e Especial])</f>
        <v>0</v>
      </c>
      <c r="AI263" s="22">
        <f>SUMIF(tabParametros[Código do Posto],tabCustoUnit[[#This Row],[Código do Posto]],tabParametros[Seguro de Vida])</f>
        <v>3.36</v>
      </c>
      <c r="AJ263" s="22">
        <f>SUMIF(tabParametros[Código do Posto],tabCustoUnit[[#This Row],[Código do Posto]],tabParametros[Despesas de Viagem])</f>
        <v>0</v>
      </c>
      <c r="AK263" s="22" t="e">
        <f ca="1">SUM(tabCustoUnit[[#This Row],[Vale - Transporte (Descontada parcela do empregado)]:[Despesas de Viagem]])</f>
        <v>#NAME?</v>
      </c>
      <c r="AL263" s="22" t="e">
        <f ca="1">tabCustoUnit[[#This Row],[Submódulo 2.1]]+tabCustoUnit[[#This Row],[Submódulo 2.2]]+tabCustoUnit[[#This Row],[Submódulo 2.3]]</f>
        <v>#NAME?</v>
      </c>
      <c r="AM263" s="22">
        <f>SUMIF(tabParametros[Código do Posto],tabCustoUnit[[#This Row],[Código do Posto]],tabParametros[Aviso Prévio Indenizado (API) e Reflexo do Aviso Prévio Indenizado])*tabCustoUnit[[#This Row],[MODULO 1 - REMUNERAÇÃO ]]</f>
        <v>13.766980408757716</v>
      </c>
      <c r="AN263" s="22">
        <f>SUMIF(tabParametros[Código do Posto],tabCustoUnit[[#This Row],[Código do Posto]],tabParametros[Incidência do FGTS sobre API e Reflexo do API])*tabCustoUnit[[#This Row],[MODULO 1 - REMUNERAÇÃO ]]</f>
        <v>1.1013584327006174</v>
      </c>
      <c r="AO263" s="22">
        <f>SUMIF(tabParametros[Código do Posto],tabCustoUnit[[#This Row],[Código do Posto]],tabParametros[Multa Rescisória do FGTS sobre o Aviso Prévio Indenizado])*tabCustoUnit[[#This Row],[MODULO 1 - REMUNERAÇÃO ]]</f>
        <v>0.44054337308024699</v>
      </c>
      <c r="AP263" s="22">
        <f>SUMIF(tabParametros[Código do Posto],tabCustoUnit[[#This Row],[Código do Posto]],tabParametros[Aviso Prévio Trabalhado - APT])*tabCustoUnit[[#This Row],[MODULO 1 - REMUNERAÇÃO ]]</f>
        <v>6.8719385000000015</v>
      </c>
      <c r="AQ263" s="22">
        <f>SUMIF(tabParametros[Código do Posto],tabCustoUnit[[#This Row],[Código do Posto]],tabParametros[Incidência dos encargos do submódulo 2.1 sobre Aviso Prévio Trabalhado])*tabCustoUnit[[#This Row],[MODULO 1 - REMUNERAÇÃO ]]</f>
        <v>2.5975927530000007</v>
      </c>
      <c r="AR263" s="22">
        <f>SUMIF(tabParametros[Código do Posto],tabCustoUnit[[#This Row],[Código do Posto]],tabParametros[Multa Rescisória do FGTS])*tabCustoUnit[[#This Row],[MODULO 1 - REMUNERAÇÃO ]]</f>
        <v>60.03674524444444</v>
      </c>
      <c r="AS263" s="22">
        <f>SUMIF(tabParametros[Código do Posto],tabCustoUnit[[#This Row],[Código do Posto]],tabParametros[Indenização Adicional (Art. 9º da Lei nº 7.238/84)])*tabCustoUnit[[#This Row],[MODULO 1 - REMUNERAÇÃO ]]</f>
        <v>1.6361758333333334</v>
      </c>
      <c r="AT263" s="22">
        <f>SUM(tabCustoUnit[[#This Row],[Aviso Prévio Indenizado (API) e Reflexo do Aviso Prévio Indenizado]:[Indenização Adicional (Art. 9º da Lei nº 7.238/84)]])</f>
        <v>86.451334545316371</v>
      </c>
      <c r="AU263" s="22">
        <f>SUMIF(tabParametros[Código do Posto],tabCustoUnit[[#This Row],[Código do Posto]],tabParametros[Ausência por Doença])*tabCustoUnit[[#This Row],[MODULO 1 - REMUNERAÇÃO ]]</f>
        <v>16.579915111111109</v>
      </c>
      <c r="AV263" s="22">
        <f>SUMIF(tabParametros[Código do Posto],tabCustoUnit[[#This Row],[Código do Posto]],tabParametros[Ausências Legais])*tabCustoUnit[[#This Row],[MODULO 1 - REMUNERAÇÃO ]]</f>
        <v>3.9813611944444443</v>
      </c>
      <c r="AW263" s="22">
        <f>SUMIF(tabParametros[Código do Posto],tabCustoUnit[[#This Row],[Código do Posto]],tabParametros[Licença Paternidade])*tabCustoUnit[[#This Row],[MODULO 1 - REMUNERAÇÃO ]]</f>
        <v>0.33541604583333334</v>
      </c>
      <c r="AX263" s="22">
        <f>SUMIF(tabParametros[Código do Posto],tabCustoUnit[[#This Row],[Código do Posto]],tabParametros[Ausência por Acidente de Trabalho])*tabCustoUnit[[#This Row],[MODULO 1 - REMUNERAÇÃO ]]</f>
        <v>0.40904395833333335</v>
      </c>
      <c r="AY263" s="22">
        <f>SUMIF(tabParametros[Código do Posto],tabCustoUnit[[#This Row],[Código do Posto]],tabParametros[Férias, Adicional de Férias e 13º  com empregada em gozo de Licença Maternidade])*tabCustoUnit[[#This Row],[MODULO 1 - REMUNERAÇÃO ]]</f>
        <v>2.5451624074074073</v>
      </c>
      <c r="AZ263" s="22">
        <f>SUMIF(tabParametros[Código do Posto],tabCustoUnit[[#This Row],[Código do Posto]],tabParametros[Incidência do Submódulo 2.1 sobre Ausências Legais])*tabCustoUnit[[#This Row],[MODULO 1 - REMUNERAÇÃO ]]</f>
        <v>9.0156397150750021</v>
      </c>
      <c r="BA263" s="22">
        <f>SUM(tabCustoUnit[[#This Row],[Ausência por Doença]:[Incidência do Submódulo 2.1 sobre Ausências Legais]])</f>
        <v>32.866538432204628</v>
      </c>
      <c r="BB263" s="22">
        <f>SUMIF(tabParametros[Código do Posto],tabCustoUnit[[#This Row],[Código do Posto]],tabParametros[Intervalo para Repouso ou Alimentação])</f>
        <v>267.73786489195959</v>
      </c>
      <c r="BC263" s="22">
        <f>tabCustoUnit[[#This Row],[Intervalo para Repouso ou Alimentação]]</f>
        <v>267.73786489195959</v>
      </c>
      <c r="BD26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3" s="22">
        <f>tabCustoUnit[[#This Row],[Suspensão Temporária do Contrato de Trabalho]]</f>
        <v>0</v>
      </c>
      <c r="BF263" s="22">
        <f>tabCustoUnit[[#This Row],[Submódulo 4.1]]+tabCustoUnit[[#This Row],[Submódulo 4.2]]+tabCustoUnit[[#This Row],[Submódulo 4.3]]</f>
        <v>300.6044033241642</v>
      </c>
      <c r="BG263" s="22">
        <f>VLOOKUP(tabCustoUnit[[#This Row],[Código do Posto]],tabParametros[],MATCH(tabCustoUnit[[#Headers],[Uniformes e EPIs]],tabParametros[#Headers],0),0)</f>
        <v>56.642978962543395</v>
      </c>
      <c r="BH263" s="22">
        <f>VLOOKUP(tabCustoUnit[[#This Row],[Código do Posto]],tabParametros[],MATCH(tabCustoUnit[[#Headers],[Materiais de Consumo]],tabParametros[#Headers],0),0)</f>
        <v>0</v>
      </c>
      <c r="BI263" s="22">
        <f>VLOOKUP(tabCustoUnit[[#This Row],[Código do Posto]],tabParametros[],MATCH(tabCustoUnit[[#Headers],[Máquinas e Equipamentos (depreciação)]],tabParametros[#Headers],0),0)</f>
        <v>0</v>
      </c>
      <c r="BJ263" s="22">
        <f>VLOOKUP(tabCustoUnit[[#This Row],[Código do Posto]],tabParametros[],MATCH(tabCustoUnit[[#Headers],[Produtos de Limpeza e Materiais de Higiene Pessoal]],tabParametros[#Headers],0),0)</f>
        <v>0</v>
      </c>
      <c r="BK263" s="22">
        <f>VLOOKUP(tabCustoUnit[[#This Row],[Código do Posto]],tabParametros[],MATCH(tabCustoUnit[[#Headers],[Outros (especificar)]],tabParametros[#Headers],0),0)</f>
        <v>0</v>
      </c>
      <c r="BL263" s="22">
        <f>SUM(tabCustoUnit[[#This Row],[Uniformes e EPIs]:[Outros (especificar)]])</f>
        <v>56.642978962543395</v>
      </c>
      <c r="BM26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3" s="22" t="e">
        <f ca="1">VLOOKUP(tabCustoUnit[[#This Row],[Código do Posto]],tabParametros[],MATCH(tabCustoUnit[[#Headers],[Custos Indiretos]],tabParametros[#Headers],0),0)</f>
        <v>#NAME?</v>
      </c>
      <c r="BO263" s="22" t="e">
        <f ca="1">VLOOKUP(tabCustoUnit[[#This Row],[Código do Posto]],tabParametros[],MATCH(tabCustoUnit[[#Headers],[Lucro]],tabParametros[#Headers],0),0)</f>
        <v>#NAME?</v>
      </c>
      <c r="BP263" s="26">
        <f>((100/((1-tabCustoUnit[[#This Row],[Resumo de Alíquotas (PIS+CONFINS+ISS)]]))-100)*VLOOKUP(tabCustoUnit[[#This Row],[Código do Posto]],tabParametros[],MATCH(tabCustoUnit[[#Headers],[COFINS]],tabParametros[#Headers],0),0))/(tabCustoUnit[[#This Row],[Resumo de Alíquotas (PIS+CONFINS+ISS)]]*100)</f>
        <v>8.6609686609686695E-2</v>
      </c>
      <c r="BQ263" s="26">
        <f>((100/((100-(tabCustoUnit[[#This Row],[Resumo de Alíquotas (PIS+CONFINS+ISS)]]*100))%)-100)*VLOOKUP(tabCustoUnit[[#This Row],[Código do Posto]],tabParametros[],MATCH(tabCustoUnit[[#Headers],[PIS]],tabParametros[#Headers],0),0))/(tabCustoUnit[[#This Row],[Resumo de Alíquotas (PIS+CONFINS+ISS)]]*100)</f>
        <v>1.880341880341882E-2</v>
      </c>
      <c r="BR263" s="28">
        <f>VLOOKUP(tabCustoUnit[[#This Row],[Código do Posto]],tabParametros[],MATCH(tabCustoUnit[[#Headers],[ISS]],tabParametros[#Headers],0),0)</f>
        <v>0.03</v>
      </c>
      <c r="BS263" s="26">
        <f>(((100/((100-(tabCustoUnit[[#This Row],[Resumo de Alíquotas (PIS+CONFINS+ISS)]]*100))%)-100)*tabCustoUnit[[#This Row],[ISS]])/tabCustoUnit[[#This Row],[Resumo de Alíquotas (PIS+CONFINS+ISS)]])/100</f>
        <v>3.4188034188034219E-2</v>
      </c>
      <c r="BT26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63" s="138">
        <f>tabCustoUnit[[#This Row],[COFINS]]+tabCustoUnit[[#This Row],[PIS]]+tabCustoUnit[[#This Row],[ISS (Conversão Alíquota s/ fatura)]]</f>
        <v>0.13960113960113973</v>
      </c>
      <c r="BV263" s="22" t="e">
        <f ca="1">(tabCustoUnit[[#This Row],[TOTAL MÓDULOS 1+2+3+4+5]]+tabCustoUnit[[#This Row],[Custos Indiretos]]+tabCustoUnit[[#This Row],[Lucro]])*tabCustoUnit[[#This Row],[PIS + COFINS + ISS (Total Conversão  Alíquota s/ Fatura)]]</f>
        <v>#NAME?</v>
      </c>
      <c r="BW263" s="22" t="e">
        <f ca="1">tabCustoUnit[[#This Row],[Custos Indiretos]]+tabCustoUnit[[#This Row],[Lucro]]+tabCustoUnit[[#This Row],[Valor dos Tributos (ISS, PIS, CONFINS)]]</f>
        <v>#NAME?</v>
      </c>
      <c r="BX263" s="22" t="e">
        <f ca="1">tabCustoUnit[[#This Row],[TOTAL MÓDULOS 1+2+3+4+5]]+tabCustoUnit[[#This Row],[MÓDULO 6 – CUSTOS INDIRETOS, TRIBUTOS E LUCRO]]</f>
        <v>#NAME?</v>
      </c>
      <c r="BY263" s="22" t="e">
        <f ca="1">tabCustoUnit[[#This Row],[CUSTO TOTAL MENSAL]]*12</f>
        <v>#NAME?</v>
      </c>
      <c r="BZ263" s="24">
        <f>VLOOKUP(tabCustoUnit[[#This Row],[Código do Posto]],tabParametros[],MATCH(tabCustoUnit[[#Headers],[ANO DA CCT]],tabParametros[#Headers],0),0)</f>
        <v>45658</v>
      </c>
      <c r="CA263" s="25" t="str">
        <f>VLOOKUP(tabCustoUnit[[#This Row],[Código do Posto]],tabParametros[],MATCH(tabCustoUnit[[#Headers],[Nº DE PEDIDO DA CCT]],tabParametros[#Headers],0),0)</f>
        <v>-</v>
      </c>
      <c r="CB263" s="25" t="str">
        <f>VLOOKUP(tabCustoUnit[[#This Row],[Código do Posto]],tabParametros[],MATCH(tabCustoUnit[[#Headers],[TERMO ADITIVO ALTERAÇÃO DA CCT]],tabParametros[#Headers],0),0)</f>
        <v>-</v>
      </c>
    </row>
    <row r="264" spans="1:80">
      <c r="A264" s="20" t="s">
        <v>1684</v>
      </c>
      <c r="B264" t="s">
        <v>1191</v>
      </c>
      <c r="C264" t="s">
        <v>274</v>
      </c>
      <c r="D264" t="s">
        <v>1012</v>
      </c>
      <c r="E264" s="20" t="s">
        <v>1090</v>
      </c>
      <c r="F264" s="20" t="s">
        <v>120</v>
      </c>
      <c r="G264" s="418">
        <v>4558.0709999999999</v>
      </c>
      <c r="H264" s="418">
        <v>0</v>
      </c>
      <c r="I264" s="418">
        <v>0</v>
      </c>
      <c r="J264" s="418">
        <v>0</v>
      </c>
      <c r="K264" s="418">
        <v>0</v>
      </c>
      <c r="L264" s="418">
        <v>0</v>
      </c>
      <c r="M264" s="418">
        <v>0</v>
      </c>
      <c r="N264" s="418">
        <v>0</v>
      </c>
      <c r="O264" s="21">
        <f>SUM(tabCustoUnit[[#This Row],[Salário Base]:[Adicional de Acúmulo de função]])</f>
        <v>4558.0709999999999</v>
      </c>
      <c r="P264" s="21">
        <f>tabCustoUnit[[#This Row],[MODULO 1 - REMUNERAÇÃO ]]*SUMIFS(tabParametros[INSS],tabParametros[Código do Posto],tabCustoUnit[[#This Row],[Código do Posto]])</f>
        <v>911.61419999999998</v>
      </c>
      <c r="Q264" s="21">
        <f>tabCustoUnit[[#This Row],[MODULO 1 - REMUNERAÇÃO ]]*SUMIFS(tabParametros[SESI OU SESC],tabParametros[Código do Posto],tabCustoUnit[[#This Row],[Código do Posto]])</f>
        <v>68.371065000000002</v>
      </c>
      <c r="R264" s="21">
        <f>tabCustoUnit[[#This Row],[MODULO 1 - REMUNERAÇÃO ]]*SUMIFS(tabParametros[SENAI OU SENAC],tabParametros[Código do Posto],tabCustoUnit[[#This Row],[Código do Posto]])</f>
        <v>45.580710000000003</v>
      </c>
      <c r="S264" s="21">
        <f>tabCustoUnit[[#This Row],[MODULO 1 - REMUNERAÇÃO ]]*SUMIFS(tabParametros[INCRA],tabParametros[Código do Posto],tabCustoUnit[[#This Row],[Código do Posto]])</f>
        <v>9.116142</v>
      </c>
      <c r="T264" s="21">
        <f>tabCustoUnit[[#This Row],[MODULO 1 - REMUNERAÇÃO ]]*SUMIFS(tabParametros[Salário Educação],tabParametros[Código do Posto],tabCustoUnit[[#This Row],[Código do Posto]])</f>
        <v>113.951775</v>
      </c>
      <c r="U264" s="21">
        <f>tabCustoUnit[[#This Row],[MODULO 1 - REMUNERAÇÃO ]]*SUMIFS(tabParametros[FGTS],tabParametros[Código do Posto],tabCustoUnit[[#This Row],[Código do Posto]])</f>
        <v>364.64568000000003</v>
      </c>
      <c r="V264" s="21">
        <f>tabCustoUnit[[#This Row],[MODULO 1 - REMUNERAÇÃO ]]*SUMIFS(tabParametros[RAT Ajustado],tabParametros[Código do Posto],tabCustoUnit[[#This Row],[Código do Posto]])</f>
        <v>182.32284000000001</v>
      </c>
      <c r="W264" s="21">
        <f>tabCustoUnit[[#This Row],[MODULO 1 - REMUNERAÇÃO ]]*SUMIFS(tabParametros[SEBRAE],tabParametros[Código do Posto],tabCustoUnit[[#This Row],[Código do Posto]])</f>
        <v>27.348426</v>
      </c>
      <c r="X264" s="21">
        <f>SUM(tabCustoUnit[[#This Row],[INSS]:[SEBRAE]])</f>
        <v>1722.9508380000002</v>
      </c>
      <c r="Y264" s="21">
        <f>tabCustoUnit[[#This Row],[MODULO 1 - REMUNERAÇÃO ]]*SUMIFS(tabParametros[13º salário (titular)],tabParametros[Código do Posto],tabCustoUnit[[#This Row],[Código do Posto]])</f>
        <v>379.83924999999999</v>
      </c>
      <c r="Z264" s="21">
        <f>tabCustoUnit[[#This Row],[MODULO 1 - REMUNERAÇÃO ]]*SUMIFS(tabParametros[Férias e Adicional de Férias (titular)],tabParametros[Código do Posto],tabCustoUnit[[#This Row],[Código do Posto]])</f>
        <v>506.45233333333329</v>
      </c>
      <c r="AA264" s="21">
        <f>IFERROR((tabCustoUnit[[#This Row],[Submódulo 2.1]]/tabCustoUnit[[#This Row],[MODULO 1 - REMUNERAÇÃO ]])*SUM(tabCustoUnit[[#This Row],[13º salário (titular)]:[Férias e Adicional de Férias (titular)]]),0)</f>
        <v>335.01821850000005</v>
      </c>
      <c r="AB264" s="21">
        <f>SUM(tabCustoUnit[[#This Row],[13º salário (titular)]:[Incidência do Submódulo 2.1 sobre 13º Salário, Férias e Adicional de Férias]])</f>
        <v>1221.3098018333333</v>
      </c>
      <c r="AC264" s="22" t="e">
        <f ca="1">_xlfn.LET(_xlpm.VT,SUMIF(tabParametros[Código do Posto],tabCustoUnit[[#This Row],[Código do Posto]],tabParametros[Vale - Transporte])*2*20,
IF((_xlpm.VT-tabCustoUnit[[#This Row],[Salário Base]]*0.06)&gt;=0,(_xlpm.VT-tabCustoUnit[[#This Row],[Salário Base]]*0.06),0)
)</f>
        <v>#NAME?</v>
      </c>
      <c r="AD264" s="22">
        <f>IF(SUMIF(tabParametros[Código do Posto],tabCustoUnit[[#This Row],[Código do Posto]],tabParametros[Vale - Alimentação])&lt;=0,0,
SUMIF(tabParametros[Código do Posto],tabCustoUnit[[#This Row],[Código do Posto]],tabParametros[Vale - Alimentação])*20-1)</f>
        <v>578.4</v>
      </c>
      <c r="AE264" s="22">
        <f>SUMIF(tabParametros[Código do Posto],tabCustoUnit[[#This Row],[Código do Posto]],tabParametros[Cesta Básica])</f>
        <v>0</v>
      </c>
      <c r="AF264" s="22">
        <f>SUMIF(tabParametros[Código do Posto],tabCustoUnit[[#This Row],[Código do Posto]],tabParametros[PAF])</f>
        <v>0</v>
      </c>
      <c r="AG264" s="22">
        <f>SUMIF(tabParametros[Código do Posto],tabCustoUnit[[#This Row],[Código do Posto]],tabParametros[PQM])</f>
        <v>0</v>
      </c>
      <c r="AH264" s="22">
        <f>SUMIF(tabParametros[Código do Posto],tabCustoUnit[[#This Row],[Código do Posto]],tabParametros[Abono Único e Especial])</f>
        <v>0</v>
      </c>
      <c r="AI264" s="22">
        <f>SUMIF(tabParametros[Código do Posto],tabCustoUnit[[#This Row],[Código do Posto]],tabParametros[Seguro de Vida])</f>
        <v>3.36</v>
      </c>
      <c r="AJ264" s="22">
        <f>SUMIF(tabParametros[Código do Posto],tabCustoUnit[[#This Row],[Código do Posto]],tabParametros[Despesas de Viagem])</f>
        <v>662.42</v>
      </c>
      <c r="AK264" s="22" t="e">
        <f ca="1">SUM(tabCustoUnit[[#This Row],[Vale - Transporte (Descontada parcela do empregado)]:[Despesas de Viagem]])</f>
        <v>#NAME?</v>
      </c>
      <c r="AL264" s="22" t="e">
        <f ca="1">tabCustoUnit[[#This Row],[Submódulo 2.1]]+tabCustoUnit[[#This Row],[Submódulo 2.2]]+tabCustoUnit[[#This Row],[Submódulo 2.3]]</f>
        <v>#NAME?</v>
      </c>
      <c r="AM264" s="22">
        <f>SUMIF(tabParametros[Código do Posto],tabCustoUnit[[#This Row],[Código do Posto]],tabParametros[Aviso Prévio Indenizado (API) e Reflexo do Aviso Prévio Indenizado])*tabCustoUnit[[#This Row],[MODULO 1 - REMUNERAÇÃO ]]</f>
        <v>31.960131708912037</v>
      </c>
      <c r="AN264" s="22">
        <f>SUMIF(tabParametros[Código do Posto],tabCustoUnit[[#This Row],[Código do Posto]],tabParametros[Incidência do FGTS sobre API e Reflexo do API])*tabCustoUnit[[#This Row],[MODULO 1 - REMUNERAÇÃO ]]</f>
        <v>2.556810536712963</v>
      </c>
      <c r="AO264" s="22">
        <f>SUMIF(tabParametros[Código do Posto],tabCustoUnit[[#This Row],[Código do Posto]],tabParametros[Multa Rescisória do FGTS sobre o Aviso Prévio Indenizado])*tabCustoUnit[[#This Row],[MODULO 1 - REMUNERAÇÃO ]]</f>
        <v>1.0227242146851854</v>
      </c>
      <c r="AP264" s="22">
        <f>SUMIF(tabParametros[Código do Posto],tabCustoUnit[[#This Row],[Código do Posto]],tabParametros[Aviso Prévio Trabalhado - APT])*tabCustoUnit[[#This Row],[MODULO 1 - REMUNERAÇÃO ]]</f>
        <v>15.953248500000003</v>
      </c>
      <c r="AQ264" s="22">
        <f>SUMIF(tabParametros[Código do Posto],tabCustoUnit[[#This Row],[Código do Posto]],tabParametros[Incidência dos encargos do submódulo 2.1 sobre Aviso Prévio Trabalhado])*tabCustoUnit[[#This Row],[MODULO 1 - REMUNERAÇÃO ]]</f>
        <v>6.0303279330000015</v>
      </c>
      <c r="AR264" s="22">
        <f>SUMIF(tabParametros[Código do Posto],tabCustoUnit[[#This Row],[Código do Posto]],tabParametros[Multa Rescisória do FGTS])*tabCustoUnit[[#This Row],[MODULO 1 - REMUNERAÇÃO ]]</f>
        <v>139.3756821333333</v>
      </c>
      <c r="AS264" s="22">
        <f>SUMIF(tabParametros[Código do Posto],tabCustoUnit[[#This Row],[Código do Posto]],tabParametros[Indenização Adicional (Art. 9º da Lei nº 7.238/84)])*tabCustoUnit[[#This Row],[MODULO 1 - REMUNERAÇÃO ]]</f>
        <v>3.7983925000000003</v>
      </c>
      <c r="AT264" s="22">
        <f>SUM(tabCustoUnit[[#This Row],[Aviso Prévio Indenizado (API) e Reflexo do Aviso Prévio Indenizado]:[Indenização Adicional (Art. 9º da Lei nº 7.238/84)]])</f>
        <v>200.6973175266435</v>
      </c>
      <c r="AU264" s="22">
        <f>SUMIF(tabParametros[Código do Posto],tabCustoUnit[[#This Row],[Código do Posto]],tabParametros[Ausência por Doença])*tabCustoUnit[[#This Row],[MODULO 1 - REMUNERAÇÃO ]]</f>
        <v>38.490377333333328</v>
      </c>
      <c r="AV264" s="22">
        <f>SUMIF(tabParametros[Código do Posto],tabCustoUnit[[#This Row],[Código do Posto]],tabParametros[Ausências Legais])*tabCustoUnit[[#This Row],[MODULO 1 - REMUNERAÇÃO ]]</f>
        <v>9.2427550833333321</v>
      </c>
      <c r="AW264" s="22">
        <f>SUMIF(tabParametros[Código do Posto],tabCustoUnit[[#This Row],[Código do Posto]],tabParametros[Licença Paternidade])*tabCustoUnit[[#This Row],[MODULO 1 - REMUNERAÇÃO ]]</f>
        <v>0.77867046249999994</v>
      </c>
      <c r="AX264" s="22">
        <f>SUMIF(tabParametros[Código do Posto],tabCustoUnit[[#This Row],[Código do Posto]],tabParametros[Ausência por Acidente de Trabalho])*tabCustoUnit[[#This Row],[MODULO 1 - REMUNERAÇÃO ]]</f>
        <v>0.94959812500000007</v>
      </c>
      <c r="AY264" s="22">
        <f>SUMIF(tabParametros[Código do Posto],tabCustoUnit[[#This Row],[Código do Posto]],tabParametros[Férias, Adicional de Férias e 13º  com empregada em gozo de Licença Maternidade])*tabCustoUnit[[#This Row],[MODULO 1 - REMUNERAÇÃO ]]</f>
        <v>5.9086105555555557</v>
      </c>
      <c r="AZ264" s="22">
        <f>SUMIF(tabParametros[Código do Posto],tabCustoUnit[[#This Row],[Código do Posto]],tabParametros[Incidência do Submódulo 2.1 sobre Ausências Legais])*tabCustoUnit[[#This Row],[MODULO 1 - REMUNERAÇÃO ]]</f>
        <v>20.929864369575004</v>
      </c>
      <c r="BA264" s="22">
        <f>SUM(tabCustoUnit[[#This Row],[Ausência por Doença]:[Incidência do Submódulo 2.1 sobre Ausências Legais]])</f>
        <v>76.29987592929723</v>
      </c>
      <c r="BB264" s="22">
        <f>SUMIF(tabParametros[Código do Posto],tabCustoUnit[[#This Row],[Código do Posto]],tabParametros[Intervalo para Repouso ou Alimentação])</f>
        <v>0</v>
      </c>
      <c r="BC264" s="22">
        <f>tabCustoUnit[[#This Row],[Intervalo para Repouso ou Alimentação]]</f>
        <v>0</v>
      </c>
      <c r="BD26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4" s="22">
        <f>tabCustoUnit[[#This Row],[Suspensão Temporária do Contrato de Trabalho]]</f>
        <v>0</v>
      </c>
      <c r="BF264" s="22">
        <f>tabCustoUnit[[#This Row],[Submódulo 4.1]]+tabCustoUnit[[#This Row],[Submódulo 4.2]]+tabCustoUnit[[#This Row],[Submódulo 4.3]]</f>
        <v>76.29987592929723</v>
      </c>
      <c r="BG264" s="22">
        <f>VLOOKUP(tabCustoUnit[[#This Row],[Código do Posto]],tabParametros[],MATCH(tabCustoUnit[[#Headers],[Uniformes e EPIs]],tabParametros[#Headers],0),0)</f>
        <v>92.100763771570698</v>
      </c>
      <c r="BH264" s="22">
        <f>VLOOKUP(tabCustoUnit[[#This Row],[Código do Posto]],tabParametros[],MATCH(tabCustoUnit[[#Headers],[Materiais de Consumo]],tabParametros[#Headers],0),0)</f>
        <v>0</v>
      </c>
      <c r="BI264" s="22">
        <f>VLOOKUP(tabCustoUnit[[#This Row],[Código do Posto]],tabParametros[],MATCH(tabCustoUnit[[#Headers],[Máquinas e Equipamentos (depreciação)]],tabParametros[#Headers],0),0)</f>
        <v>0</v>
      </c>
      <c r="BJ264" s="22">
        <f>VLOOKUP(tabCustoUnit[[#This Row],[Código do Posto]],tabParametros[],MATCH(tabCustoUnit[[#Headers],[Produtos de Limpeza e Materiais de Higiene Pessoal]],tabParametros[#Headers],0),0)</f>
        <v>0</v>
      </c>
      <c r="BK264" s="22">
        <f>VLOOKUP(tabCustoUnit[[#This Row],[Código do Posto]],tabParametros[],MATCH(tabCustoUnit[[#Headers],[Outros (especificar)]],tabParametros[#Headers],0),0)</f>
        <v>0</v>
      </c>
      <c r="BL264" s="22">
        <f>SUM(tabCustoUnit[[#This Row],[Uniformes e EPIs]:[Outros (especificar)]])</f>
        <v>92.100763771570698</v>
      </c>
      <c r="BM26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4" s="22" t="e">
        <f ca="1">VLOOKUP(tabCustoUnit[[#This Row],[Código do Posto]],tabParametros[],MATCH(tabCustoUnit[[#Headers],[Custos Indiretos]],tabParametros[#Headers],0),0)</f>
        <v>#NAME?</v>
      </c>
      <c r="BO264" s="22" t="e">
        <f ca="1">VLOOKUP(tabCustoUnit[[#This Row],[Código do Posto]],tabParametros[],MATCH(tabCustoUnit[[#Headers],[Lucro]],tabParametros[#Headers],0),0)</f>
        <v>#NAME?</v>
      </c>
      <c r="BP264" s="26">
        <f>((100/((1-tabCustoUnit[[#This Row],[Resumo de Alíquotas (PIS+CONFINS+ISS)]]))-100)*VLOOKUP(tabCustoUnit[[#This Row],[Código do Posto]],tabParametros[],MATCH(tabCustoUnit[[#Headers],[COFINS]],tabParametros[#Headers],0),0))/(tabCustoUnit[[#This Row],[Resumo de Alíquotas (PIS+CONFINS+ISS)]]*100)</f>
        <v>8.5633802816901458E-2</v>
      </c>
      <c r="BQ264" s="26">
        <f>((100/((100-(tabCustoUnit[[#This Row],[Resumo de Alíquotas (PIS+CONFINS+ISS)]]*100))%)-100)*VLOOKUP(tabCustoUnit[[#This Row],[Código do Posto]],tabParametros[],MATCH(tabCustoUnit[[#Headers],[PIS]],tabParametros[#Headers],0),0))/(tabCustoUnit[[#This Row],[Resumo de Alíquotas (PIS+CONFINS+ISS)]]*100)</f>
        <v>1.8591549295774657E-2</v>
      </c>
      <c r="BR264" s="28">
        <f>VLOOKUP(tabCustoUnit[[#This Row],[Código do Posto]],tabParametros[],MATCH(tabCustoUnit[[#Headers],[ISS]],tabParametros[#Headers],0),0)</f>
        <v>0.02</v>
      </c>
      <c r="BS264" s="26">
        <f>(((100/((100-(tabCustoUnit[[#This Row],[Resumo de Alíquotas (PIS+CONFINS+ISS)]]*100))%)-100)*tabCustoUnit[[#This Row],[ISS]])/tabCustoUnit[[#This Row],[Resumo de Alíquotas (PIS+CONFINS+ISS)]])/100</f>
        <v>2.2535211267605645E-2</v>
      </c>
      <c r="BT26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64" s="138">
        <f>tabCustoUnit[[#This Row],[COFINS]]+tabCustoUnit[[#This Row],[PIS]]+tabCustoUnit[[#This Row],[ISS (Conversão Alíquota s/ fatura)]]</f>
        <v>0.12676056338028174</v>
      </c>
      <c r="BV264" s="22" t="e">
        <f ca="1">(tabCustoUnit[[#This Row],[TOTAL MÓDULOS 1+2+3+4+5]]+tabCustoUnit[[#This Row],[Custos Indiretos]]+tabCustoUnit[[#This Row],[Lucro]])*tabCustoUnit[[#This Row],[PIS + COFINS + ISS (Total Conversão  Alíquota s/ Fatura)]]</f>
        <v>#NAME?</v>
      </c>
      <c r="BW264" s="22" t="e">
        <f ca="1">tabCustoUnit[[#This Row],[Custos Indiretos]]+tabCustoUnit[[#This Row],[Lucro]]+tabCustoUnit[[#This Row],[Valor dos Tributos (ISS, PIS, CONFINS)]]</f>
        <v>#NAME?</v>
      </c>
      <c r="BX264" s="22" t="e">
        <f ca="1">tabCustoUnit[[#This Row],[TOTAL MÓDULOS 1+2+3+4+5]]+tabCustoUnit[[#This Row],[MÓDULO 6 – CUSTOS INDIRETOS, TRIBUTOS E LUCRO]]</f>
        <v>#NAME?</v>
      </c>
      <c r="BY264" s="22" t="e">
        <f ca="1">tabCustoUnit[[#This Row],[CUSTO TOTAL MENSAL]]*12</f>
        <v>#NAME?</v>
      </c>
      <c r="BZ264" s="24">
        <f>VLOOKUP(tabCustoUnit[[#This Row],[Código do Posto]],tabParametros[],MATCH(tabCustoUnit[[#Headers],[ANO DA CCT]],tabParametros[#Headers],0),0)</f>
        <v>45658</v>
      </c>
      <c r="CA264" s="25" t="str">
        <f>VLOOKUP(tabCustoUnit[[#This Row],[Código do Posto]],tabParametros[],MATCH(tabCustoUnit[[#Headers],[Nº DE PEDIDO DA CCT]],tabParametros[#Headers],0),0)</f>
        <v>-</v>
      </c>
      <c r="CB264" s="25" t="str">
        <f>VLOOKUP(tabCustoUnit[[#This Row],[Código do Posto]],tabParametros[],MATCH(tabCustoUnit[[#Headers],[TERMO ADITIVO ALTERAÇÃO DA CCT]],tabParametros[#Headers],0),0)</f>
        <v>-</v>
      </c>
    </row>
    <row r="265" spans="1:80">
      <c r="A265" s="20" t="s">
        <v>1685</v>
      </c>
      <c r="B265" t="s">
        <v>1191</v>
      </c>
      <c r="C265" t="s">
        <v>274</v>
      </c>
      <c r="D265" t="s">
        <v>1012</v>
      </c>
      <c r="E265" s="20" t="s">
        <v>1090</v>
      </c>
      <c r="F265" s="20" t="s">
        <v>135</v>
      </c>
      <c r="G265" s="418">
        <v>4558.0709999999999</v>
      </c>
      <c r="H265" s="418">
        <v>0</v>
      </c>
      <c r="I265" s="418">
        <v>0</v>
      </c>
      <c r="J265" s="418">
        <v>0</v>
      </c>
      <c r="K265" s="418">
        <v>0</v>
      </c>
      <c r="L265" s="418">
        <v>0</v>
      </c>
      <c r="M265" s="418">
        <v>0</v>
      </c>
      <c r="N265" s="418">
        <v>0</v>
      </c>
      <c r="O265" s="21">
        <f>SUM(tabCustoUnit[[#This Row],[Salário Base]:[Adicional de Acúmulo de função]])</f>
        <v>4558.0709999999999</v>
      </c>
      <c r="P265" s="21">
        <f>tabCustoUnit[[#This Row],[MODULO 1 - REMUNERAÇÃO ]]*SUMIFS(tabParametros[INSS],tabParametros[Código do Posto],tabCustoUnit[[#This Row],[Código do Posto]])</f>
        <v>911.61419999999998</v>
      </c>
      <c r="Q265" s="21">
        <f>tabCustoUnit[[#This Row],[MODULO 1 - REMUNERAÇÃO ]]*SUMIFS(tabParametros[SESI OU SESC],tabParametros[Código do Posto],tabCustoUnit[[#This Row],[Código do Posto]])</f>
        <v>68.371065000000002</v>
      </c>
      <c r="R265" s="21">
        <f>tabCustoUnit[[#This Row],[MODULO 1 - REMUNERAÇÃO ]]*SUMIFS(tabParametros[SENAI OU SENAC],tabParametros[Código do Posto],tabCustoUnit[[#This Row],[Código do Posto]])</f>
        <v>45.580710000000003</v>
      </c>
      <c r="S265" s="21">
        <f>tabCustoUnit[[#This Row],[MODULO 1 - REMUNERAÇÃO ]]*SUMIFS(tabParametros[INCRA],tabParametros[Código do Posto],tabCustoUnit[[#This Row],[Código do Posto]])</f>
        <v>9.116142</v>
      </c>
      <c r="T265" s="21">
        <f>tabCustoUnit[[#This Row],[MODULO 1 - REMUNERAÇÃO ]]*SUMIFS(tabParametros[Salário Educação],tabParametros[Código do Posto],tabCustoUnit[[#This Row],[Código do Posto]])</f>
        <v>113.951775</v>
      </c>
      <c r="U265" s="21">
        <f>tabCustoUnit[[#This Row],[MODULO 1 - REMUNERAÇÃO ]]*SUMIFS(tabParametros[FGTS],tabParametros[Código do Posto],tabCustoUnit[[#This Row],[Código do Posto]])</f>
        <v>364.64568000000003</v>
      </c>
      <c r="V265" s="21">
        <f>tabCustoUnit[[#This Row],[MODULO 1 - REMUNERAÇÃO ]]*SUMIFS(tabParametros[RAT Ajustado],tabParametros[Código do Posto],tabCustoUnit[[#This Row],[Código do Posto]])</f>
        <v>182.32284000000001</v>
      </c>
      <c r="W265" s="21">
        <f>tabCustoUnit[[#This Row],[MODULO 1 - REMUNERAÇÃO ]]*SUMIFS(tabParametros[SEBRAE],tabParametros[Código do Posto],tabCustoUnit[[#This Row],[Código do Posto]])</f>
        <v>27.348426</v>
      </c>
      <c r="X265" s="21">
        <f>SUM(tabCustoUnit[[#This Row],[INSS]:[SEBRAE]])</f>
        <v>1722.9508380000002</v>
      </c>
      <c r="Y265" s="21">
        <f>tabCustoUnit[[#This Row],[MODULO 1 - REMUNERAÇÃO ]]*SUMIFS(tabParametros[13º salário (titular)],tabParametros[Código do Posto],tabCustoUnit[[#This Row],[Código do Posto]])</f>
        <v>379.83924999999999</v>
      </c>
      <c r="Z265" s="21">
        <f>tabCustoUnit[[#This Row],[MODULO 1 - REMUNERAÇÃO ]]*SUMIFS(tabParametros[Férias e Adicional de Férias (titular)],tabParametros[Código do Posto],tabCustoUnit[[#This Row],[Código do Posto]])</f>
        <v>506.45233333333329</v>
      </c>
      <c r="AA265" s="21">
        <f>IFERROR((tabCustoUnit[[#This Row],[Submódulo 2.1]]/tabCustoUnit[[#This Row],[MODULO 1 - REMUNERAÇÃO ]])*SUM(tabCustoUnit[[#This Row],[13º salário (titular)]:[Férias e Adicional de Férias (titular)]]),0)</f>
        <v>335.01821850000005</v>
      </c>
      <c r="AB265" s="21">
        <f>SUM(tabCustoUnit[[#This Row],[13º salário (titular)]:[Incidência do Submódulo 2.1 sobre 13º Salário, Férias e Adicional de Férias]])</f>
        <v>1221.3098018333333</v>
      </c>
      <c r="AC265" s="22" t="e">
        <f ca="1">_xlfn.LET(_xlpm.VT,SUMIF(tabParametros[Código do Posto],tabCustoUnit[[#This Row],[Código do Posto]],tabParametros[Vale - Transporte])*2*20,
IF((_xlpm.VT-tabCustoUnit[[#This Row],[Salário Base]]*0.06)&gt;=0,(_xlpm.VT-tabCustoUnit[[#This Row],[Salário Base]]*0.06),0)
)</f>
        <v>#NAME?</v>
      </c>
      <c r="AD265" s="22">
        <f>IF(SUMIF(tabParametros[Código do Posto],tabCustoUnit[[#This Row],[Código do Posto]],tabParametros[Vale - Alimentação])&lt;=0,0,
SUMIF(tabParametros[Código do Posto],tabCustoUnit[[#This Row],[Código do Posto]],tabParametros[Vale - Alimentação])*20-1)</f>
        <v>578.4</v>
      </c>
      <c r="AE265" s="22">
        <f>SUMIF(tabParametros[Código do Posto],tabCustoUnit[[#This Row],[Código do Posto]],tabParametros[Cesta Básica])</f>
        <v>0</v>
      </c>
      <c r="AF265" s="22">
        <f>SUMIF(tabParametros[Código do Posto],tabCustoUnit[[#This Row],[Código do Posto]],tabParametros[PAF])</f>
        <v>0</v>
      </c>
      <c r="AG265" s="22">
        <f>SUMIF(tabParametros[Código do Posto],tabCustoUnit[[#This Row],[Código do Posto]],tabParametros[PQM])</f>
        <v>0</v>
      </c>
      <c r="AH265" s="22">
        <f>SUMIF(tabParametros[Código do Posto],tabCustoUnit[[#This Row],[Código do Posto]],tabParametros[Abono Único e Especial])</f>
        <v>0</v>
      </c>
      <c r="AI265" s="22">
        <f>SUMIF(tabParametros[Código do Posto],tabCustoUnit[[#This Row],[Código do Posto]],tabParametros[Seguro de Vida])</f>
        <v>3.36</v>
      </c>
      <c r="AJ265" s="22">
        <f>SUMIF(tabParametros[Código do Posto],tabCustoUnit[[#This Row],[Código do Posto]],tabParametros[Despesas de Viagem])</f>
        <v>662.42</v>
      </c>
      <c r="AK265" s="22" t="e">
        <f ca="1">SUM(tabCustoUnit[[#This Row],[Vale - Transporte (Descontada parcela do empregado)]:[Despesas de Viagem]])</f>
        <v>#NAME?</v>
      </c>
      <c r="AL265" s="22" t="e">
        <f ca="1">tabCustoUnit[[#This Row],[Submódulo 2.1]]+tabCustoUnit[[#This Row],[Submódulo 2.2]]+tabCustoUnit[[#This Row],[Submódulo 2.3]]</f>
        <v>#NAME?</v>
      </c>
      <c r="AM265" s="22">
        <f>SUMIF(tabParametros[Código do Posto],tabCustoUnit[[#This Row],[Código do Posto]],tabParametros[Aviso Prévio Indenizado (API) e Reflexo do Aviso Prévio Indenizado])*tabCustoUnit[[#This Row],[MODULO 1 - REMUNERAÇÃO ]]</f>
        <v>31.960131708912037</v>
      </c>
      <c r="AN265" s="22">
        <f>SUMIF(tabParametros[Código do Posto],tabCustoUnit[[#This Row],[Código do Posto]],tabParametros[Incidência do FGTS sobre API e Reflexo do API])*tabCustoUnit[[#This Row],[MODULO 1 - REMUNERAÇÃO ]]</f>
        <v>2.556810536712963</v>
      </c>
      <c r="AO265" s="22">
        <f>SUMIF(tabParametros[Código do Posto],tabCustoUnit[[#This Row],[Código do Posto]],tabParametros[Multa Rescisória do FGTS sobre o Aviso Prévio Indenizado])*tabCustoUnit[[#This Row],[MODULO 1 - REMUNERAÇÃO ]]</f>
        <v>1.0227242146851854</v>
      </c>
      <c r="AP265" s="22">
        <f>SUMIF(tabParametros[Código do Posto],tabCustoUnit[[#This Row],[Código do Posto]],tabParametros[Aviso Prévio Trabalhado - APT])*tabCustoUnit[[#This Row],[MODULO 1 - REMUNERAÇÃO ]]</f>
        <v>15.953248500000003</v>
      </c>
      <c r="AQ265" s="22">
        <f>SUMIF(tabParametros[Código do Posto],tabCustoUnit[[#This Row],[Código do Posto]],tabParametros[Incidência dos encargos do submódulo 2.1 sobre Aviso Prévio Trabalhado])*tabCustoUnit[[#This Row],[MODULO 1 - REMUNERAÇÃO ]]</f>
        <v>6.0303279330000015</v>
      </c>
      <c r="AR265" s="22">
        <f>SUMIF(tabParametros[Código do Posto],tabCustoUnit[[#This Row],[Código do Posto]],tabParametros[Multa Rescisória do FGTS])*tabCustoUnit[[#This Row],[MODULO 1 - REMUNERAÇÃO ]]</f>
        <v>139.3756821333333</v>
      </c>
      <c r="AS265" s="22">
        <f>SUMIF(tabParametros[Código do Posto],tabCustoUnit[[#This Row],[Código do Posto]],tabParametros[Indenização Adicional (Art. 9º da Lei nº 7.238/84)])*tabCustoUnit[[#This Row],[MODULO 1 - REMUNERAÇÃO ]]</f>
        <v>3.7983925000000003</v>
      </c>
      <c r="AT265" s="22">
        <f>SUM(tabCustoUnit[[#This Row],[Aviso Prévio Indenizado (API) e Reflexo do Aviso Prévio Indenizado]:[Indenização Adicional (Art. 9º da Lei nº 7.238/84)]])</f>
        <v>200.6973175266435</v>
      </c>
      <c r="AU265" s="22">
        <f>SUMIF(tabParametros[Código do Posto],tabCustoUnit[[#This Row],[Código do Posto]],tabParametros[Ausência por Doença])*tabCustoUnit[[#This Row],[MODULO 1 - REMUNERAÇÃO ]]</f>
        <v>38.490377333333328</v>
      </c>
      <c r="AV265" s="22">
        <f>SUMIF(tabParametros[Código do Posto],tabCustoUnit[[#This Row],[Código do Posto]],tabParametros[Ausências Legais])*tabCustoUnit[[#This Row],[MODULO 1 - REMUNERAÇÃO ]]</f>
        <v>9.2427550833333321</v>
      </c>
      <c r="AW265" s="22">
        <f>SUMIF(tabParametros[Código do Posto],tabCustoUnit[[#This Row],[Código do Posto]],tabParametros[Licença Paternidade])*tabCustoUnit[[#This Row],[MODULO 1 - REMUNERAÇÃO ]]</f>
        <v>0.77867046249999994</v>
      </c>
      <c r="AX265" s="22">
        <f>SUMIF(tabParametros[Código do Posto],tabCustoUnit[[#This Row],[Código do Posto]],tabParametros[Ausência por Acidente de Trabalho])*tabCustoUnit[[#This Row],[MODULO 1 - REMUNERAÇÃO ]]</f>
        <v>0.94959812500000007</v>
      </c>
      <c r="AY265" s="22">
        <f>SUMIF(tabParametros[Código do Posto],tabCustoUnit[[#This Row],[Código do Posto]],tabParametros[Férias, Adicional de Férias e 13º  com empregada em gozo de Licença Maternidade])*tabCustoUnit[[#This Row],[MODULO 1 - REMUNERAÇÃO ]]</f>
        <v>5.9086105555555557</v>
      </c>
      <c r="AZ265" s="22">
        <f>SUMIF(tabParametros[Código do Posto],tabCustoUnit[[#This Row],[Código do Posto]],tabParametros[Incidência do Submódulo 2.1 sobre Ausências Legais])*tabCustoUnit[[#This Row],[MODULO 1 - REMUNERAÇÃO ]]</f>
        <v>20.929864369575004</v>
      </c>
      <c r="BA265" s="22">
        <f>SUM(tabCustoUnit[[#This Row],[Ausência por Doença]:[Incidência do Submódulo 2.1 sobre Ausências Legais]])</f>
        <v>76.29987592929723</v>
      </c>
      <c r="BB265" s="22">
        <f>SUMIF(tabParametros[Código do Posto],tabCustoUnit[[#This Row],[Código do Posto]],tabParametros[Intervalo para Repouso ou Alimentação])</f>
        <v>0</v>
      </c>
      <c r="BC265" s="22">
        <f>tabCustoUnit[[#This Row],[Intervalo para Repouso ou Alimentação]]</f>
        <v>0</v>
      </c>
      <c r="BD26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5" s="22">
        <f>tabCustoUnit[[#This Row],[Suspensão Temporária do Contrato de Trabalho]]</f>
        <v>0</v>
      </c>
      <c r="BF265" s="22">
        <f>tabCustoUnit[[#This Row],[Submódulo 4.1]]+tabCustoUnit[[#This Row],[Submódulo 4.2]]+tabCustoUnit[[#This Row],[Submódulo 4.3]]</f>
        <v>76.29987592929723</v>
      </c>
      <c r="BG265" s="22">
        <f>VLOOKUP(tabCustoUnit[[#This Row],[Código do Posto]],tabParametros[],MATCH(tabCustoUnit[[#Headers],[Uniformes e EPIs]],tabParametros[#Headers],0),0)</f>
        <v>92.100763771570698</v>
      </c>
      <c r="BH265" s="22">
        <f>VLOOKUP(tabCustoUnit[[#This Row],[Código do Posto]],tabParametros[],MATCH(tabCustoUnit[[#Headers],[Materiais de Consumo]],tabParametros[#Headers],0),0)</f>
        <v>0</v>
      </c>
      <c r="BI265" s="22">
        <f>VLOOKUP(tabCustoUnit[[#This Row],[Código do Posto]],tabParametros[],MATCH(tabCustoUnit[[#Headers],[Máquinas e Equipamentos (depreciação)]],tabParametros[#Headers],0),0)</f>
        <v>0</v>
      </c>
      <c r="BJ265" s="22">
        <f>VLOOKUP(tabCustoUnit[[#This Row],[Código do Posto]],tabParametros[],MATCH(tabCustoUnit[[#Headers],[Produtos de Limpeza e Materiais de Higiene Pessoal]],tabParametros[#Headers],0),0)</f>
        <v>0</v>
      </c>
      <c r="BK265" s="22">
        <f>VLOOKUP(tabCustoUnit[[#This Row],[Código do Posto]],tabParametros[],MATCH(tabCustoUnit[[#Headers],[Outros (especificar)]],tabParametros[#Headers],0),0)</f>
        <v>0</v>
      </c>
      <c r="BL265" s="22">
        <f>SUM(tabCustoUnit[[#This Row],[Uniformes e EPIs]:[Outros (especificar)]])</f>
        <v>92.100763771570698</v>
      </c>
      <c r="BM26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5" s="22" t="e">
        <f ca="1">VLOOKUP(tabCustoUnit[[#This Row],[Código do Posto]],tabParametros[],MATCH(tabCustoUnit[[#Headers],[Custos Indiretos]],tabParametros[#Headers],0),0)</f>
        <v>#NAME?</v>
      </c>
      <c r="BO265" s="22" t="e">
        <f ca="1">VLOOKUP(tabCustoUnit[[#This Row],[Código do Posto]],tabParametros[],MATCH(tabCustoUnit[[#Headers],[Lucro]],tabParametros[#Headers],0),0)</f>
        <v>#NAME?</v>
      </c>
      <c r="BP265" s="26">
        <f>((100/((1-tabCustoUnit[[#This Row],[Resumo de Alíquotas (PIS+CONFINS+ISS)]]))-100)*VLOOKUP(tabCustoUnit[[#This Row],[Código do Posto]],tabParametros[],MATCH(tabCustoUnit[[#Headers],[COFINS]],tabParametros[#Headers],0),0))/(tabCustoUnit[[#This Row],[Resumo de Alíquotas (PIS+CONFINS+ISS)]]*100)</f>
        <v>8.5633802816901458E-2</v>
      </c>
      <c r="BQ265" s="26">
        <f>((100/((100-(tabCustoUnit[[#This Row],[Resumo de Alíquotas (PIS+CONFINS+ISS)]]*100))%)-100)*VLOOKUP(tabCustoUnit[[#This Row],[Código do Posto]],tabParametros[],MATCH(tabCustoUnit[[#Headers],[PIS]],tabParametros[#Headers],0),0))/(tabCustoUnit[[#This Row],[Resumo de Alíquotas (PIS+CONFINS+ISS)]]*100)</f>
        <v>1.8591549295774657E-2</v>
      </c>
      <c r="BR265" s="28">
        <f>VLOOKUP(tabCustoUnit[[#This Row],[Código do Posto]],tabParametros[],MATCH(tabCustoUnit[[#Headers],[ISS]],tabParametros[#Headers],0),0)</f>
        <v>0.02</v>
      </c>
      <c r="BS265" s="26">
        <f>(((100/((100-(tabCustoUnit[[#This Row],[Resumo de Alíquotas (PIS+CONFINS+ISS)]]*100))%)-100)*tabCustoUnit[[#This Row],[ISS]])/tabCustoUnit[[#This Row],[Resumo de Alíquotas (PIS+CONFINS+ISS)]])/100</f>
        <v>2.2535211267605645E-2</v>
      </c>
      <c r="BT26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65" s="138">
        <f>tabCustoUnit[[#This Row],[COFINS]]+tabCustoUnit[[#This Row],[PIS]]+tabCustoUnit[[#This Row],[ISS (Conversão Alíquota s/ fatura)]]</f>
        <v>0.12676056338028174</v>
      </c>
      <c r="BV265" s="22" t="e">
        <f ca="1">(tabCustoUnit[[#This Row],[TOTAL MÓDULOS 1+2+3+4+5]]+tabCustoUnit[[#This Row],[Custos Indiretos]]+tabCustoUnit[[#This Row],[Lucro]])*tabCustoUnit[[#This Row],[PIS + COFINS + ISS (Total Conversão  Alíquota s/ Fatura)]]</f>
        <v>#NAME?</v>
      </c>
      <c r="BW265" s="22" t="e">
        <f ca="1">tabCustoUnit[[#This Row],[Custos Indiretos]]+tabCustoUnit[[#This Row],[Lucro]]+tabCustoUnit[[#This Row],[Valor dos Tributos (ISS, PIS, CONFINS)]]</f>
        <v>#NAME?</v>
      </c>
      <c r="BX265" s="22" t="e">
        <f ca="1">tabCustoUnit[[#This Row],[TOTAL MÓDULOS 1+2+3+4+5]]+tabCustoUnit[[#This Row],[MÓDULO 6 – CUSTOS INDIRETOS, TRIBUTOS E LUCRO]]</f>
        <v>#NAME?</v>
      </c>
      <c r="BY265" s="22" t="e">
        <f ca="1">tabCustoUnit[[#This Row],[CUSTO TOTAL MENSAL]]*12</f>
        <v>#NAME?</v>
      </c>
      <c r="BZ265" s="24">
        <f>VLOOKUP(tabCustoUnit[[#This Row],[Código do Posto]],tabParametros[],MATCH(tabCustoUnit[[#Headers],[ANO DA CCT]],tabParametros[#Headers],0),0)</f>
        <v>45658</v>
      </c>
      <c r="CA265" s="25" t="str">
        <f>VLOOKUP(tabCustoUnit[[#This Row],[Código do Posto]],tabParametros[],MATCH(tabCustoUnit[[#Headers],[Nº DE PEDIDO DA CCT]],tabParametros[#Headers],0),0)</f>
        <v>-</v>
      </c>
      <c r="CB265" s="25" t="str">
        <f>VLOOKUP(tabCustoUnit[[#This Row],[Código do Posto]],tabParametros[],MATCH(tabCustoUnit[[#Headers],[TERMO ADITIVO ALTERAÇÃO DA CCT]],tabParametros[#Headers],0),0)</f>
        <v>-</v>
      </c>
    </row>
    <row r="266" spans="1:80">
      <c r="A266" s="20" t="s">
        <v>1686</v>
      </c>
      <c r="B266" t="s">
        <v>1191</v>
      </c>
      <c r="C266" t="s">
        <v>314</v>
      </c>
      <c r="D266" t="s">
        <v>961</v>
      </c>
      <c r="E266" s="20" t="s">
        <v>1090</v>
      </c>
      <c r="F266" s="20" t="s">
        <v>120</v>
      </c>
      <c r="G266" s="418">
        <v>1963.405</v>
      </c>
      <c r="H266" s="418">
        <v>0</v>
      </c>
      <c r="I266" s="418">
        <v>0</v>
      </c>
      <c r="J266" s="418">
        <v>0</v>
      </c>
      <c r="K266" s="418">
        <v>0</v>
      </c>
      <c r="L266" s="418">
        <v>0</v>
      </c>
      <c r="M266" s="418">
        <v>0</v>
      </c>
      <c r="N266" s="418">
        <v>0</v>
      </c>
      <c r="O266" s="21">
        <f>SUM(tabCustoUnit[[#This Row],[Salário Base]:[Adicional de Acúmulo de função]])</f>
        <v>1963.405</v>
      </c>
      <c r="P266" s="21">
        <f>tabCustoUnit[[#This Row],[MODULO 1 - REMUNERAÇÃO ]]*SUMIFS(tabParametros[INSS],tabParametros[Código do Posto],tabCustoUnit[[#This Row],[Código do Posto]])</f>
        <v>392.68100000000004</v>
      </c>
      <c r="Q266" s="21">
        <f>tabCustoUnit[[#This Row],[MODULO 1 - REMUNERAÇÃO ]]*SUMIFS(tabParametros[SESI OU SESC],tabParametros[Código do Posto],tabCustoUnit[[#This Row],[Código do Posto]])</f>
        <v>29.451074999999999</v>
      </c>
      <c r="R266" s="21">
        <f>tabCustoUnit[[#This Row],[MODULO 1 - REMUNERAÇÃO ]]*SUMIFS(tabParametros[SENAI OU SENAC],tabParametros[Código do Posto],tabCustoUnit[[#This Row],[Código do Posto]])</f>
        <v>19.634049999999998</v>
      </c>
      <c r="S266" s="21">
        <f>tabCustoUnit[[#This Row],[MODULO 1 - REMUNERAÇÃO ]]*SUMIFS(tabParametros[INCRA],tabParametros[Código do Posto],tabCustoUnit[[#This Row],[Código do Posto]])</f>
        <v>3.9268100000000001</v>
      </c>
      <c r="T266" s="21">
        <f>tabCustoUnit[[#This Row],[MODULO 1 - REMUNERAÇÃO ]]*SUMIFS(tabParametros[Salário Educação],tabParametros[Código do Posto],tabCustoUnit[[#This Row],[Código do Posto]])</f>
        <v>49.085125000000005</v>
      </c>
      <c r="U266" s="21">
        <f>tabCustoUnit[[#This Row],[MODULO 1 - REMUNERAÇÃO ]]*SUMIFS(tabParametros[FGTS],tabParametros[Código do Posto],tabCustoUnit[[#This Row],[Código do Posto]])</f>
        <v>157.07239999999999</v>
      </c>
      <c r="V266" s="21">
        <f>tabCustoUnit[[#This Row],[MODULO 1 - REMUNERAÇÃO ]]*SUMIFS(tabParametros[RAT Ajustado],tabParametros[Código do Posto],tabCustoUnit[[#This Row],[Código do Posto]])</f>
        <v>78.536199999999994</v>
      </c>
      <c r="W266" s="21">
        <f>tabCustoUnit[[#This Row],[MODULO 1 - REMUNERAÇÃO ]]*SUMIFS(tabParametros[SEBRAE],tabParametros[Código do Posto],tabCustoUnit[[#This Row],[Código do Posto]])</f>
        <v>11.780430000000001</v>
      </c>
      <c r="X266" s="21">
        <f>SUM(tabCustoUnit[[#This Row],[INSS]:[SEBRAE]])</f>
        <v>742.16709000000003</v>
      </c>
      <c r="Y266" s="21">
        <f>tabCustoUnit[[#This Row],[MODULO 1 - REMUNERAÇÃO ]]*SUMIFS(tabParametros[13º salário (titular)],tabParametros[Código do Posto],tabCustoUnit[[#This Row],[Código do Posto]])</f>
        <v>163.61708333333331</v>
      </c>
      <c r="Z266" s="21">
        <f>tabCustoUnit[[#This Row],[MODULO 1 - REMUNERAÇÃO ]]*SUMIFS(tabParametros[Férias e Adicional de Férias (titular)],tabParametros[Código do Posto],tabCustoUnit[[#This Row],[Código do Posto]])</f>
        <v>218.1561111111111</v>
      </c>
      <c r="AA266" s="21">
        <f>IFERROR((tabCustoUnit[[#This Row],[Submódulo 2.1]]/tabCustoUnit[[#This Row],[MODULO 1 - REMUNERAÇÃO ]])*SUM(tabCustoUnit[[#This Row],[13º salário (titular)]:[Férias e Adicional de Férias (titular)]]),0)</f>
        <v>144.31026749999998</v>
      </c>
      <c r="AB266" s="21">
        <f>SUM(tabCustoUnit[[#This Row],[13º salário (titular)]:[Incidência do Submódulo 2.1 sobre 13º Salário, Férias e Adicional de Férias]])</f>
        <v>526.08346194444437</v>
      </c>
      <c r="AC266" s="22" t="e">
        <f ca="1">_xlfn.LET(_xlpm.VT,SUMIF(tabParametros[Código do Posto],tabCustoUnit[[#This Row],[Código do Posto]],tabParametros[Vale - Transporte])*2*20,
IF((_xlpm.VT-tabCustoUnit[[#This Row],[Salário Base]]*0.06)&gt;=0,(_xlpm.VT-tabCustoUnit[[#This Row],[Salário Base]]*0.06),0)
)</f>
        <v>#NAME?</v>
      </c>
      <c r="AD266" s="22">
        <f>IF(SUMIF(tabParametros[Código do Posto],tabCustoUnit[[#This Row],[Código do Posto]],tabParametros[Vale - Alimentação])&lt;=0,0,
SUMIF(tabParametros[Código do Posto],tabCustoUnit[[#This Row],[Código do Posto]],tabParametros[Vale - Alimentação])*20-1)</f>
        <v>582</v>
      </c>
      <c r="AE266" s="22">
        <f>SUMIF(tabParametros[Código do Posto],tabCustoUnit[[#This Row],[Código do Posto]],tabParametros[Cesta Básica])</f>
        <v>0</v>
      </c>
      <c r="AF266" s="22">
        <f>SUMIF(tabParametros[Código do Posto],tabCustoUnit[[#This Row],[Código do Posto]],tabParametros[PAF])</f>
        <v>53.27</v>
      </c>
      <c r="AG266" s="22">
        <f>SUMIF(tabParametros[Código do Posto],tabCustoUnit[[#This Row],[Código do Posto]],tabParametros[PQM])</f>
        <v>0</v>
      </c>
      <c r="AH266" s="22">
        <f>SUMIF(tabParametros[Código do Posto],tabCustoUnit[[#This Row],[Código do Posto]],tabParametros[Abono Único e Especial])</f>
        <v>0</v>
      </c>
      <c r="AI266" s="22">
        <f>SUMIF(tabParametros[Código do Posto],tabCustoUnit[[#This Row],[Código do Posto]],tabParametros[Seguro de Vida])</f>
        <v>3.36</v>
      </c>
      <c r="AJ266" s="22">
        <f>SUMIF(tabParametros[Código do Posto],tabCustoUnit[[#This Row],[Código do Posto]],tabParametros[Despesas de Viagem])</f>
        <v>0</v>
      </c>
      <c r="AK266" s="22" t="e">
        <f ca="1">SUM(tabCustoUnit[[#This Row],[Vale - Transporte (Descontada parcela do empregado)]:[Despesas de Viagem]])</f>
        <v>#NAME?</v>
      </c>
      <c r="AL266" s="22" t="e">
        <f ca="1">tabCustoUnit[[#This Row],[Submódulo 2.1]]+tabCustoUnit[[#This Row],[Submódulo 2.2]]+tabCustoUnit[[#This Row],[Submódulo 2.3]]</f>
        <v>#NAME?</v>
      </c>
      <c r="AM266" s="22">
        <f>SUMIF(tabParametros[Código do Posto],tabCustoUnit[[#This Row],[Código do Posto]],tabParametros[Aviso Prévio Indenizado (API) e Reflexo do Aviso Prévio Indenizado])*tabCustoUnit[[#This Row],[MODULO 1 - REMUNERAÇÃO ]]</f>
        <v>13.766938338155864</v>
      </c>
      <c r="AN266" s="22">
        <f>SUMIF(tabParametros[Código do Posto],tabCustoUnit[[#This Row],[Código do Posto]],tabParametros[Incidência do FGTS sobre API e Reflexo do API])*tabCustoUnit[[#This Row],[MODULO 1 - REMUNERAÇÃO ]]</f>
        <v>1.1013550670524692</v>
      </c>
      <c r="AO266" s="22">
        <f>SUMIF(tabParametros[Código do Posto],tabCustoUnit[[#This Row],[Código do Posto]],tabParametros[Multa Rescisória do FGTS sobre o Aviso Prévio Indenizado])*tabCustoUnit[[#This Row],[MODULO 1 - REMUNERAÇÃO ]]</f>
        <v>0.44054202682098775</v>
      </c>
      <c r="AP266" s="22">
        <f>SUMIF(tabParametros[Código do Posto],tabCustoUnit[[#This Row],[Código do Posto]],tabParametros[Aviso Prévio Trabalhado - APT])*tabCustoUnit[[#This Row],[MODULO 1 - REMUNERAÇÃO ]]</f>
        <v>6.8719175000000012</v>
      </c>
      <c r="AQ266" s="22">
        <f>SUMIF(tabParametros[Código do Posto],tabCustoUnit[[#This Row],[Código do Posto]],tabParametros[Incidência dos encargos do submódulo 2.1 sobre Aviso Prévio Trabalhado])*tabCustoUnit[[#This Row],[MODULO 1 - REMUNERAÇÃO ]]</f>
        <v>2.5975848150000007</v>
      </c>
      <c r="AR266" s="22">
        <f>SUMIF(tabParametros[Código do Posto],tabCustoUnit[[#This Row],[Código do Posto]],tabParametros[Multa Rescisória do FGTS])*tabCustoUnit[[#This Row],[MODULO 1 - REMUNERAÇÃO ]]</f>
        <v>60.03656177777777</v>
      </c>
      <c r="AS266" s="22">
        <f>SUMIF(tabParametros[Código do Posto],tabCustoUnit[[#This Row],[Código do Posto]],tabParametros[Indenização Adicional (Art. 9º da Lei nº 7.238/84)])*tabCustoUnit[[#This Row],[MODULO 1 - REMUNERAÇÃO ]]</f>
        <v>1.6361708333333334</v>
      </c>
      <c r="AT266" s="22">
        <f>SUM(tabCustoUnit[[#This Row],[Aviso Prévio Indenizado (API) e Reflexo do Aviso Prévio Indenizado]:[Indenização Adicional (Art. 9º da Lei nº 7.238/84)]])</f>
        <v>86.451070358140427</v>
      </c>
      <c r="AU266" s="22">
        <f>SUMIF(tabParametros[Código do Posto],tabCustoUnit[[#This Row],[Código do Posto]],tabParametros[Ausência por Doença])*tabCustoUnit[[#This Row],[MODULO 1 - REMUNERAÇÃO ]]</f>
        <v>16.579864444444443</v>
      </c>
      <c r="AV266" s="22">
        <f>SUMIF(tabParametros[Código do Posto],tabCustoUnit[[#This Row],[Código do Posto]],tabParametros[Ausências Legais])*tabCustoUnit[[#This Row],[MODULO 1 - REMUNERAÇÃO ]]</f>
        <v>3.9813490277777777</v>
      </c>
      <c r="AW266" s="22">
        <f>SUMIF(tabParametros[Código do Posto],tabCustoUnit[[#This Row],[Código do Posto]],tabParametros[Licença Paternidade])*tabCustoUnit[[#This Row],[MODULO 1 - REMUNERAÇÃO ]]</f>
        <v>0.3354150208333333</v>
      </c>
      <c r="AX266" s="22">
        <f>SUMIF(tabParametros[Código do Posto],tabCustoUnit[[#This Row],[Código do Posto]],tabParametros[Ausência por Acidente de Trabalho])*tabCustoUnit[[#This Row],[MODULO 1 - REMUNERAÇÃO ]]</f>
        <v>0.40904270833333334</v>
      </c>
      <c r="AY266" s="22">
        <f>SUMIF(tabParametros[Código do Posto],tabCustoUnit[[#This Row],[Código do Posto]],tabParametros[Férias, Adicional de Férias e 13º  com empregada em gozo de Licença Maternidade])*tabCustoUnit[[#This Row],[MODULO 1 - REMUNERAÇÃO ]]</f>
        <v>2.5451546296296295</v>
      </c>
      <c r="AZ266" s="22">
        <f>SUMIF(tabParametros[Código do Posto],tabCustoUnit[[#This Row],[Código do Posto]],tabParametros[Incidência do Submódulo 2.1 sobre Ausências Legais])*tabCustoUnit[[#This Row],[MODULO 1 - REMUNERAÇÃO ]]</f>
        <v>9.0156121641250007</v>
      </c>
      <c r="BA266" s="22">
        <f>SUM(tabCustoUnit[[#This Row],[Ausência por Doença]:[Incidência do Submódulo 2.1 sobre Ausências Legais]])</f>
        <v>32.866437995143521</v>
      </c>
      <c r="BB266" s="22">
        <f>SUMIF(tabParametros[Código do Posto],tabCustoUnit[[#This Row],[Código do Posto]],tabParametros[Intervalo para Repouso ou Alimentação])</f>
        <v>267.73704981301341</v>
      </c>
      <c r="BC266" s="22">
        <f>tabCustoUnit[[#This Row],[Intervalo para Repouso ou Alimentação]]</f>
        <v>267.73704981301341</v>
      </c>
      <c r="BD26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6" s="22">
        <f>tabCustoUnit[[#This Row],[Suspensão Temporária do Contrato de Trabalho]]</f>
        <v>0</v>
      </c>
      <c r="BF266" s="22">
        <f>tabCustoUnit[[#This Row],[Submódulo 4.1]]+tabCustoUnit[[#This Row],[Submódulo 4.2]]+tabCustoUnit[[#This Row],[Submódulo 4.3]]</f>
        <v>300.60348780815696</v>
      </c>
      <c r="BG266" s="22">
        <f>VLOOKUP(tabCustoUnit[[#This Row],[Código do Posto]],tabParametros[],MATCH(tabCustoUnit[[#Headers],[Uniformes e EPIs]],tabParametros[#Headers],0),0)</f>
        <v>56.642978962543395</v>
      </c>
      <c r="BH266" s="22">
        <f>VLOOKUP(tabCustoUnit[[#This Row],[Código do Posto]],tabParametros[],MATCH(tabCustoUnit[[#Headers],[Materiais de Consumo]],tabParametros[#Headers],0),0)</f>
        <v>0</v>
      </c>
      <c r="BI266" s="22">
        <f>VLOOKUP(tabCustoUnit[[#This Row],[Código do Posto]],tabParametros[],MATCH(tabCustoUnit[[#Headers],[Máquinas e Equipamentos (depreciação)]],tabParametros[#Headers],0),0)</f>
        <v>0</v>
      </c>
      <c r="BJ266" s="22">
        <f>VLOOKUP(tabCustoUnit[[#This Row],[Código do Posto]],tabParametros[],MATCH(tabCustoUnit[[#Headers],[Produtos de Limpeza e Materiais de Higiene Pessoal]],tabParametros[#Headers],0),0)</f>
        <v>0</v>
      </c>
      <c r="BK266" s="22">
        <f>VLOOKUP(tabCustoUnit[[#This Row],[Código do Posto]],tabParametros[],MATCH(tabCustoUnit[[#Headers],[Outros (especificar)]],tabParametros[#Headers],0),0)</f>
        <v>0</v>
      </c>
      <c r="BL266" s="22">
        <f>SUM(tabCustoUnit[[#This Row],[Uniformes e EPIs]:[Outros (especificar)]])</f>
        <v>56.642978962543395</v>
      </c>
      <c r="BM26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6" s="22" t="e">
        <f ca="1">VLOOKUP(tabCustoUnit[[#This Row],[Código do Posto]],tabParametros[],MATCH(tabCustoUnit[[#Headers],[Custos Indiretos]],tabParametros[#Headers],0),0)</f>
        <v>#NAME?</v>
      </c>
      <c r="BO266" s="22" t="e">
        <f ca="1">VLOOKUP(tabCustoUnit[[#This Row],[Código do Posto]],tabParametros[],MATCH(tabCustoUnit[[#Headers],[Lucro]],tabParametros[#Headers],0),0)</f>
        <v>#NAME?</v>
      </c>
      <c r="BP266" s="26">
        <f>((100/((1-tabCustoUnit[[#This Row],[Resumo de Alíquotas (PIS+CONFINS+ISS)]]))-100)*VLOOKUP(tabCustoUnit[[#This Row],[Código do Posto]],tabParametros[],MATCH(tabCustoUnit[[#Headers],[COFINS]],tabParametros[#Headers],0),0))/(tabCustoUnit[[#This Row],[Resumo de Alíquotas (PIS+CONFINS+ISS)]]*100)</f>
        <v>8.5633802816901458E-2</v>
      </c>
      <c r="BQ266" s="26">
        <f>((100/((100-(tabCustoUnit[[#This Row],[Resumo de Alíquotas (PIS+CONFINS+ISS)]]*100))%)-100)*VLOOKUP(tabCustoUnit[[#This Row],[Código do Posto]],tabParametros[],MATCH(tabCustoUnit[[#Headers],[PIS]],tabParametros[#Headers],0),0))/(tabCustoUnit[[#This Row],[Resumo de Alíquotas (PIS+CONFINS+ISS)]]*100)</f>
        <v>1.8591549295774657E-2</v>
      </c>
      <c r="BR266" s="28">
        <f>VLOOKUP(tabCustoUnit[[#This Row],[Código do Posto]],tabParametros[],MATCH(tabCustoUnit[[#Headers],[ISS]],tabParametros[#Headers],0),0)</f>
        <v>0.02</v>
      </c>
      <c r="BS266" s="26">
        <f>(((100/((100-(tabCustoUnit[[#This Row],[Resumo de Alíquotas (PIS+CONFINS+ISS)]]*100))%)-100)*tabCustoUnit[[#This Row],[ISS]])/tabCustoUnit[[#This Row],[Resumo de Alíquotas (PIS+CONFINS+ISS)]])/100</f>
        <v>2.2535211267605645E-2</v>
      </c>
      <c r="BT26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66" s="138">
        <f>tabCustoUnit[[#This Row],[COFINS]]+tabCustoUnit[[#This Row],[PIS]]+tabCustoUnit[[#This Row],[ISS (Conversão Alíquota s/ fatura)]]</f>
        <v>0.12676056338028174</v>
      </c>
      <c r="BV266" s="22" t="e">
        <f ca="1">(tabCustoUnit[[#This Row],[TOTAL MÓDULOS 1+2+3+4+5]]+tabCustoUnit[[#This Row],[Custos Indiretos]]+tabCustoUnit[[#This Row],[Lucro]])*tabCustoUnit[[#This Row],[PIS + COFINS + ISS (Total Conversão  Alíquota s/ Fatura)]]</f>
        <v>#NAME?</v>
      </c>
      <c r="BW266" s="22" t="e">
        <f ca="1">tabCustoUnit[[#This Row],[Custos Indiretos]]+tabCustoUnit[[#This Row],[Lucro]]+tabCustoUnit[[#This Row],[Valor dos Tributos (ISS, PIS, CONFINS)]]</f>
        <v>#NAME?</v>
      </c>
      <c r="BX266" s="22" t="e">
        <f ca="1">tabCustoUnit[[#This Row],[TOTAL MÓDULOS 1+2+3+4+5]]+tabCustoUnit[[#This Row],[MÓDULO 6 – CUSTOS INDIRETOS, TRIBUTOS E LUCRO]]</f>
        <v>#NAME?</v>
      </c>
      <c r="BY266" s="22" t="e">
        <f ca="1">tabCustoUnit[[#This Row],[CUSTO TOTAL MENSAL]]*12</f>
        <v>#NAME?</v>
      </c>
      <c r="BZ266" s="24">
        <f>VLOOKUP(tabCustoUnit[[#This Row],[Código do Posto]],tabParametros[],MATCH(tabCustoUnit[[#Headers],[ANO DA CCT]],tabParametros[#Headers],0),0)</f>
        <v>45658</v>
      </c>
      <c r="CA266" s="25" t="str">
        <f>VLOOKUP(tabCustoUnit[[#This Row],[Código do Posto]],tabParametros[],MATCH(tabCustoUnit[[#Headers],[Nº DE PEDIDO DA CCT]],tabParametros[#Headers],0),0)</f>
        <v>-</v>
      </c>
      <c r="CB266" s="25" t="str">
        <f>VLOOKUP(tabCustoUnit[[#This Row],[Código do Posto]],tabParametros[],MATCH(tabCustoUnit[[#Headers],[TERMO ADITIVO ALTERAÇÃO DA CCT]],tabParametros[#Headers],0),0)</f>
        <v>-</v>
      </c>
    </row>
    <row r="267" spans="1:80">
      <c r="A267" s="20" t="s">
        <v>1505</v>
      </c>
      <c r="B267" t="s">
        <v>1192</v>
      </c>
      <c r="C267" t="s">
        <v>200</v>
      </c>
      <c r="D267" t="s">
        <v>1058</v>
      </c>
      <c r="E267" s="20" t="s">
        <v>1090</v>
      </c>
      <c r="F267" s="20" t="s">
        <v>120</v>
      </c>
      <c r="G267" s="418">
        <v>1649.1152999999999</v>
      </c>
      <c r="H267" s="418">
        <v>0</v>
      </c>
      <c r="I267" s="418">
        <v>0</v>
      </c>
      <c r="J267" s="418">
        <v>0</v>
      </c>
      <c r="K267" s="418">
        <v>0</v>
      </c>
      <c r="L267" s="418">
        <v>0</v>
      </c>
      <c r="M267" s="418">
        <v>0</v>
      </c>
      <c r="N267" s="418">
        <v>0</v>
      </c>
      <c r="O267" s="21">
        <f>SUM(tabCustoUnit[[#This Row],[Salário Base]:[Adicional de Acúmulo de função]])</f>
        <v>1649.1152999999999</v>
      </c>
      <c r="P267" s="21">
        <f>tabCustoUnit[[#This Row],[MODULO 1 - REMUNERAÇÃO ]]*SUMIFS(tabParametros[INSS],tabParametros[Código do Posto],tabCustoUnit[[#This Row],[Código do Posto]])</f>
        <v>329.82306</v>
      </c>
      <c r="Q267" s="21">
        <f>tabCustoUnit[[#This Row],[MODULO 1 - REMUNERAÇÃO ]]*SUMIFS(tabParametros[SESI OU SESC],tabParametros[Código do Posto],tabCustoUnit[[#This Row],[Código do Posto]])</f>
        <v>24.736729499999999</v>
      </c>
      <c r="R267" s="21">
        <f>tabCustoUnit[[#This Row],[MODULO 1 - REMUNERAÇÃO ]]*SUMIFS(tabParametros[SENAI OU SENAC],tabParametros[Código do Posto],tabCustoUnit[[#This Row],[Código do Posto]])</f>
        <v>16.491153000000001</v>
      </c>
      <c r="S267" s="21">
        <f>tabCustoUnit[[#This Row],[MODULO 1 - REMUNERAÇÃO ]]*SUMIFS(tabParametros[INCRA],tabParametros[Código do Posto],tabCustoUnit[[#This Row],[Código do Posto]])</f>
        <v>3.2982306000000001</v>
      </c>
      <c r="T267" s="21">
        <f>tabCustoUnit[[#This Row],[MODULO 1 - REMUNERAÇÃO ]]*SUMIFS(tabParametros[Salário Educação],tabParametros[Código do Posto],tabCustoUnit[[#This Row],[Código do Posto]])</f>
        <v>41.2278825</v>
      </c>
      <c r="U267" s="21">
        <f>tabCustoUnit[[#This Row],[MODULO 1 - REMUNERAÇÃO ]]*SUMIFS(tabParametros[FGTS],tabParametros[Código do Posto],tabCustoUnit[[#This Row],[Código do Posto]])</f>
        <v>131.929224</v>
      </c>
      <c r="V267" s="21">
        <f>tabCustoUnit[[#This Row],[MODULO 1 - REMUNERAÇÃO ]]*SUMIFS(tabParametros[RAT Ajustado],tabParametros[Código do Posto],tabCustoUnit[[#This Row],[Código do Posto]])</f>
        <v>65.964612000000002</v>
      </c>
      <c r="W267" s="21">
        <f>tabCustoUnit[[#This Row],[MODULO 1 - REMUNERAÇÃO ]]*SUMIFS(tabParametros[SEBRAE],tabParametros[Código do Posto],tabCustoUnit[[#This Row],[Código do Posto]])</f>
        <v>9.8946918000000004</v>
      </c>
      <c r="X267" s="21">
        <f>SUM(tabCustoUnit[[#This Row],[INSS]:[SEBRAE]])</f>
        <v>623.36558340000011</v>
      </c>
      <c r="Y267" s="21">
        <f>tabCustoUnit[[#This Row],[MODULO 1 - REMUNERAÇÃO ]]*SUMIFS(tabParametros[13º salário (titular)],tabParametros[Código do Posto],tabCustoUnit[[#This Row],[Código do Posto]])</f>
        <v>137.42627499999998</v>
      </c>
      <c r="Z267" s="21">
        <f>tabCustoUnit[[#This Row],[MODULO 1 - REMUNERAÇÃO ]]*SUMIFS(tabParametros[Férias e Adicional de Férias (titular)],tabParametros[Código do Posto],tabCustoUnit[[#This Row],[Código do Posto]])</f>
        <v>183.23503333333332</v>
      </c>
      <c r="AA267" s="21">
        <f>IFERROR((tabCustoUnit[[#This Row],[Submódulo 2.1]]/tabCustoUnit[[#This Row],[MODULO 1 - REMUNERAÇÃO ]])*SUM(tabCustoUnit[[#This Row],[13º salário (titular)]:[Férias e Adicional de Férias (titular)]]),0)</f>
        <v>121.20997455</v>
      </c>
      <c r="AB267" s="21">
        <f>SUM(tabCustoUnit[[#This Row],[13º salário (titular)]:[Incidência do Submódulo 2.1 sobre 13º Salário, Férias e Adicional de Férias]])</f>
        <v>441.87128288333327</v>
      </c>
      <c r="AC267" s="22" t="e">
        <f ca="1">_xlfn.LET(_xlpm.VT,SUMIF(tabParametros[Código do Posto],tabCustoUnit[[#This Row],[Código do Posto]],tabParametros[Vale - Transporte])*2*20,
IF((_xlpm.VT-tabCustoUnit[[#This Row],[Salário Base]]*0.06)&gt;=0,(_xlpm.VT-tabCustoUnit[[#This Row],[Salário Base]]*0.06),0)
)</f>
        <v>#NAME?</v>
      </c>
      <c r="AD267" s="22">
        <f>IF(SUMIF(tabParametros[Código do Posto],tabCustoUnit[[#This Row],[Código do Posto]],tabParametros[Vale - Alimentação])&lt;=0,0,
SUMIF(tabParametros[Código do Posto],tabCustoUnit[[#This Row],[Código do Posto]],tabParametros[Vale - Alimentação])*20-1)</f>
        <v>582</v>
      </c>
      <c r="AE267" s="22">
        <f>SUMIF(tabParametros[Código do Posto],tabCustoUnit[[#This Row],[Código do Posto]],tabParametros[Cesta Básica])</f>
        <v>0</v>
      </c>
      <c r="AF267" s="22">
        <f>SUMIF(tabParametros[Código do Posto],tabCustoUnit[[#This Row],[Código do Posto]],tabParametros[PAF])</f>
        <v>77.25</v>
      </c>
      <c r="AG267" s="22">
        <f>SUMIF(tabParametros[Código do Posto],tabCustoUnit[[#This Row],[Código do Posto]],tabParametros[PQM])</f>
        <v>0</v>
      </c>
      <c r="AH267" s="22">
        <f>SUMIF(tabParametros[Código do Posto],tabCustoUnit[[#This Row],[Código do Posto]],tabParametros[Abono Único e Especial])</f>
        <v>0</v>
      </c>
      <c r="AI267" s="22">
        <f>SUMIF(tabParametros[Código do Posto],tabCustoUnit[[#This Row],[Código do Posto]],tabParametros[Seguro de Vida])</f>
        <v>3.36</v>
      </c>
      <c r="AJ267" s="22">
        <f>SUMIF(tabParametros[Código do Posto],tabCustoUnit[[#This Row],[Código do Posto]],tabParametros[Despesas de Viagem])</f>
        <v>0</v>
      </c>
      <c r="AK267" s="22" t="e">
        <f ca="1">SUM(tabCustoUnit[[#This Row],[Vale - Transporte (Descontada parcela do empregado)]:[Despesas de Viagem]])</f>
        <v>#NAME?</v>
      </c>
      <c r="AL267" s="22" t="e">
        <f ca="1">tabCustoUnit[[#This Row],[Submódulo 2.1]]+tabCustoUnit[[#This Row],[Submódulo 2.2]]+tabCustoUnit[[#This Row],[Submódulo 2.3]]</f>
        <v>#NAME?</v>
      </c>
      <c r="AM267" s="22">
        <f>SUMIF(tabParametros[Código do Posto],tabCustoUnit[[#This Row],[Código do Posto]],tabParametros[Aviso Prévio Indenizado (API) e Reflexo do Aviso Prévio Indenizado])*tabCustoUnit[[#This Row],[MODULO 1 - REMUNERAÇÃO ]]</f>
        <v>11.563212199016203</v>
      </c>
      <c r="AN267" s="22">
        <f>SUMIF(tabParametros[Código do Posto],tabCustoUnit[[#This Row],[Código do Posto]],tabParametros[Incidência do FGTS sobre API e Reflexo do API])*tabCustoUnit[[#This Row],[MODULO 1 - REMUNERAÇÃO ]]</f>
        <v>0.92505697592129632</v>
      </c>
      <c r="AO267" s="22">
        <f>SUMIF(tabParametros[Código do Posto],tabCustoUnit[[#This Row],[Código do Posto]],tabParametros[Multa Rescisória do FGTS sobre o Aviso Prévio Indenizado])*tabCustoUnit[[#This Row],[MODULO 1 - REMUNERAÇÃO ]]</f>
        <v>0.37002279036851859</v>
      </c>
      <c r="AP267" s="22">
        <f>SUMIF(tabParametros[Código do Posto],tabCustoUnit[[#This Row],[Código do Posto]],tabParametros[Aviso Prévio Trabalhado - APT])*tabCustoUnit[[#This Row],[MODULO 1 - REMUNERAÇÃO ]]</f>
        <v>5.7719035500000002</v>
      </c>
      <c r="AQ267" s="22">
        <f>SUMIF(tabParametros[Código do Posto],tabCustoUnit[[#This Row],[Código do Posto]],tabParametros[Incidência dos encargos do submódulo 2.1 sobre Aviso Prévio Trabalhado])*tabCustoUnit[[#This Row],[MODULO 1 - REMUNERAÇÃO ]]</f>
        <v>2.1817795419000006</v>
      </c>
      <c r="AR267" s="22">
        <f>SUMIF(tabParametros[Código do Posto],tabCustoUnit[[#This Row],[Código do Posto]],tabParametros[Multa Rescisória do FGTS])*tabCustoUnit[[#This Row],[MODULO 1 - REMUNERAÇÃO ]]</f>
        <v>50.426281173333322</v>
      </c>
      <c r="AS267" s="22">
        <f>SUMIF(tabParametros[Código do Posto],tabCustoUnit[[#This Row],[Código do Posto]],tabParametros[Indenização Adicional (Art. 9º da Lei nº 7.238/84)])*tabCustoUnit[[#This Row],[MODULO 1 - REMUNERAÇÃO ]]</f>
        <v>1.37426275</v>
      </c>
      <c r="AT267" s="22">
        <f>SUM(tabCustoUnit[[#This Row],[Aviso Prévio Indenizado (API) e Reflexo do Aviso Prévio Indenizado]:[Indenização Adicional (Art. 9º da Lei nº 7.238/84)]])</f>
        <v>72.612518980539335</v>
      </c>
      <c r="AU267" s="22">
        <f>SUMIF(tabParametros[Código do Posto],tabCustoUnit[[#This Row],[Código do Posto]],tabParametros[Ausência por Doença])*tabCustoUnit[[#This Row],[MODULO 1 - REMUNERAÇÃO ]]</f>
        <v>13.925862533333332</v>
      </c>
      <c r="AV267" s="22">
        <f>SUMIF(tabParametros[Código do Posto],tabCustoUnit[[#This Row],[Código do Posto]],tabParametros[Ausências Legais])*tabCustoUnit[[#This Row],[MODULO 1 - REMUNERAÇÃO ]]</f>
        <v>3.3440393583333332</v>
      </c>
      <c r="AW267" s="22">
        <f>SUMIF(tabParametros[Código do Posto],tabCustoUnit[[#This Row],[Código do Posto]],tabParametros[Licença Paternidade])*tabCustoUnit[[#This Row],[MODULO 1 - REMUNERAÇÃO ]]</f>
        <v>0.28172386374999997</v>
      </c>
      <c r="AX267" s="22">
        <f>SUMIF(tabParametros[Código do Posto],tabCustoUnit[[#This Row],[Código do Posto]],tabParametros[Ausência por Acidente de Trabalho])*tabCustoUnit[[#This Row],[MODULO 1 - REMUNERAÇÃO ]]</f>
        <v>0.34356568749999999</v>
      </c>
      <c r="AY267" s="22">
        <f>SUMIF(tabParametros[Código do Posto],tabCustoUnit[[#This Row],[Código do Posto]],tabParametros[Férias, Adicional de Férias e 13º  com empregada em gozo de Licença Maternidade])*tabCustoUnit[[#This Row],[MODULO 1 - REMUNERAÇÃO ]]</f>
        <v>2.1377420555555555</v>
      </c>
      <c r="AZ267" s="22">
        <f>SUMIF(tabParametros[Código do Posto],tabCustoUnit[[#This Row],[Código do Posto]],tabParametros[Incidência do Submódulo 2.1 sobre Ausências Legais])*tabCustoUnit[[#This Row],[MODULO 1 - REMUNERAÇÃO ]]</f>
        <v>7.572448862422501</v>
      </c>
      <c r="BA267" s="22">
        <f>SUM(tabCustoUnit[[#This Row],[Ausência por Doença]:[Incidência do Submódulo 2.1 sobre Ausências Legais]])</f>
        <v>27.605382360894719</v>
      </c>
      <c r="BB267" s="22">
        <f>SUMIF(tabParametros[Código do Posto],tabCustoUnit[[#This Row],[Código do Posto]],tabParametros[Intervalo para Repouso ou Alimentação])</f>
        <v>0</v>
      </c>
      <c r="BC267" s="22">
        <f>tabCustoUnit[[#This Row],[Intervalo para Repouso ou Alimentação]]</f>
        <v>0</v>
      </c>
      <c r="BD26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7" s="22">
        <f>tabCustoUnit[[#This Row],[Suspensão Temporária do Contrato de Trabalho]]</f>
        <v>0</v>
      </c>
      <c r="BF267" s="22">
        <f>tabCustoUnit[[#This Row],[Submódulo 4.1]]+tabCustoUnit[[#This Row],[Submódulo 4.2]]+tabCustoUnit[[#This Row],[Submódulo 4.3]]</f>
        <v>27.605382360894719</v>
      </c>
      <c r="BG267" s="22">
        <f>VLOOKUP(tabCustoUnit[[#This Row],[Código do Posto]],tabParametros[],MATCH(tabCustoUnit[[#Headers],[Uniformes e EPIs]],tabParametros[#Headers],0),0)</f>
        <v>56.141713661989918</v>
      </c>
      <c r="BH267" s="22">
        <f>VLOOKUP(tabCustoUnit[[#This Row],[Código do Posto]],tabParametros[],MATCH(tabCustoUnit[[#Headers],[Materiais de Consumo]],tabParametros[#Headers],0),0)</f>
        <v>0</v>
      </c>
      <c r="BI267" s="22">
        <f>VLOOKUP(tabCustoUnit[[#This Row],[Código do Posto]],tabParametros[],MATCH(tabCustoUnit[[#Headers],[Máquinas e Equipamentos (depreciação)]],tabParametros[#Headers],0),0)</f>
        <v>0</v>
      </c>
      <c r="BJ267" s="22">
        <f>VLOOKUP(tabCustoUnit[[#This Row],[Código do Posto]],tabParametros[],MATCH(tabCustoUnit[[#Headers],[Produtos de Limpeza e Materiais de Higiene Pessoal]],tabParametros[#Headers],0),0)</f>
        <v>0</v>
      </c>
      <c r="BK267" s="22">
        <f>VLOOKUP(tabCustoUnit[[#This Row],[Código do Posto]],tabParametros[],MATCH(tabCustoUnit[[#Headers],[Outros (especificar)]],tabParametros[#Headers],0),0)</f>
        <v>0</v>
      </c>
      <c r="BL267" s="22">
        <f>SUM(tabCustoUnit[[#This Row],[Uniformes e EPIs]:[Outros (especificar)]])</f>
        <v>56.141713661989918</v>
      </c>
      <c r="BM26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7" s="22" t="e">
        <f ca="1">VLOOKUP(tabCustoUnit[[#This Row],[Código do Posto]],tabParametros[],MATCH(tabCustoUnit[[#Headers],[Custos Indiretos]],tabParametros[#Headers],0),0)</f>
        <v>#NAME?</v>
      </c>
      <c r="BO267" s="22" t="e">
        <f ca="1">VLOOKUP(tabCustoUnit[[#This Row],[Código do Posto]],tabParametros[],MATCH(tabCustoUnit[[#Headers],[Lucro]],tabParametros[#Headers],0),0)</f>
        <v>#NAME?</v>
      </c>
      <c r="BP267" s="26">
        <f>((100/((1-tabCustoUnit[[#This Row],[Resumo de Alíquotas (PIS+CONFINS+ISS)]]))-100)*VLOOKUP(tabCustoUnit[[#This Row],[Código do Posto]],tabParametros[],MATCH(tabCustoUnit[[#Headers],[COFINS]],tabParametros[#Headers],0),0))/(tabCustoUnit[[#This Row],[Resumo de Alíquotas (PIS+CONFINS+ISS)]]*100)</f>
        <v>8.8629737609329504E-2</v>
      </c>
      <c r="BQ267" s="26">
        <f>((100/((100-(tabCustoUnit[[#This Row],[Resumo de Alíquotas (PIS+CONFINS+ISS)]]*100))%)-100)*VLOOKUP(tabCustoUnit[[#This Row],[Código do Posto]],tabParametros[],MATCH(tabCustoUnit[[#Headers],[PIS]],tabParametros[#Headers],0),0))/(tabCustoUnit[[#This Row],[Resumo de Alíquotas (PIS+CONFINS+ISS)]]*100)</f>
        <v>1.9241982507288629E-2</v>
      </c>
      <c r="BR267" s="28">
        <f>VLOOKUP(tabCustoUnit[[#This Row],[Código do Posto]],tabParametros[],MATCH(tabCustoUnit[[#Headers],[ISS]],tabParametros[#Headers],0),0)</f>
        <v>0.05</v>
      </c>
      <c r="BS267" s="26">
        <f>(((100/((100-(tabCustoUnit[[#This Row],[Resumo de Alíquotas (PIS+CONFINS+ISS)]]*100))%)-100)*tabCustoUnit[[#This Row],[ISS]])/tabCustoUnit[[#This Row],[Resumo de Alíquotas (PIS+CONFINS+ISS)]])/100</f>
        <v>5.8309037900874633E-2</v>
      </c>
      <c r="BT26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67" s="138">
        <f>tabCustoUnit[[#This Row],[COFINS]]+tabCustoUnit[[#This Row],[PIS]]+tabCustoUnit[[#This Row],[ISS (Conversão Alíquota s/ fatura)]]</f>
        <v>0.16618075801749277</v>
      </c>
      <c r="BV267" s="22" t="e">
        <f ca="1">(tabCustoUnit[[#This Row],[TOTAL MÓDULOS 1+2+3+4+5]]+tabCustoUnit[[#This Row],[Custos Indiretos]]+tabCustoUnit[[#This Row],[Lucro]])*tabCustoUnit[[#This Row],[PIS + COFINS + ISS (Total Conversão  Alíquota s/ Fatura)]]</f>
        <v>#NAME?</v>
      </c>
      <c r="BW267" s="22" t="e">
        <f ca="1">tabCustoUnit[[#This Row],[Custos Indiretos]]+tabCustoUnit[[#This Row],[Lucro]]+tabCustoUnit[[#This Row],[Valor dos Tributos (ISS, PIS, CONFINS)]]</f>
        <v>#NAME?</v>
      </c>
      <c r="BX267" s="22" t="e">
        <f ca="1">tabCustoUnit[[#This Row],[TOTAL MÓDULOS 1+2+3+4+5]]+tabCustoUnit[[#This Row],[MÓDULO 6 – CUSTOS INDIRETOS, TRIBUTOS E LUCRO]]</f>
        <v>#NAME?</v>
      </c>
      <c r="BY267" s="22" t="e">
        <f ca="1">tabCustoUnit[[#This Row],[CUSTO TOTAL MENSAL]]*12</f>
        <v>#NAME?</v>
      </c>
      <c r="BZ267" s="24">
        <f>VLOOKUP(tabCustoUnit[[#This Row],[Código do Posto]],tabParametros[],MATCH(tabCustoUnit[[#Headers],[ANO DA CCT]],tabParametros[#Headers],0),0)</f>
        <v>45658</v>
      </c>
      <c r="CA267" s="25" t="str">
        <f>VLOOKUP(tabCustoUnit[[#This Row],[Código do Posto]],tabParametros[],MATCH(tabCustoUnit[[#Headers],[Nº DE PEDIDO DA CCT]],tabParametros[#Headers],0),0)</f>
        <v>-</v>
      </c>
      <c r="CB267" s="25" t="str">
        <f>VLOOKUP(tabCustoUnit[[#This Row],[Código do Posto]],tabParametros[],MATCH(tabCustoUnit[[#Headers],[TERMO ADITIVO ALTERAÇÃO DA CCT]],tabParametros[#Headers],0),0)</f>
        <v>-</v>
      </c>
    </row>
    <row r="268" spans="1:80">
      <c r="A268" s="20" t="s">
        <v>1893</v>
      </c>
      <c r="B268" t="s">
        <v>1192</v>
      </c>
      <c r="C268" t="s">
        <v>254</v>
      </c>
      <c r="D268" t="s">
        <v>1058</v>
      </c>
      <c r="E268" s="20" t="s">
        <v>1090</v>
      </c>
      <c r="F268" s="20" t="s">
        <v>120</v>
      </c>
      <c r="G268" s="418">
        <v>2463.2934</v>
      </c>
      <c r="H268" s="418">
        <v>0</v>
      </c>
      <c r="I268" s="418">
        <v>0</v>
      </c>
      <c r="J268" s="418">
        <v>0</v>
      </c>
      <c r="K268" s="418">
        <v>0</v>
      </c>
      <c r="L268" s="418">
        <v>0</v>
      </c>
      <c r="M268" s="418">
        <v>0</v>
      </c>
      <c r="N268" s="418">
        <v>0</v>
      </c>
      <c r="O268" s="21">
        <f>SUM(tabCustoUnit[[#This Row],[Salário Base]:[Adicional de Acúmulo de função]])</f>
        <v>2463.2934</v>
      </c>
      <c r="P268" s="21">
        <f>tabCustoUnit[[#This Row],[MODULO 1 - REMUNERAÇÃO ]]*SUMIFS(tabParametros[INSS],tabParametros[Código do Posto],tabCustoUnit[[#This Row],[Código do Posto]])</f>
        <v>492.65868</v>
      </c>
      <c r="Q268" s="21">
        <f>tabCustoUnit[[#This Row],[MODULO 1 - REMUNERAÇÃO ]]*SUMIFS(tabParametros[SESI OU SESC],tabParametros[Código do Posto],tabCustoUnit[[#This Row],[Código do Posto]])</f>
        <v>36.949401000000002</v>
      </c>
      <c r="R268" s="21">
        <f>tabCustoUnit[[#This Row],[MODULO 1 - REMUNERAÇÃO ]]*SUMIFS(tabParametros[SENAI OU SENAC],tabParametros[Código do Posto],tabCustoUnit[[#This Row],[Código do Posto]])</f>
        <v>24.632934000000002</v>
      </c>
      <c r="S268" s="21">
        <f>tabCustoUnit[[#This Row],[MODULO 1 - REMUNERAÇÃO ]]*SUMIFS(tabParametros[INCRA],tabParametros[Código do Posto],tabCustoUnit[[#This Row],[Código do Posto]])</f>
        <v>4.9265867999999999</v>
      </c>
      <c r="T268" s="21">
        <f>tabCustoUnit[[#This Row],[MODULO 1 - REMUNERAÇÃO ]]*SUMIFS(tabParametros[Salário Educação],tabParametros[Código do Posto],tabCustoUnit[[#This Row],[Código do Posto]])</f>
        <v>61.582335</v>
      </c>
      <c r="U268" s="21">
        <f>tabCustoUnit[[#This Row],[MODULO 1 - REMUNERAÇÃO ]]*SUMIFS(tabParametros[FGTS],tabParametros[Código do Posto],tabCustoUnit[[#This Row],[Código do Posto]])</f>
        <v>197.06347200000002</v>
      </c>
      <c r="V268" s="21">
        <f>tabCustoUnit[[#This Row],[MODULO 1 - REMUNERAÇÃO ]]*SUMIFS(tabParametros[RAT Ajustado],tabParametros[Código do Posto],tabCustoUnit[[#This Row],[Código do Posto]])</f>
        <v>98.531736000000009</v>
      </c>
      <c r="W268" s="21">
        <f>tabCustoUnit[[#This Row],[MODULO 1 - REMUNERAÇÃO ]]*SUMIFS(tabParametros[SEBRAE],tabParametros[Código do Posto],tabCustoUnit[[#This Row],[Código do Posto]])</f>
        <v>14.779760400000001</v>
      </c>
      <c r="X268" s="21">
        <f>SUM(tabCustoUnit[[#This Row],[INSS]:[SEBRAE]])</f>
        <v>931.12490519999994</v>
      </c>
      <c r="Y268" s="21">
        <f>tabCustoUnit[[#This Row],[MODULO 1 - REMUNERAÇÃO ]]*SUMIFS(tabParametros[13º salário (titular)],tabParametros[Código do Posto],tabCustoUnit[[#This Row],[Código do Posto]])</f>
        <v>205.27445</v>
      </c>
      <c r="Z268" s="21">
        <f>tabCustoUnit[[#This Row],[MODULO 1 - REMUNERAÇÃO ]]*SUMIFS(tabParametros[Férias e Adicional de Férias (titular)],tabParametros[Código do Posto],tabCustoUnit[[#This Row],[Código do Posto]])</f>
        <v>273.69926666666663</v>
      </c>
      <c r="AA268" s="21">
        <f>IFERROR((tabCustoUnit[[#This Row],[Submódulo 2.1]]/tabCustoUnit[[#This Row],[MODULO 1 - REMUNERAÇÃO ]])*SUM(tabCustoUnit[[#This Row],[13º salário (titular)]:[Férias e Adicional de Férias (titular)]]),0)</f>
        <v>181.05206489999995</v>
      </c>
      <c r="AB268" s="21">
        <f>SUM(tabCustoUnit[[#This Row],[13º salário (titular)]:[Incidência do Submódulo 2.1 sobre 13º Salário, Férias e Adicional de Férias]])</f>
        <v>660.02578156666664</v>
      </c>
      <c r="AC268" s="22" t="e">
        <f ca="1">_xlfn.LET(_xlpm.VT,SUMIF(tabParametros[Código do Posto],tabCustoUnit[[#This Row],[Código do Posto]],tabParametros[Vale - Transporte])*2*20,
IF((_xlpm.VT-tabCustoUnit[[#This Row],[Salário Base]]*0.06)&gt;=0,(_xlpm.VT-tabCustoUnit[[#This Row],[Salário Base]]*0.06),0)
)</f>
        <v>#NAME?</v>
      </c>
      <c r="AD268" s="22">
        <f>IF(SUMIF(tabParametros[Código do Posto],tabCustoUnit[[#This Row],[Código do Posto]],tabParametros[Vale - Alimentação])&lt;=0,0,
SUMIF(tabParametros[Código do Posto],tabCustoUnit[[#This Row],[Código do Posto]],tabParametros[Vale - Alimentação])*20-1)</f>
        <v>582</v>
      </c>
      <c r="AE268" s="22">
        <f>SUMIF(tabParametros[Código do Posto],tabCustoUnit[[#This Row],[Código do Posto]],tabParametros[Cesta Básica])</f>
        <v>0</v>
      </c>
      <c r="AF268" s="22">
        <f>SUMIF(tabParametros[Código do Posto],tabCustoUnit[[#This Row],[Código do Posto]],tabParametros[PAF])</f>
        <v>77.25</v>
      </c>
      <c r="AG268" s="22">
        <f>SUMIF(tabParametros[Código do Posto],tabCustoUnit[[#This Row],[Código do Posto]],tabParametros[PQM])</f>
        <v>0</v>
      </c>
      <c r="AH268" s="22">
        <f>SUMIF(tabParametros[Código do Posto],tabCustoUnit[[#This Row],[Código do Posto]],tabParametros[Abono Único e Especial])</f>
        <v>0</v>
      </c>
      <c r="AI268" s="22">
        <f>SUMIF(tabParametros[Código do Posto],tabCustoUnit[[#This Row],[Código do Posto]],tabParametros[Seguro de Vida])</f>
        <v>3.36</v>
      </c>
      <c r="AJ268" s="22">
        <f>SUMIF(tabParametros[Código do Posto],tabCustoUnit[[#This Row],[Código do Posto]],tabParametros[Despesas de Viagem])</f>
        <v>0</v>
      </c>
      <c r="AK268" s="22" t="e">
        <f ca="1">SUM(tabCustoUnit[[#This Row],[Vale - Transporte (Descontada parcela do empregado)]:[Despesas de Viagem]])</f>
        <v>#NAME?</v>
      </c>
      <c r="AL268" s="22" t="e">
        <f ca="1">tabCustoUnit[[#This Row],[Submódulo 2.1]]+tabCustoUnit[[#This Row],[Submódulo 2.2]]+tabCustoUnit[[#This Row],[Submódulo 2.3]]</f>
        <v>#NAME?</v>
      </c>
      <c r="AM268" s="22">
        <f>SUMIF(tabParametros[Código do Posto],tabCustoUnit[[#This Row],[Código do Posto]],tabParametros[Aviso Prévio Indenizado (API) e Reflexo do Aviso Prévio Indenizado])*tabCustoUnit[[#This Row],[MODULO 1 - REMUNERAÇÃO ]]</f>
        <v>17.272039312615743</v>
      </c>
      <c r="AN268" s="22">
        <f>SUMIF(tabParametros[Código do Posto],tabCustoUnit[[#This Row],[Código do Posto]],tabParametros[Incidência do FGTS sobre API e Reflexo do API])*tabCustoUnit[[#This Row],[MODULO 1 - REMUNERAÇÃO ]]</f>
        <v>1.3817631450092593</v>
      </c>
      <c r="AO268" s="22">
        <f>SUMIF(tabParametros[Código do Posto],tabCustoUnit[[#This Row],[Código do Posto]],tabParametros[Multa Rescisória do FGTS sobre o Aviso Prévio Indenizado])*tabCustoUnit[[#This Row],[MODULO 1 - REMUNERAÇÃO ]]</f>
        <v>0.55270525800370385</v>
      </c>
      <c r="AP268" s="22">
        <f>SUMIF(tabParametros[Código do Posto],tabCustoUnit[[#This Row],[Código do Posto]],tabParametros[Aviso Prévio Trabalhado - APT])*tabCustoUnit[[#This Row],[MODULO 1 - REMUNERAÇÃO ]]</f>
        <v>8.621526900000001</v>
      </c>
      <c r="AQ268" s="22">
        <f>SUMIF(tabParametros[Código do Posto],tabCustoUnit[[#This Row],[Código do Posto]],tabParametros[Incidência dos encargos do submódulo 2.1 sobre Aviso Prévio Trabalhado])*tabCustoUnit[[#This Row],[MODULO 1 - REMUNERAÇÃO ]]</f>
        <v>3.258937168200001</v>
      </c>
      <c r="AR268" s="22">
        <f>SUMIF(tabParametros[Código do Posto],tabCustoUnit[[#This Row],[Código do Posto]],tabParametros[Multa Rescisória do FGTS])*tabCustoUnit[[#This Row],[MODULO 1 - REMUNERAÇÃO ]]</f>
        <v>75.32203818666666</v>
      </c>
      <c r="AS268" s="22">
        <f>SUMIF(tabParametros[Código do Posto],tabCustoUnit[[#This Row],[Código do Posto]],tabParametros[Indenização Adicional (Art. 9º da Lei nº 7.238/84)])*tabCustoUnit[[#This Row],[MODULO 1 - REMUNERAÇÃO ]]</f>
        <v>2.0527445000000002</v>
      </c>
      <c r="AT268" s="22">
        <f>SUM(tabCustoUnit[[#This Row],[Aviso Prévio Indenizado (API) e Reflexo do Aviso Prévio Indenizado]:[Indenização Adicional (Art. 9º da Lei nº 7.238/84)]])</f>
        <v>108.46175447049536</v>
      </c>
      <c r="AU268" s="22">
        <f>SUMIF(tabParametros[Código do Posto],tabCustoUnit[[#This Row],[Código do Posto]],tabParametros[Ausência por Doença])*tabCustoUnit[[#This Row],[MODULO 1 - REMUNERAÇÃO ]]</f>
        <v>20.801144266666665</v>
      </c>
      <c r="AV268" s="22">
        <f>SUMIF(tabParametros[Código do Posto],tabCustoUnit[[#This Row],[Código do Posto]],tabParametros[Ausências Legais])*tabCustoUnit[[#This Row],[MODULO 1 - REMUNERAÇÃO ]]</f>
        <v>4.995011616666666</v>
      </c>
      <c r="AW268" s="22">
        <f>SUMIF(tabParametros[Código do Posto],tabCustoUnit[[#This Row],[Código do Posto]],tabParametros[Licença Paternidade])*tabCustoUnit[[#This Row],[MODULO 1 - REMUNERAÇÃO ]]</f>
        <v>0.42081262250000001</v>
      </c>
      <c r="AX268" s="22">
        <f>SUMIF(tabParametros[Código do Posto],tabCustoUnit[[#This Row],[Código do Posto]],tabParametros[Ausência por Acidente de Trabalho])*tabCustoUnit[[#This Row],[MODULO 1 - REMUNERAÇÃO ]]</f>
        <v>0.51318612500000005</v>
      </c>
      <c r="AY268" s="22">
        <f>SUMIF(tabParametros[Código do Posto],tabCustoUnit[[#This Row],[Código do Posto]],tabParametros[Férias, Adicional de Férias e 13º  com empregada em gozo de Licença Maternidade])*tabCustoUnit[[#This Row],[MODULO 1 - REMUNERAÇÃO ]]</f>
        <v>3.1931581111111109</v>
      </c>
      <c r="AZ268" s="22">
        <f>SUMIF(tabParametros[Código do Posto],tabCustoUnit[[#This Row],[Código do Posto]],tabParametros[Incidência do Submódulo 2.1 sobre Ausências Legais])*tabCustoUnit[[#This Row],[MODULO 1 - REMUNERAÇÃO ]]</f>
        <v>11.311012216455001</v>
      </c>
      <c r="BA268" s="22">
        <f>SUM(tabCustoUnit[[#This Row],[Ausência por Doença]:[Incidência do Submódulo 2.1 sobre Ausências Legais]])</f>
        <v>41.234324958399441</v>
      </c>
      <c r="BB268" s="22">
        <f>SUMIF(tabParametros[Código do Posto],tabCustoUnit[[#This Row],[Código do Posto]],tabParametros[Intervalo para Repouso ou Alimentação])</f>
        <v>0</v>
      </c>
      <c r="BC268" s="22">
        <f>tabCustoUnit[[#This Row],[Intervalo para Repouso ou Alimentação]]</f>
        <v>0</v>
      </c>
      <c r="BD26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8" s="22">
        <f>tabCustoUnit[[#This Row],[Suspensão Temporária do Contrato de Trabalho]]</f>
        <v>0</v>
      </c>
      <c r="BF268" s="22">
        <f>tabCustoUnit[[#This Row],[Submódulo 4.1]]+tabCustoUnit[[#This Row],[Submódulo 4.2]]+tabCustoUnit[[#This Row],[Submódulo 4.3]]</f>
        <v>41.234324958399441</v>
      </c>
      <c r="BG268" s="22">
        <f>VLOOKUP(tabCustoUnit[[#This Row],[Código do Posto]],tabParametros[],MATCH(tabCustoUnit[[#Headers],[Uniformes e EPIs]],tabParametros[#Headers],0),0)</f>
        <v>98.712455192002366</v>
      </c>
      <c r="BH268" s="22">
        <f>VLOOKUP(tabCustoUnit[[#This Row],[Código do Posto]],tabParametros[],MATCH(tabCustoUnit[[#Headers],[Materiais de Consumo]],tabParametros[#Headers],0),0)</f>
        <v>0</v>
      </c>
      <c r="BI268" s="22">
        <f>VLOOKUP(tabCustoUnit[[#This Row],[Código do Posto]],tabParametros[],MATCH(tabCustoUnit[[#Headers],[Máquinas e Equipamentos (depreciação)]],tabParametros[#Headers],0),0)</f>
        <v>0</v>
      </c>
      <c r="BJ268" s="22">
        <f>VLOOKUP(tabCustoUnit[[#This Row],[Código do Posto]],tabParametros[],MATCH(tabCustoUnit[[#Headers],[Produtos de Limpeza e Materiais de Higiene Pessoal]],tabParametros[#Headers],0),0)</f>
        <v>0</v>
      </c>
      <c r="BK268" s="22">
        <f>VLOOKUP(tabCustoUnit[[#This Row],[Código do Posto]],tabParametros[],MATCH(tabCustoUnit[[#Headers],[Outros (especificar)]],tabParametros[#Headers],0),0)</f>
        <v>0</v>
      </c>
      <c r="BL268" s="22">
        <f>SUM(tabCustoUnit[[#This Row],[Uniformes e EPIs]:[Outros (especificar)]])</f>
        <v>98.712455192002366</v>
      </c>
      <c r="BM26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8" s="22" t="e">
        <f ca="1">VLOOKUP(tabCustoUnit[[#This Row],[Código do Posto]],tabParametros[],MATCH(tabCustoUnit[[#Headers],[Custos Indiretos]],tabParametros[#Headers],0),0)</f>
        <v>#NAME?</v>
      </c>
      <c r="BO268" s="22" t="e">
        <f ca="1">VLOOKUP(tabCustoUnit[[#This Row],[Código do Posto]],tabParametros[],MATCH(tabCustoUnit[[#Headers],[Lucro]],tabParametros[#Headers],0),0)</f>
        <v>#NAME?</v>
      </c>
      <c r="BP268" s="26">
        <f>((100/((1-tabCustoUnit[[#This Row],[Resumo de Alíquotas (PIS+CONFINS+ISS)]]))-100)*VLOOKUP(tabCustoUnit[[#This Row],[Código do Posto]],tabParametros[],MATCH(tabCustoUnit[[#Headers],[COFINS]],tabParametros[#Headers],0),0))/(tabCustoUnit[[#This Row],[Resumo de Alíquotas (PIS+CONFINS+ISS)]]*100)</f>
        <v>8.8629737609329504E-2</v>
      </c>
      <c r="BQ268" s="26">
        <f>((100/((100-(tabCustoUnit[[#This Row],[Resumo de Alíquotas (PIS+CONFINS+ISS)]]*100))%)-100)*VLOOKUP(tabCustoUnit[[#This Row],[Código do Posto]],tabParametros[],MATCH(tabCustoUnit[[#Headers],[PIS]],tabParametros[#Headers],0),0))/(tabCustoUnit[[#This Row],[Resumo de Alíquotas (PIS+CONFINS+ISS)]]*100)</f>
        <v>1.9241982507288629E-2</v>
      </c>
      <c r="BR268" s="28">
        <f>VLOOKUP(tabCustoUnit[[#This Row],[Código do Posto]],tabParametros[],MATCH(tabCustoUnit[[#Headers],[ISS]],tabParametros[#Headers],0),0)</f>
        <v>0.05</v>
      </c>
      <c r="BS268" s="26">
        <f>(((100/((100-(tabCustoUnit[[#This Row],[Resumo de Alíquotas (PIS+CONFINS+ISS)]]*100))%)-100)*tabCustoUnit[[#This Row],[ISS]])/tabCustoUnit[[#This Row],[Resumo de Alíquotas (PIS+CONFINS+ISS)]])/100</f>
        <v>5.8309037900874633E-2</v>
      </c>
      <c r="BT26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68" s="138">
        <f>tabCustoUnit[[#This Row],[COFINS]]+tabCustoUnit[[#This Row],[PIS]]+tabCustoUnit[[#This Row],[ISS (Conversão Alíquota s/ fatura)]]</f>
        <v>0.16618075801749277</v>
      </c>
      <c r="BV268" s="22" t="e">
        <f ca="1">(tabCustoUnit[[#This Row],[TOTAL MÓDULOS 1+2+3+4+5]]+tabCustoUnit[[#This Row],[Custos Indiretos]]+tabCustoUnit[[#This Row],[Lucro]])*tabCustoUnit[[#This Row],[PIS + COFINS + ISS (Total Conversão  Alíquota s/ Fatura)]]</f>
        <v>#NAME?</v>
      </c>
      <c r="BW268" s="22" t="e">
        <f ca="1">tabCustoUnit[[#This Row],[Custos Indiretos]]+tabCustoUnit[[#This Row],[Lucro]]+tabCustoUnit[[#This Row],[Valor dos Tributos (ISS, PIS, CONFINS)]]</f>
        <v>#NAME?</v>
      </c>
      <c r="BX268" s="22" t="e">
        <f ca="1">tabCustoUnit[[#This Row],[TOTAL MÓDULOS 1+2+3+4+5]]+tabCustoUnit[[#This Row],[MÓDULO 6 – CUSTOS INDIRETOS, TRIBUTOS E LUCRO]]</f>
        <v>#NAME?</v>
      </c>
      <c r="BY268" s="22" t="e">
        <f ca="1">tabCustoUnit[[#This Row],[CUSTO TOTAL MENSAL]]*12</f>
        <v>#NAME?</v>
      </c>
      <c r="BZ268" s="24">
        <f>VLOOKUP(tabCustoUnit[[#This Row],[Código do Posto]],tabParametros[],MATCH(tabCustoUnit[[#Headers],[ANO DA CCT]],tabParametros[#Headers],0),0)</f>
        <v>45658</v>
      </c>
      <c r="CA268" s="25" t="str">
        <f>VLOOKUP(tabCustoUnit[[#This Row],[Código do Posto]],tabParametros[],MATCH(tabCustoUnit[[#Headers],[Nº DE PEDIDO DA CCT]],tabParametros[#Headers],0),0)</f>
        <v>-</v>
      </c>
      <c r="CB268" s="25" t="str">
        <f>VLOOKUP(tabCustoUnit[[#This Row],[Código do Posto]],tabParametros[],MATCH(tabCustoUnit[[#Headers],[TERMO ADITIVO ALTERAÇÃO DA CCT]],tabParametros[#Headers],0),0)</f>
        <v>-</v>
      </c>
    </row>
    <row r="269" spans="1:80">
      <c r="A269" s="20" t="s">
        <v>1687</v>
      </c>
      <c r="B269" t="s">
        <v>1192</v>
      </c>
      <c r="C269" t="s">
        <v>274</v>
      </c>
      <c r="D269" t="s">
        <v>1014</v>
      </c>
      <c r="E269" s="20" t="s">
        <v>1090</v>
      </c>
      <c r="F269" s="20" t="s">
        <v>120</v>
      </c>
      <c r="G269" s="418">
        <v>4465.6282000000001</v>
      </c>
      <c r="H269" s="418">
        <v>0</v>
      </c>
      <c r="I269" s="418">
        <v>0</v>
      </c>
      <c r="J269" s="418">
        <v>0</v>
      </c>
      <c r="K269" s="418">
        <v>0</v>
      </c>
      <c r="L269" s="418">
        <v>0</v>
      </c>
      <c r="M269" s="418">
        <v>0</v>
      </c>
      <c r="N269" s="418">
        <v>0</v>
      </c>
      <c r="O269" s="21">
        <f>SUM(tabCustoUnit[[#This Row],[Salário Base]:[Adicional de Acúmulo de função]])</f>
        <v>4465.6282000000001</v>
      </c>
      <c r="P269" s="21">
        <f>tabCustoUnit[[#This Row],[MODULO 1 - REMUNERAÇÃO ]]*SUMIFS(tabParametros[INSS],tabParametros[Código do Posto],tabCustoUnit[[#This Row],[Código do Posto]])</f>
        <v>893.12564000000009</v>
      </c>
      <c r="Q269" s="21">
        <f>tabCustoUnit[[#This Row],[MODULO 1 - REMUNERAÇÃO ]]*SUMIFS(tabParametros[SESI OU SESC],tabParametros[Código do Posto],tabCustoUnit[[#This Row],[Código do Posto]])</f>
        <v>66.984422999999992</v>
      </c>
      <c r="R269" s="21">
        <f>tabCustoUnit[[#This Row],[MODULO 1 - REMUNERAÇÃO ]]*SUMIFS(tabParametros[SENAI OU SENAC],tabParametros[Código do Posto],tabCustoUnit[[#This Row],[Código do Posto]])</f>
        <v>44.656282000000004</v>
      </c>
      <c r="S269" s="21">
        <f>tabCustoUnit[[#This Row],[MODULO 1 - REMUNERAÇÃO ]]*SUMIFS(tabParametros[INCRA],tabParametros[Código do Posto],tabCustoUnit[[#This Row],[Código do Posto]])</f>
        <v>8.9312564000000005</v>
      </c>
      <c r="T269" s="21">
        <f>tabCustoUnit[[#This Row],[MODULO 1 - REMUNERAÇÃO ]]*SUMIFS(tabParametros[Salário Educação],tabParametros[Código do Posto],tabCustoUnit[[#This Row],[Código do Posto]])</f>
        <v>111.64070500000001</v>
      </c>
      <c r="U269" s="21">
        <f>tabCustoUnit[[#This Row],[MODULO 1 - REMUNERAÇÃO ]]*SUMIFS(tabParametros[FGTS],tabParametros[Código do Posto],tabCustoUnit[[#This Row],[Código do Posto]])</f>
        <v>357.25025600000004</v>
      </c>
      <c r="V269" s="21">
        <f>tabCustoUnit[[#This Row],[MODULO 1 - REMUNERAÇÃO ]]*SUMIFS(tabParametros[RAT Ajustado],tabParametros[Código do Posto],tabCustoUnit[[#This Row],[Código do Posto]])</f>
        <v>178.62512800000002</v>
      </c>
      <c r="W269" s="21">
        <f>tabCustoUnit[[#This Row],[MODULO 1 - REMUNERAÇÃO ]]*SUMIFS(tabParametros[SEBRAE],tabParametros[Código do Posto],tabCustoUnit[[#This Row],[Código do Posto]])</f>
        <v>26.7937692</v>
      </c>
      <c r="X269" s="21">
        <f>SUM(tabCustoUnit[[#This Row],[INSS]:[SEBRAE]])</f>
        <v>1688.0074596000004</v>
      </c>
      <c r="Y269" s="21">
        <f>tabCustoUnit[[#This Row],[MODULO 1 - REMUNERAÇÃO ]]*SUMIFS(tabParametros[13º salário (titular)],tabParametros[Código do Posto],tabCustoUnit[[#This Row],[Código do Posto]])</f>
        <v>372.1356833333333</v>
      </c>
      <c r="Z269" s="21">
        <f>tabCustoUnit[[#This Row],[MODULO 1 - REMUNERAÇÃO ]]*SUMIFS(tabParametros[Férias e Adicional de Férias (titular)],tabParametros[Código do Posto],tabCustoUnit[[#This Row],[Código do Posto]])</f>
        <v>496.18091111111107</v>
      </c>
      <c r="AA269" s="21">
        <f>IFERROR((tabCustoUnit[[#This Row],[Submódulo 2.1]]/tabCustoUnit[[#This Row],[MODULO 1 - REMUNERAÇÃO ]])*SUM(tabCustoUnit[[#This Row],[13º salário (titular)]:[Férias e Adicional de Férias (titular)]]),0)</f>
        <v>328.22367270000001</v>
      </c>
      <c r="AB269" s="21">
        <f>SUM(tabCustoUnit[[#This Row],[13º salário (titular)]:[Incidência do Submódulo 2.1 sobre 13º Salário, Férias e Adicional de Férias]])</f>
        <v>1196.5402671444444</v>
      </c>
      <c r="AC269" s="22" t="e">
        <f ca="1">_xlfn.LET(_xlpm.VT,SUMIF(tabParametros[Código do Posto],tabCustoUnit[[#This Row],[Código do Posto]],tabParametros[Vale - Transporte])*2*20,
IF((_xlpm.VT-tabCustoUnit[[#This Row],[Salário Base]]*0.06)&gt;=0,(_xlpm.VT-tabCustoUnit[[#This Row],[Salário Base]]*0.06),0)
)</f>
        <v>#NAME?</v>
      </c>
      <c r="AD269" s="22">
        <f>IF(SUMIF(tabParametros[Código do Posto],tabCustoUnit[[#This Row],[Código do Posto]],tabParametros[Vale - Alimentação])&lt;=0,0,
SUMIF(tabParametros[Código do Posto],tabCustoUnit[[#This Row],[Código do Posto]],tabParametros[Vale - Alimentação])*20-1)</f>
        <v>578.4</v>
      </c>
      <c r="AE269" s="22">
        <f>SUMIF(tabParametros[Código do Posto],tabCustoUnit[[#This Row],[Código do Posto]],tabParametros[Cesta Básica])</f>
        <v>0</v>
      </c>
      <c r="AF269" s="22">
        <f>SUMIF(tabParametros[Código do Posto],tabCustoUnit[[#This Row],[Código do Posto]],tabParametros[PAF])</f>
        <v>22.52</v>
      </c>
      <c r="AG269" s="22">
        <f>SUMIF(tabParametros[Código do Posto],tabCustoUnit[[#This Row],[Código do Posto]],tabParametros[PQM])</f>
        <v>0</v>
      </c>
      <c r="AH269" s="22">
        <f>SUMIF(tabParametros[Código do Posto],tabCustoUnit[[#This Row],[Código do Posto]],tabParametros[Abono Único e Especial])</f>
        <v>0</v>
      </c>
      <c r="AI269" s="22">
        <f>SUMIF(tabParametros[Código do Posto],tabCustoUnit[[#This Row],[Código do Posto]],tabParametros[Seguro de Vida])</f>
        <v>3.36</v>
      </c>
      <c r="AJ269" s="22">
        <f>SUMIF(tabParametros[Código do Posto],tabCustoUnit[[#This Row],[Código do Posto]],tabParametros[Despesas de Viagem])</f>
        <v>662.42</v>
      </c>
      <c r="AK269" s="22" t="e">
        <f ca="1">SUM(tabCustoUnit[[#This Row],[Vale - Transporte (Descontada parcela do empregado)]:[Despesas de Viagem]])</f>
        <v>#NAME?</v>
      </c>
      <c r="AL269" s="22" t="e">
        <f ca="1">tabCustoUnit[[#This Row],[Submódulo 2.1]]+tabCustoUnit[[#This Row],[Submódulo 2.2]]+tabCustoUnit[[#This Row],[Submódulo 2.3]]</f>
        <v>#NAME?</v>
      </c>
      <c r="AM269" s="22">
        <f>SUMIF(tabParametros[Código do Posto],tabCustoUnit[[#This Row],[Código do Posto]],tabParametros[Aviso Prévio Indenizado (API) e Reflexo do Aviso Prévio Indenizado])*tabCustoUnit[[#This Row],[MODULO 1 - REMUNERAÇÃO ]]</f>
        <v>31.311944336766977</v>
      </c>
      <c r="AN269" s="22">
        <f>SUMIF(tabParametros[Código do Posto],tabCustoUnit[[#This Row],[Código do Posto]],tabParametros[Incidência do FGTS sobre API e Reflexo do API])*tabCustoUnit[[#This Row],[MODULO 1 - REMUNERAÇÃO ]]</f>
        <v>2.5049555469413582</v>
      </c>
      <c r="AO269" s="22">
        <f>SUMIF(tabParametros[Código do Posto],tabCustoUnit[[#This Row],[Código do Posto]],tabParametros[Multa Rescisória do FGTS sobre o Aviso Prévio Indenizado])*tabCustoUnit[[#This Row],[MODULO 1 - REMUNERAÇÃO ]]</f>
        <v>1.0019822187765435</v>
      </c>
      <c r="AP269" s="22">
        <f>SUMIF(tabParametros[Código do Posto],tabCustoUnit[[#This Row],[Código do Posto]],tabParametros[Aviso Prévio Trabalhado - APT])*tabCustoUnit[[#This Row],[MODULO 1 - REMUNERAÇÃO ]]</f>
        <v>15.629698700000002</v>
      </c>
      <c r="AQ269" s="22">
        <f>SUMIF(tabParametros[Código do Posto],tabCustoUnit[[#This Row],[Código do Posto]],tabParametros[Incidência dos encargos do submódulo 2.1 sobre Aviso Prévio Trabalhado])*tabCustoUnit[[#This Row],[MODULO 1 - REMUNERAÇÃO ]]</f>
        <v>5.9080261086000023</v>
      </c>
      <c r="AR269" s="22">
        <f>SUMIF(tabParametros[Código do Posto],tabCustoUnit[[#This Row],[Código do Posto]],tabParametros[Multa Rescisória do FGTS])*tabCustoUnit[[#This Row],[MODULO 1 - REMUNERAÇÃO ]]</f>
        <v>136.54898673777777</v>
      </c>
      <c r="AS269" s="22">
        <f>SUMIF(tabParametros[Código do Posto],tabCustoUnit[[#This Row],[Código do Posto]],tabParametros[Indenização Adicional (Art. 9º da Lei nº 7.238/84)])*tabCustoUnit[[#This Row],[MODULO 1 - REMUNERAÇÃO ]]</f>
        <v>3.7213568333333336</v>
      </c>
      <c r="AT269" s="22">
        <f>SUM(tabCustoUnit[[#This Row],[Aviso Prévio Indenizado (API) e Reflexo do Aviso Prévio Indenizado]:[Indenização Adicional (Art. 9º da Lei nº 7.238/84)]])</f>
        <v>196.62695048219601</v>
      </c>
      <c r="AU269" s="22">
        <f>SUMIF(tabParametros[Código do Posto],tabCustoUnit[[#This Row],[Código do Posto]],tabParametros[Ausência por Doença])*tabCustoUnit[[#This Row],[MODULO 1 - REMUNERAÇÃO ]]</f>
        <v>37.709749244444438</v>
      </c>
      <c r="AV269" s="22">
        <f>SUMIF(tabParametros[Código do Posto],tabCustoUnit[[#This Row],[Código do Posto]],tabParametros[Ausências Legais])*tabCustoUnit[[#This Row],[MODULO 1 - REMUNERAÇÃO ]]</f>
        <v>9.0553016277777783</v>
      </c>
      <c r="AW269" s="22">
        <f>SUMIF(tabParametros[Código do Posto],tabCustoUnit[[#This Row],[Código do Posto]],tabParametros[Licença Paternidade])*tabCustoUnit[[#This Row],[MODULO 1 - REMUNERAÇÃO ]]</f>
        <v>0.76287815083333332</v>
      </c>
      <c r="AX269" s="22">
        <f>SUMIF(tabParametros[Código do Posto],tabCustoUnit[[#This Row],[Código do Posto]],tabParametros[Ausência por Acidente de Trabalho])*tabCustoUnit[[#This Row],[MODULO 1 - REMUNERAÇÃO ]]</f>
        <v>0.93033920833333339</v>
      </c>
      <c r="AY269" s="22">
        <f>SUMIF(tabParametros[Código do Posto],tabCustoUnit[[#This Row],[Código do Posto]],tabParametros[Férias, Adicional de Férias e 13º  com empregada em gozo de Licença Maternidade])*tabCustoUnit[[#This Row],[MODULO 1 - REMUNERAÇÃO ]]</f>
        <v>5.7887772962962964</v>
      </c>
      <c r="AZ269" s="22">
        <f>SUMIF(tabParametros[Código do Posto],tabCustoUnit[[#This Row],[Código do Posto]],tabParametros[Incidência do Submódulo 2.1 sobre Ausências Legais])*tabCustoUnit[[#This Row],[MODULO 1 - REMUNERAÇÃO ]]</f>
        <v>20.505383209465005</v>
      </c>
      <c r="BA269" s="22">
        <f>SUM(tabCustoUnit[[#This Row],[Ausência por Doença]:[Incidência do Submódulo 2.1 sobre Ausências Legais]])</f>
        <v>74.752428737150183</v>
      </c>
      <c r="BB269" s="22">
        <f>SUMIF(tabParametros[Código do Posto],tabCustoUnit[[#This Row],[Código do Posto]],tabParametros[Intervalo para Repouso ou Alimentação])</f>
        <v>0</v>
      </c>
      <c r="BC269" s="22">
        <f>tabCustoUnit[[#This Row],[Intervalo para Repouso ou Alimentação]]</f>
        <v>0</v>
      </c>
      <c r="BD26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69" s="22">
        <f>tabCustoUnit[[#This Row],[Suspensão Temporária do Contrato de Trabalho]]</f>
        <v>0</v>
      </c>
      <c r="BF269" s="22">
        <f>tabCustoUnit[[#This Row],[Submódulo 4.1]]+tabCustoUnit[[#This Row],[Submódulo 4.2]]+tabCustoUnit[[#This Row],[Submódulo 4.3]]</f>
        <v>74.752428737150183</v>
      </c>
      <c r="BG269" s="22">
        <f>VLOOKUP(tabCustoUnit[[#This Row],[Código do Posto]],tabParametros[],MATCH(tabCustoUnit[[#Headers],[Uniformes e EPIs]],tabParametros[#Headers],0),0)</f>
        <v>92.100763771570698</v>
      </c>
      <c r="BH269" s="22">
        <f>VLOOKUP(tabCustoUnit[[#This Row],[Código do Posto]],tabParametros[],MATCH(tabCustoUnit[[#Headers],[Materiais de Consumo]],tabParametros[#Headers],0),0)</f>
        <v>0</v>
      </c>
      <c r="BI269" s="22">
        <f>VLOOKUP(tabCustoUnit[[#This Row],[Código do Posto]],tabParametros[],MATCH(tabCustoUnit[[#Headers],[Máquinas e Equipamentos (depreciação)]],tabParametros[#Headers],0),0)</f>
        <v>0</v>
      </c>
      <c r="BJ269" s="22">
        <f>VLOOKUP(tabCustoUnit[[#This Row],[Código do Posto]],tabParametros[],MATCH(tabCustoUnit[[#Headers],[Produtos de Limpeza e Materiais de Higiene Pessoal]],tabParametros[#Headers],0),0)</f>
        <v>0</v>
      </c>
      <c r="BK269" s="22">
        <f>VLOOKUP(tabCustoUnit[[#This Row],[Código do Posto]],tabParametros[],MATCH(tabCustoUnit[[#Headers],[Outros (especificar)]],tabParametros[#Headers],0),0)</f>
        <v>0</v>
      </c>
      <c r="BL269" s="22">
        <f>SUM(tabCustoUnit[[#This Row],[Uniformes e EPIs]:[Outros (especificar)]])</f>
        <v>92.100763771570698</v>
      </c>
      <c r="BM26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69" s="22" t="e">
        <f ca="1">VLOOKUP(tabCustoUnit[[#This Row],[Código do Posto]],tabParametros[],MATCH(tabCustoUnit[[#Headers],[Custos Indiretos]],tabParametros[#Headers],0),0)</f>
        <v>#NAME?</v>
      </c>
      <c r="BO269" s="22" t="e">
        <f ca="1">VLOOKUP(tabCustoUnit[[#This Row],[Código do Posto]],tabParametros[],MATCH(tabCustoUnit[[#Headers],[Lucro]],tabParametros[#Headers],0),0)</f>
        <v>#NAME?</v>
      </c>
      <c r="BP269" s="26">
        <f>((100/((1-tabCustoUnit[[#This Row],[Resumo de Alíquotas (PIS+CONFINS+ISS)]]))-100)*VLOOKUP(tabCustoUnit[[#This Row],[Código do Posto]],tabParametros[],MATCH(tabCustoUnit[[#Headers],[COFINS]],tabParametros[#Headers],0),0))/(tabCustoUnit[[#This Row],[Resumo de Alíquotas (PIS+CONFINS+ISS)]]*100)</f>
        <v>8.8629737609329504E-2</v>
      </c>
      <c r="BQ269" s="26">
        <f>((100/((100-(tabCustoUnit[[#This Row],[Resumo de Alíquotas (PIS+CONFINS+ISS)]]*100))%)-100)*VLOOKUP(tabCustoUnit[[#This Row],[Código do Posto]],tabParametros[],MATCH(tabCustoUnit[[#Headers],[PIS]],tabParametros[#Headers],0),0))/(tabCustoUnit[[#This Row],[Resumo de Alíquotas (PIS+CONFINS+ISS)]]*100)</f>
        <v>1.9241982507288629E-2</v>
      </c>
      <c r="BR269" s="28">
        <f>VLOOKUP(tabCustoUnit[[#This Row],[Código do Posto]],tabParametros[],MATCH(tabCustoUnit[[#Headers],[ISS]],tabParametros[#Headers],0),0)</f>
        <v>0.05</v>
      </c>
      <c r="BS269" s="26">
        <f>(((100/((100-(tabCustoUnit[[#This Row],[Resumo de Alíquotas (PIS+CONFINS+ISS)]]*100))%)-100)*tabCustoUnit[[#This Row],[ISS]])/tabCustoUnit[[#This Row],[Resumo de Alíquotas (PIS+CONFINS+ISS)]])/100</f>
        <v>5.8309037900874633E-2</v>
      </c>
      <c r="BT26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69" s="138">
        <f>tabCustoUnit[[#This Row],[COFINS]]+tabCustoUnit[[#This Row],[PIS]]+tabCustoUnit[[#This Row],[ISS (Conversão Alíquota s/ fatura)]]</f>
        <v>0.16618075801749277</v>
      </c>
      <c r="BV269" s="22" t="e">
        <f ca="1">(tabCustoUnit[[#This Row],[TOTAL MÓDULOS 1+2+3+4+5]]+tabCustoUnit[[#This Row],[Custos Indiretos]]+tabCustoUnit[[#This Row],[Lucro]])*tabCustoUnit[[#This Row],[PIS + COFINS + ISS (Total Conversão  Alíquota s/ Fatura)]]</f>
        <v>#NAME?</v>
      </c>
      <c r="BW269" s="22" t="e">
        <f ca="1">tabCustoUnit[[#This Row],[Custos Indiretos]]+tabCustoUnit[[#This Row],[Lucro]]+tabCustoUnit[[#This Row],[Valor dos Tributos (ISS, PIS, CONFINS)]]</f>
        <v>#NAME?</v>
      </c>
      <c r="BX269" s="22" t="e">
        <f ca="1">tabCustoUnit[[#This Row],[TOTAL MÓDULOS 1+2+3+4+5]]+tabCustoUnit[[#This Row],[MÓDULO 6 – CUSTOS INDIRETOS, TRIBUTOS E LUCRO]]</f>
        <v>#NAME?</v>
      </c>
      <c r="BY269" s="22" t="e">
        <f ca="1">tabCustoUnit[[#This Row],[CUSTO TOTAL MENSAL]]*12</f>
        <v>#NAME?</v>
      </c>
      <c r="BZ269" s="24">
        <f>VLOOKUP(tabCustoUnit[[#This Row],[Código do Posto]],tabParametros[],MATCH(tabCustoUnit[[#Headers],[ANO DA CCT]],tabParametros[#Headers],0),0)</f>
        <v>45658</v>
      </c>
      <c r="CA269" s="25" t="str">
        <f>VLOOKUP(tabCustoUnit[[#This Row],[Código do Posto]],tabParametros[],MATCH(tabCustoUnit[[#Headers],[Nº DE PEDIDO DA CCT]],tabParametros[#Headers],0),0)</f>
        <v>-</v>
      </c>
      <c r="CB269" s="25" t="str">
        <f>VLOOKUP(tabCustoUnit[[#This Row],[Código do Posto]],tabParametros[],MATCH(tabCustoUnit[[#Headers],[TERMO ADITIVO ALTERAÇÃO DA CCT]],tabParametros[#Headers],0),0)</f>
        <v>-</v>
      </c>
    </row>
    <row r="270" spans="1:80">
      <c r="A270" s="20" t="s">
        <v>1506</v>
      </c>
      <c r="B270" t="s">
        <v>1192</v>
      </c>
      <c r="C270" t="s">
        <v>314</v>
      </c>
      <c r="D270" t="s">
        <v>1058</v>
      </c>
      <c r="E270" s="20" t="s">
        <v>1090</v>
      </c>
      <c r="F270" s="20" t="s">
        <v>120</v>
      </c>
      <c r="G270" s="418">
        <v>2134.8035</v>
      </c>
      <c r="H270" s="418">
        <v>0</v>
      </c>
      <c r="I270" s="418">
        <v>0</v>
      </c>
      <c r="J270" s="418">
        <v>0</v>
      </c>
      <c r="K270" s="418">
        <v>0</v>
      </c>
      <c r="L270" s="418">
        <v>0</v>
      </c>
      <c r="M270" s="418">
        <v>0</v>
      </c>
      <c r="N270" s="418">
        <v>0</v>
      </c>
      <c r="O270" s="21">
        <f>SUM(tabCustoUnit[[#This Row],[Salário Base]:[Adicional de Acúmulo de função]])</f>
        <v>2134.8035</v>
      </c>
      <c r="P270" s="21">
        <f>tabCustoUnit[[#This Row],[MODULO 1 - REMUNERAÇÃO ]]*SUMIFS(tabParametros[INSS],tabParametros[Código do Posto],tabCustoUnit[[#This Row],[Código do Posto]])</f>
        <v>426.96070000000003</v>
      </c>
      <c r="Q270" s="21">
        <f>tabCustoUnit[[#This Row],[MODULO 1 - REMUNERAÇÃO ]]*SUMIFS(tabParametros[SESI OU SESC],tabParametros[Código do Posto],tabCustoUnit[[#This Row],[Código do Posto]])</f>
        <v>32.022052500000001</v>
      </c>
      <c r="R270" s="21">
        <f>tabCustoUnit[[#This Row],[MODULO 1 - REMUNERAÇÃO ]]*SUMIFS(tabParametros[SENAI OU SENAC],tabParametros[Código do Posto],tabCustoUnit[[#This Row],[Código do Posto]])</f>
        <v>21.348034999999999</v>
      </c>
      <c r="S270" s="21">
        <f>tabCustoUnit[[#This Row],[MODULO 1 - REMUNERAÇÃO ]]*SUMIFS(tabParametros[INCRA],tabParametros[Código do Posto],tabCustoUnit[[#This Row],[Código do Posto]])</f>
        <v>4.2696069999999997</v>
      </c>
      <c r="T270" s="21">
        <f>tabCustoUnit[[#This Row],[MODULO 1 - REMUNERAÇÃO ]]*SUMIFS(tabParametros[Salário Educação],tabParametros[Código do Posto],tabCustoUnit[[#This Row],[Código do Posto]])</f>
        <v>53.370087500000004</v>
      </c>
      <c r="U270" s="21">
        <f>tabCustoUnit[[#This Row],[MODULO 1 - REMUNERAÇÃO ]]*SUMIFS(tabParametros[FGTS],tabParametros[Código do Posto],tabCustoUnit[[#This Row],[Código do Posto]])</f>
        <v>170.78428</v>
      </c>
      <c r="V270" s="21">
        <f>tabCustoUnit[[#This Row],[MODULO 1 - REMUNERAÇÃO ]]*SUMIFS(tabParametros[RAT Ajustado],tabParametros[Código do Posto],tabCustoUnit[[#This Row],[Código do Posto]])</f>
        <v>85.392139999999998</v>
      </c>
      <c r="W270" s="21">
        <f>tabCustoUnit[[#This Row],[MODULO 1 - REMUNERAÇÃO ]]*SUMIFS(tabParametros[SEBRAE],tabParametros[Código do Posto],tabCustoUnit[[#This Row],[Código do Posto]])</f>
        <v>12.808821</v>
      </c>
      <c r="X270" s="21">
        <f>SUM(tabCustoUnit[[#This Row],[INSS]:[SEBRAE]])</f>
        <v>806.95572300000003</v>
      </c>
      <c r="Y270" s="21">
        <f>tabCustoUnit[[#This Row],[MODULO 1 - REMUNERAÇÃO ]]*SUMIFS(tabParametros[13º salário (titular)],tabParametros[Código do Posto],tabCustoUnit[[#This Row],[Código do Posto]])</f>
        <v>177.90029166666665</v>
      </c>
      <c r="Z270" s="21">
        <f>tabCustoUnit[[#This Row],[MODULO 1 - REMUNERAÇÃO ]]*SUMIFS(tabParametros[Férias e Adicional de Férias (titular)],tabParametros[Código do Posto],tabCustoUnit[[#This Row],[Código do Posto]])</f>
        <v>237.20038888888888</v>
      </c>
      <c r="AA270" s="21">
        <f>IFERROR((tabCustoUnit[[#This Row],[Submódulo 2.1]]/tabCustoUnit[[#This Row],[MODULO 1 - REMUNERAÇÃO ]])*SUM(tabCustoUnit[[#This Row],[13º salário (titular)]:[Férias e Adicional de Férias (titular)]]),0)</f>
        <v>156.90805724999998</v>
      </c>
      <c r="AB270" s="21">
        <f>SUM(tabCustoUnit[[#This Row],[13º salário (titular)]:[Incidência do Submódulo 2.1 sobre 13º Salário, Férias e Adicional de Férias]])</f>
        <v>572.00873780555548</v>
      </c>
      <c r="AC270" s="22" t="e">
        <f ca="1">_xlfn.LET(_xlpm.VT,SUMIF(tabParametros[Código do Posto],tabCustoUnit[[#This Row],[Código do Posto]],tabParametros[Vale - Transporte])*2*20,
IF((_xlpm.VT-tabCustoUnit[[#This Row],[Salário Base]]*0.06)&gt;=0,(_xlpm.VT-tabCustoUnit[[#This Row],[Salário Base]]*0.06),0)
)</f>
        <v>#NAME?</v>
      </c>
      <c r="AD270" s="22">
        <f>IF(SUMIF(tabParametros[Código do Posto],tabCustoUnit[[#This Row],[Código do Posto]],tabParametros[Vale - Alimentação])&lt;=0,0,
SUMIF(tabParametros[Código do Posto],tabCustoUnit[[#This Row],[Código do Posto]],tabParametros[Vale - Alimentação])*20-1)</f>
        <v>582</v>
      </c>
      <c r="AE270" s="22">
        <f>SUMIF(tabParametros[Código do Posto],tabCustoUnit[[#This Row],[Código do Posto]],tabParametros[Cesta Básica])</f>
        <v>0</v>
      </c>
      <c r="AF270" s="22">
        <f>SUMIF(tabParametros[Código do Posto],tabCustoUnit[[#This Row],[Código do Posto]],tabParametros[PAF])</f>
        <v>77.25</v>
      </c>
      <c r="AG270" s="22">
        <f>SUMIF(tabParametros[Código do Posto],tabCustoUnit[[#This Row],[Código do Posto]],tabParametros[PQM])</f>
        <v>0</v>
      </c>
      <c r="AH270" s="22">
        <f>SUMIF(tabParametros[Código do Posto],tabCustoUnit[[#This Row],[Código do Posto]],tabParametros[Abono Único e Especial])</f>
        <v>0</v>
      </c>
      <c r="AI270" s="22">
        <f>SUMIF(tabParametros[Código do Posto],tabCustoUnit[[#This Row],[Código do Posto]],tabParametros[Seguro de Vida])</f>
        <v>3.36</v>
      </c>
      <c r="AJ270" s="22">
        <f>SUMIF(tabParametros[Código do Posto],tabCustoUnit[[#This Row],[Código do Posto]],tabParametros[Despesas de Viagem])</f>
        <v>0</v>
      </c>
      <c r="AK270" s="22" t="e">
        <f ca="1">SUM(tabCustoUnit[[#This Row],[Vale - Transporte (Descontada parcela do empregado)]:[Despesas de Viagem]])</f>
        <v>#NAME?</v>
      </c>
      <c r="AL270" s="22" t="e">
        <f ca="1">tabCustoUnit[[#This Row],[Submódulo 2.1]]+tabCustoUnit[[#This Row],[Submódulo 2.2]]+tabCustoUnit[[#This Row],[Submódulo 2.3]]</f>
        <v>#NAME?</v>
      </c>
      <c r="AM270" s="22">
        <f>SUMIF(tabParametros[Código do Posto],tabCustoUnit[[#This Row],[Código do Posto]],tabParametros[Aviso Prévio Indenizado (API) e Reflexo do Aviso Prévio Indenizado])*tabCustoUnit[[#This Row],[MODULO 1 - REMUNERAÇÃO ]]</f>
        <v>14.968744680073302</v>
      </c>
      <c r="AN270" s="22">
        <f>SUMIF(tabParametros[Código do Posto],tabCustoUnit[[#This Row],[Código do Posto]],tabParametros[Incidência do FGTS sobre API e Reflexo do API])*tabCustoUnit[[#This Row],[MODULO 1 - REMUNERAÇÃO ]]</f>
        <v>1.1974995744058643</v>
      </c>
      <c r="AO270" s="22">
        <f>SUMIF(tabParametros[Código do Posto],tabCustoUnit[[#This Row],[Código do Posto]],tabParametros[Multa Rescisória do FGTS sobre o Aviso Prévio Indenizado])*tabCustoUnit[[#This Row],[MODULO 1 - REMUNERAÇÃO ]]</f>
        <v>0.47899982976234579</v>
      </c>
      <c r="AP270" s="22">
        <f>SUMIF(tabParametros[Código do Posto],tabCustoUnit[[#This Row],[Código do Posto]],tabParametros[Aviso Prévio Trabalhado - APT])*tabCustoUnit[[#This Row],[MODULO 1 - REMUNERAÇÃO ]]</f>
        <v>7.471812250000001</v>
      </c>
      <c r="AQ270" s="22">
        <f>SUMIF(tabParametros[Código do Posto],tabCustoUnit[[#This Row],[Código do Posto]],tabParametros[Incidência dos encargos do submódulo 2.1 sobre Aviso Prévio Trabalhado])*tabCustoUnit[[#This Row],[MODULO 1 - REMUNERAÇÃO ]]</f>
        <v>2.8243450305000009</v>
      </c>
      <c r="AR270" s="22">
        <f>SUMIF(tabParametros[Código do Posto],tabCustoUnit[[#This Row],[Código do Posto]],tabParametros[Multa Rescisória do FGTS])*tabCustoUnit[[#This Row],[MODULO 1 - REMUNERAÇÃO ]]</f>
        <v>65.277547022222208</v>
      </c>
      <c r="AS270" s="22">
        <f>SUMIF(tabParametros[Código do Posto],tabCustoUnit[[#This Row],[Código do Posto]],tabParametros[Indenização Adicional (Art. 9º da Lei nº 7.238/84)])*tabCustoUnit[[#This Row],[MODULO 1 - REMUNERAÇÃO ]]</f>
        <v>1.7790029166666668</v>
      </c>
      <c r="AT270" s="22">
        <f>SUM(tabCustoUnit[[#This Row],[Aviso Prévio Indenizado (API) e Reflexo do Aviso Prévio Indenizado]:[Indenização Adicional (Art. 9º da Lei nº 7.238/84)]])</f>
        <v>93.997951303630387</v>
      </c>
      <c r="AU270" s="22">
        <f>SUMIF(tabParametros[Código do Posto],tabCustoUnit[[#This Row],[Código do Posto]],tabParametros[Ausência por Doença])*tabCustoUnit[[#This Row],[MODULO 1 - REMUNERAÇÃO ]]</f>
        <v>18.027229555555554</v>
      </c>
      <c r="AV270" s="22">
        <f>SUMIF(tabParametros[Código do Posto],tabCustoUnit[[#This Row],[Código do Posto]],tabParametros[Ausências Legais])*tabCustoUnit[[#This Row],[MODULO 1 - REMUNERAÇÃO ]]</f>
        <v>4.3289070972222223</v>
      </c>
      <c r="AW270" s="22">
        <f>SUMIF(tabParametros[Código do Posto],tabCustoUnit[[#This Row],[Código do Posto]],tabParametros[Licença Paternidade])*tabCustoUnit[[#This Row],[MODULO 1 - REMUNERAÇÃO ]]</f>
        <v>0.36469559791666667</v>
      </c>
      <c r="AX270" s="22">
        <f>SUMIF(tabParametros[Código do Posto],tabCustoUnit[[#This Row],[Código do Posto]],tabParametros[Ausência por Acidente de Trabalho])*tabCustoUnit[[#This Row],[MODULO 1 - REMUNERAÇÃO ]]</f>
        <v>0.44475072916666669</v>
      </c>
      <c r="AY270" s="22">
        <f>SUMIF(tabParametros[Código do Posto],tabCustoUnit[[#This Row],[Código do Posto]],tabParametros[Férias, Adicional de Férias e 13º  com empregada em gozo de Licença Maternidade])*tabCustoUnit[[#This Row],[MODULO 1 - REMUNERAÇÃO ]]</f>
        <v>2.7673378703703704</v>
      </c>
      <c r="AZ270" s="22">
        <f>SUMIF(tabParametros[Código do Posto],tabCustoUnit[[#This Row],[Código do Posto]],tabParametros[Incidência do Submódulo 2.1 sobre Ausências Legais])*tabCustoUnit[[#This Row],[MODULO 1 - REMUNERAÇÃO ]]</f>
        <v>9.802644081387502</v>
      </c>
      <c r="BA270" s="22">
        <f>SUM(tabCustoUnit[[#This Row],[Ausência por Doença]:[Incidência do Submódulo 2.1 sobre Ausências Legais]])</f>
        <v>35.735564931618981</v>
      </c>
      <c r="BB270" s="22">
        <f>SUMIF(tabParametros[Código do Posto],tabCustoUnit[[#This Row],[Código do Posto]],tabParametros[Intervalo para Repouso ou Alimentação])</f>
        <v>291.10956680899955</v>
      </c>
      <c r="BC270" s="22">
        <f>tabCustoUnit[[#This Row],[Intervalo para Repouso ou Alimentação]]</f>
        <v>291.10956680899955</v>
      </c>
      <c r="BD27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0" s="22">
        <f>tabCustoUnit[[#This Row],[Suspensão Temporária do Contrato de Trabalho]]</f>
        <v>0</v>
      </c>
      <c r="BF270" s="22">
        <f>tabCustoUnit[[#This Row],[Submódulo 4.1]]+tabCustoUnit[[#This Row],[Submódulo 4.2]]+tabCustoUnit[[#This Row],[Submódulo 4.3]]</f>
        <v>326.84513174061851</v>
      </c>
      <c r="BG270" s="22">
        <f>VLOOKUP(tabCustoUnit[[#This Row],[Código do Posto]],tabParametros[],MATCH(tabCustoUnit[[#Headers],[Uniformes e EPIs]],tabParametros[#Headers],0),0)</f>
        <v>56.642978962543395</v>
      </c>
      <c r="BH270" s="22">
        <f>VLOOKUP(tabCustoUnit[[#This Row],[Código do Posto]],tabParametros[],MATCH(tabCustoUnit[[#Headers],[Materiais de Consumo]],tabParametros[#Headers],0),0)</f>
        <v>0</v>
      </c>
      <c r="BI270" s="22">
        <f>VLOOKUP(tabCustoUnit[[#This Row],[Código do Posto]],tabParametros[],MATCH(tabCustoUnit[[#Headers],[Máquinas e Equipamentos (depreciação)]],tabParametros[#Headers],0),0)</f>
        <v>0</v>
      </c>
      <c r="BJ270" s="22">
        <f>VLOOKUP(tabCustoUnit[[#This Row],[Código do Posto]],tabParametros[],MATCH(tabCustoUnit[[#Headers],[Produtos de Limpeza e Materiais de Higiene Pessoal]],tabParametros[#Headers],0),0)</f>
        <v>0</v>
      </c>
      <c r="BK270" s="22">
        <f>VLOOKUP(tabCustoUnit[[#This Row],[Código do Posto]],tabParametros[],MATCH(tabCustoUnit[[#Headers],[Outros (especificar)]],tabParametros[#Headers],0),0)</f>
        <v>0</v>
      </c>
      <c r="BL270" s="22">
        <f>SUM(tabCustoUnit[[#This Row],[Uniformes e EPIs]:[Outros (especificar)]])</f>
        <v>56.642978962543395</v>
      </c>
      <c r="BM27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0" s="22" t="e">
        <f ca="1">VLOOKUP(tabCustoUnit[[#This Row],[Código do Posto]],tabParametros[],MATCH(tabCustoUnit[[#Headers],[Custos Indiretos]],tabParametros[#Headers],0),0)</f>
        <v>#NAME?</v>
      </c>
      <c r="BO270" s="22" t="e">
        <f ca="1">VLOOKUP(tabCustoUnit[[#This Row],[Código do Posto]],tabParametros[],MATCH(tabCustoUnit[[#Headers],[Lucro]],tabParametros[#Headers],0),0)</f>
        <v>#NAME?</v>
      </c>
      <c r="BP270" s="26">
        <f>((100/((1-tabCustoUnit[[#This Row],[Resumo de Alíquotas (PIS+CONFINS+ISS)]]))-100)*VLOOKUP(tabCustoUnit[[#This Row],[Código do Posto]],tabParametros[],MATCH(tabCustoUnit[[#Headers],[COFINS]],tabParametros[#Headers],0),0))/(tabCustoUnit[[#This Row],[Resumo de Alíquotas (PIS+CONFINS+ISS)]]*100)</f>
        <v>8.8629737609329504E-2</v>
      </c>
      <c r="BQ270" s="26">
        <f>((100/((100-(tabCustoUnit[[#This Row],[Resumo de Alíquotas (PIS+CONFINS+ISS)]]*100))%)-100)*VLOOKUP(tabCustoUnit[[#This Row],[Código do Posto]],tabParametros[],MATCH(tabCustoUnit[[#Headers],[PIS]],tabParametros[#Headers],0),0))/(tabCustoUnit[[#This Row],[Resumo de Alíquotas (PIS+CONFINS+ISS)]]*100)</f>
        <v>1.9241982507288629E-2</v>
      </c>
      <c r="BR270" s="28">
        <f>VLOOKUP(tabCustoUnit[[#This Row],[Código do Posto]],tabParametros[],MATCH(tabCustoUnit[[#Headers],[ISS]],tabParametros[#Headers],0),0)</f>
        <v>0.05</v>
      </c>
      <c r="BS270" s="26">
        <f>(((100/((100-(tabCustoUnit[[#This Row],[Resumo de Alíquotas (PIS+CONFINS+ISS)]]*100))%)-100)*tabCustoUnit[[#This Row],[ISS]])/tabCustoUnit[[#This Row],[Resumo de Alíquotas (PIS+CONFINS+ISS)]])/100</f>
        <v>5.8309037900874633E-2</v>
      </c>
      <c r="BT27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70" s="138">
        <f>tabCustoUnit[[#This Row],[COFINS]]+tabCustoUnit[[#This Row],[PIS]]+tabCustoUnit[[#This Row],[ISS (Conversão Alíquota s/ fatura)]]</f>
        <v>0.16618075801749277</v>
      </c>
      <c r="BV270" s="22" t="e">
        <f ca="1">(tabCustoUnit[[#This Row],[TOTAL MÓDULOS 1+2+3+4+5]]+tabCustoUnit[[#This Row],[Custos Indiretos]]+tabCustoUnit[[#This Row],[Lucro]])*tabCustoUnit[[#This Row],[PIS + COFINS + ISS (Total Conversão  Alíquota s/ Fatura)]]</f>
        <v>#NAME?</v>
      </c>
      <c r="BW270" s="22" t="e">
        <f ca="1">tabCustoUnit[[#This Row],[Custos Indiretos]]+tabCustoUnit[[#This Row],[Lucro]]+tabCustoUnit[[#This Row],[Valor dos Tributos (ISS, PIS, CONFINS)]]</f>
        <v>#NAME?</v>
      </c>
      <c r="BX270" s="22" t="e">
        <f ca="1">tabCustoUnit[[#This Row],[TOTAL MÓDULOS 1+2+3+4+5]]+tabCustoUnit[[#This Row],[MÓDULO 6 – CUSTOS INDIRETOS, TRIBUTOS E LUCRO]]</f>
        <v>#NAME?</v>
      </c>
      <c r="BY270" s="22" t="e">
        <f ca="1">tabCustoUnit[[#This Row],[CUSTO TOTAL MENSAL]]*12</f>
        <v>#NAME?</v>
      </c>
      <c r="BZ270" s="24">
        <f>VLOOKUP(tabCustoUnit[[#This Row],[Código do Posto]],tabParametros[],MATCH(tabCustoUnit[[#Headers],[ANO DA CCT]],tabParametros[#Headers],0),0)</f>
        <v>45658</v>
      </c>
      <c r="CA270" s="25" t="str">
        <f>VLOOKUP(tabCustoUnit[[#This Row],[Código do Posto]],tabParametros[],MATCH(tabCustoUnit[[#Headers],[Nº DE PEDIDO DA CCT]],tabParametros[#Headers],0),0)</f>
        <v>-</v>
      </c>
      <c r="CB270" s="25" t="str">
        <f>VLOOKUP(tabCustoUnit[[#This Row],[Código do Posto]],tabParametros[],MATCH(tabCustoUnit[[#Headers],[TERMO ADITIVO ALTERAÇÃO DA CCT]],tabParametros[#Headers],0),0)</f>
        <v>-</v>
      </c>
    </row>
    <row r="271" spans="1:80">
      <c r="A271" s="20" t="s">
        <v>1688</v>
      </c>
      <c r="B271" t="s">
        <v>1192</v>
      </c>
      <c r="C271" t="s">
        <v>324</v>
      </c>
      <c r="D271" t="s">
        <v>1058</v>
      </c>
      <c r="E271" s="20" t="s">
        <v>1090</v>
      </c>
      <c r="F271" s="20" t="s">
        <v>120</v>
      </c>
      <c r="G271" s="418">
        <v>3397.1306</v>
      </c>
      <c r="H271" s="418">
        <v>0</v>
      </c>
      <c r="I271" s="418">
        <v>0</v>
      </c>
      <c r="J271" s="418">
        <v>0</v>
      </c>
      <c r="K271" s="418">
        <v>0</v>
      </c>
      <c r="L271" s="418">
        <v>0</v>
      </c>
      <c r="M271" s="418">
        <v>0</v>
      </c>
      <c r="N271" s="418">
        <v>0</v>
      </c>
      <c r="O271" s="21">
        <f>SUM(tabCustoUnit[[#This Row],[Salário Base]:[Adicional de Acúmulo de função]])</f>
        <v>3397.1306</v>
      </c>
      <c r="P271" s="21">
        <f>tabCustoUnit[[#This Row],[MODULO 1 - REMUNERAÇÃO ]]*SUMIFS(tabParametros[INSS],tabParametros[Código do Posto],tabCustoUnit[[#This Row],[Código do Posto]])</f>
        <v>679.42612000000008</v>
      </c>
      <c r="Q271" s="21">
        <f>tabCustoUnit[[#This Row],[MODULO 1 - REMUNERAÇÃO ]]*SUMIFS(tabParametros[SESI OU SESC],tabParametros[Código do Posto],tabCustoUnit[[#This Row],[Código do Posto]])</f>
        <v>50.956958999999998</v>
      </c>
      <c r="R271" s="21">
        <f>tabCustoUnit[[#This Row],[MODULO 1 - REMUNERAÇÃO ]]*SUMIFS(tabParametros[SENAI OU SENAC],tabParametros[Código do Posto],tabCustoUnit[[#This Row],[Código do Posto]])</f>
        <v>33.971305999999998</v>
      </c>
      <c r="S271" s="21">
        <f>tabCustoUnit[[#This Row],[MODULO 1 - REMUNERAÇÃO ]]*SUMIFS(tabParametros[INCRA],tabParametros[Código do Posto],tabCustoUnit[[#This Row],[Código do Posto]])</f>
        <v>6.7942612000000002</v>
      </c>
      <c r="T271" s="21">
        <f>tabCustoUnit[[#This Row],[MODULO 1 - REMUNERAÇÃO ]]*SUMIFS(tabParametros[Salário Educação],tabParametros[Código do Posto],tabCustoUnit[[#This Row],[Código do Posto]])</f>
        <v>84.92826500000001</v>
      </c>
      <c r="U271" s="21">
        <f>tabCustoUnit[[#This Row],[MODULO 1 - REMUNERAÇÃO ]]*SUMIFS(tabParametros[FGTS],tabParametros[Código do Posto],tabCustoUnit[[#This Row],[Código do Posto]])</f>
        <v>271.77044799999999</v>
      </c>
      <c r="V271" s="21">
        <f>tabCustoUnit[[#This Row],[MODULO 1 - REMUNERAÇÃO ]]*SUMIFS(tabParametros[RAT Ajustado],tabParametros[Código do Posto],tabCustoUnit[[#This Row],[Código do Posto]])</f>
        <v>135.88522399999999</v>
      </c>
      <c r="W271" s="21">
        <f>tabCustoUnit[[#This Row],[MODULO 1 - REMUNERAÇÃO ]]*SUMIFS(tabParametros[SEBRAE],tabParametros[Código do Posto],tabCustoUnit[[#This Row],[Código do Posto]])</f>
        <v>20.3827836</v>
      </c>
      <c r="X271" s="21">
        <f>SUM(tabCustoUnit[[#This Row],[INSS]:[SEBRAE]])</f>
        <v>1284.1153668000002</v>
      </c>
      <c r="Y271" s="21">
        <f>tabCustoUnit[[#This Row],[MODULO 1 - REMUNERAÇÃO ]]*SUMIFS(tabParametros[13º salário (titular)],tabParametros[Código do Posto],tabCustoUnit[[#This Row],[Código do Posto]])</f>
        <v>283.09421666666663</v>
      </c>
      <c r="Z271" s="21">
        <f>tabCustoUnit[[#This Row],[MODULO 1 - REMUNERAÇÃO ]]*SUMIFS(tabParametros[Férias e Adicional de Férias (titular)],tabParametros[Código do Posto],tabCustoUnit[[#This Row],[Código do Posto]])</f>
        <v>377.45895555555552</v>
      </c>
      <c r="AA271" s="21">
        <f>IFERROR((tabCustoUnit[[#This Row],[Submódulo 2.1]]/tabCustoUnit[[#This Row],[MODULO 1 - REMUNERAÇÃO ]])*SUM(tabCustoUnit[[#This Row],[13º salário (titular)]:[Férias e Adicional de Férias (titular)]]),0)</f>
        <v>249.68909910000002</v>
      </c>
      <c r="AB271" s="21">
        <f>SUM(tabCustoUnit[[#This Row],[13º salário (titular)]:[Incidência do Submódulo 2.1 sobre 13º Salário, Férias e Adicional de Férias]])</f>
        <v>910.24227132222222</v>
      </c>
      <c r="AC271" s="22" t="e">
        <f ca="1">_xlfn.LET(_xlpm.VT,SUMIF(tabParametros[Código do Posto],tabCustoUnit[[#This Row],[Código do Posto]],tabParametros[Vale - Transporte])*2*20,
IF((_xlpm.VT-tabCustoUnit[[#This Row],[Salário Base]]*0.06)&gt;=0,(_xlpm.VT-tabCustoUnit[[#This Row],[Salário Base]]*0.06),0)
)</f>
        <v>#NAME?</v>
      </c>
      <c r="AD271" s="22">
        <f>IF(SUMIF(tabParametros[Código do Posto],tabCustoUnit[[#This Row],[Código do Posto]],tabParametros[Vale - Alimentação])&lt;=0,0,
SUMIF(tabParametros[Código do Posto],tabCustoUnit[[#This Row],[Código do Posto]],tabParametros[Vale - Alimentação])*20-1)</f>
        <v>582</v>
      </c>
      <c r="AE271" s="22">
        <f>SUMIF(tabParametros[Código do Posto],tabCustoUnit[[#This Row],[Código do Posto]],tabParametros[Cesta Básica])</f>
        <v>0</v>
      </c>
      <c r="AF271" s="22">
        <f>SUMIF(tabParametros[Código do Posto],tabCustoUnit[[#This Row],[Código do Posto]],tabParametros[PAF])</f>
        <v>77.25</v>
      </c>
      <c r="AG271" s="22">
        <f>SUMIF(tabParametros[Código do Posto],tabCustoUnit[[#This Row],[Código do Posto]],tabParametros[PQM])</f>
        <v>0</v>
      </c>
      <c r="AH271" s="22">
        <f>SUMIF(tabParametros[Código do Posto],tabCustoUnit[[#This Row],[Código do Posto]],tabParametros[Abono Único e Especial])</f>
        <v>0</v>
      </c>
      <c r="AI271" s="22">
        <f>SUMIF(tabParametros[Código do Posto],tabCustoUnit[[#This Row],[Código do Posto]],tabParametros[Seguro de Vida])</f>
        <v>3.36</v>
      </c>
      <c r="AJ271" s="22">
        <f>SUMIF(tabParametros[Código do Posto],tabCustoUnit[[#This Row],[Código do Posto]],tabParametros[Despesas de Viagem])</f>
        <v>0</v>
      </c>
      <c r="AK271" s="22" t="e">
        <f ca="1">SUM(tabCustoUnit[[#This Row],[Vale - Transporte (Descontada parcela do empregado)]:[Despesas de Viagem]])</f>
        <v>#NAME?</v>
      </c>
      <c r="AL271" s="22" t="e">
        <f ca="1">tabCustoUnit[[#This Row],[Submódulo 2.1]]+tabCustoUnit[[#This Row],[Submódulo 2.2]]+tabCustoUnit[[#This Row],[Submódulo 2.3]]</f>
        <v>#NAME?</v>
      </c>
      <c r="AM271" s="22">
        <f>SUMIF(tabParametros[Código do Posto],tabCustoUnit[[#This Row],[Código do Posto]],tabParametros[Aviso Prévio Indenizado (API) e Reflexo do Aviso Prévio Indenizado])*tabCustoUnit[[#This Row],[MODULO 1 - REMUNERAÇÃO ]]</f>
        <v>23.819888151890432</v>
      </c>
      <c r="AN271" s="22">
        <f>SUMIF(tabParametros[Código do Posto],tabCustoUnit[[#This Row],[Código do Posto]],tabParametros[Incidência do FGTS sobre API e Reflexo do API])*tabCustoUnit[[#This Row],[MODULO 1 - REMUNERAÇÃO ]]</f>
        <v>1.9055910521512347</v>
      </c>
      <c r="AO271" s="22">
        <f>SUMIF(tabParametros[Código do Posto],tabCustoUnit[[#This Row],[Código do Posto]],tabParametros[Multa Rescisória do FGTS sobre o Aviso Prévio Indenizado])*tabCustoUnit[[#This Row],[MODULO 1 - REMUNERAÇÃO ]]</f>
        <v>0.76223642086049392</v>
      </c>
      <c r="AP271" s="22">
        <f>SUMIF(tabParametros[Código do Posto],tabCustoUnit[[#This Row],[Código do Posto]],tabParametros[Aviso Prévio Trabalhado - APT])*tabCustoUnit[[#This Row],[MODULO 1 - REMUNERAÇÃO ]]</f>
        <v>11.889957100000002</v>
      </c>
      <c r="AQ271" s="22">
        <f>SUMIF(tabParametros[Código do Posto],tabCustoUnit[[#This Row],[Código do Posto]],tabParametros[Incidência dos encargos do submódulo 2.1 sobre Aviso Prévio Trabalhado])*tabCustoUnit[[#This Row],[MODULO 1 - REMUNERAÇÃO ]]</f>
        <v>4.4944037838000011</v>
      </c>
      <c r="AR271" s="22">
        <f>SUMIF(tabParametros[Código do Posto],tabCustoUnit[[#This Row],[Código do Posto]],tabParametros[Multa Rescisória do FGTS])*tabCustoUnit[[#This Row],[MODULO 1 - REMUNERAÇÃO ]]</f>
        <v>103.87670456888887</v>
      </c>
      <c r="AS271" s="22">
        <f>SUMIF(tabParametros[Código do Posto],tabCustoUnit[[#This Row],[Código do Posto]],tabParametros[Indenização Adicional (Art. 9º da Lei nº 7.238/84)])*tabCustoUnit[[#This Row],[MODULO 1 - REMUNERAÇÃO ]]</f>
        <v>2.830942166666667</v>
      </c>
      <c r="AT271" s="22">
        <f>SUM(tabCustoUnit[[#This Row],[Aviso Prévio Indenizado (API) e Reflexo do Aviso Prévio Indenizado]:[Indenização Adicional (Art. 9º da Lei nº 7.238/84)]])</f>
        <v>149.57972324425771</v>
      </c>
      <c r="AU271" s="22">
        <f>SUMIF(tabParametros[Código do Posto],tabCustoUnit[[#This Row],[Código do Posto]],tabParametros[Ausência por Doença])*tabCustoUnit[[#This Row],[MODULO 1 - REMUNERAÇÃO ]]</f>
        <v>28.686880622222219</v>
      </c>
      <c r="AV271" s="22">
        <f>SUMIF(tabParametros[Código do Posto],tabCustoUnit[[#This Row],[Código do Posto]],tabParametros[Ausências Legais])*tabCustoUnit[[#This Row],[MODULO 1 - REMUNERAÇÃO ]]</f>
        <v>6.8886259388888886</v>
      </c>
      <c r="AW271" s="22">
        <f>SUMIF(tabParametros[Código do Posto],tabCustoUnit[[#This Row],[Código do Posto]],tabParametros[Licença Paternidade])*tabCustoUnit[[#This Row],[MODULO 1 - REMUNERAÇÃO ]]</f>
        <v>0.58034314416666666</v>
      </c>
      <c r="AX271" s="22">
        <f>SUMIF(tabParametros[Código do Posto],tabCustoUnit[[#This Row],[Código do Posto]],tabParametros[Ausência por Acidente de Trabalho])*tabCustoUnit[[#This Row],[MODULO 1 - REMUNERAÇÃO ]]</f>
        <v>0.70773554166666675</v>
      </c>
      <c r="AY271" s="22">
        <f>SUMIF(tabParametros[Código do Posto],tabCustoUnit[[#This Row],[Código do Posto]],tabParametros[Férias, Adicional de Férias e 13º  com empregada em gozo de Licença Maternidade])*tabCustoUnit[[#This Row],[MODULO 1 - REMUNERAÇÃO ]]</f>
        <v>4.4036878148148144</v>
      </c>
      <c r="AZ271" s="22">
        <f>SUMIF(tabParametros[Código do Posto],tabCustoUnit[[#This Row],[Código do Posto]],tabParametros[Incidência do Submódulo 2.1 sobre Ausências Legais])*tabCustoUnit[[#This Row],[MODULO 1 - REMUNERAÇÃO ]]</f>
        <v>15.599029217345002</v>
      </c>
      <c r="BA271" s="22">
        <f>SUM(tabCustoUnit[[#This Row],[Ausência por Doença]:[Incidência do Submódulo 2.1 sobre Ausências Legais]])</f>
        <v>56.866302279104261</v>
      </c>
      <c r="BB271" s="22">
        <f>SUMIF(tabParametros[Código do Posto],tabCustoUnit[[#This Row],[Código do Posto]],tabParametros[Intervalo para Repouso ou Alimentação])</f>
        <v>0</v>
      </c>
      <c r="BC271" s="22">
        <f>tabCustoUnit[[#This Row],[Intervalo para Repouso ou Alimentação]]</f>
        <v>0</v>
      </c>
      <c r="BD27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1" s="22">
        <f>tabCustoUnit[[#This Row],[Suspensão Temporária do Contrato de Trabalho]]</f>
        <v>0</v>
      </c>
      <c r="BF271" s="22">
        <f>tabCustoUnit[[#This Row],[Submódulo 4.1]]+tabCustoUnit[[#This Row],[Submódulo 4.2]]+tabCustoUnit[[#This Row],[Submódulo 4.3]]</f>
        <v>56.866302279104261</v>
      </c>
      <c r="BG271" s="22">
        <f>VLOOKUP(tabCustoUnit[[#This Row],[Código do Posto]],tabParametros[],MATCH(tabCustoUnit[[#Headers],[Uniformes e EPIs]],tabParametros[#Headers],0),0)</f>
        <v>56.642978962543395</v>
      </c>
      <c r="BH271" s="22">
        <f>VLOOKUP(tabCustoUnit[[#This Row],[Código do Posto]],tabParametros[],MATCH(tabCustoUnit[[#Headers],[Materiais de Consumo]],tabParametros[#Headers],0),0)</f>
        <v>0</v>
      </c>
      <c r="BI271" s="22">
        <f>VLOOKUP(tabCustoUnit[[#This Row],[Código do Posto]],tabParametros[],MATCH(tabCustoUnit[[#Headers],[Máquinas e Equipamentos (depreciação)]],tabParametros[#Headers],0),0)</f>
        <v>0</v>
      </c>
      <c r="BJ271" s="22">
        <f>VLOOKUP(tabCustoUnit[[#This Row],[Código do Posto]],tabParametros[],MATCH(tabCustoUnit[[#Headers],[Produtos de Limpeza e Materiais de Higiene Pessoal]],tabParametros[#Headers],0),0)</f>
        <v>0</v>
      </c>
      <c r="BK271" s="22">
        <f>VLOOKUP(tabCustoUnit[[#This Row],[Código do Posto]],tabParametros[],MATCH(tabCustoUnit[[#Headers],[Outros (especificar)]],tabParametros[#Headers],0),0)</f>
        <v>0</v>
      </c>
      <c r="BL271" s="22">
        <f>SUM(tabCustoUnit[[#This Row],[Uniformes e EPIs]:[Outros (especificar)]])</f>
        <v>56.642978962543395</v>
      </c>
      <c r="BM27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1" s="22" t="e">
        <f ca="1">VLOOKUP(tabCustoUnit[[#This Row],[Código do Posto]],tabParametros[],MATCH(tabCustoUnit[[#Headers],[Custos Indiretos]],tabParametros[#Headers],0),0)</f>
        <v>#NAME?</v>
      </c>
      <c r="BO271" s="22" t="e">
        <f ca="1">VLOOKUP(tabCustoUnit[[#This Row],[Código do Posto]],tabParametros[],MATCH(tabCustoUnit[[#Headers],[Lucro]],tabParametros[#Headers],0),0)</f>
        <v>#NAME?</v>
      </c>
      <c r="BP271" s="26">
        <f>((100/((1-tabCustoUnit[[#This Row],[Resumo de Alíquotas (PIS+CONFINS+ISS)]]))-100)*VLOOKUP(tabCustoUnit[[#This Row],[Código do Posto]],tabParametros[],MATCH(tabCustoUnit[[#Headers],[COFINS]],tabParametros[#Headers],0),0))/(tabCustoUnit[[#This Row],[Resumo de Alíquotas (PIS+CONFINS+ISS)]]*100)</f>
        <v>8.8629737609329504E-2</v>
      </c>
      <c r="BQ271" s="26">
        <f>((100/((100-(tabCustoUnit[[#This Row],[Resumo de Alíquotas (PIS+CONFINS+ISS)]]*100))%)-100)*VLOOKUP(tabCustoUnit[[#This Row],[Código do Posto]],tabParametros[],MATCH(tabCustoUnit[[#Headers],[PIS]],tabParametros[#Headers],0),0))/(tabCustoUnit[[#This Row],[Resumo de Alíquotas (PIS+CONFINS+ISS)]]*100)</f>
        <v>1.9241982507288629E-2</v>
      </c>
      <c r="BR271" s="28">
        <f>VLOOKUP(tabCustoUnit[[#This Row],[Código do Posto]],tabParametros[],MATCH(tabCustoUnit[[#Headers],[ISS]],tabParametros[#Headers],0),0)</f>
        <v>0.05</v>
      </c>
      <c r="BS271" s="26">
        <f>(((100/((100-(tabCustoUnit[[#This Row],[Resumo de Alíquotas (PIS+CONFINS+ISS)]]*100))%)-100)*tabCustoUnit[[#This Row],[ISS]])/tabCustoUnit[[#This Row],[Resumo de Alíquotas (PIS+CONFINS+ISS)]])/100</f>
        <v>5.8309037900874633E-2</v>
      </c>
      <c r="BT27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71" s="138">
        <f>tabCustoUnit[[#This Row],[COFINS]]+tabCustoUnit[[#This Row],[PIS]]+tabCustoUnit[[#This Row],[ISS (Conversão Alíquota s/ fatura)]]</f>
        <v>0.16618075801749277</v>
      </c>
      <c r="BV271" s="22" t="e">
        <f ca="1">(tabCustoUnit[[#This Row],[TOTAL MÓDULOS 1+2+3+4+5]]+tabCustoUnit[[#This Row],[Custos Indiretos]]+tabCustoUnit[[#This Row],[Lucro]])*tabCustoUnit[[#This Row],[PIS + COFINS + ISS (Total Conversão  Alíquota s/ Fatura)]]</f>
        <v>#NAME?</v>
      </c>
      <c r="BW271" s="22" t="e">
        <f ca="1">tabCustoUnit[[#This Row],[Custos Indiretos]]+tabCustoUnit[[#This Row],[Lucro]]+tabCustoUnit[[#This Row],[Valor dos Tributos (ISS, PIS, CONFINS)]]</f>
        <v>#NAME?</v>
      </c>
      <c r="BX271" s="22" t="e">
        <f ca="1">tabCustoUnit[[#This Row],[TOTAL MÓDULOS 1+2+3+4+5]]+tabCustoUnit[[#This Row],[MÓDULO 6 – CUSTOS INDIRETOS, TRIBUTOS E LUCRO]]</f>
        <v>#NAME?</v>
      </c>
      <c r="BY271" s="22" t="e">
        <f ca="1">tabCustoUnit[[#This Row],[CUSTO TOTAL MENSAL]]*12</f>
        <v>#NAME?</v>
      </c>
      <c r="BZ271" s="24">
        <f>VLOOKUP(tabCustoUnit[[#This Row],[Código do Posto]],tabParametros[],MATCH(tabCustoUnit[[#Headers],[ANO DA CCT]],tabParametros[#Headers],0),0)</f>
        <v>45658</v>
      </c>
      <c r="CA271" s="25" t="str">
        <f>VLOOKUP(tabCustoUnit[[#This Row],[Código do Posto]],tabParametros[],MATCH(tabCustoUnit[[#Headers],[Nº DE PEDIDO DA CCT]],tabParametros[#Headers],0),0)</f>
        <v>-</v>
      </c>
      <c r="CB271" s="25" t="str">
        <f>VLOOKUP(tabCustoUnit[[#This Row],[Código do Posto]],tabParametros[],MATCH(tabCustoUnit[[#Headers],[TERMO ADITIVO ALTERAÇÃO DA CCT]],tabParametros[#Headers],0),0)</f>
        <v>-</v>
      </c>
    </row>
    <row r="272" spans="1:80">
      <c r="A272" s="20" t="s">
        <v>1689</v>
      </c>
      <c r="B272" t="s">
        <v>1193</v>
      </c>
      <c r="C272" t="s">
        <v>314</v>
      </c>
      <c r="D272" t="s">
        <v>957</v>
      </c>
      <c r="E272" s="20" t="s">
        <v>1090</v>
      </c>
      <c r="F272" s="20" t="s">
        <v>120</v>
      </c>
      <c r="G272" s="418">
        <v>1963.4110000000001</v>
      </c>
      <c r="H272" s="418">
        <v>0</v>
      </c>
      <c r="I272" s="418">
        <v>0</v>
      </c>
      <c r="J272" s="418">
        <v>0</v>
      </c>
      <c r="K272" s="418">
        <v>0</v>
      </c>
      <c r="L272" s="418">
        <v>0</v>
      </c>
      <c r="M272" s="418">
        <v>0</v>
      </c>
      <c r="N272" s="418">
        <v>0</v>
      </c>
      <c r="O272" s="21">
        <f>SUM(tabCustoUnit[[#This Row],[Salário Base]:[Adicional de Acúmulo de função]])</f>
        <v>1963.4110000000001</v>
      </c>
      <c r="P272" s="21">
        <f>tabCustoUnit[[#This Row],[MODULO 1 - REMUNERAÇÃO ]]*SUMIFS(tabParametros[INSS],tabParametros[Código do Posto],tabCustoUnit[[#This Row],[Código do Posto]])</f>
        <v>392.68220000000002</v>
      </c>
      <c r="Q272" s="21">
        <f>tabCustoUnit[[#This Row],[MODULO 1 - REMUNERAÇÃO ]]*SUMIFS(tabParametros[SESI OU SESC],tabParametros[Código do Posto],tabCustoUnit[[#This Row],[Código do Posto]])</f>
        <v>29.451165</v>
      </c>
      <c r="R272" s="21">
        <f>tabCustoUnit[[#This Row],[MODULO 1 - REMUNERAÇÃO ]]*SUMIFS(tabParametros[SENAI OU SENAC],tabParametros[Código do Posto],tabCustoUnit[[#This Row],[Código do Posto]])</f>
        <v>19.63411</v>
      </c>
      <c r="S272" s="21">
        <f>tabCustoUnit[[#This Row],[MODULO 1 - REMUNERAÇÃO ]]*SUMIFS(tabParametros[INCRA],tabParametros[Código do Posto],tabCustoUnit[[#This Row],[Código do Posto]])</f>
        <v>3.926822</v>
      </c>
      <c r="T272" s="21">
        <f>tabCustoUnit[[#This Row],[MODULO 1 - REMUNERAÇÃO ]]*SUMIFS(tabParametros[Salário Educação],tabParametros[Código do Posto],tabCustoUnit[[#This Row],[Código do Posto]])</f>
        <v>49.085275000000003</v>
      </c>
      <c r="U272" s="21">
        <f>tabCustoUnit[[#This Row],[MODULO 1 - REMUNERAÇÃO ]]*SUMIFS(tabParametros[FGTS],tabParametros[Código do Posto],tabCustoUnit[[#This Row],[Código do Posto]])</f>
        <v>157.07288</v>
      </c>
      <c r="V272" s="21">
        <f>tabCustoUnit[[#This Row],[MODULO 1 - REMUNERAÇÃO ]]*SUMIFS(tabParametros[RAT Ajustado],tabParametros[Código do Posto],tabCustoUnit[[#This Row],[Código do Posto]])</f>
        <v>78.536439999999999</v>
      </c>
      <c r="W272" s="21">
        <f>tabCustoUnit[[#This Row],[MODULO 1 - REMUNERAÇÃO ]]*SUMIFS(tabParametros[SEBRAE],tabParametros[Código do Posto],tabCustoUnit[[#This Row],[Código do Posto]])</f>
        <v>11.780466000000001</v>
      </c>
      <c r="X272" s="21">
        <f>SUM(tabCustoUnit[[#This Row],[INSS]:[SEBRAE]])</f>
        <v>742.1693580000001</v>
      </c>
      <c r="Y272" s="21">
        <f>tabCustoUnit[[#This Row],[MODULO 1 - REMUNERAÇÃO ]]*SUMIFS(tabParametros[13º salário (titular)],tabParametros[Código do Posto],tabCustoUnit[[#This Row],[Código do Posto]])</f>
        <v>163.61758333333333</v>
      </c>
      <c r="Z272" s="21">
        <f>tabCustoUnit[[#This Row],[MODULO 1 - REMUNERAÇÃO ]]*SUMIFS(tabParametros[Férias e Adicional de Férias (titular)],tabParametros[Código do Posto],tabCustoUnit[[#This Row],[Código do Posto]])</f>
        <v>218.15677777777776</v>
      </c>
      <c r="AA272" s="21">
        <f>IFERROR((tabCustoUnit[[#This Row],[Submódulo 2.1]]/tabCustoUnit[[#This Row],[MODULO 1 - REMUNERAÇÃO ]])*SUM(tabCustoUnit[[#This Row],[13º salário (titular)]:[Férias e Adicional de Férias (titular)]]),0)</f>
        <v>144.3107085</v>
      </c>
      <c r="AB272" s="21">
        <f>SUM(tabCustoUnit[[#This Row],[13º salário (titular)]:[Incidência do Submódulo 2.1 sobre 13º Salário, Férias e Adicional de Férias]])</f>
        <v>526.08506961111107</v>
      </c>
      <c r="AC272" s="22" t="e">
        <f ca="1">_xlfn.LET(_xlpm.VT,SUMIF(tabParametros[Código do Posto],tabCustoUnit[[#This Row],[Código do Posto]],tabParametros[Vale - Transporte])*2*20,
IF((_xlpm.VT-tabCustoUnit[[#This Row],[Salário Base]]*0.06)&gt;=0,(_xlpm.VT-tabCustoUnit[[#This Row],[Salário Base]]*0.06),0)
)</f>
        <v>#NAME?</v>
      </c>
      <c r="AD272" s="22">
        <f>IF(SUMIF(tabParametros[Código do Posto],tabCustoUnit[[#This Row],[Código do Posto]],tabParametros[Vale - Alimentação])&lt;=0,0,
SUMIF(tabParametros[Código do Posto],tabCustoUnit[[#This Row],[Código do Posto]],tabParametros[Vale - Alimentação])*20-1)</f>
        <v>582</v>
      </c>
      <c r="AE272" s="22">
        <f>SUMIF(tabParametros[Código do Posto],tabCustoUnit[[#This Row],[Código do Posto]],tabParametros[Cesta Básica])</f>
        <v>0</v>
      </c>
      <c r="AF272" s="22">
        <f>SUMIF(tabParametros[Código do Posto],tabCustoUnit[[#This Row],[Código do Posto]],tabParametros[PAF])</f>
        <v>0</v>
      </c>
      <c r="AG272" s="22">
        <f>SUMIF(tabParametros[Código do Posto],tabCustoUnit[[#This Row],[Código do Posto]],tabParametros[PQM])</f>
        <v>0</v>
      </c>
      <c r="AH272" s="22">
        <f>SUMIF(tabParametros[Código do Posto],tabCustoUnit[[#This Row],[Código do Posto]],tabParametros[Abono Único e Especial])</f>
        <v>0</v>
      </c>
      <c r="AI272" s="22">
        <f>SUMIF(tabParametros[Código do Posto],tabCustoUnit[[#This Row],[Código do Posto]],tabParametros[Seguro de Vida])</f>
        <v>3.36</v>
      </c>
      <c r="AJ272" s="22">
        <f>SUMIF(tabParametros[Código do Posto],tabCustoUnit[[#This Row],[Código do Posto]],tabParametros[Despesas de Viagem])</f>
        <v>0</v>
      </c>
      <c r="AK272" s="22" t="e">
        <f ca="1">SUM(tabCustoUnit[[#This Row],[Vale - Transporte (Descontada parcela do empregado)]:[Despesas de Viagem]])</f>
        <v>#NAME?</v>
      </c>
      <c r="AL272" s="22" t="e">
        <f ca="1">tabCustoUnit[[#This Row],[Submódulo 2.1]]+tabCustoUnit[[#This Row],[Submódulo 2.2]]+tabCustoUnit[[#This Row],[Submódulo 2.3]]</f>
        <v>#NAME?</v>
      </c>
      <c r="AM272" s="22">
        <f>SUMIF(tabParametros[Código do Posto],tabCustoUnit[[#This Row],[Código do Posto]],tabParametros[Aviso Prévio Indenizado (API) e Reflexo do Aviso Prévio Indenizado])*tabCustoUnit[[#This Row],[MODULO 1 - REMUNERAÇÃO ]]</f>
        <v>13.766980408757716</v>
      </c>
      <c r="AN272" s="22">
        <f>SUMIF(tabParametros[Código do Posto],tabCustoUnit[[#This Row],[Código do Posto]],tabParametros[Incidência do FGTS sobre API e Reflexo do API])*tabCustoUnit[[#This Row],[MODULO 1 - REMUNERAÇÃO ]]</f>
        <v>1.1013584327006174</v>
      </c>
      <c r="AO272" s="22">
        <f>SUMIF(tabParametros[Código do Posto],tabCustoUnit[[#This Row],[Código do Posto]],tabParametros[Multa Rescisória do FGTS sobre o Aviso Prévio Indenizado])*tabCustoUnit[[#This Row],[MODULO 1 - REMUNERAÇÃO ]]</f>
        <v>0.44054337308024699</v>
      </c>
      <c r="AP272" s="22">
        <f>SUMIF(tabParametros[Código do Posto],tabCustoUnit[[#This Row],[Código do Posto]],tabParametros[Aviso Prévio Trabalhado - APT])*tabCustoUnit[[#This Row],[MODULO 1 - REMUNERAÇÃO ]]</f>
        <v>6.8719385000000015</v>
      </c>
      <c r="AQ272" s="22">
        <f>SUMIF(tabParametros[Código do Posto],tabCustoUnit[[#This Row],[Código do Posto]],tabParametros[Incidência dos encargos do submódulo 2.1 sobre Aviso Prévio Trabalhado])*tabCustoUnit[[#This Row],[MODULO 1 - REMUNERAÇÃO ]]</f>
        <v>2.5975927530000007</v>
      </c>
      <c r="AR272" s="22">
        <f>SUMIF(tabParametros[Código do Posto],tabCustoUnit[[#This Row],[Código do Posto]],tabParametros[Multa Rescisória do FGTS])*tabCustoUnit[[#This Row],[MODULO 1 - REMUNERAÇÃO ]]</f>
        <v>60.03674524444444</v>
      </c>
      <c r="AS272" s="22">
        <f>SUMIF(tabParametros[Código do Posto],tabCustoUnit[[#This Row],[Código do Posto]],tabParametros[Indenização Adicional (Art. 9º da Lei nº 7.238/84)])*tabCustoUnit[[#This Row],[MODULO 1 - REMUNERAÇÃO ]]</f>
        <v>1.6361758333333334</v>
      </c>
      <c r="AT272" s="22">
        <f>SUM(tabCustoUnit[[#This Row],[Aviso Prévio Indenizado (API) e Reflexo do Aviso Prévio Indenizado]:[Indenização Adicional (Art. 9º da Lei nº 7.238/84)]])</f>
        <v>86.451334545316371</v>
      </c>
      <c r="AU272" s="22">
        <f>SUMIF(tabParametros[Código do Posto],tabCustoUnit[[#This Row],[Código do Posto]],tabParametros[Ausência por Doença])*tabCustoUnit[[#This Row],[MODULO 1 - REMUNERAÇÃO ]]</f>
        <v>16.579915111111109</v>
      </c>
      <c r="AV272" s="22">
        <f>SUMIF(tabParametros[Código do Posto],tabCustoUnit[[#This Row],[Código do Posto]],tabParametros[Ausências Legais])*tabCustoUnit[[#This Row],[MODULO 1 - REMUNERAÇÃO ]]</f>
        <v>3.9813611944444443</v>
      </c>
      <c r="AW272" s="22">
        <f>SUMIF(tabParametros[Código do Posto],tabCustoUnit[[#This Row],[Código do Posto]],tabParametros[Licença Paternidade])*tabCustoUnit[[#This Row],[MODULO 1 - REMUNERAÇÃO ]]</f>
        <v>0.33541604583333334</v>
      </c>
      <c r="AX272" s="22">
        <f>SUMIF(tabParametros[Código do Posto],tabCustoUnit[[#This Row],[Código do Posto]],tabParametros[Ausência por Acidente de Trabalho])*tabCustoUnit[[#This Row],[MODULO 1 - REMUNERAÇÃO ]]</f>
        <v>0.40904395833333335</v>
      </c>
      <c r="AY272" s="22">
        <f>SUMIF(tabParametros[Código do Posto],tabCustoUnit[[#This Row],[Código do Posto]],tabParametros[Férias, Adicional de Férias e 13º  com empregada em gozo de Licença Maternidade])*tabCustoUnit[[#This Row],[MODULO 1 - REMUNERAÇÃO ]]</f>
        <v>2.5451624074074073</v>
      </c>
      <c r="AZ272" s="22">
        <f>SUMIF(tabParametros[Código do Posto],tabCustoUnit[[#This Row],[Código do Posto]],tabParametros[Incidência do Submódulo 2.1 sobre Ausências Legais])*tabCustoUnit[[#This Row],[MODULO 1 - REMUNERAÇÃO ]]</f>
        <v>9.0156397150750021</v>
      </c>
      <c r="BA272" s="22">
        <f>SUM(tabCustoUnit[[#This Row],[Ausência por Doença]:[Incidência do Submódulo 2.1 sobre Ausências Legais]])</f>
        <v>32.866538432204628</v>
      </c>
      <c r="BB272" s="22">
        <f>SUMIF(tabParametros[Código do Posto],tabCustoUnit[[#This Row],[Código do Posto]],tabParametros[Intervalo para Repouso ou Alimentação])</f>
        <v>267.73786489195959</v>
      </c>
      <c r="BC272" s="22">
        <f>tabCustoUnit[[#This Row],[Intervalo para Repouso ou Alimentação]]</f>
        <v>267.73786489195959</v>
      </c>
      <c r="BD27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2" s="22">
        <f>tabCustoUnit[[#This Row],[Suspensão Temporária do Contrato de Trabalho]]</f>
        <v>0</v>
      </c>
      <c r="BF272" s="22">
        <f>tabCustoUnit[[#This Row],[Submódulo 4.1]]+tabCustoUnit[[#This Row],[Submódulo 4.2]]+tabCustoUnit[[#This Row],[Submódulo 4.3]]</f>
        <v>300.6044033241642</v>
      </c>
      <c r="BG272" s="22">
        <f>VLOOKUP(tabCustoUnit[[#This Row],[Código do Posto]],tabParametros[],MATCH(tabCustoUnit[[#Headers],[Uniformes e EPIs]],tabParametros[#Headers],0),0)</f>
        <v>56.642978962543395</v>
      </c>
      <c r="BH272" s="22">
        <f>VLOOKUP(tabCustoUnit[[#This Row],[Código do Posto]],tabParametros[],MATCH(tabCustoUnit[[#Headers],[Materiais de Consumo]],tabParametros[#Headers],0),0)</f>
        <v>0</v>
      </c>
      <c r="BI272" s="22">
        <f>VLOOKUP(tabCustoUnit[[#This Row],[Código do Posto]],tabParametros[],MATCH(tabCustoUnit[[#Headers],[Máquinas e Equipamentos (depreciação)]],tabParametros[#Headers],0),0)</f>
        <v>0</v>
      </c>
      <c r="BJ272" s="22">
        <f>VLOOKUP(tabCustoUnit[[#This Row],[Código do Posto]],tabParametros[],MATCH(tabCustoUnit[[#Headers],[Produtos de Limpeza e Materiais de Higiene Pessoal]],tabParametros[#Headers],0),0)</f>
        <v>0</v>
      </c>
      <c r="BK272" s="22">
        <f>VLOOKUP(tabCustoUnit[[#This Row],[Código do Posto]],tabParametros[],MATCH(tabCustoUnit[[#Headers],[Outros (especificar)]],tabParametros[#Headers],0),0)</f>
        <v>0</v>
      </c>
      <c r="BL272" s="22">
        <f>SUM(tabCustoUnit[[#This Row],[Uniformes e EPIs]:[Outros (especificar)]])</f>
        <v>56.642978962543395</v>
      </c>
      <c r="BM27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2" s="22" t="e">
        <f ca="1">VLOOKUP(tabCustoUnit[[#This Row],[Código do Posto]],tabParametros[],MATCH(tabCustoUnit[[#Headers],[Custos Indiretos]],tabParametros[#Headers],0),0)</f>
        <v>#NAME?</v>
      </c>
      <c r="BO272" s="22" t="e">
        <f ca="1">VLOOKUP(tabCustoUnit[[#This Row],[Código do Posto]],tabParametros[],MATCH(tabCustoUnit[[#Headers],[Lucro]],tabParametros[#Headers],0),0)</f>
        <v>#NAME?</v>
      </c>
      <c r="BP272" s="26">
        <f>((100/((1-tabCustoUnit[[#This Row],[Resumo de Alíquotas (PIS+CONFINS+ISS)]]))-100)*VLOOKUP(tabCustoUnit[[#This Row],[Código do Posto]],tabParametros[],MATCH(tabCustoUnit[[#Headers],[COFINS]],tabParametros[#Headers],0),0))/(tabCustoUnit[[#This Row],[Resumo de Alíquotas (PIS+CONFINS+ISS)]]*100)</f>
        <v>8.8629737609329504E-2</v>
      </c>
      <c r="BQ272" s="26">
        <f>((100/((100-(tabCustoUnit[[#This Row],[Resumo de Alíquotas (PIS+CONFINS+ISS)]]*100))%)-100)*VLOOKUP(tabCustoUnit[[#This Row],[Código do Posto]],tabParametros[],MATCH(tabCustoUnit[[#Headers],[PIS]],tabParametros[#Headers],0),0))/(tabCustoUnit[[#This Row],[Resumo de Alíquotas (PIS+CONFINS+ISS)]]*100)</f>
        <v>1.9241982507288629E-2</v>
      </c>
      <c r="BR272" s="28">
        <f>VLOOKUP(tabCustoUnit[[#This Row],[Código do Posto]],tabParametros[],MATCH(tabCustoUnit[[#Headers],[ISS]],tabParametros[#Headers],0),0)</f>
        <v>0.05</v>
      </c>
      <c r="BS272" s="26">
        <f>(((100/((100-(tabCustoUnit[[#This Row],[Resumo de Alíquotas (PIS+CONFINS+ISS)]]*100))%)-100)*tabCustoUnit[[#This Row],[ISS]])/tabCustoUnit[[#This Row],[Resumo de Alíquotas (PIS+CONFINS+ISS)]])/100</f>
        <v>5.8309037900874633E-2</v>
      </c>
      <c r="BT27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72" s="138">
        <f>tabCustoUnit[[#This Row],[COFINS]]+tabCustoUnit[[#This Row],[PIS]]+tabCustoUnit[[#This Row],[ISS (Conversão Alíquota s/ fatura)]]</f>
        <v>0.16618075801749277</v>
      </c>
      <c r="BV272" s="22" t="e">
        <f ca="1">(tabCustoUnit[[#This Row],[TOTAL MÓDULOS 1+2+3+4+5]]+tabCustoUnit[[#This Row],[Custos Indiretos]]+tabCustoUnit[[#This Row],[Lucro]])*tabCustoUnit[[#This Row],[PIS + COFINS + ISS (Total Conversão  Alíquota s/ Fatura)]]</f>
        <v>#NAME?</v>
      </c>
      <c r="BW272" s="22" t="e">
        <f ca="1">tabCustoUnit[[#This Row],[Custos Indiretos]]+tabCustoUnit[[#This Row],[Lucro]]+tabCustoUnit[[#This Row],[Valor dos Tributos (ISS, PIS, CONFINS)]]</f>
        <v>#NAME?</v>
      </c>
      <c r="BX272" s="22" t="e">
        <f ca="1">tabCustoUnit[[#This Row],[TOTAL MÓDULOS 1+2+3+4+5]]+tabCustoUnit[[#This Row],[MÓDULO 6 – CUSTOS INDIRETOS, TRIBUTOS E LUCRO]]</f>
        <v>#NAME?</v>
      </c>
      <c r="BY272" s="22" t="e">
        <f ca="1">tabCustoUnit[[#This Row],[CUSTO TOTAL MENSAL]]*12</f>
        <v>#NAME?</v>
      </c>
      <c r="BZ272" s="24">
        <f>VLOOKUP(tabCustoUnit[[#This Row],[Código do Posto]],tabParametros[],MATCH(tabCustoUnit[[#Headers],[ANO DA CCT]],tabParametros[#Headers],0),0)</f>
        <v>45658</v>
      </c>
      <c r="CA272" s="25" t="str">
        <f>VLOOKUP(tabCustoUnit[[#This Row],[Código do Posto]],tabParametros[],MATCH(tabCustoUnit[[#Headers],[Nº DE PEDIDO DA CCT]],tabParametros[#Headers],0),0)</f>
        <v>-</v>
      </c>
      <c r="CB272" s="25" t="str">
        <f>VLOOKUP(tabCustoUnit[[#This Row],[Código do Posto]],tabParametros[],MATCH(tabCustoUnit[[#Headers],[TERMO ADITIVO ALTERAÇÃO DA CCT]],tabParametros[#Headers],0),0)</f>
        <v>-</v>
      </c>
    </row>
    <row r="273" spans="1:80">
      <c r="A273" s="20" t="s">
        <v>1690</v>
      </c>
      <c r="B273" t="s">
        <v>1194</v>
      </c>
      <c r="C273" t="s">
        <v>314</v>
      </c>
      <c r="D273" t="s">
        <v>899</v>
      </c>
      <c r="E273" s="20" t="s">
        <v>1090</v>
      </c>
      <c r="F273" s="20" t="s">
        <v>120</v>
      </c>
      <c r="G273" s="418">
        <v>1963.405</v>
      </c>
      <c r="H273" s="418">
        <v>0</v>
      </c>
      <c r="I273" s="418">
        <v>0</v>
      </c>
      <c r="J273" s="418">
        <v>0</v>
      </c>
      <c r="K273" s="418">
        <v>0</v>
      </c>
      <c r="L273" s="418">
        <v>0</v>
      </c>
      <c r="M273" s="418">
        <v>0</v>
      </c>
      <c r="N273" s="418">
        <v>0</v>
      </c>
      <c r="O273" s="21">
        <f>SUM(tabCustoUnit[[#This Row],[Salário Base]:[Adicional de Acúmulo de função]])</f>
        <v>1963.405</v>
      </c>
      <c r="P273" s="21">
        <f>tabCustoUnit[[#This Row],[MODULO 1 - REMUNERAÇÃO ]]*SUMIFS(tabParametros[INSS],tabParametros[Código do Posto],tabCustoUnit[[#This Row],[Código do Posto]])</f>
        <v>392.68100000000004</v>
      </c>
      <c r="Q273" s="21">
        <f>tabCustoUnit[[#This Row],[MODULO 1 - REMUNERAÇÃO ]]*SUMIFS(tabParametros[SESI OU SESC],tabParametros[Código do Posto],tabCustoUnit[[#This Row],[Código do Posto]])</f>
        <v>29.451074999999999</v>
      </c>
      <c r="R273" s="21">
        <f>tabCustoUnit[[#This Row],[MODULO 1 - REMUNERAÇÃO ]]*SUMIFS(tabParametros[SENAI OU SENAC],tabParametros[Código do Posto],tabCustoUnit[[#This Row],[Código do Posto]])</f>
        <v>19.634049999999998</v>
      </c>
      <c r="S273" s="21">
        <f>tabCustoUnit[[#This Row],[MODULO 1 - REMUNERAÇÃO ]]*SUMIFS(tabParametros[INCRA],tabParametros[Código do Posto],tabCustoUnit[[#This Row],[Código do Posto]])</f>
        <v>3.9268100000000001</v>
      </c>
      <c r="T273" s="21">
        <f>tabCustoUnit[[#This Row],[MODULO 1 - REMUNERAÇÃO ]]*SUMIFS(tabParametros[Salário Educação],tabParametros[Código do Posto],tabCustoUnit[[#This Row],[Código do Posto]])</f>
        <v>49.085125000000005</v>
      </c>
      <c r="U273" s="21">
        <f>tabCustoUnit[[#This Row],[MODULO 1 - REMUNERAÇÃO ]]*SUMIFS(tabParametros[FGTS],tabParametros[Código do Posto],tabCustoUnit[[#This Row],[Código do Posto]])</f>
        <v>157.07239999999999</v>
      </c>
      <c r="V273" s="21">
        <f>tabCustoUnit[[#This Row],[MODULO 1 - REMUNERAÇÃO ]]*SUMIFS(tabParametros[RAT Ajustado],tabParametros[Código do Posto],tabCustoUnit[[#This Row],[Código do Posto]])</f>
        <v>78.536199999999994</v>
      </c>
      <c r="W273" s="21">
        <f>tabCustoUnit[[#This Row],[MODULO 1 - REMUNERAÇÃO ]]*SUMIFS(tabParametros[SEBRAE],tabParametros[Código do Posto],tabCustoUnit[[#This Row],[Código do Posto]])</f>
        <v>11.780430000000001</v>
      </c>
      <c r="X273" s="21">
        <f>SUM(tabCustoUnit[[#This Row],[INSS]:[SEBRAE]])</f>
        <v>742.16709000000003</v>
      </c>
      <c r="Y273" s="21">
        <f>tabCustoUnit[[#This Row],[MODULO 1 - REMUNERAÇÃO ]]*SUMIFS(tabParametros[13º salário (titular)],tabParametros[Código do Posto],tabCustoUnit[[#This Row],[Código do Posto]])</f>
        <v>163.61708333333331</v>
      </c>
      <c r="Z273" s="21">
        <f>tabCustoUnit[[#This Row],[MODULO 1 - REMUNERAÇÃO ]]*SUMIFS(tabParametros[Férias e Adicional de Férias (titular)],tabParametros[Código do Posto],tabCustoUnit[[#This Row],[Código do Posto]])</f>
        <v>218.1561111111111</v>
      </c>
      <c r="AA273" s="21">
        <f>IFERROR((tabCustoUnit[[#This Row],[Submódulo 2.1]]/tabCustoUnit[[#This Row],[MODULO 1 - REMUNERAÇÃO ]])*SUM(tabCustoUnit[[#This Row],[13º salário (titular)]:[Férias e Adicional de Férias (titular)]]),0)</f>
        <v>144.31026749999998</v>
      </c>
      <c r="AB273" s="21">
        <f>SUM(tabCustoUnit[[#This Row],[13º salário (titular)]:[Incidência do Submódulo 2.1 sobre 13º Salário, Férias e Adicional de Férias]])</f>
        <v>526.08346194444437</v>
      </c>
      <c r="AC273" s="22" t="e">
        <f ca="1">_xlfn.LET(_xlpm.VT,SUMIF(tabParametros[Código do Posto],tabCustoUnit[[#This Row],[Código do Posto]],tabParametros[Vale - Transporte])*2*20,
IF((_xlpm.VT-tabCustoUnit[[#This Row],[Salário Base]]*0.06)&gt;=0,(_xlpm.VT-tabCustoUnit[[#This Row],[Salário Base]]*0.06),0)
)</f>
        <v>#NAME?</v>
      </c>
      <c r="AD273" s="22">
        <f>IF(SUMIF(tabParametros[Código do Posto],tabCustoUnit[[#This Row],[Código do Posto]],tabParametros[Vale - Alimentação])&lt;=0,0,
SUMIF(tabParametros[Código do Posto],tabCustoUnit[[#This Row],[Código do Posto]],tabParametros[Vale - Alimentação])*20-1)</f>
        <v>0</v>
      </c>
      <c r="AE273" s="22">
        <f>SUMIF(tabParametros[Código do Posto],tabCustoUnit[[#This Row],[Código do Posto]],tabParametros[Cesta Básica])</f>
        <v>387.79</v>
      </c>
      <c r="AF273" s="22">
        <f>SUMIF(tabParametros[Código do Posto],tabCustoUnit[[#This Row],[Código do Posto]],tabParametros[PAF])</f>
        <v>42.97</v>
      </c>
      <c r="AG273" s="22">
        <f>SUMIF(tabParametros[Código do Posto],tabCustoUnit[[#This Row],[Código do Posto]],tabParametros[PQM])</f>
        <v>0</v>
      </c>
      <c r="AH273" s="22">
        <f>SUMIF(tabParametros[Código do Posto],tabCustoUnit[[#This Row],[Código do Posto]],tabParametros[Abono Único e Especial])</f>
        <v>0</v>
      </c>
      <c r="AI273" s="22">
        <f>SUMIF(tabParametros[Código do Posto],tabCustoUnit[[#This Row],[Código do Posto]],tabParametros[Seguro de Vida])</f>
        <v>3.36</v>
      </c>
      <c r="AJ273" s="22">
        <f>SUMIF(tabParametros[Código do Posto],tabCustoUnit[[#This Row],[Código do Posto]],tabParametros[Despesas de Viagem])</f>
        <v>0</v>
      </c>
      <c r="AK273" s="22" t="e">
        <f ca="1">SUM(tabCustoUnit[[#This Row],[Vale - Transporte (Descontada parcela do empregado)]:[Despesas de Viagem]])</f>
        <v>#NAME?</v>
      </c>
      <c r="AL273" s="22" t="e">
        <f ca="1">tabCustoUnit[[#This Row],[Submódulo 2.1]]+tabCustoUnit[[#This Row],[Submódulo 2.2]]+tabCustoUnit[[#This Row],[Submódulo 2.3]]</f>
        <v>#NAME?</v>
      </c>
      <c r="AM273" s="22">
        <f>SUMIF(tabParametros[Código do Posto],tabCustoUnit[[#This Row],[Código do Posto]],tabParametros[Aviso Prévio Indenizado (API) e Reflexo do Aviso Prévio Indenizado])*tabCustoUnit[[#This Row],[MODULO 1 - REMUNERAÇÃO ]]</f>
        <v>13.766938338155864</v>
      </c>
      <c r="AN273" s="22">
        <f>SUMIF(tabParametros[Código do Posto],tabCustoUnit[[#This Row],[Código do Posto]],tabParametros[Incidência do FGTS sobre API e Reflexo do API])*tabCustoUnit[[#This Row],[MODULO 1 - REMUNERAÇÃO ]]</f>
        <v>1.1013550670524692</v>
      </c>
      <c r="AO273" s="22">
        <f>SUMIF(tabParametros[Código do Posto],tabCustoUnit[[#This Row],[Código do Posto]],tabParametros[Multa Rescisória do FGTS sobre o Aviso Prévio Indenizado])*tabCustoUnit[[#This Row],[MODULO 1 - REMUNERAÇÃO ]]</f>
        <v>0.44054202682098775</v>
      </c>
      <c r="AP273" s="22">
        <f>SUMIF(tabParametros[Código do Posto],tabCustoUnit[[#This Row],[Código do Posto]],tabParametros[Aviso Prévio Trabalhado - APT])*tabCustoUnit[[#This Row],[MODULO 1 - REMUNERAÇÃO ]]</f>
        <v>6.8719175000000012</v>
      </c>
      <c r="AQ273" s="22">
        <f>SUMIF(tabParametros[Código do Posto],tabCustoUnit[[#This Row],[Código do Posto]],tabParametros[Incidência dos encargos do submódulo 2.1 sobre Aviso Prévio Trabalhado])*tabCustoUnit[[#This Row],[MODULO 1 - REMUNERAÇÃO ]]</f>
        <v>2.5975848150000007</v>
      </c>
      <c r="AR273" s="22">
        <f>SUMIF(tabParametros[Código do Posto],tabCustoUnit[[#This Row],[Código do Posto]],tabParametros[Multa Rescisória do FGTS])*tabCustoUnit[[#This Row],[MODULO 1 - REMUNERAÇÃO ]]</f>
        <v>60.03656177777777</v>
      </c>
      <c r="AS273" s="22">
        <f>SUMIF(tabParametros[Código do Posto],tabCustoUnit[[#This Row],[Código do Posto]],tabParametros[Indenização Adicional (Art. 9º da Lei nº 7.238/84)])*tabCustoUnit[[#This Row],[MODULO 1 - REMUNERAÇÃO ]]</f>
        <v>1.6361708333333334</v>
      </c>
      <c r="AT273" s="22">
        <f>SUM(tabCustoUnit[[#This Row],[Aviso Prévio Indenizado (API) e Reflexo do Aviso Prévio Indenizado]:[Indenização Adicional (Art. 9º da Lei nº 7.238/84)]])</f>
        <v>86.451070358140427</v>
      </c>
      <c r="AU273" s="22">
        <f>SUMIF(tabParametros[Código do Posto],tabCustoUnit[[#This Row],[Código do Posto]],tabParametros[Ausência por Doença])*tabCustoUnit[[#This Row],[MODULO 1 - REMUNERAÇÃO ]]</f>
        <v>16.579864444444443</v>
      </c>
      <c r="AV273" s="22">
        <f>SUMIF(tabParametros[Código do Posto],tabCustoUnit[[#This Row],[Código do Posto]],tabParametros[Ausências Legais])*tabCustoUnit[[#This Row],[MODULO 1 - REMUNERAÇÃO ]]</f>
        <v>3.9813490277777777</v>
      </c>
      <c r="AW273" s="22">
        <f>SUMIF(tabParametros[Código do Posto],tabCustoUnit[[#This Row],[Código do Posto]],tabParametros[Licença Paternidade])*tabCustoUnit[[#This Row],[MODULO 1 - REMUNERAÇÃO ]]</f>
        <v>0.3354150208333333</v>
      </c>
      <c r="AX273" s="22">
        <f>SUMIF(tabParametros[Código do Posto],tabCustoUnit[[#This Row],[Código do Posto]],tabParametros[Ausência por Acidente de Trabalho])*tabCustoUnit[[#This Row],[MODULO 1 - REMUNERAÇÃO ]]</f>
        <v>0.40904270833333334</v>
      </c>
      <c r="AY273" s="22">
        <f>SUMIF(tabParametros[Código do Posto],tabCustoUnit[[#This Row],[Código do Posto]],tabParametros[Férias, Adicional de Férias e 13º  com empregada em gozo de Licença Maternidade])*tabCustoUnit[[#This Row],[MODULO 1 - REMUNERAÇÃO ]]</f>
        <v>2.5451546296296295</v>
      </c>
      <c r="AZ273" s="22">
        <f>SUMIF(tabParametros[Código do Posto],tabCustoUnit[[#This Row],[Código do Posto]],tabParametros[Incidência do Submódulo 2.1 sobre Ausências Legais])*tabCustoUnit[[#This Row],[MODULO 1 - REMUNERAÇÃO ]]</f>
        <v>9.0156121641250007</v>
      </c>
      <c r="BA273" s="22">
        <f>SUM(tabCustoUnit[[#This Row],[Ausência por Doença]:[Incidência do Submódulo 2.1 sobre Ausências Legais]])</f>
        <v>32.866437995143521</v>
      </c>
      <c r="BB273" s="22">
        <f>SUMIF(tabParametros[Código do Posto],tabCustoUnit[[#This Row],[Código do Posto]],tabParametros[Intervalo para Repouso ou Alimentação])</f>
        <v>267.73704981301341</v>
      </c>
      <c r="BC273" s="22">
        <f>tabCustoUnit[[#This Row],[Intervalo para Repouso ou Alimentação]]</f>
        <v>267.73704981301341</v>
      </c>
      <c r="BD27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3" s="22">
        <f>tabCustoUnit[[#This Row],[Suspensão Temporária do Contrato de Trabalho]]</f>
        <v>0</v>
      </c>
      <c r="BF273" s="22">
        <f>tabCustoUnit[[#This Row],[Submódulo 4.1]]+tabCustoUnit[[#This Row],[Submódulo 4.2]]+tabCustoUnit[[#This Row],[Submódulo 4.3]]</f>
        <v>300.60348780815696</v>
      </c>
      <c r="BG273" s="22">
        <f>VLOOKUP(tabCustoUnit[[#This Row],[Código do Posto]],tabParametros[],MATCH(tabCustoUnit[[#Headers],[Uniformes e EPIs]],tabParametros[#Headers],0),0)</f>
        <v>56.642978962543395</v>
      </c>
      <c r="BH273" s="22">
        <f>VLOOKUP(tabCustoUnit[[#This Row],[Código do Posto]],tabParametros[],MATCH(tabCustoUnit[[#Headers],[Materiais de Consumo]],tabParametros[#Headers],0),0)</f>
        <v>0</v>
      </c>
      <c r="BI273" s="22">
        <f>VLOOKUP(tabCustoUnit[[#This Row],[Código do Posto]],tabParametros[],MATCH(tabCustoUnit[[#Headers],[Máquinas e Equipamentos (depreciação)]],tabParametros[#Headers],0),0)</f>
        <v>0</v>
      </c>
      <c r="BJ273" s="22">
        <f>VLOOKUP(tabCustoUnit[[#This Row],[Código do Posto]],tabParametros[],MATCH(tabCustoUnit[[#Headers],[Produtos de Limpeza e Materiais de Higiene Pessoal]],tabParametros[#Headers],0),0)</f>
        <v>0</v>
      </c>
      <c r="BK273" s="22">
        <f>VLOOKUP(tabCustoUnit[[#This Row],[Código do Posto]],tabParametros[],MATCH(tabCustoUnit[[#Headers],[Outros (especificar)]],tabParametros[#Headers],0),0)</f>
        <v>0</v>
      </c>
      <c r="BL273" s="22">
        <f>SUM(tabCustoUnit[[#This Row],[Uniformes e EPIs]:[Outros (especificar)]])</f>
        <v>56.642978962543395</v>
      </c>
      <c r="BM27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3" s="22" t="e">
        <f ca="1">VLOOKUP(tabCustoUnit[[#This Row],[Código do Posto]],tabParametros[],MATCH(tabCustoUnit[[#Headers],[Custos Indiretos]],tabParametros[#Headers],0),0)</f>
        <v>#NAME?</v>
      </c>
      <c r="BO273" s="22" t="e">
        <f ca="1">VLOOKUP(tabCustoUnit[[#This Row],[Código do Posto]],tabParametros[],MATCH(tabCustoUnit[[#Headers],[Lucro]],tabParametros[#Headers],0),0)</f>
        <v>#NAME?</v>
      </c>
      <c r="BP273" s="26">
        <f>((100/((1-tabCustoUnit[[#This Row],[Resumo de Alíquotas (PIS+CONFINS+ISS)]]))-100)*VLOOKUP(tabCustoUnit[[#This Row],[Código do Posto]],tabParametros[],MATCH(tabCustoUnit[[#Headers],[COFINS]],tabParametros[#Headers],0),0))/(tabCustoUnit[[#This Row],[Resumo de Alíquotas (PIS+CONFINS+ISS)]]*100)</f>
        <v>8.6609686609686695E-2</v>
      </c>
      <c r="BQ273" s="26">
        <f>((100/((100-(tabCustoUnit[[#This Row],[Resumo de Alíquotas (PIS+CONFINS+ISS)]]*100))%)-100)*VLOOKUP(tabCustoUnit[[#This Row],[Código do Posto]],tabParametros[],MATCH(tabCustoUnit[[#Headers],[PIS]],tabParametros[#Headers],0),0))/(tabCustoUnit[[#This Row],[Resumo de Alíquotas (PIS+CONFINS+ISS)]]*100)</f>
        <v>1.880341880341882E-2</v>
      </c>
      <c r="BR273" s="28">
        <f>VLOOKUP(tabCustoUnit[[#This Row],[Código do Posto]],tabParametros[],MATCH(tabCustoUnit[[#Headers],[ISS]],tabParametros[#Headers],0),0)</f>
        <v>0.03</v>
      </c>
      <c r="BS273" s="26">
        <f>(((100/((100-(tabCustoUnit[[#This Row],[Resumo de Alíquotas (PIS+CONFINS+ISS)]]*100))%)-100)*tabCustoUnit[[#This Row],[ISS]])/tabCustoUnit[[#This Row],[Resumo de Alíquotas (PIS+CONFINS+ISS)]])/100</f>
        <v>3.4188034188034219E-2</v>
      </c>
      <c r="BT27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73" s="138">
        <f>tabCustoUnit[[#This Row],[COFINS]]+tabCustoUnit[[#This Row],[PIS]]+tabCustoUnit[[#This Row],[ISS (Conversão Alíquota s/ fatura)]]</f>
        <v>0.13960113960113973</v>
      </c>
      <c r="BV273" s="22" t="e">
        <f ca="1">(tabCustoUnit[[#This Row],[TOTAL MÓDULOS 1+2+3+4+5]]+tabCustoUnit[[#This Row],[Custos Indiretos]]+tabCustoUnit[[#This Row],[Lucro]])*tabCustoUnit[[#This Row],[PIS + COFINS + ISS (Total Conversão  Alíquota s/ Fatura)]]</f>
        <v>#NAME?</v>
      </c>
      <c r="BW273" s="22" t="e">
        <f ca="1">tabCustoUnit[[#This Row],[Custos Indiretos]]+tabCustoUnit[[#This Row],[Lucro]]+tabCustoUnit[[#This Row],[Valor dos Tributos (ISS, PIS, CONFINS)]]</f>
        <v>#NAME?</v>
      </c>
      <c r="BX273" s="22" t="e">
        <f ca="1">tabCustoUnit[[#This Row],[TOTAL MÓDULOS 1+2+3+4+5]]+tabCustoUnit[[#This Row],[MÓDULO 6 – CUSTOS INDIRETOS, TRIBUTOS E LUCRO]]</f>
        <v>#NAME?</v>
      </c>
      <c r="BY273" s="22" t="e">
        <f ca="1">tabCustoUnit[[#This Row],[CUSTO TOTAL MENSAL]]*12</f>
        <v>#NAME?</v>
      </c>
      <c r="BZ273" s="24">
        <f>VLOOKUP(tabCustoUnit[[#This Row],[Código do Posto]],tabParametros[],MATCH(tabCustoUnit[[#Headers],[ANO DA CCT]],tabParametros[#Headers],0),0)</f>
        <v>45658</v>
      </c>
      <c r="CA273" s="25" t="str">
        <f>VLOOKUP(tabCustoUnit[[#This Row],[Código do Posto]],tabParametros[],MATCH(tabCustoUnit[[#Headers],[Nº DE PEDIDO DA CCT]],tabParametros[#Headers],0),0)</f>
        <v>-</v>
      </c>
      <c r="CB273" s="25" t="str">
        <f>VLOOKUP(tabCustoUnit[[#This Row],[Código do Posto]],tabParametros[],MATCH(tabCustoUnit[[#Headers],[TERMO ADITIVO ALTERAÇÃO DA CCT]],tabParametros[#Headers],0),0)</f>
        <v>-</v>
      </c>
    </row>
    <row r="274" spans="1:80">
      <c r="A274" s="20" t="s">
        <v>1691</v>
      </c>
      <c r="B274" t="s">
        <v>1195</v>
      </c>
      <c r="C274" t="s">
        <v>314</v>
      </c>
      <c r="D274" t="s">
        <v>918</v>
      </c>
      <c r="E274" s="20" t="s">
        <v>1090</v>
      </c>
      <c r="F274" s="20" t="s">
        <v>120</v>
      </c>
      <c r="G274" s="418">
        <v>1963.4110000000001</v>
      </c>
      <c r="H274" s="418">
        <v>0</v>
      </c>
      <c r="I274" s="418">
        <v>0</v>
      </c>
      <c r="J274" s="418">
        <v>0</v>
      </c>
      <c r="K274" s="418">
        <v>0</v>
      </c>
      <c r="L274" s="418">
        <v>0</v>
      </c>
      <c r="M274" s="418">
        <v>0</v>
      </c>
      <c r="N274" s="418">
        <v>0</v>
      </c>
      <c r="O274" s="21">
        <f>SUM(tabCustoUnit[[#This Row],[Salário Base]:[Adicional de Acúmulo de função]])</f>
        <v>1963.4110000000001</v>
      </c>
      <c r="P274" s="21">
        <f>tabCustoUnit[[#This Row],[MODULO 1 - REMUNERAÇÃO ]]*SUMIFS(tabParametros[INSS],tabParametros[Código do Posto],tabCustoUnit[[#This Row],[Código do Posto]])</f>
        <v>392.68220000000002</v>
      </c>
      <c r="Q274" s="21">
        <f>tabCustoUnit[[#This Row],[MODULO 1 - REMUNERAÇÃO ]]*SUMIFS(tabParametros[SESI OU SESC],tabParametros[Código do Posto],tabCustoUnit[[#This Row],[Código do Posto]])</f>
        <v>29.451165</v>
      </c>
      <c r="R274" s="21">
        <f>tabCustoUnit[[#This Row],[MODULO 1 - REMUNERAÇÃO ]]*SUMIFS(tabParametros[SENAI OU SENAC],tabParametros[Código do Posto],tabCustoUnit[[#This Row],[Código do Posto]])</f>
        <v>19.63411</v>
      </c>
      <c r="S274" s="21">
        <f>tabCustoUnit[[#This Row],[MODULO 1 - REMUNERAÇÃO ]]*SUMIFS(tabParametros[INCRA],tabParametros[Código do Posto],tabCustoUnit[[#This Row],[Código do Posto]])</f>
        <v>3.926822</v>
      </c>
      <c r="T274" s="21">
        <f>tabCustoUnit[[#This Row],[MODULO 1 - REMUNERAÇÃO ]]*SUMIFS(tabParametros[Salário Educação],tabParametros[Código do Posto],tabCustoUnit[[#This Row],[Código do Posto]])</f>
        <v>49.085275000000003</v>
      </c>
      <c r="U274" s="21">
        <f>tabCustoUnit[[#This Row],[MODULO 1 - REMUNERAÇÃO ]]*SUMIFS(tabParametros[FGTS],tabParametros[Código do Posto],tabCustoUnit[[#This Row],[Código do Posto]])</f>
        <v>157.07288</v>
      </c>
      <c r="V274" s="21">
        <f>tabCustoUnit[[#This Row],[MODULO 1 - REMUNERAÇÃO ]]*SUMIFS(tabParametros[RAT Ajustado],tabParametros[Código do Posto],tabCustoUnit[[#This Row],[Código do Posto]])</f>
        <v>78.536439999999999</v>
      </c>
      <c r="W274" s="21">
        <f>tabCustoUnit[[#This Row],[MODULO 1 - REMUNERAÇÃO ]]*SUMIFS(tabParametros[SEBRAE],tabParametros[Código do Posto],tabCustoUnit[[#This Row],[Código do Posto]])</f>
        <v>11.780466000000001</v>
      </c>
      <c r="X274" s="21">
        <f>SUM(tabCustoUnit[[#This Row],[INSS]:[SEBRAE]])</f>
        <v>742.1693580000001</v>
      </c>
      <c r="Y274" s="21">
        <f>tabCustoUnit[[#This Row],[MODULO 1 - REMUNERAÇÃO ]]*SUMIFS(tabParametros[13º salário (titular)],tabParametros[Código do Posto],tabCustoUnit[[#This Row],[Código do Posto]])</f>
        <v>163.61758333333333</v>
      </c>
      <c r="Z274" s="21">
        <f>tabCustoUnit[[#This Row],[MODULO 1 - REMUNERAÇÃO ]]*SUMIFS(tabParametros[Férias e Adicional de Férias (titular)],tabParametros[Código do Posto],tabCustoUnit[[#This Row],[Código do Posto]])</f>
        <v>218.15677777777776</v>
      </c>
      <c r="AA274" s="21">
        <f>IFERROR((tabCustoUnit[[#This Row],[Submódulo 2.1]]/tabCustoUnit[[#This Row],[MODULO 1 - REMUNERAÇÃO ]])*SUM(tabCustoUnit[[#This Row],[13º salário (titular)]:[Férias e Adicional de Férias (titular)]]),0)</f>
        <v>144.3107085</v>
      </c>
      <c r="AB274" s="21">
        <f>SUM(tabCustoUnit[[#This Row],[13º salário (titular)]:[Incidência do Submódulo 2.1 sobre 13º Salário, Férias e Adicional de Férias]])</f>
        <v>526.08506961111107</v>
      </c>
      <c r="AC274" s="22" t="e">
        <f ca="1">_xlfn.LET(_xlpm.VT,SUMIF(tabParametros[Código do Posto],tabCustoUnit[[#This Row],[Código do Posto]],tabParametros[Vale - Transporte])*2*20,
IF((_xlpm.VT-tabCustoUnit[[#This Row],[Salário Base]]*0.06)&gt;=0,(_xlpm.VT-tabCustoUnit[[#This Row],[Salário Base]]*0.06),0)
)</f>
        <v>#NAME?</v>
      </c>
      <c r="AD274" s="22">
        <f>IF(SUMIF(tabParametros[Código do Posto],tabCustoUnit[[#This Row],[Código do Posto]],tabParametros[Vale - Alimentação])&lt;=0,0,
SUMIF(tabParametros[Código do Posto],tabCustoUnit[[#This Row],[Código do Posto]],tabParametros[Vale - Alimentação])*20-1)</f>
        <v>582</v>
      </c>
      <c r="AE274" s="22">
        <f>SUMIF(tabParametros[Código do Posto],tabCustoUnit[[#This Row],[Código do Posto]],tabParametros[Cesta Básica])</f>
        <v>0</v>
      </c>
      <c r="AF274" s="22">
        <f>SUMIF(tabParametros[Código do Posto],tabCustoUnit[[#This Row],[Código do Posto]],tabParametros[PAF])</f>
        <v>0</v>
      </c>
      <c r="AG274" s="22">
        <f>SUMIF(tabParametros[Código do Posto],tabCustoUnit[[#This Row],[Código do Posto]],tabParametros[PQM])</f>
        <v>15.07</v>
      </c>
      <c r="AH274" s="22">
        <f>SUMIF(tabParametros[Código do Posto],tabCustoUnit[[#This Row],[Código do Posto]],tabParametros[Abono Único e Especial])</f>
        <v>0</v>
      </c>
      <c r="AI274" s="22">
        <f>SUMIF(tabParametros[Código do Posto],tabCustoUnit[[#This Row],[Código do Posto]],tabParametros[Seguro de Vida])</f>
        <v>3.36</v>
      </c>
      <c r="AJ274" s="22">
        <f>SUMIF(tabParametros[Código do Posto],tabCustoUnit[[#This Row],[Código do Posto]],tabParametros[Despesas de Viagem])</f>
        <v>0</v>
      </c>
      <c r="AK274" s="22" t="e">
        <f ca="1">SUM(tabCustoUnit[[#This Row],[Vale - Transporte (Descontada parcela do empregado)]:[Despesas de Viagem]])</f>
        <v>#NAME?</v>
      </c>
      <c r="AL274" s="22" t="e">
        <f ca="1">tabCustoUnit[[#This Row],[Submódulo 2.1]]+tabCustoUnit[[#This Row],[Submódulo 2.2]]+tabCustoUnit[[#This Row],[Submódulo 2.3]]</f>
        <v>#NAME?</v>
      </c>
      <c r="AM274" s="22">
        <f>SUMIF(tabParametros[Código do Posto],tabCustoUnit[[#This Row],[Código do Posto]],tabParametros[Aviso Prévio Indenizado (API) e Reflexo do Aviso Prévio Indenizado])*tabCustoUnit[[#This Row],[MODULO 1 - REMUNERAÇÃO ]]</f>
        <v>13.766980408757716</v>
      </c>
      <c r="AN274" s="22">
        <f>SUMIF(tabParametros[Código do Posto],tabCustoUnit[[#This Row],[Código do Posto]],tabParametros[Incidência do FGTS sobre API e Reflexo do API])*tabCustoUnit[[#This Row],[MODULO 1 - REMUNERAÇÃO ]]</f>
        <v>1.1013584327006174</v>
      </c>
      <c r="AO274" s="22">
        <f>SUMIF(tabParametros[Código do Posto],tabCustoUnit[[#This Row],[Código do Posto]],tabParametros[Multa Rescisória do FGTS sobre o Aviso Prévio Indenizado])*tabCustoUnit[[#This Row],[MODULO 1 - REMUNERAÇÃO ]]</f>
        <v>0.44054337308024699</v>
      </c>
      <c r="AP274" s="22">
        <f>SUMIF(tabParametros[Código do Posto],tabCustoUnit[[#This Row],[Código do Posto]],tabParametros[Aviso Prévio Trabalhado - APT])*tabCustoUnit[[#This Row],[MODULO 1 - REMUNERAÇÃO ]]</f>
        <v>6.8719385000000015</v>
      </c>
      <c r="AQ274" s="22">
        <f>SUMIF(tabParametros[Código do Posto],tabCustoUnit[[#This Row],[Código do Posto]],tabParametros[Incidência dos encargos do submódulo 2.1 sobre Aviso Prévio Trabalhado])*tabCustoUnit[[#This Row],[MODULO 1 - REMUNERAÇÃO ]]</f>
        <v>2.5975927530000007</v>
      </c>
      <c r="AR274" s="22">
        <f>SUMIF(tabParametros[Código do Posto],tabCustoUnit[[#This Row],[Código do Posto]],tabParametros[Multa Rescisória do FGTS])*tabCustoUnit[[#This Row],[MODULO 1 - REMUNERAÇÃO ]]</f>
        <v>60.03674524444444</v>
      </c>
      <c r="AS274" s="22">
        <f>SUMIF(tabParametros[Código do Posto],tabCustoUnit[[#This Row],[Código do Posto]],tabParametros[Indenização Adicional (Art. 9º da Lei nº 7.238/84)])*tabCustoUnit[[#This Row],[MODULO 1 - REMUNERAÇÃO ]]</f>
        <v>1.6361758333333334</v>
      </c>
      <c r="AT274" s="22">
        <f>SUM(tabCustoUnit[[#This Row],[Aviso Prévio Indenizado (API) e Reflexo do Aviso Prévio Indenizado]:[Indenização Adicional (Art. 9º da Lei nº 7.238/84)]])</f>
        <v>86.451334545316371</v>
      </c>
      <c r="AU274" s="22">
        <f>SUMIF(tabParametros[Código do Posto],tabCustoUnit[[#This Row],[Código do Posto]],tabParametros[Ausência por Doença])*tabCustoUnit[[#This Row],[MODULO 1 - REMUNERAÇÃO ]]</f>
        <v>16.579915111111109</v>
      </c>
      <c r="AV274" s="22">
        <f>SUMIF(tabParametros[Código do Posto],tabCustoUnit[[#This Row],[Código do Posto]],tabParametros[Ausências Legais])*tabCustoUnit[[#This Row],[MODULO 1 - REMUNERAÇÃO ]]</f>
        <v>3.9813611944444443</v>
      </c>
      <c r="AW274" s="22">
        <f>SUMIF(tabParametros[Código do Posto],tabCustoUnit[[#This Row],[Código do Posto]],tabParametros[Licença Paternidade])*tabCustoUnit[[#This Row],[MODULO 1 - REMUNERAÇÃO ]]</f>
        <v>0.33541604583333334</v>
      </c>
      <c r="AX274" s="22">
        <f>SUMIF(tabParametros[Código do Posto],tabCustoUnit[[#This Row],[Código do Posto]],tabParametros[Ausência por Acidente de Trabalho])*tabCustoUnit[[#This Row],[MODULO 1 - REMUNERAÇÃO ]]</f>
        <v>0.40904395833333335</v>
      </c>
      <c r="AY274" s="22">
        <f>SUMIF(tabParametros[Código do Posto],tabCustoUnit[[#This Row],[Código do Posto]],tabParametros[Férias, Adicional de Férias e 13º  com empregada em gozo de Licença Maternidade])*tabCustoUnit[[#This Row],[MODULO 1 - REMUNERAÇÃO ]]</f>
        <v>2.5451624074074073</v>
      </c>
      <c r="AZ274" s="22">
        <f>SUMIF(tabParametros[Código do Posto],tabCustoUnit[[#This Row],[Código do Posto]],tabParametros[Incidência do Submódulo 2.1 sobre Ausências Legais])*tabCustoUnit[[#This Row],[MODULO 1 - REMUNERAÇÃO ]]</f>
        <v>9.0156397150750021</v>
      </c>
      <c r="BA274" s="22">
        <f>SUM(tabCustoUnit[[#This Row],[Ausência por Doença]:[Incidência do Submódulo 2.1 sobre Ausências Legais]])</f>
        <v>32.866538432204628</v>
      </c>
      <c r="BB274" s="22">
        <f>SUMIF(tabParametros[Código do Posto],tabCustoUnit[[#This Row],[Código do Posto]],tabParametros[Intervalo para Repouso ou Alimentação])</f>
        <v>267.73786489195959</v>
      </c>
      <c r="BC274" s="22">
        <f>tabCustoUnit[[#This Row],[Intervalo para Repouso ou Alimentação]]</f>
        <v>267.73786489195959</v>
      </c>
      <c r="BD27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4" s="22">
        <f>tabCustoUnit[[#This Row],[Suspensão Temporária do Contrato de Trabalho]]</f>
        <v>0</v>
      </c>
      <c r="BF274" s="22">
        <f>tabCustoUnit[[#This Row],[Submódulo 4.1]]+tabCustoUnit[[#This Row],[Submódulo 4.2]]+tabCustoUnit[[#This Row],[Submódulo 4.3]]</f>
        <v>300.6044033241642</v>
      </c>
      <c r="BG274" s="22">
        <f>VLOOKUP(tabCustoUnit[[#This Row],[Código do Posto]],tabParametros[],MATCH(tabCustoUnit[[#Headers],[Uniformes e EPIs]],tabParametros[#Headers],0),0)</f>
        <v>56.642978962543395</v>
      </c>
      <c r="BH274" s="22">
        <f>VLOOKUP(tabCustoUnit[[#This Row],[Código do Posto]],tabParametros[],MATCH(tabCustoUnit[[#Headers],[Materiais de Consumo]],tabParametros[#Headers],0),0)</f>
        <v>0</v>
      </c>
      <c r="BI274" s="22">
        <f>VLOOKUP(tabCustoUnit[[#This Row],[Código do Posto]],tabParametros[],MATCH(tabCustoUnit[[#Headers],[Máquinas e Equipamentos (depreciação)]],tabParametros[#Headers],0),0)</f>
        <v>0</v>
      </c>
      <c r="BJ274" s="22">
        <f>VLOOKUP(tabCustoUnit[[#This Row],[Código do Posto]],tabParametros[],MATCH(tabCustoUnit[[#Headers],[Produtos de Limpeza e Materiais de Higiene Pessoal]],tabParametros[#Headers],0),0)</f>
        <v>0</v>
      </c>
      <c r="BK274" s="22">
        <f>VLOOKUP(tabCustoUnit[[#This Row],[Código do Posto]],tabParametros[],MATCH(tabCustoUnit[[#Headers],[Outros (especificar)]],tabParametros[#Headers],0),0)</f>
        <v>0</v>
      </c>
      <c r="BL274" s="22">
        <f>SUM(tabCustoUnit[[#This Row],[Uniformes e EPIs]:[Outros (especificar)]])</f>
        <v>56.642978962543395</v>
      </c>
      <c r="BM27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4" s="22" t="e">
        <f ca="1">VLOOKUP(tabCustoUnit[[#This Row],[Código do Posto]],tabParametros[],MATCH(tabCustoUnit[[#Headers],[Custos Indiretos]],tabParametros[#Headers],0),0)</f>
        <v>#NAME?</v>
      </c>
      <c r="BO274" s="22" t="e">
        <f ca="1">VLOOKUP(tabCustoUnit[[#This Row],[Código do Posto]],tabParametros[],MATCH(tabCustoUnit[[#Headers],[Lucro]],tabParametros[#Headers],0),0)</f>
        <v>#NAME?</v>
      </c>
      <c r="BP274" s="26">
        <f>((100/((1-tabCustoUnit[[#This Row],[Resumo de Alíquotas (PIS+CONFINS+ISS)]]))-100)*VLOOKUP(tabCustoUnit[[#This Row],[Código do Posto]],tabParametros[],MATCH(tabCustoUnit[[#Headers],[COFINS]],tabParametros[#Headers],0),0))/(tabCustoUnit[[#This Row],[Resumo de Alíquotas (PIS+CONFINS+ISS)]]*100)</f>
        <v>8.6609686609686695E-2</v>
      </c>
      <c r="BQ274" s="26">
        <f>((100/((100-(tabCustoUnit[[#This Row],[Resumo de Alíquotas (PIS+CONFINS+ISS)]]*100))%)-100)*VLOOKUP(tabCustoUnit[[#This Row],[Código do Posto]],tabParametros[],MATCH(tabCustoUnit[[#Headers],[PIS]],tabParametros[#Headers],0),0))/(tabCustoUnit[[#This Row],[Resumo de Alíquotas (PIS+CONFINS+ISS)]]*100)</f>
        <v>1.880341880341882E-2</v>
      </c>
      <c r="BR274" s="28">
        <f>VLOOKUP(tabCustoUnit[[#This Row],[Código do Posto]],tabParametros[],MATCH(tabCustoUnit[[#Headers],[ISS]],tabParametros[#Headers],0),0)</f>
        <v>0.03</v>
      </c>
      <c r="BS274" s="26">
        <f>(((100/((100-(tabCustoUnit[[#This Row],[Resumo de Alíquotas (PIS+CONFINS+ISS)]]*100))%)-100)*tabCustoUnit[[#This Row],[ISS]])/tabCustoUnit[[#This Row],[Resumo de Alíquotas (PIS+CONFINS+ISS)]])/100</f>
        <v>3.4188034188034219E-2</v>
      </c>
      <c r="BT27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74" s="138">
        <f>tabCustoUnit[[#This Row],[COFINS]]+tabCustoUnit[[#This Row],[PIS]]+tabCustoUnit[[#This Row],[ISS (Conversão Alíquota s/ fatura)]]</f>
        <v>0.13960113960113973</v>
      </c>
      <c r="BV274" s="22" t="e">
        <f ca="1">(tabCustoUnit[[#This Row],[TOTAL MÓDULOS 1+2+3+4+5]]+tabCustoUnit[[#This Row],[Custos Indiretos]]+tabCustoUnit[[#This Row],[Lucro]])*tabCustoUnit[[#This Row],[PIS + COFINS + ISS (Total Conversão  Alíquota s/ Fatura)]]</f>
        <v>#NAME?</v>
      </c>
      <c r="BW274" s="22" t="e">
        <f ca="1">tabCustoUnit[[#This Row],[Custos Indiretos]]+tabCustoUnit[[#This Row],[Lucro]]+tabCustoUnit[[#This Row],[Valor dos Tributos (ISS, PIS, CONFINS)]]</f>
        <v>#NAME?</v>
      </c>
      <c r="BX274" s="22" t="e">
        <f ca="1">tabCustoUnit[[#This Row],[TOTAL MÓDULOS 1+2+3+4+5]]+tabCustoUnit[[#This Row],[MÓDULO 6 – CUSTOS INDIRETOS, TRIBUTOS E LUCRO]]</f>
        <v>#NAME?</v>
      </c>
      <c r="BY274" s="22" t="e">
        <f ca="1">tabCustoUnit[[#This Row],[CUSTO TOTAL MENSAL]]*12</f>
        <v>#NAME?</v>
      </c>
      <c r="BZ274" s="24">
        <f>VLOOKUP(tabCustoUnit[[#This Row],[Código do Posto]],tabParametros[],MATCH(tabCustoUnit[[#Headers],[ANO DA CCT]],tabParametros[#Headers],0),0)</f>
        <v>45658</v>
      </c>
      <c r="CA274" s="25" t="str">
        <f>VLOOKUP(tabCustoUnit[[#This Row],[Código do Posto]],tabParametros[],MATCH(tabCustoUnit[[#Headers],[Nº DE PEDIDO DA CCT]],tabParametros[#Headers],0),0)</f>
        <v>-</v>
      </c>
      <c r="CB274" s="25" t="str">
        <f>VLOOKUP(tabCustoUnit[[#This Row],[Código do Posto]],tabParametros[],MATCH(tabCustoUnit[[#Headers],[TERMO ADITIVO ALTERAÇÃO DA CCT]],tabParametros[#Headers],0),0)</f>
        <v>-</v>
      </c>
    </row>
    <row r="275" spans="1:80">
      <c r="A275" s="20" t="s">
        <v>1507</v>
      </c>
      <c r="B275" t="s">
        <v>1196</v>
      </c>
      <c r="C275" t="s">
        <v>314</v>
      </c>
      <c r="D275" t="s">
        <v>1058</v>
      </c>
      <c r="E275" s="20" t="s">
        <v>1090</v>
      </c>
      <c r="F275" s="20" t="s">
        <v>120</v>
      </c>
      <c r="G275" s="418">
        <v>2134.8035</v>
      </c>
      <c r="H275" s="418">
        <v>0</v>
      </c>
      <c r="I275" s="418">
        <v>0</v>
      </c>
      <c r="J275" s="418">
        <v>0</v>
      </c>
      <c r="K275" s="418">
        <v>0</v>
      </c>
      <c r="L275" s="418">
        <v>0</v>
      </c>
      <c r="M275" s="418">
        <v>0</v>
      </c>
      <c r="N275" s="418">
        <v>0</v>
      </c>
      <c r="O275" s="21">
        <f>SUM(tabCustoUnit[[#This Row],[Salário Base]:[Adicional de Acúmulo de função]])</f>
        <v>2134.8035</v>
      </c>
      <c r="P275" s="21">
        <f>tabCustoUnit[[#This Row],[MODULO 1 - REMUNERAÇÃO ]]*SUMIFS(tabParametros[INSS],tabParametros[Código do Posto],tabCustoUnit[[#This Row],[Código do Posto]])</f>
        <v>426.96070000000003</v>
      </c>
      <c r="Q275" s="21">
        <f>tabCustoUnit[[#This Row],[MODULO 1 - REMUNERAÇÃO ]]*SUMIFS(tabParametros[SESI OU SESC],tabParametros[Código do Posto],tabCustoUnit[[#This Row],[Código do Posto]])</f>
        <v>32.022052500000001</v>
      </c>
      <c r="R275" s="21">
        <f>tabCustoUnit[[#This Row],[MODULO 1 - REMUNERAÇÃO ]]*SUMIFS(tabParametros[SENAI OU SENAC],tabParametros[Código do Posto],tabCustoUnit[[#This Row],[Código do Posto]])</f>
        <v>21.348034999999999</v>
      </c>
      <c r="S275" s="21">
        <f>tabCustoUnit[[#This Row],[MODULO 1 - REMUNERAÇÃO ]]*SUMIFS(tabParametros[INCRA],tabParametros[Código do Posto],tabCustoUnit[[#This Row],[Código do Posto]])</f>
        <v>4.2696069999999997</v>
      </c>
      <c r="T275" s="21">
        <f>tabCustoUnit[[#This Row],[MODULO 1 - REMUNERAÇÃO ]]*SUMIFS(tabParametros[Salário Educação],tabParametros[Código do Posto],tabCustoUnit[[#This Row],[Código do Posto]])</f>
        <v>53.370087500000004</v>
      </c>
      <c r="U275" s="21">
        <f>tabCustoUnit[[#This Row],[MODULO 1 - REMUNERAÇÃO ]]*SUMIFS(tabParametros[FGTS],tabParametros[Código do Posto],tabCustoUnit[[#This Row],[Código do Posto]])</f>
        <v>170.78428</v>
      </c>
      <c r="V275" s="21">
        <f>tabCustoUnit[[#This Row],[MODULO 1 - REMUNERAÇÃO ]]*SUMIFS(tabParametros[RAT Ajustado],tabParametros[Código do Posto],tabCustoUnit[[#This Row],[Código do Posto]])</f>
        <v>85.392139999999998</v>
      </c>
      <c r="W275" s="21">
        <f>tabCustoUnit[[#This Row],[MODULO 1 - REMUNERAÇÃO ]]*SUMIFS(tabParametros[SEBRAE],tabParametros[Código do Posto],tabCustoUnit[[#This Row],[Código do Posto]])</f>
        <v>12.808821</v>
      </c>
      <c r="X275" s="21">
        <f>SUM(tabCustoUnit[[#This Row],[INSS]:[SEBRAE]])</f>
        <v>806.95572300000003</v>
      </c>
      <c r="Y275" s="21">
        <f>tabCustoUnit[[#This Row],[MODULO 1 - REMUNERAÇÃO ]]*SUMIFS(tabParametros[13º salário (titular)],tabParametros[Código do Posto],tabCustoUnit[[#This Row],[Código do Posto]])</f>
        <v>177.90029166666665</v>
      </c>
      <c r="Z275" s="21">
        <f>tabCustoUnit[[#This Row],[MODULO 1 - REMUNERAÇÃO ]]*SUMIFS(tabParametros[Férias e Adicional de Férias (titular)],tabParametros[Código do Posto],tabCustoUnit[[#This Row],[Código do Posto]])</f>
        <v>237.20038888888888</v>
      </c>
      <c r="AA275" s="21">
        <f>IFERROR((tabCustoUnit[[#This Row],[Submódulo 2.1]]/tabCustoUnit[[#This Row],[MODULO 1 - REMUNERAÇÃO ]])*SUM(tabCustoUnit[[#This Row],[13º salário (titular)]:[Férias e Adicional de Férias (titular)]]),0)</f>
        <v>156.90805724999998</v>
      </c>
      <c r="AB275" s="21">
        <f>SUM(tabCustoUnit[[#This Row],[13º salário (titular)]:[Incidência do Submódulo 2.1 sobre 13º Salário, Férias e Adicional de Férias]])</f>
        <v>572.00873780555548</v>
      </c>
      <c r="AC275" s="22" t="e">
        <f ca="1">_xlfn.LET(_xlpm.VT,SUMIF(tabParametros[Código do Posto],tabCustoUnit[[#This Row],[Código do Posto]],tabParametros[Vale - Transporte])*2*20,
IF((_xlpm.VT-tabCustoUnit[[#This Row],[Salário Base]]*0.06)&gt;=0,(_xlpm.VT-tabCustoUnit[[#This Row],[Salário Base]]*0.06),0)
)</f>
        <v>#NAME?</v>
      </c>
      <c r="AD275" s="22">
        <f>IF(SUMIF(tabParametros[Código do Posto],tabCustoUnit[[#This Row],[Código do Posto]],tabParametros[Vale - Alimentação])&lt;=0,0,
SUMIF(tabParametros[Código do Posto],tabCustoUnit[[#This Row],[Código do Posto]],tabParametros[Vale - Alimentação])*20-1)</f>
        <v>582</v>
      </c>
      <c r="AE275" s="22">
        <f>SUMIF(tabParametros[Código do Posto],tabCustoUnit[[#This Row],[Código do Posto]],tabParametros[Cesta Básica])</f>
        <v>0</v>
      </c>
      <c r="AF275" s="22">
        <f>SUMIF(tabParametros[Código do Posto],tabCustoUnit[[#This Row],[Código do Posto]],tabParametros[PAF])</f>
        <v>77.25</v>
      </c>
      <c r="AG275" s="22">
        <f>SUMIF(tabParametros[Código do Posto],tabCustoUnit[[#This Row],[Código do Posto]],tabParametros[PQM])</f>
        <v>0</v>
      </c>
      <c r="AH275" s="22">
        <f>SUMIF(tabParametros[Código do Posto],tabCustoUnit[[#This Row],[Código do Posto]],tabParametros[Abono Único e Especial])</f>
        <v>0</v>
      </c>
      <c r="AI275" s="22">
        <f>SUMIF(tabParametros[Código do Posto],tabCustoUnit[[#This Row],[Código do Posto]],tabParametros[Seguro de Vida])</f>
        <v>3.36</v>
      </c>
      <c r="AJ275" s="22">
        <f>SUMIF(tabParametros[Código do Posto],tabCustoUnit[[#This Row],[Código do Posto]],tabParametros[Despesas de Viagem])</f>
        <v>0</v>
      </c>
      <c r="AK275" s="22" t="e">
        <f ca="1">SUM(tabCustoUnit[[#This Row],[Vale - Transporte (Descontada parcela do empregado)]:[Despesas de Viagem]])</f>
        <v>#NAME?</v>
      </c>
      <c r="AL275" s="22" t="e">
        <f ca="1">tabCustoUnit[[#This Row],[Submódulo 2.1]]+tabCustoUnit[[#This Row],[Submódulo 2.2]]+tabCustoUnit[[#This Row],[Submódulo 2.3]]</f>
        <v>#NAME?</v>
      </c>
      <c r="AM275" s="22">
        <f>SUMIF(tabParametros[Código do Posto],tabCustoUnit[[#This Row],[Código do Posto]],tabParametros[Aviso Prévio Indenizado (API) e Reflexo do Aviso Prévio Indenizado])*tabCustoUnit[[#This Row],[MODULO 1 - REMUNERAÇÃO ]]</f>
        <v>14.968744680073302</v>
      </c>
      <c r="AN275" s="22">
        <f>SUMIF(tabParametros[Código do Posto],tabCustoUnit[[#This Row],[Código do Posto]],tabParametros[Incidência do FGTS sobre API e Reflexo do API])*tabCustoUnit[[#This Row],[MODULO 1 - REMUNERAÇÃO ]]</f>
        <v>1.1974995744058643</v>
      </c>
      <c r="AO275" s="22">
        <f>SUMIF(tabParametros[Código do Posto],tabCustoUnit[[#This Row],[Código do Posto]],tabParametros[Multa Rescisória do FGTS sobre o Aviso Prévio Indenizado])*tabCustoUnit[[#This Row],[MODULO 1 - REMUNERAÇÃO ]]</f>
        <v>0.47899982976234579</v>
      </c>
      <c r="AP275" s="22">
        <f>SUMIF(tabParametros[Código do Posto],tabCustoUnit[[#This Row],[Código do Posto]],tabParametros[Aviso Prévio Trabalhado - APT])*tabCustoUnit[[#This Row],[MODULO 1 - REMUNERAÇÃO ]]</f>
        <v>7.471812250000001</v>
      </c>
      <c r="AQ275" s="22">
        <f>SUMIF(tabParametros[Código do Posto],tabCustoUnit[[#This Row],[Código do Posto]],tabParametros[Incidência dos encargos do submódulo 2.1 sobre Aviso Prévio Trabalhado])*tabCustoUnit[[#This Row],[MODULO 1 - REMUNERAÇÃO ]]</f>
        <v>2.8243450305000009</v>
      </c>
      <c r="AR275" s="22">
        <f>SUMIF(tabParametros[Código do Posto],tabCustoUnit[[#This Row],[Código do Posto]],tabParametros[Multa Rescisória do FGTS])*tabCustoUnit[[#This Row],[MODULO 1 - REMUNERAÇÃO ]]</f>
        <v>65.277547022222208</v>
      </c>
      <c r="AS275" s="22">
        <f>SUMIF(tabParametros[Código do Posto],tabCustoUnit[[#This Row],[Código do Posto]],tabParametros[Indenização Adicional (Art. 9º da Lei nº 7.238/84)])*tabCustoUnit[[#This Row],[MODULO 1 - REMUNERAÇÃO ]]</f>
        <v>1.7790029166666668</v>
      </c>
      <c r="AT275" s="22">
        <f>SUM(tabCustoUnit[[#This Row],[Aviso Prévio Indenizado (API) e Reflexo do Aviso Prévio Indenizado]:[Indenização Adicional (Art. 9º da Lei nº 7.238/84)]])</f>
        <v>93.997951303630387</v>
      </c>
      <c r="AU275" s="22">
        <f>SUMIF(tabParametros[Código do Posto],tabCustoUnit[[#This Row],[Código do Posto]],tabParametros[Ausência por Doença])*tabCustoUnit[[#This Row],[MODULO 1 - REMUNERAÇÃO ]]</f>
        <v>18.027229555555554</v>
      </c>
      <c r="AV275" s="22">
        <f>SUMIF(tabParametros[Código do Posto],tabCustoUnit[[#This Row],[Código do Posto]],tabParametros[Ausências Legais])*tabCustoUnit[[#This Row],[MODULO 1 - REMUNERAÇÃO ]]</f>
        <v>4.3289070972222223</v>
      </c>
      <c r="AW275" s="22">
        <f>SUMIF(tabParametros[Código do Posto],tabCustoUnit[[#This Row],[Código do Posto]],tabParametros[Licença Paternidade])*tabCustoUnit[[#This Row],[MODULO 1 - REMUNERAÇÃO ]]</f>
        <v>0.36469559791666667</v>
      </c>
      <c r="AX275" s="22">
        <f>SUMIF(tabParametros[Código do Posto],tabCustoUnit[[#This Row],[Código do Posto]],tabParametros[Ausência por Acidente de Trabalho])*tabCustoUnit[[#This Row],[MODULO 1 - REMUNERAÇÃO ]]</f>
        <v>0.44475072916666669</v>
      </c>
      <c r="AY275" s="22">
        <f>SUMIF(tabParametros[Código do Posto],tabCustoUnit[[#This Row],[Código do Posto]],tabParametros[Férias, Adicional de Férias e 13º  com empregada em gozo de Licença Maternidade])*tabCustoUnit[[#This Row],[MODULO 1 - REMUNERAÇÃO ]]</f>
        <v>2.7673378703703704</v>
      </c>
      <c r="AZ275" s="22">
        <f>SUMIF(tabParametros[Código do Posto],tabCustoUnit[[#This Row],[Código do Posto]],tabParametros[Incidência do Submódulo 2.1 sobre Ausências Legais])*tabCustoUnit[[#This Row],[MODULO 1 - REMUNERAÇÃO ]]</f>
        <v>9.802644081387502</v>
      </c>
      <c r="BA275" s="22">
        <f>SUM(tabCustoUnit[[#This Row],[Ausência por Doença]:[Incidência do Submódulo 2.1 sobre Ausências Legais]])</f>
        <v>35.735564931618981</v>
      </c>
      <c r="BB275" s="22">
        <f>SUMIF(tabParametros[Código do Posto],tabCustoUnit[[#This Row],[Código do Posto]],tabParametros[Intervalo para Repouso ou Alimentação])</f>
        <v>291.10956680899955</v>
      </c>
      <c r="BC275" s="22">
        <f>tabCustoUnit[[#This Row],[Intervalo para Repouso ou Alimentação]]</f>
        <v>291.10956680899955</v>
      </c>
      <c r="BD27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5" s="22">
        <f>tabCustoUnit[[#This Row],[Suspensão Temporária do Contrato de Trabalho]]</f>
        <v>0</v>
      </c>
      <c r="BF275" s="22">
        <f>tabCustoUnit[[#This Row],[Submódulo 4.1]]+tabCustoUnit[[#This Row],[Submódulo 4.2]]+tabCustoUnit[[#This Row],[Submódulo 4.3]]</f>
        <v>326.84513174061851</v>
      </c>
      <c r="BG275" s="22">
        <f>VLOOKUP(tabCustoUnit[[#This Row],[Código do Posto]],tabParametros[],MATCH(tabCustoUnit[[#Headers],[Uniformes e EPIs]],tabParametros[#Headers],0),0)</f>
        <v>56.642978962543395</v>
      </c>
      <c r="BH275" s="22">
        <f>VLOOKUP(tabCustoUnit[[#This Row],[Código do Posto]],tabParametros[],MATCH(tabCustoUnit[[#Headers],[Materiais de Consumo]],tabParametros[#Headers],0),0)</f>
        <v>0</v>
      </c>
      <c r="BI275" s="22">
        <f>VLOOKUP(tabCustoUnit[[#This Row],[Código do Posto]],tabParametros[],MATCH(tabCustoUnit[[#Headers],[Máquinas e Equipamentos (depreciação)]],tabParametros[#Headers],0),0)</f>
        <v>0</v>
      </c>
      <c r="BJ275" s="22">
        <f>VLOOKUP(tabCustoUnit[[#This Row],[Código do Posto]],tabParametros[],MATCH(tabCustoUnit[[#Headers],[Produtos de Limpeza e Materiais de Higiene Pessoal]],tabParametros[#Headers],0),0)</f>
        <v>0</v>
      </c>
      <c r="BK275" s="22">
        <f>VLOOKUP(tabCustoUnit[[#This Row],[Código do Posto]],tabParametros[],MATCH(tabCustoUnit[[#Headers],[Outros (especificar)]],tabParametros[#Headers],0),0)</f>
        <v>0</v>
      </c>
      <c r="BL275" s="22">
        <f>SUM(tabCustoUnit[[#This Row],[Uniformes e EPIs]:[Outros (especificar)]])</f>
        <v>56.642978962543395</v>
      </c>
      <c r="BM27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5" s="22" t="e">
        <f ca="1">VLOOKUP(tabCustoUnit[[#This Row],[Código do Posto]],tabParametros[],MATCH(tabCustoUnit[[#Headers],[Custos Indiretos]],tabParametros[#Headers],0),0)</f>
        <v>#NAME?</v>
      </c>
      <c r="BO275" s="22" t="e">
        <f ca="1">VLOOKUP(tabCustoUnit[[#This Row],[Código do Posto]],tabParametros[],MATCH(tabCustoUnit[[#Headers],[Lucro]],tabParametros[#Headers],0),0)</f>
        <v>#NAME?</v>
      </c>
      <c r="BP275" s="26">
        <f>((100/((1-tabCustoUnit[[#This Row],[Resumo de Alíquotas (PIS+CONFINS+ISS)]]))-100)*VLOOKUP(tabCustoUnit[[#This Row],[Código do Posto]],tabParametros[],MATCH(tabCustoUnit[[#Headers],[COFINS]],tabParametros[#Headers],0),0))/(tabCustoUnit[[#This Row],[Resumo de Alíquotas (PIS+CONFINS+ISS)]]*100)</f>
        <v>8.5633802816901458E-2</v>
      </c>
      <c r="BQ275" s="26">
        <f>((100/((100-(tabCustoUnit[[#This Row],[Resumo de Alíquotas (PIS+CONFINS+ISS)]]*100))%)-100)*VLOOKUP(tabCustoUnit[[#This Row],[Código do Posto]],tabParametros[],MATCH(tabCustoUnit[[#Headers],[PIS]],tabParametros[#Headers],0),0))/(tabCustoUnit[[#This Row],[Resumo de Alíquotas (PIS+CONFINS+ISS)]]*100)</f>
        <v>1.8591549295774657E-2</v>
      </c>
      <c r="BR275" s="28">
        <f>VLOOKUP(tabCustoUnit[[#This Row],[Código do Posto]],tabParametros[],MATCH(tabCustoUnit[[#Headers],[ISS]],tabParametros[#Headers],0),0)</f>
        <v>0.02</v>
      </c>
      <c r="BS275" s="26">
        <f>(((100/((100-(tabCustoUnit[[#This Row],[Resumo de Alíquotas (PIS+CONFINS+ISS)]]*100))%)-100)*tabCustoUnit[[#This Row],[ISS]])/tabCustoUnit[[#This Row],[Resumo de Alíquotas (PIS+CONFINS+ISS)]])/100</f>
        <v>2.2535211267605645E-2</v>
      </c>
      <c r="BT27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75" s="138">
        <f>tabCustoUnit[[#This Row],[COFINS]]+tabCustoUnit[[#This Row],[PIS]]+tabCustoUnit[[#This Row],[ISS (Conversão Alíquota s/ fatura)]]</f>
        <v>0.12676056338028174</v>
      </c>
      <c r="BV275" s="22" t="e">
        <f ca="1">(tabCustoUnit[[#This Row],[TOTAL MÓDULOS 1+2+3+4+5]]+tabCustoUnit[[#This Row],[Custos Indiretos]]+tabCustoUnit[[#This Row],[Lucro]])*tabCustoUnit[[#This Row],[PIS + COFINS + ISS (Total Conversão  Alíquota s/ Fatura)]]</f>
        <v>#NAME?</v>
      </c>
      <c r="BW275" s="22" t="e">
        <f ca="1">tabCustoUnit[[#This Row],[Custos Indiretos]]+tabCustoUnit[[#This Row],[Lucro]]+tabCustoUnit[[#This Row],[Valor dos Tributos (ISS, PIS, CONFINS)]]</f>
        <v>#NAME?</v>
      </c>
      <c r="BX275" s="22" t="e">
        <f ca="1">tabCustoUnit[[#This Row],[TOTAL MÓDULOS 1+2+3+4+5]]+tabCustoUnit[[#This Row],[MÓDULO 6 – CUSTOS INDIRETOS, TRIBUTOS E LUCRO]]</f>
        <v>#NAME?</v>
      </c>
      <c r="BY275" s="22" t="e">
        <f ca="1">tabCustoUnit[[#This Row],[CUSTO TOTAL MENSAL]]*12</f>
        <v>#NAME?</v>
      </c>
      <c r="BZ275" s="24">
        <f>VLOOKUP(tabCustoUnit[[#This Row],[Código do Posto]],tabParametros[],MATCH(tabCustoUnit[[#Headers],[ANO DA CCT]],tabParametros[#Headers],0),0)</f>
        <v>45658</v>
      </c>
      <c r="CA275" s="25" t="str">
        <f>VLOOKUP(tabCustoUnit[[#This Row],[Código do Posto]],tabParametros[],MATCH(tabCustoUnit[[#Headers],[Nº DE PEDIDO DA CCT]],tabParametros[#Headers],0),0)</f>
        <v>-</v>
      </c>
      <c r="CB275" s="25" t="str">
        <f>VLOOKUP(tabCustoUnit[[#This Row],[Código do Posto]],tabParametros[],MATCH(tabCustoUnit[[#Headers],[TERMO ADITIVO ALTERAÇÃO DA CCT]],tabParametros[#Headers],0),0)</f>
        <v>-</v>
      </c>
    </row>
    <row r="276" spans="1:80">
      <c r="A276" s="20" t="s">
        <v>1692</v>
      </c>
      <c r="B276" t="s">
        <v>1196</v>
      </c>
      <c r="C276" t="s">
        <v>324</v>
      </c>
      <c r="D276" t="s">
        <v>1058</v>
      </c>
      <c r="E276" s="20" t="s">
        <v>1090</v>
      </c>
      <c r="F276" s="20" t="s">
        <v>120</v>
      </c>
      <c r="G276" s="418">
        <v>3397.1306</v>
      </c>
      <c r="H276" s="418">
        <v>0</v>
      </c>
      <c r="I276" s="418">
        <v>0</v>
      </c>
      <c r="J276" s="418">
        <v>0</v>
      </c>
      <c r="K276" s="418">
        <v>0</v>
      </c>
      <c r="L276" s="418">
        <v>0</v>
      </c>
      <c r="M276" s="418">
        <v>0</v>
      </c>
      <c r="N276" s="418">
        <v>0</v>
      </c>
      <c r="O276" s="21">
        <f>SUM(tabCustoUnit[[#This Row],[Salário Base]:[Adicional de Acúmulo de função]])</f>
        <v>3397.1306</v>
      </c>
      <c r="P276" s="21">
        <f>tabCustoUnit[[#This Row],[MODULO 1 - REMUNERAÇÃO ]]*SUMIFS(tabParametros[INSS],tabParametros[Código do Posto],tabCustoUnit[[#This Row],[Código do Posto]])</f>
        <v>679.42612000000008</v>
      </c>
      <c r="Q276" s="21">
        <f>tabCustoUnit[[#This Row],[MODULO 1 - REMUNERAÇÃO ]]*SUMIFS(tabParametros[SESI OU SESC],tabParametros[Código do Posto],tabCustoUnit[[#This Row],[Código do Posto]])</f>
        <v>50.956958999999998</v>
      </c>
      <c r="R276" s="21">
        <f>tabCustoUnit[[#This Row],[MODULO 1 - REMUNERAÇÃO ]]*SUMIFS(tabParametros[SENAI OU SENAC],tabParametros[Código do Posto],tabCustoUnit[[#This Row],[Código do Posto]])</f>
        <v>33.971305999999998</v>
      </c>
      <c r="S276" s="21">
        <f>tabCustoUnit[[#This Row],[MODULO 1 - REMUNERAÇÃO ]]*SUMIFS(tabParametros[INCRA],tabParametros[Código do Posto],tabCustoUnit[[#This Row],[Código do Posto]])</f>
        <v>6.7942612000000002</v>
      </c>
      <c r="T276" s="21">
        <f>tabCustoUnit[[#This Row],[MODULO 1 - REMUNERAÇÃO ]]*SUMIFS(tabParametros[Salário Educação],tabParametros[Código do Posto],tabCustoUnit[[#This Row],[Código do Posto]])</f>
        <v>84.92826500000001</v>
      </c>
      <c r="U276" s="21">
        <f>tabCustoUnit[[#This Row],[MODULO 1 - REMUNERAÇÃO ]]*SUMIFS(tabParametros[FGTS],tabParametros[Código do Posto],tabCustoUnit[[#This Row],[Código do Posto]])</f>
        <v>271.77044799999999</v>
      </c>
      <c r="V276" s="21">
        <f>tabCustoUnit[[#This Row],[MODULO 1 - REMUNERAÇÃO ]]*SUMIFS(tabParametros[RAT Ajustado],tabParametros[Código do Posto],tabCustoUnit[[#This Row],[Código do Posto]])</f>
        <v>135.88522399999999</v>
      </c>
      <c r="W276" s="21">
        <f>tabCustoUnit[[#This Row],[MODULO 1 - REMUNERAÇÃO ]]*SUMIFS(tabParametros[SEBRAE],tabParametros[Código do Posto],tabCustoUnit[[#This Row],[Código do Posto]])</f>
        <v>20.3827836</v>
      </c>
      <c r="X276" s="21">
        <f>SUM(tabCustoUnit[[#This Row],[INSS]:[SEBRAE]])</f>
        <v>1284.1153668000002</v>
      </c>
      <c r="Y276" s="21">
        <f>tabCustoUnit[[#This Row],[MODULO 1 - REMUNERAÇÃO ]]*SUMIFS(tabParametros[13º salário (titular)],tabParametros[Código do Posto],tabCustoUnit[[#This Row],[Código do Posto]])</f>
        <v>283.09421666666663</v>
      </c>
      <c r="Z276" s="21">
        <f>tabCustoUnit[[#This Row],[MODULO 1 - REMUNERAÇÃO ]]*SUMIFS(tabParametros[Férias e Adicional de Férias (titular)],tabParametros[Código do Posto],tabCustoUnit[[#This Row],[Código do Posto]])</f>
        <v>377.45895555555552</v>
      </c>
      <c r="AA276" s="21">
        <f>IFERROR((tabCustoUnit[[#This Row],[Submódulo 2.1]]/tabCustoUnit[[#This Row],[MODULO 1 - REMUNERAÇÃO ]])*SUM(tabCustoUnit[[#This Row],[13º salário (titular)]:[Férias e Adicional de Férias (titular)]]),0)</f>
        <v>249.68909910000002</v>
      </c>
      <c r="AB276" s="21">
        <f>SUM(tabCustoUnit[[#This Row],[13º salário (titular)]:[Incidência do Submódulo 2.1 sobre 13º Salário, Férias e Adicional de Férias]])</f>
        <v>910.24227132222222</v>
      </c>
      <c r="AC276" s="22" t="e">
        <f ca="1">_xlfn.LET(_xlpm.VT,SUMIF(tabParametros[Código do Posto],tabCustoUnit[[#This Row],[Código do Posto]],tabParametros[Vale - Transporte])*2*20,
IF((_xlpm.VT-tabCustoUnit[[#This Row],[Salário Base]]*0.06)&gt;=0,(_xlpm.VT-tabCustoUnit[[#This Row],[Salário Base]]*0.06),0)
)</f>
        <v>#NAME?</v>
      </c>
      <c r="AD276" s="22">
        <f>IF(SUMIF(tabParametros[Código do Posto],tabCustoUnit[[#This Row],[Código do Posto]],tabParametros[Vale - Alimentação])&lt;=0,0,
SUMIF(tabParametros[Código do Posto],tabCustoUnit[[#This Row],[Código do Posto]],tabParametros[Vale - Alimentação])*20-1)</f>
        <v>582</v>
      </c>
      <c r="AE276" s="22">
        <f>SUMIF(tabParametros[Código do Posto],tabCustoUnit[[#This Row],[Código do Posto]],tabParametros[Cesta Básica])</f>
        <v>0</v>
      </c>
      <c r="AF276" s="22">
        <f>SUMIF(tabParametros[Código do Posto],tabCustoUnit[[#This Row],[Código do Posto]],tabParametros[PAF])</f>
        <v>77.25</v>
      </c>
      <c r="AG276" s="22">
        <f>SUMIF(tabParametros[Código do Posto],tabCustoUnit[[#This Row],[Código do Posto]],tabParametros[PQM])</f>
        <v>0</v>
      </c>
      <c r="AH276" s="22">
        <f>SUMIF(tabParametros[Código do Posto],tabCustoUnit[[#This Row],[Código do Posto]],tabParametros[Abono Único e Especial])</f>
        <v>0</v>
      </c>
      <c r="AI276" s="22">
        <f>SUMIF(tabParametros[Código do Posto],tabCustoUnit[[#This Row],[Código do Posto]],tabParametros[Seguro de Vida])</f>
        <v>3.36</v>
      </c>
      <c r="AJ276" s="22">
        <f>SUMIF(tabParametros[Código do Posto],tabCustoUnit[[#This Row],[Código do Posto]],tabParametros[Despesas de Viagem])</f>
        <v>0</v>
      </c>
      <c r="AK276" s="22" t="e">
        <f ca="1">SUM(tabCustoUnit[[#This Row],[Vale - Transporte (Descontada parcela do empregado)]:[Despesas de Viagem]])</f>
        <v>#NAME?</v>
      </c>
      <c r="AL276" s="22" t="e">
        <f ca="1">tabCustoUnit[[#This Row],[Submódulo 2.1]]+tabCustoUnit[[#This Row],[Submódulo 2.2]]+tabCustoUnit[[#This Row],[Submódulo 2.3]]</f>
        <v>#NAME?</v>
      </c>
      <c r="AM276" s="22">
        <f>SUMIF(tabParametros[Código do Posto],tabCustoUnit[[#This Row],[Código do Posto]],tabParametros[Aviso Prévio Indenizado (API) e Reflexo do Aviso Prévio Indenizado])*tabCustoUnit[[#This Row],[MODULO 1 - REMUNERAÇÃO ]]</f>
        <v>23.819888151890432</v>
      </c>
      <c r="AN276" s="22">
        <f>SUMIF(tabParametros[Código do Posto],tabCustoUnit[[#This Row],[Código do Posto]],tabParametros[Incidência do FGTS sobre API e Reflexo do API])*tabCustoUnit[[#This Row],[MODULO 1 - REMUNERAÇÃO ]]</f>
        <v>1.9055910521512347</v>
      </c>
      <c r="AO276" s="22">
        <f>SUMIF(tabParametros[Código do Posto],tabCustoUnit[[#This Row],[Código do Posto]],tabParametros[Multa Rescisória do FGTS sobre o Aviso Prévio Indenizado])*tabCustoUnit[[#This Row],[MODULO 1 - REMUNERAÇÃO ]]</f>
        <v>0.76223642086049392</v>
      </c>
      <c r="AP276" s="22">
        <f>SUMIF(tabParametros[Código do Posto],tabCustoUnit[[#This Row],[Código do Posto]],tabParametros[Aviso Prévio Trabalhado - APT])*tabCustoUnit[[#This Row],[MODULO 1 - REMUNERAÇÃO ]]</f>
        <v>11.889957100000002</v>
      </c>
      <c r="AQ276" s="22">
        <f>SUMIF(tabParametros[Código do Posto],tabCustoUnit[[#This Row],[Código do Posto]],tabParametros[Incidência dos encargos do submódulo 2.1 sobre Aviso Prévio Trabalhado])*tabCustoUnit[[#This Row],[MODULO 1 - REMUNERAÇÃO ]]</f>
        <v>4.4944037838000011</v>
      </c>
      <c r="AR276" s="22">
        <f>SUMIF(tabParametros[Código do Posto],tabCustoUnit[[#This Row],[Código do Posto]],tabParametros[Multa Rescisória do FGTS])*tabCustoUnit[[#This Row],[MODULO 1 - REMUNERAÇÃO ]]</f>
        <v>103.87670456888887</v>
      </c>
      <c r="AS276" s="22">
        <f>SUMIF(tabParametros[Código do Posto],tabCustoUnit[[#This Row],[Código do Posto]],tabParametros[Indenização Adicional (Art. 9º da Lei nº 7.238/84)])*tabCustoUnit[[#This Row],[MODULO 1 - REMUNERAÇÃO ]]</f>
        <v>2.830942166666667</v>
      </c>
      <c r="AT276" s="22">
        <f>SUM(tabCustoUnit[[#This Row],[Aviso Prévio Indenizado (API) e Reflexo do Aviso Prévio Indenizado]:[Indenização Adicional (Art. 9º da Lei nº 7.238/84)]])</f>
        <v>149.57972324425771</v>
      </c>
      <c r="AU276" s="22">
        <f>SUMIF(tabParametros[Código do Posto],tabCustoUnit[[#This Row],[Código do Posto]],tabParametros[Ausência por Doença])*tabCustoUnit[[#This Row],[MODULO 1 - REMUNERAÇÃO ]]</f>
        <v>28.686880622222219</v>
      </c>
      <c r="AV276" s="22">
        <f>SUMIF(tabParametros[Código do Posto],tabCustoUnit[[#This Row],[Código do Posto]],tabParametros[Ausências Legais])*tabCustoUnit[[#This Row],[MODULO 1 - REMUNERAÇÃO ]]</f>
        <v>6.8886259388888886</v>
      </c>
      <c r="AW276" s="22">
        <f>SUMIF(tabParametros[Código do Posto],tabCustoUnit[[#This Row],[Código do Posto]],tabParametros[Licença Paternidade])*tabCustoUnit[[#This Row],[MODULO 1 - REMUNERAÇÃO ]]</f>
        <v>0.58034314416666666</v>
      </c>
      <c r="AX276" s="22">
        <f>SUMIF(tabParametros[Código do Posto],tabCustoUnit[[#This Row],[Código do Posto]],tabParametros[Ausência por Acidente de Trabalho])*tabCustoUnit[[#This Row],[MODULO 1 - REMUNERAÇÃO ]]</f>
        <v>0.70773554166666675</v>
      </c>
      <c r="AY276" s="22">
        <f>SUMIF(tabParametros[Código do Posto],tabCustoUnit[[#This Row],[Código do Posto]],tabParametros[Férias, Adicional de Férias e 13º  com empregada em gozo de Licença Maternidade])*tabCustoUnit[[#This Row],[MODULO 1 - REMUNERAÇÃO ]]</f>
        <v>4.4036878148148144</v>
      </c>
      <c r="AZ276" s="22">
        <f>SUMIF(tabParametros[Código do Posto],tabCustoUnit[[#This Row],[Código do Posto]],tabParametros[Incidência do Submódulo 2.1 sobre Ausências Legais])*tabCustoUnit[[#This Row],[MODULO 1 - REMUNERAÇÃO ]]</f>
        <v>15.599029217345002</v>
      </c>
      <c r="BA276" s="22">
        <f>SUM(tabCustoUnit[[#This Row],[Ausência por Doença]:[Incidência do Submódulo 2.1 sobre Ausências Legais]])</f>
        <v>56.866302279104261</v>
      </c>
      <c r="BB276" s="22">
        <f>SUMIF(tabParametros[Código do Posto],tabCustoUnit[[#This Row],[Código do Posto]],tabParametros[Intervalo para Repouso ou Alimentação])</f>
        <v>0</v>
      </c>
      <c r="BC276" s="22">
        <f>tabCustoUnit[[#This Row],[Intervalo para Repouso ou Alimentação]]</f>
        <v>0</v>
      </c>
      <c r="BD27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6" s="22">
        <f>tabCustoUnit[[#This Row],[Suspensão Temporária do Contrato de Trabalho]]</f>
        <v>0</v>
      </c>
      <c r="BF276" s="22">
        <f>tabCustoUnit[[#This Row],[Submódulo 4.1]]+tabCustoUnit[[#This Row],[Submódulo 4.2]]+tabCustoUnit[[#This Row],[Submódulo 4.3]]</f>
        <v>56.866302279104261</v>
      </c>
      <c r="BG276" s="22">
        <f>VLOOKUP(tabCustoUnit[[#This Row],[Código do Posto]],tabParametros[],MATCH(tabCustoUnit[[#Headers],[Uniformes e EPIs]],tabParametros[#Headers],0),0)</f>
        <v>56.642978962543395</v>
      </c>
      <c r="BH276" s="22">
        <f>VLOOKUP(tabCustoUnit[[#This Row],[Código do Posto]],tabParametros[],MATCH(tabCustoUnit[[#Headers],[Materiais de Consumo]],tabParametros[#Headers],0),0)</f>
        <v>0</v>
      </c>
      <c r="BI276" s="22">
        <f>VLOOKUP(tabCustoUnit[[#This Row],[Código do Posto]],tabParametros[],MATCH(tabCustoUnit[[#Headers],[Máquinas e Equipamentos (depreciação)]],tabParametros[#Headers],0),0)</f>
        <v>0</v>
      </c>
      <c r="BJ276" s="22">
        <f>VLOOKUP(tabCustoUnit[[#This Row],[Código do Posto]],tabParametros[],MATCH(tabCustoUnit[[#Headers],[Produtos de Limpeza e Materiais de Higiene Pessoal]],tabParametros[#Headers],0),0)</f>
        <v>0</v>
      </c>
      <c r="BK276" s="22">
        <f>VLOOKUP(tabCustoUnit[[#This Row],[Código do Posto]],tabParametros[],MATCH(tabCustoUnit[[#Headers],[Outros (especificar)]],tabParametros[#Headers],0),0)</f>
        <v>0</v>
      </c>
      <c r="BL276" s="22">
        <f>SUM(tabCustoUnit[[#This Row],[Uniformes e EPIs]:[Outros (especificar)]])</f>
        <v>56.642978962543395</v>
      </c>
      <c r="BM27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6" s="22" t="e">
        <f ca="1">VLOOKUP(tabCustoUnit[[#This Row],[Código do Posto]],tabParametros[],MATCH(tabCustoUnit[[#Headers],[Custos Indiretos]],tabParametros[#Headers],0),0)</f>
        <v>#NAME?</v>
      </c>
      <c r="BO276" s="22" t="e">
        <f ca="1">VLOOKUP(tabCustoUnit[[#This Row],[Código do Posto]],tabParametros[],MATCH(tabCustoUnit[[#Headers],[Lucro]],tabParametros[#Headers],0),0)</f>
        <v>#NAME?</v>
      </c>
      <c r="BP276" s="26">
        <f>((100/((1-tabCustoUnit[[#This Row],[Resumo de Alíquotas (PIS+CONFINS+ISS)]]))-100)*VLOOKUP(tabCustoUnit[[#This Row],[Código do Posto]],tabParametros[],MATCH(tabCustoUnit[[#Headers],[COFINS]],tabParametros[#Headers],0),0))/(tabCustoUnit[[#This Row],[Resumo de Alíquotas (PIS+CONFINS+ISS)]]*100)</f>
        <v>8.5633802816901458E-2</v>
      </c>
      <c r="BQ276" s="26">
        <f>((100/((100-(tabCustoUnit[[#This Row],[Resumo de Alíquotas (PIS+CONFINS+ISS)]]*100))%)-100)*VLOOKUP(tabCustoUnit[[#This Row],[Código do Posto]],tabParametros[],MATCH(tabCustoUnit[[#Headers],[PIS]],tabParametros[#Headers],0),0))/(tabCustoUnit[[#This Row],[Resumo de Alíquotas (PIS+CONFINS+ISS)]]*100)</f>
        <v>1.8591549295774657E-2</v>
      </c>
      <c r="BR276" s="28">
        <f>VLOOKUP(tabCustoUnit[[#This Row],[Código do Posto]],tabParametros[],MATCH(tabCustoUnit[[#Headers],[ISS]],tabParametros[#Headers],0),0)</f>
        <v>0.02</v>
      </c>
      <c r="BS276" s="26">
        <f>(((100/((100-(tabCustoUnit[[#This Row],[Resumo de Alíquotas (PIS+CONFINS+ISS)]]*100))%)-100)*tabCustoUnit[[#This Row],[ISS]])/tabCustoUnit[[#This Row],[Resumo de Alíquotas (PIS+CONFINS+ISS)]])/100</f>
        <v>2.2535211267605645E-2</v>
      </c>
      <c r="BT27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76" s="138">
        <f>tabCustoUnit[[#This Row],[COFINS]]+tabCustoUnit[[#This Row],[PIS]]+tabCustoUnit[[#This Row],[ISS (Conversão Alíquota s/ fatura)]]</f>
        <v>0.12676056338028174</v>
      </c>
      <c r="BV276" s="22" t="e">
        <f ca="1">(tabCustoUnit[[#This Row],[TOTAL MÓDULOS 1+2+3+4+5]]+tabCustoUnit[[#This Row],[Custos Indiretos]]+tabCustoUnit[[#This Row],[Lucro]])*tabCustoUnit[[#This Row],[PIS + COFINS + ISS (Total Conversão  Alíquota s/ Fatura)]]</f>
        <v>#NAME?</v>
      </c>
      <c r="BW276" s="22" t="e">
        <f ca="1">tabCustoUnit[[#This Row],[Custos Indiretos]]+tabCustoUnit[[#This Row],[Lucro]]+tabCustoUnit[[#This Row],[Valor dos Tributos (ISS, PIS, CONFINS)]]</f>
        <v>#NAME?</v>
      </c>
      <c r="BX276" s="22" t="e">
        <f ca="1">tabCustoUnit[[#This Row],[TOTAL MÓDULOS 1+2+3+4+5]]+tabCustoUnit[[#This Row],[MÓDULO 6 – CUSTOS INDIRETOS, TRIBUTOS E LUCRO]]</f>
        <v>#NAME?</v>
      </c>
      <c r="BY276" s="22" t="e">
        <f ca="1">tabCustoUnit[[#This Row],[CUSTO TOTAL MENSAL]]*12</f>
        <v>#NAME?</v>
      </c>
      <c r="BZ276" s="24">
        <f>VLOOKUP(tabCustoUnit[[#This Row],[Código do Posto]],tabParametros[],MATCH(tabCustoUnit[[#Headers],[ANO DA CCT]],tabParametros[#Headers],0),0)</f>
        <v>45658</v>
      </c>
      <c r="CA276" s="25" t="str">
        <f>VLOOKUP(tabCustoUnit[[#This Row],[Código do Posto]],tabParametros[],MATCH(tabCustoUnit[[#Headers],[Nº DE PEDIDO DA CCT]],tabParametros[#Headers],0),0)</f>
        <v>-</v>
      </c>
      <c r="CB276" s="25" t="str">
        <f>VLOOKUP(tabCustoUnit[[#This Row],[Código do Posto]],tabParametros[],MATCH(tabCustoUnit[[#Headers],[TERMO ADITIVO ALTERAÇÃO DA CCT]],tabParametros[#Headers],0),0)</f>
        <v>-</v>
      </c>
    </row>
    <row r="277" spans="1:80">
      <c r="A277" s="20" t="s">
        <v>1693</v>
      </c>
      <c r="B277" t="s">
        <v>1197</v>
      </c>
      <c r="C277" t="s">
        <v>324</v>
      </c>
      <c r="D277" t="s">
        <v>950</v>
      </c>
      <c r="E277" s="20" t="s">
        <v>1090</v>
      </c>
      <c r="F277" s="20" t="s">
        <v>120</v>
      </c>
      <c r="G277" s="418">
        <v>2316.2253000000001</v>
      </c>
      <c r="H277" s="418">
        <v>0</v>
      </c>
      <c r="I277" s="418">
        <v>0</v>
      </c>
      <c r="J277" s="418">
        <v>0</v>
      </c>
      <c r="K277" s="418">
        <v>0</v>
      </c>
      <c r="L277" s="418">
        <v>0</v>
      </c>
      <c r="M277" s="418">
        <v>0</v>
      </c>
      <c r="N277" s="418">
        <v>0</v>
      </c>
      <c r="O277" s="21">
        <f>SUM(tabCustoUnit[[#This Row],[Salário Base]:[Adicional de Acúmulo de função]])</f>
        <v>2316.2253000000001</v>
      </c>
      <c r="P277" s="21">
        <f>tabCustoUnit[[#This Row],[MODULO 1 - REMUNERAÇÃO ]]*SUMIFS(tabParametros[INSS],tabParametros[Código do Posto],tabCustoUnit[[#This Row],[Código do Posto]])</f>
        <v>463.24506000000002</v>
      </c>
      <c r="Q277" s="21">
        <f>tabCustoUnit[[#This Row],[MODULO 1 - REMUNERAÇÃO ]]*SUMIFS(tabParametros[SESI OU SESC],tabParametros[Código do Posto],tabCustoUnit[[#This Row],[Código do Posto]])</f>
        <v>34.743379499999996</v>
      </c>
      <c r="R277" s="21">
        <f>tabCustoUnit[[#This Row],[MODULO 1 - REMUNERAÇÃO ]]*SUMIFS(tabParametros[SENAI OU SENAC],tabParametros[Código do Posto],tabCustoUnit[[#This Row],[Código do Posto]])</f>
        <v>23.162253</v>
      </c>
      <c r="S277" s="21">
        <f>tabCustoUnit[[#This Row],[MODULO 1 - REMUNERAÇÃO ]]*SUMIFS(tabParametros[INCRA],tabParametros[Código do Posto],tabCustoUnit[[#This Row],[Código do Posto]])</f>
        <v>4.6324506000000003</v>
      </c>
      <c r="T277" s="21">
        <f>tabCustoUnit[[#This Row],[MODULO 1 - REMUNERAÇÃO ]]*SUMIFS(tabParametros[Salário Educação],tabParametros[Código do Posto],tabCustoUnit[[#This Row],[Código do Posto]])</f>
        <v>57.905632500000003</v>
      </c>
      <c r="U277" s="21">
        <f>tabCustoUnit[[#This Row],[MODULO 1 - REMUNERAÇÃO ]]*SUMIFS(tabParametros[FGTS],tabParametros[Código do Posto],tabCustoUnit[[#This Row],[Código do Posto]])</f>
        <v>185.298024</v>
      </c>
      <c r="V277" s="21">
        <f>tabCustoUnit[[#This Row],[MODULO 1 - REMUNERAÇÃO ]]*SUMIFS(tabParametros[RAT Ajustado],tabParametros[Código do Posto],tabCustoUnit[[#This Row],[Código do Posto]])</f>
        <v>92.649011999999999</v>
      </c>
      <c r="W277" s="21">
        <f>tabCustoUnit[[#This Row],[MODULO 1 - REMUNERAÇÃO ]]*SUMIFS(tabParametros[SEBRAE],tabParametros[Código do Posto],tabCustoUnit[[#This Row],[Código do Posto]])</f>
        <v>13.897351800000001</v>
      </c>
      <c r="X277" s="21">
        <f>SUM(tabCustoUnit[[#This Row],[INSS]:[SEBRAE]])</f>
        <v>875.53316340000003</v>
      </c>
      <c r="Y277" s="21">
        <f>tabCustoUnit[[#This Row],[MODULO 1 - REMUNERAÇÃO ]]*SUMIFS(tabParametros[13º salário (titular)],tabParametros[Código do Posto],tabCustoUnit[[#This Row],[Código do Posto]])</f>
        <v>193.01877500000001</v>
      </c>
      <c r="Z277" s="21">
        <f>tabCustoUnit[[#This Row],[MODULO 1 - REMUNERAÇÃO ]]*SUMIFS(tabParametros[Férias e Adicional de Férias (titular)],tabParametros[Código do Posto],tabCustoUnit[[#This Row],[Código do Posto]])</f>
        <v>257.35836666666665</v>
      </c>
      <c r="AA277" s="21">
        <f>IFERROR((tabCustoUnit[[#This Row],[Submódulo 2.1]]/tabCustoUnit[[#This Row],[MODULO 1 - REMUNERAÇÃO ]])*SUM(tabCustoUnit[[#This Row],[13º salário (titular)]:[Férias e Adicional de Férias (titular)]]),0)</f>
        <v>170.24255955000001</v>
      </c>
      <c r="AB277" s="21">
        <f>SUM(tabCustoUnit[[#This Row],[13º salário (titular)]:[Incidência do Submódulo 2.1 sobre 13º Salário, Férias e Adicional de Férias]])</f>
        <v>620.61970121666673</v>
      </c>
      <c r="AC277" s="22" t="e">
        <f ca="1">_xlfn.LET(_xlpm.VT,SUMIF(tabParametros[Código do Posto],tabCustoUnit[[#This Row],[Código do Posto]],tabParametros[Vale - Transporte])*2*20,
IF((_xlpm.VT-tabCustoUnit[[#This Row],[Salário Base]]*0.06)&gt;=0,(_xlpm.VT-tabCustoUnit[[#This Row],[Salário Base]]*0.06),0)
)</f>
        <v>#NAME?</v>
      </c>
      <c r="AD277" s="22">
        <f>IF(SUMIF(tabParametros[Código do Posto],tabCustoUnit[[#This Row],[Código do Posto]],tabParametros[Vale - Alimentação])&lt;=0,0,
SUMIF(tabParametros[Código do Posto],tabCustoUnit[[#This Row],[Código do Posto]],tabParametros[Vale - Alimentação])*20-1)</f>
        <v>582</v>
      </c>
      <c r="AE277" s="22">
        <f>SUMIF(tabParametros[Código do Posto],tabCustoUnit[[#This Row],[Código do Posto]],tabParametros[Cesta Básica])</f>
        <v>0</v>
      </c>
      <c r="AF277" s="22">
        <f>SUMIF(tabParametros[Código do Posto],tabCustoUnit[[#This Row],[Código do Posto]],tabParametros[PAF])</f>
        <v>50.74</v>
      </c>
      <c r="AG277" s="22">
        <f>SUMIF(tabParametros[Código do Posto],tabCustoUnit[[#This Row],[Código do Posto]],tabParametros[PQM])</f>
        <v>0</v>
      </c>
      <c r="AH277" s="22">
        <f>SUMIF(tabParametros[Código do Posto],tabCustoUnit[[#This Row],[Código do Posto]],tabParametros[Abono Único e Especial])</f>
        <v>0</v>
      </c>
      <c r="AI277" s="22">
        <f>SUMIF(tabParametros[Código do Posto],tabCustoUnit[[#This Row],[Código do Posto]],tabParametros[Seguro de Vida])</f>
        <v>3.36</v>
      </c>
      <c r="AJ277" s="22">
        <f>SUMIF(tabParametros[Código do Posto],tabCustoUnit[[#This Row],[Código do Posto]],tabParametros[Despesas de Viagem])</f>
        <v>0</v>
      </c>
      <c r="AK277" s="22" t="e">
        <f ca="1">SUM(tabCustoUnit[[#This Row],[Vale - Transporte (Descontada parcela do empregado)]:[Despesas de Viagem]])</f>
        <v>#NAME?</v>
      </c>
      <c r="AL277" s="22" t="e">
        <f ca="1">tabCustoUnit[[#This Row],[Submódulo 2.1]]+tabCustoUnit[[#This Row],[Submódulo 2.2]]+tabCustoUnit[[#This Row],[Submódulo 2.3]]</f>
        <v>#NAME?</v>
      </c>
      <c r="AM277" s="22">
        <f>SUMIF(tabParametros[Código do Posto],tabCustoUnit[[#This Row],[Código do Posto]],tabParametros[Aviso Prévio Indenizado (API) e Reflexo do Aviso Prévio Indenizado])*tabCustoUnit[[#This Row],[MODULO 1 - REMUNERAÇÃO ]]</f>
        <v>16.240832065914354</v>
      </c>
      <c r="AN277" s="22">
        <f>SUMIF(tabParametros[Código do Posto],tabCustoUnit[[#This Row],[Código do Posto]],tabParametros[Incidência do FGTS sobre API e Reflexo do API])*tabCustoUnit[[#This Row],[MODULO 1 - REMUNERAÇÃO ]]</f>
        <v>1.2992665652731483</v>
      </c>
      <c r="AO277" s="22">
        <f>SUMIF(tabParametros[Código do Posto],tabCustoUnit[[#This Row],[Código do Posto]],tabParametros[Multa Rescisória do FGTS sobre o Aviso Prévio Indenizado])*tabCustoUnit[[#This Row],[MODULO 1 - REMUNERAÇÃO ]]</f>
        <v>0.51970662610925933</v>
      </c>
      <c r="AP277" s="22">
        <f>SUMIF(tabParametros[Código do Posto],tabCustoUnit[[#This Row],[Código do Posto]],tabParametros[Aviso Prévio Trabalhado - APT])*tabCustoUnit[[#This Row],[MODULO 1 - REMUNERAÇÃO ]]</f>
        <v>8.106788550000001</v>
      </c>
      <c r="AQ277" s="22">
        <f>SUMIF(tabParametros[Código do Posto],tabCustoUnit[[#This Row],[Código do Posto]],tabParametros[Incidência dos encargos do submódulo 2.1 sobre Aviso Prévio Trabalhado])*tabCustoUnit[[#This Row],[MODULO 1 - REMUNERAÇÃO ]]</f>
        <v>3.0643660719000008</v>
      </c>
      <c r="AR277" s="22">
        <f>SUMIF(tabParametros[Código do Posto],tabCustoUnit[[#This Row],[Código do Posto]],tabParametros[Multa Rescisória do FGTS])*tabCustoUnit[[#This Row],[MODULO 1 - REMUNERAÇÃO ]]</f>
        <v>70.825022506666656</v>
      </c>
      <c r="AS277" s="22">
        <f>SUMIF(tabParametros[Código do Posto],tabCustoUnit[[#This Row],[Código do Posto]],tabParametros[Indenização Adicional (Art. 9º da Lei nº 7.238/84)])*tabCustoUnit[[#This Row],[MODULO 1 - REMUNERAÇÃO ]]</f>
        <v>1.9301877500000002</v>
      </c>
      <c r="AT277" s="22">
        <f>SUM(tabCustoUnit[[#This Row],[Aviso Prévio Indenizado (API) e Reflexo do Aviso Prévio Indenizado]:[Indenização Adicional (Art. 9º da Lei nº 7.238/84)]])</f>
        <v>101.98617013586342</v>
      </c>
      <c r="AU277" s="22">
        <f>SUMIF(tabParametros[Código do Posto],tabCustoUnit[[#This Row],[Código do Posto]],tabParametros[Ausência por Doença])*tabCustoUnit[[#This Row],[MODULO 1 - REMUNERAÇÃO ]]</f>
        <v>19.559235866666665</v>
      </c>
      <c r="AV277" s="22">
        <f>SUMIF(tabParametros[Código do Posto],tabCustoUnit[[#This Row],[Código do Posto]],tabParametros[Ausências Legais])*tabCustoUnit[[#This Row],[MODULO 1 - REMUNERAÇÃO ]]</f>
        <v>4.6967901916666666</v>
      </c>
      <c r="AW277" s="22">
        <f>SUMIF(tabParametros[Código do Posto],tabCustoUnit[[#This Row],[Código do Posto]],tabParametros[Licença Paternidade])*tabCustoUnit[[#This Row],[MODULO 1 - REMUNERAÇÃO ]]</f>
        <v>0.39568848875000001</v>
      </c>
      <c r="AX277" s="22">
        <f>SUMIF(tabParametros[Código do Posto],tabCustoUnit[[#This Row],[Código do Posto]],tabParametros[Ausência por Acidente de Trabalho])*tabCustoUnit[[#This Row],[MODULO 1 - REMUNERAÇÃO ]]</f>
        <v>0.48254693750000005</v>
      </c>
      <c r="AY277" s="22">
        <f>SUMIF(tabParametros[Código do Posto],tabCustoUnit[[#This Row],[Código do Posto]],tabParametros[Férias, Adicional de Férias e 13º  com empregada em gozo de Licença Maternidade])*tabCustoUnit[[#This Row],[MODULO 1 - REMUNERAÇÃO ]]</f>
        <v>3.0025142777777778</v>
      </c>
      <c r="AZ277" s="22">
        <f>SUMIF(tabParametros[Código do Posto],tabCustoUnit[[#This Row],[Código do Posto]],tabParametros[Incidência do Submódulo 2.1 sobre Ausências Legais])*tabCustoUnit[[#This Row],[MODULO 1 - REMUNERAÇÃO ]]</f>
        <v>10.635701238172501</v>
      </c>
      <c r="BA277" s="22">
        <f>SUM(tabCustoUnit[[#This Row],[Ausência por Doença]:[Incidência do Submódulo 2.1 sobre Ausências Legais]])</f>
        <v>38.772477000533613</v>
      </c>
      <c r="BB277" s="22">
        <f>SUMIF(tabParametros[Código do Posto],tabCustoUnit[[#This Row],[Código do Posto]],tabParametros[Intervalo para Repouso ou Alimentação])</f>
        <v>0</v>
      </c>
      <c r="BC277" s="22">
        <f>tabCustoUnit[[#This Row],[Intervalo para Repouso ou Alimentação]]</f>
        <v>0</v>
      </c>
      <c r="BD27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7" s="22">
        <f>tabCustoUnit[[#This Row],[Suspensão Temporária do Contrato de Trabalho]]</f>
        <v>0</v>
      </c>
      <c r="BF277" s="22">
        <f>tabCustoUnit[[#This Row],[Submódulo 4.1]]+tabCustoUnit[[#This Row],[Submódulo 4.2]]+tabCustoUnit[[#This Row],[Submódulo 4.3]]</f>
        <v>38.772477000533613</v>
      </c>
      <c r="BG277" s="22">
        <f>VLOOKUP(tabCustoUnit[[#This Row],[Código do Posto]],tabParametros[],MATCH(tabCustoUnit[[#Headers],[Uniformes e EPIs]],tabParametros[#Headers],0),0)</f>
        <v>56.642978962543395</v>
      </c>
      <c r="BH277" s="22">
        <f>VLOOKUP(tabCustoUnit[[#This Row],[Código do Posto]],tabParametros[],MATCH(tabCustoUnit[[#Headers],[Materiais de Consumo]],tabParametros[#Headers],0),0)</f>
        <v>0</v>
      </c>
      <c r="BI277" s="22">
        <f>VLOOKUP(tabCustoUnit[[#This Row],[Código do Posto]],tabParametros[],MATCH(tabCustoUnit[[#Headers],[Máquinas e Equipamentos (depreciação)]],tabParametros[#Headers],0),0)</f>
        <v>0</v>
      </c>
      <c r="BJ277" s="22">
        <f>VLOOKUP(tabCustoUnit[[#This Row],[Código do Posto]],tabParametros[],MATCH(tabCustoUnit[[#Headers],[Produtos de Limpeza e Materiais de Higiene Pessoal]],tabParametros[#Headers],0),0)</f>
        <v>0</v>
      </c>
      <c r="BK277" s="22">
        <f>VLOOKUP(tabCustoUnit[[#This Row],[Código do Posto]],tabParametros[],MATCH(tabCustoUnit[[#Headers],[Outros (especificar)]],tabParametros[#Headers],0),0)</f>
        <v>0</v>
      </c>
      <c r="BL277" s="22">
        <f>SUM(tabCustoUnit[[#This Row],[Uniformes e EPIs]:[Outros (especificar)]])</f>
        <v>56.642978962543395</v>
      </c>
      <c r="BM27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7" s="22" t="e">
        <f ca="1">VLOOKUP(tabCustoUnit[[#This Row],[Código do Posto]],tabParametros[],MATCH(tabCustoUnit[[#Headers],[Custos Indiretos]],tabParametros[#Headers],0),0)</f>
        <v>#NAME?</v>
      </c>
      <c r="BO277" s="22" t="e">
        <f ca="1">VLOOKUP(tabCustoUnit[[#This Row],[Código do Posto]],tabParametros[],MATCH(tabCustoUnit[[#Headers],[Lucro]],tabParametros[#Headers],0),0)</f>
        <v>#NAME?</v>
      </c>
      <c r="BP277" s="26">
        <f>((100/((1-tabCustoUnit[[#This Row],[Resumo de Alíquotas (PIS+CONFINS+ISS)]]))-100)*VLOOKUP(tabCustoUnit[[#This Row],[Código do Posto]],tabParametros[],MATCH(tabCustoUnit[[#Headers],[COFINS]],tabParametros[#Headers],0),0))/(tabCustoUnit[[#This Row],[Resumo de Alíquotas (PIS+CONFINS+ISS)]]*100)</f>
        <v>8.5633802816901458E-2</v>
      </c>
      <c r="BQ277" s="26">
        <f>((100/((100-(tabCustoUnit[[#This Row],[Resumo de Alíquotas (PIS+CONFINS+ISS)]]*100))%)-100)*VLOOKUP(tabCustoUnit[[#This Row],[Código do Posto]],tabParametros[],MATCH(tabCustoUnit[[#Headers],[PIS]],tabParametros[#Headers],0),0))/(tabCustoUnit[[#This Row],[Resumo de Alíquotas (PIS+CONFINS+ISS)]]*100)</f>
        <v>1.8591549295774657E-2</v>
      </c>
      <c r="BR277" s="28">
        <f>VLOOKUP(tabCustoUnit[[#This Row],[Código do Posto]],tabParametros[],MATCH(tabCustoUnit[[#Headers],[ISS]],tabParametros[#Headers],0),0)</f>
        <v>0.02</v>
      </c>
      <c r="BS277" s="26">
        <f>(((100/((100-(tabCustoUnit[[#This Row],[Resumo de Alíquotas (PIS+CONFINS+ISS)]]*100))%)-100)*tabCustoUnit[[#This Row],[ISS]])/tabCustoUnit[[#This Row],[Resumo de Alíquotas (PIS+CONFINS+ISS)]])/100</f>
        <v>2.2535211267605645E-2</v>
      </c>
      <c r="BT27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77" s="138">
        <f>tabCustoUnit[[#This Row],[COFINS]]+tabCustoUnit[[#This Row],[PIS]]+tabCustoUnit[[#This Row],[ISS (Conversão Alíquota s/ fatura)]]</f>
        <v>0.12676056338028174</v>
      </c>
      <c r="BV277" s="22" t="e">
        <f ca="1">(tabCustoUnit[[#This Row],[TOTAL MÓDULOS 1+2+3+4+5]]+tabCustoUnit[[#This Row],[Custos Indiretos]]+tabCustoUnit[[#This Row],[Lucro]])*tabCustoUnit[[#This Row],[PIS + COFINS + ISS (Total Conversão  Alíquota s/ Fatura)]]</f>
        <v>#NAME?</v>
      </c>
      <c r="BW277" s="22" t="e">
        <f ca="1">tabCustoUnit[[#This Row],[Custos Indiretos]]+tabCustoUnit[[#This Row],[Lucro]]+tabCustoUnit[[#This Row],[Valor dos Tributos (ISS, PIS, CONFINS)]]</f>
        <v>#NAME?</v>
      </c>
      <c r="BX277" s="22" t="e">
        <f ca="1">tabCustoUnit[[#This Row],[TOTAL MÓDULOS 1+2+3+4+5]]+tabCustoUnit[[#This Row],[MÓDULO 6 – CUSTOS INDIRETOS, TRIBUTOS E LUCRO]]</f>
        <v>#NAME?</v>
      </c>
      <c r="BY277" s="22" t="e">
        <f ca="1">tabCustoUnit[[#This Row],[CUSTO TOTAL MENSAL]]*12</f>
        <v>#NAME?</v>
      </c>
      <c r="BZ277" s="24">
        <f>VLOOKUP(tabCustoUnit[[#This Row],[Código do Posto]],tabParametros[],MATCH(tabCustoUnit[[#Headers],[ANO DA CCT]],tabParametros[#Headers],0),0)</f>
        <v>45658</v>
      </c>
      <c r="CA277" s="25" t="str">
        <f>VLOOKUP(tabCustoUnit[[#This Row],[Código do Posto]],tabParametros[],MATCH(tabCustoUnit[[#Headers],[Nº DE PEDIDO DA CCT]],tabParametros[#Headers],0),0)</f>
        <v>-</v>
      </c>
      <c r="CB277" s="25" t="str">
        <f>VLOOKUP(tabCustoUnit[[#This Row],[Código do Posto]],tabParametros[],MATCH(tabCustoUnit[[#Headers],[TERMO ADITIVO ALTERAÇÃO DA CCT]],tabParametros[#Headers],0),0)</f>
        <v>-</v>
      </c>
    </row>
    <row r="278" spans="1:80">
      <c r="A278" s="20" t="s">
        <v>1694</v>
      </c>
      <c r="B278" t="s">
        <v>1198</v>
      </c>
      <c r="C278" t="s">
        <v>274</v>
      </c>
      <c r="D278" t="s">
        <v>1014</v>
      </c>
      <c r="E278" s="20" t="s">
        <v>1090</v>
      </c>
      <c r="F278" s="20" t="s">
        <v>120</v>
      </c>
      <c r="G278" s="418">
        <v>4465.6282000000001</v>
      </c>
      <c r="H278" s="418">
        <v>0</v>
      </c>
      <c r="I278" s="418">
        <v>0</v>
      </c>
      <c r="J278" s="418">
        <v>0</v>
      </c>
      <c r="K278" s="418">
        <v>0</v>
      </c>
      <c r="L278" s="418">
        <v>0</v>
      </c>
      <c r="M278" s="418">
        <v>0</v>
      </c>
      <c r="N278" s="418">
        <v>0</v>
      </c>
      <c r="O278" s="21">
        <f>SUM(tabCustoUnit[[#This Row],[Salário Base]:[Adicional de Acúmulo de função]])</f>
        <v>4465.6282000000001</v>
      </c>
      <c r="P278" s="21">
        <f>tabCustoUnit[[#This Row],[MODULO 1 - REMUNERAÇÃO ]]*SUMIFS(tabParametros[INSS],tabParametros[Código do Posto],tabCustoUnit[[#This Row],[Código do Posto]])</f>
        <v>893.12564000000009</v>
      </c>
      <c r="Q278" s="21">
        <f>tabCustoUnit[[#This Row],[MODULO 1 - REMUNERAÇÃO ]]*SUMIFS(tabParametros[SESI OU SESC],tabParametros[Código do Posto],tabCustoUnit[[#This Row],[Código do Posto]])</f>
        <v>66.984422999999992</v>
      </c>
      <c r="R278" s="21">
        <f>tabCustoUnit[[#This Row],[MODULO 1 - REMUNERAÇÃO ]]*SUMIFS(tabParametros[SENAI OU SENAC],tabParametros[Código do Posto],tabCustoUnit[[#This Row],[Código do Posto]])</f>
        <v>44.656282000000004</v>
      </c>
      <c r="S278" s="21">
        <f>tabCustoUnit[[#This Row],[MODULO 1 - REMUNERAÇÃO ]]*SUMIFS(tabParametros[INCRA],tabParametros[Código do Posto],tabCustoUnit[[#This Row],[Código do Posto]])</f>
        <v>8.9312564000000005</v>
      </c>
      <c r="T278" s="21">
        <f>tabCustoUnit[[#This Row],[MODULO 1 - REMUNERAÇÃO ]]*SUMIFS(tabParametros[Salário Educação],tabParametros[Código do Posto],tabCustoUnit[[#This Row],[Código do Posto]])</f>
        <v>111.64070500000001</v>
      </c>
      <c r="U278" s="21">
        <f>tabCustoUnit[[#This Row],[MODULO 1 - REMUNERAÇÃO ]]*SUMIFS(tabParametros[FGTS],tabParametros[Código do Posto],tabCustoUnit[[#This Row],[Código do Posto]])</f>
        <v>357.25025600000004</v>
      </c>
      <c r="V278" s="21">
        <f>tabCustoUnit[[#This Row],[MODULO 1 - REMUNERAÇÃO ]]*SUMIFS(tabParametros[RAT Ajustado],tabParametros[Código do Posto],tabCustoUnit[[#This Row],[Código do Posto]])</f>
        <v>178.62512800000002</v>
      </c>
      <c r="W278" s="21">
        <f>tabCustoUnit[[#This Row],[MODULO 1 - REMUNERAÇÃO ]]*SUMIFS(tabParametros[SEBRAE],tabParametros[Código do Posto],tabCustoUnit[[#This Row],[Código do Posto]])</f>
        <v>26.7937692</v>
      </c>
      <c r="X278" s="21">
        <f>SUM(tabCustoUnit[[#This Row],[INSS]:[SEBRAE]])</f>
        <v>1688.0074596000004</v>
      </c>
      <c r="Y278" s="21">
        <f>tabCustoUnit[[#This Row],[MODULO 1 - REMUNERAÇÃO ]]*SUMIFS(tabParametros[13º salário (titular)],tabParametros[Código do Posto],tabCustoUnit[[#This Row],[Código do Posto]])</f>
        <v>372.1356833333333</v>
      </c>
      <c r="Z278" s="21">
        <f>tabCustoUnit[[#This Row],[MODULO 1 - REMUNERAÇÃO ]]*SUMIFS(tabParametros[Férias e Adicional de Férias (titular)],tabParametros[Código do Posto],tabCustoUnit[[#This Row],[Código do Posto]])</f>
        <v>496.18091111111107</v>
      </c>
      <c r="AA278" s="21">
        <f>IFERROR((tabCustoUnit[[#This Row],[Submódulo 2.1]]/tabCustoUnit[[#This Row],[MODULO 1 - REMUNERAÇÃO ]])*SUM(tabCustoUnit[[#This Row],[13º salário (titular)]:[Férias e Adicional de Férias (titular)]]),0)</f>
        <v>328.22367270000001</v>
      </c>
      <c r="AB278" s="21">
        <f>SUM(tabCustoUnit[[#This Row],[13º salário (titular)]:[Incidência do Submódulo 2.1 sobre 13º Salário, Férias e Adicional de Férias]])</f>
        <v>1196.5402671444444</v>
      </c>
      <c r="AC278" s="22" t="e">
        <f ca="1">_xlfn.LET(_xlpm.VT,SUMIF(tabParametros[Código do Posto],tabCustoUnit[[#This Row],[Código do Posto]],tabParametros[Vale - Transporte])*2*20,
IF((_xlpm.VT-tabCustoUnit[[#This Row],[Salário Base]]*0.06)&gt;=0,(_xlpm.VT-tabCustoUnit[[#This Row],[Salário Base]]*0.06),0)
)</f>
        <v>#NAME?</v>
      </c>
      <c r="AD278" s="22">
        <f>IF(SUMIF(tabParametros[Código do Posto],tabCustoUnit[[#This Row],[Código do Posto]],tabParametros[Vale - Alimentação])&lt;=0,0,
SUMIF(tabParametros[Código do Posto],tabCustoUnit[[#This Row],[Código do Posto]],tabParametros[Vale - Alimentação])*20-1)</f>
        <v>578.4</v>
      </c>
      <c r="AE278" s="22">
        <f>SUMIF(tabParametros[Código do Posto],tabCustoUnit[[#This Row],[Código do Posto]],tabParametros[Cesta Básica])</f>
        <v>0</v>
      </c>
      <c r="AF278" s="22">
        <f>SUMIF(tabParametros[Código do Posto],tabCustoUnit[[#This Row],[Código do Posto]],tabParametros[PAF])</f>
        <v>22.52</v>
      </c>
      <c r="AG278" s="22">
        <f>SUMIF(tabParametros[Código do Posto],tabCustoUnit[[#This Row],[Código do Posto]],tabParametros[PQM])</f>
        <v>0</v>
      </c>
      <c r="AH278" s="22">
        <f>SUMIF(tabParametros[Código do Posto],tabCustoUnit[[#This Row],[Código do Posto]],tabParametros[Abono Único e Especial])</f>
        <v>0</v>
      </c>
      <c r="AI278" s="22">
        <f>SUMIF(tabParametros[Código do Posto],tabCustoUnit[[#This Row],[Código do Posto]],tabParametros[Seguro de Vida])</f>
        <v>3.36</v>
      </c>
      <c r="AJ278" s="22">
        <f>SUMIF(tabParametros[Código do Posto],tabCustoUnit[[#This Row],[Código do Posto]],tabParametros[Despesas de Viagem])</f>
        <v>662.42</v>
      </c>
      <c r="AK278" s="22" t="e">
        <f ca="1">SUM(tabCustoUnit[[#This Row],[Vale - Transporte (Descontada parcela do empregado)]:[Despesas de Viagem]])</f>
        <v>#NAME?</v>
      </c>
      <c r="AL278" s="22" t="e">
        <f ca="1">tabCustoUnit[[#This Row],[Submódulo 2.1]]+tabCustoUnit[[#This Row],[Submódulo 2.2]]+tabCustoUnit[[#This Row],[Submódulo 2.3]]</f>
        <v>#NAME?</v>
      </c>
      <c r="AM278" s="22">
        <f>SUMIF(tabParametros[Código do Posto],tabCustoUnit[[#This Row],[Código do Posto]],tabParametros[Aviso Prévio Indenizado (API) e Reflexo do Aviso Prévio Indenizado])*tabCustoUnit[[#This Row],[MODULO 1 - REMUNERAÇÃO ]]</f>
        <v>31.311944336766977</v>
      </c>
      <c r="AN278" s="22">
        <f>SUMIF(tabParametros[Código do Posto],tabCustoUnit[[#This Row],[Código do Posto]],tabParametros[Incidência do FGTS sobre API e Reflexo do API])*tabCustoUnit[[#This Row],[MODULO 1 - REMUNERAÇÃO ]]</f>
        <v>2.5049555469413582</v>
      </c>
      <c r="AO278" s="22">
        <f>SUMIF(tabParametros[Código do Posto],tabCustoUnit[[#This Row],[Código do Posto]],tabParametros[Multa Rescisória do FGTS sobre o Aviso Prévio Indenizado])*tabCustoUnit[[#This Row],[MODULO 1 - REMUNERAÇÃO ]]</f>
        <v>1.0019822187765435</v>
      </c>
      <c r="AP278" s="22">
        <f>SUMIF(tabParametros[Código do Posto],tabCustoUnit[[#This Row],[Código do Posto]],tabParametros[Aviso Prévio Trabalhado - APT])*tabCustoUnit[[#This Row],[MODULO 1 - REMUNERAÇÃO ]]</f>
        <v>15.629698700000002</v>
      </c>
      <c r="AQ278" s="22">
        <f>SUMIF(tabParametros[Código do Posto],tabCustoUnit[[#This Row],[Código do Posto]],tabParametros[Incidência dos encargos do submódulo 2.1 sobre Aviso Prévio Trabalhado])*tabCustoUnit[[#This Row],[MODULO 1 - REMUNERAÇÃO ]]</f>
        <v>5.9080261086000023</v>
      </c>
      <c r="AR278" s="22">
        <f>SUMIF(tabParametros[Código do Posto],tabCustoUnit[[#This Row],[Código do Posto]],tabParametros[Multa Rescisória do FGTS])*tabCustoUnit[[#This Row],[MODULO 1 - REMUNERAÇÃO ]]</f>
        <v>136.54898673777777</v>
      </c>
      <c r="AS278" s="22">
        <f>SUMIF(tabParametros[Código do Posto],tabCustoUnit[[#This Row],[Código do Posto]],tabParametros[Indenização Adicional (Art. 9º da Lei nº 7.238/84)])*tabCustoUnit[[#This Row],[MODULO 1 - REMUNERAÇÃO ]]</f>
        <v>3.7213568333333336</v>
      </c>
      <c r="AT278" s="22">
        <f>SUM(tabCustoUnit[[#This Row],[Aviso Prévio Indenizado (API) e Reflexo do Aviso Prévio Indenizado]:[Indenização Adicional (Art. 9º da Lei nº 7.238/84)]])</f>
        <v>196.62695048219601</v>
      </c>
      <c r="AU278" s="22">
        <f>SUMIF(tabParametros[Código do Posto],tabCustoUnit[[#This Row],[Código do Posto]],tabParametros[Ausência por Doença])*tabCustoUnit[[#This Row],[MODULO 1 - REMUNERAÇÃO ]]</f>
        <v>37.709749244444438</v>
      </c>
      <c r="AV278" s="22">
        <f>SUMIF(tabParametros[Código do Posto],tabCustoUnit[[#This Row],[Código do Posto]],tabParametros[Ausências Legais])*tabCustoUnit[[#This Row],[MODULO 1 - REMUNERAÇÃO ]]</f>
        <v>9.0553016277777783</v>
      </c>
      <c r="AW278" s="22">
        <f>SUMIF(tabParametros[Código do Posto],tabCustoUnit[[#This Row],[Código do Posto]],tabParametros[Licença Paternidade])*tabCustoUnit[[#This Row],[MODULO 1 - REMUNERAÇÃO ]]</f>
        <v>0.76287815083333332</v>
      </c>
      <c r="AX278" s="22">
        <f>SUMIF(tabParametros[Código do Posto],tabCustoUnit[[#This Row],[Código do Posto]],tabParametros[Ausência por Acidente de Trabalho])*tabCustoUnit[[#This Row],[MODULO 1 - REMUNERAÇÃO ]]</f>
        <v>0.93033920833333339</v>
      </c>
      <c r="AY278" s="22">
        <f>SUMIF(tabParametros[Código do Posto],tabCustoUnit[[#This Row],[Código do Posto]],tabParametros[Férias, Adicional de Férias e 13º  com empregada em gozo de Licença Maternidade])*tabCustoUnit[[#This Row],[MODULO 1 - REMUNERAÇÃO ]]</f>
        <v>5.7887772962962964</v>
      </c>
      <c r="AZ278" s="22">
        <f>SUMIF(tabParametros[Código do Posto],tabCustoUnit[[#This Row],[Código do Posto]],tabParametros[Incidência do Submódulo 2.1 sobre Ausências Legais])*tabCustoUnit[[#This Row],[MODULO 1 - REMUNERAÇÃO ]]</f>
        <v>20.505383209465005</v>
      </c>
      <c r="BA278" s="22">
        <f>SUM(tabCustoUnit[[#This Row],[Ausência por Doença]:[Incidência do Submódulo 2.1 sobre Ausências Legais]])</f>
        <v>74.752428737150183</v>
      </c>
      <c r="BB278" s="22">
        <f>SUMIF(tabParametros[Código do Posto],tabCustoUnit[[#This Row],[Código do Posto]],tabParametros[Intervalo para Repouso ou Alimentação])</f>
        <v>0</v>
      </c>
      <c r="BC278" s="22">
        <f>tabCustoUnit[[#This Row],[Intervalo para Repouso ou Alimentação]]</f>
        <v>0</v>
      </c>
      <c r="BD27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8" s="22">
        <f>tabCustoUnit[[#This Row],[Suspensão Temporária do Contrato de Trabalho]]</f>
        <v>0</v>
      </c>
      <c r="BF278" s="22">
        <f>tabCustoUnit[[#This Row],[Submódulo 4.1]]+tabCustoUnit[[#This Row],[Submódulo 4.2]]+tabCustoUnit[[#This Row],[Submódulo 4.3]]</f>
        <v>74.752428737150183</v>
      </c>
      <c r="BG278" s="22">
        <f>VLOOKUP(tabCustoUnit[[#This Row],[Código do Posto]],tabParametros[],MATCH(tabCustoUnit[[#Headers],[Uniformes e EPIs]],tabParametros[#Headers],0),0)</f>
        <v>92.100763771570698</v>
      </c>
      <c r="BH278" s="22">
        <f>VLOOKUP(tabCustoUnit[[#This Row],[Código do Posto]],tabParametros[],MATCH(tabCustoUnit[[#Headers],[Materiais de Consumo]],tabParametros[#Headers],0),0)</f>
        <v>0</v>
      </c>
      <c r="BI278" s="22">
        <f>VLOOKUP(tabCustoUnit[[#This Row],[Código do Posto]],tabParametros[],MATCH(tabCustoUnit[[#Headers],[Máquinas e Equipamentos (depreciação)]],tabParametros[#Headers],0),0)</f>
        <v>0</v>
      </c>
      <c r="BJ278" s="22">
        <f>VLOOKUP(tabCustoUnit[[#This Row],[Código do Posto]],tabParametros[],MATCH(tabCustoUnit[[#Headers],[Produtos de Limpeza e Materiais de Higiene Pessoal]],tabParametros[#Headers],0),0)</f>
        <v>0</v>
      </c>
      <c r="BK278" s="22">
        <f>VLOOKUP(tabCustoUnit[[#This Row],[Código do Posto]],tabParametros[],MATCH(tabCustoUnit[[#Headers],[Outros (especificar)]],tabParametros[#Headers],0),0)</f>
        <v>0</v>
      </c>
      <c r="BL278" s="22">
        <f>SUM(tabCustoUnit[[#This Row],[Uniformes e EPIs]:[Outros (especificar)]])</f>
        <v>92.100763771570698</v>
      </c>
      <c r="BM27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8" s="22" t="e">
        <f ca="1">VLOOKUP(tabCustoUnit[[#This Row],[Código do Posto]],tabParametros[],MATCH(tabCustoUnit[[#Headers],[Custos Indiretos]],tabParametros[#Headers],0),0)</f>
        <v>#NAME?</v>
      </c>
      <c r="BO278" s="22" t="e">
        <f ca="1">VLOOKUP(tabCustoUnit[[#This Row],[Código do Posto]],tabParametros[],MATCH(tabCustoUnit[[#Headers],[Lucro]],tabParametros[#Headers],0),0)</f>
        <v>#NAME?</v>
      </c>
      <c r="BP278" s="26">
        <f>((100/((1-tabCustoUnit[[#This Row],[Resumo de Alíquotas (PIS+CONFINS+ISS)]]))-100)*VLOOKUP(tabCustoUnit[[#This Row],[Código do Posto]],tabParametros[],MATCH(tabCustoUnit[[#Headers],[COFINS]],tabParametros[#Headers],0),0))/(tabCustoUnit[[#This Row],[Resumo de Alíquotas (PIS+CONFINS+ISS)]]*100)</f>
        <v>8.5633802816901458E-2</v>
      </c>
      <c r="BQ278" s="26">
        <f>((100/((100-(tabCustoUnit[[#This Row],[Resumo de Alíquotas (PIS+CONFINS+ISS)]]*100))%)-100)*VLOOKUP(tabCustoUnit[[#This Row],[Código do Posto]],tabParametros[],MATCH(tabCustoUnit[[#Headers],[PIS]],tabParametros[#Headers],0),0))/(tabCustoUnit[[#This Row],[Resumo de Alíquotas (PIS+CONFINS+ISS)]]*100)</f>
        <v>1.8591549295774657E-2</v>
      </c>
      <c r="BR278" s="28">
        <f>VLOOKUP(tabCustoUnit[[#This Row],[Código do Posto]],tabParametros[],MATCH(tabCustoUnit[[#Headers],[ISS]],tabParametros[#Headers],0),0)</f>
        <v>0.02</v>
      </c>
      <c r="BS278" s="26">
        <f>(((100/((100-(tabCustoUnit[[#This Row],[Resumo de Alíquotas (PIS+CONFINS+ISS)]]*100))%)-100)*tabCustoUnit[[#This Row],[ISS]])/tabCustoUnit[[#This Row],[Resumo de Alíquotas (PIS+CONFINS+ISS)]])/100</f>
        <v>2.2535211267605645E-2</v>
      </c>
      <c r="BT27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78" s="138">
        <f>tabCustoUnit[[#This Row],[COFINS]]+tabCustoUnit[[#This Row],[PIS]]+tabCustoUnit[[#This Row],[ISS (Conversão Alíquota s/ fatura)]]</f>
        <v>0.12676056338028174</v>
      </c>
      <c r="BV278" s="22" t="e">
        <f ca="1">(tabCustoUnit[[#This Row],[TOTAL MÓDULOS 1+2+3+4+5]]+tabCustoUnit[[#This Row],[Custos Indiretos]]+tabCustoUnit[[#This Row],[Lucro]])*tabCustoUnit[[#This Row],[PIS + COFINS + ISS (Total Conversão  Alíquota s/ Fatura)]]</f>
        <v>#NAME?</v>
      </c>
      <c r="BW278" s="22" t="e">
        <f ca="1">tabCustoUnit[[#This Row],[Custos Indiretos]]+tabCustoUnit[[#This Row],[Lucro]]+tabCustoUnit[[#This Row],[Valor dos Tributos (ISS, PIS, CONFINS)]]</f>
        <v>#NAME?</v>
      </c>
      <c r="BX278" s="22" t="e">
        <f ca="1">tabCustoUnit[[#This Row],[TOTAL MÓDULOS 1+2+3+4+5]]+tabCustoUnit[[#This Row],[MÓDULO 6 – CUSTOS INDIRETOS, TRIBUTOS E LUCRO]]</f>
        <v>#NAME?</v>
      </c>
      <c r="BY278" s="22" t="e">
        <f ca="1">tabCustoUnit[[#This Row],[CUSTO TOTAL MENSAL]]*12</f>
        <v>#NAME?</v>
      </c>
      <c r="BZ278" s="24">
        <f>VLOOKUP(tabCustoUnit[[#This Row],[Código do Posto]],tabParametros[],MATCH(tabCustoUnit[[#Headers],[ANO DA CCT]],tabParametros[#Headers],0),0)</f>
        <v>45658</v>
      </c>
      <c r="CA278" s="25" t="str">
        <f>VLOOKUP(tabCustoUnit[[#This Row],[Código do Posto]],tabParametros[],MATCH(tabCustoUnit[[#Headers],[Nº DE PEDIDO DA CCT]],tabParametros[#Headers],0),0)</f>
        <v>-</v>
      </c>
      <c r="CB278" s="25" t="str">
        <f>VLOOKUP(tabCustoUnit[[#This Row],[Código do Posto]],tabParametros[],MATCH(tabCustoUnit[[#Headers],[TERMO ADITIVO ALTERAÇÃO DA CCT]],tabParametros[#Headers],0),0)</f>
        <v>-</v>
      </c>
    </row>
    <row r="279" spans="1:80">
      <c r="A279" s="20" t="s">
        <v>1695</v>
      </c>
      <c r="B279" t="s">
        <v>1198</v>
      </c>
      <c r="C279" t="s">
        <v>319</v>
      </c>
      <c r="D279" t="s">
        <v>1058</v>
      </c>
      <c r="E279" s="20" t="s">
        <v>1090</v>
      </c>
      <c r="F279" s="20" t="s">
        <v>120</v>
      </c>
      <c r="G279" s="418">
        <v>2316.2296999999999</v>
      </c>
      <c r="H279" s="418">
        <v>0</v>
      </c>
      <c r="I279" s="418">
        <v>0</v>
      </c>
      <c r="J279" s="418">
        <v>0</v>
      </c>
      <c r="K279" s="418">
        <v>0</v>
      </c>
      <c r="L279" s="418">
        <v>0</v>
      </c>
      <c r="M279" s="418">
        <v>0</v>
      </c>
      <c r="N279" s="418">
        <v>0</v>
      </c>
      <c r="O279" s="21">
        <f>SUM(tabCustoUnit[[#This Row],[Salário Base]:[Adicional de Acúmulo de função]])</f>
        <v>2316.2296999999999</v>
      </c>
      <c r="P279" s="21">
        <f>tabCustoUnit[[#This Row],[MODULO 1 - REMUNERAÇÃO ]]*SUMIFS(tabParametros[INSS],tabParametros[Código do Posto],tabCustoUnit[[#This Row],[Código do Posto]])</f>
        <v>463.24594000000002</v>
      </c>
      <c r="Q279" s="21">
        <f>tabCustoUnit[[#This Row],[MODULO 1 - REMUNERAÇÃO ]]*SUMIFS(tabParametros[SESI OU SESC],tabParametros[Código do Posto],tabCustoUnit[[#This Row],[Código do Posto]])</f>
        <v>34.7434455</v>
      </c>
      <c r="R279" s="21">
        <f>tabCustoUnit[[#This Row],[MODULO 1 - REMUNERAÇÃO ]]*SUMIFS(tabParametros[SENAI OU SENAC],tabParametros[Código do Posto],tabCustoUnit[[#This Row],[Código do Posto]])</f>
        <v>23.162296999999999</v>
      </c>
      <c r="S279" s="21">
        <f>tabCustoUnit[[#This Row],[MODULO 1 - REMUNERAÇÃO ]]*SUMIFS(tabParametros[INCRA],tabParametros[Código do Posto],tabCustoUnit[[#This Row],[Código do Posto]])</f>
        <v>4.6324594000000001</v>
      </c>
      <c r="T279" s="21">
        <f>tabCustoUnit[[#This Row],[MODULO 1 - REMUNERAÇÃO ]]*SUMIFS(tabParametros[Salário Educação],tabParametros[Código do Posto],tabCustoUnit[[#This Row],[Código do Posto]])</f>
        <v>57.905742500000002</v>
      </c>
      <c r="U279" s="21">
        <f>tabCustoUnit[[#This Row],[MODULO 1 - REMUNERAÇÃO ]]*SUMIFS(tabParametros[FGTS],tabParametros[Código do Posto],tabCustoUnit[[#This Row],[Código do Posto]])</f>
        <v>185.29837599999999</v>
      </c>
      <c r="V279" s="21">
        <f>tabCustoUnit[[#This Row],[MODULO 1 - REMUNERAÇÃO ]]*SUMIFS(tabParametros[RAT Ajustado],tabParametros[Código do Posto],tabCustoUnit[[#This Row],[Código do Posto]])</f>
        <v>92.649187999999995</v>
      </c>
      <c r="W279" s="21">
        <f>tabCustoUnit[[#This Row],[MODULO 1 - REMUNERAÇÃO ]]*SUMIFS(tabParametros[SEBRAE],tabParametros[Código do Posto],tabCustoUnit[[#This Row],[Código do Posto]])</f>
        <v>13.8973782</v>
      </c>
      <c r="X279" s="21">
        <f>SUM(tabCustoUnit[[#This Row],[INSS]:[SEBRAE]])</f>
        <v>875.53482659999997</v>
      </c>
      <c r="Y279" s="21">
        <f>tabCustoUnit[[#This Row],[MODULO 1 - REMUNERAÇÃO ]]*SUMIFS(tabParametros[13º salário (titular)],tabParametros[Código do Posto],tabCustoUnit[[#This Row],[Código do Posto]])</f>
        <v>193.01914166666666</v>
      </c>
      <c r="Z279" s="21">
        <f>tabCustoUnit[[#This Row],[MODULO 1 - REMUNERAÇÃO ]]*SUMIFS(tabParametros[Férias e Adicional de Férias (titular)],tabParametros[Código do Posto],tabCustoUnit[[#This Row],[Código do Posto]])</f>
        <v>257.35885555555552</v>
      </c>
      <c r="AA279" s="21">
        <f>IFERROR((tabCustoUnit[[#This Row],[Submódulo 2.1]]/tabCustoUnit[[#This Row],[MODULO 1 - REMUNERAÇÃO ]])*SUM(tabCustoUnit[[#This Row],[13º salário (titular)]:[Férias e Adicional de Férias (titular)]]),0)</f>
        <v>170.24288294999999</v>
      </c>
      <c r="AB279" s="21">
        <f>SUM(tabCustoUnit[[#This Row],[13º salário (titular)]:[Incidência do Submódulo 2.1 sobre 13º Salário, Férias e Adicional de Férias]])</f>
        <v>620.6208801722222</v>
      </c>
      <c r="AC279" s="22" t="e">
        <f ca="1">_xlfn.LET(_xlpm.VT,SUMIF(tabParametros[Código do Posto],tabCustoUnit[[#This Row],[Código do Posto]],tabParametros[Vale - Transporte])*2*20,
IF((_xlpm.VT-tabCustoUnit[[#This Row],[Salário Base]]*0.06)&gt;=0,(_xlpm.VT-tabCustoUnit[[#This Row],[Salário Base]]*0.06),0)
)</f>
        <v>#NAME?</v>
      </c>
      <c r="AD279" s="22">
        <f>IF(SUMIF(tabParametros[Código do Posto],tabCustoUnit[[#This Row],[Código do Posto]],tabParametros[Vale - Alimentação])&lt;=0,0,
SUMIF(tabParametros[Código do Posto],tabCustoUnit[[#This Row],[Código do Posto]],tabParametros[Vale - Alimentação])*20-1)</f>
        <v>582</v>
      </c>
      <c r="AE279" s="22">
        <f>SUMIF(tabParametros[Código do Posto],tabCustoUnit[[#This Row],[Código do Posto]],tabParametros[Cesta Básica])</f>
        <v>0</v>
      </c>
      <c r="AF279" s="22">
        <f>SUMIF(tabParametros[Código do Posto],tabCustoUnit[[#This Row],[Código do Posto]],tabParametros[PAF])</f>
        <v>77.25</v>
      </c>
      <c r="AG279" s="22">
        <f>SUMIF(tabParametros[Código do Posto],tabCustoUnit[[#This Row],[Código do Posto]],tabParametros[PQM])</f>
        <v>0</v>
      </c>
      <c r="AH279" s="22">
        <f>SUMIF(tabParametros[Código do Posto],tabCustoUnit[[#This Row],[Código do Posto]],tabParametros[Abono Único e Especial])</f>
        <v>0</v>
      </c>
      <c r="AI279" s="22">
        <f>SUMIF(tabParametros[Código do Posto],tabCustoUnit[[#This Row],[Código do Posto]],tabParametros[Seguro de Vida])</f>
        <v>3.36</v>
      </c>
      <c r="AJ279" s="22">
        <f>SUMIF(tabParametros[Código do Posto],tabCustoUnit[[#This Row],[Código do Posto]],tabParametros[Despesas de Viagem])</f>
        <v>0</v>
      </c>
      <c r="AK279" s="22" t="e">
        <f ca="1">SUM(tabCustoUnit[[#This Row],[Vale - Transporte (Descontada parcela do empregado)]:[Despesas de Viagem]])</f>
        <v>#NAME?</v>
      </c>
      <c r="AL279" s="22" t="e">
        <f ca="1">tabCustoUnit[[#This Row],[Submódulo 2.1]]+tabCustoUnit[[#This Row],[Submódulo 2.2]]+tabCustoUnit[[#This Row],[Submódulo 2.3]]</f>
        <v>#NAME?</v>
      </c>
      <c r="AM279" s="22">
        <f>SUMIF(tabParametros[Código do Posto],tabCustoUnit[[#This Row],[Código do Posto]],tabParametros[Aviso Prévio Indenizado (API) e Reflexo do Aviso Prévio Indenizado])*tabCustoUnit[[#This Row],[MODULO 1 - REMUNERAÇÃO ]]</f>
        <v>16.240862917689043</v>
      </c>
      <c r="AN279" s="22">
        <f>SUMIF(tabParametros[Código do Posto],tabCustoUnit[[#This Row],[Código do Posto]],tabParametros[Incidência do FGTS sobre API e Reflexo do API])*tabCustoUnit[[#This Row],[MODULO 1 - REMUNERAÇÃO ]]</f>
        <v>1.2992690334151236</v>
      </c>
      <c r="AO279" s="22">
        <f>SUMIF(tabParametros[Código do Posto],tabCustoUnit[[#This Row],[Código do Posto]],tabParametros[Multa Rescisória do FGTS sobre o Aviso Prévio Indenizado])*tabCustoUnit[[#This Row],[MODULO 1 - REMUNERAÇÃO ]]</f>
        <v>0.51970761336604943</v>
      </c>
      <c r="AP279" s="22">
        <f>SUMIF(tabParametros[Código do Posto],tabCustoUnit[[#This Row],[Código do Posto]],tabParametros[Aviso Prévio Trabalhado - APT])*tabCustoUnit[[#This Row],[MODULO 1 - REMUNERAÇÃO ]]</f>
        <v>8.1068039500000015</v>
      </c>
      <c r="AQ279" s="22">
        <f>SUMIF(tabParametros[Código do Posto],tabCustoUnit[[#This Row],[Código do Posto]],tabParametros[Incidência dos encargos do submódulo 2.1 sobre Aviso Prévio Trabalhado])*tabCustoUnit[[#This Row],[MODULO 1 - REMUNERAÇÃO ]]</f>
        <v>3.0643718931000006</v>
      </c>
      <c r="AR279" s="22">
        <f>SUMIF(tabParametros[Código do Posto],tabCustoUnit[[#This Row],[Código do Posto]],tabParametros[Multa Rescisória do FGTS])*tabCustoUnit[[#This Row],[MODULO 1 - REMUNERAÇÃO ]]</f>
        <v>70.825157048888869</v>
      </c>
      <c r="AS279" s="22">
        <f>SUMIF(tabParametros[Código do Posto],tabCustoUnit[[#This Row],[Código do Posto]],tabParametros[Indenização Adicional (Art. 9º da Lei nº 7.238/84)])*tabCustoUnit[[#This Row],[MODULO 1 - REMUNERAÇÃO ]]</f>
        <v>1.9301914166666667</v>
      </c>
      <c r="AT279" s="22">
        <f>SUM(tabCustoUnit[[#This Row],[Aviso Prévio Indenizado (API) e Reflexo do Aviso Prévio Indenizado]:[Indenização Adicional (Art. 9º da Lei nº 7.238/84)]])</f>
        <v>101.98636387312575</v>
      </c>
      <c r="AU279" s="22">
        <f>SUMIF(tabParametros[Código do Posto],tabCustoUnit[[#This Row],[Código do Posto]],tabParametros[Ausência por Doença])*tabCustoUnit[[#This Row],[MODULO 1 - REMUNERAÇÃO ]]</f>
        <v>19.559273022222218</v>
      </c>
      <c r="AV279" s="22">
        <f>SUMIF(tabParametros[Código do Posto],tabCustoUnit[[#This Row],[Código do Posto]],tabParametros[Ausências Legais])*tabCustoUnit[[#This Row],[MODULO 1 - REMUNERAÇÃO ]]</f>
        <v>4.696799113888888</v>
      </c>
      <c r="AW279" s="22">
        <f>SUMIF(tabParametros[Código do Posto],tabCustoUnit[[#This Row],[Código do Posto]],tabParametros[Licença Paternidade])*tabCustoUnit[[#This Row],[MODULO 1 - REMUNERAÇÃO ]]</f>
        <v>0.39568924041666664</v>
      </c>
      <c r="AX279" s="22">
        <f>SUMIF(tabParametros[Código do Posto],tabCustoUnit[[#This Row],[Código do Posto]],tabParametros[Ausência por Acidente de Trabalho])*tabCustoUnit[[#This Row],[MODULO 1 - REMUNERAÇÃO ]]</f>
        <v>0.48254785416666668</v>
      </c>
      <c r="AY279" s="22">
        <f>SUMIF(tabParametros[Código do Posto],tabCustoUnit[[#This Row],[Código do Posto]],tabParametros[Férias, Adicional de Férias e 13º  com empregada em gozo de Licença Maternidade])*tabCustoUnit[[#This Row],[MODULO 1 - REMUNERAÇÃO ]]</f>
        <v>3.0025199814814814</v>
      </c>
      <c r="AZ279" s="22">
        <f>SUMIF(tabParametros[Código do Posto],tabCustoUnit[[#This Row],[Código do Posto]],tabParametros[Incidência do Submódulo 2.1 sobre Ausências Legais])*tabCustoUnit[[#This Row],[MODULO 1 - REMUNERAÇÃO ]]</f>
        <v>10.635721442202501</v>
      </c>
      <c r="BA279" s="22">
        <f>SUM(tabCustoUnit[[#This Row],[Ausência por Doença]:[Incidência do Submódulo 2.1 sobre Ausências Legais]])</f>
        <v>38.772550654378421</v>
      </c>
      <c r="BB279" s="22">
        <f>SUMIF(tabParametros[Código do Posto],tabCustoUnit[[#This Row],[Código do Posto]],tabParametros[Intervalo para Repouso ou Alimentação])</f>
        <v>0</v>
      </c>
      <c r="BC279" s="22">
        <f>tabCustoUnit[[#This Row],[Intervalo para Repouso ou Alimentação]]</f>
        <v>0</v>
      </c>
      <c r="BD27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79" s="22">
        <f>tabCustoUnit[[#This Row],[Suspensão Temporária do Contrato de Trabalho]]</f>
        <v>0</v>
      </c>
      <c r="BF279" s="22">
        <f>tabCustoUnit[[#This Row],[Submódulo 4.1]]+tabCustoUnit[[#This Row],[Submódulo 4.2]]+tabCustoUnit[[#This Row],[Submódulo 4.3]]</f>
        <v>38.772550654378421</v>
      </c>
      <c r="BG279" s="22">
        <f>VLOOKUP(tabCustoUnit[[#This Row],[Código do Posto]],tabParametros[],MATCH(tabCustoUnit[[#Headers],[Uniformes e EPIs]],tabParametros[#Headers],0),0)</f>
        <v>56.642978962543395</v>
      </c>
      <c r="BH279" s="22">
        <f>VLOOKUP(tabCustoUnit[[#This Row],[Código do Posto]],tabParametros[],MATCH(tabCustoUnit[[#Headers],[Materiais de Consumo]],tabParametros[#Headers],0),0)</f>
        <v>0</v>
      </c>
      <c r="BI279" s="22">
        <f>VLOOKUP(tabCustoUnit[[#This Row],[Código do Posto]],tabParametros[],MATCH(tabCustoUnit[[#Headers],[Máquinas e Equipamentos (depreciação)]],tabParametros[#Headers],0),0)</f>
        <v>0</v>
      </c>
      <c r="BJ279" s="22">
        <f>VLOOKUP(tabCustoUnit[[#This Row],[Código do Posto]],tabParametros[],MATCH(tabCustoUnit[[#Headers],[Produtos de Limpeza e Materiais de Higiene Pessoal]],tabParametros[#Headers],0),0)</f>
        <v>0</v>
      </c>
      <c r="BK279" s="22">
        <f>VLOOKUP(tabCustoUnit[[#This Row],[Código do Posto]],tabParametros[],MATCH(tabCustoUnit[[#Headers],[Outros (especificar)]],tabParametros[#Headers],0),0)</f>
        <v>0</v>
      </c>
      <c r="BL279" s="22">
        <f>SUM(tabCustoUnit[[#This Row],[Uniformes e EPIs]:[Outros (especificar)]])</f>
        <v>56.642978962543395</v>
      </c>
      <c r="BM27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79" s="22" t="e">
        <f ca="1">VLOOKUP(tabCustoUnit[[#This Row],[Código do Posto]],tabParametros[],MATCH(tabCustoUnit[[#Headers],[Custos Indiretos]],tabParametros[#Headers],0),0)</f>
        <v>#NAME?</v>
      </c>
      <c r="BO279" s="22" t="e">
        <f ca="1">VLOOKUP(tabCustoUnit[[#This Row],[Código do Posto]],tabParametros[],MATCH(tabCustoUnit[[#Headers],[Lucro]],tabParametros[#Headers],0),0)</f>
        <v>#NAME?</v>
      </c>
      <c r="BP279" s="26">
        <f>((100/((1-tabCustoUnit[[#This Row],[Resumo de Alíquotas (PIS+CONFINS+ISS)]]))-100)*VLOOKUP(tabCustoUnit[[#This Row],[Código do Posto]],tabParametros[],MATCH(tabCustoUnit[[#Headers],[COFINS]],tabParametros[#Headers],0),0))/(tabCustoUnit[[#This Row],[Resumo de Alíquotas (PIS+CONFINS+ISS)]]*100)</f>
        <v>8.5633802816901458E-2</v>
      </c>
      <c r="BQ279" s="26">
        <f>((100/((100-(tabCustoUnit[[#This Row],[Resumo de Alíquotas (PIS+CONFINS+ISS)]]*100))%)-100)*VLOOKUP(tabCustoUnit[[#This Row],[Código do Posto]],tabParametros[],MATCH(tabCustoUnit[[#Headers],[PIS]],tabParametros[#Headers],0),0))/(tabCustoUnit[[#This Row],[Resumo de Alíquotas (PIS+CONFINS+ISS)]]*100)</f>
        <v>1.8591549295774657E-2</v>
      </c>
      <c r="BR279" s="28">
        <f>VLOOKUP(tabCustoUnit[[#This Row],[Código do Posto]],tabParametros[],MATCH(tabCustoUnit[[#Headers],[ISS]],tabParametros[#Headers],0),0)</f>
        <v>0.02</v>
      </c>
      <c r="BS279" s="26">
        <f>(((100/((100-(tabCustoUnit[[#This Row],[Resumo de Alíquotas (PIS+CONFINS+ISS)]]*100))%)-100)*tabCustoUnit[[#This Row],[ISS]])/tabCustoUnit[[#This Row],[Resumo de Alíquotas (PIS+CONFINS+ISS)]])/100</f>
        <v>2.2535211267605645E-2</v>
      </c>
      <c r="BT27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79" s="138">
        <f>tabCustoUnit[[#This Row],[COFINS]]+tabCustoUnit[[#This Row],[PIS]]+tabCustoUnit[[#This Row],[ISS (Conversão Alíquota s/ fatura)]]</f>
        <v>0.12676056338028174</v>
      </c>
      <c r="BV279" s="22" t="e">
        <f ca="1">(tabCustoUnit[[#This Row],[TOTAL MÓDULOS 1+2+3+4+5]]+tabCustoUnit[[#This Row],[Custos Indiretos]]+tabCustoUnit[[#This Row],[Lucro]])*tabCustoUnit[[#This Row],[PIS + COFINS + ISS (Total Conversão  Alíquota s/ Fatura)]]</f>
        <v>#NAME?</v>
      </c>
      <c r="BW279" s="22" t="e">
        <f ca="1">tabCustoUnit[[#This Row],[Custos Indiretos]]+tabCustoUnit[[#This Row],[Lucro]]+tabCustoUnit[[#This Row],[Valor dos Tributos (ISS, PIS, CONFINS)]]</f>
        <v>#NAME?</v>
      </c>
      <c r="BX279" s="22" t="e">
        <f ca="1">tabCustoUnit[[#This Row],[TOTAL MÓDULOS 1+2+3+4+5]]+tabCustoUnit[[#This Row],[MÓDULO 6 – CUSTOS INDIRETOS, TRIBUTOS E LUCRO]]</f>
        <v>#NAME?</v>
      </c>
      <c r="BY279" s="22" t="e">
        <f ca="1">tabCustoUnit[[#This Row],[CUSTO TOTAL MENSAL]]*12</f>
        <v>#NAME?</v>
      </c>
      <c r="BZ279" s="24">
        <f>VLOOKUP(tabCustoUnit[[#This Row],[Código do Posto]],tabParametros[],MATCH(tabCustoUnit[[#Headers],[ANO DA CCT]],tabParametros[#Headers],0),0)</f>
        <v>45658</v>
      </c>
      <c r="CA279" s="25" t="str">
        <f>VLOOKUP(tabCustoUnit[[#This Row],[Código do Posto]],tabParametros[],MATCH(tabCustoUnit[[#Headers],[Nº DE PEDIDO DA CCT]],tabParametros[#Headers],0),0)</f>
        <v>-</v>
      </c>
      <c r="CB279" s="25" t="str">
        <f>VLOOKUP(tabCustoUnit[[#This Row],[Código do Posto]],tabParametros[],MATCH(tabCustoUnit[[#Headers],[TERMO ADITIVO ALTERAÇÃO DA CCT]],tabParametros[#Headers],0),0)</f>
        <v>-</v>
      </c>
    </row>
    <row r="280" spans="1:80">
      <c r="A280" s="20" t="s">
        <v>1696</v>
      </c>
      <c r="B280" t="s">
        <v>1199</v>
      </c>
      <c r="C280" t="s">
        <v>324</v>
      </c>
      <c r="D280" t="s">
        <v>961</v>
      </c>
      <c r="E280" s="20" t="s">
        <v>1090</v>
      </c>
      <c r="F280" s="20" t="s">
        <v>120</v>
      </c>
      <c r="G280" s="418">
        <v>3397.1305000000002</v>
      </c>
      <c r="H280" s="418">
        <v>0</v>
      </c>
      <c r="I280" s="418">
        <v>0</v>
      </c>
      <c r="J280" s="418">
        <v>0</v>
      </c>
      <c r="K280" s="418">
        <v>0</v>
      </c>
      <c r="L280" s="418">
        <v>0</v>
      </c>
      <c r="M280" s="418">
        <v>0</v>
      </c>
      <c r="N280" s="418">
        <v>0</v>
      </c>
      <c r="O280" s="21">
        <f>SUM(tabCustoUnit[[#This Row],[Salário Base]:[Adicional de Acúmulo de função]])</f>
        <v>3397.1305000000002</v>
      </c>
      <c r="P280" s="21">
        <f>tabCustoUnit[[#This Row],[MODULO 1 - REMUNERAÇÃO ]]*SUMIFS(tabParametros[INSS],tabParametros[Código do Posto],tabCustoUnit[[#This Row],[Código do Posto]])</f>
        <v>679.42610000000013</v>
      </c>
      <c r="Q280" s="21">
        <f>tabCustoUnit[[#This Row],[MODULO 1 - REMUNERAÇÃO ]]*SUMIFS(tabParametros[SESI OU SESC],tabParametros[Código do Posto],tabCustoUnit[[#This Row],[Código do Posto]])</f>
        <v>50.956957500000001</v>
      </c>
      <c r="R280" s="21">
        <f>tabCustoUnit[[#This Row],[MODULO 1 - REMUNERAÇÃO ]]*SUMIFS(tabParametros[SENAI OU SENAC],tabParametros[Código do Posto],tabCustoUnit[[#This Row],[Código do Posto]])</f>
        <v>33.971305000000001</v>
      </c>
      <c r="S280" s="21">
        <f>tabCustoUnit[[#This Row],[MODULO 1 - REMUNERAÇÃO ]]*SUMIFS(tabParametros[INCRA],tabParametros[Código do Posto],tabCustoUnit[[#This Row],[Código do Posto]])</f>
        <v>6.7942610000000005</v>
      </c>
      <c r="T280" s="21">
        <f>tabCustoUnit[[#This Row],[MODULO 1 - REMUNERAÇÃO ]]*SUMIFS(tabParametros[Salário Educação],tabParametros[Código do Posto],tabCustoUnit[[#This Row],[Código do Posto]])</f>
        <v>84.928262500000017</v>
      </c>
      <c r="U280" s="21">
        <f>tabCustoUnit[[#This Row],[MODULO 1 - REMUNERAÇÃO ]]*SUMIFS(tabParametros[FGTS],tabParametros[Código do Posto],tabCustoUnit[[#This Row],[Código do Posto]])</f>
        <v>271.77044000000001</v>
      </c>
      <c r="V280" s="21">
        <f>tabCustoUnit[[#This Row],[MODULO 1 - REMUNERAÇÃO ]]*SUMIFS(tabParametros[RAT Ajustado],tabParametros[Código do Posto],tabCustoUnit[[#This Row],[Código do Posto]])</f>
        <v>135.88522</v>
      </c>
      <c r="W280" s="21">
        <f>tabCustoUnit[[#This Row],[MODULO 1 - REMUNERAÇÃO ]]*SUMIFS(tabParametros[SEBRAE],tabParametros[Código do Posto],tabCustoUnit[[#This Row],[Código do Posto]])</f>
        <v>20.382783000000003</v>
      </c>
      <c r="X280" s="21">
        <f>SUM(tabCustoUnit[[#This Row],[INSS]:[SEBRAE]])</f>
        <v>1284.1153290000002</v>
      </c>
      <c r="Y280" s="21">
        <f>tabCustoUnit[[#This Row],[MODULO 1 - REMUNERAÇÃO ]]*SUMIFS(tabParametros[13º salário (titular)],tabParametros[Código do Posto],tabCustoUnit[[#This Row],[Código do Posto]])</f>
        <v>283.09420833333331</v>
      </c>
      <c r="Z280" s="21">
        <f>tabCustoUnit[[#This Row],[MODULO 1 - REMUNERAÇÃO ]]*SUMIFS(tabParametros[Férias e Adicional de Férias (titular)],tabParametros[Código do Posto],tabCustoUnit[[#This Row],[Código do Posto]])</f>
        <v>377.45894444444446</v>
      </c>
      <c r="AA280" s="21">
        <f>IFERROR((tabCustoUnit[[#This Row],[Submódulo 2.1]]/tabCustoUnit[[#This Row],[MODULO 1 - REMUNERAÇÃO ]])*SUM(tabCustoUnit[[#This Row],[13º salário (titular)]:[Férias e Adicional de Férias (titular)]]),0)</f>
        <v>249.68909175000005</v>
      </c>
      <c r="AB280" s="21">
        <f>SUM(tabCustoUnit[[#This Row],[13º salário (titular)]:[Incidência do Submódulo 2.1 sobre 13º Salário, Férias e Adicional de Férias]])</f>
        <v>910.24224452777776</v>
      </c>
      <c r="AC280" s="22" t="e">
        <f ca="1">_xlfn.LET(_xlpm.VT,SUMIF(tabParametros[Código do Posto],tabCustoUnit[[#This Row],[Código do Posto]],tabParametros[Vale - Transporte])*2*20,
IF((_xlpm.VT-tabCustoUnit[[#This Row],[Salário Base]]*0.06)&gt;=0,(_xlpm.VT-tabCustoUnit[[#This Row],[Salário Base]]*0.06),0)
)</f>
        <v>#NAME?</v>
      </c>
      <c r="AD280" s="22">
        <f>IF(SUMIF(tabParametros[Código do Posto],tabCustoUnit[[#This Row],[Código do Posto]],tabParametros[Vale - Alimentação])&lt;=0,0,
SUMIF(tabParametros[Código do Posto],tabCustoUnit[[#This Row],[Código do Posto]],tabParametros[Vale - Alimentação])*20-1)</f>
        <v>582</v>
      </c>
      <c r="AE280" s="22">
        <f>SUMIF(tabParametros[Código do Posto],tabCustoUnit[[#This Row],[Código do Posto]],tabParametros[Cesta Básica])</f>
        <v>0</v>
      </c>
      <c r="AF280" s="22">
        <f>SUMIF(tabParametros[Código do Posto],tabCustoUnit[[#This Row],[Código do Posto]],tabParametros[PAF])</f>
        <v>0</v>
      </c>
      <c r="AG280" s="22">
        <f>SUMIF(tabParametros[Código do Posto],tabCustoUnit[[#This Row],[Código do Posto]],tabParametros[PQM])</f>
        <v>0</v>
      </c>
      <c r="AH280" s="22">
        <f>SUMIF(tabParametros[Código do Posto],tabCustoUnit[[#This Row],[Código do Posto]],tabParametros[Abono Único e Especial])</f>
        <v>0</v>
      </c>
      <c r="AI280" s="22">
        <f>SUMIF(tabParametros[Código do Posto],tabCustoUnit[[#This Row],[Código do Posto]],tabParametros[Seguro de Vida])</f>
        <v>3.36</v>
      </c>
      <c r="AJ280" s="22">
        <f>SUMIF(tabParametros[Código do Posto],tabCustoUnit[[#This Row],[Código do Posto]],tabParametros[Despesas de Viagem])</f>
        <v>0</v>
      </c>
      <c r="AK280" s="22" t="e">
        <f ca="1">SUM(tabCustoUnit[[#This Row],[Vale - Transporte (Descontada parcela do empregado)]:[Despesas de Viagem]])</f>
        <v>#NAME?</v>
      </c>
      <c r="AL280" s="22" t="e">
        <f ca="1">tabCustoUnit[[#This Row],[Submódulo 2.1]]+tabCustoUnit[[#This Row],[Submódulo 2.2]]+tabCustoUnit[[#This Row],[Submódulo 2.3]]</f>
        <v>#NAME?</v>
      </c>
      <c r="AM280" s="22">
        <f>SUMIF(tabParametros[Código do Posto],tabCustoUnit[[#This Row],[Código do Posto]],tabParametros[Aviso Prévio Indenizado (API) e Reflexo do Aviso Prévio Indenizado])*tabCustoUnit[[#This Row],[MODULO 1 - REMUNERAÇÃO ]]</f>
        <v>23.819887450713736</v>
      </c>
      <c r="AN280" s="22">
        <f>SUMIF(tabParametros[Código do Posto],tabCustoUnit[[#This Row],[Código do Posto]],tabParametros[Incidência do FGTS sobre API e Reflexo do API])*tabCustoUnit[[#This Row],[MODULO 1 - REMUNERAÇÃO ]]</f>
        <v>1.9055909960570991</v>
      </c>
      <c r="AO280" s="22">
        <f>SUMIF(tabParametros[Código do Posto],tabCustoUnit[[#This Row],[Código do Posto]],tabParametros[Multa Rescisória do FGTS sobre o Aviso Prévio Indenizado])*tabCustoUnit[[#This Row],[MODULO 1 - REMUNERAÇÃO ]]</f>
        <v>0.76223639842283974</v>
      </c>
      <c r="AP280" s="22">
        <f>SUMIF(tabParametros[Código do Posto],tabCustoUnit[[#This Row],[Código do Posto]],tabParametros[Aviso Prévio Trabalhado - APT])*tabCustoUnit[[#This Row],[MODULO 1 - REMUNERAÇÃO ]]</f>
        <v>11.889956750000003</v>
      </c>
      <c r="AQ280" s="22">
        <f>SUMIF(tabParametros[Código do Posto],tabCustoUnit[[#This Row],[Código do Posto]],tabParametros[Incidência dos encargos do submódulo 2.1 sobre Aviso Prévio Trabalhado])*tabCustoUnit[[#This Row],[MODULO 1 - REMUNERAÇÃO ]]</f>
        <v>4.4944036515000017</v>
      </c>
      <c r="AR280" s="22">
        <f>SUMIF(tabParametros[Código do Posto],tabCustoUnit[[#This Row],[Código do Posto]],tabParametros[Multa Rescisória do FGTS])*tabCustoUnit[[#This Row],[MODULO 1 - REMUNERAÇÃO ]]</f>
        <v>103.87670151111111</v>
      </c>
      <c r="AS280" s="22">
        <f>SUMIF(tabParametros[Código do Posto],tabCustoUnit[[#This Row],[Código do Posto]],tabParametros[Indenização Adicional (Art. 9º da Lei nº 7.238/84)])*tabCustoUnit[[#This Row],[MODULO 1 - REMUNERAÇÃO ]]</f>
        <v>2.8309420833333339</v>
      </c>
      <c r="AT280" s="22">
        <f>SUM(tabCustoUnit[[#This Row],[Aviso Prévio Indenizado (API) e Reflexo do Aviso Prévio Indenizado]:[Indenização Adicional (Art. 9º da Lei nº 7.238/84)]])</f>
        <v>149.57971884113812</v>
      </c>
      <c r="AU280" s="22">
        <f>SUMIF(tabParametros[Código do Posto],tabCustoUnit[[#This Row],[Código do Posto]],tabParametros[Ausência por Doença])*tabCustoUnit[[#This Row],[MODULO 1 - REMUNERAÇÃO ]]</f>
        <v>28.686879777777776</v>
      </c>
      <c r="AV280" s="22">
        <f>SUMIF(tabParametros[Código do Posto],tabCustoUnit[[#This Row],[Código do Posto]],tabParametros[Ausências Legais])*tabCustoUnit[[#This Row],[MODULO 1 - REMUNERAÇÃO ]]</f>
        <v>6.888625736111111</v>
      </c>
      <c r="AW280" s="22">
        <f>SUMIF(tabParametros[Código do Posto],tabCustoUnit[[#This Row],[Código do Posto]],tabParametros[Licença Paternidade])*tabCustoUnit[[#This Row],[MODULO 1 - REMUNERAÇÃO ]]</f>
        <v>0.58034312708333335</v>
      </c>
      <c r="AX280" s="22">
        <f>SUMIF(tabParametros[Código do Posto],tabCustoUnit[[#This Row],[Código do Posto]],tabParametros[Ausência por Acidente de Trabalho])*tabCustoUnit[[#This Row],[MODULO 1 - REMUNERAÇÃO ]]</f>
        <v>0.70773552083333346</v>
      </c>
      <c r="AY280" s="22">
        <f>SUMIF(tabParametros[Código do Posto],tabCustoUnit[[#This Row],[Código do Posto]],tabParametros[Férias, Adicional de Férias e 13º  com empregada em gozo de Licença Maternidade])*tabCustoUnit[[#This Row],[MODULO 1 - REMUNERAÇÃO ]]</f>
        <v>4.4036876851851856</v>
      </c>
      <c r="AZ280" s="22">
        <f>SUMIF(tabParametros[Código do Posto],tabCustoUnit[[#This Row],[Código do Posto]],tabParametros[Incidência do Submódulo 2.1 sobre Ausências Legais])*tabCustoUnit[[#This Row],[MODULO 1 - REMUNERAÇÃO ]]</f>
        <v>15.599028758162504</v>
      </c>
      <c r="BA280" s="22">
        <f>SUM(tabCustoUnit[[#This Row],[Ausência por Doença]:[Incidência do Submódulo 2.1 sobre Ausências Legais]])</f>
        <v>56.866300605153235</v>
      </c>
      <c r="BB280" s="22">
        <f>SUMIF(tabParametros[Código do Posto],tabCustoUnit[[#This Row],[Código do Posto]],tabParametros[Intervalo para Repouso ou Alimentação])</f>
        <v>0</v>
      </c>
      <c r="BC280" s="22">
        <f>tabCustoUnit[[#This Row],[Intervalo para Repouso ou Alimentação]]</f>
        <v>0</v>
      </c>
      <c r="BD28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0" s="22">
        <f>tabCustoUnit[[#This Row],[Suspensão Temporária do Contrato de Trabalho]]</f>
        <v>0</v>
      </c>
      <c r="BF280" s="22">
        <f>tabCustoUnit[[#This Row],[Submódulo 4.1]]+tabCustoUnit[[#This Row],[Submódulo 4.2]]+tabCustoUnit[[#This Row],[Submódulo 4.3]]</f>
        <v>56.866300605153235</v>
      </c>
      <c r="BG280" s="22">
        <f>VLOOKUP(tabCustoUnit[[#This Row],[Código do Posto]],tabParametros[],MATCH(tabCustoUnit[[#Headers],[Uniformes e EPIs]],tabParametros[#Headers],0),0)</f>
        <v>56.642978962543395</v>
      </c>
      <c r="BH280" s="22">
        <f>VLOOKUP(tabCustoUnit[[#This Row],[Código do Posto]],tabParametros[],MATCH(tabCustoUnit[[#Headers],[Materiais de Consumo]],tabParametros[#Headers],0),0)</f>
        <v>0</v>
      </c>
      <c r="BI280" s="22">
        <f>VLOOKUP(tabCustoUnit[[#This Row],[Código do Posto]],tabParametros[],MATCH(tabCustoUnit[[#Headers],[Máquinas e Equipamentos (depreciação)]],tabParametros[#Headers],0),0)</f>
        <v>0</v>
      </c>
      <c r="BJ280" s="22">
        <f>VLOOKUP(tabCustoUnit[[#This Row],[Código do Posto]],tabParametros[],MATCH(tabCustoUnit[[#Headers],[Produtos de Limpeza e Materiais de Higiene Pessoal]],tabParametros[#Headers],0),0)</f>
        <v>0</v>
      </c>
      <c r="BK280" s="22">
        <f>VLOOKUP(tabCustoUnit[[#This Row],[Código do Posto]],tabParametros[],MATCH(tabCustoUnit[[#Headers],[Outros (especificar)]],tabParametros[#Headers],0),0)</f>
        <v>0</v>
      </c>
      <c r="BL280" s="22">
        <f>SUM(tabCustoUnit[[#This Row],[Uniformes e EPIs]:[Outros (especificar)]])</f>
        <v>56.642978962543395</v>
      </c>
      <c r="BM28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0" s="22" t="e">
        <f ca="1">VLOOKUP(tabCustoUnit[[#This Row],[Código do Posto]],tabParametros[],MATCH(tabCustoUnit[[#Headers],[Custos Indiretos]],tabParametros[#Headers],0),0)</f>
        <v>#NAME?</v>
      </c>
      <c r="BO280" s="22" t="e">
        <f ca="1">VLOOKUP(tabCustoUnit[[#This Row],[Código do Posto]],tabParametros[],MATCH(tabCustoUnit[[#Headers],[Lucro]],tabParametros[#Headers],0),0)</f>
        <v>#NAME?</v>
      </c>
      <c r="BP280" s="26">
        <f>((100/((1-tabCustoUnit[[#This Row],[Resumo de Alíquotas (PIS+CONFINS+ISS)]]))-100)*VLOOKUP(tabCustoUnit[[#This Row],[Código do Posto]],tabParametros[],MATCH(tabCustoUnit[[#Headers],[COFINS]],tabParametros[#Headers],0),0))/(tabCustoUnit[[#This Row],[Resumo de Alíquotas (PIS+CONFINS+ISS)]]*100)</f>
        <v>8.6609686609686695E-2</v>
      </c>
      <c r="BQ280" s="26">
        <f>((100/((100-(tabCustoUnit[[#This Row],[Resumo de Alíquotas (PIS+CONFINS+ISS)]]*100))%)-100)*VLOOKUP(tabCustoUnit[[#This Row],[Código do Posto]],tabParametros[],MATCH(tabCustoUnit[[#Headers],[PIS]],tabParametros[#Headers],0),0))/(tabCustoUnit[[#This Row],[Resumo de Alíquotas (PIS+CONFINS+ISS)]]*100)</f>
        <v>1.880341880341882E-2</v>
      </c>
      <c r="BR280" s="28">
        <f>VLOOKUP(tabCustoUnit[[#This Row],[Código do Posto]],tabParametros[],MATCH(tabCustoUnit[[#Headers],[ISS]],tabParametros[#Headers],0),0)</f>
        <v>0.03</v>
      </c>
      <c r="BS280" s="26">
        <f>(((100/((100-(tabCustoUnit[[#This Row],[Resumo de Alíquotas (PIS+CONFINS+ISS)]]*100))%)-100)*tabCustoUnit[[#This Row],[ISS]])/tabCustoUnit[[#This Row],[Resumo de Alíquotas (PIS+CONFINS+ISS)]])/100</f>
        <v>3.4188034188034219E-2</v>
      </c>
      <c r="BT28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80" s="138">
        <f>tabCustoUnit[[#This Row],[COFINS]]+tabCustoUnit[[#This Row],[PIS]]+tabCustoUnit[[#This Row],[ISS (Conversão Alíquota s/ fatura)]]</f>
        <v>0.13960113960113973</v>
      </c>
      <c r="BV280" s="22" t="e">
        <f ca="1">(tabCustoUnit[[#This Row],[TOTAL MÓDULOS 1+2+3+4+5]]+tabCustoUnit[[#This Row],[Custos Indiretos]]+tabCustoUnit[[#This Row],[Lucro]])*tabCustoUnit[[#This Row],[PIS + COFINS + ISS (Total Conversão  Alíquota s/ Fatura)]]</f>
        <v>#NAME?</v>
      </c>
      <c r="BW280" s="22" t="e">
        <f ca="1">tabCustoUnit[[#This Row],[Custos Indiretos]]+tabCustoUnit[[#This Row],[Lucro]]+tabCustoUnit[[#This Row],[Valor dos Tributos (ISS, PIS, CONFINS)]]</f>
        <v>#NAME?</v>
      </c>
      <c r="BX280" s="22" t="e">
        <f ca="1">tabCustoUnit[[#This Row],[TOTAL MÓDULOS 1+2+3+4+5]]+tabCustoUnit[[#This Row],[MÓDULO 6 – CUSTOS INDIRETOS, TRIBUTOS E LUCRO]]</f>
        <v>#NAME?</v>
      </c>
      <c r="BY280" s="22" t="e">
        <f ca="1">tabCustoUnit[[#This Row],[CUSTO TOTAL MENSAL]]*12</f>
        <v>#NAME?</v>
      </c>
      <c r="BZ280" s="24">
        <f>VLOOKUP(tabCustoUnit[[#This Row],[Código do Posto]],tabParametros[],MATCH(tabCustoUnit[[#Headers],[ANO DA CCT]],tabParametros[#Headers],0),0)</f>
        <v>45658</v>
      </c>
      <c r="CA280" s="25" t="str">
        <f>VLOOKUP(tabCustoUnit[[#This Row],[Código do Posto]],tabParametros[],MATCH(tabCustoUnit[[#Headers],[Nº DE PEDIDO DA CCT]],tabParametros[#Headers],0),0)</f>
        <v>-</v>
      </c>
      <c r="CB280" s="25" t="str">
        <f>VLOOKUP(tabCustoUnit[[#This Row],[Código do Posto]],tabParametros[],MATCH(tabCustoUnit[[#Headers],[TERMO ADITIVO ALTERAÇÃO DA CCT]],tabParametros[#Headers],0),0)</f>
        <v>-</v>
      </c>
    </row>
    <row r="281" spans="1:80">
      <c r="A281" s="20" t="s">
        <v>1697</v>
      </c>
      <c r="B281" t="s">
        <v>1200</v>
      </c>
      <c r="C281" t="s">
        <v>314</v>
      </c>
      <c r="D281" t="s">
        <v>942</v>
      </c>
      <c r="E281" s="20" t="s">
        <v>1090</v>
      </c>
      <c r="F281" s="20" t="s">
        <v>120</v>
      </c>
      <c r="G281" s="418">
        <v>1963.405</v>
      </c>
      <c r="H281" s="418">
        <v>0</v>
      </c>
      <c r="I281" s="418">
        <v>0</v>
      </c>
      <c r="J281" s="418">
        <v>0</v>
      </c>
      <c r="K281" s="418">
        <v>0</v>
      </c>
      <c r="L281" s="418">
        <v>0</v>
      </c>
      <c r="M281" s="418">
        <v>0</v>
      </c>
      <c r="N281" s="418">
        <v>0</v>
      </c>
      <c r="O281" s="21">
        <f>SUM(tabCustoUnit[[#This Row],[Salário Base]:[Adicional de Acúmulo de função]])</f>
        <v>1963.405</v>
      </c>
      <c r="P281" s="21">
        <f>tabCustoUnit[[#This Row],[MODULO 1 - REMUNERAÇÃO ]]*SUMIFS(tabParametros[INSS],tabParametros[Código do Posto],tabCustoUnit[[#This Row],[Código do Posto]])</f>
        <v>392.68100000000004</v>
      </c>
      <c r="Q281" s="21">
        <f>tabCustoUnit[[#This Row],[MODULO 1 - REMUNERAÇÃO ]]*SUMIFS(tabParametros[SESI OU SESC],tabParametros[Código do Posto],tabCustoUnit[[#This Row],[Código do Posto]])</f>
        <v>29.451074999999999</v>
      </c>
      <c r="R281" s="21">
        <f>tabCustoUnit[[#This Row],[MODULO 1 - REMUNERAÇÃO ]]*SUMIFS(tabParametros[SENAI OU SENAC],tabParametros[Código do Posto],tabCustoUnit[[#This Row],[Código do Posto]])</f>
        <v>19.634049999999998</v>
      </c>
      <c r="S281" s="21">
        <f>tabCustoUnit[[#This Row],[MODULO 1 - REMUNERAÇÃO ]]*SUMIFS(tabParametros[INCRA],tabParametros[Código do Posto],tabCustoUnit[[#This Row],[Código do Posto]])</f>
        <v>3.9268100000000001</v>
      </c>
      <c r="T281" s="21">
        <f>tabCustoUnit[[#This Row],[MODULO 1 - REMUNERAÇÃO ]]*SUMIFS(tabParametros[Salário Educação],tabParametros[Código do Posto],tabCustoUnit[[#This Row],[Código do Posto]])</f>
        <v>49.085125000000005</v>
      </c>
      <c r="U281" s="21">
        <f>tabCustoUnit[[#This Row],[MODULO 1 - REMUNERAÇÃO ]]*SUMIFS(tabParametros[FGTS],tabParametros[Código do Posto],tabCustoUnit[[#This Row],[Código do Posto]])</f>
        <v>157.07239999999999</v>
      </c>
      <c r="V281" s="21">
        <f>tabCustoUnit[[#This Row],[MODULO 1 - REMUNERAÇÃO ]]*SUMIFS(tabParametros[RAT Ajustado],tabParametros[Código do Posto],tabCustoUnit[[#This Row],[Código do Posto]])</f>
        <v>78.536199999999994</v>
      </c>
      <c r="W281" s="21">
        <f>tabCustoUnit[[#This Row],[MODULO 1 - REMUNERAÇÃO ]]*SUMIFS(tabParametros[SEBRAE],tabParametros[Código do Posto],tabCustoUnit[[#This Row],[Código do Posto]])</f>
        <v>11.780430000000001</v>
      </c>
      <c r="X281" s="21">
        <f>SUM(tabCustoUnit[[#This Row],[INSS]:[SEBRAE]])</f>
        <v>742.16709000000003</v>
      </c>
      <c r="Y281" s="21">
        <f>tabCustoUnit[[#This Row],[MODULO 1 - REMUNERAÇÃO ]]*SUMIFS(tabParametros[13º salário (titular)],tabParametros[Código do Posto],tabCustoUnit[[#This Row],[Código do Posto]])</f>
        <v>163.61708333333331</v>
      </c>
      <c r="Z281" s="21">
        <f>tabCustoUnit[[#This Row],[MODULO 1 - REMUNERAÇÃO ]]*SUMIFS(tabParametros[Férias e Adicional de Férias (titular)],tabParametros[Código do Posto],tabCustoUnit[[#This Row],[Código do Posto]])</f>
        <v>218.1561111111111</v>
      </c>
      <c r="AA281" s="21">
        <f>IFERROR((tabCustoUnit[[#This Row],[Submódulo 2.1]]/tabCustoUnit[[#This Row],[MODULO 1 - REMUNERAÇÃO ]])*SUM(tabCustoUnit[[#This Row],[13º salário (titular)]:[Férias e Adicional de Férias (titular)]]),0)</f>
        <v>144.31026749999998</v>
      </c>
      <c r="AB281" s="21">
        <f>SUM(tabCustoUnit[[#This Row],[13º salário (titular)]:[Incidência do Submódulo 2.1 sobre 13º Salário, Férias e Adicional de Férias]])</f>
        <v>526.08346194444437</v>
      </c>
      <c r="AC281" s="22" t="e">
        <f ca="1">_xlfn.LET(_xlpm.VT,SUMIF(tabParametros[Código do Posto],tabCustoUnit[[#This Row],[Código do Posto]],tabParametros[Vale - Transporte])*2*20,
IF((_xlpm.VT-tabCustoUnit[[#This Row],[Salário Base]]*0.06)&gt;=0,(_xlpm.VT-tabCustoUnit[[#This Row],[Salário Base]]*0.06),0)
)</f>
        <v>#NAME?</v>
      </c>
      <c r="AD281" s="22">
        <f>IF(SUMIF(tabParametros[Código do Posto],tabCustoUnit[[#This Row],[Código do Posto]],tabParametros[Vale - Alimentação])&lt;=0,0,
SUMIF(tabParametros[Código do Posto],tabCustoUnit[[#This Row],[Código do Posto]],tabParametros[Vale - Alimentação])*20-1)</f>
        <v>582</v>
      </c>
      <c r="AE281" s="22">
        <f>SUMIF(tabParametros[Código do Posto],tabCustoUnit[[#This Row],[Código do Posto]],tabParametros[Cesta Básica])</f>
        <v>0</v>
      </c>
      <c r="AF281" s="22">
        <f>SUMIF(tabParametros[Código do Posto],tabCustoUnit[[#This Row],[Código do Posto]],tabParametros[PAF])</f>
        <v>51.88</v>
      </c>
      <c r="AG281" s="22">
        <f>SUMIF(tabParametros[Código do Posto],tabCustoUnit[[#This Row],[Código do Posto]],tabParametros[PQM])</f>
        <v>0</v>
      </c>
      <c r="AH281" s="22">
        <f>SUMIF(tabParametros[Código do Posto],tabCustoUnit[[#This Row],[Código do Posto]],tabParametros[Abono Único e Especial])</f>
        <v>0</v>
      </c>
      <c r="AI281" s="22">
        <f>SUMIF(tabParametros[Código do Posto],tabCustoUnit[[#This Row],[Código do Posto]],tabParametros[Seguro de Vida])</f>
        <v>3.36</v>
      </c>
      <c r="AJ281" s="22">
        <f>SUMIF(tabParametros[Código do Posto],tabCustoUnit[[#This Row],[Código do Posto]],tabParametros[Despesas de Viagem])</f>
        <v>0</v>
      </c>
      <c r="AK281" s="22" t="e">
        <f ca="1">SUM(tabCustoUnit[[#This Row],[Vale - Transporte (Descontada parcela do empregado)]:[Despesas de Viagem]])</f>
        <v>#NAME?</v>
      </c>
      <c r="AL281" s="22" t="e">
        <f ca="1">tabCustoUnit[[#This Row],[Submódulo 2.1]]+tabCustoUnit[[#This Row],[Submódulo 2.2]]+tabCustoUnit[[#This Row],[Submódulo 2.3]]</f>
        <v>#NAME?</v>
      </c>
      <c r="AM281" s="22">
        <f>SUMIF(tabParametros[Código do Posto],tabCustoUnit[[#This Row],[Código do Posto]],tabParametros[Aviso Prévio Indenizado (API) e Reflexo do Aviso Prévio Indenizado])*tabCustoUnit[[#This Row],[MODULO 1 - REMUNERAÇÃO ]]</f>
        <v>13.766938338155864</v>
      </c>
      <c r="AN281" s="22">
        <f>SUMIF(tabParametros[Código do Posto],tabCustoUnit[[#This Row],[Código do Posto]],tabParametros[Incidência do FGTS sobre API e Reflexo do API])*tabCustoUnit[[#This Row],[MODULO 1 - REMUNERAÇÃO ]]</f>
        <v>1.1013550670524692</v>
      </c>
      <c r="AO281" s="22">
        <f>SUMIF(tabParametros[Código do Posto],tabCustoUnit[[#This Row],[Código do Posto]],tabParametros[Multa Rescisória do FGTS sobre o Aviso Prévio Indenizado])*tabCustoUnit[[#This Row],[MODULO 1 - REMUNERAÇÃO ]]</f>
        <v>0.44054202682098775</v>
      </c>
      <c r="AP281" s="22">
        <f>SUMIF(tabParametros[Código do Posto],tabCustoUnit[[#This Row],[Código do Posto]],tabParametros[Aviso Prévio Trabalhado - APT])*tabCustoUnit[[#This Row],[MODULO 1 - REMUNERAÇÃO ]]</f>
        <v>6.8719175000000012</v>
      </c>
      <c r="AQ281" s="22">
        <f>SUMIF(tabParametros[Código do Posto],tabCustoUnit[[#This Row],[Código do Posto]],tabParametros[Incidência dos encargos do submódulo 2.1 sobre Aviso Prévio Trabalhado])*tabCustoUnit[[#This Row],[MODULO 1 - REMUNERAÇÃO ]]</f>
        <v>2.5975848150000007</v>
      </c>
      <c r="AR281" s="22">
        <f>SUMIF(tabParametros[Código do Posto],tabCustoUnit[[#This Row],[Código do Posto]],tabParametros[Multa Rescisória do FGTS])*tabCustoUnit[[#This Row],[MODULO 1 - REMUNERAÇÃO ]]</f>
        <v>60.03656177777777</v>
      </c>
      <c r="AS281" s="22">
        <f>SUMIF(tabParametros[Código do Posto],tabCustoUnit[[#This Row],[Código do Posto]],tabParametros[Indenização Adicional (Art. 9º da Lei nº 7.238/84)])*tabCustoUnit[[#This Row],[MODULO 1 - REMUNERAÇÃO ]]</f>
        <v>1.6361708333333334</v>
      </c>
      <c r="AT281" s="22">
        <f>SUM(tabCustoUnit[[#This Row],[Aviso Prévio Indenizado (API) e Reflexo do Aviso Prévio Indenizado]:[Indenização Adicional (Art. 9º da Lei nº 7.238/84)]])</f>
        <v>86.451070358140427</v>
      </c>
      <c r="AU281" s="22">
        <f>SUMIF(tabParametros[Código do Posto],tabCustoUnit[[#This Row],[Código do Posto]],tabParametros[Ausência por Doença])*tabCustoUnit[[#This Row],[MODULO 1 - REMUNERAÇÃO ]]</f>
        <v>16.579864444444443</v>
      </c>
      <c r="AV281" s="22">
        <f>SUMIF(tabParametros[Código do Posto],tabCustoUnit[[#This Row],[Código do Posto]],tabParametros[Ausências Legais])*tabCustoUnit[[#This Row],[MODULO 1 - REMUNERAÇÃO ]]</f>
        <v>3.9813490277777777</v>
      </c>
      <c r="AW281" s="22">
        <f>SUMIF(tabParametros[Código do Posto],tabCustoUnit[[#This Row],[Código do Posto]],tabParametros[Licença Paternidade])*tabCustoUnit[[#This Row],[MODULO 1 - REMUNERAÇÃO ]]</f>
        <v>0.3354150208333333</v>
      </c>
      <c r="AX281" s="22">
        <f>SUMIF(tabParametros[Código do Posto],tabCustoUnit[[#This Row],[Código do Posto]],tabParametros[Ausência por Acidente de Trabalho])*tabCustoUnit[[#This Row],[MODULO 1 - REMUNERAÇÃO ]]</f>
        <v>0.40904270833333334</v>
      </c>
      <c r="AY281" s="22">
        <f>SUMIF(tabParametros[Código do Posto],tabCustoUnit[[#This Row],[Código do Posto]],tabParametros[Férias, Adicional de Férias e 13º  com empregada em gozo de Licença Maternidade])*tabCustoUnit[[#This Row],[MODULO 1 - REMUNERAÇÃO ]]</f>
        <v>2.5451546296296295</v>
      </c>
      <c r="AZ281" s="22">
        <f>SUMIF(tabParametros[Código do Posto],tabCustoUnit[[#This Row],[Código do Posto]],tabParametros[Incidência do Submódulo 2.1 sobre Ausências Legais])*tabCustoUnit[[#This Row],[MODULO 1 - REMUNERAÇÃO ]]</f>
        <v>9.0156121641250007</v>
      </c>
      <c r="BA281" s="22">
        <f>SUM(tabCustoUnit[[#This Row],[Ausência por Doença]:[Incidência do Submódulo 2.1 sobre Ausências Legais]])</f>
        <v>32.866437995143521</v>
      </c>
      <c r="BB281" s="22">
        <f>SUMIF(tabParametros[Código do Posto],tabCustoUnit[[#This Row],[Código do Posto]],tabParametros[Intervalo para Repouso ou Alimentação])</f>
        <v>267.73704981301341</v>
      </c>
      <c r="BC281" s="22">
        <f>tabCustoUnit[[#This Row],[Intervalo para Repouso ou Alimentação]]</f>
        <v>267.73704981301341</v>
      </c>
      <c r="BD28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1" s="22">
        <f>tabCustoUnit[[#This Row],[Suspensão Temporária do Contrato de Trabalho]]</f>
        <v>0</v>
      </c>
      <c r="BF281" s="22">
        <f>tabCustoUnit[[#This Row],[Submódulo 4.1]]+tabCustoUnit[[#This Row],[Submódulo 4.2]]+tabCustoUnit[[#This Row],[Submódulo 4.3]]</f>
        <v>300.60348780815696</v>
      </c>
      <c r="BG281" s="22">
        <f>VLOOKUP(tabCustoUnit[[#This Row],[Código do Posto]],tabParametros[],MATCH(tabCustoUnit[[#Headers],[Uniformes e EPIs]],tabParametros[#Headers],0),0)</f>
        <v>56.642978962543395</v>
      </c>
      <c r="BH281" s="22">
        <f>VLOOKUP(tabCustoUnit[[#This Row],[Código do Posto]],tabParametros[],MATCH(tabCustoUnit[[#Headers],[Materiais de Consumo]],tabParametros[#Headers],0),0)</f>
        <v>0</v>
      </c>
      <c r="BI281" s="22">
        <f>VLOOKUP(tabCustoUnit[[#This Row],[Código do Posto]],tabParametros[],MATCH(tabCustoUnit[[#Headers],[Máquinas e Equipamentos (depreciação)]],tabParametros[#Headers],0),0)</f>
        <v>0</v>
      </c>
      <c r="BJ281" s="22">
        <f>VLOOKUP(tabCustoUnit[[#This Row],[Código do Posto]],tabParametros[],MATCH(tabCustoUnit[[#Headers],[Produtos de Limpeza e Materiais de Higiene Pessoal]],tabParametros[#Headers],0),0)</f>
        <v>0</v>
      </c>
      <c r="BK281" s="22">
        <f>VLOOKUP(tabCustoUnit[[#This Row],[Código do Posto]],tabParametros[],MATCH(tabCustoUnit[[#Headers],[Outros (especificar)]],tabParametros[#Headers],0),0)</f>
        <v>0</v>
      </c>
      <c r="BL281" s="22">
        <f>SUM(tabCustoUnit[[#This Row],[Uniformes e EPIs]:[Outros (especificar)]])</f>
        <v>56.642978962543395</v>
      </c>
      <c r="BM28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1" s="22" t="e">
        <f ca="1">VLOOKUP(tabCustoUnit[[#This Row],[Código do Posto]],tabParametros[],MATCH(tabCustoUnit[[#Headers],[Custos Indiretos]],tabParametros[#Headers],0),0)</f>
        <v>#NAME?</v>
      </c>
      <c r="BO281" s="22" t="e">
        <f ca="1">VLOOKUP(tabCustoUnit[[#This Row],[Código do Posto]],tabParametros[],MATCH(tabCustoUnit[[#Headers],[Lucro]],tabParametros[#Headers],0),0)</f>
        <v>#NAME?</v>
      </c>
      <c r="BP281" s="26">
        <f>((100/((1-tabCustoUnit[[#This Row],[Resumo de Alíquotas (PIS+CONFINS+ISS)]]))-100)*VLOOKUP(tabCustoUnit[[#This Row],[Código do Posto]],tabParametros[],MATCH(tabCustoUnit[[#Headers],[COFINS]],tabParametros[#Headers],0),0))/(tabCustoUnit[[#This Row],[Resumo de Alíquotas (PIS+CONFINS+ISS)]]*100)</f>
        <v>8.6609686609686695E-2</v>
      </c>
      <c r="BQ281" s="26">
        <f>((100/((100-(tabCustoUnit[[#This Row],[Resumo de Alíquotas (PIS+CONFINS+ISS)]]*100))%)-100)*VLOOKUP(tabCustoUnit[[#This Row],[Código do Posto]],tabParametros[],MATCH(tabCustoUnit[[#Headers],[PIS]],tabParametros[#Headers],0),0))/(tabCustoUnit[[#This Row],[Resumo de Alíquotas (PIS+CONFINS+ISS)]]*100)</f>
        <v>1.880341880341882E-2</v>
      </c>
      <c r="BR281" s="28">
        <f>VLOOKUP(tabCustoUnit[[#This Row],[Código do Posto]],tabParametros[],MATCH(tabCustoUnit[[#Headers],[ISS]],tabParametros[#Headers],0),0)</f>
        <v>0.03</v>
      </c>
      <c r="BS281" s="26">
        <f>(((100/((100-(tabCustoUnit[[#This Row],[Resumo de Alíquotas (PIS+CONFINS+ISS)]]*100))%)-100)*tabCustoUnit[[#This Row],[ISS]])/tabCustoUnit[[#This Row],[Resumo de Alíquotas (PIS+CONFINS+ISS)]])/100</f>
        <v>3.4188034188034219E-2</v>
      </c>
      <c r="BT28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81" s="138">
        <f>tabCustoUnit[[#This Row],[COFINS]]+tabCustoUnit[[#This Row],[PIS]]+tabCustoUnit[[#This Row],[ISS (Conversão Alíquota s/ fatura)]]</f>
        <v>0.13960113960113973</v>
      </c>
      <c r="BV281" s="22" t="e">
        <f ca="1">(tabCustoUnit[[#This Row],[TOTAL MÓDULOS 1+2+3+4+5]]+tabCustoUnit[[#This Row],[Custos Indiretos]]+tabCustoUnit[[#This Row],[Lucro]])*tabCustoUnit[[#This Row],[PIS + COFINS + ISS (Total Conversão  Alíquota s/ Fatura)]]</f>
        <v>#NAME?</v>
      </c>
      <c r="BW281" s="22" t="e">
        <f ca="1">tabCustoUnit[[#This Row],[Custos Indiretos]]+tabCustoUnit[[#This Row],[Lucro]]+tabCustoUnit[[#This Row],[Valor dos Tributos (ISS, PIS, CONFINS)]]</f>
        <v>#NAME?</v>
      </c>
      <c r="BX281" s="22" t="e">
        <f ca="1">tabCustoUnit[[#This Row],[TOTAL MÓDULOS 1+2+3+4+5]]+tabCustoUnit[[#This Row],[MÓDULO 6 – CUSTOS INDIRETOS, TRIBUTOS E LUCRO]]</f>
        <v>#NAME?</v>
      </c>
      <c r="BY281" s="22" t="e">
        <f ca="1">tabCustoUnit[[#This Row],[CUSTO TOTAL MENSAL]]*12</f>
        <v>#NAME?</v>
      </c>
      <c r="BZ281" s="24">
        <f>VLOOKUP(tabCustoUnit[[#This Row],[Código do Posto]],tabParametros[],MATCH(tabCustoUnit[[#Headers],[ANO DA CCT]],tabParametros[#Headers],0),0)</f>
        <v>45658</v>
      </c>
      <c r="CA281" s="25" t="str">
        <f>VLOOKUP(tabCustoUnit[[#This Row],[Código do Posto]],tabParametros[],MATCH(tabCustoUnit[[#Headers],[Nº DE PEDIDO DA CCT]],tabParametros[#Headers],0),0)</f>
        <v>-</v>
      </c>
      <c r="CB281" s="25" t="str">
        <f>VLOOKUP(tabCustoUnit[[#This Row],[Código do Posto]],tabParametros[],MATCH(tabCustoUnit[[#Headers],[TERMO ADITIVO ALTERAÇÃO DA CCT]],tabParametros[#Headers],0),0)</f>
        <v>-</v>
      </c>
    </row>
    <row r="282" spans="1:80">
      <c r="A282" s="20" t="s">
        <v>1508</v>
      </c>
      <c r="B282" t="s">
        <v>1201</v>
      </c>
      <c r="C282" t="s">
        <v>200</v>
      </c>
      <c r="D282" t="s">
        <v>954</v>
      </c>
      <c r="E282" s="20" t="s">
        <v>1090</v>
      </c>
      <c r="F282" s="20" t="s">
        <v>120</v>
      </c>
      <c r="G282" s="418">
        <v>1596.2737999999999</v>
      </c>
      <c r="H282" s="418">
        <v>0</v>
      </c>
      <c r="I282" s="418">
        <v>0</v>
      </c>
      <c r="J282" s="418">
        <v>0</v>
      </c>
      <c r="K282" s="418">
        <v>0</v>
      </c>
      <c r="L282" s="418">
        <v>0</v>
      </c>
      <c r="M282" s="418">
        <v>0</v>
      </c>
      <c r="N282" s="418">
        <v>0</v>
      </c>
      <c r="O282" s="21">
        <f>SUM(tabCustoUnit[[#This Row],[Salário Base]:[Adicional de Acúmulo de função]])</f>
        <v>1596.2737999999999</v>
      </c>
      <c r="P282" s="21">
        <f>tabCustoUnit[[#This Row],[MODULO 1 - REMUNERAÇÃO ]]*SUMIFS(tabParametros[INSS],tabParametros[Código do Posto],tabCustoUnit[[#This Row],[Código do Posto]])</f>
        <v>319.25476000000003</v>
      </c>
      <c r="Q282" s="21">
        <f>tabCustoUnit[[#This Row],[MODULO 1 - REMUNERAÇÃO ]]*SUMIFS(tabParametros[SESI OU SESC],tabParametros[Código do Posto],tabCustoUnit[[#This Row],[Código do Posto]])</f>
        <v>23.944106999999999</v>
      </c>
      <c r="R282" s="21">
        <f>tabCustoUnit[[#This Row],[MODULO 1 - REMUNERAÇÃO ]]*SUMIFS(tabParametros[SENAI OU SENAC],tabParametros[Código do Posto],tabCustoUnit[[#This Row],[Código do Posto]])</f>
        <v>15.962738</v>
      </c>
      <c r="S282" s="21">
        <f>tabCustoUnit[[#This Row],[MODULO 1 - REMUNERAÇÃO ]]*SUMIFS(tabParametros[INCRA],tabParametros[Código do Posto],tabCustoUnit[[#This Row],[Código do Posto]])</f>
        <v>3.1925476000000002</v>
      </c>
      <c r="T282" s="21">
        <f>tabCustoUnit[[#This Row],[MODULO 1 - REMUNERAÇÃO ]]*SUMIFS(tabParametros[Salário Educação],tabParametros[Código do Posto],tabCustoUnit[[#This Row],[Código do Posto]])</f>
        <v>39.906845000000004</v>
      </c>
      <c r="U282" s="21">
        <f>tabCustoUnit[[#This Row],[MODULO 1 - REMUNERAÇÃO ]]*SUMIFS(tabParametros[FGTS],tabParametros[Código do Posto],tabCustoUnit[[#This Row],[Código do Posto]])</f>
        <v>127.701904</v>
      </c>
      <c r="V282" s="21">
        <f>tabCustoUnit[[#This Row],[MODULO 1 - REMUNERAÇÃO ]]*SUMIFS(tabParametros[RAT Ajustado],tabParametros[Código do Posto],tabCustoUnit[[#This Row],[Código do Posto]])</f>
        <v>63.850951999999999</v>
      </c>
      <c r="W282" s="21">
        <f>tabCustoUnit[[#This Row],[MODULO 1 - REMUNERAÇÃO ]]*SUMIFS(tabParametros[SEBRAE],tabParametros[Código do Posto],tabCustoUnit[[#This Row],[Código do Posto]])</f>
        <v>9.5776427999999996</v>
      </c>
      <c r="X282" s="21">
        <f>SUM(tabCustoUnit[[#This Row],[INSS]:[SEBRAE]])</f>
        <v>603.39149640000005</v>
      </c>
      <c r="Y282" s="21">
        <f>tabCustoUnit[[#This Row],[MODULO 1 - REMUNERAÇÃO ]]*SUMIFS(tabParametros[13º salário (titular)],tabParametros[Código do Posto],tabCustoUnit[[#This Row],[Código do Posto]])</f>
        <v>133.02281666666664</v>
      </c>
      <c r="Z282" s="21">
        <f>tabCustoUnit[[#This Row],[MODULO 1 - REMUNERAÇÃO ]]*SUMIFS(tabParametros[Férias e Adicional de Férias (titular)],tabParametros[Código do Posto],tabCustoUnit[[#This Row],[Código do Posto]])</f>
        <v>177.36375555555554</v>
      </c>
      <c r="AA282" s="21">
        <f>IFERROR((tabCustoUnit[[#This Row],[Submódulo 2.1]]/tabCustoUnit[[#This Row],[MODULO 1 - REMUNERAÇÃO ]])*SUM(tabCustoUnit[[#This Row],[13º salário (titular)]:[Férias e Adicional de Férias (titular)]]),0)</f>
        <v>117.3261243</v>
      </c>
      <c r="AB282" s="21">
        <f>SUM(tabCustoUnit[[#This Row],[13º salário (titular)]:[Incidência do Submódulo 2.1 sobre 13º Salário, Férias e Adicional de Férias]])</f>
        <v>427.71269652222219</v>
      </c>
      <c r="AC282" s="22" t="e">
        <f ca="1">_xlfn.LET(_xlpm.VT,SUMIF(tabParametros[Código do Posto],tabCustoUnit[[#This Row],[Código do Posto]],tabParametros[Vale - Transporte])*2*20,
IF((_xlpm.VT-tabCustoUnit[[#This Row],[Salário Base]]*0.06)&gt;=0,(_xlpm.VT-tabCustoUnit[[#This Row],[Salário Base]]*0.06),0)
)</f>
        <v>#NAME?</v>
      </c>
      <c r="AD282" s="22">
        <f>IF(SUMIF(tabParametros[Código do Posto],tabCustoUnit[[#This Row],[Código do Posto]],tabParametros[Vale - Alimentação])&lt;=0,0,
SUMIF(tabParametros[Código do Posto],tabCustoUnit[[#This Row],[Código do Posto]],tabParametros[Vale - Alimentação])*20-1)</f>
        <v>582</v>
      </c>
      <c r="AE282" s="22">
        <f>SUMIF(tabParametros[Código do Posto],tabCustoUnit[[#This Row],[Código do Posto]],tabParametros[Cesta Básica])</f>
        <v>0</v>
      </c>
      <c r="AF282" s="22">
        <f>SUMIF(tabParametros[Código do Posto],tabCustoUnit[[#This Row],[Código do Posto]],tabParametros[PAF])</f>
        <v>51.88</v>
      </c>
      <c r="AG282" s="22">
        <f>SUMIF(tabParametros[Código do Posto],tabCustoUnit[[#This Row],[Código do Posto]],tabParametros[PQM])</f>
        <v>0</v>
      </c>
      <c r="AH282" s="22">
        <f>SUMIF(tabParametros[Código do Posto],tabCustoUnit[[#This Row],[Código do Posto]],tabParametros[Abono Único e Especial])</f>
        <v>0</v>
      </c>
      <c r="AI282" s="22">
        <f>SUMIF(tabParametros[Código do Posto],tabCustoUnit[[#This Row],[Código do Posto]],tabParametros[Seguro de Vida])</f>
        <v>3.36</v>
      </c>
      <c r="AJ282" s="22">
        <f>SUMIF(tabParametros[Código do Posto],tabCustoUnit[[#This Row],[Código do Posto]],tabParametros[Despesas de Viagem])</f>
        <v>0</v>
      </c>
      <c r="AK282" s="22" t="e">
        <f ca="1">SUM(tabCustoUnit[[#This Row],[Vale - Transporte (Descontada parcela do empregado)]:[Despesas de Viagem]])</f>
        <v>#NAME?</v>
      </c>
      <c r="AL282" s="22" t="e">
        <f ca="1">tabCustoUnit[[#This Row],[Submódulo 2.1]]+tabCustoUnit[[#This Row],[Submódulo 2.2]]+tabCustoUnit[[#This Row],[Submódulo 2.3]]</f>
        <v>#NAME?</v>
      </c>
      <c r="AM282" s="22">
        <f>SUMIF(tabParametros[Código do Posto],tabCustoUnit[[#This Row],[Código do Posto]],tabParametros[Aviso Prévio Indenizado (API) e Reflexo do Aviso Prévio Indenizado])*tabCustoUnit[[#This Row],[MODULO 1 - REMUNERAÇÃO ]]</f>
        <v>11.192699914390431</v>
      </c>
      <c r="AN282" s="22">
        <f>SUMIF(tabParametros[Código do Posto],tabCustoUnit[[#This Row],[Código do Posto]],tabParametros[Incidência do FGTS sobre API e Reflexo do API])*tabCustoUnit[[#This Row],[MODULO 1 - REMUNERAÇÃO ]]</f>
        <v>0.89541599315123466</v>
      </c>
      <c r="AO282" s="22">
        <f>SUMIF(tabParametros[Código do Posto],tabCustoUnit[[#This Row],[Código do Posto]],tabParametros[Multa Rescisória do FGTS sobre o Aviso Prévio Indenizado])*tabCustoUnit[[#This Row],[MODULO 1 - REMUNERAÇÃO ]]</f>
        <v>0.35816639726049387</v>
      </c>
      <c r="AP282" s="22">
        <f>SUMIF(tabParametros[Código do Posto],tabCustoUnit[[#This Row],[Código do Posto]],tabParametros[Aviso Prévio Trabalhado - APT])*tabCustoUnit[[#This Row],[MODULO 1 - REMUNERAÇÃO ]]</f>
        <v>5.5869583000000009</v>
      </c>
      <c r="AQ282" s="22">
        <f>SUMIF(tabParametros[Código do Posto],tabCustoUnit[[#This Row],[Código do Posto]],tabParametros[Incidência dos encargos do submódulo 2.1 sobre Aviso Prévio Trabalhado])*tabCustoUnit[[#This Row],[MODULO 1 - REMUNERAÇÃO ]]</f>
        <v>2.1118702374000007</v>
      </c>
      <c r="AR282" s="22">
        <f>SUMIF(tabParametros[Código do Posto],tabCustoUnit[[#This Row],[Código do Posto]],tabParametros[Multa Rescisória do FGTS])*tabCustoUnit[[#This Row],[MODULO 1 - REMUNERAÇÃO ]]</f>
        <v>48.810505528888882</v>
      </c>
      <c r="AS282" s="22">
        <f>SUMIF(tabParametros[Código do Posto],tabCustoUnit[[#This Row],[Código do Posto]],tabParametros[Indenização Adicional (Art. 9º da Lei nº 7.238/84)])*tabCustoUnit[[#This Row],[MODULO 1 - REMUNERAÇÃO ]]</f>
        <v>1.3302281666666667</v>
      </c>
      <c r="AT282" s="22">
        <f>SUM(tabCustoUnit[[#This Row],[Aviso Prévio Indenizado (API) e Reflexo do Aviso Prévio Indenizado]:[Indenização Adicional (Art. 9º da Lei nº 7.238/84)]])</f>
        <v>70.285844537757711</v>
      </c>
      <c r="AU282" s="22">
        <f>SUMIF(tabParametros[Código do Posto],tabCustoUnit[[#This Row],[Código do Posto]],tabParametros[Ausência por Doença])*tabCustoUnit[[#This Row],[MODULO 1 - REMUNERAÇÃO ]]</f>
        <v>13.479645422222221</v>
      </c>
      <c r="AV282" s="22">
        <f>SUMIF(tabParametros[Código do Posto],tabCustoUnit[[#This Row],[Código do Posto]],tabParametros[Ausências Legais])*tabCustoUnit[[#This Row],[MODULO 1 - REMUNERAÇÃO ]]</f>
        <v>3.2368885388888886</v>
      </c>
      <c r="AW282" s="22">
        <f>SUMIF(tabParametros[Código do Posto],tabCustoUnit[[#This Row],[Código do Posto]],tabParametros[Licença Paternidade])*tabCustoUnit[[#This Row],[MODULO 1 - REMUNERAÇÃO ]]</f>
        <v>0.27269677416666666</v>
      </c>
      <c r="AX282" s="22">
        <f>SUMIF(tabParametros[Código do Posto],tabCustoUnit[[#This Row],[Código do Posto]],tabParametros[Ausência por Acidente de Trabalho])*tabCustoUnit[[#This Row],[MODULO 1 - REMUNERAÇÃO ]]</f>
        <v>0.33255704166666666</v>
      </c>
      <c r="AY282" s="22">
        <f>SUMIF(tabParametros[Código do Posto],tabCustoUnit[[#This Row],[Código do Posto]],tabParametros[Férias, Adicional de Férias e 13º  com empregada em gozo de Licença Maternidade])*tabCustoUnit[[#This Row],[MODULO 1 - REMUNERAÇÃO ]]</f>
        <v>2.0692438148148145</v>
      </c>
      <c r="AZ282" s="22">
        <f>SUMIF(tabParametros[Código do Posto],tabCustoUnit[[#This Row],[Código do Posto]],tabParametros[Incidência do Submódulo 2.1 sobre Ausências Legais])*tabCustoUnit[[#This Row],[MODULO 1 - REMUNERAÇÃO ]]</f>
        <v>7.3298099416850011</v>
      </c>
      <c r="BA282" s="22">
        <f>SUM(tabCustoUnit[[#This Row],[Ausência por Doença]:[Incidência do Submódulo 2.1 sobre Ausências Legais]])</f>
        <v>26.720841533444265</v>
      </c>
      <c r="BB282" s="22">
        <f>SUMIF(tabParametros[Código do Posto],tabCustoUnit[[#This Row],[Código do Posto]],tabParametros[Intervalo para Repouso ou Alimentação])</f>
        <v>0</v>
      </c>
      <c r="BC282" s="22">
        <f>tabCustoUnit[[#This Row],[Intervalo para Repouso ou Alimentação]]</f>
        <v>0</v>
      </c>
      <c r="BD28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2" s="22">
        <f>tabCustoUnit[[#This Row],[Suspensão Temporária do Contrato de Trabalho]]</f>
        <v>0</v>
      </c>
      <c r="BF282" s="22">
        <f>tabCustoUnit[[#This Row],[Submódulo 4.1]]+tabCustoUnit[[#This Row],[Submódulo 4.2]]+tabCustoUnit[[#This Row],[Submódulo 4.3]]</f>
        <v>26.720841533444265</v>
      </c>
      <c r="BG282" s="22">
        <f>VLOOKUP(tabCustoUnit[[#This Row],[Código do Posto]],tabParametros[],MATCH(tabCustoUnit[[#Headers],[Uniformes e EPIs]],tabParametros[#Headers],0),0)</f>
        <v>56.141713661989918</v>
      </c>
      <c r="BH282" s="22">
        <f>VLOOKUP(tabCustoUnit[[#This Row],[Código do Posto]],tabParametros[],MATCH(tabCustoUnit[[#Headers],[Materiais de Consumo]],tabParametros[#Headers],0),0)</f>
        <v>0</v>
      </c>
      <c r="BI282" s="22">
        <f>VLOOKUP(tabCustoUnit[[#This Row],[Código do Posto]],tabParametros[],MATCH(tabCustoUnit[[#Headers],[Máquinas e Equipamentos (depreciação)]],tabParametros[#Headers],0),0)</f>
        <v>0</v>
      </c>
      <c r="BJ282" s="22">
        <f>VLOOKUP(tabCustoUnit[[#This Row],[Código do Posto]],tabParametros[],MATCH(tabCustoUnit[[#Headers],[Produtos de Limpeza e Materiais de Higiene Pessoal]],tabParametros[#Headers],0),0)</f>
        <v>0</v>
      </c>
      <c r="BK282" s="22">
        <f>VLOOKUP(tabCustoUnit[[#This Row],[Código do Posto]],tabParametros[],MATCH(tabCustoUnit[[#Headers],[Outros (especificar)]],tabParametros[#Headers],0),0)</f>
        <v>0</v>
      </c>
      <c r="BL282" s="22">
        <f>SUM(tabCustoUnit[[#This Row],[Uniformes e EPIs]:[Outros (especificar)]])</f>
        <v>56.141713661989918</v>
      </c>
      <c r="BM28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2" s="22" t="e">
        <f ca="1">VLOOKUP(tabCustoUnit[[#This Row],[Código do Posto]],tabParametros[],MATCH(tabCustoUnit[[#Headers],[Custos Indiretos]],tabParametros[#Headers],0),0)</f>
        <v>#NAME?</v>
      </c>
      <c r="BO282" s="22" t="e">
        <f ca="1">VLOOKUP(tabCustoUnit[[#This Row],[Código do Posto]],tabParametros[],MATCH(tabCustoUnit[[#Headers],[Lucro]],tabParametros[#Headers],0),0)</f>
        <v>#NAME?</v>
      </c>
      <c r="BP282" s="26">
        <f>((100/((1-tabCustoUnit[[#This Row],[Resumo de Alíquotas (PIS+CONFINS+ISS)]]))-100)*VLOOKUP(tabCustoUnit[[#This Row],[Código do Posto]],tabParametros[],MATCH(tabCustoUnit[[#Headers],[COFINS]],tabParametros[#Headers],0),0))/(tabCustoUnit[[#This Row],[Resumo de Alíquotas (PIS+CONFINS+ISS)]]*100)</f>
        <v>8.6609686609686695E-2</v>
      </c>
      <c r="BQ282" s="26">
        <f>((100/((100-(tabCustoUnit[[#This Row],[Resumo de Alíquotas (PIS+CONFINS+ISS)]]*100))%)-100)*VLOOKUP(tabCustoUnit[[#This Row],[Código do Posto]],tabParametros[],MATCH(tabCustoUnit[[#Headers],[PIS]],tabParametros[#Headers],0),0))/(tabCustoUnit[[#This Row],[Resumo de Alíquotas (PIS+CONFINS+ISS)]]*100)</f>
        <v>1.880341880341882E-2</v>
      </c>
      <c r="BR282" s="28">
        <f>VLOOKUP(tabCustoUnit[[#This Row],[Código do Posto]],tabParametros[],MATCH(tabCustoUnit[[#Headers],[ISS]],tabParametros[#Headers],0),0)</f>
        <v>0.03</v>
      </c>
      <c r="BS282" s="26">
        <f>(((100/((100-(tabCustoUnit[[#This Row],[Resumo de Alíquotas (PIS+CONFINS+ISS)]]*100))%)-100)*tabCustoUnit[[#This Row],[ISS]])/tabCustoUnit[[#This Row],[Resumo de Alíquotas (PIS+CONFINS+ISS)]])/100</f>
        <v>3.4188034188034219E-2</v>
      </c>
      <c r="BT28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82" s="138">
        <f>tabCustoUnit[[#This Row],[COFINS]]+tabCustoUnit[[#This Row],[PIS]]+tabCustoUnit[[#This Row],[ISS (Conversão Alíquota s/ fatura)]]</f>
        <v>0.13960113960113973</v>
      </c>
      <c r="BV282" s="22" t="e">
        <f ca="1">(tabCustoUnit[[#This Row],[TOTAL MÓDULOS 1+2+3+4+5]]+tabCustoUnit[[#This Row],[Custos Indiretos]]+tabCustoUnit[[#This Row],[Lucro]])*tabCustoUnit[[#This Row],[PIS + COFINS + ISS (Total Conversão  Alíquota s/ Fatura)]]</f>
        <v>#NAME?</v>
      </c>
      <c r="BW282" s="22" t="e">
        <f ca="1">tabCustoUnit[[#This Row],[Custos Indiretos]]+tabCustoUnit[[#This Row],[Lucro]]+tabCustoUnit[[#This Row],[Valor dos Tributos (ISS, PIS, CONFINS)]]</f>
        <v>#NAME?</v>
      </c>
      <c r="BX282" s="22" t="e">
        <f ca="1">tabCustoUnit[[#This Row],[TOTAL MÓDULOS 1+2+3+4+5]]+tabCustoUnit[[#This Row],[MÓDULO 6 – CUSTOS INDIRETOS, TRIBUTOS E LUCRO]]</f>
        <v>#NAME?</v>
      </c>
      <c r="BY282" s="22" t="e">
        <f ca="1">tabCustoUnit[[#This Row],[CUSTO TOTAL MENSAL]]*12</f>
        <v>#NAME?</v>
      </c>
      <c r="BZ282" s="24">
        <f>VLOOKUP(tabCustoUnit[[#This Row],[Código do Posto]],tabParametros[],MATCH(tabCustoUnit[[#Headers],[ANO DA CCT]],tabParametros[#Headers],0),0)</f>
        <v>45658</v>
      </c>
      <c r="CA282" s="25" t="str">
        <f>VLOOKUP(tabCustoUnit[[#This Row],[Código do Posto]],tabParametros[],MATCH(tabCustoUnit[[#Headers],[Nº DE PEDIDO DA CCT]],tabParametros[#Headers],0),0)</f>
        <v>-</v>
      </c>
      <c r="CB282" s="25" t="str">
        <f>VLOOKUP(tabCustoUnit[[#This Row],[Código do Posto]],tabParametros[],MATCH(tabCustoUnit[[#Headers],[TERMO ADITIVO ALTERAÇÃO DA CCT]],tabParametros[#Headers],0),0)</f>
        <v>-</v>
      </c>
    </row>
    <row r="283" spans="1:80">
      <c r="A283" s="20" t="s">
        <v>1698</v>
      </c>
      <c r="B283" t="s">
        <v>1202</v>
      </c>
      <c r="C283" t="s">
        <v>244</v>
      </c>
      <c r="D283" t="s">
        <v>1048</v>
      </c>
      <c r="E283" s="20" t="s">
        <v>1090</v>
      </c>
      <c r="F283" s="20" t="s">
        <v>120</v>
      </c>
      <c r="G283" s="418">
        <v>2296.1756999999998</v>
      </c>
      <c r="H283" s="418">
        <v>0</v>
      </c>
      <c r="I283" s="418">
        <v>303.60000000000002</v>
      </c>
      <c r="J283" s="418">
        <v>0</v>
      </c>
      <c r="K283" s="418">
        <v>0</v>
      </c>
      <c r="L283" s="418">
        <v>0</v>
      </c>
      <c r="M283" s="418">
        <v>0</v>
      </c>
      <c r="N283" s="418">
        <v>0</v>
      </c>
      <c r="O283" s="21">
        <f>SUM(tabCustoUnit[[#This Row],[Salário Base]:[Adicional de Acúmulo de função]])</f>
        <v>2599.7756999999997</v>
      </c>
      <c r="P283" s="21">
        <f>tabCustoUnit[[#This Row],[MODULO 1 - REMUNERAÇÃO ]]*SUMIFS(tabParametros[INSS],tabParametros[Código do Posto],tabCustoUnit[[#This Row],[Código do Posto]])</f>
        <v>519.95513999999991</v>
      </c>
      <c r="Q283" s="21">
        <f>tabCustoUnit[[#This Row],[MODULO 1 - REMUNERAÇÃO ]]*SUMIFS(tabParametros[SESI OU SESC],tabParametros[Código do Posto],tabCustoUnit[[#This Row],[Código do Posto]])</f>
        <v>38.996635499999996</v>
      </c>
      <c r="R283" s="21">
        <f>tabCustoUnit[[#This Row],[MODULO 1 - REMUNERAÇÃO ]]*SUMIFS(tabParametros[SENAI OU SENAC],tabParametros[Código do Posto],tabCustoUnit[[#This Row],[Código do Posto]])</f>
        <v>25.997756999999996</v>
      </c>
      <c r="S283" s="21">
        <f>tabCustoUnit[[#This Row],[MODULO 1 - REMUNERAÇÃO ]]*SUMIFS(tabParametros[INCRA],tabParametros[Código do Posto],tabCustoUnit[[#This Row],[Código do Posto]])</f>
        <v>5.1995513999999998</v>
      </c>
      <c r="T283" s="21">
        <f>tabCustoUnit[[#This Row],[MODULO 1 - REMUNERAÇÃO ]]*SUMIFS(tabParametros[Salário Educação],tabParametros[Código do Posto],tabCustoUnit[[#This Row],[Código do Posto]])</f>
        <v>64.994392499999989</v>
      </c>
      <c r="U283" s="21">
        <f>tabCustoUnit[[#This Row],[MODULO 1 - REMUNERAÇÃO ]]*SUMIFS(tabParametros[FGTS],tabParametros[Código do Posto],tabCustoUnit[[#This Row],[Código do Posto]])</f>
        <v>207.98205599999997</v>
      </c>
      <c r="V283" s="21">
        <f>tabCustoUnit[[#This Row],[MODULO 1 - REMUNERAÇÃO ]]*SUMIFS(tabParametros[RAT Ajustado],tabParametros[Código do Posto],tabCustoUnit[[#This Row],[Código do Posto]])</f>
        <v>103.99102799999999</v>
      </c>
      <c r="W283" s="21">
        <f>tabCustoUnit[[#This Row],[MODULO 1 - REMUNERAÇÃO ]]*SUMIFS(tabParametros[SEBRAE],tabParametros[Código do Posto],tabCustoUnit[[#This Row],[Código do Posto]])</f>
        <v>15.598654199999999</v>
      </c>
      <c r="X283" s="21">
        <f>SUM(tabCustoUnit[[#This Row],[INSS]:[SEBRAE]])</f>
        <v>982.71521459999985</v>
      </c>
      <c r="Y283" s="21">
        <f>tabCustoUnit[[#This Row],[MODULO 1 - REMUNERAÇÃO ]]*SUMIFS(tabParametros[13º salário (titular)],tabParametros[Código do Posto],tabCustoUnit[[#This Row],[Código do Posto]])</f>
        <v>216.64797499999997</v>
      </c>
      <c r="Z283" s="21">
        <f>tabCustoUnit[[#This Row],[MODULO 1 - REMUNERAÇÃO ]]*SUMIFS(tabParametros[Férias e Adicional de Férias (titular)],tabParametros[Código do Posto],tabCustoUnit[[#This Row],[Código do Posto]])</f>
        <v>288.86396666666661</v>
      </c>
      <c r="AA283" s="21">
        <f>IFERROR((tabCustoUnit[[#This Row],[Submódulo 2.1]]/tabCustoUnit[[#This Row],[MODULO 1 - REMUNERAÇÃO ]])*SUM(tabCustoUnit[[#This Row],[13º salário (titular)]:[Férias e Adicional de Férias (titular)]]),0)</f>
        <v>191.08351394999997</v>
      </c>
      <c r="AB283" s="21">
        <f>SUM(tabCustoUnit[[#This Row],[13º salário (titular)]:[Incidência do Submódulo 2.1 sobre 13º Salário, Férias e Adicional de Férias]])</f>
        <v>696.59545561666653</v>
      </c>
      <c r="AC283" s="22" t="e">
        <f ca="1">_xlfn.LET(_xlpm.VT,SUMIF(tabParametros[Código do Posto],tabCustoUnit[[#This Row],[Código do Posto]],tabParametros[Vale - Transporte])*2*20,
IF((_xlpm.VT-tabCustoUnit[[#This Row],[Salário Base]]*0.06)&gt;=0,(_xlpm.VT-tabCustoUnit[[#This Row],[Salário Base]]*0.06),0)
)</f>
        <v>#NAME?</v>
      </c>
      <c r="AD283" s="22">
        <f>IF(SUMIF(tabParametros[Código do Posto],tabCustoUnit[[#This Row],[Código do Posto]],tabParametros[Vale - Alimentação])&lt;=0,0,
SUMIF(tabParametros[Código do Posto],tabCustoUnit[[#This Row],[Código do Posto]],tabParametros[Vale - Alimentação])*20-1)</f>
        <v>582</v>
      </c>
      <c r="AE283" s="22">
        <f>SUMIF(tabParametros[Código do Posto],tabCustoUnit[[#This Row],[Código do Posto]],tabParametros[Cesta Básica])</f>
        <v>0</v>
      </c>
      <c r="AF283" s="22">
        <f>SUMIF(tabParametros[Código do Posto],tabCustoUnit[[#This Row],[Código do Posto]],tabParametros[PAF])</f>
        <v>0</v>
      </c>
      <c r="AG283" s="22">
        <f>SUMIF(tabParametros[Código do Posto],tabCustoUnit[[#This Row],[Código do Posto]],tabParametros[PQM])</f>
        <v>0</v>
      </c>
      <c r="AH283" s="22">
        <f>SUMIF(tabParametros[Código do Posto],tabCustoUnit[[#This Row],[Código do Posto]],tabParametros[Abono Único e Especial])</f>
        <v>0</v>
      </c>
      <c r="AI283" s="22">
        <f>SUMIF(tabParametros[Código do Posto],tabCustoUnit[[#This Row],[Código do Posto]],tabParametros[Seguro de Vida])</f>
        <v>3.36</v>
      </c>
      <c r="AJ283" s="22">
        <f>SUMIF(tabParametros[Código do Posto],tabCustoUnit[[#This Row],[Código do Posto]],tabParametros[Despesas de Viagem])</f>
        <v>0</v>
      </c>
      <c r="AK283" s="22" t="e">
        <f ca="1">SUM(tabCustoUnit[[#This Row],[Vale - Transporte (Descontada parcela do empregado)]:[Despesas de Viagem]])</f>
        <v>#NAME?</v>
      </c>
      <c r="AL283" s="22" t="e">
        <f ca="1">tabCustoUnit[[#This Row],[Submódulo 2.1]]+tabCustoUnit[[#This Row],[Submódulo 2.2]]+tabCustoUnit[[#This Row],[Submódulo 2.3]]</f>
        <v>#NAME?</v>
      </c>
      <c r="AM283" s="22">
        <f>SUMIF(tabParametros[Código do Posto],tabCustoUnit[[#This Row],[Código do Posto]],tabParametros[Aviso Prévio Indenizado (API) e Reflexo do Aviso Prévio Indenizado])*tabCustoUnit[[#This Row],[MODULO 1 - REMUNERAÇÃO ]]</f>
        <v>18.229021396469907</v>
      </c>
      <c r="AN283" s="22">
        <f>SUMIF(tabParametros[Código do Posto],tabCustoUnit[[#This Row],[Código do Posto]],tabParametros[Incidência do FGTS sobre API e Reflexo do API])*tabCustoUnit[[#This Row],[MODULO 1 - REMUNERAÇÃO ]]</f>
        <v>1.4583217117175926</v>
      </c>
      <c r="AO283" s="22">
        <f>SUMIF(tabParametros[Código do Posto],tabCustoUnit[[#This Row],[Código do Posto]],tabParametros[Multa Rescisória do FGTS sobre o Aviso Prévio Indenizado])*tabCustoUnit[[#This Row],[MODULO 1 - REMUNERAÇÃO ]]</f>
        <v>0.58332868468703702</v>
      </c>
      <c r="AP283" s="22">
        <f>SUMIF(tabParametros[Código do Posto],tabCustoUnit[[#This Row],[Código do Posto]],tabParametros[Aviso Prévio Trabalhado - APT])*tabCustoUnit[[#This Row],[MODULO 1 - REMUNERAÇÃO ]]</f>
        <v>9.0992149500000004</v>
      </c>
      <c r="AQ283" s="22">
        <f>SUMIF(tabParametros[Código do Posto],tabCustoUnit[[#This Row],[Código do Posto]],tabParametros[Incidência dos encargos do submódulo 2.1 sobre Aviso Prévio Trabalhado])*tabCustoUnit[[#This Row],[MODULO 1 - REMUNERAÇÃO ]]</f>
        <v>3.4395032511000005</v>
      </c>
      <c r="AR283" s="22">
        <f>SUMIF(tabParametros[Código do Posto],tabCustoUnit[[#This Row],[Código do Posto]],tabParametros[Multa Rescisória do FGTS])*tabCustoUnit[[#This Row],[MODULO 1 - REMUNERAÇÃO ]]</f>
        <v>79.495363626666645</v>
      </c>
      <c r="AS283" s="22">
        <f>SUMIF(tabParametros[Código do Posto],tabCustoUnit[[#This Row],[Código do Posto]],tabParametros[Indenização Adicional (Art. 9º da Lei nº 7.238/84)])*tabCustoUnit[[#This Row],[MODULO 1 - REMUNERAÇÃO ]]</f>
        <v>2.1664797499999997</v>
      </c>
      <c r="AT283" s="22">
        <f>SUM(tabCustoUnit[[#This Row],[Aviso Prévio Indenizado (API) e Reflexo do Aviso Prévio Indenizado]:[Indenização Adicional (Art. 9º da Lei nº 7.238/84)]])</f>
        <v>114.47123337064117</v>
      </c>
      <c r="AU283" s="22">
        <f>SUMIF(tabParametros[Código do Posto],tabCustoUnit[[#This Row],[Código do Posto]],tabParametros[Ausência por Doença])*tabCustoUnit[[#This Row],[MODULO 1 - REMUNERAÇÃO ]]</f>
        <v>21.953661466666663</v>
      </c>
      <c r="AV283" s="22">
        <f>SUMIF(tabParametros[Código do Posto],tabCustoUnit[[#This Row],[Código do Posto]],tabParametros[Ausências Legais])*tabCustoUnit[[#This Row],[MODULO 1 - REMUNERAÇÃO ]]</f>
        <v>5.2717673916666659</v>
      </c>
      <c r="AW283" s="22">
        <f>SUMIF(tabParametros[Código do Posto],tabCustoUnit[[#This Row],[Código do Posto]],tabParametros[Licença Paternidade])*tabCustoUnit[[#This Row],[MODULO 1 - REMUNERAÇÃO ]]</f>
        <v>0.44412834874999996</v>
      </c>
      <c r="AX283" s="22">
        <f>SUMIF(tabParametros[Código do Posto],tabCustoUnit[[#This Row],[Código do Posto]],tabParametros[Ausência por Acidente de Trabalho])*tabCustoUnit[[#This Row],[MODULO 1 - REMUNERAÇÃO ]]</f>
        <v>0.54161993749999993</v>
      </c>
      <c r="AY283" s="22">
        <f>SUMIF(tabParametros[Código do Posto],tabCustoUnit[[#This Row],[Código do Posto]],tabParametros[Férias, Adicional de Férias e 13º  com empregada em gozo de Licença Maternidade])*tabCustoUnit[[#This Row],[MODULO 1 - REMUNERAÇÃO ]]</f>
        <v>3.3700796111111107</v>
      </c>
      <c r="AZ283" s="22">
        <f>SUMIF(tabParametros[Código do Posto],tabCustoUnit[[#This Row],[Código do Posto]],tabParametros[Incidência do Submódulo 2.1 sobre Ausências Legais])*tabCustoUnit[[#This Row],[MODULO 1 - REMUNERAÇÃO ]]</f>
        <v>11.9377150536525</v>
      </c>
      <c r="BA283" s="22">
        <f>SUM(tabCustoUnit[[#This Row],[Ausência por Doença]:[Incidência do Submódulo 2.1 sobre Ausências Legais]])</f>
        <v>43.518971809346937</v>
      </c>
      <c r="BB283" s="22">
        <f>SUMIF(tabParametros[Código do Posto],tabCustoUnit[[#This Row],[Código do Posto]],tabParametros[Intervalo para Repouso ou Alimentação])</f>
        <v>0</v>
      </c>
      <c r="BC283" s="22">
        <f>tabCustoUnit[[#This Row],[Intervalo para Repouso ou Alimentação]]</f>
        <v>0</v>
      </c>
      <c r="BD28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3" s="22">
        <f>tabCustoUnit[[#This Row],[Suspensão Temporária do Contrato de Trabalho]]</f>
        <v>0</v>
      </c>
      <c r="BF283" s="22">
        <f>tabCustoUnit[[#This Row],[Submódulo 4.1]]+tabCustoUnit[[#This Row],[Submódulo 4.2]]+tabCustoUnit[[#This Row],[Submódulo 4.3]]</f>
        <v>43.518971809346937</v>
      </c>
      <c r="BG283" s="22">
        <f>VLOOKUP(tabCustoUnit[[#This Row],[Código do Posto]],tabParametros[],MATCH(tabCustoUnit[[#Headers],[Uniformes e EPIs]],tabParametros[#Headers],0),0)</f>
        <v>226.33322732312172</v>
      </c>
      <c r="BH283" s="22">
        <f>VLOOKUP(tabCustoUnit[[#This Row],[Código do Posto]],tabParametros[],MATCH(tabCustoUnit[[#Headers],[Materiais de Consumo]],tabParametros[#Headers],0),0)</f>
        <v>441.81099462365592</v>
      </c>
      <c r="BI283" s="22">
        <f>VLOOKUP(tabCustoUnit[[#This Row],[Código do Posto]],tabParametros[],MATCH(tabCustoUnit[[#Headers],[Máquinas e Equipamentos (depreciação)]],tabParametros[#Headers],0),0)</f>
        <v>113.11309677419354</v>
      </c>
      <c r="BJ283" s="22">
        <f>VLOOKUP(tabCustoUnit[[#This Row],[Código do Posto]],tabParametros[],MATCH(tabCustoUnit[[#Headers],[Produtos de Limpeza e Materiais de Higiene Pessoal]],tabParametros[#Headers],0),0)</f>
        <v>0</v>
      </c>
      <c r="BK283" s="22">
        <f>VLOOKUP(tabCustoUnit[[#This Row],[Código do Posto]],tabParametros[],MATCH(tabCustoUnit[[#Headers],[Outros (especificar)]],tabParametros[#Headers],0),0)</f>
        <v>0</v>
      </c>
      <c r="BL283" s="22">
        <f>SUM(tabCustoUnit[[#This Row],[Uniformes e EPIs]:[Outros (especificar)]])</f>
        <v>781.25731872097117</v>
      </c>
      <c r="BM28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3" s="22" t="e">
        <f ca="1">VLOOKUP(tabCustoUnit[[#This Row],[Código do Posto]],tabParametros[],MATCH(tabCustoUnit[[#Headers],[Custos Indiretos]],tabParametros[#Headers],0),0)</f>
        <v>#NAME?</v>
      </c>
      <c r="BO283" s="22" t="e">
        <f ca="1">VLOOKUP(tabCustoUnit[[#This Row],[Código do Posto]],tabParametros[],MATCH(tabCustoUnit[[#Headers],[Lucro]],tabParametros[#Headers],0),0)</f>
        <v>#NAME?</v>
      </c>
      <c r="BP283" s="26">
        <f>((100/((1-tabCustoUnit[[#This Row],[Resumo de Alíquotas (PIS+CONFINS+ISS)]]))-100)*VLOOKUP(tabCustoUnit[[#This Row],[Código do Posto]],tabParametros[],MATCH(tabCustoUnit[[#Headers],[COFINS]],tabParametros[#Headers],0),0))/(tabCustoUnit[[#This Row],[Resumo de Alíquotas (PIS+CONFINS+ISS)]]*100)</f>
        <v>8.7608069164265154E-2</v>
      </c>
      <c r="BQ283" s="26">
        <f>((100/((100-(tabCustoUnit[[#This Row],[Resumo de Alíquotas (PIS+CONFINS+ISS)]]*100))%)-100)*VLOOKUP(tabCustoUnit[[#This Row],[Código do Posto]],tabParametros[],MATCH(tabCustoUnit[[#Headers],[PIS]],tabParametros[#Headers],0),0))/(tabCustoUnit[[#This Row],[Resumo de Alíquotas (PIS+CONFINS+ISS)]]*100)</f>
        <v>1.9020172910662814E-2</v>
      </c>
      <c r="BR283" s="28">
        <f>VLOOKUP(tabCustoUnit[[#This Row],[Código do Posto]],tabParametros[],MATCH(tabCustoUnit[[#Headers],[ISS]],tabParametros[#Headers],0),0)</f>
        <v>0.04</v>
      </c>
      <c r="BS283" s="26">
        <f>(((100/((100-(tabCustoUnit[[#This Row],[Resumo de Alíquotas (PIS+CONFINS+ISS)]]*100))%)-100)*tabCustoUnit[[#This Row],[ISS]])/tabCustoUnit[[#This Row],[Resumo de Alíquotas (PIS+CONFINS+ISS)]])/100</f>
        <v>4.6109510086455294E-2</v>
      </c>
      <c r="BT28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283" s="138">
        <f>tabCustoUnit[[#This Row],[COFINS]]+tabCustoUnit[[#This Row],[PIS]]+tabCustoUnit[[#This Row],[ISS (Conversão Alíquota s/ fatura)]]</f>
        <v>0.15273775216138324</v>
      </c>
      <c r="BV283" s="22" t="e">
        <f ca="1">(tabCustoUnit[[#This Row],[TOTAL MÓDULOS 1+2+3+4+5]]+tabCustoUnit[[#This Row],[Custos Indiretos]]+tabCustoUnit[[#This Row],[Lucro]])*tabCustoUnit[[#This Row],[PIS + COFINS + ISS (Total Conversão  Alíquota s/ Fatura)]]</f>
        <v>#NAME?</v>
      </c>
      <c r="BW283" s="22" t="e">
        <f ca="1">tabCustoUnit[[#This Row],[Custos Indiretos]]+tabCustoUnit[[#This Row],[Lucro]]+tabCustoUnit[[#This Row],[Valor dos Tributos (ISS, PIS, CONFINS)]]</f>
        <v>#NAME?</v>
      </c>
      <c r="BX283" s="22" t="e">
        <f ca="1">tabCustoUnit[[#This Row],[TOTAL MÓDULOS 1+2+3+4+5]]+tabCustoUnit[[#This Row],[MÓDULO 6 – CUSTOS INDIRETOS, TRIBUTOS E LUCRO]]</f>
        <v>#NAME?</v>
      </c>
      <c r="BY283" s="22" t="e">
        <f ca="1">tabCustoUnit[[#This Row],[CUSTO TOTAL MENSAL]]*12</f>
        <v>#NAME?</v>
      </c>
      <c r="BZ283" s="24">
        <f>VLOOKUP(tabCustoUnit[[#This Row],[Código do Posto]],tabParametros[],MATCH(tabCustoUnit[[#Headers],[ANO DA CCT]],tabParametros[#Headers],0),0)</f>
        <v>45658</v>
      </c>
      <c r="CA283" s="25" t="str">
        <f>VLOOKUP(tabCustoUnit[[#This Row],[Código do Posto]],tabParametros[],MATCH(tabCustoUnit[[#Headers],[Nº DE PEDIDO DA CCT]],tabParametros[#Headers],0),0)</f>
        <v>-</v>
      </c>
      <c r="CB283" s="25" t="str">
        <f>VLOOKUP(tabCustoUnit[[#This Row],[Código do Posto]],tabParametros[],MATCH(tabCustoUnit[[#Headers],[TERMO ADITIVO ALTERAÇÃO DA CCT]],tabParametros[#Headers],0),0)</f>
        <v>-</v>
      </c>
    </row>
    <row r="284" spans="1:80">
      <c r="A284" s="20" t="s">
        <v>1699</v>
      </c>
      <c r="B284" t="s">
        <v>1202</v>
      </c>
      <c r="C284" t="s">
        <v>314</v>
      </c>
      <c r="D284" t="s">
        <v>1048</v>
      </c>
      <c r="E284" s="20" t="s">
        <v>1090</v>
      </c>
      <c r="F284" s="20" t="s">
        <v>120</v>
      </c>
      <c r="G284" s="418">
        <v>1963.4110000000001</v>
      </c>
      <c r="H284" s="418">
        <v>0</v>
      </c>
      <c r="I284" s="418">
        <v>0</v>
      </c>
      <c r="J284" s="418">
        <v>0</v>
      </c>
      <c r="K284" s="418">
        <v>0</v>
      </c>
      <c r="L284" s="418">
        <v>0</v>
      </c>
      <c r="M284" s="418">
        <v>0</v>
      </c>
      <c r="N284" s="418">
        <v>0</v>
      </c>
      <c r="O284" s="21">
        <f>SUM(tabCustoUnit[[#This Row],[Salário Base]:[Adicional de Acúmulo de função]])</f>
        <v>1963.4110000000001</v>
      </c>
      <c r="P284" s="21">
        <f>tabCustoUnit[[#This Row],[MODULO 1 - REMUNERAÇÃO ]]*SUMIFS(tabParametros[INSS],tabParametros[Código do Posto],tabCustoUnit[[#This Row],[Código do Posto]])</f>
        <v>392.68220000000002</v>
      </c>
      <c r="Q284" s="21">
        <f>tabCustoUnit[[#This Row],[MODULO 1 - REMUNERAÇÃO ]]*SUMIFS(tabParametros[SESI OU SESC],tabParametros[Código do Posto],tabCustoUnit[[#This Row],[Código do Posto]])</f>
        <v>29.451165</v>
      </c>
      <c r="R284" s="21">
        <f>tabCustoUnit[[#This Row],[MODULO 1 - REMUNERAÇÃO ]]*SUMIFS(tabParametros[SENAI OU SENAC],tabParametros[Código do Posto],tabCustoUnit[[#This Row],[Código do Posto]])</f>
        <v>19.63411</v>
      </c>
      <c r="S284" s="21">
        <f>tabCustoUnit[[#This Row],[MODULO 1 - REMUNERAÇÃO ]]*SUMIFS(tabParametros[INCRA],tabParametros[Código do Posto],tabCustoUnit[[#This Row],[Código do Posto]])</f>
        <v>3.926822</v>
      </c>
      <c r="T284" s="21">
        <f>tabCustoUnit[[#This Row],[MODULO 1 - REMUNERAÇÃO ]]*SUMIFS(tabParametros[Salário Educação],tabParametros[Código do Posto],tabCustoUnit[[#This Row],[Código do Posto]])</f>
        <v>49.085275000000003</v>
      </c>
      <c r="U284" s="21">
        <f>tabCustoUnit[[#This Row],[MODULO 1 - REMUNERAÇÃO ]]*SUMIFS(tabParametros[FGTS],tabParametros[Código do Posto],tabCustoUnit[[#This Row],[Código do Posto]])</f>
        <v>157.07288</v>
      </c>
      <c r="V284" s="21">
        <f>tabCustoUnit[[#This Row],[MODULO 1 - REMUNERAÇÃO ]]*SUMIFS(tabParametros[RAT Ajustado],tabParametros[Código do Posto],tabCustoUnit[[#This Row],[Código do Posto]])</f>
        <v>78.536439999999999</v>
      </c>
      <c r="W284" s="21">
        <f>tabCustoUnit[[#This Row],[MODULO 1 - REMUNERAÇÃO ]]*SUMIFS(tabParametros[SEBRAE],tabParametros[Código do Posto],tabCustoUnit[[#This Row],[Código do Posto]])</f>
        <v>11.780466000000001</v>
      </c>
      <c r="X284" s="21">
        <f>SUM(tabCustoUnit[[#This Row],[INSS]:[SEBRAE]])</f>
        <v>742.1693580000001</v>
      </c>
      <c r="Y284" s="21">
        <f>tabCustoUnit[[#This Row],[MODULO 1 - REMUNERAÇÃO ]]*SUMIFS(tabParametros[13º salário (titular)],tabParametros[Código do Posto],tabCustoUnit[[#This Row],[Código do Posto]])</f>
        <v>163.61758333333333</v>
      </c>
      <c r="Z284" s="21">
        <f>tabCustoUnit[[#This Row],[MODULO 1 - REMUNERAÇÃO ]]*SUMIFS(tabParametros[Férias e Adicional de Férias (titular)],tabParametros[Código do Posto],tabCustoUnit[[#This Row],[Código do Posto]])</f>
        <v>218.15677777777776</v>
      </c>
      <c r="AA284" s="21">
        <f>IFERROR((tabCustoUnit[[#This Row],[Submódulo 2.1]]/tabCustoUnit[[#This Row],[MODULO 1 - REMUNERAÇÃO ]])*SUM(tabCustoUnit[[#This Row],[13º salário (titular)]:[Férias e Adicional de Férias (titular)]]),0)</f>
        <v>144.3107085</v>
      </c>
      <c r="AB284" s="21">
        <f>SUM(tabCustoUnit[[#This Row],[13º salário (titular)]:[Incidência do Submódulo 2.1 sobre 13º Salário, Férias e Adicional de Férias]])</f>
        <v>526.08506961111107</v>
      </c>
      <c r="AC284" s="22" t="e">
        <f ca="1">_xlfn.LET(_xlpm.VT,SUMIF(tabParametros[Código do Posto],tabCustoUnit[[#This Row],[Código do Posto]],tabParametros[Vale - Transporte])*2*20,
IF((_xlpm.VT-tabCustoUnit[[#This Row],[Salário Base]]*0.06)&gt;=0,(_xlpm.VT-tabCustoUnit[[#This Row],[Salário Base]]*0.06),0)
)</f>
        <v>#NAME?</v>
      </c>
      <c r="AD284" s="22">
        <f>IF(SUMIF(tabParametros[Código do Posto],tabCustoUnit[[#This Row],[Código do Posto]],tabParametros[Vale - Alimentação])&lt;=0,0,
SUMIF(tabParametros[Código do Posto],tabCustoUnit[[#This Row],[Código do Posto]],tabParametros[Vale - Alimentação])*20-1)</f>
        <v>582</v>
      </c>
      <c r="AE284" s="22">
        <f>SUMIF(tabParametros[Código do Posto],tabCustoUnit[[#This Row],[Código do Posto]],tabParametros[Cesta Básica])</f>
        <v>0</v>
      </c>
      <c r="AF284" s="22">
        <f>SUMIF(tabParametros[Código do Posto],tabCustoUnit[[#This Row],[Código do Posto]],tabParametros[PAF])</f>
        <v>0</v>
      </c>
      <c r="AG284" s="22">
        <f>SUMIF(tabParametros[Código do Posto],tabCustoUnit[[#This Row],[Código do Posto]],tabParametros[PQM])</f>
        <v>0</v>
      </c>
      <c r="AH284" s="22">
        <f>SUMIF(tabParametros[Código do Posto],tabCustoUnit[[#This Row],[Código do Posto]],tabParametros[Abono Único e Especial])</f>
        <v>0</v>
      </c>
      <c r="AI284" s="22">
        <f>SUMIF(tabParametros[Código do Posto],tabCustoUnit[[#This Row],[Código do Posto]],tabParametros[Seguro de Vida])</f>
        <v>3.36</v>
      </c>
      <c r="AJ284" s="22">
        <f>SUMIF(tabParametros[Código do Posto],tabCustoUnit[[#This Row],[Código do Posto]],tabParametros[Despesas de Viagem])</f>
        <v>0</v>
      </c>
      <c r="AK284" s="22" t="e">
        <f ca="1">SUM(tabCustoUnit[[#This Row],[Vale - Transporte (Descontada parcela do empregado)]:[Despesas de Viagem]])</f>
        <v>#NAME?</v>
      </c>
      <c r="AL284" s="22" t="e">
        <f ca="1">tabCustoUnit[[#This Row],[Submódulo 2.1]]+tabCustoUnit[[#This Row],[Submódulo 2.2]]+tabCustoUnit[[#This Row],[Submódulo 2.3]]</f>
        <v>#NAME?</v>
      </c>
      <c r="AM284" s="22">
        <f>SUMIF(tabParametros[Código do Posto],tabCustoUnit[[#This Row],[Código do Posto]],tabParametros[Aviso Prévio Indenizado (API) e Reflexo do Aviso Prévio Indenizado])*tabCustoUnit[[#This Row],[MODULO 1 - REMUNERAÇÃO ]]</f>
        <v>13.766980408757716</v>
      </c>
      <c r="AN284" s="22">
        <f>SUMIF(tabParametros[Código do Posto],tabCustoUnit[[#This Row],[Código do Posto]],tabParametros[Incidência do FGTS sobre API e Reflexo do API])*tabCustoUnit[[#This Row],[MODULO 1 - REMUNERAÇÃO ]]</f>
        <v>1.1013584327006174</v>
      </c>
      <c r="AO284" s="22">
        <f>SUMIF(tabParametros[Código do Posto],tabCustoUnit[[#This Row],[Código do Posto]],tabParametros[Multa Rescisória do FGTS sobre o Aviso Prévio Indenizado])*tabCustoUnit[[#This Row],[MODULO 1 - REMUNERAÇÃO ]]</f>
        <v>0.44054337308024699</v>
      </c>
      <c r="AP284" s="22">
        <f>SUMIF(tabParametros[Código do Posto],tabCustoUnit[[#This Row],[Código do Posto]],tabParametros[Aviso Prévio Trabalhado - APT])*tabCustoUnit[[#This Row],[MODULO 1 - REMUNERAÇÃO ]]</f>
        <v>6.8719385000000015</v>
      </c>
      <c r="AQ284" s="22">
        <f>SUMIF(tabParametros[Código do Posto],tabCustoUnit[[#This Row],[Código do Posto]],tabParametros[Incidência dos encargos do submódulo 2.1 sobre Aviso Prévio Trabalhado])*tabCustoUnit[[#This Row],[MODULO 1 - REMUNERAÇÃO ]]</f>
        <v>2.5975927530000007</v>
      </c>
      <c r="AR284" s="22">
        <f>SUMIF(tabParametros[Código do Posto],tabCustoUnit[[#This Row],[Código do Posto]],tabParametros[Multa Rescisória do FGTS])*tabCustoUnit[[#This Row],[MODULO 1 - REMUNERAÇÃO ]]</f>
        <v>60.03674524444444</v>
      </c>
      <c r="AS284" s="22">
        <f>SUMIF(tabParametros[Código do Posto],tabCustoUnit[[#This Row],[Código do Posto]],tabParametros[Indenização Adicional (Art. 9º da Lei nº 7.238/84)])*tabCustoUnit[[#This Row],[MODULO 1 - REMUNERAÇÃO ]]</f>
        <v>1.6361758333333334</v>
      </c>
      <c r="AT284" s="22">
        <f>SUM(tabCustoUnit[[#This Row],[Aviso Prévio Indenizado (API) e Reflexo do Aviso Prévio Indenizado]:[Indenização Adicional (Art. 9º da Lei nº 7.238/84)]])</f>
        <v>86.451334545316371</v>
      </c>
      <c r="AU284" s="22">
        <f>SUMIF(tabParametros[Código do Posto],tabCustoUnit[[#This Row],[Código do Posto]],tabParametros[Ausência por Doença])*tabCustoUnit[[#This Row],[MODULO 1 - REMUNERAÇÃO ]]</f>
        <v>16.579915111111109</v>
      </c>
      <c r="AV284" s="22">
        <f>SUMIF(tabParametros[Código do Posto],tabCustoUnit[[#This Row],[Código do Posto]],tabParametros[Ausências Legais])*tabCustoUnit[[#This Row],[MODULO 1 - REMUNERAÇÃO ]]</f>
        <v>3.9813611944444443</v>
      </c>
      <c r="AW284" s="22">
        <f>SUMIF(tabParametros[Código do Posto],tabCustoUnit[[#This Row],[Código do Posto]],tabParametros[Licença Paternidade])*tabCustoUnit[[#This Row],[MODULO 1 - REMUNERAÇÃO ]]</f>
        <v>0.33541604583333334</v>
      </c>
      <c r="AX284" s="22">
        <f>SUMIF(tabParametros[Código do Posto],tabCustoUnit[[#This Row],[Código do Posto]],tabParametros[Ausência por Acidente de Trabalho])*tabCustoUnit[[#This Row],[MODULO 1 - REMUNERAÇÃO ]]</f>
        <v>0.40904395833333335</v>
      </c>
      <c r="AY284" s="22">
        <f>SUMIF(tabParametros[Código do Posto],tabCustoUnit[[#This Row],[Código do Posto]],tabParametros[Férias, Adicional de Férias e 13º  com empregada em gozo de Licença Maternidade])*tabCustoUnit[[#This Row],[MODULO 1 - REMUNERAÇÃO ]]</f>
        <v>2.5451624074074073</v>
      </c>
      <c r="AZ284" s="22">
        <f>SUMIF(tabParametros[Código do Posto],tabCustoUnit[[#This Row],[Código do Posto]],tabParametros[Incidência do Submódulo 2.1 sobre Ausências Legais])*tabCustoUnit[[#This Row],[MODULO 1 - REMUNERAÇÃO ]]</f>
        <v>9.0156397150750021</v>
      </c>
      <c r="BA284" s="22">
        <f>SUM(tabCustoUnit[[#This Row],[Ausência por Doença]:[Incidência do Submódulo 2.1 sobre Ausências Legais]])</f>
        <v>32.866538432204628</v>
      </c>
      <c r="BB284" s="22">
        <f>SUMIF(tabParametros[Código do Posto],tabCustoUnit[[#This Row],[Código do Posto]],tabParametros[Intervalo para Repouso ou Alimentação])</f>
        <v>267.73786489195959</v>
      </c>
      <c r="BC284" s="22">
        <f>tabCustoUnit[[#This Row],[Intervalo para Repouso ou Alimentação]]</f>
        <v>267.73786489195959</v>
      </c>
      <c r="BD28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4" s="22">
        <f>tabCustoUnit[[#This Row],[Suspensão Temporária do Contrato de Trabalho]]</f>
        <v>0</v>
      </c>
      <c r="BF284" s="22">
        <f>tabCustoUnit[[#This Row],[Submódulo 4.1]]+tabCustoUnit[[#This Row],[Submódulo 4.2]]+tabCustoUnit[[#This Row],[Submódulo 4.3]]</f>
        <v>300.6044033241642</v>
      </c>
      <c r="BG284" s="22">
        <f>VLOOKUP(tabCustoUnit[[#This Row],[Código do Posto]],tabParametros[],MATCH(tabCustoUnit[[#Headers],[Uniformes e EPIs]],tabParametros[#Headers],0),0)</f>
        <v>56.642978962543395</v>
      </c>
      <c r="BH284" s="22">
        <f>VLOOKUP(tabCustoUnit[[#This Row],[Código do Posto]],tabParametros[],MATCH(tabCustoUnit[[#Headers],[Materiais de Consumo]],tabParametros[#Headers],0),0)</f>
        <v>0</v>
      </c>
      <c r="BI284" s="22">
        <f>VLOOKUP(tabCustoUnit[[#This Row],[Código do Posto]],tabParametros[],MATCH(tabCustoUnit[[#Headers],[Máquinas e Equipamentos (depreciação)]],tabParametros[#Headers],0),0)</f>
        <v>0</v>
      </c>
      <c r="BJ284" s="22">
        <f>VLOOKUP(tabCustoUnit[[#This Row],[Código do Posto]],tabParametros[],MATCH(tabCustoUnit[[#Headers],[Produtos de Limpeza e Materiais de Higiene Pessoal]],tabParametros[#Headers],0),0)</f>
        <v>0</v>
      </c>
      <c r="BK284" s="22">
        <f>VLOOKUP(tabCustoUnit[[#This Row],[Código do Posto]],tabParametros[],MATCH(tabCustoUnit[[#Headers],[Outros (especificar)]],tabParametros[#Headers],0),0)</f>
        <v>0</v>
      </c>
      <c r="BL284" s="22">
        <f>SUM(tabCustoUnit[[#This Row],[Uniformes e EPIs]:[Outros (especificar)]])</f>
        <v>56.642978962543395</v>
      </c>
      <c r="BM28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4" s="22" t="e">
        <f ca="1">VLOOKUP(tabCustoUnit[[#This Row],[Código do Posto]],tabParametros[],MATCH(tabCustoUnit[[#Headers],[Custos Indiretos]],tabParametros[#Headers],0),0)</f>
        <v>#NAME?</v>
      </c>
      <c r="BO284" s="22" t="e">
        <f ca="1">VLOOKUP(tabCustoUnit[[#This Row],[Código do Posto]],tabParametros[],MATCH(tabCustoUnit[[#Headers],[Lucro]],tabParametros[#Headers],0),0)</f>
        <v>#NAME?</v>
      </c>
      <c r="BP284" s="26">
        <f>((100/((1-tabCustoUnit[[#This Row],[Resumo de Alíquotas (PIS+CONFINS+ISS)]]))-100)*VLOOKUP(tabCustoUnit[[#This Row],[Código do Posto]],tabParametros[],MATCH(tabCustoUnit[[#Headers],[COFINS]],tabParametros[#Headers],0),0))/(tabCustoUnit[[#This Row],[Resumo de Alíquotas (PIS+CONFINS+ISS)]]*100)</f>
        <v>8.7608069164265154E-2</v>
      </c>
      <c r="BQ284" s="26">
        <f>((100/((100-(tabCustoUnit[[#This Row],[Resumo de Alíquotas (PIS+CONFINS+ISS)]]*100))%)-100)*VLOOKUP(tabCustoUnit[[#This Row],[Código do Posto]],tabParametros[],MATCH(tabCustoUnit[[#Headers],[PIS]],tabParametros[#Headers],0),0))/(tabCustoUnit[[#This Row],[Resumo de Alíquotas (PIS+CONFINS+ISS)]]*100)</f>
        <v>1.9020172910662814E-2</v>
      </c>
      <c r="BR284" s="28">
        <f>VLOOKUP(tabCustoUnit[[#This Row],[Código do Posto]],tabParametros[],MATCH(tabCustoUnit[[#Headers],[ISS]],tabParametros[#Headers],0),0)</f>
        <v>0.04</v>
      </c>
      <c r="BS284" s="26">
        <f>(((100/((100-(tabCustoUnit[[#This Row],[Resumo de Alíquotas (PIS+CONFINS+ISS)]]*100))%)-100)*tabCustoUnit[[#This Row],[ISS]])/tabCustoUnit[[#This Row],[Resumo de Alíquotas (PIS+CONFINS+ISS)]])/100</f>
        <v>4.6109510086455294E-2</v>
      </c>
      <c r="BT28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284" s="138">
        <f>tabCustoUnit[[#This Row],[COFINS]]+tabCustoUnit[[#This Row],[PIS]]+tabCustoUnit[[#This Row],[ISS (Conversão Alíquota s/ fatura)]]</f>
        <v>0.15273775216138324</v>
      </c>
      <c r="BV284" s="22" t="e">
        <f ca="1">(tabCustoUnit[[#This Row],[TOTAL MÓDULOS 1+2+3+4+5]]+tabCustoUnit[[#This Row],[Custos Indiretos]]+tabCustoUnit[[#This Row],[Lucro]])*tabCustoUnit[[#This Row],[PIS + COFINS + ISS (Total Conversão  Alíquota s/ Fatura)]]</f>
        <v>#NAME?</v>
      </c>
      <c r="BW284" s="22" t="e">
        <f ca="1">tabCustoUnit[[#This Row],[Custos Indiretos]]+tabCustoUnit[[#This Row],[Lucro]]+tabCustoUnit[[#This Row],[Valor dos Tributos (ISS, PIS, CONFINS)]]</f>
        <v>#NAME?</v>
      </c>
      <c r="BX284" s="22" t="e">
        <f ca="1">tabCustoUnit[[#This Row],[TOTAL MÓDULOS 1+2+3+4+5]]+tabCustoUnit[[#This Row],[MÓDULO 6 – CUSTOS INDIRETOS, TRIBUTOS E LUCRO]]</f>
        <v>#NAME?</v>
      </c>
      <c r="BY284" s="22" t="e">
        <f ca="1">tabCustoUnit[[#This Row],[CUSTO TOTAL MENSAL]]*12</f>
        <v>#NAME?</v>
      </c>
      <c r="BZ284" s="24">
        <f>VLOOKUP(tabCustoUnit[[#This Row],[Código do Posto]],tabParametros[],MATCH(tabCustoUnit[[#Headers],[ANO DA CCT]],tabParametros[#Headers],0),0)</f>
        <v>45658</v>
      </c>
      <c r="CA284" s="25" t="str">
        <f>VLOOKUP(tabCustoUnit[[#This Row],[Código do Posto]],tabParametros[],MATCH(tabCustoUnit[[#Headers],[Nº DE PEDIDO DA CCT]],tabParametros[#Headers],0),0)</f>
        <v>-</v>
      </c>
      <c r="CB284" s="25" t="str">
        <f>VLOOKUP(tabCustoUnit[[#This Row],[Código do Posto]],tabParametros[],MATCH(tabCustoUnit[[#Headers],[TERMO ADITIVO ALTERAÇÃO DA CCT]],tabParametros[#Headers],0),0)</f>
        <v>-</v>
      </c>
    </row>
    <row r="285" spans="1:80">
      <c r="A285" s="20" t="s">
        <v>1700</v>
      </c>
      <c r="B285" t="s">
        <v>1203</v>
      </c>
      <c r="C285" t="s">
        <v>324</v>
      </c>
      <c r="D285" t="s">
        <v>899</v>
      </c>
      <c r="E285" s="20" t="s">
        <v>1090</v>
      </c>
      <c r="F285" s="20" t="s">
        <v>120</v>
      </c>
      <c r="G285" s="418">
        <v>3397.1305000000002</v>
      </c>
      <c r="H285" s="418">
        <v>0</v>
      </c>
      <c r="I285" s="418">
        <v>0</v>
      </c>
      <c r="J285" s="418">
        <v>0</v>
      </c>
      <c r="K285" s="418">
        <v>0</v>
      </c>
      <c r="L285" s="418">
        <v>0</v>
      </c>
      <c r="M285" s="418">
        <v>0</v>
      </c>
      <c r="N285" s="418">
        <v>0</v>
      </c>
      <c r="O285" s="21">
        <f>SUM(tabCustoUnit[[#This Row],[Salário Base]:[Adicional de Acúmulo de função]])</f>
        <v>3397.1305000000002</v>
      </c>
      <c r="P285" s="21">
        <f>tabCustoUnit[[#This Row],[MODULO 1 - REMUNERAÇÃO ]]*SUMIFS(tabParametros[INSS],tabParametros[Código do Posto],tabCustoUnit[[#This Row],[Código do Posto]])</f>
        <v>679.42610000000013</v>
      </c>
      <c r="Q285" s="21">
        <f>tabCustoUnit[[#This Row],[MODULO 1 - REMUNERAÇÃO ]]*SUMIFS(tabParametros[SESI OU SESC],tabParametros[Código do Posto],tabCustoUnit[[#This Row],[Código do Posto]])</f>
        <v>50.956957500000001</v>
      </c>
      <c r="R285" s="21">
        <f>tabCustoUnit[[#This Row],[MODULO 1 - REMUNERAÇÃO ]]*SUMIFS(tabParametros[SENAI OU SENAC],tabParametros[Código do Posto],tabCustoUnit[[#This Row],[Código do Posto]])</f>
        <v>33.971305000000001</v>
      </c>
      <c r="S285" s="21">
        <f>tabCustoUnit[[#This Row],[MODULO 1 - REMUNERAÇÃO ]]*SUMIFS(tabParametros[INCRA],tabParametros[Código do Posto],tabCustoUnit[[#This Row],[Código do Posto]])</f>
        <v>6.7942610000000005</v>
      </c>
      <c r="T285" s="21">
        <f>tabCustoUnit[[#This Row],[MODULO 1 - REMUNERAÇÃO ]]*SUMIFS(tabParametros[Salário Educação],tabParametros[Código do Posto],tabCustoUnit[[#This Row],[Código do Posto]])</f>
        <v>84.928262500000017</v>
      </c>
      <c r="U285" s="21">
        <f>tabCustoUnit[[#This Row],[MODULO 1 - REMUNERAÇÃO ]]*SUMIFS(tabParametros[FGTS],tabParametros[Código do Posto],tabCustoUnit[[#This Row],[Código do Posto]])</f>
        <v>271.77044000000001</v>
      </c>
      <c r="V285" s="21">
        <f>tabCustoUnit[[#This Row],[MODULO 1 - REMUNERAÇÃO ]]*SUMIFS(tabParametros[RAT Ajustado],tabParametros[Código do Posto],tabCustoUnit[[#This Row],[Código do Posto]])</f>
        <v>135.88522</v>
      </c>
      <c r="W285" s="21">
        <f>tabCustoUnit[[#This Row],[MODULO 1 - REMUNERAÇÃO ]]*SUMIFS(tabParametros[SEBRAE],tabParametros[Código do Posto],tabCustoUnit[[#This Row],[Código do Posto]])</f>
        <v>20.382783000000003</v>
      </c>
      <c r="X285" s="21">
        <f>SUM(tabCustoUnit[[#This Row],[INSS]:[SEBRAE]])</f>
        <v>1284.1153290000002</v>
      </c>
      <c r="Y285" s="21">
        <f>tabCustoUnit[[#This Row],[MODULO 1 - REMUNERAÇÃO ]]*SUMIFS(tabParametros[13º salário (titular)],tabParametros[Código do Posto],tabCustoUnit[[#This Row],[Código do Posto]])</f>
        <v>283.09420833333331</v>
      </c>
      <c r="Z285" s="21">
        <f>tabCustoUnit[[#This Row],[MODULO 1 - REMUNERAÇÃO ]]*SUMIFS(tabParametros[Férias e Adicional de Férias (titular)],tabParametros[Código do Posto],tabCustoUnit[[#This Row],[Código do Posto]])</f>
        <v>377.45894444444446</v>
      </c>
      <c r="AA285" s="21">
        <f>IFERROR((tabCustoUnit[[#This Row],[Submódulo 2.1]]/tabCustoUnit[[#This Row],[MODULO 1 - REMUNERAÇÃO ]])*SUM(tabCustoUnit[[#This Row],[13º salário (titular)]:[Férias e Adicional de Férias (titular)]]),0)</f>
        <v>249.68909175000005</v>
      </c>
      <c r="AB285" s="21">
        <f>SUM(tabCustoUnit[[#This Row],[13º salário (titular)]:[Incidência do Submódulo 2.1 sobre 13º Salário, Férias e Adicional de Férias]])</f>
        <v>910.24224452777776</v>
      </c>
      <c r="AC285" s="22" t="e">
        <f ca="1">_xlfn.LET(_xlpm.VT,SUMIF(tabParametros[Código do Posto],tabCustoUnit[[#This Row],[Código do Posto]],tabParametros[Vale - Transporte])*2*20,
IF((_xlpm.VT-tabCustoUnit[[#This Row],[Salário Base]]*0.06)&gt;=0,(_xlpm.VT-tabCustoUnit[[#This Row],[Salário Base]]*0.06),0)
)</f>
        <v>#NAME?</v>
      </c>
      <c r="AD285" s="22">
        <f>IF(SUMIF(tabParametros[Código do Posto],tabCustoUnit[[#This Row],[Código do Posto]],tabParametros[Vale - Alimentação])&lt;=0,0,
SUMIF(tabParametros[Código do Posto],tabCustoUnit[[#This Row],[Código do Posto]],tabParametros[Vale - Alimentação])*20-1)</f>
        <v>0</v>
      </c>
      <c r="AE285" s="22">
        <f>SUMIF(tabParametros[Código do Posto],tabCustoUnit[[#This Row],[Código do Posto]],tabParametros[Cesta Básica])</f>
        <v>387.79</v>
      </c>
      <c r="AF285" s="22">
        <f>SUMIF(tabParametros[Código do Posto],tabCustoUnit[[#This Row],[Código do Posto]],tabParametros[PAF])</f>
        <v>42.97</v>
      </c>
      <c r="AG285" s="22">
        <f>SUMIF(tabParametros[Código do Posto],tabCustoUnit[[#This Row],[Código do Posto]],tabParametros[PQM])</f>
        <v>0</v>
      </c>
      <c r="AH285" s="22">
        <f>SUMIF(tabParametros[Código do Posto],tabCustoUnit[[#This Row],[Código do Posto]],tabParametros[Abono Único e Especial])</f>
        <v>0</v>
      </c>
      <c r="AI285" s="22">
        <f>SUMIF(tabParametros[Código do Posto],tabCustoUnit[[#This Row],[Código do Posto]],tabParametros[Seguro de Vida])</f>
        <v>3.36</v>
      </c>
      <c r="AJ285" s="22">
        <f>SUMIF(tabParametros[Código do Posto],tabCustoUnit[[#This Row],[Código do Posto]],tabParametros[Despesas de Viagem])</f>
        <v>0</v>
      </c>
      <c r="AK285" s="22" t="e">
        <f ca="1">SUM(tabCustoUnit[[#This Row],[Vale - Transporte (Descontada parcela do empregado)]:[Despesas de Viagem]])</f>
        <v>#NAME?</v>
      </c>
      <c r="AL285" s="22" t="e">
        <f ca="1">tabCustoUnit[[#This Row],[Submódulo 2.1]]+tabCustoUnit[[#This Row],[Submódulo 2.2]]+tabCustoUnit[[#This Row],[Submódulo 2.3]]</f>
        <v>#NAME?</v>
      </c>
      <c r="AM285" s="22">
        <f>SUMIF(tabParametros[Código do Posto],tabCustoUnit[[#This Row],[Código do Posto]],tabParametros[Aviso Prévio Indenizado (API) e Reflexo do Aviso Prévio Indenizado])*tabCustoUnit[[#This Row],[MODULO 1 - REMUNERAÇÃO ]]</f>
        <v>23.819887450713736</v>
      </c>
      <c r="AN285" s="22">
        <f>SUMIF(tabParametros[Código do Posto],tabCustoUnit[[#This Row],[Código do Posto]],tabParametros[Incidência do FGTS sobre API e Reflexo do API])*tabCustoUnit[[#This Row],[MODULO 1 - REMUNERAÇÃO ]]</f>
        <v>1.9055909960570991</v>
      </c>
      <c r="AO285" s="22">
        <f>SUMIF(tabParametros[Código do Posto],tabCustoUnit[[#This Row],[Código do Posto]],tabParametros[Multa Rescisória do FGTS sobre o Aviso Prévio Indenizado])*tabCustoUnit[[#This Row],[MODULO 1 - REMUNERAÇÃO ]]</f>
        <v>0.76223639842283974</v>
      </c>
      <c r="AP285" s="22">
        <f>SUMIF(tabParametros[Código do Posto],tabCustoUnit[[#This Row],[Código do Posto]],tabParametros[Aviso Prévio Trabalhado - APT])*tabCustoUnit[[#This Row],[MODULO 1 - REMUNERAÇÃO ]]</f>
        <v>11.889956750000003</v>
      </c>
      <c r="AQ285" s="22">
        <f>SUMIF(tabParametros[Código do Posto],tabCustoUnit[[#This Row],[Código do Posto]],tabParametros[Incidência dos encargos do submódulo 2.1 sobre Aviso Prévio Trabalhado])*tabCustoUnit[[#This Row],[MODULO 1 - REMUNERAÇÃO ]]</f>
        <v>4.4944036515000017</v>
      </c>
      <c r="AR285" s="22">
        <f>SUMIF(tabParametros[Código do Posto],tabCustoUnit[[#This Row],[Código do Posto]],tabParametros[Multa Rescisória do FGTS])*tabCustoUnit[[#This Row],[MODULO 1 - REMUNERAÇÃO ]]</f>
        <v>103.87670151111111</v>
      </c>
      <c r="AS285" s="22">
        <f>SUMIF(tabParametros[Código do Posto],tabCustoUnit[[#This Row],[Código do Posto]],tabParametros[Indenização Adicional (Art. 9º da Lei nº 7.238/84)])*tabCustoUnit[[#This Row],[MODULO 1 - REMUNERAÇÃO ]]</f>
        <v>2.8309420833333339</v>
      </c>
      <c r="AT285" s="22">
        <f>SUM(tabCustoUnit[[#This Row],[Aviso Prévio Indenizado (API) e Reflexo do Aviso Prévio Indenizado]:[Indenização Adicional (Art. 9º da Lei nº 7.238/84)]])</f>
        <v>149.57971884113812</v>
      </c>
      <c r="AU285" s="22">
        <f>SUMIF(tabParametros[Código do Posto],tabCustoUnit[[#This Row],[Código do Posto]],tabParametros[Ausência por Doença])*tabCustoUnit[[#This Row],[MODULO 1 - REMUNERAÇÃO ]]</f>
        <v>28.686879777777776</v>
      </c>
      <c r="AV285" s="22">
        <f>SUMIF(tabParametros[Código do Posto],tabCustoUnit[[#This Row],[Código do Posto]],tabParametros[Ausências Legais])*tabCustoUnit[[#This Row],[MODULO 1 - REMUNERAÇÃO ]]</f>
        <v>6.888625736111111</v>
      </c>
      <c r="AW285" s="22">
        <f>SUMIF(tabParametros[Código do Posto],tabCustoUnit[[#This Row],[Código do Posto]],tabParametros[Licença Paternidade])*tabCustoUnit[[#This Row],[MODULO 1 - REMUNERAÇÃO ]]</f>
        <v>0.58034312708333335</v>
      </c>
      <c r="AX285" s="22">
        <f>SUMIF(tabParametros[Código do Posto],tabCustoUnit[[#This Row],[Código do Posto]],tabParametros[Ausência por Acidente de Trabalho])*tabCustoUnit[[#This Row],[MODULO 1 - REMUNERAÇÃO ]]</f>
        <v>0.70773552083333346</v>
      </c>
      <c r="AY285" s="22">
        <f>SUMIF(tabParametros[Código do Posto],tabCustoUnit[[#This Row],[Código do Posto]],tabParametros[Férias, Adicional de Férias e 13º  com empregada em gozo de Licença Maternidade])*tabCustoUnit[[#This Row],[MODULO 1 - REMUNERAÇÃO ]]</f>
        <v>4.4036876851851856</v>
      </c>
      <c r="AZ285" s="22">
        <f>SUMIF(tabParametros[Código do Posto],tabCustoUnit[[#This Row],[Código do Posto]],tabParametros[Incidência do Submódulo 2.1 sobre Ausências Legais])*tabCustoUnit[[#This Row],[MODULO 1 - REMUNERAÇÃO ]]</f>
        <v>15.599028758162504</v>
      </c>
      <c r="BA285" s="22">
        <f>SUM(tabCustoUnit[[#This Row],[Ausência por Doença]:[Incidência do Submódulo 2.1 sobre Ausências Legais]])</f>
        <v>56.866300605153235</v>
      </c>
      <c r="BB285" s="22">
        <f>SUMIF(tabParametros[Código do Posto],tabCustoUnit[[#This Row],[Código do Posto]],tabParametros[Intervalo para Repouso ou Alimentação])</f>
        <v>0</v>
      </c>
      <c r="BC285" s="22">
        <f>tabCustoUnit[[#This Row],[Intervalo para Repouso ou Alimentação]]</f>
        <v>0</v>
      </c>
      <c r="BD28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5" s="22">
        <f>tabCustoUnit[[#This Row],[Suspensão Temporária do Contrato de Trabalho]]</f>
        <v>0</v>
      </c>
      <c r="BF285" s="22">
        <f>tabCustoUnit[[#This Row],[Submódulo 4.1]]+tabCustoUnit[[#This Row],[Submódulo 4.2]]+tabCustoUnit[[#This Row],[Submódulo 4.3]]</f>
        <v>56.866300605153235</v>
      </c>
      <c r="BG285" s="22">
        <f>VLOOKUP(tabCustoUnit[[#This Row],[Código do Posto]],tabParametros[],MATCH(tabCustoUnit[[#Headers],[Uniformes e EPIs]],tabParametros[#Headers],0),0)</f>
        <v>56.642978962543395</v>
      </c>
      <c r="BH285" s="22">
        <f>VLOOKUP(tabCustoUnit[[#This Row],[Código do Posto]],tabParametros[],MATCH(tabCustoUnit[[#Headers],[Materiais de Consumo]],tabParametros[#Headers],0),0)</f>
        <v>0</v>
      </c>
      <c r="BI285" s="22">
        <f>VLOOKUP(tabCustoUnit[[#This Row],[Código do Posto]],tabParametros[],MATCH(tabCustoUnit[[#Headers],[Máquinas e Equipamentos (depreciação)]],tabParametros[#Headers],0),0)</f>
        <v>0</v>
      </c>
      <c r="BJ285" s="22">
        <f>VLOOKUP(tabCustoUnit[[#This Row],[Código do Posto]],tabParametros[],MATCH(tabCustoUnit[[#Headers],[Produtos de Limpeza e Materiais de Higiene Pessoal]],tabParametros[#Headers],0),0)</f>
        <v>0</v>
      </c>
      <c r="BK285" s="22">
        <f>VLOOKUP(tabCustoUnit[[#This Row],[Código do Posto]],tabParametros[],MATCH(tabCustoUnit[[#Headers],[Outros (especificar)]],tabParametros[#Headers],0),0)</f>
        <v>0</v>
      </c>
      <c r="BL285" s="22">
        <f>SUM(tabCustoUnit[[#This Row],[Uniformes e EPIs]:[Outros (especificar)]])</f>
        <v>56.642978962543395</v>
      </c>
      <c r="BM28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5" s="22" t="e">
        <f ca="1">VLOOKUP(tabCustoUnit[[#This Row],[Código do Posto]],tabParametros[],MATCH(tabCustoUnit[[#Headers],[Custos Indiretos]],tabParametros[#Headers],0),0)</f>
        <v>#NAME?</v>
      </c>
      <c r="BO285" s="22" t="e">
        <f ca="1">VLOOKUP(tabCustoUnit[[#This Row],[Código do Posto]],tabParametros[],MATCH(tabCustoUnit[[#Headers],[Lucro]],tabParametros[#Headers],0),0)</f>
        <v>#NAME?</v>
      </c>
      <c r="BP285" s="26">
        <f>((100/((1-tabCustoUnit[[#This Row],[Resumo de Alíquotas (PIS+CONFINS+ISS)]]))-100)*VLOOKUP(tabCustoUnit[[#This Row],[Código do Posto]],tabParametros[],MATCH(tabCustoUnit[[#Headers],[COFINS]],tabParametros[#Headers],0),0))/(tabCustoUnit[[#This Row],[Resumo de Alíquotas (PIS+CONFINS+ISS)]]*100)</f>
        <v>8.5633802816901458E-2</v>
      </c>
      <c r="BQ285" s="26">
        <f>((100/((100-(tabCustoUnit[[#This Row],[Resumo de Alíquotas (PIS+CONFINS+ISS)]]*100))%)-100)*VLOOKUP(tabCustoUnit[[#This Row],[Código do Posto]],tabParametros[],MATCH(tabCustoUnit[[#Headers],[PIS]],tabParametros[#Headers],0),0))/(tabCustoUnit[[#This Row],[Resumo de Alíquotas (PIS+CONFINS+ISS)]]*100)</f>
        <v>1.8591549295774657E-2</v>
      </c>
      <c r="BR285" s="28">
        <f>VLOOKUP(tabCustoUnit[[#This Row],[Código do Posto]],tabParametros[],MATCH(tabCustoUnit[[#Headers],[ISS]],tabParametros[#Headers],0),0)</f>
        <v>0.02</v>
      </c>
      <c r="BS285" s="26">
        <f>(((100/((100-(tabCustoUnit[[#This Row],[Resumo de Alíquotas (PIS+CONFINS+ISS)]]*100))%)-100)*tabCustoUnit[[#This Row],[ISS]])/tabCustoUnit[[#This Row],[Resumo de Alíquotas (PIS+CONFINS+ISS)]])/100</f>
        <v>2.2535211267605645E-2</v>
      </c>
      <c r="BT28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85" s="138">
        <f>tabCustoUnit[[#This Row],[COFINS]]+tabCustoUnit[[#This Row],[PIS]]+tabCustoUnit[[#This Row],[ISS (Conversão Alíquota s/ fatura)]]</f>
        <v>0.12676056338028174</v>
      </c>
      <c r="BV285" s="22" t="e">
        <f ca="1">(tabCustoUnit[[#This Row],[TOTAL MÓDULOS 1+2+3+4+5]]+tabCustoUnit[[#This Row],[Custos Indiretos]]+tabCustoUnit[[#This Row],[Lucro]])*tabCustoUnit[[#This Row],[PIS + COFINS + ISS (Total Conversão  Alíquota s/ Fatura)]]</f>
        <v>#NAME?</v>
      </c>
      <c r="BW285" s="22" t="e">
        <f ca="1">tabCustoUnit[[#This Row],[Custos Indiretos]]+tabCustoUnit[[#This Row],[Lucro]]+tabCustoUnit[[#This Row],[Valor dos Tributos (ISS, PIS, CONFINS)]]</f>
        <v>#NAME?</v>
      </c>
      <c r="BX285" s="22" t="e">
        <f ca="1">tabCustoUnit[[#This Row],[TOTAL MÓDULOS 1+2+3+4+5]]+tabCustoUnit[[#This Row],[MÓDULO 6 – CUSTOS INDIRETOS, TRIBUTOS E LUCRO]]</f>
        <v>#NAME?</v>
      </c>
      <c r="BY285" s="22" t="e">
        <f ca="1">tabCustoUnit[[#This Row],[CUSTO TOTAL MENSAL]]*12</f>
        <v>#NAME?</v>
      </c>
      <c r="BZ285" s="24">
        <f>VLOOKUP(tabCustoUnit[[#This Row],[Código do Posto]],tabParametros[],MATCH(tabCustoUnit[[#Headers],[ANO DA CCT]],tabParametros[#Headers],0),0)</f>
        <v>45658</v>
      </c>
      <c r="CA285" s="25" t="str">
        <f>VLOOKUP(tabCustoUnit[[#This Row],[Código do Posto]],tabParametros[],MATCH(tabCustoUnit[[#Headers],[Nº DE PEDIDO DA CCT]],tabParametros[#Headers],0),0)</f>
        <v>-</v>
      </c>
      <c r="CB285" s="25" t="str">
        <f>VLOOKUP(tabCustoUnit[[#This Row],[Código do Posto]],tabParametros[],MATCH(tabCustoUnit[[#Headers],[TERMO ADITIVO ALTERAÇÃO DA CCT]],tabParametros[#Headers],0),0)</f>
        <v>-</v>
      </c>
    </row>
    <row r="286" spans="1:80">
      <c r="A286" s="20" t="s">
        <v>1701</v>
      </c>
      <c r="B286" t="s">
        <v>1204</v>
      </c>
      <c r="C286" t="s">
        <v>314</v>
      </c>
      <c r="D286" t="s">
        <v>1048</v>
      </c>
      <c r="E286" s="20" t="s">
        <v>1090</v>
      </c>
      <c r="F286" s="20" t="s">
        <v>120</v>
      </c>
      <c r="G286" s="418">
        <v>1963.4110000000001</v>
      </c>
      <c r="H286" s="418">
        <v>0</v>
      </c>
      <c r="I286" s="418">
        <v>0</v>
      </c>
      <c r="J286" s="418">
        <v>0</v>
      </c>
      <c r="K286" s="418">
        <v>0</v>
      </c>
      <c r="L286" s="418">
        <v>0</v>
      </c>
      <c r="M286" s="418">
        <v>0</v>
      </c>
      <c r="N286" s="418">
        <v>0</v>
      </c>
      <c r="O286" s="21">
        <f>SUM(tabCustoUnit[[#This Row],[Salário Base]:[Adicional de Acúmulo de função]])</f>
        <v>1963.4110000000001</v>
      </c>
      <c r="P286" s="21">
        <f>tabCustoUnit[[#This Row],[MODULO 1 - REMUNERAÇÃO ]]*SUMIFS(tabParametros[INSS],tabParametros[Código do Posto],tabCustoUnit[[#This Row],[Código do Posto]])</f>
        <v>392.68220000000002</v>
      </c>
      <c r="Q286" s="21">
        <f>tabCustoUnit[[#This Row],[MODULO 1 - REMUNERAÇÃO ]]*SUMIFS(tabParametros[SESI OU SESC],tabParametros[Código do Posto],tabCustoUnit[[#This Row],[Código do Posto]])</f>
        <v>29.451165</v>
      </c>
      <c r="R286" s="21">
        <f>tabCustoUnit[[#This Row],[MODULO 1 - REMUNERAÇÃO ]]*SUMIFS(tabParametros[SENAI OU SENAC],tabParametros[Código do Posto],tabCustoUnit[[#This Row],[Código do Posto]])</f>
        <v>19.63411</v>
      </c>
      <c r="S286" s="21">
        <f>tabCustoUnit[[#This Row],[MODULO 1 - REMUNERAÇÃO ]]*SUMIFS(tabParametros[INCRA],tabParametros[Código do Posto],tabCustoUnit[[#This Row],[Código do Posto]])</f>
        <v>3.926822</v>
      </c>
      <c r="T286" s="21">
        <f>tabCustoUnit[[#This Row],[MODULO 1 - REMUNERAÇÃO ]]*SUMIFS(tabParametros[Salário Educação],tabParametros[Código do Posto],tabCustoUnit[[#This Row],[Código do Posto]])</f>
        <v>49.085275000000003</v>
      </c>
      <c r="U286" s="21">
        <f>tabCustoUnit[[#This Row],[MODULO 1 - REMUNERAÇÃO ]]*SUMIFS(tabParametros[FGTS],tabParametros[Código do Posto],tabCustoUnit[[#This Row],[Código do Posto]])</f>
        <v>157.07288</v>
      </c>
      <c r="V286" s="21">
        <f>tabCustoUnit[[#This Row],[MODULO 1 - REMUNERAÇÃO ]]*SUMIFS(tabParametros[RAT Ajustado],tabParametros[Código do Posto],tabCustoUnit[[#This Row],[Código do Posto]])</f>
        <v>78.536439999999999</v>
      </c>
      <c r="W286" s="21">
        <f>tabCustoUnit[[#This Row],[MODULO 1 - REMUNERAÇÃO ]]*SUMIFS(tabParametros[SEBRAE],tabParametros[Código do Posto],tabCustoUnit[[#This Row],[Código do Posto]])</f>
        <v>11.780466000000001</v>
      </c>
      <c r="X286" s="21">
        <f>SUM(tabCustoUnit[[#This Row],[INSS]:[SEBRAE]])</f>
        <v>742.1693580000001</v>
      </c>
      <c r="Y286" s="21">
        <f>tabCustoUnit[[#This Row],[MODULO 1 - REMUNERAÇÃO ]]*SUMIFS(tabParametros[13º salário (titular)],tabParametros[Código do Posto],tabCustoUnit[[#This Row],[Código do Posto]])</f>
        <v>163.61758333333333</v>
      </c>
      <c r="Z286" s="21">
        <f>tabCustoUnit[[#This Row],[MODULO 1 - REMUNERAÇÃO ]]*SUMIFS(tabParametros[Férias e Adicional de Férias (titular)],tabParametros[Código do Posto],tabCustoUnit[[#This Row],[Código do Posto]])</f>
        <v>218.15677777777776</v>
      </c>
      <c r="AA286" s="21">
        <f>IFERROR((tabCustoUnit[[#This Row],[Submódulo 2.1]]/tabCustoUnit[[#This Row],[MODULO 1 - REMUNERAÇÃO ]])*SUM(tabCustoUnit[[#This Row],[13º salário (titular)]:[Férias e Adicional de Férias (titular)]]),0)</f>
        <v>144.3107085</v>
      </c>
      <c r="AB286" s="21">
        <f>SUM(tabCustoUnit[[#This Row],[13º salário (titular)]:[Incidência do Submódulo 2.1 sobre 13º Salário, Férias e Adicional de Férias]])</f>
        <v>526.08506961111107</v>
      </c>
      <c r="AC286" s="22" t="e">
        <f ca="1">_xlfn.LET(_xlpm.VT,SUMIF(tabParametros[Código do Posto],tabCustoUnit[[#This Row],[Código do Posto]],tabParametros[Vale - Transporte])*2*20,
IF((_xlpm.VT-tabCustoUnit[[#This Row],[Salário Base]]*0.06)&gt;=0,(_xlpm.VT-tabCustoUnit[[#This Row],[Salário Base]]*0.06),0)
)</f>
        <v>#NAME?</v>
      </c>
      <c r="AD286" s="22">
        <f>IF(SUMIF(tabParametros[Código do Posto],tabCustoUnit[[#This Row],[Código do Posto]],tabParametros[Vale - Alimentação])&lt;=0,0,
SUMIF(tabParametros[Código do Posto],tabCustoUnit[[#This Row],[Código do Posto]],tabParametros[Vale - Alimentação])*20-1)</f>
        <v>582</v>
      </c>
      <c r="AE286" s="22">
        <f>SUMIF(tabParametros[Código do Posto],tabCustoUnit[[#This Row],[Código do Posto]],tabParametros[Cesta Básica])</f>
        <v>0</v>
      </c>
      <c r="AF286" s="22">
        <f>SUMIF(tabParametros[Código do Posto],tabCustoUnit[[#This Row],[Código do Posto]],tabParametros[PAF])</f>
        <v>0</v>
      </c>
      <c r="AG286" s="22">
        <f>SUMIF(tabParametros[Código do Posto],tabCustoUnit[[#This Row],[Código do Posto]],tabParametros[PQM])</f>
        <v>0</v>
      </c>
      <c r="AH286" s="22">
        <f>SUMIF(tabParametros[Código do Posto],tabCustoUnit[[#This Row],[Código do Posto]],tabParametros[Abono Único e Especial])</f>
        <v>0</v>
      </c>
      <c r="AI286" s="22">
        <f>SUMIF(tabParametros[Código do Posto],tabCustoUnit[[#This Row],[Código do Posto]],tabParametros[Seguro de Vida])</f>
        <v>3.36</v>
      </c>
      <c r="AJ286" s="22">
        <f>SUMIF(tabParametros[Código do Posto],tabCustoUnit[[#This Row],[Código do Posto]],tabParametros[Despesas de Viagem])</f>
        <v>0</v>
      </c>
      <c r="AK286" s="22" t="e">
        <f ca="1">SUM(tabCustoUnit[[#This Row],[Vale - Transporte (Descontada parcela do empregado)]:[Despesas de Viagem]])</f>
        <v>#NAME?</v>
      </c>
      <c r="AL286" s="22" t="e">
        <f ca="1">tabCustoUnit[[#This Row],[Submódulo 2.1]]+tabCustoUnit[[#This Row],[Submódulo 2.2]]+tabCustoUnit[[#This Row],[Submódulo 2.3]]</f>
        <v>#NAME?</v>
      </c>
      <c r="AM286" s="22">
        <f>SUMIF(tabParametros[Código do Posto],tabCustoUnit[[#This Row],[Código do Posto]],tabParametros[Aviso Prévio Indenizado (API) e Reflexo do Aviso Prévio Indenizado])*tabCustoUnit[[#This Row],[MODULO 1 - REMUNERAÇÃO ]]</f>
        <v>13.766980408757716</v>
      </c>
      <c r="AN286" s="22">
        <f>SUMIF(tabParametros[Código do Posto],tabCustoUnit[[#This Row],[Código do Posto]],tabParametros[Incidência do FGTS sobre API e Reflexo do API])*tabCustoUnit[[#This Row],[MODULO 1 - REMUNERAÇÃO ]]</f>
        <v>1.1013584327006174</v>
      </c>
      <c r="AO286" s="22">
        <f>SUMIF(tabParametros[Código do Posto],tabCustoUnit[[#This Row],[Código do Posto]],tabParametros[Multa Rescisória do FGTS sobre o Aviso Prévio Indenizado])*tabCustoUnit[[#This Row],[MODULO 1 - REMUNERAÇÃO ]]</f>
        <v>0.44054337308024699</v>
      </c>
      <c r="AP286" s="22">
        <f>SUMIF(tabParametros[Código do Posto],tabCustoUnit[[#This Row],[Código do Posto]],tabParametros[Aviso Prévio Trabalhado - APT])*tabCustoUnit[[#This Row],[MODULO 1 - REMUNERAÇÃO ]]</f>
        <v>6.8719385000000015</v>
      </c>
      <c r="AQ286" s="22">
        <f>SUMIF(tabParametros[Código do Posto],tabCustoUnit[[#This Row],[Código do Posto]],tabParametros[Incidência dos encargos do submódulo 2.1 sobre Aviso Prévio Trabalhado])*tabCustoUnit[[#This Row],[MODULO 1 - REMUNERAÇÃO ]]</f>
        <v>2.5975927530000007</v>
      </c>
      <c r="AR286" s="22">
        <f>SUMIF(tabParametros[Código do Posto],tabCustoUnit[[#This Row],[Código do Posto]],tabParametros[Multa Rescisória do FGTS])*tabCustoUnit[[#This Row],[MODULO 1 - REMUNERAÇÃO ]]</f>
        <v>60.03674524444444</v>
      </c>
      <c r="AS286" s="22">
        <f>SUMIF(tabParametros[Código do Posto],tabCustoUnit[[#This Row],[Código do Posto]],tabParametros[Indenização Adicional (Art. 9º da Lei nº 7.238/84)])*tabCustoUnit[[#This Row],[MODULO 1 - REMUNERAÇÃO ]]</f>
        <v>1.6361758333333334</v>
      </c>
      <c r="AT286" s="22">
        <f>SUM(tabCustoUnit[[#This Row],[Aviso Prévio Indenizado (API) e Reflexo do Aviso Prévio Indenizado]:[Indenização Adicional (Art. 9º da Lei nº 7.238/84)]])</f>
        <v>86.451334545316371</v>
      </c>
      <c r="AU286" s="22">
        <f>SUMIF(tabParametros[Código do Posto],tabCustoUnit[[#This Row],[Código do Posto]],tabParametros[Ausência por Doença])*tabCustoUnit[[#This Row],[MODULO 1 - REMUNERAÇÃO ]]</f>
        <v>16.579915111111109</v>
      </c>
      <c r="AV286" s="22">
        <f>SUMIF(tabParametros[Código do Posto],tabCustoUnit[[#This Row],[Código do Posto]],tabParametros[Ausências Legais])*tabCustoUnit[[#This Row],[MODULO 1 - REMUNERAÇÃO ]]</f>
        <v>3.9813611944444443</v>
      </c>
      <c r="AW286" s="22">
        <f>SUMIF(tabParametros[Código do Posto],tabCustoUnit[[#This Row],[Código do Posto]],tabParametros[Licença Paternidade])*tabCustoUnit[[#This Row],[MODULO 1 - REMUNERAÇÃO ]]</f>
        <v>0.33541604583333334</v>
      </c>
      <c r="AX286" s="22">
        <f>SUMIF(tabParametros[Código do Posto],tabCustoUnit[[#This Row],[Código do Posto]],tabParametros[Ausência por Acidente de Trabalho])*tabCustoUnit[[#This Row],[MODULO 1 - REMUNERAÇÃO ]]</f>
        <v>0.40904395833333335</v>
      </c>
      <c r="AY286" s="22">
        <f>SUMIF(tabParametros[Código do Posto],tabCustoUnit[[#This Row],[Código do Posto]],tabParametros[Férias, Adicional de Férias e 13º  com empregada em gozo de Licença Maternidade])*tabCustoUnit[[#This Row],[MODULO 1 - REMUNERAÇÃO ]]</f>
        <v>2.5451624074074073</v>
      </c>
      <c r="AZ286" s="22">
        <f>SUMIF(tabParametros[Código do Posto],tabCustoUnit[[#This Row],[Código do Posto]],tabParametros[Incidência do Submódulo 2.1 sobre Ausências Legais])*tabCustoUnit[[#This Row],[MODULO 1 - REMUNERAÇÃO ]]</f>
        <v>9.0156397150750021</v>
      </c>
      <c r="BA286" s="22">
        <f>SUM(tabCustoUnit[[#This Row],[Ausência por Doença]:[Incidência do Submódulo 2.1 sobre Ausências Legais]])</f>
        <v>32.866538432204628</v>
      </c>
      <c r="BB286" s="22">
        <f>SUMIF(tabParametros[Código do Posto],tabCustoUnit[[#This Row],[Código do Posto]],tabParametros[Intervalo para Repouso ou Alimentação])</f>
        <v>267.73786489195959</v>
      </c>
      <c r="BC286" s="22">
        <f>tabCustoUnit[[#This Row],[Intervalo para Repouso ou Alimentação]]</f>
        <v>267.73786489195959</v>
      </c>
      <c r="BD28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6" s="22">
        <f>tabCustoUnit[[#This Row],[Suspensão Temporária do Contrato de Trabalho]]</f>
        <v>0</v>
      </c>
      <c r="BF286" s="22">
        <f>tabCustoUnit[[#This Row],[Submódulo 4.1]]+tabCustoUnit[[#This Row],[Submódulo 4.2]]+tabCustoUnit[[#This Row],[Submódulo 4.3]]</f>
        <v>300.6044033241642</v>
      </c>
      <c r="BG286" s="22">
        <f>VLOOKUP(tabCustoUnit[[#This Row],[Código do Posto]],tabParametros[],MATCH(tabCustoUnit[[#Headers],[Uniformes e EPIs]],tabParametros[#Headers],0),0)</f>
        <v>56.642978962543395</v>
      </c>
      <c r="BH286" s="22">
        <f>VLOOKUP(tabCustoUnit[[#This Row],[Código do Posto]],tabParametros[],MATCH(tabCustoUnit[[#Headers],[Materiais de Consumo]],tabParametros[#Headers],0),0)</f>
        <v>0</v>
      </c>
      <c r="BI286" s="22">
        <f>VLOOKUP(tabCustoUnit[[#This Row],[Código do Posto]],tabParametros[],MATCH(tabCustoUnit[[#Headers],[Máquinas e Equipamentos (depreciação)]],tabParametros[#Headers],0),0)</f>
        <v>0</v>
      </c>
      <c r="BJ286" s="22">
        <f>VLOOKUP(tabCustoUnit[[#This Row],[Código do Posto]],tabParametros[],MATCH(tabCustoUnit[[#Headers],[Produtos de Limpeza e Materiais de Higiene Pessoal]],tabParametros[#Headers],0),0)</f>
        <v>0</v>
      </c>
      <c r="BK286" s="22">
        <f>VLOOKUP(tabCustoUnit[[#This Row],[Código do Posto]],tabParametros[],MATCH(tabCustoUnit[[#Headers],[Outros (especificar)]],tabParametros[#Headers],0),0)</f>
        <v>0</v>
      </c>
      <c r="BL286" s="22">
        <f>SUM(tabCustoUnit[[#This Row],[Uniformes e EPIs]:[Outros (especificar)]])</f>
        <v>56.642978962543395</v>
      </c>
      <c r="BM28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6" s="22" t="e">
        <f ca="1">VLOOKUP(tabCustoUnit[[#This Row],[Código do Posto]],tabParametros[],MATCH(tabCustoUnit[[#Headers],[Custos Indiretos]],tabParametros[#Headers],0),0)</f>
        <v>#NAME?</v>
      </c>
      <c r="BO286" s="22" t="e">
        <f ca="1">VLOOKUP(tabCustoUnit[[#This Row],[Código do Posto]],tabParametros[],MATCH(tabCustoUnit[[#Headers],[Lucro]],tabParametros[#Headers],0),0)</f>
        <v>#NAME?</v>
      </c>
      <c r="BP286" s="26">
        <f>((100/((1-tabCustoUnit[[#This Row],[Resumo de Alíquotas (PIS+CONFINS+ISS)]]))-100)*VLOOKUP(tabCustoUnit[[#This Row],[Código do Posto]],tabParametros[],MATCH(tabCustoUnit[[#Headers],[COFINS]],tabParametros[#Headers],0),0))/(tabCustoUnit[[#This Row],[Resumo de Alíquotas (PIS+CONFINS+ISS)]]*100)</f>
        <v>8.7106017191977067E-2</v>
      </c>
      <c r="BQ286" s="26">
        <f>((100/((100-(tabCustoUnit[[#This Row],[Resumo de Alíquotas (PIS+CONFINS+ISS)]]*100))%)-100)*VLOOKUP(tabCustoUnit[[#This Row],[Código do Posto]],tabParametros[],MATCH(tabCustoUnit[[#Headers],[PIS]],tabParametros[#Headers],0),0))/(tabCustoUnit[[#This Row],[Resumo de Alíquotas (PIS+CONFINS+ISS)]]*100)</f>
        <v>1.8911174785100283E-2</v>
      </c>
      <c r="BR286" s="28">
        <f>VLOOKUP(tabCustoUnit[[#This Row],[Código do Posto]],tabParametros[],MATCH(tabCustoUnit[[#Headers],[ISS]],tabParametros[#Headers],0),0)</f>
        <v>3.5000000000000003E-2</v>
      </c>
      <c r="BS286" s="26">
        <f>(((100/((100-(tabCustoUnit[[#This Row],[Resumo de Alíquotas (PIS+CONFINS+ISS)]]*100))%)-100)*tabCustoUnit[[#This Row],[ISS]])/tabCustoUnit[[#This Row],[Resumo de Alíquotas (PIS+CONFINS+ISS)]])/100</f>
        <v>4.0114613180515762E-2</v>
      </c>
      <c r="BT28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0.1275</v>
      </c>
      <c r="BU286" s="138">
        <f>tabCustoUnit[[#This Row],[COFINS]]+tabCustoUnit[[#This Row],[PIS]]+tabCustoUnit[[#This Row],[ISS (Conversão Alíquota s/ fatura)]]</f>
        <v>0.14613180515759311</v>
      </c>
      <c r="BV286" s="22" t="e">
        <f ca="1">(tabCustoUnit[[#This Row],[TOTAL MÓDULOS 1+2+3+4+5]]+tabCustoUnit[[#This Row],[Custos Indiretos]]+tabCustoUnit[[#This Row],[Lucro]])*tabCustoUnit[[#This Row],[PIS + COFINS + ISS (Total Conversão  Alíquota s/ Fatura)]]</f>
        <v>#NAME?</v>
      </c>
      <c r="BW286" s="22" t="e">
        <f ca="1">tabCustoUnit[[#This Row],[Custos Indiretos]]+tabCustoUnit[[#This Row],[Lucro]]+tabCustoUnit[[#This Row],[Valor dos Tributos (ISS, PIS, CONFINS)]]</f>
        <v>#NAME?</v>
      </c>
      <c r="BX286" s="22" t="e">
        <f ca="1">tabCustoUnit[[#This Row],[TOTAL MÓDULOS 1+2+3+4+5]]+tabCustoUnit[[#This Row],[MÓDULO 6 – CUSTOS INDIRETOS, TRIBUTOS E LUCRO]]</f>
        <v>#NAME?</v>
      </c>
      <c r="BY286" s="22" t="e">
        <f ca="1">tabCustoUnit[[#This Row],[CUSTO TOTAL MENSAL]]*12</f>
        <v>#NAME?</v>
      </c>
      <c r="BZ286" s="24">
        <f>VLOOKUP(tabCustoUnit[[#This Row],[Código do Posto]],tabParametros[],MATCH(tabCustoUnit[[#Headers],[ANO DA CCT]],tabParametros[#Headers],0),0)</f>
        <v>45658</v>
      </c>
      <c r="CA286" s="25" t="str">
        <f>VLOOKUP(tabCustoUnit[[#This Row],[Código do Posto]],tabParametros[],MATCH(tabCustoUnit[[#Headers],[Nº DE PEDIDO DA CCT]],tabParametros[#Headers],0),0)</f>
        <v>-</v>
      </c>
      <c r="CB286" s="25" t="str">
        <f>VLOOKUP(tabCustoUnit[[#This Row],[Código do Posto]],tabParametros[],MATCH(tabCustoUnit[[#Headers],[TERMO ADITIVO ALTERAÇÃO DA CCT]],tabParametros[#Headers],0),0)</f>
        <v>-</v>
      </c>
    </row>
    <row r="287" spans="1:80">
      <c r="A287" s="20" t="s">
        <v>1702</v>
      </c>
      <c r="B287" t="s">
        <v>1205</v>
      </c>
      <c r="C287" t="s">
        <v>274</v>
      </c>
      <c r="D287" t="s">
        <v>1017</v>
      </c>
      <c r="E287" s="20" t="s">
        <v>1090</v>
      </c>
      <c r="F287" s="20" t="s">
        <v>120</v>
      </c>
      <c r="G287" s="418">
        <v>4599.5953</v>
      </c>
      <c r="H287" s="418">
        <v>0</v>
      </c>
      <c r="I287" s="418">
        <v>0</v>
      </c>
      <c r="J287" s="418">
        <v>0</v>
      </c>
      <c r="K287" s="418">
        <v>0</v>
      </c>
      <c r="L287" s="418">
        <v>0</v>
      </c>
      <c r="M287" s="418">
        <v>0</v>
      </c>
      <c r="N287" s="418">
        <v>0</v>
      </c>
      <c r="O287" s="21">
        <f>SUM(tabCustoUnit[[#This Row],[Salário Base]:[Adicional de Acúmulo de função]])</f>
        <v>4599.5953</v>
      </c>
      <c r="P287" s="21">
        <f>tabCustoUnit[[#This Row],[MODULO 1 - REMUNERAÇÃO ]]*SUMIFS(tabParametros[INSS],tabParametros[Código do Posto],tabCustoUnit[[#This Row],[Código do Posto]])</f>
        <v>919.91906000000006</v>
      </c>
      <c r="Q287" s="21">
        <f>tabCustoUnit[[#This Row],[MODULO 1 - REMUNERAÇÃO ]]*SUMIFS(tabParametros[SESI OU SESC],tabParametros[Código do Posto],tabCustoUnit[[#This Row],[Código do Posto]])</f>
        <v>68.993929499999993</v>
      </c>
      <c r="R287" s="21">
        <f>tabCustoUnit[[#This Row],[MODULO 1 - REMUNERAÇÃO ]]*SUMIFS(tabParametros[SENAI OU SENAC],tabParametros[Código do Posto],tabCustoUnit[[#This Row],[Código do Posto]])</f>
        <v>45.995953</v>
      </c>
      <c r="S287" s="21">
        <f>tabCustoUnit[[#This Row],[MODULO 1 - REMUNERAÇÃO ]]*SUMIFS(tabParametros[INCRA],tabParametros[Código do Posto],tabCustoUnit[[#This Row],[Código do Posto]])</f>
        <v>9.1991905999999997</v>
      </c>
      <c r="T287" s="21">
        <f>tabCustoUnit[[#This Row],[MODULO 1 - REMUNERAÇÃO ]]*SUMIFS(tabParametros[Salário Educação],tabParametros[Código do Posto],tabCustoUnit[[#This Row],[Código do Posto]])</f>
        <v>114.98988250000001</v>
      </c>
      <c r="U287" s="21">
        <f>tabCustoUnit[[#This Row],[MODULO 1 - REMUNERAÇÃO ]]*SUMIFS(tabParametros[FGTS],tabParametros[Código do Posto],tabCustoUnit[[#This Row],[Código do Posto]])</f>
        <v>367.967624</v>
      </c>
      <c r="V287" s="21">
        <f>tabCustoUnit[[#This Row],[MODULO 1 - REMUNERAÇÃO ]]*SUMIFS(tabParametros[RAT Ajustado],tabParametros[Código do Posto],tabCustoUnit[[#This Row],[Código do Posto]])</f>
        <v>183.983812</v>
      </c>
      <c r="W287" s="21">
        <f>tabCustoUnit[[#This Row],[MODULO 1 - REMUNERAÇÃO ]]*SUMIFS(tabParametros[SEBRAE],tabParametros[Código do Posto],tabCustoUnit[[#This Row],[Código do Posto]])</f>
        <v>27.597571800000001</v>
      </c>
      <c r="X287" s="21">
        <f>SUM(tabCustoUnit[[#This Row],[INSS]:[SEBRAE]])</f>
        <v>1738.6470234000003</v>
      </c>
      <c r="Y287" s="21">
        <f>tabCustoUnit[[#This Row],[MODULO 1 - REMUNERAÇÃO ]]*SUMIFS(tabParametros[13º salário (titular)],tabParametros[Código do Posto],tabCustoUnit[[#This Row],[Código do Posto]])</f>
        <v>383.29960833333331</v>
      </c>
      <c r="Z287" s="21">
        <f>tabCustoUnit[[#This Row],[MODULO 1 - REMUNERAÇÃO ]]*SUMIFS(tabParametros[Férias e Adicional de Férias (titular)],tabParametros[Código do Posto],tabCustoUnit[[#This Row],[Código do Posto]])</f>
        <v>511.06614444444443</v>
      </c>
      <c r="AA287" s="21">
        <f>IFERROR((tabCustoUnit[[#This Row],[Submódulo 2.1]]/tabCustoUnit[[#This Row],[MODULO 1 - REMUNERAÇÃO ]])*SUM(tabCustoUnit[[#This Row],[13º salário (titular)]:[Férias e Adicional de Férias (titular)]]),0)</f>
        <v>338.07025455000002</v>
      </c>
      <c r="AB287" s="21">
        <f>SUM(tabCustoUnit[[#This Row],[13º salário (titular)]:[Incidência do Submódulo 2.1 sobre 13º Salário, Férias e Adicional de Férias]])</f>
        <v>1232.4360073277778</v>
      </c>
      <c r="AC287" s="22" t="e">
        <f ca="1">_xlfn.LET(_xlpm.VT,SUMIF(tabParametros[Código do Posto],tabCustoUnit[[#This Row],[Código do Posto]],tabParametros[Vale - Transporte])*2*20,
IF((_xlpm.VT-tabCustoUnit[[#This Row],[Salário Base]]*0.06)&gt;=0,(_xlpm.VT-tabCustoUnit[[#This Row],[Salário Base]]*0.06),0)
)</f>
        <v>#NAME?</v>
      </c>
      <c r="AD287" s="22">
        <f>IF(SUMIF(tabParametros[Código do Posto],tabCustoUnit[[#This Row],[Código do Posto]],tabParametros[Vale - Alimentação])&lt;=0,0,
SUMIF(tabParametros[Código do Posto],tabCustoUnit[[#This Row],[Código do Posto]],tabParametros[Vale - Alimentação])*20-1)</f>
        <v>578.4</v>
      </c>
      <c r="AE287" s="22">
        <f>SUMIF(tabParametros[Código do Posto],tabCustoUnit[[#This Row],[Código do Posto]],tabParametros[Cesta Básica])</f>
        <v>0</v>
      </c>
      <c r="AF287" s="22">
        <f>SUMIF(tabParametros[Código do Posto],tabCustoUnit[[#This Row],[Código do Posto]],tabParametros[PAF])</f>
        <v>0</v>
      </c>
      <c r="AG287" s="22">
        <f>SUMIF(tabParametros[Código do Posto],tabCustoUnit[[#This Row],[Código do Posto]],tabParametros[PQM])</f>
        <v>0</v>
      </c>
      <c r="AH287" s="22">
        <f>SUMIF(tabParametros[Código do Posto],tabCustoUnit[[#This Row],[Código do Posto]],tabParametros[Abono Único e Especial])</f>
        <v>0</v>
      </c>
      <c r="AI287" s="22">
        <f>SUMIF(tabParametros[Código do Posto],tabCustoUnit[[#This Row],[Código do Posto]],tabParametros[Seguro de Vida])</f>
        <v>3.36</v>
      </c>
      <c r="AJ287" s="22">
        <f>SUMIF(tabParametros[Código do Posto],tabCustoUnit[[#This Row],[Código do Posto]],tabParametros[Despesas de Viagem])</f>
        <v>662.42</v>
      </c>
      <c r="AK287" s="22" t="e">
        <f ca="1">SUM(tabCustoUnit[[#This Row],[Vale - Transporte (Descontada parcela do empregado)]:[Despesas de Viagem]])</f>
        <v>#NAME?</v>
      </c>
      <c r="AL287" s="22" t="e">
        <f ca="1">tabCustoUnit[[#This Row],[Submódulo 2.1]]+tabCustoUnit[[#This Row],[Submódulo 2.2]]+tabCustoUnit[[#This Row],[Submódulo 2.3]]</f>
        <v>#NAME?</v>
      </c>
      <c r="AM287" s="22">
        <f>SUMIF(tabParametros[Código do Posto],tabCustoUnit[[#This Row],[Código do Posto]],tabParametros[Aviso Prévio Indenizado (API) e Reflexo do Aviso Prévio Indenizado])*tabCustoUnit[[#This Row],[MODULO 1 - REMUNERAÇÃO ]]</f>
        <v>32.251290424324843</v>
      </c>
      <c r="AN287" s="22">
        <f>SUMIF(tabParametros[Código do Posto],tabCustoUnit[[#This Row],[Código do Posto]],tabParametros[Incidência do FGTS sobre API e Reflexo do API])*tabCustoUnit[[#This Row],[MODULO 1 - REMUNERAÇÃO ]]</f>
        <v>2.5801032339459877</v>
      </c>
      <c r="AO287" s="22">
        <f>SUMIF(tabParametros[Código do Posto],tabCustoUnit[[#This Row],[Código do Posto]],tabParametros[Multa Rescisória do FGTS sobre o Aviso Prévio Indenizado])*tabCustoUnit[[#This Row],[MODULO 1 - REMUNERAÇÃO ]]</f>
        <v>1.0320412935783951</v>
      </c>
      <c r="AP287" s="22">
        <f>SUMIF(tabParametros[Código do Posto],tabCustoUnit[[#This Row],[Código do Posto]],tabParametros[Aviso Prévio Trabalhado - APT])*tabCustoUnit[[#This Row],[MODULO 1 - REMUNERAÇÃO ]]</f>
        <v>16.098583550000001</v>
      </c>
      <c r="AQ287" s="22">
        <f>SUMIF(tabParametros[Código do Posto],tabCustoUnit[[#This Row],[Código do Posto]],tabParametros[Incidência dos encargos do submódulo 2.1 sobre Aviso Prévio Trabalhado])*tabCustoUnit[[#This Row],[MODULO 1 - REMUNERAÇÃO ]]</f>
        <v>6.0852645819000015</v>
      </c>
      <c r="AR287" s="22">
        <f>SUMIF(tabParametros[Código do Posto],tabCustoUnit[[#This Row],[Código do Posto]],tabParametros[Multa Rescisória do FGTS])*tabCustoUnit[[#This Row],[MODULO 1 - REMUNERAÇÃO ]]</f>
        <v>140.64540295111109</v>
      </c>
      <c r="AS287" s="22">
        <f>SUMIF(tabParametros[Código do Posto],tabCustoUnit[[#This Row],[Código do Posto]],tabParametros[Indenização Adicional (Art. 9º da Lei nº 7.238/84)])*tabCustoUnit[[#This Row],[MODULO 1 - REMUNERAÇÃO ]]</f>
        <v>3.8329960833333336</v>
      </c>
      <c r="AT287" s="22">
        <f>SUM(tabCustoUnit[[#This Row],[Aviso Prévio Indenizado (API) e Reflexo do Aviso Prévio Indenizado]:[Indenização Adicional (Art. 9º da Lei nº 7.238/84)]])</f>
        <v>202.52568211819366</v>
      </c>
      <c r="AU287" s="22">
        <f>SUMIF(tabParametros[Código do Posto],tabCustoUnit[[#This Row],[Código do Posto]],tabParametros[Ausência por Doença])*tabCustoUnit[[#This Row],[MODULO 1 - REMUNERAÇÃO ]]</f>
        <v>38.841026977777773</v>
      </c>
      <c r="AV287" s="22">
        <f>SUMIF(tabParametros[Código do Posto],tabCustoUnit[[#This Row],[Código do Posto]],tabParametros[Ausências Legais])*tabCustoUnit[[#This Row],[MODULO 1 - REMUNERAÇÃO ]]</f>
        <v>9.3269571361111101</v>
      </c>
      <c r="AW287" s="22">
        <f>SUMIF(tabParametros[Código do Posto],tabCustoUnit[[#This Row],[Código do Posto]],tabParametros[Licença Paternidade])*tabCustoUnit[[#This Row],[MODULO 1 - REMUNERAÇÃO ]]</f>
        <v>0.78576419708333334</v>
      </c>
      <c r="AX287" s="22">
        <f>SUMIF(tabParametros[Código do Posto],tabCustoUnit[[#This Row],[Código do Posto]],tabParametros[Ausência por Acidente de Trabalho])*tabCustoUnit[[#This Row],[MODULO 1 - REMUNERAÇÃO ]]</f>
        <v>0.95824902083333341</v>
      </c>
      <c r="AY287" s="22">
        <f>SUMIF(tabParametros[Código do Posto],tabCustoUnit[[#This Row],[Código do Posto]],tabParametros[Férias, Adicional de Férias e 13º  com empregada em gozo de Licença Maternidade])*tabCustoUnit[[#This Row],[MODULO 1 - REMUNERAÇÃO ]]</f>
        <v>5.9624383518518513</v>
      </c>
      <c r="AZ287" s="22">
        <f>SUMIF(tabParametros[Código do Posto],tabCustoUnit[[#This Row],[Código do Posto]],tabParametros[Incidência do Submódulo 2.1 sobre Ausências Legais])*tabCustoUnit[[#This Row],[MODULO 1 - REMUNERAÇÃO ]]</f>
        <v>21.120536688422504</v>
      </c>
      <c r="BA287" s="22">
        <f>SUM(tabCustoUnit[[#This Row],[Ausência por Doença]:[Incidência do Submódulo 2.1 sobre Ausências Legais]])</f>
        <v>76.9949723720799</v>
      </c>
      <c r="BB287" s="22">
        <f>SUMIF(tabParametros[Código do Posto],tabCustoUnit[[#This Row],[Código do Posto]],tabParametros[Intervalo para Repouso ou Alimentação])</f>
        <v>0</v>
      </c>
      <c r="BC287" s="22">
        <f>tabCustoUnit[[#This Row],[Intervalo para Repouso ou Alimentação]]</f>
        <v>0</v>
      </c>
      <c r="BD28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7" s="22">
        <f>tabCustoUnit[[#This Row],[Suspensão Temporária do Contrato de Trabalho]]</f>
        <v>0</v>
      </c>
      <c r="BF287" s="22">
        <f>tabCustoUnit[[#This Row],[Submódulo 4.1]]+tabCustoUnit[[#This Row],[Submódulo 4.2]]+tabCustoUnit[[#This Row],[Submódulo 4.3]]</f>
        <v>76.9949723720799</v>
      </c>
      <c r="BG287" s="22">
        <f>VLOOKUP(tabCustoUnit[[#This Row],[Código do Posto]],tabParametros[],MATCH(tabCustoUnit[[#Headers],[Uniformes e EPIs]],tabParametros[#Headers],0),0)</f>
        <v>92.100763771570698</v>
      </c>
      <c r="BH287" s="22">
        <f>VLOOKUP(tabCustoUnit[[#This Row],[Código do Posto]],tabParametros[],MATCH(tabCustoUnit[[#Headers],[Materiais de Consumo]],tabParametros[#Headers],0),0)</f>
        <v>0</v>
      </c>
      <c r="BI287" s="22">
        <f>VLOOKUP(tabCustoUnit[[#This Row],[Código do Posto]],tabParametros[],MATCH(tabCustoUnit[[#Headers],[Máquinas e Equipamentos (depreciação)]],tabParametros[#Headers],0),0)</f>
        <v>0</v>
      </c>
      <c r="BJ287" s="22">
        <f>VLOOKUP(tabCustoUnit[[#This Row],[Código do Posto]],tabParametros[],MATCH(tabCustoUnit[[#Headers],[Produtos de Limpeza e Materiais de Higiene Pessoal]],tabParametros[#Headers],0),0)</f>
        <v>0</v>
      </c>
      <c r="BK287" s="22">
        <f>VLOOKUP(tabCustoUnit[[#This Row],[Código do Posto]],tabParametros[],MATCH(tabCustoUnit[[#Headers],[Outros (especificar)]],tabParametros[#Headers],0),0)</f>
        <v>0</v>
      </c>
      <c r="BL287" s="22">
        <f>SUM(tabCustoUnit[[#This Row],[Uniformes e EPIs]:[Outros (especificar)]])</f>
        <v>92.100763771570698</v>
      </c>
      <c r="BM28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7" s="22" t="e">
        <f ca="1">VLOOKUP(tabCustoUnit[[#This Row],[Código do Posto]],tabParametros[],MATCH(tabCustoUnit[[#Headers],[Custos Indiretos]],tabParametros[#Headers],0),0)</f>
        <v>#NAME?</v>
      </c>
      <c r="BO287" s="22" t="e">
        <f ca="1">VLOOKUP(tabCustoUnit[[#This Row],[Código do Posto]],tabParametros[],MATCH(tabCustoUnit[[#Headers],[Lucro]],tabParametros[#Headers],0),0)</f>
        <v>#NAME?</v>
      </c>
      <c r="BP287" s="26">
        <f>((100/((1-tabCustoUnit[[#This Row],[Resumo de Alíquotas (PIS+CONFINS+ISS)]]))-100)*VLOOKUP(tabCustoUnit[[#This Row],[Código do Posto]],tabParametros[],MATCH(tabCustoUnit[[#Headers],[COFINS]],tabParametros[#Headers],0),0))/(tabCustoUnit[[#This Row],[Resumo de Alíquotas (PIS+CONFINS+ISS)]]*100)</f>
        <v>8.5633802816901458E-2</v>
      </c>
      <c r="BQ287" s="26">
        <f>((100/((100-(tabCustoUnit[[#This Row],[Resumo de Alíquotas (PIS+CONFINS+ISS)]]*100))%)-100)*VLOOKUP(tabCustoUnit[[#This Row],[Código do Posto]],tabParametros[],MATCH(tabCustoUnit[[#Headers],[PIS]],tabParametros[#Headers],0),0))/(tabCustoUnit[[#This Row],[Resumo de Alíquotas (PIS+CONFINS+ISS)]]*100)</f>
        <v>1.8591549295774657E-2</v>
      </c>
      <c r="BR287" s="28">
        <f>VLOOKUP(tabCustoUnit[[#This Row],[Código do Posto]],tabParametros[],MATCH(tabCustoUnit[[#Headers],[ISS]],tabParametros[#Headers],0),0)</f>
        <v>0.02</v>
      </c>
      <c r="BS287" s="26">
        <f>(((100/((100-(tabCustoUnit[[#This Row],[Resumo de Alíquotas (PIS+CONFINS+ISS)]]*100))%)-100)*tabCustoUnit[[#This Row],[ISS]])/tabCustoUnit[[#This Row],[Resumo de Alíquotas (PIS+CONFINS+ISS)]])/100</f>
        <v>2.2535211267605645E-2</v>
      </c>
      <c r="BT28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87" s="138">
        <f>tabCustoUnit[[#This Row],[COFINS]]+tabCustoUnit[[#This Row],[PIS]]+tabCustoUnit[[#This Row],[ISS (Conversão Alíquota s/ fatura)]]</f>
        <v>0.12676056338028174</v>
      </c>
      <c r="BV287" s="22" t="e">
        <f ca="1">(tabCustoUnit[[#This Row],[TOTAL MÓDULOS 1+2+3+4+5]]+tabCustoUnit[[#This Row],[Custos Indiretos]]+tabCustoUnit[[#This Row],[Lucro]])*tabCustoUnit[[#This Row],[PIS + COFINS + ISS (Total Conversão  Alíquota s/ Fatura)]]</f>
        <v>#NAME?</v>
      </c>
      <c r="BW287" s="22" t="e">
        <f ca="1">tabCustoUnit[[#This Row],[Custos Indiretos]]+tabCustoUnit[[#This Row],[Lucro]]+tabCustoUnit[[#This Row],[Valor dos Tributos (ISS, PIS, CONFINS)]]</f>
        <v>#NAME?</v>
      </c>
      <c r="BX287" s="22" t="e">
        <f ca="1">tabCustoUnit[[#This Row],[TOTAL MÓDULOS 1+2+3+4+5]]+tabCustoUnit[[#This Row],[MÓDULO 6 – CUSTOS INDIRETOS, TRIBUTOS E LUCRO]]</f>
        <v>#NAME?</v>
      </c>
      <c r="BY287" s="22" t="e">
        <f ca="1">tabCustoUnit[[#This Row],[CUSTO TOTAL MENSAL]]*12</f>
        <v>#NAME?</v>
      </c>
      <c r="BZ287" s="24">
        <f>VLOOKUP(tabCustoUnit[[#This Row],[Código do Posto]],tabParametros[],MATCH(tabCustoUnit[[#Headers],[ANO DA CCT]],tabParametros[#Headers],0),0)</f>
        <v>45658</v>
      </c>
      <c r="CA287" s="25" t="str">
        <f>VLOOKUP(tabCustoUnit[[#This Row],[Código do Posto]],tabParametros[],MATCH(tabCustoUnit[[#Headers],[Nº DE PEDIDO DA CCT]],tabParametros[#Headers],0),0)</f>
        <v>-</v>
      </c>
      <c r="CB287" s="25" t="str">
        <f>VLOOKUP(tabCustoUnit[[#This Row],[Código do Posto]],tabParametros[],MATCH(tabCustoUnit[[#Headers],[TERMO ADITIVO ALTERAÇÃO DA CCT]],tabParametros[#Headers],0),0)</f>
        <v>-</v>
      </c>
    </row>
    <row r="288" spans="1:80">
      <c r="A288" s="20" t="s">
        <v>1703</v>
      </c>
      <c r="B288" t="s">
        <v>1205</v>
      </c>
      <c r="C288" t="s">
        <v>304</v>
      </c>
      <c r="D288" t="s">
        <v>954</v>
      </c>
      <c r="E288" s="20" t="s">
        <v>1090</v>
      </c>
      <c r="F288" s="20" t="s">
        <v>120</v>
      </c>
      <c r="G288" s="418">
        <v>1963.4110000000001</v>
      </c>
      <c r="H288" s="418">
        <v>0</v>
      </c>
      <c r="I288" s="418">
        <v>0</v>
      </c>
      <c r="J288" s="418">
        <v>0</v>
      </c>
      <c r="K288" s="418">
        <v>0</v>
      </c>
      <c r="L288" s="418">
        <v>0</v>
      </c>
      <c r="M288" s="418">
        <v>0</v>
      </c>
      <c r="N288" s="418">
        <v>0</v>
      </c>
      <c r="O288" s="21">
        <f>SUM(tabCustoUnit[[#This Row],[Salário Base]:[Adicional de Acúmulo de função]])</f>
        <v>1963.4110000000001</v>
      </c>
      <c r="P288" s="21">
        <f>tabCustoUnit[[#This Row],[MODULO 1 - REMUNERAÇÃO ]]*SUMIFS(tabParametros[INSS],tabParametros[Código do Posto],tabCustoUnit[[#This Row],[Código do Posto]])</f>
        <v>392.68220000000002</v>
      </c>
      <c r="Q288" s="21">
        <f>tabCustoUnit[[#This Row],[MODULO 1 - REMUNERAÇÃO ]]*SUMIFS(tabParametros[SESI OU SESC],tabParametros[Código do Posto],tabCustoUnit[[#This Row],[Código do Posto]])</f>
        <v>29.451165</v>
      </c>
      <c r="R288" s="21">
        <f>tabCustoUnit[[#This Row],[MODULO 1 - REMUNERAÇÃO ]]*SUMIFS(tabParametros[SENAI OU SENAC],tabParametros[Código do Posto],tabCustoUnit[[#This Row],[Código do Posto]])</f>
        <v>19.63411</v>
      </c>
      <c r="S288" s="21">
        <f>tabCustoUnit[[#This Row],[MODULO 1 - REMUNERAÇÃO ]]*SUMIFS(tabParametros[INCRA],tabParametros[Código do Posto],tabCustoUnit[[#This Row],[Código do Posto]])</f>
        <v>3.926822</v>
      </c>
      <c r="T288" s="21">
        <f>tabCustoUnit[[#This Row],[MODULO 1 - REMUNERAÇÃO ]]*SUMIFS(tabParametros[Salário Educação],tabParametros[Código do Posto],tabCustoUnit[[#This Row],[Código do Posto]])</f>
        <v>49.085275000000003</v>
      </c>
      <c r="U288" s="21">
        <f>tabCustoUnit[[#This Row],[MODULO 1 - REMUNERAÇÃO ]]*SUMIFS(tabParametros[FGTS],tabParametros[Código do Posto],tabCustoUnit[[#This Row],[Código do Posto]])</f>
        <v>157.07288</v>
      </c>
      <c r="V288" s="21">
        <f>tabCustoUnit[[#This Row],[MODULO 1 - REMUNERAÇÃO ]]*SUMIFS(tabParametros[RAT Ajustado],tabParametros[Código do Posto],tabCustoUnit[[#This Row],[Código do Posto]])</f>
        <v>78.536439999999999</v>
      </c>
      <c r="W288" s="21">
        <f>tabCustoUnit[[#This Row],[MODULO 1 - REMUNERAÇÃO ]]*SUMIFS(tabParametros[SEBRAE],tabParametros[Código do Posto],tabCustoUnit[[#This Row],[Código do Posto]])</f>
        <v>11.780466000000001</v>
      </c>
      <c r="X288" s="21">
        <f>SUM(tabCustoUnit[[#This Row],[INSS]:[SEBRAE]])</f>
        <v>742.1693580000001</v>
      </c>
      <c r="Y288" s="21">
        <f>tabCustoUnit[[#This Row],[MODULO 1 - REMUNERAÇÃO ]]*SUMIFS(tabParametros[13º salário (titular)],tabParametros[Código do Posto],tabCustoUnit[[#This Row],[Código do Posto]])</f>
        <v>163.61758333333333</v>
      </c>
      <c r="Z288" s="21">
        <f>tabCustoUnit[[#This Row],[MODULO 1 - REMUNERAÇÃO ]]*SUMIFS(tabParametros[Férias e Adicional de Férias (titular)],tabParametros[Código do Posto],tabCustoUnit[[#This Row],[Código do Posto]])</f>
        <v>218.15677777777776</v>
      </c>
      <c r="AA288" s="21">
        <f>IFERROR((tabCustoUnit[[#This Row],[Submódulo 2.1]]/tabCustoUnit[[#This Row],[MODULO 1 - REMUNERAÇÃO ]])*SUM(tabCustoUnit[[#This Row],[13º salário (titular)]:[Férias e Adicional de Férias (titular)]]),0)</f>
        <v>144.3107085</v>
      </c>
      <c r="AB288" s="21">
        <f>SUM(tabCustoUnit[[#This Row],[13º salário (titular)]:[Incidência do Submódulo 2.1 sobre 13º Salário, Férias e Adicional de Férias]])</f>
        <v>526.08506961111107</v>
      </c>
      <c r="AC288" s="22" t="e">
        <f ca="1">_xlfn.LET(_xlpm.VT,SUMIF(tabParametros[Código do Posto],tabCustoUnit[[#This Row],[Código do Posto]],tabParametros[Vale - Transporte])*2*20,
IF((_xlpm.VT-tabCustoUnit[[#This Row],[Salário Base]]*0.06)&gt;=0,(_xlpm.VT-tabCustoUnit[[#This Row],[Salário Base]]*0.06),0)
)</f>
        <v>#NAME?</v>
      </c>
      <c r="AD288" s="22">
        <f>IF(SUMIF(tabParametros[Código do Posto],tabCustoUnit[[#This Row],[Código do Posto]],tabParametros[Vale - Alimentação])&lt;=0,0,
SUMIF(tabParametros[Código do Posto],tabCustoUnit[[#This Row],[Código do Posto]],tabParametros[Vale - Alimentação])*20-1)</f>
        <v>582</v>
      </c>
      <c r="AE288" s="22">
        <f>SUMIF(tabParametros[Código do Posto],tabCustoUnit[[#This Row],[Código do Posto]],tabParametros[Cesta Básica])</f>
        <v>0</v>
      </c>
      <c r="AF288" s="22">
        <f>SUMIF(tabParametros[Código do Posto],tabCustoUnit[[#This Row],[Código do Posto]],tabParametros[PAF])</f>
        <v>51.88</v>
      </c>
      <c r="AG288" s="22">
        <f>SUMIF(tabParametros[Código do Posto],tabCustoUnit[[#This Row],[Código do Posto]],tabParametros[PQM])</f>
        <v>0</v>
      </c>
      <c r="AH288" s="22">
        <f>SUMIF(tabParametros[Código do Posto],tabCustoUnit[[#This Row],[Código do Posto]],tabParametros[Abono Único e Especial])</f>
        <v>0</v>
      </c>
      <c r="AI288" s="22">
        <f>SUMIF(tabParametros[Código do Posto],tabCustoUnit[[#This Row],[Código do Posto]],tabParametros[Seguro de Vida])</f>
        <v>3.36</v>
      </c>
      <c r="AJ288" s="22">
        <f>SUMIF(tabParametros[Código do Posto],tabCustoUnit[[#This Row],[Código do Posto]],tabParametros[Despesas de Viagem])</f>
        <v>0</v>
      </c>
      <c r="AK288" s="22" t="e">
        <f ca="1">SUM(tabCustoUnit[[#This Row],[Vale - Transporte (Descontada parcela do empregado)]:[Despesas de Viagem]])</f>
        <v>#NAME?</v>
      </c>
      <c r="AL288" s="22" t="e">
        <f ca="1">tabCustoUnit[[#This Row],[Submódulo 2.1]]+tabCustoUnit[[#This Row],[Submódulo 2.2]]+tabCustoUnit[[#This Row],[Submódulo 2.3]]</f>
        <v>#NAME?</v>
      </c>
      <c r="AM288" s="22">
        <f>SUMIF(tabParametros[Código do Posto],tabCustoUnit[[#This Row],[Código do Posto]],tabParametros[Aviso Prévio Indenizado (API) e Reflexo do Aviso Prévio Indenizado])*tabCustoUnit[[#This Row],[MODULO 1 - REMUNERAÇÃO ]]</f>
        <v>13.766980408757716</v>
      </c>
      <c r="AN288" s="22">
        <f>SUMIF(tabParametros[Código do Posto],tabCustoUnit[[#This Row],[Código do Posto]],tabParametros[Incidência do FGTS sobre API e Reflexo do API])*tabCustoUnit[[#This Row],[MODULO 1 - REMUNERAÇÃO ]]</f>
        <v>1.1013584327006174</v>
      </c>
      <c r="AO288" s="22">
        <f>SUMIF(tabParametros[Código do Posto],tabCustoUnit[[#This Row],[Código do Posto]],tabParametros[Multa Rescisória do FGTS sobre o Aviso Prévio Indenizado])*tabCustoUnit[[#This Row],[MODULO 1 - REMUNERAÇÃO ]]</f>
        <v>0.44054337308024699</v>
      </c>
      <c r="AP288" s="22">
        <f>SUMIF(tabParametros[Código do Posto],tabCustoUnit[[#This Row],[Código do Posto]],tabParametros[Aviso Prévio Trabalhado - APT])*tabCustoUnit[[#This Row],[MODULO 1 - REMUNERAÇÃO ]]</f>
        <v>6.8719385000000015</v>
      </c>
      <c r="AQ288" s="22">
        <f>SUMIF(tabParametros[Código do Posto],tabCustoUnit[[#This Row],[Código do Posto]],tabParametros[Incidência dos encargos do submódulo 2.1 sobre Aviso Prévio Trabalhado])*tabCustoUnit[[#This Row],[MODULO 1 - REMUNERAÇÃO ]]</f>
        <v>2.5975927530000007</v>
      </c>
      <c r="AR288" s="22">
        <f>SUMIF(tabParametros[Código do Posto],tabCustoUnit[[#This Row],[Código do Posto]],tabParametros[Multa Rescisória do FGTS])*tabCustoUnit[[#This Row],[MODULO 1 - REMUNERAÇÃO ]]</f>
        <v>60.03674524444444</v>
      </c>
      <c r="AS288" s="22">
        <f>SUMIF(tabParametros[Código do Posto],tabCustoUnit[[#This Row],[Código do Posto]],tabParametros[Indenização Adicional (Art. 9º da Lei nº 7.238/84)])*tabCustoUnit[[#This Row],[MODULO 1 - REMUNERAÇÃO ]]</f>
        <v>1.6361758333333334</v>
      </c>
      <c r="AT288" s="22">
        <f>SUM(tabCustoUnit[[#This Row],[Aviso Prévio Indenizado (API) e Reflexo do Aviso Prévio Indenizado]:[Indenização Adicional (Art. 9º da Lei nº 7.238/84)]])</f>
        <v>86.451334545316371</v>
      </c>
      <c r="AU288" s="22">
        <f>SUMIF(tabParametros[Código do Posto],tabCustoUnit[[#This Row],[Código do Posto]],tabParametros[Ausência por Doença])*tabCustoUnit[[#This Row],[MODULO 1 - REMUNERAÇÃO ]]</f>
        <v>16.579915111111109</v>
      </c>
      <c r="AV288" s="22">
        <f>SUMIF(tabParametros[Código do Posto],tabCustoUnit[[#This Row],[Código do Posto]],tabParametros[Ausências Legais])*tabCustoUnit[[#This Row],[MODULO 1 - REMUNERAÇÃO ]]</f>
        <v>3.9813611944444443</v>
      </c>
      <c r="AW288" s="22">
        <f>SUMIF(tabParametros[Código do Posto],tabCustoUnit[[#This Row],[Código do Posto]],tabParametros[Licença Paternidade])*tabCustoUnit[[#This Row],[MODULO 1 - REMUNERAÇÃO ]]</f>
        <v>0.33541604583333334</v>
      </c>
      <c r="AX288" s="22">
        <f>SUMIF(tabParametros[Código do Posto],tabCustoUnit[[#This Row],[Código do Posto]],tabParametros[Ausência por Acidente de Trabalho])*tabCustoUnit[[#This Row],[MODULO 1 - REMUNERAÇÃO ]]</f>
        <v>0.40904395833333335</v>
      </c>
      <c r="AY288" s="22">
        <f>SUMIF(tabParametros[Código do Posto],tabCustoUnit[[#This Row],[Código do Posto]],tabParametros[Férias, Adicional de Férias e 13º  com empregada em gozo de Licença Maternidade])*tabCustoUnit[[#This Row],[MODULO 1 - REMUNERAÇÃO ]]</f>
        <v>2.5451624074074073</v>
      </c>
      <c r="AZ288" s="22">
        <f>SUMIF(tabParametros[Código do Posto],tabCustoUnit[[#This Row],[Código do Posto]],tabParametros[Incidência do Submódulo 2.1 sobre Ausências Legais])*tabCustoUnit[[#This Row],[MODULO 1 - REMUNERAÇÃO ]]</f>
        <v>9.0156397150750021</v>
      </c>
      <c r="BA288" s="22">
        <f>SUM(tabCustoUnit[[#This Row],[Ausência por Doença]:[Incidência do Submódulo 2.1 sobre Ausências Legais]])</f>
        <v>32.866538432204628</v>
      </c>
      <c r="BB288" s="22">
        <f>SUMIF(tabParametros[Código do Posto],tabCustoUnit[[#This Row],[Código do Posto]],tabParametros[Intervalo para Repouso ou Alimentação])</f>
        <v>217.37764744799577</v>
      </c>
      <c r="BC288" s="22">
        <f>tabCustoUnit[[#This Row],[Intervalo para Repouso ou Alimentação]]</f>
        <v>217.37764744799577</v>
      </c>
      <c r="BD28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8" s="22">
        <f>tabCustoUnit[[#This Row],[Suspensão Temporária do Contrato de Trabalho]]</f>
        <v>0</v>
      </c>
      <c r="BF288" s="22">
        <f>tabCustoUnit[[#This Row],[Submódulo 4.1]]+tabCustoUnit[[#This Row],[Submódulo 4.2]]+tabCustoUnit[[#This Row],[Submódulo 4.3]]</f>
        <v>250.2441858802004</v>
      </c>
      <c r="BG288" s="22">
        <f>VLOOKUP(tabCustoUnit[[#This Row],[Código do Posto]],tabParametros[],MATCH(tabCustoUnit[[#Headers],[Uniformes e EPIs]],tabParametros[#Headers],0),0)</f>
        <v>56.642978962543395</v>
      </c>
      <c r="BH288" s="22">
        <f>VLOOKUP(tabCustoUnit[[#This Row],[Código do Posto]],tabParametros[],MATCH(tabCustoUnit[[#Headers],[Materiais de Consumo]],tabParametros[#Headers],0),0)</f>
        <v>0</v>
      </c>
      <c r="BI288" s="22">
        <f>VLOOKUP(tabCustoUnit[[#This Row],[Código do Posto]],tabParametros[],MATCH(tabCustoUnit[[#Headers],[Máquinas e Equipamentos (depreciação)]],tabParametros[#Headers],0),0)</f>
        <v>0</v>
      </c>
      <c r="BJ288" s="22">
        <f>VLOOKUP(tabCustoUnit[[#This Row],[Código do Posto]],tabParametros[],MATCH(tabCustoUnit[[#Headers],[Produtos de Limpeza e Materiais de Higiene Pessoal]],tabParametros[#Headers],0),0)</f>
        <v>0</v>
      </c>
      <c r="BK288" s="22">
        <f>VLOOKUP(tabCustoUnit[[#This Row],[Código do Posto]],tabParametros[],MATCH(tabCustoUnit[[#Headers],[Outros (especificar)]],tabParametros[#Headers],0),0)</f>
        <v>0</v>
      </c>
      <c r="BL288" s="22">
        <f>SUM(tabCustoUnit[[#This Row],[Uniformes e EPIs]:[Outros (especificar)]])</f>
        <v>56.642978962543395</v>
      </c>
      <c r="BM28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8" s="22" t="e">
        <f ca="1">VLOOKUP(tabCustoUnit[[#This Row],[Código do Posto]],tabParametros[],MATCH(tabCustoUnit[[#Headers],[Custos Indiretos]],tabParametros[#Headers],0),0)</f>
        <v>#NAME?</v>
      </c>
      <c r="BO288" s="22" t="e">
        <f ca="1">VLOOKUP(tabCustoUnit[[#This Row],[Código do Posto]],tabParametros[],MATCH(tabCustoUnit[[#Headers],[Lucro]],tabParametros[#Headers],0),0)</f>
        <v>#NAME?</v>
      </c>
      <c r="BP288" s="26">
        <f>((100/((1-tabCustoUnit[[#This Row],[Resumo de Alíquotas (PIS+CONFINS+ISS)]]))-100)*VLOOKUP(tabCustoUnit[[#This Row],[Código do Posto]],tabParametros[],MATCH(tabCustoUnit[[#Headers],[COFINS]],tabParametros[#Headers],0),0))/(tabCustoUnit[[#This Row],[Resumo de Alíquotas (PIS+CONFINS+ISS)]]*100)</f>
        <v>8.5633802816901458E-2</v>
      </c>
      <c r="BQ288" s="26">
        <f>((100/((100-(tabCustoUnit[[#This Row],[Resumo de Alíquotas (PIS+CONFINS+ISS)]]*100))%)-100)*VLOOKUP(tabCustoUnit[[#This Row],[Código do Posto]],tabParametros[],MATCH(tabCustoUnit[[#Headers],[PIS]],tabParametros[#Headers],0),0))/(tabCustoUnit[[#This Row],[Resumo de Alíquotas (PIS+CONFINS+ISS)]]*100)</f>
        <v>1.8591549295774657E-2</v>
      </c>
      <c r="BR288" s="28">
        <f>VLOOKUP(tabCustoUnit[[#This Row],[Código do Posto]],tabParametros[],MATCH(tabCustoUnit[[#Headers],[ISS]],tabParametros[#Headers],0),0)</f>
        <v>0.02</v>
      </c>
      <c r="BS288" s="26">
        <f>(((100/((100-(tabCustoUnit[[#This Row],[Resumo de Alíquotas (PIS+CONFINS+ISS)]]*100))%)-100)*tabCustoUnit[[#This Row],[ISS]])/tabCustoUnit[[#This Row],[Resumo de Alíquotas (PIS+CONFINS+ISS)]])/100</f>
        <v>2.2535211267605645E-2</v>
      </c>
      <c r="BT28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88" s="138">
        <f>tabCustoUnit[[#This Row],[COFINS]]+tabCustoUnit[[#This Row],[PIS]]+tabCustoUnit[[#This Row],[ISS (Conversão Alíquota s/ fatura)]]</f>
        <v>0.12676056338028174</v>
      </c>
      <c r="BV288" s="22" t="e">
        <f ca="1">(tabCustoUnit[[#This Row],[TOTAL MÓDULOS 1+2+3+4+5]]+tabCustoUnit[[#This Row],[Custos Indiretos]]+tabCustoUnit[[#This Row],[Lucro]])*tabCustoUnit[[#This Row],[PIS + COFINS + ISS (Total Conversão  Alíquota s/ Fatura)]]</f>
        <v>#NAME?</v>
      </c>
      <c r="BW288" s="22" t="e">
        <f ca="1">tabCustoUnit[[#This Row],[Custos Indiretos]]+tabCustoUnit[[#This Row],[Lucro]]+tabCustoUnit[[#This Row],[Valor dos Tributos (ISS, PIS, CONFINS)]]</f>
        <v>#NAME?</v>
      </c>
      <c r="BX288" s="22" t="e">
        <f ca="1">tabCustoUnit[[#This Row],[TOTAL MÓDULOS 1+2+3+4+5]]+tabCustoUnit[[#This Row],[MÓDULO 6 – CUSTOS INDIRETOS, TRIBUTOS E LUCRO]]</f>
        <v>#NAME?</v>
      </c>
      <c r="BY288" s="22" t="e">
        <f ca="1">tabCustoUnit[[#This Row],[CUSTO TOTAL MENSAL]]*12</f>
        <v>#NAME?</v>
      </c>
      <c r="BZ288" s="24">
        <f>VLOOKUP(tabCustoUnit[[#This Row],[Código do Posto]],tabParametros[],MATCH(tabCustoUnit[[#Headers],[ANO DA CCT]],tabParametros[#Headers],0),0)</f>
        <v>45658</v>
      </c>
      <c r="CA288" s="25" t="str">
        <f>VLOOKUP(tabCustoUnit[[#This Row],[Código do Posto]],tabParametros[],MATCH(tabCustoUnit[[#Headers],[Nº DE PEDIDO DA CCT]],tabParametros[#Headers],0),0)</f>
        <v>-</v>
      </c>
      <c r="CB288" s="25" t="str">
        <f>VLOOKUP(tabCustoUnit[[#This Row],[Código do Posto]],tabParametros[],MATCH(tabCustoUnit[[#Headers],[TERMO ADITIVO ALTERAÇÃO DA CCT]],tabParametros[#Headers],0),0)</f>
        <v>-</v>
      </c>
    </row>
    <row r="289" spans="1:80">
      <c r="A289" s="20" t="s">
        <v>1704</v>
      </c>
      <c r="B289" t="s">
        <v>1205</v>
      </c>
      <c r="C289" t="s">
        <v>309</v>
      </c>
      <c r="D289" t="s">
        <v>954</v>
      </c>
      <c r="E289" s="20" t="s">
        <v>1090</v>
      </c>
      <c r="F289" s="20" t="s">
        <v>120</v>
      </c>
      <c r="G289" s="418">
        <v>1963.4110000000001</v>
      </c>
      <c r="H289" s="418">
        <v>0</v>
      </c>
      <c r="I289" s="418">
        <v>0</v>
      </c>
      <c r="J289" s="418">
        <v>395.62729999999999</v>
      </c>
      <c r="K289" s="418">
        <v>0</v>
      </c>
      <c r="L289" s="418">
        <v>0</v>
      </c>
      <c r="M289" s="418">
        <v>0</v>
      </c>
      <c r="N289" s="418">
        <v>0</v>
      </c>
      <c r="O289" s="21">
        <f>SUM(tabCustoUnit[[#This Row],[Salário Base]:[Adicional de Acúmulo de função]])</f>
        <v>2359.0383000000002</v>
      </c>
      <c r="P289" s="21">
        <f>tabCustoUnit[[#This Row],[MODULO 1 - REMUNERAÇÃO ]]*SUMIFS(tabParametros[INSS],tabParametros[Código do Posto],tabCustoUnit[[#This Row],[Código do Posto]])</f>
        <v>471.80766000000006</v>
      </c>
      <c r="Q289" s="21">
        <f>tabCustoUnit[[#This Row],[MODULO 1 - REMUNERAÇÃO ]]*SUMIFS(tabParametros[SESI OU SESC],tabParametros[Código do Posto],tabCustoUnit[[#This Row],[Código do Posto]])</f>
        <v>35.385574500000004</v>
      </c>
      <c r="R289" s="21">
        <f>tabCustoUnit[[#This Row],[MODULO 1 - REMUNERAÇÃO ]]*SUMIFS(tabParametros[SENAI OU SENAC],tabParametros[Código do Posto],tabCustoUnit[[#This Row],[Código do Posto]])</f>
        <v>23.590383000000003</v>
      </c>
      <c r="S289" s="21">
        <f>tabCustoUnit[[#This Row],[MODULO 1 - REMUNERAÇÃO ]]*SUMIFS(tabParametros[INCRA],tabParametros[Código do Posto],tabCustoUnit[[#This Row],[Código do Posto]])</f>
        <v>4.7180766000000007</v>
      </c>
      <c r="T289" s="21">
        <f>tabCustoUnit[[#This Row],[MODULO 1 - REMUNERAÇÃO ]]*SUMIFS(tabParametros[Salário Educação],tabParametros[Código do Posto],tabCustoUnit[[#This Row],[Código do Posto]])</f>
        <v>58.975957500000007</v>
      </c>
      <c r="U289" s="21">
        <f>tabCustoUnit[[#This Row],[MODULO 1 - REMUNERAÇÃO ]]*SUMIFS(tabParametros[FGTS],tabParametros[Código do Posto],tabCustoUnit[[#This Row],[Código do Posto]])</f>
        <v>188.72306400000002</v>
      </c>
      <c r="V289" s="21">
        <f>tabCustoUnit[[#This Row],[MODULO 1 - REMUNERAÇÃO ]]*SUMIFS(tabParametros[RAT Ajustado],tabParametros[Código do Posto],tabCustoUnit[[#This Row],[Código do Posto]])</f>
        <v>94.361532000000011</v>
      </c>
      <c r="W289" s="21">
        <f>tabCustoUnit[[#This Row],[MODULO 1 - REMUNERAÇÃO ]]*SUMIFS(tabParametros[SEBRAE],tabParametros[Código do Posto],tabCustoUnit[[#This Row],[Código do Posto]])</f>
        <v>14.154229800000001</v>
      </c>
      <c r="X289" s="21">
        <f>SUM(tabCustoUnit[[#This Row],[INSS]:[SEBRAE]])</f>
        <v>891.71647740000026</v>
      </c>
      <c r="Y289" s="21">
        <f>tabCustoUnit[[#This Row],[MODULO 1 - REMUNERAÇÃO ]]*SUMIFS(tabParametros[13º salário (titular)],tabParametros[Código do Posto],tabCustoUnit[[#This Row],[Código do Posto]])</f>
        <v>196.58652499999999</v>
      </c>
      <c r="Z289" s="21">
        <f>tabCustoUnit[[#This Row],[MODULO 1 - REMUNERAÇÃO ]]*SUMIFS(tabParametros[Férias e Adicional de Férias (titular)],tabParametros[Código do Posto],tabCustoUnit[[#This Row],[Código do Posto]])</f>
        <v>262.11536666666666</v>
      </c>
      <c r="AA289" s="21">
        <f>IFERROR((tabCustoUnit[[#This Row],[Submódulo 2.1]]/tabCustoUnit[[#This Row],[MODULO 1 - REMUNERAÇÃO ]])*SUM(tabCustoUnit[[#This Row],[13º salário (titular)]:[Férias e Adicional de Férias (titular)]]),0)</f>
        <v>173.38931505000002</v>
      </c>
      <c r="AB289" s="21">
        <f>SUM(tabCustoUnit[[#This Row],[13º salário (titular)]:[Incidência do Submódulo 2.1 sobre 13º Salário, Férias e Adicional de Férias]])</f>
        <v>632.09120671666665</v>
      </c>
      <c r="AC289" s="22" t="e">
        <f ca="1">_xlfn.LET(_xlpm.VT,SUMIF(tabParametros[Código do Posto],tabCustoUnit[[#This Row],[Código do Posto]],tabParametros[Vale - Transporte])*2*20,
IF((_xlpm.VT-tabCustoUnit[[#This Row],[Salário Base]]*0.06)&gt;=0,(_xlpm.VT-tabCustoUnit[[#This Row],[Salário Base]]*0.06),0)
)</f>
        <v>#NAME?</v>
      </c>
      <c r="AD289" s="22">
        <f>IF(SUMIF(tabParametros[Código do Posto],tabCustoUnit[[#This Row],[Código do Posto]],tabParametros[Vale - Alimentação])&lt;=0,0,
SUMIF(tabParametros[Código do Posto],tabCustoUnit[[#This Row],[Código do Posto]],tabParametros[Vale - Alimentação])*20-1)</f>
        <v>582</v>
      </c>
      <c r="AE289" s="22">
        <f>SUMIF(tabParametros[Código do Posto],tabCustoUnit[[#This Row],[Código do Posto]],tabParametros[Cesta Básica])</f>
        <v>0</v>
      </c>
      <c r="AF289" s="22">
        <f>SUMIF(tabParametros[Código do Posto],tabCustoUnit[[#This Row],[Código do Posto]],tabParametros[PAF])</f>
        <v>51.88</v>
      </c>
      <c r="AG289" s="22">
        <f>SUMIF(tabParametros[Código do Posto],tabCustoUnit[[#This Row],[Código do Posto]],tabParametros[PQM])</f>
        <v>0</v>
      </c>
      <c r="AH289" s="22">
        <f>SUMIF(tabParametros[Código do Posto],tabCustoUnit[[#This Row],[Código do Posto]],tabParametros[Abono Único e Especial])</f>
        <v>0</v>
      </c>
      <c r="AI289" s="22">
        <f>SUMIF(tabParametros[Código do Posto],tabCustoUnit[[#This Row],[Código do Posto]],tabParametros[Seguro de Vida])</f>
        <v>3.36</v>
      </c>
      <c r="AJ289" s="22">
        <f>SUMIF(tabParametros[Código do Posto],tabCustoUnit[[#This Row],[Código do Posto]],tabParametros[Despesas de Viagem])</f>
        <v>0</v>
      </c>
      <c r="AK289" s="22" t="e">
        <f ca="1">SUM(tabCustoUnit[[#This Row],[Vale - Transporte (Descontada parcela do empregado)]:[Despesas de Viagem]])</f>
        <v>#NAME?</v>
      </c>
      <c r="AL289" s="22" t="e">
        <f ca="1">tabCustoUnit[[#This Row],[Submódulo 2.1]]+tabCustoUnit[[#This Row],[Submódulo 2.2]]+tabCustoUnit[[#This Row],[Submódulo 2.3]]</f>
        <v>#NAME?</v>
      </c>
      <c r="AM289" s="22">
        <f>SUMIF(tabParametros[Código do Posto],tabCustoUnit[[#This Row],[Código do Posto]],tabParametros[Aviso Prévio Indenizado (API) e Reflexo do Aviso Prévio Indenizado])*tabCustoUnit[[#This Row],[MODULO 1 - REMUNERAÇÃO ]]</f>
        <v>16.541026845428242</v>
      </c>
      <c r="AN289" s="22">
        <f>SUMIF(tabParametros[Código do Posto],tabCustoUnit[[#This Row],[Código do Posto]],tabParametros[Incidência do FGTS sobre API e Reflexo do API])*tabCustoUnit[[#This Row],[MODULO 1 - REMUNERAÇÃO ]]</f>
        <v>1.3232821476342596</v>
      </c>
      <c r="AO289" s="22">
        <f>SUMIF(tabParametros[Código do Posto],tabCustoUnit[[#This Row],[Código do Posto]],tabParametros[Multa Rescisória do FGTS sobre o Aviso Prévio Indenizado])*tabCustoUnit[[#This Row],[MODULO 1 - REMUNERAÇÃO ]]</f>
        <v>0.52931285905370384</v>
      </c>
      <c r="AP289" s="22">
        <f>SUMIF(tabParametros[Código do Posto],tabCustoUnit[[#This Row],[Código do Posto]],tabParametros[Aviso Prévio Trabalhado - APT])*tabCustoUnit[[#This Row],[MODULO 1 - REMUNERAÇÃO ]]</f>
        <v>8.2566340500000024</v>
      </c>
      <c r="AQ289" s="22">
        <f>SUMIF(tabParametros[Código do Posto],tabCustoUnit[[#This Row],[Código do Posto]],tabParametros[Incidência dos encargos do submódulo 2.1 sobre Aviso Prévio Trabalhado])*tabCustoUnit[[#This Row],[MODULO 1 - REMUNERAÇÃO ]]</f>
        <v>3.121007670900001</v>
      </c>
      <c r="AR289" s="22">
        <f>SUMIF(tabParametros[Código do Posto],tabCustoUnit[[#This Row],[Código do Posto]],tabParametros[Multa Rescisória do FGTS])*tabCustoUnit[[#This Row],[MODULO 1 - REMUNERAÇÃO ]]</f>
        <v>72.134148906666667</v>
      </c>
      <c r="AS289" s="22">
        <f>SUMIF(tabParametros[Código do Posto],tabCustoUnit[[#This Row],[Código do Posto]],tabParametros[Indenização Adicional (Art. 9º da Lei nº 7.238/84)])*tabCustoUnit[[#This Row],[MODULO 1 - REMUNERAÇÃO ]]</f>
        <v>1.9658652500000002</v>
      </c>
      <c r="AT289" s="22">
        <f>SUM(tabCustoUnit[[#This Row],[Aviso Prévio Indenizado (API) e Reflexo do Aviso Prévio Indenizado]:[Indenização Adicional (Art. 9º da Lei nº 7.238/84)]])</f>
        <v>103.87127772968287</v>
      </c>
      <c r="AU289" s="22">
        <f>SUMIF(tabParametros[Código do Posto],tabCustoUnit[[#This Row],[Código do Posto]],tabParametros[Ausência por Doença])*tabCustoUnit[[#This Row],[MODULO 1 - REMUNERAÇÃO ]]</f>
        <v>19.920767866666665</v>
      </c>
      <c r="AV289" s="22">
        <f>SUMIF(tabParametros[Código do Posto],tabCustoUnit[[#This Row],[Código do Posto]],tabParametros[Ausências Legais])*tabCustoUnit[[#This Row],[MODULO 1 - REMUNERAÇÃO ]]</f>
        <v>4.7836054416666665</v>
      </c>
      <c r="AW289" s="22">
        <f>SUMIF(tabParametros[Código do Posto],tabCustoUnit[[#This Row],[Código do Posto]],tabParametros[Licença Paternidade])*tabCustoUnit[[#This Row],[MODULO 1 - REMUNERAÇÃO ]]</f>
        <v>0.40300237625000002</v>
      </c>
      <c r="AX289" s="22">
        <f>SUMIF(tabParametros[Código do Posto],tabCustoUnit[[#This Row],[Código do Posto]],tabParametros[Ausência por Acidente de Trabalho])*tabCustoUnit[[#This Row],[MODULO 1 - REMUNERAÇÃO ]]</f>
        <v>0.49146631250000006</v>
      </c>
      <c r="AY289" s="22">
        <f>SUMIF(tabParametros[Código do Posto],tabCustoUnit[[#This Row],[Código do Posto]],tabParametros[Férias, Adicional de Férias e 13º  com empregada em gozo de Licença Maternidade])*tabCustoUnit[[#This Row],[MODULO 1 - REMUNERAÇÃO ]]</f>
        <v>3.0580126111111112</v>
      </c>
      <c r="AZ289" s="22">
        <f>SUMIF(tabParametros[Código do Posto],tabCustoUnit[[#This Row],[Código do Posto]],tabParametros[Incidência do Submódulo 2.1 sobre Ausências Legais])*tabCustoUnit[[#This Row],[MODULO 1 - REMUNERAÇÃO ]]</f>
        <v>10.832291041897502</v>
      </c>
      <c r="BA289" s="22">
        <f>SUM(tabCustoUnit[[#This Row],[Ausência por Doença]:[Incidência do Submódulo 2.1 sobre Ausências Legais]])</f>
        <v>39.489145650091942</v>
      </c>
      <c r="BB289" s="22">
        <f>SUMIF(tabParametros[Código do Posto],tabCustoUnit[[#This Row],[Código do Posto]],tabParametros[Intervalo para Repouso ou Alimentação])</f>
        <v>261.17924340876692</v>
      </c>
      <c r="BC289" s="22">
        <f>tabCustoUnit[[#This Row],[Intervalo para Repouso ou Alimentação]]</f>
        <v>261.17924340876692</v>
      </c>
      <c r="BD28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89" s="22">
        <f>tabCustoUnit[[#This Row],[Suspensão Temporária do Contrato de Trabalho]]</f>
        <v>0</v>
      </c>
      <c r="BF289" s="22">
        <f>tabCustoUnit[[#This Row],[Submódulo 4.1]]+tabCustoUnit[[#This Row],[Submódulo 4.2]]+tabCustoUnit[[#This Row],[Submódulo 4.3]]</f>
        <v>300.66838905885885</v>
      </c>
      <c r="BG289" s="22">
        <f>VLOOKUP(tabCustoUnit[[#This Row],[Código do Posto]],tabParametros[],MATCH(tabCustoUnit[[#Headers],[Uniformes e EPIs]],tabParametros[#Headers],0),0)</f>
        <v>56.642978962543395</v>
      </c>
      <c r="BH289" s="22">
        <f>VLOOKUP(tabCustoUnit[[#This Row],[Código do Posto]],tabParametros[],MATCH(tabCustoUnit[[#Headers],[Materiais de Consumo]],tabParametros[#Headers],0),0)</f>
        <v>0</v>
      </c>
      <c r="BI289" s="22">
        <f>VLOOKUP(tabCustoUnit[[#This Row],[Código do Posto]],tabParametros[],MATCH(tabCustoUnit[[#Headers],[Máquinas e Equipamentos (depreciação)]],tabParametros[#Headers],0),0)</f>
        <v>0</v>
      </c>
      <c r="BJ289" s="22">
        <f>VLOOKUP(tabCustoUnit[[#This Row],[Código do Posto]],tabParametros[],MATCH(tabCustoUnit[[#Headers],[Produtos de Limpeza e Materiais de Higiene Pessoal]],tabParametros[#Headers],0),0)</f>
        <v>0</v>
      </c>
      <c r="BK289" s="22">
        <f>VLOOKUP(tabCustoUnit[[#This Row],[Código do Posto]],tabParametros[],MATCH(tabCustoUnit[[#Headers],[Outros (especificar)]],tabParametros[#Headers],0),0)</f>
        <v>0</v>
      </c>
      <c r="BL289" s="22">
        <f>SUM(tabCustoUnit[[#This Row],[Uniformes e EPIs]:[Outros (especificar)]])</f>
        <v>56.642978962543395</v>
      </c>
      <c r="BM28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89" s="22" t="e">
        <f ca="1">VLOOKUP(tabCustoUnit[[#This Row],[Código do Posto]],tabParametros[],MATCH(tabCustoUnit[[#Headers],[Custos Indiretos]],tabParametros[#Headers],0),0)</f>
        <v>#NAME?</v>
      </c>
      <c r="BO289" s="22" t="e">
        <f ca="1">VLOOKUP(tabCustoUnit[[#This Row],[Código do Posto]],tabParametros[],MATCH(tabCustoUnit[[#Headers],[Lucro]],tabParametros[#Headers],0),0)</f>
        <v>#NAME?</v>
      </c>
      <c r="BP289" s="26">
        <f>((100/((1-tabCustoUnit[[#This Row],[Resumo de Alíquotas (PIS+CONFINS+ISS)]]))-100)*VLOOKUP(tabCustoUnit[[#This Row],[Código do Posto]],tabParametros[],MATCH(tabCustoUnit[[#Headers],[COFINS]],tabParametros[#Headers],0),0))/(tabCustoUnit[[#This Row],[Resumo de Alíquotas (PIS+CONFINS+ISS)]]*100)</f>
        <v>8.5633802816901458E-2</v>
      </c>
      <c r="BQ289" s="26">
        <f>((100/((100-(tabCustoUnit[[#This Row],[Resumo de Alíquotas (PIS+CONFINS+ISS)]]*100))%)-100)*VLOOKUP(tabCustoUnit[[#This Row],[Código do Posto]],tabParametros[],MATCH(tabCustoUnit[[#Headers],[PIS]],tabParametros[#Headers],0),0))/(tabCustoUnit[[#This Row],[Resumo de Alíquotas (PIS+CONFINS+ISS)]]*100)</f>
        <v>1.8591549295774657E-2</v>
      </c>
      <c r="BR289" s="28">
        <f>VLOOKUP(tabCustoUnit[[#This Row],[Código do Posto]],tabParametros[],MATCH(tabCustoUnit[[#Headers],[ISS]],tabParametros[#Headers],0),0)</f>
        <v>0.02</v>
      </c>
      <c r="BS289" s="26">
        <f>(((100/((100-(tabCustoUnit[[#This Row],[Resumo de Alíquotas (PIS+CONFINS+ISS)]]*100))%)-100)*tabCustoUnit[[#This Row],[ISS]])/tabCustoUnit[[#This Row],[Resumo de Alíquotas (PIS+CONFINS+ISS)]])/100</f>
        <v>2.2535211267605645E-2</v>
      </c>
      <c r="BT28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89" s="138">
        <f>tabCustoUnit[[#This Row],[COFINS]]+tabCustoUnit[[#This Row],[PIS]]+tabCustoUnit[[#This Row],[ISS (Conversão Alíquota s/ fatura)]]</f>
        <v>0.12676056338028174</v>
      </c>
      <c r="BV289" s="22" t="e">
        <f ca="1">(tabCustoUnit[[#This Row],[TOTAL MÓDULOS 1+2+3+4+5]]+tabCustoUnit[[#This Row],[Custos Indiretos]]+tabCustoUnit[[#This Row],[Lucro]])*tabCustoUnit[[#This Row],[PIS + COFINS + ISS (Total Conversão  Alíquota s/ Fatura)]]</f>
        <v>#NAME?</v>
      </c>
      <c r="BW289" s="22" t="e">
        <f ca="1">tabCustoUnit[[#This Row],[Custos Indiretos]]+tabCustoUnit[[#This Row],[Lucro]]+tabCustoUnit[[#This Row],[Valor dos Tributos (ISS, PIS, CONFINS)]]</f>
        <v>#NAME?</v>
      </c>
      <c r="BX289" s="22" t="e">
        <f ca="1">tabCustoUnit[[#This Row],[TOTAL MÓDULOS 1+2+3+4+5]]+tabCustoUnit[[#This Row],[MÓDULO 6 – CUSTOS INDIRETOS, TRIBUTOS E LUCRO]]</f>
        <v>#NAME?</v>
      </c>
      <c r="BY289" s="22" t="e">
        <f ca="1">tabCustoUnit[[#This Row],[CUSTO TOTAL MENSAL]]*12</f>
        <v>#NAME?</v>
      </c>
      <c r="BZ289" s="24">
        <f>VLOOKUP(tabCustoUnit[[#This Row],[Código do Posto]],tabParametros[],MATCH(tabCustoUnit[[#Headers],[ANO DA CCT]],tabParametros[#Headers],0),0)</f>
        <v>45658</v>
      </c>
      <c r="CA289" s="25" t="str">
        <f>VLOOKUP(tabCustoUnit[[#This Row],[Código do Posto]],tabParametros[],MATCH(tabCustoUnit[[#Headers],[Nº DE PEDIDO DA CCT]],tabParametros[#Headers],0),0)</f>
        <v>-</v>
      </c>
      <c r="CB289" s="25" t="str">
        <f>VLOOKUP(tabCustoUnit[[#This Row],[Código do Posto]],tabParametros[],MATCH(tabCustoUnit[[#Headers],[TERMO ADITIVO ALTERAÇÃO DA CCT]],tabParametros[#Headers],0),0)</f>
        <v>-</v>
      </c>
    </row>
    <row r="290" spans="1:80">
      <c r="A290" s="20" t="s">
        <v>1705</v>
      </c>
      <c r="B290" t="s">
        <v>1205</v>
      </c>
      <c r="C290" t="s">
        <v>324</v>
      </c>
      <c r="D290" t="s">
        <v>954</v>
      </c>
      <c r="E290" s="20" t="s">
        <v>1090</v>
      </c>
      <c r="F290" s="20" t="s">
        <v>120</v>
      </c>
      <c r="G290" s="418">
        <v>3397.1306</v>
      </c>
      <c r="H290" s="418">
        <v>0</v>
      </c>
      <c r="I290" s="418">
        <v>0</v>
      </c>
      <c r="J290" s="418">
        <v>0</v>
      </c>
      <c r="K290" s="418">
        <v>0</v>
      </c>
      <c r="L290" s="418">
        <v>0</v>
      </c>
      <c r="M290" s="418">
        <v>0</v>
      </c>
      <c r="N290" s="418">
        <v>0</v>
      </c>
      <c r="O290" s="21">
        <f>SUM(tabCustoUnit[[#This Row],[Salário Base]:[Adicional de Acúmulo de função]])</f>
        <v>3397.1306</v>
      </c>
      <c r="P290" s="21">
        <f>tabCustoUnit[[#This Row],[MODULO 1 - REMUNERAÇÃO ]]*SUMIFS(tabParametros[INSS],tabParametros[Código do Posto],tabCustoUnit[[#This Row],[Código do Posto]])</f>
        <v>679.42612000000008</v>
      </c>
      <c r="Q290" s="21">
        <f>tabCustoUnit[[#This Row],[MODULO 1 - REMUNERAÇÃO ]]*SUMIFS(tabParametros[SESI OU SESC],tabParametros[Código do Posto],tabCustoUnit[[#This Row],[Código do Posto]])</f>
        <v>50.956958999999998</v>
      </c>
      <c r="R290" s="21">
        <f>tabCustoUnit[[#This Row],[MODULO 1 - REMUNERAÇÃO ]]*SUMIFS(tabParametros[SENAI OU SENAC],tabParametros[Código do Posto],tabCustoUnit[[#This Row],[Código do Posto]])</f>
        <v>33.971305999999998</v>
      </c>
      <c r="S290" s="21">
        <f>tabCustoUnit[[#This Row],[MODULO 1 - REMUNERAÇÃO ]]*SUMIFS(tabParametros[INCRA],tabParametros[Código do Posto],tabCustoUnit[[#This Row],[Código do Posto]])</f>
        <v>6.7942612000000002</v>
      </c>
      <c r="T290" s="21">
        <f>tabCustoUnit[[#This Row],[MODULO 1 - REMUNERAÇÃO ]]*SUMIFS(tabParametros[Salário Educação],tabParametros[Código do Posto],tabCustoUnit[[#This Row],[Código do Posto]])</f>
        <v>84.92826500000001</v>
      </c>
      <c r="U290" s="21">
        <f>tabCustoUnit[[#This Row],[MODULO 1 - REMUNERAÇÃO ]]*SUMIFS(tabParametros[FGTS],tabParametros[Código do Posto],tabCustoUnit[[#This Row],[Código do Posto]])</f>
        <v>271.77044799999999</v>
      </c>
      <c r="V290" s="21">
        <f>tabCustoUnit[[#This Row],[MODULO 1 - REMUNERAÇÃO ]]*SUMIFS(tabParametros[RAT Ajustado],tabParametros[Código do Posto],tabCustoUnit[[#This Row],[Código do Posto]])</f>
        <v>135.88522399999999</v>
      </c>
      <c r="W290" s="21">
        <f>tabCustoUnit[[#This Row],[MODULO 1 - REMUNERAÇÃO ]]*SUMIFS(tabParametros[SEBRAE],tabParametros[Código do Posto],tabCustoUnit[[#This Row],[Código do Posto]])</f>
        <v>20.3827836</v>
      </c>
      <c r="X290" s="21">
        <f>SUM(tabCustoUnit[[#This Row],[INSS]:[SEBRAE]])</f>
        <v>1284.1153668000002</v>
      </c>
      <c r="Y290" s="21">
        <f>tabCustoUnit[[#This Row],[MODULO 1 - REMUNERAÇÃO ]]*SUMIFS(tabParametros[13º salário (titular)],tabParametros[Código do Posto],tabCustoUnit[[#This Row],[Código do Posto]])</f>
        <v>283.09421666666663</v>
      </c>
      <c r="Z290" s="21">
        <f>tabCustoUnit[[#This Row],[MODULO 1 - REMUNERAÇÃO ]]*SUMIFS(tabParametros[Férias e Adicional de Férias (titular)],tabParametros[Código do Posto],tabCustoUnit[[#This Row],[Código do Posto]])</f>
        <v>377.45895555555552</v>
      </c>
      <c r="AA290" s="21">
        <f>IFERROR((tabCustoUnit[[#This Row],[Submódulo 2.1]]/tabCustoUnit[[#This Row],[MODULO 1 - REMUNERAÇÃO ]])*SUM(tabCustoUnit[[#This Row],[13º salário (titular)]:[Férias e Adicional de Férias (titular)]]),0)</f>
        <v>249.68909910000002</v>
      </c>
      <c r="AB290" s="21">
        <f>SUM(tabCustoUnit[[#This Row],[13º salário (titular)]:[Incidência do Submódulo 2.1 sobre 13º Salário, Férias e Adicional de Férias]])</f>
        <v>910.24227132222222</v>
      </c>
      <c r="AC290" s="22" t="e">
        <f ca="1">_xlfn.LET(_xlpm.VT,SUMIF(tabParametros[Código do Posto],tabCustoUnit[[#This Row],[Código do Posto]],tabParametros[Vale - Transporte])*2*20,
IF((_xlpm.VT-tabCustoUnit[[#This Row],[Salário Base]]*0.06)&gt;=0,(_xlpm.VT-tabCustoUnit[[#This Row],[Salário Base]]*0.06),0)
)</f>
        <v>#NAME?</v>
      </c>
      <c r="AD290" s="22">
        <f>IF(SUMIF(tabParametros[Código do Posto],tabCustoUnit[[#This Row],[Código do Posto]],tabParametros[Vale - Alimentação])&lt;=0,0,
SUMIF(tabParametros[Código do Posto],tabCustoUnit[[#This Row],[Código do Posto]],tabParametros[Vale - Alimentação])*20-1)</f>
        <v>582</v>
      </c>
      <c r="AE290" s="22">
        <f>SUMIF(tabParametros[Código do Posto],tabCustoUnit[[#This Row],[Código do Posto]],tabParametros[Cesta Básica])</f>
        <v>0</v>
      </c>
      <c r="AF290" s="22">
        <f>SUMIF(tabParametros[Código do Posto],tabCustoUnit[[#This Row],[Código do Posto]],tabParametros[PAF])</f>
        <v>51.88</v>
      </c>
      <c r="AG290" s="22">
        <f>SUMIF(tabParametros[Código do Posto],tabCustoUnit[[#This Row],[Código do Posto]],tabParametros[PQM])</f>
        <v>0</v>
      </c>
      <c r="AH290" s="22">
        <f>SUMIF(tabParametros[Código do Posto],tabCustoUnit[[#This Row],[Código do Posto]],tabParametros[Abono Único e Especial])</f>
        <v>0</v>
      </c>
      <c r="AI290" s="22">
        <f>SUMIF(tabParametros[Código do Posto],tabCustoUnit[[#This Row],[Código do Posto]],tabParametros[Seguro de Vida])</f>
        <v>3.36</v>
      </c>
      <c r="AJ290" s="22">
        <f>SUMIF(tabParametros[Código do Posto],tabCustoUnit[[#This Row],[Código do Posto]],tabParametros[Despesas de Viagem])</f>
        <v>0</v>
      </c>
      <c r="AK290" s="22" t="e">
        <f ca="1">SUM(tabCustoUnit[[#This Row],[Vale - Transporte (Descontada parcela do empregado)]:[Despesas de Viagem]])</f>
        <v>#NAME?</v>
      </c>
      <c r="AL290" s="22" t="e">
        <f ca="1">tabCustoUnit[[#This Row],[Submódulo 2.1]]+tabCustoUnit[[#This Row],[Submódulo 2.2]]+tabCustoUnit[[#This Row],[Submódulo 2.3]]</f>
        <v>#NAME?</v>
      </c>
      <c r="AM290" s="22">
        <f>SUMIF(tabParametros[Código do Posto],tabCustoUnit[[#This Row],[Código do Posto]],tabParametros[Aviso Prévio Indenizado (API) e Reflexo do Aviso Prévio Indenizado])*tabCustoUnit[[#This Row],[MODULO 1 - REMUNERAÇÃO ]]</f>
        <v>23.819888151890432</v>
      </c>
      <c r="AN290" s="22">
        <f>SUMIF(tabParametros[Código do Posto],tabCustoUnit[[#This Row],[Código do Posto]],tabParametros[Incidência do FGTS sobre API e Reflexo do API])*tabCustoUnit[[#This Row],[MODULO 1 - REMUNERAÇÃO ]]</f>
        <v>1.9055910521512347</v>
      </c>
      <c r="AO290" s="22">
        <f>SUMIF(tabParametros[Código do Posto],tabCustoUnit[[#This Row],[Código do Posto]],tabParametros[Multa Rescisória do FGTS sobre o Aviso Prévio Indenizado])*tabCustoUnit[[#This Row],[MODULO 1 - REMUNERAÇÃO ]]</f>
        <v>0.76223642086049392</v>
      </c>
      <c r="AP290" s="22">
        <f>SUMIF(tabParametros[Código do Posto],tabCustoUnit[[#This Row],[Código do Posto]],tabParametros[Aviso Prévio Trabalhado - APT])*tabCustoUnit[[#This Row],[MODULO 1 - REMUNERAÇÃO ]]</f>
        <v>11.889957100000002</v>
      </c>
      <c r="AQ290" s="22">
        <f>SUMIF(tabParametros[Código do Posto],tabCustoUnit[[#This Row],[Código do Posto]],tabParametros[Incidência dos encargos do submódulo 2.1 sobre Aviso Prévio Trabalhado])*tabCustoUnit[[#This Row],[MODULO 1 - REMUNERAÇÃO ]]</f>
        <v>4.4944037838000011</v>
      </c>
      <c r="AR290" s="22">
        <f>SUMIF(tabParametros[Código do Posto],tabCustoUnit[[#This Row],[Código do Posto]],tabParametros[Multa Rescisória do FGTS])*tabCustoUnit[[#This Row],[MODULO 1 - REMUNERAÇÃO ]]</f>
        <v>103.87670456888887</v>
      </c>
      <c r="AS290" s="22">
        <f>SUMIF(tabParametros[Código do Posto],tabCustoUnit[[#This Row],[Código do Posto]],tabParametros[Indenização Adicional (Art. 9º da Lei nº 7.238/84)])*tabCustoUnit[[#This Row],[MODULO 1 - REMUNERAÇÃO ]]</f>
        <v>2.830942166666667</v>
      </c>
      <c r="AT290" s="22">
        <f>SUM(tabCustoUnit[[#This Row],[Aviso Prévio Indenizado (API) e Reflexo do Aviso Prévio Indenizado]:[Indenização Adicional (Art. 9º da Lei nº 7.238/84)]])</f>
        <v>149.57972324425771</v>
      </c>
      <c r="AU290" s="22">
        <f>SUMIF(tabParametros[Código do Posto],tabCustoUnit[[#This Row],[Código do Posto]],tabParametros[Ausência por Doença])*tabCustoUnit[[#This Row],[MODULO 1 - REMUNERAÇÃO ]]</f>
        <v>28.686880622222219</v>
      </c>
      <c r="AV290" s="22">
        <f>SUMIF(tabParametros[Código do Posto],tabCustoUnit[[#This Row],[Código do Posto]],tabParametros[Ausências Legais])*tabCustoUnit[[#This Row],[MODULO 1 - REMUNERAÇÃO ]]</f>
        <v>6.8886259388888886</v>
      </c>
      <c r="AW290" s="22">
        <f>SUMIF(tabParametros[Código do Posto],tabCustoUnit[[#This Row],[Código do Posto]],tabParametros[Licença Paternidade])*tabCustoUnit[[#This Row],[MODULO 1 - REMUNERAÇÃO ]]</f>
        <v>0.58034314416666666</v>
      </c>
      <c r="AX290" s="22">
        <f>SUMIF(tabParametros[Código do Posto],tabCustoUnit[[#This Row],[Código do Posto]],tabParametros[Ausência por Acidente de Trabalho])*tabCustoUnit[[#This Row],[MODULO 1 - REMUNERAÇÃO ]]</f>
        <v>0.70773554166666675</v>
      </c>
      <c r="AY290" s="22">
        <f>SUMIF(tabParametros[Código do Posto],tabCustoUnit[[#This Row],[Código do Posto]],tabParametros[Férias, Adicional de Férias e 13º  com empregada em gozo de Licença Maternidade])*tabCustoUnit[[#This Row],[MODULO 1 - REMUNERAÇÃO ]]</f>
        <v>4.4036878148148144</v>
      </c>
      <c r="AZ290" s="22">
        <f>SUMIF(tabParametros[Código do Posto],tabCustoUnit[[#This Row],[Código do Posto]],tabParametros[Incidência do Submódulo 2.1 sobre Ausências Legais])*tabCustoUnit[[#This Row],[MODULO 1 - REMUNERAÇÃO ]]</f>
        <v>15.599029217345002</v>
      </c>
      <c r="BA290" s="22">
        <f>SUM(tabCustoUnit[[#This Row],[Ausência por Doença]:[Incidência do Submódulo 2.1 sobre Ausências Legais]])</f>
        <v>56.866302279104261</v>
      </c>
      <c r="BB290" s="22">
        <f>SUMIF(tabParametros[Código do Posto],tabCustoUnit[[#This Row],[Código do Posto]],tabParametros[Intervalo para Repouso ou Alimentação])</f>
        <v>0</v>
      </c>
      <c r="BC290" s="22">
        <f>tabCustoUnit[[#This Row],[Intervalo para Repouso ou Alimentação]]</f>
        <v>0</v>
      </c>
      <c r="BD29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0" s="22">
        <f>tabCustoUnit[[#This Row],[Suspensão Temporária do Contrato de Trabalho]]</f>
        <v>0</v>
      </c>
      <c r="BF290" s="22">
        <f>tabCustoUnit[[#This Row],[Submódulo 4.1]]+tabCustoUnit[[#This Row],[Submódulo 4.2]]+tabCustoUnit[[#This Row],[Submódulo 4.3]]</f>
        <v>56.866302279104261</v>
      </c>
      <c r="BG290" s="22">
        <f>VLOOKUP(tabCustoUnit[[#This Row],[Código do Posto]],tabParametros[],MATCH(tabCustoUnit[[#Headers],[Uniformes e EPIs]],tabParametros[#Headers],0),0)</f>
        <v>56.642978962543395</v>
      </c>
      <c r="BH290" s="22">
        <f>VLOOKUP(tabCustoUnit[[#This Row],[Código do Posto]],tabParametros[],MATCH(tabCustoUnit[[#Headers],[Materiais de Consumo]],tabParametros[#Headers],0),0)</f>
        <v>0</v>
      </c>
      <c r="BI290" s="22">
        <f>VLOOKUP(tabCustoUnit[[#This Row],[Código do Posto]],tabParametros[],MATCH(tabCustoUnit[[#Headers],[Máquinas e Equipamentos (depreciação)]],tabParametros[#Headers],0),0)</f>
        <v>0</v>
      </c>
      <c r="BJ290" s="22">
        <f>VLOOKUP(tabCustoUnit[[#This Row],[Código do Posto]],tabParametros[],MATCH(tabCustoUnit[[#Headers],[Produtos de Limpeza e Materiais de Higiene Pessoal]],tabParametros[#Headers],0),0)</f>
        <v>0</v>
      </c>
      <c r="BK290" s="22">
        <f>VLOOKUP(tabCustoUnit[[#This Row],[Código do Posto]],tabParametros[],MATCH(tabCustoUnit[[#Headers],[Outros (especificar)]],tabParametros[#Headers],0),0)</f>
        <v>0</v>
      </c>
      <c r="BL290" s="22">
        <f>SUM(tabCustoUnit[[#This Row],[Uniformes e EPIs]:[Outros (especificar)]])</f>
        <v>56.642978962543395</v>
      </c>
      <c r="BM29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0" s="22" t="e">
        <f ca="1">VLOOKUP(tabCustoUnit[[#This Row],[Código do Posto]],tabParametros[],MATCH(tabCustoUnit[[#Headers],[Custos Indiretos]],tabParametros[#Headers],0),0)</f>
        <v>#NAME?</v>
      </c>
      <c r="BO290" s="22" t="e">
        <f ca="1">VLOOKUP(tabCustoUnit[[#This Row],[Código do Posto]],tabParametros[],MATCH(tabCustoUnit[[#Headers],[Lucro]],tabParametros[#Headers],0),0)</f>
        <v>#NAME?</v>
      </c>
      <c r="BP290" s="26">
        <f>((100/((1-tabCustoUnit[[#This Row],[Resumo de Alíquotas (PIS+CONFINS+ISS)]]))-100)*VLOOKUP(tabCustoUnit[[#This Row],[Código do Posto]],tabParametros[],MATCH(tabCustoUnit[[#Headers],[COFINS]],tabParametros[#Headers],0),0))/(tabCustoUnit[[#This Row],[Resumo de Alíquotas (PIS+CONFINS+ISS)]]*100)</f>
        <v>8.5633802816901458E-2</v>
      </c>
      <c r="BQ290" s="26">
        <f>((100/((100-(tabCustoUnit[[#This Row],[Resumo de Alíquotas (PIS+CONFINS+ISS)]]*100))%)-100)*VLOOKUP(tabCustoUnit[[#This Row],[Código do Posto]],tabParametros[],MATCH(tabCustoUnit[[#Headers],[PIS]],tabParametros[#Headers],0),0))/(tabCustoUnit[[#This Row],[Resumo de Alíquotas (PIS+CONFINS+ISS)]]*100)</f>
        <v>1.8591549295774657E-2</v>
      </c>
      <c r="BR290" s="28">
        <f>VLOOKUP(tabCustoUnit[[#This Row],[Código do Posto]],tabParametros[],MATCH(tabCustoUnit[[#Headers],[ISS]],tabParametros[#Headers],0),0)</f>
        <v>0.02</v>
      </c>
      <c r="BS290" s="26">
        <f>(((100/((100-(tabCustoUnit[[#This Row],[Resumo de Alíquotas (PIS+CONFINS+ISS)]]*100))%)-100)*tabCustoUnit[[#This Row],[ISS]])/tabCustoUnit[[#This Row],[Resumo de Alíquotas (PIS+CONFINS+ISS)]])/100</f>
        <v>2.2535211267605645E-2</v>
      </c>
      <c r="BT29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90" s="138">
        <f>tabCustoUnit[[#This Row],[COFINS]]+tabCustoUnit[[#This Row],[PIS]]+tabCustoUnit[[#This Row],[ISS (Conversão Alíquota s/ fatura)]]</f>
        <v>0.12676056338028174</v>
      </c>
      <c r="BV290" s="22" t="e">
        <f ca="1">(tabCustoUnit[[#This Row],[TOTAL MÓDULOS 1+2+3+4+5]]+tabCustoUnit[[#This Row],[Custos Indiretos]]+tabCustoUnit[[#This Row],[Lucro]])*tabCustoUnit[[#This Row],[PIS + COFINS + ISS (Total Conversão  Alíquota s/ Fatura)]]</f>
        <v>#NAME?</v>
      </c>
      <c r="BW290" s="22" t="e">
        <f ca="1">tabCustoUnit[[#This Row],[Custos Indiretos]]+tabCustoUnit[[#This Row],[Lucro]]+tabCustoUnit[[#This Row],[Valor dos Tributos (ISS, PIS, CONFINS)]]</f>
        <v>#NAME?</v>
      </c>
      <c r="BX290" s="22" t="e">
        <f ca="1">tabCustoUnit[[#This Row],[TOTAL MÓDULOS 1+2+3+4+5]]+tabCustoUnit[[#This Row],[MÓDULO 6 – CUSTOS INDIRETOS, TRIBUTOS E LUCRO]]</f>
        <v>#NAME?</v>
      </c>
      <c r="BY290" s="22" t="e">
        <f ca="1">tabCustoUnit[[#This Row],[CUSTO TOTAL MENSAL]]*12</f>
        <v>#NAME?</v>
      </c>
      <c r="BZ290" s="24">
        <f>VLOOKUP(tabCustoUnit[[#This Row],[Código do Posto]],tabParametros[],MATCH(tabCustoUnit[[#Headers],[ANO DA CCT]],tabParametros[#Headers],0),0)</f>
        <v>45658</v>
      </c>
      <c r="CA290" s="25" t="str">
        <f>VLOOKUP(tabCustoUnit[[#This Row],[Código do Posto]],tabParametros[],MATCH(tabCustoUnit[[#Headers],[Nº DE PEDIDO DA CCT]],tabParametros[#Headers],0),0)</f>
        <v>-</v>
      </c>
      <c r="CB290" s="25" t="str">
        <f>VLOOKUP(tabCustoUnit[[#This Row],[Código do Posto]],tabParametros[],MATCH(tabCustoUnit[[#Headers],[TERMO ADITIVO ALTERAÇÃO DA CCT]],tabParametros[#Headers],0),0)</f>
        <v>-</v>
      </c>
    </row>
    <row r="291" spans="1:80">
      <c r="A291" s="20" t="s">
        <v>1706</v>
      </c>
      <c r="B291" t="s">
        <v>1032</v>
      </c>
      <c r="C291" t="s">
        <v>304</v>
      </c>
      <c r="D291" t="s">
        <v>1032</v>
      </c>
      <c r="E291" s="20" t="s">
        <v>1090</v>
      </c>
      <c r="F291" s="20" t="s">
        <v>120</v>
      </c>
      <c r="G291" s="418">
        <v>2028.3516999999999</v>
      </c>
      <c r="H291" s="418">
        <v>0</v>
      </c>
      <c r="I291" s="418">
        <v>0</v>
      </c>
      <c r="J291" s="418">
        <v>0</v>
      </c>
      <c r="K291" s="418">
        <v>0</v>
      </c>
      <c r="L291" s="418">
        <v>0</v>
      </c>
      <c r="M291" s="418">
        <v>0</v>
      </c>
      <c r="N291" s="418">
        <v>0</v>
      </c>
      <c r="O291" s="21">
        <f>SUM(tabCustoUnit[[#This Row],[Salário Base]:[Adicional de Acúmulo de função]])</f>
        <v>2028.3516999999999</v>
      </c>
      <c r="P291" s="21">
        <f>tabCustoUnit[[#This Row],[MODULO 1 - REMUNERAÇÃO ]]*SUMIFS(tabParametros[INSS],tabParametros[Código do Posto],tabCustoUnit[[#This Row],[Código do Posto]])</f>
        <v>405.67034000000001</v>
      </c>
      <c r="Q291" s="21">
        <f>tabCustoUnit[[#This Row],[MODULO 1 - REMUNERAÇÃO ]]*SUMIFS(tabParametros[SESI OU SESC],tabParametros[Código do Posto],tabCustoUnit[[#This Row],[Código do Posto]])</f>
        <v>30.425275499999998</v>
      </c>
      <c r="R291" s="21">
        <f>tabCustoUnit[[#This Row],[MODULO 1 - REMUNERAÇÃO ]]*SUMIFS(tabParametros[SENAI OU SENAC],tabParametros[Código do Posto],tabCustoUnit[[#This Row],[Código do Posto]])</f>
        <v>20.283517</v>
      </c>
      <c r="S291" s="21">
        <f>tabCustoUnit[[#This Row],[MODULO 1 - REMUNERAÇÃO ]]*SUMIFS(tabParametros[INCRA],tabParametros[Código do Posto],tabCustoUnit[[#This Row],[Código do Posto]])</f>
        <v>4.0567034</v>
      </c>
      <c r="T291" s="21">
        <f>tabCustoUnit[[#This Row],[MODULO 1 - REMUNERAÇÃO ]]*SUMIFS(tabParametros[Salário Educação],tabParametros[Código do Posto],tabCustoUnit[[#This Row],[Código do Posto]])</f>
        <v>50.708792500000001</v>
      </c>
      <c r="U291" s="21">
        <f>tabCustoUnit[[#This Row],[MODULO 1 - REMUNERAÇÃO ]]*SUMIFS(tabParametros[FGTS],tabParametros[Código do Posto],tabCustoUnit[[#This Row],[Código do Posto]])</f>
        <v>162.268136</v>
      </c>
      <c r="V291" s="21">
        <f>tabCustoUnit[[#This Row],[MODULO 1 - REMUNERAÇÃO ]]*SUMIFS(tabParametros[RAT Ajustado],tabParametros[Código do Posto],tabCustoUnit[[#This Row],[Código do Posto]])</f>
        <v>81.134067999999999</v>
      </c>
      <c r="W291" s="21">
        <f>tabCustoUnit[[#This Row],[MODULO 1 - REMUNERAÇÃO ]]*SUMIFS(tabParametros[SEBRAE],tabParametros[Código do Posto],tabCustoUnit[[#This Row],[Código do Posto]])</f>
        <v>12.1701102</v>
      </c>
      <c r="X291" s="21">
        <f>SUM(tabCustoUnit[[#This Row],[INSS]:[SEBRAE]])</f>
        <v>766.71694259999992</v>
      </c>
      <c r="Y291" s="21">
        <f>tabCustoUnit[[#This Row],[MODULO 1 - REMUNERAÇÃO ]]*SUMIFS(tabParametros[13º salário (titular)],tabParametros[Código do Posto],tabCustoUnit[[#This Row],[Código do Posto]])</f>
        <v>169.02930833333332</v>
      </c>
      <c r="Z291" s="21">
        <f>tabCustoUnit[[#This Row],[MODULO 1 - REMUNERAÇÃO ]]*SUMIFS(tabParametros[Férias e Adicional de Férias (titular)],tabParametros[Código do Posto],tabCustoUnit[[#This Row],[Código do Posto]])</f>
        <v>225.37241111111109</v>
      </c>
      <c r="AA291" s="21">
        <f>IFERROR((tabCustoUnit[[#This Row],[Submódulo 2.1]]/tabCustoUnit[[#This Row],[MODULO 1 - REMUNERAÇÃO ]])*SUM(tabCustoUnit[[#This Row],[13º salário (titular)]:[Férias e Adicional de Férias (titular)]]),0)</f>
        <v>149.08384994999997</v>
      </c>
      <c r="AB291" s="21">
        <f>SUM(tabCustoUnit[[#This Row],[13º salário (titular)]:[Incidência do Submódulo 2.1 sobre 13º Salário, Férias e Adicional de Férias]])</f>
        <v>543.48556939444438</v>
      </c>
      <c r="AC291" s="22" t="e">
        <f ca="1">_xlfn.LET(_xlpm.VT,SUMIF(tabParametros[Código do Posto],tabCustoUnit[[#This Row],[Código do Posto]],tabParametros[Vale - Transporte])*2*20,
IF((_xlpm.VT-tabCustoUnit[[#This Row],[Salário Base]]*0.06)&gt;=0,(_xlpm.VT-tabCustoUnit[[#This Row],[Salário Base]]*0.06),0)
)</f>
        <v>#NAME?</v>
      </c>
      <c r="AD291" s="22">
        <f>IF(SUMIF(tabParametros[Código do Posto],tabCustoUnit[[#This Row],[Código do Posto]],tabParametros[Vale - Alimentação])&lt;=0,0,
SUMIF(tabParametros[Código do Posto],tabCustoUnit[[#This Row],[Código do Posto]],tabParametros[Vale - Alimentação])*20-1)</f>
        <v>582</v>
      </c>
      <c r="AE291" s="22">
        <f>SUMIF(tabParametros[Código do Posto],tabCustoUnit[[#This Row],[Código do Posto]],tabParametros[Cesta Básica])</f>
        <v>0</v>
      </c>
      <c r="AF291" s="22">
        <f>SUMIF(tabParametros[Código do Posto],tabCustoUnit[[#This Row],[Código do Posto]],tabParametros[PAF])</f>
        <v>53.27</v>
      </c>
      <c r="AG291" s="22">
        <f>SUMIF(tabParametros[Código do Posto],tabCustoUnit[[#This Row],[Código do Posto]],tabParametros[PQM])</f>
        <v>0</v>
      </c>
      <c r="AH291" s="22">
        <f>SUMIF(tabParametros[Código do Posto],tabCustoUnit[[#This Row],[Código do Posto]],tabParametros[Abono Único e Especial])</f>
        <v>0</v>
      </c>
      <c r="AI291" s="22">
        <f>SUMIF(tabParametros[Código do Posto],tabCustoUnit[[#This Row],[Código do Posto]],tabParametros[Seguro de Vida])</f>
        <v>3.36</v>
      </c>
      <c r="AJ291" s="22">
        <f>SUMIF(tabParametros[Código do Posto],tabCustoUnit[[#This Row],[Código do Posto]],tabParametros[Despesas de Viagem])</f>
        <v>0</v>
      </c>
      <c r="AK291" s="22" t="e">
        <f ca="1">SUM(tabCustoUnit[[#This Row],[Vale - Transporte (Descontada parcela do empregado)]:[Despesas de Viagem]])</f>
        <v>#NAME?</v>
      </c>
      <c r="AL291" s="22" t="e">
        <f ca="1">tabCustoUnit[[#This Row],[Submódulo 2.1]]+tabCustoUnit[[#This Row],[Submódulo 2.2]]+tabCustoUnit[[#This Row],[Submódulo 2.3]]</f>
        <v>#NAME?</v>
      </c>
      <c r="AM291" s="22">
        <f>SUMIF(tabParametros[Código do Posto],tabCustoUnit[[#This Row],[Código do Posto]],tabParametros[Aviso Prévio Indenizado (API) e Reflexo do Aviso Prévio Indenizado])*tabCustoUnit[[#This Row],[MODULO 1 - REMUNERAÇÃO ]]</f>
        <v>14.222329464371141</v>
      </c>
      <c r="AN291" s="22">
        <f>SUMIF(tabParametros[Código do Posto],tabCustoUnit[[#This Row],[Código do Posto]],tabParametros[Incidência do FGTS sobre API e Reflexo do API])*tabCustoUnit[[#This Row],[MODULO 1 - REMUNERAÇÃO ]]</f>
        <v>1.1377863571496913</v>
      </c>
      <c r="AO291" s="22">
        <f>SUMIF(tabParametros[Código do Posto],tabCustoUnit[[#This Row],[Código do Posto]],tabParametros[Multa Rescisória do FGTS sobre o Aviso Prévio Indenizado])*tabCustoUnit[[#This Row],[MODULO 1 - REMUNERAÇÃO ]]</f>
        <v>0.45511454285987663</v>
      </c>
      <c r="AP291" s="22">
        <f>SUMIF(tabParametros[Código do Posto],tabCustoUnit[[#This Row],[Código do Posto]],tabParametros[Aviso Prévio Trabalhado - APT])*tabCustoUnit[[#This Row],[MODULO 1 - REMUNERAÇÃO ]]</f>
        <v>7.0992309500000008</v>
      </c>
      <c r="AQ291" s="22">
        <f>SUMIF(tabParametros[Código do Posto],tabCustoUnit[[#This Row],[Código do Posto]],tabParametros[Incidência dos encargos do submódulo 2.1 sobre Aviso Prévio Trabalhado])*tabCustoUnit[[#This Row],[MODULO 1 - REMUNERAÇÃO ]]</f>
        <v>2.6835092991000007</v>
      </c>
      <c r="AR291" s="22">
        <f>SUMIF(tabParametros[Código do Posto],tabCustoUnit[[#This Row],[Código do Posto]],tabParametros[Multa Rescisória do FGTS])*tabCustoUnit[[#This Row],[MODULO 1 - REMUNERAÇÃO ]]</f>
        <v>62.022487537777764</v>
      </c>
      <c r="AS291" s="22">
        <f>SUMIF(tabParametros[Código do Posto],tabCustoUnit[[#This Row],[Código do Posto]],tabParametros[Indenização Adicional (Art. 9º da Lei nº 7.238/84)])*tabCustoUnit[[#This Row],[MODULO 1 - REMUNERAÇÃO ]]</f>
        <v>1.6902930833333334</v>
      </c>
      <c r="AT291" s="22">
        <f>SUM(tabCustoUnit[[#This Row],[Aviso Prévio Indenizado (API) e Reflexo do Aviso Prévio Indenizado]:[Indenização Adicional (Art. 9º da Lei nº 7.238/84)]])</f>
        <v>89.310751234591805</v>
      </c>
      <c r="AU291" s="22">
        <f>SUMIF(tabParametros[Código do Posto],tabCustoUnit[[#This Row],[Código do Posto]],tabParametros[Ausência por Doença])*tabCustoUnit[[#This Row],[MODULO 1 - REMUNERAÇÃO ]]</f>
        <v>17.128303244444442</v>
      </c>
      <c r="AV291" s="22">
        <f>SUMIF(tabParametros[Código do Posto],tabCustoUnit[[#This Row],[Código do Posto]],tabParametros[Ausências Legais])*tabCustoUnit[[#This Row],[MODULO 1 - REMUNERAÇÃO ]]</f>
        <v>4.1130465027777774</v>
      </c>
      <c r="AW291" s="22">
        <f>SUMIF(tabParametros[Código do Posto],tabCustoUnit[[#This Row],[Código do Posto]],tabParametros[Licença Paternidade])*tabCustoUnit[[#This Row],[MODULO 1 - REMUNERAÇÃO ]]</f>
        <v>0.34651008208333334</v>
      </c>
      <c r="AX291" s="22">
        <f>SUMIF(tabParametros[Código do Posto],tabCustoUnit[[#This Row],[Código do Posto]],tabParametros[Ausência por Acidente de Trabalho])*tabCustoUnit[[#This Row],[MODULO 1 - REMUNERAÇÃO ]]</f>
        <v>0.42257327083333335</v>
      </c>
      <c r="AY291" s="22">
        <f>SUMIF(tabParametros[Código do Posto],tabCustoUnit[[#This Row],[Código do Posto]],tabParametros[Férias, Adicional de Férias e 13º  com empregada em gozo de Licença Maternidade])*tabCustoUnit[[#This Row],[MODULO 1 - REMUNERAÇÃO ]]</f>
        <v>2.6293447962962961</v>
      </c>
      <c r="AZ291" s="22">
        <f>SUMIF(tabParametros[Código do Posto],tabCustoUnit[[#This Row],[Código do Posto]],tabParametros[Incidência do Submódulo 2.1 sobre Ausências Legais])*tabCustoUnit[[#This Row],[MODULO 1 - REMUNERAÇÃO ]]</f>
        <v>9.3138360448525006</v>
      </c>
      <c r="BA291" s="22">
        <f>SUM(tabCustoUnit[[#This Row],[Ausência por Doença]:[Incidência do Submódulo 2.1 sobre Ausências Legais]])</f>
        <v>33.953613941287685</v>
      </c>
      <c r="BB291" s="22">
        <f>SUMIF(tabParametros[Código do Posto],tabCustoUnit[[#This Row],[Código do Posto]],tabParametros[Intervalo para Repouso ou Alimentação])</f>
        <v>224.56750972550165</v>
      </c>
      <c r="BC291" s="22">
        <f>tabCustoUnit[[#This Row],[Intervalo para Repouso ou Alimentação]]</f>
        <v>224.56750972550165</v>
      </c>
      <c r="BD29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1" s="22">
        <f>tabCustoUnit[[#This Row],[Suspensão Temporária do Contrato de Trabalho]]</f>
        <v>0</v>
      </c>
      <c r="BF291" s="22">
        <f>tabCustoUnit[[#This Row],[Submódulo 4.1]]+tabCustoUnit[[#This Row],[Submódulo 4.2]]+tabCustoUnit[[#This Row],[Submódulo 4.3]]</f>
        <v>258.52112366678932</v>
      </c>
      <c r="BG291" s="22">
        <f>VLOOKUP(tabCustoUnit[[#This Row],[Código do Posto]],tabParametros[],MATCH(tabCustoUnit[[#Headers],[Uniformes e EPIs]],tabParametros[#Headers],0),0)</f>
        <v>56.642978962543395</v>
      </c>
      <c r="BH291" s="22">
        <f>VLOOKUP(tabCustoUnit[[#This Row],[Código do Posto]],tabParametros[],MATCH(tabCustoUnit[[#Headers],[Materiais de Consumo]],tabParametros[#Headers],0),0)</f>
        <v>0</v>
      </c>
      <c r="BI291" s="22">
        <f>VLOOKUP(tabCustoUnit[[#This Row],[Código do Posto]],tabParametros[],MATCH(tabCustoUnit[[#Headers],[Máquinas e Equipamentos (depreciação)]],tabParametros[#Headers],0),0)</f>
        <v>0</v>
      </c>
      <c r="BJ291" s="22">
        <f>VLOOKUP(tabCustoUnit[[#This Row],[Código do Posto]],tabParametros[],MATCH(tabCustoUnit[[#Headers],[Produtos de Limpeza e Materiais de Higiene Pessoal]],tabParametros[#Headers],0),0)</f>
        <v>0</v>
      </c>
      <c r="BK291" s="22">
        <f>VLOOKUP(tabCustoUnit[[#This Row],[Código do Posto]],tabParametros[],MATCH(tabCustoUnit[[#Headers],[Outros (especificar)]],tabParametros[#Headers],0),0)</f>
        <v>0</v>
      </c>
      <c r="BL291" s="22">
        <f>SUM(tabCustoUnit[[#This Row],[Uniformes e EPIs]:[Outros (especificar)]])</f>
        <v>56.642978962543395</v>
      </c>
      <c r="BM29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1" s="22" t="e">
        <f ca="1">VLOOKUP(tabCustoUnit[[#This Row],[Código do Posto]],tabParametros[],MATCH(tabCustoUnit[[#Headers],[Custos Indiretos]],tabParametros[#Headers],0),0)</f>
        <v>#NAME?</v>
      </c>
      <c r="BO291" s="22" t="e">
        <f ca="1">VLOOKUP(tabCustoUnit[[#This Row],[Código do Posto]],tabParametros[],MATCH(tabCustoUnit[[#Headers],[Lucro]],tabParametros[#Headers],0),0)</f>
        <v>#NAME?</v>
      </c>
      <c r="BP291" s="26">
        <f>((100/((1-tabCustoUnit[[#This Row],[Resumo de Alíquotas (PIS+CONFINS+ISS)]]))-100)*VLOOKUP(tabCustoUnit[[#This Row],[Código do Posto]],tabParametros[],MATCH(tabCustoUnit[[#Headers],[COFINS]],tabParametros[#Headers],0),0))/(tabCustoUnit[[#This Row],[Resumo de Alíquotas (PIS+CONFINS+ISS)]]*100)</f>
        <v>8.6609686609686695E-2</v>
      </c>
      <c r="BQ291" s="26">
        <f>((100/((100-(tabCustoUnit[[#This Row],[Resumo de Alíquotas (PIS+CONFINS+ISS)]]*100))%)-100)*VLOOKUP(tabCustoUnit[[#This Row],[Código do Posto]],tabParametros[],MATCH(tabCustoUnit[[#Headers],[PIS]],tabParametros[#Headers],0),0))/(tabCustoUnit[[#This Row],[Resumo de Alíquotas (PIS+CONFINS+ISS)]]*100)</f>
        <v>1.880341880341882E-2</v>
      </c>
      <c r="BR291" s="28">
        <f>VLOOKUP(tabCustoUnit[[#This Row],[Código do Posto]],tabParametros[],MATCH(tabCustoUnit[[#Headers],[ISS]],tabParametros[#Headers],0),0)</f>
        <v>0.03</v>
      </c>
      <c r="BS291" s="26">
        <f>(((100/((100-(tabCustoUnit[[#This Row],[Resumo de Alíquotas (PIS+CONFINS+ISS)]]*100))%)-100)*tabCustoUnit[[#This Row],[ISS]])/tabCustoUnit[[#This Row],[Resumo de Alíquotas (PIS+CONFINS+ISS)]])/100</f>
        <v>3.4188034188034219E-2</v>
      </c>
      <c r="BT29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91" s="138">
        <f>tabCustoUnit[[#This Row],[COFINS]]+tabCustoUnit[[#This Row],[PIS]]+tabCustoUnit[[#This Row],[ISS (Conversão Alíquota s/ fatura)]]</f>
        <v>0.13960113960113973</v>
      </c>
      <c r="BV291" s="22" t="e">
        <f ca="1">(tabCustoUnit[[#This Row],[TOTAL MÓDULOS 1+2+3+4+5]]+tabCustoUnit[[#This Row],[Custos Indiretos]]+tabCustoUnit[[#This Row],[Lucro]])*tabCustoUnit[[#This Row],[PIS + COFINS + ISS (Total Conversão  Alíquota s/ Fatura)]]</f>
        <v>#NAME?</v>
      </c>
      <c r="BW291" s="22" t="e">
        <f ca="1">tabCustoUnit[[#This Row],[Custos Indiretos]]+tabCustoUnit[[#This Row],[Lucro]]+tabCustoUnit[[#This Row],[Valor dos Tributos (ISS, PIS, CONFINS)]]</f>
        <v>#NAME?</v>
      </c>
      <c r="BX291" s="22" t="e">
        <f ca="1">tabCustoUnit[[#This Row],[TOTAL MÓDULOS 1+2+3+4+5]]+tabCustoUnit[[#This Row],[MÓDULO 6 – CUSTOS INDIRETOS, TRIBUTOS E LUCRO]]</f>
        <v>#NAME?</v>
      </c>
      <c r="BY291" s="22" t="e">
        <f ca="1">tabCustoUnit[[#This Row],[CUSTO TOTAL MENSAL]]*12</f>
        <v>#NAME?</v>
      </c>
      <c r="BZ291" s="24">
        <f>VLOOKUP(tabCustoUnit[[#This Row],[Código do Posto]],tabParametros[],MATCH(tabCustoUnit[[#Headers],[ANO DA CCT]],tabParametros[#Headers],0),0)</f>
        <v>45658</v>
      </c>
      <c r="CA291" s="25" t="str">
        <f>VLOOKUP(tabCustoUnit[[#This Row],[Código do Posto]],tabParametros[],MATCH(tabCustoUnit[[#Headers],[Nº DE PEDIDO DA CCT]],tabParametros[#Headers],0),0)</f>
        <v>-</v>
      </c>
      <c r="CB291" s="25" t="str">
        <f>VLOOKUP(tabCustoUnit[[#This Row],[Código do Posto]],tabParametros[],MATCH(tabCustoUnit[[#Headers],[TERMO ADITIVO ALTERAÇÃO DA CCT]],tabParametros[#Headers],0),0)</f>
        <v>-</v>
      </c>
    </row>
    <row r="292" spans="1:80">
      <c r="A292" s="20" t="s">
        <v>1707</v>
      </c>
      <c r="B292" t="s">
        <v>1032</v>
      </c>
      <c r="C292" t="s">
        <v>309</v>
      </c>
      <c r="D292" t="s">
        <v>1032</v>
      </c>
      <c r="E292" s="20" t="s">
        <v>1090</v>
      </c>
      <c r="F292" s="20" t="s">
        <v>120</v>
      </c>
      <c r="G292" s="418">
        <v>2028.3516999999999</v>
      </c>
      <c r="H292" s="418">
        <v>0</v>
      </c>
      <c r="I292" s="418">
        <v>0</v>
      </c>
      <c r="J292" s="418">
        <v>408.71289999999999</v>
      </c>
      <c r="K292" s="418">
        <v>0</v>
      </c>
      <c r="L292" s="418">
        <v>0</v>
      </c>
      <c r="M292" s="418">
        <v>0</v>
      </c>
      <c r="N292" s="418">
        <v>0</v>
      </c>
      <c r="O292" s="21">
        <f>SUM(tabCustoUnit[[#This Row],[Salário Base]:[Adicional de Acúmulo de função]])</f>
        <v>2437.0645999999997</v>
      </c>
      <c r="P292" s="21">
        <f>tabCustoUnit[[#This Row],[MODULO 1 - REMUNERAÇÃO ]]*SUMIFS(tabParametros[INSS],tabParametros[Código do Posto],tabCustoUnit[[#This Row],[Código do Posto]])</f>
        <v>487.41291999999999</v>
      </c>
      <c r="Q292" s="21">
        <f>tabCustoUnit[[#This Row],[MODULO 1 - REMUNERAÇÃO ]]*SUMIFS(tabParametros[SESI OU SESC],tabParametros[Código do Posto],tabCustoUnit[[#This Row],[Código do Posto]])</f>
        <v>36.555968999999997</v>
      </c>
      <c r="R292" s="21">
        <f>tabCustoUnit[[#This Row],[MODULO 1 - REMUNERAÇÃO ]]*SUMIFS(tabParametros[SENAI OU SENAC],tabParametros[Código do Posto],tabCustoUnit[[#This Row],[Código do Posto]])</f>
        <v>24.370645999999997</v>
      </c>
      <c r="S292" s="21">
        <f>tabCustoUnit[[#This Row],[MODULO 1 - REMUNERAÇÃO ]]*SUMIFS(tabParametros[INCRA],tabParametros[Código do Posto],tabCustoUnit[[#This Row],[Código do Posto]])</f>
        <v>4.8741291999999996</v>
      </c>
      <c r="T292" s="21">
        <f>tabCustoUnit[[#This Row],[MODULO 1 - REMUNERAÇÃO ]]*SUMIFS(tabParametros[Salário Educação],tabParametros[Código do Posto],tabCustoUnit[[#This Row],[Código do Posto]])</f>
        <v>60.926614999999998</v>
      </c>
      <c r="U292" s="21">
        <f>tabCustoUnit[[#This Row],[MODULO 1 - REMUNERAÇÃO ]]*SUMIFS(tabParametros[FGTS],tabParametros[Código do Posto],tabCustoUnit[[#This Row],[Código do Posto]])</f>
        <v>194.96516799999998</v>
      </c>
      <c r="V292" s="21">
        <f>tabCustoUnit[[#This Row],[MODULO 1 - REMUNERAÇÃO ]]*SUMIFS(tabParametros[RAT Ajustado],tabParametros[Código do Posto],tabCustoUnit[[#This Row],[Código do Posto]])</f>
        <v>97.482583999999989</v>
      </c>
      <c r="W292" s="21">
        <f>tabCustoUnit[[#This Row],[MODULO 1 - REMUNERAÇÃO ]]*SUMIFS(tabParametros[SEBRAE],tabParametros[Código do Posto],tabCustoUnit[[#This Row],[Código do Posto]])</f>
        <v>14.622387599999998</v>
      </c>
      <c r="X292" s="21">
        <f>SUM(tabCustoUnit[[#This Row],[INSS]:[SEBRAE]])</f>
        <v>921.21041879999984</v>
      </c>
      <c r="Y292" s="21">
        <f>tabCustoUnit[[#This Row],[MODULO 1 - REMUNERAÇÃO ]]*SUMIFS(tabParametros[13º salário (titular)],tabParametros[Código do Posto],tabCustoUnit[[#This Row],[Código do Posto]])</f>
        <v>203.08871666666664</v>
      </c>
      <c r="Z292" s="21">
        <f>tabCustoUnit[[#This Row],[MODULO 1 - REMUNERAÇÃO ]]*SUMIFS(tabParametros[Férias e Adicional de Férias (titular)],tabParametros[Código do Posto],tabCustoUnit[[#This Row],[Código do Posto]])</f>
        <v>270.78495555555548</v>
      </c>
      <c r="AA292" s="21">
        <f>IFERROR((tabCustoUnit[[#This Row],[Submódulo 2.1]]/tabCustoUnit[[#This Row],[MODULO 1 - REMUNERAÇÃO ]])*SUM(tabCustoUnit[[#This Row],[13º salário (titular)]:[Férias e Adicional de Férias (titular)]]),0)</f>
        <v>179.12424809999996</v>
      </c>
      <c r="AB292" s="21">
        <f>SUM(tabCustoUnit[[#This Row],[13º salário (titular)]:[Incidência do Submódulo 2.1 sobre 13º Salário, Férias e Adicional de Férias]])</f>
        <v>652.99792032222206</v>
      </c>
      <c r="AC292" s="22" t="e">
        <f ca="1">_xlfn.LET(_xlpm.VT,SUMIF(tabParametros[Código do Posto],tabCustoUnit[[#This Row],[Código do Posto]],tabParametros[Vale - Transporte])*2*20,
IF((_xlpm.VT-tabCustoUnit[[#This Row],[Salário Base]]*0.06)&gt;=0,(_xlpm.VT-tabCustoUnit[[#This Row],[Salário Base]]*0.06),0)
)</f>
        <v>#NAME?</v>
      </c>
      <c r="AD292" s="22">
        <f>IF(SUMIF(tabParametros[Código do Posto],tabCustoUnit[[#This Row],[Código do Posto]],tabParametros[Vale - Alimentação])&lt;=0,0,
SUMIF(tabParametros[Código do Posto],tabCustoUnit[[#This Row],[Código do Posto]],tabParametros[Vale - Alimentação])*20-1)</f>
        <v>582</v>
      </c>
      <c r="AE292" s="22">
        <f>SUMIF(tabParametros[Código do Posto],tabCustoUnit[[#This Row],[Código do Posto]],tabParametros[Cesta Básica])</f>
        <v>0</v>
      </c>
      <c r="AF292" s="22">
        <f>SUMIF(tabParametros[Código do Posto],tabCustoUnit[[#This Row],[Código do Posto]],tabParametros[PAF])</f>
        <v>53.27</v>
      </c>
      <c r="AG292" s="22">
        <f>SUMIF(tabParametros[Código do Posto],tabCustoUnit[[#This Row],[Código do Posto]],tabParametros[PQM])</f>
        <v>0</v>
      </c>
      <c r="AH292" s="22">
        <f>SUMIF(tabParametros[Código do Posto],tabCustoUnit[[#This Row],[Código do Posto]],tabParametros[Abono Único e Especial])</f>
        <v>0</v>
      </c>
      <c r="AI292" s="22">
        <f>SUMIF(tabParametros[Código do Posto],tabCustoUnit[[#This Row],[Código do Posto]],tabParametros[Seguro de Vida])</f>
        <v>3.36</v>
      </c>
      <c r="AJ292" s="22">
        <f>SUMIF(tabParametros[Código do Posto],tabCustoUnit[[#This Row],[Código do Posto]],tabParametros[Despesas de Viagem])</f>
        <v>0</v>
      </c>
      <c r="AK292" s="22" t="e">
        <f ca="1">SUM(tabCustoUnit[[#This Row],[Vale - Transporte (Descontada parcela do empregado)]:[Despesas de Viagem]])</f>
        <v>#NAME?</v>
      </c>
      <c r="AL292" s="22" t="e">
        <f ca="1">tabCustoUnit[[#This Row],[Submódulo 2.1]]+tabCustoUnit[[#This Row],[Submódulo 2.2]]+tabCustoUnit[[#This Row],[Submódulo 2.3]]</f>
        <v>#NAME?</v>
      </c>
      <c r="AM292" s="22">
        <f>SUMIF(tabParametros[Código do Posto],tabCustoUnit[[#This Row],[Código do Posto]],tabParametros[Aviso Prévio Indenizado (API) e Reflexo do Aviso Prévio Indenizado])*tabCustoUnit[[#This Row],[MODULO 1 - REMUNERAÇÃO ]]</f>
        <v>17.088129078973765</v>
      </c>
      <c r="AN292" s="22">
        <f>SUMIF(tabParametros[Código do Posto],tabCustoUnit[[#This Row],[Código do Posto]],tabParametros[Incidência do FGTS sobre API e Reflexo do API])*tabCustoUnit[[#This Row],[MODULO 1 - REMUNERAÇÃO ]]</f>
        <v>1.3670503263179012</v>
      </c>
      <c r="AO292" s="22">
        <f>SUMIF(tabParametros[Código do Posto],tabCustoUnit[[#This Row],[Código do Posto]],tabParametros[Multa Rescisória do FGTS sobre o Aviso Prévio Indenizado])*tabCustoUnit[[#This Row],[MODULO 1 - REMUNERAÇÃO ]]</f>
        <v>0.5468201305271605</v>
      </c>
      <c r="AP292" s="22">
        <f>SUMIF(tabParametros[Código do Posto],tabCustoUnit[[#This Row],[Código do Posto]],tabParametros[Aviso Prévio Trabalhado - APT])*tabCustoUnit[[#This Row],[MODULO 1 - REMUNERAÇÃO ]]</f>
        <v>8.5297260999999995</v>
      </c>
      <c r="AQ292" s="22">
        <f>SUMIF(tabParametros[Código do Posto],tabCustoUnit[[#This Row],[Código do Posto]],tabParametros[Incidência dos encargos do submódulo 2.1 sobre Aviso Prévio Trabalhado])*tabCustoUnit[[#This Row],[MODULO 1 - REMUNERAÇÃO ]]</f>
        <v>3.2242364658000007</v>
      </c>
      <c r="AR292" s="22">
        <f>SUMIF(tabParametros[Código do Posto],tabCustoUnit[[#This Row],[Código do Posto]],tabParametros[Multa Rescisória do FGTS])*tabCustoUnit[[#This Row],[MODULO 1 - REMUNERAÇÃO ]]</f>
        <v>74.520019768888872</v>
      </c>
      <c r="AS292" s="22">
        <f>SUMIF(tabParametros[Código do Posto],tabCustoUnit[[#This Row],[Código do Posto]],tabParametros[Indenização Adicional (Art. 9º da Lei nº 7.238/84)])*tabCustoUnit[[#This Row],[MODULO 1 - REMUNERAÇÃO ]]</f>
        <v>2.0308871666666666</v>
      </c>
      <c r="AT292" s="22">
        <f>SUM(tabCustoUnit[[#This Row],[Aviso Prévio Indenizado (API) e Reflexo do Aviso Prévio Indenizado]:[Indenização Adicional (Art. 9º da Lei nº 7.238/84)]])</f>
        <v>107.30686903717437</v>
      </c>
      <c r="AU292" s="22">
        <f>SUMIF(tabParametros[Código do Posto],tabCustoUnit[[#This Row],[Código do Posto]],tabParametros[Ausência por Doença])*tabCustoUnit[[#This Row],[MODULO 1 - REMUNERAÇÃO ]]</f>
        <v>20.579656622222217</v>
      </c>
      <c r="AV292" s="22">
        <f>SUMIF(tabParametros[Código do Posto],tabCustoUnit[[#This Row],[Código do Posto]],tabParametros[Ausências Legais])*tabCustoUnit[[#This Row],[MODULO 1 - REMUNERAÇÃO ]]</f>
        <v>4.9418254388888876</v>
      </c>
      <c r="AW292" s="22">
        <f>SUMIF(tabParametros[Código do Posto],tabCustoUnit[[#This Row],[Código do Posto]],tabParametros[Licença Paternidade])*tabCustoUnit[[#This Row],[MODULO 1 - REMUNERAÇÃO ]]</f>
        <v>0.41633186916666659</v>
      </c>
      <c r="AX292" s="22">
        <f>SUMIF(tabParametros[Código do Posto],tabCustoUnit[[#This Row],[Código do Posto]],tabParametros[Ausência por Acidente de Trabalho])*tabCustoUnit[[#This Row],[MODULO 1 - REMUNERAÇÃO ]]</f>
        <v>0.50772179166666664</v>
      </c>
      <c r="AY292" s="22">
        <f>SUMIF(tabParametros[Código do Posto],tabCustoUnit[[#This Row],[Código do Posto]],tabParametros[Férias, Adicional de Férias e 13º  com empregada em gozo de Licença Maternidade])*tabCustoUnit[[#This Row],[MODULO 1 - REMUNERAÇÃO ]]</f>
        <v>3.1591578148148143</v>
      </c>
      <c r="AZ292" s="22">
        <f>SUMIF(tabParametros[Código do Posto],tabCustoUnit[[#This Row],[Código do Posto]],tabParametros[Incidência do Submódulo 2.1 sobre Ausências Legais])*tabCustoUnit[[#This Row],[MODULO 1 - REMUNERAÇÃO ]]</f>
        <v>11.190574156895</v>
      </c>
      <c r="BA292" s="22">
        <f>SUM(tabCustoUnit[[#This Row],[Ausência por Doença]:[Incidência do Submódulo 2.1 sobre Ausências Legais]])</f>
        <v>40.795267693654253</v>
      </c>
      <c r="BB292" s="22">
        <f>SUMIF(tabParametros[Código do Posto],tabCustoUnit[[#This Row],[Código do Posto]],tabParametros[Intervalo para Repouso ou Alimentação])</f>
        <v>269.81786293519025</v>
      </c>
      <c r="BC292" s="22">
        <f>tabCustoUnit[[#This Row],[Intervalo para Repouso ou Alimentação]]</f>
        <v>269.81786293519025</v>
      </c>
      <c r="BD29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2" s="22">
        <f>tabCustoUnit[[#This Row],[Suspensão Temporária do Contrato de Trabalho]]</f>
        <v>0</v>
      </c>
      <c r="BF292" s="22">
        <f>tabCustoUnit[[#This Row],[Submódulo 4.1]]+tabCustoUnit[[#This Row],[Submódulo 4.2]]+tabCustoUnit[[#This Row],[Submódulo 4.3]]</f>
        <v>310.61313062884449</v>
      </c>
      <c r="BG292" s="22">
        <f>VLOOKUP(tabCustoUnit[[#This Row],[Código do Posto]],tabParametros[],MATCH(tabCustoUnit[[#Headers],[Uniformes e EPIs]],tabParametros[#Headers],0),0)</f>
        <v>56.642978962543395</v>
      </c>
      <c r="BH292" s="22">
        <f>VLOOKUP(tabCustoUnit[[#This Row],[Código do Posto]],tabParametros[],MATCH(tabCustoUnit[[#Headers],[Materiais de Consumo]],tabParametros[#Headers],0),0)</f>
        <v>0</v>
      </c>
      <c r="BI292" s="22">
        <f>VLOOKUP(tabCustoUnit[[#This Row],[Código do Posto]],tabParametros[],MATCH(tabCustoUnit[[#Headers],[Máquinas e Equipamentos (depreciação)]],tabParametros[#Headers],0),0)</f>
        <v>0</v>
      </c>
      <c r="BJ292" s="22">
        <f>VLOOKUP(tabCustoUnit[[#This Row],[Código do Posto]],tabParametros[],MATCH(tabCustoUnit[[#Headers],[Produtos de Limpeza e Materiais de Higiene Pessoal]],tabParametros[#Headers],0),0)</f>
        <v>0</v>
      </c>
      <c r="BK292" s="22">
        <f>VLOOKUP(tabCustoUnit[[#This Row],[Código do Posto]],tabParametros[],MATCH(tabCustoUnit[[#Headers],[Outros (especificar)]],tabParametros[#Headers],0),0)</f>
        <v>0</v>
      </c>
      <c r="BL292" s="22">
        <f>SUM(tabCustoUnit[[#This Row],[Uniformes e EPIs]:[Outros (especificar)]])</f>
        <v>56.642978962543395</v>
      </c>
      <c r="BM29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2" s="22" t="e">
        <f ca="1">VLOOKUP(tabCustoUnit[[#This Row],[Código do Posto]],tabParametros[],MATCH(tabCustoUnit[[#Headers],[Custos Indiretos]],tabParametros[#Headers],0),0)</f>
        <v>#NAME?</v>
      </c>
      <c r="BO292" s="22" t="e">
        <f ca="1">VLOOKUP(tabCustoUnit[[#This Row],[Código do Posto]],tabParametros[],MATCH(tabCustoUnit[[#Headers],[Lucro]],tabParametros[#Headers],0),0)</f>
        <v>#NAME?</v>
      </c>
      <c r="BP292" s="26">
        <f>((100/((1-tabCustoUnit[[#This Row],[Resumo de Alíquotas (PIS+CONFINS+ISS)]]))-100)*VLOOKUP(tabCustoUnit[[#This Row],[Código do Posto]],tabParametros[],MATCH(tabCustoUnit[[#Headers],[COFINS]],tabParametros[#Headers],0),0))/(tabCustoUnit[[#This Row],[Resumo de Alíquotas (PIS+CONFINS+ISS)]]*100)</f>
        <v>8.6609686609686695E-2</v>
      </c>
      <c r="BQ292" s="26">
        <f>((100/((100-(tabCustoUnit[[#This Row],[Resumo de Alíquotas (PIS+CONFINS+ISS)]]*100))%)-100)*VLOOKUP(tabCustoUnit[[#This Row],[Código do Posto]],tabParametros[],MATCH(tabCustoUnit[[#Headers],[PIS]],tabParametros[#Headers],0),0))/(tabCustoUnit[[#This Row],[Resumo de Alíquotas (PIS+CONFINS+ISS)]]*100)</f>
        <v>1.880341880341882E-2</v>
      </c>
      <c r="BR292" s="28">
        <f>VLOOKUP(tabCustoUnit[[#This Row],[Código do Posto]],tabParametros[],MATCH(tabCustoUnit[[#Headers],[ISS]],tabParametros[#Headers],0),0)</f>
        <v>0.03</v>
      </c>
      <c r="BS292" s="26">
        <f>(((100/((100-(tabCustoUnit[[#This Row],[Resumo de Alíquotas (PIS+CONFINS+ISS)]]*100))%)-100)*tabCustoUnit[[#This Row],[ISS]])/tabCustoUnit[[#This Row],[Resumo de Alíquotas (PIS+CONFINS+ISS)]])/100</f>
        <v>3.4188034188034219E-2</v>
      </c>
      <c r="BT29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92" s="138">
        <f>tabCustoUnit[[#This Row],[COFINS]]+tabCustoUnit[[#This Row],[PIS]]+tabCustoUnit[[#This Row],[ISS (Conversão Alíquota s/ fatura)]]</f>
        <v>0.13960113960113973</v>
      </c>
      <c r="BV292" s="22" t="e">
        <f ca="1">(tabCustoUnit[[#This Row],[TOTAL MÓDULOS 1+2+3+4+5]]+tabCustoUnit[[#This Row],[Custos Indiretos]]+tabCustoUnit[[#This Row],[Lucro]])*tabCustoUnit[[#This Row],[PIS + COFINS + ISS (Total Conversão  Alíquota s/ Fatura)]]</f>
        <v>#NAME?</v>
      </c>
      <c r="BW292" s="22" t="e">
        <f ca="1">tabCustoUnit[[#This Row],[Custos Indiretos]]+tabCustoUnit[[#This Row],[Lucro]]+tabCustoUnit[[#This Row],[Valor dos Tributos (ISS, PIS, CONFINS)]]</f>
        <v>#NAME?</v>
      </c>
      <c r="BX292" s="22" t="e">
        <f ca="1">tabCustoUnit[[#This Row],[TOTAL MÓDULOS 1+2+3+4+5]]+tabCustoUnit[[#This Row],[MÓDULO 6 – CUSTOS INDIRETOS, TRIBUTOS E LUCRO]]</f>
        <v>#NAME?</v>
      </c>
      <c r="BY292" s="22" t="e">
        <f ca="1">tabCustoUnit[[#This Row],[CUSTO TOTAL MENSAL]]*12</f>
        <v>#NAME?</v>
      </c>
      <c r="BZ292" s="24">
        <f>VLOOKUP(tabCustoUnit[[#This Row],[Código do Posto]],tabParametros[],MATCH(tabCustoUnit[[#Headers],[ANO DA CCT]],tabParametros[#Headers],0),0)</f>
        <v>45658</v>
      </c>
      <c r="CA292" s="25" t="str">
        <f>VLOOKUP(tabCustoUnit[[#This Row],[Código do Posto]],tabParametros[],MATCH(tabCustoUnit[[#Headers],[Nº DE PEDIDO DA CCT]],tabParametros[#Headers],0),0)</f>
        <v>-</v>
      </c>
      <c r="CB292" s="25" t="str">
        <f>VLOOKUP(tabCustoUnit[[#This Row],[Código do Posto]],tabParametros[],MATCH(tabCustoUnit[[#Headers],[TERMO ADITIVO ALTERAÇÃO DA CCT]],tabParametros[#Headers],0),0)</f>
        <v>-</v>
      </c>
    </row>
    <row r="293" spans="1:80">
      <c r="A293" s="20" t="s">
        <v>1708</v>
      </c>
      <c r="B293" t="s">
        <v>1206</v>
      </c>
      <c r="C293" t="s">
        <v>314</v>
      </c>
      <c r="D293" t="s">
        <v>1048</v>
      </c>
      <c r="E293" s="20" t="s">
        <v>1090</v>
      </c>
      <c r="F293" s="20" t="s">
        <v>120</v>
      </c>
      <c r="G293" s="418">
        <v>1963.4110000000001</v>
      </c>
      <c r="H293" s="418">
        <v>0</v>
      </c>
      <c r="I293" s="418">
        <v>0</v>
      </c>
      <c r="J293" s="418">
        <v>0</v>
      </c>
      <c r="K293" s="418">
        <v>0</v>
      </c>
      <c r="L293" s="418">
        <v>0</v>
      </c>
      <c r="M293" s="418">
        <v>0</v>
      </c>
      <c r="N293" s="418">
        <v>0</v>
      </c>
      <c r="O293" s="21">
        <f>SUM(tabCustoUnit[[#This Row],[Salário Base]:[Adicional de Acúmulo de função]])</f>
        <v>1963.4110000000001</v>
      </c>
      <c r="P293" s="21">
        <f>tabCustoUnit[[#This Row],[MODULO 1 - REMUNERAÇÃO ]]*SUMIFS(tabParametros[INSS],tabParametros[Código do Posto],tabCustoUnit[[#This Row],[Código do Posto]])</f>
        <v>392.68220000000002</v>
      </c>
      <c r="Q293" s="21">
        <f>tabCustoUnit[[#This Row],[MODULO 1 - REMUNERAÇÃO ]]*SUMIFS(tabParametros[SESI OU SESC],tabParametros[Código do Posto],tabCustoUnit[[#This Row],[Código do Posto]])</f>
        <v>29.451165</v>
      </c>
      <c r="R293" s="21">
        <f>tabCustoUnit[[#This Row],[MODULO 1 - REMUNERAÇÃO ]]*SUMIFS(tabParametros[SENAI OU SENAC],tabParametros[Código do Posto],tabCustoUnit[[#This Row],[Código do Posto]])</f>
        <v>19.63411</v>
      </c>
      <c r="S293" s="21">
        <f>tabCustoUnit[[#This Row],[MODULO 1 - REMUNERAÇÃO ]]*SUMIFS(tabParametros[INCRA],tabParametros[Código do Posto],tabCustoUnit[[#This Row],[Código do Posto]])</f>
        <v>3.926822</v>
      </c>
      <c r="T293" s="21">
        <f>tabCustoUnit[[#This Row],[MODULO 1 - REMUNERAÇÃO ]]*SUMIFS(tabParametros[Salário Educação],tabParametros[Código do Posto],tabCustoUnit[[#This Row],[Código do Posto]])</f>
        <v>49.085275000000003</v>
      </c>
      <c r="U293" s="21">
        <f>tabCustoUnit[[#This Row],[MODULO 1 - REMUNERAÇÃO ]]*SUMIFS(tabParametros[FGTS],tabParametros[Código do Posto],tabCustoUnit[[#This Row],[Código do Posto]])</f>
        <v>157.07288</v>
      </c>
      <c r="V293" s="21">
        <f>tabCustoUnit[[#This Row],[MODULO 1 - REMUNERAÇÃO ]]*SUMIFS(tabParametros[RAT Ajustado],tabParametros[Código do Posto],tabCustoUnit[[#This Row],[Código do Posto]])</f>
        <v>78.536439999999999</v>
      </c>
      <c r="W293" s="21">
        <f>tabCustoUnit[[#This Row],[MODULO 1 - REMUNERAÇÃO ]]*SUMIFS(tabParametros[SEBRAE],tabParametros[Código do Posto],tabCustoUnit[[#This Row],[Código do Posto]])</f>
        <v>11.780466000000001</v>
      </c>
      <c r="X293" s="21">
        <f>SUM(tabCustoUnit[[#This Row],[INSS]:[SEBRAE]])</f>
        <v>742.1693580000001</v>
      </c>
      <c r="Y293" s="21">
        <f>tabCustoUnit[[#This Row],[MODULO 1 - REMUNERAÇÃO ]]*SUMIFS(tabParametros[13º salário (titular)],tabParametros[Código do Posto],tabCustoUnit[[#This Row],[Código do Posto]])</f>
        <v>163.61758333333333</v>
      </c>
      <c r="Z293" s="21">
        <f>tabCustoUnit[[#This Row],[MODULO 1 - REMUNERAÇÃO ]]*SUMIFS(tabParametros[Férias e Adicional de Férias (titular)],tabParametros[Código do Posto],tabCustoUnit[[#This Row],[Código do Posto]])</f>
        <v>218.15677777777776</v>
      </c>
      <c r="AA293" s="21">
        <f>IFERROR((tabCustoUnit[[#This Row],[Submódulo 2.1]]/tabCustoUnit[[#This Row],[MODULO 1 - REMUNERAÇÃO ]])*SUM(tabCustoUnit[[#This Row],[13º salário (titular)]:[Férias e Adicional de Férias (titular)]]),0)</f>
        <v>144.3107085</v>
      </c>
      <c r="AB293" s="21">
        <f>SUM(tabCustoUnit[[#This Row],[13º salário (titular)]:[Incidência do Submódulo 2.1 sobre 13º Salário, Férias e Adicional de Férias]])</f>
        <v>526.08506961111107</v>
      </c>
      <c r="AC293" s="22" t="e">
        <f ca="1">_xlfn.LET(_xlpm.VT,SUMIF(tabParametros[Código do Posto],tabCustoUnit[[#This Row],[Código do Posto]],tabParametros[Vale - Transporte])*2*20,
IF((_xlpm.VT-tabCustoUnit[[#This Row],[Salário Base]]*0.06)&gt;=0,(_xlpm.VT-tabCustoUnit[[#This Row],[Salário Base]]*0.06),0)
)</f>
        <v>#NAME?</v>
      </c>
      <c r="AD293" s="22">
        <f>IF(SUMIF(tabParametros[Código do Posto],tabCustoUnit[[#This Row],[Código do Posto]],tabParametros[Vale - Alimentação])&lt;=0,0,
SUMIF(tabParametros[Código do Posto],tabCustoUnit[[#This Row],[Código do Posto]],tabParametros[Vale - Alimentação])*20-1)</f>
        <v>582</v>
      </c>
      <c r="AE293" s="22">
        <f>SUMIF(tabParametros[Código do Posto],tabCustoUnit[[#This Row],[Código do Posto]],tabParametros[Cesta Básica])</f>
        <v>0</v>
      </c>
      <c r="AF293" s="22">
        <f>SUMIF(tabParametros[Código do Posto],tabCustoUnit[[#This Row],[Código do Posto]],tabParametros[PAF])</f>
        <v>0</v>
      </c>
      <c r="AG293" s="22">
        <f>SUMIF(tabParametros[Código do Posto],tabCustoUnit[[#This Row],[Código do Posto]],tabParametros[PQM])</f>
        <v>0</v>
      </c>
      <c r="AH293" s="22">
        <f>SUMIF(tabParametros[Código do Posto],tabCustoUnit[[#This Row],[Código do Posto]],tabParametros[Abono Único e Especial])</f>
        <v>0</v>
      </c>
      <c r="AI293" s="22">
        <f>SUMIF(tabParametros[Código do Posto],tabCustoUnit[[#This Row],[Código do Posto]],tabParametros[Seguro de Vida])</f>
        <v>3.36</v>
      </c>
      <c r="AJ293" s="22">
        <f>SUMIF(tabParametros[Código do Posto],tabCustoUnit[[#This Row],[Código do Posto]],tabParametros[Despesas de Viagem])</f>
        <v>0</v>
      </c>
      <c r="AK293" s="22" t="e">
        <f ca="1">SUM(tabCustoUnit[[#This Row],[Vale - Transporte (Descontada parcela do empregado)]:[Despesas de Viagem]])</f>
        <v>#NAME?</v>
      </c>
      <c r="AL293" s="22" t="e">
        <f ca="1">tabCustoUnit[[#This Row],[Submódulo 2.1]]+tabCustoUnit[[#This Row],[Submódulo 2.2]]+tabCustoUnit[[#This Row],[Submódulo 2.3]]</f>
        <v>#NAME?</v>
      </c>
      <c r="AM293" s="22">
        <f>SUMIF(tabParametros[Código do Posto],tabCustoUnit[[#This Row],[Código do Posto]],tabParametros[Aviso Prévio Indenizado (API) e Reflexo do Aviso Prévio Indenizado])*tabCustoUnit[[#This Row],[MODULO 1 - REMUNERAÇÃO ]]</f>
        <v>13.766980408757716</v>
      </c>
      <c r="AN293" s="22">
        <f>SUMIF(tabParametros[Código do Posto],tabCustoUnit[[#This Row],[Código do Posto]],tabParametros[Incidência do FGTS sobre API e Reflexo do API])*tabCustoUnit[[#This Row],[MODULO 1 - REMUNERAÇÃO ]]</f>
        <v>1.1013584327006174</v>
      </c>
      <c r="AO293" s="22">
        <f>SUMIF(tabParametros[Código do Posto],tabCustoUnit[[#This Row],[Código do Posto]],tabParametros[Multa Rescisória do FGTS sobre o Aviso Prévio Indenizado])*tabCustoUnit[[#This Row],[MODULO 1 - REMUNERAÇÃO ]]</f>
        <v>0.44054337308024699</v>
      </c>
      <c r="AP293" s="22">
        <f>SUMIF(tabParametros[Código do Posto],tabCustoUnit[[#This Row],[Código do Posto]],tabParametros[Aviso Prévio Trabalhado - APT])*tabCustoUnit[[#This Row],[MODULO 1 - REMUNERAÇÃO ]]</f>
        <v>6.8719385000000015</v>
      </c>
      <c r="AQ293" s="22">
        <f>SUMIF(tabParametros[Código do Posto],tabCustoUnit[[#This Row],[Código do Posto]],tabParametros[Incidência dos encargos do submódulo 2.1 sobre Aviso Prévio Trabalhado])*tabCustoUnit[[#This Row],[MODULO 1 - REMUNERAÇÃO ]]</f>
        <v>2.5975927530000007</v>
      </c>
      <c r="AR293" s="22">
        <f>SUMIF(tabParametros[Código do Posto],tabCustoUnit[[#This Row],[Código do Posto]],tabParametros[Multa Rescisória do FGTS])*tabCustoUnit[[#This Row],[MODULO 1 - REMUNERAÇÃO ]]</f>
        <v>60.03674524444444</v>
      </c>
      <c r="AS293" s="22">
        <f>SUMIF(tabParametros[Código do Posto],tabCustoUnit[[#This Row],[Código do Posto]],tabParametros[Indenização Adicional (Art. 9º da Lei nº 7.238/84)])*tabCustoUnit[[#This Row],[MODULO 1 - REMUNERAÇÃO ]]</f>
        <v>1.6361758333333334</v>
      </c>
      <c r="AT293" s="22">
        <f>SUM(tabCustoUnit[[#This Row],[Aviso Prévio Indenizado (API) e Reflexo do Aviso Prévio Indenizado]:[Indenização Adicional (Art. 9º da Lei nº 7.238/84)]])</f>
        <v>86.451334545316371</v>
      </c>
      <c r="AU293" s="22">
        <f>SUMIF(tabParametros[Código do Posto],tabCustoUnit[[#This Row],[Código do Posto]],tabParametros[Ausência por Doença])*tabCustoUnit[[#This Row],[MODULO 1 - REMUNERAÇÃO ]]</f>
        <v>16.579915111111109</v>
      </c>
      <c r="AV293" s="22">
        <f>SUMIF(tabParametros[Código do Posto],tabCustoUnit[[#This Row],[Código do Posto]],tabParametros[Ausências Legais])*tabCustoUnit[[#This Row],[MODULO 1 - REMUNERAÇÃO ]]</f>
        <v>3.9813611944444443</v>
      </c>
      <c r="AW293" s="22">
        <f>SUMIF(tabParametros[Código do Posto],tabCustoUnit[[#This Row],[Código do Posto]],tabParametros[Licença Paternidade])*tabCustoUnit[[#This Row],[MODULO 1 - REMUNERAÇÃO ]]</f>
        <v>0.33541604583333334</v>
      </c>
      <c r="AX293" s="22">
        <f>SUMIF(tabParametros[Código do Posto],tabCustoUnit[[#This Row],[Código do Posto]],tabParametros[Ausência por Acidente de Trabalho])*tabCustoUnit[[#This Row],[MODULO 1 - REMUNERAÇÃO ]]</f>
        <v>0.40904395833333335</v>
      </c>
      <c r="AY293" s="22">
        <f>SUMIF(tabParametros[Código do Posto],tabCustoUnit[[#This Row],[Código do Posto]],tabParametros[Férias, Adicional de Férias e 13º  com empregada em gozo de Licença Maternidade])*tabCustoUnit[[#This Row],[MODULO 1 - REMUNERAÇÃO ]]</f>
        <v>2.5451624074074073</v>
      </c>
      <c r="AZ293" s="22">
        <f>SUMIF(tabParametros[Código do Posto],tabCustoUnit[[#This Row],[Código do Posto]],tabParametros[Incidência do Submódulo 2.1 sobre Ausências Legais])*tabCustoUnit[[#This Row],[MODULO 1 - REMUNERAÇÃO ]]</f>
        <v>9.0156397150750021</v>
      </c>
      <c r="BA293" s="22">
        <f>SUM(tabCustoUnit[[#This Row],[Ausência por Doença]:[Incidência do Submódulo 2.1 sobre Ausências Legais]])</f>
        <v>32.866538432204628</v>
      </c>
      <c r="BB293" s="22">
        <f>SUMIF(tabParametros[Código do Posto],tabCustoUnit[[#This Row],[Código do Posto]],tabParametros[Intervalo para Repouso ou Alimentação])</f>
        <v>267.73786489195959</v>
      </c>
      <c r="BC293" s="22">
        <f>tabCustoUnit[[#This Row],[Intervalo para Repouso ou Alimentação]]</f>
        <v>267.73786489195959</v>
      </c>
      <c r="BD29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3" s="22">
        <f>tabCustoUnit[[#This Row],[Suspensão Temporária do Contrato de Trabalho]]</f>
        <v>0</v>
      </c>
      <c r="BF293" s="22">
        <f>tabCustoUnit[[#This Row],[Submódulo 4.1]]+tabCustoUnit[[#This Row],[Submódulo 4.2]]+tabCustoUnit[[#This Row],[Submódulo 4.3]]</f>
        <v>300.6044033241642</v>
      </c>
      <c r="BG293" s="22">
        <f>VLOOKUP(tabCustoUnit[[#This Row],[Código do Posto]],tabParametros[],MATCH(tabCustoUnit[[#Headers],[Uniformes e EPIs]],tabParametros[#Headers],0),0)</f>
        <v>56.642978962543395</v>
      </c>
      <c r="BH293" s="22">
        <f>VLOOKUP(tabCustoUnit[[#This Row],[Código do Posto]],tabParametros[],MATCH(tabCustoUnit[[#Headers],[Materiais de Consumo]],tabParametros[#Headers],0),0)</f>
        <v>0</v>
      </c>
      <c r="BI293" s="22">
        <f>VLOOKUP(tabCustoUnit[[#This Row],[Código do Posto]],tabParametros[],MATCH(tabCustoUnit[[#Headers],[Máquinas e Equipamentos (depreciação)]],tabParametros[#Headers],0),0)</f>
        <v>0</v>
      </c>
      <c r="BJ293" s="22">
        <f>VLOOKUP(tabCustoUnit[[#This Row],[Código do Posto]],tabParametros[],MATCH(tabCustoUnit[[#Headers],[Produtos de Limpeza e Materiais de Higiene Pessoal]],tabParametros[#Headers],0),0)</f>
        <v>0</v>
      </c>
      <c r="BK293" s="22">
        <f>VLOOKUP(tabCustoUnit[[#This Row],[Código do Posto]],tabParametros[],MATCH(tabCustoUnit[[#Headers],[Outros (especificar)]],tabParametros[#Headers],0),0)</f>
        <v>0</v>
      </c>
      <c r="BL293" s="22">
        <f>SUM(tabCustoUnit[[#This Row],[Uniformes e EPIs]:[Outros (especificar)]])</f>
        <v>56.642978962543395</v>
      </c>
      <c r="BM29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3" s="22" t="e">
        <f ca="1">VLOOKUP(tabCustoUnit[[#This Row],[Código do Posto]],tabParametros[],MATCH(tabCustoUnit[[#Headers],[Custos Indiretos]],tabParametros[#Headers],0),0)</f>
        <v>#NAME?</v>
      </c>
      <c r="BO293" s="22" t="e">
        <f ca="1">VLOOKUP(tabCustoUnit[[#This Row],[Código do Posto]],tabParametros[],MATCH(tabCustoUnit[[#Headers],[Lucro]],tabParametros[#Headers],0),0)</f>
        <v>#NAME?</v>
      </c>
      <c r="BP293" s="26">
        <f>((100/((1-tabCustoUnit[[#This Row],[Resumo de Alíquotas (PIS+CONFINS+ISS)]]))-100)*VLOOKUP(tabCustoUnit[[#This Row],[Código do Posto]],tabParametros[],MATCH(tabCustoUnit[[#Headers],[COFINS]],tabParametros[#Headers],0),0))/(tabCustoUnit[[#This Row],[Resumo de Alíquotas (PIS+CONFINS+ISS)]]*100)</f>
        <v>8.6609686609686695E-2</v>
      </c>
      <c r="BQ293" s="26">
        <f>((100/((100-(tabCustoUnit[[#This Row],[Resumo de Alíquotas (PIS+CONFINS+ISS)]]*100))%)-100)*VLOOKUP(tabCustoUnit[[#This Row],[Código do Posto]],tabParametros[],MATCH(tabCustoUnit[[#Headers],[PIS]],tabParametros[#Headers],0),0))/(tabCustoUnit[[#This Row],[Resumo de Alíquotas (PIS+CONFINS+ISS)]]*100)</f>
        <v>1.880341880341882E-2</v>
      </c>
      <c r="BR293" s="28">
        <f>VLOOKUP(tabCustoUnit[[#This Row],[Código do Posto]],tabParametros[],MATCH(tabCustoUnit[[#Headers],[ISS]],tabParametros[#Headers],0),0)</f>
        <v>0.03</v>
      </c>
      <c r="BS293" s="26">
        <f>(((100/((100-(tabCustoUnit[[#This Row],[Resumo de Alíquotas (PIS+CONFINS+ISS)]]*100))%)-100)*tabCustoUnit[[#This Row],[ISS]])/tabCustoUnit[[#This Row],[Resumo de Alíquotas (PIS+CONFINS+ISS)]])/100</f>
        <v>3.4188034188034219E-2</v>
      </c>
      <c r="BT29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93" s="138">
        <f>tabCustoUnit[[#This Row],[COFINS]]+tabCustoUnit[[#This Row],[PIS]]+tabCustoUnit[[#This Row],[ISS (Conversão Alíquota s/ fatura)]]</f>
        <v>0.13960113960113973</v>
      </c>
      <c r="BV293" s="22" t="e">
        <f ca="1">(tabCustoUnit[[#This Row],[TOTAL MÓDULOS 1+2+3+4+5]]+tabCustoUnit[[#This Row],[Custos Indiretos]]+tabCustoUnit[[#This Row],[Lucro]])*tabCustoUnit[[#This Row],[PIS + COFINS + ISS (Total Conversão  Alíquota s/ Fatura)]]</f>
        <v>#NAME?</v>
      </c>
      <c r="BW293" s="22" t="e">
        <f ca="1">tabCustoUnit[[#This Row],[Custos Indiretos]]+tabCustoUnit[[#This Row],[Lucro]]+tabCustoUnit[[#This Row],[Valor dos Tributos (ISS, PIS, CONFINS)]]</f>
        <v>#NAME?</v>
      </c>
      <c r="BX293" s="22" t="e">
        <f ca="1">tabCustoUnit[[#This Row],[TOTAL MÓDULOS 1+2+3+4+5]]+tabCustoUnit[[#This Row],[MÓDULO 6 – CUSTOS INDIRETOS, TRIBUTOS E LUCRO]]</f>
        <v>#NAME?</v>
      </c>
      <c r="BY293" s="22" t="e">
        <f ca="1">tabCustoUnit[[#This Row],[CUSTO TOTAL MENSAL]]*12</f>
        <v>#NAME?</v>
      </c>
      <c r="BZ293" s="24">
        <f>VLOOKUP(tabCustoUnit[[#This Row],[Código do Posto]],tabParametros[],MATCH(tabCustoUnit[[#Headers],[ANO DA CCT]],tabParametros[#Headers],0),0)</f>
        <v>45658</v>
      </c>
      <c r="CA293" s="25" t="str">
        <f>VLOOKUP(tabCustoUnit[[#This Row],[Código do Posto]],tabParametros[],MATCH(tabCustoUnit[[#Headers],[Nº DE PEDIDO DA CCT]],tabParametros[#Headers],0),0)</f>
        <v>-</v>
      </c>
      <c r="CB293" s="25" t="str">
        <f>VLOOKUP(tabCustoUnit[[#This Row],[Código do Posto]],tabParametros[],MATCH(tabCustoUnit[[#Headers],[TERMO ADITIVO ALTERAÇÃO DA CCT]],tabParametros[#Headers],0),0)</f>
        <v>-</v>
      </c>
    </row>
    <row r="294" spans="1:80">
      <c r="A294" s="20" t="s">
        <v>1509</v>
      </c>
      <c r="B294" t="s">
        <v>1207</v>
      </c>
      <c r="C294" t="s">
        <v>200</v>
      </c>
      <c r="D294" t="s">
        <v>961</v>
      </c>
      <c r="E294" s="20" t="s">
        <v>1090</v>
      </c>
      <c r="F294" s="20" t="s">
        <v>120</v>
      </c>
      <c r="G294" s="418">
        <v>1596.2737999999999</v>
      </c>
      <c r="H294" s="418">
        <v>0</v>
      </c>
      <c r="I294" s="418">
        <v>0</v>
      </c>
      <c r="J294" s="418">
        <v>0</v>
      </c>
      <c r="K294" s="418">
        <v>0</v>
      </c>
      <c r="L294" s="418">
        <v>0</v>
      </c>
      <c r="M294" s="418">
        <v>0</v>
      </c>
      <c r="N294" s="418">
        <v>0</v>
      </c>
      <c r="O294" s="21">
        <f>SUM(tabCustoUnit[[#This Row],[Salário Base]:[Adicional de Acúmulo de função]])</f>
        <v>1596.2737999999999</v>
      </c>
      <c r="P294" s="21">
        <f>tabCustoUnit[[#This Row],[MODULO 1 - REMUNERAÇÃO ]]*SUMIFS(tabParametros[INSS],tabParametros[Código do Posto],tabCustoUnit[[#This Row],[Código do Posto]])</f>
        <v>319.25476000000003</v>
      </c>
      <c r="Q294" s="21">
        <f>tabCustoUnit[[#This Row],[MODULO 1 - REMUNERAÇÃO ]]*SUMIFS(tabParametros[SESI OU SESC],tabParametros[Código do Posto],tabCustoUnit[[#This Row],[Código do Posto]])</f>
        <v>23.944106999999999</v>
      </c>
      <c r="R294" s="21">
        <f>tabCustoUnit[[#This Row],[MODULO 1 - REMUNERAÇÃO ]]*SUMIFS(tabParametros[SENAI OU SENAC],tabParametros[Código do Posto],tabCustoUnit[[#This Row],[Código do Posto]])</f>
        <v>15.962738</v>
      </c>
      <c r="S294" s="21">
        <f>tabCustoUnit[[#This Row],[MODULO 1 - REMUNERAÇÃO ]]*SUMIFS(tabParametros[INCRA],tabParametros[Código do Posto],tabCustoUnit[[#This Row],[Código do Posto]])</f>
        <v>3.1925476000000002</v>
      </c>
      <c r="T294" s="21">
        <f>tabCustoUnit[[#This Row],[MODULO 1 - REMUNERAÇÃO ]]*SUMIFS(tabParametros[Salário Educação],tabParametros[Código do Posto],tabCustoUnit[[#This Row],[Código do Posto]])</f>
        <v>39.906845000000004</v>
      </c>
      <c r="U294" s="21">
        <f>tabCustoUnit[[#This Row],[MODULO 1 - REMUNERAÇÃO ]]*SUMIFS(tabParametros[FGTS],tabParametros[Código do Posto],tabCustoUnit[[#This Row],[Código do Posto]])</f>
        <v>127.701904</v>
      </c>
      <c r="V294" s="21">
        <f>tabCustoUnit[[#This Row],[MODULO 1 - REMUNERAÇÃO ]]*SUMIFS(tabParametros[RAT Ajustado],tabParametros[Código do Posto],tabCustoUnit[[#This Row],[Código do Posto]])</f>
        <v>63.850951999999999</v>
      </c>
      <c r="W294" s="21">
        <f>tabCustoUnit[[#This Row],[MODULO 1 - REMUNERAÇÃO ]]*SUMIFS(tabParametros[SEBRAE],tabParametros[Código do Posto],tabCustoUnit[[#This Row],[Código do Posto]])</f>
        <v>9.5776427999999996</v>
      </c>
      <c r="X294" s="21">
        <f>SUM(tabCustoUnit[[#This Row],[INSS]:[SEBRAE]])</f>
        <v>603.39149640000005</v>
      </c>
      <c r="Y294" s="21">
        <f>tabCustoUnit[[#This Row],[MODULO 1 - REMUNERAÇÃO ]]*SUMIFS(tabParametros[13º salário (titular)],tabParametros[Código do Posto],tabCustoUnit[[#This Row],[Código do Posto]])</f>
        <v>133.02281666666664</v>
      </c>
      <c r="Z294" s="21">
        <f>tabCustoUnit[[#This Row],[MODULO 1 - REMUNERAÇÃO ]]*SUMIFS(tabParametros[Férias e Adicional de Férias (titular)],tabParametros[Código do Posto],tabCustoUnit[[#This Row],[Código do Posto]])</f>
        <v>177.36375555555554</v>
      </c>
      <c r="AA294" s="21">
        <f>IFERROR((tabCustoUnit[[#This Row],[Submódulo 2.1]]/tabCustoUnit[[#This Row],[MODULO 1 - REMUNERAÇÃO ]])*SUM(tabCustoUnit[[#This Row],[13º salário (titular)]:[Férias e Adicional de Férias (titular)]]),0)</f>
        <v>117.3261243</v>
      </c>
      <c r="AB294" s="21">
        <f>SUM(tabCustoUnit[[#This Row],[13º salário (titular)]:[Incidência do Submódulo 2.1 sobre 13º Salário, Férias e Adicional de Férias]])</f>
        <v>427.71269652222219</v>
      </c>
      <c r="AC294" s="22" t="e">
        <f ca="1">_xlfn.LET(_xlpm.VT,SUMIF(tabParametros[Código do Posto],tabCustoUnit[[#This Row],[Código do Posto]],tabParametros[Vale - Transporte])*2*20,
IF((_xlpm.VT-tabCustoUnit[[#This Row],[Salário Base]]*0.06)&gt;=0,(_xlpm.VT-tabCustoUnit[[#This Row],[Salário Base]]*0.06),0)
)</f>
        <v>#NAME?</v>
      </c>
      <c r="AD294" s="22">
        <f>IF(SUMIF(tabParametros[Código do Posto],tabCustoUnit[[#This Row],[Código do Posto]],tabParametros[Vale - Alimentação])&lt;=0,0,
SUMIF(tabParametros[Código do Posto],tabCustoUnit[[#This Row],[Código do Posto]],tabParametros[Vale - Alimentação])*20-1)</f>
        <v>582</v>
      </c>
      <c r="AE294" s="22">
        <f>SUMIF(tabParametros[Código do Posto],tabCustoUnit[[#This Row],[Código do Posto]],tabParametros[Cesta Básica])</f>
        <v>0</v>
      </c>
      <c r="AF294" s="22">
        <f>SUMIF(tabParametros[Código do Posto],tabCustoUnit[[#This Row],[Código do Posto]],tabParametros[PAF])</f>
        <v>0</v>
      </c>
      <c r="AG294" s="22">
        <f>SUMIF(tabParametros[Código do Posto],tabCustoUnit[[#This Row],[Código do Posto]],tabParametros[PQM])</f>
        <v>0</v>
      </c>
      <c r="AH294" s="22">
        <f>SUMIF(tabParametros[Código do Posto],tabCustoUnit[[#This Row],[Código do Posto]],tabParametros[Abono Único e Especial])</f>
        <v>0</v>
      </c>
      <c r="AI294" s="22">
        <f>SUMIF(tabParametros[Código do Posto],tabCustoUnit[[#This Row],[Código do Posto]],tabParametros[Seguro de Vida])</f>
        <v>3.36</v>
      </c>
      <c r="AJ294" s="22">
        <f>SUMIF(tabParametros[Código do Posto],tabCustoUnit[[#This Row],[Código do Posto]],tabParametros[Despesas de Viagem])</f>
        <v>0</v>
      </c>
      <c r="AK294" s="22" t="e">
        <f ca="1">SUM(tabCustoUnit[[#This Row],[Vale - Transporte (Descontada parcela do empregado)]:[Despesas de Viagem]])</f>
        <v>#NAME?</v>
      </c>
      <c r="AL294" s="22" t="e">
        <f ca="1">tabCustoUnit[[#This Row],[Submódulo 2.1]]+tabCustoUnit[[#This Row],[Submódulo 2.2]]+tabCustoUnit[[#This Row],[Submódulo 2.3]]</f>
        <v>#NAME?</v>
      </c>
      <c r="AM294" s="22">
        <f>SUMIF(tabParametros[Código do Posto],tabCustoUnit[[#This Row],[Código do Posto]],tabParametros[Aviso Prévio Indenizado (API) e Reflexo do Aviso Prévio Indenizado])*tabCustoUnit[[#This Row],[MODULO 1 - REMUNERAÇÃO ]]</f>
        <v>11.192699914390431</v>
      </c>
      <c r="AN294" s="22">
        <f>SUMIF(tabParametros[Código do Posto],tabCustoUnit[[#This Row],[Código do Posto]],tabParametros[Incidência do FGTS sobre API e Reflexo do API])*tabCustoUnit[[#This Row],[MODULO 1 - REMUNERAÇÃO ]]</f>
        <v>0.89541599315123466</v>
      </c>
      <c r="AO294" s="22">
        <f>SUMIF(tabParametros[Código do Posto],tabCustoUnit[[#This Row],[Código do Posto]],tabParametros[Multa Rescisória do FGTS sobre o Aviso Prévio Indenizado])*tabCustoUnit[[#This Row],[MODULO 1 - REMUNERAÇÃO ]]</f>
        <v>0.35816639726049387</v>
      </c>
      <c r="AP294" s="22">
        <f>SUMIF(tabParametros[Código do Posto],tabCustoUnit[[#This Row],[Código do Posto]],tabParametros[Aviso Prévio Trabalhado - APT])*tabCustoUnit[[#This Row],[MODULO 1 - REMUNERAÇÃO ]]</f>
        <v>5.5869583000000009</v>
      </c>
      <c r="AQ294" s="22">
        <f>SUMIF(tabParametros[Código do Posto],tabCustoUnit[[#This Row],[Código do Posto]],tabParametros[Incidência dos encargos do submódulo 2.1 sobre Aviso Prévio Trabalhado])*tabCustoUnit[[#This Row],[MODULO 1 - REMUNERAÇÃO ]]</f>
        <v>2.1118702374000007</v>
      </c>
      <c r="AR294" s="22">
        <f>SUMIF(tabParametros[Código do Posto],tabCustoUnit[[#This Row],[Código do Posto]],tabParametros[Multa Rescisória do FGTS])*tabCustoUnit[[#This Row],[MODULO 1 - REMUNERAÇÃO ]]</f>
        <v>48.810505528888882</v>
      </c>
      <c r="AS294" s="22">
        <f>SUMIF(tabParametros[Código do Posto],tabCustoUnit[[#This Row],[Código do Posto]],tabParametros[Indenização Adicional (Art. 9º da Lei nº 7.238/84)])*tabCustoUnit[[#This Row],[MODULO 1 - REMUNERAÇÃO ]]</f>
        <v>1.3302281666666667</v>
      </c>
      <c r="AT294" s="22">
        <f>SUM(tabCustoUnit[[#This Row],[Aviso Prévio Indenizado (API) e Reflexo do Aviso Prévio Indenizado]:[Indenização Adicional (Art. 9º da Lei nº 7.238/84)]])</f>
        <v>70.285844537757711</v>
      </c>
      <c r="AU294" s="22">
        <f>SUMIF(tabParametros[Código do Posto],tabCustoUnit[[#This Row],[Código do Posto]],tabParametros[Ausência por Doença])*tabCustoUnit[[#This Row],[MODULO 1 - REMUNERAÇÃO ]]</f>
        <v>13.479645422222221</v>
      </c>
      <c r="AV294" s="22">
        <f>SUMIF(tabParametros[Código do Posto],tabCustoUnit[[#This Row],[Código do Posto]],tabParametros[Ausências Legais])*tabCustoUnit[[#This Row],[MODULO 1 - REMUNERAÇÃO ]]</f>
        <v>3.2368885388888886</v>
      </c>
      <c r="AW294" s="22">
        <f>SUMIF(tabParametros[Código do Posto],tabCustoUnit[[#This Row],[Código do Posto]],tabParametros[Licença Paternidade])*tabCustoUnit[[#This Row],[MODULO 1 - REMUNERAÇÃO ]]</f>
        <v>0.27269677416666666</v>
      </c>
      <c r="AX294" s="22">
        <f>SUMIF(tabParametros[Código do Posto],tabCustoUnit[[#This Row],[Código do Posto]],tabParametros[Ausência por Acidente de Trabalho])*tabCustoUnit[[#This Row],[MODULO 1 - REMUNERAÇÃO ]]</f>
        <v>0.33255704166666666</v>
      </c>
      <c r="AY294" s="22">
        <f>SUMIF(tabParametros[Código do Posto],tabCustoUnit[[#This Row],[Código do Posto]],tabParametros[Férias, Adicional de Férias e 13º  com empregada em gozo de Licença Maternidade])*tabCustoUnit[[#This Row],[MODULO 1 - REMUNERAÇÃO ]]</f>
        <v>2.0692438148148145</v>
      </c>
      <c r="AZ294" s="22">
        <f>SUMIF(tabParametros[Código do Posto],tabCustoUnit[[#This Row],[Código do Posto]],tabParametros[Incidência do Submódulo 2.1 sobre Ausências Legais])*tabCustoUnit[[#This Row],[MODULO 1 - REMUNERAÇÃO ]]</f>
        <v>7.3298099416850011</v>
      </c>
      <c r="BA294" s="22">
        <f>SUM(tabCustoUnit[[#This Row],[Ausência por Doença]:[Incidência do Submódulo 2.1 sobre Ausências Legais]])</f>
        <v>26.720841533444265</v>
      </c>
      <c r="BB294" s="22">
        <f>SUMIF(tabParametros[Código do Posto],tabCustoUnit[[#This Row],[Código do Posto]],tabParametros[Intervalo para Repouso ou Alimentação])</f>
        <v>0</v>
      </c>
      <c r="BC294" s="22">
        <f>tabCustoUnit[[#This Row],[Intervalo para Repouso ou Alimentação]]</f>
        <v>0</v>
      </c>
      <c r="BD29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4" s="22">
        <f>tabCustoUnit[[#This Row],[Suspensão Temporária do Contrato de Trabalho]]</f>
        <v>0</v>
      </c>
      <c r="BF294" s="22">
        <f>tabCustoUnit[[#This Row],[Submódulo 4.1]]+tabCustoUnit[[#This Row],[Submódulo 4.2]]+tabCustoUnit[[#This Row],[Submódulo 4.3]]</f>
        <v>26.720841533444265</v>
      </c>
      <c r="BG294" s="22">
        <f>VLOOKUP(tabCustoUnit[[#This Row],[Código do Posto]],tabParametros[],MATCH(tabCustoUnit[[#Headers],[Uniformes e EPIs]],tabParametros[#Headers],0),0)</f>
        <v>56.141713661989918</v>
      </c>
      <c r="BH294" s="22">
        <f>VLOOKUP(tabCustoUnit[[#This Row],[Código do Posto]],tabParametros[],MATCH(tabCustoUnit[[#Headers],[Materiais de Consumo]],tabParametros[#Headers],0),0)</f>
        <v>0</v>
      </c>
      <c r="BI294" s="22">
        <f>VLOOKUP(tabCustoUnit[[#This Row],[Código do Posto]],tabParametros[],MATCH(tabCustoUnit[[#Headers],[Máquinas e Equipamentos (depreciação)]],tabParametros[#Headers],0),0)</f>
        <v>0</v>
      </c>
      <c r="BJ294" s="22">
        <f>VLOOKUP(tabCustoUnit[[#This Row],[Código do Posto]],tabParametros[],MATCH(tabCustoUnit[[#Headers],[Produtos de Limpeza e Materiais de Higiene Pessoal]],tabParametros[#Headers],0),0)</f>
        <v>0</v>
      </c>
      <c r="BK294" s="22">
        <f>VLOOKUP(tabCustoUnit[[#This Row],[Código do Posto]],tabParametros[],MATCH(tabCustoUnit[[#Headers],[Outros (especificar)]],tabParametros[#Headers],0),0)</f>
        <v>0</v>
      </c>
      <c r="BL294" s="22">
        <f>SUM(tabCustoUnit[[#This Row],[Uniformes e EPIs]:[Outros (especificar)]])</f>
        <v>56.141713661989918</v>
      </c>
      <c r="BM29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4" s="22" t="e">
        <f ca="1">VLOOKUP(tabCustoUnit[[#This Row],[Código do Posto]],tabParametros[],MATCH(tabCustoUnit[[#Headers],[Custos Indiretos]],tabParametros[#Headers],0),0)</f>
        <v>#NAME?</v>
      </c>
      <c r="BO294" s="22" t="e">
        <f ca="1">VLOOKUP(tabCustoUnit[[#This Row],[Código do Posto]],tabParametros[],MATCH(tabCustoUnit[[#Headers],[Lucro]],tabParametros[#Headers],0),0)</f>
        <v>#NAME?</v>
      </c>
      <c r="BP294" s="26">
        <f>((100/((1-tabCustoUnit[[#This Row],[Resumo de Alíquotas (PIS+CONFINS+ISS)]]))-100)*VLOOKUP(tabCustoUnit[[#This Row],[Código do Posto]],tabParametros[],MATCH(tabCustoUnit[[#Headers],[COFINS]],tabParametros[#Headers],0),0))/(tabCustoUnit[[#This Row],[Resumo de Alíquotas (PIS+CONFINS+ISS)]]*100)</f>
        <v>8.6609686609686695E-2</v>
      </c>
      <c r="BQ294" s="26">
        <f>((100/((100-(tabCustoUnit[[#This Row],[Resumo de Alíquotas (PIS+CONFINS+ISS)]]*100))%)-100)*VLOOKUP(tabCustoUnit[[#This Row],[Código do Posto]],tabParametros[],MATCH(tabCustoUnit[[#Headers],[PIS]],tabParametros[#Headers],0),0))/(tabCustoUnit[[#This Row],[Resumo de Alíquotas (PIS+CONFINS+ISS)]]*100)</f>
        <v>1.880341880341882E-2</v>
      </c>
      <c r="BR294" s="28">
        <f>VLOOKUP(tabCustoUnit[[#This Row],[Código do Posto]],tabParametros[],MATCH(tabCustoUnit[[#Headers],[ISS]],tabParametros[#Headers],0),0)</f>
        <v>0.03</v>
      </c>
      <c r="BS294" s="26">
        <f>(((100/((100-(tabCustoUnit[[#This Row],[Resumo de Alíquotas (PIS+CONFINS+ISS)]]*100))%)-100)*tabCustoUnit[[#This Row],[ISS]])/tabCustoUnit[[#This Row],[Resumo de Alíquotas (PIS+CONFINS+ISS)]])/100</f>
        <v>3.4188034188034219E-2</v>
      </c>
      <c r="BT29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94" s="138">
        <f>tabCustoUnit[[#This Row],[COFINS]]+tabCustoUnit[[#This Row],[PIS]]+tabCustoUnit[[#This Row],[ISS (Conversão Alíquota s/ fatura)]]</f>
        <v>0.13960113960113973</v>
      </c>
      <c r="BV294" s="22" t="e">
        <f ca="1">(tabCustoUnit[[#This Row],[TOTAL MÓDULOS 1+2+3+4+5]]+tabCustoUnit[[#This Row],[Custos Indiretos]]+tabCustoUnit[[#This Row],[Lucro]])*tabCustoUnit[[#This Row],[PIS + COFINS + ISS (Total Conversão  Alíquota s/ Fatura)]]</f>
        <v>#NAME?</v>
      </c>
      <c r="BW294" s="22" t="e">
        <f ca="1">tabCustoUnit[[#This Row],[Custos Indiretos]]+tabCustoUnit[[#This Row],[Lucro]]+tabCustoUnit[[#This Row],[Valor dos Tributos (ISS, PIS, CONFINS)]]</f>
        <v>#NAME?</v>
      </c>
      <c r="BX294" s="22" t="e">
        <f ca="1">tabCustoUnit[[#This Row],[TOTAL MÓDULOS 1+2+3+4+5]]+tabCustoUnit[[#This Row],[MÓDULO 6 – CUSTOS INDIRETOS, TRIBUTOS E LUCRO]]</f>
        <v>#NAME?</v>
      </c>
      <c r="BY294" s="22" t="e">
        <f ca="1">tabCustoUnit[[#This Row],[CUSTO TOTAL MENSAL]]*12</f>
        <v>#NAME?</v>
      </c>
      <c r="BZ294" s="24">
        <f>VLOOKUP(tabCustoUnit[[#This Row],[Código do Posto]],tabParametros[],MATCH(tabCustoUnit[[#Headers],[ANO DA CCT]],tabParametros[#Headers],0),0)</f>
        <v>45658</v>
      </c>
      <c r="CA294" s="25" t="str">
        <f>VLOOKUP(tabCustoUnit[[#This Row],[Código do Posto]],tabParametros[],MATCH(tabCustoUnit[[#Headers],[Nº DE PEDIDO DA CCT]],tabParametros[#Headers],0),0)</f>
        <v>-</v>
      </c>
      <c r="CB294" s="25" t="str">
        <f>VLOOKUP(tabCustoUnit[[#This Row],[Código do Posto]],tabParametros[],MATCH(tabCustoUnit[[#Headers],[TERMO ADITIVO ALTERAÇÃO DA CCT]],tabParametros[#Headers],0),0)</f>
        <v>-</v>
      </c>
    </row>
    <row r="295" spans="1:80">
      <c r="A295" s="20" t="s">
        <v>1709</v>
      </c>
      <c r="B295" t="s">
        <v>1207</v>
      </c>
      <c r="C295" t="s">
        <v>314</v>
      </c>
      <c r="D295" t="s">
        <v>961</v>
      </c>
      <c r="E295" s="20" t="s">
        <v>1090</v>
      </c>
      <c r="F295" s="20" t="s">
        <v>120</v>
      </c>
      <c r="G295" s="418">
        <v>1963.405</v>
      </c>
      <c r="H295" s="418">
        <v>0</v>
      </c>
      <c r="I295" s="418">
        <v>0</v>
      </c>
      <c r="J295" s="418">
        <v>0</v>
      </c>
      <c r="K295" s="418">
        <v>0</v>
      </c>
      <c r="L295" s="418">
        <v>0</v>
      </c>
      <c r="M295" s="418">
        <v>0</v>
      </c>
      <c r="N295" s="418">
        <v>0</v>
      </c>
      <c r="O295" s="21">
        <f>SUM(tabCustoUnit[[#This Row],[Salário Base]:[Adicional de Acúmulo de função]])</f>
        <v>1963.405</v>
      </c>
      <c r="P295" s="21">
        <f>tabCustoUnit[[#This Row],[MODULO 1 - REMUNERAÇÃO ]]*SUMIFS(tabParametros[INSS],tabParametros[Código do Posto],tabCustoUnit[[#This Row],[Código do Posto]])</f>
        <v>392.68100000000004</v>
      </c>
      <c r="Q295" s="21">
        <f>tabCustoUnit[[#This Row],[MODULO 1 - REMUNERAÇÃO ]]*SUMIFS(tabParametros[SESI OU SESC],tabParametros[Código do Posto],tabCustoUnit[[#This Row],[Código do Posto]])</f>
        <v>29.451074999999999</v>
      </c>
      <c r="R295" s="21">
        <f>tabCustoUnit[[#This Row],[MODULO 1 - REMUNERAÇÃO ]]*SUMIFS(tabParametros[SENAI OU SENAC],tabParametros[Código do Posto],tabCustoUnit[[#This Row],[Código do Posto]])</f>
        <v>19.634049999999998</v>
      </c>
      <c r="S295" s="21">
        <f>tabCustoUnit[[#This Row],[MODULO 1 - REMUNERAÇÃO ]]*SUMIFS(tabParametros[INCRA],tabParametros[Código do Posto],tabCustoUnit[[#This Row],[Código do Posto]])</f>
        <v>3.9268100000000001</v>
      </c>
      <c r="T295" s="21">
        <f>tabCustoUnit[[#This Row],[MODULO 1 - REMUNERAÇÃO ]]*SUMIFS(tabParametros[Salário Educação],tabParametros[Código do Posto],tabCustoUnit[[#This Row],[Código do Posto]])</f>
        <v>49.085125000000005</v>
      </c>
      <c r="U295" s="21">
        <f>tabCustoUnit[[#This Row],[MODULO 1 - REMUNERAÇÃO ]]*SUMIFS(tabParametros[FGTS],tabParametros[Código do Posto],tabCustoUnit[[#This Row],[Código do Posto]])</f>
        <v>157.07239999999999</v>
      </c>
      <c r="V295" s="21">
        <f>tabCustoUnit[[#This Row],[MODULO 1 - REMUNERAÇÃO ]]*SUMIFS(tabParametros[RAT Ajustado],tabParametros[Código do Posto],tabCustoUnit[[#This Row],[Código do Posto]])</f>
        <v>78.536199999999994</v>
      </c>
      <c r="W295" s="21">
        <f>tabCustoUnit[[#This Row],[MODULO 1 - REMUNERAÇÃO ]]*SUMIFS(tabParametros[SEBRAE],tabParametros[Código do Posto],tabCustoUnit[[#This Row],[Código do Posto]])</f>
        <v>11.780430000000001</v>
      </c>
      <c r="X295" s="21">
        <f>SUM(tabCustoUnit[[#This Row],[INSS]:[SEBRAE]])</f>
        <v>742.16709000000003</v>
      </c>
      <c r="Y295" s="21">
        <f>tabCustoUnit[[#This Row],[MODULO 1 - REMUNERAÇÃO ]]*SUMIFS(tabParametros[13º salário (titular)],tabParametros[Código do Posto],tabCustoUnit[[#This Row],[Código do Posto]])</f>
        <v>163.61708333333331</v>
      </c>
      <c r="Z295" s="21">
        <f>tabCustoUnit[[#This Row],[MODULO 1 - REMUNERAÇÃO ]]*SUMIFS(tabParametros[Férias e Adicional de Férias (titular)],tabParametros[Código do Posto],tabCustoUnit[[#This Row],[Código do Posto]])</f>
        <v>218.1561111111111</v>
      </c>
      <c r="AA295" s="21">
        <f>IFERROR((tabCustoUnit[[#This Row],[Submódulo 2.1]]/tabCustoUnit[[#This Row],[MODULO 1 - REMUNERAÇÃO ]])*SUM(tabCustoUnit[[#This Row],[13º salário (titular)]:[Férias e Adicional de Férias (titular)]]),0)</f>
        <v>144.31026749999998</v>
      </c>
      <c r="AB295" s="21">
        <f>SUM(tabCustoUnit[[#This Row],[13º salário (titular)]:[Incidência do Submódulo 2.1 sobre 13º Salário, Férias e Adicional de Férias]])</f>
        <v>526.08346194444437</v>
      </c>
      <c r="AC295" s="22" t="e">
        <f ca="1">_xlfn.LET(_xlpm.VT,SUMIF(tabParametros[Código do Posto],tabCustoUnit[[#This Row],[Código do Posto]],tabParametros[Vale - Transporte])*2*20,
IF((_xlpm.VT-tabCustoUnit[[#This Row],[Salário Base]]*0.06)&gt;=0,(_xlpm.VT-tabCustoUnit[[#This Row],[Salário Base]]*0.06),0)
)</f>
        <v>#NAME?</v>
      </c>
      <c r="AD295" s="22">
        <f>IF(SUMIF(tabParametros[Código do Posto],tabCustoUnit[[#This Row],[Código do Posto]],tabParametros[Vale - Alimentação])&lt;=0,0,
SUMIF(tabParametros[Código do Posto],tabCustoUnit[[#This Row],[Código do Posto]],tabParametros[Vale - Alimentação])*20-1)</f>
        <v>582</v>
      </c>
      <c r="AE295" s="22">
        <f>SUMIF(tabParametros[Código do Posto],tabCustoUnit[[#This Row],[Código do Posto]],tabParametros[Cesta Básica])</f>
        <v>0</v>
      </c>
      <c r="AF295" s="22">
        <f>SUMIF(tabParametros[Código do Posto],tabCustoUnit[[#This Row],[Código do Posto]],tabParametros[PAF])</f>
        <v>0</v>
      </c>
      <c r="AG295" s="22">
        <f>SUMIF(tabParametros[Código do Posto],tabCustoUnit[[#This Row],[Código do Posto]],tabParametros[PQM])</f>
        <v>0</v>
      </c>
      <c r="AH295" s="22">
        <f>SUMIF(tabParametros[Código do Posto],tabCustoUnit[[#This Row],[Código do Posto]],tabParametros[Abono Único e Especial])</f>
        <v>0</v>
      </c>
      <c r="AI295" s="22">
        <f>SUMIF(tabParametros[Código do Posto],tabCustoUnit[[#This Row],[Código do Posto]],tabParametros[Seguro de Vida])</f>
        <v>3.36</v>
      </c>
      <c r="AJ295" s="22">
        <f>SUMIF(tabParametros[Código do Posto],tabCustoUnit[[#This Row],[Código do Posto]],tabParametros[Despesas de Viagem])</f>
        <v>0</v>
      </c>
      <c r="AK295" s="22" t="e">
        <f ca="1">SUM(tabCustoUnit[[#This Row],[Vale - Transporte (Descontada parcela do empregado)]:[Despesas de Viagem]])</f>
        <v>#NAME?</v>
      </c>
      <c r="AL295" s="22" t="e">
        <f ca="1">tabCustoUnit[[#This Row],[Submódulo 2.1]]+tabCustoUnit[[#This Row],[Submódulo 2.2]]+tabCustoUnit[[#This Row],[Submódulo 2.3]]</f>
        <v>#NAME?</v>
      </c>
      <c r="AM295" s="22">
        <f>SUMIF(tabParametros[Código do Posto],tabCustoUnit[[#This Row],[Código do Posto]],tabParametros[Aviso Prévio Indenizado (API) e Reflexo do Aviso Prévio Indenizado])*tabCustoUnit[[#This Row],[MODULO 1 - REMUNERAÇÃO ]]</f>
        <v>13.766938338155864</v>
      </c>
      <c r="AN295" s="22">
        <f>SUMIF(tabParametros[Código do Posto],tabCustoUnit[[#This Row],[Código do Posto]],tabParametros[Incidência do FGTS sobre API e Reflexo do API])*tabCustoUnit[[#This Row],[MODULO 1 - REMUNERAÇÃO ]]</f>
        <v>1.1013550670524692</v>
      </c>
      <c r="AO295" s="22">
        <f>SUMIF(tabParametros[Código do Posto],tabCustoUnit[[#This Row],[Código do Posto]],tabParametros[Multa Rescisória do FGTS sobre o Aviso Prévio Indenizado])*tabCustoUnit[[#This Row],[MODULO 1 - REMUNERAÇÃO ]]</f>
        <v>0.44054202682098775</v>
      </c>
      <c r="AP295" s="22">
        <f>SUMIF(tabParametros[Código do Posto],tabCustoUnit[[#This Row],[Código do Posto]],tabParametros[Aviso Prévio Trabalhado - APT])*tabCustoUnit[[#This Row],[MODULO 1 - REMUNERAÇÃO ]]</f>
        <v>6.8719175000000012</v>
      </c>
      <c r="AQ295" s="22">
        <f>SUMIF(tabParametros[Código do Posto],tabCustoUnit[[#This Row],[Código do Posto]],tabParametros[Incidência dos encargos do submódulo 2.1 sobre Aviso Prévio Trabalhado])*tabCustoUnit[[#This Row],[MODULO 1 - REMUNERAÇÃO ]]</f>
        <v>2.5975848150000007</v>
      </c>
      <c r="AR295" s="22">
        <f>SUMIF(tabParametros[Código do Posto],tabCustoUnit[[#This Row],[Código do Posto]],tabParametros[Multa Rescisória do FGTS])*tabCustoUnit[[#This Row],[MODULO 1 - REMUNERAÇÃO ]]</f>
        <v>60.03656177777777</v>
      </c>
      <c r="AS295" s="22">
        <f>SUMIF(tabParametros[Código do Posto],tabCustoUnit[[#This Row],[Código do Posto]],tabParametros[Indenização Adicional (Art. 9º da Lei nº 7.238/84)])*tabCustoUnit[[#This Row],[MODULO 1 - REMUNERAÇÃO ]]</f>
        <v>1.6361708333333334</v>
      </c>
      <c r="AT295" s="22">
        <f>SUM(tabCustoUnit[[#This Row],[Aviso Prévio Indenizado (API) e Reflexo do Aviso Prévio Indenizado]:[Indenização Adicional (Art. 9º da Lei nº 7.238/84)]])</f>
        <v>86.451070358140427</v>
      </c>
      <c r="AU295" s="22">
        <f>SUMIF(tabParametros[Código do Posto],tabCustoUnit[[#This Row],[Código do Posto]],tabParametros[Ausência por Doença])*tabCustoUnit[[#This Row],[MODULO 1 - REMUNERAÇÃO ]]</f>
        <v>16.579864444444443</v>
      </c>
      <c r="AV295" s="22">
        <f>SUMIF(tabParametros[Código do Posto],tabCustoUnit[[#This Row],[Código do Posto]],tabParametros[Ausências Legais])*tabCustoUnit[[#This Row],[MODULO 1 - REMUNERAÇÃO ]]</f>
        <v>3.9813490277777777</v>
      </c>
      <c r="AW295" s="22">
        <f>SUMIF(tabParametros[Código do Posto],tabCustoUnit[[#This Row],[Código do Posto]],tabParametros[Licença Paternidade])*tabCustoUnit[[#This Row],[MODULO 1 - REMUNERAÇÃO ]]</f>
        <v>0.3354150208333333</v>
      </c>
      <c r="AX295" s="22">
        <f>SUMIF(tabParametros[Código do Posto],tabCustoUnit[[#This Row],[Código do Posto]],tabParametros[Ausência por Acidente de Trabalho])*tabCustoUnit[[#This Row],[MODULO 1 - REMUNERAÇÃO ]]</f>
        <v>0.40904270833333334</v>
      </c>
      <c r="AY295" s="22">
        <f>SUMIF(tabParametros[Código do Posto],tabCustoUnit[[#This Row],[Código do Posto]],tabParametros[Férias, Adicional de Férias e 13º  com empregada em gozo de Licença Maternidade])*tabCustoUnit[[#This Row],[MODULO 1 - REMUNERAÇÃO ]]</f>
        <v>2.5451546296296295</v>
      </c>
      <c r="AZ295" s="22">
        <f>SUMIF(tabParametros[Código do Posto],tabCustoUnit[[#This Row],[Código do Posto]],tabParametros[Incidência do Submódulo 2.1 sobre Ausências Legais])*tabCustoUnit[[#This Row],[MODULO 1 - REMUNERAÇÃO ]]</f>
        <v>9.0156121641250007</v>
      </c>
      <c r="BA295" s="22">
        <f>SUM(tabCustoUnit[[#This Row],[Ausência por Doença]:[Incidência do Submódulo 2.1 sobre Ausências Legais]])</f>
        <v>32.866437995143521</v>
      </c>
      <c r="BB295" s="22">
        <f>SUMIF(tabParametros[Código do Posto],tabCustoUnit[[#This Row],[Código do Posto]],tabParametros[Intervalo para Repouso ou Alimentação])</f>
        <v>267.73704981301341</v>
      </c>
      <c r="BC295" s="22">
        <f>tabCustoUnit[[#This Row],[Intervalo para Repouso ou Alimentação]]</f>
        <v>267.73704981301341</v>
      </c>
      <c r="BD29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5" s="22">
        <f>tabCustoUnit[[#This Row],[Suspensão Temporária do Contrato de Trabalho]]</f>
        <v>0</v>
      </c>
      <c r="BF295" s="22">
        <f>tabCustoUnit[[#This Row],[Submódulo 4.1]]+tabCustoUnit[[#This Row],[Submódulo 4.2]]+tabCustoUnit[[#This Row],[Submódulo 4.3]]</f>
        <v>300.60348780815696</v>
      </c>
      <c r="BG295" s="22">
        <f>VLOOKUP(tabCustoUnit[[#This Row],[Código do Posto]],tabParametros[],MATCH(tabCustoUnit[[#Headers],[Uniformes e EPIs]],tabParametros[#Headers],0),0)</f>
        <v>56.642978962543395</v>
      </c>
      <c r="BH295" s="22">
        <f>VLOOKUP(tabCustoUnit[[#This Row],[Código do Posto]],tabParametros[],MATCH(tabCustoUnit[[#Headers],[Materiais de Consumo]],tabParametros[#Headers],0),0)</f>
        <v>0</v>
      </c>
      <c r="BI295" s="22">
        <f>VLOOKUP(tabCustoUnit[[#This Row],[Código do Posto]],tabParametros[],MATCH(tabCustoUnit[[#Headers],[Máquinas e Equipamentos (depreciação)]],tabParametros[#Headers],0),0)</f>
        <v>0</v>
      </c>
      <c r="BJ295" s="22">
        <f>VLOOKUP(tabCustoUnit[[#This Row],[Código do Posto]],tabParametros[],MATCH(tabCustoUnit[[#Headers],[Produtos de Limpeza e Materiais de Higiene Pessoal]],tabParametros[#Headers],0),0)</f>
        <v>0</v>
      </c>
      <c r="BK295" s="22">
        <f>VLOOKUP(tabCustoUnit[[#This Row],[Código do Posto]],tabParametros[],MATCH(tabCustoUnit[[#Headers],[Outros (especificar)]],tabParametros[#Headers],0),0)</f>
        <v>0</v>
      </c>
      <c r="BL295" s="22">
        <f>SUM(tabCustoUnit[[#This Row],[Uniformes e EPIs]:[Outros (especificar)]])</f>
        <v>56.642978962543395</v>
      </c>
      <c r="BM29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5" s="22" t="e">
        <f ca="1">VLOOKUP(tabCustoUnit[[#This Row],[Código do Posto]],tabParametros[],MATCH(tabCustoUnit[[#Headers],[Custos Indiretos]],tabParametros[#Headers],0),0)</f>
        <v>#NAME?</v>
      </c>
      <c r="BO295" s="22" t="e">
        <f ca="1">VLOOKUP(tabCustoUnit[[#This Row],[Código do Posto]],tabParametros[],MATCH(tabCustoUnit[[#Headers],[Lucro]],tabParametros[#Headers],0),0)</f>
        <v>#NAME?</v>
      </c>
      <c r="BP295" s="26">
        <f>((100/((1-tabCustoUnit[[#This Row],[Resumo de Alíquotas (PIS+CONFINS+ISS)]]))-100)*VLOOKUP(tabCustoUnit[[#This Row],[Código do Posto]],tabParametros[],MATCH(tabCustoUnit[[#Headers],[COFINS]],tabParametros[#Headers],0),0))/(tabCustoUnit[[#This Row],[Resumo de Alíquotas (PIS+CONFINS+ISS)]]*100)</f>
        <v>8.6609686609686695E-2</v>
      </c>
      <c r="BQ295" s="26">
        <f>((100/((100-(tabCustoUnit[[#This Row],[Resumo de Alíquotas (PIS+CONFINS+ISS)]]*100))%)-100)*VLOOKUP(tabCustoUnit[[#This Row],[Código do Posto]],tabParametros[],MATCH(tabCustoUnit[[#Headers],[PIS]],tabParametros[#Headers],0),0))/(tabCustoUnit[[#This Row],[Resumo de Alíquotas (PIS+CONFINS+ISS)]]*100)</f>
        <v>1.880341880341882E-2</v>
      </c>
      <c r="BR295" s="28">
        <f>VLOOKUP(tabCustoUnit[[#This Row],[Código do Posto]],tabParametros[],MATCH(tabCustoUnit[[#Headers],[ISS]],tabParametros[#Headers],0),0)</f>
        <v>0.03</v>
      </c>
      <c r="BS295" s="26">
        <f>(((100/((100-(tabCustoUnit[[#This Row],[Resumo de Alíquotas (PIS+CONFINS+ISS)]]*100))%)-100)*tabCustoUnit[[#This Row],[ISS]])/tabCustoUnit[[#This Row],[Resumo de Alíquotas (PIS+CONFINS+ISS)]])/100</f>
        <v>3.4188034188034219E-2</v>
      </c>
      <c r="BT29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95" s="138">
        <f>tabCustoUnit[[#This Row],[COFINS]]+tabCustoUnit[[#This Row],[PIS]]+tabCustoUnit[[#This Row],[ISS (Conversão Alíquota s/ fatura)]]</f>
        <v>0.13960113960113973</v>
      </c>
      <c r="BV295" s="22" t="e">
        <f ca="1">(tabCustoUnit[[#This Row],[TOTAL MÓDULOS 1+2+3+4+5]]+tabCustoUnit[[#This Row],[Custos Indiretos]]+tabCustoUnit[[#This Row],[Lucro]])*tabCustoUnit[[#This Row],[PIS + COFINS + ISS (Total Conversão  Alíquota s/ Fatura)]]</f>
        <v>#NAME?</v>
      </c>
      <c r="BW295" s="22" t="e">
        <f ca="1">tabCustoUnit[[#This Row],[Custos Indiretos]]+tabCustoUnit[[#This Row],[Lucro]]+tabCustoUnit[[#This Row],[Valor dos Tributos (ISS, PIS, CONFINS)]]</f>
        <v>#NAME?</v>
      </c>
      <c r="BX295" s="22" t="e">
        <f ca="1">tabCustoUnit[[#This Row],[TOTAL MÓDULOS 1+2+3+4+5]]+tabCustoUnit[[#This Row],[MÓDULO 6 – CUSTOS INDIRETOS, TRIBUTOS E LUCRO]]</f>
        <v>#NAME?</v>
      </c>
      <c r="BY295" s="22" t="e">
        <f ca="1">tabCustoUnit[[#This Row],[CUSTO TOTAL MENSAL]]*12</f>
        <v>#NAME?</v>
      </c>
      <c r="BZ295" s="24">
        <f>VLOOKUP(tabCustoUnit[[#This Row],[Código do Posto]],tabParametros[],MATCH(tabCustoUnit[[#Headers],[ANO DA CCT]],tabParametros[#Headers],0),0)</f>
        <v>45658</v>
      </c>
      <c r="CA295" s="25" t="str">
        <f>VLOOKUP(tabCustoUnit[[#This Row],[Código do Posto]],tabParametros[],MATCH(tabCustoUnit[[#Headers],[Nº DE PEDIDO DA CCT]],tabParametros[#Headers],0),0)</f>
        <v>-</v>
      </c>
      <c r="CB295" s="25" t="str">
        <f>VLOOKUP(tabCustoUnit[[#This Row],[Código do Posto]],tabParametros[],MATCH(tabCustoUnit[[#Headers],[TERMO ADITIVO ALTERAÇÃO DA CCT]],tabParametros[#Headers],0),0)</f>
        <v>-</v>
      </c>
    </row>
    <row r="296" spans="1:80">
      <c r="A296" s="20" t="s">
        <v>1710</v>
      </c>
      <c r="B296" t="s">
        <v>1208</v>
      </c>
      <c r="C296" t="s">
        <v>314</v>
      </c>
      <c r="D296" t="s">
        <v>911</v>
      </c>
      <c r="E296" s="20" t="s">
        <v>1090</v>
      </c>
      <c r="F296" s="20" t="s">
        <v>120</v>
      </c>
      <c r="G296" s="418">
        <v>1963.4110000000001</v>
      </c>
      <c r="H296" s="418">
        <v>0</v>
      </c>
      <c r="I296" s="418">
        <v>0</v>
      </c>
      <c r="J296" s="418">
        <v>0</v>
      </c>
      <c r="K296" s="418">
        <v>0</v>
      </c>
      <c r="L296" s="418">
        <v>0</v>
      </c>
      <c r="M296" s="418">
        <v>0</v>
      </c>
      <c r="N296" s="418">
        <v>0</v>
      </c>
      <c r="O296" s="21">
        <f>SUM(tabCustoUnit[[#This Row],[Salário Base]:[Adicional de Acúmulo de função]])</f>
        <v>1963.4110000000001</v>
      </c>
      <c r="P296" s="21">
        <f>tabCustoUnit[[#This Row],[MODULO 1 - REMUNERAÇÃO ]]*SUMIFS(tabParametros[INSS],tabParametros[Código do Posto],tabCustoUnit[[#This Row],[Código do Posto]])</f>
        <v>392.68220000000002</v>
      </c>
      <c r="Q296" s="21">
        <f>tabCustoUnit[[#This Row],[MODULO 1 - REMUNERAÇÃO ]]*SUMIFS(tabParametros[SESI OU SESC],tabParametros[Código do Posto],tabCustoUnit[[#This Row],[Código do Posto]])</f>
        <v>29.451165</v>
      </c>
      <c r="R296" s="21">
        <f>tabCustoUnit[[#This Row],[MODULO 1 - REMUNERAÇÃO ]]*SUMIFS(tabParametros[SENAI OU SENAC],tabParametros[Código do Posto],tabCustoUnit[[#This Row],[Código do Posto]])</f>
        <v>19.63411</v>
      </c>
      <c r="S296" s="21">
        <f>tabCustoUnit[[#This Row],[MODULO 1 - REMUNERAÇÃO ]]*SUMIFS(tabParametros[INCRA],tabParametros[Código do Posto],tabCustoUnit[[#This Row],[Código do Posto]])</f>
        <v>3.926822</v>
      </c>
      <c r="T296" s="21">
        <f>tabCustoUnit[[#This Row],[MODULO 1 - REMUNERAÇÃO ]]*SUMIFS(tabParametros[Salário Educação],tabParametros[Código do Posto],tabCustoUnit[[#This Row],[Código do Posto]])</f>
        <v>49.085275000000003</v>
      </c>
      <c r="U296" s="21">
        <f>tabCustoUnit[[#This Row],[MODULO 1 - REMUNERAÇÃO ]]*SUMIFS(tabParametros[FGTS],tabParametros[Código do Posto],tabCustoUnit[[#This Row],[Código do Posto]])</f>
        <v>157.07288</v>
      </c>
      <c r="V296" s="21">
        <f>tabCustoUnit[[#This Row],[MODULO 1 - REMUNERAÇÃO ]]*SUMIFS(tabParametros[RAT Ajustado],tabParametros[Código do Posto],tabCustoUnit[[#This Row],[Código do Posto]])</f>
        <v>78.536439999999999</v>
      </c>
      <c r="W296" s="21">
        <f>tabCustoUnit[[#This Row],[MODULO 1 - REMUNERAÇÃO ]]*SUMIFS(tabParametros[SEBRAE],tabParametros[Código do Posto],tabCustoUnit[[#This Row],[Código do Posto]])</f>
        <v>11.780466000000001</v>
      </c>
      <c r="X296" s="21">
        <f>SUM(tabCustoUnit[[#This Row],[INSS]:[SEBRAE]])</f>
        <v>742.1693580000001</v>
      </c>
      <c r="Y296" s="21">
        <f>tabCustoUnit[[#This Row],[MODULO 1 - REMUNERAÇÃO ]]*SUMIFS(tabParametros[13º salário (titular)],tabParametros[Código do Posto],tabCustoUnit[[#This Row],[Código do Posto]])</f>
        <v>163.61758333333333</v>
      </c>
      <c r="Z296" s="21">
        <f>tabCustoUnit[[#This Row],[MODULO 1 - REMUNERAÇÃO ]]*SUMIFS(tabParametros[Férias e Adicional de Férias (titular)],tabParametros[Código do Posto],tabCustoUnit[[#This Row],[Código do Posto]])</f>
        <v>218.15677777777776</v>
      </c>
      <c r="AA296" s="21">
        <f>IFERROR((tabCustoUnit[[#This Row],[Submódulo 2.1]]/tabCustoUnit[[#This Row],[MODULO 1 - REMUNERAÇÃO ]])*SUM(tabCustoUnit[[#This Row],[13º salário (titular)]:[Férias e Adicional de Férias (titular)]]),0)</f>
        <v>144.3107085</v>
      </c>
      <c r="AB296" s="21">
        <f>SUM(tabCustoUnit[[#This Row],[13º salário (titular)]:[Incidência do Submódulo 2.1 sobre 13º Salário, Férias e Adicional de Férias]])</f>
        <v>526.08506961111107</v>
      </c>
      <c r="AC296" s="22" t="e">
        <f ca="1">_xlfn.LET(_xlpm.VT,SUMIF(tabParametros[Código do Posto],tabCustoUnit[[#This Row],[Código do Posto]],tabParametros[Vale - Transporte])*2*20,
IF((_xlpm.VT-tabCustoUnit[[#This Row],[Salário Base]]*0.06)&gt;=0,(_xlpm.VT-tabCustoUnit[[#This Row],[Salário Base]]*0.06),0)
)</f>
        <v>#NAME?</v>
      </c>
      <c r="AD296" s="22">
        <f>IF(SUMIF(tabParametros[Código do Posto],tabCustoUnit[[#This Row],[Código do Posto]],tabParametros[Vale - Alimentação])&lt;=0,0,
SUMIF(tabParametros[Código do Posto],tabCustoUnit[[#This Row],[Código do Posto]],tabParametros[Vale - Alimentação])*20-1)</f>
        <v>582</v>
      </c>
      <c r="AE296" s="22">
        <f>SUMIF(tabParametros[Código do Posto],tabCustoUnit[[#This Row],[Código do Posto]],tabParametros[Cesta Básica])</f>
        <v>0</v>
      </c>
      <c r="AF296" s="22">
        <f>SUMIF(tabParametros[Código do Posto],tabCustoUnit[[#This Row],[Código do Posto]],tabParametros[PAF])</f>
        <v>51.74</v>
      </c>
      <c r="AG296" s="22">
        <f>SUMIF(tabParametros[Código do Posto],tabCustoUnit[[#This Row],[Código do Posto]],tabParametros[PQM])</f>
        <v>0</v>
      </c>
      <c r="AH296" s="22">
        <f>SUMIF(tabParametros[Código do Posto],tabCustoUnit[[#This Row],[Código do Posto]],tabParametros[Abono Único e Especial])</f>
        <v>0</v>
      </c>
      <c r="AI296" s="22">
        <f>SUMIF(tabParametros[Código do Posto],tabCustoUnit[[#This Row],[Código do Posto]],tabParametros[Seguro de Vida])</f>
        <v>3.36</v>
      </c>
      <c r="AJ296" s="22">
        <f>SUMIF(tabParametros[Código do Posto],tabCustoUnit[[#This Row],[Código do Posto]],tabParametros[Despesas de Viagem])</f>
        <v>0</v>
      </c>
      <c r="AK296" s="22" t="e">
        <f ca="1">SUM(tabCustoUnit[[#This Row],[Vale - Transporte (Descontada parcela do empregado)]:[Despesas de Viagem]])</f>
        <v>#NAME?</v>
      </c>
      <c r="AL296" s="22" t="e">
        <f ca="1">tabCustoUnit[[#This Row],[Submódulo 2.1]]+tabCustoUnit[[#This Row],[Submódulo 2.2]]+tabCustoUnit[[#This Row],[Submódulo 2.3]]</f>
        <v>#NAME?</v>
      </c>
      <c r="AM296" s="22">
        <f>SUMIF(tabParametros[Código do Posto],tabCustoUnit[[#This Row],[Código do Posto]],tabParametros[Aviso Prévio Indenizado (API) e Reflexo do Aviso Prévio Indenizado])*tabCustoUnit[[#This Row],[MODULO 1 - REMUNERAÇÃO ]]</f>
        <v>13.766980408757716</v>
      </c>
      <c r="AN296" s="22">
        <f>SUMIF(tabParametros[Código do Posto],tabCustoUnit[[#This Row],[Código do Posto]],tabParametros[Incidência do FGTS sobre API e Reflexo do API])*tabCustoUnit[[#This Row],[MODULO 1 - REMUNERAÇÃO ]]</f>
        <v>1.1013584327006174</v>
      </c>
      <c r="AO296" s="22">
        <f>SUMIF(tabParametros[Código do Posto],tabCustoUnit[[#This Row],[Código do Posto]],tabParametros[Multa Rescisória do FGTS sobre o Aviso Prévio Indenizado])*tabCustoUnit[[#This Row],[MODULO 1 - REMUNERAÇÃO ]]</f>
        <v>0.44054337308024699</v>
      </c>
      <c r="AP296" s="22">
        <f>SUMIF(tabParametros[Código do Posto],tabCustoUnit[[#This Row],[Código do Posto]],tabParametros[Aviso Prévio Trabalhado - APT])*tabCustoUnit[[#This Row],[MODULO 1 - REMUNERAÇÃO ]]</f>
        <v>6.8719385000000015</v>
      </c>
      <c r="AQ296" s="22">
        <f>SUMIF(tabParametros[Código do Posto],tabCustoUnit[[#This Row],[Código do Posto]],tabParametros[Incidência dos encargos do submódulo 2.1 sobre Aviso Prévio Trabalhado])*tabCustoUnit[[#This Row],[MODULO 1 - REMUNERAÇÃO ]]</f>
        <v>2.5975927530000007</v>
      </c>
      <c r="AR296" s="22">
        <f>SUMIF(tabParametros[Código do Posto],tabCustoUnit[[#This Row],[Código do Posto]],tabParametros[Multa Rescisória do FGTS])*tabCustoUnit[[#This Row],[MODULO 1 - REMUNERAÇÃO ]]</f>
        <v>60.03674524444444</v>
      </c>
      <c r="AS296" s="22">
        <f>SUMIF(tabParametros[Código do Posto],tabCustoUnit[[#This Row],[Código do Posto]],tabParametros[Indenização Adicional (Art. 9º da Lei nº 7.238/84)])*tabCustoUnit[[#This Row],[MODULO 1 - REMUNERAÇÃO ]]</f>
        <v>1.6361758333333334</v>
      </c>
      <c r="AT296" s="22">
        <f>SUM(tabCustoUnit[[#This Row],[Aviso Prévio Indenizado (API) e Reflexo do Aviso Prévio Indenizado]:[Indenização Adicional (Art. 9º da Lei nº 7.238/84)]])</f>
        <v>86.451334545316371</v>
      </c>
      <c r="AU296" s="22">
        <f>SUMIF(tabParametros[Código do Posto],tabCustoUnit[[#This Row],[Código do Posto]],tabParametros[Ausência por Doença])*tabCustoUnit[[#This Row],[MODULO 1 - REMUNERAÇÃO ]]</f>
        <v>16.579915111111109</v>
      </c>
      <c r="AV296" s="22">
        <f>SUMIF(tabParametros[Código do Posto],tabCustoUnit[[#This Row],[Código do Posto]],tabParametros[Ausências Legais])*tabCustoUnit[[#This Row],[MODULO 1 - REMUNERAÇÃO ]]</f>
        <v>3.9813611944444443</v>
      </c>
      <c r="AW296" s="22">
        <f>SUMIF(tabParametros[Código do Posto],tabCustoUnit[[#This Row],[Código do Posto]],tabParametros[Licença Paternidade])*tabCustoUnit[[#This Row],[MODULO 1 - REMUNERAÇÃO ]]</f>
        <v>0.33541604583333334</v>
      </c>
      <c r="AX296" s="22">
        <f>SUMIF(tabParametros[Código do Posto],tabCustoUnit[[#This Row],[Código do Posto]],tabParametros[Ausência por Acidente de Trabalho])*tabCustoUnit[[#This Row],[MODULO 1 - REMUNERAÇÃO ]]</f>
        <v>0.40904395833333335</v>
      </c>
      <c r="AY296" s="22">
        <f>SUMIF(tabParametros[Código do Posto],tabCustoUnit[[#This Row],[Código do Posto]],tabParametros[Férias, Adicional de Férias e 13º  com empregada em gozo de Licença Maternidade])*tabCustoUnit[[#This Row],[MODULO 1 - REMUNERAÇÃO ]]</f>
        <v>2.5451624074074073</v>
      </c>
      <c r="AZ296" s="22">
        <f>SUMIF(tabParametros[Código do Posto],tabCustoUnit[[#This Row],[Código do Posto]],tabParametros[Incidência do Submódulo 2.1 sobre Ausências Legais])*tabCustoUnit[[#This Row],[MODULO 1 - REMUNERAÇÃO ]]</f>
        <v>9.0156397150750021</v>
      </c>
      <c r="BA296" s="22">
        <f>SUM(tabCustoUnit[[#This Row],[Ausência por Doença]:[Incidência do Submódulo 2.1 sobre Ausências Legais]])</f>
        <v>32.866538432204628</v>
      </c>
      <c r="BB296" s="22">
        <f>SUMIF(tabParametros[Código do Posto],tabCustoUnit[[#This Row],[Código do Posto]],tabParametros[Intervalo para Repouso ou Alimentação])</f>
        <v>267.73786489195959</v>
      </c>
      <c r="BC296" s="22">
        <f>tabCustoUnit[[#This Row],[Intervalo para Repouso ou Alimentação]]</f>
        <v>267.73786489195959</v>
      </c>
      <c r="BD29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6" s="22">
        <f>tabCustoUnit[[#This Row],[Suspensão Temporária do Contrato de Trabalho]]</f>
        <v>0</v>
      </c>
      <c r="BF296" s="22">
        <f>tabCustoUnit[[#This Row],[Submódulo 4.1]]+tabCustoUnit[[#This Row],[Submódulo 4.2]]+tabCustoUnit[[#This Row],[Submódulo 4.3]]</f>
        <v>300.6044033241642</v>
      </c>
      <c r="BG296" s="22">
        <f>VLOOKUP(tabCustoUnit[[#This Row],[Código do Posto]],tabParametros[],MATCH(tabCustoUnit[[#Headers],[Uniformes e EPIs]],tabParametros[#Headers],0),0)</f>
        <v>56.642978962543395</v>
      </c>
      <c r="BH296" s="22">
        <f>VLOOKUP(tabCustoUnit[[#This Row],[Código do Posto]],tabParametros[],MATCH(tabCustoUnit[[#Headers],[Materiais de Consumo]],tabParametros[#Headers],0),0)</f>
        <v>0</v>
      </c>
      <c r="BI296" s="22">
        <f>VLOOKUP(tabCustoUnit[[#This Row],[Código do Posto]],tabParametros[],MATCH(tabCustoUnit[[#Headers],[Máquinas e Equipamentos (depreciação)]],tabParametros[#Headers],0),0)</f>
        <v>0</v>
      </c>
      <c r="BJ296" s="22">
        <f>VLOOKUP(tabCustoUnit[[#This Row],[Código do Posto]],tabParametros[],MATCH(tabCustoUnit[[#Headers],[Produtos de Limpeza e Materiais de Higiene Pessoal]],tabParametros[#Headers],0),0)</f>
        <v>0</v>
      </c>
      <c r="BK296" s="22">
        <f>VLOOKUP(tabCustoUnit[[#This Row],[Código do Posto]],tabParametros[],MATCH(tabCustoUnit[[#Headers],[Outros (especificar)]],tabParametros[#Headers],0),0)</f>
        <v>0</v>
      </c>
      <c r="BL296" s="22">
        <f>SUM(tabCustoUnit[[#This Row],[Uniformes e EPIs]:[Outros (especificar)]])</f>
        <v>56.642978962543395</v>
      </c>
      <c r="BM29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6" s="22" t="e">
        <f ca="1">VLOOKUP(tabCustoUnit[[#This Row],[Código do Posto]],tabParametros[],MATCH(tabCustoUnit[[#Headers],[Custos Indiretos]],tabParametros[#Headers],0),0)</f>
        <v>#NAME?</v>
      </c>
      <c r="BO296" s="22" t="e">
        <f ca="1">VLOOKUP(tabCustoUnit[[#This Row],[Código do Posto]],tabParametros[],MATCH(tabCustoUnit[[#Headers],[Lucro]],tabParametros[#Headers],0),0)</f>
        <v>#NAME?</v>
      </c>
      <c r="BP296" s="26">
        <f>((100/((1-tabCustoUnit[[#This Row],[Resumo de Alíquotas (PIS+CONFINS+ISS)]]))-100)*VLOOKUP(tabCustoUnit[[#This Row],[Código do Posto]],tabParametros[],MATCH(tabCustoUnit[[#Headers],[COFINS]],tabParametros[#Headers],0),0))/(tabCustoUnit[[#This Row],[Resumo de Alíquotas (PIS+CONFINS+ISS)]]*100)</f>
        <v>8.6609686609686695E-2</v>
      </c>
      <c r="BQ296" s="26">
        <f>((100/((100-(tabCustoUnit[[#This Row],[Resumo de Alíquotas (PIS+CONFINS+ISS)]]*100))%)-100)*VLOOKUP(tabCustoUnit[[#This Row],[Código do Posto]],tabParametros[],MATCH(tabCustoUnit[[#Headers],[PIS]],tabParametros[#Headers],0),0))/(tabCustoUnit[[#This Row],[Resumo de Alíquotas (PIS+CONFINS+ISS)]]*100)</f>
        <v>1.880341880341882E-2</v>
      </c>
      <c r="BR296" s="28">
        <f>VLOOKUP(tabCustoUnit[[#This Row],[Código do Posto]],tabParametros[],MATCH(tabCustoUnit[[#Headers],[ISS]],tabParametros[#Headers],0),0)</f>
        <v>0.03</v>
      </c>
      <c r="BS296" s="26">
        <f>(((100/((100-(tabCustoUnit[[#This Row],[Resumo de Alíquotas (PIS+CONFINS+ISS)]]*100))%)-100)*tabCustoUnit[[#This Row],[ISS]])/tabCustoUnit[[#This Row],[Resumo de Alíquotas (PIS+CONFINS+ISS)]])/100</f>
        <v>3.4188034188034219E-2</v>
      </c>
      <c r="BT29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96" s="138">
        <f>tabCustoUnit[[#This Row],[COFINS]]+tabCustoUnit[[#This Row],[PIS]]+tabCustoUnit[[#This Row],[ISS (Conversão Alíquota s/ fatura)]]</f>
        <v>0.13960113960113973</v>
      </c>
      <c r="BV296" s="22" t="e">
        <f ca="1">(tabCustoUnit[[#This Row],[TOTAL MÓDULOS 1+2+3+4+5]]+tabCustoUnit[[#This Row],[Custos Indiretos]]+tabCustoUnit[[#This Row],[Lucro]])*tabCustoUnit[[#This Row],[PIS + COFINS + ISS (Total Conversão  Alíquota s/ Fatura)]]</f>
        <v>#NAME?</v>
      </c>
      <c r="BW296" s="22" t="e">
        <f ca="1">tabCustoUnit[[#This Row],[Custos Indiretos]]+tabCustoUnit[[#This Row],[Lucro]]+tabCustoUnit[[#This Row],[Valor dos Tributos (ISS, PIS, CONFINS)]]</f>
        <v>#NAME?</v>
      </c>
      <c r="BX296" s="22" t="e">
        <f ca="1">tabCustoUnit[[#This Row],[TOTAL MÓDULOS 1+2+3+4+5]]+tabCustoUnit[[#This Row],[MÓDULO 6 – CUSTOS INDIRETOS, TRIBUTOS E LUCRO]]</f>
        <v>#NAME?</v>
      </c>
      <c r="BY296" s="22" t="e">
        <f ca="1">tabCustoUnit[[#This Row],[CUSTO TOTAL MENSAL]]*12</f>
        <v>#NAME?</v>
      </c>
      <c r="BZ296" s="24">
        <f>VLOOKUP(tabCustoUnit[[#This Row],[Código do Posto]],tabParametros[],MATCH(tabCustoUnit[[#Headers],[ANO DA CCT]],tabParametros[#Headers],0),0)</f>
        <v>45658</v>
      </c>
      <c r="CA296" s="25" t="str">
        <f>VLOOKUP(tabCustoUnit[[#This Row],[Código do Posto]],tabParametros[],MATCH(tabCustoUnit[[#Headers],[Nº DE PEDIDO DA CCT]],tabParametros[#Headers],0),0)</f>
        <v>-</v>
      </c>
      <c r="CB296" s="25" t="str">
        <f>VLOOKUP(tabCustoUnit[[#This Row],[Código do Posto]],tabParametros[],MATCH(tabCustoUnit[[#Headers],[TERMO ADITIVO ALTERAÇÃO DA CCT]],tabParametros[#Headers],0),0)</f>
        <v>-</v>
      </c>
    </row>
    <row r="297" spans="1:80">
      <c r="A297" s="20" t="s">
        <v>1510</v>
      </c>
      <c r="B297" t="s">
        <v>1045</v>
      </c>
      <c r="C297" t="s">
        <v>200</v>
      </c>
      <c r="D297" t="s">
        <v>1045</v>
      </c>
      <c r="E297" s="20" t="s">
        <v>1090</v>
      </c>
      <c r="F297" s="20" t="s">
        <v>120</v>
      </c>
      <c r="G297" s="418">
        <v>1649.1152999999999</v>
      </c>
      <c r="H297" s="418">
        <v>0</v>
      </c>
      <c r="I297" s="418">
        <v>0</v>
      </c>
      <c r="J297" s="418">
        <v>0</v>
      </c>
      <c r="K297" s="418">
        <v>0</v>
      </c>
      <c r="L297" s="418">
        <v>0</v>
      </c>
      <c r="M297" s="418">
        <v>0</v>
      </c>
      <c r="N297" s="418">
        <v>0</v>
      </c>
      <c r="O297" s="21">
        <f>SUM(tabCustoUnit[[#This Row],[Salário Base]:[Adicional de Acúmulo de função]])</f>
        <v>1649.1152999999999</v>
      </c>
      <c r="P297" s="21">
        <f>tabCustoUnit[[#This Row],[MODULO 1 - REMUNERAÇÃO ]]*SUMIFS(tabParametros[INSS],tabParametros[Código do Posto],tabCustoUnit[[#This Row],[Código do Posto]])</f>
        <v>329.82306</v>
      </c>
      <c r="Q297" s="21">
        <f>tabCustoUnit[[#This Row],[MODULO 1 - REMUNERAÇÃO ]]*SUMIFS(tabParametros[SESI OU SESC],tabParametros[Código do Posto],tabCustoUnit[[#This Row],[Código do Posto]])</f>
        <v>24.736729499999999</v>
      </c>
      <c r="R297" s="21">
        <f>tabCustoUnit[[#This Row],[MODULO 1 - REMUNERAÇÃO ]]*SUMIFS(tabParametros[SENAI OU SENAC],tabParametros[Código do Posto],tabCustoUnit[[#This Row],[Código do Posto]])</f>
        <v>16.491153000000001</v>
      </c>
      <c r="S297" s="21">
        <f>tabCustoUnit[[#This Row],[MODULO 1 - REMUNERAÇÃO ]]*SUMIFS(tabParametros[INCRA],tabParametros[Código do Posto],tabCustoUnit[[#This Row],[Código do Posto]])</f>
        <v>3.2982306000000001</v>
      </c>
      <c r="T297" s="21">
        <f>tabCustoUnit[[#This Row],[MODULO 1 - REMUNERAÇÃO ]]*SUMIFS(tabParametros[Salário Educação],tabParametros[Código do Posto],tabCustoUnit[[#This Row],[Código do Posto]])</f>
        <v>41.2278825</v>
      </c>
      <c r="U297" s="21">
        <f>tabCustoUnit[[#This Row],[MODULO 1 - REMUNERAÇÃO ]]*SUMIFS(tabParametros[FGTS],tabParametros[Código do Posto],tabCustoUnit[[#This Row],[Código do Posto]])</f>
        <v>131.929224</v>
      </c>
      <c r="V297" s="21">
        <f>tabCustoUnit[[#This Row],[MODULO 1 - REMUNERAÇÃO ]]*SUMIFS(tabParametros[RAT Ajustado],tabParametros[Código do Posto],tabCustoUnit[[#This Row],[Código do Posto]])</f>
        <v>65.964612000000002</v>
      </c>
      <c r="W297" s="21">
        <f>tabCustoUnit[[#This Row],[MODULO 1 - REMUNERAÇÃO ]]*SUMIFS(tabParametros[SEBRAE],tabParametros[Código do Posto],tabCustoUnit[[#This Row],[Código do Posto]])</f>
        <v>9.8946918000000004</v>
      </c>
      <c r="X297" s="21">
        <f>SUM(tabCustoUnit[[#This Row],[INSS]:[SEBRAE]])</f>
        <v>623.36558340000011</v>
      </c>
      <c r="Y297" s="21">
        <f>tabCustoUnit[[#This Row],[MODULO 1 - REMUNERAÇÃO ]]*SUMIFS(tabParametros[13º salário (titular)],tabParametros[Código do Posto],tabCustoUnit[[#This Row],[Código do Posto]])</f>
        <v>137.42627499999998</v>
      </c>
      <c r="Z297" s="21">
        <f>tabCustoUnit[[#This Row],[MODULO 1 - REMUNERAÇÃO ]]*SUMIFS(tabParametros[Férias e Adicional de Férias (titular)],tabParametros[Código do Posto],tabCustoUnit[[#This Row],[Código do Posto]])</f>
        <v>183.23503333333332</v>
      </c>
      <c r="AA297" s="21">
        <f>IFERROR((tabCustoUnit[[#This Row],[Submódulo 2.1]]/tabCustoUnit[[#This Row],[MODULO 1 - REMUNERAÇÃO ]])*SUM(tabCustoUnit[[#This Row],[13º salário (titular)]:[Férias e Adicional de Férias (titular)]]),0)</f>
        <v>121.20997455</v>
      </c>
      <c r="AB297" s="21">
        <f>SUM(tabCustoUnit[[#This Row],[13º salário (titular)]:[Incidência do Submódulo 2.1 sobre 13º Salário, Férias e Adicional de Férias]])</f>
        <v>441.87128288333327</v>
      </c>
      <c r="AC297" s="22" t="e">
        <f ca="1">_xlfn.LET(_xlpm.VT,SUMIF(tabParametros[Código do Posto],tabCustoUnit[[#This Row],[Código do Posto]],tabParametros[Vale - Transporte])*2*20,
IF((_xlpm.VT-tabCustoUnit[[#This Row],[Salário Base]]*0.06)&gt;=0,(_xlpm.VT-tabCustoUnit[[#This Row],[Salário Base]]*0.06),0)
)</f>
        <v>#NAME?</v>
      </c>
      <c r="AD297" s="22">
        <f>IF(SUMIF(tabParametros[Código do Posto],tabCustoUnit[[#This Row],[Código do Posto]],tabParametros[Vale - Alimentação])&lt;=0,0,
SUMIF(tabParametros[Código do Posto],tabCustoUnit[[#This Row],[Código do Posto]],tabParametros[Vale - Alimentação])*20-1)</f>
        <v>582</v>
      </c>
      <c r="AE297" s="22">
        <f>SUMIF(tabParametros[Código do Posto],tabCustoUnit[[#This Row],[Código do Posto]],tabParametros[Cesta Básica])</f>
        <v>0</v>
      </c>
      <c r="AF297" s="22">
        <f>SUMIF(tabParametros[Código do Posto],tabCustoUnit[[#This Row],[Código do Posto]],tabParametros[PAF])</f>
        <v>51.86</v>
      </c>
      <c r="AG297" s="22">
        <f>SUMIF(tabParametros[Código do Posto],tabCustoUnit[[#This Row],[Código do Posto]],tabParametros[PQM])</f>
        <v>0</v>
      </c>
      <c r="AH297" s="22">
        <f>SUMIF(tabParametros[Código do Posto],tabCustoUnit[[#This Row],[Código do Posto]],tabParametros[Abono Único e Especial])</f>
        <v>0</v>
      </c>
      <c r="AI297" s="22">
        <f>SUMIF(tabParametros[Código do Posto],tabCustoUnit[[#This Row],[Código do Posto]],tabParametros[Seguro de Vida])</f>
        <v>3.36</v>
      </c>
      <c r="AJ297" s="22">
        <f>SUMIF(tabParametros[Código do Posto],tabCustoUnit[[#This Row],[Código do Posto]],tabParametros[Despesas de Viagem])</f>
        <v>0</v>
      </c>
      <c r="AK297" s="22" t="e">
        <f ca="1">SUM(tabCustoUnit[[#This Row],[Vale - Transporte (Descontada parcela do empregado)]:[Despesas de Viagem]])</f>
        <v>#NAME?</v>
      </c>
      <c r="AL297" s="22" t="e">
        <f ca="1">tabCustoUnit[[#This Row],[Submódulo 2.1]]+tabCustoUnit[[#This Row],[Submódulo 2.2]]+tabCustoUnit[[#This Row],[Submódulo 2.3]]</f>
        <v>#NAME?</v>
      </c>
      <c r="AM297" s="22">
        <f>SUMIF(tabParametros[Código do Posto],tabCustoUnit[[#This Row],[Código do Posto]],tabParametros[Aviso Prévio Indenizado (API) e Reflexo do Aviso Prévio Indenizado])*tabCustoUnit[[#This Row],[MODULO 1 - REMUNERAÇÃO ]]</f>
        <v>11.563212199016203</v>
      </c>
      <c r="AN297" s="22">
        <f>SUMIF(tabParametros[Código do Posto],tabCustoUnit[[#This Row],[Código do Posto]],tabParametros[Incidência do FGTS sobre API e Reflexo do API])*tabCustoUnit[[#This Row],[MODULO 1 - REMUNERAÇÃO ]]</f>
        <v>0.92505697592129632</v>
      </c>
      <c r="AO297" s="22">
        <f>SUMIF(tabParametros[Código do Posto],tabCustoUnit[[#This Row],[Código do Posto]],tabParametros[Multa Rescisória do FGTS sobre o Aviso Prévio Indenizado])*tabCustoUnit[[#This Row],[MODULO 1 - REMUNERAÇÃO ]]</f>
        <v>0.37002279036851859</v>
      </c>
      <c r="AP297" s="22">
        <f>SUMIF(tabParametros[Código do Posto],tabCustoUnit[[#This Row],[Código do Posto]],tabParametros[Aviso Prévio Trabalhado - APT])*tabCustoUnit[[#This Row],[MODULO 1 - REMUNERAÇÃO ]]</f>
        <v>5.7719035500000002</v>
      </c>
      <c r="AQ297" s="22">
        <f>SUMIF(tabParametros[Código do Posto],tabCustoUnit[[#This Row],[Código do Posto]],tabParametros[Incidência dos encargos do submódulo 2.1 sobre Aviso Prévio Trabalhado])*tabCustoUnit[[#This Row],[MODULO 1 - REMUNERAÇÃO ]]</f>
        <v>2.1817795419000006</v>
      </c>
      <c r="AR297" s="22">
        <f>SUMIF(tabParametros[Código do Posto],tabCustoUnit[[#This Row],[Código do Posto]],tabParametros[Multa Rescisória do FGTS])*tabCustoUnit[[#This Row],[MODULO 1 - REMUNERAÇÃO ]]</f>
        <v>50.426281173333322</v>
      </c>
      <c r="AS297" s="22">
        <f>SUMIF(tabParametros[Código do Posto],tabCustoUnit[[#This Row],[Código do Posto]],tabParametros[Indenização Adicional (Art. 9º da Lei nº 7.238/84)])*tabCustoUnit[[#This Row],[MODULO 1 - REMUNERAÇÃO ]]</f>
        <v>1.37426275</v>
      </c>
      <c r="AT297" s="22">
        <f>SUM(tabCustoUnit[[#This Row],[Aviso Prévio Indenizado (API) e Reflexo do Aviso Prévio Indenizado]:[Indenização Adicional (Art. 9º da Lei nº 7.238/84)]])</f>
        <v>72.612518980539335</v>
      </c>
      <c r="AU297" s="22">
        <f>SUMIF(tabParametros[Código do Posto],tabCustoUnit[[#This Row],[Código do Posto]],tabParametros[Ausência por Doença])*tabCustoUnit[[#This Row],[MODULO 1 - REMUNERAÇÃO ]]</f>
        <v>13.925862533333332</v>
      </c>
      <c r="AV297" s="22">
        <f>SUMIF(tabParametros[Código do Posto],tabCustoUnit[[#This Row],[Código do Posto]],tabParametros[Ausências Legais])*tabCustoUnit[[#This Row],[MODULO 1 - REMUNERAÇÃO ]]</f>
        <v>3.3440393583333332</v>
      </c>
      <c r="AW297" s="22">
        <f>SUMIF(tabParametros[Código do Posto],tabCustoUnit[[#This Row],[Código do Posto]],tabParametros[Licença Paternidade])*tabCustoUnit[[#This Row],[MODULO 1 - REMUNERAÇÃO ]]</f>
        <v>0.28172386374999997</v>
      </c>
      <c r="AX297" s="22">
        <f>SUMIF(tabParametros[Código do Posto],tabCustoUnit[[#This Row],[Código do Posto]],tabParametros[Ausência por Acidente de Trabalho])*tabCustoUnit[[#This Row],[MODULO 1 - REMUNERAÇÃO ]]</f>
        <v>0.34356568749999999</v>
      </c>
      <c r="AY297" s="22">
        <f>SUMIF(tabParametros[Código do Posto],tabCustoUnit[[#This Row],[Código do Posto]],tabParametros[Férias, Adicional de Férias e 13º  com empregada em gozo de Licença Maternidade])*tabCustoUnit[[#This Row],[MODULO 1 - REMUNERAÇÃO ]]</f>
        <v>2.1377420555555555</v>
      </c>
      <c r="AZ297" s="22">
        <f>SUMIF(tabParametros[Código do Posto],tabCustoUnit[[#This Row],[Código do Posto]],tabParametros[Incidência do Submódulo 2.1 sobre Ausências Legais])*tabCustoUnit[[#This Row],[MODULO 1 - REMUNERAÇÃO ]]</f>
        <v>7.572448862422501</v>
      </c>
      <c r="BA297" s="22">
        <f>SUM(tabCustoUnit[[#This Row],[Ausência por Doença]:[Incidência do Submódulo 2.1 sobre Ausências Legais]])</f>
        <v>27.605382360894719</v>
      </c>
      <c r="BB297" s="22">
        <f>SUMIF(tabParametros[Código do Posto],tabCustoUnit[[#This Row],[Código do Posto]],tabParametros[Intervalo para Repouso ou Alimentação])</f>
        <v>0</v>
      </c>
      <c r="BC297" s="22">
        <f>tabCustoUnit[[#This Row],[Intervalo para Repouso ou Alimentação]]</f>
        <v>0</v>
      </c>
      <c r="BD29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7" s="22">
        <f>tabCustoUnit[[#This Row],[Suspensão Temporária do Contrato de Trabalho]]</f>
        <v>0</v>
      </c>
      <c r="BF297" s="22">
        <f>tabCustoUnit[[#This Row],[Submódulo 4.1]]+tabCustoUnit[[#This Row],[Submódulo 4.2]]+tabCustoUnit[[#This Row],[Submódulo 4.3]]</f>
        <v>27.605382360894719</v>
      </c>
      <c r="BG297" s="22">
        <f>VLOOKUP(tabCustoUnit[[#This Row],[Código do Posto]],tabParametros[],MATCH(tabCustoUnit[[#Headers],[Uniformes e EPIs]],tabParametros[#Headers],0),0)</f>
        <v>56.141713661989918</v>
      </c>
      <c r="BH297" s="22">
        <f>VLOOKUP(tabCustoUnit[[#This Row],[Código do Posto]],tabParametros[],MATCH(tabCustoUnit[[#Headers],[Materiais de Consumo]],tabParametros[#Headers],0),0)</f>
        <v>0</v>
      </c>
      <c r="BI297" s="22">
        <f>VLOOKUP(tabCustoUnit[[#This Row],[Código do Posto]],tabParametros[],MATCH(tabCustoUnit[[#Headers],[Máquinas e Equipamentos (depreciação)]],tabParametros[#Headers],0),0)</f>
        <v>0</v>
      </c>
      <c r="BJ297" s="22">
        <f>VLOOKUP(tabCustoUnit[[#This Row],[Código do Posto]],tabParametros[],MATCH(tabCustoUnit[[#Headers],[Produtos de Limpeza e Materiais de Higiene Pessoal]],tabParametros[#Headers],0),0)</f>
        <v>0</v>
      </c>
      <c r="BK297" s="22">
        <f>VLOOKUP(tabCustoUnit[[#This Row],[Código do Posto]],tabParametros[],MATCH(tabCustoUnit[[#Headers],[Outros (especificar)]],tabParametros[#Headers],0),0)</f>
        <v>0</v>
      </c>
      <c r="BL297" s="22">
        <f>SUM(tabCustoUnit[[#This Row],[Uniformes e EPIs]:[Outros (especificar)]])</f>
        <v>56.141713661989918</v>
      </c>
      <c r="BM29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7" s="22" t="e">
        <f ca="1">VLOOKUP(tabCustoUnit[[#This Row],[Código do Posto]],tabParametros[],MATCH(tabCustoUnit[[#Headers],[Custos Indiretos]],tabParametros[#Headers],0),0)</f>
        <v>#NAME?</v>
      </c>
      <c r="BO297" s="22" t="e">
        <f ca="1">VLOOKUP(tabCustoUnit[[#This Row],[Código do Posto]],tabParametros[],MATCH(tabCustoUnit[[#Headers],[Lucro]],tabParametros[#Headers],0),0)</f>
        <v>#NAME?</v>
      </c>
      <c r="BP297" s="26">
        <f>((100/((1-tabCustoUnit[[#This Row],[Resumo de Alíquotas (PIS+CONFINS+ISS)]]))-100)*VLOOKUP(tabCustoUnit[[#This Row],[Código do Posto]],tabParametros[],MATCH(tabCustoUnit[[#Headers],[COFINS]],tabParametros[#Headers],0),0))/(tabCustoUnit[[#This Row],[Resumo de Alíquotas (PIS+CONFINS+ISS)]]*100)</f>
        <v>8.6609686609686695E-2</v>
      </c>
      <c r="BQ297" s="26">
        <f>((100/((100-(tabCustoUnit[[#This Row],[Resumo de Alíquotas (PIS+CONFINS+ISS)]]*100))%)-100)*VLOOKUP(tabCustoUnit[[#This Row],[Código do Posto]],tabParametros[],MATCH(tabCustoUnit[[#Headers],[PIS]],tabParametros[#Headers],0),0))/(tabCustoUnit[[#This Row],[Resumo de Alíquotas (PIS+CONFINS+ISS)]]*100)</f>
        <v>1.880341880341882E-2</v>
      </c>
      <c r="BR297" s="28">
        <f>VLOOKUP(tabCustoUnit[[#This Row],[Código do Posto]],tabParametros[],MATCH(tabCustoUnit[[#Headers],[ISS]],tabParametros[#Headers],0),0)</f>
        <v>0.03</v>
      </c>
      <c r="BS297" s="26">
        <f>(((100/((100-(tabCustoUnit[[#This Row],[Resumo de Alíquotas (PIS+CONFINS+ISS)]]*100))%)-100)*tabCustoUnit[[#This Row],[ISS]])/tabCustoUnit[[#This Row],[Resumo de Alíquotas (PIS+CONFINS+ISS)]])/100</f>
        <v>3.4188034188034219E-2</v>
      </c>
      <c r="BT29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97" s="138">
        <f>tabCustoUnit[[#This Row],[COFINS]]+tabCustoUnit[[#This Row],[PIS]]+tabCustoUnit[[#This Row],[ISS (Conversão Alíquota s/ fatura)]]</f>
        <v>0.13960113960113973</v>
      </c>
      <c r="BV297" s="22" t="e">
        <f ca="1">(tabCustoUnit[[#This Row],[TOTAL MÓDULOS 1+2+3+4+5]]+tabCustoUnit[[#This Row],[Custos Indiretos]]+tabCustoUnit[[#This Row],[Lucro]])*tabCustoUnit[[#This Row],[PIS + COFINS + ISS (Total Conversão  Alíquota s/ Fatura)]]</f>
        <v>#NAME?</v>
      </c>
      <c r="BW297" s="22" t="e">
        <f ca="1">tabCustoUnit[[#This Row],[Custos Indiretos]]+tabCustoUnit[[#This Row],[Lucro]]+tabCustoUnit[[#This Row],[Valor dos Tributos (ISS, PIS, CONFINS)]]</f>
        <v>#NAME?</v>
      </c>
      <c r="BX297" s="22" t="e">
        <f ca="1">tabCustoUnit[[#This Row],[TOTAL MÓDULOS 1+2+3+4+5]]+tabCustoUnit[[#This Row],[MÓDULO 6 – CUSTOS INDIRETOS, TRIBUTOS E LUCRO]]</f>
        <v>#NAME?</v>
      </c>
      <c r="BY297" s="22" t="e">
        <f ca="1">tabCustoUnit[[#This Row],[CUSTO TOTAL MENSAL]]*12</f>
        <v>#NAME?</v>
      </c>
      <c r="BZ297" s="24">
        <f>VLOOKUP(tabCustoUnit[[#This Row],[Código do Posto]],tabParametros[],MATCH(tabCustoUnit[[#Headers],[ANO DA CCT]],tabParametros[#Headers],0),0)</f>
        <v>45658</v>
      </c>
      <c r="CA297" s="25" t="str">
        <f>VLOOKUP(tabCustoUnit[[#This Row],[Código do Posto]],tabParametros[],MATCH(tabCustoUnit[[#Headers],[Nº DE PEDIDO DA CCT]],tabParametros[#Headers],0),0)</f>
        <v>-</v>
      </c>
      <c r="CB297" s="25" t="str">
        <f>VLOOKUP(tabCustoUnit[[#This Row],[Código do Posto]],tabParametros[],MATCH(tabCustoUnit[[#Headers],[TERMO ADITIVO ALTERAÇÃO DA CCT]],tabParametros[#Headers],0),0)</f>
        <v>-</v>
      </c>
    </row>
    <row r="298" spans="1:80">
      <c r="A298" s="20" t="s">
        <v>1711</v>
      </c>
      <c r="B298" t="s">
        <v>1045</v>
      </c>
      <c r="C298" t="s">
        <v>274</v>
      </c>
      <c r="D298" t="s">
        <v>1019</v>
      </c>
      <c r="E298" s="20" t="s">
        <v>1090</v>
      </c>
      <c r="F298" s="20" t="s">
        <v>120</v>
      </c>
      <c r="G298" s="418">
        <v>4599.5953</v>
      </c>
      <c r="H298" s="418">
        <v>0</v>
      </c>
      <c r="I298" s="418">
        <v>0</v>
      </c>
      <c r="J298" s="418">
        <v>0</v>
      </c>
      <c r="K298" s="418">
        <v>0</v>
      </c>
      <c r="L298" s="418">
        <v>0</v>
      </c>
      <c r="M298" s="418">
        <v>0</v>
      </c>
      <c r="N298" s="418">
        <v>0</v>
      </c>
      <c r="O298" s="21">
        <f>SUM(tabCustoUnit[[#This Row],[Salário Base]:[Adicional de Acúmulo de função]])</f>
        <v>4599.5953</v>
      </c>
      <c r="P298" s="21">
        <f>tabCustoUnit[[#This Row],[MODULO 1 - REMUNERAÇÃO ]]*SUMIFS(tabParametros[INSS],tabParametros[Código do Posto],tabCustoUnit[[#This Row],[Código do Posto]])</f>
        <v>919.91906000000006</v>
      </c>
      <c r="Q298" s="21">
        <f>tabCustoUnit[[#This Row],[MODULO 1 - REMUNERAÇÃO ]]*SUMIFS(tabParametros[SESI OU SESC],tabParametros[Código do Posto],tabCustoUnit[[#This Row],[Código do Posto]])</f>
        <v>68.993929499999993</v>
      </c>
      <c r="R298" s="21">
        <f>tabCustoUnit[[#This Row],[MODULO 1 - REMUNERAÇÃO ]]*SUMIFS(tabParametros[SENAI OU SENAC],tabParametros[Código do Posto],tabCustoUnit[[#This Row],[Código do Posto]])</f>
        <v>45.995953</v>
      </c>
      <c r="S298" s="21">
        <f>tabCustoUnit[[#This Row],[MODULO 1 - REMUNERAÇÃO ]]*SUMIFS(tabParametros[INCRA],tabParametros[Código do Posto],tabCustoUnit[[#This Row],[Código do Posto]])</f>
        <v>9.1991905999999997</v>
      </c>
      <c r="T298" s="21">
        <f>tabCustoUnit[[#This Row],[MODULO 1 - REMUNERAÇÃO ]]*SUMIFS(tabParametros[Salário Educação],tabParametros[Código do Posto],tabCustoUnit[[#This Row],[Código do Posto]])</f>
        <v>114.98988250000001</v>
      </c>
      <c r="U298" s="21">
        <f>tabCustoUnit[[#This Row],[MODULO 1 - REMUNERAÇÃO ]]*SUMIFS(tabParametros[FGTS],tabParametros[Código do Posto],tabCustoUnit[[#This Row],[Código do Posto]])</f>
        <v>367.967624</v>
      </c>
      <c r="V298" s="21">
        <f>tabCustoUnit[[#This Row],[MODULO 1 - REMUNERAÇÃO ]]*SUMIFS(tabParametros[RAT Ajustado],tabParametros[Código do Posto],tabCustoUnit[[#This Row],[Código do Posto]])</f>
        <v>183.983812</v>
      </c>
      <c r="W298" s="21">
        <f>tabCustoUnit[[#This Row],[MODULO 1 - REMUNERAÇÃO ]]*SUMIFS(tabParametros[SEBRAE],tabParametros[Código do Posto],tabCustoUnit[[#This Row],[Código do Posto]])</f>
        <v>27.597571800000001</v>
      </c>
      <c r="X298" s="21">
        <f>SUM(tabCustoUnit[[#This Row],[INSS]:[SEBRAE]])</f>
        <v>1738.6470234000003</v>
      </c>
      <c r="Y298" s="21">
        <f>tabCustoUnit[[#This Row],[MODULO 1 - REMUNERAÇÃO ]]*SUMIFS(tabParametros[13º salário (titular)],tabParametros[Código do Posto],tabCustoUnit[[#This Row],[Código do Posto]])</f>
        <v>383.29960833333331</v>
      </c>
      <c r="Z298" s="21">
        <f>tabCustoUnit[[#This Row],[MODULO 1 - REMUNERAÇÃO ]]*SUMIFS(tabParametros[Férias e Adicional de Férias (titular)],tabParametros[Código do Posto],tabCustoUnit[[#This Row],[Código do Posto]])</f>
        <v>511.06614444444443</v>
      </c>
      <c r="AA298" s="21">
        <f>IFERROR((tabCustoUnit[[#This Row],[Submódulo 2.1]]/tabCustoUnit[[#This Row],[MODULO 1 - REMUNERAÇÃO ]])*SUM(tabCustoUnit[[#This Row],[13º salário (titular)]:[Férias e Adicional de Férias (titular)]]),0)</f>
        <v>338.07025455000002</v>
      </c>
      <c r="AB298" s="21">
        <f>SUM(tabCustoUnit[[#This Row],[13º salário (titular)]:[Incidência do Submódulo 2.1 sobre 13º Salário, Férias e Adicional de Férias]])</f>
        <v>1232.4360073277778</v>
      </c>
      <c r="AC298" s="22" t="e">
        <f ca="1">_xlfn.LET(_xlpm.VT,SUMIF(tabParametros[Código do Posto],tabCustoUnit[[#This Row],[Código do Posto]],tabParametros[Vale - Transporte])*2*20,
IF((_xlpm.VT-tabCustoUnit[[#This Row],[Salário Base]]*0.06)&gt;=0,(_xlpm.VT-tabCustoUnit[[#This Row],[Salário Base]]*0.06),0)
)</f>
        <v>#NAME?</v>
      </c>
      <c r="AD298" s="22">
        <f>IF(SUMIF(tabParametros[Código do Posto],tabCustoUnit[[#This Row],[Código do Posto]],tabParametros[Vale - Alimentação])&lt;=0,0,
SUMIF(tabParametros[Código do Posto],tabCustoUnit[[#This Row],[Código do Posto]],tabParametros[Vale - Alimentação])*20-1)</f>
        <v>578.4</v>
      </c>
      <c r="AE298" s="22">
        <f>SUMIF(tabParametros[Código do Posto],tabCustoUnit[[#This Row],[Código do Posto]],tabParametros[Cesta Básica])</f>
        <v>0</v>
      </c>
      <c r="AF298" s="22">
        <f>SUMIF(tabParametros[Código do Posto],tabCustoUnit[[#This Row],[Código do Posto]],tabParametros[PAF])</f>
        <v>0</v>
      </c>
      <c r="AG298" s="22">
        <f>SUMIF(tabParametros[Código do Posto],tabCustoUnit[[#This Row],[Código do Posto]],tabParametros[PQM])</f>
        <v>0</v>
      </c>
      <c r="AH298" s="22">
        <f>SUMIF(tabParametros[Código do Posto],tabCustoUnit[[#This Row],[Código do Posto]],tabParametros[Abono Único e Especial])</f>
        <v>0</v>
      </c>
      <c r="AI298" s="22">
        <f>SUMIF(tabParametros[Código do Posto],tabCustoUnit[[#This Row],[Código do Posto]],tabParametros[Seguro de Vida])</f>
        <v>3.36</v>
      </c>
      <c r="AJ298" s="22">
        <f>SUMIF(tabParametros[Código do Posto],tabCustoUnit[[#This Row],[Código do Posto]],tabParametros[Despesas de Viagem])</f>
        <v>662.42</v>
      </c>
      <c r="AK298" s="22" t="e">
        <f ca="1">SUM(tabCustoUnit[[#This Row],[Vale - Transporte (Descontada parcela do empregado)]:[Despesas de Viagem]])</f>
        <v>#NAME?</v>
      </c>
      <c r="AL298" s="22" t="e">
        <f ca="1">tabCustoUnit[[#This Row],[Submódulo 2.1]]+tabCustoUnit[[#This Row],[Submódulo 2.2]]+tabCustoUnit[[#This Row],[Submódulo 2.3]]</f>
        <v>#NAME?</v>
      </c>
      <c r="AM298" s="22">
        <f>SUMIF(tabParametros[Código do Posto],tabCustoUnit[[#This Row],[Código do Posto]],tabParametros[Aviso Prévio Indenizado (API) e Reflexo do Aviso Prévio Indenizado])*tabCustoUnit[[#This Row],[MODULO 1 - REMUNERAÇÃO ]]</f>
        <v>32.251290424324843</v>
      </c>
      <c r="AN298" s="22">
        <f>SUMIF(tabParametros[Código do Posto],tabCustoUnit[[#This Row],[Código do Posto]],tabParametros[Incidência do FGTS sobre API e Reflexo do API])*tabCustoUnit[[#This Row],[MODULO 1 - REMUNERAÇÃO ]]</f>
        <v>2.5801032339459877</v>
      </c>
      <c r="AO298" s="22">
        <f>SUMIF(tabParametros[Código do Posto],tabCustoUnit[[#This Row],[Código do Posto]],tabParametros[Multa Rescisória do FGTS sobre o Aviso Prévio Indenizado])*tabCustoUnit[[#This Row],[MODULO 1 - REMUNERAÇÃO ]]</f>
        <v>1.0320412935783951</v>
      </c>
      <c r="AP298" s="22">
        <f>SUMIF(tabParametros[Código do Posto],tabCustoUnit[[#This Row],[Código do Posto]],tabParametros[Aviso Prévio Trabalhado - APT])*tabCustoUnit[[#This Row],[MODULO 1 - REMUNERAÇÃO ]]</f>
        <v>16.098583550000001</v>
      </c>
      <c r="AQ298" s="22">
        <f>SUMIF(tabParametros[Código do Posto],tabCustoUnit[[#This Row],[Código do Posto]],tabParametros[Incidência dos encargos do submódulo 2.1 sobre Aviso Prévio Trabalhado])*tabCustoUnit[[#This Row],[MODULO 1 - REMUNERAÇÃO ]]</f>
        <v>6.0852645819000015</v>
      </c>
      <c r="AR298" s="22">
        <f>SUMIF(tabParametros[Código do Posto],tabCustoUnit[[#This Row],[Código do Posto]],tabParametros[Multa Rescisória do FGTS])*tabCustoUnit[[#This Row],[MODULO 1 - REMUNERAÇÃO ]]</f>
        <v>140.64540295111109</v>
      </c>
      <c r="AS298" s="22">
        <f>SUMIF(tabParametros[Código do Posto],tabCustoUnit[[#This Row],[Código do Posto]],tabParametros[Indenização Adicional (Art. 9º da Lei nº 7.238/84)])*tabCustoUnit[[#This Row],[MODULO 1 - REMUNERAÇÃO ]]</f>
        <v>3.8329960833333336</v>
      </c>
      <c r="AT298" s="22">
        <f>SUM(tabCustoUnit[[#This Row],[Aviso Prévio Indenizado (API) e Reflexo do Aviso Prévio Indenizado]:[Indenização Adicional (Art. 9º da Lei nº 7.238/84)]])</f>
        <v>202.52568211819366</v>
      </c>
      <c r="AU298" s="22">
        <f>SUMIF(tabParametros[Código do Posto],tabCustoUnit[[#This Row],[Código do Posto]],tabParametros[Ausência por Doença])*tabCustoUnit[[#This Row],[MODULO 1 - REMUNERAÇÃO ]]</f>
        <v>38.841026977777773</v>
      </c>
      <c r="AV298" s="22">
        <f>SUMIF(tabParametros[Código do Posto],tabCustoUnit[[#This Row],[Código do Posto]],tabParametros[Ausências Legais])*tabCustoUnit[[#This Row],[MODULO 1 - REMUNERAÇÃO ]]</f>
        <v>9.3269571361111101</v>
      </c>
      <c r="AW298" s="22">
        <f>SUMIF(tabParametros[Código do Posto],tabCustoUnit[[#This Row],[Código do Posto]],tabParametros[Licença Paternidade])*tabCustoUnit[[#This Row],[MODULO 1 - REMUNERAÇÃO ]]</f>
        <v>0.78576419708333334</v>
      </c>
      <c r="AX298" s="22">
        <f>SUMIF(tabParametros[Código do Posto],tabCustoUnit[[#This Row],[Código do Posto]],tabParametros[Ausência por Acidente de Trabalho])*tabCustoUnit[[#This Row],[MODULO 1 - REMUNERAÇÃO ]]</f>
        <v>0.95824902083333341</v>
      </c>
      <c r="AY298" s="22">
        <f>SUMIF(tabParametros[Código do Posto],tabCustoUnit[[#This Row],[Código do Posto]],tabParametros[Férias, Adicional de Férias e 13º  com empregada em gozo de Licença Maternidade])*tabCustoUnit[[#This Row],[MODULO 1 - REMUNERAÇÃO ]]</f>
        <v>5.9624383518518513</v>
      </c>
      <c r="AZ298" s="22">
        <f>SUMIF(tabParametros[Código do Posto],tabCustoUnit[[#This Row],[Código do Posto]],tabParametros[Incidência do Submódulo 2.1 sobre Ausências Legais])*tabCustoUnit[[#This Row],[MODULO 1 - REMUNERAÇÃO ]]</f>
        <v>21.120536688422504</v>
      </c>
      <c r="BA298" s="22">
        <f>SUM(tabCustoUnit[[#This Row],[Ausência por Doença]:[Incidência do Submódulo 2.1 sobre Ausências Legais]])</f>
        <v>76.9949723720799</v>
      </c>
      <c r="BB298" s="22">
        <f>SUMIF(tabParametros[Código do Posto],tabCustoUnit[[#This Row],[Código do Posto]],tabParametros[Intervalo para Repouso ou Alimentação])</f>
        <v>0</v>
      </c>
      <c r="BC298" s="22">
        <f>tabCustoUnit[[#This Row],[Intervalo para Repouso ou Alimentação]]</f>
        <v>0</v>
      </c>
      <c r="BD29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8" s="22">
        <f>tabCustoUnit[[#This Row],[Suspensão Temporária do Contrato de Trabalho]]</f>
        <v>0</v>
      </c>
      <c r="BF298" s="22">
        <f>tabCustoUnit[[#This Row],[Submódulo 4.1]]+tabCustoUnit[[#This Row],[Submódulo 4.2]]+tabCustoUnit[[#This Row],[Submódulo 4.3]]</f>
        <v>76.9949723720799</v>
      </c>
      <c r="BG298" s="22">
        <f>VLOOKUP(tabCustoUnit[[#This Row],[Código do Posto]],tabParametros[],MATCH(tabCustoUnit[[#Headers],[Uniformes e EPIs]],tabParametros[#Headers],0),0)</f>
        <v>92.100763771570698</v>
      </c>
      <c r="BH298" s="22">
        <f>VLOOKUP(tabCustoUnit[[#This Row],[Código do Posto]],tabParametros[],MATCH(tabCustoUnit[[#Headers],[Materiais de Consumo]],tabParametros[#Headers],0),0)</f>
        <v>0</v>
      </c>
      <c r="BI298" s="22">
        <f>VLOOKUP(tabCustoUnit[[#This Row],[Código do Posto]],tabParametros[],MATCH(tabCustoUnit[[#Headers],[Máquinas e Equipamentos (depreciação)]],tabParametros[#Headers],0),0)</f>
        <v>0</v>
      </c>
      <c r="BJ298" s="22">
        <f>VLOOKUP(tabCustoUnit[[#This Row],[Código do Posto]],tabParametros[],MATCH(tabCustoUnit[[#Headers],[Produtos de Limpeza e Materiais de Higiene Pessoal]],tabParametros[#Headers],0),0)</f>
        <v>0</v>
      </c>
      <c r="BK298" s="22">
        <f>VLOOKUP(tabCustoUnit[[#This Row],[Código do Posto]],tabParametros[],MATCH(tabCustoUnit[[#Headers],[Outros (especificar)]],tabParametros[#Headers],0),0)</f>
        <v>0</v>
      </c>
      <c r="BL298" s="22">
        <f>SUM(tabCustoUnit[[#This Row],[Uniformes e EPIs]:[Outros (especificar)]])</f>
        <v>92.100763771570698</v>
      </c>
      <c r="BM29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8" s="22" t="e">
        <f ca="1">VLOOKUP(tabCustoUnit[[#This Row],[Código do Posto]],tabParametros[],MATCH(tabCustoUnit[[#Headers],[Custos Indiretos]],tabParametros[#Headers],0),0)</f>
        <v>#NAME?</v>
      </c>
      <c r="BO298" s="22" t="e">
        <f ca="1">VLOOKUP(tabCustoUnit[[#This Row],[Código do Posto]],tabParametros[],MATCH(tabCustoUnit[[#Headers],[Lucro]],tabParametros[#Headers],0),0)</f>
        <v>#NAME?</v>
      </c>
      <c r="BP298" s="26">
        <f>((100/((1-tabCustoUnit[[#This Row],[Resumo de Alíquotas (PIS+CONFINS+ISS)]]))-100)*VLOOKUP(tabCustoUnit[[#This Row],[Código do Posto]],tabParametros[],MATCH(tabCustoUnit[[#Headers],[COFINS]],tabParametros[#Headers],0),0))/(tabCustoUnit[[#This Row],[Resumo de Alíquotas (PIS+CONFINS+ISS)]]*100)</f>
        <v>8.6609686609686695E-2</v>
      </c>
      <c r="BQ298" s="26">
        <f>((100/((100-(tabCustoUnit[[#This Row],[Resumo de Alíquotas (PIS+CONFINS+ISS)]]*100))%)-100)*VLOOKUP(tabCustoUnit[[#This Row],[Código do Posto]],tabParametros[],MATCH(tabCustoUnit[[#Headers],[PIS]],tabParametros[#Headers],0),0))/(tabCustoUnit[[#This Row],[Resumo de Alíquotas (PIS+CONFINS+ISS)]]*100)</f>
        <v>1.880341880341882E-2</v>
      </c>
      <c r="BR298" s="28">
        <f>VLOOKUP(tabCustoUnit[[#This Row],[Código do Posto]],tabParametros[],MATCH(tabCustoUnit[[#Headers],[ISS]],tabParametros[#Headers],0),0)</f>
        <v>0.03</v>
      </c>
      <c r="BS298" s="26">
        <f>(((100/((100-(tabCustoUnit[[#This Row],[Resumo de Alíquotas (PIS+CONFINS+ISS)]]*100))%)-100)*tabCustoUnit[[#This Row],[ISS]])/tabCustoUnit[[#This Row],[Resumo de Alíquotas (PIS+CONFINS+ISS)]])/100</f>
        <v>3.4188034188034219E-2</v>
      </c>
      <c r="BT29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98" s="138">
        <f>tabCustoUnit[[#This Row],[COFINS]]+tabCustoUnit[[#This Row],[PIS]]+tabCustoUnit[[#This Row],[ISS (Conversão Alíquota s/ fatura)]]</f>
        <v>0.13960113960113973</v>
      </c>
      <c r="BV298" s="22" t="e">
        <f ca="1">(tabCustoUnit[[#This Row],[TOTAL MÓDULOS 1+2+3+4+5]]+tabCustoUnit[[#This Row],[Custos Indiretos]]+tabCustoUnit[[#This Row],[Lucro]])*tabCustoUnit[[#This Row],[PIS + COFINS + ISS (Total Conversão  Alíquota s/ Fatura)]]</f>
        <v>#NAME?</v>
      </c>
      <c r="BW298" s="22" t="e">
        <f ca="1">tabCustoUnit[[#This Row],[Custos Indiretos]]+tabCustoUnit[[#This Row],[Lucro]]+tabCustoUnit[[#This Row],[Valor dos Tributos (ISS, PIS, CONFINS)]]</f>
        <v>#NAME?</v>
      </c>
      <c r="BX298" s="22" t="e">
        <f ca="1">tabCustoUnit[[#This Row],[TOTAL MÓDULOS 1+2+3+4+5]]+tabCustoUnit[[#This Row],[MÓDULO 6 – CUSTOS INDIRETOS, TRIBUTOS E LUCRO]]</f>
        <v>#NAME?</v>
      </c>
      <c r="BY298" s="22" t="e">
        <f ca="1">tabCustoUnit[[#This Row],[CUSTO TOTAL MENSAL]]*12</f>
        <v>#NAME?</v>
      </c>
      <c r="BZ298" s="24">
        <f>VLOOKUP(tabCustoUnit[[#This Row],[Código do Posto]],tabParametros[],MATCH(tabCustoUnit[[#Headers],[ANO DA CCT]],tabParametros[#Headers],0),0)</f>
        <v>45658</v>
      </c>
      <c r="CA298" s="25" t="str">
        <f>VLOOKUP(tabCustoUnit[[#This Row],[Código do Posto]],tabParametros[],MATCH(tabCustoUnit[[#Headers],[Nº DE PEDIDO DA CCT]],tabParametros[#Headers],0),0)</f>
        <v>-</v>
      </c>
      <c r="CB298" s="25" t="str">
        <f>VLOOKUP(tabCustoUnit[[#This Row],[Código do Posto]],tabParametros[],MATCH(tabCustoUnit[[#Headers],[TERMO ADITIVO ALTERAÇÃO DA CCT]],tabParametros[#Headers],0),0)</f>
        <v>-</v>
      </c>
    </row>
    <row r="299" spans="1:80">
      <c r="A299" s="20" t="s">
        <v>1712</v>
      </c>
      <c r="B299" t="s">
        <v>1045</v>
      </c>
      <c r="C299" t="s">
        <v>304</v>
      </c>
      <c r="D299" t="s">
        <v>1045</v>
      </c>
      <c r="E299" s="20" t="s">
        <v>1090</v>
      </c>
      <c r="F299" s="20" t="s">
        <v>120</v>
      </c>
      <c r="G299" s="418">
        <v>2134.8035</v>
      </c>
      <c r="H299" s="418">
        <v>0</v>
      </c>
      <c r="I299" s="418">
        <v>0</v>
      </c>
      <c r="J299" s="418">
        <v>0</v>
      </c>
      <c r="K299" s="418">
        <v>0</v>
      </c>
      <c r="L299" s="418">
        <v>0</v>
      </c>
      <c r="M299" s="418">
        <v>0</v>
      </c>
      <c r="N299" s="418">
        <v>0</v>
      </c>
      <c r="O299" s="21">
        <f>SUM(tabCustoUnit[[#This Row],[Salário Base]:[Adicional de Acúmulo de função]])</f>
        <v>2134.8035</v>
      </c>
      <c r="P299" s="21">
        <f>tabCustoUnit[[#This Row],[MODULO 1 - REMUNERAÇÃO ]]*SUMIFS(tabParametros[INSS],tabParametros[Código do Posto],tabCustoUnit[[#This Row],[Código do Posto]])</f>
        <v>426.96070000000003</v>
      </c>
      <c r="Q299" s="21">
        <f>tabCustoUnit[[#This Row],[MODULO 1 - REMUNERAÇÃO ]]*SUMIFS(tabParametros[SESI OU SESC],tabParametros[Código do Posto],tabCustoUnit[[#This Row],[Código do Posto]])</f>
        <v>32.022052500000001</v>
      </c>
      <c r="R299" s="21">
        <f>tabCustoUnit[[#This Row],[MODULO 1 - REMUNERAÇÃO ]]*SUMIFS(tabParametros[SENAI OU SENAC],tabParametros[Código do Posto],tabCustoUnit[[#This Row],[Código do Posto]])</f>
        <v>21.348034999999999</v>
      </c>
      <c r="S299" s="21">
        <f>tabCustoUnit[[#This Row],[MODULO 1 - REMUNERAÇÃO ]]*SUMIFS(tabParametros[INCRA],tabParametros[Código do Posto],tabCustoUnit[[#This Row],[Código do Posto]])</f>
        <v>4.2696069999999997</v>
      </c>
      <c r="T299" s="21">
        <f>tabCustoUnit[[#This Row],[MODULO 1 - REMUNERAÇÃO ]]*SUMIFS(tabParametros[Salário Educação],tabParametros[Código do Posto],tabCustoUnit[[#This Row],[Código do Posto]])</f>
        <v>53.370087500000004</v>
      </c>
      <c r="U299" s="21">
        <f>tabCustoUnit[[#This Row],[MODULO 1 - REMUNERAÇÃO ]]*SUMIFS(tabParametros[FGTS],tabParametros[Código do Posto],tabCustoUnit[[#This Row],[Código do Posto]])</f>
        <v>170.78428</v>
      </c>
      <c r="V299" s="21">
        <f>tabCustoUnit[[#This Row],[MODULO 1 - REMUNERAÇÃO ]]*SUMIFS(tabParametros[RAT Ajustado],tabParametros[Código do Posto],tabCustoUnit[[#This Row],[Código do Posto]])</f>
        <v>85.392139999999998</v>
      </c>
      <c r="W299" s="21">
        <f>tabCustoUnit[[#This Row],[MODULO 1 - REMUNERAÇÃO ]]*SUMIFS(tabParametros[SEBRAE],tabParametros[Código do Posto],tabCustoUnit[[#This Row],[Código do Posto]])</f>
        <v>12.808821</v>
      </c>
      <c r="X299" s="21">
        <f>SUM(tabCustoUnit[[#This Row],[INSS]:[SEBRAE]])</f>
        <v>806.95572300000003</v>
      </c>
      <c r="Y299" s="21">
        <f>tabCustoUnit[[#This Row],[MODULO 1 - REMUNERAÇÃO ]]*SUMIFS(tabParametros[13º salário (titular)],tabParametros[Código do Posto],tabCustoUnit[[#This Row],[Código do Posto]])</f>
        <v>177.90029166666665</v>
      </c>
      <c r="Z299" s="21">
        <f>tabCustoUnit[[#This Row],[MODULO 1 - REMUNERAÇÃO ]]*SUMIFS(tabParametros[Férias e Adicional de Férias (titular)],tabParametros[Código do Posto],tabCustoUnit[[#This Row],[Código do Posto]])</f>
        <v>237.20038888888888</v>
      </c>
      <c r="AA299" s="21">
        <f>IFERROR((tabCustoUnit[[#This Row],[Submódulo 2.1]]/tabCustoUnit[[#This Row],[MODULO 1 - REMUNERAÇÃO ]])*SUM(tabCustoUnit[[#This Row],[13º salário (titular)]:[Férias e Adicional de Férias (titular)]]),0)</f>
        <v>156.90805724999998</v>
      </c>
      <c r="AB299" s="21">
        <f>SUM(tabCustoUnit[[#This Row],[13º salário (titular)]:[Incidência do Submódulo 2.1 sobre 13º Salário, Férias e Adicional de Férias]])</f>
        <v>572.00873780555548</v>
      </c>
      <c r="AC299" s="22" t="e">
        <f ca="1">_xlfn.LET(_xlpm.VT,SUMIF(tabParametros[Código do Posto],tabCustoUnit[[#This Row],[Código do Posto]],tabParametros[Vale - Transporte])*2*20,
IF((_xlpm.VT-tabCustoUnit[[#This Row],[Salário Base]]*0.06)&gt;=0,(_xlpm.VT-tabCustoUnit[[#This Row],[Salário Base]]*0.06),0)
)</f>
        <v>#NAME?</v>
      </c>
      <c r="AD299" s="22">
        <f>IF(SUMIF(tabParametros[Código do Posto],tabCustoUnit[[#This Row],[Código do Posto]],tabParametros[Vale - Alimentação])&lt;=0,0,
SUMIF(tabParametros[Código do Posto],tabCustoUnit[[#This Row],[Código do Posto]],tabParametros[Vale - Alimentação])*20-1)</f>
        <v>582</v>
      </c>
      <c r="AE299" s="22">
        <f>SUMIF(tabParametros[Código do Posto],tabCustoUnit[[#This Row],[Código do Posto]],tabParametros[Cesta Básica])</f>
        <v>0</v>
      </c>
      <c r="AF299" s="22">
        <f>SUMIF(tabParametros[Código do Posto],tabCustoUnit[[#This Row],[Código do Posto]],tabParametros[PAF])</f>
        <v>51.86</v>
      </c>
      <c r="AG299" s="22">
        <f>SUMIF(tabParametros[Código do Posto],tabCustoUnit[[#This Row],[Código do Posto]],tabParametros[PQM])</f>
        <v>0</v>
      </c>
      <c r="AH299" s="22">
        <f>SUMIF(tabParametros[Código do Posto],tabCustoUnit[[#This Row],[Código do Posto]],tabParametros[Abono Único e Especial])</f>
        <v>0</v>
      </c>
      <c r="AI299" s="22">
        <f>SUMIF(tabParametros[Código do Posto],tabCustoUnit[[#This Row],[Código do Posto]],tabParametros[Seguro de Vida])</f>
        <v>3.36</v>
      </c>
      <c r="AJ299" s="22">
        <f>SUMIF(tabParametros[Código do Posto],tabCustoUnit[[#This Row],[Código do Posto]],tabParametros[Despesas de Viagem])</f>
        <v>0</v>
      </c>
      <c r="AK299" s="22" t="e">
        <f ca="1">SUM(tabCustoUnit[[#This Row],[Vale - Transporte (Descontada parcela do empregado)]:[Despesas de Viagem]])</f>
        <v>#NAME?</v>
      </c>
      <c r="AL299" s="22" t="e">
        <f ca="1">tabCustoUnit[[#This Row],[Submódulo 2.1]]+tabCustoUnit[[#This Row],[Submódulo 2.2]]+tabCustoUnit[[#This Row],[Submódulo 2.3]]</f>
        <v>#NAME?</v>
      </c>
      <c r="AM299" s="22">
        <f>SUMIF(tabParametros[Código do Posto],tabCustoUnit[[#This Row],[Código do Posto]],tabParametros[Aviso Prévio Indenizado (API) e Reflexo do Aviso Prévio Indenizado])*tabCustoUnit[[#This Row],[MODULO 1 - REMUNERAÇÃO ]]</f>
        <v>14.968744680073302</v>
      </c>
      <c r="AN299" s="22">
        <f>SUMIF(tabParametros[Código do Posto],tabCustoUnit[[#This Row],[Código do Posto]],tabParametros[Incidência do FGTS sobre API e Reflexo do API])*tabCustoUnit[[#This Row],[MODULO 1 - REMUNERAÇÃO ]]</f>
        <v>1.1974995744058643</v>
      </c>
      <c r="AO299" s="22">
        <f>SUMIF(tabParametros[Código do Posto],tabCustoUnit[[#This Row],[Código do Posto]],tabParametros[Multa Rescisória do FGTS sobre o Aviso Prévio Indenizado])*tabCustoUnit[[#This Row],[MODULO 1 - REMUNERAÇÃO ]]</f>
        <v>0.47899982976234579</v>
      </c>
      <c r="AP299" s="22">
        <f>SUMIF(tabParametros[Código do Posto],tabCustoUnit[[#This Row],[Código do Posto]],tabParametros[Aviso Prévio Trabalhado - APT])*tabCustoUnit[[#This Row],[MODULO 1 - REMUNERAÇÃO ]]</f>
        <v>7.471812250000001</v>
      </c>
      <c r="AQ299" s="22">
        <f>SUMIF(tabParametros[Código do Posto],tabCustoUnit[[#This Row],[Código do Posto]],tabParametros[Incidência dos encargos do submódulo 2.1 sobre Aviso Prévio Trabalhado])*tabCustoUnit[[#This Row],[MODULO 1 - REMUNERAÇÃO ]]</f>
        <v>2.8243450305000009</v>
      </c>
      <c r="AR299" s="22">
        <f>SUMIF(tabParametros[Código do Posto],tabCustoUnit[[#This Row],[Código do Posto]],tabParametros[Multa Rescisória do FGTS])*tabCustoUnit[[#This Row],[MODULO 1 - REMUNERAÇÃO ]]</f>
        <v>65.277547022222208</v>
      </c>
      <c r="AS299" s="22">
        <f>SUMIF(tabParametros[Código do Posto],tabCustoUnit[[#This Row],[Código do Posto]],tabParametros[Indenização Adicional (Art. 9º da Lei nº 7.238/84)])*tabCustoUnit[[#This Row],[MODULO 1 - REMUNERAÇÃO ]]</f>
        <v>1.7790029166666668</v>
      </c>
      <c r="AT299" s="22">
        <f>SUM(tabCustoUnit[[#This Row],[Aviso Prévio Indenizado (API) e Reflexo do Aviso Prévio Indenizado]:[Indenização Adicional (Art. 9º da Lei nº 7.238/84)]])</f>
        <v>93.997951303630387</v>
      </c>
      <c r="AU299" s="22">
        <f>SUMIF(tabParametros[Código do Posto],tabCustoUnit[[#This Row],[Código do Posto]],tabParametros[Ausência por Doença])*tabCustoUnit[[#This Row],[MODULO 1 - REMUNERAÇÃO ]]</f>
        <v>18.027229555555554</v>
      </c>
      <c r="AV299" s="22">
        <f>SUMIF(tabParametros[Código do Posto],tabCustoUnit[[#This Row],[Código do Posto]],tabParametros[Ausências Legais])*tabCustoUnit[[#This Row],[MODULO 1 - REMUNERAÇÃO ]]</f>
        <v>4.3289070972222223</v>
      </c>
      <c r="AW299" s="22">
        <f>SUMIF(tabParametros[Código do Posto],tabCustoUnit[[#This Row],[Código do Posto]],tabParametros[Licença Paternidade])*tabCustoUnit[[#This Row],[MODULO 1 - REMUNERAÇÃO ]]</f>
        <v>0.36469559791666667</v>
      </c>
      <c r="AX299" s="22">
        <f>SUMIF(tabParametros[Código do Posto],tabCustoUnit[[#This Row],[Código do Posto]],tabParametros[Ausência por Acidente de Trabalho])*tabCustoUnit[[#This Row],[MODULO 1 - REMUNERAÇÃO ]]</f>
        <v>0.44475072916666669</v>
      </c>
      <c r="AY299" s="22">
        <f>SUMIF(tabParametros[Código do Posto],tabCustoUnit[[#This Row],[Código do Posto]],tabParametros[Férias, Adicional de Férias e 13º  com empregada em gozo de Licença Maternidade])*tabCustoUnit[[#This Row],[MODULO 1 - REMUNERAÇÃO ]]</f>
        <v>2.7673378703703704</v>
      </c>
      <c r="AZ299" s="22">
        <f>SUMIF(tabParametros[Código do Posto],tabCustoUnit[[#This Row],[Código do Posto]],tabParametros[Incidência do Submódulo 2.1 sobre Ausências Legais])*tabCustoUnit[[#This Row],[MODULO 1 - REMUNERAÇÃO ]]</f>
        <v>9.802644081387502</v>
      </c>
      <c r="BA299" s="22">
        <f>SUM(tabCustoUnit[[#This Row],[Ausência por Doença]:[Incidência do Submódulo 2.1 sobre Ausências Legais]])</f>
        <v>35.735564931618981</v>
      </c>
      <c r="BB299" s="22">
        <f>SUMIF(tabParametros[Código do Posto],tabCustoUnit[[#This Row],[Código do Posto]],tabParametros[Intervalo para Repouso ou Alimentação])</f>
        <v>236.35324352825916</v>
      </c>
      <c r="BC299" s="22">
        <f>tabCustoUnit[[#This Row],[Intervalo para Repouso ou Alimentação]]</f>
        <v>236.35324352825916</v>
      </c>
      <c r="BD29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299" s="22">
        <f>tabCustoUnit[[#This Row],[Suspensão Temporária do Contrato de Trabalho]]</f>
        <v>0</v>
      </c>
      <c r="BF299" s="22">
        <f>tabCustoUnit[[#This Row],[Submódulo 4.1]]+tabCustoUnit[[#This Row],[Submódulo 4.2]]+tabCustoUnit[[#This Row],[Submódulo 4.3]]</f>
        <v>272.08880845987812</v>
      </c>
      <c r="BG299" s="22">
        <f>VLOOKUP(tabCustoUnit[[#This Row],[Código do Posto]],tabParametros[],MATCH(tabCustoUnit[[#Headers],[Uniformes e EPIs]],tabParametros[#Headers],0),0)</f>
        <v>56.642978962543395</v>
      </c>
      <c r="BH299" s="22">
        <f>VLOOKUP(tabCustoUnit[[#This Row],[Código do Posto]],tabParametros[],MATCH(tabCustoUnit[[#Headers],[Materiais de Consumo]],tabParametros[#Headers],0),0)</f>
        <v>0</v>
      </c>
      <c r="BI299" s="22">
        <f>VLOOKUP(tabCustoUnit[[#This Row],[Código do Posto]],tabParametros[],MATCH(tabCustoUnit[[#Headers],[Máquinas e Equipamentos (depreciação)]],tabParametros[#Headers],0),0)</f>
        <v>0</v>
      </c>
      <c r="BJ299" s="22">
        <f>VLOOKUP(tabCustoUnit[[#This Row],[Código do Posto]],tabParametros[],MATCH(tabCustoUnit[[#Headers],[Produtos de Limpeza e Materiais de Higiene Pessoal]],tabParametros[#Headers],0),0)</f>
        <v>0</v>
      </c>
      <c r="BK299" s="22">
        <f>VLOOKUP(tabCustoUnit[[#This Row],[Código do Posto]],tabParametros[],MATCH(tabCustoUnit[[#Headers],[Outros (especificar)]],tabParametros[#Headers],0),0)</f>
        <v>0</v>
      </c>
      <c r="BL299" s="22">
        <f>SUM(tabCustoUnit[[#This Row],[Uniformes e EPIs]:[Outros (especificar)]])</f>
        <v>56.642978962543395</v>
      </c>
      <c r="BM29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299" s="22" t="e">
        <f ca="1">VLOOKUP(tabCustoUnit[[#This Row],[Código do Posto]],tabParametros[],MATCH(tabCustoUnit[[#Headers],[Custos Indiretos]],tabParametros[#Headers],0),0)</f>
        <v>#NAME?</v>
      </c>
      <c r="BO299" s="22" t="e">
        <f ca="1">VLOOKUP(tabCustoUnit[[#This Row],[Código do Posto]],tabParametros[],MATCH(tabCustoUnit[[#Headers],[Lucro]],tabParametros[#Headers],0),0)</f>
        <v>#NAME?</v>
      </c>
      <c r="BP299" s="26">
        <f>((100/((1-tabCustoUnit[[#This Row],[Resumo de Alíquotas (PIS+CONFINS+ISS)]]))-100)*VLOOKUP(tabCustoUnit[[#This Row],[Código do Posto]],tabParametros[],MATCH(tabCustoUnit[[#Headers],[COFINS]],tabParametros[#Headers],0),0))/(tabCustoUnit[[#This Row],[Resumo de Alíquotas (PIS+CONFINS+ISS)]]*100)</f>
        <v>8.6609686609686695E-2</v>
      </c>
      <c r="BQ299" s="26">
        <f>((100/((100-(tabCustoUnit[[#This Row],[Resumo de Alíquotas (PIS+CONFINS+ISS)]]*100))%)-100)*VLOOKUP(tabCustoUnit[[#This Row],[Código do Posto]],tabParametros[],MATCH(tabCustoUnit[[#Headers],[PIS]],tabParametros[#Headers],0),0))/(tabCustoUnit[[#This Row],[Resumo de Alíquotas (PIS+CONFINS+ISS)]]*100)</f>
        <v>1.880341880341882E-2</v>
      </c>
      <c r="BR299" s="28">
        <f>VLOOKUP(tabCustoUnit[[#This Row],[Código do Posto]],tabParametros[],MATCH(tabCustoUnit[[#Headers],[ISS]],tabParametros[#Headers],0),0)</f>
        <v>0.03</v>
      </c>
      <c r="BS299" s="26">
        <f>(((100/((100-(tabCustoUnit[[#This Row],[Resumo de Alíquotas (PIS+CONFINS+ISS)]]*100))%)-100)*tabCustoUnit[[#This Row],[ISS]])/tabCustoUnit[[#This Row],[Resumo de Alíquotas (PIS+CONFINS+ISS)]])/100</f>
        <v>3.4188034188034219E-2</v>
      </c>
      <c r="BT29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99" s="138">
        <f>tabCustoUnit[[#This Row],[COFINS]]+tabCustoUnit[[#This Row],[PIS]]+tabCustoUnit[[#This Row],[ISS (Conversão Alíquota s/ fatura)]]</f>
        <v>0.13960113960113973</v>
      </c>
      <c r="BV299" s="22" t="e">
        <f ca="1">(tabCustoUnit[[#This Row],[TOTAL MÓDULOS 1+2+3+4+5]]+tabCustoUnit[[#This Row],[Custos Indiretos]]+tabCustoUnit[[#This Row],[Lucro]])*tabCustoUnit[[#This Row],[PIS + COFINS + ISS (Total Conversão  Alíquota s/ Fatura)]]</f>
        <v>#NAME?</v>
      </c>
      <c r="BW299" s="22" t="e">
        <f ca="1">tabCustoUnit[[#This Row],[Custos Indiretos]]+tabCustoUnit[[#This Row],[Lucro]]+tabCustoUnit[[#This Row],[Valor dos Tributos (ISS, PIS, CONFINS)]]</f>
        <v>#NAME?</v>
      </c>
      <c r="BX299" s="22" t="e">
        <f ca="1">tabCustoUnit[[#This Row],[TOTAL MÓDULOS 1+2+3+4+5]]+tabCustoUnit[[#This Row],[MÓDULO 6 – CUSTOS INDIRETOS, TRIBUTOS E LUCRO]]</f>
        <v>#NAME?</v>
      </c>
      <c r="BY299" s="22" t="e">
        <f ca="1">tabCustoUnit[[#This Row],[CUSTO TOTAL MENSAL]]*12</f>
        <v>#NAME?</v>
      </c>
      <c r="BZ299" s="24">
        <f>VLOOKUP(tabCustoUnit[[#This Row],[Código do Posto]],tabParametros[],MATCH(tabCustoUnit[[#Headers],[ANO DA CCT]],tabParametros[#Headers],0),0)</f>
        <v>45658</v>
      </c>
      <c r="CA299" s="25" t="str">
        <f>VLOOKUP(tabCustoUnit[[#This Row],[Código do Posto]],tabParametros[],MATCH(tabCustoUnit[[#Headers],[Nº DE PEDIDO DA CCT]],tabParametros[#Headers],0),0)</f>
        <v>-</v>
      </c>
      <c r="CB299" s="25" t="str">
        <f>VLOOKUP(tabCustoUnit[[#This Row],[Código do Posto]],tabParametros[],MATCH(tabCustoUnit[[#Headers],[TERMO ADITIVO ALTERAÇÃO DA CCT]],tabParametros[#Headers],0),0)</f>
        <v>-</v>
      </c>
    </row>
    <row r="300" spans="1:80">
      <c r="A300" s="20" t="s">
        <v>1713</v>
      </c>
      <c r="B300" t="s">
        <v>1045</v>
      </c>
      <c r="C300" t="s">
        <v>309</v>
      </c>
      <c r="D300" t="s">
        <v>1045</v>
      </c>
      <c r="E300" s="20" t="s">
        <v>1090</v>
      </c>
      <c r="F300" s="20" t="s">
        <v>120</v>
      </c>
      <c r="G300" s="418">
        <v>2134.8035</v>
      </c>
      <c r="H300" s="418">
        <v>0</v>
      </c>
      <c r="I300" s="418">
        <v>0</v>
      </c>
      <c r="J300" s="418">
        <v>430.16289999999998</v>
      </c>
      <c r="K300" s="418">
        <v>0</v>
      </c>
      <c r="L300" s="418">
        <v>0</v>
      </c>
      <c r="M300" s="418">
        <v>0</v>
      </c>
      <c r="N300" s="418">
        <v>0</v>
      </c>
      <c r="O300" s="21">
        <f>SUM(tabCustoUnit[[#This Row],[Salário Base]:[Adicional de Acúmulo de função]])</f>
        <v>2564.9663999999998</v>
      </c>
      <c r="P300" s="21">
        <f>tabCustoUnit[[#This Row],[MODULO 1 - REMUNERAÇÃO ]]*SUMIFS(tabParametros[INSS],tabParametros[Código do Posto],tabCustoUnit[[#This Row],[Código do Posto]])</f>
        <v>512.99328000000003</v>
      </c>
      <c r="Q300" s="21">
        <f>tabCustoUnit[[#This Row],[MODULO 1 - REMUNERAÇÃO ]]*SUMIFS(tabParametros[SESI OU SESC],tabParametros[Código do Posto],tabCustoUnit[[#This Row],[Código do Posto]])</f>
        <v>38.474495999999995</v>
      </c>
      <c r="R300" s="21">
        <f>tabCustoUnit[[#This Row],[MODULO 1 - REMUNERAÇÃO ]]*SUMIFS(tabParametros[SENAI OU SENAC],tabParametros[Código do Posto],tabCustoUnit[[#This Row],[Código do Posto]])</f>
        <v>25.649663999999998</v>
      </c>
      <c r="S300" s="21">
        <f>tabCustoUnit[[#This Row],[MODULO 1 - REMUNERAÇÃO ]]*SUMIFS(tabParametros[INCRA],tabParametros[Código do Posto],tabCustoUnit[[#This Row],[Código do Posto]])</f>
        <v>5.1299327999999997</v>
      </c>
      <c r="T300" s="21">
        <f>tabCustoUnit[[#This Row],[MODULO 1 - REMUNERAÇÃO ]]*SUMIFS(tabParametros[Salário Educação],tabParametros[Código do Posto],tabCustoUnit[[#This Row],[Código do Posto]])</f>
        <v>64.124160000000003</v>
      </c>
      <c r="U300" s="21">
        <f>tabCustoUnit[[#This Row],[MODULO 1 - REMUNERAÇÃO ]]*SUMIFS(tabParametros[FGTS],tabParametros[Código do Posto],tabCustoUnit[[#This Row],[Código do Posto]])</f>
        <v>205.19731199999998</v>
      </c>
      <c r="V300" s="21">
        <f>tabCustoUnit[[#This Row],[MODULO 1 - REMUNERAÇÃO ]]*SUMIFS(tabParametros[RAT Ajustado],tabParametros[Código do Posto],tabCustoUnit[[#This Row],[Código do Posto]])</f>
        <v>102.59865599999999</v>
      </c>
      <c r="W300" s="21">
        <f>tabCustoUnit[[#This Row],[MODULO 1 - REMUNERAÇÃO ]]*SUMIFS(tabParametros[SEBRAE],tabParametros[Código do Posto],tabCustoUnit[[#This Row],[Código do Posto]])</f>
        <v>15.389798399999998</v>
      </c>
      <c r="X300" s="21">
        <f>SUM(tabCustoUnit[[#This Row],[INSS]:[SEBRAE]])</f>
        <v>969.5572992000001</v>
      </c>
      <c r="Y300" s="21">
        <f>tabCustoUnit[[#This Row],[MODULO 1 - REMUNERAÇÃO ]]*SUMIFS(tabParametros[13º salário (titular)],tabParametros[Código do Posto],tabCustoUnit[[#This Row],[Código do Posto]])</f>
        <v>213.74719999999996</v>
      </c>
      <c r="Z300" s="21">
        <f>tabCustoUnit[[#This Row],[MODULO 1 - REMUNERAÇÃO ]]*SUMIFS(tabParametros[Férias e Adicional de Férias (titular)],tabParametros[Código do Posto],tabCustoUnit[[#This Row],[Código do Posto]])</f>
        <v>284.9962666666666</v>
      </c>
      <c r="AA300" s="21">
        <f>IFERROR((tabCustoUnit[[#This Row],[Submódulo 2.1]]/tabCustoUnit[[#This Row],[MODULO 1 - REMUNERAÇÃO ]])*SUM(tabCustoUnit[[#This Row],[13º salário (titular)]:[Férias e Adicional de Férias (titular)]]),0)</f>
        <v>188.52503039999999</v>
      </c>
      <c r="AB300" s="21">
        <f>SUM(tabCustoUnit[[#This Row],[13º salário (titular)]:[Incidência do Submódulo 2.1 sobre 13º Salário, Férias e Adicional de Férias]])</f>
        <v>687.26849706666655</v>
      </c>
      <c r="AC300" s="22" t="e">
        <f ca="1">_xlfn.LET(_xlpm.VT,SUMIF(tabParametros[Código do Posto],tabCustoUnit[[#This Row],[Código do Posto]],tabParametros[Vale - Transporte])*2*20,
IF((_xlpm.VT-tabCustoUnit[[#This Row],[Salário Base]]*0.06)&gt;=0,(_xlpm.VT-tabCustoUnit[[#This Row],[Salário Base]]*0.06),0)
)</f>
        <v>#NAME?</v>
      </c>
      <c r="AD300" s="22">
        <f>IF(SUMIF(tabParametros[Código do Posto],tabCustoUnit[[#This Row],[Código do Posto]],tabParametros[Vale - Alimentação])&lt;=0,0,
SUMIF(tabParametros[Código do Posto],tabCustoUnit[[#This Row],[Código do Posto]],tabParametros[Vale - Alimentação])*20-1)</f>
        <v>582</v>
      </c>
      <c r="AE300" s="22">
        <f>SUMIF(tabParametros[Código do Posto],tabCustoUnit[[#This Row],[Código do Posto]],tabParametros[Cesta Básica])</f>
        <v>0</v>
      </c>
      <c r="AF300" s="22">
        <f>SUMIF(tabParametros[Código do Posto],tabCustoUnit[[#This Row],[Código do Posto]],tabParametros[PAF])</f>
        <v>51.86</v>
      </c>
      <c r="AG300" s="22">
        <f>SUMIF(tabParametros[Código do Posto],tabCustoUnit[[#This Row],[Código do Posto]],tabParametros[PQM])</f>
        <v>0</v>
      </c>
      <c r="AH300" s="22">
        <f>SUMIF(tabParametros[Código do Posto],tabCustoUnit[[#This Row],[Código do Posto]],tabParametros[Abono Único e Especial])</f>
        <v>0</v>
      </c>
      <c r="AI300" s="22">
        <f>SUMIF(tabParametros[Código do Posto],tabCustoUnit[[#This Row],[Código do Posto]],tabParametros[Seguro de Vida])</f>
        <v>3.36</v>
      </c>
      <c r="AJ300" s="22">
        <f>SUMIF(tabParametros[Código do Posto],tabCustoUnit[[#This Row],[Código do Posto]],tabParametros[Despesas de Viagem])</f>
        <v>0</v>
      </c>
      <c r="AK300" s="22" t="e">
        <f ca="1">SUM(tabCustoUnit[[#This Row],[Vale - Transporte (Descontada parcela do empregado)]:[Despesas de Viagem]])</f>
        <v>#NAME?</v>
      </c>
      <c r="AL300" s="22" t="e">
        <f ca="1">tabCustoUnit[[#This Row],[Submódulo 2.1]]+tabCustoUnit[[#This Row],[Submódulo 2.2]]+tabCustoUnit[[#This Row],[Submódulo 2.3]]</f>
        <v>#NAME?</v>
      </c>
      <c r="AM300" s="22">
        <f>SUMIF(tabParametros[Código do Posto],tabCustoUnit[[#This Row],[Código do Posto]],tabParametros[Aviso Prévio Indenizado (API) e Reflexo do Aviso Prévio Indenizado])*tabCustoUnit[[#This Row],[MODULO 1 - REMUNERAÇÃO ]]</f>
        <v>17.984946696296294</v>
      </c>
      <c r="AN300" s="22">
        <f>SUMIF(tabParametros[Código do Posto],tabCustoUnit[[#This Row],[Código do Posto]],tabParametros[Incidência do FGTS sobre API e Reflexo do API])*tabCustoUnit[[#This Row],[MODULO 1 - REMUNERAÇÃO ]]</f>
        <v>1.4387957357037038</v>
      </c>
      <c r="AO300" s="22">
        <f>SUMIF(tabParametros[Código do Posto],tabCustoUnit[[#This Row],[Código do Posto]],tabParametros[Multa Rescisória do FGTS sobre o Aviso Prévio Indenizado])*tabCustoUnit[[#This Row],[MODULO 1 - REMUNERAÇÃO ]]</f>
        <v>0.57551829428148149</v>
      </c>
      <c r="AP300" s="22">
        <f>SUMIF(tabParametros[Código do Posto],tabCustoUnit[[#This Row],[Código do Posto]],tabParametros[Aviso Prévio Trabalhado - APT])*tabCustoUnit[[#This Row],[MODULO 1 - REMUNERAÇÃO ]]</f>
        <v>8.9773823999999998</v>
      </c>
      <c r="AQ300" s="22">
        <f>SUMIF(tabParametros[Código do Posto],tabCustoUnit[[#This Row],[Código do Posto]],tabParametros[Incidência dos encargos do submódulo 2.1 sobre Aviso Prévio Trabalhado])*tabCustoUnit[[#This Row],[MODULO 1 - REMUNERAÇÃO ]]</f>
        <v>3.3934505472000009</v>
      </c>
      <c r="AR300" s="22">
        <f>SUMIF(tabParametros[Código do Posto],tabCustoUnit[[#This Row],[Código do Posto]],tabParametros[Multa Rescisória do FGTS])*tabCustoUnit[[#This Row],[MODULO 1 - REMUNERAÇÃO ]]</f>
        <v>78.430972586666655</v>
      </c>
      <c r="AS300" s="22">
        <f>SUMIF(tabParametros[Código do Posto],tabCustoUnit[[#This Row],[Código do Posto]],tabParametros[Indenização Adicional (Art. 9º da Lei nº 7.238/84)])*tabCustoUnit[[#This Row],[MODULO 1 - REMUNERAÇÃO ]]</f>
        <v>2.1374719999999998</v>
      </c>
      <c r="AT300" s="22">
        <f>SUM(tabCustoUnit[[#This Row],[Aviso Prévio Indenizado (API) e Reflexo do Aviso Prévio Indenizado]:[Indenização Adicional (Art. 9º da Lei nº 7.238/84)]])</f>
        <v>112.93853826014814</v>
      </c>
      <c r="AU300" s="22">
        <f>SUMIF(tabParametros[Código do Posto],tabCustoUnit[[#This Row],[Código do Posto]],tabParametros[Ausência por Doença])*tabCustoUnit[[#This Row],[MODULO 1 - REMUNERAÇÃO ]]</f>
        <v>21.659716266666663</v>
      </c>
      <c r="AV300" s="22">
        <f>SUMIF(tabParametros[Código do Posto],tabCustoUnit[[#This Row],[Código do Posto]],tabParametros[Ausências Legais])*tabCustoUnit[[#This Row],[MODULO 1 - REMUNERAÇÃO ]]</f>
        <v>5.2011818666666656</v>
      </c>
      <c r="AW300" s="22">
        <f>SUMIF(tabParametros[Código do Posto],tabCustoUnit[[#This Row],[Código do Posto]],tabParametros[Licença Paternidade])*tabCustoUnit[[#This Row],[MODULO 1 - REMUNERAÇÃO ]]</f>
        <v>0.43818175999999998</v>
      </c>
      <c r="AX300" s="22">
        <f>SUMIF(tabParametros[Código do Posto],tabCustoUnit[[#This Row],[Código do Posto]],tabParametros[Ausência por Acidente de Trabalho])*tabCustoUnit[[#This Row],[MODULO 1 - REMUNERAÇÃO ]]</f>
        <v>0.53436799999999995</v>
      </c>
      <c r="AY300" s="22">
        <f>SUMIF(tabParametros[Código do Posto],tabCustoUnit[[#This Row],[Código do Posto]],tabParametros[Férias, Adicional de Férias e 13º  com empregada em gozo de Licença Maternidade])*tabCustoUnit[[#This Row],[MODULO 1 - REMUNERAÇÃO ]]</f>
        <v>3.3249564444444442</v>
      </c>
      <c r="AZ300" s="22">
        <f>SUMIF(tabParametros[Código do Posto],tabCustoUnit[[#This Row],[Código do Posto]],tabParametros[Incidência do Submódulo 2.1 sobre Ausências Legais])*tabCustoUnit[[#This Row],[MODULO 1 - REMUNERAÇÃO ]]</f>
        <v>11.777876839680001</v>
      </c>
      <c r="BA300" s="22">
        <f>SUM(tabCustoUnit[[#This Row],[Ausência por Doença]:[Incidência do Submódulo 2.1 sobre Ausências Legais]])</f>
        <v>42.936281177457772</v>
      </c>
      <c r="BB300" s="22">
        <f>SUMIF(tabParametros[Código do Posto],tabCustoUnit[[#This Row],[Código do Posto]],tabParametros[Intervalo para Repouso ou Alimentação])</f>
        <v>283.97842209920344</v>
      </c>
      <c r="BC300" s="22">
        <f>tabCustoUnit[[#This Row],[Intervalo para Repouso ou Alimentação]]</f>
        <v>283.97842209920344</v>
      </c>
      <c r="BD30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0" s="22">
        <f>tabCustoUnit[[#This Row],[Suspensão Temporária do Contrato de Trabalho]]</f>
        <v>0</v>
      </c>
      <c r="BF300" s="22">
        <f>tabCustoUnit[[#This Row],[Submódulo 4.1]]+tabCustoUnit[[#This Row],[Submódulo 4.2]]+tabCustoUnit[[#This Row],[Submódulo 4.3]]</f>
        <v>326.91470327666121</v>
      </c>
      <c r="BG300" s="22">
        <f>VLOOKUP(tabCustoUnit[[#This Row],[Código do Posto]],tabParametros[],MATCH(tabCustoUnit[[#Headers],[Uniformes e EPIs]],tabParametros[#Headers],0),0)</f>
        <v>56.642978962543395</v>
      </c>
      <c r="BH300" s="22">
        <f>VLOOKUP(tabCustoUnit[[#This Row],[Código do Posto]],tabParametros[],MATCH(tabCustoUnit[[#Headers],[Materiais de Consumo]],tabParametros[#Headers],0),0)</f>
        <v>0</v>
      </c>
      <c r="BI300" s="22">
        <f>VLOOKUP(tabCustoUnit[[#This Row],[Código do Posto]],tabParametros[],MATCH(tabCustoUnit[[#Headers],[Máquinas e Equipamentos (depreciação)]],tabParametros[#Headers],0),0)</f>
        <v>0</v>
      </c>
      <c r="BJ300" s="22">
        <f>VLOOKUP(tabCustoUnit[[#This Row],[Código do Posto]],tabParametros[],MATCH(tabCustoUnit[[#Headers],[Produtos de Limpeza e Materiais de Higiene Pessoal]],tabParametros[#Headers],0),0)</f>
        <v>0</v>
      </c>
      <c r="BK300" s="22">
        <f>VLOOKUP(tabCustoUnit[[#This Row],[Código do Posto]],tabParametros[],MATCH(tabCustoUnit[[#Headers],[Outros (especificar)]],tabParametros[#Headers],0),0)</f>
        <v>0</v>
      </c>
      <c r="BL300" s="22">
        <f>SUM(tabCustoUnit[[#This Row],[Uniformes e EPIs]:[Outros (especificar)]])</f>
        <v>56.642978962543395</v>
      </c>
      <c r="BM30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0" s="22" t="e">
        <f ca="1">VLOOKUP(tabCustoUnit[[#This Row],[Código do Posto]],tabParametros[],MATCH(tabCustoUnit[[#Headers],[Custos Indiretos]],tabParametros[#Headers],0),0)</f>
        <v>#NAME?</v>
      </c>
      <c r="BO300" s="22" t="e">
        <f ca="1">VLOOKUP(tabCustoUnit[[#This Row],[Código do Posto]],tabParametros[],MATCH(tabCustoUnit[[#Headers],[Lucro]],tabParametros[#Headers],0),0)</f>
        <v>#NAME?</v>
      </c>
      <c r="BP300" s="26">
        <f>((100/((1-tabCustoUnit[[#This Row],[Resumo de Alíquotas (PIS+CONFINS+ISS)]]))-100)*VLOOKUP(tabCustoUnit[[#This Row],[Código do Posto]],tabParametros[],MATCH(tabCustoUnit[[#Headers],[COFINS]],tabParametros[#Headers],0),0))/(tabCustoUnit[[#This Row],[Resumo de Alíquotas (PIS+CONFINS+ISS)]]*100)</f>
        <v>8.6609686609686695E-2</v>
      </c>
      <c r="BQ300" s="26">
        <f>((100/((100-(tabCustoUnit[[#This Row],[Resumo de Alíquotas (PIS+CONFINS+ISS)]]*100))%)-100)*VLOOKUP(tabCustoUnit[[#This Row],[Código do Posto]],tabParametros[],MATCH(tabCustoUnit[[#Headers],[PIS]],tabParametros[#Headers],0),0))/(tabCustoUnit[[#This Row],[Resumo de Alíquotas (PIS+CONFINS+ISS)]]*100)</f>
        <v>1.880341880341882E-2</v>
      </c>
      <c r="BR300" s="28">
        <f>VLOOKUP(tabCustoUnit[[#This Row],[Código do Posto]],tabParametros[],MATCH(tabCustoUnit[[#Headers],[ISS]],tabParametros[#Headers],0),0)</f>
        <v>0.03</v>
      </c>
      <c r="BS300" s="26">
        <f>(((100/((100-(tabCustoUnit[[#This Row],[Resumo de Alíquotas (PIS+CONFINS+ISS)]]*100))%)-100)*tabCustoUnit[[#This Row],[ISS]])/tabCustoUnit[[#This Row],[Resumo de Alíquotas (PIS+CONFINS+ISS)]])/100</f>
        <v>3.4188034188034219E-2</v>
      </c>
      <c r="BT30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00" s="138">
        <f>tabCustoUnit[[#This Row],[COFINS]]+tabCustoUnit[[#This Row],[PIS]]+tabCustoUnit[[#This Row],[ISS (Conversão Alíquota s/ fatura)]]</f>
        <v>0.13960113960113973</v>
      </c>
      <c r="BV300" s="22" t="e">
        <f ca="1">(tabCustoUnit[[#This Row],[TOTAL MÓDULOS 1+2+3+4+5]]+tabCustoUnit[[#This Row],[Custos Indiretos]]+tabCustoUnit[[#This Row],[Lucro]])*tabCustoUnit[[#This Row],[PIS + COFINS + ISS (Total Conversão  Alíquota s/ Fatura)]]</f>
        <v>#NAME?</v>
      </c>
      <c r="BW300" s="22" t="e">
        <f ca="1">tabCustoUnit[[#This Row],[Custos Indiretos]]+tabCustoUnit[[#This Row],[Lucro]]+tabCustoUnit[[#This Row],[Valor dos Tributos (ISS, PIS, CONFINS)]]</f>
        <v>#NAME?</v>
      </c>
      <c r="BX300" s="22" t="e">
        <f ca="1">tabCustoUnit[[#This Row],[TOTAL MÓDULOS 1+2+3+4+5]]+tabCustoUnit[[#This Row],[MÓDULO 6 – CUSTOS INDIRETOS, TRIBUTOS E LUCRO]]</f>
        <v>#NAME?</v>
      </c>
      <c r="BY300" s="22" t="e">
        <f ca="1">tabCustoUnit[[#This Row],[CUSTO TOTAL MENSAL]]*12</f>
        <v>#NAME?</v>
      </c>
      <c r="BZ300" s="24">
        <f>VLOOKUP(tabCustoUnit[[#This Row],[Código do Posto]],tabParametros[],MATCH(tabCustoUnit[[#Headers],[ANO DA CCT]],tabParametros[#Headers],0),0)</f>
        <v>45658</v>
      </c>
      <c r="CA300" s="25" t="str">
        <f>VLOOKUP(tabCustoUnit[[#This Row],[Código do Posto]],tabParametros[],MATCH(tabCustoUnit[[#Headers],[Nº DE PEDIDO DA CCT]],tabParametros[#Headers],0),0)</f>
        <v>-</v>
      </c>
      <c r="CB300" s="25" t="str">
        <f>VLOOKUP(tabCustoUnit[[#This Row],[Código do Posto]],tabParametros[],MATCH(tabCustoUnit[[#Headers],[TERMO ADITIVO ALTERAÇÃO DA CCT]],tabParametros[#Headers],0),0)</f>
        <v>-</v>
      </c>
    </row>
    <row r="301" spans="1:80">
      <c r="A301" s="20" t="s">
        <v>1714</v>
      </c>
      <c r="B301" t="s">
        <v>1209</v>
      </c>
      <c r="C301" t="s">
        <v>314</v>
      </c>
      <c r="D301" t="s">
        <v>1048</v>
      </c>
      <c r="E301" s="20" t="s">
        <v>1090</v>
      </c>
      <c r="F301" s="20" t="s">
        <v>120</v>
      </c>
      <c r="G301" s="418">
        <v>1963.4110000000001</v>
      </c>
      <c r="H301" s="418">
        <v>0</v>
      </c>
      <c r="I301" s="418">
        <v>0</v>
      </c>
      <c r="J301" s="418">
        <v>0</v>
      </c>
      <c r="K301" s="418">
        <v>0</v>
      </c>
      <c r="L301" s="418">
        <v>0</v>
      </c>
      <c r="M301" s="418">
        <v>0</v>
      </c>
      <c r="N301" s="418">
        <v>0</v>
      </c>
      <c r="O301" s="21">
        <f>SUM(tabCustoUnit[[#This Row],[Salário Base]:[Adicional de Acúmulo de função]])</f>
        <v>1963.4110000000001</v>
      </c>
      <c r="P301" s="21">
        <f>tabCustoUnit[[#This Row],[MODULO 1 - REMUNERAÇÃO ]]*SUMIFS(tabParametros[INSS],tabParametros[Código do Posto],tabCustoUnit[[#This Row],[Código do Posto]])</f>
        <v>392.68220000000002</v>
      </c>
      <c r="Q301" s="21">
        <f>tabCustoUnit[[#This Row],[MODULO 1 - REMUNERAÇÃO ]]*SUMIFS(tabParametros[SESI OU SESC],tabParametros[Código do Posto],tabCustoUnit[[#This Row],[Código do Posto]])</f>
        <v>29.451165</v>
      </c>
      <c r="R301" s="21">
        <f>tabCustoUnit[[#This Row],[MODULO 1 - REMUNERAÇÃO ]]*SUMIFS(tabParametros[SENAI OU SENAC],tabParametros[Código do Posto],tabCustoUnit[[#This Row],[Código do Posto]])</f>
        <v>19.63411</v>
      </c>
      <c r="S301" s="21">
        <f>tabCustoUnit[[#This Row],[MODULO 1 - REMUNERAÇÃO ]]*SUMIFS(tabParametros[INCRA],tabParametros[Código do Posto],tabCustoUnit[[#This Row],[Código do Posto]])</f>
        <v>3.926822</v>
      </c>
      <c r="T301" s="21">
        <f>tabCustoUnit[[#This Row],[MODULO 1 - REMUNERAÇÃO ]]*SUMIFS(tabParametros[Salário Educação],tabParametros[Código do Posto],tabCustoUnit[[#This Row],[Código do Posto]])</f>
        <v>49.085275000000003</v>
      </c>
      <c r="U301" s="21">
        <f>tabCustoUnit[[#This Row],[MODULO 1 - REMUNERAÇÃO ]]*SUMIFS(tabParametros[FGTS],tabParametros[Código do Posto],tabCustoUnit[[#This Row],[Código do Posto]])</f>
        <v>157.07288</v>
      </c>
      <c r="V301" s="21">
        <f>tabCustoUnit[[#This Row],[MODULO 1 - REMUNERAÇÃO ]]*SUMIFS(tabParametros[RAT Ajustado],tabParametros[Código do Posto],tabCustoUnit[[#This Row],[Código do Posto]])</f>
        <v>78.536439999999999</v>
      </c>
      <c r="W301" s="21">
        <f>tabCustoUnit[[#This Row],[MODULO 1 - REMUNERAÇÃO ]]*SUMIFS(tabParametros[SEBRAE],tabParametros[Código do Posto],tabCustoUnit[[#This Row],[Código do Posto]])</f>
        <v>11.780466000000001</v>
      </c>
      <c r="X301" s="21">
        <f>SUM(tabCustoUnit[[#This Row],[INSS]:[SEBRAE]])</f>
        <v>742.1693580000001</v>
      </c>
      <c r="Y301" s="21">
        <f>tabCustoUnit[[#This Row],[MODULO 1 - REMUNERAÇÃO ]]*SUMIFS(tabParametros[13º salário (titular)],tabParametros[Código do Posto],tabCustoUnit[[#This Row],[Código do Posto]])</f>
        <v>163.61758333333333</v>
      </c>
      <c r="Z301" s="21">
        <f>tabCustoUnit[[#This Row],[MODULO 1 - REMUNERAÇÃO ]]*SUMIFS(tabParametros[Férias e Adicional de Férias (titular)],tabParametros[Código do Posto],tabCustoUnit[[#This Row],[Código do Posto]])</f>
        <v>218.15677777777776</v>
      </c>
      <c r="AA301" s="21">
        <f>IFERROR((tabCustoUnit[[#This Row],[Submódulo 2.1]]/tabCustoUnit[[#This Row],[MODULO 1 - REMUNERAÇÃO ]])*SUM(tabCustoUnit[[#This Row],[13º salário (titular)]:[Férias e Adicional de Férias (titular)]]),0)</f>
        <v>144.3107085</v>
      </c>
      <c r="AB301" s="21">
        <f>SUM(tabCustoUnit[[#This Row],[13º salário (titular)]:[Incidência do Submódulo 2.1 sobre 13º Salário, Férias e Adicional de Férias]])</f>
        <v>526.08506961111107</v>
      </c>
      <c r="AC301" s="22" t="e">
        <f ca="1">_xlfn.LET(_xlpm.VT,SUMIF(tabParametros[Código do Posto],tabCustoUnit[[#This Row],[Código do Posto]],tabParametros[Vale - Transporte])*2*20,
IF((_xlpm.VT-tabCustoUnit[[#This Row],[Salário Base]]*0.06)&gt;=0,(_xlpm.VT-tabCustoUnit[[#This Row],[Salário Base]]*0.06),0)
)</f>
        <v>#NAME?</v>
      </c>
      <c r="AD301" s="22">
        <f>IF(SUMIF(tabParametros[Código do Posto],tabCustoUnit[[#This Row],[Código do Posto]],tabParametros[Vale - Alimentação])&lt;=0,0,
SUMIF(tabParametros[Código do Posto],tabCustoUnit[[#This Row],[Código do Posto]],tabParametros[Vale - Alimentação])*20-1)</f>
        <v>582</v>
      </c>
      <c r="AE301" s="22">
        <f>SUMIF(tabParametros[Código do Posto],tabCustoUnit[[#This Row],[Código do Posto]],tabParametros[Cesta Básica])</f>
        <v>0</v>
      </c>
      <c r="AF301" s="22">
        <f>SUMIF(tabParametros[Código do Posto],tabCustoUnit[[#This Row],[Código do Posto]],tabParametros[PAF])</f>
        <v>0</v>
      </c>
      <c r="AG301" s="22">
        <f>SUMIF(tabParametros[Código do Posto],tabCustoUnit[[#This Row],[Código do Posto]],tabParametros[PQM])</f>
        <v>0</v>
      </c>
      <c r="AH301" s="22">
        <f>SUMIF(tabParametros[Código do Posto],tabCustoUnit[[#This Row],[Código do Posto]],tabParametros[Abono Único e Especial])</f>
        <v>0</v>
      </c>
      <c r="AI301" s="22">
        <f>SUMIF(tabParametros[Código do Posto],tabCustoUnit[[#This Row],[Código do Posto]],tabParametros[Seguro de Vida])</f>
        <v>3.36</v>
      </c>
      <c r="AJ301" s="22">
        <f>SUMIF(tabParametros[Código do Posto],tabCustoUnit[[#This Row],[Código do Posto]],tabParametros[Despesas de Viagem])</f>
        <v>0</v>
      </c>
      <c r="AK301" s="22" t="e">
        <f ca="1">SUM(tabCustoUnit[[#This Row],[Vale - Transporte (Descontada parcela do empregado)]:[Despesas de Viagem]])</f>
        <v>#NAME?</v>
      </c>
      <c r="AL301" s="22" t="e">
        <f ca="1">tabCustoUnit[[#This Row],[Submódulo 2.1]]+tabCustoUnit[[#This Row],[Submódulo 2.2]]+tabCustoUnit[[#This Row],[Submódulo 2.3]]</f>
        <v>#NAME?</v>
      </c>
      <c r="AM301" s="22">
        <f>SUMIF(tabParametros[Código do Posto],tabCustoUnit[[#This Row],[Código do Posto]],tabParametros[Aviso Prévio Indenizado (API) e Reflexo do Aviso Prévio Indenizado])*tabCustoUnit[[#This Row],[MODULO 1 - REMUNERAÇÃO ]]</f>
        <v>13.766980408757716</v>
      </c>
      <c r="AN301" s="22">
        <f>SUMIF(tabParametros[Código do Posto],tabCustoUnit[[#This Row],[Código do Posto]],tabParametros[Incidência do FGTS sobre API e Reflexo do API])*tabCustoUnit[[#This Row],[MODULO 1 - REMUNERAÇÃO ]]</f>
        <v>1.1013584327006174</v>
      </c>
      <c r="AO301" s="22">
        <f>SUMIF(tabParametros[Código do Posto],tabCustoUnit[[#This Row],[Código do Posto]],tabParametros[Multa Rescisória do FGTS sobre o Aviso Prévio Indenizado])*tabCustoUnit[[#This Row],[MODULO 1 - REMUNERAÇÃO ]]</f>
        <v>0.44054337308024699</v>
      </c>
      <c r="AP301" s="22">
        <f>SUMIF(tabParametros[Código do Posto],tabCustoUnit[[#This Row],[Código do Posto]],tabParametros[Aviso Prévio Trabalhado - APT])*tabCustoUnit[[#This Row],[MODULO 1 - REMUNERAÇÃO ]]</f>
        <v>6.8719385000000015</v>
      </c>
      <c r="AQ301" s="22">
        <f>SUMIF(tabParametros[Código do Posto],tabCustoUnit[[#This Row],[Código do Posto]],tabParametros[Incidência dos encargos do submódulo 2.1 sobre Aviso Prévio Trabalhado])*tabCustoUnit[[#This Row],[MODULO 1 - REMUNERAÇÃO ]]</f>
        <v>2.5975927530000007</v>
      </c>
      <c r="AR301" s="22">
        <f>SUMIF(tabParametros[Código do Posto],tabCustoUnit[[#This Row],[Código do Posto]],tabParametros[Multa Rescisória do FGTS])*tabCustoUnit[[#This Row],[MODULO 1 - REMUNERAÇÃO ]]</f>
        <v>60.03674524444444</v>
      </c>
      <c r="AS301" s="22">
        <f>SUMIF(tabParametros[Código do Posto],tabCustoUnit[[#This Row],[Código do Posto]],tabParametros[Indenização Adicional (Art. 9º da Lei nº 7.238/84)])*tabCustoUnit[[#This Row],[MODULO 1 - REMUNERAÇÃO ]]</f>
        <v>1.6361758333333334</v>
      </c>
      <c r="AT301" s="22">
        <f>SUM(tabCustoUnit[[#This Row],[Aviso Prévio Indenizado (API) e Reflexo do Aviso Prévio Indenizado]:[Indenização Adicional (Art. 9º da Lei nº 7.238/84)]])</f>
        <v>86.451334545316371</v>
      </c>
      <c r="AU301" s="22">
        <f>SUMIF(tabParametros[Código do Posto],tabCustoUnit[[#This Row],[Código do Posto]],tabParametros[Ausência por Doença])*tabCustoUnit[[#This Row],[MODULO 1 - REMUNERAÇÃO ]]</f>
        <v>16.579915111111109</v>
      </c>
      <c r="AV301" s="22">
        <f>SUMIF(tabParametros[Código do Posto],tabCustoUnit[[#This Row],[Código do Posto]],tabParametros[Ausências Legais])*tabCustoUnit[[#This Row],[MODULO 1 - REMUNERAÇÃO ]]</f>
        <v>3.9813611944444443</v>
      </c>
      <c r="AW301" s="22">
        <f>SUMIF(tabParametros[Código do Posto],tabCustoUnit[[#This Row],[Código do Posto]],tabParametros[Licença Paternidade])*tabCustoUnit[[#This Row],[MODULO 1 - REMUNERAÇÃO ]]</f>
        <v>0.33541604583333334</v>
      </c>
      <c r="AX301" s="22">
        <f>SUMIF(tabParametros[Código do Posto],tabCustoUnit[[#This Row],[Código do Posto]],tabParametros[Ausência por Acidente de Trabalho])*tabCustoUnit[[#This Row],[MODULO 1 - REMUNERAÇÃO ]]</f>
        <v>0.40904395833333335</v>
      </c>
      <c r="AY301" s="22">
        <f>SUMIF(tabParametros[Código do Posto],tabCustoUnit[[#This Row],[Código do Posto]],tabParametros[Férias, Adicional de Férias e 13º  com empregada em gozo de Licença Maternidade])*tabCustoUnit[[#This Row],[MODULO 1 - REMUNERAÇÃO ]]</f>
        <v>2.5451624074074073</v>
      </c>
      <c r="AZ301" s="22">
        <f>SUMIF(tabParametros[Código do Posto],tabCustoUnit[[#This Row],[Código do Posto]],tabParametros[Incidência do Submódulo 2.1 sobre Ausências Legais])*tabCustoUnit[[#This Row],[MODULO 1 - REMUNERAÇÃO ]]</f>
        <v>9.0156397150750021</v>
      </c>
      <c r="BA301" s="22">
        <f>SUM(tabCustoUnit[[#This Row],[Ausência por Doença]:[Incidência do Submódulo 2.1 sobre Ausências Legais]])</f>
        <v>32.866538432204628</v>
      </c>
      <c r="BB301" s="22">
        <f>SUMIF(tabParametros[Código do Posto],tabCustoUnit[[#This Row],[Código do Posto]],tabParametros[Intervalo para Repouso ou Alimentação])</f>
        <v>267.73786489195959</v>
      </c>
      <c r="BC301" s="22">
        <f>tabCustoUnit[[#This Row],[Intervalo para Repouso ou Alimentação]]</f>
        <v>267.73786489195959</v>
      </c>
      <c r="BD30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1" s="22">
        <f>tabCustoUnit[[#This Row],[Suspensão Temporária do Contrato de Trabalho]]</f>
        <v>0</v>
      </c>
      <c r="BF301" s="22">
        <f>tabCustoUnit[[#This Row],[Submódulo 4.1]]+tabCustoUnit[[#This Row],[Submódulo 4.2]]+tabCustoUnit[[#This Row],[Submódulo 4.3]]</f>
        <v>300.6044033241642</v>
      </c>
      <c r="BG301" s="22">
        <f>VLOOKUP(tabCustoUnit[[#This Row],[Código do Posto]],tabParametros[],MATCH(tabCustoUnit[[#Headers],[Uniformes e EPIs]],tabParametros[#Headers],0),0)</f>
        <v>56.642978962543395</v>
      </c>
      <c r="BH301" s="22">
        <f>VLOOKUP(tabCustoUnit[[#This Row],[Código do Posto]],tabParametros[],MATCH(tabCustoUnit[[#Headers],[Materiais de Consumo]],tabParametros[#Headers],0),0)</f>
        <v>0</v>
      </c>
      <c r="BI301" s="22">
        <f>VLOOKUP(tabCustoUnit[[#This Row],[Código do Posto]],tabParametros[],MATCH(tabCustoUnit[[#Headers],[Máquinas e Equipamentos (depreciação)]],tabParametros[#Headers],0),0)</f>
        <v>0</v>
      </c>
      <c r="BJ301" s="22">
        <f>VLOOKUP(tabCustoUnit[[#This Row],[Código do Posto]],tabParametros[],MATCH(tabCustoUnit[[#Headers],[Produtos de Limpeza e Materiais de Higiene Pessoal]],tabParametros[#Headers],0),0)</f>
        <v>0</v>
      </c>
      <c r="BK301" s="22">
        <f>VLOOKUP(tabCustoUnit[[#This Row],[Código do Posto]],tabParametros[],MATCH(tabCustoUnit[[#Headers],[Outros (especificar)]],tabParametros[#Headers],0),0)</f>
        <v>0</v>
      </c>
      <c r="BL301" s="22">
        <f>SUM(tabCustoUnit[[#This Row],[Uniformes e EPIs]:[Outros (especificar)]])</f>
        <v>56.642978962543395</v>
      </c>
      <c r="BM30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1" s="22" t="e">
        <f ca="1">VLOOKUP(tabCustoUnit[[#This Row],[Código do Posto]],tabParametros[],MATCH(tabCustoUnit[[#Headers],[Custos Indiretos]],tabParametros[#Headers],0),0)</f>
        <v>#NAME?</v>
      </c>
      <c r="BO301" s="22" t="e">
        <f ca="1">VLOOKUP(tabCustoUnit[[#This Row],[Código do Posto]],tabParametros[],MATCH(tabCustoUnit[[#Headers],[Lucro]],tabParametros[#Headers],0),0)</f>
        <v>#NAME?</v>
      </c>
      <c r="BP301" s="26">
        <f>((100/((1-tabCustoUnit[[#This Row],[Resumo de Alíquotas (PIS+CONFINS+ISS)]]))-100)*VLOOKUP(tabCustoUnit[[#This Row],[Código do Posto]],tabParametros[],MATCH(tabCustoUnit[[#Headers],[COFINS]],tabParametros[#Headers],0),0))/(tabCustoUnit[[#This Row],[Resumo de Alíquotas (PIS+CONFINS+ISS)]]*100)</f>
        <v>8.6609686609686695E-2</v>
      </c>
      <c r="BQ301" s="26">
        <f>((100/((100-(tabCustoUnit[[#This Row],[Resumo de Alíquotas (PIS+CONFINS+ISS)]]*100))%)-100)*VLOOKUP(tabCustoUnit[[#This Row],[Código do Posto]],tabParametros[],MATCH(tabCustoUnit[[#Headers],[PIS]],tabParametros[#Headers],0),0))/(tabCustoUnit[[#This Row],[Resumo de Alíquotas (PIS+CONFINS+ISS)]]*100)</f>
        <v>1.880341880341882E-2</v>
      </c>
      <c r="BR301" s="28">
        <f>VLOOKUP(tabCustoUnit[[#This Row],[Código do Posto]],tabParametros[],MATCH(tabCustoUnit[[#Headers],[ISS]],tabParametros[#Headers],0),0)</f>
        <v>0.03</v>
      </c>
      <c r="BS301" s="26">
        <f>(((100/((100-(tabCustoUnit[[#This Row],[Resumo de Alíquotas (PIS+CONFINS+ISS)]]*100))%)-100)*tabCustoUnit[[#This Row],[ISS]])/tabCustoUnit[[#This Row],[Resumo de Alíquotas (PIS+CONFINS+ISS)]])/100</f>
        <v>3.4188034188034219E-2</v>
      </c>
      <c r="BT30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01" s="138">
        <f>tabCustoUnit[[#This Row],[COFINS]]+tabCustoUnit[[#This Row],[PIS]]+tabCustoUnit[[#This Row],[ISS (Conversão Alíquota s/ fatura)]]</f>
        <v>0.13960113960113973</v>
      </c>
      <c r="BV301" s="22" t="e">
        <f ca="1">(tabCustoUnit[[#This Row],[TOTAL MÓDULOS 1+2+3+4+5]]+tabCustoUnit[[#This Row],[Custos Indiretos]]+tabCustoUnit[[#This Row],[Lucro]])*tabCustoUnit[[#This Row],[PIS + COFINS + ISS (Total Conversão  Alíquota s/ Fatura)]]</f>
        <v>#NAME?</v>
      </c>
      <c r="BW301" s="22" t="e">
        <f ca="1">tabCustoUnit[[#This Row],[Custos Indiretos]]+tabCustoUnit[[#This Row],[Lucro]]+tabCustoUnit[[#This Row],[Valor dos Tributos (ISS, PIS, CONFINS)]]</f>
        <v>#NAME?</v>
      </c>
      <c r="BX301" s="22" t="e">
        <f ca="1">tabCustoUnit[[#This Row],[TOTAL MÓDULOS 1+2+3+4+5]]+tabCustoUnit[[#This Row],[MÓDULO 6 – CUSTOS INDIRETOS, TRIBUTOS E LUCRO]]</f>
        <v>#NAME?</v>
      </c>
      <c r="BY301" s="22" t="e">
        <f ca="1">tabCustoUnit[[#This Row],[CUSTO TOTAL MENSAL]]*12</f>
        <v>#NAME?</v>
      </c>
      <c r="BZ301" s="24">
        <f>VLOOKUP(tabCustoUnit[[#This Row],[Código do Posto]],tabParametros[],MATCH(tabCustoUnit[[#Headers],[ANO DA CCT]],tabParametros[#Headers],0),0)</f>
        <v>45658</v>
      </c>
      <c r="CA301" s="25" t="str">
        <f>VLOOKUP(tabCustoUnit[[#This Row],[Código do Posto]],tabParametros[],MATCH(tabCustoUnit[[#Headers],[Nº DE PEDIDO DA CCT]],tabParametros[#Headers],0),0)</f>
        <v>-</v>
      </c>
      <c r="CB301" s="25" t="str">
        <f>VLOOKUP(tabCustoUnit[[#This Row],[Código do Posto]],tabParametros[],MATCH(tabCustoUnit[[#Headers],[TERMO ADITIVO ALTERAÇÃO DA CCT]],tabParametros[#Headers],0),0)</f>
        <v>-</v>
      </c>
    </row>
    <row r="302" spans="1:80">
      <c r="A302" s="20" t="s">
        <v>1715</v>
      </c>
      <c r="B302" t="s">
        <v>1066</v>
      </c>
      <c r="C302" t="s">
        <v>244</v>
      </c>
      <c r="D302" t="s">
        <v>1066</v>
      </c>
      <c r="E302" s="20" t="s">
        <v>1090</v>
      </c>
      <c r="F302" s="20" t="s">
        <v>120</v>
      </c>
      <c r="G302" s="418">
        <v>2296.1756999999998</v>
      </c>
      <c r="H302" s="418">
        <v>0</v>
      </c>
      <c r="I302" s="418">
        <v>303.60000000000002</v>
      </c>
      <c r="J302" s="418">
        <v>0</v>
      </c>
      <c r="K302" s="418">
        <v>0</v>
      </c>
      <c r="L302" s="418">
        <v>0</v>
      </c>
      <c r="M302" s="418">
        <v>0</v>
      </c>
      <c r="N302" s="418">
        <v>0</v>
      </c>
      <c r="O302" s="21">
        <f>SUM(tabCustoUnit[[#This Row],[Salário Base]:[Adicional de Acúmulo de função]])</f>
        <v>2599.7756999999997</v>
      </c>
      <c r="P302" s="21">
        <f>tabCustoUnit[[#This Row],[MODULO 1 - REMUNERAÇÃO ]]*SUMIFS(tabParametros[INSS],tabParametros[Código do Posto],tabCustoUnit[[#This Row],[Código do Posto]])</f>
        <v>519.95513999999991</v>
      </c>
      <c r="Q302" s="21">
        <f>tabCustoUnit[[#This Row],[MODULO 1 - REMUNERAÇÃO ]]*SUMIFS(tabParametros[SESI OU SESC],tabParametros[Código do Posto],tabCustoUnit[[#This Row],[Código do Posto]])</f>
        <v>38.996635499999996</v>
      </c>
      <c r="R302" s="21">
        <f>tabCustoUnit[[#This Row],[MODULO 1 - REMUNERAÇÃO ]]*SUMIFS(tabParametros[SENAI OU SENAC],tabParametros[Código do Posto],tabCustoUnit[[#This Row],[Código do Posto]])</f>
        <v>25.997756999999996</v>
      </c>
      <c r="S302" s="21">
        <f>tabCustoUnit[[#This Row],[MODULO 1 - REMUNERAÇÃO ]]*SUMIFS(tabParametros[INCRA],tabParametros[Código do Posto],tabCustoUnit[[#This Row],[Código do Posto]])</f>
        <v>5.1995513999999998</v>
      </c>
      <c r="T302" s="21">
        <f>tabCustoUnit[[#This Row],[MODULO 1 - REMUNERAÇÃO ]]*SUMIFS(tabParametros[Salário Educação],tabParametros[Código do Posto],tabCustoUnit[[#This Row],[Código do Posto]])</f>
        <v>64.994392499999989</v>
      </c>
      <c r="U302" s="21">
        <f>tabCustoUnit[[#This Row],[MODULO 1 - REMUNERAÇÃO ]]*SUMIFS(tabParametros[FGTS],tabParametros[Código do Posto],tabCustoUnit[[#This Row],[Código do Posto]])</f>
        <v>207.98205599999997</v>
      </c>
      <c r="V302" s="21">
        <f>tabCustoUnit[[#This Row],[MODULO 1 - REMUNERAÇÃO ]]*SUMIFS(tabParametros[RAT Ajustado],tabParametros[Código do Posto],tabCustoUnit[[#This Row],[Código do Posto]])</f>
        <v>103.99102799999999</v>
      </c>
      <c r="W302" s="21">
        <f>tabCustoUnit[[#This Row],[MODULO 1 - REMUNERAÇÃO ]]*SUMIFS(tabParametros[SEBRAE],tabParametros[Código do Posto],tabCustoUnit[[#This Row],[Código do Posto]])</f>
        <v>15.598654199999999</v>
      </c>
      <c r="X302" s="21">
        <f>SUM(tabCustoUnit[[#This Row],[INSS]:[SEBRAE]])</f>
        <v>982.71521459999985</v>
      </c>
      <c r="Y302" s="21">
        <f>tabCustoUnit[[#This Row],[MODULO 1 - REMUNERAÇÃO ]]*SUMIFS(tabParametros[13º salário (titular)],tabParametros[Código do Posto],tabCustoUnit[[#This Row],[Código do Posto]])</f>
        <v>216.64797499999997</v>
      </c>
      <c r="Z302" s="21">
        <f>tabCustoUnit[[#This Row],[MODULO 1 - REMUNERAÇÃO ]]*SUMIFS(tabParametros[Férias e Adicional de Férias (titular)],tabParametros[Código do Posto],tabCustoUnit[[#This Row],[Código do Posto]])</f>
        <v>288.86396666666661</v>
      </c>
      <c r="AA302" s="21">
        <f>IFERROR((tabCustoUnit[[#This Row],[Submódulo 2.1]]/tabCustoUnit[[#This Row],[MODULO 1 - REMUNERAÇÃO ]])*SUM(tabCustoUnit[[#This Row],[13º salário (titular)]:[Férias e Adicional de Férias (titular)]]),0)</f>
        <v>191.08351394999997</v>
      </c>
      <c r="AB302" s="21">
        <f>SUM(tabCustoUnit[[#This Row],[13º salário (titular)]:[Incidência do Submódulo 2.1 sobre 13º Salário, Férias e Adicional de Férias]])</f>
        <v>696.59545561666653</v>
      </c>
      <c r="AC302" s="22" t="e">
        <f ca="1">_xlfn.LET(_xlpm.VT,SUMIF(tabParametros[Código do Posto],tabCustoUnit[[#This Row],[Código do Posto]],tabParametros[Vale - Transporte])*2*20,
IF((_xlpm.VT-tabCustoUnit[[#This Row],[Salário Base]]*0.06)&gt;=0,(_xlpm.VT-tabCustoUnit[[#This Row],[Salário Base]]*0.06),0)
)</f>
        <v>#NAME?</v>
      </c>
      <c r="AD302" s="22">
        <f>IF(SUMIF(tabParametros[Código do Posto],tabCustoUnit[[#This Row],[Código do Posto]],tabParametros[Vale - Alimentação])&lt;=0,0,
SUMIF(tabParametros[Código do Posto],tabCustoUnit[[#This Row],[Código do Posto]],tabParametros[Vale - Alimentação])*20-1)</f>
        <v>582</v>
      </c>
      <c r="AE302" s="22">
        <f>SUMIF(tabParametros[Código do Posto],tabCustoUnit[[#This Row],[Código do Posto]],tabParametros[Cesta Básica])</f>
        <v>0</v>
      </c>
      <c r="AF302" s="22">
        <f>SUMIF(tabParametros[Código do Posto],tabCustoUnit[[#This Row],[Código do Posto]],tabParametros[PAF])</f>
        <v>0</v>
      </c>
      <c r="AG302" s="22">
        <f>SUMIF(tabParametros[Código do Posto],tabCustoUnit[[#This Row],[Código do Posto]],tabParametros[PQM])</f>
        <v>15.07</v>
      </c>
      <c r="AH302" s="22">
        <f>SUMIF(tabParametros[Código do Posto],tabCustoUnit[[#This Row],[Código do Posto]],tabParametros[Abono Único e Especial])</f>
        <v>0</v>
      </c>
      <c r="AI302" s="22">
        <f>SUMIF(tabParametros[Código do Posto],tabCustoUnit[[#This Row],[Código do Posto]],tabParametros[Seguro de Vida])</f>
        <v>3.36</v>
      </c>
      <c r="AJ302" s="22">
        <f>SUMIF(tabParametros[Código do Posto],tabCustoUnit[[#This Row],[Código do Posto]],tabParametros[Despesas de Viagem])</f>
        <v>0</v>
      </c>
      <c r="AK302" s="22" t="e">
        <f ca="1">SUM(tabCustoUnit[[#This Row],[Vale - Transporte (Descontada parcela do empregado)]:[Despesas de Viagem]])</f>
        <v>#NAME?</v>
      </c>
      <c r="AL302" s="22" t="e">
        <f ca="1">tabCustoUnit[[#This Row],[Submódulo 2.1]]+tabCustoUnit[[#This Row],[Submódulo 2.2]]+tabCustoUnit[[#This Row],[Submódulo 2.3]]</f>
        <v>#NAME?</v>
      </c>
      <c r="AM302" s="22">
        <f>SUMIF(tabParametros[Código do Posto],tabCustoUnit[[#This Row],[Código do Posto]],tabParametros[Aviso Prévio Indenizado (API) e Reflexo do Aviso Prévio Indenizado])*tabCustoUnit[[#This Row],[MODULO 1 - REMUNERAÇÃO ]]</f>
        <v>18.229021396469907</v>
      </c>
      <c r="AN302" s="22">
        <f>SUMIF(tabParametros[Código do Posto],tabCustoUnit[[#This Row],[Código do Posto]],tabParametros[Incidência do FGTS sobre API e Reflexo do API])*tabCustoUnit[[#This Row],[MODULO 1 - REMUNERAÇÃO ]]</f>
        <v>1.4583217117175926</v>
      </c>
      <c r="AO302" s="22">
        <f>SUMIF(tabParametros[Código do Posto],tabCustoUnit[[#This Row],[Código do Posto]],tabParametros[Multa Rescisória do FGTS sobre o Aviso Prévio Indenizado])*tabCustoUnit[[#This Row],[MODULO 1 - REMUNERAÇÃO ]]</f>
        <v>0.58332868468703702</v>
      </c>
      <c r="AP302" s="22">
        <f>SUMIF(tabParametros[Código do Posto],tabCustoUnit[[#This Row],[Código do Posto]],tabParametros[Aviso Prévio Trabalhado - APT])*tabCustoUnit[[#This Row],[MODULO 1 - REMUNERAÇÃO ]]</f>
        <v>9.0992149500000004</v>
      </c>
      <c r="AQ302" s="22">
        <f>SUMIF(tabParametros[Código do Posto],tabCustoUnit[[#This Row],[Código do Posto]],tabParametros[Incidência dos encargos do submódulo 2.1 sobre Aviso Prévio Trabalhado])*tabCustoUnit[[#This Row],[MODULO 1 - REMUNERAÇÃO ]]</f>
        <v>3.4395032511000005</v>
      </c>
      <c r="AR302" s="22">
        <f>SUMIF(tabParametros[Código do Posto],tabCustoUnit[[#This Row],[Código do Posto]],tabParametros[Multa Rescisória do FGTS])*tabCustoUnit[[#This Row],[MODULO 1 - REMUNERAÇÃO ]]</f>
        <v>79.495363626666645</v>
      </c>
      <c r="AS302" s="22">
        <f>SUMIF(tabParametros[Código do Posto],tabCustoUnit[[#This Row],[Código do Posto]],tabParametros[Indenização Adicional (Art. 9º da Lei nº 7.238/84)])*tabCustoUnit[[#This Row],[MODULO 1 - REMUNERAÇÃO ]]</f>
        <v>2.1664797499999997</v>
      </c>
      <c r="AT302" s="22">
        <f>SUM(tabCustoUnit[[#This Row],[Aviso Prévio Indenizado (API) e Reflexo do Aviso Prévio Indenizado]:[Indenização Adicional (Art. 9º da Lei nº 7.238/84)]])</f>
        <v>114.47123337064117</v>
      </c>
      <c r="AU302" s="22">
        <f>SUMIF(tabParametros[Código do Posto],tabCustoUnit[[#This Row],[Código do Posto]],tabParametros[Ausência por Doença])*tabCustoUnit[[#This Row],[MODULO 1 - REMUNERAÇÃO ]]</f>
        <v>21.953661466666663</v>
      </c>
      <c r="AV302" s="22">
        <f>SUMIF(tabParametros[Código do Posto],tabCustoUnit[[#This Row],[Código do Posto]],tabParametros[Ausências Legais])*tabCustoUnit[[#This Row],[MODULO 1 - REMUNERAÇÃO ]]</f>
        <v>5.2717673916666659</v>
      </c>
      <c r="AW302" s="22">
        <f>SUMIF(tabParametros[Código do Posto],tabCustoUnit[[#This Row],[Código do Posto]],tabParametros[Licença Paternidade])*tabCustoUnit[[#This Row],[MODULO 1 - REMUNERAÇÃO ]]</f>
        <v>0.44412834874999996</v>
      </c>
      <c r="AX302" s="22">
        <f>SUMIF(tabParametros[Código do Posto],tabCustoUnit[[#This Row],[Código do Posto]],tabParametros[Ausência por Acidente de Trabalho])*tabCustoUnit[[#This Row],[MODULO 1 - REMUNERAÇÃO ]]</f>
        <v>0.54161993749999993</v>
      </c>
      <c r="AY302" s="22">
        <f>SUMIF(tabParametros[Código do Posto],tabCustoUnit[[#This Row],[Código do Posto]],tabParametros[Férias, Adicional de Férias e 13º  com empregada em gozo de Licença Maternidade])*tabCustoUnit[[#This Row],[MODULO 1 - REMUNERAÇÃO ]]</f>
        <v>3.3700796111111107</v>
      </c>
      <c r="AZ302" s="22">
        <f>SUMIF(tabParametros[Código do Posto],tabCustoUnit[[#This Row],[Código do Posto]],tabParametros[Incidência do Submódulo 2.1 sobre Ausências Legais])*tabCustoUnit[[#This Row],[MODULO 1 - REMUNERAÇÃO ]]</f>
        <v>11.9377150536525</v>
      </c>
      <c r="BA302" s="22">
        <f>SUM(tabCustoUnit[[#This Row],[Ausência por Doença]:[Incidência do Submódulo 2.1 sobre Ausências Legais]])</f>
        <v>43.518971809346937</v>
      </c>
      <c r="BB302" s="22">
        <f>SUMIF(tabParametros[Código do Posto],tabCustoUnit[[#This Row],[Código do Posto]],tabParametros[Intervalo para Repouso ou Alimentação])</f>
        <v>0</v>
      </c>
      <c r="BC302" s="22">
        <f>tabCustoUnit[[#This Row],[Intervalo para Repouso ou Alimentação]]</f>
        <v>0</v>
      </c>
      <c r="BD30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2" s="22">
        <f>tabCustoUnit[[#This Row],[Suspensão Temporária do Contrato de Trabalho]]</f>
        <v>0</v>
      </c>
      <c r="BF302" s="22">
        <f>tabCustoUnit[[#This Row],[Submódulo 4.1]]+tabCustoUnit[[#This Row],[Submódulo 4.2]]+tabCustoUnit[[#This Row],[Submódulo 4.3]]</f>
        <v>43.518971809346937</v>
      </c>
      <c r="BG302" s="22">
        <f>VLOOKUP(tabCustoUnit[[#This Row],[Código do Posto]],tabParametros[],MATCH(tabCustoUnit[[#Headers],[Uniformes e EPIs]],tabParametros[#Headers],0),0)</f>
        <v>226.33322732312172</v>
      </c>
      <c r="BH302" s="22">
        <f>VLOOKUP(tabCustoUnit[[#This Row],[Código do Posto]],tabParametros[],MATCH(tabCustoUnit[[#Headers],[Materiais de Consumo]],tabParametros[#Headers],0),0)</f>
        <v>441.81099462365592</v>
      </c>
      <c r="BI302" s="22">
        <f>VLOOKUP(tabCustoUnit[[#This Row],[Código do Posto]],tabParametros[],MATCH(tabCustoUnit[[#Headers],[Máquinas e Equipamentos (depreciação)]],tabParametros[#Headers],0),0)</f>
        <v>113.11309677419354</v>
      </c>
      <c r="BJ302" s="22">
        <f>VLOOKUP(tabCustoUnit[[#This Row],[Código do Posto]],tabParametros[],MATCH(tabCustoUnit[[#Headers],[Produtos de Limpeza e Materiais de Higiene Pessoal]],tabParametros[#Headers],0),0)</f>
        <v>0</v>
      </c>
      <c r="BK302" s="22">
        <f>VLOOKUP(tabCustoUnit[[#This Row],[Código do Posto]],tabParametros[],MATCH(tabCustoUnit[[#Headers],[Outros (especificar)]],tabParametros[#Headers],0),0)</f>
        <v>0</v>
      </c>
      <c r="BL302" s="22">
        <f>SUM(tabCustoUnit[[#This Row],[Uniformes e EPIs]:[Outros (especificar)]])</f>
        <v>781.25731872097117</v>
      </c>
      <c r="BM30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2" s="22" t="e">
        <f ca="1">VLOOKUP(tabCustoUnit[[#This Row],[Código do Posto]],tabParametros[],MATCH(tabCustoUnit[[#Headers],[Custos Indiretos]],tabParametros[#Headers],0),0)</f>
        <v>#NAME?</v>
      </c>
      <c r="BO302" s="22" t="e">
        <f ca="1">VLOOKUP(tabCustoUnit[[#This Row],[Código do Posto]],tabParametros[],MATCH(tabCustoUnit[[#Headers],[Lucro]],tabParametros[#Headers],0),0)</f>
        <v>#NAME?</v>
      </c>
      <c r="BP302" s="26">
        <f>((100/((1-tabCustoUnit[[#This Row],[Resumo de Alíquotas (PIS+CONFINS+ISS)]]))-100)*VLOOKUP(tabCustoUnit[[#This Row],[Código do Posto]],tabParametros[],MATCH(tabCustoUnit[[#Headers],[COFINS]],tabParametros[#Headers],0),0))/(tabCustoUnit[[#This Row],[Resumo de Alíquotas (PIS+CONFINS+ISS)]]*100)</f>
        <v>8.5633802816901458E-2</v>
      </c>
      <c r="BQ302" s="26">
        <f>((100/((100-(tabCustoUnit[[#This Row],[Resumo de Alíquotas (PIS+CONFINS+ISS)]]*100))%)-100)*VLOOKUP(tabCustoUnit[[#This Row],[Código do Posto]],tabParametros[],MATCH(tabCustoUnit[[#Headers],[PIS]],tabParametros[#Headers],0),0))/(tabCustoUnit[[#This Row],[Resumo de Alíquotas (PIS+CONFINS+ISS)]]*100)</f>
        <v>1.8591549295774657E-2</v>
      </c>
      <c r="BR302" s="28">
        <f>VLOOKUP(tabCustoUnit[[#This Row],[Código do Posto]],tabParametros[],MATCH(tabCustoUnit[[#Headers],[ISS]],tabParametros[#Headers],0),0)</f>
        <v>0.02</v>
      </c>
      <c r="BS302" s="26">
        <f>(((100/((100-(tabCustoUnit[[#This Row],[Resumo de Alíquotas (PIS+CONFINS+ISS)]]*100))%)-100)*tabCustoUnit[[#This Row],[ISS]])/tabCustoUnit[[#This Row],[Resumo de Alíquotas (PIS+CONFINS+ISS)]])/100</f>
        <v>2.2535211267605645E-2</v>
      </c>
      <c r="BT30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02" s="138">
        <f>tabCustoUnit[[#This Row],[COFINS]]+tabCustoUnit[[#This Row],[PIS]]+tabCustoUnit[[#This Row],[ISS (Conversão Alíquota s/ fatura)]]</f>
        <v>0.12676056338028174</v>
      </c>
      <c r="BV302" s="22" t="e">
        <f ca="1">(tabCustoUnit[[#This Row],[TOTAL MÓDULOS 1+2+3+4+5]]+tabCustoUnit[[#This Row],[Custos Indiretos]]+tabCustoUnit[[#This Row],[Lucro]])*tabCustoUnit[[#This Row],[PIS + COFINS + ISS (Total Conversão  Alíquota s/ Fatura)]]</f>
        <v>#NAME?</v>
      </c>
      <c r="BW302" s="22" t="e">
        <f ca="1">tabCustoUnit[[#This Row],[Custos Indiretos]]+tabCustoUnit[[#This Row],[Lucro]]+tabCustoUnit[[#This Row],[Valor dos Tributos (ISS, PIS, CONFINS)]]</f>
        <v>#NAME?</v>
      </c>
      <c r="BX302" s="22" t="e">
        <f ca="1">tabCustoUnit[[#This Row],[TOTAL MÓDULOS 1+2+3+4+5]]+tabCustoUnit[[#This Row],[MÓDULO 6 – CUSTOS INDIRETOS, TRIBUTOS E LUCRO]]</f>
        <v>#NAME?</v>
      </c>
      <c r="BY302" s="22" t="e">
        <f ca="1">tabCustoUnit[[#This Row],[CUSTO TOTAL MENSAL]]*12</f>
        <v>#NAME?</v>
      </c>
      <c r="BZ302" s="24">
        <f>VLOOKUP(tabCustoUnit[[#This Row],[Código do Posto]],tabParametros[],MATCH(tabCustoUnit[[#Headers],[ANO DA CCT]],tabParametros[#Headers],0),0)</f>
        <v>45658</v>
      </c>
      <c r="CA302" s="25" t="str">
        <f>VLOOKUP(tabCustoUnit[[#This Row],[Código do Posto]],tabParametros[],MATCH(tabCustoUnit[[#Headers],[Nº DE PEDIDO DA CCT]],tabParametros[#Headers],0),0)</f>
        <v>-</v>
      </c>
      <c r="CB302" s="25" t="str">
        <f>VLOOKUP(tabCustoUnit[[#This Row],[Código do Posto]],tabParametros[],MATCH(tabCustoUnit[[#Headers],[TERMO ADITIVO ALTERAÇÃO DA CCT]],tabParametros[#Headers],0),0)</f>
        <v>-</v>
      </c>
    </row>
    <row r="303" spans="1:80">
      <c r="A303" s="20" t="s">
        <v>1716</v>
      </c>
      <c r="B303" t="s">
        <v>1066</v>
      </c>
      <c r="C303" t="s">
        <v>274</v>
      </c>
      <c r="D303" t="s">
        <v>1022</v>
      </c>
      <c r="E303" s="20" t="s">
        <v>1090</v>
      </c>
      <c r="F303" s="20" t="s">
        <v>120</v>
      </c>
      <c r="G303" s="418">
        <v>4341.0200000000004</v>
      </c>
      <c r="H303" s="418">
        <v>0</v>
      </c>
      <c r="I303" s="418">
        <v>0</v>
      </c>
      <c r="J303" s="418">
        <v>0</v>
      </c>
      <c r="K303" s="418">
        <v>0</v>
      </c>
      <c r="L303" s="418">
        <v>0</v>
      </c>
      <c r="M303" s="418">
        <v>0</v>
      </c>
      <c r="N303" s="418">
        <v>0</v>
      </c>
      <c r="O303" s="21">
        <f>SUM(tabCustoUnit[[#This Row],[Salário Base]:[Adicional de Acúmulo de função]])</f>
        <v>4341.0200000000004</v>
      </c>
      <c r="P303" s="21">
        <f>tabCustoUnit[[#This Row],[MODULO 1 - REMUNERAÇÃO ]]*SUMIFS(tabParametros[INSS],tabParametros[Código do Posto],tabCustoUnit[[#This Row],[Código do Posto]])</f>
        <v>868.20400000000018</v>
      </c>
      <c r="Q303" s="21">
        <f>tabCustoUnit[[#This Row],[MODULO 1 - REMUNERAÇÃO ]]*SUMIFS(tabParametros[SESI OU SESC],tabParametros[Código do Posto],tabCustoUnit[[#This Row],[Código do Posto]])</f>
        <v>65.115300000000005</v>
      </c>
      <c r="R303" s="21">
        <f>tabCustoUnit[[#This Row],[MODULO 1 - REMUNERAÇÃO ]]*SUMIFS(tabParametros[SENAI OU SENAC],tabParametros[Código do Posto],tabCustoUnit[[#This Row],[Código do Posto]])</f>
        <v>43.410200000000003</v>
      </c>
      <c r="S303" s="21">
        <f>tabCustoUnit[[#This Row],[MODULO 1 - REMUNERAÇÃO ]]*SUMIFS(tabParametros[INCRA],tabParametros[Código do Posto],tabCustoUnit[[#This Row],[Código do Posto]])</f>
        <v>8.6820400000000006</v>
      </c>
      <c r="T303" s="21">
        <f>tabCustoUnit[[#This Row],[MODULO 1 - REMUNERAÇÃO ]]*SUMIFS(tabParametros[Salário Educação],tabParametros[Código do Posto],tabCustoUnit[[#This Row],[Código do Posto]])</f>
        <v>108.52550000000002</v>
      </c>
      <c r="U303" s="21">
        <f>tabCustoUnit[[#This Row],[MODULO 1 - REMUNERAÇÃO ]]*SUMIFS(tabParametros[FGTS],tabParametros[Código do Posto],tabCustoUnit[[#This Row],[Código do Posto]])</f>
        <v>347.28160000000003</v>
      </c>
      <c r="V303" s="21">
        <f>tabCustoUnit[[#This Row],[MODULO 1 - REMUNERAÇÃO ]]*SUMIFS(tabParametros[RAT Ajustado],tabParametros[Código do Posto],tabCustoUnit[[#This Row],[Código do Posto]])</f>
        <v>173.64080000000001</v>
      </c>
      <c r="W303" s="21">
        <f>tabCustoUnit[[#This Row],[MODULO 1 - REMUNERAÇÃO ]]*SUMIFS(tabParametros[SEBRAE],tabParametros[Código do Posto],tabCustoUnit[[#This Row],[Código do Posto]])</f>
        <v>26.046120000000002</v>
      </c>
      <c r="X303" s="21">
        <f>SUM(tabCustoUnit[[#This Row],[INSS]:[SEBRAE]])</f>
        <v>1640.9055600000002</v>
      </c>
      <c r="Y303" s="21">
        <f>tabCustoUnit[[#This Row],[MODULO 1 - REMUNERAÇÃO ]]*SUMIFS(tabParametros[13º salário (titular)],tabParametros[Código do Posto],tabCustoUnit[[#This Row],[Código do Posto]])</f>
        <v>361.75166666666667</v>
      </c>
      <c r="Z303" s="21">
        <f>tabCustoUnit[[#This Row],[MODULO 1 - REMUNERAÇÃO ]]*SUMIFS(tabParametros[Férias e Adicional de Férias (titular)],tabParametros[Código do Posto],tabCustoUnit[[#This Row],[Código do Posto]])</f>
        <v>482.33555555555557</v>
      </c>
      <c r="AA303" s="21">
        <f>IFERROR((tabCustoUnit[[#This Row],[Submódulo 2.1]]/tabCustoUnit[[#This Row],[MODULO 1 - REMUNERAÇÃO ]])*SUM(tabCustoUnit[[#This Row],[13º salário (titular)]:[Férias e Adicional de Férias (titular)]]),0)</f>
        <v>319.06496999999996</v>
      </c>
      <c r="AB303" s="21">
        <f>SUM(tabCustoUnit[[#This Row],[13º salário (titular)]:[Incidência do Submódulo 2.1 sobre 13º Salário, Férias e Adicional de Férias]])</f>
        <v>1163.1521922222221</v>
      </c>
      <c r="AC303" s="22" t="e">
        <f ca="1">_xlfn.LET(_xlpm.VT,SUMIF(tabParametros[Código do Posto],tabCustoUnit[[#This Row],[Código do Posto]],tabParametros[Vale - Transporte])*2*20,
IF((_xlpm.VT-tabCustoUnit[[#This Row],[Salário Base]]*0.06)&gt;=0,(_xlpm.VT-tabCustoUnit[[#This Row],[Salário Base]]*0.06),0)
)</f>
        <v>#NAME?</v>
      </c>
      <c r="AD303" s="22">
        <f>IF(SUMIF(tabParametros[Código do Posto],tabCustoUnit[[#This Row],[Código do Posto]],tabParametros[Vale - Alimentação])&lt;=0,0,
SUMIF(tabParametros[Código do Posto],tabCustoUnit[[#This Row],[Código do Posto]],tabParametros[Vale - Alimentação])*20-1)</f>
        <v>578.4</v>
      </c>
      <c r="AE303" s="22">
        <f>SUMIF(tabParametros[Código do Posto],tabCustoUnit[[#This Row],[Código do Posto]],tabParametros[Cesta Básica])</f>
        <v>0</v>
      </c>
      <c r="AF303" s="22">
        <f>SUMIF(tabParametros[Código do Posto],tabCustoUnit[[#This Row],[Código do Posto]],tabParametros[PAF])</f>
        <v>22.52</v>
      </c>
      <c r="AG303" s="22">
        <f>SUMIF(tabParametros[Código do Posto],tabCustoUnit[[#This Row],[Código do Posto]],tabParametros[PQM])</f>
        <v>0</v>
      </c>
      <c r="AH303" s="22">
        <f>SUMIF(tabParametros[Código do Posto],tabCustoUnit[[#This Row],[Código do Posto]],tabParametros[Abono Único e Especial])</f>
        <v>0</v>
      </c>
      <c r="AI303" s="22">
        <f>SUMIF(tabParametros[Código do Posto],tabCustoUnit[[#This Row],[Código do Posto]],tabParametros[Seguro de Vida])</f>
        <v>3.36</v>
      </c>
      <c r="AJ303" s="22">
        <f>SUMIF(tabParametros[Código do Posto],tabCustoUnit[[#This Row],[Código do Posto]],tabParametros[Despesas de Viagem])</f>
        <v>662.42</v>
      </c>
      <c r="AK303" s="22" t="e">
        <f ca="1">SUM(tabCustoUnit[[#This Row],[Vale - Transporte (Descontada parcela do empregado)]:[Despesas de Viagem]])</f>
        <v>#NAME?</v>
      </c>
      <c r="AL303" s="22" t="e">
        <f ca="1">tabCustoUnit[[#This Row],[Submódulo 2.1]]+tabCustoUnit[[#This Row],[Submódulo 2.2]]+tabCustoUnit[[#This Row],[Submódulo 2.3]]</f>
        <v>#NAME?</v>
      </c>
      <c r="AM303" s="22">
        <f>SUMIF(tabParametros[Código do Posto],tabCustoUnit[[#This Row],[Código do Posto]],tabParametros[Aviso Prévio Indenizado (API) e Reflexo do Aviso Prévio Indenizado])*tabCustoUnit[[#This Row],[MODULO 1 - REMUNERAÇÃO ]]</f>
        <v>30.438220675154323</v>
      </c>
      <c r="AN303" s="22">
        <f>SUMIF(tabParametros[Código do Posto],tabCustoUnit[[#This Row],[Código do Posto]],tabParametros[Incidência do FGTS sobre API e Reflexo do API])*tabCustoUnit[[#This Row],[MODULO 1 - REMUNERAÇÃO ]]</f>
        <v>2.4350576540123461</v>
      </c>
      <c r="AO303" s="22">
        <f>SUMIF(tabParametros[Código do Posto],tabCustoUnit[[#This Row],[Código do Posto]],tabParametros[Multa Rescisória do FGTS sobre o Aviso Prévio Indenizado])*tabCustoUnit[[#This Row],[MODULO 1 - REMUNERAÇÃO ]]</f>
        <v>0.97402306160493857</v>
      </c>
      <c r="AP303" s="22">
        <f>SUMIF(tabParametros[Código do Posto],tabCustoUnit[[#This Row],[Código do Posto]],tabParametros[Aviso Prévio Trabalhado - APT])*tabCustoUnit[[#This Row],[MODULO 1 - REMUNERAÇÃO ]]</f>
        <v>15.193570000000003</v>
      </c>
      <c r="AQ303" s="22">
        <f>SUMIF(tabParametros[Código do Posto],tabCustoUnit[[#This Row],[Código do Posto]],tabParametros[Incidência dos encargos do submódulo 2.1 sobre Aviso Prévio Trabalhado])*tabCustoUnit[[#This Row],[MODULO 1 - REMUNERAÇÃO ]]</f>
        <v>5.7431694600000025</v>
      </c>
      <c r="AR303" s="22">
        <f>SUMIF(tabParametros[Código do Posto],tabCustoUnit[[#This Row],[Código do Posto]],tabParametros[Multa Rescisória do FGTS])*tabCustoUnit[[#This Row],[MODULO 1 - REMUNERAÇÃO ]]</f>
        <v>132.73874488888887</v>
      </c>
      <c r="AS303" s="22">
        <f>SUMIF(tabParametros[Código do Posto],tabCustoUnit[[#This Row],[Código do Posto]],tabParametros[Indenização Adicional (Art. 9º da Lei nº 7.238/84)])*tabCustoUnit[[#This Row],[MODULO 1 - REMUNERAÇÃO ]]</f>
        <v>3.6175166666666674</v>
      </c>
      <c r="AT303" s="22">
        <f>SUM(tabCustoUnit[[#This Row],[Aviso Prévio Indenizado (API) e Reflexo do Aviso Prévio Indenizado]:[Indenização Adicional (Art. 9º da Lei nº 7.238/84)]])</f>
        <v>191.14030240632715</v>
      </c>
      <c r="AU303" s="22">
        <f>SUMIF(tabParametros[Código do Posto],tabCustoUnit[[#This Row],[Código do Posto]],tabParametros[Ausência por Doença])*tabCustoUnit[[#This Row],[MODULO 1 - REMUNERAÇÃO ]]</f>
        <v>36.65750222222222</v>
      </c>
      <c r="AV303" s="22">
        <f>SUMIF(tabParametros[Código do Posto],tabCustoUnit[[#This Row],[Código do Posto]],tabParametros[Ausências Legais])*tabCustoUnit[[#This Row],[MODULO 1 - REMUNERAÇÃO ]]</f>
        <v>8.8026238888888884</v>
      </c>
      <c r="AW303" s="22">
        <f>SUMIF(tabParametros[Código do Posto],tabCustoUnit[[#This Row],[Código do Posto]],tabParametros[Licença Paternidade])*tabCustoUnit[[#This Row],[MODULO 1 - REMUNERAÇÃO ]]</f>
        <v>0.74159091666666677</v>
      </c>
      <c r="AX303" s="22">
        <f>SUMIF(tabParametros[Código do Posto],tabCustoUnit[[#This Row],[Código do Posto]],tabParametros[Ausência por Acidente de Trabalho])*tabCustoUnit[[#This Row],[MODULO 1 - REMUNERAÇÃO ]]</f>
        <v>0.90437916666666684</v>
      </c>
      <c r="AY303" s="22">
        <f>SUMIF(tabParametros[Código do Posto],tabCustoUnit[[#This Row],[Código do Posto]],tabParametros[Férias, Adicional de Férias e 13º  com empregada em gozo de Licença Maternidade])*tabCustoUnit[[#This Row],[MODULO 1 - REMUNERAÇÃO ]]</f>
        <v>5.6272481481481487</v>
      </c>
      <c r="AZ303" s="22">
        <f>SUMIF(tabParametros[Código do Posto],tabCustoUnit[[#This Row],[Código do Posto]],tabParametros[Incidência do Submódulo 2.1 sobre Ausências Legais])*tabCustoUnit[[#This Row],[MODULO 1 - REMUNERAÇÃO ]]</f>
        <v>19.933204161500004</v>
      </c>
      <c r="BA303" s="22">
        <f>SUM(tabCustoUnit[[#This Row],[Ausência por Doença]:[Incidência do Submódulo 2.1 sobre Ausências Legais]])</f>
        <v>72.666548504092589</v>
      </c>
      <c r="BB303" s="22">
        <f>SUMIF(tabParametros[Código do Posto],tabCustoUnit[[#This Row],[Código do Posto]],tabParametros[Intervalo para Repouso ou Alimentação])</f>
        <v>0</v>
      </c>
      <c r="BC303" s="22">
        <f>tabCustoUnit[[#This Row],[Intervalo para Repouso ou Alimentação]]</f>
        <v>0</v>
      </c>
      <c r="BD30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3" s="22">
        <f>tabCustoUnit[[#This Row],[Suspensão Temporária do Contrato de Trabalho]]</f>
        <v>0</v>
      </c>
      <c r="BF303" s="22">
        <f>tabCustoUnit[[#This Row],[Submódulo 4.1]]+tabCustoUnit[[#This Row],[Submódulo 4.2]]+tabCustoUnit[[#This Row],[Submódulo 4.3]]</f>
        <v>72.666548504092589</v>
      </c>
      <c r="BG303" s="22">
        <f>VLOOKUP(tabCustoUnit[[#This Row],[Código do Posto]],tabParametros[],MATCH(tabCustoUnit[[#Headers],[Uniformes e EPIs]],tabParametros[#Headers],0),0)</f>
        <v>92.100763771570698</v>
      </c>
      <c r="BH303" s="22">
        <f>VLOOKUP(tabCustoUnit[[#This Row],[Código do Posto]],tabParametros[],MATCH(tabCustoUnit[[#Headers],[Materiais de Consumo]],tabParametros[#Headers],0),0)</f>
        <v>0</v>
      </c>
      <c r="BI303" s="22">
        <f>VLOOKUP(tabCustoUnit[[#This Row],[Código do Posto]],tabParametros[],MATCH(tabCustoUnit[[#Headers],[Máquinas e Equipamentos (depreciação)]],tabParametros[#Headers],0),0)</f>
        <v>0</v>
      </c>
      <c r="BJ303" s="22">
        <f>VLOOKUP(tabCustoUnit[[#This Row],[Código do Posto]],tabParametros[],MATCH(tabCustoUnit[[#Headers],[Produtos de Limpeza e Materiais de Higiene Pessoal]],tabParametros[#Headers],0),0)</f>
        <v>0</v>
      </c>
      <c r="BK303" s="22">
        <f>VLOOKUP(tabCustoUnit[[#This Row],[Código do Posto]],tabParametros[],MATCH(tabCustoUnit[[#Headers],[Outros (especificar)]],tabParametros[#Headers],0),0)</f>
        <v>0</v>
      </c>
      <c r="BL303" s="22">
        <f>SUM(tabCustoUnit[[#This Row],[Uniformes e EPIs]:[Outros (especificar)]])</f>
        <v>92.100763771570698</v>
      </c>
      <c r="BM30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3" s="22" t="e">
        <f ca="1">VLOOKUP(tabCustoUnit[[#This Row],[Código do Posto]],tabParametros[],MATCH(tabCustoUnit[[#Headers],[Custos Indiretos]],tabParametros[#Headers],0),0)</f>
        <v>#NAME?</v>
      </c>
      <c r="BO303" s="22" t="e">
        <f ca="1">VLOOKUP(tabCustoUnit[[#This Row],[Código do Posto]],tabParametros[],MATCH(tabCustoUnit[[#Headers],[Lucro]],tabParametros[#Headers],0),0)</f>
        <v>#NAME?</v>
      </c>
      <c r="BP303" s="26">
        <f>((100/((1-tabCustoUnit[[#This Row],[Resumo de Alíquotas (PIS+CONFINS+ISS)]]))-100)*VLOOKUP(tabCustoUnit[[#This Row],[Código do Posto]],tabParametros[],MATCH(tabCustoUnit[[#Headers],[COFINS]],tabParametros[#Headers],0),0))/(tabCustoUnit[[#This Row],[Resumo de Alíquotas (PIS+CONFINS+ISS)]]*100)</f>
        <v>8.5633802816901458E-2</v>
      </c>
      <c r="BQ303" s="26">
        <f>((100/((100-(tabCustoUnit[[#This Row],[Resumo de Alíquotas (PIS+CONFINS+ISS)]]*100))%)-100)*VLOOKUP(tabCustoUnit[[#This Row],[Código do Posto]],tabParametros[],MATCH(tabCustoUnit[[#Headers],[PIS]],tabParametros[#Headers],0),0))/(tabCustoUnit[[#This Row],[Resumo de Alíquotas (PIS+CONFINS+ISS)]]*100)</f>
        <v>1.8591549295774657E-2</v>
      </c>
      <c r="BR303" s="28">
        <f>VLOOKUP(tabCustoUnit[[#This Row],[Código do Posto]],tabParametros[],MATCH(tabCustoUnit[[#Headers],[ISS]],tabParametros[#Headers],0),0)</f>
        <v>0.02</v>
      </c>
      <c r="BS303" s="26">
        <f>(((100/((100-(tabCustoUnit[[#This Row],[Resumo de Alíquotas (PIS+CONFINS+ISS)]]*100))%)-100)*tabCustoUnit[[#This Row],[ISS]])/tabCustoUnit[[#This Row],[Resumo de Alíquotas (PIS+CONFINS+ISS)]])/100</f>
        <v>2.2535211267605645E-2</v>
      </c>
      <c r="BT30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03" s="138">
        <f>tabCustoUnit[[#This Row],[COFINS]]+tabCustoUnit[[#This Row],[PIS]]+tabCustoUnit[[#This Row],[ISS (Conversão Alíquota s/ fatura)]]</f>
        <v>0.12676056338028174</v>
      </c>
      <c r="BV303" s="22" t="e">
        <f ca="1">(tabCustoUnit[[#This Row],[TOTAL MÓDULOS 1+2+3+4+5]]+tabCustoUnit[[#This Row],[Custos Indiretos]]+tabCustoUnit[[#This Row],[Lucro]])*tabCustoUnit[[#This Row],[PIS + COFINS + ISS (Total Conversão  Alíquota s/ Fatura)]]</f>
        <v>#NAME?</v>
      </c>
      <c r="BW303" s="22" t="e">
        <f ca="1">tabCustoUnit[[#This Row],[Custos Indiretos]]+tabCustoUnit[[#This Row],[Lucro]]+tabCustoUnit[[#This Row],[Valor dos Tributos (ISS, PIS, CONFINS)]]</f>
        <v>#NAME?</v>
      </c>
      <c r="BX303" s="22" t="e">
        <f ca="1">tabCustoUnit[[#This Row],[TOTAL MÓDULOS 1+2+3+4+5]]+tabCustoUnit[[#This Row],[MÓDULO 6 – CUSTOS INDIRETOS, TRIBUTOS E LUCRO]]</f>
        <v>#NAME?</v>
      </c>
      <c r="BY303" s="22" t="e">
        <f ca="1">tabCustoUnit[[#This Row],[CUSTO TOTAL MENSAL]]*12</f>
        <v>#NAME?</v>
      </c>
      <c r="BZ303" s="24">
        <f>VLOOKUP(tabCustoUnit[[#This Row],[Código do Posto]],tabParametros[],MATCH(tabCustoUnit[[#Headers],[ANO DA CCT]],tabParametros[#Headers],0),0)</f>
        <v>45658</v>
      </c>
      <c r="CA303" s="25" t="str">
        <f>VLOOKUP(tabCustoUnit[[#This Row],[Código do Posto]],tabParametros[],MATCH(tabCustoUnit[[#Headers],[Nº DE PEDIDO DA CCT]],tabParametros[#Headers],0),0)</f>
        <v>-</v>
      </c>
      <c r="CB303" s="25" t="str">
        <f>VLOOKUP(tabCustoUnit[[#This Row],[Código do Posto]],tabParametros[],MATCH(tabCustoUnit[[#Headers],[TERMO ADITIVO ALTERAÇÃO DA CCT]],tabParametros[#Headers],0),0)</f>
        <v>-</v>
      </c>
    </row>
    <row r="304" spans="1:80">
      <c r="A304" s="20" t="s">
        <v>1717</v>
      </c>
      <c r="B304" t="s">
        <v>1066</v>
      </c>
      <c r="C304" t="s">
        <v>274</v>
      </c>
      <c r="D304" t="s">
        <v>1022</v>
      </c>
      <c r="E304" s="20" t="s">
        <v>1090</v>
      </c>
      <c r="F304" s="20" t="s">
        <v>135</v>
      </c>
      <c r="G304" s="418">
        <v>4341.0200000000004</v>
      </c>
      <c r="H304" s="418">
        <v>0</v>
      </c>
      <c r="I304" s="418">
        <v>0</v>
      </c>
      <c r="J304" s="418">
        <v>0</v>
      </c>
      <c r="K304" s="418">
        <v>0</v>
      </c>
      <c r="L304" s="418">
        <v>0</v>
      </c>
      <c r="M304" s="418">
        <v>0</v>
      </c>
      <c r="N304" s="418">
        <v>0</v>
      </c>
      <c r="O304" s="21">
        <f>SUM(tabCustoUnit[[#This Row],[Salário Base]:[Adicional de Acúmulo de função]])</f>
        <v>4341.0200000000004</v>
      </c>
      <c r="P304" s="21">
        <f>tabCustoUnit[[#This Row],[MODULO 1 - REMUNERAÇÃO ]]*SUMIFS(tabParametros[INSS],tabParametros[Código do Posto],tabCustoUnit[[#This Row],[Código do Posto]])</f>
        <v>868.20400000000018</v>
      </c>
      <c r="Q304" s="21">
        <f>tabCustoUnit[[#This Row],[MODULO 1 - REMUNERAÇÃO ]]*SUMIFS(tabParametros[SESI OU SESC],tabParametros[Código do Posto],tabCustoUnit[[#This Row],[Código do Posto]])</f>
        <v>65.115300000000005</v>
      </c>
      <c r="R304" s="21">
        <f>tabCustoUnit[[#This Row],[MODULO 1 - REMUNERAÇÃO ]]*SUMIFS(tabParametros[SENAI OU SENAC],tabParametros[Código do Posto],tabCustoUnit[[#This Row],[Código do Posto]])</f>
        <v>43.410200000000003</v>
      </c>
      <c r="S304" s="21">
        <f>tabCustoUnit[[#This Row],[MODULO 1 - REMUNERAÇÃO ]]*SUMIFS(tabParametros[INCRA],tabParametros[Código do Posto],tabCustoUnit[[#This Row],[Código do Posto]])</f>
        <v>8.6820400000000006</v>
      </c>
      <c r="T304" s="21">
        <f>tabCustoUnit[[#This Row],[MODULO 1 - REMUNERAÇÃO ]]*SUMIFS(tabParametros[Salário Educação],tabParametros[Código do Posto],tabCustoUnit[[#This Row],[Código do Posto]])</f>
        <v>108.52550000000002</v>
      </c>
      <c r="U304" s="21">
        <f>tabCustoUnit[[#This Row],[MODULO 1 - REMUNERAÇÃO ]]*SUMIFS(tabParametros[FGTS],tabParametros[Código do Posto],tabCustoUnit[[#This Row],[Código do Posto]])</f>
        <v>347.28160000000003</v>
      </c>
      <c r="V304" s="21">
        <f>tabCustoUnit[[#This Row],[MODULO 1 - REMUNERAÇÃO ]]*SUMIFS(tabParametros[RAT Ajustado],tabParametros[Código do Posto],tabCustoUnit[[#This Row],[Código do Posto]])</f>
        <v>173.64080000000001</v>
      </c>
      <c r="W304" s="21">
        <f>tabCustoUnit[[#This Row],[MODULO 1 - REMUNERAÇÃO ]]*SUMIFS(tabParametros[SEBRAE],tabParametros[Código do Posto],tabCustoUnit[[#This Row],[Código do Posto]])</f>
        <v>26.046120000000002</v>
      </c>
      <c r="X304" s="21">
        <f>SUM(tabCustoUnit[[#This Row],[INSS]:[SEBRAE]])</f>
        <v>1640.9055600000002</v>
      </c>
      <c r="Y304" s="21">
        <f>tabCustoUnit[[#This Row],[MODULO 1 - REMUNERAÇÃO ]]*SUMIFS(tabParametros[13º salário (titular)],tabParametros[Código do Posto],tabCustoUnit[[#This Row],[Código do Posto]])</f>
        <v>361.75166666666667</v>
      </c>
      <c r="Z304" s="21">
        <f>tabCustoUnit[[#This Row],[MODULO 1 - REMUNERAÇÃO ]]*SUMIFS(tabParametros[Férias e Adicional de Férias (titular)],tabParametros[Código do Posto],tabCustoUnit[[#This Row],[Código do Posto]])</f>
        <v>482.33555555555557</v>
      </c>
      <c r="AA304" s="21">
        <f>IFERROR((tabCustoUnit[[#This Row],[Submódulo 2.1]]/tabCustoUnit[[#This Row],[MODULO 1 - REMUNERAÇÃO ]])*SUM(tabCustoUnit[[#This Row],[13º salário (titular)]:[Férias e Adicional de Férias (titular)]]),0)</f>
        <v>319.06496999999996</v>
      </c>
      <c r="AB304" s="21">
        <f>SUM(tabCustoUnit[[#This Row],[13º salário (titular)]:[Incidência do Submódulo 2.1 sobre 13º Salário, Férias e Adicional de Férias]])</f>
        <v>1163.1521922222221</v>
      </c>
      <c r="AC304" s="22" t="e">
        <f ca="1">_xlfn.LET(_xlpm.VT,SUMIF(tabParametros[Código do Posto],tabCustoUnit[[#This Row],[Código do Posto]],tabParametros[Vale - Transporte])*2*20,
IF((_xlpm.VT-tabCustoUnit[[#This Row],[Salário Base]]*0.06)&gt;=0,(_xlpm.VT-tabCustoUnit[[#This Row],[Salário Base]]*0.06),0)
)</f>
        <v>#NAME?</v>
      </c>
      <c r="AD304" s="22">
        <f>IF(SUMIF(tabParametros[Código do Posto],tabCustoUnit[[#This Row],[Código do Posto]],tabParametros[Vale - Alimentação])&lt;=0,0,
SUMIF(tabParametros[Código do Posto],tabCustoUnit[[#This Row],[Código do Posto]],tabParametros[Vale - Alimentação])*20-1)</f>
        <v>578.4</v>
      </c>
      <c r="AE304" s="22">
        <f>SUMIF(tabParametros[Código do Posto],tabCustoUnit[[#This Row],[Código do Posto]],tabParametros[Cesta Básica])</f>
        <v>0</v>
      </c>
      <c r="AF304" s="22">
        <f>SUMIF(tabParametros[Código do Posto],tabCustoUnit[[#This Row],[Código do Posto]],tabParametros[PAF])</f>
        <v>22.52</v>
      </c>
      <c r="AG304" s="22">
        <f>SUMIF(tabParametros[Código do Posto],tabCustoUnit[[#This Row],[Código do Posto]],tabParametros[PQM])</f>
        <v>0</v>
      </c>
      <c r="AH304" s="22">
        <f>SUMIF(tabParametros[Código do Posto],tabCustoUnit[[#This Row],[Código do Posto]],tabParametros[Abono Único e Especial])</f>
        <v>0</v>
      </c>
      <c r="AI304" s="22">
        <f>SUMIF(tabParametros[Código do Posto],tabCustoUnit[[#This Row],[Código do Posto]],tabParametros[Seguro de Vida])</f>
        <v>3.36</v>
      </c>
      <c r="AJ304" s="22">
        <f>SUMIF(tabParametros[Código do Posto],tabCustoUnit[[#This Row],[Código do Posto]],tabParametros[Despesas de Viagem])</f>
        <v>662.42</v>
      </c>
      <c r="AK304" s="22" t="e">
        <f ca="1">SUM(tabCustoUnit[[#This Row],[Vale - Transporte (Descontada parcela do empregado)]:[Despesas de Viagem]])</f>
        <v>#NAME?</v>
      </c>
      <c r="AL304" s="22" t="e">
        <f ca="1">tabCustoUnit[[#This Row],[Submódulo 2.1]]+tabCustoUnit[[#This Row],[Submódulo 2.2]]+tabCustoUnit[[#This Row],[Submódulo 2.3]]</f>
        <v>#NAME?</v>
      </c>
      <c r="AM304" s="22">
        <f>SUMIF(tabParametros[Código do Posto],tabCustoUnit[[#This Row],[Código do Posto]],tabParametros[Aviso Prévio Indenizado (API) e Reflexo do Aviso Prévio Indenizado])*tabCustoUnit[[#This Row],[MODULO 1 - REMUNERAÇÃO ]]</f>
        <v>30.438220675154323</v>
      </c>
      <c r="AN304" s="22">
        <f>SUMIF(tabParametros[Código do Posto],tabCustoUnit[[#This Row],[Código do Posto]],tabParametros[Incidência do FGTS sobre API e Reflexo do API])*tabCustoUnit[[#This Row],[MODULO 1 - REMUNERAÇÃO ]]</f>
        <v>2.4350576540123461</v>
      </c>
      <c r="AO304" s="22">
        <f>SUMIF(tabParametros[Código do Posto],tabCustoUnit[[#This Row],[Código do Posto]],tabParametros[Multa Rescisória do FGTS sobre o Aviso Prévio Indenizado])*tabCustoUnit[[#This Row],[MODULO 1 - REMUNERAÇÃO ]]</f>
        <v>0.97402306160493857</v>
      </c>
      <c r="AP304" s="22">
        <f>SUMIF(tabParametros[Código do Posto],tabCustoUnit[[#This Row],[Código do Posto]],tabParametros[Aviso Prévio Trabalhado - APT])*tabCustoUnit[[#This Row],[MODULO 1 - REMUNERAÇÃO ]]</f>
        <v>15.193570000000003</v>
      </c>
      <c r="AQ304" s="22">
        <f>SUMIF(tabParametros[Código do Posto],tabCustoUnit[[#This Row],[Código do Posto]],tabParametros[Incidência dos encargos do submódulo 2.1 sobre Aviso Prévio Trabalhado])*tabCustoUnit[[#This Row],[MODULO 1 - REMUNERAÇÃO ]]</f>
        <v>5.7431694600000025</v>
      </c>
      <c r="AR304" s="22">
        <f>SUMIF(tabParametros[Código do Posto],tabCustoUnit[[#This Row],[Código do Posto]],tabParametros[Multa Rescisória do FGTS])*tabCustoUnit[[#This Row],[MODULO 1 - REMUNERAÇÃO ]]</f>
        <v>132.73874488888887</v>
      </c>
      <c r="AS304" s="22">
        <f>SUMIF(tabParametros[Código do Posto],tabCustoUnit[[#This Row],[Código do Posto]],tabParametros[Indenização Adicional (Art. 9º da Lei nº 7.238/84)])*tabCustoUnit[[#This Row],[MODULO 1 - REMUNERAÇÃO ]]</f>
        <v>3.6175166666666674</v>
      </c>
      <c r="AT304" s="22">
        <f>SUM(tabCustoUnit[[#This Row],[Aviso Prévio Indenizado (API) e Reflexo do Aviso Prévio Indenizado]:[Indenização Adicional (Art. 9º da Lei nº 7.238/84)]])</f>
        <v>191.14030240632715</v>
      </c>
      <c r="AU304" s="22">
        <f>SUMIF(tabParametros[Código do Posto],tabCustoUnit[[#This Row],[Código do Posto]],tabParametros[Ausência por Doença])*tabCustoUnit[[#This Row],[MODULO 1 - REMUNERAÇÃO ]]</f>
        <v>36.65750222222222</v>
      </c>
      <c r="AV304" s="22">
        <f>SUMIF(tabParametros[Código do Posto],tabCustoUnit[[#This Row],[Código do Posto]],tabParametros[Ausências Legais])*tabCustoUnit[[#This Row],[MODULO 1 - REMUNERAÇÃO ]]</f>
        <v>8.8026238888888884</v>
      </c>
      <c r="AW304" s="22">
        <f>SUMIF(tabParametros[Código do Posto],tabCustoUnit[[#This Row],[Código do Posto]],tabParametros[Licença Paternidade])*tabCustoUnit[[#This Row],[MODULO 1 - REMUNERAÇÃO ]]</f>
        <v>0.74159091666666677</v>
      </c>
      <c r="AX304" s="22">
        <f>SUMIF(tabParametros[Código do Posto],tabCustoUnit[[#This Row],[Código do Posto]],tabParametros[Ausência por Acidente de Trabalho])*tabCustoUnit[[#This Row],[MODULO 1 - REMUNERAÇÃO ]]</f>
        <v>0.90437916666666684</v>
      </c>
      <c r="AY304" s="22">
        <f>SUMIF(tabParametros[Código do Posto],tabCustoUnit[[#This Row],[Código do Posto]],tabParametros[Férias, Adicional de Férias e 13º  com empregada em gozo de Licença Maternidade])*tabCustoUnit[[#This Row],[MODULO 1 - REMUNERAÇÃO ]]</f>
        <v>5.6272481481481487</v>
      </c>
      <c r="AZ304" s="22">
        <f>SUMIF(tabParametros[Código do Posto],tabCustoUnit[[#This Row],[Código do Posto]],tabParametros[Incidência do Submódulo 2.1 sobre Ausências Legais])*tabCustoUnit[[#This Row],[MODULO 1 - REMUNERAÇÃO ]]</f>
        <v>19.933204161500004</v>
      </c>
      <c r="BA304" s="22">
        <f>SUM(tabCustoUnit[[#This Row],[Ausência por Doença]:[Incidência do Submódulo 2.1 sobre Ausências Legais]])</f>
        <v>72.666548504092589</v>
      </c>
      <c r="BB304" s="22">
        <f>SUMIF(tabParametros[Código do Posto],tabCustoUnit[[#This Row],[Código do Posto]],tabParametros[Intervalo para Repouso ou Alimentação])</f>
        <v>0</v>
      </c>
      <c r="BC304" s="22">
        <f>tabCustoUnit[[#This Row],[Intervalo para Repouso ou Alimentação]]</f>
        <v>0</v>
      </c>
      <c r="BD30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4" s="22">
        <f>tabCustoUnit[[#This Row],[Suspensão Temporária do Contrato de Trabalho]]</f>
        <v>0</v>
      </c>
      <c r="BF304" s="22">
        <f>tabCustoUnit[[#This Row],[Submódulo 4.1]]+tabCustoUnit[[#This Row],[Submódulo 4.2]]+tabCustoUnit[[#This Row],[Submódulo 4.3]]</f>
        <v>72.666548504092589</v>
      </c>
      <c r="BG304" s="22">
        <f>VLOOKUP(tabCustoUnit[[#This Row],[Código do Posto]],tabParametros[],MATCH(tabCustoUnit[[#Headers],[Uniformes e EPIs]],tabParametros[#Headers],0),0)</f>
        <v>92.100763771570698</v>
      </c>
      <c r="BH304" s="22">
        <f>VLOOKUP(tabCustoUnit[[#This Row],[Código do Posto]],tabParametros[],MATCH(tabCustoUnit[[#Headers],[Materiais de Consumo]],tabParametros[#Headers],0),0)</f>
        <v>0</v>
      </c>
      <c r="BI304" s="22">
        <f>VLOOKUP(tabCustoUnit[[#This Row],[Código do Posto]],tabParametros[],MATCH(tabCustoUnit[[#Headers],[Máquinas e Equipamentos (depreciação)]],tabParametros[#Headers],0),0)</f>
        <v>0</v>
      </c>
      <c r="BJ304" s="22">
        <f>VLOOKUP(tabCustoUnit[[#This Row],[Código do Posto]],tabParametros[],MATCH(tabCustoUnit[[#Headers],[Produtos de Limpeza e Materiais de Higiene Pessoal]],tabParametros[#Headers],0),0)</f>
        <v>0</v>
      </c>
      <c r="BK304" s="22">
        <f>VLOOKUP(tabCustoUnit[[#This Row],[Código do Posto]],tabParametros[],MATCH(tabCustoUnit[[#Headers],[Outros (especificar)]],tabParametros[#Headers],0),0)</f>
        <v>0</v>
      </c>
      <c r="BL304" s="22">
        <f>SUM(tabCustoUnit[[#This Row],[Uniformes e EPIs]:[Outros (especificar)]])</f>
        <v>92.100763771570698</v>
      </c>
      <c r="BM30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4" s="22" t="e">
        <f ca="1">VLOOKUP(tabCustoUnit[[#This Row],[Código do Posto]],tabParametros[],MATCH(tabCustoUnit[[#Headers],[Custos Indiretos]],tabParametros[#Headers],0),0)</f>
        <v>#NAME?</v>
      </c>
      <c r="BO304" s="22" t="e">
        <f ca="1">VLOOKUP(tabCustoUnit[[#This Row],[Código do Posto]],tabParametros[],MATCH(tabCustoUnit[[#Headers],[Lucro]],tabParametros[#Headers],0),0)</f>
        <v>#NAME?</v>
      </c>
      <c r="BP304" s="26">
        <f>((100/((1-tabCustoUnit[[#This Row],[Resumo de Alíquotas (PIS+CONFINS+ISS)]]))-100)*VLOOKUP(tabCustoUnit[[#This Row],[Código do Posto]],tabParametros[],MATCH(tabCustoUnit[[#Headers],[COFINS]],tabParametros[#Headers],0),0))/(tabCustoUnit[[#This Row],[Resumo de Alíquotas (PIS+CONFINS+ISS)]]*100)</f>
        <v>8.5633802816901458E-2</v>
      </c>
      <c r="BQ304" s="26">
        <f>((100/((100-(tabCustoUnit[[#This Row],[Resumo de Alíquotas (PIS+CONFINS+ISS)]]*100))%)-100)*VLOOKUP(tabCustoUnit[[#This Row],[Código do Posto]],tabParametros[],MATCH(tabCustoUnit[[#Headers],[PIS]],tabParametros[#Headers],0),0))/(tabCustoUnit[[#This Row],[Resumo de Alíquotas (PIS+CONFINS+ISS)]]*100)</f>
        <v>1.8591549295774657E-2</v>
      </c>
      <c r="BR304" s="28">
        <f>VLOOKUP(tabCustoUnit[[#This Row],[Código do Posto]],tabParametros[],MATCH(tabCustoUnit[[#Headers],[ISS]],tabParametros[#Headers],0),0)</f>
        <v>0.02</v>
      </c>
      <c r="BS304" s="26">
        <f>(((100/((100-(tabCustoUnit[[#This Row],[Resumo de Alíquotas (PIS+CONFINS+ISS)]]*100))%)-100)*tabCustoUnit[[#This Row],[ISS]])/tabCustoUnit[[#This Row],[Resumo de Alíquotas (PIS+CONFINS+ISS)]])/100</f>
        <v>2.2535211267605645E-2</v>
      </c>
      <c r="BT30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04" s="138">
        <f>tabCustoUnit[[#This Row],[COFINS]]+tabCustoUnit[[#This Row],[PIS]]+tabCustoUnit[[#This Row],[ISS (Conversão Alíquota s/ fatura)]]</f>
        <v>0.12676056338028174</v>
      </c>
      <c r="BV304" s="22" t="e">
        <f ca="1">(tabCustoUnit[[#This Row],[TOTAL MÓDULOS 1+2+3+4+5]]+tabCustoUnit[[#This Row],[Custos Indiretos]]+tabCustoUnit[[#This Row],[Lucro]])*tabCustoUnit[[#This Row],[PIS + COFINS + ISS (Total Conversão  Alíquota s/ Fatura)]]</f>
        <v>#NAME?</v>
      </c>
      <c r="BW304" s="22" t="e">
        <f ca="1">tabCustoUnit[[#This Row],[Custos Indiretos]]+tabCustoUnit[[#This Row],[Lucro]]+tabCustoUnit[[#This Row],[Valor dos Tributos (ISS, PIS, CONFINS)]]</f>
        <v>#NAME?</v>
      </c>
      <c r="BX304" s="22" t="e">
        <f ca="1">tabCustoUnit[[#This Row],[TOTAL MÓDULOS 1+2+3+4+5]]+tabCustoUnit[[#This Row],[MÓDULO 6 – CUSTOS INDIRETOS, TRIBUTOS E LUCRO]]</f>
        <v>#NAME?</v>
      </c>
      <c r="BY304" s="22" t="e">
        <f ca="1">tabCustoUnit[[#This Row],[CUSTO TOTAL MENSAL]]*12</f>
        <v>#NAME?</v>
      </c>
      <c r="BZ304" s="24">
        <f>VLOOKUP(tabCustoUnit[[#This Row],[Código do Posto]],tabParametros[],MATCH(tabCustoUnit[[#Headers],[ANO DA CCT]],tabParametros[#Headers],0),0)</f>
        <v>45658</v>
      </c>
      <c r="CA304" s="25" t="str">
        <f>VLOOKUP(tabCustoUnit[[#This Row],[Código do Posto]],tabParametros[],MATCH(tabCustoUnit[[#Headers],[Nº DE PEDIDO DA CCT]],tabParametros[#Headers],0),0)</f>
        <v>-</v>
      </c>
      <c r="CB304" s="25" t="str">
        <f>VLOOKUP(tabCustoUnit[[#This Row],[Código do Posto]],tabParametros[],MATCH(tabCustoUnit[[#Headers],[TERMO ADITIVO ALTERAÇÃO DA CCT]],tabParametros[#Headers],0),0)</f>
        <v>-</v>
      </c>
    </row>
    <row r="305" spans="1:80">
      <c r="A305" s="20" t="s">
        <v>1718</v>
      </c>
      <c r="B305" t="s">
        <v>1066</v>
      </c>
      <c r="C305" t="s">
        <v>304</v>
      </c>
      <c r="D305" t="s">
        <v>1066</v>
      </c>
      <c r="E305" s="20" t="s">
        <v>1090</v>
      </c>
      <c r="F305" s="20" t="s">
        <v>120</v>
      </c>
      <c r="G305" s="418">
        <v>2134.8042</v>
      </c>
      <c r="H305" s="418">
        <v>0</v>
      </c>
      <c r="I305" s="418">
        <v>0</v>
      </c>
      <c r="J305" s="418">
        <v>0</v>
      </c>
      <c r="K305" s="418">
        <v>0</v>
      </c>
      <c r="L305" s="418">
        <v>0</v>
      </c>
      <c r="M305" s="418">
        <v>0</v>
      </c>
      <c r="N305" s="418">
        <v>0</v>
      </c>
      <c r="O305" s="21">
        <f>SUM(tabCustoUnit[[#This Row],[Salário Base]:[Adicional de Acúmulo de função]])</f>
        <v>2134.8042</v>
      </c>
      <c r="P305" s="21">
        <f>tabCustoUnit[[#This Row],[MODULO 1 - REMUNERAÇÃO ]]*SUMIFS(tabParametros[INSS],tabParametros[Código do Posto],tabCustoUnit[[#This Row],[Código do Posto]])</f>
        <v>426.96084000000002</v>
      </c>
      <c r="Q305" s="21">
        <f>tabCustoUnit[[#This Row],[MODULO 1 - REMUNERAÇÃO ]]*SUMIFS(tabParametros[SESI OU SESC],tabParametros[Código do Posto],tabCustoUnit[[#This Row],[Código do Posto]])</f>
        <v>32.022063000000003</v>
      </c>
      <c r="R305" s="21">
        <f>tabCustoUnit[[#This Row],[MODULO 1 - REMUNERAÇÃO ]]*SUMIFS(tabParametros[SENAI OU SENAC],tabParametros[Código do Posto],tabCustoUnit[[#This Row],[Código do Posto]])</f>
        <v>21.348042</v>
      </c>
      <c r="S305" s="21">
        <f>tabCustoUnit[[#This Row],[MODULO 1 - REMUNERAÇÃO ]]*SUMIFS(tabParametros[INCRA],tabParametros[Código do Posto],tabCustoUnit[[#This Row],[Código do Posto]])</f>
        <v>4.2696084000000001</v>
      </c>
      <c r="T305" s="21">
        <f>tabCustoUnit[[#This Row],[MODULO 1 - REMUNERAÇÃO ]]*SUMIFS(tabParametros[Salário Educação],tabParametros[Código do Posto],tabCustoUnit[[#This Row],[Código do Posto]])</f>
        <v>53.370105000000002</v>
      </c>
      <c r="U305" s="21">
        <f>tabCustoUnit[[#This Row],[MODULO 1 - REMUNERAÇÃO ]]*SUMIFS(tabParametros[FGTS],tabParametros[Código do Posto],tabCustoUnit[[#This Row],[Código do Posto]])</f>
        <v>170.784336</v>
      </c>
      <c r="V305" s="21">
        <f>tabCustoUnit[[#This Row],[MODULO 1 - REMUNERAÇÃO ]]*SUMIFS(tabParametros[RAT Ajustado],tabParametros[Código do Posto],tabCustoUnit[[#This Row],[Código do Posto]])</f>
        <v>85.392167999999998</v>
      </c>
      <c r="W305" s="21">
        <f>tabCustoUnit[[#This Row],[MODULO 1 - REMUNERAÇÃO ]]*SUMIFS(tabParametros[SEBRAE],tabParametros[Código do Posto],tabCustoUnit[[#This Row],[Código do Posto]])</f>
        <v>12.808825200000001</v>
      </c>
      <c r="X305" s="21">
        <f>SUM(tabCustoUnit[[#This Row],[INSS]:[SEBRAE]])</f>
        <v>806.95598759999996</v>
      </c>
      <c r="Y305" s="21">
        <f>tabCustoUnit[[#This Row],[MODULO 1 - REMUNERAÇÃO ]]*SUMIFS(tabParametros[13º salário (titular)],tabParametros[Código do Posto],tabCustoUnit[[#This Row],[Código do Posto]])</f>
        <v>177.90035</v>
      </c>
      <c r="Z305" s="21">
        <f>tabCustoUnit[[#This Row],[MODULO 1 - REMUNERAÇÃO ]]*SUMIFS(tabParametros[Férias e Adicional de Férias (titular)],tabParametros[Código do Posto],tabCustoUnit[[#This Row],[Código do Posto]])</f>
        <v>237.20046666666667</v>
      </c>
      <c r="AA305" s="21">
        <f>IFERROR((tabCustoUnit[[#This Row],[Submódulo 2.1]]/tabCustoUnit[[#This Row],[MODULO 1 - REMUNERAÇÃO ]])*SUM(tabCustoUnit[[#This Row],[13º salário (titular)]:[Férias e Adicional de Férias (titular)]]),0)</f>
        <v>156.90810869999999</v>
      </c>
      <c r="AB305" s="21">
        <f>SUM(tabCustoUnit[[#This Row],[13º salário (titular)]:[Incidência do Submódulo 2.1 sobre 13º Salário, Férias e Adicional de Férias]])</f>
        <v>572.00892536666663</v>
      </c>
      <c r="AC305" s="22" t="e">
        <f ca="1">_xlfn.LET(_xlpm.VT,SUMIF(tabParametros[Código do Posto],tabCustoUnit[[#This Row],[Código do Posto]],tabParametros[Vale - Transporte])*2*20,
IF((_xlpm.VT-tabCustoUnit[[#This Row],[Salário Base]]*0.06)&gt;=0,(_xlpm.VT-tabCustoUnit[[#This Row],[Salário Base]]*0.06),0)
)</f>
        <v>#NAME?</v>
      </c>
      <c r="AD305" s="22">
        <f>IF(SUMIF(tabParametros[Código do Posto],tabCustoUnit[[#This Row],[Código do Posto]],tabParametros[Vale - Alimentação])&lt;=0,0,
SUMIF(tabParametros[Código do Posto],tabCustoUnit[[#This Row],[Código do Posto]],tabParametros[Vale - Alimentação])*20-1)</f>
        <v>582</v>
      </c>
      <c r="AE305" s="22">
        <f>SUMIF(tabParametros[Código do Posto],tabCustoUnit[[#This Row],[Código do Posto]],tabParametros[Cesta Básica])</f>
        <v>0</v>
      </c>
      <c r="AF305" s="22">
        <f>SUMIF(tabParametros[Código do Posto],tabCustoUnit[[#This Row],[Código do Posto]],tabParametros[PAF])</f>
        <v>0</v>
      </c>
      <c r="AG305" s="22">
        <f>SUMIF(tabParametros[Código do Posto],tabCustoUnit[[#This Row],[Código do Posto]],tabParametros[PQM])</f>
        <v>15.07</v>
      </c>
      <c r="AH305" s="22">
        <f>SUMIF(tabParametros[Código do Posto],tabCustoUnit[[#This Row],[Código do Posto]],tabParametros[Abono Único e Especial])</f>
        <v>0</v>
      </c>
      <c r="AI305" s="22">
        <f>SUMIF(tabParametros[Código do Posto],tabCustoUnit[[#This Row],[Código do Posto]],tabParametros[Seguro de Vida])</f>
        <v>3.36</v>
      </c>
      <c r="AJ305" s="22">
        <f>SUMIF(tabParametros[Código do Posto],tabCustoUnit[[#This Row],[Código do Posto]],tabParametros[Despesas de Viagem])</f>
        <v>0</v>
      </c>
      <c r="AK305" s="22" t="e">
        <f ca="1">SUM(tabCustoUnit[[#This Row],[Vale - Transporte (Descontada parcela do empregado)]:[Despesas de Viagem]])</f>
        <v>#NAME?</v>
      </c>
      <c r="AL305" s="22" t="e">
        <f ca="1">tabCustoUnit[[#This Row],[Submódulo 2.1]]+tabCustoUnit[[#This Row],[Submódulo 2.2]]+tabCustoUnit[[#This Row],[Submódulo 2.3]]</f>
        <v>#NAME?</v>
      </c>
      <c r="AM305" s="22">
        <f>SUMIF(tabParametros[Código do Posto],tabCustoUnit[[#This Row],[Código do Posto]],tabParametros[Aviso Prévio Indenizado (API) e Reflexo do Aviso Prévio Indenizado])*tabCustoUnit[[#This Row],[MODULO 1 - REMUNERAÇÃO ]]</f>
        <v>14.968749588310185</v>
      </c>
      <c r="AN305" s="22">
        <f>SUMIF(tabParametros[Código do Posto],tabCustoUnit[[#This Row],[Código do Posto]],tabParametros[Incidência do FGTS sobre API e Reflexo do API])*tabCustoUnit[[#This Row],[MODULO 1 - REMUNERAÇÃO ]]</f>
        <v>1.197499967064815</v>
      </c>
      <c r="AO305" s="22">
        <f>SUMIF(tabParametros[Código do Posto],tabCustoUnit[[#This Row],[Código do Posto]],tabParametros[Multa Rescisória do FGTS sobre o Aviso Prévio Indenizado])*tabCustoUnit[[#This Row],[MODULO 1 - REMUNERAÇÃO ]]</f>
        <v>0.47899998682592604</v>
      </c>
      <c r="AP305" s="22">
        <f>SUMIF(tabParametros[Código do Posto],tabCustoUnit[[#This Row],[Código do Posto]],tabParametros[Aviso Prévio Trabalhado - APT])*tabCustoUnit[[#This Row],[MODULO 1 - REMUNERAÇÃO ]]</f>
        <v>7.4718147000000013</v>
      </c>
      <c r="AQ305" s="22">
        <f>SUMIF(tabParametros[Código do Posto],tabCustoUnit[[#This Row],[Código do Posto]],tabParametros[Incidência dos encargos do submódulo 2.1 sobre Aviso Prévio Trabalhado])*tabCustoUnit[[#This Row],[MODULO 1 - REMUNERAÇÃO ]]</f>
        <v>2.8243459566000011</v>
      </c>
      <c r="AR305" s="22">
        <f>SUMIF(tabParametros[Código do Posto],tabCustoUnit[[#This Row],[Código do Posto]],tabParametros[Multa Rescisória do FGTS])*tabCustoUnit[[#This Row],[MODULO 1 - REMUNERAÇÃO ]]</f>
        <v>65.277568426666662</v>
      </c>
      <c r="AS305" s="22">
        <f>SUMIF(tabParametros[Código do Posto],tabCustoUnit[[#This Row],[Código do Posto]],tabParametros[Indenização Adicional (Art. 9º da Lei nº 7.238/84)])*tabCustoUnit[[#This Row],[MODULO 1 - REMUNERAÇÃO ]]</f>
        <v>1.7790035000000002</v>
      </c>
      <c r="AT305" s="22">
        <f>SUM(tabCustoUnit[[#This Row],[Aviso Prévio Indenizado (API) e Reflexo do Aviso Prévio Indenizado]:[Indenização Adicional (Art. 9º da Lei nº 7.238/84)]])</f>
        <v>93.997982125467587</v>
      </c>
      <c r="AU305" s="22">
        <f>SUMIF(tabParametros[Código do Posto],tabCustoUnit[[#This Row],[Código do Posto]],tabParametros[Ausência por Doença])*tabCustoUnit[[#This Row],[MODULO 1 - REMUNERAÇÃO ]]</f>
        <v>18.027235466666664</v>
      </c>
      <c r="AV305" s="22">
        <f>SUMIF(tabParametros[Código do Posto],tabCustoUnit[[#This Row],[Código do Posto]],tabParametros[Ausências Legais])*tabCustoUnit[[#This Row],[MODULO 1 - REMUNERAÇÃO ]]</f>
        <v>4.3289085166666661</v>
      </c>
      <c r="AW305" s="22">
        <f>SUMIF(tabParametros[Código do Posto],tabCustoUnit[[#This Row],[Código do Posto]],tabParametros[Licença Paternidade])*tabCustoUnit[[#This Row],[MODULO 1 - REMUNERAÇÃO ]]</f>
        <v>0.36469571750000002</v>
      </c>
      <c r="AX305" s="22">
        <f>SUMIF(tabParametros[Código do Posto],tabCustoUnit[[#This Row],[Código do Posto]],tabParametros[Ausência por Acidente de Trabalho])*tabCustoUnit[[#This Row],[MODULO 1 - REMUNERAÇÃO ]]</f>
        <v>0.44475087500000005</v>
      </c>
      <c r="AY305" s="22">
        <f>SUMIF(tabParametros[Código do Posto],tabCustoUnit[[#This Row],[Código do Posto]],tabParametros[Férias, Adicional de Férias e 13º  com empregada em gozo de Licença Maternidade])*tabCustoUnit[[#This Row],[MODULO 1 - REMUNERAÇÃO ]]</f>
        <v>2.7673387777777778</v>
      </c>
      <c r="AZ305" s="22">
        <f>SUMIF(tabParametros[Código do Posto],tabCustoUnit[[#This Row],[Código do Posto]],tabParametros[Incidência do Submódulo 2.1 sobre Ausências Legais])*tabCustoUnit[[#This Row],[MODULO 1 - REMUNERAÇÃO ]]</f>
        <v>9.8026472956650021</v>
      </c>
      <c r="BA305" s="22">
        <f>SUM(tabCustoUnit[[#This Row],[Ausência por Doença]:[Incidência do Submódulo 2.1 sobre Ausências Legais]])</f>
        <v>35.735576649276105</v>
      </c>
      <c r="BB305" s="22">
        <f>SUMIF(tabParametros[Código do Posto],tabCustoUnit[[#This Row],[Código do Posto]],tabParametros[Intervalo para Repouso ou Alimentação])</f>
        <v>236.35331788404324</v>
      </c>
      <c r="BC305" s="22">
        <f>tabCustoUnit[[#This Row],[Intervalo para Repouso ou Alimentação]]</f>
        <v>236.35331788404324</v>
      </c>
      <c r="BD30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5" s="22">
        <f>tabCustoUnit[[#This Row],[Suspensão Temporária do Contrato de Trabalho]]</f>
        <v>0</v>
      </c>
      <c r="BF305" s="22">
        <f>tabCustoUnit[[#This Row],[Submódulo 4.1]]+tabCustoUnit[[#This Row],[Submódulo 4.2]]+tabCustoUnit[[#This Row],[Submódulo 4.3]]</f>
        <v>272.08889453331932</v>
      </c>
      <c r="BG305" s="22">
        <f>VLOOKUP(tabCustoUnit[[#This Row],[Código do Posto]],tabParametros[],MATCH(tabCustoUnit[[#Headers],[Uniformes e EPIs]],tabParametros[#Headers],0),0)</f>
        <v>56.642978962543395</v>
      </c>
      <c r="BH305" s="22">
        <f>VLOOKUP(tabCustoUnit[[#This Row],[Código do Posto]],tabParametros[],MATCH(tabCustoUnit[[#Headers],[Materiais de Consumo]],tabParametros[#Headers],0),0)</f>
        <v>0</v>
      </c>
      <c r="BI305" s="22">
        <f>VLOOKUP(tabCustoUnit[[#This Row],[Código do Posto]],tabParametros[],MATCH(tabCustoUnit[[#Headers],[Máquinas e Equipamentos (depreciação)]],tabParametros[#Headers],0),0)</f>
        <v>0</v>
      </c>
      <c r="BJ305" s="22">
        <f>VLOOKUP(tabCustoUnit[[#This Row],[Código do Posto]],tabParametros[],MATCH(tabCustoUnit[[#Headers],[Produtos de Limpeza e Materiais de Higiene Pessoal]],tabParametros[#Headers],0),0)</f>
        <v>0</v>
      </c>
      <c r="BK305" s="22">
        <f>VLOOKUP(tabCustoUnit[[#This Row],[Código do Posto]],tabParametros[],MATCH(tabCustoUnit[[#Headers],[Outros (especificar)]],tabParametros[#Headers],0),0)</f>
        <v>0</v>
      </c>
      <c r="BL305" s="22">
        <f>SUM(tabCustoUnit[[#This Row],[Uniformes e EPIs]:[Outros (especificar)]])</f>
        <v>56.642978962543395</v>
      </c>
      <c r="BM30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5" s="22" t="e">
        <f ca="1">VLOOKUP(tabCustoUnit[[#This Row],[Código do Posto]],tabParametros[],MATCH(tabCustoUnit[[#Headers],[Custos Indiretos]],tabParametros[#Headers],0),0)</f>
        <v>#NAME?</v>
      </c>
      <c r="BO305" s="22" t="e">
        <f ca="1">VLOOKUP(tabCustoUnit[[#This Row],[Código do Posto]],tabParametros[],MATCH(tabCustoUnit[[#Headers],[Lucro]],tabParametros[#Headers],0),0)</f>
        <v>#NAME?</v>
      </c>
      <c r="BP305" s="26">
        <f>((100/((1-tabCustoUnit[[#This Row],[Resumo de Alíquotas (PIS+CONFINS+ISS)]]))-100)*VLOOKUP(tabCustoUnit[[#This Row],[Código do Posto]],tabParametros[],MATCH(tabCustoUnit[[#Headers],[COFINS]],tabParametros[#Headers],0),0))/(tabCustoUnit[[#This Row],[Resumo de Alíquotas (PIS+CONFINS+ISS)]]*100)</f>
        <v>8.5633802816901458E-2</v>
      </c>
      <c r="BQ305" s="26">
        <f>((100/((100-(tabCustoUnit[[#This Row],[Resumo de Alíquotas (PIS+CONFINS+ISS)]]*100))%)-100)*VLOOKUP(tabCustoUnit[[#This Row],[Código do Posto]],tabParametros[],MATCH(tabCustoUnit[[#Headers],[PIS]],tabParametros[#Headers],0),0))/(tabCustoUnit[[#This Row],[Resumo de Alíquotas (PIS+CONFINS+ISS)]]*100)</f>
        <v>1.8591549295774657E-2</v>
      </c>
      <c r="BR305" s="28">
        <f>VLOOKUP(tabCustoUnit[[#This Row],[Código do Posto]],tabParametros[],MATCH(tabCustoUnit[[#Headers],[ISS]],tabParametros[#Headers],0),0)</f>
        <v>0.02</v>
      </c>
      <c r="BS305" s="26">
        <f>(((100/((100-(tabCustoUnit[[#This Row],[Resumo de Alíquotas (PIS+CONFINS+ISS)]]*100))%)-100)*tabCustoUnit[[#This Row],[ISS]])/tabCustoUnit[[#This Row],[Resumo de Alíquotas (PIS+CONFINS+ISS)]])/100</f>
        <v>2.2535211267605645E-2</v>
      </c>
      <c r="BT30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05" s="138">
        <f>tabCustoUnit[[#This Row],[COFINS]]+tabCustoUnit[[#This Row],[PIS]]+tabCustoUnit[[#This Row],[ISS (Conversão Alíquota s/ fatura)]]</f>
        <v>0.12676056338028174</v>
      </c>
      <c r="BV305" s="22" t="e">
        <f ca="1">(tabCustoUnit[[#This Row],[TOTAL MÓDULOS 1+2+3+4+5]]+tabCustoUnit[[#This Row],[Custos Indiretos]]+tabCustoUnit[[#This Row],[Lucro]])*tabCustoUnit[[#This Row],[PIS + COFINS + ISS (Total Conversão  Alíquota s/ Fatura)]]</f>
        <v>#NAME?</v>
      </c>
      <c r="BW305" s="22" t="e">
        <f ca="1">tabCustoUnit[[#This Row],[Custos Indiretos]]+tabCustoUnit[[#This Row],[Lucro]]+tabCustoUnit[[#This Row],[Valor dos Tributos (ISS, PIS, CONFINS)]]</f>
        <v>#NAME?</v>
      </c>
      <c r="BX305" s="22" t="e">
        <f ca="1">tabCustoUnit[[#This Row],[TOTAL MÓDULOS 1+2+3+4+5]]+tabCustoUnit[[#This Row],[MÓDULO 6 – CUSTOS INDIRETOS, TRIBUTOS E LUCRO]]</f>
        <v>#NAME?</v>
      </c>
      <c r="BY305" s="22" t="e">
        <f ca="1">tabCustoUnit[[#This Row],[CUSTO TOTAL MENSAL]]*12</f>
        <v>#NAME?</v>
      </c>
      <c r="BZ305" s="24">
        <f>VLOOKUP(tabCustoUnit[[#This Row],[Código do Posto]],tabParametros[],MATCH(tabCustoUnit[[#Headers],[ANO DA CCT]],tabParametros[#Headers],0),0)</f>
        <v>45658</v>
      </c>
      <c r="CA305" s="25" t="str">
        <f>VLOOKUP(tabCustoUnit[[#This Row],[Código do Posto]],tabParametros[],MATCH(tabCustoUnit[[#Headers],[Nº DE PEDIDO DA CCT]],tabParametros[#Headers],0),0)</f>
        <v>-</v>
      </c>
      <c r="CB305" s="25" t="str">
        <f>VLOOKUP(tabCustoUnit[[#This Row],[Código do Posto]],tabParametros[],MATCH(tabCustoUnit[[#Headers],[TERMO ADITIVO ALTERAÇÃO DA CCT]],tabParametros[#Headers],0),0)</f>
        <v>-</v>
      </c>
    </row>
    <row r="306" spans="1:80">
      <c r="A306" s="20" t="s">
        <v>1719</v>
      </c>
      <c r="B306" t="s">
        <v>1066</v>
      </c>
      <c r="C306" t="s">
        <v>309</v>
      </c>
      <c r="D306" t="s">
        <v>1066</v>
      </c>
      <c r="E306" s="20" t="s">
        <v>1090</v>
      </c>
      <c r="F306" s="20" t="s">
        <v>120</v>
      </c>
      <c r="G306" s="418">
        <v>2134.8042</v>
      </c>
      <c r="H306" s="418">
        <v>0</v>
      </c>
      <c r="I306" s="418">
        <v>0</v>
      </c>
      <c r="J306" s="418">
        <v>430.16300000000001</v>
      </c>
      <c r="K306" s="418">
        <v>0</v>
      </c>
      <c r="L306" s="418">
        <v>0</v>
      </c>
      <c r="M306" s="418">
        <v>0</v>
      </c>
      <c r="N306" s="418">
        <v>0</v>
      </c>
      <c r="O306" s="21">
        <f>SUM(tabCustoUnit[[#This Row],[Salário Base]:[Adicional de Acúmulo de função]])</f>
        <v>2564.9672</v>
      </c>
      <c r="P306" s="21">
        <f>tabCustoUnit[[#This Row],[MODULO 1 - REMUNERAÇÃO ]]*SUMIFS(tabParametros[INSS],tabParametros[Código do Posto],tabCustoUnit[[#This Row],[Código do Posto]])</f>
        <v>512.99344000000008</v>
      </c>
      <c r="Q306" s="21">
        <f>tabCustoUnit[[#This Row],[MODULO 1 - REMUNERAÇÃO ]]*SUMIFS(tabParametros[SESI OU SESC],tabParametros[Código do Posto],tabCustoUnit[[#This Row],[Código do Posto]])</f>
        <v>38.474508</v>
      </c>
      <c r="R306" s="21">
        <f>tabCustoUnit[[#This Row],[MODULO 1 - REMUNERAÇÃO ]]*SUMIFS(tabParametros[SENAI OU SENAC],tabParametros[Código do Posto],tabCustoUnit[[#This Row],[Código do Posto]])</f>
        <v>25.649672000000002</v>
      </c>
      <c r="S306" s="21">
        <f>tabCustoUnit[[#This Row],[MODULO 1 - REMUNERAÇÃO ]]*SUMIFS(tabParametros[INCRA],tabParametros[Código do Posto],tabCustoUnit[[#This Row],[Código do Posto]])</f>
        <v>5.1299343999999998</v>
      </c>
      <c r="T306" s="21">
        <f>tabCustoUnit[[#This Row],[MODULO 1 - REMUNERAÇÃO ]]*SUMIFS(tabParametros[Salário Educação],tabParametros[Código do Posto],tabCustoUnit[[#This Row],[Código do Posto]])</f>
        <v>64.12418000000001</v>
      </c>
      <c r="U306" s="21">
        <f>tabCustoUnit[[#This Row],[MODULO 1 - REMUNERAÇÃO ]]*SUMIFS(tabParametros[FGTS],tabParametros[Código do Posto],tabCustoUnit[[#This Row],[Código do Posto]])</f>
        <v>205.19737600000002</v>
      </c>
      <c r="V306" s="21">
        <f>tabCustoUnit[[#This Row],[MODULO 1 - REMUNERAÇÃO ]]*SUMIFS(tabParametros[RAT Ajustado],tabParametros[Código do Posto],tabCustoUnit[[#This Row],[Código do Posto]])</f>
        <v>102.59868800000001</v>
      </c>
      <c r="W306" s="21">
        <f>tabCustoUnit[[#This Row],[MODULO 1 - REMUNERAÇÃO ]]*SUMIFS(tabParametros[SEBRAE],tabParametros[Código do Posto],tabCustoUnit[[#This Row],[Código do Posto]])</f>
        <v>15.389803200000001</v>
      </c>
      <c r="X306" s="21">
        <f>SUM(tabCustoUnit[[#This Row],[INSS]:[SEBRAE]])</f>
        <v>969.55760160000023</v>
      </c>
      <c r="Y306" s="21">
        <f>tabCustoUnit[[#This Row],[MODULO 1 - REMUNERAÇÃO ]]*SUMIFS(tabParametros[13º salário (titular)],tabParametros[Código do Posto],tabCustoUnit[[#This Row],[Código do Posto]])</f>
        <v>213.74726666666666</v>
      </c>
      <c r="Z306" s="21">
        <f>tabCustoUnit[[#This Row],[MODULO 1 - REMUNERAÇÃO ]]*SUMIFS(tabParametros[Férias e Adicional de Férias (titular)],tabParametros[Código do Posto],tabCustoUnit[[#This Row],[Código do Posto]])</f>
        <v>284.99635555555557</v>
      </c>
      <c r="AA306" s="21">
        <f>IFERROR((tabCustoUnit[[#This Row],[Submódulo 2.1]]/tabCustoUnit[[#This Row],[MODULO 1 - REMUNERAÇÃO ]])*SUM(tabCustoUnit[[#This Row],[13º salário (titular)]:[Férias e Adicional de Férias (titular)]]),0)</f>
        <v>188.52508920000005</v>
      </c>
      <c r="AB306" s="21">
        <f>SUM(tabCustoUnit[[#This Row],[13º salário (titular)]:[Incidência do Submódulo 2.1 sobre 13º Salário, Férias e Adicional de Férias]])</f>
        <v>687.26871142222228</v>
      </c>
      <c r="AC306" s="22" t="e">
        <f ca="1">_xlfn.LET(_xlpm.VT,SUMIF(tabParametros[Código do Posto],tabCustoUnit[[#This Row],[Código do Posto]],tabParametros[Vale - Transporte])*2*20,
IF((_xlpm.VT-tabCustoUnit[[#This Row],[Salário Base]]*0.06)&gt;=0,(_xlpm.VT-tabCustoUnit[[#This Row],[Salário Base]]*0.06),0)
)</f>
        <v>#NAME?</v>
      </c>
      <c r="AD306" s="22">
        <f>IF(SUMIF(tabParametros[Código do Posto],tabCustoUnit[[#This Row],[Código do Posto]],tabParametros[Vale - Alimentação])&lt;=0,0,
SUMIF(tabParametros[Código do Posto],tabCustoUnit[[#This Row],[Código do Posto]],tabParametros[Vale - Alimentação])*20-1)</f>
        <v>582</v>
      </c>
      <c r="AE306" s="22">
        <f>SUMIF(tabParametros[Código do Posto],tabCustoUnit[[#This Row],[Código do Posto]],tabParametros[Cesta Básica])</f>
        <v>0</v>
      </c>
      <c r="AF306" s="22">
        <f>SUMIF(tabParametros[Código do Posto],tabCustoUnit[[#This Row],[Código do Posto]],tabParametros[PAF])</f>
        <v>0</v>
      </c>
      <c r="AG306" s="22">
        <f>SUMIF(tabParametros[Código do Posto],tabCustoUnit[[#This Row],[Código do Posto]],tabParametros[PQM])</f>
        <v>15.07</v>
      </c>
      <c r="AH306" s="22">
        <f>SUMIF(tabParametros[Código do Posto],tabCustoUnit[[#This Row],[Código do Posto]],tabParametros[Abono Único e Especial])</f>
        <v>0</v>
      </c>
      <c r="AI306" s="22">
        <f>SUMIF(tabParametros[Código do Posto],tabCustoUnit[[#This Row],[Código do Posto]],tabParametros[Seguro de Vida])</f>
        <v>3.36</v>
      </c>
      <c r="AJ306" s="22">
        <f>SUMIF(tabParametros[Código do Posto],tabCustoUnit[[#This Row],[Código do Posto]],tabParametros[Despesas de Viagem])</f>
        <v>0</v>
      </c>
      <c r="AK306" s="22" t="e">
        <f ca="1">SUM(tabCustoUnit[[#This Row],[Vale - Transporte (Descontada parcela do empregado)]:[Despesas de Viagem]])</f>
        <v>#NAME?</v>
      </c>
      <c r="AL306" s="22" t="e">
        <f ca="1">tabCustoUnit[[#This Row],[Submódulo 2.1]]+tabCustoUnit[[#This Row],[Submódulo 2.2]]+tabCustoUnit[[#This Row],[Submódulo 2.3]]</f>
        <v>#NAME?</v>
      </c>
      <c r="AM306" s="22">
        <f>SUMIF(tabParametros[Código do Posto],tabCustoUnit[[#This Row],[Código do Posto]],tabParametros[Aviso Prévio Indenizado (API) e Reflexo do Aviso Prévio Indenizado])*tabCustoUnit[[#This Row],[MODULO 1 - REMUNERAÇÃO ]]</f>
        <v>17.984952305709879</v>
      </c>
      <c r="AN306" s="22">
        <f>SUMIF(tabParametros[Código do Posto],tabCustoUnit[[#This Row],[Código do Posto]],tabParametros[Incidência do FGTS sobre API e Reflexo do API])*tabCustoUnit[[#This Row],[MODULO 1 - REMUNERAÇÃO ]]</f>
        <v>1.4387961844567903</v>
      </c>
      <c r="AO306" s="22">
        <f>SUMIF(tabParametros[Código do Posto],tabCustoUnit[[#This Row],[Código do Posto]],tabParametros[Multa Rescisória do FGTS sobre o Aviso Prévio Indenizado])*tabCustoUnit[[#This Row],[MODULO 1 - REMUNERAÇÃO ]]</f>
        <v>0.57551847378271614</v>
      </c>
      <c r="AP306" s="22">
        <f>SUMIF(tabParametros[Código do Posto],tabCustoUnit[[#This Row],[Código do Posto]],tabParametros[Aviso Prévio Trabalhado - APT])*tabCustoUnit[[#This Row],[MODULO 1 - REMUNERAÇÃO ]]</f>
        <v>8.9773852000000023</v>
      </c>
      <c r="AQ306" s="22">
        <f>SUMIF(tabParametros[Código do Posto],tabCustoUnit[[#This Row],[Código do Posto]],tabParametros[Incidência dos encargos do submódulo 2.1 sobre Aviso Prévio Trabalhado])*tabCustoUnit[[#This Row],[MODULO 1 - REMUNERAÇÃO ]]</f>
        <v>3.393451605600001</v>
      </c>
      <c r="AR306" s="22">
        <f>SUMIF(tabParametros[Código do Posto],tabCustoUnit[[#This Row],[Código do Posto]],tabParametros[Multa Rescisória do FGTS])*tabCustoUnit[[#This Row],[MODULO 1 - REMUNERAÇÃO ]]</f>
        <v>78.430997048888884</v>
      </c>
      <c r="AS306" s="22">
        <f>SUMIF(tabParametros[Código do Posto],tabCustoUnit[[#This Row],[Código do Posto]],tabParametros[Indenização Adicional (Art. 9º da Lei nº 7.238/84)])*tabCustoUnit[[#This Row],[MODULO 1 - REMUNERAÇÃO ]]</f>
        <v>2.137472666666667</v>
      </c>
      <c r="AT306" s="22">
        <f>SUM(tabCustoUnit[[#This Row],[Aviso Prévio Indenizado (API) e Reflexo do Aviso Prévio Indenizado]:[Indenização Adicional (Art. 9º da Lei nº 7.238/84)]])</f>
        <v>112.93857348510494</v>
      </c>
      <c r="AU306" s="22">
        <f>SUMIF(tabParametros[Código do Posto],tabCustoUnit[[#This Row],[Código do Posto]],tabParametros[Ausência por Doença])*tabCustoUnit[[#This Row],[MODULO 1 - REMUNERAÇÃO ]]</f>
        <v>21.65972302222222</v>
      </c>
      <c r="AV306" s="22">
        <f>SUMIF(tabParametros[Código do Posto],tabCustoUnit[[#This Row],[Código do Posto]],tabParametros[Ausências Legais])*tabCustoUnit[[#This Row],[MODULO 1 - REMUNERAÇÃO ]]</f>
        <v>5.2011834888888888</v>
      </c>
      <c r="AW306" s="22">
        <f>SUMIF(tabParametros[Código do Posto],tabCustoUnit[[#This Row],[Código do Posto]],tabParametros[Licença Paternidade])*tabCustoUnit[[#This Row],[MODULO 1 - REMUNERAÇÃO ]]</f>
        <v>0.43818189666666668</v>
      </c>
      <c r="AX306" s="22">
        <f>SUMIF(tabParametros[Código do Posto],tabCustoUnit[[#This Row],[Código do Posto]],tabParametros[Ausência por Acidente de Trabalho])*tabCustoUnit[[#This Row],[MODULO 1 - REMUNERAÇÃO ]]</f>
        <v>0.53436816666666676</v>
      </c>
      <c r="AY306" s="22">
        <f>SUMIF(tabParametros[Código do Posto],tabCustoUnit[[#This Row],[Código do Posto]],tabParametros[Férias, Adicional de Férias e 13º  com empregada em gozo de Licença Maternidade])*tabCustoUnit[[#This Row],[MODULO 1 - REMUNERAÇÃO ]]</f>
        <v>3.3249574814814813</v>
      </c>
      <c r="AZ306" s="22">
        <f>SUMIF(tabParametros[Código do Posto],tabCustoUnit[[#This Row],[Código do Posto]],tabParametros[Incidência do Submódulo 2.1 sobre Ausências Legais])*tabCustoUnit[[#This Row],[MODULO 1 - REMUNERAÇÃO ]]</f>
        <v>11.777880513140003</v>
      </c>
      <c r="BA306" s="22">
        <f>SUM(tabCustoUnit[[#This Row],[Ausência por Doença]:[Incidência do Submódulo 2.1 sobre Ausências Legais]])</f>
        <v>42.936294569065929</v>
      </c>
      <c r="BB306" s="22">
        <f>SUMIF(tabParametros[Código do Posto],tabCustoUnit[[#This Row],[Código do Posto]],tabParametros[Intervalo para Repouso ou Alimentação])</f>
        <v>283.97851143767798</v>
      </c>
      <c r="BC306" s="22">
        <f>tabCustoUnit[[#This Row],[Intervalo para Repouso ou Alimentação]]</f>
        <v>283.97851143767798</v>
      </c>
      <c r="BD30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6" s="22">
        <f>tabCustoUnit[[#This Row],[Suspensão Temporária do Contrato de Trabalho]]</f>
        <v>0</v>
      </c>
      <c r="BF306" s="22">
        <f>tabCustoUnit[[#This Row],[Submódulo 4.1]]+tabCustoUnit[[#This Row],[Submódulo 4.2]]+tabCustoUnit[[#This Row],[Submódulo 4.3]]</f>
        <v>326.9148060067439</v>
      </c>
      <c r="BG306" s="22">
        <f>VLOOKUP(tabCustoUnit[[#This Row],[Código do Posto]],tabParametros[],MATCH(tabCustoUnit[[#Headers],[Uniformes e EPIs]],tabParametros[#Headers],0),0)</f>
        <v>56.642978962543395</v>
      </c>
      <c r="BH306" s="22">
        <f>VLOOKUP(tabCustoUnit[[#This Row],[Código do Posto]],tabParametros[],MATCH(tabCustoUnit[[#Headers],[Materiais de Consumo]],tabParametros[#Headers],0),0)</f>
        <v>0</v>
      </c>
      <c r="BI306" s="22">
        <f>VLOOKUP(tabCustoUnit[[#This Row],[Código do Posto]],tabParametros[],MATCH(tabCustoUnit[[#Headers],[Máquinas e Equipamentos (depreciação)]],tabParametros[#Headers],0),0)</f>
        <v>0</v>
      </c>
      <c r="BJ306" s="22">
        <f>VLOOKUP(tabCustoUnit[[#This Row],[Código do Posto]],tabParametros[],MATCH(tabCustoUnit[[#Headers],[Produtos de Limpeza e Materiais de Higiene Pessoal]],tabParametros[#Headers],0),0)</f>
        <v>0</v>
      </c>
      <c r="BK306" s="22">
        <f>VLOOKUP(tabCustoUnit[[#This Row],[Código do Posto]],tabParametros[],MATCH(tabCustoUnit[[#Headers],[Outros (especificar)]],tabParametros[#Headers],0),0)</f>
        <v>0</v>
      </c>
      <c r="BL306" s="22">
        <f>SUM(tabCustoUnit[[#This Row],[Uniformes e EPIs]:[Outros (especificar)]])</f>
        <v>56.642978962543395</v>
      </c>
      <c r="BM30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6" s="22" t="e">
        <f ca="1">VLOOKUP(tabCustoUnit[[#This Row],[Código do Posto]],tabParametros[],MATCH(tabCustoUnit[[#Headers],[Custos Indiretos]],tabParametros[#Headers],0),0)</f>
        <v>#NAME?</v>
      </c>
      <c r="BO306" s="22" t="e">
        <f ca="1">VLOOKUP(tabCustoUnit[[#This Row],[Código do Posto]],tabParametros[],MATCH(tabCustoUnit[[#Headers],[Lucro]],tabParametros[#Headers],0),0)</f>
        <v>#NAME?</v>
      </c>
      <c r="BP306" s="26">
        <f>((100/((1-tabCustoUnit[[#This Row],[Resumo de Alíquotas (PIS+CONFINS+ISS)]]))-100)*VLOOKUP(tabCustoUnit[[#This Row],[Código do Posto]],tabParametros[],MATCH(tabCustoUnit[[#Headers],[COFINS]],tabParametros[#Headers],0),0))/(tabCustoUnit[[#This Row],[Resumo de Alíquotas (PIS+CONFINS+ISS)]]*100)</f>
        <v>8.5633802816901458E-2</v>
      </c>
      <c r="BQ306" s="26">
        <f>((100/((100-(tabCustoUnit[[#This Row],[Resumo de Alíquotas (PIS+CONFINS+ISS)]]*100))%)-100)*VLOOKUP(tabCustoUnit[[#This Row],[Código do Posto]],tabParametros[],MATCH(tabCustoUnit[[#Headers],[PIS]],tabParametros[#Headers],0),0))/(tabCustoUnit[[#This Row],[Resumo de Alíquotas (PIS+CONFINS+ISS)]]*100)</f>
        <v>1.8591549295774657E-2</v>
      </c>
      <c r="BR306" s="28">
        <f>VLOOKUP(tabCustoUnit[[#This Row],[Código do Posto]],tabParametros[],MATCH(tabCustoUnit[[#Headers],[ISS]],tabParametros[#Headers],0),0)</f>
        <v>0.02</v>
      </c>
      <c r="BS306" s="26">
        <f>(((100/((100-(tabCustoUnit[[#This Row],[Resumo de Alíquotas (PIS+CONFINS+ISS)]]*100))%)-100)*tabCustoUnit[[#This Row],[ISS]])/tabCustoUnit[[#This Row],[Resumo de Alíquotas (PIS+CONFINS+ISS)]])/100</f>
        <v>2.2535211267605645E-2</v>
      </c>
      <c r="BT30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06" s="138">
        <f>tabCustoUnit[[#This Row],[COFINS]]+tabCustoUnit[[#This Row],[PIS]]+tabCustoUnit[[#This Row],[ISS (Conversão Alíquota s/ fatura)]]</f>
        <v>0.12676056338028174</v>
      </c>
      <c r="BV306" s="22" t="e">
        <f ca="1">(tabCustoUnit[[#This Row],[TOTAL MÓDULOS 1+2+3+4+5]]+tabCustoUnit[[#This Row],[Custos Indiretos]]+tabCustoUnit[[#This Row],[Lucro]])*tabCustoUnit[[#This Row],[PIS + COFINS + ISS (Total Conversão  Alíquota s/ Fatura)]]</f>
        <v>#NAME?</v>
      </c>
      <c r="BW306" s="22" t="e">
        <f ca="1">tabCustoUnit[[#This Row],[Custos Indiretos]]+tabCustoUnit[[#This Row],[Lucro]]+tabCustoUnit[[#This Row],[Valor dos Tributos (ISS, PIS, CONFINS)]]</f>
        <v>#NAME?</v>
      </c>
      <c r="BX306" s="22" t="e">
        <f ca="1">tabCustoUnit[[#This Row],[TOTAL MÓDULOS 1+2+3+4+5]]+tabCustoUnit[[#This Row],[MÓDULO 6 – CUSTOS INDIRETOS, TRIBUTOS E LUCRO]]</f>
        <v>#NAME?</v>
      </c>
      <c r="BY306" s="22" t="e">
        <f ca="1">tabCustoUnit[[#This Row],[CUSTO TOTAL MENSAL]]*12</f>
        <v>#NAME?</v>
      </c>
      <c r="BZ306" s="24">
        <f>VLOOKUP(tabCustoUnit[[#This Row],[Código do Posto]],tabParametros[],MATCH(tabCustoUnit[[#Headers],[ANO DA CCT]],tabParametros[#Headers],0),0)</f>
        <v>45658</v>
      </c>
      <c r="CA306" s="25" t="str">
        <f>VLOOKUP(tabCustoUnit[[#This Row],[Código do Posto]],tabParametros[],MATCH(tabCustoUnit[[#Headers],[Nº DE PEDIDO DA CCT]],tabParametros[#Headers],0),0)</f>
        <v>-</v>
      </c>
      <c r="CB306" s="25" t="str">
        <f>VLOOKUP(tabCustoUnit[[#This Row],[Código do Posto]],tabParametros[],MATCH(tabCustoUnit[[#Headers],[TERMO ADITIVO ALTERAÇÃO DA CCT]],tabParametros[#Headers],0),0)</f>
        <v>-</v>
      </c>
    </row>
    <row r="307" spans="1:80">
      <c r="A307" s="20" t="s">
        <v>1720</v>
      </c>
      <c r="B307" t="s">
        <v>1210</v>
      </c>
      <c r="C307" t="s">
        <v>324</v>
      </c>
      <c r="D307" t="s">
        <v>1041</v>
      </c>
      <c r="E307" s="20" t="s">
        <v>1090</v>
      </c>
      <c r="F307" s="20" t="s">
        <v>120</v>
      </c>
      <c r="G307" s="418">
        <v>3397.1306</v>
      </c>
      <c r="H307" s="418">
        <v>0</v>
      </c>
      <c r="I307" s="418">
        <v>0</v>
      </c>
      <c r="J307" s="418">
        <v>0</v>
      </c>
      <c r="K307" s="418">
        <v>0</v>
      </c>
      <c r="L307" s="418">
        <v>0</v>
      </c>
      <c r="M307" s="418">
        <v>0</v>
      </c>
      <c r="N307" s="418">
        <v>0</v>
      </c>
      <c r="O307" s="21">
        <f>SUM(tabCustoUnit[[#This Row],[Salário Base]:[Adicional de Acúmulo de função]])</f>
        <v>3397.1306</v>
      </c>
      <c r="P307" s="21">
        <f>tabCustoUnit[[#This Row],[MODULO 1 - REMUNERAÇÃO ]]*SUMIFS(tabParametros[INSS],tabParametros[Código do Posto],tabCustoUnit[[#This Row],[Código do Posto]])</f>
        <v>679.42612000000008</v>
      </c>
      <c r="Q307" s="21">
        <f>tabCustoUnit[[#This Row],[MODULO 1 - REMUNERAÇÃO ]]*SUMIFS(tabParametros[SESI OU SESC],tabParametros[Código do Posto],tabCustoUnit[[#This Row],[Código do Posto]])</f>
        <v>50.956958999999998</v>
      </c>
      <c r="R307" s="21">
        <f>tabCustoUnit[[#This Row],[MODULO 1 - REMUNERAÇÃO ]]*SUMIFS(tabParametros[SENAI OU SENAC],tabParametros[Código do Posto],tabCustoUnit[[#This Row],[Código do Posto]])</f>
        <v>33.971305999999998</v>
      </c>
      <c r="S307" s="21">
        <f>tabCustoUnit[[#This Row],[MODULO 1 - REMUNERAÇÃO ]]*SUMIFS(tabParametros[INCRA],tabParametros[Código do Posto],tabCustoUnit[[#This Row],[Código do Posto]])</f>
        <v>6.7942612000000002</v>
      </c>
      <c r="T307" s="21">
        <f>tabCustoUnit[[#This Row],[MODULO 1 - REMUNERAÇÃO ]]*SUMIFS(tabParametros[Salário Educação],tabParametros[Código do Posto],tabCustoUnit[[#This Row],[Código do Posto]])</f>
        <v>84.92826500000001</v>
      </c>
      <c r="U307" s="21">
        <f>tabCustoUnit[[#This Row],[MODULO 1 - REMUNERAÇÃO ]]*SUMIFS(tabParametros[FGTS],tabParametros[Código do Posto],tabCustoUnit[[#This Row],[Código do Posto]])</f>
        <v>271.77044799999999</v>
      </c>
      <c r="V307" s="21">
        <f>tabCustoUnit[[#This Row],[MODULO 1 - REMUNERAÇÃO ]]*SUMIFS(tabParametros[RAT Ajustado],tabParametros[Código do Posto],tabCustoUnit[[#This Row],[Código do Posto]])</f>
        <v>135.88522399999999</v>
      </c>
      <c r="W307" s="21">
        <f>tabCustoUnit[[#This Row],[MODULO 1 - REMUNERAÇÃO ]]*SUMIFS(tabParametros[SEBRAE],tabParametros[Código do Posto],tabCustoUnit[[#This Row],[Código do Posto]])</f>
        <v>20.3827836</v>
      </c>
      <c r="X307" s="21">
        <f>SUM(tabCustoUnit[[#This Row],[INSS]:[SEBRAE]])</f>
        <v>1284.1153668000002</v>
      </c>
      <c r="Y307" s="21">
        <f>tabCustoUnit[[#This Row],[MODULO 1 - REMUNERAÇÃO ]]*SUMIFS(tabParametros[13º salário (titular)],tabParametros[Código do Posto],tabCustoUnit[[#This Row],[Código do Posto]])</f>
        <v>283.09421666666663</v>
      </c>
      <c r="Z307" s="21">
        <f>tabCustoUnit[[#This Row],[MODULO 1 - REMUNERAÇÃO ]]*SUMIFS(tabParametros[Férias e Adicional de Férias (titular)],tabParametros[Código do Posto],tabCustoUnit[[#This Row],[Código do Posto]])</f>
        <v>377.45895555555552</v>
      </c>
      <c r="AA307" s="21">
        <f>IFERROR((tabCustoUnit[[#This Row],[Submódulo 2.1]]/tabCustoUnit[[#This Row],[MODULO 1 - REMUNERAÇÃO ]])*SUM(tabCustoUnit[[#This Row],[13º salário (titular)]:[Férias e Adicional de Férias (titular)]]),0)</f>
        <v>249.68909910000002</v>
      </c>
      <c r="AB307" s="21">
        <f>SUM(tabCustoUnit[[#This Row],[13º salário (titular)]:[Incidência do Submódulo 2.1 sobre 13º Salário, Férias e Adicional de Férias]])</f>
        <v>910.24227132222222</v>
      </c>
      <c r="AC307" s="22" t="e">
        <f ca="1">_xlfn.LET(_xlpm.VT,SUMIF(tabParametros[Código do Posto],tabCustoUnit[[#This Row],[Código do Posto]],tabParametros[Vale - Transporte])*2*20,
IF((_xlpm.VT-tabCustoUnit[[#This Row],[Salário Base]]*0.06)&gt;=0,(_xlpm.VT-tabCustoUnit[[#This Row],[Salário Base]]*0.06),0)
)</f>
        <v>#NAME?</v>
      </c>
      <c r="AD307" s="22">
        <f>IF(SUMIF(tabParametros[Código do Posto],tabCustoUnit[[#This Row],[Código do Posto]],tabParametros[Vale - Alimentação])&lt;=0,0,
SUMIF(tabParametros[Código do Posto],tabCustoUnit[[#This Row],[Código do Posto]],tabParametros[Vale - Alimentação])*20-1)</f>
        <v>582</v>
      </c>
      <c r="AE307" s="22">
        <f>SUMIF(tabParametros[Código do Posto],tabCustoUnit[[#This Row],[Código do Posto]],tabParametros[Cesta Básica])</f>
        <v>0</v>
      </c>
      <c r="AF307" s="22">
        <f>SUMIF(tabParametros[Código do Posto],tabCustoUnit[[#This Row],[Código do Posto]],tabParametros[PAF])</f>
        <v>51.86</v>
      </c>
      <c r="AG307" s="22">
        <f>SUMIF(tabParametros[Código do Posto],tabCustoUnit[[#This Row],[Código do Posto]],tabParametros[PQM])</f>
        <v>0</v>
      </c>
      <c r="AH307" s="22">
        <f>SUMIF(tabParametros[Código do Posto],tabCustoUnit[[#This Row],[Código do Posto]],tabParametros[Abono Único e Especial])</f>
        <v>0</v>
      </c>
      <c r="AI307" s="22">
        <f>SUMIF(tabParametros[Código do Posto],tabCustoUnit[[#This Row],[Código do Posto]],tabParametros[Seguro de Vida])</f>
        <v>3.36</v>
      </c>
      <c r="AJ307" s="22">
        <f>SUMIF(tabParametros[Código do Posto],tabCustoUnit[[#This Row],[Código do Posto]],tabParametros[Despesas de Viagem])</f>
        <v>0</v>
      </c>
      <c r="AK307" s="22" t="e">
        <f ca="1">SUM(tabCustoUnit[[#This Row],[Vale - Transporte (Descontada parcela do empregado)]:[Despesas de Viagem]])</f>
        <v>#NAME?</v>
      </c>
      <c r="AL307" s="22" t="e">
        <f ca="1">tabCustoUnit[[#This Row],[Submódulo 2.1]]+tabCustoUnit[[#This Row],[Submódulo 2.2]]+tabCustoUnit[[#This Row],[Submódulo 2.3]]</f>
        <v>#NAME?</v>
      </c>
      <c r="AM307" s="22">
        <f>SUMIF(tabParametros[Código do Posto],tabCustoUnit[[#This Row],[Código do Posto]],tabParametros[Aviso Prévio Indenizado (API) e Reflexo do Aviso Prévio Indenizado])*tabCustoUnit[[#This Row],[MODULO 1 - REMUNERAÇÃO ]]</f>
        <v>23.819888151890432</v>
      </c>
      <c r="AN307" s="22">
        <f>SUMIF(tabParametros[Código do Posto],tabCustoUnit[[#This Row],[Código do Posto]],tabParametros[Incidência do FGTS sobre API e Reflexo do API])*tabCustoUnit[[#This Row],[MODULO 1 - REMUNERAÇÃO ]]</f>
        <v>1.9055910521512347</v>
      </c>
      <c r="AO307" s="22">
        <f>SUMIF(tabParametros[Código do Posto],tabCustoUnit[[#This Row],[Código do Posto]],tabParametros[Multa Rescisória do FGTS sobre o Aviso Prévio Indenizado])*tabCustoUnit[[#This Row],[MODULO 1 - REMUNERAÇÃO ]]</f>
        <v>0.76223642086049392</v>
      </c>
      <c r="AP307" s="22">
        <f>SUMIF(tabParametros[Código do Posto],tabCustoUnit[[#This Row],[Código do Posto]],tabParametros[Aviso Prévio Trabalhado - APT])*tabCustoUnit[[#This Row],[MODULO 1 - REMUNERAÇÃO ]]</f>
        <v>11.889957100000002</v>
      </c>
      <c r="AQ307" s="22">
        <f>SUMIF(tabParametros[Código do Posto],tabCustoUnit[[#This Row],[Código do Posto]],tabParametros[Incidência dos encargos do submódulo 2.1 sobre Aviso Prévio Trabalhado])*tabCustoUnit[[#This Row],[MODULO 1 - REMUNERAÇÃO ]]</f>
        <v>4.4944037838000011</v>
      </c>
      <c r="AR307" s="22">
        <f>SUMIF(tabParametros[Código do Posto],tabCustoUnit[[#This Row],[Código do Posto]],tabParametros[Multa Rescisória do FGTS])*tabCustoUnit[[#This Row],[MODULO 1 - REMUNERAÇÃO ]]</f>
        <v>103.87670456888887</v>
      </c>
      <c r="AS307" s="22">
        <f>SUMIF(tabParametros[Código do Posto],tabCustoUnit[[#This Row],[Código do Posto]],tabParametros[Indenização Adicional (Art. 9º da Lei nº 7.238/84)])*tabCustoUnit[[#This Row],[MODULO 1 - REMUNERAÇÃO ]]</f>
        <v>2.830942166666667</v>
      </c>
      <c r="AT307" s="22">
        <f>SUM(tabCustoUnit[[#This Row],[Aviso Prévio Indenizado (API) e Reflexo do Aviso Prévio Indenizado]:[Indenização Adicional (Art. 9º da Lei nº 7.238/84)]])</f>
        <v>149.57972324425771</v>
      </c>
      <c r="AU307" s="22">
        <f>SUMIF(tabParametros[Código do Posto],tabCustoUnit[[#This Row],[Código do Posto]],tabParametros[Ausência por Doença])*tabCustoUnit[[#This Row],[MODULO 1 - REMUNERAÇÃO ]]</f>
        <v>28.686880622222219</v>
      </c>
      <c r="AV307" s="22">
        <f>SUMIF(tabParametros[Código do Posto],tabCustoUnit[[#This Row],[Código do Posto]],tabParametros[Ausências Legais])*tabCustoUnit[[#This Row],[MODULO 1 - REMUNERAÇÃO ]]</f>
        <v>6.8886259388888886</v>
      </c>
      <c r="AW307" s="22">
        <f>SUMIF(tabParametros[Código do Posto],tabCustoUnit[[#This Row],[Código do Posto]],tabParametros[Licença Paternidade])*tabCustoUnit[[#This Row],[MODULO 1 - REMUNERAÇÃO ]]</f>
        <v>0.58034314416666666</v>
      </c>
      <c r="AX307" s="22">
        <f>SUMIF(tabParametros[Código do Posto],tabCustoUnit[[#This Row],[Código do Posto]],tabParametros[Ausência por Acidente de Trabalho])*tabCustoUnit[[#This Row],[MODULO 1 - REMUNERAÇÃO ]]</f>
        <v>0.70773554166666675</v>
      </c>
      <c r="AY307" s="22">
        <f>SUMIF(tabParametros[Código do Posto],tabCustoUnit[[#This Row],[Código do Posto]],tabParametros[Férias, Adicional de Férias e 13º  com empregada em gozo de Licença Maternidade])*tabCustoUnit[[#This Row],[MODULO 1 - REMUNERAÇÃO ]]</f>
        <v>4.4036878148148144</v>
      </c>
      <c r="AZ307" s="22">
        <f>SUMIF(tabParametros[Código do Posto],tabCustoUnit[[#This Row],[Código do Posto]],tabParametros[Incidência do Submódulo 2.1 sobre Ausências Legais])*tabCustoUnit[[#This Row],[MODULO 1 - REMUNERAÇÃO ]]</f>
        <v>15.599029217345002</v>
      </c>
      <c r="BA307" s="22">
        <f>SUM(tabCustoUnit[[#This Row],[Ausência por Doença]:[Incidência do Submódulo 2.1 sobre Ausências Legais]])</f>
        <v>56.866302279104261</v>
      </c>
      <c r="BB307" s="22">
        <f>SUMIF(tabParametros[Código do Posto],tabCustoUnit[[#This Row],[Código do Posto]],tabParametros[Intervalo para Repouso ou Alimentação])</f>
        <v>0</v>
      </c>
      <c r="BC307" s="22">
        <f>tabCustoUnit[[#This Row],[Intervalo para Repouso ou Alimentação]]</f>
        <v>0</v>
      </c>
      <c r="BD30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7" s="22">
        <f>tabCustoUnit[[#This Row],[Suspensão Temporária do Contrato de Trabalho]]</f>
        <v>0</v>
      </c>
      <c r="BF307" s="22">
        <f>tabCustoUnit[[#This Row],[Submódulo 4.1]]+tabCustoUnit[[#This Row],[Submódulo 4.2]]+tabCustoUnit[[#This Row],[Submódulo 4.3]]</f>
        <v>56.866302279104261</v>
      </c>
      <c r="BG307" s="22">
        <f>VLOOKUP(tabCustoUnit[[#This Row],[Código do Posto]],tabParametros[],MATCH(tabCustoUnit[[#Headers],[Uniformes e EPIs]],tabParametros[#Headers],0),0)</f>
        <v>56.642978962543395</v>
      </c>
      <c r="BH307" s="22">
        <f>VLOOKUP(tabCustoUnit[[#This Row],[Código do Posto]],tabParametros[],MATCH(tabCustoUnit[[#Headers],[Materiais de Consumo]],tabParametros[#Headers],0),0)</f>
        <v>0</v>
      </c>
      <c r="BI307" s="22">
        <f>VLOOKUP(tabCustoUnit[[#This Row],[Código do Posto]],tabParametros[],MATCH(tabCustoUnit[[#Headers],[Máquinas e Equipamentos (depreciação)]],tabParametros[#Headers],0),0)</f>
        <v>0</v>
      </c>
      <c r="BJ307" s="22">
        <f>VLOOKUP(tabCustoUnit[[#This Row],[Código do Posto]],tabParametros[],MATCH(tabCustoUnit[[#Headers],[Produtos de Limpeza e Materiais de Higiene Pessoal]],tabParametros[#Headers],0),0)</f>
        <v>0</v>
      </c>
      <c r="BK307" s="22">
        <f>VLOOKUP(tabCustoUnit[[#This Row],[Código do Posto]],tabParametros[],MATCH(tabCustoUnit[[#Headers],[Outros (especificar)]],tabParametros[#Headers],0),0)</f>
        <v>0</v>
      </c>
      <c r="BL307" s="22">
        <f>SUM(tabCustoUnit[[#This Row],[Uniformes e EPIs]:[Outros (especificar)]])</f>
        <v>56.642978962543395</v>
      </c>
      <c r="BM30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7" s="22" t="e">
        <f ca="1">VLOOKUP(tabCustoUnit[[#This Row],[Código do Posto]],tabParametros[],MATCH(tabCustoUnit[[#Headers],[Custos Indiretos]],tabParametros[#Headers],0),0)</f>
        <v>#NAME?</v>
      </c>
      <c r="BO307" s="22" t="e">
        <f ca="1">VLOOKUP(tabCustoUnit[[#This Row],[Código do Posto]],tabParametros[],MATCH(tabCustoUnit[[#Headers],[Lucro]],tabParametros[#Headers],0),0)</f>
        <v>#NAME?</v>
      </c>
      <c r="BP307" s="26">
        <f>((100/((1-tabCustoUnit[[#This Row],[Resumo de Alíquotas (PIS+CONFINS+ISS)]]))-100)*VLOOKUP(tabCustoUnit[[#This Row],[Código do Posto]],tabParametros[],MATCH(tabCustoUnit[[#Headers],[COFINS]],tabParametros[#Headers],0),0))/(tabCustoUnit[[#This Row],[Resumo de Alíquotas (PIS+CONFINS+ISS)]]*100)</f>
        <v>8.6609686609686695E-2</v>
      </c>
      <c r="BQ307" s="26">
        <f>((100/((100-(tabCustoUnit[[#This Row],[Resumo de Alíquotas (PIS+CONFINS+ISS)]]*100))%)-100)*VLOOKUP(tabCustoUnit[[#This Row],[Código do Posto]],tabParametros[],MATCH(tabCustoUnit[[#Headers],[PIS]],tabParametros[#Headers],0),0))/(tabCustoUnit[[#This Row],[Resumo de Alíquotas (PIS+CONFINS+ISS)]]*100)</f>
        <v>1.880341880341882E-2</v>
      </c>
      <c r="BR307" s="28">
        <f>VLOOKUP(tabCustoUnit[[#This Row],[Código do Posto]],tabParametros[],MATCH(tabCustoUnit[[#Headers],[ISS]],tabParametros[#Headers],0),0)</f>
        <v>0.03</v>
      </c>
      <c r="BS307" s="26">
        <f>(((100/((100-(tabCustoUnit[[#This Row],[Resumo de Alíquotas (PIS+CONFINS+ISS)]]*100))%)-100)*tabCustoUnit[[#This Row],[ISS]])/tabCustoUnit[[#This Row],[Resumo de Alíquotas (PIS+CONFINS+ISS)]])/100</f>
        <v>3.4188034188034219E-2</v>
      </c>
      <c r="BT30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07" s="138">
        <f>tabCustoUnit[[#This Row],[COFINS]]+tabCustoUnit[[#This Row],[PIS]]+tabCustoUnit[[#This Row],[ISS (Conversão Alíquota s/ fatura)]]</f>
        <v>0.13960113960113973</v>
      </c>
      <c r="BV307" s="22" t="e">
        <f ca="1">(tabCustoUnit[[#This Row],[TOTAL MÓDULOS 1+2+3+4+5]]+tabCustoUnit[[#This Row],[Custos Indiretos]]+tabCustoUnit[[#This Row],[Lucro]])*tabCustoUnit[[#This Row],[PIS + COFINS + ISS (Total Conversão  Alíquota s/ Fatura)]]</f>
        <v>#NAME?</v>
      </c>
      <c r="BW307" s="22" t="e">
        <f ca="1">tabCustoUnit[[#This Row],[Custos Indiretos]]+tabCustoUnit[[#This Row],[Lucro]]+tabCustoUnit[[#This Row],[Valor dos Tributos (ISS, PIS, CONFINS)]]</f>
        <v>#NAME?</v>
      </c>
      <c r="BX307" s="22" t="e">
        <f ca="1">tabCustoUnit[[#This Row],[TOTAL MÓDULOS 1+2+3+4+5]]+tabCustoUnit[[#This Row],[MÓDULO 6 – CUSTOS INDIRETOS, TRIBUTOS E LUCRO]]</f>
        <v>#NAME?</v>
      </c>
      <c r="BY307" s="22" t="e">
        <f ca="1">tabCustoUnit[[#This Row],[CUSTO TOTAL MENSAL]]*12</f>
        <v>#NAME?</v>
      </c>
      <c r="BZ307" s="24">
        <f>VLOOKUP(tabCustoUnit[[#This Row],[Código do Posto]],tabParametros[],MATCH(tabCustoUnit[[#Headers],[ANO DA CCT]],tabParametros[#Headers],0),0)</f>
        <v>45658</v>
      </c>
      <c r="CA307" s="25" t="str">
        <f>VLOOKUP(tabCustoUnit[[#This Row],[Código do Posto]],tabParametros[],MATCH(tabCustoUnit[[#Headers],[Nº DE PEDIDO DA CCT]],tabParametros[#Headers],0),0)</f>
        <v>-</v>
      </c>
      <c r="CB307" s="25" t="str">
        <f>VLOOKUP(tabCustoUnit[[#This Row],[Código do Posto]],tabParametros[],MATCH(tabCustoUnit[[#Headers],[TERMO ADITIVO ALTERAÇÃO DA CCT]],tabParametros[#Headers],0),0)</f>
        <v>-</v>
      </c>
    </row>
    <row r="308" spans="1:80">
      <c r="A308" s="20" t="s">
        <v>1721</v>
      </c>
      <c r="B308" t="s">
        <v>1211</v>
      </c>
      <c r="C308" t="s">
        <v>314</v>
      </c>
      <c r="D308" t="s">
        <v>954</v>
      </c>
      <c r="E308" s="20" t="s">
        <v>1090</v>
      </c>
      <c r="F308" s="20" t="s">
        <v>120</v>
      </c>
      <c r="G308" s="418">
        <v>1963.4110000000001</v>
      </c>
      <c r="H308" s="418">
        <v>0</v>
      </c>
      <c r="I308" s="418">
        <v>0</v>
      </c>
      <c r="J308" s="418">
        <v>0</v>
      </c>
      <c r="K308" s="418">
        <v>0</v>
      </c>
      <c r="L308" s="418">
        <v>0</v>
      </c>
      <c r="M308" s="418">
        <v>0</v>
      </c>
      <c r="N308" s="418">
        <v>0</v>
      </c>
      <c r="O308" s="21">
        <f>SUM(tabCustoUnit[[#This Row],[Salário Base]:[Adicional de Acúmulo de função]])</f>
        <v>1963.4110000000001</v>
      </c>
      <c r="P308" s="21">
        <f>tabCustoUnit[[#This Row],[MODULO 1 - REMUNERAÇÃO ]]*SUMIFS(tabParametros[INSS],tabParametros[Código do Posto],tabCustoUnit[[#This Row],[Código do Posto]])</f>
        <v>392.68220000000002</v>
      </c>
      <c r="Q308" s="21">
        <f>tabCustoUnit[[#This Row],[MODULO 1 - REMUNERAÇÃO ]]*SUMIFS(tabParametros[SESI OU SESC],tabParametros[Código do Posto],tabCustoUnit[[#This Row],[Código do Posto]])</f>
        <v>29.451165</v>
      </c>
      <c r="R308" s="21">
        <f>tabCustoUnit[[#This Row],[MODULO 1 - REMUNERAÇÃO ]]*SUMIFS(tabParametros[SENAI OU SENAC],tabParametros[Código do Posto],tabCustoUnit[[#This Row],[Código do Posto]])</f>
        <v>19.63411</v>
      </c>
      <c r="S308" s="21">
        <f>tabCustoUnit[[#This Row],[MODULO 1 - REMUNERAÇÃO ]]*SUMIFS(tabParametros[INCRA],tabParametros[Código do Posto],tabCustoUnit[[#This Row],[Código do Posto]])</f>
        <v>3.926822</v>
      </c>
      <c r="T308" s="21">
        <f>tabCustoUnit[[#This Row],[MODULO 1 - REMUNERAÇÃO ]]*SUMIFS(tabParametros[Salário Educação],tabParametros[Código do Posto],tabCustoUnit[[#This Row],[Código do Posto]])</f>
        <v>49.085275000000003</v>
      </c>
      <c r="U308" s="21">
        <f>tabCustoUnit[[#This Row],[MODULO 1 - REMUNERAÇÃO ]]*SUMIFS(tabParametros[FGTS],tabParametros[Código do Posto],tabCustoUnit[[#This Row],[Código do Posto]])</f>
        <v>157.07288</v>
      </c>
      <c r="V308" s="21">
        <f>tabCustoUnit[[#This Row],[MODULO 1 - REMUNERAÇÃO ]]*SUMIFS(tabParametros[RAT Ajustado],tabParametros[Código do Posto],tabCustoUnit[[#This Row],[Código do Posto]])</f>
        <v>78.536439999999999</v>
      </c>
      <c r="W308" s="21">
        <f>tabCustoUnit[[#This Row],[MODULO 1 - REMUNERAÇÃO ]]*SUMIFS(tabParametros[SEBRAE],tabParametros[Código do Posto],tabCustoUnit[[#This Row],[Código do Posto]])</f>
        <v>11.780466000000001</v>
      </c>
      <c r="X308" s="21">
        <f>SUM(tabCustoUnit[[#This Row],[INSS]:[SEBRAE]])</f>
        <v>742.1693580000001</v>
      </c>
      <c r="Y308" s="21">
        <f>tabCustoUnit[[#This Row],[MODULO 1 - REMUNERAÇÃO ]]*SUMIFS(tabParametros[13º salário (titular)],tabParametros[Código do Posto],tabCustoUnit[[#This Row],[Código do Posto]])</f>
        <v>163.61758333333333</v>
      </c>
      <c r="Z308" s="21">
        <f>tabCustoUnit[[#This Row],[MODULO 1 - REMUNERAÇÃO ]]*SUMIFS(tabParametros[Férias e Adicional de Férias (titular)],tabParametros[Código do Posto],tabCustoUnit[[#This Row],[Código do Posto]])</f>
        <v>218.15677777777776</v>
      </c>
      <c r="AA308" s="21">
        <f>IFERROR((tabCustoUnit[[#This Row],[Submódulo 2.1]]/tabCustoUnit[[#This Row],[MODULO 1 - REMUNERAÇÃO ]])*SUM(tabCustoUnit[[#This Row],[13º salário (titular)]:[Férias e Adicional de Férias (titular)]]),0)</f>
        <v>144.3107085</v>
      </c>
      <c r="AB308" s="21">
        <f>SUM(tabCustoUnit[[#This Row],[13º salário (titular)]:[Incidência do Submódulo 2.1 sobre 13º Salário, Férias e Adicional de Férias]])</f>
        <v>526.08506961111107</v>
      </c>
      <c r="AC308" s="22" t="e">
        <f ca="1">_xlfn.LET(_xlpm.VT,SUMIF(tabParametros[Código do Posto],tabCustoUnit[[#This Row],[Código do Posto]],tabParametros[Vale - Transporte])*2*20,
IF((_xlpm.VT-tabCustoUnit[[#This Row],[Salário Base]]*0.06)&gt;=0,(_xlpm.VT-tabCustoUnit[[#This Row],[Salário Base]]*0.06),0)
)</f>
        <v>#NAME?</v>
      </c>
      <c r="AD308" s="22">
        <f>IF(SUMIF(tabParametros[Código do Posto],tabCustoUnit[[#This Row],[Código do Posto]],tabParametros[Vale - Alimentação])&lt;=0,0,
SUMIF(tabParametros[Código do Posto],tabCustoUnit[[#This Row],[Código do Posto]],tabParametros[Vale - Alimentação])*20-1)</f>
        <v>582</v>
      </c>
      <c r="AE308" s="22">
        <f>SUMIF(tabParametros[Código do Posto],tabCustoUnit[[#This Row],[Código do Posto]],tabParametros[Cesta Básica])</f>
        <v>0</v>
      </c>
      <c r="AF308" s="22">
        <f>SUMIF(tabParametros[Código do Posto],tabCustoUnit[[#This Row],[Código do Posto]],tabParametros[PAF])</f>
        <v>51.88</v>
      </c>
      <c r="AG308" s="22">
        <f>SUMIF(tabParametros[Código do Posto],tabCustoUnit[[#This Row],[Código do Posto]],tabParametros[PQM])</f>
        <v>0</v>
      </c>
      <c r="AH308" s="22">
        <f>SUMIF(tabParametros[Código do Posto],tabCustoUnit[[#This Row],[Código do Posto]],tabParametros[Abono Único e Especial])</f>
        <v>0</v>
      </c>
      <c r="AI308" s="22">
        <f>SUMIF(tabParametros[Código do Posto],tabCustoUnit[[#This Row],[Código do Posto]],tabParametros[Seguro de Vida])</f>
        <v>3.36</v>
      </c>
      <c r="AJ308" s="22">
        <f>SUMIF(tabParametros[Código do Posto],tabCustoUnit[[#This Row],[Código do Posto]],tabParametros[Despesas de Viagem])</f>
        <v>0</v>
      </c>
      <c r="AK308" s="22" t="e">
        <f ca="1">SUM(tabCustoUnit[[#This Row],[Vale - Transporte (Descontada parcela do empregado)]:[Despesas de Viagem]])</f>
        <v>#NAME?</v>
      </c>
      <c r="AL308" s="22" t="e">
        <f ca="1">tabCustoUnit[[#This Row],[Submódulo 2.1]]+tabCustoUnit[[#This Row],[Submódulo 2.2]]+tabCustoUnit[[#This Row],[Submódulo 2.3]]</f>
        <v>#NAME?</v>
      </c>
      <c r="AM308" s="22">
        <f>SUMIF(tabParametros[Código do Posto],tabCustoUnit[[#This Row],[Código do Posto]],tabParametros[Aviso Prévio Indenizado (API) e Reflexo do Aviso Prévio Indenizado])*tabCustoUnit[[#This Row],[MODULO 1 - REMUNERAÇÃO ]]</f>
        <v>13.766980408757716</v>
      </c>
      <c r="AN308" s="22">
        <f>SUMIF(tabParametros[Código do Posto],tabCustoUnit[[#This Row],[Código do Posto]],tabParametros[Incidência do FGTS sobre API e Reflexo do API])*tabCustoUnit[[#This Row],[MODULO 1 - REMUNERAÇÃO ]]</f>
        <v>1.1013584327006174</v>
      </c>
      <c r="AO308" s="22">
        <f>SUMIF(tabParametros[Código do Posto],tabCustoUnit[[#This Row],[Código do Posto]],tabParametros[Multa Rescisória do FGTS sobre o Aviso Prévio Indenizado])*tabCustoUnit[[#This Row],[MODULO 1 - REMUNERAÇÃO ]]</f>
        <v>0.44054337308024699</v>
      </c>
      <c r="AP308" s="22">
        <f>SUMIF(tabParametros[Código do Posto],tabCustoUnit[[#This Row],[Código do Posto]],tabParametros[Aviso Prévio Trabalhado - APT])*tabCustoUnit[[#This Row],[MODULO 1 - REMUNERAÇÃO ]]</f>
        <v>6.8719385000000015</v>
      </c>
      <c r="AQ308" s="22">
        <f>SUMIF(tabParametros[Código do Posto],tabCustoUnit[[#This Row],[Código do Posto]],tabParametros[Incidência dos encargos do submódulo 2.1 sobre Aviso Prévio Trabalhado])*tabCustoUnit[[#This Row],[MODULO 1 - REMUNERAÇÃO ]]</f>
        <v>2.5975927530000007</v>
      </c>
      <c r="AR308" s="22">
        <f>SUMIF(tabParametros[Código do Posto],tabCustoUnit[[#This Row],[Código do Posto]],tabParametros[Multa Rescisória do FGTS])*tabCustoUnit[[#This Row],[MODULO 1 - REMUNERAÇÃO ]]</f>
        <v>60.03674524444444</v>
      </c>
      <c r="AS308" s="22">
        <f>SUMIF(tabParametros[Código do Posto],tabCustoUnit[[#This Row],[Código do Posto]],tabParametros[Indenização Adicional (Art. 9º da Lei nº 7.238/84)])*tabCustoUnit[[#This Row],[MODULO 1 - REMUNERAÇÃO ]]</f>
        <v>1.6361758333333334</v>
      </c>
      <c r="AT308" s="22">
        <f>SUM(tabCustoUnit[[#This Row],[Aviso Prévio Indenizado (API) e Reflexo do Aviso Prévio Indenizado]:[Indenização Adicional (Art. 9º da Lei nº 7.238/84)]])</f>
        <v>86.451334545316371</v>
      </c>
      <c r="AU308" s="22">
        <f>SUMIF(tabParametros[Código do Posto],tabCustoUnit[[#This Row],[Código do Posto]],tabParametros[Ausência por Doença])*tabCustoUnit[[#This Row],[MODULO 1 - REMUNERAÇÃO ]]</f>
        <v>16.579915111111109</v>
      </c>
      <c r="AV308" s="22">
        <f>SUMIF(tabParametros[Código do Posto],tabCustoUnit[[#This Row],[Código do Posto]],tabParametros[Ausências Legais])*tabCustoUnit[[#This Row],[MODULO 1 - REMUNERAÇÃO ]]</f>
        <v>3.9813611944444443</v>
      </c>
      <c r="AW308" s="22">
        <f>SUMIF(tabParametros[Código do Posto],tabCustoUnit[[#This Row],[Código do Posto]],tabParametros[Licença Paternidade])*tabCustoUnit[[#This Row],[MODULO 1 - REMUNERAÇÃO ]]</f>
        <v>0.33541604583333334</v>
      </c>
      <c r="AX308" s="22">
        <f>SUMIF(tabParametros[Código do Posto],tabCustoUnit[[#This Row],[Código do Posto]],tabParametros[Ausência por Acidente de Trabalho])*tabCustoUnit[[#This Row],[MODULO 1 - REMUNERAÇÃO ]]</f>
        <v>0.40904395833333335</v>
      </c>
      <c r="AY308" s="22">
        <f>SUMIF(tabParametros[Código do Posto],tabCustoUnit[[#This Row],[Código do Posto]],tabParametros[Férias, Adicional de Férias e 13º  com empregada em gozo de Licença Maternidade])*tabCustoUnit[[#This Row],[MODULO 1 - REMUNERAÇÃO ]]</f>
        <v>2.5451624074074073</v>
      </c>
      <c r="AZ308" s="22">
        <f>SUMIF(tabParametros[Código do Posto],tabCustoUnit[[#This Row],[Código do Posto]],tabParametros[Incidência do Submódulo 2.1 sobre Ausências Legais])*tabCustoUnit[[#This Row],[MODULO 1 - REMUNERAÇÃO ]]</f>
        <v>9.0156397150750021</v>
      </c>
      <c r="BA308" s="22">
        <f>SUM(tabCustoUnit[[#This Row],[Ausência por Doença]:[Incidência do Submódulo 2.1 sobre Ausências Legais]])</f>
        <v>32.866538432204628</v>
      </c>
      <c r="BB308" s="22">
        <f>SUMIF(tabParametros[Código do Posto],tabCustoUnit[[#This Row],[Código do Posto]],tabParametros[Intervalo para Repouso ou Alimentação])</f>
        <v>267.73786489195959</v>
      </c>
      <c r="BC308" s="22">
        <f>tabCustoUnit[[#This Row],[Intervalo para Repouso ou Alimentação]]</f>
        <v>267.73786489195959</v>
      </c>
      <c r="BD30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8" s="22">
        <f>tabCustoUnit[[#This Row],[Suspensão Temporária do Contrato de Trabalho]]</f>
        <v>0</v>
      </c>
      <c r="BF308" s="22">
        <f>tabCustoUnit[[#This Row],[Submódulo 4.1]]+tabCustoUnit[[#This Row],[Submódulo 4.2]]+tabCustoUnit[[#This Row],[Submódulo 4.3]]</f>
        <v>300.6044033241642</v>
      </c>
      <c r="BG308" s="22">
        <f>VLOOKUP(tabCustoUnit[[#This Row],[Código do Posto]],tabParametros[],MATCH(tabCustoUnit[[#Headers],[Uniformes e EPIs]],tabParametros[#Headers],0),0)</f>
        <v>56.642978962543395</v>
      </c>
      <c r="BH308" s="22">
        <f>VLOOKUP(tabCustoUnit[[#This Row],[Código do Posto]],tabParametros[],MATCH(tabCustoUnit[[#Headers],[Materiais de Consumo]],tabParametros[#Headers],0),0)</f>
        <v>0</v>
      </c>
      <c r="BI308" s="22">
        <f>VLOOKUP(tabCustoUnit[[#This Row],[Código do Posto]],tabParametros[],MATCH(tabCustoUnit[[#Headers],[Máquinas e Equipamentos (depreciação)]],tabParametros[#Headers],0),0)</f>
        <v>0</v>
      </c>
      <c r="BJ308" s="22">
        <f>VLOOKUP(tabCustoUnit[[#This Row],[Código do Posto]],tabParametros[],MATCH(tabCustoUnit[[#Headers],[Produtos de Limpeza e Materiais de Higiene Pessoal]],tabParametros[#Headers],0),0)</f>
        <v>0</v>
      </c>
      <c r="BK308" s="22">
        <f>VLOOKUP(tabCustoUnit[[#This Row],[Código do Posto]],tabParametros[],MATCH(tabCustoUnit[[#Headers],[Outros (especificar)]],tabParametros[#Headers],0),0)</f>
        <v>0</v>
      </c>
      <c r="BL308" s="22">
        <f>SUM(tabCustoUnit[[#This Row],[Uniformes e EPIs]:[Outros (especificar)]])</f>
        <v>56.642978962543395</v>
      </c>
      <c r="BM30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8" s="22" t="e">
        <f ca="1">VLOOKUP(tabCustoUnit[[#This Row],[Código do Posto]],tabParametros[],MATCH(tabCustoUnit[[#Headers],[Custos Indiretos]],tabParametros[#Headers],0),0)</f>
        <v>#NAME?</v>
      </c>
      <c r="BO308" s="22" t="e">
        <f ca="1">VLOOKUP(tabCustoUnit[[#This Row],[Código do Posto]],tabParametros[],MATCH(tabCustoUnit[[#Headers],[Lucro]],tabParametros[#Headers],0),0)</f>
        <v>#NAME?</v>
      </c>
      <c r="BP308" s="26">
        <f>((100/((1-tabCustoUnit[[#This Row],[Resumo de Alíquotas (PIS+CONFINS+ISS)]]))-100)*VLOOKUP(tabCustoUnit[[#This Row],[Código do Posto]],tabParametros[],MATCH(tabCustoUnit[[#Headers],[COFINS]],tabParametros[#Headers],0),0))/(tabCustoUnit[[#This Row],[Resumo de Alíquotas (PIS+CONFINS+ISS)]]*100)</f>
        <v>8.6609686609686695E-2</v>
      </c>
      <c r="BQ308" s="26">
        <f>((100/((100-(tabCustoUnit[[#This Row],[Resumo de Alíquotas (PIS+CONFINS+ISS)]]*100))%)-100)*VLOOKUP(tabCustoUnit[[#This Row],[Código do Posto]],tabParametros[],MATCH(tabCustoUnit[[#Headers],[PIS]],tabParametros[#Headers],0),0))/(tabCustoUnit[[#This Row],[Resumo de Alíquotas (PIS+CONFINS+ISS)]]*100)</f>
        <v>1.880341880341882E-2</v>
      </c>
      <c r="BR308" s="28">
        <f>VLOOKUP(tabCustoUnit[[#This Row],[Código do Posto]],tabParametros[],MATCH(tabCustoUnit[[#Headers],[ISS]],tabParametros[#Headers],0),0)</f>
        <v>0.03</v>
      </c>
      <c r="BS308" s="26">
        <f>(((100/((100-(tabCustoUnit[[#This Row],[Resumo de Alíquotas (PIS+CONFINS+ISS)]]*100))%)-100)*tabCustoUnit[[#This Row],[ISS]])/tabCustoUnit[[#This Row],[Resumo de Alíquotas (PIS+CONFINS+ISS)]])/100</f>
        <v>3.4188034188034219E-2</v>
      </c>
      <c r="BT30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08" s="138">
        <f>tabCustoUnit[[#This Row],[COFINS]]+tabCustoUnit[[#This Row],[PIS]]+tabCustoUnit[[#This Row],[ISS (Conversão Alíquota s/ fatura)]]</f>
        <v>0.13960113960113973</v>
      </c>
      <c r="BV308" s="22" t="e">
        <f ca="1">(tabCustoUnit[[#This Row],[TOTAL MÓDULOS 1+2+3+4+5]]+tabCustoUnit[[#This Row],[Custos Indiretos]]+tabCustoUnit[[#This Row],[Lucro]])*tabCustoUnit[[#This Row],[PIS + COFINS + ISS (Total Conversão  Alíquota s/ Fatura)]]</f>
        <v>#NAME?</v>
      </c>
      <c r="BW308" s="22" t="e">
        <f ca="1">tabCustoUnit[[#This Row],[Custos Indiretos]]+tabCustoUnit[[#This Row],[Lucro]]+tabCustoUnit[[#This Row],[Valor dos Tributos (ISS, PIS, CONFINS)]]</f>
        <v>#NAME?</v>
      </c>
      <c r="BX308" s="22" t="e">
        <f ca="1">tabCustoUnit[[#This Row],[TOTAL MÓDULOS 1+2+3+4+5]]+tabCustoUnit[[#This Row],[MÓDULO 6 – CUSTOS INDIRETOS, TRIBUTOS E LUCRO]]</f>
        <v>#NAME?</v>
      </c>
      <c r="BY308" s="22" t="e">
        <f ca="1">tabCustoUnit[[#This Row],[CUSTO TOTAL MENSAL]]*12</f>
        <v>#NAME?</v>
      </c>
      <c r="BZ308" s="24">
        <f>VLOOKUP(tabCustoUnit[[#This Row],[Código do Posto]],tabParametros[],MATCH(tabCustoUnit[[#Headers],[ANO DA CCT]],tabParametros[#Headers],0),0)</f>
        <v>45658</v>
      </c>
      <c r="CA308" s="25" t="str">
        <f>VLOOKUP(tabCustoUnit[[#This Row],[Código do Posto]],tabParametros[],MATCH(tabCustoUnit[[#Headers],[Nº DE PEDIDO DA CCT]],tabParametros[#Headers],0),0)</f>
        <v>-</v>
      </c>
      <c r="CB308" s="25" t="str">
        <f>VLOOKUP(tabCustoUnit[[#This Row],[Código do Posto]],tabParametros[],MATCH(tabCustoUnit[[#Headers],[TERMO ADITIVO ALTERAÇÃO DA CCT]],tabParametros[#Headers],0),0)</f>
        <v>-</v>
      </c>
    </row>
    <row r="309" spans="1:80">
      <c r="A309" s="20" t="s">
        <v>1722</v>
      </c>
      <c r="B309" t="s">
        <v>1212</v>
      </c>
      <c r="C309" t="s">
        <v>324</v>
      </c>
      <c r="D309" t="s">
        <v>961</v>
      </c>
      <c r="E309" s="20" t="s">
        <v>1090</v>
      </c>
      <c r="F309" s="20" t="s">
        <v>120</v>
      </c>
      <c r="G309" s="418">
        <v>3397.1305000000002</v>
      </c>
      <c r="H309" s="418">
        <v>0</v>
      </c>
      <c r="I309" s="418">
        <v>0</v>
      </c>
      <c r="J309" s="418">
        <v>0</v>
      </c>
      <c r="K309" s="418">
        <v>0</v>
      </c>
      <c r="L309" s="418">
        <v>0</v>
      </c>
      <c r="M309" s="418">
        <v>0</v>
      </c>
      <c r="N309" s="418">
        <v>0</v>
      </c>
      <c r="O309" s="21">
        <f>SUM(tabCustoUnit[[#This Row],[Salário Base]:[Adicional de Acúmulo de função]])</f>
        <v>3397.1305000000002</v>
      </c>
      <c r="P309" s="21">
        <f>tabCustoUnit[[#This Row],[MODULO 1 - REMUNERAÇÃO ]]*SUMIFS(tabParametros[INSS],tabParametros[Código do Posto],tabCustoUnit[[#This Row],[Código do Posto]])</f>
        <v>679.42610000000013</v>
      </c>
      <c r="Q309" s="21">
        <f>tabCustoUnit[[#This Row],[MODULO 1 - REMUNERAÇÃO ]]*SUMIFS(tabParametros[SESI OU SESC],tabParametros[Código do Posto],tabCustoUnit[[#This Row],[Código do Posto]])</f>
        <v>50.956957500000001</v>
      </c>
      <c r="R309" s="21">
        <f>tabCustoUnit[[#This Row],[MODULO 1 - REMUNERAÇÃO ]]*SUMIFS(tabParametros[SENAI OU SENAC],tabParametros[Código do Posto],tabCustoUnit[[#This Row],[Código do Posto]])</f>
        <v>33.971305000000001</v>
      </c>
      <c r="S309" s="21">
        <f>tabCustoUnit[[#This Row],[MODULO 1 - REMUNERAÇÃO ]]*SUMIFS(tabParametros[INCRA],tabParametros[Código do Posto],tabCustoUnit[[#This Row],[Código do Posto]])</f>
        <v>6.7942610000000005</v>
      </c>
      <c r="T309" s="21">
        <f>tabCustoUnit[[#This Row],[MODULO 1 - REMUNERAÇÃO ]]*SUMIFS(tabParametros[Salário Educação],tabParametros[Código do Posto],tabCustoUnit[[#This Row],[Código do Posto]])</f>
        <v>84.928262500000017</v>
      </c>
      <c r="U309" s="21">
        <f>tabCustoUnit[[#This Row],[MODULO 1 - REMUNERAÇÃO ]]*SUMIFS(tabParametros[FGTS],tabParametros[Código do Posto],tabCustoUnit[[#This Row],[Código do Posto]])</f>
        <v>271.77044000000001</v>
      </c>
      <c r="V309" s="21">
        <f>tabCustoUnit[[#This Row],[MODULO 1 - REMUNERAÇÃO ]]*SUMIFS(tabParametros[RAT Ajustado],tabParametros[Código do Posto],tabCustoUnit[[#This Row],[Código do Posto]])</f>
        <v>135.88522</v>
      </c>
      <c r="W309" s="21">
        <f>tabCustoUnit[[#This Row],[MODULO 1 - REMUNERAÇÃO ]]*SUMIFS(tabParametros[SEBRAE],tabParametros[Código do Posto],tabCustoUnit[[#This Row],[Código do Posto]])</f>
        <v>20.382783000000003</v>
      </c>
      <c r="X309" s="21">
        <f>SUM(tabCustoUnit[[#This Row],[INSS]:[SEBRAE]])</f>
        <v>1284.1153290000002</v>
      </c>
      <c r="Y309" s="21">
        <f>tabCustoUnit[[#This Row],[MODULO 1 - REMUNERAÇÃO ]]*SUMIFS(tabParametros[13º salário (titular)],tabParametros[Código do Posto],tabCustoUnit[[#This Row],[Código do Posto]])</f>
        <v>283.09420833333331</v>
      </c>
      <c r="Z309" s="21">
        <f>tabCustoUnit[[#This Row],[MODULO 1 - REMUNERAÇÃO ]]*SUMIFS(tabParametros[Férias e Adicional de Férias (titular)],tabParametros[Código do Posto],tabCustoUnit[[#This Row],[Código do Posto]])</f>
        <v>377.45894444444446</v>
      </c>
      <c r="AA309" s="21">
        <f>IFERROR((tabCustoUnit[[#This Row],[Submódulo 2.1]]/tabCustoUnit[[#This Row],[MODULO 1 - REMUNERAÇÃO ]])*SUM(tabCustoUnit[[#This Row],[13º salário (titular)]:[Férias e Adicional de Férias (titular)]]),0)</f>
        <v>249.68909175000005</v>
      </c>
      <c r="AB309" s="21">
        <f>SUM(tabCustoUnit[[#This Row],[13º salário (titular)]:[Incidência do Submódulo 2.1 sobre 13º Salário, Férias e Adicional de Férias]])</f>
        <v>910.24224452777776</v>
      </c>
      <c r="AC309" s="22" t="e">
        <f ca="1">_xlfn.LET(_xlpm.VT,SUMIF(tabParametros[Código do Posto],tabCustoUnit[[#This Row],[Código do Posto]],tabParametros[Vale - Transporte])*2*20,
IF((_xlpm.VT-tabCustoUnit[[#This Row],[Salário Base]]*0.06)&gt;=0,(_xlpm.VT-tabCustoUnit[[#This Row],[Salário Base]]*0.06),0)
)</f>
        <v>#NAME?</v>
      </c>
      <c r="AD309" s="22">
        <f>IF(SUMIF(tabParametros[Código do Posto],tabCustoUnit[[#This Row],[Código do Posto]],tabParametros[Vale - Alimentação])&lt;=0,0,
SUMIF(tabParametros[Código do Posto],tabCustoUnit[[#This Row],[Código do Posto]],tabParametros[Vale - Alimentação])*20-1)</f>
        <v>582</v>
      </c>
      <c r="AE309" s="22">
        <f>SUMIF(tabParametros[Código do Posto],tabCustoUnit[[#This Row],[Código do Posto]],tabParametros[Cesta Básica])</f>
        <v>0</v>
      </c>
      <c r="AF309" s="22">
        <f>SUMIF(tabParametros[Código do Posto],tabCustoUnit[[#This Row],[Código do Posto]],tabParametros[PAF])</f>
        <v>53.27</v>
      </c>
      <c r="AG309" s="22">
        <f>SUMIF(tabParametros[Código do Posto],tabCustoUnit[[#This Row],[Código do Posto]],tabParametros[PQM])</f>
        <v>0</v>
      </c>
      <c r="AH309" s="22">
        <f>SUMIF(tabParametros[Código do Posto],tabCustoUnit[[#This Row],[Código do Posto]],tabParametros[Abono Único e Especial])</f>
        <v>0</v>
      </c>
      <c r="AI309" s="22">
        <f>SUMIF(tabParametros[Código do Posto],tabCustoUnit[[#This Row],[Código do Posto]],tabParametros[Seguro de Vida])</f>
        <v>3.36</v>
      </c>
      <c r="AJ309" s="22">
        <f>SUMIF(tabParametros[Código do Posto],tabCustoUnit[[#This Row],[Código do Posto]],tabParametros[Despesas de Viagem])</f>
        <v>0</v>
      </c>
      <c r="AK309" s="22" t="e">
        <f ca="1">SUM(tabCustoUnit[[#This Row],[Vale - Transporte (Descontada parcela do empregado)]:[Despesas de Viagem]])</f>
        <v>#NAME?</v>
      </c>
      <c r="AL309" s="22" t="e">
        <f ca="1">tabCustoUnit[[#This Row],[Submódulo 2.1]]+tabCustoUnit[[#This Row],[Submódulo 2.2]]+tabCustoUnit[[#This Row],[Submódulo 2.3]]</f>
        <v>#NAME?</v>
      </c>
      <c r="AM309" s="22">
        <f>SUMIF(tabParametros[Código do Posto],tabCustoUnit[[#This Row],[Código do Posto]],tabParametros[Aviso Prévio Indenizado (API) e Reflexo do Aviso Prévio Indenizado])*tabCustoUnit[[#This Row],[MODULO 1 - REMUNERAÇÃO ]]</f>
        <v>23.819887450713736</v>
      </c>
      <c r="AN309" s="22">
        <f>SUMIF(tabParametros[Código do Posto],tabCustoUnit[[#This Row],[Código do Posto]],tabParametros[Incidência do FGTS sobre API e Reflexo do API])*tabCustoUnit[[#This Row],[MODULO 1 - REMUNERAÇÃO ]]</f>
        <v>1.9055909960570991</v>
      </c>
      <c r="AO309" s="22">
        <f>SUMIF(tabParametros[Código do Posto],tabCustoUnit[[#This Row],[Código do Posto]],tabParametros[Multa Rescisória do FGTS sobre o Aviso Prévio Indenizado])*tabCustoUnit[[#This Row],[MODULO 1 - REMUNERAÇÃO ]]</f>
        <v>0.76223639842283974</v>
      </c>
      <c r="AP309" s="22">
        <f>SUMIF(tabParametros[Código do Posto],tabCustoUnit[[#This Row],[Código do Posto]],tabParametros[Aviso Prévio Trabalhado - APT])*tabCustoUnit[[#This Row],[MODULO 1 - REMUNERAÇÃO ]]</f>
        <v>11.889956750000003</v>
      </c>
      <c r="AQ309" s="22">
        <f>SUMIF(tabParametros[Código do Posto],tabCustoUnit[[#This Row],[Código do Posto]],tabParametros[Incidência dos encargos do submódulo 2.1 sobre Aviso Prévio Trabalhado])*tabCustoUnit[[#This Row],[MODULO 1 - REMUNERAÇÃO ]]</f>
        <v>4.4944036515000017</v>
      </c>
      <c r="AR309" s="22">
        <f>SUMIF(tabParametros[Código do Posto],tabCustoUnit[[#This Row],[Código do Posto]],tabParametros[Multa Rescisória do FGTS])*tabCustoUnit[[#This Row],[MODULO 1 - REMUNERAÇÃO ]]</f>
        <v>103.87670151111111</v>
      </c>
      <c r="AS309" s="22">
        <f>SUMIF(tabParametros[Código do Posto],tabCustoUnit[[#This Row],[Código do Posto]],tabParametros[Indenização Adicional (Art. 9º da Lei nº 7.238/84)])*tabCustoUnit[[#This Row],[MODULO 1 - REMUNERAÇÃO ]]</f>
        <v>2.8309420833333339</v>
      </c>
      <c r="AT309" s="22">
        <f>SUM(tabCustoUnit[[#This Row],[Aviso Prévio Indenizado (API) e Reflexo do Aviso Prévio Indenizado]:[Indenização Adicional (Art. 9º da Lei nº 7.238/84)]])</f>
        <v>149.57971884113812</v>
      </c>
      <c r="AU309" s="22">
        <f>SUMIF(tabParametros[Código do Posto],tabCustoUnit[[#This Row],[Código do Posto]],tabParametros[Ausência por Doença])*tabCustoUnit[[#This Row],[MODULO 1 - REMUNERAÇÃO ]]</f>
        <v>28.686879777777776</v>
      </c>
      <c r="AV309" s="22">
        <f>SUMIF(tabParametros[Código do Posto],tabCustoUnit[[#This Row],[Código do Posto]],tabParametros[Ausências Legais])*tabCustoUnit[[#This Row],[MODULO 1 - REMUNERAÇÃO ]]</f>
        <v>6.888625736111111</v>
      </c>
      <c r="AW309" s="22">
        <f>SUMIF(tabParametros[Código do Posto],tabCustoUnit[[#This Row],[Código do Posto]],tabParametros[Licença Paternidade])*tabCustoUnit[[#This Row],[MODULO 1 - REMUNERAÇÃO ]]</f>
        <v>0.58034312708333335</v>
      </c>
      <c r="AX309" s="22">
        <f>SUMIF(tabParametros[Código do Posto],tabCustoUnit[[#This Row],[Código do Posto]],tabParametros[Ausência por Acidente de Trabalho])*tabCustoUnit[[#This Row],[MODULO 1 - REMUNERAÇÃO ]]</f>
        <v>0.70773552083333346</v>
      </c>
      <c r="AY309" s="22">
        <f>SUMIF(tabParametros[Código do Posto],tabCustoUnit[[#This Row],[Código do Posto]],tabParametros[Férias, Adicional de Férias e 13º  com empregada em gozo de Licença Maternidade])*tabCustoUnit[[#This Row],[MODULO 1 - REMUNERAÇÃO ]]</f>
        <v>4.4036876851851856</v>
      </c>
      <c r="AZ309" s="22">
        <f>SUMIF(tabParametros[Código do Posto],tabCustoUnit[[#This Row],[Código do Posto]],tabParametros[Incidência do Submódulo 2.1 sobre Ausências Legais])*tabCustoUnit[[#This Row],[MODULO 1 - REMUNERAÇÃO ]]</f>
        <v>15.599028758162504</v>
      </c>
      <c r="BA309" s="22">
        <f>SUM(tabCustoUnit[[#This Row],[Ausência por Doença]:[Incidência do Submódulo 2.1 sobre Ausências Legais]])</f>
        <v>56.866300605153235</v>
      </c>
      <c r="BB309" s="22">
        <f>SUMIF(tabParametros[Código do Posto],tabCustoUnit[[#This Row],[Código do Posto]],tabParametros[Intervalo para Repouso ou Alimentação])</f>
        <v>0</v>
      </c>
      <c r="BC309" s="22">
        <f>tabCustoUnit[[#This Row],[Intervalo para Repouso ou Alimentação]]</f>
        <v>0</v>
      </c>
      <c r="BD30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09" s="22">
        <f>tabCustoUnit[[#This Row],[Suspensão Temporária do Contrato de Trabalho]]</f>
        <v>0</v>
      </c>
      <c r="BF309" s="22">
        <f>tabCustoUnit[[#This Row],[Submódulo 4.1]]+tabCustoUnit[[#This Row],[Submódulo 4.2]]+tabCustoUnit[[#This Row],[Submódulo 4.3]]</f>
        <v>56.866300605153235</v>
      </c>
      <c r="BG309" s="22">
        <f>VLOOKUP(tabCustoUnit[[#This Row],[Código do Posto]],tabParametros[],MATCH(tabCustoUnit[[#Headers],[Uniformes e EPIs]],tabParametros[#Headers],0),0)</f>
        <v>56.642978962543395</v>
      </c>
      <c r="BH309" s="22">
        <f>VLOOKUP(tabCustoUnit[[#This Row],[Código do Posto]],tabParametros[],MATCH(tabCustoUnit[[#Headers],[Materiais de Consumo]],tabParametros[#Headers],0),0)</f>
        <v>0</v>
      </c>
      <c r="BI309" s="22">
        <f>VLOOKUP(tabCustoUnit[[#This Row],[Código do Posto]],tabParametros[],MATCH(tabCustoUnit[[#Headers],[Máquinas e Equipamentos (depreciação)]],tabParametros[#Headers],0),0)</f>
        <v>0</v>
      </c>
      <c r="BJ309" s="22">
        <f>VLOOKUP(tabCustoUnit[[#This Row],[Código do Posto]],tabParametros[],MATCH(tabCustoUnit[[#Headers],[Produtos de Limpeza e Materiais de Higiene Pessoal]],tabParametros[#Headers],0),0)</f>
        <v>0</v>
      </c>
      <c r="BK309" s="22">
        <f>VLOOKUP(tabCustoUnit[[#This Row],[Código do Posto]],tabParametros[],MATCH(tabCustoUnit[[#Headers],[Outros (especificar)]],tabParametros[#Headers],0),0)</f>
        <v>0</v>
      </c>
      <c r="BL309" s="22">
        <f>SUM(tabCustoUnit[[#This Row],[Uniformes e EPIs]:[Outros (especificar)]])</f>
        <v>56.642978962543395</v>
      </c>
      <c r="BM30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09" s="22" t="e">
        <f ca="1">VLOOKUP(tabCustoUnit[[#This Row],[Código do Posto]],tabParametros[],MATCH(tabCustoUnit[[#Headers],[Custos Indiretos]],tabParametros[#Headers],0),0)</f>
        <v>#NAME?</v>
      </c>
      <c r="BO309" s="22" t="e">
        <f ca="1">VLOOKUP(tabCustoUnit[[#This Row],[Código do Posto]],tabParametros[],MATCH(tabCustoUnit[[#Headers],[Lucro]],tabParametros[#Headers],0),0)</f>
        <v>#NAME?</v>
      </c>
      <c r="BP309" s="26">
        <f>((100/((1-tabCustoUnit[[#This Row],[Resumo de Alíquotas (PIS+CONFINS+ISS)]]))-100)*VLOOKUP(tabCustoUnit[[#This Row],[Código do Posto]],tabParametros[],MATCH(tabCustoUnit[[#Headers],[COFINS]],tabParametros[#Headers],0),0))/(tabCustoUnit[[#This Row],[Resumo de Alíquotas (PIS+CONFINS+ISS)]]*100)</f>
        <v>8.6609686609686695E-2</v>
      </c>
      <c r="BQ309" s="26">
        <f>((100/((100-(tabCustoUnit[[#This Row],[Resumo de Alíquotas (PIS+CONFINS+ISS)]]*100))%)-100)*VLOOKUP(tabCustoUnit[[#This Row],[Código do Posto]],tabParametros[],MATCH(tabCustoUnit[[#Headers],[PIS]],tabParametros[#Headers],0),0))/(tabCustoUnit[[#This Row],[Resumo de Alíquotas (PIS+CONFINS+ISS)]]*100)</f>
        <v>1.880341880341882E-2</v>
      </c>
      <c r="BR309" s="28">
        <f>VLOOKUP(tabCustoUnit[[#This Row],[Código do Posto]],tabParametros[],MATCH(tabCustoUnit[[#Headers],[ISS]],tabParametros[#Headers],0),0)</f>
        <v>0.03</v>
      </c>
      <c r="BS309" s="26">
        <f>(((100/((100-(tabCustoUnit[[#This Row],[Resumo de Alíquotas (PIS+CONFINS+ISS)]]*100))%)-100)*tabCustoUnit[[#This Row],[ISS]])/tabCustoUnit[[#This Row],[Resumo de Alíquotas (PIS+CONFINS+ISS)]])/100</f>
        <v>3.4188034188034219E-2</v>
      </c>
      <c r="BT30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09" s="138">
        <f>tabCustoUnit[[#This Row],[COFINS]]+tabCustoUnit[[#This Row],[PIS]]+tabCustoUnit[[#This Row],[ISS (Conversão Alíquota s/ fatura)]]</f>
        <v>0.13960113960113973</v>
      </c>
      <c r="BV309" s="22" t="e">
        <f ca="1">(tabCustoUnit[[#This Row],[TOTAL MÓDULOS 1+2+3+4+5]]+tabCustoUnit[[#This Row],[Custos Indiretos]]+tabCustoUnit[[#This Row],[Lucro]])*tabCustoUnit[[#This Row],[PIS + COFINS + ISS (Total Conversão  Alíquota s/ Fatura)]]</f>
        <v>#NAME?</v>
      </c>
      <c r="BW309" s="22" t="e">
        <f ca="1">tabCustoUnit[[#This Row],[Custos Indiretos]]+tabCustoUnit[[#This Row],[Lucro]]+tabCustoUnit[[#This Row],[Valor dos Tributos (ISS, PIS, CONFINS)]]</f>
        <v>#NAME?</v>
      </c>
      <c r="BX309" s="22" t="e">
        <f ca="1">tabCustoUnit[[#This Row],[TOTAL MÓDULOS 1+2+3+4+5]]+tabCustoUnit[[#This Row],[MÓDULO 6 – CUSTOS INDIRETOS, TRIBUTOS E LUCRO]]</f>
        <v>#NAME?</v>
      </c>
      <c r="BY309" s="22" t="e">
        <f ca="1">tabCustoUnit[[#This Row],[CUSTO TOTAL MENSAL]]*12</f>
        <v>#NAME?</v>
      </c>
      <c r="BZ309" s="24">
        <f>VLOOKUP(tabCustoUnit[[#This Row],[Código do Posto]],tabParametros[],MATCH(tabCustoUnit[[#Headers],[ANO DA CCT]],tabParametros[#Headers],0),0)</f>
        <v>45658</v>
      </c>
      <c r="CA309" s="25" t="str">
        <f>VLOOKUP(tabCustoUnit[[#This Row],[Código do Posto]],tabParametros[],MATCH(tabCustoUnit[[#Headers],[Nº DE PEDIDO DA CCT]],tabParametros[#Headers],0),0)</f>
        <v>-</v>
      </c>
      <c r="CB309" s="25" t="str">
        <f>VLOOKUP(tabCustoUnit[[#This Row],[Código do Posto]],tabParametros[],MATCH(tabCustoUnit[[#Headers],[TERMO ADITIVO ALTERAÇÃO DA CCT]],tabParametros[#Headers],0),0)</f>
        <v>-</v>
      </c>
    </row>
    <row r="310" spans="1:80">
      <c r="A310" s="20" t="s">
        <v>1723</v>
      </c>
      <c r="B310" t="s">
        <v>1213</v>
      </c>
      <c r="C310" t="s">
        <v>319</v>
      </c>
      <c r="D310" t="s">
        <v>899</v>
      </c>
      <c r="E310" s="20" t="s">
        <v>1090</v>
      </c>
      <c r="F310" s="20" t="s">
        <v>120</v>
      </c>
      <c r="G310" s="418">
        <v>2316.2253000000001</v>
      </c>
      <c r="H310" s="418">
        <v>0</v>
      </c>
      <c r="I310" s="418">
        <v>0</v>
      </c>
      <c r="J310" s="418">
        <v>0</v>
      </c>
      <c r="K310" s="418">
        <v>0</v>
      </c>
      <c r="L310" s="418">
        <v>0</v>
      </c>
      <c r="M310" s="418">
        <v>0</v>
      </c>
      <c r="N310" s="418">
        <v>0</v>
      </c>
      <c r="O310" s="21">
        <f>SUM(tabCustoUnit[[#This Row],[Salário Base]:[Adicional de Acúmulo de função]])</f>
        <v>2316.2253000000001</v>
      </c>
      <c r="P310" s="21">
        <f>tabCustoUnit[[#This Row],[MODULO 1 - REMUNERAÇÃO ]]*SUMIFS(tabParametros[INSS],tabParametros[Código do Posto],tabCustoUnit[[#This Row],[Código do Posto]])</f>
        <v>463.24506000000002</v>
      </c>
      <c r="Q310" s="21">
        <f>tabCustoUnit[[#This Row],[MODULO 1 - REMUNERAÇÃO ]]*SUMIFS(tabParametros[SESI OU SESC],tabParametros[Código do Posto],tabCustoUnit[[#This Row],[Código do Posto]])</f>
        <v>34.743379499999996</v>
      </c>
      <c r="R310" s="21">
        <f>tabCustoUnit[[#This Row],[MODULO 1 - REMUNERAÇÃO ]]*SUMIFS(tabParametros[SENAI OU SENAC],tabParametros[Código do Posto],tabCustoUnit[[#This Row],[Código do Posto]])</f>
        <v>23.162253</v>
      </c>
      <c r="S310" s="21">
        <f>tabCustoUnit[[#This Row],[MODULO 1 - REMUNERAÇÃO ]]*SUMIFS(tabParametros[INCRA],tabParametros[Código do Posto],tabCustoUnit[[#This Row],[Código do Posto]])</f>
        <v>4.6324506000000003</v>
      </c>
      <c r="T310" s="21">
        <f>tabCustoUnit[[#This Row],[MODULO 1 - REMUNERAÇÃO ]]*SUMIFS(tabParametros[Salário Educação],tabParametros[Código do Posto],tabCustoUnit[[#This Row],[Código do Posto]])</f>
        <v>57.905632500000003</v>
      </c>
      <c r="U310" s="21">
        <f>tabCustoUnit[[#This Row],[MODULO 1 - REMUNERAÇÃO ]]*SUMIFS(tabParametros[FGTS],tabParametros[Código do Posto],tabCustoUnit[[#This Row],[Código do Posto]])</f>
        <v>185.298024</v>
      </c>
      <c r="V310" s="21">
        <f>tabCustoUnit[[#This Row],[MODULO 1 - REMUNERAÇÃO ]]*SUMIFS(tabParametros[RAT Ajustado],tabParametros[Código do Posto],tabCustoUnit[[#This Row],[Código do Posto]])</f>
        <v>92.649011999999999</v>
      </c>
      <c r="W310" s="21">
        <f>tabCustoUnit[[#This Row],[MODULO 1 - REMUNERAÇÃO ]]*SUMIFS(tabParametros[SEBRAE],tabParametros[Código do Posto],tabCustoUnit[[#This Row],[Código do Posto]])</f>
        <v>13.897351800000001</v>
      </c>
      <c r="X310" s="21">
        <f>SUM(tabCustoUnit[[#This Row],[INSS]:[SEBRAE]])</f>
        <v>875.53316340000003</v>
      </c>
      <c r="Y310" s="21">
        <f>tabCustoUnit[[#This Row],[MODULO 1 - REMUNERAÇÃO ]]*SUMIFS(tabParametros[13º salário (titular)],tabParametros[Código do Posto],tabCustoUnit[[#This Row],[Código do Posto]])</f>
        <v>193.01877500000001</v>
      </c>
      <c r="Z310" s="21">
        <f>tabCustoUnit[[#This Row],[MODULO 1 - REMUNERAÇÃO ]]*SUMIFS(tabParametros[Férias e Adicional de Férias (titular)],tabParametros[Código do Posto],tabCustoUnit[[#This Row],[Código do Posto]])</f>
        <v>257.35836666666665</v>
      </c>
      <c r="AA310" s="21">
        <f>IFERROR((tabCustoUnit[[#This Row],[Submódulo 2.1]]/tabCustoUnit[[#This Row],[MODULO 1 - REMUNERAÇÃO ]])*SUM(tabCustoUnit[[#This Row],[13º salário (titular)]:[Férias e Adicional de Férias (titular)]]),0)</f>
        <v>170.24255955000001</v>
      </c>
      <c r="AB310" s="21">
        <f>SUM(tabCustoUnit[[#This Row],[13º salário (titular)]:[Incidência do Submódulo 2.1 sobre 13º Salário, Férias e Adicional de Férias]])</f>
        <v>620.61970121666673</v>
      </c>
      <c r="AC310" s="22" t="e">
        <f ca="1">_xlfn.LET(_xlpm.VT,SUMIF(tabParametros[Código do Posto],tabCustoUnit[[#This Row],[Código do Posto]],tabParametros[Vale - Transporte])*2*20,
IF((_xlpm.VT-tabCustoUnit[[#This Row],[Salário Base]]*0.06)&gt;=0,(_xlpm.VT-tabCustoUnit[[#This Row],[Salário Base]]*0.06),0)
)</f>
        <v>#NAME?</v>
      </c>
      <c r="AD310" s="22">
        <f>IF(SUMIF(tabParametros[Código do Posto],tabCustoUnit[[#This Row],[Código do Posto]],tabParametros[Vale - Alimentação])&lt;=0,0,
SUMIF(tabParametros[Código do Posto],tabCustoUnit[[#This Row],[Código do Posto]],tabParametros[Vale - Alimentação])*20-1)</f>
        <v>0</v>
      </c>
      <c r="AE310" s="22">
        <f>SUMIF(tabParametros[Código do Posto],tabCustoUnit[[#This Row],[Código do Posto]],tabParametros[Cesta Básica])</f>
        <v>387.79</v>
      </c>
      <c r="AF310" s="22">
        <f>SUMIF(tabParametros[Código do Posto],tabCustoUnit[[#This Row],[Código do Posto]],tabParametros[PAF])</f>
        <v>42.97</v>
      </c>
      <c r="AG310" s="22">
        <f>SUMIF(tabParametros[Código do Posto],tabCustoUnit[[#This Row],[Código do Posto]],tabParametros[PQM])</f>
        <v>0</v>
      </c>
      <c r="AH310" s="22">
        <f>SUMIF(tabParametros[Código do Posto],tabCustoUnit[[#This Row],[Código do Posto]],tabParametros[Abono Único e Especial])</f>
        <v>0</v>
      </c>
      <c r="AI310" s="22">
        <f>SUMIF(tabParametros[Código do Posto],tabCustoUnit[[#This Row],[Código do Posto]],tabParametros[Seguro de Vida])</f>
        <v>3.36</v>
      </c>
      <c r="AJ310" s="22">
        <f>SUMIF(tabParametros[Código do Posto],tabCustoUnit[[#This Row],[Código do Posto]],tabParametros[Despesas de Viagem])</f>
        <v>0</v>
      </c>
      <c r="AK310" s="22" t="e">
        <f ca="1">SUM(tabCustoUnit[[#This Row],[Vale - Transporte (Descontada parcela do empregado)]:[Despesas de Viagem]])</f>
        <v>#NAME?</v>
      </c>
      <c r="AL310" s="22" t="e">
        <f ca="1">tabCustoUnit[[#This Row],[Submódulo 2.1]]+tabCustoUnit[[#This Row],[Submódulo 2.2]]+tabCustoUnit[[#This Row],[Submódulo 2.3]]</f>
        <v>#NAME?</v>
      </c>
      <c r="AM310" s="22">
        <f>SUMIF(tabParametros[Código do Posto],tabCustoUnit[[#This Row],[Código do Posto]],tabParametros[Aviso Prévio Indenizado (API) e Reflexo do Aviso Prévio Indenizado])*tabCustoUnit[[#This Row],[MODULO 1 - REMUNERAÇÃO ]]</f>
        <v>16.240832065914354</v>
      </c>
      <c r="AN310" s="22">
        <f>SUMIF(tabParametros[Código do Posto],tabCustoUnit[[#This Row],[Código do Posto]],tabParametros[Incidência do FGTS sobre API e Reflexo do API])*tabCustoUnit[[#This Row],[MODULO 1 - REMUNERAÇÃO ]]</f>
        <v>1.2992665652731483</v>
      </c>
      <c r="AO310" s="22">
        <f>SUMIF(tabParametros[Código do Posto],tabCustoUnit[[#This Row],[Código do Posto]],tabParametros[Multa Rescisória do FGTS sobre o Aviso Prévio Indenizado])*tabCustoUnit[[#This Row],[MODULO 1 - REMUNERAÇÃO ]]</f>
        <v>0.51970662610925933</v>
      </c>
      <c r="AP310" s="22">
        <f>SUMIF(tabParametros[Código do Posto],tabCustoUnit[[#This Row],[Código do Posto]],tabParametros[Aviso Prévio Trabalhado - APT])*tabCustoUnit[[#This Row],[MODULO 1 - REMUNERAÇÃO ]]</f>
        <v>8.106788550000001</v>
      </c>
      <c r="AQ310" s="22">
        <f>SUMIF(tabParametros[Código do Posto],tabCustoUnit[[#This Row],[Código do Posto]],tabParametros[Incidência dos encargos do submódulo 2.1 sobre Aviso Prévio Trabalhado])*tabCustoUnit[[#This Row],[MODULO 1 - REMUNERAÇÃO ]]</f>
        <v>3.0643660719000008</v>
      </c>
      <c r="AR310" s="22">
        <f>SUMIF(tabParametros[Código do Posto],tabCustoUnit[[#This Row],[Código do Posto]],tabParametros[Multa Rescisória do FGTS])*tabCustoUnit[[#This Row],[MODULO 1 - REMUNERAÇÃO ]]</f>
        <v>70.825022506666656</v>
      </c>
      <c r="AS310" s="22">
        <f>SUMIF(tabParametros[Código do Posto],tabCustoUnit[[#This Row],[Código do Posto]],tabParametros[Indenização Adicional (Art. 9º da Lei nº 7.238/84)])*tabCustoUnit[[#This Row],[MODULO 1 - REMUNERAÇÃO ]]</f>
        <v>1.9301877500000002</v>
      </c>
      <c r="AT310" s="22">
        <f>SUM(tabCustoUnit[[#This Row],[Aviso Prévio Indenizado (API) e Reflexo do Aviso Prévio Indenizado]:[Indenização Adicional (Art. 9º da Lei nº 7.238/84)]])</f>
        <v>101.98617013586342</v>
      </c>
      <c r="AU310" s="22">
        <f>SUMIF(tabParametros[Código do Posto],tabCustoUnit[[#This Row],[Código do Posto]],tabParametros[Ausência por Doença])*tabCustoUnit[[#This Row],[MODULO 1 - REMUNERAÇÃO ]]</f>
        <v>19.559235866666665</v>
      </c>
      <c r="AV310" s="22">
        <f>SUMIF(tabParametros[Código do Posto],tabCustoUnit[[#This Row],[Código do Posto]],tabParametros[Ausências Legais])*tabCustoUnit[[#This Row],[MODULO 1 - REMUNERAÇÃO ]]</f>
        <v>4.6967901916666666</v>
      </c>
      <c r="AW310" s="22">
        <f>SUMIF(tabParametros[Código do Posto],tabCustoUnit[[#This Row],[Código do Posto]],tabParametros[Licença Paternidade])*tabCustoUnit[[#This Row],[MODULO 1 - REMUNERAÇÃO ]]</f>
        <v>0.39568848875000001</v>
      </c>
      <c r="AX310" s="22">
        <f>SUMIF(tabParametros[Código do Posto],tabCustoUnit[[#This Row],[Código do Posto]],tabParametros[Ausência por Acidente de Trabalho])*tabCustoUnit[[#This Row],[MODULO 1 - REMUNERAÇÃO ]]</f>
        <v>0.48254693750000005</v>
      </c>
      <c r="AY310" s="22">
        <f>SUMIF(tabParametros[Código do Posto],tabCustoUnit[[#This Row],[Código do Posto]],tabParametros[Férias, Adicional de Férias e 13º  com empregada em gozo de Licença Maternidade])*tabCustoUnit[[#This Row],[MODULO 1 - REMUNERAÇÃO ]]</f>
        <v>3.0025142777777778</v>
      </c>
      <c r="AZ310" s="22">
        <f>SUMIF(tabParametros[Código do Posto],tabCustoUnit[[#This Row],[Código do Posto]],tabParametros[Incidência do Submódulo 2.1 sobre Ausências Legais])*tabCustoUnit[[#This Row],[MODULO 1 - REMUNERAÇÃO ]]</f>
        <v>10.635701238172501</v>
      </c>
      <c r="BA310" s="22">
        <f>SUM(tabCustoUnit[[#This Row],[Ausência por Doença]:[Incidência do Submódulo 2.1 sobre Ausências Legais]])</f>
        <v>38.772477000533613</v>
      </c>
      <c r="BB310" s="22">
        <f>SUMIF(tabParametros[Código do Posto],tabCustoUnit[[#This Row],[Código do Posto]],tabParametros[Intervalo para Repouso ou Alimentação])</f>
        <v>0</v>
      </c>
      <c r="BC310" s="22">
        <f>tabCustoUnit[[#This Row],[Intervalo para Repouso ou Alimentação]]</f>
        <v>0</v>
      </c>
      <c r="BD31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0" s="22">
        <f>tabCustoUnit[[#This Row],[Suspensão Temporária do Contrato de Trabalho]]</f>
        <v>0</v>
      </c>
      <c r="BF310" s="22">
        <f>tabCustoUnit[[#This Row],[Submódulo 4.1]]+tabCustoUnit[[#This Row],[Submódulo 4.2]]+tabCustoUnit[[#This Row],[Submódulo 4.3]]</f>
        <v>38.772477000533613</v>
      </c>
      <c r="BG310" s="22">
        <f>VLOOKUP(tabCustoUnit[[#This Row],[Código do Posto]],tabParametros[],MATCH(tabCustoUnit[[#Headers],[Uniformes e EPIs]],tabParametros[#Headers],0),0)</f>
        <v>56.642978962543395</v>
      </c>
      <c r="BH310" s="22">
        <f>VLOOKUP(tabCustoUnit[[#This Row],[Código do Posto]],tabParametros[],MATCH(tabCustoUnit[[#Headers],[Materiais de Consumo]],tabParametros[#Headers],0),0)</f>
        <v>0</v>
      </c>
      <c r="BI310" s="22">
        <f>VLOOKUP(tabCustoUnit[[#This Row],[Código do Posto]],tabParametros[],MATCH(tabCustoUnit[[#Headers],[Máquinas e Equipamentos (depreciação)]],tabParametros[#Headers],0),0)</f>
        <v>0</v>
      </c>
      <c r="BJ310" s="22">
        <f>VLOOKUP(tabCustoUnit[[#This Row],[Código do Posto]],tabParametros[],MATCH(tabCustoUnit[[#Headers],[Produtos de Limpeza e Materiais de Higiene Pessoal]],tabParametros[#Headers],0),0)</f>
        <v>0</v>
      </c>
      <c r="BK310" s="22">
        <f>VLOOKUP(tabCustoUnit[[#This Row],[Código do Posto]],tabParametros[],MATCH(tabCustoUnit[[#Headers],[Outros (especificar)]],tabParametros[#Headers],0),0)</f>
        <v>0</v>
      </c>
      <c r="BL310" s="22">
        <f>SUM(tabCustoUnit[[#This Row],[Uniformes e EPIs]:[Outros (especificar)]])</f>
        <v>56.642978962543395</v>
      </c>
      <c r="BM31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0" s="22" t="e">
        <f ca="1">VLOOKUP(tabCustoUnit[[#This Row],[Código do Posto]],tabParametros[],MATCH(tabCustoUnit[[#Headers],[Custos Indiretos]],tabParametros[#Headers],0),0)</f>
        <v>#NAME?</v>
      </c>
      <c r="BO310" s="22" t="e">
        <f ca="1">VLOOKUP(tabCustoUnit[[#This Row],[Código do Posto]],tabParametros[],MATCH(tabCustoUnit[[#Headers],[Lucro]],tabParametros[#Headers],0),0)</f>
        <v>#NAME?</v>
      </c>
      <c r="BP310" s="26">
        <f>((100/((1-tabCustoUnit[[#This Row],[Resumo de Alíquotas (PIS+CONFINS+ISS)]]))-100)*VLOOKUP(tabCustoUnit[[#This Row],[Código do Posto]],tabParametros[],MATCH(tabCustoUnit[[#Headers],[COFINS]],tabParametros[#Headers],0),0))/(tabCustoUnit[[#This Row],[Resumo de Alíquotas (PIS+CONFINS+ISS)]]*100)</f>
        <v>8.5633802816901458E-2</v>
      </c>
      <c r="BQ310" s="26">
        <f>((100/((100-(tabCustoUnit[[#This Row],[Resumo de Alíquotas (PIS+CONFINS+ISS)]]*100))%)-100)*VLOOKUP(tabCustoUnit[[#This Row],[Código do Posto]],tabParametros[],MATCH(tabCustoUnit[[#Headers],[PIS]],tabParametros[#Headers],0),0))/(tabCustoUnit[[#This Row],[Resumo de Alíquotas (PIS+CONFINS+ISS)]]*100)</f>
        <v>1.8591549295774657E-2</v>
      </c>
      <c r="BR310" s="28">
        <f>VLOOKUP(tabCustoUnit[[#This Row],[Código do Posto]],tabParametros[],MATCH(tabCustoUnit[[#Headers],[ISS]],tabParametros[#Headers],0),0)</f>
        <v>0.02</v>
      </c>
      <c r="BS310" s="26">
        <f>(((100/((100-(tabCustoUnit[[#This Row],[Resumo de Alíquotas (PIS+CONFINS+ISS)]]*100))%)-100)*tabCustoUnit[[#This Row],[ISS]])/tabCustoUnit[[#This Row],[Resumo de Alíquotas (PIS+CONFINS+ISS)]])/100</f>
        <v>2.2535211267605645E-2</v>
      </c>
      <c r="BT31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10" s="138">
        <f>tabCustoUnit[[#This Row],[COFINS]]+tabCustoUnit[[#This Row],[PIS]]+tabCustoUnit[[#This Row],[ISS (Conversão Alíquota s/ fatura)]]</f>
        <v>0.12676056338028174</v>
      </c>
      <c r="BV310" s="22" t="e">
        <f ca="1">(tabCustoUnit[[#This Row],[TOTAL MÓDULOS 1+2+3+4+5]]+tabCustoUnit[[#This Row],[Custos Indiretos]]+tabCustoUnit[[#This Row],[Lucro]])*tabCustoUnit[[#This Row],[PIS + COFINS + ISS (Total Conversão  Alíquota s/ Fatura)]]</f>
        <v>#NAME?</v>
      </c>
      <c r="BW310" s="22" t="e">
        <f ca="1">tabCustoUnit[[#This Row],[Custos Indiretos]]+tabCustoUnit[[#This Row],[Lucro]]+tabCustoUnit[[#This Row],[Valor dos Tributos (ISS, PIS, CONFINS)]]</f>
        <v>#NAME?</v>
      </c>
      <c r="BX310" s="22" t="e">
        <f ca="1">tabCustoUnit[[#This Row],[TOTAL MÓDULOS 1+2+3+4+5]]+tabCustoUnit[[#This Row],[MÓDULO 6 – CUSTOS INDIRETOS, TRIBUTOS E LUCRO]]</f>
        <v>#NAME?</v>
      </c>
      <c r="BY310" s="22" t="e">
        <f ca="1">tabCustoUnit[[#This Row],[CUSTO TOTAL MENSAL]]*12</f>
        <v>#NAME?</v>
      </c>
      <c r="BZ310" s="24">
        <f>VLOOKUP(tabCustoUnit[[#This Row],[Código do Posto]],tabParametros[],MATCH(tabCustoUnit[[#Headers],[ANO DA CCT]],tabParametros[#Headers],0),0)</f>
        <v>45658</v>
      </c>
      <c r="CA310" s="25" t="str">
        <f>VLOOKUP(tabCustoUnit[[#This Row],[Código do Posto]],tabParametros[],MATCH(tabCustoUnit[[#Headers],[Nº DE PEDIDO DA CCT]],tabParametros[#Headers],0),0)</f>
        <v>-</v>
      </c>
      <c r="CB310" s="25" t="str">
        <f>VLOOKUP(tabCustoUnit[[#This Row],[Código do Posto]],tabParametros[],MATCH(tabCustoUnit[[#Headers],[TERMO ADITIVO ALTERAÇÃO DA CCT]],tabParametros[#Headers],0),0)</f>
        <v>-</v>
      </c>
    </row>
    <row r="311" spans="1:80">
      <c r="A311" s="20" t="s">
        <v>1724</v>
      </c>
      <c r="B311" t="s">
        <v>1214</v>
      </c>
      <c r="C311" t="s">
        <v>274</v>
      </c>
      <c r="D311" t="s">
        <v>997</v>
      </c>
      <c r="E311" s="20" t="s">
        <v>1090</v>
      </c>
      <c r="F311" s="20" t="s">
        <v>120</v>
      </c>
      <c r="G311" s="418">
        <v>4599.5953</v>
      </c>
      <c r="H311" s="418">
        <v>0</v>
      </c>
      <c r="I311" s="418">
        <v>0</v>
      </c>
      <c r="J311" s="418">
        <v>0</v>
      </c>
      <c r="K311" s="418">
        <v>0</v>
      </c>
      <c r="L311" s="418">
        <v>0</v>
      </c>
      <c r="M311" s="418">
        <v>0</v>
      </c>
      <c r="N311" s="418">
        <v>0</v>
      </c>
      <c r="O311" s="21">
        <f>SUM(tabCustoUnit[[#This Row],[Salário Base]:[Adicional de Acúmulo de função]])</f>
        <v>4599.5953</v>
      </c>
      <c r="P311" s="21">
        <f>tabCustoUnit[[#This Row],[MODULO 1 - REMUNERAÇÃO ]]*SUMIFS(tabParametros[INSS],tabParametros[Código do Posto],tabCustoUnit[[#This Row],[Código do Posto]])</f>
        <v>919.91906000000006</v>
      </c>
      <c r="Q311" s="21">
        <f>tabCustoUnit[[#This Row],[MODULO 1 - REMUNERAÇÃO ]]*SUMIFS(tabParametros[SESI OU SESC],tabParametros[Código do Posto],tabCustoUnit[[#This Row],[Código do Posto]])</f>
        <v>68.993929499999993</v>
      </c>
      <c r="R311" s="21">
        <f>tabCustoUnit[[#This Row],[MODULO 1 - REMUNERAÇÃO ]]*SUMIFS(tabParametros[SENAI OU SENAC],tabParametros[Código do Posto],tabCustoUnit[[#This Row],[Código do Posto]])</f>
        <v>45.995953</v>
      </c>
      <c r="S311" s="21">
        <f>tabCustoUnit[[#This Row],[MODULO 1 - REMUNERAÇÃO ]]*SUMIFS(tabParametros[INCRA],tabParametros[Código do Posto],tabCustoUnit[[#This Row],[Código do Posto]])</f>
        <v>9.1991905999999997</v>
      </c>
      <c r="T311" s="21">
        <f>tabCustoUnit[[#This Row],[MODULO 1 - REMUNERAÇÃO ]]*SUMIFS(tabParametros[Salário Educação],tabParametros[Código do Posto],tabCustoUnit[[#This Row],[Código do Posto]])</f>
        <v>114.98988250000001</v>
      </c>
      <c r="U311" s="21">
        <f>tabCustoUnit[[#This Row],[MODULO 1 - REMUNERAÇÃO ]]*SUMIFS(tabParametros[FGTS],tabParametros[Código do Posto],tabCustoUnit[[#This Row],[Código do Posto]])</f>
        <v>367.967624</v>
      </c>
      <c r="V311" s="21">
        <f>tabCustoUnit[[#This Row],[MODULO 1 - REMUNERAÇÃO ]]*SUMIFS(tabParametros[RAT Ajustado],tabParametros[Código do Posto],tabCustoUnit[[#This Row],[Código do Posto]])</f>
        <v>183.983812</v>
      </c>
      <c r="W311" s="21">
        <f>tabCustoUnit[[#This Row],[MODULO 1 - REMUNERAÇÃO ]]*SUMIFS(tabParametros[SEBRAE],tabParametros[Código do Posto],tabCustoUnit[[#This Row],[Código do Posto]])</f>
        <v>27.597571800000001</v>
      </c>
      <c r="X311" s="21">
        <f>SUM(tabCustoUnit[[#This Row],[INSS]:[SEBRAE]])</f>
        <v>1738.6470234000003</v>
      </c>
      <c r="Y311" s="21">
        <f>tabCustoUnit[[#This Row],[MODULO 1 - REMUNERAÇÃO ]]*SUMIFS(tabParametros[13º salário (titular)],tabParametros[Código do Posto],tabCustoUnit[[#This Row],[Código do Posto]])</f>
        <v>383.29960833333331</v>
      </c>
      <c r="Z311" s="21">
        <f>tabCustoUnit[[#This Row],[MODULO 1 - REMUNERAÇÃO ]]*SUMIFS(tabParametros[Férias e Adicional de Férias (titular)],tabParametros[Código do Posto],tabCustoUnit[[#This Row],[Código do Posto]])</f>
        <v>511.06614444444443</v>
      </c>
      <c r="AA311" s="21">
        <f>IFERROR((tabCustoUnit[[#This Row],[Submódulo 2.1]]/tabCustoUnit[[#This Row],[MODULO 1 - REMUNERAÇÃO ]])*SUM(tabCustoUnit[[#This Row],[13º salário (titular)]:[Férias e Adicional de Férias (titular)]]),0)</f>
        <v>338.07025455000002</v>
      </c>
      <c r="AB311" s="21">
        <f>SUM(tabCustoUnit[[#This Row],[13º salário (titular)]:[Incidência do Submódulo 2.1 sobre 13º Salário, Férias e Adicional de Férias]])</f>
        <v>1232.4360073277778</v>
      </c>
      <c r="AC311" s="22" t="e">
        <f ca="1">_xlfn.LET(_xlpm.VT,SUMIF(tabParametros[Código do Posto],tabCustoUnit[[#This Row],[Código do Posto]],tabParametros[Vale - Transporte])*2*20,
IF((_xlpm.VT-tabCustoUnit[[#This Row],[Salário Base]]*0.06)&gt;=0,(_xlpm.VT-tabCustoUnit[[#This Row],[Salário Base]]*0.06),0)
)</f>
        <v>#NAME?</v>
      </c>
      <c r="AD311" s="22">
        <f>IF(SUMIF(tabParametros[Código do Posto],tabCustoUnit[[#This Row],[Código do Posto]],tabParametros[Vale - Alimentação])&lt;=0,0,
SUMIF(tabParametros[Código do Posto],tabCustoUnit[[#This Row],[Código do Posto]],tabParametros[Vale - Alimentação])*20-1)</f>
        <v>578.4</v>
      </c>
      <c r="AE311" s="22">
        <f>SUMIF(tabParametros[Código do Posto],tabCustoUnit[[#This Row],[Código do Posto]],tabParametros[Cesta Básica])</f>
        <v>0</v>
      </c>
      <c r="AF311" s="22">
        <f>SUMIF(tabParametros[Código do Posto],tabCustoUnit[[#This Row],[Código do Posto]],tabParametros[PAF])</f>
        <v>0</v>
      </c>
      <c r="AG311" s="22">
        <f>SUMIF(tabParametros[Código do Posto],tabCustoUnit[[#This Row],[Código do Posto]],tabParametros[PQM])</f>
        <v>0</v>
      </c>
      <c r="AH311" s="22">
        <f>SUMIF(tabParametros[Código do Posto],tabCustoUnit[[#This Row],[Código do Posto]],tabParametros[Abono Único e Especial])</f>
        <v>0</v>
      </c>
      <c r="AI311" s="22">
        <f>SUMIF(tabParametros[Código do Posto],tabCustoUnit[[#This Row],[Código do Posto]],tabParametros[Seguro de Vida])</f>
        <v>3.36</v>
      </c>
      <c r="AJ311" s="22">
        <f>SUMIF(tabParametros[Código do Posto],tabCustoUnit[[#This Row],[Código do Posto]],tabParametros[Despesas de Viagem])</f>
        <v>662.42</v>
      </c>
      <c r="AK311" s="22" t="e">
        <f ca="1">SUM(tabCustoUnit[[#This Row],[Vale - Transporte (Descontada parcela do empregado)]:[Despesas de Viagem]])</f>
        <v>#NAME?</v>
      </c>
      <c r="AL311" s="22" t="e">
        <f ca="1">tabCustoUnit[[#This Row],[Submódulo 2.1]]+tabCustoUnit[[#This Row],[Submódulo 2.2]]+tabCustoUnit[[#This Row],[Submódulo 2.3]]</f>
        <v>#NAME?</v>
      </c>
      <c r="AM311" s="22">
        <f>SUMIF(tabParametros[Código do Posto],tabCustoUnit[[#This Row],[Código do Posto]],tabParametros[Aviso Prévio Indenizado (API) e Reflexo do Aviso Prévio Indenizado])*tabCustoUnit[[#This Row],[MODULO 1 - REMUNERAÇÃO ]]</f>
        <v>32.251290424324843</v>
      </c>
      <c r="AN311" s="22">
        <f>SUMIF(tabParametros[Código do Posto],tabCustoUnit[[#This Row],[Código do Posto]],tabParametros[Incidência do FGTS sobre API e Reflexo do API])*tabCustoUnit[[#This Row],[MODULO 1 - REMUNERAÇÃO ]]</f>
        <v>2.5801032339459877</v>
      </c>
      <c r="AO311" s="22">
        <f>SUMIF(tabParametros[Código do Posto],tabCustoUnit[[#This Row],[Código do Posto]],tabParametros[Multa Rescisória do FGTS sobre o Aviso Prévio Indenizado])*tabCustoUnit[[#This Row],[MODULO 1 - REMUNERAÇÃO ]]</f>
        <v>1.0320412935783951</v>
      </c>
      <c r="AP311" s="22">
        <f>SUMIF(tabParametros[Código do Posto],tabCustoUnit[[#This Row],[Código do Posto]],tabParametros[Aviso Prévio Trabalhado - APT])*tabCustoUnit[[#This Row],[MODULO 1 - REMUNERAÇÃO ]]</f>
        <v>16.098583550000001</v>
      </c>
      <c r="AQ311" s="22">
        <f>SUMIF(tabParametros[Código do Posto],tabCustoUnit[[#This Row],[Código do Posto]],tabParametros[Incidência dos encargos do submódulo 2.1 sobre Aviso Prévio Trabalhado])*tabCustoUnit[[#This Row],[MODULO 1 - REMUNERAÇÃO ]]</f>
        <v>6.0852645819000015</v>
      </c>
      <c r="AR311" s="22">
        <f>SUMIF(tabParametros[Código do Posto],tabCustoUnit[[#This Row],[Código do Posto]],tabParametros[Multa Rescisória do FGTS])*tabCustoUnit[[#This Row],[MODULO 1 - REMUNERAÇÃO ]]</f>
        <v>140.64540295111109</v>
      </c>
      <c r="AS311" s="22">
        <f>SUMIF(tabParametros[Código do Posto],tabCustoUnit[[#This Row],[Código do Posto]],tabParametros[Indenização Adicional (Art. 9º da Lei nº 7.238/84)])*tabCustoUnit[[#This Row],[MODULO 1 - REMUNERAÇÃO ]]</f>
        <v>3.8329960833333336</v>
      </c>
      <c r="AT311" s="22">
        <f>SUM(tabCustoUnit[[#This Row],[Aviso Prévio Indenizado (API) e Reflexo do Aviso Prévio Indenizado]:[Indenização Adicional (Art. 9º da Lei nº 7.238/84)]])</f>
        <v>202.52568211819366</v>
      </c>
      <c r="AU311" s="22">
        <f>SUMIF(tabParametros[Código do Posto],tabCustoUnit[[#This Row],[Código do Posto]],tabParametros[Ausência por Doença])*tabCustoUnit[[#This Row],[MODULO 1 - REMUNERAÇÃO ]]</f>
        <v>38.841026977777773</v>
      </c>
      <c r="AV311" s="22">
        <f>SUMIF(tabParametros[Código do Posto],tabCustoUnit[[#This Row],[Código do Posto]],tabParametros[Ausências Legais])*tabCustoUnit[[#This Row],[MODULO 1 - REMUNERAÇÃO ]]</f>
        <v>9.3269571361111101</v>
      </c>
      <c r="AW311" s="22">
        <f>SUMIF(tabParametros[Código do Posto],tabCustoUnit[[#This Row],[Código do Posto]],tabParametros[Licença Paternidade])*tabCustoUnit[[#This Row],[MODULO 1 - REMUNERAÇÃO ]]</f>
        <v>0.78576419708333334</v>
      </c>
      <c r="AX311" s="22">
        <f>SUMIF(tabParametros[Código do Posto],tabCustoUnit[[#This Row],[Código do Posto]],tabParametros[Ausência por Acidente de Trabalho])*tabCustoUnit[[#This Row],[MODULO 1 - REMUNERAÇÃO ]]</f>
        <v>0.95824902083333341</v>
      </c>
      <c r="AY311" s="22">
        <f>SUMIF(tabParametros[Código do Posto],tabCustoUnit[[#This Row],[Código do Posto]],tabParametros[Férias, Adicional de Férias e 13º  com empregada em gozo de Licença Maternidade])*tabCustoUnit[[#This Row],[MODULO 1 - REMUNERAÇÃO ]]</f>
        <v>5.9624383518518513</v>
      </c>
      <c r="AZ311" s="22">
        <f>SUMIF(tabParametros[Código do Posto],tabCustoUnit[[#This Row],[Código do Posto]],tabParametros[Incidência do Submódulo 2.1 sobre Ausências Legais])*tabCustoUnit[[#This Row],[MODULO 1 - REMUNERAÇÃO ]]</f>
        <v>21.120536688422504</v>
      </c>
      <c r="BA311" s="22">
        <f>SUM(tabCustoUnit[[#This Row],[Ausência por Doença]:[Incidência do Submódulo 2.1 sobre Ausências Legais]])</f>
        <v>76.9949723720799</v>
      </c>
      <c r="BB311" s="22">
        <f>SUMIF(tabParametros[Código do Posto],tabCustoUnit[[#This Row],[Código do Posto]],tabParametros[Intervalo para Repouso ou Alimentação])</f>
        <v>0</v>
      </c>
      <c r="BC311" s="22">
        <f>tabCustoUnit[[#This Row],[Intervalo para Repouso ou Alimentação]]</f>
        <v>0</v>
      </c>
      <c r="BD31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1" s="22">
        <f>tabCustoUnit[[#This Row],[Suspensão Temporária do Contrato de Trabalho]]</f>
        <v>0</v>
      </c>
      <c r="BF311" s="22">
        <f>tabCustoUnit[[#This Row],[Submódulo 4.1]]+tabCustoUnit[[#This Row],[Submódulo 4.2]]+tabCustoUnit[[#This Row],[Submódulo 4.3]]</f>
        <v>76.9949723720799</v>
      </c>
      <c r="BG311" s="22">
        <f>VLOOKUP(tabCustoUnit[[#This Row],[Código do Posto]],tabParametros[],MATCH(tabCustoUnit[[#Headers],[Uniformes e EPIs]],tabParametros[#Headers],0),0)</f>
        <v>92.100763771570698</v>
      </c>
      <c r="BH311" s="22">
        <f>VLOOKUP(tabCustoUnit[[#This Row],[Código do Posto]],tabParametros[],MATCH(tabCustoUnit[[#Headers],[Materiais de Consumo]],tabParametros[#Headers],0),0)</f>
        <v>0</v>
      </c>
      <c r="BI311" s="22">
        <f>VLOOKUP(tabCustoUnit[[#This Row],[Código do Posto]],tabParametros[],MATCH(tabCustoUnit[[#Headers],[Máquinas e Equipamentos (depreciação)]],tabParametros[#Headers],0),0)</f>
        <v>0</v>
      </c>
      <c r="BJ311" s="22">
        <f>VLOOKUP(tabCustoUnit[[#This Row],[Código do Posto]],tabParametros[],MATCH(tabCustoUnit[[#Headers],[Produtos de Limpeza e Materiais de Higiene Pessoal]],tabParametros[#Headers],0),0)</f>
        <v>0</v>
      </c>
      <c r="BK311" s="22">
        <f>VLOOKUP(tabCustoUnit[[#This Row],[Código do Posto]],tabParametros[],MATCH(tabCustoUnit[[#Headers],[Outros (especificar)]],tabParametros[#Headers],0),0)</f>
        <v>0</v>
      </c>
      <c r="BL311" s="22">
        <f>SUM(tabCustoUnit[[#This Row],[Uniformes e EPIs]:[Outros (especificar)]])</f>
        <v>92.100763771570698</v>
      </c>
      <c r="BM31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1" s="22" t="e">
        <f ca="1">VLOOKUP(tabCustoUnit[[#This Row],[Código do Posto]],tabParametros[],MATCH(tabCustoUnit[[#Headers],[Custos Indiretos]],tabParametros[#Headers],0),0)</f>
        <v>#NAME?</v>
      </c>
      <c r="BO311" s="22" t="e">
        <f ca="1">VLOOKUP(tabCustoUnit[[#This Row],[Código do Posto]],tabParametros[],MATCH(tabCustoUnit[[#Headers],[Lucro]],tabParametros[#Headers],0),0)</f>
        <v>#NAME?</v>
      </c>
      <c r="BP311" s="26">
        <f>((100/((1-tabCustoUnit[[#This Row],[Resumo de Alíquotas (PIS+CONFINS+ISS)]]))-100)*VLOOKUP(tabCustoUnit[[#This Row],[Código do Posto]],tabParametros[],MATCH(tabCustoUnit[[#Headers],[COFINS]],tabParametros[#Headers],0),0))/(tabCustoUnit[[#This Row],[Resumo de Alíquotas (PIS+CONFINS+ISS)]]*100)</f>
        <v>8.6609686609686695E-2</v>
      </c>
      <c r="BQ311" s="26">
        <f>((100/((100-(tabCustoUnit[[#This Row],[Resumo de Alíquotas (PIS+CONFINS+ISS)]]*100))%)-100)*VLOOKUP(tabCustoUnit[[#This Row],[Código do Posto]],tabParametros[],MATCH(tabCustoUnit[[#Headers],[PIS]],tabParametros[#Headers],0),0))/(tabCustoUnit[[#This Row],[Resumo de Alíquotas (PIS+CONFINS+ISS)]]*100)</f>
        <v>1.880341880341882E-2</v>
      </c>
      <c r="BR311" s="28">
        <f>VLOOKUP(tabCustoUnit[[#This Row],[Código do Posto]],tabParametros[],MATCH(tabCustoUnit[[#Headers],[ISS]],tabParametros[#Headers],0),0)</f>
        <v>0.03</v>
      </c>
      <c r="BS311" s="26">
        <f>(((100/((100-(tabCustoUnit[[#This Row],[Resumo de Alíquotas (PIS+CONFINS+ISS)]]*100))%)-100)*tabCustoUnit[[#This Row],[ISS]])/tabCustoUnit[[#This Row],[Resumo de Alíquotas (PIS+CONFINS+ISS)]])/100</f>
        <v>3.4188034188034219E-2</v>
      </c>
      <c r="BT31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11" s="138">
        <f>tabCustoUnit[[#This Row],[COFINS]]+tabCustoUnit[[#This Row],[PIS]]+tabCustoUnit[[#This Row],[ISS (Conversão Alíquota s/ fatura)]]</f>
        <v>0.13960113960113973</v>
      </c>
      <c r="BV311" s="22" t="e">
        <f ca="1">(tabCustoUnit[[#This Row],[TOTAL MÓDULOS 1+2+3+4+5]]+tabCustoUnit[[#This Row],[Custos Indiretos]]+tabCustoUnit[[#This Row],[Lucro]])*tabCustoUnit[[#This Row],[PIS + COFINS + ISS (Total Conversão  Alíquota s/ Fatura)]]</f>
        <v>#NAME?</v>
      </c>
      <c r="BW311" s="22" t="e">
        <f ca="1">tabCustoUnit[[#This Row],[Custos Indiretos]]+tabCustoUnit[[#This Row],[Lucro]]+tabCustoUnit[[#This Row],[Valor dos Tributos (ISS, PIS, CONFINS)]]</f>
        <v>#NAME?</v>
      </c>
      <c r="BX311" s="22" t="e">
        <f ca="1">tabCustoUnit[[#This Row],[TOTAL MÓDULOS 1+2+3+4+5]]+tabCustoUnit[[#This Row],[MÓDULO 6 – CUSTOS INDIRETOS, TRIBUTOS E LUCRO]]</f>
        <v>#NAME?</v>
      </c>
      <c r="BY311" s="22" t="e">
        <f ca="1">tabCustoUnit[[#This Row],[CUSTO TOTAL MENSAL]]*12</f>
        <v>#NAME?</v>
      </c>
      <c r="BZ311" s="24">
        <f>VLOOKUP(tabCustoUnit[[#This Row],[Código do Posto]],tabParametros[],MATCH(tabCustoUnit[[#Headers],[ANO DA CCT]],tabParametros[#Headers],0),0)</f>
        <v>45658</v>
      </c>
      <c r="CA311" s="25" t="str">
        <f>VLOOKUP(tabCustoUnit[[#This Row],[Código do Posto]],tabParametros[],MATCH(tabCustoUnit[[#Headers],[Nº DE PEDIDO DA CCT]],tabParametros[#Headers],0),0)</f>
        <v>-</v>
      </c>
      <c r="CB311" s="25" t="str">
        <f>VLOOKUP(tabCustoUnit[[#This Row],[Código do Posto]],tabParametros[],MATCH(tabCustoUnit[[#Headers],[TERMO ADITIVO ALTERAÇÃO DA CCT]],tabParametros[#Headers],0),0)</f>
        <v>-</v>
      </c>
    </row>
    <row r="312" spans="1:80">
      <c r="A312" s="20" t="s">
        <v>1725</v>
      </c>
      <c r="B312" t="s">
        <v>1214</v>
      </c>
      <c r="C312" t="s">
        <v>314</v>
      </c>
      <c r="D312" t="s">
        <v>905</v>
      </c>
      <c r="E312" s="20" t="s">
        <v>1090</v>
      </c>
      <c r="F312" s="20" t="s">
        <v>120</v>
      </c>
      <c r="G312" s="418">
        <v>1963.4110000000001</v>
      </c>
      <c r="H312" s="418">
        <v>0</v>
      </c>
      <c r="I312" s="418">
        <v>0</v>
      </c>
      <c r="J312" s="418">
        <v>0</v>
      </c>
      <c r="K312" s="418">
        <v>0</v>
      </c>
      <c r="L312" s="418">
        <v>0</v>
      </c>
      <c r="M312" s="418">
        <v>0</v>
      </c>
      <c r="N312" s="418">
        <v>0</v>
      </c>
      <c r="O312" s="21">
        <f>SUM(tabCustoUnit[[#This Row],[Salário Base]:[Adicional de Acúmulo de função]])</f>
        <v>1963.4110000000001</v>
      </c>
      <c r="P312" s="21">
        <f>tabCustoUnit[[#This Row],[MODULO 1 - REMUNERAÇÃO ]]*SUMIFS(tabParametros[INSS],tabParametros[Código do Posto],tabCustoUnit[[#This Row],[Código do Posto]])</f>
        <v>392.68220000000002</v>
      </c>
      <c r="Q312" s="21">
        <f>tabCustoUnit[[#This Row],[MODULO 1 - REMUNERAÇÃO ]]*SUMIFS(tabParametros[SESI OU SESC],tabParametros[Código do Posto],tabCustoUnit[[#This Row],[Código do Posto]])</f>
        <v>29.451165</v>
      </c>
      <c r="R312" s="21">
        <f>tabCustoUnit[[#This Row],[MODULO 1 - REMUNERAÇÃO ]]*SUMIFS(tabParametros[SENAI OU SENAC],tabParametros[Código do Posto],tabCustoUnit[[#This Row],[Código do Posto]])</f>
        <v>19.63411</v>
      </c>
      <c r="S312" s="21">
        <f>tabCustoUnit[[#This Row],[MODULO 1 - REMUNERAÇÃO ]]*SUMIFS(tabParametros[INCRA],tabParametros[Código do Posto],tabCustoUnit[[#This Row],[Código do Posto]])</f>
        <v>3.926822</v>
      </c>
      <c r="T312" s="21">
        <f>tabCustoUnit[[#This Row],[MODULO 1 - REMUNERAÇÃO ]]*SUMIFS(tabParametros[Salário Educação],tabParametros[Código do Posto],tabCustoUnit[[#This Row],[Código do Posto]])</f>
        <v>49.085275000000003</v>
      </c>
      <c r="U312" s="21">
        <f>tabCustoUnit[[#This Row],[MODULO 1 - REMUNERAÇÃO ]]*SUMIFS(tabParametros[FGTS],tabParametros[Código do Posto],tabCustoUnit[[#This Row],[Código do Posto]])</f>
        <v>157.07288</v>
      </c>
      <c r="V312" s="21">
        <f>tabCustoUnit[[#This Row],[MODULO 1 - REMUNERAÇÃO ]]*SUMIFS(tabParametros[RAT Ajustado],tabParametros[Código do Posto],tabCustoUnit[[#This Row],[Código do Posto]])</f>
        <v>78.536439999999999</v>
      </c>
      <c r="W312" s="21">
        <f>tabCustoUnit[[#This Row],[MODULO 1 - REMUNERAÇÃO ]]*SUMIFS(tabParametros[SEBRAE],tabParametros[Código do Posto],tabCustoUnit[[#This Row],[Código do Posto]])</f>
        <v>11.780466000000001</v>
      </c>
      <c r="X312" s="21">
        <f>SUM(tabCustoUnit[[#This Row],[INSS]:[SEBRAE]])</f>
        <v>742.1693580000001</v>
      </c>
      <c r="Y312" s="21">
        <f>tabCustoUnit[[#This Row],[MODULO 1 - REMUNERAÇÃO ]]*SUMIFS(tabParametros[13º salário (titular)],tabParametros[Código do Posto],tabCustoUnit[[#This Row],[Código do Posto]])</f>
        <v>163.61758333333333</v>
      </c>
      <c r="Z312" s="21">
        <f>tabCustoUnit[[#This Row],[MODULO 1 - REMUNERAÇÃO ]]*SUMIFS(tabParametros[Férias e Adicional de Férias (titular)],tabParametros[Código do Posto],tabCustoUnit[[#This Row],[Código do Posto]])</f>
        <v>218.15677777777776</v>
      </c>
      <c r="AA312" s="21">
        <f>IFERROR((tabCustoUnit[[#This Row],[Submódulo 2.1]]/tabCustoUnit[[#This Row],[MODULO 1 - REMUNERAÇÃO ]])*SUM(tabCustoUnit[[#This Row],[13º salário (titular)]:[Férias e Adicional de Férias (titular)]]),0)</f>
        <v>144.3107085</v>
      </c>
      <c r="AB312" s="21">
        <f>SUM(tabCustoUnit[[#This Row],[13º salário (titular)]:[Incidência do Submódulo 2.1 sobre 13º Salário, Férias e Adicional de Férias]])</f>
        <v>526.08506961111107</v>
      </c>
      <c r="AC312" s="22" t="e">
        <f ca="1">_xlfn.LET(_xlpm.VT,SUMIF(tabParametros[Código do Posto],tabCustoUnit[[#This Row],[Código do Posto]],tabParametros[Vale - Transporte])*2*20,
IF((_xlpm.VT-tabCustoUnit[[#This Row],[Salário Base]]*0.06)&gt;=0,(_xlpm.VT-tabCustoUnit[[#This Row],[Salário Base]]*0.06),0)
)</f>
        <v>#NAME?</v>
      </c>
      <c r="AD312" s="22">
        <f>IF(SUMIF(tabParametros[Código do Posto],tabCustoUnit[[#This Row],[Código do Posto]],tabParametros[Vale - Alimentação])&lt;=0,0,
SUMIF(tabParametros[Código do Posto],tabCustoUnit[[#This Row],[Código do Posto]],tabParametros[Vale - Alimentação])*20-1)</f>
        <v>582</v>
      </c>
      <c r="AE312" s="22">
        <f>SUMIF(tabParametros[Código do Posto],tabCustoUnit[[#This Row],[Código do Posto]],tabParametros[Cesta Básica])</f>
        <v>0</v>
      </c>
      <c r="AF312" s="22">
        <f>SUMIF(tabParametros[Código do Posto],tabCustoUnit[[#This Row],[Código do Posto]],tabParametros[PAF])</f>
        <v>57.07</v>
      </c>
      <c r="AG312" s="22">
        <f>SUMIF(tabParametros[Código do Posto],tabCustoUnit[[#This Row],[Código do Posto]],tabParametros[PQM])</f>
        <v>0</v>
      </c>
      <c r="AH312" s="22">
        <f>SUMIF(tabParametros[Código do Posto],tabCustoUnit[[#This Row],[Código do Posto]],tabParametros[Abono Único e Especial])</f>
        <v>0</v>
      </c>
      <c r="AI312" s="22">
        <f>SUMIF(tabParametros[Código do Posto],tabCustoUnit[[#This Row],[Código do Posto]],tabParametros[Seguro de Vida])</f>
        <v>3.36</v>
      </c>
      <c r="AJ312" s="22">
        <f>SUMIF(tabParametros[Código do Posto],tabCustoUnit[[#This Row],[Código do Posto]],tabParametros[Despesas de Viagem])</f>
        <v>0</v>
      </c>
      <c r="AK312" s="22" t="e">
        <f ca="1">SUM(tabCustoUnit[[#This Row],[Vale - Transporte (Descontada parcela do empregado)]:[Despesas de Viagem]])</f>
        <v>#NAME?</v>
      </c>
      <c r="AL312" s="22" t="e">
        <f ca="1">tabCustoUnit[[#This Row],[Submódulo 2.1]]+tabCustoUnit[[#This Row],[Submódulo 2.2]]+tabCustoUnit[[#This Row],[Submódulo 2.3]]</f>
        <v>#NAME?</v>
      </c>
      <c r="AM312" s="22">
        <f>SUMIF(tabParametros[Código do Posto],tabCustoUnit[[#This Row],[Código do Posto]],tabParametros[Aviso Prévio Indenizado (API) e Reflexo do Aviso Prévio Indenizado])*tabCustoUnit[[#This Row],[MODULO 1 - REMUNERAÇÃO ]]</f>
        <v>13.766980408757716</v>
      </c>
      <c r="AN312" s="22">
        <f>SUMIF(tabParametros[Código do Posto],tabCustoUnit[[#This Row],[Código do Posto]],tabParametros[Incidência do FGTS sobre API e Reflexo do API])*tabCustoUnit[[#This Row],[MODULO 1 - REMUNERAÇÃO ]]</f>
        <v>1.1013584327006174</v>
      </c>
      <c r="AO312" s="22">
        <f>SUMIF(tabParametros[Código do Posto],tabCustoUnit[[#This Row],[Código do Posto]],tabParametros[Multa Rescisória do FGTS sobre o Aviso Prévio Indenizado])*tabCustoUnit[[#This Row],[MODULO 1 - REMUNERAÇÃO ]]</f>
        <v>0.44054337308024699</v>
      </c>
      <c r="AP312" s="22">
        <f>SUMIF(tabParametros[Código do Posto],tabCustoUnit[[#This Row],[Código do Posto]],tabParametros[Aviso Prévio Trabalhado - APT])*tabCustoUnit[[#This Row],[MODULO 1 - REMUNERAÇÃO ]]</f>
        <v>6.8719385000000015</v>
      </c>
      <c r="AQ312" s="22">
        <f>SUMIF(tabParametros[Código do Posto],tabCustoUnit[[#This Row],[Código do Posto]],tabParametros[Incidência dos encargos do submódulo 2.1 sobre Aviso Prévio Trabalhado])*tabCustoUnit[[#This Row],[MODULO 1 - REMUNERAÇÃO ]]</f>
        <v>2.5975927530000007</v>
      </c>
      <c r="AR312" s="22">
        <f>SUMIF(tabParametros[Código do Posto],tabCustoUnit[[#This Row],[Código do Posto]],tabParametros[Multa Rescisória do FGTS])*tabCustoUnit[[#This Row],[MODULO 1 - REMUNERAÇÃO ]]</f>
        <v>60.03674524444444</v>
      </c>
      <c r="AS312" s="22">
        <f>SUMIF(tabParametros[Código do Posto],tabCustoUnit[[#This Row],[Código do Posto]],tabParametros[Indenização Adicional (Art. 9º da Lei nº 7.238/84)])*tabCustoUnit[[#This Row],[MODULO 1 - REMUNERAÇÃO ]]</f>
        <v>1.6361758333333334</v>
      </c>
      <c r="AT312" s="22">
        <f>SUM(tabCustoUnit[[#This Row],[Aviso Prévio Indenizado (API) e Reflexo do Aviso Prévio Indenizado]:[Indenização Adicional (Art. 9º da Lei nº 7.238/84)]])</f>
        <v>86.451334545316371</v>
      </c>
      <c r="AU312" s="22">
        <f>SUMIF(tabParametros[Código do Posto],tabCustoUnit[[#This Row],[Código do Posto]],tabParametros[Ausência por Doença])*tabCustoUnit[[#This Row],[MODULO 1 - REMUNERAÇÃO ]]</f>
        <v>16.579915111111109</v>
      </c>
      <c r="AV312" s="22">
        <f>SUMIF(tabParametros[Código do Posto],tabCustoUnit[[#This Row],[Código do Posto]],tabParametros[Ausências Legais])*tabCustoUnit[[#This Row],[MODULO 1 - REMUNERAÇÃO ]]</f>
        <v>3.9813611944444443</v>
      </c>
      <c r="AW312" s="22">
        <f>SUMIF(tabParametros[Código do Posto],tabCustoUnit[[#This Row],[Código do Posto]],tabParametros[Licença Paternidade])*tabCustoUnit[[#This Row],[MODULO 1 - REMUNERAÇÃO ]]</f>
        <v>0.33541604583333334</v>
      </c>
      <c r="AX312" s="22">
        <f>SUMIF(tabParametros[Código do Posto],tabCustoUnit[[#This Row],[Código do Posto]],tabParametros[Ausência por Acidente de Trabalho])*tabCustoUnit[[#This Row],[MODULO 1 - REMUNERAÇÃO ]]</f>
        <v>0.40904395833333335</v>
      </c>
      <c r="AY312" s="22">
        <f>SUMIF(tabParametros[Código do Posto],tabCustoUnit[[#This Row],[Código do Posto]],tabParametros[Férias, Adicional de Férias e 13º  com empregada em gozo de Licença Maternidade])*tabCustoUnit[[#This Row],[MODULO 1 - REMUNERAÇÃO ]]</f>
        <v>2.5451624074074073</v>
      </c>
      <c r="AZ312" s="22">
        <f>SUMIF(tabParametros[Código do Posto],tabCustoUnit[[#This Row],[Código do Posto]],tabParametros[Incidência do Submódulo 2.1 sobre Ausências Legais])*tabCustoUnit[[#This Row],[MODULO 1 - REMUNERAÇÃO ]]</f>
        <v>9.0156397150750021</v>
      </c>
      <c r="BA312" s="22">
        <f>SUM(tabCustoUnit[[#This Row],[Ausência por Doença]:[Incidência do Submódulo 2.1 sobre Ausências Legais]])</f>
        <v>32.866538432204628</v>
      </c>
      <c r="BB312" s="22">
        <f>SUMIF(tabParametros[Código do Posto],tabCustoUnit[[#This Row],[Código do Posto]],tabParametros[Intervalo para Repouso ou Alimentação])</f>
        <v>267.73786489195959</v>
      </c>
      <c r="BC312" s="22">
        <f>tabCustoUnit[[#This Row],[Intervalo para Repouso ou Alimentação]]</f>
        <v>267.73786489195959</v>
      </c>
      <c r="BD31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2" s="22">
        <f>tabCustoUnit[[#This Row],[Suspensão Temporária do Contrato de Trabalho]]</f>
        <v>0</v>
      </c>
      <c r="BF312" s="22">
        <f>tabCustoUnit[[#This Row],[Submódulo 4.1]]+tabCustoUnit[[#This Row],[Submódulo 4.2]]+tabCustoUnit[[#This Row],[Submódulo 4.3]]</f>
        <v>300.6044033241642</v>
      </c>
      <c r="BG312" s="22">
        <f>VLOOKUP(tabCustoUnit[[#This Row],[Código do Posto]],tabParametros[],MATCH(tabCustoUnit[[#Headers],[Uniformes e EPIs]],tabParametros[#Headers],0),0)</f>
        <v>56.642978962543395</v>
      </c>
      <c r="BH312" s="22">
        <f>VLOOKUP(tabCustoUnit[[#This Row],[Código do Posto]],tabParametros[],MATCH(tabCustoUnit[[#Headers],[Materiais de Consumo]],tabParametros[#Headers],0),0)</f>
        <v>0</v>
      </c>
      <c r="BI312" s="22">
        <f>VLOOKUP(tabCustoUnit[[#This Row],[Código do Posto]],tabParametros[],MATCH(tabCustoUnit[[#Headers],[Máquinas e Equipamentos (depreciação)]],tabParametros[#Headers],0),0)</f>
        <v>0</v>
      </c>
      <c r="BJ312" s="22">
        <f>VLOOKUP(tabCustoUnit[[#This Row],[Código do Posto]],tabParametros[],MATCH(tabCustoUnit[[#Headers],[Produtos de Limpeza e Materiais de Higiene Pessoal]],tabParametros[#Headers],0),0)</f>
        <v>0</v>
      </c>
      <c r="BK312" s="22">
        <f>VLOOKUP(tabCustoUnit[[#This Row],[Código do Posto]],tabParametros[],MATCH(tabCustoUnit[[#Headers],[Outros (especificar)]],tabParametros[#Headers],0),0)</f>
        <v>0</v>
      </c>
      <c r="BL312" s="22">
        <f>SUM(tabCustoUnit[[#This Row],[Uniformes e EPIs]:[Outros (especificar)]])</f>
        <v>56.642978962543395</v>
      </c>
      <c r="BM31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2" s="22" t="e">
        <f ca="1">VLOOKUP(tabCustoUnit[[#This Row],[Código do Posto]],tabParametros[],MATCH(tabCustoUnit[[#Headers],[Custos Indiretos]],tabParametros[#Headers],0),0)</f>
        <v>#NAME?</v>
      </c>
      <c r="BO312" s="22" t="e">
        <f ca="1">VLOOKUP(tabCustoUnit[[#This Row],[Código do Posto]],tabParametros[],MATCH(tabCustoUnit[[#Headers],[Lucro]],tabParametros[#Headers],0),0)</f>
        <v>#NAME?</v>
      </c>
      <c r="BP312" s="26">
        <f>((100/((1-tabCustoUnit[[#This Row],[Resumo de Alíquotas (PIS+CONFINS+ISS)]]))-100)*VLOOKUP(tabCustoUnit[[#This Row],[Código do Posto]],tabParametros[],MATCH(tabCustoUnit[[#Headers],[COFINS]],tabParametros[#Headers],0),0))/(tabCustoUnit[[#This Row],[Resumo de Alíquotas (PIS+CONFINS+ISS)]]*100)</f>
        <v>8.6609686609686695E-2</v>
      </c>
      <c r="BQ312" s="26">
        <f>((100/((100-(tabCustoUnit[[#This Row],[Resumo de Alíquotas (PIS+CONFINS+ISS)]]*100))%)-100)*VLOOKUP(tabCustoUnit[[#This Row],[Código do Posto]],tabParametros[],MATCH(tabCustoUnit[[#Headers],[PIS]],tabParametros[#Headers],0),0))/(tabCustoUnit[[#This Row],[Resumo de Alíquotas (PIS+CONFINS+ISS)]]*100)</f>
        <v>1.880341880341882E-2</v>
      </c>
      <c r="BR312" s="28">
        <f>VLOOKUP(tabCustoUnit[[#This Row],[Código do Posto]],tabParametros[],MATCH(tabCustoUnit[[#Headers],[ISS]],tabParametros[#Headers],0),0)</f>
        <v>0.03</v>
      </c>
      <c r="BS312" s="26">
        <f>(((100/((100-(tabCustoUnit[[#This Row],[Resumo de Alíquotas (PIS+CONFINS+ISS)]]*100))%)-100)*tabCustoUnit[[#This Row],[ISS]])/tabCustoUnit[[#This Row],[Resumo de Alíquotas (PIS+CONFINS+ISS)]])/100</f>
        <v>3.4188034188034219E-2</v>
      </c>
      <c r="BT31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12" s="138">
        <f>tabCustoUnit[[#This Row],[COFINS]]+tabCustoUnit[[#This Row],[PIS]]+tabCustoUnit[[#This Row],[ISS (Conversão Alíquota s/ fatura)]]</f>
        <v>0.13960113960113973</v>
      </c>
      <c r="BV312" s="22" t="e">
        <f ca="1">(tabCustoUnit[[#This Row],[TOTAL MÓDULOS 1+2+3+4+5]]+tabCustoUnit[[#This Row],[Custos Indiretos]]+tabCustoUnit[[#This Row],[Lucro]])*tabCustoUnit[[#This Row],[PIS + COFINS + ISS (Total Conversão  Alíquota s/ Fatura)]]</f>
        <v>#NAME?</v>
      </c>
      <c r="BW312" s="22" t="e">
        <f ca="1">tabCustoUnit[[#This Row],[Custos Indiretos]]+tabCustoUnit[[#This Row],[Lucro]]+tabCustoUnit[[#This Row],[Valor dos Tributos (ISS, PIS, CONFINS)]]</f>
        <v>#NAME?</v>
      </c>
      <c r="BX312" s="22" t="e">
        <f ca="1">tabCustoUnit[[#This Row],[TOTAL MÓDULOS 1+2+3+4+5]]+tabCustoUnit[[#This Row],[MÓDULO 6 – CUSTOS INDIRETOS, TRIBUTOS E LUCRO]]</f>
        <v>#NAME?</v>
      </c>
      <c r="BY312" s="22" t="e">
        <f ca="1">tabCustoUnit[[#This Row],[CUSTO TOTAL MENSAL]]*12</f>
        <v>#NAME?</v>
      </c>
      <c r="BZ312" s="24">
        <f>VLOOKUP(tabCustoUnit[[#This Row],[Código do Posto]],tabParametros[],MATCH(tabCustoUnit[[#Headers],[ANO DA CCT]],tabParametros[#Headers],0),0)</f>
        <v>45658</v>
      </c>
      <c r="CA312" s="25" t="str">
        <f>VLOOKUP(tabCustoUnit[[#This Row],[Código do Posto]],tabParametros[],MATCH(tabCustoUnit[[#Headers],[Nº DE PEDIDO DA CCT]],tabParametros[#Headers],0),0)</f>
        <v>-</v>
      </c>
      <c r="CB312" s="25" t="str">
        <f>VLOOKUP(tabCustoUnit[[#This Row],[Código do Posto]],tabParametros[],MATCH(tabCustoUnit[[#Headers],[TERMO ADITIVO ALTERAÇÃO DA CCT]],tabParametros[#Headers],0),0)</f>
        <v>-</v>
      </c>
    </row>
    <row r="313" spans="1:80">
      <c r="A313" s="20" t="s">
        <v>1511</v>
      </c>
      <c r="B313" t="s">
        <v>1069</v>
      </c>
      <c r="C313" t="s">
        <v>200</v>
      </c>
      <c r="D313" t="s">
        <v>1069</v>
      </c>
      <c r="E313" s="20" t="s">
        <v>1090</v>
      </c>
      <c r="F313" s="20" t="s">
        <v>120</v>
      </c>
      <c r="G313" s="418">
        <v>1649.1152999999999</v>
      </c>
      <c r="H313" s="418">
        <v>0</v>
      </c>
      <c r="I313" s="418">
        <v>0</v>
      </c>
      <c r="J313" s="418">
        <v>0</v>
      </c>
      <c r="K313" s="418">
        <v>0</v>
      </c>
      <c r="L313" s="418">
        <v>0</v>
      </c>
      <c r="M313" s="418">
        <v>0</v>
      </c>
      <c r="N313" s="418">
        <v>0</v>
      </c>
      <c r="O313" s="21">
        <f>SUM(tabCustoUnit[[#This Row],[Salário Base]:[Adicional de Acúmulo de função]])</f>
        <v>1649.1152999999999</v>
      </c>
      <c r="P313" s="21">
        <f>tabCustoUnit[[#This Row],[MODULO 1 - REMUNERAÇÃO ]]*SUMIFS(tabParametros[INSS],tabParametros[Código do Posto],tabCustoUnit[[#This Row],[Código do Posto]])</f>
        <v>329.82306</v>
      </c>
      <c r="Q313" s="21">
        <f>tabCustoUnit[[#This Row],[MODULO 1 - REMUNERAÇÃO ]]*SUMIFS(tabParametros[SESI OU SESC],tabParametros[Código do Posto],tabCustoUnit[[#This Row],[Código do Posto]])</f>
        <v>24.736729499999999</v>
      </c>
      <c r="R313" s="21">
        <f>tabCustoUnit[[#This Row],[MODULO 1 - REMUNERAÇÃO ]]*SUMIFS(tabParametros[SENAI OU SENAC],tabParametros[Código do Posto],tabCustoUnit[[#This Row],[Código do Posto]])</f>
        <v>16.491153000000001</v>
      </c>
      <c r="S313" s="21">
        <f>tabCustoUnit[[#This Row],[MODULO 1 - REMUNERAÇÃO ]]*SUMIFS(tabParametros[INCRA],tabParametros[Código do Posto],tabCustoUnit[[#This Row],[Código do Posto]])</f>
        <v>3.2982306000000001</v>
      </c>
      <c r="T313" s="21">
        <f>tabCustoUnit[[#This Row],[MODULO 1 - REMUNERAÇÃO ]]*SUMIFS(tabParametros[Salário Educação],tabParametros[Código do Posto],tabCustoUnit[[#This Row],[Código do Posto]])</f>
        <v>41.2278825</v>
      </c>
      <c r="U313" s="21">
        <f>tabCustoUnit[[#This Row],[MODULO 1 - REMUNERAÇÃO ]]*SUMIFS(tabParametros[FGTS],tabParametros[Código do Posto],tabCustoUnit[[#This Row],[Código do Posto]])</f>
        <v>131.929224</v>
      </c>
      <c r="V313" s="21">
        <f>tabCustoUnit[[#This Row],[MODULO 1 - REMUNERAÇÃO ]]*SUMIFS(tabParametros[RAT Ajustado],tabParametros[Código do Posto],tabCustoUnit[[#This Row],[Código do Posto]])</f>
        <v>65.964612000000002</v>
      </c>
      <c r="W313" s="21">
        <f>tabCustoUnit[[#This Row],[MODULO 1 - REMUNERAÇÃO ]]*SUMIFS(tabParametros[SEBRAE],tabParametros[Código do Posto],tabCustoUnit[[#This Row],[Código do Posto]])</f>
        <v>9.8946918000000004</v>
      </c>
      <c r="X313" s="21">
        <f>SUM(tabCustoUnit[[#This Row],[INSS]:[SEBRAE]])</f>
        <v>623.36558340000011</v>
      </c>
      <c r="Y313" s="21">
        <f>tabCustoUnit[[#This Row],[MODULO 1 - REMUNERAÇÃO ]]*SUMIFS(tabParametros[13º salário (titular)],tabParametros[Código do Posto],tabCustoUnit[[#This Row],[Código do Posto]])</f>
        <v>137.42627499999998</v>
      </c>
      <c r="Z313" s="21">
        <f>tabCustoUnit[[#This Row],[MODULO 1 - REMUNERAÇÃO ]]*SUMIFS(tabParametros[Férias e Adicional de Férias (titular)],tabParametros[Código do Posto],tabCustoUnit[[#This Row],[Código do Posto]])</f>
        <v>183.23503333333332</v>
      </c>
      <c r="AA313" s="21">
        <f>IFERROR((tabCustoUnit[[#This Row],[Submódulo 2.1]]/tabCustoUnit[[#This Row],[MODULO 1 - REMUNERAÇÃO ]])*SUM(tabCustoUnit[[#This Row],[13º salário (titular)]:[Férias e Adicional de Férias (titular)]]),0)</f>
        <v>121.20997455</v>
      </c>
      <c r="AB313" s="21">
        <f>SUM(tabCustoUnit[[#This Row],[13º salário (titular)]:[Incidência do Submódulo 2.1 sobre 13º Salário, Férias e Adicional de Férias]])</f>
        <v>441.87128288333327</v>
      </c>
      <c r="AC313" s="22" t="e">
        <f ca="1">_xlfn.LET(_xlpm.VT,SUMIF(tabParametros[Código do Posto],tabCustoUnit[[#This Row],[Código do Posto]],tabParametros[Vale - Transporte])*2*20,
IF((_xlpm.VT-tabCustoUnit[[#This Row],[Salário Base]]*0.06)&gt;=0,(_xlpm.VT-tabCustoUnit[[#This Row],[Salário Base]]*0.06),0)
)</f>
        <v>#NAME?</v>
      </c>
      <c r="AD313" s="22">
        <f>IF(SUMIF(tabParametros[Código do Posto],tabCustoUnit[[#This Row],[Código do Posto]],tabParametros[Vale - Alimentação])&lt;=0,0,
SUMIF(tabParametros[Código do Posto],tabCustoUnit[[#This Row],[Código do Posto]],tabParametros[Vale - Alimentação])*20-1)</f>
        <v>582</v>
      </c>
      <c r="AE313" s="22">
        <f>SUMIF(tabParametros[Código do Posto],tabCustoUnit[[#This Row],[Código do Posto]],tabParametros[Cesta Básica])</f>
        <v>0</v>
      </c>
      <c r="AF313" s="22">
        <f>SUMIF(tabParametros[Código do Posto],tabCustoUnit[[#This Row],[Código do Posto]],tabParametros[PAF])</f>
        <v>51.86</v>
      </c>
      <c r="AG313" s="22">
        <f>SUMIF(tabParametros[Código do Posto],tabCustoUnit[[#This Row],[Código do Posto]],tabParametros[PQM])</f>
        <v>0</v>
      </c>
      <c r="AH313" s="22">
        <f>SUMIF(tabParametros[Código do Posto],tabCustoUnit[[#This Row],[Código do Posto]],tabParametros[Abono Único e Especial])</f>
        <v>0</v>
      </c>
      <c r="AI313" s="22">
        <f>SUMIF(tabParametros[Código do Posto],tabCustoUnit[[#This Row],[Código do Posto]],tabParametros[Seguro de Vida])</f>
        <v>3.36</v>
      </c>
      <c r="AJ313" s="22">
        <f>SUMIF(tabParametros[Código do Posto],tabCustoUnit[[#This Row],[Código do Posto]],tabParametros[Despesas de Viagem])</f>
        <v>0</v>
      </c>
      <c r="AK313" s="22" t="e">
        <f ca="1">SUM(tabCustoUnit[[#This Row],[Vale - Transporte (Descontada parcela do empregado)]:[Despesas de Viagem]])</f>
        <v>#NAME?</v>
      </c>
      <c r="AL313" s="22" t="e">
        <f ca="1">tabCustoUnit[[#This Row],[Submódulo 2.1]]+tabCustoUnit[[#This Row],[Submódulo 2.2]]+tabCustoUnit[[#This Row],[Submódulo 2.3]]</f>
        <v>#NAME?</v>
      </c>
      <c r="AM313" s="22">
        <f>SUMIF(tabParametros[Código do Posto],tabCustoUnit[[#This Row],[Código do Posto]],tabParametros[Aviso Prévio Indenizado (API) e Reflexo do Aviso Prévio Indenizado])*tabCustoUnit[[#This Row],[MODULO 1 - REMUNERAÇÃO ]]</f>
        <v>11.563212199016203</v>
      </c>
      <c r="AN313" s="22">
        <f>SUMIF(tabParametros[Código do Posto],tabCustoUnit[[#This Row],[Código do Posto]],tabParametros[Incidência do FGTS sobre API e Reflexo do API])*tabCustoUnit[[#This Row],[MODULO 1 - REMUNERAÇÃO ]]</f>
        <v>0.92505697592129632</v>
      </c>
      <c r="AO313" s="22">
        <f>SUMIF(tabParametros[Código do Posto],tabCustoUnit[[#This Row],[Código do Posto]],tabParametros[Multa Rescisória do FGTS sobre o Aviso Prévio Indenizado])*tabCustoUnit[[#This Row],[MODULO 1 - REMUNERAÇÃO ]]</f>
        <v>0.37002279036851859</v>
      </c>
      <c r="AP313" s="22">
        <f>SUMIF(tabParametros[Código do Posto],tabCustoUnit[[#This Row],[Código do Posto]],tabParametros[Aviso Prévio Trabalhado - APT])*tabCustoUnit[[#This Row],[MODULO 1 - REMUNERAÇÃO ]]</f>
        <v>5.7719035500000002</v>
      </c>
      <c r="AQ313" s="22">
        <f>SUMIF(tabParametros[Código do Posto],tabCustoUnit[[#This Row],[Código do Posto]],tabParametros[Incidência dos encargos do submódulo 2.1 sobre Aviso Prévio Trabalhado])*tabCustoUnit[[#This Row],[MODULO 1 - REMUNERAÇÃO ]]</f>
        <v>2.1817795419000006</v>
      </c>
      <c r="AR313" s="22">
        <f>SUMIF(tabParametros[Código do Posto],tabCustoUnit[[#This Row],[Código do Posto]],tabParametros[Multa Rescisória do FGTS])*tabCustoUnit[[#This Row],[MODULO 1 - REMUNERAÇÃO ]]</f>
        <v>50.426281173333322</v>
      </c>
      <c r="AS313" s="22">
        <f>SUMIF(tabParametros[Código do Posto],tabCustoUnit[[#This Row],[Código do Posto]],tabParametros[Indenização Adicional (Art. 9º da Lei nº 7.238/84)])*tabCustoUnit[[#This Row],[MODULO 1 - REMUNERAÇÃO ]]</f>
        <v>1.37426275</v>
      </c>
      <c r="AT313" s="22">
        <f>SUM(tabCustoUnit[[#This Row],[Aviso Prévio Indenizado (API) e Reflexo do Aviso Prévio Indenizado]:[Indenização Adicional (Art. 9º da Lei nº 7.238/84)]])</f>
        <v>72.612518980539335</v>
      </c>
      <c r="AU313" s="22">
        <f>SUMIF(tabParametros[Código do Posto],tabCustoUnit[[#This Row],[Código do Posto]],tabParametros[Ausência por Doença])*tabCustoUnit[[#This Row],[MODULO 1 - REMUNERAÇÃO ]]</f>
        <v>13.925862533333332</v>
      </c>
      <c r="AV313" s="22">
        <f>SUMIF(tabParametros[Código do Posto],tabCustoUnit[[#This Row],[Código do Posto]],tabParametros[Ausências Legais])*tabCustoUnit[[#This Row],[MODULO 1 - REMUNERAÇÃO ]]</f>
        <v>3.3440393583333332</v>
      </c>
      <c r="AW313" s="22">
        <f>SUMIF(tabParametros[Código do Posto],tabCustoUnit[[#This Row],[Código do Posto]],tabParametros[Licença Paternidade])*tabCustoUnit[[#This Row],[MODULO 1 - REMUNERAÇÃO ]]</f>
        <v>0.28172386374999997</v>
      </c>
      <c r="AX313" s="22">
        <f>SUMIF(tabParametros[Código do Posto],tabCustoUnit[[#This Row],[Código do Posto]],tabParametros[Ausência por Acidente de Trabalho])*tabCustoUnit[[#This Row],[MODULO 1 - REMUNERAÇÃO ]]</f>
        <v>0.34356568749999999</v>
      </c>
      <c r="AY313" s="22">
        <f>SUMIF(tabParametros[Código do Posto],tabCustoUnit[[#This Row],[Código do Posto]],tabParametros[Férias, Adicional de Férias e 13º  com empregada em gozo de Licença Maternidade])*tabCustoUnit[[#This Row],[MODULO 1 - REMUNERAÇÃO ]]</f>
        <v>2.1377420555555555</v>
      </c>
      <c r="AZ313" s="22">
        <f>SUMIF(tabParametros[Código do Posto],tabCustoUnit[[#This Row],[Código do Posto]],tabParametros[Incidência do Submódulo 2.1 sobre Ausências Legais])*tabCustoUnit[[#This Row],[MODULO 1 - REMUNERAÇÃO ]]</f>
        <v>7.572448862422501</v>
      </c>
      <c r="BA313" s="22">
        <f>SUM(tabCustoUnit[[#This Row],[Ausência por Doença]:[Incidência do Submódulo 2.1 sobre Ausências Legais]])</f>
        <v>27.605382360894719</v>
      </c>
      <c r="BB313" s="22">
        <f>SUMIF(tabParametros[Código do Posto],tabCustoUnit[[#This Row],[Código do Posto]],tabParametros[Intervalo para Repouso ou Alimentação])</f>
        <v>0</v>
      </c>
      <c r="BC313" s="22">
        <f>tabCustoUnit[[#This Row],[Intervalo para Repouso ou Alimentação]]</f>
        <v>0</v>
      </c>
      <c r="BD31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3" s="22">
        <f>tabCustoUnit[[#This Row],[Suspensão Temporária do Contrato de Trabalho]]</f>
        <v>0</v>
      </c>
      <c r="BF313" s="22">
        <f>tabCustoUnit[[#This Row],[Submódulo 4.1]]+tabCustoUnit[[#This Row],[Submódulo 4.2]]+tabCustoUnit[[#This Row],[Submódulo 4.3]]</f>
        <v>27.605382360894719</v>
      </c>
      <c r="BG313" s="22">
        <f>VLOOKUP(tabCustoUnit[[#This Row],[Código do Posto]],tabParametros[],MATCH(tabCustoUnit[[#Headers],[Uniformes e EPIs]],tabParametros[#Headers],0),0)</f>
        <v>56.141713661989918</v>
      </c>
      <c r="BH313" s="22">
        <f>VLOOKUP(tabCustoUnit[[#This Row],[Código do Posto]],tabParametros[],MATCH(tabCustoUnit[[#Headers],[Materiais de Consumo]],tabParametros[#Headers],0),0)</f>
        <v>0</v>
      </c>
      <c r="BI313" s="22">
        <f>VLOOKUP(tabCustoUnit[[#This Row],[Código do Posto]],tabParametros[],MATCH(tabCustoUnit[[#Headers],[Máquinas e Equipamentos (depreciação)]],tabParametros[#Headers],0),0)</f>
        <v>0</v>
      </c>
      <c r="BJ313" s="22">
        <f>VLOOKUP(tabCustoUnit[[#This Row],[Código do Posto]],tabParametros[],MATCH(tabCustoUnit[[#Headers],[Produtos de Limpeza e Materiais de Higiene Pessoal]],tabParametros[#Headers],0),0)</f>
        <v>0</v>
      </c>
      <c r="BK313" s="22">
        <f>VLOOKUP(tabCustoUnit[[#This Row],[Código do Posto]],tabParametros[],MATCH(tabCustoUnit[[#Headers],[Outros (especificar)]],tabParametros[#Headers],0),0)</f>
        <v>0</v>
      </c>
      <c r="BL313" s="22">
        <f>SUM(tabCustoUnit[[#This Row],[Uniformes e EPIs]:[Outros (especificar)]])</f>
        <v>56.141713661989918</v>
      </c>
      <c r="BM31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3" s="22" t="e">
        <f ca="1">VLOOKUP(tabCustoUnit[[#This Row],[Código do Posto]],tabParametros[],MATCH(tabCustoUnit[[#Headers],[Custos Indiretos]],tabParametros[#Headers],0),0)</f>
        <v>#NAME?</v>
      </c>
      <c r="BO313" s="22" t="e">
        <f ca="1">VLOOKUP(tabCustoUnit[[#This Row],[Código do Posto]],tabParametros[],MATCH(tabCustoUnit[[#Headers],[Lucro]],tabParametros[#Headers],0),0)</f>
        <v>#NAME?</v>
      </c>
      <c r="BP313" s="26">
        <f>((100/((1-tabCustoUnit[[#This Row],[Resumo de Alíquotas (PIS+CONFINS+ISS)]]))-100)*VLOOKUP(tabCustoUnit[[#This Row],[Código do Posto]],tabParametros[],MATCH(tabCustoUnit[[#Headers],[COFINS]],tabParametros[#Headers],0),0))/(tabCustoUnit[[#This Row],[Resumo de Alíquotas (PIS+CONFINS+ISS)]]*100)</f>
        <v>8.6609686609686695E-2</v>
      </c>
      <c r="BQ313" s="26">
        <f>((100/((100-(tabCustoUnit[[#This Row],[Resumo de Alíquotas (PIS+CONFINS+ISS)]]*100))%)-100)*VLOOKUP(tabCustoUnit[[#This Row],[Código do Posto]],tabParametros[],MATCH(tabCustoUnit[[#Headers],[PIS]],tabParametros[#Headers],0),0))/(tabCustoUnit[[#This Row],[Resumo de Alíquotas (PIS+CONFINS+ISS)]]*100)</f>
        <v>1.880341880341882E-2</v>
      </c>
      <c r="BR313" s="28">
        <f>VLOOKUP(tabCustoUnit[[#This Row],[Código do Posto]],tabParametros[],MATCH(tabCustoUnit[[#Headers],[ISS]],tabParametros[#Headers],0),0)</f>
        <v>0.03</v>
      </c>
      <c r="BS313" s="26">
        <f>(((100/((100-(tabCustoUnit[[#This Row],[Resumo de Alíquotas (PIS+CONFINS+ISS)]]*100))%)-100)*tabCustoUnit[[#This Row],[ISS]])/tabCustoUnit[[#This Row],[Resumo de Alíquotas (PIS+CONFINS+ISS)]])/100</f>
        <v>3.4188034188034219E-2</v>
      </c>
      <c r="BT31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13" s="138">
        <f>tabCustoUnit[[#This Row],[COFINS]]+tabCustoUnit[[#This Row],[PIS]]+tabCustoUnit[[#This Row],[ISS (Conversão Alíquota s/ fatura)]]</f>
        <v>0.13960113960113973</v>
      </c>
      <c r="BV313" s="22" t="e">
        <f ca="1">(tabCustoUnit[[#This Row],[TOTAL MÓDULOS 1+2+3+4+5]]+tabCustoUnit[[#This Row],[Custos Indiretos]]+tabCustoUnit[[#This Row],[Lucro]])*tabCustoUnit[[#This Row],[PIS + COFINS + ISS (Total Conversão  Alíquota s/ Fatura)]]</f>
        <v>#NAME?</v>
      </c>
      <c r="BW313" s="22" t="e">
        <f ca="1">tabCustoUnit[[#This Row],[Custos Indiretos]]+tabCustoUnit[[#This Row],[Lucro]]+tabCustoUnit[[#This Row],[Valor dos Tributos (ISS, PIS, CONFINS)]]</f>
        <v>#NAME?</v>
      </c>
      <c r="BX313" s="22" t="e">
        <f ca="1">tabCustoUnit[[#This Row],[TOTAL MÓDULOS 1+2+3+4+5]]+tabCustoUnit[[#This Row],[MÓDULO 6 – CUSTOS INDIRETOS, TRIBUTOS E LUCRO]]</f>
        <v>#NAME?</v>
      </c>
      <c r="BY313" s="22" t="e">
        <f ca="1">tabCustoUnit[[#This Row],[CUSTO TOTAL MENSAL]]*12</f>
        <v>#NAME?</v>
      </c>
      <c r="BZ313" s="24">
        <f>VLOOKUP(tabCustoUnit[[#This Row],[Código do Posto]],tabParametros[],MATCH(tabCustoUnit[[#Headers],[ANO DA CCT]],tabParametros[#Headers],0),0)</f>
        <v>45658</v>
      </c>
      <c r="CA313" s="25" t="str">
        <f>VLOOKUP(tabCustoUnit[[#This Row],[Código do Posto]],tabParametros[],MATCH(tabCustoUnit[[#Headers],[Nº DE PEDIDO DA CCT]],tabParametros[#Headers],0),0)</f>
        <v>-</v>
      </c>
      <c r="CB313" s="25" t="str">
        <f>VLOOKUP(tabCustoUnit[[#This Row],[Código do Posto]],tabParametros[],MATCH(tabCustoUnit[[#Headers],[TERMO ADITIVO ALTERAÇÃO DA CCT]],tabParametros[#Headers],0),0)</f>
        <v>-</v>
      </c>
    </row>
    <row r="314" spans="1:80">
      <c r="A314" s="20" t="s">
        <v>1512</v>
      </c>
      <c r="B314" t="s">
        <v>1069</v>
      </c>
      <c r="C314" t="s">
        <v>214</v>
      </c>
      <c r="D314" t="s">
        <v>1054</v>
      </c>
      <c r="E314" s="20" t="s">
        <v>1090</v>
      </c>
      <c r="F314" s="20" t="s">
        <v>120</v>
      </c>
      <c r="G314" s="418">
        <v>1836.5985000000001</v>
      </c>
      <c r="H314" s="418">
        <v>0</v>
      </c>
      <c r="I314" s="418">
        <v>0</v>
      </c>
      <c r="J314" s="418">
        <v>0</v>
      </c>
      <c r="K314" s="418">
        <v>0</v>
      </c>
      <c r="L314" s="418">
        <v>0</v>
      </c>
      <c r="M314" s="418">
        <v>0</v>
      </c>
      <c r="N314" s="418">
        <v>0</v>
      </c>
      <c r="O314" s="21">
        <f>SUM(tabCustoUnit[[#This Row],[Salário Base]:[Adicional de Acúmulo de função]])</f>
        <v>1836.5985000000001</v>
      </c>
      <c r="P314" s="21">
        <f>tabCustoUnit[[#This Row],[MODULO 1 - REMUNERAÇÃO ]]*SUMIFS(tabParametros[INSS],tabParametros[Código do Posto],tabCustoUnit[[#This Row],[Código do Posto]])</f>
        <v>367.31970000000001</v>
      </c>
      <c r="Q314" s="21">
        <f>tabCustoUnit[[#This Row],[MODULO 1 - REMUNERAÇÃO ]]*SUMIFS(tabParametros[SESI OU SESC],tabParametros[Código do Posto],tabCustoUnit[[#This Row],[Código do Posto]])</f>
        <v>27.548977499999999</v>
      </c>
      <c r="R314" s="21">
        <f>tabCustoUnit[[#This Row],[MODULO 1 - REMUNERAÇÃO ]]*SUMIFS(tabParametros[SENAI OU SENAC],tabParametros[Código do Posto],tabCustoUnit[[#This Row],[Código do Posto]])</f>
        <v>18.365985000000002</v>
      </c>
      <c r="S314" s="21">
        <f>tabCustoUnit[[#This Row],[MODULO 1 - REMUNERAÇÃO ]]*SUMIFS(tabParametros[INCRA],tabParametros[Código do Posto],tabCustoUnit[[#This Row],[Código do Posto]])</f>
        <v>3.673197</v>
      </c>
      <c r="T314" s="21">
        <f>tabCustoUnit[[#This Row],[MODULO 1 - REMUNERAÇÃO ]]*SUMIFS(tabParametros[Salário Educação],tabParametros[Código do Posto],tabCustoUnit[[#This Row],[Código do Posto]])</f>
        <v>45.914962500000001</v>
      </c>
      <c r="U314" s="21">
        <f>tabCustoUnit[[#This Row],[MODULO 1 - REMUNERAÇÃO ]]*SUMIFS(tabParametros[FGTS],tabParametros[Código do Posto],tabCustoUnit[[#This Row],[Código do Posto]])</f>
        <v>146.92788000000002</v>
      </c>
      <c r="V314" s="21">
        <f>tabCustoUnit[[#This Row],[MODULO 1 - REMUNERAÇÃO ]]*SUMIFS(tabParametros[RAT Ajustado],tabParametros[Código do Posto],tabCustoUnit[[#This Row],[Código do Posto]])</f>
        <v>73.463940000000008</v>
      </c>
      <c r="W314" s="21">
        <f>tabCustoUnit[[#This Row],[MODULO 1 - REMUNERAÇÃO ]]*SUMIFS(tabParametros[SEBRAE],tabParametros[Código do Posto],tabCustoUnit[[#This Row],[Código do Posto]])</f>
        <v>11.019591</v>
      </c>
      <c r="X314" s="21">
        <f>SUM(tabCustoUnit[[#This Row],[INSS]:[SEBRAE]])</f>
        <v>694.23423300000002</v>
      </c>
      <c r="Y314" s="21">
        <f>tabCustoUnit[[#This Row],[MODULO 1 - REMUNERAÇÃO ]]*SUMIFS(tabParametros[13º salário (titular)],tabParametros[Código do Posto],tabCustoUnit[[#This Row],[Código do Posto]])</f>
        <v>153.04987499999999</v>
      </c>
      <c r="Z314" s="21">
        <f>tabCustoUnit[[#This Row],[MODULO 1 - REMUNERAÇÃO ]]*SUMIFS(tabParametros[Férias e Adicional de Férias (titular)],tabParametros[Código do Posto],tabCustoUnit[[#This Row],[Código do Posto]])</f>
        <v>204.06649999999999</v>
      </c>
      <c r="AA314" s="21">
        <f>IFERROR((tabCustoUnit[[#This Row],[Submódulo 2.1]]/tabCustoUnit[[#This Row],[MODULO 1 - REMUNERAÇÃO ]])*SUM(tabCustoUnit[[#This Row],[13º salário (titular)]:[Férias e Adicional de Férias (titular)]]),0)</f>
        <v>134.98998974999998</v>
      </c>
      <c r="AB314" s="21">
        <f>SUM(tabCustoUnit[[#This Row],[13º salário (titular)]:[Incidência do Submódulo 2.1 sobre 13º Salário, Férias e Adicional de Férias]])</f>
        <v>492.1063647499999</v>
      </c>
      <c r="AC314" s="22" t="e">
        <f ca="1">_xlfn.LET(_xlpm.VT,SUMIF(tabParametros[Código do Posto],tabCustoUnit[[#This Row],[Código do Posto]],tabParametros[Vale - Transporte])*2*20,
IF((_xlpm.VT-tabCustoUnit[[#This Row],[Salário Base]]*0.06)&gt;=0,(_xlpm.VT-tabCustoUnit[[#This Row],[Salário Base]]*0.06),0)
)</f>
        <v>#NAME?</v>
      </c>
      <c r="AD314" s="22">
        <f>IF(SUMIF(tabParametros[Código do Posto],tabCustoUnit[[#This Row],[Código do Posto]],tabParametros[Vale - Alimentação])&lt;=0,0,
SUMIF(tabParametros[Código do Posto],tabCustoUnit[[#This Row],[Código do Posto]],tabParametros[Vale - Alimentação])*20-1)</f>
        <v>581.79999999999995</v>
      </c>
      <c r="AE314" s="22">
        <f>SUMIF(tabParametros[Código do Posto],tabCustoUnit[[#This Row],[Código do Posto]],tabParametros[Cesta Básica])</f>
        <v>0</v>
      </c>
      <c r="AF314" s="22">
        <f>SUMIF(tabParametros[Código do Posto],tabCustoUnit[[#This Row],[Código do Posto]],tabParametros[PAF])</f>
        <v>51.73</v>
      </c>
      <c r="AG314" s="22">
        <f>SUMIF(tabParametros[Código do Posto],tabCustoUnit[[#This Row],[Código do Posto]],tabParametros[PQM])</f>
        <v>0</v>
      </c>
      <c r="AH314" s="22">
        <f>SUMIF(tabParametros[Código do Posto],tabCustoUnit[[#This Row],[Código do Posto]],tabParametros[Abono Único e Especial])</f>
        <v>0</v>
      </c>
      <c r="AI314" s="22">
        <f>SUMIF(tabParametros[Código do Posto],tabCustoUnit[[#This Row],[Código do Posto]],tabParametros[Seguro de Vida])</f>
        <v>3.36</v>
      </c>
      <c r="AJ314" s="22">
        <f>SUMIF(tabParametros[Código do Posto],tabCustoUnit[[#This Row],[Código do Posto]],tabParametros[Despesas de Viagem])</f>
        <v>0</v>
      </c>
      <c r="AK314" s="22" t="e">
        <f ca="1">SUM(tabCustoUnit[[#This Row],[Vale - Transporte (Descontada parcela do empregado)]:[Despesas de Viagem]])</f>
        <v>#NAME?</v>
      </c>
      <c r="AL314" s="22" t="e">
        <f ca="1">tabCustoUnit[[#This Row],[Submódulo 2.1]]+tabCustoUnit[[#This Row],[Submódulo 2.2]]+tabCustoUnit[[#This Row],[Submódulo 2.3]]</f>
        <v>#NAME?</v>
      </c>
      <c r="AM314" s="22">
        <f>SUMIF(tabParametros[Código do Posto],tabCustoUnit[[#This Row],[Código do Posto]],tabParametros[Aviso Prévio Indenizado (API) e Reflexo do Aviso Prévio Indenizado])*tabCustoUnit[[#This Row],[MODULO 1 - REMUNERAÇÃO ]]</f>
        <v>12.87780070920139</v>
      </c>
      <c r="AN314" s="22">
        <f>SUMIF(tabParametros[Código do Posto],tabCustoUnit[[#This Row],[Código do Posto]],tabParametros[Incidência do FGTS sobre API e Reflexo do API])*tabCustoUnit[[#This Row],[MODULO 1 - REMUNERAÇÃO ]]</f>
        <v>1.0302240567361112</v>
      </c>
      <c r="AO314" s="22">
        <f>SUMIF(tabParametros[Código do Posto],tabCustoUnit[[#This Row],[Código do Posto]],tabParametros[Multa Rescisória do FGTS sobre o Aviso Prévio Indenizado])*tabCustoUnit[[#This Row],[MODULO 1 - REMUNERAÇÃO ]]</f>
        <v>0.41208962269444455</v>
      </c>
      <c r="AP314" s="22">
        <f>SUMIF(tabParametros[Código do Posto],tabCustoUnit[[#This Row],[Código do Posto]],tabParametros[Aviso Prévio Trabalhado - APT])*tabCustoUnit[[#This Row],[MODULO 1 - REMUNERAÇÃO ]]</f>
        <v>6.4280947500000014</v>
      </c>
      <c r="AQ314" s="22">
        <f>SUMIF(tabParametros[Código do Posto],tabCustoUnit[[#This Row],[Código do Posto]],tabParametros[Incidência dos encargos do submódulo 2.1 sobre Aviso Prévio Trabalhado])*tabCustoUnit[[#This Row],[MODULO 1 - REMUNERAÇÃO ]]</f>
        <v>2.4298198155000006</v>
      </c>
      <c r="AR314" s="22">
        <f>SUMIF(tabParametros[Código do Posto],tabCustoUnit[[#This Row],[Código do Posto]],tabParametros[Multa Rescisória do FGTS])*tabCustoUnit[[#This Row],[MODULO 1 - REMUNERAÇÃO ]]</f>
        <v>56.15910079999999</v>
      </c>
      <c r="AS314" s="22">
        <f>SUMIF(tabParametros[Código do Posto],tabCustoUnit[[#This Row],[Código do Posto]],tabParametros[Indenização Adicional (Art. 9º da Lei nº 7.238/84)])*tabCustoUnit[[#This Row],[MODULO 1 - REMUNERAÇÃO ]]</f>
        <v>1.5304987500000002</v>
      </c>
      <c r="AT314" s="22">
        <f>SUM(tabCustoUnit[[#This Row],[Aviso Prévio Indenizado (API) e Reflexo do Aviso Prévio Indenizado]:[Indenização Adicional (Art. 9º da Lei nº 7.238/84)]])</f>
        <v>80.867628504131943</v>
      </c>
      <c r="AU314" s="22">
        <f>SUMIF(tabParametros[Código do Posto],tabCustoUnit[[#This Row],[Código do Posto]],tabParametros[Ausência por Doença])*tabCustoUnit[[#This Row],[MODULO 1 - REMUNERAÇÃO ]]</f>
        <v>15.509053999999999</v>
      </c>
      <c r="AV314" s="22">
        <f>SUMIF(tabParametros[Código do Posto],tabCustoUnit[[#This Row],[Código do Posto]],tabParametros[Ausências Legais])*tabCustoUnit[[#This Row],[MODULO 1 - REMUNERAÇÃO ]]</f>
        <v>3.724213625</v>
      </c>
      <c r="AW314" s="22">
        <f>SUMIF(tabParametros[Código do Posto],tabCustoUnit[[#This Row],[Código do Posto]],tabParametros[Licença Paternidade])*tabCustoUnit[[#This Row],[MODULO 1 - REMUNERAÇÃO ]]</f>
        <v>0.31375224374999999</v>
      </c>
      <c r="AX314" s="22">
        <f>SUMIF(tabParametros[Código do Posto],tabCustoUnit[[#This Row],[Código do Posto]],tabParametros[Ausência por Acidente de Trabalho])*tabCustoUnit[[#This Row],[MODULO 1 - REMUNERAÇÃO ]]</f>
        <v>0.38262468750000006</v>
      </c>
      <c r="AY314" s="22">
        <f>SUMIF(tabParametros[Código do Posto],tabCustoUnit[[#This Row],[Código do Posto]],tabParametros[Férias, Adicional de Férias e 13º  com empregada em gozo de Licença Maternidade])*tabCustoUnit[[#This Row],[MODULO 1 - REMUNERAÇÃO ]]</f>
        <v>2.3807758333333333</v>
      </c>
      <c r="AZ314" s="22">
        <f>SUMIF(tabParametros[Código do Posto],tabCustoUnit[[#This Row],[Código do Posto]],tabParametros[Incidência do Submódulo 2.1 sobre Ausências Legais])*tabCustoUnit[[#This Row],[MODULO 1 - REMUNERAÇÃO ]]</f>
        <v>8.4333389072625025</v>
      </c>
      <c r="BA314" s="22">
        <f>SUM(tabCustoUnit[[#This Row],[Ausência por Doença]:[Incidência do Submódulo 2.1 sobre Ausências Legais]])</f>
        <v>30.743759296845838</v>
      </c>
      <c r="BB314" s="22">
        <f>SUMIF(tabParametros[Código do Posto],tabCustoUnit[[#This Row],[Código do Posto]],tabParametros[Intervalo para Repouso ou Alimentação])</f>
        <v>0</v>
      </c>
      <c r="BC314" s="22">
        <f>tabCustoUnit[[#This Row],[Intervalo para Repouso ou Alimentação]]</f>
        <v>0</v>
      </c>
      <c r="BD31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4" s="22">
        <f>tabCustoUnit[[#This Row],[Suspensão Temporária do Contrato de Trabalho]]</f>
        <v>0</v>
      </c>
      <c r="BF314" s="22">
        <f>tabCustoUnit[[#This Row],[Submódulo 4.1]]+tabCustoUnit[[#This Row],[Submódulo 4.2]]+tabCustoUnit[[#This Row],[Submódulo 4.3]]</f>
        <v>30.743759296845838</v>
      </c>
      <c r="BG314" s="22">
        <f>VLOOKUP(tabCustoUnit[[#This Row],[Código do Posto]],tabParametros[],MATCH(tabCustoUnit[[#Headers],[Uniformes e EPIs]],tabParametros[#Headers],0),0)</f>
        <v>44.111346448706357</v>
      </c>
      <c r="BH314" s="22">
        <f>VLOOKUP(tabCustoUnit[[#This Row],[Código do Posto]],tabParametros[],MATCH(tabCustoUnit[[#Headers],[Materiais de Consumo]],tabParametros[#Headers],0),0)</f>
        <v>0</v>
      </c>
      <c r="BI314" s="22">
        <f>VLOOKUP(tabCustoUnit[[#This Row],[Código do Posto]],tabParametros[],MATCH(tabCustoUnit[[#Headers],[Máquinas e Equipamentos (depreciação)]],tabParametros[#Headers],0),0)</f>
        <v>0</v>
      </c>
      <c r="BJ314" s="22">
        <f>VLOOKUP(tabCustoUnit[[#This Row],[Código do Posto]],tabParametros[],MATCH(tabCustoUnit[[#Headers],[Produtos de Limpeza e Materiais de Higiene Pessoal]],tabParametros[#Headers],0),0)</f>
        <v>0</v>
      </c>
      <c r="BK314" s="22">
        <f>VLOOKUP(tabCustoUnit[[#This Row],[Código do Posto]],tabParametros[],MATCH(tabCustoUnit[[#Headers],[Outros (especificar)]],tabParametros[#Headers],0),0)</f>
        <v>0</v>
      </c>
      <c r="BL314" s="22">
        <f>SUM(tabCustoUnit[[#This Row],[Uniformes e EPIs]:[Outros (especificar)]])</f>
        <v>44.111346448706357</v>
      </c>
      <c r="BM31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4" s="22" t="e">
        <f ca="1">VLOOKUP(tabCustoUnit[[#This Row],[Código do Posto]],tabParametros[],MATCH(tabCustoUnit[[#Headers],[Custos Indiretos]],tabParametros[#Headers],0),0)</f>
        <v>#NAME?</v>
      </c>
      <c r="BO314" s="22" t="e">
        <f ca="1">VLOOKUP(tabCustoUnit[[#This Row],[Código do Posto]],tabParametros[],MATCH(tabCustoUnit[[#Headers],[Lucro]],tabParametros[#Headers],0),0)</f>
        <v>#NAME?</v>
      </c>
      <c r="BP314" s="26">
        <f>((100/((1-tabCustoUnit[[#This Row],[Resumo de Alíquotas (PIS+CONFINS+ISS)]]))-100)*VLOOKUP(tabCustoUnit[[#This Row],[Código do Posto]],tabParametros[],MATCH(tabCustoUnit[[#Headers],[COFINS]],tabParametros[#Headers],0),0))/(tabCustoUnit[[#This Row],[Resumo de Alíquotas (PIS+CONFINS+ISS)]]*100)</f>
        <v>8.6609686609686695E-2</v>
      </c>
      <c r="BQ314" s="26">
        <f>((100/((100-(tabCustoUnit[[#This Row],[Resumo de Alíquotas (PIS+CONFINS+ISS)]]*100))%)-100)*VLOOKUP(tabCustoUnit[[#This Row],[Código do Posto]],tabParametros[],MATCH(tabCustoUnit[[#Headers],[PIS]],tabParametros[#Headers],0),0))/(tabCustoUnit[[#This Row],[Resumo de Alíquotas (PIS+CONFINS+ISS)]]*100)</f>
        <v>1.880341880341882E-2</v>
      </c>
      <c r="BR314" s="28">
        <f>VLOOKUP(tabCustoUnit[[#This Row],[Código do Posto]],tabParametros[],MATCH(tabCustoUnit[[#Headers],[ISS]],tabParametros[#Headers],0),0)</f>
        <v>0.03</v>
      </c>
      <c r="BS314" s="26">
        <f>(((100/((100-(tabCustoUnit[[#This Row],[Resumo de Alíquotas (PIS+CONFINS+ISS)]]*100))%)-100)*tabCustoUnit[[#This Row],[ISS]])/tabCustoUnit[[#This Row],[Resumo de Alíquotas (PIS+CONFINS+ISS)]])/100</f>
        <v>3.4188034188034219E-2</v>
      </c>
      <c r="BT31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14" s="138">
        <f>tabCustoUnit[[#This Row],[COFINS]]+tabCustoUnit[[#This Row],[PIS]]+tabCustoUnit[[#This Row],[ISS (Conversão Alíquota s/ fatura)]]</f>
        <v>0.13960113960113973</v>
      </c>
      <c r="BV314" s="22" t="e">
        <f ca="1">(tabCustoUnit[[#This Row],[TOTAL MÓDULOS 1+2+3+4+5]]+tabCustoUnit[[#This Row],[Custos Indiretos]]+tabCustoUnit[[#This Row],[Lucro]])*tabCustoUnit[[#This Row],[PIS + COFINS + ISS (Total Conversão  Alíquota s/ Fatura)]]</f>
        <v>#NAME?</v>
      </c>
      <c r="BW314" s="22" t="e">
        <f ca="1">tabCustoUnit[[#This Row],[Custos Indiretos]]+tabCustoUnit[[#This Row],[Lucro]]+tabCustoUnit[[#This Row],[Valor dos Tributos (ISS, PIS, CONFINS)]]</f>
        <v>#NAME?</v>
      </c>
      <c r="BX314" s="22" t="e">
        <f ca="1">tabCustoUnit[[#This Row],[TOTAL MÓDULOS 1+2+3+4+5]]+tabCustoUnit[[#This Row],[MÓDULO 6 – CUSTOS INDIRETOS, TRIBUTOS E LUCRO]]</f>
        <v>#NAME?</v>
      </c>
      <c r="BY314" s="22" t="e">
        <f ca="1">tabCustoUnit[[#This Row],[CUSTO TOTAL MENSAL]]*12</f>
        <v>#NAME?</v>
      </c>
      <c r="BZ314" s="24">
        <f>VLOOKUP(tabCustoUnit[[#This Row],[Código do Posto]],tabParametros[],MATCH(tabCustoUnit[[#Headers],[ANO DA CCT]],tabParametros[#Headers],0),0)</f>
        <v>45658</v>
      </c>
      <c r="CA314" s="25" t="str">
        <f>VLOOKUP(tabCustoUnit[[#This Row],[Código do Posto]],tabParametros[],MATCH(tabCustoUnit[[#Headers],[Nº DE PEDIDO DA CCT]],tabParametros[#Headers],0),0)</f>
        <v>-</v>
      </c>
      <c r="CB314" s="25" t="str">
        <f>VLOOKUP(tabCustoUnit[[#This Row],[Código do Posto]],tabParametros[],MATCH(tabCustoUnit[[#Headers],[TERMO ADITIVO ALTERAÇÃO DA CCT]],tabParametros[#Headers],0),0)</f>
        <v>-</v>
      </c>
    </row>
    <row r="315" spans="1:80">
      <c r="A315" s="20" t="s">
        <v>1726</v>
      </c>
      <c r="B315" t="s">
        <v>1069</v>
      </c>
      <c r="C315" t="s">
        <v>244</v>
      </c>
      <c r="D315" t="s">
        <v>1069</v>
      </c>
      <c r="E315" s="20" t="s">
        <v>1090</v>
      </c>
      <c r="F315" s="20" t="s">
        <v>120</v>
      </c>
      <c r="G315" s="418">
        <v>2296.1756999999998</v>
      </c>
      <c r="H315" s="418">
        <v>0</v>
      </c>
      <c r="I315" s="418">
        <v>303.60000000000002</v>
      </c>
      <c r="J315" s="418">
        <v>0</v>
      </c>
      <c r="K315" s="418">
        <v>0</v>
      </c>
      <c r="L315" s="418">
        <v>0</v>
      </c>
      <c r="M315" s="418">
        <v>0</v>
      </c>
      <c r="N315" s="418">
        <v>0</v>
      </c>
      <c r="O315" s="21">
        <f>SUM(tabCustoUnit[[#This Row],[Salário Base]:[Adicional de Acúmulo de função]])</f>
        <v>2599.7756999999997</v>
      </c>
      <c r="P315" s="21">
        <f>tabCustoUnit[[#This Row],[MODULO 1 - REMUNERAÇÃO ]]*SUMIFS(tabParametros[INSS],tabParametros[Código do Posto],tabCustoUnit[[#This Row],[Código do Posto]])</f>
        <v>519.95513999999991</v>
      </c>
      <c r="Q315" s="21">
        <f>tabCustoUnit[[#This Row],[MODULO 1 - REMUNERAÇÃO ]]*SUMIFS(tabParametros[SESI OU SESC],tabParametros[Código do Posto],tabCustoUnit[[#This Row],[Código do Posto]])</f>
        <v>38.996635499999996</v>
      </c>
      <c r="R315" s="21">
        <f>tabCustoUnit[[#This Row],[MODULO 1 - REMUNERAÇÃO ]]*SUMIFS(tabParametros[SENAI OU SENAC],tabParametros[Código do Posto],tabCustoUnit[[#This Row],[Código do Posto]])</f>
        <v>25.997756999999996</v>
      </c>
      <c r="S315" s="21">
        <f>tabCustoUnit[[#This Row],[MODULO 1 - REMUNERAÇÃO ]]*SUMIFS(tabParametros[INCRA],tabParametros[Código do Posto],tabCustoUnit[[#This Row],[Código do Posto]])</f>
        <v>5.1995513999999998</v>
      </c>
      <c r="T315" s="21">
        <f>tabCustoUnit[[#This Row],[MODULO 1 - REMUNERAÇÃO ]]*SUMIFS(tabParametros[Salário Educação],tabParametros[Código do Posto],tabCustoUnit[[#This Row],[Código do Posto]])</f>
        <v>64.994392499999989</v>
      </c>
      <c r="U315" s="21">
        <f>tabCustoUnit[[#This Row],[MODULO 1 - REMUNERAÇÃO ]]*SUMIFS(tabParametros[FGTS],tabParametros[Código do Posto],tabCustoUnit[[#This Row],[Código do Posto]])</f>
        <v>207.98205599999997</v>
      </c>
      <c r="V315" s="21">
        <f>tabCustoUnit[[#This Row],[MODULO 1 - REMUNERAÇÃO ]]*SUMIFS(tabParametros[RAT Ajustado],tabParametros[Código do Posto],tabCustoUnit[[#This Row],[Código do Posto]])</f>
        <v>103.99102799999999</v>
      </c>
      <c r="W315" s="21">
        <f>tabCustoUnit[[#This Row],[MODULO 1 - REMUNERAÇÃO ]]*SUMIFS(tabParametros[SEBRAE],tabParametros[Código do Posto],tabCustoUnit[[#This Row],[Código do Posto]])</f>
        <v>15.598654199999999</v>
      </c>
      <c r="X315" s="21">
        <f>SUM(tabCustoUnit[[#This Row],[INSS]:[SEBRAE]])</f>
        <v>982.71521459999985</v>
      </c>
      <c r="Y315" s="21">
        <f>tabCustoUnit[[#This Row],[MODULO 1 - REMUNERAÇÃO ]]*SUMIFS(tabParametros[13º salário (titular)],tabParametros[Código do Posto],tabCustoUnit[[#This Row],[Código do Posto]])</f>
        <v>216.64797499999997</v>
      </c>
      <c r="Z315" s="21">
        <f>tabCustoUnit[[#This Row],[MODULO 1 - REMUNERAÇÃO ]]*SUMIFS(tabParametros[Férias e Adicional de Férias (titular)],tabParametros[Código do Posto],tabCustoUnit[[#This Row],[Código do Posto]])</f>
        <v>288.86396666666661</v>
      </c>
      <c r="AA315" s="21">
        <f>IFERROR((tabCustoUnit[[#This Row],[Submódulo 2.1]]/tabCustoUnit[[#This Row],[MODULO 1 - REMUNERAÇÃO ]])*SUM(tabCustoUnit[[#This Row],[13º salário (titular)]:[Férias e Adicional de Férias (titular)]]),0)</f>
        <v>191.08351394999997</v>
      </c>
      <c r="AB315" s="21">
        <f>SUM(tabCustoUnit[[#This Row],[13º salário (titular)]:[Incidência do Submódulo 2.1 sobre 13º Salário, Férias e Adicional de Férias]])</f>
        <v>696.59545561666653</v>
      </c>
      <c r="AC315" s="22" t="e">
        <f ca="1">_xlfn.LET(_xlpm.VT,SUMIF(tabParametros[Código do Posto],tabCustoUnit[[#This Row],[Código do Posto]],tabParametros[Vale - Transporte])*2*20,
IF((_xlpm.VT-tabCustoUnit[[#This Row],[Salário Base]]*0.06)&gt;=0,(_xlpm.VT-tabCustoUnit[[#This Row],[Salário Base]]*0.06),0)
)</f>
        <v>#NAME?</v>
      </c>
      <c r="AD315" s="22">
        <f>IF(SUMIF(tabParametros[Código do Posto],tabCustoUnit[[#This Row],[Código do Posto]],tabParametros[Vale - Alimentação])&lt;=0,0,
SUMIF(tabParametros[Código do Posto],tabCustoUnit[[#This Row],[Código do Posto]],tabParametros[Vale - Alimentação])*20-1)</f>
        <v>582</v>
      </c>
      <c r="AE315" s="22">
        <f>SUMIF(tabParametros[Código do Posto],tabCustoUnit[[#This Row],[Código do Posto]],tabParametros[Cesta Básica])</f>
        <v>0</v>
      </c>
      <c r="AF315" s="22">
        <f>SUMIF(tabParametros[Código do Posto],tabCustoUnit[[#This Row],[Código do Posto]],tabParametros[PAF])</f>
        <v>51.86</v>
      </c>
      <c r="AG315" s="22">
        <f>SUMIF(tabParametros[Código do Posto],tabCustoUnit[[#This Row],[Código do Posto]],tabParametros[PQM])</f>
        <v>0</v>
      </c>
      <c r="AH315" s="22">
        <f>SUMIF(tabParametros[Código do Posto],tabCustoUnit[[#This Row],[Código do Posto]],tabParametros[Abono Único e Especial])</f>
        <v>0</v>
      </c>
      <c r="AI315" s="22">
        <f>SUMIF(tabParametros[Código do Posto],tabCustoUnit[[#This Row],[Código do Posto]],tabParametros[Seguro de Vida])</f>
        <v>3.36</v>
      </c>
      <c r="AJ315" s="22">
        <f>SUMIF(tabParametros[Código do Posto],tabCustoUnit[[#This Row],[Código do Posto]],tabParametros[Despesas de Viagem])</f>
        <v>0</v>
      </c>
      <c r="AK315" s="22" t="e">
        <f ca="1">SUM(tabCustoUnit[[#This Row],[Vale - Transporte (Descontada parcela do empregado)]:[Despesas de Viagem]])</f>
        <v>#NAME?</v>
      </c>
      <c r="AL315" s="22" t="e">
        <f ca="1">tabCustoUnit[[#This Row],[Submódulo 2.1]]+tabCustoUnit[[#This Row],[Submódulo 2.2]]+tabCustoUnit[[#This Row],[Submódulo 2.3]]</f>
        <v>#NAME?</v>
      </c>
      <c r="AM315" s="22">
        <f>SUMIF(tabParametros[Código do Posto],tabCustoUnit[[#This Row],[Código do Posto]],tabParametros[Aviso Prévio Indenizado (API) e Reflexo do Aviso Prévio Indenizado])*tabCustoUnit[[#This Row],[MODULO 1 - REMUNERAÇÃO ]]</f>
        <v>18.229021396469907</v>
      </c>
      <c r="AN315" s="22">
        <f>SUMIF(tabParametros[Código do Posto],tabCustoUnit[[#This Row],[Código do Posto]],tabParametros[Incidência do FGTS sobre API e Reflexo do API])*tabCustoUnit[[#This Row],[MODULO 1 - REMUNERAÇÃO ]]</f>
        <v>1.4583217117175926</v>
      </c>
      <c r="AO315" s="22">
        <f>SUMIF(tabParametros[Código do Posto],tabCustoUnit[[#This Row],[Código do Posto]],tabParametros[Multa Rescisória do FGTS sobre o Aviso Prévio Indenizado])*tabCustoUnit[[#This Row],[MODULO 1 - REMUNERAÇÃO ]]</f>
        <v>0.58332868468703702</v>
      </c>
      <c r="AP315" s="22">
        <f>SUMIF(tabParametros[Código do Posto],tabCustoUnit[[#This Row],[Código do Posto]],tabParametros[Aviso Prévio Trabalhado - APT])*tabCustoUnit[[#This Row],[MODULO 1 - REMUNERAÇÃO ]]</f>
        <v>9.0992149500000004</v>
      </c>
      <c r="AQ315" s="22">
        <f>SUMIF(tabParametros[Código do Posto],tabCustoUnit[[#This Row],[Código do Posto]],tabParametros[Incidência dos encargos do submódulo 2.1 sobre Aviso Prévio Trabalhado])*tabCustoUnit[[#This Row],[MODULO 1 - REMUNERAÇÃO ]]</f>
        <v>3.4395032511000005</v>
      </c>
      <c r="AR315" s="22">
        <f>SUMIF(tabParametros[Código do Posto],tabCustoUnit[[#This Row],[Código do Posto]],tabParametros[Multa Rescisória do FGTS])*tabCustoUnit[[#This Row],[MODULO 1 - REMUNERAÇÃO ]]</f>
        <v>79.495363626666645</v>
      </c>
      <c r="AS315" s="22">
        <f>SUMIF(tabParametros[Código do Posto],tabCustoUnit[[#This Row],[Código do Posto]],tabParametros[Indenização Adicional (Art. 9º da Lei nº 7.238/84)])*tabCustoUnit[[#This Row],[MODULO 1 - REMUNERAÇÃO ]]</f>
        <v>2.1664797499999997</v>
      </c>
      <c r="AT315" s="22">
        <f>SUM(tabCustoUnit[[#This Row],[Aviso Prévio Indenizado (API) e Reflexo do Aviso Prévio Indenizado]:[Indenização Adicional (Art. 9º da Lei nº 7.238/84)]])</f>
        <v>114.47123337064117</v>
      </c>
      <c r="AU315" s="22">
        <f>SUMIF(tabParametros[Código do Posto],tabCustoUnit[[#This Row],[Código do Posto]],tabParametros[Ausência por Doença])*tabCustoUnit[[#This Row],[MODULO 1 - REMUNERAÇÃO ]]</f>
        <v>21.953661466666663</v>
      </c>
      <c r="AV315" s="22">
        <f>SUMIF(tabParametros[Código do Posto],tabCustoUnit[[#This Row],[Código do Posto]],tabParametros[Ausências Legais])*tabCustoUnit[[#This Row],[MODULO 1 - REMUNERAÇÃO ]]</f>
        <v>5.2717673916666659</v>
      </c>
      <c r="AW315" s="22">
        <f>SUMIF(tabParametros[Código do Posto],tabCustoUnit[[#This Row],[Código do Posto]],tabParametros[Licença Paternidade])*tabCustoUnit[[#This Row],[MODULO 1 - REMUNERAÇÃO ]]</f>
        <v>0.44412834874999996</v>
      </c>
      <c r="AX315" s="22">
        <f>SUMIF(tabParametros[Código do Posto],tabCustoUnit[[#This Row],[Código do Posto]],tabParametros[Ausência por Acidente de Trabalho])*tabCustoUnit[[#This Row],[MODULO 1 - REMUNERAÇÃO ]]</f>
        <v>0.54161993749999993</v>
      </c>
      <c r="AY315" s="22">
        <f>SUMIF(tabParametros[Código do Posto],tabCustoUnit[[#This Row],[Código do Posto]],tabParametros[Férias, Adicional de Férias e 13º  com empregada em gozo de Licença Maternidade])*tabCustoUnit[[#This Row],[MODULO 1 - REMUNERAÇÃO ]]</f>
        <v>3.3700796111111107</v>
      </c>
      <c r="AZ315" s="22">
        <f>SUMIF(tabParametros[Código do Posto],tabCustoUnit[[#This Row],[Código do Posto]],tabParametros[Incidência do Submódulo 2.1 sobre Ausências Legais])*tabCustoUnit[[#This Row],[MODULO 1 - REMUNERAÇÃO ]]</f>
        <v>11.9377150536525</v>
      </c>
      <c r="BA315" s="22">
        <f>SUM(tabCustoUnit[[#This Row],[Ausência por Doença]:[Incidência do Submódulo 2.1 sobre Ausências Legais]])</f>
        <v>43.518971809346937</v>
      </c>
      <c r="BB315" s="22">
        <f>SUMIF(tabParametros[Código do Posto],tabCustoUnit[[#This Row],[Código do Posto]],tabParametros[Intervalo para Repouso ou Alimentação])</f>
        <v>0</v>
      </c>
      <c r="BC315" s="22">
        <f>tabCustoUnit[[#This Row],[Intervalo para Repouso ou Alimentação]]</f>
        <v>0</v>
      </c>
      <c r="BD31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5" s="22">
        <f>tabCustoUnit[[#This Row],[Suspensão Temporária do Contrato de Trabalho]]</f>
        <v>0</v>
      </c>
      <c r="BF315" s="22">
        <f>tabCustoUnit[[#This Row],[Submódulo 4.1]]+tabCustoUnit[[#This Row],[Submódulo 4.2]]+tabCustoUnit[[#This Row],[Submódulo 4.3]]</f>
        <v>43.518971809346937</v>
      </c>
      <c r="BG315" s="22">
        <f>VLOOKUP(tabCustoUnit[[#This Row],[Código do Posto]],tabParametros[],MATCH(tabCustoUnit[[#Headers],[Uniformes e EPIs]],tabParametros[#Headers],0),0)</f>
        <v>226.33322732312172</v>
      </c>
      <c r="BH315" s="22">
        <f>VLOOKUP(tabCustoUnit[[#This Row],[Código do Posto]],tabParametros[],MATCH(tabCustoUnit[[#Headers],[Materiais de Consumo]],tabParametros[#Headers],0),0)</f>
        <v>441.81099462365592</v>
      </c>
      <c r="BI315" s="22">
        <f>VLOOKUP(tabCustoUnit[[#This Row],[Código do Posto]],tabParametros[],MATCH(tabCustoUnit[[#Headers],[Máquinas e Equipamentos (depreciação)]],tabParametros[#Headers],0),0)</f>
        <v>113.11309677419354</v>
      </c>
      <c r="BJ315" s="22">
        <f>VLOOKUP(tabCustoUnit[[#This Row],[Código do Posto]],tabParametros[],MATCH(tabCustoUnit[[#Headers],[Produtos de Limpeza e Materiais de Higiene Pessoal]],tabParametros[#Headers],0),0)</f>
        <v>0</v>
      </c>
      <c r="BK315" s="22">
        <f>VLOOKUP(tabCustoUnit[[#This Row],[Código do Posto]],tabParametros[],MATCH(tabCustoUnit[[#Headers],[Outros (especificar)]],tabParametros[#Headers],0),0)</f>
        <v>0</v>
      </c>
      <c r="BL315" s="22">
        <f>SUM(tabCustoUnit[[#This Row],[Uniformes e EPIs]:[Outros (especificar)]])</f>
        <v>781.25731872097117</v>
      </c>
      <c r="BM31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5" s="22" t="e">
        <f ca="1">VLOOKUP(tabCustoUnit[[#This Row],[Código do Posto]],tabParametros[],MATCH(tabCustoUnit[[#Headers],[Custos Indiretos]],tabParametros[#Headers],0),0)</f>
        <v>#NAME?</v>
      </c>
      <c r="BO315" s="22" t="e">
        <f ca="1">VLOOKUP(tabCustoUnit[[#This Row],[Código do Posto]],tabParametros[],MATCH(tabCustoUnit[[#Headers],[Lucro]],tabParametros[#Headers],0),0)</f>
        <v>#NAME?</v>
      </c>
      <c r="BP315" s="26">
        <f>((100/((1-tabCustoUnit[[#This Row],[Resumo de Alíquotas (PIS+CONFINS+ISS)]]))-100)*VLOOKUP(tabCustoUnit[[#This Row],[Código do Posto]],tabParametros[],MATCH(tabCustoUnit[[#Headers],[COFINS]],tabParametros[#Headers],0),0))/(tabCustoUnit[[#This Row],[Resumo de Alíquotas (PIS+CONFINS+ISS)]]*100)</f>
        <v>8.6609686609686695E-2</v>
      </c>
      <c r="BQ315" s="26">
        <f>((100/((100-(tabCustoUnit[[#This Row],[Resumo de Alíquotas (PIS+CONFINS+ISS)]]*100))%)-100)*VLOOKUP(tabCustoUnit[[#This Row],[Código do Posto]],tabParametros[],MATCH(tabCustoUnit[[#Headers],[PIS]],tabParametros[#Headers],0),0))/(tabCustoUnit[[#This Row],[Resumo de Alíquotas (PIS+CONFINS+ISS)]]*100)</f>
        <v>1.880341880341882E-2</v>
      </c>
      <c r="BR315" s="28">
        <f>VLOOKUP(tabCustoUnit[[#This Row],[Código do Posto]],tabParametros[],MATCH(tabCustoUnit[[#Headers],[ISS]],tabParametros[#Headers],0),0)</f>
        <v>0.03</v>
      </c>
      <c r="BS315" s="26">
        <f>(((100/((100-(tabCustoUnit[[#This Row],[Resumo de Alíquotas (PIS+CONFINS+ISS)]]*100))%)-100)*tabCustoUnit[[#This Row],[ISS]])/tabCustoUnit[[#This Row],[Resumo de Alíquotas (PIS+CONFINS+ISS)]])/100</f>
        <v>3.4188034188034219E-2</v>
      </c>
      <c r="BT31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15" s="138">
        <f>tabCustoUnit[[#This Row],[COFINS]]+tabCustoUnit[[#This Row],[PIS]]+tabCustoUnit[[#This Row],[ISS (Conversão Alíquota s/ fatura)]]</f>
        <v>0.13960113960113973</v>
      </c>
      <c r="BV315" s="22" t="e">
        <f ca="1">(tabCustoUnit[[#This Row],[TOTAL MÓDULOS 1+2+3+4+5]]+tabCustoUnit[[#This Row],[Custos Indiretos]]+tabCustoUnit[[#This Row],[Lucro]])*tabCustoUnit[[#This Row],[PIS + COFINS + ISS (Total Conversão  Alíquota s/ Fatura)]]</f>
        <v>#NAME?</v>
      </c>
      <c r="BW315" s="22" t="e">
        <f ca="1">tabCustoUnit[[#This Row],[Custos Indiretos]]+tabCustoUnit[[#This Row],[Lucro]]+tabCustoUnit[[#This Row],[Valor dos Tributos (ISS, PIS, CONFINS)]]</f>
        <v>#NAME?</v>
      </c>
      <c r="BX315" s="22" t="e">
        <f ca="1">tabCustoUnit[[#This Row],[TOTAL MÓDULOS 1+2+3+4+5]]+tabCustoUnit[[#This Row],[MÓDULO 6 – CUSTOS INDIRETOS, TRIBUTOS E LUCRO]]</f>
        <v>#NAME?</v>
      </c>
      <c r="BY315" s="22" t="e">
        <f ca="1">tabCustoUnit[[#This Row],[CUSTO TOTAL MENSAL]]*12</f>
        <v>#NAME?</v>
      </c>
      <c r="BZ315" s="24">
        <f>VLOOKUP(tabCustoUnit[[#This Row],[Código do Posto]],tabParametros[],MATCH(tabCustoUnit[[#Headers],[ANO DA CCT]],tabParametros[#Headers],0),0)</f>
        <v>45658</v>
      </c>
      <c r="CA315" s="25" t="str">
        <f>VLOOKUP(tabCustoUnit[[#This Row],[Código do Posto]],tabParametros[],MATCH(tabCustoUnit[[#Headers],[Nº DE PEDIDO DA CCT]],tabParametros[#Headers],0),0)</f>
        <v>-</v>
      </c>
      <c r="CB315" s="25" t="str">
        <f>VLOOKUP(tabCustoUnit[[#This Row],[Código do Posto]],tabParametros[],MATCH(tabCustoUnit[[#Headers],[TERMO ADITIVO ALTERAÇÃO DA CCT]],tabParametros[#Headers],0),0)</f>
        <v>-</v>
      </c>
    </row>
    <row r="316" spans="1:80">
      <c r="A316" s="20" t="s">
        <v>1727</v>
      </c>
      <c r="B316" t="s">
        <v>1069</v>
      </c>
      <c r="C316" t="s">
        <v>274</v>
      </c>
      <c r="D316" t="s">
        <v>1024</v>
      </c>
      <c r="E316" s="20" t="s">
        <v>1090</v>
      </c>
      <c r="F316" s="20" t="s">
        <v>120</v>
      </c>
      <c r="G316" s="418">
        <v>4599.5953</v>
      </c>
      <c r="H316" s="418">
        <v>0</v>
      </c>
      <c r="I316" s="418">
        <v>0</v>
      </c>
      <c r="J316" s="418">
        <v>0</v>
      </c>
      <c r="K316" s="418">
        <v>0</v>
      </c>
      <c r="L316" s="418">
        <v>0</v>
      </c>
      <c r="M316" s="418">
        <v>0</v>
      </c>
      <c r="N316" s="418">
        <v>0</v>
      </c>
      <c r="O316" s="21">
        <f>SUM(tabCustoUnit[[#This Row],[Salário Base]:[Adicional de Acúmulo de função]])</f>
        <v>4599.5953</v>
      </c>
      <c r="P316" s="21">
        <f>tabCustoUnit[[#This Row],[MODULO 1 - REMUNERAÇÃO ]]*SUMIFS(tabParametros[INSS],tabParametros[Código do Posto],tabCustoUnit[[#This Row],[Código do Posto]])</f>
        <v>919.91906000000006</v>
      </c>
      <c r="Q316" s="21">
        <f>tabCustoUnit[[#This Row],[MODULO 1 - REMUNERAÇÃO ]]*SUMIFS(tabParametros[SESI OU SESC],tabParametros[Código do Posto],tabCustoUnit[[#This Row],[Código do Posto]])</f>
        <v>68.993929499999993</v>
      </c>
      <c r="R316" s="21">
        <f>tabCustoUnit[[#This Row],[MODULO 1 - REMUNERAÇÃO ]]*SUMIFS(tabParametros[SENAI OU SENAC],tabParametros[Código do Posto],tabCustoUnit[[#This Row],[Código do Posto]])</f>
        <v>45.995953</v>
      </c>
      <c r="S316" s="21">
        <f>tabCustoUnit[[#This Row],[MODULO 1 - REMUNERAÇÃO ]]*SUMIFS(tabParametros[INCRA],tabParametros[Código do Posto],tabCustoUnit[[#This Row],[Código do Posto]])</f>
        <v>9.1991905999999997</v>
      </c>
      <c r="T316" s="21">
        <f>tabCustoUnit[[#This Row],[MODULO 1 - REMUNERAÇÃO ]]*SUMIFS(tabParametros[Salário Educação],tabParametros[Código do Posto],tabCustoUnit[[#This Row],[Código do Posto]])</f>
        <v>114.98988250000001</v>
      </c>
      <c r="U316" s="21">
        <f>tabCustoUnit[[#This Row],[MODULO 1 - REMUNERAÇÃO ]]*SUMIFS(tabParametros[FGTS],tabParametros[Código do Posto],tabCustoUnit[[#This Row],[Código do Posto]])</f>
        <v>367.967624</v>
      </c>
      <c r="V316" s="21">
        <f>tabCustoUnit[[#This Row],[MODULO 1 - REMUNERAÇÃO ]]*SUMIFS(tabParametros[RAT Ajustado],tabParametros[Código do Posto],tabCustoUnit[[#This Row],[Código do Posto]])</f>
        <v>183.983812</v>
      </c>
      <c r="W316" s="21">
        <f>tabCustoUnit[[#This Row],[MODULO 1 - REMUNERAÇÃO ]]*SUMIFS(tabParametros[SEBRAE],tabParametros[Código do Posto],tabCustoUnit[[#This Row],[Código do Posto]])</f>
        <v>27.597571800000001</v>
      </c>
      <c r="X316" s="21">
        <f>SUM(tabCustoUnit[[#This Row],[INSS]:[SEBRAE]])</f>
        <v>1738.6470234000003</v>
      </c>
      <c r="Y316" s="21">
        <f>tabCustoUnit[[#This Row],[MODULO 1 - REMUNERAÇÃO ]]*SUMIFS(tabParametros[13º salário (titular)],tabParametros[Código do Posto],tabCustoUnit[[#This Row],[Código do Posto]])</f>
        <v>383.29960833333331</v>
      </c>
      <c r="Z316" s="21">
        <f>tabCustoUnit[[#This Row],[MODULO 1 - REMUNERAÇÃO ]]*SUMIFS(tabParametros[Férias e Adicional de Férias (titular)],tabParametros[Código do Posto],tabCustoUnit[[#This Row],[Código do Posto]])</f>
        <v>511.06614444444443</v>
      </c>
      <c r="AA316" s="21">
        <f>IFERROR((tabCustoUnit[[#This Row],[Submódulo 2.1]]/tabCustoUnit[[#This Row],[MODULO 1 - REMUNERAÇÃO ]])*SUM(tabCustoUnit[[#This Row],[13º salário (titular)]:[Férias e Adicional de Férias (titular)]]),0)</f>
        <v>338.07025455000002</v>
      </c>
      <c r="AB316" s="21">
        <f>SUM(tabCustoUnit[[#This Row],[13º salário (titular)]:[Incidência do Submódulo 2.1 sobre 13º Salário, Férias e Adicional de Férias]])</f>
        <v>1232.4360073277778</v>
      </c>
      <c r="AC316" s="22" t="e">
        <f ca="1">_xlfn.LET(_xlpm.VT,SUMIF(tabParametros[Código do Posto],tabCustoUnit[[#This Row],[Código do Posto]],tabParametros[Vale - Transporte])*2*20,
IF((_xlpm.VT-tabCustoUnit[[#This Row],[Salário Base]]*0.06)&gt;=0,(_xlpm.VT-tabCustoUnit[[#This Row],[Salário Base]]*0.06),0)
)</f>
        <v>#NAME?</v>
      </c>
      <c r="AD316" s="22">
        <f>IF(SUMIF(tabParametros[Código do Posto],tabCustoUnit[[#This Row],[Código do Posto]],tabParametros[Vale - Alimentação])&lt;=0,0,
SUMIF(tabParametros[Código do Posto],tabCustoUnit[[#This Row],[Código do Posto]],tabParametros[Vale - Alimentação])*20-1)</f>
        <v>578.4</v>
      </c>
      <c r="AE316" s="22">
        <f>SUMIF(tabParametros[Código do Posto],tabCustoUnit[[#This Row],[Código do Posto]],tabParametros[Cesta Básica])</f>
        <v>0</v>
      </c>
      <c r="AF316" s="22">
        <f>SUMIF(tabParametros[Código do Posto],tabCustoUnit[[#This Row],[Código do Posto]],tabParametros[PAF])</f>
        <v>0</v>
      </c>
      <c r="AG316" s="22">
        <f>SUMIF(tabParametros[Código do Posto],tabCustoUnit[[#This Row],[Código do Posto]],tabParametros[PQM])</f>
        <v>0</v>
      </c>
      <c r="AH316" s="22">
        <f>SUMIF(tabParametros[Código do Posto],tabCustoUnit[[#This Row],[Código do Posto]],tabParametros[Abono Único e Especial])</f>
        <v>0</v>
      </c>
      <c r="AI316" s="22">
        <f>SUMIF(tabParametros[Código do Posto],tabCustoUnit[[#This Row],[Código do Posto]],tabParametros[Seguro de Vida])</f>
        <v>3.36</v>
      </c>
      <c r="AJ316" s="22">
        <f>SUMIF(tabParametros[Código do Posto],tabCustoUnit[[#This Row],[Código do Posto]],tabParametros[Despesas de Viagem])</f>
        <v>662.42</v>
      </c>
      <c r="AK316" s="22" t="e">
        <f ca="1">SUM(tabCustoUnit[[#This Row],[Vale - Transporte (Descontada parcela do empregado)]:[Despesas de Viagem]])</f>
        <v>#NAME?</v>
      </c>
      <c r="AL316" s="22" t="e">
        <f ca="1">tabCustoUnit[[#This Row],[Submódulo 2.1]]+tabCustoUnit[[#This Row],[Submódulo 2.2]]+tabCustoUnit[[#This Row],[Submódulo 2.3]]</f>
        <v>#NAME?</v>
      </c>
      <c r="AM316" s="22">
        <f>SUMIF(tabParametros[Código do Posto],tabCustoUnit[[#This Row],[Código do Posto]],tabParametros[Aviso Prévio Indenizado (API) e Reflexo do Aviso Prévio Indenizado])*tabCustoUnit[[#This Row],[MODULO 1 - REMUNERAÇÃO ]]</f>
        <v>32.251290424324843</v>
      </c>
      <c r="AN316" s="22">
        <f>SUMIF(tabParametros[Código do Posto],tabCustoUnit[[#This Row],[Código do Posto]],tabParametros[Incidência do FGTS sobre API e Reflexo do API])*tabCustoUnit[[#This Row],[MODULO 1 - REMUNERAÇÃO ]]</f>
        <v>2.5801032339459877</v>
      </c>
      <c r="AO316" s="22">
        <f>SUMIF(tabParametros[Código do Posto],tabCustoUnit[[#This Row],[Código do Posto]],tabParametros[Multa Rescisória do FGTS sobre o Aviso Prévio Indenizado])*tabCustoUnit[[#This Row],[MODULO 1 - REMUNERAÇÃO ]]</f>
        <v>1.0320412935783951</v>
      </c>
      <c r="AP316" s="22">
        <f>SUMIF(tabParametros[Código do Posto],tabCustoUnit[[#This Row],[Código do Posto]],tabParametros[Aviso Prévio Trabalhado - APT])*tabCustoUnit[[#This Row],[MODULO 1 - REMUNERAÇÃO ]]</f>
        <v>16.098583550000001</v>
      </c>
      <c r="AQ316" s="22">
        <f>SUMIF(tabParametros[Código do Posto],tabCustoUnit[[#This Row],[Código do Posto]],tabParametros[Incidência dos encargos do submódulo 2.1 sobre Aviso Prévio Trabalhado])*tabCustoUnit[[#This Row],[MODULO 1 - REMUNERAÇÃO ]]</f>
        <v>6.0852645819000015</v>
      </c>
      <c r="AR316" s="22">
        <f>SUMIF(tabParametros[Código do Posto],tabCustoUnit[[#This Row],[Código do Posto]],tabParametros[Multa Rescisória do FGTS])*tabCustoUnit[[#This Row],[MODULO 1 - REMUNERAÇÃO ]]</f>
        <v>140.64540295111109</v>
      </c>
      <c r="AS316" s="22">
        <f>SUMIF(tabParametros[Código do Posto],tabCustoUnit[[#This Row],[Código do Posto]],tabParametros[Indenização Adicional (Art. 9º da Lei nº 7.238/84)])*tabCustoUnit[[#This Row],[MODULO 1 - REMUNERAÇÃO ]]</f>
        <v>3.8329960833333336</v>
      </c>
      <c r="AT316" s="22">
        <f>SUM(tabCustoUnit[[#This Row],[Aviso Prévio Indenizado (API) e Reflexo do Aviso Prévio Indenizado]:[Indenização Adicional (Art. 9º da Lei nº 7.238/84)]])</f>
        <v>202.52568211819366</v>
      </c>
      <c r="AU316" s="22">
        <f>SUMIF(tabParametros[Código do Posto],tabCustoUnit[[#This Row],[Código do Posto]],tabParametros[Ausência por Doença])*tabCustoUnit[[#This Row],[MODULO 1 - REMUNERAÇÃO ]]</f>
        <v>38.841026977777773</v>
      </c>
      <c r="AV316" s="22">
        <f>SUMIF(tabParametros[Código do Posto],tabCustoUnit[[#This Row],[Código do Posto]],tabParametros[Ausências Legais])*tabCustoUnit[[#This Row],[MODULO 1 - REMUNERAÇÃO ]]</f>
        <v>9.3269571361111101</v>
      </c>
      <c r="AW316" s="22">
        <f>SUMIF(tabParametros[Código do Posto],tabCustoUnit[[#This Row],[Código do Posto]],tabParametros[Licença Paternidade])*tabCustoUnit[[#This Row],[MODULO 1 - REMUNERAÇÃO ]]</f>
        <v>0.78576419708333334</v>
      </c>
      <c r="AX316" s="22">
        <f>SUMIF(tabParametros[Código do Posto],tabCustoUnit[[#This Row],[Código do Posto]],tabParametros[Ausência por Acidente de Trabalho])*tabCustoUnit[[#This Row],[MODULO 1 - REMUNERAÇÃO ]]</f>
        <v>0.95824902083333341</v>
      </c>
      <c r="AY316" s="22">
        <f>SUMIF(tabParametros[Código do Posto],tabCustoUnit[[#This Row],[Código do Posto]],tabParametros[Férias, Adicional de Férias e 13º  com empregada em gozo de Licença Maternidade])*tabCustoUnit[[#This Row],[MODULO 1 - REMUNERAÇÃO ]]</f>
        <v>5.9624383518518513</v>
      </c>
      <c r="AZ316" s="22">
        <f>SUMIF(tabParametros[Código do Posto],tabCustoUnit[[#This Row],[Código do Posto]],tabParametros[Incidência do Submódulo 2.1 sobre Ausências Legais])*tabCustoUnit[[#This Row],[MODULO 1 - REMUNERAÇÃO ]]</f>
        <v>21.120536688422504</v>
      </c>
      <c r="BA316" s="22">
        <f>SUM(tabCustoUnit[[#This Row],[Ausência por Doença]:[Incidência do Submódulo 2.1 sobre Ausências Legais]])</f>
        <v>76.9949723720799</v>
      </c>
      <c r="BB316" s="22">
        <f>SUMIF(tabParametros[Código do Posto],tabCustoUnit[[#This Row],[Código do Posto]],tabParametros[Intervalo para Repouso ou Alimentação])</f>
        <v>0</v>
      </c>
      <c r="BC316" s="22">
        <f>tabCustoUnit[[#This Row],[Intervalo para Repouso ou Alimentação]]</f>
        <v>0</v>
      </c>
      <c r="BD31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6" s="22">
        <f>tabCustoUnit[[#This Row],[Suspensão Temporária do Contrato de Trabalho]]</f>
        <v>0</v>
      </c>
      <c r="BF316" s="22">
        <f>tabCustoUnit[[#This Row],[Submódulo 4.1]]+tabCustoUnit[[#This Row],[Submódulo 4.2]]+tabCustoUnit[[#This Row],[Submódulo 4.3]]</f>
        <v>76.9949723720799</v>
      </c>
      <c r="BG316" s="22">
        <f>VLOOKUP(tabCustoUnit[[#This Row],[Código do Posto]],tabParametros[],MATCH(tabCustoUnit[[#Headers],[Uniformes e EPIs]],tabParametros[#Headers],0),0)</f>
        <v>92.100763771570698</v>
      </c>
      <c r="BH316" s="22">
        <f>VLOOKUP(tabCustoUnit[[#This Row],[Código do Posto]],tabParametros[],MATCH(tabCustoUnit[[#Headers],[Materiais de Consumo]],tabParametros[#Headers],0),0)</f>
        <v>0</v>
      </c>
      <c r="BI316" s="22">
        <f>VLOOKUP(tabCustoUnit[[#This Row],[Código do Posto]],tabParametros[],MATCH(tabCustoUnit[[#Headers],[Máquinas e Equipamentos (depreciação)]],tabParametros[#Headers],0),0)</f>
        <v>0</v>
      </c>
      <c r="BJ316" s="22">
        <f>VLOOKUP(tabCustoUnit[[#This Row],[Código do Posto]],tabParametros[],MATCH(tabCustoUnit[[#Headers],[Produtos de Limpeza e Materiais de Higiene Pessoal]],tabParametros[#Headers],0),0)</f>
        <v>0</v>
      </c>
      <c r="BK316" s="22">
        <f>VLOOKUP(tabCustoUnit[[#This Row],[Código do Posto]],tabParametros[],MATCH(tabCustoUnit[[#Headers],[Outros (especificar)]],tabParametros[#Headers],0),0)</f>
        <v>0</v>
      </c>
      <c r="BL316" s="22">
        <f>SUM(tabCustoUnit[[#This Row],[Uniformes e EPIs]:[Outros (especificar)]])</f>
        <v>92.100763771570698</v>
      </c>
      <c r="BM31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6" s="22" t="e">
        <f ca="1">VLOOKUP(tabCustoUnit[[#This Row],[Código do Posto]],tabParametros[],MATCH(tabCustoUnit[[#Headers],[Custos Indiretos]],tabParametros[#Headers],0),0)</f>
        <v>#NAME?</v>
      </c>
      <c r="BO316" s="22" t="e">
        <f ca="1">VLOOKUP(tabCustoUnit[[#This Row],[Código do Posto]],tabParametros[],MATCH(tabCustoUnit[[#Headers],[Lucro]],tabParametros[#Headers],0),0)</f>
        <v>#NAME?</v>
      </c>
      <c r="BP316" s="26">
        <f>((100/((1-tabCustoUnit[[#This Row],[Resumo de Alíquotas (PIS+CONFINS+ISS)]]))-100)*VLOOKUP(tabCustoUnit[[#This Row],[Código do Posto]],tabParametros[],MATCH(tabCustoUnit[[#Headers],[COFINS]],tabParametros[#Headers],0),0))/(tabCustoUnit[[#This Row],[Resumo de Alíquotas (PIS+CONFINS+ISS)]]*100)</f>
        <v>8.6609686609686695E-2</v>
      </c>
      <c r="BQ316" s="26">
        <f>((100/((100-(tabCustoUnit[[#This Row],[Resumo de Alíquotas (PIS+CONFINS+ISS)]]*100))%)-100)*VLOOKUP(tabCustoUnit[[#This Row],[Código do Posto]],tabParametros[],MATCH(tabCustoUnit[[#Headers],[PIS]],tabParametros[#Headers],0),0))/(tabCustoUnit[[#This Row],[Resumo de Alíquotas (PIS+CONFINS+ISS)]]*100)</f>
        <v>1.880341880341882E-2</v>
      </c>
      <c r="BR316" s="28">
        <f>VLOOKUP(tabCustoUnit[[#This Row],[Código do Posto]],tabParametros[],MATCH(tabCustoUnit[[#Headers],[ISS]],tabParametros[#Headers],0),0)</f>
        <v>0.03</v>
      </c>
      <c r="BS316" s="26">
        <f>(((100/((100-(tabCustoUnit[[#This Row],[Resumo de Alíquotas (PIS+CONFINS+ISS)]]*100))%)-100)*tabCustoUnit[[#This Row],[ISS]])/tabCustoUnit[[#This Row],[Resumo de Alíquotas (PIS+CONFINS+ISS)]])/100</f>
        <v>3.4188034188034219E-2</v>
      </c>
      <c r="BT31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16" s="138">
        <f>tabCustoUnit[[#This Row],[COFINS]]+tabCustoUnit[[#This Row],[PIS]]+tabCustoUnit[[#This Row],[ISS (Conversão Alíquota s/ fatura)]]</f>
        <v>0.13960113960113973</v>
      </c>
      <c r="BV316" s="22" t="e">
        <f ca="1">(tabCustoUnit[[#This Row],[TOTAL MÓDULOS 1+2+3+4+5]]+tabCustoUnit[[#This Row],[Custos Indiretos]]+tabCustoUnit[[#This Row],[Lucro]])*tabCustoUnit[[#This Row],[PIS + COFINS + ISS (Total Conversão  Alíquota s/ Fatura)]]</f>
        <v>#NAME?</v>
      </c>
      <c r="BW316" s="22" t="e">
        <f ca="1">tabCustoUnit[[#This Row],[Custos Indiretos]]+tabCustoUnit[[#This Row],[Lucro]]+tabCustoUnit[[#This Row],[Valor dos Tributos (ISS, PIS, CONFINS)]]</f>
        <v>#NAME?</v>
      </c>
      <c r="BX316" s="22" t="e">
        <f ca="1">tabCustoUnit[[#This Row],[TOTAL MÓDULOS 1+2+3+4+5]]+tabCustoUnit[[#This Row],[MÓDULO 6 – CUSTOS INDIRETOS, TRIBUTOS E LUCRO]]</f>
        <v>#NAME?</v>
      </c>
      <c r="BY316" s="22" t="e">
        <f ca="1">tabCustoUnit[[#This Row],[CUSTO TOTAL MENSAL]]*12</f>
        <v>#NAME?</v>
      </c>
      <c r="BZ316" s="24">
        <f>VLOOKUP(tabCustoUnit[[#This Row],[Código do Posto]],tabParametros[],MATCH(tabCustoUnit[[#Headers],[ANO DA CCT]],tabParametros[#Headers],0),0)</f>
        <v>45658</v>
      </c>
      <c r="CA316" s="25" t="str">
        <f>VLOOKUP(tabCustoUnit[[#This Row],[Código do Posto]],tabParametros[],MATCH(tabCustoUnit[[#Headers],[Nº DE PEDIDO DA CCT]],tabParametros[#Headers],0),0)</f>
        <v>-</v>
      </c>
      <c r="CB316" s="25" t="str">
        <f>VLOOKUP(tabCustoUnit[[#This Row],[Código do Posto]],tabParametros[],MATCH(tabCustoUnit[[#Headers],[TERMO ADITIVO ALTERAÇÃO DA CCT]],tabParametros[#Headers],0),0)</f>
        <v>-</v>
      </c>
    </row>
    <row r="317" spans="1:80">
      <c r="A317" s="20" t="s">
        <v>1513</v>
      </c>
      <c r="B317" t="s">
        <v>1069</v>
      </c>
      <c r="C317" t="s">
        <v>314</v>
      </c>
      <c r="D317" t="s">
        <v>1069</v>
      </c>
      <c r="E317" s="20" t="s">
        <v>1090</v>
      </c>
      <c r="F317" s="20" t="s">
        <v>120</v>
      </c>
      <c r="G317" s="418">
        <v>2134.8042</v>
      </c>
      <c r="H317" s="418">
        <v>0</v>
      </c>
      <c r="I317" s="418">
        <v>0</v>
      </c>
      <c r="J317" s="418">
        <v>0</v>
      </c>
      <c r="K317" s="418">
        <v>0</v>
      </c>
      <c r="L317" s="418">
        <v>0</v>
      </c>
      <c r="M317" s="418">
        <v>0</v>
      </c>
      <c r="N317" s="418">
        <v>0</v>
      </c>
      <c r="O317" s="21">
        <f>SUM(tabCustoUnit[[#This Row],[Salário Base]:[Adicional de Acúmulo de função]])</f>
        <v>2134.8042</v>
      </c>
      <c r="P317" s="21">
        <f>tabCustoUnit[[#This Row],[MODULO 1 - REMUNERAÇÃO ]]*SUMIFS(tabParametros[INSS],tabParametros[Código do Posto],tabCustoUnit[[#This Row],[Código do Posto]])</f>
        <v>426.96084000000002</v>
      </c>
      <c r="Q317" s="21">
        <f>tabCustoUnit[[#This Row],[MODULO 1 - REMUNERAÇÃO ]]*SUMIFS(tabParametros[SESI OU SESC],tabParametros[Código do Posto],tabCustoUnit[[#This Row],[Código do Posto]])</f>
        <v>32.022063000000003</v>
      </c>
      <c r="R317" s="21">
        <f>tabCustoUnit[[#This Row],[MODULO 1 - REMUNERAÇÃO ]]*SUMIFS(tabParametros[SENAI OU SENAC],tabParametros[Código do Posto],tabCustoUnit[[#This Row],[Código do Posto]])</f>
        <v>21.348042</v>
      </c>
      <c r="S317" s="21">
        <f>tabCustoUnit[[#This Row],[MODULO 1 - REMUNERAÇÃO ]]*SUMIFS(tabParametros[INCRA],tabParametros[Código do Posto],tabCustoUnit[[#This Row],[Código do Posto]])</f>
        <v>4.2696084000000001</v>
      </c>
      <c r="T317" s="21">
        <f>tabCustoUnit[[#This Row],[MODULO 1 - REMUNERAÇÃO ]]*SUMIFS(tabParametros[Salário Educação],tabParametros[Código do Posto],tabCustoUnit[[#This Row],[Código do Posto]])</f>
        <v>53.370105000000002</v>
      </c>
      <c r="U317" s="21">
        <f>tabCustoUnit[[#This Row],[MODULO 1 - REMUNERAÇÃO ]]*SUMIFS(tabParametros[FGTS],tabParametros[Código do Posto],tabCustoUnit[[#This Row],[Código do Posto]])</f>
        <v>170.784336</v>
      </c>
      <c r="V317" s="21">
        <f>tabCustoUnit[[#This Row],[MODULO 1 - REMUNERAÇÃO ]]*SUMIFS(tabParametros[RAT Ajustado],tabParametros[Código do Posto],tabCustoUnit[[#This Row],[Código do Posto]])</f>
        <v>85.392167999999998</v>
      </c>
      <c r="W317" s="21">
        <f>tabCustoUnit[[#This Row],[MODULO 1 - REMUNERAÇÃO ]]*SUMIFS(tabParametros[SEBRAE],tabParametros[Código do Posto],tabCustoUnit[[#This Row],[Código do Posto]])</f>
        <v>12.808825200000001</v>
      </c>
      <c r="X317" s="21">
        <f>SUM(tabCustoUnit[[#This Row],[INSS]:[SEBRAE]])</f>
        <v>806.95598759999996</v>
      </c>
      <c r="Y317" s="21">
        <f>tabCustoUnit[[#This Row],[MODULO 1 - REMUNERAÇÃO ]]*SUMIFS(tabParametros[13º salário (titular)],tabParametros[Código do Posto],tabCustoUnit[[#This Row],[Código do Posto]])</f>
        <v>177.90035</v>
      </c>
      <c r="Z317" s="21">
        <f>tabCustoUnit[[#This Row],[MODULO 1 - REMUNERAÇÃO ]]*SUMIFS(tabParametros[Férias e Adicional de Férias (titular)],tabParametros[Código do Posto],tabCustoUnit[[#This Row],[Código do Posto]])</f>
        <v>237.20046666666667</v>
      </c>
      <c r="AA317" s="21">
        <f>IFERROR((tabCustoUnit[[#This Row],[Submódulo 2.1]]/tabCustoUnit[[#This Row],[MODULO 1 - REMUNERAÇÃO ]])*SUM(tabCustoUnit[[#This Row],[13º salário (titular)]:[Férias e Adicional de Férias (titular)]]),0)</f>
        <v>156.90810869999999</v>
      </c>
      <c r="AB317" s="21">
        <f>SUM(tabCustoUnit[[#This Row],[13º salário (titular)]:[Incidência do Submódulo 2.1 sobre 13º Salário, Férias e Adicional de Férias]])</f>
        <v>572.00892536666663</v>
      </c>
      <c r="AC317" s="22" t="e">
        <f ca="1">_xlfn.LET(_xlpm.VT,SUMIF(tabParametros[Código do Posto],tabCustoUnit[[#This Row],[Código do Posto]],tabParametros[Vale - Transporte])*2*20,
IF((_xlpm.VT-tabCustoUnit[[#This Row],[Salário Base]]*0.06)&gt;=0,(_xlpm.VT-tabCustoUnit[[#This Row],[Salário Base]]*0.06),0)
)</f>
        <v>#NAME?</v>
      </c>
      <c r="AD317" s="22">
        <f>IF(SUMIF(tabParametros[Código do Posto],tabCustoUnit[[#This Row],[Código do Posto]],tabParametros[Vale - Alimentação])&lt;=0,0,
SUMIF(tabParametros[Código do Posto],tabCustoUnit[[#This Row],[Código do Posto]],tabParametros[Vale - Alimentação])*20-1)</f>
        <v>582</v>
      </c>
      <c r="AE317" s="22">
        <f>SUMIF(tabParametros[Código do Posto],tabCustoUnit[[#This Row],[Código do Posto]],tabParametros[Cesta Básica])</f>
        <v>0</v>
      </c>
      <c r="AF317" s="22">
        <f>SUMIF(tabParametros[Código do Posto],tabCustoUnit[[#This Row],[Código do Posto]],tabParametros[PAF])</f>
        <v>51.86</v>
      </c>
      <c r="AG317" s="22">
        <f>SUMIF(tabParametros[Código do Posto],tabCustoUnit[[#This Row],[Código do Posto]],tabParametros[PQM])</f>
        <v>0</v>
      </c>
      <c r="AH317" s="22">
        <f>SUMIF(tabParametros[Código do Posto],tabCustoUnit[[#This Row],[Código do Posto]],tabParametros[Abono Único e Especial])</f>
        <v>0</v>
      </c>
      <c r="AI317" s="22">
        <f>SUMIF(tabParametros[Código do Posto],tabCustoUnit[[#This Row],[Código do Posto]],tabParametros[Seguro de Vida])</f>
        <v>3.36</v>
      </c>
      <c r="AJ317" s="22">
        <f>SUMIF(tabParametros[Código do Posto],tabCustoUnit[[#This Row],[Código do Posto]],tabParametros[Despesas de Viagem])</f>
        <v>0</v>
      </c>
      <c r="AK317" s="22" t="e">
        <f ca="1">SUM(tabCustoUnit[[#This Row],[Vale - Transporte (Descontada parcela do empregado)]:[Despesas de Viagem]])</f>
        <v>#NAME?</v>
      </c>
      <c r="AL317" s="22" t="e">
        <f ca="1">tabCustoUnit[[#This Row],[Submódulo 2.1]]+tabCustoUnit[[#This Row],[Submódulo 2.2]]+tabCustoUnit[[#This Row],[Submódulo 2.3]]</f>
        <v>#NAME?</v>
      </c>
      <c r="AM317" s="22">
        <f>SUMIF(tabParametros[Código do Posto],tabCustoUnit[[#This Row],[Código do Posto]],tabParametros[Aviso Prévio Indenizado (API) e Reflexo do Aviso Prévio Indenizado])*tabCustoUnit[[#This Row],[MODULO 1 - REMUNERAÇÃO ]]</f>
        <v>14.968749588310185</v>
      </c>
      <c r="AN317" s="22">
        <f>SUMIF(tabParametros[Código do Posto],tabCustoUnit[[#This Row],[Código do Posto]],tabParametros[Incidência do FGTS sobre API e Reflexo do API])*tabCustoUnit[[#This Row],[MODULO 1 - REMUNERAÇÃO ]]</f>
        <v>1.197499967064815</v>
      </c>
      <c r="AO317" s="22">
        <f>SUMIF(tabParametros[Código do Posto],tabCustoUnit[[#This Row],[Código do Posto]],tabParametros[Multa Rescisória do FGTS sobre o Aviso Prévio Indenizado])*tabCustoUnit[[#This Row],[MODULO 1 - REMUNERAÇÃO ]]</f>
        <v>0.47899998682592604</v>
      </c>
      <c r="AP317" s="22">
        <f>SUMIF(tabParametros[Código do Posto],tabCustoUnit[[#This Row],[Código do Posto]],tabParametros[Aviso Prévio Trabalhado - APT])*tabCustoUnit[[#This Row],[MODULO 1 - REMUNERAÇÃO ]]</f>
        <v>7.4718147000000013</v>
      </c>
      <c r="AQ317" s="22">
        <f>SUMIF(tabParametros[Código do Posto],tabCustoUnit[[#This Row],[Código do Posto]],tabParametros[Incidência dos encargos do submódulo 2.1 sobre Aviso Prévio Trabalhado])*tabCustoUnit[[#This Row],[MODULO 1 - REMUNERAÇÃO ]]</f>
        <v>2.8243459566000011</v>
      </c>
      <c r="AR317" s="22">
        <f>SUMIF(tabParametros[Código do Posto],tabCustoUnit[[#This Row],[Código do Posto]],tabParametros[Multa Rescisória do FGTS])*tabCustoUnit[[#This Row],[MODULO 1 - REMUNERAÇÃO ]]</f>
        <v>65.277568426666662</v>
      </c>
      <c r="AS317" s="22">
        <f>SUMIF(tabParametros[Código do Posto],tabCustoUnit[[#This Row],[Código do Posto]],tabParametros[Indenização Adicional (Art. 9º da Lei nº 7.238/84)])*tabCustoUnit[[#This Row],[MODULO 1 - REMUNERAÇÃO ]]</f>
        <v>1.7790035000000002</v>
      </c>
      <c r="AT317" s="22">
        <f>SUM(tabCustoUnit[[#This Row],[Aviso Prévio Indenizado (API) e Reflexo do Aviso Prévio Indenizado]:[Indenização Adicional (Art. 9º da Lei nº 7.238/84)]])</f>
        <v>93.997982125467587</v>
      </c>
      <c r="AU317" s="22">
        <f>SUMIF(tabParametros[Código do Posto],tabCustoUnit[[#This Row],[Código do Posto]],tabParametros[Ausência por Doença])*tabCustoUnit[[#This Row],[MODULO 1 - REMUNERAÇÃO ]]</f>
        <v>18.027235466666664</v>
      </c>
      <c r="AV317" s="22">
        <f>SUMIF(tabParametros[Código do Posto],tabCustoUnit[[#This Row],[Código do Posto]],tabParametros[Ausências Legais])*tabCustoUnit[[#This Row],[MODULO 1 - REMUNERAÇÃO ]]</f>
        <v>4.3289085166666661</v>
      </c>
      <c r="AW317" s="22">
        <f>SUMIF(tabParametros[Código do Posto],tabCustoUnit[[#This Row],[Código do Posto]],tabParametros[Licença Paternidade])*tabCustoUnit[[#This Row],[MODULO 1 - REMUNERAÇÃO ]]</f>
        <v>0.36469571750000002</v>
      </c>
      <c r="AX317" s="22">
        <f>SUMIF(tabParametros[Código do Posto],tabCustoUnit[[#This Row],[Código do Posto]],tabParametros[Ausência por Acidente de Trabalho])*tabCustoUnit[[#This Row],[MODULO 1 - REMUNERAÇÃO ]]</f>
        <v>0.44475087500000005</v>
      </c>
      <c r="AY317" s="22">
        <f>SUMIF(tabParametros[Código do Posto],tabCustoUnit[[#This Row],[Código do Posto]],tabParametros[Férias, Adicional de Férias e 13º  com empregada em gozo de Licença Maternidade])*tabCustoUnit[[#This Row],[MODULO 1 - REMUNERAÇÃO ]]</f>
        <v>2.7673387777777778</v>
      </c>
      <c r="AZ317" s="22">
        <f>SUMIF(tabParametros[Código do Posto],tabCustoUnit[[#This Row],[Código do Posto]],tabParametros[Incidência do Submódulo 2.1 sobre Ausências Legais])*tabCustoUnit[[#This Row],[MODULO 1 - REMUNERAÇÃO ]]</f>
        <v>9.8026472956650021</v>
      </c>
      <c r="BA317" s="22">
        <f>SUM(tabCustoUnit[[#This Row],[Ausência por Doença]:[Incidência do Submódulo 2.1 sobre Ausências Legais]])</f>
        <v>35.735576649276105</v>
      </c>
      <c r="BB317" s="22">
        <f>SUMIF(tabParametros[Código do Posto],tabCustoUnit[[#This Row],[Código do Posto]],tabParametros[Intervalo para Repouso ou Alimentação])</f>
        <v>291.10965839090369</v>
      </c>
      <c r="BC317" s="22">
        <f>tabCustoUnit[[#This Row],[Intervalo para Repouso ou Alimentação]]</f>
        <v>291.10965839090369</v>
      </c>
      <c r="BD31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7" s="22">
        <f>tabCustoUnit[[#This Row],[Suspensão Temporária do Contrato de Trabalho]]</f>
        <v>0</v>
      </c>
      <c r="BF317" s="22">
        <f>tabCustoUnit[[#This Row],[Submódulo 4.1]]+tabCustoUnit[[#This Row],[Submódulo 4.2]]+tabCustoUnit[[#This Row],[Submódulo 4.3]]</f>
        <v>326.84523504017977</v>
      </c>
      <c r="BG317" s="22">
        <f>VLOOKUP(tabCustoUnit[[#This Row],[Código do Posto]],tabParametros[],MATCH(tabCustoUnit[[#Headers],[Uniformes e EPIs]],tabParametros[#Headers],0),0)</f>
        <v>56.642978962543395</v>
      </c>
      <c r="BH317" s="22">
        <f>VLOOKUP(tabCustoUnit[[#This Row],[Código do Posto]],tabParametros[],MATCH(tabCustoUnit[[#Headers],[Materiais de Consumo]],tabParametros[#Headers],0),0)</f>
        <v>0</v>
      </c>
      <c r="BI317" s="22">
        <f>VLOOKUP(tabCustoUnit[[#This Row],[Código do Posto]],tabParametros[],MATCH(tabCustoUnit[[#Headers],[Máquinas e Equipamentos (depreciação)]],tabParametros[#Headers],0),0)</f>
        <v>0</v>
      </c>
      <c r="BJ317" s="22">
        <f>VLOOKUP(tabCustoUnit[[#This Row],[Código do Posto]],tabParametros[],MATCH(tabCustoUnit[[#Headers],[Produtos de Limpeza e Materiais de Higiene Pessoal]],tabParametros[#Headers],0),0)</f>
        <v>0</v>
      </c>
      <c r="BK317" s="22">
        <f>VLOOKUP(tabCustoUnit[[#This Row],[Código do Posto]],tabParametros[],MATCH(tabCustoUnit[[#Headers],[Outros (especificar)]],tabParametros[#Headers],0),0)</f>
        <v>0</v>
      </c>
      <c r="BL317" s="22">
        <f>SUM(tabCustoUnit[[#This Row],[Uniformes e EPIs]:[Outros (especificar)]])</f>
        <v>56.642978962543395</v>
      </c>
      <c r="BM31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7" s="22" t="e">
        <f ca="1">VLOOKUP(tabCustoUnit[[#This Row],[Código do Posto]],tabParametros[],MATCH(tabCustoUnit[[#Headers],[Custos Indiretos]],tabParametros[#Headers],0),0)</f>
        <v>#NAME?</v>
      </c>
      <c r="BO317" s="22" t="e">
        <f ca="1">VLOOKUP(tabCustoUnit[[#This Row],[Código do Posto]],tabParametros[],MATCH(tabCustoUnit[[#Headers],[Lucro]],tabParametros[#Headers],0),0)</f>
        <v>#NAME?</v>
      </c>
      <c r="BP317" s="26">
        <f>((100/((1-tabCustoUnit[[#This Row],[Resumo de Alíquotas (PIS+CONFINS+ISS)]]))-100)*VLOOKUP(tabCustoUnit[[#This Row],[Código do Posto]],tabParametros[],MATCH(tabCustoUnit[[#Headers],[COFINS]],tabParametros[#Headers],0),0))/(tabCustoUnit[[#This Row],[Resumo de Alíquotas (PIS+CONFINS+ISS)]]*100)</f>
        <v>8.6609686609686695E-2</v>
      </c>
      <c r="BQ317" s="26">
        <f>((100/((100-(tabCustoUnit[[#This Row],[Resumo de Alíquotas (PIS+CONFINS+ISS)]]*100))%)-100)*VLOOKUP(tabCustoUnit[[#This Row],[Código do Posto]],tabParametros[],MATCH(tabCustoUnit[[#Headers],[PIS]],tabParametros[#Headers],0),0))/(tabCustoUnit[[#This Row],[Resumo de Alíquotas (PIS+CONFINS+ISS)]]*100)</f>
        <v>1.880341880341882E-2</v>
      </c>
      <c r="BR317" s="28">
        <f>VLOOKUP(tabCustoUnit[[#This Row],[Código do Posto]],tabParametros[],MATCH(tabCustoUnit[[#Headers],[ISS]],tabParametros[#Headers],0),0)</f>
        <v>0.03</v>
      </c>
      <c r="BS317" s="26">
        <f>(((100/((100-(tabCustoUnit[[#This Row],[Resumo de Alíquotas (PIS+CONFINS+ISS)]]*100))%)-100)*tabCustoUnit[[#This Row],[ISS]])/tabCustoUnit[[#This Row],[Resumo de Alíquotas (PIS+CONFINS+ISS)]])/100</f>
        <v>3.4188034188034219E-2</v>
      </c>
      <c r="BT31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17" s="138">
        <f>tabCustoUnit[[#This Row],[COFINS]]+tabCustoUnit[[#This Row],[PIS]]+tabCustoUnit[[#This Row],[ISS (Conversão Alíquota s/ fatura)]]</f>
        <v>0.13960113960113973</v>
      </c>
      <c r="BV317" s="22" t="e">
        <f ca="1">(tabCustoUnit[[#This Row],[TOTAL MÓDULOS 1+2+3+4+5]]+tabCustoUnit[[#This Row],[Custos Indiretos]]+tabCustoUnit[[#This Row],[Lucro]])*tabCustoUnit[[#This Row],[PIS + COFINS + ISS (Total Conversão  Alíquota s/ Fatura)]]</f>
        <v>#NAME?</v>
      </c>
      <c r="BW317" s="22" t="e">
        <f ca="1">tabCustoUnit[[#This Row],[Custos Indiretos]]+tabCustoUnit[[#This Row],[Lucro]]+tabCustoUnit[[#This Row],[Valor dos Tributos (ISS, PIS, CONFINS)]]</f>
        <v>#NAME?</v>
      </c>
      <c r="BX317" s="22" t="e">
        <f ca="1">tabCustoUnit[[#This Row],[TOTAL MÓDULOS 1+2+3+4+5]]+tabCustoUnit[[#This Row],[MÓDULO 6 – CUSTOS INDIRETOS, TRIBUTOS E LUCRO]]</f>
        <v>#NAME?</v>
      </c>
      <c r="BY317" s="22" t="e">
        <f ca="1">tabCustoUnit[[#This Row],[CUSTO TOTAL MENSAL]]*12</f>
        <v>#NAME?</v>
      </c>
      <c r="BZ317" s="24">
        <f>VLOOKUP(tabCustoUnit[[#This Row],[Código do Posto]],tabParametros[],MATCH(tabCustoUnit[[#Headers],[ANO DA CCT]],tabParametros[#Headers],0),0)</f>
        <v>45658</v>
      </c>
      <c r="CA317" s="25" t="str">
        <f>VLOOKUP(tabCustoUnit[[#This Row],[Código do Posto]],tabParametros[],MATCH(tabCustoUnit[[#Headers],[Nº DE PEDIDO DA CCT]],tabParametros[#Headers],0),0)</f>
        <v>-</v>
      </c>
      <c r="CB317" s="25" t="str">
        <f>VLOOKUP(tabCustoUnit[[#This Row],[Código do Posto]],tabParametros[],MATCH(tabCustoUnit[[#Headers],[TERMO ADITIVO ALTERAÇÃO DA CCT]],tabParametros[#Headers],0),0)</f>
        <v>-</v>
      </c>
    </row>
    <row r="318" spans="1:80">
      <c r="A318" s="20" t="s">
        <v>1728</v>
      </c>
      <c r="B318" t="s">
        <v>1069</v>
      </c>
      <c r="C318" t="s">
        <v>324</v>
      </c>
      <c r="D318" t="s">
        <v>1069</v>
      </c>
      <c r="E318" s="20" t="s">
        <v>1090</v>
      </c>
      <c r="F318" s="20" t="s">
        <v>120</v>
      </c>
      <c r="G318" s="418">
        <v>3397.1305000000002</v>
      </c>
      <c r="H318" s="418">
        <v>0</v>
      </c>
      <c r="I318" s="418">
        <v>0</v>
      </c>
      <c r="J318" s="418">
        <v>0</v>
      </c>
      <c r="K318" s="418">
        <v>0</v>
      </c>
      <c r="L318" s="418">
        <v>0</v>
      </c>
      <c r="M318" s="418">
        <v>0</v>
      </c>
      <c r="N318" s="418">
        <v>0</v>
      </c>
      <c r="O318" s="21">
        <f>SUM(tabCustoUnit[[#This Row],[Salário Base]:[Adicional de Acúmulo de função]])</f>
        <v>3397.1305000000002</v>
      </c>
      <c r="P318" s="21">
        <f>tabCustoUnit[[#This Row],[MODULO 1 - REMUNERAÇÃO ]]*SUMIFS(tabParametros[INSS],tabParametros[Código do Posto],tabCustoUnit[[#This Row],[Código do Posto]])</f>
        <v>679.42610000000013</v>
      </c>
      <c r="Q318" s="21">
        <f>tabCustoUnit[[#This Row],[MODULO 1 - REMUNERAÇÃO ]]*SUMIFS(tabParametros[SESI OU SESC],tabParametros[Código do Posto],tabCustoUnit[[#This Row],[Código do Posto]])</f>
        <v>50.956957500000001</v>
      </c>
      <c r="R318" s="21">
        <f>tabCustoUnit[[#This Row],[MODULO 1 - REMUNERAÇÃO ]]*SUMIFS(tabParametros[SENAI OU SENAC],tabParametros[Código do Posto],tabCustoUnit[[#This Row],[Código do Posto]])</f>
        <v>33.971305000000001</v>
      </c>
      <c r="S318" s="21">
        <f>tabCustoUnit[[#This Row],[MODULO 1 - REMUNERAÇÃO ]]*SUMIFS(tabParametros[INCRA],tabParametros[Código do Posto],tabCustoUnit[[#This Row],[Código do Posto]])</f>
        <v>6.7942610000000005</v>
      </c>
      <c r="T318" s="21">
        <f>tabCustoUnit[[#This Row],[MODULO 1 - REMUNERAÇÃO ]]*SUMIFS(tabParametros[Salário Educação],tabParametros[Código do Posto],tabCustoUnit[[#This Row],[Código do Posto]])</f>
        <v>84.928262500000017</v>
      </c>
      <c r="U318" s="21">
        <f>tabCustoUnit[[#This Row],[MODULO 1 - REMUNERAÇÃO ]]*SUMIFS(tabParametros[FGTS],tabParametros[Código do Posto],tabCustoUnit[[#This Row],[Código do Posto]])</f>
        <v>271.77044000000001</v>
      </c>
      <c r="V318" s="21">
        <f>tabCustoUnit[[#This Row],[MODULO 1 - REMUNERAÇÃO ]]*SUMIFS(tabParametros[RAT Ajustado],tabParametros[Código do Posto],tabCustoUnit[[#This Row],[Código do Posto]])</f>
        <v>135.88522</v>
      </c>
      <c r="W318" s="21">
        <f>tabCustoUnit[[#This Row],[MODULO 1 - REMUNERAÇÃO ]]*SUMIFS(tabParametros[SEBRAE],tabParametros[Código do Posto],tabCustoUnit[[#This Row],[Código do Posto]])</f>
        <v>20.382783000000003</v>
      </c>
      <c r="X318" s="21">
        <f>SUM(tabCustoUnit[[#This Row],[INSS]:[SEBRAE]])</f>
        <v>1284.1153290000002</v>
      </c>
      <c r="Y318" s="21">
        <f>tabCustoUnit[[#This Row],[MODULO 1 - REMUNERAÇÃO ]]*SUMIFS(tabParametros[13º salário (titular)],tabParametros[Código do Posto],tabCustoUnit[[#This Row],[Código do Posto]])</f>
        <v>283.09420833333331</v>
      </c>
      <c r="Z318" s="21">
        <f>tabCustoUnit[[#This Row],[MODULO 1 - REMUNERAÇÃO ]]*SUMIFS(tabParametros[Férias e Adicional de Férias (titular)],tabParametros[Código do Posto],tabCustoUnit[[#This Row],[Código do Posto]])</f>
        <v>377.45894444444446</v>
      </c>
      <c r="AA318" s="21">
        <f>IFERROR((tabCustoUnit[[#This Row],[Submódulo 2.1]]/tabCustoUnit[[#This Row],[MODULO 1 - REMUNERAÇÃO ]])*SUM(tabCustoUnit[[#This Row],[13º salário (titular)]:[Férias e Adicional de Férias (titular)]]),0)</f>
        <v>249.68909175000005</v>
      </c>
      <c r="AB318" s="21">
        <f>SUM(tabCustoUnit[[#This Row],[13º salário (titular)]:[Incidência do Submódulo 2.1 sobre 13º Salário, Férias e Adicional de Férias]])</f>
        <v>910.24224452777776</v>
      </c>
      <c r="AC318" s="22" t="e">
        <f ca="1">_xlfn.LET(_xlpm.VT,SUMIF(tabParametros[Código do Posto],tabCustoUnit[[#This Row],[Código do Posto]],tabParametros[Vale - Transporte])*2*20,
IF((_xlpm.VT-tabCustoUnit[[#This Row],[Salário Base]]*0.06)&gt;=0,(_xlpm.VT-tabCustoUnit[[#This Row],[Salário Base]]*0.06),0)
)</f>
        <v>#NAME?</v>
      </c>
      <c r="AD318" s="22">
        <f>IF(SUMIF(tabParametros[Código do Posto],tabCustoUnit[[#This Row],[Código do Posto]],tabParametros[Vale - Alimentação])&lt;=0,0,
SUMIF(tabParametros[Código do Posto],tabCustoUnit[[#This Row],[Código do Posto]],tabParametros[Vale - Alimentação])*20-1)</f>
        <v>582</v>
      </c>
      <c r="AE318" s="22">
        <f>SUMIF(tabParametros[Código do Posto],tabCustoUnit[[#This Row],[Código do Posto]],tabParametros[Cesta Básica])</f>
        <v>0</v>
      </c>
      <c r="AF318" s="22">
        <f>SUMIF(tabParametros[Código do Posto],tabCustoUnit[[#This Row],[Código do Posto]],tabParametros[PAF])</f>
        <v>51.86</v>
      </c>
      <c r="AG318" s="22">
        <f>SUMIF(tabParametros[Código do Posto],tabCustoUnit[[#This Row],[Código do Posto]],tabParametros[PQM])</f>
        <v>0</v>
      </c>
      <c r="AH318" s="22">
        <f>SUMIF(tabParametros[Código do Posto],tabCustoUnit[[#This Row],[Código do Posto]],tabParametros[Abono Único e Especial])</f>
        <v>0</v>
      </c>
      <c r="AI318" s="22">
        <f>SUMIF(tabParametros[Código do Posto],tabCustoUnit[[#This Row],[Código do Posto]],tabParametros[Seguro de Vida])</f>
        <v>3.36</v>
      </c>
      <c r="AJ318" s="22">
        <f>SUMIF(tabParametros[Código do Posto],tabCustoUnit[[#This Row],[Código do Posto]],tabParametros[Despesas de Viagem])</f>
        <v>0</v>
      </c>
      <c r="AK318" s="22" t="e">
        <f ca="1">SUM(tabCustoUnit[[#This Row],[Vale - Transporte (Descontada parcela do empregado)]:[Despesas de Viagem]])</f>
        <v>#NAME?</v>
      </c>
      <c r="AL318" s="22" t="e">
        <f ca="1">tabCustoUnit[[#This Row],[Submódulo 2.1]]+tabCustoUnit[[#This Row],[Submódulo 2.2]]+tabCustoUnit[[#This Row],[Submódulo 2.3]]</f>
        <v>#NAME?</v>
      </c>
      <c r="AM318" s="22">
        <f>SUMIF(tabParametros[Código do Posto],tabCustoUnit[[#This Row],[Código do Posto]],tabParametros[Aviso Prévio Indenizado (API) e Reflexo do Aviso Prévio Indenizado])*tabCustoUnit[[#This Row],[MODULO 1 - REMUNERAÇÃO ]]</f>
        <v>23.819887450713736</v>
      </c>
      <c r="AN318" s="22">
        <f>SUMIF(tabParametros[Código do Posto],tabCustoUnit[[#This Row],[Código do Posto]],tabParametros[Incidência do FGTS sobre API e Reflexo do API])*tabCustoUnit[[#This Row],[MODULO 1 - REMUNERAÇÃO ]]</f>
        <v>1.9055909960570991</v>
      </c>
      <c r="AO318" s="22">
        <f>SUMIF(tabParametros[Código do Posto],tabCustoUnit[[#This Row],[Código do Posto]],tabParametros[Multa Rescisória do FGTS sobre o Aviso Prévio Indenizado])*tabCustoUnit[[#This Row],[MODULO 1 - REMUNERAÇÃO ]]</f>
        <v>0.76223639842283974</v>
      </c>
      <c r="AP318" s="22">
        <f>SUMIF(tabParametros[Código do Posto],tabCustoUnit[[#This Row],[Código do Posto]],tabParametros[Aviso Prévio Trabalhado - APT])*tabCustoUnit[[#This Row],[MODULO 1 - REMUNERAÇÃO ]]</f>
        <v>11.889956750000003</v>
      </c>
      <c r="AQ318" s="22">
        <f>SUMIF(tabParametros[Código do Posto],tabCustoUnit[[#This Row],[Código do Posto]],tabParametros[Incidência dos encargos do submódulo 2.1 sobre Aviso Prévio Trabalhado])*tabCustoUnit[[#This Row],[MODULO 1 - REMUNERAÇÃO ]]</f>
        <v>4.4944036515000017</v>
      </c>
      <c r="AR318" s="22">
        <f>SUMIF(tabParametros[Código do Posto],tabCustoUnit[[#This Row],[Código do Posto]],tabParametros[Multa Rescisória do FGTS])*tabCustoUnit[[#This Row],[MODULO 1 - REMUNERAÇÃO ]]</f>
        <v>103.87670151111111</v>
      </c>
      <c r="AS318" s="22">
        <f>SUMIF(tabParametros[Código do Posto],tabCustoUnit[[#This Row],[Código do Posto]],tabParametros[Indenização Adicional (Art. 9º da Lei nº 7.238/84)])*tabCustoUnit[[#This Row],[MODULO 1 - REMUNERAÇÃO ]]</f>
        <v>2.8309420833333339</v>
      </c>
      <c r="AT318" s="22">
        <f>SUM(tabCustoUnit[[#This Row],[Aviso Prévio Indenizado (API) e Reflexo do Aviso Prévio Indenizado]:[Indenização Adicional (Art. 9º da Lei nº 7.238/84)]])</f>
        <v>149.57971884113812</v>
      </c>
      <c r="AU318" s="22">
        <f>SUMIF(tabParametros[Código do Posto],tabCustoUnit[[#This Row],[Código do Posto]],tabParametros[Ausência por Doença])*tabCustoUnit[[#This Row],[MODULO 1 - REMUNERAÇÃO ]]</f>
        <v>28.686879777777776</v>
      </c>
      <c r="AV318" s="22">
        <f>SUMIF(tabParametros[Código do Posto],tabCustoUnit[[#This Row],[Código do Posto]],tabParametros[Ausências Legais])*tabCustoUnit[[#This Row],[MODULO 1 - REMUNERAÇÃO ]]</f>
        <v>6.888625736111111</v>
      </c>
      <c r="AW318" s="22">
        <f>SUMIF(tabParametros[Código do Posto],tabCustoUnit[[#This Row],[Código do Posto]],tabParametros[Licença Paternidade])*tabCustoUnit[[#This Row],[MODULO 1 - REMUNERAÇÃO ]]</f>
        <v>0.58034312708333335</v>
      </c>
      <c r="AX318" s="22">
        <f>SUMIF(tabParametros[Código do Posto],tabCustoUnit[[#This Row],[Código do Posto]],tabParametros[Ausência por Acidente de Trabalho])*tabCustoUnit[[#This Row],[MODULO 1 - REMUNERAÇÃO ]]</f>
        <v>0.70773552083333346</v>
      </c>
      <c r="AY318" s="22">
        <f>SUMIF(tabParametros[Código do Posto],tabCustoUnit[[#This Row],[Código do Posto]],tabParametros[Férias, Adicional de Férias e 13º  com empregada em gozo de Licença Maternidade])*tabCustoUnit[[#This Row],[MODULO 1 - REMUNERAÇÃO ]]</f>
        <v>4.4036876851851856</v>
      </c>
      <c r="AZ318" s="22">
        <f>SUMIF(tabParametros[Código do Posto],tabCustoUnit[[#This Row],[Código do Posto]],tabParametros[Incidência do Submódulo 2.1 sobre Ausências Legais])*tabCustoUnit[[#This Row],[MODULO 1 - REMUNERAÇÃO ]]</f>
        <v>15.599028758162504</v>
      </c>
      <c r="BA318" s="22">
        <f>SUM(tabCustoUnit[[#This Row],[Ausência por Doença]:[Incidência do Submódulo 2.1 sobre Ausências Legais]])</f>
        <v>56.866300605153235</v>
      </c>
      <c r="BB318" s="22">
        <f>SUMIF(tabParametros[Código do Posto],tabCustoUnit[[#This Row],[Código do Posto]],tabParametros[Intervalo para Repouso ou Alimentação])</f>
        <v>0</v>
      </c>
      <c r="BC318" s="22">
        <f>tabCustoUnit[[#This Row],[Intervalo para Repouso ou Alimentação]]</f>
        <v>0</v>
      </c>
      <c r="BD31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8" s="22">
        <f>tabCustoUnit[[#This Row],[Suspensão Temporária do Contrato de Trabalho]]</f>
        <v>0</v>
      </c>
      <c r="BF318" s="22">
        <f>tabCustoUnit[[#This Row],[Submódulo 4.1]]+tabCustoUnit[[#This Row],[Submódulo 4.2]]+tabCustoUnit[[#This Row],[Submódulo 4.3]]</f>
        <v>56.866300605153235</v>
      </c>
      <c r="BG318" s="22">
        <f>VLOOKUP(tabCustoUnit[[#This Row],[Código do Posto]],tabParametros[],MATCH(tabCustoUnit[[#Headers],[Uniformes e EPIs]],tabParametros[#Headers],0),0)</f>
        <v>56.642978962543395</v>
      </c>
      <c r="BH318" s="22">
        <f>VLOOKUP(tabCustoUnit[[#This Row],[Código do Posto]],tabParametros[],MATCH(tabCustoUnit[[#Headers],[Materiais de Consumo]],tabParametros[#Headers],0),0)</f>
        <v>0</v>
      </c>
      <c r="BI318" s="22">
        <f>VLOOKUP(tabCustoUnit[[#This Row],[Código do Posto]],tabParametros[],MATCH(tabCustoUnit[[#Headers],[Máquinas e Equipamentos (depreciação)]],tabParametros[#Headers],0),0)</f>
        <v>0</v>
      </c>
      <c r="BJ318" s="22">
        <f>VLOOKUP(tabCustoUnit[[#This Row],[Código do Posto]],tabParametros[],MATCH(tabCustoUnit[[#Headers],[Produtos de Limpeza e Materiais de Higiene Pessoal]],tabParametros[#Headers],0),0)</f>
        <v>0</v>
      </c>
      <c r="BK318" s="22">
        <f>VLOOKUP(tabCustoUnit[[#This Row],[Código do Posto]],tabParametros[],MATCH(tabCustoUnit[[#Headers],[Outros (especificar)]],tabParametros[#Headers],0),0)</f>
        <v>0</v>
      </c>
      <c r="BL318" s="22">
        <f>SUM(tabCustoUnit[[#This Row],[Uniformes e EPIs]:[Outros (especificar)]])</f>
        <v>56.642978962543395</v>
      </c>
      <c r="BM31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8" s="22" t="e">
        <f ca="1">VLOOKUP(tabCustoUnit[[#This Row],[Código do Posto]],tabParametros[],MATCH(tabCustoUnit[[#Headers],[Custos Indiretos]],tabParametros[#Headers],0),0)</f>
        <v>#NAME?</v>
      </c>
      <c r="BO318" s="22" t="e">
        <f ca="1">VLOOKUP(tabCustoUnit[[#This Row],[Código do Posto]],tabParametros[],MATCH(tabCustoUnit[[#Headers],[Lucro]],tabParametros[#Headers],0),0)</f>
        <v>#NAME?</v>
      </c>
      <c r="BP318" s="26">
        <f>((100/((1-tabCustoUnit[[#This Row],[Resumo de Alíquotas (PIS+CONFINS+ISS)]]))-100)*VLOOKUP(tabCustoUnit[[#This Row],[Código do Posto]],tabParametros[],MATCH(tabCustoUnit[[#Headers],[COFINS]],tabParametros[#Headers],0),0))/(tabCustoUnit[[#This Row],[Resumo de Alíquotas (PIS+CONFINS+ISS)]]*100)</f>
        <v>8.6609686609686695E-2</v>
      </c>
      <c r="BQ318" s="26">
        <f>((100/((100-(tabCustoUnit[[#This Row],[Resumo de Alíquotas (PIS+CONFINS+ISS)]]*100))%)-100)*VLOOKUP(tabCustoUnit[[#This Row],[Código do Posto]],tabParametros[],MATCH(tabCustoUnit[[#Headers],[PIS]],tabParametros[#Headers],0),0))/(tabCustoUnit[[#This Row],[Resumo de Alíquotas (PIS+CONFINS+ISS)]]*100)</f>
        <v>1.880341880341882E-2</v>
      </c>
      <c r="BR318" s="28">
        <f>VLOOKUP(tabCustoUnit[[#This Row],[Código do Posto]],tabParametros[],MATCH(tabCustoUnit[[#Headers],[ISS]],tabParametros[#Headers],0),0)</f>
        <v>0.03</v>
      </c>
      <c r="BS318" s="26">
        <f>(((100/((100-(tabCustoUnit[[#This Row],[Resumo de Alíquotas (PIS+CONFINS+ISS)]]*100))%)-100)*tabCustoUnit[[#This Row],[ISS]])/tabCustoUnit[[#This Row],[Resumo de Alíquotas (PIS+CONFINS+ISS)]])/100</f>
        <v>3.4188034188034219E-2</v>
      </c>
      <c r="BT31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18" s="138">
        <f>tabCustoUnit[[#This Row],[COFINS]]+tabCustoUnit[[#This Row],[PIS]]+tabCustoUnit[[#This Row],[ISS (Conversão Alíquota s/ fatura)]]</f>
        <v>0.13960113960113973</v>
      </c>
      <c r="BV318" s="22" t="e">
        <f ca="1">(tabCustoUnit[[#This Row],[TOTAL MÓDULOS 1+2+3+4+5]]+tabCustoUnit[[#This Row],[Custos Indiretos]]+tabCustoUnit[[#This Row],[Lucro]])*tabCustoUnit[[#This Row],[PIS + COFINS + ISS (Total Conversão  Alíquota s/ Fatura)]]</f>
        <v>#NAME?</v>
      </c>
      <c r="BW318" s="22" t="e">
        <f ca="1">tabCustoUnit[[#This Row],[Custos Indiretos]]+tabCustoUnit[[#This Row],[Lucro]]+tabCustoUnit[[#This Row],[Valor dos Tributos (ISS, PIS, CONFINS)]]</f>
        <v>#NAME?</v>
      </c>
      <c r="BX318" s="22" t="e">
        <f ca="1">tabCustoUnit[[#This Row],[TOTAL MÓDULOS 1+2+3+4+5]]+tabCustoUnit[[#This Row],[MÓDULO 6 – CUSTOS INDIRETOS, TRIBUTOS E LUCRO]]</f>
        <v>#NAME?</v>
      </c>
      <c r="BY318" s="22" t="e">
        <f ca="1">tabCustoUnit[[#This Row],[CUSTO TOTAL MENSAL]]*12</f>
        <v>#NAME?</v>
      </c>
      <c r="BZ318" s="24">
        <f>VLOOKUP(tabCustoUnit[[#This Row],[Código do Posto]],tabParametros[],MATCH(tabCustoUnit[[#Headers],[ANO DA CCT]],tabParametros[#Headers],0),0)</f>
        <v>45658</v>
      </c>
      <c r="CA318" s="25" t="str">
        <f>VLOOKUP(tabCustoUnit[[#This Row],[Código do Posto]],tabParametros[],MATCH(tabCustoUnit[[#Headers],[Nº DE PEDIDO DA CCT]],tabParametros[#Headers],0),0)</f>
        <v>-</v>
      </c>
      <c r="CB318" s="25" t="str">
        <f>VLOOKUP(tabCustoUnit[[#This Row],[Código do Posto]],tabParametros[],MATCH(tabCustoUnit[[#Headers],[TERMO ADITIVO ALTERAÇÃO DA CCT]],tabParametros[#Headers],0),0)</f>
        <v>-</v>
      </c>
    </row>
    <row r="319" spans="1:80">
      <c r="A319" s="20" t="s">
        <v>1802</v>
      </c>
      <c r="B319" t="s">
        <v>1071</v>
      </c>
      <c r="C319" t="s">
        <v>165</v>
      </c>
      <c r="D319" t="s">
        <v>1071</v>
      </c>
      <c r="E319" s="20" t="s">
        <v>1090</v>
      </c>
      <c r="F319" s="20" t="s">
        <v>120</v>
      </c>
      <c r="G319" s="418">
        <v>2443.5248999999999</v>
      </c>
      <c r="H319" s="418">
        <v>0</v>
      </c>
      <c r="I319" s="418">
        <v>0</v>
      </c>
      <c r="J319" s="418">
        <v>0</v>
      </c>
      <c r="K319" s="418">
        <v>0</v>
      </c>
      <c r="L319" s="418">
        <v>0</v>
      </c>
      <c r="M319" s="418">
        <v>0</v>
      </c>
      <c r="N319" s="418">
        <v>0</v>
      </c>
      <c r="O319" s="21">
        <f>SUM(tabCustoUnit[[#This Row],[Salário Base]:[Adicional de Acúmulo de função]])</f>
        <v>2443.5248999999999</v>
      </c>
      <c r="P319" s="21">
        <f>tabCustoUnit[[#This Row],[MODULO 1 - REMUNERAÇÃO ]]*SUMIFS(tabParametros[INSS],tabParametros[Código do Posto],tabCustoUnit[[#This Row],[Código do Posto]])</f>
        <v>488.70497999999998</v>
      </c>
      <c r="Q319" s="21">
        <f>tabCustoUnit[[#This Row],[MODULO 1 - REMUNERAÇÃO ]]*SUMIFS(tabParametros[SESI OU SESC],tabParametros[Código do Posto],tabCustoUnit[[#This Row],[Código do Posto]])</f>
        <v>36.652873499999998</v>
      </c>
      <c r="R319" s="21">
        <f>tabCustoUnit[[#This Row],[MODULO 1 - REMUNERAÇÃO ]]*SUMIFS(tabParametros[SENAI OU SENAC],tabParametros[Código do Posto],tabCustoUnit[[#This Row],[Código do Posto]])</f>
        <v>24.435248999999999</v>
      </c>
      <c r="S319" s="21">
        <f>tabCustoUnit[[#This Row],[MODULO 1 - REMUNERAÇÃO ]]*SUMIFS(tabParametros[INCRA],tabParametros[Código do Posto],tabCustoUnit[[#This Row],[Código do Posto]])</f>
        <v>4.8870497999999998</v>
      </c>
      <c r="T319" s="21">
        <f>tabCustoUnit[[#This Row],[MODULO 1 - REMUNERAÇÃO ]]*SUMIFS(tabParametros[Salário Educação],tabParametros[Código do Posto],tabCustoUnit[[#This Row],[Código do Posto]])</f>
        <v>61.088122499999997</v>
      </c>
      <c r="U319" s="21">
        <f>tabCustoUnit[[#This Row],[MODULO 1 - REMUNERAÇÃO ]]*SUMIFS(tabParametros[FGTS],tabParametros[Código do Posto],tabCustoUnit[[#This Row],[Código do Posto]])</f>
        <v>195.48199199999999</v>
      </c>
      <c r="V319" s="21">
        <f>tabCustoUnit[[#This Row],[MODULO 1 - REMUNERAÇÃO ]]*SUMIFS(tabParametros[RAT Ajustado],tabParametros[Código do Posto],tabCustoUnit[[#This Row],[Código do Posto]])</f>
        <v>97.740995999999996</v>
      </c>
      <c r="W319" s="21">
        <f>tabCustoUnit[[#This Row],[MODULO 1 - REMUNERAÇÃO ]]*SUMIFS(tabParametros[SEBRAE],tabParametros[Código do Posto],tabCustoUnit[[#This Row],[Código do Posto]])</f>
        <v>14.661149399999999</v>
      </c>
      <c r="X319" s="21">
        <f>SUM(tabCustoUnit[[#This Row],[INSS]:[SEBRAE]])</f>
        <v>923.65241219999996</v>
      </c>
      <c r="Y319" s="21">
        <f>tabCustoUnit[[#This Row],[MODULO 1 - REMUNERAÇÃO ]]*SUMIFS(tabParametros[13º salário (titular)],tabParametros[Código do Posto],tabCustoUnit[[#This Row],[Código do Posto]])</f>
        <v>203.62707499999999</v>
      </c>
      <c r="Z319" s="21">
        <f>tabCustoUnit[[#This Row],[MODULO 1 - REMUNERAÇÃO ]]*SUMIFS(tabParametros[Férias e Adicional de Férias (titular)],tabParametros[Código do Posto],tabCustoUnit[[#This Row],[Código do Posto]])</f>
        <v>271.50276666666662</v>
      </c>
      <c r="AA319" s="21">
        <f>IFERROR((tabCustoUnit[[#This Row],[Submódulo 2.1]]/tabCustoUnit[[#This Row],[MODULO 1 - REMUNERAÇÃO ]])*SUM(tabCustoUnit[[#This Row],[13º salário (titular)]:[Férias e Adicional de Férias (titular)]]),0)</f>
        <v>179.59908014999999</v>
      </c>
      <c r="AB319" s="21">
        <f>SUM(tabCustoUnit[[#This Row],[13º salário (titular)]:[Incidência do Submódulo 2.1 sobre 13º Salário, Férias e Adicional de Férias]])</f>
        <v>654.72892181666657</v>
      </c>
      <c r="AC319" s="22" t="e">
        <f ca="1">_xlfn.LET(_xlpm.VT,SUMIF(tabParametros[Código do Posto],tabCustoUnit[[#This Row],[Código do Posto]],tabParametros[Vale - Transporte])*2*20,
IF((_xlpm.VT-tabCustoUnit[[#This Row],[Salário Base]]*0.06)&gt;=0,(_xlpm.VT-tabCustoUnit[[#This Row],[Salário Base]]*0.06),0)
)</f>
        <v>#NAME?</v>
      </c>
      <c r="AD319" s="22">
        <f>IF(SUMIF(tabParametros[Código do Posto],tabCustoUnit[[#This Row],[Código do Posto]],tabParametros[Vale - Alimentação])&lt;=0,0,
SUMIF(tabParametros[Código do Posto],tabCustoUnit[[#This Row],[Código do Posto]],tabParametros[Vale - Alimentação])*20-1)</f>
        <v>0</v>
      </c>
      <c r="AE319" s="22">
        <f>SUMIF(tabParametros[Código do Posto],tabCustoUnit[[#This Row],[Código do Posto]],tabParametros[Cesta Básica])</f>
        <v>387.79</v>
      </c>
      <c r="AF319" s="22">
        <f>SUMIF(tabParametros[Código do Posto],tabCustoUnit[[#This Row],[Código do Posto]],tabParametros[PAF])</f>
        <v>42.97</v>
      </c>
      <c r="AG319" s="22">
        <f>SUMIF(tabParametros[Código do Posto],tabCustoUnit[[#This Row],[Código do Posto]],tabParametros[PQM])</f>
        <v>0</v>
      </c>
      <c r="AH319" s="22">
        <f>SUMIF(tabParametros[Código do Posto],tabCustoUnit[[#This Row],[Código do Posto]],tabParametros[Abono Único e Especial])</f>
        <v>0</v>
      </c>
      <c r="AI319" s="22">
        <f>SUMIF(tabParametros[Código do Posto],tabCustoUnit[[#This Row],[Código do Posto]],tabParametros[Seguro de Vida])</f>
        <v>3.36</v>
      </c>
      <c r="AJ319" s="22">
        <f>SUMIF(tabParametros[Código do Posto],tabCustoUnit[[#This Row],[Código do Posto]],tabParametros[Despesas de Viagem])</f>
        <v>0</v>
      </c>
      <c r="AK319" s="22" t="e">
        <f ca="1">SUM(tabCustoUnit[[#This Row],[Vale - Transporte (Descontada parcela do empregado)]:[Despesas de Viagem]])</f>
        <v>#NAME?</v>
      </c>
      <c r="AL319" s="22" t="e">
        <f ca="1">tabCustoUnit[[#This Row],[Submódulo 2.1]]+tabCustoUnit[[#This Row],[Submódulo 2.2]]+tabCustoUnit[[#This Row],[Submódulo 2.3]]</f>
        <v>#NAME?</v>
      </c>
      <c r="AM319" s="22">
        <f>SUMIF(tabParametros[Código do Posto],tabCustoUnit[[#This Row],[Código do Posto]],tabParametros[Aviso Prévio Indenizado (API) e Reflexo do Aviso Prévio Indenizado])*tabCustoUnit[[#This Row],[MODULO 1 - REMUNERAÇÃO ]]</f>
        <v>17.133427197164352</v>
      </c>
      <c r="AN319" s="22">
        <f>SUMIF(tabParametros[Código do Posto],tabCustoUnit[[#This Row],[Código do Posto]],tabParametros[Incidência do FGTS sobre API e Reflexo do API])*tabCustoUnit[[#This Row],[MODULO 1 - REMUNERAÇÃO ]]</f>
        <v>1.3706741757731482</v>
      </c>
      <c r="AO319" s="22">
        <f>SUMIF(tabParametros[Código do Posto],tabCustoUnit[[#This Row],[Código do Posto]],tabParametros[Multa Rescisória do FGTS sobre o Aviso Prévio Indenizado])*tabCustoUnit[[#This Row],[MODULO 1 - REMUNERAÇÃO ]]</f>
        <v>0.54826967030925933</v>
      </c>
      <c r="AP319" s="22">
        <f>SUMIF(tabParametros[Código do Posto],tabCustoUnit[[#This Row],[Código do Posto]],tabParametros[Aviso Prévio Trabalhado - APT])*tabCustoUnit[[#This Row],[MODULO 1 - REMUNERAÇÃO ]]</f>
        <v>8.5523371500000014</v>
      </c>
      <c r="AQ319" s="22">
        <f>SUMIF(tabParametros[Código do Posto],tabCustoUnit[[#This Row],[Código do Posto]],tabParametros[Incidência dos encargos do submódulo 2.1 sobre Aviso Prévio Trabalhado])*tabCustoUnit[[#This Row],[MODULO 1 - REMUNERAÇÃO ]]</f>
        <v>3.2327834427000006</v>
      </c>
      <c r="AR319" s="22">
        <f>SUMIF(tabParametros[Código do Posto],tabCustoUnit[[#This Row],[Código do Posto]],tabParametros[Multa Rescisória do FGTS])*tabCustoUnit[[#This Row],[MODULO 1 - REMUNERAÇÃO ]]</f>
        <v>74.717561386666645</v>
      </c>
      <c r="AS319" s="22">
        <f>SUMIF(tabParametros[Código do Posto],tabCustoUnit[[#This Row],[Código do Posto]],tabParametros[Indenização Adicional (Art. 9º da Lei nº 7.238/84)])*tabCustoUnit[[#This Row],[MODULO 1 - REMUNERAÇÃO ]]</f>
        <v>2.0362707499999999</v>
      </c>
      <c r="AT319" s="22">
        <f>SUM(tabCustoUnit[[#This Row],[Aviso Prévio Indenizado (API) e Reflexo do Aviso Prévio Indenizado]:[Indenização Adicional (Art. 9º da Lei nº 7.238/84)]])</f>
        <v>107.59132377261341</v>
      </c>
      <c r="AU319" s="22">
        <f>SUMIF(tabParametros[Código do Posto],tabCustoUnit[[#This Row],[Código do Posto]],tabParametros[Ausência por Doença])*tabCustoUnit[[#This Row],[MODULO 1 - REMUNERAÇÃO ]]</f>
        <v>20.634210266666663</v>
      </c>
      <c r="AV319" s="22">
        <f>SUMIF(tabParametros[Código do Posto],tabCustoUnit[[#This Row],[Código do Posto]],tabParametros[Ausências Legais])*tabCustoUnit[[#This Row],[MODULO 1 - REMUNERAÇÃO ]]</f>
        <v>4.9549254916666658</v>
      </c>
      <c r="AW319" s="22">
        <f>SUMIF(tabParametros[Código do Posto],tabCustoUnit[[#This Row],[Código do Posto]],tabParametros[Licença Paternidade])*tabCustoUnit[[#This Row],[MODULO 1 - REMUNERAÇÃO ]]</f>
        <v>0.41743550374999999</v>
      </c>
      <c r="AX319" s="22">
        <f>SUMIF(tabParametros[Código do Posto],tabCustoUnit[[#This Row],[Código do Posto]],tabParametros[Ausência por Acidente de Trabalho])*tabCustoUnit[[#This Row],[MODULO 1 - REMUNERAÇÃO ]]</f>
        <v>0.50906768749999998</v>
      </c>
      <c r="AY319" s="22">
        <f>SUMIF(tabParametros[Código do Posto],tabCustoUnit[[#This Row],[Código do Posto]],tabParametros[Férias, Adicional de Férias e 13º  com empregada em gozo de Licença Maternidade])*tabCustoUnit[[#This Row],[MODULO 1 - REMUNERAÇÃO ]]</f>
        <v>3.1675322777777777</v>
      </c>
      <c r="AZ319" s="22">
        <f>SUMIF(tabParametros[Código do Posto],tabCustoUnit[[#This Row],[Código do Posto]],tabParametros[Incidência do Submódulo 2.1 sobre Ausências Legais])*tabCustoUnit[[#This Row],[MODULO 1 - REMUNERAÇÃO ]]</f>
        <v>11.220238723942501</v>
      </c>
      <c r="BA319" s="22">
        <f>SUM(tabCustoUnit[[#This Row],[Ausência por Doença]:[Incidência do Submódulo 2.1 sobre Ausências Legais]])</f>
        <v>40.903409951303601</v>
      </c>
      <c r="BB319" s="22">
        <f>SUMIF(tabParametros[Código do Posto],tabCustoUnit[[#This Row],[Código do Posto]],tabParametros[Intervalo para Repouso ou Alimentação])</f>
        <v>0</v>
      </c>
      <c r="BC319" s="22">
        <f>tabCustoUnit[[#This Row],[Intervalo para Repouso ou Alimentação]]</f>
        <v>0</v>
      </c>
      <c r="BD31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19" s="22">
        <f>tabCustoUnit[[#This Row],[Suspensão Temporária do Contrato de Trabalho]]</f>
        <v>0</v>
      </c>
      <c r="BF319" s="22">
        <f>tabCustoUnit[[#This Row],[Submódulo 4.1]]+tabCustoUnit[[#This Row],[Submódulo 4.2]]+tabCustoUnit[[#This Row],[Submódulo 4.3]]</f>
        <v>40.903409951303601</v>
      </c>
      <c r="BG319" s="22">
        <f>VLOOKUP(tabCustoUnit[[#This Row],[Código do Posto]],tabParametros[],MATCH(tabCustoUnit[[#Headers],[Uniformes e EPIs]],tabParametros[#Headers],0),0)</f>
        <v>190.56060491869394</v>
      </c>
      <c r="BH319" s="22">
        <f>VLOOKUP(tabCustoUnit[[#This Row],[Código do Posto]],tabParametros[],MATCH(tabCustoUnit[[#Headers],[Materiais de Consumo]],tabParametros[#Headers],0),0)</f>
        <v>0</v>
      </c>
      <c r="BI319" s="22">
        <f>VLOOKUP(tabCustoUnit[[#This Row],[Código do Posto]],tabParametros[],MATCH(tabCustoUnit[[#Headers],[Máquinas e Equipamentos (depreciação)]],tabParametros[#Headers],0),0)</f>
        <v>0</v>
      </c>
      <c r="BJ319" s="22">
        <f>VLOOKUP(tabCustoUnit[[#This Row],[Código do Posto]],tabParametros[],MATCH(tabCustoUnit[[#Headers],[Produtos de Limpeza e Materiais de Higiene Pessoal]],tabParametros[#Headers],0),0)</f>
        <v>0</v>
      </c>
      <c r="BK319" s="22">
        <f>VLOOKUP(tabCustoUnit[[#This Row],[Código do Posto]],tabParametros[],MATCH(tabCustoUnit[[#Headers],[Outros (especificar)]],tabParametros[#Headers],0),0)</f>
        <v>0</v>
      </c>
      <c r="BL319" s="22">
        <f>SUM(tabCustoUnit[[#This Row],[Uniformes e EPIs]:[Outros (especificar)]])</f>
        <v>190.56060491869394</v>
      </c>
      <c r="BM31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19" s="22" t="e">
        <f ca="1">VLOOKUP(tabCustoUnit[[#This Row],[Código do Posto]],tabParametros[],MATCH(tabCustoUnit[[#Headers],[Custos Indiretos]],tabParametros[#Headers],0),0)</f>
        <v>#NAME?</v>
      </c>
      <c r="BO319" s="22" t="e">
        <f ca="1">VLOOKUP(tabCustoUnit[[#This Row],[Código do Posto]],tabParametros[],MATCH(tabCustoUnit[[#Headers],[Lucro]],tabParametros[#Headers],0),0)</f>
        <v>#NAME?</v>
      </c>
      <c r="BP319" s="26">
        <f>((100/((1-tabCustoUnit[[#This Row],[Resumo de Alíquotas (PIS+CONFINS+ISS)]]))-100)*VLOOKUP(tabCustoUnit[[#This Row],[Código do Posto]],tabParametros[],MATCH(tabCustoUnit[[#Headers],[COFINS]],tabParametros[#Headers],0),0))/(tabCustoUnit[[#This Row],[Resumo de Alíquotas (PIS+CONFINS+ISS)]]*100)</f>
        <v>8.5633802816901458E-2</v>
      </c>
      <c r="BQ319" s="26">
        <f>((100/((100-(tabCustoUnit[[#This Row],[Resumo de Alíquotas (PIS+CONFINS+ISS)]]*100))%)-100)*VLOOKUP(tabCustoUnit[[#This Row],[Código do Posto]],tabParametros[],MATCH(tabCustoUnit[[#Headers],[PIS]],tabParametros[#Headers],0),0))/(tabCustoUnit[[#This Row],[Resumo de Alíquotas (PIS+CONFINS+ISS)]]*100)</f>
        <v>1.8591549295774657E-2</v>
      </c>
      <c r="BR319" s="28">
        <f>VLOOKUP(tabCustoUnit[[#This Row],[Código do Posto]],tabParametros[],MATCH(tabCustoUnit[[#Headers],[ISS]],tabParametros[#Headers],0),0)</f>
        <v>0.02</v>
      </c>
      <c r="BS319" s="26">
        <f>(((100/((100-(tabCustoUnit[[#This Row],[Resumo de Alíquotas (PIS+CONFINS+ISS)]]*100))%)-100)*tabCustoUnit[[#This Row],[ISS]])/tabCustoUnit[[#This Row],[Resumo de Alíquotas (PIS+CONFINS+ISS)]])/100</f>
        <v>2.2535211267605645E-2</v>
      </c>
      <c r="BT31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19" s="138">
        <f>tabCustoUnit[[#This Row],[COFINS]]+tabCustoUnit[[#This Row],[PIS]]+tabCustoUnit[[#This Row],[ISS (Conversão Alíquota s/ fatura)]]</f>
        <v>0.12676056338028174</v>
      </c>
      <c r="BV319" s="22" t="e">
        <f ca="1">(tabCustoUnit[[#This Row],[TOTAL MÓDULOS 1+2+3+4+5]]+tabCustoUnit[[#This Row],[Custos Indiretos]]+tabCustoUnit[[#This Row],[Lucro]])*tabCustoUnit[[#This Row],[PIS + COFINS + ISS (Total Conversão  Alíquota s/ Fatura)]]</f>
        <v>#NAME?</v>
      </c>
      <c r="BW319" s="22" t="e">
        <f ca="1">tabCustoUnit[[#This Row],[Custos Indiretos]]+tabCustoUnit[[#This Row],[Lucro]]+tabCustoUnit[[#This Row],[Valor dos Tributos (ISS, PIS, CONFINS)]]</f>
        <v>#NAME?</v>
      </c>
      <c r="BX319" s="22" t="e">
        <f ca="1">tabCustoUnit[[#This Row],[TOTAL MÓDULOS 1+2+3+4+5]]+tabCustoUnit[[#This Row],[MÓDULO 6 – CUSTOS INDIRETOS, TRIBUTOS E LUCRO]]</f>
        <v>#NAME?</v>
      </c>
      <c r="BY319" s="22" t="e">
        <f ca="1">tabCustoUnit[[#This Row],[CUSTO TOTAL MENSAL]]*12</f>
        <v>#NAME?</v>
      </c>
      <c r="BZ319" s="24">
        <f>VLOOKUP(tabCustoUnit[[#This Row],[Código do Posto]],tabParametros[],MATCH(tabCustoUnit[[#Headers],[ANO DA CCT]],tabParametros[#Headers],0),0)</f>
        <v>45658</v>
      </c>
      <c r="CA319" s="25" t="str">
        <f>VLOOKUP(tabCustoUnit[[#This Row],[Código do Posto]],tabParametros[],MATCH(tabCustoUnit[[#Headers],[Nº DE PEDIDO DA CCT]],tabParametros[#Headers],0),0)</f>
        <v>-</v>
      </c>
      <c r="CB319" s="25" t="str">
        <f>VLOOKUP(tabCustoUnit[[#This Row],[Código do Posto]],tabParametros[],MATCH(tabCustoUnit[[#Headers],[TERMO ADITIVO ALTERAÇÃO DA CCT]],tabParametros[#Headers],0),0)</f>
        <v>-</v>
      </c>
    </row>
    <row r="320" spans="1:80">
      <c r="A320" s="20" t="s">
        <v>1514</v>
      </c>
      <c r="B320" t="s">
        <v>1071</v>
      </c>
      <c r="C320" t="s">
        <v>200</v>
      </c>
      <c r="D320" t="s">
        <v>1071</v>
      </c>
      <c r="E320" s="20" t="s">
        <v>1090</v>
      </c>
      <c r="F320" s="20" t="s">
        <v>120</v>
      </c>
      <c r="G320" s="418">
        <v>1649.1248000000001</v>
      </c>
      <c r="H320" s="418">
        <v>0</v>
      </c>
      <c r="I320" s="418">
        <v>0</v>
      </c>
      <c r="J320" s="418">
        <v>0</v>
      </c>
      <c r="K320" s="418">
        <v>0</v>
      </c>
      <c r="L320" s="418">
        <v>0</v>
      </c>
      <c r="M320" s="418">
        <v>0</v>
      </c>
      <c r="N320" s="418">
        <v>0</v>
      </c>
      <c r="O320" s="21">
        <f>SUM(tabCustoUnit[[#This Row],[Salário Base]:[Adicional de Acúmulo de função]])</f>
        <v>1649.1248000000001</v>
      </c>
      <c r="P320" s="21">
        <f>tabCustoUnit[[#This Row],[MODULO 1 - REMUNERAÇÃO ]]*SUMIFS(tabParametros[INSS],tabParametros[Código do Posto],tabCustoUnit[[#This Row],[Código do Posto]])</f>
        <v>329.82496000000003</v>
      </c>
      <c r="Q320" s="21">
        <f>tabCustoUnit[[#This Row],[MODULO 1 - REMUNERAÇÃO ]]*SUMIFS(tabParametros[SESI OU SESC],tabParametros[Código do Posto],tabCustoUnit[[#This Row],[Código do Posto]])</f>
        <v>24.736871999999998</v>
      </c>
      <c r="R320" s="21">
        <f>tabCustoUnit[[#This Row],[MODULO 1 - REMUNERAÇÃO ]]*SUMIFS(tabParametros[SENAI OU SENAC],tabParametros[Código do Posto],tabCustoUnit[[#This Row],[Código do Posto]])</f>
        <v>16.491248000000002</v>
      </c>
      <c r="S320" s="21">
        <f>tabCustoUnit[[#This Row],[MODULO 1 - REMUNERAÇÃO ]]*SUMIFS(tabParametros[INCRA],tabParametros[Código do Posto],tabCustoUnit[[#This Row],[Código do Posto]])</f>
        <v>3.2982496000000001</v>
      </c>
      <c r="T320" s="21">
        <f>tabCustoUnit[[#This Row],[MODULO 1 - REMUNERAÇÃO ]]*SUMIFS(tabParametros[Salário Educação],tabParametros[Código do Posto],tabCustoUnit[[#This Row],[Código do Posto]])</f>
        <v>41.228120000000004</v>
      </c>
      <c r="U320" s="21">
        <f>tabCustoUnit[[#This Row],[MODULO 1 - REMUNERAÇÃO ]]*SUMIFS(tabParametros[FGTS],tabParametros[Código do Posto],tabCustoUnit[[#This Row],[Código do Posto]])</f>
        <v>131.92998400000002</v>
      </c>
      <c r="V320" s="21">
        <f>tabCustoUnit[[#This Row],[MODULO 1 - REMUNERAÇÃO ]]*SUMIFS(tabParametros[RAT Ajustado],tabParametros[Código do Posto],tabCustoUnit[[#This Row],[Código do Posto]])</f>
        <v>65.964992000000009</v>
      </c>
      <c r="W320" s="21">
        <f>tabCustoUnit[[#This Row],[MODULO 1 - REMUNERAÇÃO ]]*SUMIFS(tabParametros[SEBRAE],tabParametros[Código do Posto],tabCustoUnit[[#This Row],[Código do Posto]])</f>
        <v>9.8947488000000003</v>
      </c>
      <c r="X320" s="21">
        <f>SUM(tabCustoUnit[[#This Row],[INSS]:[SEBRAE]])</f>
        <v>623.36917440000013</v>
      </c>
      <c r="Y320" s="21">
        <f>tabCustoUnit[[#This Row],[MODULO 1 - REMUNERAÇÃO ]]*SUMIFS(tabParametros[13º salário (titular)],tabParametros[Código do Posto],tabCustoUnit[[#This Row],[Código do Posto]])</f>
        <v>137.42706666666666</v>
      </c>
      <c r="Z320" s="21">
        <f>tabCustoUnit[[#This Row],[MODULO 1 - REMUNERAÇÃO ]]*SUMIFS(tabParametros[Férias e Adicional de Férias (titular)],tabParametros[Código do Posto],tabCustoUnit[[#This Row],[Código do Posto]])</f>
        <v>183.23608888888887</v>
      </c>
      <c r="AA320" s="21">
        <f>IFERROR((tabCustoUnit[[#This Row],[Submódulo 2.1]]/tabCustoUnit[[#This Row],[MODULO 1 - REMUNERAÇÃO ]])*SUM(tabCustoUnit[[#This Row],[13º salário (titular)]:[Férias e Adicional de Férias (titular)]]),0)</f>
        <v>121.21067280000001</v>
      </c>
      <c r="AB320" s="21">
        <f>SUM(tabCustoUnit[[#This Row],[13º salário (titular)]:[Incidência do Submódulo 2.1 sobre 13º Salário, Férias e Adicional de Férias]])</f>
        <v>441.87382835555553</v>
      </c>
      <c r="AC320" s="22" t="e">
        <f ca="1">_xlfn.LET(_xlpm.VT,SUMIF(tabParametros[Código do Posto],tabCustoUnit[[#This Row],[Código do Posto]],tabParametros[Vale - Transporte])*2*20,
IF((_xlpm.VT-tabCustoUnit[[#This Row],[Salário Base]]*0.06)&gt;=0,(_xlpm.VT-tabCustoUnit[[#This Row],[Salário Base]]*0.06),0)
)</f>
        <v>#NAME?</v>
      </c>
      <c r="AD320" s="22">
        <f>IF(SUMIF(tabParametros[Código do Posto],tabCustoUnit[[#This Row],[Código do Posto]],tabParametros[Vale - Alimentação])&lt;=0,0,
SUMIF(tabParametros[Código do Posto],tabCustoUnit[[#This Row],[Código do Posto]],tabParametros[Vale - Alimentação])*20-1)</f>
        <v>0</v>
      </c>
      <c r="AE320" s="22">
        <f>SUMIF(tabParametros[Código do Posto],tabCustoUnit[[#This Row],[Código do Posto]],tabParametros[Cesta Básica])</f>
        <v>387.79</v>
      </c>
      <c r="AF320" s="22">
        <f>SUMIF(tabParametros[Código do Posto],tabCustoUnit[[#This Row],[Código do Posto]],tabParametros[PAF])</f>
        <v>42.97</v>
      </c>
      <c r="AG320" s="22">
        <f>SUMIF(tabParametros[Código do Posto],tabCustoUnit[[#This Row],[Código do Posto]],tabParametros[PQM])</f>
        <v>0</v>
      </c>
      <c r="AH320" s="22">
        <f>SUMIF(tabParametros[Código do Posto],tabCustoUnit[[#This Row],[Código do Posto]],tabParametros[Abono Único e Especial])</f>
        <v>0</v>
      </c>
      <c r="AI320" s="22">
        <f>SUMIF(tabParametros[Código do Posto],tabCustoUnit[[#This Row],[Código do Posto]],tabParametros[Seguro de Vida])</f>
        <v>3.36</v>
      </c>
      <c r="AJ320" s="22">
        <f>SUMIF(tabParametros[Código do Posto],tabCustoUnit[[#This Row],[Código do Posto]],tabParametros[Despesas de Viagem])</f>
        <v>0</v>
      </c>
      <c r="AK320" s="22" t="e">
        <f ca="1">SUM(tabCustoUnit[[#This Row],[Vale - Transporte (Descontada parcela do empregado)]:[Despesas de Viagem]])</f>
        <v>#NAME?</v>
      </c>
      <c r="AL320" s="22" t="e">
        <f ca="1">tabCustoUnit[[#This Row],[Submódulo 2.1]]+tabCustoUnit[[#This Row],[Submódulo 2.2]]+tabCustoUnit[[#This Row],[Submódulo 2.3]]</f>
        <v>#NAME?</v>
      </c>
      <c r="AM320" s="22">
        <f>SUMIF(tabParametros[Código do Posto],tabCustoUnit[[#This Row],[Código do Posto]],tabParametros[Aviso Prévio Indenizado (API) e Reflexo do Aviso Prévio Indenizado])*tabCustoUnit[[#This Row],[MODULO 1 - REMUNERAÇÃO ]]</f>
        <v>11.563278810802469</v>
      </c>
      <c r="AN320" s="22">
        <f>SUMIF(tabParametros[Código do Posto],tabCustoUnit[[#This Row],[Código do Posto]],tabParametros[Incidência do FGTS sobre API e Reflexo do API])*tabCustoUnit[[#This Row],[MODULO 1 - REMUNERAÇÃO ]]</f>
        <v>0.9250623048641976</v>
      </c>
      <c r="AO320" s="22">
        <f>SUMIF(tabParametros[Código do Posto],tabCustoUnit[[#This Row],[Código do Posto]],tabParametros[Multa Rescisória do FGTS sobre o Aviso Prévio Indenizado])*tabCustoUnit[[#This Row],[MODULO 1 - REMUNERAÇÃO ]]</f>
        <v>0.3700249219456791</v>
      </c>
      <c r="AP320" s="22">
        <f>SUMIF(tabParametros[Código do Posto],tabCustoUnit[[#This Row],[Código do Posto]],tabParametros[Aviso Prévio Trabalhado - APT])*tabCustoUnit[[#This Row],[MODULO 1 - REMUNERAÇÃO ]]</f>
        <v>5.7719368000000006</v>
      </c>
      <c r="AQ320" s="22">
        <f>SUMIF(tabParametros[Código do Posto],tabCustoUnit[[#This Row],[Código do Posto]],tabParametros[Incidência dos encargos do submódulo 2.1 sobre Aviso Prévio Trabalhado])*tabCustoUnit[[#This Row],[MODULO 1 - REMUNERAÇÃO ]]</f>
        <v>2.1817921104000009</v>
      </c>
      <c r="AR320" s="22">
        <f>SUMIF(tabParametros[Código do Posto],tabCustoUnit[[#This Row],[Código do Posto]],tabParametros[Multa Rescisória do FGTS])*tabCustoUnit[[#This Row],[MODULO 1 - REMUNERAÇÃO ]]</f>
        <v>50.426571662222216</v>
      </c>
      <c r="AS320" s="22">
        <f>SUMIF(tabParametros[Código do Posto],tabCustoUnit[[#This Row],[Código do Posto]],tabParametros[Indenização Adicional (Art. 9º da Lei nº 7.238/84)])*tabCustoUnit[[#This Row],[MODULO 1 - REMUNERAÇÃO ]]</f>
        <v>1.3742706666666669</v>
      </c>
      <c r="AT320" s="22">
        <f>SUM(tabCustoUnit[[#This Row],[Aviso Prévio Indenizado (API) e Reflexo do Aviso Prévio Indenizado]:[Indenização Adicional (Art. 9º da Lei nº 7.238/84)]])</f>
        <v>72.612937276901221</v>
      </c>
      <c r="AU320" s="22">
        <f>SUMIF(tabParametros[Código do Posto],tabCustoUnit[[#This Row],[Código do Posto]],tabParametros[Ausência por Doença])*tabCustoUnit[[#This Row],[MODULO 1 - REMUNERAÇÃO ]]</f>
        <v>13.925942755555555</v>
      </c>
      <c r="AV320" s="22">
        <f>SUMIF(tabParametros[Código do Posto],tabCustoUnit[[#This Row],[Código do Posto]],tabParametros[Ausências Legais])*tabCustoUnit[[#This Row],[MODULO 1 - REMUNERAÇÃO ]]</f>
        <v>3.3440586222222222</v>
      </c>
      <c r="AW320" s="22">
        <f>SUMIF(tabParametros[Código do Posto],tabCustoUnit[[#This Row],[Código do Posto]],tabParametros[Licença Paternidade])*tabCustoUnit[[#This Row],[MODULO 1 - REMUNERAÇÃO ]]</f>
        <v>0.28172548666666669</v>
      </c>
      <c r="AX320" s="22">
        <f>SUMIF(tabParametros[Código do Posto],tabCustoUnit[[#This Row],[Código do Posto]],tabParametros[Ausência por Acidente de Trabalho])*tabCustoUnit[[#This Row],[MODULO 1 - REMUNERAÇÃO ]]</f>
        <v>0.34356766666666672</v>
      </c>
      <c r="AY320" s="22">
        <f>SUMIF(tabParametros[Código do Posto],tabCustoUnit[[#This Row],[Código do Posto]],tabParametros[Férias, Adicional de Férias e 13º  com empregada em gozo de Licença Maternidade])*tabCustoUnit[[#This Row],[MODULO 1 - REMUNERAÇÃO ]]</f>
        <v>2.1377543703703705</v>
      </c>
      <c r="AZ320" s="22">
        <f>SUMIF(tabParametros[Código do Posto],tabCustoUnit[[#This Row],[Código do Posto]],tabParametros[Incidência do Submódulo 2.1 sobre Ausências Legais])*tabCustoUnit[[#This Row],[MODULO 1 - REMUNERAÇÃO ]]</f>
        <v>7.5724924847600015</v>
      </c>
      <c r="BA320" s="22">
        <f>SUM(tabCustoUnit[[#This Row],[Ausência por Doença]:[Incidência do Submódulo 2.1 sobre Ausências Legais]])</f>
        <v>27.60554138624148</v>
      </c>
      <c r="BB320" s="22">
        <f>SUMIF(tabParametros[Código do Posto],tabCustoUnit[[#This Row],[Código do Posto]],tabParametros[Intervalo para Repouso ou Alimentação])</f>
        <v>0</v>
      </c>
      <c r="BC320" s="22">
        <f>tabCustoUnit[[#This Row],[Intervalo para Repouso ou Alimentação]]</f>
        <v>0</v>
      </c>
      <c r="BD32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0" s="22">
        <f>tabCustoUnit[[#This Row],[Suspensão Temporária do Contrato de Trabalho]]</f>
        <v>0</v>
      </c>
      <c r="BF320" s="22">
        <f>tabCustoUnit[[#This Row],[Submódulo 4.1]]+tabCustoUnit[[#This Row],[Submódulo 4.2]]+tabCustoUnit[[#This Row],[Submódulo 4.3]]</f>
        <v>27.60554138624148</v>
      </c>
      <c r="BG320" s="22">
        <f>VLOOKUP(tabCustoUnit[[#This Row],[Código do Posto]],tabParametros[],MATCH(tabCustoUnit[[#Headers],[Uniformes e EPIs]],tabParametros[#Headers],0),0)</f>
        <v>56.141713661989918</v>
      </c>
      <c r="BH320" s="22">
        <f>VLOOKUP(tabCustoUnit[[#This Row],[Código do Posto]],tabParametros[],MATCH(tabCustoUnit[[#Headers],[Materiais de Consumo]],tabParametros[#Headers],0),0)</f>
        <v>0</v>
      </c>
      <c r="BI320" s="22">
        <f>VLOOKUP(tabCustoUnit[[#This Row],[Código do Posto]],tabParametros[],MATCH(tabCustoUnit[[#Headers],[Máquinas e Equipamentos (depreciação)]],tabParametros[#Headers],0),0)</f>
        <v>0</v>
      </c>
      <c r="BJ320" s="22">
        <f>VLOOKUP(tabCustoUnit[[#This Row],[Código do Posto]],tabParametros[],MATCH(tabCustoUnit[[#Headers],[Produtos de Limpeza e Materiais de Higiene Pessoal]],tabParametros[#Headers],0),0)</f>
        <v>0</v>
      </c>
      <c r="BK320" s="22">
        <f>VLOOKUP(tabCustoUnit[[#This Row],[Código do Posto]],tabParametros[],MATCH(tabCustoUnit[[#Headers],[Outros (especificar)]],tabParametros[#Headers],0),0)</f>
        <v>0</v>
      </c>
      <c r="BL320" s="22">
        <f>SUM(tabCustoUnit[[#This Row],[Uniformes e EPIs]:[Outros (especificar)]])</f>
        <v>56.141713661989918</v>
      </c>
      <c r="BM32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0" s="22" t="e">
        <f ca="1">VLOOKUP(tabCustoUnit[[#This Row],[Código do Posto]],tabParametros[],MATCH(tabCustoUnit[[#Headers],[Custos Indiretos]],tabParametros[#Headers],0),0)</f>
        <v>#NAME?</v>
      </c>
      <c r="BO320" s="22" t="e">
        <f ca="1">VLOOKUP(tabCustoUnit[[#This Row],[Código do Posto]],tabParametros[],MATCH(tabCustoUnit[[#Headers],[Lucro]],tabParametros[#Headers],0),0)</f>
        <v>#NAME?</v>
      </c>
      <c r="BP320" s="26">
        <f>((100/((1-tabCustoUnit[[#This Row],[Resumo de Alíquotas (PIS+CONFINS+ISS)]]))-100)*VLOOKUP(tabCustoUnit[[#This Row],[Código do Posto]],tabParametros[],MATCH(tabCustoUnit[[#Headers],[COFINS]],tabParametros[#Headers],0),0))/(tabCustoUnit[[#This Row],[Resumo de Alíquotas (PIS+CONFINS+ISS)]]*100)</f>
        <v>8.5633802816901458E-2</v>
      </c>
      <c r="BQ320" s="26">
        <f>((100/((100-(tabCustoUnit[[#This Row],[Resumo de Alíquotas (PIS+CONFINS+ISS)]]*100))%)-100)*VLOOKUP(tabCustoUnit[[#This Row],[Código do Posto]],tabParametros[],MATCH(tabCustoUnit[[#Headers],[PIS]],tabParametros[#Headers],0),0))/(tabCustoUnit[[#This Row],[Resumo de Alíquotas (PIS+CONFINS+ISS)]]*100)</f>
        <v>1.8591549295774657E-2</v>
      </c>
      <c r="BR320" s="28">
        <f>VLOOKUP(tabCustoUnit[[#This Row],[Código do Posto]],tabParametros[],MATCH(tabCustoUnit[[#Headers],[ISS]],tabParametros[#Headers],0),0)</f>
        <v>0.02</v>
      </c>
      <c r="BS320" s="26">
        <f>(((100/((100-(tabCustoUnit[[#This Row],[Resumo de Alíquotas (PIS+CONFINS+ISS)]]*100))%)-100)*tabCustoUnit[[#This Row],[ISS]])/tabCustoUnit[[#This Row],[Resumo de Alíquotas (PIS+CONFINS+ISS)]])/100</f>
        <v>2.2535211267605645E-2</v>
      </c>
      <c r="BT32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20" s="138">
        <f>tabCustoUnit[[#This Row],[COFINS]]+tabCustoUnit[[#This Row],[PIS]]+tabCustoUnit[[#This Row],[ISS (Conversão Alíquota s/ fatura)]]</f>
        <v>0.12676056338028174</v>
      </c>
      <c r="BV320" s="22" t="e">
        <f ca="1">(tabCustoUnit[[#This Row],[TOTAL MÓDULOS 1+2+3+4+5]]+tabCustoUnit[[#This Row],[Custos Indiretos]]+tabCustoUnit[[#This Row],[Lucro]])*tabCustoUnit[[#This Row],[PIS + COFINS + ISS (Total Conversão  Alíquota s/ Fatura)]]</f>
        <v>#NAME?</v>
      </c>
      <c r="BW320" s="22" t="e">
        <f ca="1">tabCustoUnit[[#This Row],[Custos Indiretos]]+tabCustoUnit[[#This Row],[Lucro]]+tabCustoUnit[[#This Row],[Valor dos Tributos (ISS, PIS, CONFINS)]]</f>
        <v>#NAME?</v>
      </c>
      <c r="BX320" s="22" t="e">
        <f ca="1">tabCustoUnit[[#This Row],[TOTAL MÓDULOS 1+2+3+4+5]]+tabCustoUnit[[#This Row],[MÓDULO 6 – CUSTOS INDIRETOS, TRIBUTOS E LUCRO]]</f>
        <v>#NAME?</v>
      </c>
      <c r="BY320" s="22" t="e">
        <f ca="1">tabCustoUnit[[#This Row],[CUSTO TOTAL MENSAL]]*12</f>
        <v>#NAME?</v>
      </c>
      <c r="BZ320" s="24">
        <f>VLOOKUP(tabCustoUnit[[#This Row],[Código do Posto]],tabParametros[],MATCH(tabCustoUnit[[#Headers],[ANO DA CCT]],tabParametros[#Headers],0),0)</f>
        <v>45658</v>
      </c>
      <c r="CA320" s="25" t="str">
        <f>VLOOKUP(tabCustoUnit[[#This Row],[Código do Posto]],tabParametros[],MATCH(tabCustoUnit[[#Headers],[Nº DE PEDIDO DA CCT]],tabParametros[#Headers],0),0)</f>
        <v>-</v>
      </c>
      <c r="CB320" s="25" t="str">
        <f>VLOOKUP(tabCustoUnit[[#This Row],[Código do Posto]],tabParametros[],MATCH(tabCustoUnit[[#Headers],[TERMO ADITIVO ALTERAÇÃO DA CCT]],tabParametros[#Headers],0),0)</f>
        <v>-</v>
      </c>
    </row>
    <row r="321" spans="1:80">
      <c r="A321" s="20" t="s">
        <v>1515</v>
      </c>
      <c r="B321" t="s">
        <v>1071</v>
      </c>
      <c r="C321" t="s">
        <v>214</v>
      </c>
      <c r="D321" t="s">
        <v>1054</v>
      </c>
      <c r="E321" s="20" t="s">
        <v>1090</v>
      </c>
      <c r="F321" s="20" t="s">
        <v>120</v>
      </c>
      <c r="G321" s="418">
        <v>1836.5985000000001</v>
      </c>
      <c r="H321" s="418">
        <v>0</v>
      </c>
      <c r="I321" s="418">
        <v>0</v>
      </c>
      <c r="J321" s="418">
        <v>0</v>
      </c>
      <c r="K321" s="418">
        <v>0</v>
      </c>
      <c r="L321" s="418">
        <v>0</v>
      </c>
      <c r="M321" s="418">
        <v>0</v>
      </c>
      <c r="N321" s="418">
        <v>0</v>
      </c>
      <c r="O321" s="21">
        <f>SUM(tabCustoUnit[[#This Row],[Salário Base]:[Adicional de Acúmulo de função]])</f>
        <v>1836.5985000000001</v>
      </c>
      <c r="P321" s="21">
        <f>tabCustoUnit[[#This Row],[MODULO 1 - REMUNERAÇÃO ]]*SUMIFS(tabParametros[INSS],tabParametros[Código do Posto],tabCustoUnit[[#This Row],[Código do Posto]])</f>
        <v>367.31970000000001</v>
      </c>
      <c r="Q321" s="21">
        <f>tabCustoUnit[[#This Row],[MODULO 1 - REMUNERAÇÃO ]]*SUMIFS(tabParametros[SESI OU SESC],tabParametros[Código do Posto],tabCustoUnit[[#This Row],[Código do Posto]])</f>
        <v>27.548977499999999</v>
      </c>
      <c r="R321" s="21">
        <f>tabCustoUnit[[#This Row],[MODULO 1 - REMUNERAÇÃO ]]*SUMIFS(tabParametros[SENAI OU SENAC],tabParametros[Código do Posto],tabCustoUnit[[#This Row],[Código do Posto]])</f>
        <v>18.365985000000002</v>
      </c>
      <c r="S321" s="21">
        <f>tabCustoUnit[[#This Row],[MODULO 1 - REMUNERAÇÃO ]]*SUMIFS(tabParametros[INCRA],tabParametros[Código do Posto],tabCustoUnit[[#This Row],[Código do Posto]])</f>
        <v>3.673197</v>
      </c>
      <c r="T321" s="21">
        <f>tabCustoUnit[[#This Row],[MODULO 1 - REMUNERAÇÃO ]]*SUMIFS(tabParametros[Salário Educação],tabParametros[Código do Posto],tabCustoUnit[[#This Row],[Código do Posto]])</f>
        <v>45.914962500000001</v>
      </c>
      <c r="U321" s="21">
        <f>tabCustoUnit[[#This Row],[MODULO 1 - REMUNERAÇÃO ]]*SUMIFS(tabParametros[FGTS],tabParametros[Código do Posto],tabCustoUnit[[#This Row],[Código do Posto]])</f>
        <v>146.92788000000002</v>
      </c>
      <c r="V321" s="21">
        <f>tabCustoUnit[[#This Row],[MODULO 1 - REMUNERAÇÃO ]]*SUMIFS(tabParametros[RAT Ajustado],tabParametros[Código do Posto],tabCustoUnit[[#This Row],[Código do Posto]])</f>
        <v>73.463940000000008</v>
      </c>
      <c r="W321" s="21">
        <f>tabCustoUnit[[#This Row],[MODULO 1 - REMUNERAÇÃO ]]*SUMIFS(tabParametros[SEBRAE],tabParametros[Código do Posto],tabCustoUnit[[#This Row],[Código do Posto]])</f>
        <v>11.019591</v>
      </c>
      <c r="X321" s="21">
        <f>SUM(tabCustoUnit[[#This Row],[INSS]:[SEBRAE]])</f>
        <v>694.23423300000002</v>
      </c>
      <c r="Y321" s="21">
        <f>tabCustoUnit[[#This Row],[MODULO 1 - REMUNERAÇÃO ]]*SUMIFS(tabParametros[13º salário (titular)],tabParametros[Código do Posto],tabCustoUnit[[#This Row],[Código do Posto]])</f>
        <v>153.04987499999999</v>
      </c>
      <c r="Z321" s="21">
        <f>tabCustoUnit[[#This Row],[MODULO 1 - REMUNERAÇÃO ]]*SUMIFS(tabParametros[Férias e Adicional de Férias (titular)],tabParametros[Código do Posto],tabCustoUnit[[#This Row],[Código do Posto]])</f>
        <v>204.06649999999999</v>
      </c>
      <c r="AA321" s="21">
        <f>IFERROR((tabCustoUnit[[#This Row],[Submódulo 2.1]]/tabCustoUnit[[#This Row],[MODULO 1 - REMUNERAÇÃO ]])*SUM(tabCustoUnit[[#This Row],[13º salário (titular)]:[Férias e Adicional de Férias (titular)]]),0)</f>
        <v>134.98998974999998</v>
      </c>
      <c r="AB321" s="21">
        <f>SUM(tabCustoUnit[[#This Row],[13º salário (titular)]:[Incidência do Submódulo 2.1 sobre 13º Salário, Férias e Adicional de Férias]])</f>
        <v>492.1063647499999</v>
      </c>
      <c r="AC321" s="22" t="e">
        <f ca="1">_xlfn.LET(_xlpm.VT,SUMIF(tabParametros[Código do Posto],tabCustoUnit[[#This Row],[Código do Posto]],tabParametros[Vale - Transporte])*2*20,
IF((_xlpm.VT-tabCustoUnit[[#This Row],[Salário Base]]*0.06)&gt;=0,(_xlpm.VT-tabCustoUnit[[#This Row],[Salário Base]]*0.06),0)
)</f>
        <v>#NAME?</v>
      </c>
      <c r="AD321" s="22">
        <f>IF(SUMIF(tabParametros[Código do Posto],tabCustoUnit[[#This Row],[Código do Posto]],tabParametros[Vale - Alimentação])&lt;=0,0,
SUMIF(tabParametros[Código do Posto],tabCustoUnit[[#This Row],[Código do Posto]],tabParametros[Vale - Alimentação])*20-1)</f>
        <v>581.79999999999995</v>
      </c>
      <c r="AE321" s="22">
        <f>SUMIF(tabParametros[Código do Posto],tabCustoUnit[[#This Row],[Código do Posto]],tabParametros[Cesta Básica])</f>
        <v>0</v>
      </c>
      <c r="AF321" s="22">
        <f>SUMIF(tabParametros[Código do Posto],tabCustoUnit[[#This Row],[Código do Posto]],tabParametros[PAF])</f>
        <v>51.73</v>
      </c>
      <c r="AG321" s="22">
        <f>SUMIF(tabParametros[Código do Posto],tabCustoUnit[[#This Row],[Código do Posto]],tabParametros[PQM])</f>
        <v>0</v>
      </c>
      <c r="AH321" s="22">
        <f>SUMIF(tabParametros[Código do Posto],tabCustoUnit[[#This Row],[Código do Posto]],tabParametros[Abono Único e Especial])</f>
        <v>0</v>
      </c>
      <c r="AI321" s="22">
        <f>SUMIF(tabParametros[Código do Posto],tabCustoUnit[[#This Row],[Código do Posto]],tabParametros[Seguro de Vida])</f>
        <v>3.36</v>
      </c>
      <c r="AJ321" s="22">
        <f>SUMIF(tabParametros[Código do Posto],tabCustoUnit[[#This Row],[Código do Posto]],tabParametros[Despesas de Viagem])</f>
        <v>0</v>
      </c>
      <c r="AK321" s="22" t="e">
        <f ca="1">SUM(tabCustoUnit[[#This Row],[Vale - Transporte (Descontada parcela do empregado)]:[Despesas de Viagem]])</f>
        <v>#NAME?</v>
      </c>
      <c r="AL321" s="22" t="e">
        <f ca="1">tabCustoUnit[[#This Row],[Submódulo 2.1]]+tabCustoUnit[[#This Row],[Submódulo 2.2]]+tabCustoUnit[[#This Row],[Submódulo 2.3]]</f>
        <v>#NAME?</v>
      </c>
      <c r="AM321" s="22">
        <f>SUMIF(tabParametros[Código do Posto],tabCustoUnit[[#This Row],[Código do Posto]],tabParametros[Aviso Prévio Indenizado (API) e Reflexo do Aviso Prévio Indenizado])*tabCustoUnit[[#This Row],[MODULO 1 - REMUNERAÇÃO ]]</f>
        <v>12.87780070920139</v>
      </c>
      <c r="AN321" s="22">
        <f>SUMIF(tabParametros[Código do Posto],tabCustoUnit[[#This Row],[Código do Posto]],tabParametros[Incidência do FGTS sobre API e Reflexo do API])*tabCustoUnit[[#This Row],[MODULO 1 - REMUNERAÇÃO ]]</f>
        <v>1.0302240567361112</v>
      </c>
      <c r="AO321" s="22">
        <f>SUMIF(tabParametros[Código do Posto],tabCustoUnit[[#This Row],[Código do Posto]],tabParametros[Multa Rescisória do FGTS sobre o Aviso Prévio Indenizado])*tabCustoUnit[[#This Row],[MODULO 1 - REMUNERAÇÃO ]]</f>
        <v>0.41208962269444455</v>
      </c>
      <c r="AP321" s="22">
        <f>SUMIF(tabParametros[Código do Posto],tabCustoUnit[[#This Row],[Código do Posto]],tabParametros[Aviso Prévio Trabalhado - APT])*tabCustoUnit[[#This Row],[MODULO 1 - REMUNERAÇÃO ]]</f>
        <v>6.4280947500000014</v>
      </c>
      <c r="AQ321" s="22">
        <f>SUMIF(tabParametros[Código do Posto],tabCustoUnit[[#This Row],[Código do Posto]],tabParametros[Incidência dos encargos do submódulo 2.1 sobre Aviso Prévio Trabalhado])*tabCustoUnit[[#This Row],[MODULO 1 - REMUNERAÇÃO ]]</f>
        <v>2.4298198155000006</v>
      </c>
      <c r="AR321" s="22">
        <f>SUMIF(tabParametros[Código do Posto],tabCustoUnit[[#This Row],[Código do Posto]],tabParametros[Multa Rescisória do FGTS])*tabCustoUnit[[#This Row],[MODULO 1 - REMUNERAÇÃO ]]</f>
        <v>56.15910079999999</v>
      </c>
      <c r="AS321" s="22">
        <f>SUMIF(tabParametros[Código do Posto],tabCustoUnit[[#This Row],[Código do Posto]],tabParametros[Indenização Adicional (Art. 9º da Lei nº 7.238/84)])*tabCustoUnit[[#This Row],[MODULO 1 - REMUNERAÇÃO ]]</f>
        <v>1.5304987500000002</v>
      </c>
      <c r="AT321" s="22">
        <f>SUM(tabCustoUnit[[#This Row],[Aviso Prévio Indenizado (API) e Reflexo do Aviso Prévio Indenizado]:[Indenização Adicional (Art. 9º da Lei nº 7.238/84)]])</f>
        <v>80.867628504131943</v>
      </c>
      <c r="AU321" s="22">
        <f>SUMIF(tabParametros[Código do Posto],tabCustoUnit[[#This Row],[Código do Posto]],tabParametros[Ausência por Doença])*tabCustoUnit[[#This Row],[MODULO 1 - REMUNERAÇÃO ]]</f>
        <v>15.509053999999999</v>
      </c>
      <c r="AV321" s="22">
        <f>SUMIF(tabParametros[Código do Posto],tabCustoUnit[[#This Row],[Código do Posto]],tabParametros[Ausências Legais])*tabCustoUnit[[#This Row],[MODULO 1 - REMUNERAÇÃO ]]</f>
        <v>3.724213625</v>
      </c>
      <c r="AW321" s="22">
        <f>SUMIF(tabParametros[Código do Posto],tabCustoUnit[[#This Row],[Código do Posto]],tabParametros[Licença Paternidade])*tabCustoUnit[[#This Row],[MODULO 1 - REMUNERAÇÃO ]]</f>
        <v>0.31375224374999999</v>
      </c>
      <c r="AX321" s="22">
        <f>SUMIF(tabParametros[Código do Posto],tabCustoUnit[[#This Row],[Código do Posto]],tabParametros[Ausência por Acidente de Trabalho])*tabCustoUnit[[#This Row],[MODULO 1 - REMUNERAÇÃO ]]</f>
        <v>0.38262468750000006</v>
      </c>
      <c r="AY321" s="22">
        <f>SUMIF(tabParametros[Código do Posto],tabCustoUnit[[#This Row],[Código do Posto]],tabParametros[Férias, Adicional de Férias e 13º  com empregada em gozo de Licença Maternidade])*tabCustoUnit[[#This Row],[MODULO 1 - REMUNERAÇÃO ]]</f>
        <v>2.3807758333333333</v>
      </c>
      <c r="AZ321" s="22">
        <f>SUMIF(tabParametros[Código do Posto],tabCustoUnit[[#This Row],[Código do Posto]],tabParametros[Incidência do Submódulo 2.1 sobre Ausências Legais])*tabCustoUnit[[#This Row],[MODULO 1 - REMUNERAÇÃO ]]</f>
        <v>8.4333389072625025</v>
      </c>
      <c r="BA321" s="22">
        <f>SUM(tabCustoUnit[[#This Row],[Ausência por Doença]:[Incidência do Submódulo 2.1 sobre Ausências Legais]])</f>
        <v>30.743759296845838</v>
      </c>
      <c r="BB321" s="22">
        <f>SUMIF(tabParametros[Código do Posto],tabCustoUnit[[#This Row],[Código do Posto]],tabParametros[Intervalo para Repouso ou Alimentação])</f>
        <v>0</v>
      </c>
      <c r="BC321" s="22">
        <f>tabCustoUnit[[#This Row],[Intervalo para Repouso ou Alimentação]]</f>
        <v>0</v>
      </c>
      <c r="BD32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1" s="22">
        <f>tabCustoUnit[[#This Row],[Suspensão Temporária do Contrato de Trabalho]]</f>
        <v>0</v>
      </c>
      <c r="BF321" s="22">
        <f>tabCustoUnit[[#This Row],[Submódulo 4.1]]+tabCustoUnit[[#This Row],[Submódulo 4.2]]+tabCustoUnit[[#This Row],[Submódulo 4.3]]</f>
        <v>30.743759296845838</v>
      </c>
      <c r="BG321" s="22">
        <f>VLOOKUP(tabCustoUnit[[#This Row],[Código do Posto]],tabParametros[],MATCH(tabCustoUnit[[#Headers],[Uniformes e EPIs]],tabParametros[#Headers],0),0)</f>
        <v>44.111346448706357</v>
      </c>
      <c r="BH321" s="22">
        <f>VLOOKUP(tabCustoUnit[[#This Row],[Código do Posto]],tabParametros[],MATCH(tabCustoUnit[[#Headers],[Materiais de Consumo]],tabParametros[#Headers],0),0)</f>
        <v>0</v>
      </c>
      <c r="BI321" s="22">
        <f>VLOOKUP(tabCustoUnit[[#This Row],[Código do Posto]],tabParametros[],MATCH(tabCustoUnit[[#Headers],[Máquinas e Equipamentos (depreciação)]],tabParametros[#Headers],0),0)</f>
        <v>0</v>
      </c>
      <c r="BJ321" s="22">
        <f>VLOOKUP(tabCustoUnit[[#This Row],[Código do Posto]],tabParametros[],MATCH(tabCustoUnit[[#Headers],[Produtos de Limpeza e Materiais de Higiene Pessoal]],tabParametros[#Headers],0),0)</f>
        <v>0</v>
      </c>
      <c r="BK321" s="22">
        <f>VLOOKUP(tabCustoUnit[[#This Row],[Código do Posto]],tabParametros[],MATCH(tabCustoUnit[[#Headers],[Outros (especificar)]],tabParametros[#Headers],0),0)</f>
        <v>0</v>
      </c>
      <c r="BL321" s="22">
        <f>SUM(tabCustoUnit[[#This Row],[Uniformes e EPIs]:[Outros (especificar)]])</f>
        <v>44.111346448706357</v>
      </c>
      <c r="BM32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1" s="22" t="e">
        <f ca="1">VLOOKUP(tabCustoUnit[[#This Row],[Código do Posto]],tabParametros[],MATCH(tabCustoUnit[[#Headers],[Custos Indiretos]],tabParametros[#Headers],0),0)</f>
        <v>#NAME?</v>
      </c>
      <c r="BO321" s="22" t="e">
        <f ca="1">VLOOKUP(tabCustoUnit[[#This Row],[Código do Posto]],tabParametros[],MATCH(tabCustoUnit[[#Headers],[Lucro]],tabParametros[#Headers],0),0)</f>
        <v>#NAME?</v>
      </c>
      <c r="BP321" s="26">
        <f>((100/((1-tabCustoUnit[[#This Row],[Resumo de Alíquotas (PIS+CONFINS+ISS)]]))-100)*VLOOKUP(tabCustoUnit[[#This Row],[Código do Posto]],tabParametros[],MATCH(tabCustoUnit[[#Headers],[COFINS]],tabParametros[#Headers],0),0))/(tabCustoUnit[[#This Row],[Resumo de Alíquotas (PIS+CONFINS+ISS)]]*100)</f>
        <v>8.5633802816901458E-2</v>
      </c>
      <c r="BQ321" s="26">
        <f>((100/((100-(tabCustoUnit[[#This Row],[Resumo de Alíquotas (PIS+CONFINS+ISS)]]*100))%)-100)*VLOOKUP(tabCustoUnit[[#This Row],[Código do Posto]],tabParametros[],MATCH(tabCustoUnit[[#Headers],[PIS]],tabParametros[#Headers],0),0))/(tabCustoUnit[[#This Row],[Resumo de Alíquotas (PIS+CONFINS+ISS)]]*100)</f>
        <v>1.8591549295774657E-2</v>
      </c>
      <c r="BR321" s="28">
        <f>VLOOKUP(tabCustoUnit[[#This Row],[Código do Posto]],tabParametros[],MATCH(tabCustoUnit[[#Headers],[ISS]],tabParametros[#Headers],0),0)</f>
        <v>0.02</v>
      </c>
      <c r="BS321" s="26">
        <f>(((100/((100-(tabCustoUnit[[#This Row],[Resumo de Alíquotas (PIS+CONFINS+ISS)]]*100))%)-100)*tabCustoUnit[[#This Row],[ISS]])/tabCustoUnit[[#This Row],[Resumo de Alíquotas (PIS+CONFINS+ISS)]])/100</f>
        <v>2.2535211267605645E-2</v>
      </c>
      <c r="BT32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21" s="138">
        <f>tabCustoUnit[[#This Row],[COFINS]]+tabCustoUnit[[#This Row],[PIS]]+tabCustoUnit[[#This Row],[ISS (Conversão Alíquota s/ fatura)]]</f>
        <v>0.12676056338028174</v>
      </c>
      <c r="BV321" s="22" t="e">
        <f ca="1">(tabCustoUnit[[#This Row],[TOTAL MÓDULOS 1+2+3+4+5]]+tabCustoUnit[[#This Row],[Custos Indiretos]]+tabCustoUnit[[#This Row],[Lucro]])*tabCustoUnit[[#This Row],[PIS + COFINS + ISS (Total Conversão  Alíquota s/ Fatura)]]</f>
        <v>#NAME?</v>
      </c>
      <c r="BW321" s="22" t="e">
        <f ca="1">tabCustoUnit[[#This Row],[Custos Indiretos]]+tabCustoUnit[[#This Row],[Lucro]]+tabCustoUnit[[#This Row],[Valor dos Tributos (ISS, PIS, CONFINS)]]</f>
        <v>#NAME?</v>
      </c>
      <c r="BX321" s="22" t="e">
        <f ca="1">tabCustoUnit[[#This Row],[TOTAL MÓDULOS 1+2+3+4+5]]+tabCustoUnit[[#This Row],[MÓDULO 6 – CUSTOS INDIRETOS, TRIBUTOS E LUCRO]]</f>
        <v>#NAME?</v>
      </c>
      <c r="BY321" s="22" t="e">
        <f ca="1">tabCustoUnit[[#This Row],[CUSTO TOTAL MENSAL]]*12</f>
        <v>#NAME?</v>
      </c>
      <c r="BZ321" s="24">
        <f>VLOOKUP(tabCustoUnit[[#This Row],[Código do Posto]],tabParametros[],MATCH(tabCustoUnit[[#Headers],[ANO DA CCT]],tabParametros[#Headers],0),0)</f>
        <v>45658</v>
      </c>
      <c r="CA321" s="25" t="str">
        <f>VLOOKUP(tabCustoUnit[[#This Row],[Código do Posto]],tabParametros[],MATCH(tabCustoUnit[[#Headers],[Nº DE PEDIDO DA CCT]],tabParametros[#Headers],0),0)</f>
        <v>-</v>
      </c>
      <c r="CB321" s="25" t="str">
        <f>VLOOKUP(tabCustoUnit[[#This Row],[Código do Posto]],tabParametros[],MATCH(tabCustoUnit[[#Headers],[TERMO ADITIVO ALTERAÇÃO DA CCT]],tabParametros[#Headers],0),0)</f>
        <v>-</v>
      </c>
    </row>
    <row r="322" spans="1:80">
      <c r="A322" s="20" t="s">
        <v>1729</v>
      </c>
      <c r="B322" t="s">
        <v>1071</v>
      </c>
      <c r="C322" t="s">
        <v>244</v>
      </c>
      <c r="D322" t="s">
        <v>1071</v>
      </c>
      <c r="E322" s="20" t="s">
        <v>1090</v>
      </c>
      <c r="F322" s="20" t="s">
        <v>120</v>
      </c>
      <c r="G322" s="418">
        <v>2296.1756999999998</v>
      </c>
      <c r="H322" s="418">
        <v>0</v>
      </c>
      <c r="I322" s="418">
        <v>303.60000000000002</v>
      </c>
      <c r="J322" s="418">
        <v>0</v>
      </c>
      <c r="K322" s="418">
        <v>0</v>
      </c>
      <c r="L322" s="418">
        <v>0</v>
      </c>
      <c r="M322" s="418">
        <v>0</v>
      </c>
      <c r="N322" s="418">
        <v>0</v>
      </c>
      <c r="O322" s="21">
        <f>SUM(tabCustoUnit[[#This Row],[Salário Base]:[Adicional de Acúmulo de função]])</f>
        <v>2599.7756999999997</v>
      </c>
      <c r="P322" s="21">
        <f>tabCustoUnit[[#This Row],[MODULO 1 - REMUNERAÇÃO ]]*SUMIFS(tabParametros[INSS],tabParametros[Código do Posto],tabCustoUnit[[#This Row],[Código do Posto]])</f>
        <v>519.95513999999991</v>
      </c>
      <c r="Q322" s="21">
        <f>tabCustoUnit[[#This Row],[MODULO 1 - REMUNERAÇÃO ]]*SUMIFS(tabParametros[SESI OU SESC],tabParametros[Código do Posto],tabCustoUnit[[#This Row],[Código do Posto]])</f>
        <v>38.996635499999996</v>
      </c>
      <c r="R322" s="21">
        <f>tabCustoUnit[[#This Row],[MODULO 1 - REMUNERAÇÃO ]]*SUMIFS(tabParametros[SENAI OU SENAC],tabParametros[Código do Posto],tabCustoUnit[[#This Row],[Código do Posto]])</f>
        <v>25.997756999999996</v>
      </c>
      <c r="S322" s="21">
        <f>tabCustoUnit[[#This Row],[MODULO 1 - REMUNERAÇÃO ]]*SUMIFS(tabParametros[INCRA],tabParametros[Código do Posto],tabCustoUnit[[#This Row],[Código do Posto]])</f>
        <v>5.1995513999999998</v>
      </c>
      <c r="T322" s="21">
        <f>tabCustoUnit[[#This Row],[MODULO 1 - REMUNERAÇÃO ]]*SUMIFS(tabParametros[Salário Educação],tabParametros[Código do Posto],tabCustoUnit[[#This Row],[Código do Posto]])</f>
        <v>64.994392499999989</v>
      </c>
      <c r="U322" s="21">
        <f>tabCustoUnit[[#This Row],[MODULO 1 - REMUNERAÇÃO ]]*SUMIFS(tabParametros[FGTS],tabParametros[Código do Posto],tabCustoUnit[[#This Row],[Código do Posto]])</f>
        <v>207.98205599999997</v>
      </c>
      <c r="V322" s="21">
        <f>tabCustoUnit[[#This Row],[MODULO 1 - REMUNERAÇÃO ]]*SUMIFS(tabParametros[RAT Ajustado],tabParametros[Código do Posto],tabCustoUnit[[#This Row],[Código do Posto]])</f>
        <v>103.99102799999999</v>
      </c>
      <c r="W322" s="21">
        <f>tabCustoUnit[[#This Row],[MODULO 1 - REMUNERAÇÃO ]]*SUMIFS(tabParametros[SEBRAE],tabParametros[Código do Posto],tabCustoUnit[[#This Row],[Código do Posto]])</f>
        <v>15.598654199999999</v>
      </c>
      <c r="X322" s="21">
        <f>SUM(tabCustoUnit[[#This Row],[INSS]:[SEBRAE]])</f>
        <v>982.71521459999985</v>
      </c>
      <c r="Y322" s="21">
        <f>tabCustoUnit[[#This Row],[MODULO 1 - REMUNERAÇÃO ]]*SUMIFS(tabParametros[13º salário (titular)],tabParametros[Código do Posto],tabCustoUnit[[#This Row],[Código do Posto]])</f>
        <v>216.64797499999997</v>
      </c>
      <c r="Z322" s="21">
        <f>tabCustoUnit[[#This Row],[MODULO 1 - REMUNERAÇÃO ]]*SUMIFS(tabParametros[Férias e Adicional de Férias (titular)],tabParametros[Código do Posto],tabCustoUnit[[#This Row],[Código do Posto]])</f>
        <v>288.86396666666661</v>
      </c>
      <c r="AA322" s="21">
        <f>IFERROR((tabCustoUnit[[#This Row],[Submódulo 2.1]]/tabCustoUnit[[#This Row],[MODULO 1 - REMUNERAÇÃO ]])*SUM(tabCustoUnit[[#This Row],[13º salário (titular)]:[Férias e Adicional de Férias (titular)]]),0)</f>
        <v>191.08351394999997</v>
      </c>
      <c r="AB322" s="21">
        <f>SUM(tabCustoUnit[[#This Row],[13º salário (titular)]:[Incidência do Submódulo 2.1 sobre 13º Salário, Férias e Adicional de Férias]])</f>
        <v>696.59545561666653</v>
      </c>
      <c r="AC322" s="22" t="e">
        <f ca="1">_xlfn.LET(_xlpm.VT,SUMIF(tabParametros[Código do Posto],tabCustoUnit[[#This Row],[Código do Posto]],tabParametros[Vale - Transporte])*2*20,
IF((_xlpm.VT-tabCustoUnit[[#This Row],[Salário Base]]*0.06)&gt;=0,(_xlpm.VT-tabCustoUnit[[#This Row],[Salário Base]]*0.06),0)
)</f>
        <v>#NAME?</v>
      </c>
      <c r="AD322" s="22">
        <f>IF(SUMIF(tabParametros[Código do Posto],tabCustoUnit[[#This Row],[Código do Posto]],tabParametros[Vale - Alimentação])&lt;=0,0,
SUMIF(tabParametros[Código do Posto],tabCustoUnit[[#This Row],[Código do Posto]],tabParametros[Vale - Alimentação])*20-1)</f>
        <v>0</v>
      </c>
      <c r="AE322" s="22">
        <f>SUMIF(tabParametros[Código do Posto],tabCustoUnit[[#This Row],[Código do Posto]],tabParametros[Cesta Básica])</f>
        <v>387.79</v>
      </c>
      <c r="AF322" s="22">
        <f>SUMIF(tabParametros[Código do Posto],tabCustoUnit[[#This Row],[Código do Posto]],tabParametros[PAF])</f>
        <v>42.97</v>
      </c>
      <c r="AG322" s="22">
        <f>SUMIF(tabParametros[Código do Posto],tabCustoUnit[[#This Row],[Código do Posto]],tabParametros[PQM])</f>
        <v>0</v>
      </c>
      <c r="AH322" s="22">
        <f>SUMIF(tabParametros[Código do Posto],tabCustoUnit[[#This Row],[Código do Posto]],tabParametros[Abono Único e Especial])</f>
        <v>0</v>
      </c>
      <c r="AI322" s="22">
        <f>SUMIF(tabParametros[Código do Posto],tabCustoUnit[[#This Row],[Código do Posto]],tabParametros[Seguro de Vida])</f>
        <v>3.36</v>
      </c>
      <c r="AJ322" s="22">
        <f>SUMIF(tabParametros[Código do Posto],tabCustoUnit[[#This Row],[Código do Posto]],tabParametros[Despesas de Viagem])</f>
        <v>0</v>
      </c>
      <c r="AK322" s="22" t="e">
        <f ca="1">SUM(tabCustoUnit[[#This Row],[Vale - Transporte (Descontada parcela do empregado)]:[Despesas de Viagem]])</f>
        <v>#NAME?</v>
      </c>
      <c r="AL322" s="22" t="e">
        <f ca="1">tabCustoUnit[[#This Row],[Submódulo 2.1]]+tabCustoUnit[[#This Row],[Submódulo 2.2]]+tabCustoUnit[[#This Row],[Submódulo 2.3]]</f>
        <v>#NAME?</v>
      </c>
      <c r="AM322" s="22">
        <f>SUMIF(tabParametros[Código do Posto],tabCustoUnit[[#This Row],[Código do Posto]],tabParametros[Aviso Prévio Indenizado (API) e Reflexo do Aviso Prévio Indenizado])*tabCustoUnit[[#This Row],[MODULO 1 - REMUNERAÇÃO ]]</f>
        <v>18.229021396469907</v>
      </c>
      <c r="AN322" s="22">
        <f>SUMIF(tabParametros[Código do Posto],tabCustoUnit[[#This Row],[Código do Posto]],tabParametros[Incidência do FGTS sobre API e Reflexo do API])*tabCustoUnit[[#This Row],[MODULO 1 - REMUNERAÇÃO ]]</f>
        <v>1.4583217117175926</v>
      </c>
      <c r="AO322" s="22">
        <f>SUMIF(tabParametros[Código do Posto],tabCustoUnit[[#This Row],[Código do Posto]],tabParametros[Multa Rescisória do FGTS sobre o Aviso Prévio Indenizado])*tabCustoUnit[[#This Row],[MODULO 1 - REMUNERAÇÃO ]]</f>
        <v>0.58332868468703702</v>
      </c>
      <c r="AP322" s="22">
        <f>SUMIF(tabParametros[Código do Posto],tabCustoUnit[[#This Row],[Código do Posto]],tabParametros[Aviso Prévio Trabalhado - APT])*tabCustoUnit[[#This Row],[MODULO 1 - REMUNERAÇÃO ]]</f>
        <v>9.0992149500000004</v>
      </c>
      <c r="AQ322" s="22">
        <f>SUMIF(tabParametros[Código do Posto],tabCustoUnit[[#This Row],[Código do Posto]],tabParametros[Incidência dos encargos do submódulo 2.1 sobre Aviso Prévio Trabalhado])*tabCustoUnit[[#This Row],[MODULO 1 - REMUNERAÇÃO ]]</f>
        <v>3.4395032511000005</v>
      </c>
      <c r="AR322" s="22">
        <f>SUMIF(tabParametros[Código do Posto],tabCustoUnit[[#This Row],[Código do Posto]],tabParametros[Multa Rescisória do FGTS])*tabCustoUnit[[#This Row],[MODULO 1 - REMUNERAÇÃO ]]</f>
        <v>79.495363626666645</v>
      </c>
      <c r="AS322" s="22">
        <f>SUMIF(tabParametros[Código do Posto],tabCustoUnit[[#This Row],[Código do Posto]],tabParametros[Indenização Adicional (Art. 9º da Lei nº 7.238/84)])*tabCustoUnit[[#This Row],[MODULO 1 - REMUNERAÇÃO ]]</f>
        <v>2.1664797499999997</v>
      </c>
      <c r="AT322" s="22">
        <f>SUM(tabCustoUnit[[#This Row],[Aviso Prévio Indenizado (API) e Reflexo do Aviso Prévio Indenizado]:[Indenização Adicional (Art. 9º da Lei nº 7.238/84)]])</f>
        <v>114.47123337064117</v>
      </c>
      <c r="AU322" s="22">
        <f>SUMIF(tabParametros[Código do Posto],tabCustoUnit[[#This Row],[Código do Posto]],tabParametros[Ausência por Doença])*tabCustoUnit[[#This Row],[MODULO 1 - REMUNERAÇÃO ]]</f>
        <v>21.953661466666663</v>
      </c>
      <c r="AV322" s="22">
        <f>SUMIF(tabParametros[Código do Posto],tabCustoUnit[[#This Row],[Código do Posto]],tabParametros[Ausências Legais])*tabCustoUnit[[#This Row],[MODULO 1 - REMUNERAÇÃO ]]</f>
        <v>5.2717673916666659</v>
      </c>
      <c r="AW322" s="22">
        <f>SUMIF(tabParametros[Código do Posto],tabCustoUnit[[#This Row],[Código do Posto]],tabParametros[Licença Paternidade])*tabCustoUnit[[#This Row],[MODULO 1 - REMUNERAÇÃO ]]</f>
        <v>0.44412834874999996</v>
      </c>
      <c r="AX322" s="22">
        <f>SUMIF(tabParametros[Código do Posto],tabCustoUnit[[#This Row],[Código do Posto]],tabParametros[Ausência por Acidente de Trabalho])*tabCustoUnit[[#This Row],[MODULO 1 - REMUNERAÇÃO ]]</f>
        <v>0.54161993749999993</v>
      </c>
      <c r="AY322" s="22">
        <f>SUMIF(tabParametros[Código do Posto],tabCustoUnit[[#This Row],[Código do Posto]],tabParametros[Férias, Adicional de Férias e 13º  com empregada em gozo de Licença Maternidade])*tabCustoUnit[[#This Row],[MODULO 1 - REMUNERAÇÃO ]]</f>
        <v>3.3700796111111107</v>
      </c>
      <c r="AZ322" s="22">
        <f>SUMIF(tabParametros[Código do Posto],tabCustoUnit[[#This Row],[Código do Posto]],tabParametros[Incidência do Submódulo 2.1 sobre Ausências Legais])*tabCustoUnit[[#This Row],[MODULO 1 - REMUNERAÇÃO ]]</f>
        <v>11.9377150536525</v>
      </c>
      <c r="BA322" s="22">
        <f>SUM(tabCustoUnit[[#This Row],[Ausência por Doença]:[Incidência do Submódulo 2.1 sobre Ausências Legais]])</f>
        <v>43.518971809346937</v>
      </c>
      <c r="BB322" s="22">
        <f>SUMIF(tabParametros[Código do Posto],tabCustoUnit[[#This Row],[Código do Posto]],tabParametros[Intervalo para Repouso ou Alimentação])</f>
        <v>0</v>
      </c>
      <c r="BC322" s="22">
        <f>tabCustoUnit[[#This Row],[Intervalo para Repouso ou Alimentação]]</f>
        <v>0</v>
      </c>
      <c r="BD32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2" s="22">
        <f>tabCustoUnit[[#This Row],[Suspensão Temporária do Contrato de Trabalho]]</f>
        <v>0</v>
      </c>
      <c r="BF322" s="22">
        <f>tabCustoUnit[[#This Row],[Submódulo 4.1]]+tabCustoUnit[[#This Row],[Submódulo 4.2]]+tabCustoUnit[[#This Row],[Submódulo 4.3]]</f>
        <v>43.518971809346937</v>
      </c>
      <c r="BG322" s="22">
        <f>VLOOKUP(tabCustoUnit[[#This Row],[Código do Posto]],tabParametros[],MATCH(tabCustoUnit[[#Headers],[Uniformes e EPIs]],tabParametros[#Headers],0),0)</f>
        <v>226.33322732312172</v>
      </c>
      <c r="BH322" s="22">
        <f>VLOOKUP(tabCustoUnit[[#This Row],[Código do Posto]],tabParametros[],MATCH(tabCustoUnit[[#Headers],[Materiais de Consumo]],tabParametros[#Headers],0),0)</f>
        <v>441.81099462365592</v>
      </c>
      <c r="BI322" s="22">
        <f>VLOOKUP(tabCustoUnit[[#This Row],[Código do Posto]],tabParametros[],MATCH(tabCustoUnit[[#Headers],[Máquinas e Equipamentos (depreciação)]],tabParametros[#Headers],0),0)</f>
        <v>113.11309677419354</v>
      </c>
      <c r="BJ322" s="22">
        <f>VLOOKUP(tabCustoUnit[[#This Row],[Código do Posto]],tabParametros[],MATCH(tabCustoUnit[[#Headers],[Produtos de Limpeza e Materiais de Higiene Pessoal]],tabParametros[#Headers],0),0)</f>
        <v>0</v>
      </c>
      <c r="BK322" s="22">
        <f>VLOOKUP(tabCustoUnit[[#This Row],[Código do Posto]],tabParametros[],MATCH(tabCustoUnit[[#Headers],[Outros (especificar)]],tabParametros[#Headers],0),0)</f>
        <v>0</v>
      </c>
      <c r="BL322" s="22">
        <f>SUM(tabCustoUnit[[#This Row],[Uniformes e EPIs]:[Outros (especificar)]])</f>
        <v>781.25731872097117</v>
      </c>
      <c r="BM32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2" s="22" t="e">
        <f ca="1">VLOOKUP(tabCustoUnit[[#This Row],[Código do Posto]],tabParametros[],MATCH(tabCustoUnit[[#Headers],[Custos Indiretos]],tabParametros[#Headers],0),0)</f>
        <v>#NAME?</v>
      </c>
      <c r="BO322" s="22" t="e">
        <f ca="1">VLOOKUP(tabCustoUnit[[#This Row],[Código do Posto]],tabParametros[],MATCH(tabCustoUnit[[#Headers],[Lucro]],tabParametros[#Headers],0),0)</f>
        <v>#NAME?</v>
      </c>
      <c r="BP322" s="26">
        <f>((100/((1-tabCustoUnit[[#This Row],[Resumo de Alíquotas (PIS+CONFINS+ISS)]]))-100)*VLOOKUP(tabCustoUnit[[#This Row],[Código do Posto]],tabParametros[],MATCH(tabCustoUnit[[#Headers],[COFINS]],tabParametros[#Headers],0),0))/(tabCustoUnit[[#This Row],[Resumo de Alíquotas (PIS+CONFINS+ISS)]]*100)</f>
        <v>8.5633802816901458E-2</v>
      </c>
      <c r="BQ322" s="26">
        <f>((100/((100-(tabCustoUnit[[#This Row],[Resumo de Alíquotas (PIS+CONFINS+ISS)]]*100))%)-100)*VLOOKUP(tabCustoUnit[[#This Row],[Código do Posto]],tabParametros[],MATCH(tabCustoUnit[[#Headers],[PIS]],tabParametros[#Headers],0),0))/(tabCustoUnit[[#This Row],[Resumo de Alíquotas (PIS+CONFINS+ISS)]]*100)</f>
        <v>1.8591549295774657E-2</v>
      </c>
      <c r="BR322" s="28">
        <f>VLOOKUP(tabCustoUnit[[#This Row],[Código do Posto]],tabParametros[],MATCH(tabCustoUnit[[#Headers],[ISS]],tabParametros[#Headers],0),0)</f>
        <v>0.02</v>
      </c>
      <c r="BS322" s="26">
        <f>(((100/((100-(tabCustoUnit[[#This Row],[Resumo de Alíquotas (PIS+CONFINS+ISS)]]*100))%)-100)*tabCustoUnit[[#This Row],[ISS]])/tabCustoUnit[[#This Row],[Resumo de Alíquotas (PIS+CONFINS+ISS)]])/100</f>
        <v>2.2535211267605645E-2</v>
      </c>
      <c r="BT32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22" s="138">
        <f>tabCustoUnit[[#This Row],[COFINS]]+tabCustoUnit[[#This Row],[PIS]]+tabCustoUnit[[#This Row],[ISS (Conversão Alíquota s/ fatura)]]</f>
        <v>0.12676056338028174</v>
      </c>
      <c r="BV322" s="22" t="e">
        <f ca="1">(tabCustoUnit[[#This Row],[TOTAL MÓDULOS 1+2+3+4+5]]+tabCustoUnit[[#This Row],[Custos Indiretos]]+tabCustoUnit[[#This Row],[Lucro]])*tabCustoUnit[[#This Row],[PIS + COFINS + ISS (Total Conversão  Alíquota s/ Fatura)]]</f>
        <v>#NAME?</v>
      </c>
      <c r="BW322" s="22" t="e">
        <f ca="1">tabCustoUnit[[#This Row],[Custos Indiretos]]+tabCustoUnit[[#This Row],[Lucro]]+tabCustoUnit[[#This Row],[Valor dos Tributos (ISS, PIS, CONFINS)]]</f>
        <v>#NAME?</v>
      </c>
      <c r="BX322" s="22" t="e">
        <f ca="1">tabCustoUnit[[#This Row],[TOTAL MÓDULOS 1+2+3+4+5]]+tabCustoUnit[[#This Row],[MÓDULO 6 – CUSTOS INDIRETOS, TRIBUTOS E LUCRO]]</f>
        <v>#NAME?</v>
      </c>
      <c r="BY322" s="22" t="e">
        <f ca="1">tabCustoUnit[[#This Row],[CUSTO TOTAL MENSAL]]*12</f>
        <v>#NAME?</v>
      </c>
      <c r="BZ322" s="24">
        <f>VLOOKUP(tabCustoUnit[[#This Row],[Código do Posto]],tabParametros[],MATCH(tabCustoUnit[[#Headers],[ANO DA CCT]],tabParametros[#Headers],0),0)</f>
        <v>45658</v>
      </c>
      <c r="CA322" s="25" t="str">
        <f>VLOOKUP(tabCustoUnit[[#This Row],[Código do Posto]],tabParametros[],MATCH(tabCustoUnit[[#Headers],[Nº DE PEDIDO DA CCT]],tabParametros[#Headers],0),0)</f>
        <v>-</v>
      </c>
      <c r="CB322" s="25" t="str">
        <f>VLOOKUP(tabCustoUnit[[#This Row],[Código do Posto]],tabParametros[],MATCH(tabCustoUnit[[#Headers],[TERMO ADITIVO ALTERAÇÃO DA CCT]],tabParametros[#Headers],0),0)</f>
        <v>-</v>
      </c>
    </row>
    <row r="323" spans="1:80">
      <c r="A323" s="20" t="s">
        <v>1730</v>
      </c>
      <c r="B323" t="s">
        <v>1071</v>
      </c>
      <c r="C323" t="s">
        <v>274</v>
      </c>
      <c r="D323" t="s">
        <v>1027</v>
      </c>
      <c r="E323" s="20" t="s">
        <v>1090</v>
      </c>
      <c r="F323" s="20" t="s">
        <v>120</v>
      </c>
      <c r="G323" s="418">
        <v>4558.0709999999999</v>
      </c>
      <c r="H323" s="418">
        <v>0</v>
      </c>
      <c r="I323" s="418">
        <v>0</v>
      </c>
      <c r="J323" s="418">
        <v>0</v>
      </c>
      <c r="K323" s="418">
        <v>0</v>
      </c>
      <c r="L323" s="418">
        <v>0</v>
      </c>
      <c r="M323" s="418">
        <v>0</v>
      </c>
      <c r="N323" s="418">
        <v>0</v>
      </c>
      <c r="O323" s="21">
        <f>SUM(tabCustoUnit[[#This Row],[Salário Base]:[Adicional de Acúmulo de função]])</f>
        <v>4558.0709999999999</v>
      </c>
      <c r="P323" s="21">
        <f>tabCustoUnit[[#This Row],[MODULO 1 - REMUNERAÇÃO ]]*SUMIFS(tabParametros[INSS],tabParametros[Código do Posto],tabCustoUnit[[#This Row],[Código do Posto]])</f>
        <v>911.61419999999998</v>
      </c>
      <c r="Q323" s="21">
        <f>tabCustoUnit[[#This Row],[MODULO 1 - REMUNERAÇÃO ]]*SUMIFS(tabParametros[SESI OU SESC],tabParametros[Código do Posto],tabCustoUnit[[#This Row],[Código do Posto]])</f>
        <v>68.371065000000002</v>
      </c>
      <c r="R323" s="21">
        <f>tabCustoUnit[[#This Row],[MODULO 1 - REMUNERAÇÃO ]]*SUMIFS(tabParametros[SENAI OU SENAC],tabParametros[Código do Posto],tabCustoUnit[[#This Row],[Código do Posto]])</f>
        <v>45.580710000000003</v>
      </c>
      <c r="S323" s="21">
        <f>tabCustoUnit[[#This Row],[MODULO 1 - REMUNERAÇÃO ]]*SUMIFS(tabParametros[INCRA],tabParametros[Código do Posto],tabCustoUnit[[#This Row],[Código do Posto]])</f>
        <v>9.116142</v>
      </c>
      <c r="T323" s="21">
        <f>tabCustoUnit[[#This Row],[MODULO 1 - REMUNERAÇÃO ]]*SUMIFS(tabParametros[Salário Educação],tabParametros[Código do Posto],tabCustoUnit[[#This Row],[Código do Posto]])</f>
        <v>113.951775</v>
      </c>
      <c r="U323" s="21">
        <f>tabCustoUnit[[#This Row],[MODULO 1 - REMUNERAÇÃO ]]*SUMIFS(tabParametros[FGTS],tabParametros[Código do Posto],tabCustoUnit[[#This Row],[Código do Posto]])</f>
        <v>364.64568000000003</v>
      </c>
      <c r="V323" s="21">
        <f>tabCustoUnit[[#This Row],[MODULO 1 - REMUNERAÇÃO ]]*SUMIFS(tabParametros[RAT Ajustado],tabParametros[Código do Posto],tabCustoUnit[[#This Row],[Código do Posto]])</f>
        <v>182.32284000000001</v>
      </c>
      <c r="W323" s="21">
        <f>tabCustoUnit[[#This Row],[MODULO 1 - REMUNERAÇÃO ]]*SUMIFS(tabParametros[SEBRAE],tabParametros[Código do Posto],tabCustoUnit[[#This Row],[Código do Posto]])</f>
        <v>27.348426</v>
      </c>
      <c r="X323" s="21">
        <f>SUM(tabCustoUnit[[#This Row],[INSS]:[SEBRAE]])</f>
        <v>1722.9508380000002</v>
      </c>
      <c r="Y323" s="21">
        <f>tabCustoUnit[[#This Row],[MODULO 1 - REMUNERAÇÃO ]]*SUMIFS(tabParametros[13º salário (titular)],tabParametros[Código do Posto],tabCustoUnit[[#This Row],[Código do Posto]])</f>
        <v>379.83924999999999</v>
      </c>
      <c r="Z323" s="21">
        <f>tabCustoUnit[[#This Row],[MODULO 1 - REMUNERAÇÃO ]]*SUMIFS(tabParametros[Férias e Adicional de Férias (titular)],tabParametros[Código do Posto],tabCustoUnit[[#This Row],[Código do Posto]])</f>
        <v>506.45233333333329</v>
      </c>
      <c r="AA323" s="21">
        <f>IFERROR((tabCustoUnit[[#This Row],[Submódulo 2.1]]/tabCustoUnit[[#This Row],[MODULO 1 - REMUNERAÇÃO ]])*SUM(tabCustoUnit[[#This Row],[13º salário (titular)]:[Férias e Adicional de Férias (titular)]]),0)</f>
        <v>335.01821850000005</v>
      </c>
      <c r="AB323" s="21">
        <f>SUM(tabCustoUnit[[#This Row],[13º salário (titular)]:[Incidência do Submódulo 2.1 sobre 13º Salário, Férias e Adicional de Férias]])</f>
        <v>1221.3098018333333</v>
      </c>
      <c r="AC323" s="22" t="e">
        <f ca="1">_xlfn.LET(_xlpm.VT,SUMIF(tabParametros[Código do Posto],tabCustoUnit[[#This Row],[Código do Posto]],tabParametros[Vale - Transporte])*2*20,
IF((_xlpm.VT-tabCustoUnit[[#This Row],[Salário Base]]*0.06)&gt;=0,(_xlpm.VT-tabCustoUnit[[#This Row],[Salário Base]]*0.06),0)
)</f>
        <v>#NAME?</v>
      </c>
      <c r="AD323" s="22">
        <f>IF(SUMIF(tabParametros[Código do Posto],tabCustoUnit[[#This Row],[Código do Posto]],tabParametros[Vale - Alimentação])&lt;=0,0,
SUMIF(tabParametros[Código do Posto],tabCustoUnit[[#This Row],[Código do Posto]],tabParametros[Vale - Alimentação])*20-1)</f>
        <v>578.4</v>
      </c>
      <c r="AE323" s="22">
        <f>SUMIF(tabParametros[Código do Posto],tabCustoUnit[[#This Row],[Código do Posto]],tabParametros[Cesta Básica])</f>
        <v>0</v>
      </c>
      <c r="AF323" s="22">
        <f>SUMIF(tabParametros[Código do Posto],tabCustoUnit[[#This Row],[Código do Posto]],tabParametros[PAF])</f>
        <v>22.52</v>
      </c>
      <c r="AG323" s="22">
        <f>SUMIF(tabParametros[Código do Posto],tabCustoUnit[[#This Row],[Código do Posto]],tabParametros[PQM])</f>
        <v>0</v>
      </c>
      <c r="AH323" s="22">
        <f>SUMIF(tabParametros[Código do Posto],tabCustoUnit[[#This Row],[Código do Posto]],tabParametros[Abono Único e Especial])</f>
        <v>0</v>
      </c>
      <c r="AI323" s="22">
        <f>SUMIF(tabParametros[Código do Posto],tabCustoUnit[[#This Row],[Código do Posto]],tabParametros[Seguro de Vida])</f>
        <v>3.36</v>
      </c>
      <c r="AJ323" s="22">
        <f>SUMIF(tabParametros[Código do Posto],tabCustoUnit[[#This Row],[Código do Posto]],tabParametros[Despesas de Viagem])</f>
        <v>662.42</v>
      </c>
      <c r="AK323" s="22" t="e">
        <f ca="1">SUM(tabCustoUnit[[#This Row],[Vale - Transporte (Descontada parcela do empregado)]:[Despesas de Viagem]])</f>
        <v>#NAME?</v>
      </c>
      <c r="AL323" s="22" t="e">
        <f ca="1">tabCustoUnit[[#This Row],[Submódulo 2.1]]+tabCustoUnit[[#This Row],[Submódulo 2.2]]+tabCustoUnit[[#This Row],[Submódulo 2.3]]</f>
        <v>#NAME?</v>
      </c>
      <c r="AM323" s="22">
        <f>SUMIF(tabParametros[Código do Posto],tabCustoUnit[[#This Row],[Código do Posto]],tabParametros[Aviso Prévio Indenizado (API) e Reflexo do Aviso Prévio Indenizado])*tabCustoUnit[[#This Row],[MODULO 1 - REMUNERAÇÃO ]]</f>
        <v>31.960131708912037</v>
      </c>
      <c r="AN323" s="22">
        <f>SUMIF(tabParametros[Código do Posto],tabCustoUnit[[#This Row],[Código do Posto]],tabParametros[Incidência do FGTS sobre API e Reflexo do API])*tabCustoUnit[[#This Row],[MODULO 1 - REMUNERAÇÃO ]]</f>
        <v>2.556810536712963</v>
      </c>
      <c r="AO323" s="22">
        <f>SUMIF(tabParametros[Código do Posto],tabCustoUnit[[#This Row],[Código do Posto]],tabParametros[Multa Rescisória do FGTS sobre o Aviso Prévio Indenizado])*tabCustoUnit[[#This Row],[MODULO 1 - REMUNERAÇÃO ]]</f>
        <v>1.0227242146851854</v>
      </c>
      <c r="AP323" s="22">
        <f>SUMIF(tabParametros[Código do Posto],tabCustoUnit[[#This Row],[Código do Posto]],tabParametros[Aviso Prévio Trabalhado - APT])*tabCustoUnit[[#This Row],[MODULO 1 - REMUNERAÇÃO ]]</f>
        <v>15.953248500000003</v>
      </c>
      <c r="AQ323" s="22">
        <f>SUMIF(tabParametros[Código do Posto],tabCustoUnit[[#This Row],[Código do Posto]],tabParametros[Incidência dos encargos do submódulo 2.1 sobre Aviso Prévio Trabalhado])*tabCustoUnit[[#This Row],[MODULO 1 - REMUNERAÇÃO ]]</f>
        <v>6.0303279330000015</v>
      </c>
      <c r="AR323" s="22">
        <f>SUMIF(tabParametros[Código do Posto],tabCustoUnit[[#This Row],[Código do Posto]],tabParametros[Multa Rescisória do FGTS])*tabCustoUnit[[#This Row],[MODULO 1 - REMUNERAÇÃO ]]</f>
        <v>139.3756821333333</v>
      </c>
      <c r="AS323" s="22">
        <f>SUMIF(tabParametros[Código do Posto],tabCustoUnit[[#This Row],[Código do Posto]],tabParametros[Indenização Adicional (Art. 9º da Lei nº 7.238/84)])*tabCustoUnit[[#This Row],[MODULO 1 - REMUNERAÇÃO ]]</f>
        <v>3.7983925000000003</v>
      </c>
      <c r="AT323" s="22">
        <f>SUM(tabCustoUnit[[#This Row],[Aviso Prévio Indenizado (API) e Reflexo do Aviso Prévio Indenizado]:[Indenização Adicional (Art. 9º da Lei nº 7.238/84)]])</f>
        <v>200.6973175266435</v>
      </c>
      <c r="AU323" s="22">
        <f>SUMIF(tabParametros[Código do Posto],tabCustoUnit[[#This Row],[Código do Posto]],tabParametros[Ausência por Doença])*tabCustoUnit[[#This Row],[MODULO 1 - REMUNERAÇÃO ]]</f>
        <v>38.490377333333328</v>
      </c>
      <c r="AV323" s="22">
        <f>SUMIF(tabParametros[Código do Posto],tabCustoUnit[[#This Row],[Código do Posto]],tabParametros[Ausências Legais])*tabCustoUnit[[#This Row],[MODULO 1 - REMUNERAÇÃO ]]</f>
        <v>9.2427550833333321</v>
      </c>
      <c r="AW323" s="22">
        <f>SUMIF(tabParametros[Código do Posto],tabCustoUnit[[#This Row],[Código do Posto]],tabParametros[Licença Paternidade])*tabCustoUnit[[#This Row],[MODULO 1 - REMUNERAÇÃO ]]</f>
        <v>0.77867046249999994</v>
      </c>
      <c r="AX323" s="22">
        <f>SUMIF(tabParametros[Código do Posto],tabCustoUnit[[#This Row],[Código do Posto]],tabParametros[Ausência por Acidente de Trabalho])*tabCustoUnit[[#This Row],[MODULO 1 - REMUNERAÇÃO ]]</f>
        <v>0.94959812500000007</v>
      </c>
      <c r="AY323" s="22">
        <f>SUMIF(tabParametros[Código do Posto],tabCustoUnit[[#This Row],[Código do Posto]],tabParametros[Férias, Adicional de Férias e 13º  com empregada em gozo de Licença Maternidade])*tabCustoUnit[[#This Row],[MODULO 1 - REMUNERAÇÃO ]]</f>
        <v>5.9086105555555557</v>
      </c>
      <c r="AZ323" s="22">
        <f>SUMIF(tabParametros[Código do Posto],tabCustoUnit[[#This Row],[Código do Posto]],tabParametros[Incidência do Submódulo 2.1 sobre Ausências Legais])*tabCustoUnit[[#This Row],[MODULO 1 - REMUNERAÇÃO ]]</f>
        <v>20.929864369575004</v>
      </c>
      <c r="BA323" s="22">
        <f>SUM(tabCustoUnit[[#This Row],[Ausência por Doença]:[Incidência do Submódulo 2.1 sobre Ausências Legais]])</f>
        <v>76.29987592929723</v>
      </c>
      <c r="BB323" s="22">
        <f>SUMIF(tabParametros[Código do Posto],tabCustoUnit[[#This Row],[Código do Posto]],tabParametros[Intervalo para Repouso ou Alimentação])</f>
        <v>0</v>
      </c>
      <c r="BC323" s="22">
        <f>tabCustoUnit[[#This Row],[Intervalo para Repouso ou Alimentação]]</f>
        <v>0</v>
      </c>
      <c r="BD32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3" s="22">
        <f>tabCustoUnit[[#This Row],[Suspensão Temporária do Contrato de Trabalho]]</f>
        <v>0</v>
      </c>
      <c r="BF323" s="22">
        <f>tabCustoUnit[[#This Row],[Submódulo 4.1]]+tabCustoUnit[[#This Row],[Submódulo 4.2]]+tabCustoUnit[[#This Row],[Submódulo 4.3]]</f>
        <v>76.29987592929723</v>
      </c>
      <c r="BG323" s="22">
        <f>VLOOKUP(tabCustoUnit[[#This Row],[Código do Posto]],tabParametros[],MATCH(tabCustoUnit[[#Headers],[Uniformes e EPIs]],tabParametros[#Headers],0),0)</f>
        <v>92.100763771570698</v>
      </c>
      <c r="BH323" s="22">
        <f>VLOOKUP(tabCustoUnit[[#This Row],[Código do Posto]],tabParametros[],MATCH(tabCustoUnit[[#Headers],[Materiais de Consumo]],tabParametros[#Headers],0),0)</f>
        <v>0</v>
      </c>
      <c r="BI323" s="22">
        <f>VLOOKUP(tabCustoUnit[[#This Row],[Código do Posto]],tabParametros[],MATCH(tabCustoUnit[[#Headers],[Máquinas e Equipamentos (depreciação)]],tabParametros[#Headers],0),0)</f>
        <v>0</v>
      </c>
      <c r="BJ323" s="22">
        <f>VLOOKUP(tabCustoUnit[[#This Row],[Código do Posto]],tabParametros[],MATCH(tabCustoUnit[[#Headers],[Produtos de Limpeza e Materiais de Higiene Pessoal]],tabParametros[#Headers],0),0)</f>
        <v>0</v>
      </c>
      <c r="BK323" s="22">
        <f>VLOOKUP(tabCustoUnit[[#This Row],[Código do Posto]],tabParametros[],MATCH(tabCustoUnit[[#Headers],[Outros (especificar)]],tabParametros[#Headers],0),0)</f>
        <v>0</v>
      </c>
      <c r="BL323" s="22">
        <f>SUM(tabCustoUnit[[#This Row],[Uniformes e EPIs]:[Outros (especificar)]])</f>
        <v>92.100763771570698</v>
      </c>
      <c r="BM32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3" s="22" t="e">
        <f ca="1">VLOOKUP(tabCustoUnit[[#This Row],[Código do Posto]],tabParametros[],MATCH(tabCustoUnit[[#Headers],[Custos Indiretos]],tabParametros[#Headers],0),0)</f>
        <v>#NAME?</v>
      </c>
      <c r="BO323" s="22" t="e">
        <f ca="1">VLOOKUP(tabCustoUnit[[#This Row],[Código do Posto]],tabParametros[],MATCH(tabCustoUnit[[#Headers],[Lucro]],tabParametros[#Headers],0),0)</f>
        <v>#NAME?</v>
      </c>
      <c r="BP323" s="26">
        <f>((100/((1-tabCustoUnit[[#This Row],[Resumo de Alíquotas (PIS+CONFINS+ISS)]]))-100)*VLOOKUP(tabCustoUnit[[#This Row],[Código do Posto]],tabParametros[],MATCH(tabCustoUnit[[#Headers],[COFINS]],tabParametros[#Headers],0),0))/(tabCustoUnit[[#This Row],[Resumo de Alíquotas (PIS+CONFINS+ISS)]]*100)</f>
        <v>8.5633802816901458E-2</v>
      </c>
      <c r="BQ323" s="26">
        <f>((100/((100-(tabCustoUnit[[#This Row],[Resumo de Alíquotas (PIS+CONFINS+ISS)]]*100))%)-100)*VLOOKUP(tabCustoUnit[[#This Row],[Código do Posto]],tabParametros[],MATCH(tabCustoUnit[[#Headers],[PIS]],tabParametros[#Headers],0),0))/(tabCustoUnit[[#This Row],[Resumo de Alíquotas (PIS+CONFINS+ISS)]]*100)</f>
        <v>1.8591549295774657E-2</v>
      </c>
      <c r="BR323" s="28">
        <f>VLOOKUP(tabCustoUnit[[#This Row],[Código do Posto]],tabParametros[],MATCH(tabCustoUnit[[#Headers],[ISS]],tabParametros[#Headers],0),0)</f>
        <v>0.02</v>
      </c>
      <c r="BS323" s="26">
        <f>(((100/((100-(tabCustoUnit[[#This Row],[Resumo de Alíquotas (PIS+CONFINS+ISS)]]*100))%)-100)*tabCustoUnit[[#This Row],[ISS]])/tabCustoUnit[[#This Row],[Resumo de Alíquotas (PIS+CONFINS+ISS)]])/100</f>
        <v>2.2535211267605645E-2</v>
      </c>
      <c r="BT32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23" s="138">
        <f>tabCustoUnit[[#This Row],[COFINS]]+tabCustoUnit[[#This Row],[PIS]]+tabCustoUnit[[#This Row],[ISS (Conversão Alíquota s/ fatura)]]</f>
        <v>0.12676056338028174</v>
      </c>
      <c r="BV323" s="22" t="e">
        <f ca="1">(tabCustoUnit[[#This Row],[TOTAL MÓDULOS 1+2+3+4+5]]+tabCustoUnit[[#This Row],[Custos Indiretos]]+tabCustoUnit[[#This Row],[Lucro]])*tabCustoUnit[[#This Row],[PIS + COFINS + ISS (Total Conversão  Alíquota s/ Fatura)]]</f>
        <v>#NAME?</v>
      </c>
      <c r="BW323" s="22" t="e">
        <f ca="1">tabCustoUnit[[#This Row],[Custos Indiretos]]+tabCustoUnit[[#This Row],[Lucro]]+tabCustoUnit[[#This Row],[Valor dos Tributos (ISS, PIS, CONFINS)]]</f>
        <v>#NAME?</v>
      </c>
      <c r="BX323" s="22" t="e">
        <f ca="1">tabCustoUnit[[#This Row],[TOTAL MÓDULOS 1+2+3+4+5]]+tabCustoUnit[[#This Row],[MÓDULO 6 – CUSTOS INDIRETOS, TRIBUTOS E LUCRO]]</f>
        <v>#NAME?</v>
      </c>
      <c r="BY323" s="22" t="e">
        <f ca="1">tabCustoUnit[[#This Row],[CUSTO TOTAL MENSAL]]*12</f>
        <v>#NAME?</v>
      </c>
      <c r="BZ323" s="24">
        <f>VLOOKUP(tabCustoUnit[[#This Row],[Código do Posto]],tabParametros[],MATCH(tabCustoUnit[[#Headers],[ANO DA CCT]],tabParametros[#Headers],0),0)</f>
        <v>45658</v>
      </c>
      <c r="CA323" s="25" t="str">
        <f>VLOOKUP(tabCustoUnit[[#This Row],[Código do Posto]],tabParametros[],MATCH(tabCustoUnit[[#Headers],[Nº DE PEDIDO DA CCT]],tabParametros[#Headers],0),0)</f>
        <v>-</v>
      </c>
      <c r="CB323" s="25" t="str">
        <f>VLOOKUP(tabCustoUnit[[#This Row],[Código do Posto]],tabParametros[],MATCH(tabCustoUnit[[#Headers],[TERMO ADITIVO ALTERAÇÃO DA CCT]],tabParametros[#Headers],0),0)</f>
        <v>-</v>
      </c>
    </row>
    <row r="324" spans="1:80">
      <c r="A324" s="20" t="s">
        <v>1731</v>
      </c>
      <c r="B324" t="s">
        <v>1071</v>
      </c>
      <c r="C324" t="s">
        <v>274</v>
      </c>
      <c r="D324" t="s">
        <v>1027</v>
      </c>
      <c r="E324" s="20" t="s">
        <v>1090</v>
      </c>
      <c r="F324" s="20" t="s">
        <v>135</v>
      </c>
      <c r="G324" s="418">
        <v>4558.0709999999999</v>
      </c>
      <c r="H324" s="418">
        <v>0</v>
      </c>
      <c r="I324" s="418">
        <v>0</v>
      </c>
      <c r="J324" s="418">
        <v>0</v>
      </c>
      <c r="K324" s="418">
        <v>0</v>
      </c>
      <c r="L324" s="418">
        <v>0</v>
      </c>
      <c r="M324" s="418">
        <v>0</v>
      </c>
      <c r="N324" s="418">
        <v>0</v>
      </c>
      <c r="O324" s="21">
        <f>SUM(tabCustoUnit[[#This Row],[Salário Base]:[Adicional de Acúmulo de função]])</f>
        <v>4558.0709999999999</v>
      </c>
      <c r="P324" s="21">
        <f>tabCustoUnit[[#This Row],[MODULO 1 - REMUNERAÇÃO ]]*SUMIFS(tabParametros[INSS],tabParametros[Código do Posto],tabCustoUnit[[#This Row],[Código do Posto]])</f>
        <v>911.61419999999998</v>
      </c>
      <c r="Q324" s="21">
        <f>tabCustoUnit[[#This Row],[MODULO 1 - REMUNERAÇÃO ]]*SUMIFS(tabParametros[SESI OU SESC],tabParametros[Código do Posto],tabCustoUnit[[#This Row],[Código do Posto]])</f>
        <v>68.371065000000002</v>
      </c>
      <c r="R324" s="21">
        <f>tabCustoUnit[[#This Row],[MODULO 1 - REMUNERAÇÃO ]]*SUMIFS(tabParametros[SENAI OU SENAC],tabParametros[Código do Posto],tabCustoUnit[[#This Row],[Código do Posto]])</f>
        <v>45.580710000000003</v>
      </c>
      <c r="S324" s="21">
        <f>tabCustoUnit[[#This Row],[MODULO 1 - REMUNERAÇÃO ]]*SUMIFS(tabParametros[INCRA],tabParametros[Código do Posto],tabCustoUnit[[#This Row],[Código do Posto]])</f>
        <v>9.116142</v>
      </c>
      <c r="T324" s="21">
        <f>tabCustoUnit[[#This Row],[MODULO 1 - REMUNERAÇÃO ]]*SUMIFS(tabParametros[Salário Educação],tabParametros[Código do Posto],tabCustoUnit[[#This Row],[Código do Posto]])</f>
        <v>113.951775</v>
      </c>
      <c r="U324" s="21">
        <f>tabCustoUnit[[#This Row],[MODULO 1 - REMUNERAÇÃO ]]*SUMIFS(tabParametros[FGTS],tabParametros[Código do Posto],tabCustoUnit[[#This Row],[Código do Posto]])</f>
        <v>364.64568000000003</v>
      </c>
      <c r="V324" s="21">
        <f>tabCustoUnit[[#This Row],[MODULO 1 - REMUNERAÇÃO ]]*SUMIFS(tabParametros[RAT Ajustado],tabParametros[Código do Posto],tabCustoUnit[[#This Row],[Código do Posto]])</f>
        <v>182.32284000000001</v>
      </c>
      <c r="W324" s="21">
        <f>tabCustoUnit[[#This Row],[MODULO 1 - REMUNERAÇÃO ]]*SUMIFS(tabParametros[SEBRAE],tabParametros[Código do Posto],tabCustoUnit[[#This Row],[Código do Posto]])</f>
        <v>27.348426</v>
      </c>
      <c r="X324" s="21">
        <f>SUM(tabCustoUnit[[#This Row],[INSS]:[SEBRAE]])</f>
        <v>1722.9508380000002</v>
      </c>
      <c r="Y324" s="21">
        <f>tabCustoUnit[[#This Row],[MODULO 1 - REMUNERAÇÃO ]]*SUMIFS(tabParametros[13º salário (titular)],tabParametros[Código do Posto],tabCustoUnit[[#This Row],[Código do Posto]])</f>
        <v>379.83924999999999</v>
      </c>
      <c r="Z324" s="21">
        <f>tabCustoUnit[[#This Row],[MODULO 1 - REMUNERAÇÃO ]]*SUMIFS(tabParametros[Férias e Adicional de Férias (titular)],tabParametros[Código do Posto],tabCustoUnit[[#This Row],[Código do Posto]])</f>
        <v>506.45233333333329</v>
      </c>
      <c r="AA324" s="21">
        <f>IFERROR((tabCustoUnit[[#This Row],[Submódulo 2.1]]/tabCustoUnit[[#This Row],[MODULO 1 - REMUNERAÇÃO ]])*SUM(tabCustoUnit[[#This Row],[13º salário (titular)]:[Férias e Adicional de Férias (titular)]]),0)</f>
        <v>335.01821850000005</v>
      </c>
      <c r="AB324" s="21">
        <f>SUM(tabCustoUnit[[#This Row],[13º salário (titular)]:[Incidência do Submódulo 2.1 sobre 13º Salário, Férias e Adicional de Férias]])</f>
        <v>1221.3098018333333</v>
      </c>
      <c r="AC324" s="22" t="e">
        <f ca="1">_xlfn.LET(_xlpm.VT,SUMIF(tabParametros[Código do Posto],tabCustoUnit[[#This Row],[Código do Posto]],tabParametros[Vale - Transporte])*2*20,
IF((_xlpm.VT-tabCustoUnit[[#This Row],[Salário Base]]*0.06)&gt;=0,(_xlpm.VT-tabCustoUnit[[#This Row],[Salário Base]]*0.06),0)
)</f>
        <v>#NAME?</v>
      </c>
      <c r="AD324" s="22">
        <f>IF(SUMIF(tabParametros[Código do Posto],tabCustoUnit[[#This Row],[Código do Posto]],tabParametros[Vale - Alimentação])&lt;=0,0,
SUMIF(tabParametros[Código do Posto],tabCustoUnit[[#This Row],[Código do Posto]],tabParametros[Vale - Alimentação])*20-1)</f>
        <v>578.4</v>
      </c>
      <c r="AE324" s="22">
        <f>SUMIF(tabParametros[Código do Posto],tabCustoUnit[[#This Row],[Código do Posto]],tabParametros[Cesta Básica])</f>
        <v>0</v>
      </c>
      <c r="AF324" s="22">
        <f>SUMIF(tabParametros[Código do Posto],tabCustoUnit[[#This Row],[Código do Posto]],tabParametros[PAF])</f>
        <v>22.52</v>
      </c>
      <c r="AG324" s="22">
        <f>SUMIF(tabParametros[Código do Posto],tabCustoUnit[[#This Row],[Código do Posto]],tabParametros[PQM])</f>
        <v>0</v>
      </c>
      <c r="AH324" s="22">
        <f>SUMIF(tabParametros[Código do Posto],tabCustoUnit[[#This Row],[Código do Posto]],tabParametros[Abono Único e Especial])</f>
        <v>0</v>
      </c>
      <c r="AI324" s="22">
        <f>SUMIF(tabParametros[Código do Posto],tabCustoUnit[[#This Row],[Código do Posto]],tabParametros[Seguro de Vida])</f>
        <v>3.36</v>
      </c>
      <c r="AJ324" s="22">
        <f>SUMIF(tabParametros[Código do Posto],tabCustoUnit[[#This Row],[Código do Posto]],tabParametros[Despesas de Viagem])</f>
        <v>662.42</v>
      </c>
      <c r="AK324" s="22" t="e">
        <f ca="1">SUM(tabCustoUnit[[#This Row],[Vale - Transporte (Descontada parcela do empregado)]:[Despesas de Viagem]])</f>
        <v>#NAME?</v>
      </c>
      <c r="AL324" s="22" t="e">
        <f ca="1">tabCustoUnit[[#This Row],[Submódulo 2.1]]+tabCustoUnit[[#This Row],[Submódulo 2.2]]+tabCustoUnit[[#This Row],[Submódulo 2.3]]</f>
        <v>#NAME?</v>
      </c>
      <c r="AM324" s="22">
        <f>SUMIF(tabParametros[Código do Posto],tabCustoUnit[[#This Row],[Código do Posto]],tabParametros[Aviso Prévio Indenizado (API) e Reflexo do Aviso Prévio Indenizado])*tabCustoUnit[[#This Row],[MODULO 1 - REMUNERAÇÃO ]]</f>
        <v>31.960131708912037</v>
      </c>
      <c r="AN324" s="22">
        <f>SUMIF(tabParametros[Código do Posto],tabCustoUnit[[#This Row],[Código do Posto]],tabParametros[Incidência do FGTS sobre API e Reflexo do API])*tabCustoUnit[[#This Row],[MODULO 1 - REMUNERAÇÃO ]]</f>
        <v>2.556810536712963</v>
      </c>
      <c r="AO324" s="22">
        <f>SUMIF(tabParametros[Código do Posto],tabCustoUnit[[#This Row],[Código do Posto]],tabParametros[Multa Rescisória do FGTS sobre o Aviso Prévio Indenizado])*tabCustoUnit[[#This Row],[MODULO 1 - REMUNERAÇÃO ]]</f>
        <v>1.0227242146851854</v>
      </c>
      <c r="AP324" s="22">
        <f>SUMIF(tabParametros[Código do Posto],tabCustoUnit[[#This Row],[Código do Posto]],tabParametros[Aviso Prévio Trabalhado - APT])*tabCustoUnit[[#This Row],[MODULO 1 - REMUNERAÇÃO ]]</f>
        <v>15.953248500000003</v>
      </c>
      <c r="AQ324" s="22">
        <f>SUMIF(tabParametros[Código do Posto],tabCustoUnit[[#This Row],[Código do Posto]],tabParametros[Incidência dos encargos do submódulo 2.1 sobre Aviso Prévio Trabalhado])*tabCustoUnit[[#This Row],[MODULO 1 - REMUNERAÇÃO ]]</f>
        <v>6.0303279330000015</v>
      </c>
      <c r="AR324" s="22">
        <f>SUMIF(tabParametros[Código do Posto],tabCustoUnit[[#This Row],[Código do Posto]],tabParametros[Multa Rescisória do FGTS])*tabCustoUnit[[#This Row],[MODULO 1 - REMUNERAÇÃO ]]</f>
        <v>139.3756821333333</v>
      </c>
      <c r="AS324" s="22">
        <f>SUMIF(tabParametros[Código do Posto],tabCustoUnit[[#This Row],[Código do Posto]],tabParametros[Indenização Adicional (Art. 9º da Lei nº 7.238/84)])*tabCustoUnit[[#This Row],[MODULO 1 - REMUNERAÇÃO ]]</f>
        <v>3.7983925000000003</v>
      </c>
      <c r="AT324" s="22">
        <f>SUM(tabCustoUnit[[#This Row],[Aviso Prévio Indenizado (API) e Reflexo do Aviso Prévio Indenizado]:[Indenização Adicional (Art. 9º da Lei nº 7.238/84)]])</f>
        <v>200.6973175266435</v>
      </c>
      <c r="AU324" s="22">
        <f>SUMIF(tabParametros[Código do Posto],tabCustoUnit[[#This Row],[Código do Posto]],tabParametros[Ausência por Doença])*tabCustoUnit[[#This Row],[MODULO 1 - REMUNERAÇÃO ]]</f>
        <v>38.490377333333328</v>
      </c>
      <c r="AV324" s="22">
        <f>SUMIF(tabParametros[Código do Posto],tabCustoUnit[[#This Row],[Código do Posto]],tabParametros[Ausências Legais])*tabCustoUnit[[#This Row],[MODULO 1 - REMUNERAÇÃO ]]</f>
        <v>9.2427550833333321</v>
      </c>
      <c r="AW324" s="22">
        <f>SUMIF(tabParametros[Código do Posto],tabCustoUnit[[#This Row],[Código do Posto]],tabParametros[Licença Paternidade])*tabCustoUnit[[#This Row],[MODULO 1 - REMUNERAÇÃO ]]</f>
        <v>0.77867046249999994</v>
      </c>
      <c r="AX324" s="22">
        <f>SUMIF(tabParametros[Código do Posto],tabCustoUnit[[#This Row],[Código do Posto]],tabParametros[Ausência por Acidente de Trabalho])*tabCustoUnit[[#This Row],[MODULO 1 - REMUNERAÇÃO ]]</f>
        <v>0.94959812500000007</v>
      </c>
      <c r="AY324" s="22">
        <f>SUMIF(tabParametros[Código do Posto],tabCustoUnit[[#This Row],[Código do Posto]],tabParametros[Férias, Adicional de Férias e 13º  com empregada em gozo de Licença Maternidade])*tabCustoUnit[[#This Row],[MODULO 1 - REMUNERAÇÃO ]]</f>
        <v>5.9086105555555557</v>
      </c>
      <c r="AZ324" s="22">
        <f>SUMIF(tabParametros[Código do Posto],tabCustoUnit[[#This Row],[Código do Posto]],tabParametros[Incidência do Submódulo 2.1 sobre Ausências Legais])*tabCustoUnit[[#This Row],[MODULO 1 - REMUNERAÇÃO ]]</f>
        <v>20.929864369575004</v>
      </c>
      <c r="BA324" s="22">
        <f>SUM(tabCustoUnit[[#This Row],[Ausência por Doença]:[Incidência do Submódulo 2.1 sobre Ausências Legais]])</f>
        <v>76.29987592929723</v>
      </c>
      <c r="BB324" s="22">
        <f>SUMIF(tabParametros[Código do Posto],tabCustoUnit[[#This Row],[Código do Posto]],tabParametros[Intervalo para Repouso ou Alimentação])</f>
        <v>0</v>
      </c>
      <c r="BC324" s="22">
        <f>tabCustoUnit[[#This Row],[Intervalo para Repouso ou Alimentação]]</f>
        <v>0</v>
      </c>
      <c r="BD32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4" s="22">
        <f>tabCustoUnit[[#This Row],[Suspensão Temporária do Contrato de Trabalho]]</f>
        <v>0</v>
      </c>
      <c r="BF324" s="22">
        <f>tabCustoUnit[[#This Row],[Submódulo 4.1]]+tabCustoUnit[[#This Row],[Submódulo 4.2]]+tabCustoUnit[[#This Row],[Submódulo 4.3]]</f>
        <v>76.29987592929723</v>
      </c>
      <c r="BG324" s="22">
        <f>VLOOKUP(tabCustoUnit[[#This Row],[Código do Posto]],tabParametros[],MATCH(tabCustoUnit[[#Headers],[Uniformes e EPIs]],tabParametros[#Headers],0),0)</f>
        <v>92.100763771570698</v>
      </c>
      <c r="BH324" s="22">
        <f>VLOOKUP(tabCustoUnit[[#This Row],[Código do Posto]],tabParametros[],MATCH(tabCustoUnit[[#Headers],[Materiais de Consumo]],tabParametros[#Headers],0),0)</f>
        <v>0</v>
      </c>
      <c r="BI324" s="22">
        <f>VLOOKUP(tabCustoUnit[[#This Row],[Código do Posto]],tabParametros[],MATCH(tabCustoUnit[[#Headers],[Máquinas e Equipamentos (depreciação)]],tabParametros[#Headers],0),0)</f>
        <v>0</v>
      </c>
      <c r="BJ324" s="22">
        <f>VLOOKUP(tabCustoUnit[[#This Row],[Código do Posto]],tabParametros[],MATCH(tabCustoUnit[[#Headers],[Produtos de Limpeza e Materiais de Higiene Pessoal]],tabParametros[#Headers],0),0)</f>
        <v>0</v>
      </c>
      <c r="BK324" s="22">
        <f>VLOOKUP(tabCustoUnit[[#This Row],[Código do Posto]],tabParametros[],MATCH(tabCustoUnit[[#Headers],[Outros (especificar)]],tabParametros[#Headers],0),0)</f>
        <v>0</v>
      </c>
      <c r="BL324" s="22">
        <f>SUM(tabCustoUnit[[#This Row],[Uniformes e EPIs]:[Outros (especificar)]])</f>
        <v>92.100763771570698</v>
      </c>
      <c r="BM32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4" s="22" t="e">
        <f ca="1">VLOOKUP(tabCustoUnit[[#This Row],[Código do Posto]],tabParametros[],MATCH(tabCustoUnit[[#Headers],[Custos Indiretos]],tabParametros[#Headers],0),0)</f>
        <v>#NAME?</v>
      </c>
      <c r="BO324" s="22" t="e">
        <f ca="1">VLOOKUP(tabCustoUnit[[#This Row],[Código do Posto]],tabParametros[],MATCH(tabCustoUnit[[#Headers],[Lucro]],tabParametros[#Headers],0),0)</f>
        <v>#NAME?</v>
      </c>
      <c r="BP324" s="26">
        <f>((100/((1-tabCustoUnit[[#This Row],[Resumo de Alíquotas (PIS+CONFINS+ISS)]]))-100)*VLOOKUP(tabCustoUnit[[#This Row],[Código do Posto]],tabParametros[],MATCH(tabCustoUnit[[#Headers],[COFINS]],tabParametros[#Headers],0),0))/(tabCustoUnit[[#This Row],[Resumo de Alíquotas (PIS+CONFINS+ISS)]]*100)</f>
        <v>8.5633802816901458E-2</v>
      </c>
      <c r="BQ324" s="26">
        <f>((100/((100-(tabCustoUnit[[#This Row],[Resumo de Alíquotas (PIS+CONFINS+ISS)]]*100))%)-100)*VLOOKUP(tabCustoUnit[[#This Row],[Código do Posto]],tabParametros[],MATCH(tabCustoUnit[[#Headers],[PIS]],tabParametros[#Headers],0),0))/(tabCustoUnit[[#This Row],[Resumo de Alíquotas (PIS+CONFINS+ISS)]]*100)</f>
        <v>1.8591549295774657E-2</v>
      </c>
      <c r="BR324" s="28">
        <f>VLOOKUP(tabCustoUnit[[#This Row],[Código do Posto]],tabParametros[],MATCH(tabCustoUnit[[#Headers],[ISS]],tabParametros[#Headers],0),0)</f>
        <v>0.02</v>
      </c>
      <c r="BS324" s="26">
        <f>(((100/((100-(tabCustoUnit[[#This Row],[Resumo de Alíquotas (PIS+CONFINS+ISS)]]*100))%)-100)*tabCustoUnit[[#This Row],[ISS]])/tabCustoUnit[[#This Row],[Resumo de Alíquotas (PIS+CONFINS+ISS)]])/100</f>
        <v>2.2535211267605645E-2</v>
      </c>
      <c r="BT32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24" s="138">
        <f>tabCustoUnit[[#This Row],[COFINS]]+tabCustoUnit[[#This Row],[PIS]]+tabCustoUnit[[#This Row],[ISS (Conversão Alíquota s/ fatura)]]</f>
        <v>0.12676056338028174</v>
      </c>
      <c r="BV324" s="22" t="e">
        <f ca="1">(tabCustoUnit[[#This Row],[TOTAL MÓDULOS 1+2+3+4+5]]+tabCustoUnit[[#This Row],[Custos Indiretos]]+tabCustoUnit[[#This Row],[Lucro]])*tabCustoUnit[[#This Row],[PIS + COFINS + ISS (Total Conversão  Alíquota s/ Fatura)]]</f>
        <v>#NAME?</v>
      </c>
      <c r="BW324" s="22" t="e">
        <f ca="1">tabCustoUnit[[#This Row],[Custos Indiretos]]+tabCustoUnit[[#This Row],[Lucro]]+tabCustoUnit[[#This Row],[Valor dos Tributos (ISS, PIS, CONFINS)]]</f>
        <v>#NAME?</v>
      </c>
      <c r="BX324" s="22" t="e">
        <f ca="1">tabCustoUnit[[#This Row],[TOTAL MÓDULOS 1+2+3+4+5]]+tabCustoUnit[[#This Row],[MÓDULO 6 – CUSTOS INDIRETOS, TRIBUTOS E LUCRO]]</f>
        <v>#NAME?</v>
      </c>
      <c r="BY324" s="22" t="e">
        <f ca="1">tabCustoUnit[[#This Row],[CUSTO TOTAL MENSAL]]*12</f>
        <v>#NAME?</v>
      </c>
      <c r="BZ324" s="24">
        <f>VLOOKUP(tabCustoUnit[[#This Row],[Código do Posto]],tabParametros[],MATCH(tabCustoUnit[[#Headers],[ANO DA CCT]],tabParametros[#Headers],0),0)</f>
        <v>45658</v>
      </c>
      <c r="CA324" s="25" t="str">
        <f>VLOOKUP(tabCustoUnit[[#This Row],[Código do Posto]],tabParametros[],MATCH(tabCustoUnit[[#Headers],[Nº DE PEDIDO DA CCT]],tabParametros[#Headers],0),0)</f>
        <v>-</v>
      </c>
      <c r="CB324" s="25" t="str">
        <f>VLOOKUP(tabCustoUnit[[#This Row],[Código do Posto]],tabParametros[],MATCH(tabCustoUnit[[#Headers],[TERMO ADITIVO ALTERAÇÃO DA CCT]],tabParametros[#Headers],0),0)</f>
        <v>-</v>
      </c>
    </row>
    <row r="325" spans="1:80">
      <c r="A325" s="20" t="s">
        <v>1516</v>
      </c>
      <c r="B325" t="s">
        <v>1071</v>
      </c>
      <c r="C325" t="s">
        <v>314</v>
      </c>
      <c r="D325" t="s">
        <v>1071</v>
      </c>
      <c r="E325" s="20" t="s">
        <v>1090</v>
      </c>
      <c r="F325" s="20" t="s">
        <v>120</v>
      </c>
      <c r="G325" s="418">
        <v>2134.8042</v>
      </c>
      <c r="H325" s="418">
        <v>0</v>
      </c>
      <c r="I325" s="418">
        <v>0</v>
      </c>
      <c r="J325" s="418">
        <v>0</v>
      </c>
      <c r="K325" s="418">
        <v>0</v>
      </c>
      <c r="L325" s="418">
        <v>0</v>
      </c>
      <c r="M325" s="418">
        <v>0</v>
      </c>
      <c r="N325" s="418">
        <v>0</v>
      </c>
      <c r="O325" s="21">
        <f>SUM(tabCustoUnit[[#This Row],[Salário Base]:[Adicional de Acúmulo de função]])</f>
        <v>2134.8042</v>
      </c>
      <c r="P325" s="21">
        <f>tabCustoUnit[[#This Row],[MODULO 1 - REMUNERAÇÃO ]]*SUMIFS(tabParametros[INSS],tabParametros[Código do Posto],tabCustoUnit[[#This Row],[Código do Posto]])</f>
        <v>426.96084000000002</v>
      </c>
      <c r="Q325" s="21">
        <f>tabCustoUnit[[#This Row],[MODULO 1 - REMUNERAÇÃO ]]*SUMIFS(tabParametros[SESI OU SESC],tabParametros[Código do Posto],tabCustoUnit[[#This Row],[Código do Posto]])</f>
        <v>32.022063000000003</v>
      </c>
      <c r="R325" s="21">
        <f>tabCustoUnit[[#This Row],[MODULO 1 - REMUNERAÇÃO ]]*SUMIFS(tabParametros[SENAI OU SENAC],tabParametros[Código do Posto],tabCustoUnit[[#This Row],[Código do Posto]])</f>
        <v>21.348042</v>
      </c>
      <c r="S325" s="21">
        <f>tabCustoUnit[[#This Row],[MODULO 1 - REMUNERAÇÃO ]]*SUMIFS(tabParametros[INCRA],tabParametros[Código do Posto],tabCustoUnit[[#This Row],[Código do Posto]])</f>
        <v>4.2696084000000001</v>
      </c>
      <c r="T325" s="21">
        <f>tabCustoUnit[[#This Row],[MODULO 1 - REMUNERAÇÃO ]]*SUMIFS(tabParametros[Salário Educação],tabParametros[Código do Posto],tabCustoUnit[[#This Row],[Código do Posto]])</f>
        <v>53.370105000000002</v>
      </c>
      <c r="U325" s="21">
        <f>tabCustoUnit[[#This Row],[MODULO 1 - REMUNERAÇÃO ]]*SUMIFS(tabParametros[FGTS],tabParametros[Código do Posto],tabCustoUnit[[#This Row],[Código do Posto]])</f>
        <v>170.784336</v>
      </c>
      <c r="V325" s="21">
        <f>tabCustoUnit[[#This Row],[MODULO 1 - REMUNERAÇÃO ]]*SUMIFS(tabParametros[RAT Ajustado],tabParametros[Código do Posto],tabCustoUnit[[#This Row],[Código do Posto]])</f>
        <v>85.392167999999998</v>
      </c>
      <c r="W325" s="21">
        <f>tabCustoUnit[[#This Row],[MODULO 1 - REMUNERAÇÃO ]]*SUMIFS(tabParametros[SEBRAE],tabParametros[Código do Posto],tabCustoUnit[[#This Row],[Código do Posto]])</f>
        <v>12.808825200000001</v>
      </c>
      <c r="X325" s="21">
        <f>SUM(tabCustoUnit[[#This Row],[INSS]:[SEBRAE]])</f>
        <v>806.95598759999996</v>
      </c>
      <c r="Y325" s="21">
        <f>tabCustoUnit[[#This Row],[MODULO 1 - REMUNERAÇÃO ]]*SUMIFS(tabParametros[13º salário (titular)],tabParametros[Código do Posto],tabCustoUnit[[#This Row],[Código do Posto]])</f>
        <v>177.90035</v>
      </c>
      <c r="Z325" s="21">
        <f>tabCustoUnit[[#This Row],[MODULO 1 - REMUNERAÇÃO ]]*SUMIFS(tabParametros[Férias e Adicional de Férias (titular)],tabParametros[Código do Posto],tabCustoUnit[[#This Row],[Código do Posto]])</f>
        <v>237.20046666666667</v>
      </c>
      <c r="AA325" s="21">
        <f>IFERROR((tabCustoUnit[[#This Row],[Submódulo 2.1]]/tabCustoUnit[[#This Row],[MODULO 1 - REMUNERAÇÃO ]])*SUM(tabCustoUnit[[#This Row],[13º salário (titular)]:[Férias e Adicional de Férias (titular)]]),0)</f>
        <v>156.90810869999999</v>
      </c>
      <c r="AB325" s="21">
        <f>SUM(tabCustoUnit[[#This Row],[13º salário (titular)]:[Incidência do Submódulo 2.1 sobre 13º Salário, Férias e Adicional de Férias]])</f>
        <v>572.00892536666663</v>
      </c>
      <c r="AC325" s="22" t="e">
        <f ca="1">_xlfn.LET(_xlpm.VT,SUMIF(tabParametros[Código do Posto],tabCustoUnit[[#This Row],[Código do Posto]],tabParametros[Vale - Transporte])*2*20,
IF((_xlpm.VT-tabCustoUnit[[#This Row],[Salário Base]]*0.06)&gt;=0,(_xlpm.VT-tabCustoUnit[[#This Row],[Salário Base]]*0.06),0)
)</f>
        <v>#NAME?</v>
      </c>
      <c r="AD325" s="22">
        <f>IF(SUMIF(tabParametros[Código do Posto],tabCustoUnit[[#This Row],[Código do Posto]],tabParametros[Vale - Alimentação])&lt;=0,0,
SUMIF(tabParametros[Código do Posto],tabCustoUnit[[#This Row],[Código do Posto]],tabParametros[Vale - Alimentação])*20-1)</f>
        <v>0</v>
      </c>
      <c r="AE325" s="22">
        <f>SUMIF(tabParametros[Código do Posto],tabCustoUnit[[#This Row],[Código do Posto]],tabParametros[Cesta Básica])</f>
        <v>387.79</v>
      </c>
      <c r="AF325" s="22">
        <f>SUMIF(tabParametros[Código do Posto],tabCustoUnit[[#This Row],[Código do Posto]],tabParametros[PAF])</f>
        <v>42.97</v>
      </c>
      <c r="AG325" s="22">
        <f>SUMIF(tabParametros[Código do Posto],tabCustoUnit[[#This Row],[Código do Posto]],tabParametros[PQM])</f>
        <v>0</v>
      </c>
      <c r="AH325" s="22">
        <f>SUMIF(tabParametros[Código do Posto],tabCustoUnit[[#This Row],[Código do Posto]],tabParametros[Abono Único e Especial])</f>
        <v>0</v>
      </c>
      <c r="AI325" s="22">
        <f>SUMIF(tabParametros[Código do Posto],tabCustoUnit[[#This Row],[Código do Posto]],tabParametros[Seguro de Vida])</f>
        <v>3.36</v>
      </c>
      <c r="AJ325" s="22">
        <f>SUMIF(tabParametros[Código do Posto],tabCustoUnit[[#This Row],[Código do Posto]],tabParametros[Despesas de Viagem])</f>
        <v>0</v>
      </c>
      <c r="AK325" s="22" t="e">
        <f ca="1">SUM(tabCustoUnit[[#This Row],[Vale - Transporte (Descontada parcela do empregado)]:[Despesas de Viagem]])</f>
        <v>#NAME?</v>
      </c>
      <c r="AL325" s="22" t="e">
        <f ca="1">tabCustoUnit[[#This Row],[Submódulo 2.1]]+tabCustoUnit[[#This Row],[Submódulo 2.2]]+tabCustoUnit[[#This Row],[Submódulo 2.3]]</f>
        <v>#NAME?</v>
      </c>
      <c r="AM325" s="22">
        <f>SUMIF(tabParametros[Código do Posto],tabCustoUnit[[#This Row],[Código do Posto]],tabParametros[Aviso Prévio Indenizado (API) e Reflexo do Aviso Prévio Indenizado])*tabCustoUnit[[#This Row],[MODULO 1 - REMUNERAÇÃO ]]</f>
        <v>14.968749588310185</v>
      </c>
      <c r="AN325" s="22">
        <f>SUMIF(tabParametros[Código do Posto],tabCustoUnit[[#This Row],[Código do Posto]],tabParametros[Incidência do FGTS sobre API e Reflexo do API])*tabCustoUnit[[#This Row],[MODULO 1 - REMUNERAÇÃO ]]</f>
        <v>1.197499967064815</v>
      </c>
      <c r="AO325" s="22">
        <f>SUMIF(tabParametros[Código do Posto],tabCustoUnit[[#This Row],[Código do Posto]],tabParametros[Multa Rescisória do FGTS sobre o Aviso Prévio Indenizado])*tabCustoUnit[[#This Row],[MODULO 1 - REMUNERAÇÃO ]]</f>
        <v>0.47899998682592604</v>
      </c>
      <c r="AP325" s="22">
        <f>SUMIF(tabParametros[Código do Posto],tabCustoUnit[[#This Row],[Código do Posto]],tabParametros[Aviso Prévio Trabalhado - APT])*tabCustoUnit[[#This Row],[MODULO 1 - REMUNERAÇÃO ]]</f>
        <v>7.4718147000000013</v>
      </c>
      <c r="AQ325" s="22">
        <f>SUMIF(tabParametros[Código do Posto],tabCustoUnit[[#This Row],[Código do Posto]],tabParametros[Incidência dos encargos do submódulo 2.1 sobre Aviso Prévio Trabalhado])*tabCustoUnit[[#This Row],[MODULO 1 - REMUNERAÇÃO ]]</f>
        <v>2.8243459566000011</v>
      </c>
      <c r="AR325" s="22">
        <f>SUMIF(tabParametros[Código do Posto],tabCustoUnit[[#This Row],[Código do Posto]],tabParametros[Multa Rescisória do FGTS])*tabCustoUnit[[#This Row],[MODULO 1 - REMUNERAÇÃO ]]</f>
        <v>65.277568426666662</v>
      </c>
      <c r="AS325" s="22">
        <f>SUMIF(tabParametros[Código do Posto],tabCustoUnit[[#This Row],[Código do Posto]],tabParametros[Indenização Adicional (Art. 9º da Lei nº 7.238/84)])*tabCustoUnit[[#This Row],[MODULO 1 - REMUNERAÇÃO ]]</f>
        <v>1.7790035000000002</v>
      </c>
      <c r="AT325" s="22">
        <f>SUM(tabCustoUnit[[#This Row],[Aviso Prévio Indenizado (API) e Reflexo do Aviso Prévio Indenizado]:[Indenização Adicional (Art. 9º da Lei nº 7.238/84)]])</f>
        <v>93.997982125467587</v>
      </c>
      <c r="AU325" s="22">
        <f>SUMIF(tabParametros[Código do Posto],tabCustoUnit[[#This Row],[Código do Posto]],tabParametros[Ausência por Doença])*tabCustoUnit[[#This Row],[MODULO 1 - REMUNERAÇÃO ]]</f>
        <v>18.027235466666664</v>
      </c>
      <c r="AV325" s="22">
        <f>SUMIF(tabParametros[Código do Posto],tabCustoUnit[[#This Row],[Código do Posto]],tabParametros[Ausências Legais])*tabCustoUnit[[#This Row],[MODULO 1 - REMUNERAÇÃO ]]</f>
        <v>4.3289085166666661</v>
      </c>
      <c r="AW325" s="22">
        <f>SUMIF(tabParametros[Código do Posto],tabCustoUnit[[#This Row],[Código do Posto]],tabParametros[Licença Paternidade])*tabCustoUnit[[#This Row],[MODULO 1 - REMUNERAÇÃO ]]</f>
        <v>0.36469571750000002</v>
      </c>
      <c r="AX325" s="22">
        <f>SUMIF(tabParametros[Código do Posto],tabCustoUnit[[#This Row],[Código do Posto]],tabParametros[Ausência por Acidente de Trabalho])*tabCustoUnit[[#This Row],[MODULO 1 - REMUNERAÇÃO ]]</f>
        <v>0.44475087500000005</v>
      </c>
      <c r="AY325" s="22">
        <f>SUMIF(tabParametros[Código do Posto],tabCustoUnit[[#This Row],[Código do Posto]],tabParametros[Férias, Adicional de Férias e 13º  com empregada em gozo de Licença Maternidade])*tabCustoUnit[[#This Row],[MODULO 1 - REMUNERAÇÃO ]]</f>
        <v>2.7673387777777778</v>
      </c>
      <c r="AZ325" s="22">
        <f>SUMIF(tabParametros[Código do Posto],tabCustoUnit[[#This Row],[Código do Posto]],tabParametros[Incidência do Submódulo 2.1 sobre Ausências Legais])*tabCustoUnit[[#This Row],[MODULO 1 - REMUNERAÇÃO ]]</f>
        <v>9.8026472956650021</v>
      </c>
      <c r="BA325" s="22">
        <f>SUM(tabCustoUnit[[#This Row],[Ausência por Doença]:[Incidência do Submódulo 2.1 sobre Ausências Legais]])</f>
        <v>35.735576649276105</v>
      </c>
      <c r="BB325" s="22">
        <f>SUMIF(tabParametros[Código do Posto],tabCustoUnit[[#This Row],[Código do Posto]],tabParametros[Intervalo para Repouso ou Alimentação])</f>
        <v>291.10965839090369</v>
      </c>
      <c r="BC325" s="22">
        <f>tabCustoUnit[[#This Row],[Intervalo para Repouso ou Alimentação]]</f>
        <v>291.10965839090369</v>
      </c>
      <c r="BD32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5" s="22">
        <f>tabCustoUnit[[#This Row],[Suspensão Temporária do Contrato de Trabalho]]</f>
        <v>0</v>
      </c>
      <c r="BF325" s="22">
        <f>tabCustoUnit[[#This Row],[Submódulo 4.1]]+tabCustoUnit[[#This Row],[Submódulo 4.2]]+tabCustoUnit[[#This Row],[Submódulo 4.3]]</f>
        <v>326.84523504017977</v>
      </c>
      <c r="BG325" s="22">
        <f>VLOOKUP(tabCustoUnit[[#This Row],[Código do Posto]],tabParametros[],MATCH(tabCustoUnit[[#Headers],[Uniformes e EPIs]],tabParametros[#Headers],0),0)</f>
        <v>56.642978962543395</v>
      </c>
      <c r="BH325" s="22">
        <f>VLOOKUP(tabCustoUnit[[#This Row],[Código do Posto]],tabParametros[],MATCH(tabCustoUnit[[#Headers],[Materiais de Consumo]],tabParametros[#Headers],0),0)</f>
        <v>0</v>
      </c>
      <c r="BI325" s="22">
        <f>VLOOKUP(tabCustoUnit[[#This Row],[Código do Posto]],tabParametros[],MATCH(tabCustoUnit[[#Headers],[Máquinas e Equipamentos (depreciação)]],tabParametros[#Headers],0),0)</f>
        <v>0</v>
      </c>
      <c r="BJ325" s="22">
        <f>VLOOKUP(tabCustoUnit[[#This Row],[Código do Posto]],tabParametros[],MATCH(tabCustoUnit[[#Headers],[Produtos de Limpeza e Materiais de Higiene Pessoal]],tabParametros[#Headers],0),0)</f>
        <v>0</v>
      </c>
      <c r="BK325" s="22">
        <f>VLOOKUP(tabCustoUnit[[#This Row],[Código do Posto]],tabParametros[],MATCH(tabCustoUnit[[#Headers],[Outros (especificar)]],tabParametros[#Headers],0),0)</f>
        <v>0</v>
      </c>
      <c r="BL325" s="22">
        <f>SUM(tabCustoUnit[[#This Row],[Uniformes e EPIs]:[Outros (especificar)]])</f>
        <v>56.642978962543395</v>
      </c>
      <c r="BM32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5" s="22" t="e">
        <f ca="1">VLOOKUP(tabCustoUnit[[#This Row],[Código do Posto]],tabParametros[],MATCH(tabCustoUnit[[#Headers],[Custos Indiretos]],tabParametros[#Headers],0),0)</f>
        <v>#NAME?</v>
      </c>
      <c r="BO325" s="22" t="e">
        <f ca="1">VLOOKUP(tabCustoUnit[[#This Row],[Código do Posto]],tabParametros[],MATCH(tabCustoUnit[[#Headers],[Lucro]],tabParametros[#Headers],0),0)</f>
        <v>#NAME?</v>
      </c>
      <c r="BP325" s="26">
        <f>((100/((1-tabCustoUnit[[#This Row],[Resumo de Alíquotas (PIS+CONFINS+ISS)]]))-100)*VLOOKUP(tabCustoUnit[[#This Row],[Código do Posto]],tabParametros[],MATCH(tabCustoUnit[[#Headers],[COFINS]],tabParametros[#Headers],0),0))/(tabCustoUnit[[#This Row],[Resumo de Alíquotas (PIS+CONFINS+ISS)]]*100)</f>
        <v>8.5633802816901458E-2</v>
      </c>
      <c r="BQ325" s="26">
        <f>((100/((100-(tabCustoUnit[[#This Row],[Resumo de Alíquotas (PIS+CONFINS+ISS)]]*100))%)-100)*VLOOKUP(tabCustoUnit[[#This Row],[Código do Posto]],tabParametros[],MATCH(tabCustoUnit[[#Headers],[PIS]],tabParametros[#Headers],0),0))/(tabCustoUnit[[#This Row],[Resumo de Alíquotas (PIS+CONFINS+ISS)]]*100)</f>
        <v>1.8591549295774657E-2</v>
      </c>
      <c r="BR325" s="28">
        <f>VLOOKUP(tabCustoUnit[[#This Row],[Código do Posto]],tabParametros[],MATCH(tabCustoUnit[[#Headers],[ISS]],tabParametros[#Headers],0),0)</f>
        <v>0.02</v>
      </c>
      <c r="BS325" s="26">
        <f>(((100/((100-(tabCustoUnit[[#This Row],[Resumo de Alíquotas (PIS+CONFINS+ISS)]]*100))%)-100)*tabCustoUnit[[#This Row],[ISS]])/tabCustoUnit[[#This Row],[Resumo de Alíquotas (PIS+CONFINS+ISS)]])/100</f>
        <v>2.2535211267605645E-2</v>
      </c>
      <c r="BT32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25" s="138">
        <f>tabCustoUnit[[#This Row],[COFINS]]+tabCustoUnit[[#This Row],[PIS]]+tabCustoUnit[[#This Row],[ISS (Conversão Alíquota s/ fatura)]]</f>
        <v>0.12676056338028174</v>
      </c>
      <c r="BV325" s="22" t="e">
        <f ca="1">(tabCustoUnit[[#This Row],[TOTAL MÓDULOS 1+2+3+4+5]]+tabCustoUnit[[#This Row],[Custos Indiretos]]+tabCustoUnit[[#This Row],[Lucro]])*tabCustoUnit[[#This Row],[PIS + COFINS + ISS (Total Conversão  Alíquota s/ Fatura)]]</f>
        <v>#NAME?</v>
      </c>
      <c r="BW325" s="22" t="e">
        <f ca="1">tabCustoUnit[[#This Row],[Custos Indiretos]]+tabCustoUnit[[#This Row],[Lucro]]+tabCustoUnit[[#This Row],[Valor dos Tributos (ISS, PIS, CONFINS)]]</f>
        <v>#NAME?</v>
      </c>
      <c r="BX325" s="22" t="e">
        <f ca="1">tabCustoUnit[[#This Row],[TOTAL MÓDULOS 1+2+3+4+5]]+tabCustoUnit[[#This Row],[MÓDULO 6 – CUSTOS INDIRETOS, TRIBUTOS E LUCRO]]</f>
        <v>#NAME?</v>
      </c>
      <c r="BY325" s="22" t="e">
        <f ca="1">tabCustoUnit[[#This Row],[CUSTO TOTAL MENSAL]]*12</f>
        <v>#NAME?</v>
      </c>
      <c r="BZ325" s="24">
        <f>VLOOKUP(tabCustoUnit[[#This Row],[Código do Posto]],tabParametros[],MATCH(tabCustoUnit[[#Headers],[ANO DA CCT]],tabParametros[#Headers],0),0)</f>
        <v>45658</v>
      </c>
      <c r="CA325" s="25" t="str">
        <f>VLOOKUP(tabCustoUnit[[#This Row],[Código do Posto]],tabParametros[],MATCH(tabCustoUnit[[#Headers],[Nº DE PEDIDO DA CCT]],tabParametros[#Headers],0),0)</f>
        <v>-</v>
      </c>
      <c r="CB325" s="25" t="str">
        <f>VLOOKUP(tabCustoUnit[[#This Row],[Código do Posto]],tabParametros[],MATCH(tabCustoUnit[[#Headers],[TERMO ADITIVO ALTERAÇÃO DA CCT]],tabParametros[#Headers],0),0)</f>
        <v>-</v>
      </c>
    </row>
    <row r="326" spans="1:80">
      <c r="A326" s="20" t="s">
        <v>1732</v>
      </c>
      <c r="B326" t="s">
        <v>1071</v>
      </c>
      <c r="C326" t="s">
        <v>324</v>
      </c>
      <c r="D326" t="s">
        <v>1071</v>
      </c>
      <c r="E326" s="20" t="s">
        <v>1090</v>
      </c>
      <c r="F326" s="20" t="s">
        <v>120</v>
      </c>
      <c r="G326" s="418">
        <v>3397.1305000000002</v>
      </c>
      <c r="H326" s="418">
        <v>0</v>
      </c>
      <c r="I326" s="418">
        <v>0</v>
      </c>
      <c r="J326" s="418">
        <v>0</v>
      </c>
      <c r="K326" s="418">
        <v>0</v>
      </c>
      <c r="L326" s="418">
        <v>0</v>
      </c>
      <c r="M326" s="418">
        <v>0</v>
      </c>
      <c r="N326" s="418">
        <v>0</v>
      </c>
      <c r="O326" s="21">
        <f>SUM(tabCustoUnit[[#This Row],[Salário Base]:[Adicional de Acúmulo de função]])</f>
        <v>3397.1305000000002</v>
      </c>
      <c r="P326" s="21">
        <f>tabCustoUnit[[#This Row],[MODULO 1 - REMUNERAÇÃO ]]*SUMIFS(tabParametros[INSS],tabParametros[Código do Posto],tabCustoUnit[[#This Row],[Código do Posto]])</f>
        <v>679.42610000000013</v>
      </c>
      <c r="Q326" s="21">
        <f>tabCustoUnit[[#This Row],[MODULO 1 - REMUNERAÇÃO ]]*SUMIFS(tabParametros[SESI OU SESC],tabParametros[Código do Posto],tabCustoUnit[[#This Row],[Código do Posto]])</f>
        <v>50.956957500000001</v>
      </c>
      <c r="R326" s="21">
        <f>tabCustoUnit[[#This Row],[MODULO 1 - REMUNERAÇÃO ]]*SUMIFS(tabParametros[SENAI OU SENAC],tabParametros[Código do Posto],tabCustoUnit[[#This Row],[Código do Posto]])</f>
        <v>33.971305000000001</v>
      </c>
      <c r="S326" s="21">
        <f>tabCustoUnit[[#This Row],[MODULO 1 - REMUNERAÇÃO ]]*SUMIFS(tabParametros[INCRA],tabParametros[Código do Posto],tabCustoUnit[[#This Row],[Código do Posto]])</f>
        <v>6.7942610000000005</v>
      </c>
      <c r="T326" s="21">
        <f>tabCustoUnit[[#This Row],[MODULO 1 - REMUNERAÇÃO ]]*SUMIFS(tabParametros[Salário Educação],tabParametros[Código do Posto],tabCustoUnit[[#This Row],[Código do Posto]])</f>
        <v>84.928262500000017</v>
      </c>
      <c r="U326" s="21">
        <f>tabCustoUnit[[#This Row],[MODULO 1 - REMUNERAÇÃO ]]*SUMIFS(tabParametros[FGTS],tabParametros[Código do Posto],tabCustoUnit[[#This Row],[Código do Posto]])</f>
        <v>271.77044000000001</v>
      </c>
      <c r="V326" s="21">
        <f>tabCustoUnit[[#This Row],[MODULO 1 - REMUNERAÇÃO ]]*SUMIFS(tabParametros[RAT Ajustado],tabParametros[Código do Posto],tabCustoUnit[[#This Row],[Código do Posto]])</f>
        <v>135.88522</v>
      </c>
      <c r="W326" s="21">
        <f>tabCustoUnit[[#This Row],[MODULO 1 - REMUNERAÇÃO ]]*SUMIFS(tabParametros[SEBRAE],tabParametros[Código do Posto],tabCustoUnit[[#This Row],[Código do Posto]])</f>
        <v>20.382783000000003</v>
      </c>
      <c r="X326" s="21">
        <f>SUM(tabCustoUnit[[#This Row],[INSS]:[SEBRAE]])</f>
        <v>1284.1153290000002</v>
      </c>
      <c r="Y326" s="21">
        <f>tabCustoUnit[[#This Row],[MODULO 1 - REMUNERAÇÃO ]]*SUMIFS(tabParametros[13º salário (titular)],tabParametros[Código do Posto],tabCustoUnit[[#This Row],[Código do Posto]])</f>
        <v>283.09420833333331</v>
      </c>
      <c r="Z326" s="21">
        <f>tabCustoUnit[[#This Row],[MODULO 1 - REMUNERAÇÃO ]]*SUMIFS(tabParametros[Férias e Adicional de Férias (titular)],tabParametros[Código do Posto],tabCustoUnit[[#This Row],[Código do Posto]])</f>
        <v>377.45894444444446</v>
      </c>
      <c r="AA326" s="21">
        <f>IFERROR((tabCustoUnit[[#This Row],[Submódulo 2.1]]/tabCustoUnit[[#This Row],[MODULO 1 - REMUNERAÇÃO ]])*SUM(tabCustoUnit[[#This Row],[13º salário (titular)]:[Férias e Adicional de Férias (titular)]]),0)</f>
        <v>249.68909175000005</v>
      </c>
      <c r="AB326" s="21">
        <f>SUM(tabCustoUnit[[#This Row],[13º salário (titular)]:[Incidência do Submódulo 2.1 sobre 13º Salário, Férias e Adicional de Férias]])</f>
        <v>910.24224452777776</v>
      </c>
      <c r="AC326" s="22" t="e">
        <f ca="1">_xlfn.LET(_xlpm.VT,SUMIF(tabParametros[Código do Posto],tabCustoUnit[[#This Row],[Código do Posto]],tabParametros[Vale - Transporte])*2*20,
IF((_xlpm.VT-tabCustoUnit[[#This Row],[Salário Base]]*0.06)&gt;=0,(_xlpm.VT-tabCustoUnit[[#This Row],[Salário Base]]*0.06),0)
)</f>
        <v>#NAME?</v>
      </c>
      <c r="AD326" s="22">
        <f>IF(SUMIF(tabParametros[Código do Posto],tabCustoUnit[[#This Row],[Código do Posto]],tabParametros[Vale - Alimentação])&lt;=0,0,
SUMIF(tabParametros[Código do Posto],tabCustoUnit[[#This Row],[Código do Posto]],tabParametros[Vale - Alimentação])*20-1)</f>
        <v>0</v>
      </c>
      <c r="AE326" s="22">
        <f>SUMIF(tabParametros[Código do Posto],tabCustoUnit[[#This Row],[Código do Posto]],tabParametros[Cesta Básica])</f>
        <v>387.79</v>
      </c>
      <c r="AF326" s="22">
        <f>SUMIF(tabParametros[Código do Posto],tabCustoUnit[[#This Row],[Código do Posto]],tabParametros[PAF])</f>
        <v>42.97</v>
      </c>
      <c r="AG326" s="22">
        <f>SUMIF(tabParametros[Código do Posto],tabCustoUnit[[#This Row],[Código do Posto]],tabParametros[PQM])</f>
        <v>0</v>
      </c>
      <c r="AH326" s="22">
        <f>SUMIF(tabParametros[Código do Posto],tabCustoUnit[[#This Row],[Código do Posto]],tabParametros[Abono Único e Especial])</f>
        <v>0</v>
      </c>
      <c r="AI326" s="22">
        <f>SUMIF(tabParametros[Código do Posto],tabCustoUnit[[#This Row],[Código do Posto]],tabParametros[Seguro de Vida])</f>
        <v>3.36</v>
      </c>
      <c r="AJ326" s="22">
        <f>SUMIF(tabParametros[Código do Posto],tabCustoUnit[[#This Row],[Código do Posto]],tabParametros[Despesas de Viagem])</f>
        <v>0</v>
      </c>
      <c r="AK326" s="22" t="e">
        <f ca="1">SUM(tabCustoUnit[[#This Row],[Vale - Transporte (Descontada parcela do empregado)]:[Despesas de Viagem]])</f>
        <v>#NAME?</v>
      </c>
      <c r="AL326" s="22" t="e">
        <f ca="1">tabCustoUnit[[#This Row],[Submódulo 2.1]]+tabCustoUnit[[#This Row],[Submódulo 2.2]]+tabCustoUnit[[#This Row],[Submódulo 2.3]]</f>
        <v>#NAME?</v>
      </c>
      <c r="AM326" s="22">
        <f>SUMIF(tabParametros[Código do Posto],tabCustoUnit[[#This Row],[Código do Posto]],tabParametros[Aviso Prévio Indenizado (API) e Reflexo do Aviso Prévio Indenizado])*tabCustoUnit[[#This Row],[MODULO 1 - REMUNERAÇÃO ]]</f>
        <v>23.819887450713736</v>
      </c>
      <c r="AN326" s="22">
        <f>SUMIF(tabParametros[Código do Posto],tabCustoUnit[[#This Row],[Código do Posto]],tabParametros[Incidência do FGTS sobre API e Reflexo do API])*tabCustoUnit[[#This Row],[MODULO 1 - REMUNERAÇÃO ]]</f>
        <v>1.9055909960570991</v>
      </c>
      <c r="AO326" s="22">
        <f>SUMIF(tabParametros[Código do Posto],tabCustoUnit[[#This Row],[Código do Posto]],tabParametros[Multa Rescisória do FGTS sobre o Aviso Prévio Indenizado])*tabCustoUnit[[#This Row],[MODULO 1 - REMUNERAÇÃO ]]</f>
        <v>0.76223639842283974</v>
      </c>
      <c r="AP326" s="22">
        <f>SUMIF(tabParametros[Código do Posto],tabCustoUnit[[#This Row],[Código do Posto]],tabParametros[Aviso Prévio Trabalhado - APT])*tabCustoUnit[[#This Row],[MODULO 1 - REMUNERAÇÃO ]]</f>
        <v>11.889956750000003</v>
      </c>
      <c r="AQ326" s="22">
        <f>SUMIF(tabParametros[Código do Posto],tabCustoUnit[[#This Row],[Código do Posto]],tabParametros[Incidência dos encargos do submódulo 2.1 sobre Aviso Prévio Trabalhado])*tabCustoUnit[[#This Row],[MODULO 1 - REMUNERAÇÃO ]]</f>
        <v>4.4944036515000017</v>
      </c>
      <c r="AR326" s="22">
        <f>SUMIF(tabParametros[Código do Posto],tabCustoUnit[[#This Row],[Código do Posto]],tabParametros[Multa Rescisória do FGTS])*tabCustoUnit[[#This Row],[MODULO 1 - REMUNERAÇÃO ]]</f>
        <v>103.87670151111111</v>
      </c>
      <c r="AS326" s="22">
        <f>SUMIF(tabParametros[Código do Posto],tabCustoUnit[[#This Row],[Código do Posto]],tabParametros[Indenização Adicional (Art. 9º da Lei nº 7.238/84)])*tabCustoUnit[[#This Row],[MODULO 1 - REMUNERAÇÃO ]]</f>
        <v>2.8309420833333339</v>
      </c>
      <c r="AT326" s="22">
        <f>SUM(tabCustoUnit[[#This Row],[Aviso Prévio Indenizado (API) e Reflexo do Aviso Prévio Indenizado]:[Indenização Adicional (Art. 9º da Lei nº 7.238/84)]])</f>
        <v>149.57971884113812</v>
      </c>
      <c r="AU326" s="22">
        <f>SUMIF(tabParametros[Código do Posto],tabCustoUnit[[#This Row],[Código do Posto]],tabParametros[Ausência por Doença])*tabCustoUnit[[#This Row],[MODULO 1 - REMUNERAÇÃO ]]</f>
        <v>28.686879777777776</v>
      </c>
      <c r="AV326" s="22">
        <f>SUMIF(tabParametros[Código do Posto],tabCustoUnit[[#This Row],[Código do Posto]],tabParametros[Ausências Legais])*tabCustoUnit[[#This Row],[MODULO 1 - REMUNERAÇÃO ]]</f>
        <v>6.888625736111111</v>
      </c>
      <c r="AW326" s="22">
        <f>SUMIF(tabParametros[Código do Posto],tabCustoUnit[[#This Row],[Código do Posto]],tabParametros[Licença Paternidade])*tabCustoUnit[[#This Row],[MODULO 1 - REMUNERAÇÃO ]]</f>
        <v>0.58034312708333335</v>
      </c>
      <c r="AX326" s="22">
        <f>SUMIF(tabParametros[Código do Posto],tabCustoUnit[[#This Row],[Código do Posto]],tabParametros[Ausência por Acidente de Trabalho])*tabCustoUnit[[#This Row],[MODULO 1 - REMUNERAÇÃO ]]</f>
        <v>0.70773552083333346</v>
      </c>
      <c r="AY326" s="22">
        <f>SUMIF(tabParametros[Código do Posto],tabCustoUnit[[#This Row],[Código do Posto]],tabParametros[Férias, Adicional de Férias e 13º  com empregada em gozo de Licença Maternidade])*tabCustoUnit[[#This Row],[MODULO 1 - REMUNERAÇÃO ]]</f>
        <v>4.4036876851851856</v>
      </c>
      <c r="AZ326" s="22">
        <f>SUMIF(tabParametros[Código do Posto],tabCustoUnit[[#This Row],[Código do Posto]],tabParametros[Incidência do Submódulo 2.1 sobre Ausências Legais])*tabCustoUnit[[#This Row],[MODULO 1 - REMUNERAÇÃO ]]</f>
        <v>15.599028758162504</v>
      </c>
      <c r="BA326" s="22">
        <f>SUM(tabCustoUnit[[#This Row],[Ausência por Doença]:[Incidência do Submódulo 2.1 sobre Ausências Legais]])</f>
        <v>56.866300605153235</v>
      </c>
      <c r="BB326" s="22">
        <f>SUMIF(tabParametros[Código do Posto],tabCustoUnit[[#This Row],[Código do Posto]],tabParametros[Intervalo para Repouso ou Alimentação])</f>
        <v>0</v>
      </c>
      <c r="BC326" s="22">
        <f>tabCustoUnit[[#This Row],[Intervalo para Repouso ou Alimentação]]</f>
        <v>0</v>
      </c>
      <c r="BD32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6" s="22">
        <f>tabCustoUnit[[#This Row],[Suspensão Temporária do Contrato de Trabalho]]</f>
        <v>0</v>
      </c>
      <c r="BF326" s="22">
        <f>tabCustoUnit[[#This Row],[Submódulo 4.1]]+tabCustoUnit[[#This Row],[Submódulo 4.2]]+tabCustoUnit[[#This Row],[Submódulo 4.3]]</f>
        <v>56.866300605153235</v>
      </c>
      <c r="BG326" s="22">
        <f>VLOOKUP(tabCustoUnit[[#This Row],[Código do Posto]],tabParametros[],MATCH(tabCustoUnit[[#Headers],[Uniformes e EPIs]],tabParametros[#Headers],0),0)</f>
        <v>56.642978962543395</v>
      </c>
      <c r="BH326" s="22">
        <f>VLOOKUP(tabCustoUnit[[#This Row],[Código do Posto]],tabParametros[],MATCH(tabCustoUnit[[#Headers],[Materiais de Consumo]],tabParametros[#Headers],0),0)</f>
        <v>0</v>
      </c>
      <c r="BI326" s="22">
        <f>VLOOKUP(tabCustoUnit[[#This Row],[Código do Posto]],tabParametros[],MATCH(tabCustoUnit[[#Headers],[Máquinas e Equipamentos (depreciação)]],tabParametros[#Headers],0),0)</f>
        <v>0</v>
      </c>
      <c r="BJ326" s="22">
        <f>VLOOKUP(tabCustoUnit[[#This Row],[Código do Posto]],tabParametros[],MATCH(tabCustoUnit[[#Headers],[Produtos de Limpeza e Materiais de Higiene Pessoal]],tabParametros[#Headers],0),0)</f>
        <v>0</v>
      </c>
      <c r="BK326" s="22">
        <f>VLOOKUP(tabCustoUnit[[#This Row],[Código do Posto]],tabParametros[],MATCH(tabCustoUnit[[#Headers],[Outros (especificar)]],tabParametros[#Headers],0),0)</f>
        <v>0</v>
      </c>
      <c r="BL326" s="22">
        <f>SUM(tabCustoUnit[[#This Row],[Uniformes e EPIs]:[Outros (especificar)]])</f>
        <v>56.642978962543395</v>
      </c>
      <c r="BM32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6" s="22" t="e">
        <f ca="1">VLOOKUP(tabCustoUnit[[#This Row],[Código do Posto]],tabParametros[],MATCH(tabCustoUnit[[#Headers],[Custos Indiretos]],tabParametros[#Headers],0),0)</f>
        <v>#NAME?</v>
      </c>
      <c r="BO326" s="22" t="e">
        <f ca="1">VLOOKUP(tabCustoUnit[[#This Row],[Código do Posto]],tabParametros[],MATCH(tabCustoUnit[[#Headers],[Lucro]],tabParametros[#Headers],0),0)</f>
        <v>#NAME?</v>
      </c>
      <c r="BP326" s="26">
        <f>((100/((1-tabCustoUnit[[#This Row],[Resumo de Alíquotas (PIS+CONFINS+ISS)]]))-100)*VLOOKUP(tabCustoUnit[[#This Row],[Código do Posto]],tabParametros[],MATCH(tabCustoUnit[[#Headers],[COFINS]],tabParametros[#Headers],0),0))/(tabCustoUnit[[#This Row],[Resumo de Alíquotas (PIS+CONFINS+ISS)]]*100)</f>
        <v>8.5633802816901458E-2</v>
      </c>
      <c r="BQ326" s="26">
        <f>((100/((100-(tabCustoUnit[[#This Row],[Resumo de Alíquotas (PIS+CONFINS+ISS)]]*100))%)-100)*VLOOKUP(tabCustoUnit[[#This Row],[Código do Posto]],tabParametros[],MATCH(tabCustoUnit[[#Headers],[PIS]],tabParametros[#Headers],0),0))/(tabCustoUnit[[#This Row],[Resumo de Alíquotas (PIS+CONFINS+ISS)]]*100)</f>
        <v>1.8591549295774657E-2</v>
      </c>
      <c r="BR326" s="28">
        <f>VLOOKUP(tabCustoUnit[[#This Row],[Código do Posto]],tabParametros[],MATCH(tabCustoUnit[[#Headers],[ISS]],tabParametros[#Headers],0),0)</f>
        <v>0.02</v>
      </c>
      <c r="BS326" s="26">
        <f>(((100/((100-(tabCustoUnit[[#This Row],[Resumo de Alíquotas (PIS+CONFINS+ISS)]]*100))%)-100)*tabCustoUnit[[#This Row],[ISS]])/tabCustoUnit[[#This Row],[Resumo de Alíquotas (PIS+CONFINS+ISS)]])/100</f>
        <v>2.2535211267605645E-2</v>
      </c>
      <c r="BT32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26" s="138">
        <f>tabCustoUnit[[#This Row],[COFINS]]+tabCustoUnit[[#This Row],[PIS]]+tabCustoUnit[[#This Row],[ISS (Conversão Alíquota s/ fatura)]]</f>
        <v>0.12676056338028174</v>
      </c>
      <c r="BV326" s="22" t="e">
        <f ca="1">(tabCustoUnit[[#This Row],[TOTAL MÓDULOS 1+2+3+4+5]]+tabCustoUnit[[#This Row],[Custos Indiretos]]+tabCustoUnit[[#This Row],[Lucro]])*tabCustoUnit[[#This Row],[PIS + COFINS + ISS (Total Conversão  Alíquota s/ Fatura)]]</f>
        <v>#NAME?</v>
      </c>
      <c r="BW326" s="22" t="e">
        <f ca="1">tabCustoUnit[[#This Row],[Custos Indiretos]]+tabCustoUnit[[#This Row],[Lucro]]+tabCustoUnit[[#This Row],[Valor dos Tributos (ISS, PIS, CONFINS)]]</f>
        <v>#NAME?</v>
      </c>
      <c r="BX326" s="22" t="e">
        <f ca="1">tabCustoUnit[[#This Row],[TOTAL MÓDULOS 1+2+3+4+5]]+tabCustoUnit[[#This Row],[MÓDULO 6 – CUSTOS INDIRETOS, TRIBUTOS E LUCRO]]</f>
        <v>#NAME?</v>
      </c>
      <c r="BY326" s="22" t="e">
        <f ca="1">tabCustoUnit[[#This Row],[CUSTO TOTAL MENSAL]]*12</f>
        <v>#NAME?</v>
      </c>
      <c r="BZ326" s="24">
        <f>VLOOKUP(tabCustoUnit[[#This Row],[Código do Posto]],tabParametros[],MATCH(tabCustoUnit[[#Headers],[ANO DA CCT]],tabParametros[#Headers],0),0)</f>
        <v>45658</v>
      </c>
      <c r="CA326" s="25" t="str">
        <f>VLOOKUP(tabCustoUnit[[#This Row],[Código do Posto]],tabParametros[],MATCH(tabCustoUnit[[#Headers],[Nº DE PEDIDO DA CCT]],tabParametros[#Headers],0),0)</f>
        <v>-</v>
      </c>
      <c r="CB326" s="25" t="str">
        <f>VLOOKUP(tabCustoUnit[[#This Row],[Código do Posto]],tabParametros[],MATCH(tabCustoUnit[[#Headers],[TERMO ADITIVO ALTERAÇÃO DA CCT]],tabParametros[#Headers],0),0)</f>
        <v>-</v>
      </c>
    </row>
    <row r="327" spans="1:80">
      <c r="A327" s="20" t="s">
        <v>1733</v>
      </c>
      <c r="B327" t="s">
        <v>1071</v>
      </c>
      <c r="C327" t="s">
        <v>394</v>
      </c>
      <c r="D327" t="s">
        <v>1063</v>
      </c>
      <c r="E327" s="20" t="s">
        <v>1090</v>
      </c>
      <c r="F327" s="20" t="s">
        <v>120</v>
      </c>
      <c r="G327" s="418">
        <v>2404.7339999999999</v>
      </c>
      <c r="H327" s="418">
        <v>0</v>
      </c>
      <c r="I327" s="418">
        <v>0</v>
      </c>
      <c r="J327" s="418">
        <v>0</v>
      </c>
      <c r="K327" s="418">
        <v>0</v>
      </c>
      <c r="L327" s="418">
        <v>0</v>
      </c>
      <c r="M327" s="418">
        <v>0</v>
      </c>
      <c r="N327" s="418">
        <v>0</v>
      </c>
      <c r="O327" s="21">
        <f>SUM(tabCustoUnit[[#This Row],[Salário Base]:[Adicional de Acúmulo de função]])</f>
        <v>2404.7339999999999</v>
      </c>
      <c r="P327" s="21">
        <f>tabCustoUnit[[#This Row],[MODULO 1 - REMUNERAÇÃO ]]*SUMIFS(tabParametros[INSS],tabParametros[Código do Posto],tabCustoUnit[[#This Row],[Código do Posto]])</f>
        <v>480.9468</v>
      </c>
      <c r="Q327" s="21">
        <f>tabCustoUnit[[#This Row],[MODULO 1 - REMUNERAÇÃO ]]*SUMIFS(tabParametros[SESI OU SESC],tabParametros[Código do Posto],tabCustoUnit[[#This Row],[Código do Posto]])</f>
        <v>36.071009999999994</v>
      </c>
      <c r="R327" s="21">
        <f>tabCustoUnit[[#This Row],[MODULO 1 - REMUNERAÇÃO ]]*SUMIFS(tabParametros[SENAI OU SENAC],tabParametros[Código do Posto],tabCustoUnit[[#This Row],[Código do Posto]])</f>
        <v>24.047339999999998</v>
      </c>
      <c r="S327" s="21">
        <f>tabCustoUnit[[#This Row],[MODULO 1 - REMUNERAÇÃO ]]*SUMIFS(tabParametros[INCRA],tabParametros[Código do Posto],tabCustoUnit[[#This Row],[Código do Posto]])</f>
        <v>4.8094679999999999</v>
      </c>
      <c r="T327" s="21">
        <f>tabCustoUnit[[#This Row],[MODULO 1 - REMUNERAÇÃO ]]*SUMIFS(tabParametros[Salário Educação],tabParametros[Código do Posto],tabCustoUnit[[#This Row],[Código do Posto]])</f>
        <v>60.11835</v>
      </c>
      <c r="U327" s="21">
        <f>tabCustoUnit[[#This Row],[MODULO 1 - REMUNERAÇÃO ]]*SUMIFS(tabParametros[FGTS],tabParametros[Código do Posto],tabCustoUnit[[#This Row],[Código do Posto]])</f>
        <v>192.37871999999999</v>
      </c>
      <c r="V327" s="21">
        <f>tabCustoUnit[[#This Row],[MODULO 1 - REMUNERAÇÃO ]]*SUMIFS(tabParametros[RAT Ajustado],tabParametros[Código do Posto],tabCustoUnit[[#This Row],[Código do Posto]])</f>
        <v>96.189359999999994</v>
      </c>
      <c r="W327" s="21">
        <f>tabCustoUnit[[#This Row],[MODULO 1 - REMUNERAÇÃO ]]*SUMIFS(tabParametros[SEBRAE],tabParametros[Código do Posto],tabCustoUnit[[#This Row],[Código do Posto]])</f>
        <v>14.428404</v>
      </c>
      <c r="X327" s="21">
        <f>SUM(tabCustoUnit[[#This Row],[INSS]:[SEBRAE]])</f>
        <v>908.98945199999991</v>
      </c>
      <c r="Y327" s="21">
        <f>tabCustoUnit[[#This Row],[MODULO 1 - REMUNERAÇÃO ]]*SUMIFS(tabParametros[13º salário (titular)],tabParametros[Código do Posto],tabCustoUnit[[#This Row],[Código do Posto]])</f>
        <v>200.39449999999999</v>
      </c>
      <c r="Z327" s="21">
        <f>tabCustoUnit[[#This Row],[MODULO 1 - REMUNERAÇÃO ]]*SUMIFS(tabParametros[Férias e Adicional de Férias (titular)],tabParametros[Código do Posto],tabCustoUnit[[#This Row],[Código do Posto]])</f>
        <v>267.19266666666664</v>
      </c>
      <c r="AA327" s="21">
        <f>IFERROR((tabCustoUnit[[#This Row],[Submódulo 2.1]]/tabCustoUnit[[#This Row],[MODULO 1 - REMUNERAÇÃO ]])*SUM(tabCustoUnit[[#This Row],[13º salário (titular)]:[Férias e Adicional de Férias (titular)]]),0)</f>
        <v>176.74794899999998</v>
      </c>
      <c r="AB327" s="21">
        <f>SUM(tabCustoUnit[[#This Row],[13º salário (titular)]:[Incidência do Submódulo 2.1 sobre 13º Salário, Férias e Adicional de Férias]])</f>
        <v>644.33511566666664</v>
      </c>
      <c r="AC327" s="22" t="e">
        <f ca="1">_xlfn.LET(_xlpm.VT,SUMIF(tabParametros[Código do Posto],tabCustoUnit[[#This Row],[Código do Posto]],tabParametros[Vale - Transporte])*2*20,
IF((_xlpm.VT-tabCustoUnit[[#This Row],[Salário Base]]*0.06)&gt;=0,(_xlpm.VT-tabCustoUnit[[#This Row],[Salário Base]]*0.06),0)
)</f>
        <v>#NAME?</v>
      </c>
      <c r="AD327" s="22">
        <f>IF(SUMIF(tabParametros[Código do Posto],tabCustoUnit[[#This Row],[Código do Posto]],tabParametros[Vale - Alimentação])&lt;=0,0,
SUMIF(tabParametros[Código do Posto],tabCustoUnit[[#This Row],[Código do Posto]],tabParametros[Vale - Alimentação])*20-1)</f>
        <v>502</v>
      </c>
      <c r="AE327" s="22">
        <f>SUMIF(tabParametros[Código do Posto],tabCustoUnit[[#This Row],[Código do Posto]],tabParametros[Cesta Básica])</f>
        <v>0</v>
      </c>
      <c r="AF327" s="22">
        <f>SUMIF(tabParametros[Código do Posto],tabCustoUnit[[#This Row],[Código do Posto]],tabParametros[PAF])</f>
        <v>0</v>
      </c>
      <c r="AG327" s="22">
        <f>SUMIF(tabParametros[Código do Posto],tabCustoUnit[[#This Row],[Código do Posto]],tabParametros[PQM])</f>
        <v>0</v>
      </c>
      <c r="AH327" s="22">
        <f>SUMIF(tabParametros[Código do Posto],tabCustoUnit[[#This Row],[Código do Posto]],tabParametros[Abono Único e Especial])</f>
        <v>0</v>
      </c>
      <c r="AI327" s="22">
        <f>SUMIF(tabParametros[Código do Posto],tabCustoUnit[[#This Row],[Código do Posto]],tabParametros[Seguro de Vida])</f>
        <v>3.36</v>
      </c>
      <c r="AJ327" s="22">
        <f>SUMIF(tabParametros[Código do Posto],tabCustoUnit[[#This Row],[Código do Posto]],tabParametros[Despesas de Viagem])</f>
        <v>0</v>
      </c>
      <c r="AK327" s="22" t="e">
        <f ca="1">SUM(tabCustoUnit[[#This Row],[Vale - Transporte (Descontada parcela do empregado)]:[Despesas de Viagem]])</f>
        <v>#NAME?</v>
      </c>
      <c r="AL327" s="22" t="e">
        <f ca="1">tabCustoUnit[[#This Row],[Submódulo 2.1]]+tabCustoUnit[[#This Row],[Submódulo 2.2]]+tabCustoUnit[[#This Row],[Submódulo 2.3]]</f>
        <v>#NAME?</v>
      </c>
      <c r="AM327" s="22">
        <f>SUMIF(tabParametros[Código do Posto],tabCustoUnit[[#This Row],[Código do Posto]],tabParametros[Aviso Prévio Indenizado (API) e Reflexo do Aviso Prévio Indenizado])*tabCustoUnit[[#This Row],[MODULO 1 - REMUNERAÇÃO ]]</f>
        <v>16.861434445601851</v>
      </c>
      <c r="AN327" s="22">
        <f>SUMIF(tabParametros[Código do Posto],tabCustoUnit[[#This Row],[Código do Posto]],tabParametros[Incidência do FGTS sobre API e Reflexo do API])*tabCustoUnit[[#This Row],[MODULO 1 - REMUNERAÇÃO ]]</f>
        <v>1.3489147556481482</v>
      </c>
      <c r="AO327" s="22">
        <f>SUMIF(tabParametros[Código do Posto],tabCustoUnit[[#This Row],[Código do Posto]],tabParametros[Multa Rescisória do FGTS sobre o Aviso Prévio Indenizado])*tabCustoUnit[[#This Row],[MODULO 1 - REMUNERAÇÃO ]]</f>
        <v>0.53956590225925938</v>
      </c>
      <c r="AP327" s="22">
        <f>SUMIF(tabParametros[Código do Posto],tabCustoUnit[[#This Row],[Código do Posto]],tabParametros[Aviso Prévio Trabalhado - APT])*tabCustoUnit[[#This Row],[MODULO 1 - REMUNERAÇÃO ]]</f>
        <v>8.4165690000000009</v>
      </c>
      <c r="AQ327" s="22">
        <f>SUMIF(tabParametros[Código do Posto],tabCustoUnit[[#This Row],[Código do Posto]],tabParametros[Incidência dos encargos do submódulo 2.1 sobre Aviso Prévio Trabalhado])*tabCustoUnit[[#This Row],[MODULO 1 - REMUNERAÇÃO ]]</f>
        <v>3.1814630820000009</v>
      </c>
      <c r="AR327" s="22">
        <f>SUMIF(tabParametros[Código do Posto],tabCustoUnit[[#This Row],[Código do Posto]],tabParametros[Multa Rescisória do FGTS])*tabCustoUnit[[#This Row],[MODULO 1 - REMUNERAÇÃO ]]</f>
        <v>73.531421866666648</v>
      </c>
      <c r="AS327" s="22">
        <f>SUMIF(tabParametros[Código do Posto],tabCustoUnit[[#This Row],[Código do Posto]],tabParametros[Indenização Adicional (Art. 9º da Lei nº 7.238/84)])*tabCustoUnit[[#This Row],[MODULO 1 - REMUNERAÇÃO ]]</f>
        <v>2.0039449999999999</v>
      </c>
      <c r="AT327" s="22">
        <f>SUM(tabCustoUnit[[#This Row],[Aviso Prévio Indenizado (API) e Reflexo do Aviso Prévio Indenizado]:[Indenização Adicional (Art. 9º da Lei nº 7.238/84)]])</f>
        <v>105.88331405217592</v>
      </c>
      <c r="AU327" s="22">
        <f>SUMIF(tabParametros[Código do Posto],tabCustoUnit[[#This Row],[Código do Posto]],tabParametros[Ausência por Doença])*tabCustoUnit[[#This Row],[MODULO 1 - REMUNERAÇÃO ]]</f>
        <v>20.306642666666665</v>
      </c>
      <c r="AV327" s="22">
        <f>SUMIF(tabParametros[Código do Posto],tabCustoUnit[[#This Row],[Código do Posto]],tabParametros[Ausências Legais])*tabCustoUnit[[#This Row],[MODULO 1 - REMUNERAÇÃO ]]</f>
        <v>4.8762661666666665</v>
      </c>
      <c r="AW327" s="22">
        <f>SUMIF(tabParametros[Código do Posto],tabCustoUnit[[#This Row],[Código do Posto]],tabParametros[Licença Paternidade])*tabCustoUnit[[#This Row],[MODULO 1 - REMUNERAÇÃO ]]</f>
        <v>0.41080872499999999</v>
      </c>
      <c r="AX327" s="22">
        <f>SUMIF(tabParametros[Código do Posto],tabCustoUnit[[#This Row],[Código do Posto]],tabParametros[Ausência por Acidente de Trabalho])*tabCustoUnit[[#This Row],[MODULO 1 - REMUNERAÇÃO ]]</f>
        <v>0.50098624999999997</v>
      </c>
      <c r="AY327" s="22">
        <f>SUMIF(tabParametros[Código do Posto],tabCustoUnit[[#This Row],[Código do Posto]],tabParametros[Férias, Adicional de Férias e 13º  com empregada em gozo de Licença Maternidade])*tabCustoUnit[[#This Row],[MODULO 1 - REMUNERAÇÃO ]]</f>
        <v>3.1172477777777776</v>
      </c>
      <c r="AZ327" s="22">
        <f>SUMIF(tabParametros[Código do Posto],tabCustoUnit[[#This Row],[Código do Posto]],tabParametros[Incidência do Submódulo 2.1 sobre Ausências Legais])*tabCustoUnit[[#This Row],[MODULO 1 - REMUNERAÇÃO ]]</f>
        <v>11.042117699550001</v>
      </c>
      <c r="BA327" s="22">
        <f>SUM(tabCustoUnit[[#This Row],[Ausência por Doença]:[Incidência do Submódulo 2.1 sobre Ausências Legais]])</f>
        <v>40.25406928566111</v>
      </c>
      <c r="BB327" s="22">
        <f>SUMIF(tabParametros[Código do Posto],tabCustoUnit[[#This Row],[Código do Posto]],tabParametros[Intervalo para Repouso ou Alimentação])</f>
        <v>0</v>
      </c>
      <c r="BC327" s="22">
        <f>tabCustoUnit[[#This Row],[Intervalo para Repouso ou Alimentação]]</f>
        <v>0</v>
      </c>
      <c r="BD32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7" s="22">
        <f>tabCustoUnit[[#This Row],[Suspensão Temporária do Contrato de Trabalho]]</f>
        <v>0</v>
      </c>
      <c r="BF327" s="22">
        <f>tabCustoUnit[[#This Row],[Submódulo 4.1]]+tabCustoUnit[[#This Row],[Submódulo 4.2]]+tabCustoUnit[[#This Row],[Submódulo 4.3]]</f>
        <v>40.25406928566111</v>
      </c>
      <c r="BG327" s="22">
        <f>VLOOKUP(tabCustoUnit[[#This Row],[Código do Posto]],tabParametros[],MATCH(tabCustoUnit[[#Headers],[Uniformes e EPIs]],tabParametros[#Headers],0),0)</f>
        <v>42.607550547045918</v>
      </c>
      <c r="BH327" s="22">
        <f>VLOOKUP(tabCustoUnit[[#This Row],[Código do Posto]],tabParametros[],MATCH(tabCustoUnit[[#Headers],[Materiais de Consumo]],tabParametros[#Headers],0),0)</f>
        <v>0</v>
      </c>
      <c r="BI327" s="22">
        <f>VLOOKUP(tabCustoUnit[[#This Row],[Código do Posto]],tabParametros[],MATCH(tabCustoUnit[[#Headers],[Máquinas e Equipamentos (depreciação)]],tabParametros[#Headers],0),0)</f>
        <v>0</v>
      </c>
      <c r="BJ327" s="22">
        <f>VLOOKUP(tabCustoUnit[[#This Row],[Código do Posto]],tabParametros[],MATCH(tabCustoUnit[[#Headers],[Produtos de Limpeza e Materiais de Higiene Pessoal]],tabParametros[#Headers],0),0)</f>
        <v>0</v>
      </c>
      <c r="BK327" s="22">
        <f>VLOOKUP(tabCustoUnit[[#This Row],[Código do Posto]],tabParametros[],MATCH(tabCustoUnit[[#Headers],[Outros (especificar)]],tabParametros[#Headers],0),0)</f>
        <v>0</v>
      </c>
      <c r="BL327" s="22">
        <f>SUM(tabCustoUnit[[#This Row],[Uniformes e EPIs]:[Outros (especificar)]])</f>
        <v>42.607550547045918</v>
      </c>
      <c r="BM32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7" s="22" t="e">
        <f ca="1">VLOOKUP(tabCustoUnit[[#This Row],[Código do Posto]],tabParametros[],MATCH(tabCustoUnit[[#Headers],[Custos Indiretos]],tabParametros[#Headers],0),0)</f>
        <v>#NAME?</v>
      </c>
      <c r="BO327" s="22" t="e">
        <f ca="1">VLOOKUP(tabCustoUnit[[#This Row],[Código do Posto]],tabParametros[],MATCH(tabCustoUnit[[#Headers],[Lucro]],tabParametros[#Headers],0),0)</f>
        <v>#NAME?</v>
      </c>
      <c r="BP327" s="26">
        <f>((100/((1-tabCustoUnit[[#This Row],[Resumo de Alíquotas (PIS+CONFINS+ISS)]]))-100)*VLOOKUP(tabCustoUnit[[#This Row],[Código do Posto]],tabParametros[],MATCH(tabCustoUnit[[#Headers],[COFINS]],tabParametros[#Headers],0),0))/(tabCustoUnit[[#This Row],[Resumo de Alíquotas (PIS+CONFINS+ISS)]]*100)</f>
        <v>8.5633802816901458E-2</v>
      </c>
      <c r="BQ327" s="26">
        <f>((100/((100-(tabCustoUnit[[#This Row],[Resumo de Alíquotas (PIS+CONFINS+ISS)]]*100))%)-100)*VLOOKUP(tabCustoUnit[[#This Row],[Código do Posto]],tabParametros[],MATCH(tabCustoUnit[[#Headers],[PIS]],tabParametros[#Headers],0),0))/(tabCustoUnit[[#This Row],[Resumo de Alíquotas (PIS+CONFINS+ISS)]]*100)</f>
        <v>1.8591549295774657E-2</v>
      </c>
      <c r="BR327" s="28">
        <f>VLOOKUP(tabCustoUnit[[#This Row],[Código do Posto]],tabParametros[],MATCH(tabCustoUnit[[#Headers],[ISS]],tabParametros[#Headers],0),0)</f>
        <v>0.02</v>
      </c>
      <c r="BS327" s="26">
        <f>(((100/((100-(tabCustoUnit[[#This Row],[Resumo de Alíquotas (PIS+CONFINS+ISS)]]*100))%)-100)*tabCustoUnit[[#This Row],[ISS]])/tabCustoUnit[[#This Row],[Resumo de Alíquotas (PIS+CONFINS+ISS)]])/100</f>
        <v>2.2535211267605645E-2</v>
      </c>
      <c r="BT32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27" s="138">
        <f>tabCustoUnit[[#This Row],[COFINS]]+tabCustoUnit[[#This Row],[PIS]]+tabCustoUnit[[#This Row],[ISS (Conversão Alíquota s/ fatura)]]</f>
        <v>0.12676056338028174</v>
      </c>
      <c r="BV327" s="22" t="e">
        <f ca="1">(tabCustoUnit[[#This Row],[TOTAL MÓDULOS 1+2+3+4+5]]+tabCustoUnit[[#This Row],[Custos Indiretos]]+tabCustoUnit[[#This Row],[Lucro]])*tabCustoUnit[[#This Row],[PIS + COFINS + ISS (Total Conversão  Alíquota s/ Fatura)]]</f>
        <v>#NAME?</v>
      </c>
      <c r="BW327" s="22" t="e">
        <f ca="1">tabCustoUnit[[#This Row],[Custos Indiretos]]+tabCustoUnit[[#This Row],[Lucro]]+tabCustoUnit[[#This Row],[Valor dos Tributos (ISS, PIS, CONFINS)]]</f>
        <v>#NAME?</v>
      </c>
      <c r="BX327" s="22" t="e">
        <f ca="1">tabCustoUnit[[#This Row],[TOTAL MÓDULOS 1+2+3+4+5]]+tabCustoUnit[[#This Row],[MÓDULO 6 – CUSTOS INDIRETOS, TRIBUTOS E LUCRO]]</f>
        <v>#NAME?</v>
      </c>
      <c r="BY327" s="22" t="e">
        <f ca="1">tabCustoUnit[[#This Row],[CUSTO TOTAL MENSAL]]*12</f>
        <v>#NAME?</v>
      </c>
      <c r="BZ327" s="24">
        <f>VLOOKUP(tabCustoUnit[[#This Row],[Código do Posto]],tabParametros[],MATCH(tabCustoUnit[[#Headers],[ANO DA CCT]],tabParametros[#Headers],0),0)</f>
        <v>45292</v>
      </c>
      <c r="CA327" s="25" t="str">
        <f>VLOOKUP(tabCustoUnit[[#This Row],[Código do Posto]],tabParametros[],MATCH(tabCustoUnit[[#Headers],[Nº DE PEDIDO DA CCT]],tabParametros[#Headers],0),0)</f>
        <v>-</v>
      </c>
      <c r="CB327" s="25" t="str">
        <f>VLOOKUP(tabCustoUnit[[#This Row],[Código do Posto]],tabParametros[],MATCH(tabCustoUnit[[#Headers],[TERMO ADITIVO ALTERAÇÃO DA CCT]],tabParametros[#Headers],0),0)</f>
        <v>-</v>
      </c>
    </row>
    <row r="328" spans="1:80">
      <c r="A328" s="20" t="s">
        <v>1734</v>
      </c>
      <c r="B328" t="s">
        <v>1215</v>
      </c>
      <c r="C328" t="s">
        <v>314</v>
      </c>
      <c r="D328" t="s">
        <v>918</v>
      </c>
      <c r="E328" s="20" t="s">
        <v>1090</v>
      </c>
      <c r="F328" s="20" t="s">
        <v>120</v>
      </c>
      <c r="G328" s="418">
        <v>1963.4110000000001</v>
      </c>
      <c r="H328" s="418">
        <v>0</v>
      </c>
      <c r="I328" s="418">
        <v>0</v>
      </c>
      <c r="J328" s="418">
        <v>0</v>
      </c>
      <c r="K328" s="418">
        <v>0</v>
      </c>
      <c r="L328" s="418">
        <v>0</v>
      </c>
      <c r="M328" s="418">
        <v>0</v>
      </c>
      <c r="N328" s="418">
        <v>0</v>
      </c>
      <c r="O328" s="21">
        <f>SUM(tabCustoUnit[[#This Row],[Salário Base]:[Adicional de Acúmulo de função]])</f>
        <v>1963.4110000000001</v>
      </c>
      <c r="P328" s="21">
        <f>tabCustoUnit[[#This Row],[MODULO 1 - REMUNERAÇÃO ]]*SUMIFS(tabParametros[INSS],tabParametros[Código do Posto],tabCustoUnit[[#This Row],[Código do Posto]])</f>
        <v>392.68220000000002</v>
      </c>
      <c r="Q328" s="21">
        <f>tabCustoUnit[[#This Row],[MODULO 1 - REMUNERAÇÃO ]]*SUMIFS(tabParametros[SESI OU SESC],tabParametros[Código do Posto],tabCustoUnit[[#This Row],[Código do Posto]])</f>
        <v>29.451165</v>
      </c>
      <c r="R328" s="21">
        <f>tabCustoUnit[[#This Row],[MODULO 1 - REMUNERAÇÃO ]]*SUMIFS(tabParametros[SENAI OU SENAC],tabParametros[Código do Posto],tabCustoUnit[[#This Row],[Código do Posto]])</f>
        <v>19.63411</v>
      </c>
      <c r="S328" s="21">
        <f>tabCustoUnit[[#This Row],[MODULO 1 - REMUNERAÇÃO ]]*SUMIFS(tabParametros[INCRA],tabParametros[Código do Posto],tabCustoUnit[[#This Row],[Código do Posto]])</f>
        <v>3.926822</v>
      </c>
      <c r="T328" s="21">
        <f>tabCustoUnit[[#This Row],[MODULO 1 - REMUNERAÇÃO ]]*SUMIFS(tabParametros[Salário Educação],tabParametros[Código do Posto],tabCustoUnit[[#This Row],[Código do Posto]])</f>
        <v>49.085275000000003</v>
      </c>
      <c r="U328" s="21">
        <f>tabCustoUnit[[#This Row],[MODULO 1 - REMUNERAÇÃO ]]*SUMIFS(tabParametros[FGTS],tabParametros[Código do Posto],tabCustoUnit[[#This Row],[Código do Posto]])</f>
        <v>157.07288</v>
      </c>
      <c r="V328" s="21">
        <f>tabCustoUnit[[#This Row],[MODULO 1 - REMUNERAÇÃO ]]*SUMIFS(tabParametros[RAT Ajustado],tabParametros[Código do Posto],tabCustoUnit[[#This Row],[Código do Posto]])</f>
        <v>78.536439999999999</v>
      </c>
      <c r="W328" s="21">
        <f>tabCustoUnit[[#This Row],[MODULO 1 - REMUNERAÇÃO ]]*SUMIFS(tabParametros[SEBRAE],tabParametros[Código do Posto],tabCustoUnit[[#This Row],[Código do Posto]])</f>
        <v>11.780466000000001</v>
      </c>
      <c r="X328" s="21">
        <f>SUM(tabCustoUnit[[#This Row],[INSS]:[SEBRAE]])</f>
        <v>742.1693580000001</v>
      </c>
      <c r="Y328" s="21">
        <f>tabCustoUnit[[#This Row],[MODULO 1 - REMUNERAÇÃO ]]*SUMIFS(tabParametros[13º salário (titular)],tabParametros[Código do Posto],tabCustoUnit[[#This Row],[Código do Posto]])</f>
        <v>163.61758333333333</v>
      </c>
      <c r="Z328" s="21">
        <f>tabCustoUnit[[#This Row],[MODULO 1 - REMUNERAÇÃO ]]*SUMIFS(tabParametros[Férias e Adicional de Férias (titular)],tabParametros[Código do Posto],tabCustoUnit[[#This Row],[Código do Posto]])</f>
        <v>218.15677777777776</v>
      </c>
      <c r="AA328" s="21">
        <f>IFERROR((tabCustoUnit[[#This Row],[Submódulo 2.1]]/tabCustoUnit[[#This Row],[MODULO 1 - REMUNERAÇÃO ]])*SUM(tabCustoUnit[[#This Row],[13º salário (titular)]:[Férias e Adicional de Férias (titular)]]),0)</f>
        <v>144.3107085</v>
      </c>
      <c r="AB328" s="21">
        <f>SUM(tabCustoUnit[[#This Row],[13º salário (titular)]:[Incidência do Submódulo 2.1 sobre 13º Salário, Férias e Adicional de Férias]])</f>
        <v>526.08506961111107</v>
      </c>
      <c r="AC328" s="22" t="e">
        <f ca="1">_xlfn.LET(_xlpm.VT,SUMIF(tabParametros[Código do Posto],tabCustoUnit[[#This Row],[Código do Posto]],tabParametros[Vale - Transporte])*2*20,
IF((_xlpm.VT-tabCustoUnit[[#This Row],[Salário Base]]*0.06)&gt;=0,(_xlpm.VT-tabCustoUnit[[#This Row],[Salário Base]]*0.06),0)
)</f>
        <v>#NAME?</v>
      </c>
      <c r="AD328" s="22">
        <f>IF(SUMIF(tabParametros[Código do Posto],tabCustoUnit[[#This Row],[Código do Posto]],tabParametros[Vale - Alimentação])&lt;=0,0,
SUMIF(tabParametros[Código do Posto],tabCustoUnit[[#This Row],[Código do Posto]],tabParametros[Vale - Alimentação])*20-1)</f>
        <v>582</v>
      </c>
      <c r="AE328" s="22">
        <f>SUMIF(tabParametros[Código do Posto],tabCustoUnit[[#This Row],[Código do Posto]],tabParametros[Cesta Básica])</f>
        <v>0</v>
      </c>
      <c r="AF328" s="22">
        <f>SUMIF(tabParametros[Código do Posto],tabCustoUnit[[#This Row],[Código do Posto]],tabParametros[PAF])</f>
        <v>0</v>
      </c>
      <c r="AG328" s="22">
        <f>SUMIF(tabParametros[Código do Posto],tabCustoUnit[[#This Row],[Código do Posto]],tabParametros[PQM])</f>
        <v>15.07</v>
      </c>
      <c r="AH328" s="22">
        <f>SUMIF(tabParametros[Código do Posto],tabCustoUnit[[#This Row],[Código do Posto]],tabParametros[Abono Único e Especial])</f>
        <v>0</v>
      </c>
      <c r="AI328" s="22">
        <f>SUMIF(tabParametros[Código do Posto],tabCustoUnit[[#This Row],[Código do Posto]],tabParametros[Seguro de Vida])</f>
        <v>3.36</v>
      </c>
      <c r="AJ328" s="22">
        <f>SUMIF(tabParametros[Código do Posto],tabCustoUnit[[#This Row],[Código do Posto]],tabParametros[Despesas de Viagem])</f>
        <v>0</v>
      </c>
      <c r="AK328" s="22" t="e">
        <f ca="1">SUM(tabCustoUnit[[#This Row],[Vale - Transporte (Descontada parcela do empregado)]:[Despesas de Viagem]])</f>
        <v>#NAME?</v>
      </c>
      <c r="AL328" s="22" t="e">
        <f ca="1">tabCustoUnit[[#This Row],[Submódulo 2.1]]+tabCustoUnit[[#This Row],[Submódulo 2.2]]+tabCustoUnit[[#This Row],[Submódulo 2.3]]</f>
        <v>#NAME?</v>
      </c>
      <c r="AM328" s="22">
        <f>SUMIF(tabParametros[Código do Posto],tabCustoUnit[[#This Row],[Código do Posto]],tabParametros[Aviso Prévio Indenizado (API) e Reflexo do Aviso Prévio Indenizado])*tabCustoUnit[[#This Row],[MODULO 1 - REMUNERAÇÃO ]]</f>
        <v>13.766980408757716</v>
      </c>
      <c r="AN328" s="22">
        <f>SUMIF(tabParametros[Código do Posto],tabCustoUnit[[#This Row],[Código do Posto]],tabParametros[Incidência do FGTS sobre API e Reflexo do API])*tabCustoUnit[[#This Row],[MODULO 1 - REMUNERAÇÃO ]]</f>
        <v>1.1013584327006174</v>
      </c>
      <c r="AO328" s="22">
        <f>SUMIF(tabParametros[Código do Posto],tabCustoUnit[[#This Row],[Código do Posto]],tabParametros[Multa Rescisória do FGTS sobre o Aviso Prévio Indenizado])*tabCustoUnit[[#This Row],[MODULO 1 - REMUNERAÇÃO ]]</f>
        <v>0.44054337308024699</v>
      </c>
      <c r="AP328" s="22">
        <f>SUMIF(tabParametros[Código do Posto],tabCustoUnit[[#This Row],[Código do Posto]],tabParametros[Aviso Prévio Trabalhado - APT])*tabCustoUnit[[#This Row],[MODULO 1 - REMUNERAÇÃO ]]</f>
        <v>6.8719385000000015</v>
      </c>
      <c r="AQ328" s="22">
        <f>SUMIF(tabParametros[Código do Posto],tabCustoUnit[[#This Row],[Código do Posto]],tabParametros[Incidência dos encargos do submódulo 2.1 sobre Aviso Prévio Trabalhado])*tabCustoUnit[[#This Row],[MODULO 1 - REMUNERAÇÃO ]]</f>
        <v>2.5975927530000007</v>
      </c>
      <c r="AR328" s="22">
        <f>SUMIF(tabParametros[Código do Posto],tabCustoUnit[[#This Row],[Código do Posto]],tabParametros[Multa Rescisória do FGTS])*tabCustoUnit[[#This Row],[MODULO 1 - REMUNERAÇÃO ]]</f>
        <v>60.03674524444444</v>
      </c>
      <c r="AS328" s="22">
        <f>SUMIF(tabParametros[Código do Posto],tabCustoUnit[[#This Row],[Código do Posto]],tabParametros[Indenização Adicional (Art. 9º da Lei nº 7.238/84)])*tabCustoUnit[[#This Row],[MODULO 1 - REMUNERAÇÃO ]]</f>
        <v>1.6361758333333334</v>
      </c>
      <c r="AT328" s="22">
        <f>SUM(tabCustoUnit[[#This Row],[Aviso Prévio Indenizado (API) e Reflexo do Aviso Prévio Indenizado]:[Indenização Adicional (Art. 9º da Lei nº 7.238/84)]])</f>
        <v>86.451334545316371</v>
      </c>
      <c r="AU328" s="22">
        <f>SUMIF(tabParametros[Código do Posto],tabCustoUnit[[#This Row],[Código do Posto]],tabParametros[Ausência por Doença])*tabCustoUnit[[#This Row],[MODULO 1 - REMUNERAÇÃO ]]</f>
        <v>16.579915111111109</v>
      </c>
      <c r="AV328" s="22">
        <f>SUMIF(tabParametros[Código do Posto],tabCustoUnit[[#This Row],[Código do Posto]],tabParametros[Ausências Legais])*tabCustoUnit[[#This Row],[MODULO 1 - REMUNERAÇÃO ]]</f>
        <v>3.9813611944444443</v>
      </c>
      <c r="AW328" s="22">
        <f>SUMIF(tabParametros[Código do Posto],tabCustoUnit[[#This Row],[Código do Posto]],tabParametros[Licença Paternidade])*tabCustoUnit[[#This Row],[MODULO 1 - REMUNERAÇÃO ]]</f>
        <v>0.33541604583333334</v>
      </c>
      <c r="AX328" s="22">
        <f>SUMIF(tabParametros[Código do Posto],tabCustoUnit[[#This Row],[Código do Posto]],tabParametros[Ausência por Acidente de Trabalho])*tabCustoUnit[[#This Row],[MODULO 1 - REMUNERAÇÃO ]]</f>
        <v>0.40904395833333335</v>
      </c>
      <c r="AY328" s="22">
        <f>SUMIF(tabParametros[Código do Posto],tabCustoUnit[[#This Row],[Código do Posto]],tabParametros[Férias, Adicional de Férias e 13º  com empregada em gozo de Licença Maternidade])*tabCustoUnit[[#This Row],[MODULO 1 - REMUNERAÇÃO ]]</f>
        <v>2.5451624074074073</v>
      </c>
      <c r="AZ328" s="22">
        <f>SUMIF(tabParametros[Código do Posto],tabCustoUnit[[#This Row],[Código do Posto]],tabParametros[Incidência do Submódulo 2.1 sobre Ausências Legais])*tabCustoUnit[[#This Row],[MODULO 1 - REMUNERAÇÃO ]]</f>
        <v>9.0156397150750021</v>
      </c>
      <c r="BA328" s="22">
        <f>SUM(tabCustoUnit[[#This Row],[Ausência por Doença]:[Incidência do Submódulo 2.1 sobre Ausências Legais]])</f>
        <v>32.866538432204628</v>
      </c>
      <c r="BB328" s="22">
        <f>SUMIF(tabParametros[Código do Posto],tabCustoUnit[[#This Row],[Código do Posto]],tabParametros[Intervalo para Repouso ou Alimentação])</f>
        <v>267.73786489195959</v>
      </c>
      <c r="BC328" s="22">
        <f>tabCustoUnit[[#This Row],[Intervalo para Repouso ou Alimentação]]</f>
        <v>267.73786489195959</v>
      </c>
      <c r="BD32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8" s="22">
        <f>tabCustoUnit[[#This Row],[Suspensão Temporária do Contrato de Trabalho]]</f>
        <v>0</v>
      </c>
      <c r="BF328" s="22">
        <f>tabCustoUnit[[#This Row],[Submódulo 4.1]]+tabCustoUnit[[#This Row],[Submódulo 4.2]]+tabCustoUnit[[#This Row],[Submódulo 4.3]]</f>
        <v>300.6044033241642</v>
      </c>
      <c r="BG328" s="22">
        <f>VLOOKUP(tabCustoUnit[[#This Row],[Código do Posto]],tabParametros[],MATCH(tabCustoUnit[[#Headers],[Uniformes e EPIs]],tabParametros[#Headers],0),0)</f>
        <v>56.642978962543395</v>
      </c>
      <c r="BH328" s="22">
        <f>VLOOKUP(tabCustoUnit[[#This Row],[Código do Posto]],tabParametros[],MATCH(tabCustoUnit[[#Headers],[Materiais de Consumo]],tabParametros[#Headers],0),0)</f>
        <v>0</v>
      </c>
      <c r="BI328" s="22">
        <f>VLOOKUP(tabCustoUnit[[#This Row],[Código do Posto]],tabParametros[],MATCH(tabCustoUnit[[#Headers],[Máquinas e Equipamentos (depreciação)]],tabParametros[#Headers],0),0)</f>
        <v>0</v>
      </c>
      <c r="BJ328" s="22">
        <f>VLOOKUP(tabCustoUnit[[#This Row],[Código do Posto]],tabParametros[],MATCH(tabCustoUnit[[#Headers],[Produtos de Limpeza e Materiais de Higiene Pessoal]],tabParametros[#Headers],0),0)</f>
        <v>0</v>
      </c>
      <c r="BK328" s="22">
        <f>VLOOKUP(tabCustoUnit[[#This Row],[Código do Posto]],tabParametros[],MATCH(tabCustoUnit[[#Headers],[Outros (especificar)]],tabParametros[#Headers],0),0)</f>
        <v>0</v>
      </c>
      <c r="BL328" s="22">
        <f>SUM(tabCustoUnit[[#This Row],[Uniformes e EPIs]:[Outros (especificar)]])</f>
        <v>56.642978962543395</v>
      </c>
      <c r="BM32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8" s="22" t="e">
        <f ca="1">VLOOKUP(tabCustoUnit[[#This Row],[Código do Posto]],tabParametros[],MATCH(tabCustoUnit[[#Headers],[Custos Indiretos]],tabParametros[#Headers],0),0)</f>
        <v>#NAME?</v>
      </c>
      <c r="BO328" s="22" t="e">
        <f ca="1">VLOOKUP(tabCustoUnit[[#This Row],[Código do Posto]],tabParametros[],MATCH(tabCustoUnit[[#Headers],[Lucro]],tabParametros[#Headers],0),0)</f>
        <v>#NAME?</v>
      </c>
      <c r="BP328" s="26">
        <f>((100/((1-tabCustoUnit[[#This Row],[Resumo de Alíquotas (PIS+CONFINS+ISS)]]))-100)*VLOOKUP(tabCustoUnit[[#This Row],[Código do Posto]],tabParametros[],MATCH(tabCustoUnit[[#Headers],[COFINS]],tabParametros[#Headers],0),0))/(tabCustoUnit[[#This Row],[Resumo de Alíquotas (PIS+CONFINS+ISS)]]*100)</f>
        <v>8.7608069164265154E-2</v>
      </c>
      <c r="BQ328" s="26">
        <f>((100/((100-(tabCustoUnit[[#This Row],[Resumo de Alíquotas (PIS+CONFINS+ISS)]]*100))%)-100)*VLOOKUP(tabCustoUnit[[#This Row],[Código do Posto]],tabParametros[],MATCH(tabCustoUnit[[#Headers],[PIS]],tabParametros[#Headers],0),0))/(tabCustoUnit[[#This Row],[Resumo de Alíquotas (PIS+CONFINS+ISS)]]*100)</f>
        <v>1.9020172910662814E-2</v>
      </c>
      <c r="BR328" s="28">
        <f>VLOOKUP(tabCustoUnit[[#This Row],[Código do Posto]],tabParametros[],MATCH(tabCustoUnit[[#Headers],[ISS]],tabParametros[#Headers],0),0)</f>
        <v>0.04</v>
      </c>
      <c r="BS328" s="26">
        <f>(((100/((100-(tabCustoUnit[[#This Row],[Resumo de Alíquotas (PIS+CONFINS+ISS)]]*100))%)-100)*tabCustoUnit[[#This Row],[ISS]])/tabCustoUnit[[#This Row],[Resumo de Alíquotas (PIS+CONFINS+ISS)]])/100</f>
        <v>4.6109510086455294E-2</v>
      </c>
      <c r="BT32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328" s="138">
        <f>tabCustoUnit[[#This Row],[COFINS]]+tabCustoUnit[[#This Row],[PIS]]+tabCustoUnit[[#This Row],[ISS (Conversão Alíquota s/ fatura)]]</f>
        <v>0.15273775216138324</v>
      </c>
      <c r="BV328" s="22" t="e">
        <f ca="1">(tabCustoUnit[[#This Row],[TOTAL MÓDULOS 1+2+3+4+5]]+tabCustoUnit[[#This Row],[Custos Indiretos]]+tabCustoUnit[[#This Row],[Lucro]])*tabCustoUnit[[#This Row],[PIS + COFINS + ISS (Total Conversão  Alíquota s/ Fatura)]]</f>
        <v>#NAME?</v>
      </c>
      <c r="BW328" s="22" t="e">
        <f ca="1">tabCustoUnit[[#This Row],[Custos Indiretos]]+tabCustoUnit[[#This Row],[Lucro]]+tabCustoUnit[[#This Row],[Valor dos Tributos (ISS, PIS, CONFINS)]]</f>
        <v>#NAME?</v>
      </c>
      <c r="BX328" s="22" t="e">
        <f ca="1">tabCustoUnit[[#This Row],[TOTAL MÓDULOS 1+2+3+4+5]]+tabCustoUnit[[#This Row],[MÓDULO 6 – CUSTOS INDIRETOS, TRIBUTOS E LUCRO]]</f>
        <v>#NAME?</v>
      </c>
      <c r="BY328" s="22" t="e">
        <f ca="1">tabCustoUnit[[#This Row],[CUSTO TOTAL MENSAL]]*12</f>
        <v>#NAME?</v>
      </c>
      <c r="BZ328" s="24">
        <f>VLOOKUP(tabCustoUnit[[#This Row],[Código do Posto]],tabParametros[],MATCH(tabCustoUnit[[#Headers],[ANO DA CCT]],tabParametros[#Headers],0),0)</f>
        <v>45658</v>
      </c>
      <c r="CA328" s="25" t="str">
        <f>VLOOKUP(tabCustoUnit[[#This Row],[Código do Posto]],tabParametros[],MATCH(tabCustoUnit[[#Headers],[Nº DE PEDIDO DA CCT]],tabParametros[#Headers],0),0)</f>
        <v>-</v>
      </c>
      <c r="CB328" s="25" t="str">
        <f>VLOOKUP(tabCustoUnit[[#This Row],[Código do Posto]],tabParametros[],MATCH(tabCustoUnit[[#Headers],[TERMO ADITIVO ALTERAÇÃO DA CCT]],tabParametros[#Headers],0),0)</f>
        <v>-</v>
      </c>
    </row>
    <row r="329" spans="1:80">
      <c r="A329" s="20" t="s">
        <v>1735</v>
      </c>
      <c r="B329" t="s">
        <v>1216</v>
      </c>
      <c r="C329" t="s">
        <v>274</v>
      </c>
      <c r="D329" t="s">
        <v>1029</v>
      </c>
      <c r="E329" s="20" t="s">
        <v>1090</v>
      </c>
      <c r="F329" s="20" t="s">
        <v>120</v>
      </c>
      <c r="G329" s="418">
        <v>4558.0709999999999</v>
      </c>
      <c r="H329" s="418">
        <v>0</v>
      </c>
      <c r="I329" s="418">
        <v>0</v>
      </c>
      <c r="J329" s="418">
        <v>0</v>
      </c>
      <c r="K329" s="418">
        <v>0</v>
      </c>
      <c r="L329" s="418">
        <v>0</v>
      </c>
      <c r="M329" s="418">
        <v>0</v>
      </c>
      <c r="N329" s="418">
        <v>0</v>
      </c>
      <c r="O329" s="21">
        <f>SUM(tabCustoUnit[[#This Row],[Salário Base]:[Adicional de Acúmulo de função]])</f>
        <v>4558.0709999999999</v>
      </c>
      <c r="P329" s="21">
        <f>tabCustoUnit[[#This Row],[MODULO 1 - REMUNERAÇÃO ]]*SUMIFS(tabParametros[INSS],tabParametros[Código do Posto],tabCustoUnit[[#This Row],[Código do Posto]])</f>
        <v>911.61419999999998</v>
      </c>
      <c r="Q329" s="21">
        <f>tabCustoUnit[[#This Row],[MODULO 1 - REMUNERAÇÃO ]]*SUMIFS(tabParametros[SESI OU SESC],tabParametros[Código do Posto],tabCustoUnit[[#This Row],[Código do Posto]])</f>
        <v>68.371065000000002</v>
      </c>
      <c r="R329" s="21">
        <f>tabCustoUnit[[#This Row],[MODULO 1 - REMUNERAÇÃO ]]*SUMIFS(tabParametros[SENAI OU SENAC],tabParametros[Código do Posto],tabCustoUnit[[#This Row],[Código do Posto]])</f>
        <v>45.580710000000003</v>
      </c>
      <c r="S329" s="21">
        <f>tabCustoUnit[[#This Row],[MODULO 1 - REMUNERAÇÃO ]]*SUMIFS(tabParametros[INCRA],tabParametros[Código do Posto],tabCustoUnit[[#This Row],[Código do Posto]])</f>
        <v>9.116142</v>
      </c>
      <c r="T329" s="21">
        <f>tabCustoUnit[[#This Row],[MODULO 1 - REMUNERAÇÃO ]]*SUMIFS(tabParametros[Salário Educação],tabParametros[Código do Posto],tabCustoUnit[[#This Row],[Código do Posto]])</f>
        <v>113.951775</v>
      </c>
      <c r="U329" s="21">
        <f>tabCustoUnit[[#This Row],[MODULO 1 - REMUNERAÇÃO ]]*SUMIFS(tabParametros[FGTS],tabParametros[Código do Posto],tabCustoUnit[[#This Row],[Código do Posto]])</f>
        <v>364.64568000000003</v>
      </c>
      <c r="V329" s="21">
        <f>tabCustoUnit[[#This Row],[MODULO 1 - REMUNERAÇÃO ]]*SUMIFS(tabParametros[RAT Ajustado],tabParametros[Código do Posto],tabCustoUnit[[#This Row],[Código do Posto]])</f>
        <v>182.32284000000001</v>
      </c>
      <c r="W329" s="21">
        <f>tabCustoUnit[[#This Row],[MODULO 1 - REMUNERAÇÃO ]]*SUMIFS(tabParametros[SEBRAE],tabParametros[Código do Posto],tabCustoUnit[[#This Row],[Código do Posto]])</f>
        <v>27.348426</v>
      </c>
      <c r="X329" s="21">
        <f>SUM(tabCustoUnit[[#This Row],[INSS]:[SEBRAE]])</f>
        <v>1722.9508380000002</v>
      </c>
      <c r="Y329" s="21">
        <f>tabCustoUnit[[#This Row],[MODULO 1 - REMUNERAÇÃO ]]*SUMIFS(tabParametros[13º salário (titular)],tabParametros[Código do Posto],tabCustoUnit[[#This Row],[Código do Posto]])</f>
        <v>379.83924999999999</v>
      </c>
      <c r="Z329" s="21">
        <f>tabCustoUnit[[#This Row],[MODULO 1 - REMUNERAÇÃO ]]*SUMIFS(tabParametros[Férias e Adicional de Férias (titular)],tabParametros[Código do Posto],tabCustoUnit[[#This Row],[Código do Posto]])</f>
        <v>506.45233333333329</v>
      </c>
      <c r="AA329" s="21">
        <f>IFERROR((tabCustoUnit[[#This Row],[Submódulo 2.1]]/tabCustoUnit[[#This Row],[MODULO 1 - REMUNERAÇÃO ]])*SUM(tabCustoUnit[[#This Row],[13º salário (titular)]:[Férias e Adicional de Férias (titular)]]),0)</f>
        <v>335.01821850000005</v>
      </c>
      <c r="AB329" s="21">
        <f>SUM(tabCustoUnit[[#This Row],[13º salário (titular)]:[Incidência do Submódulo 2.1 sobre 13º Salário, Férias e Adicional de Férias]])</f>
        <v>1221.3098018333333</v>
      </c>
      <c r="AC329" s="22" t="e">
        <f ca="1">_xlfn.LET(_xlpm.VT,SUMIF(tabParametros[Código do Posto],tabCustoUnit[[#This Row],[Código do Posto]],tabParametros[Vale - Transporte])*2*20,
IF((_xlpm.VT-tabCustoUnit[[#This Row],[Salário Base]]*0.06)&gt;=0,(_xlpm.VT-tabCustoUnit[[#This Row],[Salário Base]]*0.06),0)
)</f>
        <v>#NAME?</v>
      </c>
      <c r="AD329" s="22">
        <f>IF(SUMIF(tabParametros[Código do Posto],tabCustoUnit[[#This Row],[Código do Posto]],tabParametros[Vale - Alimentação])&lt;=0,0,
SUMIF(tabParametros[Código do Posto],tabCustoUnit[[#This Row],[Código do Posto]],tabParametros[Vale - Alimentação])*20-1)</f>
        <v>578.4</v>
      </c>
      <c r="AE329" s="22">
        <f>SUMIF(tabParametros[Código do Posto],tabCustoUnit[[#This Row],[Código do Posto]],tabParametros[Cesta Básica])</f>
        <v>0</v>
      </c>
      <c r="AF329" s="22">
        <f>SUMIF(tabParametros[Código do Posto],tabCustoUnit[[#This Row],[Código do Posto]],tabParametros[PAF])</f>
        <v>0</v>
      </c>
      <c r="AG329" s="22">
        <f>SUMIF(tabParametros[Código do Posto],tabCustoUnit[[#This Row],[Código do Posto]],tabParametros[PQM])</f>
        <v>0</v>
      </c>
      <c r="AH329" s="22">
        <f>SUMIF(tabParametros[Código do Posto],tabCustoUnit[[#This Row],[Código do Posto]],tabParametros[Abono Único e Especial])</f>
        <v>0</v>
      </c>
      <c r="AI329" s="22">
        <f>SUMIF(tabParametros[Código do Posto],tabCustoUnit[[#This Row],[Código do Posto]],tabParametros[Seguro de Vida])</f>
        <v>3.36</v>
      </c>
      <c r="AJ329" s="22">
        <f>SUMIF(tabParametros[Código do Posto],tabCustoUnit[[#This Row],[Código do Posto]],tabParametros[Despesas de Viagem])</f>
        <v>662.42</v>
      </c>
      <c r="AK329" s="22" t="e">
        <f ca="1">SUM(tabCustoUnit[[#This Row],[Vale - Transporte (Descontada parcela do empregado)]:[Despesas de Viagem]])</f>
        <v>#NAME?</v>
      </c>
      <c r="AL329" s="22" t="e">
        <f ca="1">tabCustoUnit[[#This Row],[Submódulo 2.1]]+tabCustoUnit[[#This Row],[Submódulo 2.2]]+tabCustoUnit[[#This Row],[Submódulo 2.3]]</f>
        <v>#NAME?</v>
      </c>
      <c r="AM329" s="22">
        <f>SUMIF(tabParametros[Código do Posto],tabCustoUnit[[#This Row],[Código do Posto]],tabParametros[Aviso Prévio Indenizado (API) e Reflexo do Aviso Prévio Indenizado])*tabCustoUnit[[#This Row],[MODULO 1 - REMUNERAÇÃO ]]</f>
        <v>31.960131708912037</v>
      </c>
      <c r="AN329" s="22">
        <f>SUMIF(tabParametros[Código do Posto],tabCustoUnit[[#This Row],[Código do Posto]],tabParametros[Incidência do FGTS sobre API e Reflexo do API])*tabCustoUnit[[#This Row],[MODULO 1 - REMUNERAÇÃO ]]</f>
        <v>2.556810536712963</v>
      </c>
      <c r="AO329" s="22">
        <f>SUMIF(tabParametros[Código do Posto],tabCustoUnit[[#This Row],[Código do Posto]],tabParametros[Multa Rescisória do FGTS sobre o Aviso Prévio Indenizado])*tabCustoUnit[[#This Row],[MODULO 1 - REMUNERAÇÃO ]]</f>
        <v>1.0227242146851854</v>
      </c>
      <c r="AP329" s="22">
        <f>SUMIF(tabParametros[Código do Posto],tabCustoUnit[[#This Row],[Código do Posto]],tabParametros[Aviso Prévio Trabalhado - APT])*tabCustoUnit[[#This Row],[MODULO 1 - REMUNERAÇÃO ]]</f>
        <v>15.953248500000003</v>
      </c>
      <c r="AQ329" s="22">
        <f>SUMIF(tabParametros[Código do Posto],tabCustoUnit[[#This Row],[Código do Posto]],tabParametros[Incidência dos encargos do submódulo 2.1 sobre Aviso Prévio Trabalhado])*tabCustoUnit[[#This Row],[MODULO 1 - REMUNERAÇÃO ]]</f>
        <v>6.0303279330000015</v>
      </c>
      <c r="AR329" s="22">
        <f>SUMIF(tabParametros[Código do Posto],tabCustoUnit[[#This Row],[Código do Posto]],tabParametros[Multa Rescisória do FGTS])*tabCustoUnit[[#This Row],[MODULO 1 - REMUNERAÇÃO ]]</f>
        <v>139.3756821333333</v>
      </c>
      <c r="AS329" s="22">
        <f>SUMIF(tabParametros[Código do Posto],tabCustoUnit[[#This Row],[Código do Posto]],tabParametros[Indenização Adicional (Art. 9º da Lei nº 7.238/84)])*tabCustoUnit[[#This Row],[MODULO 1 - REMUNERAÇÃO ]]</f>
        <v>3.7983925000000003</v>
      </c>
      <c r="AT329" s="22">
        <f>SUM(tabCustoUnit[[#This Row],[Aviso Prévio Indenizado (API) e Reflexo do Aviso Prévio Indenizado]:[Indenização Adicional (Art. 9º da Lei nº 7.238/84)]])</f>
        <v>200.6973175266435</v>
      </c>
      <c r="AU329" s="22">
        <f>SUMIF(tabParametros[Código do Posto],tabCustoUnit[[#This Row],[Código do Posto]],tabParametros[Ausência por Doença])*tabCustoUnit[[#This Row],[MODULO 1 - REMUNERAÇÃO ]]</f>
        <v>38.490377333333328</v>
      </c>
      <c r="AV329" s="22">
        <f>SUMIF(tabParametros[Código do Posto],tabCustoUnit[[#This Row],[Código do Posto]],tabParametros[Ausências Legais])*tabCustoUnit[[#This Row],[MODULO 1 - REMUNERAÇÃO ]]</f>
        <v>9.2427550833333321</v>
      </c>
      <c r="AW329" s="22">
        <f>SUMIF(tabParametros[Código do Posto],tabCustoUnit[[#This Row],[Código do Posto]],tabParametros[Licença Paternidade])*tabCustoUnit[[#This Row],[MODULO 1 - REMUNERAÇÃO ]]</f>
        <v>0.77867046249999994</v>
      </c>
      <c r="AX329" s="22">
        <f>SUMIF(tabParametros[Código do Posto],tabCustoUnit[[#This Row],[Código do Posto]],tabParametros[Ausência por Acidente de Trabalho])*tabCustoUnit[[#This Row],[MODULO 1 - REMUNERAÇÃO ]]</f>
        <v>0.94959812500000007</v>
      </c>
      <c r="AY329" s="22">
        <f>SUMIF(tabParametros[Código do Posto],tabCustoUnit[[#This Row],[Código do Posto]],tabParametros[Férias, Adicional de Férias e 13º  com empregada em gozo de Licença Maternidade])*tabCustoUnit[[#This Row],[MODULO 1 - REMUNERAÇÃO ]]</f>
        <v>5.9086105555555557</v>
      </c>
      <c r="AZ329" s="22">
        <f>SUMIF(tabParametros[Código do Posto],tabCustoUnit[[#This Row],[Código do Posto]],tabParametros[Incidência do Submódulo 2.1 sobre Ausências Legais])*tabCustoUnit[[#This Row],[MODULO 1 - REMUNERAÇÃO ]]</f>
        <v>20.929864369575004</v>
      </c>
      <c r="BA329" s="22">
        <f>SUM(tabCustoUnit[[#This Row],[Ausência por Doença]:[Incidência do Submódulo 2.1 sobre Ausências Legais]])</f>
        <v>76.29987592929723</v>
      </c>
      <c r="BB329" s="22">
        <f>SUMIF(tabParametros[Código do Posto],tabCustoUnit[[#This Row],[Código do Posto]],tabParametros[Intervalo para Repouso ou Alimentação])</f>
        <v>0</v>
      </c>
      <c r="BC329" s="22">
        <f>tabCustoUnit[[#This Row],[Intervalo para Repouso ou Alimentação]]</f>
        <v>0</v>
      </c>
      <c r="BD32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29" s="22">
        <f>tabCustoUnit[[#This Row],[Suspensão Temporária do Contrato de Trabalho]]</f>
        <v>0</v>
      </c>
      <c r="BF329" s="22">
        <f>tabCustoUnit[[#This Row],[Submódulo 4.1]]+tabCustoUnit[[#This Row],[Submódulo 4.2]]+tabCustoUnit[[#This Row],[Submódulo 4.3]]</f>
        <v>76.29987592929723</v>
      </c>
      <c r="BG329" s="22">
        <f>VLOOKUP(tabCustoUnit[[#This Row],[Código do Posto]],tabParametros[],MATCH(tabCustoUnit[[#Headers],[Uniformes e EPIs]],tabParametros[#Headers],0),0)</f>
        <v>92.100763771570698</v>
      </c>
      <c r="BH329" s="22">
        <f>VLOOKUP(tabCustoUnit[[#This Row],[Código do Posto]],tabParametros[],MATCH(tabCustoUnit[[#Headers],[Materiais de Consumo]],tabParametros[#Headers],0),0)</f>
        <v>0</v>
      </c>
      <c r="BI329" s="22">
        <f>VLOOKUP(tabCustoUnit[[#This Row],[Código do Posto]],tabParametros[],MATCH(tabCustoUnit[[#Headers],[Máquinas e Equipamentos (depreciação)]],tabParametros[#Headers],0),0)</f>
        <v>0</v>
      </c>
      <c r="BJ329" s="22">
        <f>VLOOKUP(tabCustoUnit[[#This Row],[Código do Posto]],tabParametros[],MATCH(tabCustoUnit[[#Headers],[Produtos de Limpeza e Materiais de Higiene Pessoal]],tabParametros[#Headers],0),0)</f>
        <v>0</v>
      </c>
      <c r="BK329" s="22">
        <f>VLOOKUP(tabCustoUnit[[#This Row],[Código do Posto]],tabParametros[],MATCH(tabCustoUnit[[#Headers],[Outros (especificar)]],tabParametros[#Headers],0),0)</f>
        <v>0</v>
      </c>
      <c r="BL329" s="22">
        <f>SUM(tabCustoUnit[[#This Row],[Uniformes e EPIs]:[Outros (especificar)]])</f>
        <v>92.100763771570698</v>
      </c>
      <c r="BM32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29" s="22" t="e">
        <f ca="1">VLOOKUP(tabCustoUnit[[#This Row],[Código do Posto]],tabParametros[],MATCH(tabCustoUnit[[#Headers],[Custos Indiretos]],tabParametros[#Headers],0),0)</f>
        <v>#NAME?</v>
      </c>
      <c r="BO329" s="22" t="e">
        <f ca="1">VLOOKUP(tabCustoUnit[[#This Row],[Código do Posto]],tabParametros[],MATCH(tabCustoUnit[[#Headers],[Lucro]],tabParametros[#Headers],0),0)</f>
        <v>#NAME?</v>
      </c>
      <c r="BP329" s="26">
        <f>((100/((1-tabCustoUnit[[#This Row],[Resumo de Alíquotas (PIS+CONFINS+ISS)]]))-100)*VLOOKUP(tabCustoUnit[[#This Row],[Código do Posto]],tabParametros[],MATCH(tabCustoUnit[[#Headers],[COFINS]],tabParametros[#Headers],0),0))/(tabCustoUnit[[#This Row],[Resumo de Alíquotas (PIS+CONFINS+ISS)]]*100)</f>
        <v>8.6609686609686695E-2</v>
      </c>
      <c r="BQ329" s="26">
        <f>((100/((100-(tabCustoUnit[[#This Row],[Resumo de Alíquotas (PIS+CONFINS+ISS)]]*100))%)-100)*VLOOKUP(tabCustoUnit[[#This Row],[Código do Posto]],tabParametros[],MATCH(tabCustoUnit[[#Headers],[PIS]],tabParametros[#Headers],0),0))/(tabCustoUnit[[#This Row],[Resumo de Alíquotas (PIS+CONFINS+ISS)]]*100)</f>
        <v>1.880341880341882E-2</v>
      </c>
      <c r="BR329" s="28">
        <f>VLOOKUP(tabCustoUnit[[#This Row],[Código do Posto]],tabParametros[],MATCH(tabCustoUnit[[#Headers],[ISS]],tabParametros[#Headers],0),0)</f>
        <v>0.03</v>
      </c>
      <c r="BS329" s="26">
        <f>(((100/((100-(tabCustoUnit[[#This Row],[Resumo de Alíquotas (PIS+CONFINS+ISS)]]*100))%)-100)*tabCustoUnit[[#This Row],[ISS]])/tabCustoUnit[[#This Row],[Resumo de Alíquotas (PIS+CONFINS+ISS)]])/100</f>
        <v>3.4188034188034219E-2</v>
      </c>
      <c r="BT32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29" s="138">
        <f>tabCustoUnit[[#This Row],[COFINS]]+tabCustoUnit[[#This Row],[PIS]]+tabCustoUnit[[#This Row],[ISS (Conversão Alíquota s/ fatura)]]</f>
        <v>0.13960113960113973</v>
      </c>
      <c r="BV329" s="22" t="e">
        <f ca="1">(tabCustoUnit[[#This Row],[TOTAL MÓDULOS 1+2+3+4+5]]+tabCustoUnit[[#This Row],[Custos Indiretos]]+tabCustoUnit[[#This Row],[Lucro]])*tabCustoUnit[[#This Row],[PIS + COFINS + ISS (Total Conversão  Alíquota s/ Fatura)]]</f>
        <v>#NAME?</v>
      </c>
      <c r="BW329" s="22" t="e">
        <f ca="1">tabCustoUnit[[#This Row],[Custos Indiretos]]+tabCustoUnit[[#This Row],[Lucro]]+tabCustoUnit[[#This Row],[Valor dos Tributos (ISS, PIS, CONFINS)]]</f>
        <v>#NAME?</v>
      </c>
      <c r="BX329" s="22" t="e">
        <f ca="1">tabCustoUnit[[#This Row],[TOTAL MÓDULOS 1+2+3+4+5]]+tabCustoUnit[[#This Row],[MÓDULO 6 – CUSTOS INDIRETOS, TRIBUTOS E LUCRO]]</f>
        <v>#NAME?</v>
      </c>
      <c r="BY329" s="22" t="e">
        <f ca="1">tabCustoUnit[[#This Row],[CUSTO TOTAL MENSAL]]*12</f>
        <v>#NAME?</v>
      </c>
      <c r="BZ329" s="24">
        <f>VLOOKUP(tabCustoUnit[[#This Row],[Código do Posto]],tabParametros[],MATCH(tabCustoUnit[[#Headers],[ANO DA CCT]],tabParametros[#Headers],0),0)</f>
        <v>45658</v>
      </c>
      <c r="CA329" s="25" t="str">
        <f>VLOOKUP(tabCustoUnit[[#This Row],[Código do Posto]],tabParametros[],MATCH(tabCustoUnit[[#Headers],[Nº DE PEDIDO DA CCT]],tabParametros[#Headers],0),0)</f>
        <v>-</v>
      </c>
      <c r="CB329" s="25" t="str">
        <f>VLOOKUP(tabCustoUnit[[#This Row],[Código do Posto]],tabParametros[],MATCH(tabCustoUnit[[#Headers],[TERMO ADITIVO ALTERAÇÃO DA CCT]],tabParametros[#Headers],0),0)</f>
        <v>-</v>
      </c>
    </row>
    <row r="330" spans="1:80">
      <c r="A330" s="20" t="s">
        <v>1736</v>
      </c>
      <c r="B330" t="s">
        <v>1216</v>
      </c>
      <c r="C330" t="s">
        <v>314</v>
      </c>
      <c r="D330" t="s">
        <v>961</v>
      </c>
      <c r="E330" s="20" t="s">
        <v>1090</v>
      </c>
      <c r="F330" s="20" t="s">
        <v>120</v>
      </c>
      <c r="G330" s="418">
        <v>1963.405</v>
      </c>
      <c r="H330" s="418">
        <v>0</v>
      </c>
      <c r="I330" s="418">
        <v>0</v>
      </c>
      <c r="J330" s="418">
        <v>0</v>
      </c>
      <c r="K330" s="418">
        <v>0</v>
      </c>
      <c r="L330" s="418">
        <v>0</v>
      </c>
      <c r="M330" s="418">
        <v>0</v>
      </c>
      <c r="N330" s="418">
        <v>0</v>
      </c>
      <c r="O330" s="21">
        <f>SUM(tabCustoUnit[[#This Row],[Salário Base]:[Adicional de Acúmulo de função]])</f>
        <v>1963.405</v>
      </c>
      <c r="P330" s="21">
        <f>tabCustoUnit[[#This Row],[MODULO 1 - REMUNERAÇÃO ]]*SUMIFS(tabParametros[INSS],tabParametros[Código do Posto],tabCustoUnit[[#This Row],[Código do Posto]])</f>
        <v>392.68100000000004</v>
      </c>
      <c r="Q330" s="21">
        <f>tabCustoUnit[[#This Row],[MODULO 1 - REMUNERAÇÃO ]]*SUMIFS(tabParametros[SESI OU SESC],tabParametros[Código do Posto],tabCustoUnit[[#This Row],[Código do Posto]])</f>
        <v>29.451074999999999</v>
      </c>
      <c r="R330" s="21">
        <f>tabCustoUnit[[#This Row],[MODULO 1 - REMUNERAÇÃO ]]*SUMIFS(tabParametros[SENAI OU SENAC],tabParametros[Código do Posto],tabCustoUnit[[#This Row],[Código do Posto]])</f>
        <v>19.634049999999998</v>
      </c>
      <c r="S330" s="21">
        <f>tabCustoUnit[[#This Row],[MODULO 1 - REMUNERAÇÃO ]]*SUMIFS(tabParametros[INCRA],tabParametros[Código do Posto],tabCustoUnit[[#This Row],[Código do Posto]])</f>
        <v>3.9268100000000001</v>
      </c>
      <c r="T330" s="21">
        <f>tabCustoUnit[[#This Row],[MODULO 1 - REMUNERAÇÃO ]]*SUMIFS(tabParametros[Salário Educação],tabParametros[Código do Posto],tabCustoUnit[[#This Row],[Código do Posto]])</f>
        <v>49.085125000000005</v>
      </c>
      <c r="U330" s="21">
        <f>tabCustoUnit[[#This Row],[MODULO 1 - REMUNERAÇÃO ]]*SUMIFS(tabParametros[FGTS],tabParametros[Código do Posto],tabCustoUnit[[#This Row],[Código do Posto]])</f>
        <v>157.07239999999999</v>
      </c>
      <c r="V330" s="21">
        <f>tabCustoUnit[[#This Row],[MODULO 1 - REMUNERAÇÃO ]]*SUMIFS(tabParametros[RAT Ajustado],tabParametros[Código do Posto],tabCustoUnit[[#This Row],[Código do Posto]])</f>
        <v>78.536199999999994</v>
      </c>
      <c r="W330" s="21">
        <f>tabCustoUnit[[#This Row],[MODULO 1 - REMUNERAÇÃO ]]*SUMIFS(tabParametros[SEBRAE],tabParametros[Código do Posto],tabCustoUnit[[#This Row],[Código do Posto]])</f>
        <v>11.780430000000001</v>
      </c>
      <c r="X330" s="21">
        <f>SUM(tabCustoUnit[[#This Row],[INSS]:[SEBRAE]])</f>
        <v>742.16709000000003</v>
      </c>
      <c r="Y330" s="21">
        <f>tabCustoUnit[[#This Row],[MODULO 1 - REMUNERAÇÃO ]]*SUMIFS(tabParametros[13º salário (titular)],tabParametros[Código do Posto],tabCustoUnit[[#This Row],[Código do Posto]])</f>
        <v>163.61708333333331</v>
      </c>
      <c r="Z330" s="21">
        <f>tabCustoUnit[[#This Row],[MODULO 1 - REMUNERAÇÃO ]]*SUMIFS(tabParametros[Férias e Adicional de Férias (titular)],tabParametros[Código do Posto],tabCustoUnit[[#This Row],[Código do Posto]])</f>
        <v>218.1561111111111</v>
      </c>
      <c r="AA330" s="21">
        <f>IFERROR((tabCustoUnit[[#This Row],[Submódulo 2.1]]/tabCustoUnit[[#This Row],[MODULO 1 - REMUNERAÇÃO ]])*SUM(tabCustoUnit[[#This Row],[13º salário (titular)]:[Férias e Adicional de Férias (titular)]]),0)</f>
        <v>144.31026749999998</v>
      </c>
      <c r="AB330" s="21">
        <f>SUM(tabCustoUnit[[#This Row],[13º salário (titular)]:[Incidência do Submódulo 2.1 sobre 13º Salário, Férias e Adicional de Férias]])</f>
        <v>526.08346194444437</v>
      </c>
      <c r="AC330" s="22" t="e">
        <f ca="1">_xlfn.LET(_xlpm.VT,SUMIF(tabParametros[Código do Posto],tabCustoUnit[[#This Row],[Código do Posto]],tabParametros[Vale - Transporte])*2*20,
IF((_xlpm.VT-tabCustoUnit[[#This Row],[Salário Base]]*0.06)&gt;=0,(_xlpm.VT-tabCustoUnit[[#This Row],[Salário Base]]*0.06),0)
)</f>
        <v>#NAME?</v>
      </c>
      <c r="AD330" s="22">
        <f>IF(SUMIF(tabParametros[Código do Posto],tabCustoUnit[[#This Row],[Código do Posto]],tabParametros[Vale - Alimentação])&lt;=0,0,
SUMIF(tabParametros[Código do Posto],tabCustoUnit[[#This Row],[Código do Posto]],tabParametros[Vale - Alimentação])*20-1)</f>
        <v>582</v>
      </c>
      <c r="AE330" s="22">
        <f>SUMIF(tabParametros[Código do Posto],tabCustoUnit[[#This Row],[Código do Posto]],tabParametros[Cesta Básica])</f>
        <v>0</v>
      </c>
      <c r="AF330" s="22">
        <f>SUMIF(tabParametros[Código do Posto],tabCustoUnit[[#This Row],[Código do Posto]],tabParametros[PAF])</f>
        <v>53.27</v>
      </c>
      <c r="AG330" s="22">
        <f>SUMIF(tabParametros[Código do Posto],tabCustoUnit[[#This Row],[Código do Posto]],tabParametros[PQM])</f>
        <v>0</v>
      </c>
      <c r="AH330" s="22">
        <f>SUMIF(tabParametros[Código do Posto],tabCustoUnit[[#This Row],[Código do Posto]],tabParametros[Abono Único e Especial])</f>
        <v>0</v>
      </c>
      <c r="AI330" s="22">
        <f>SUMIF(tabParametros[Código do Posto],tabCustoUnit[[#This Row],[Código do Posto]],tabParametros[Seguro de Vida])</f>
        <v>3.36</v>
      </c>
      <c r="AJ330" s="22">
        <f>SUMIF(tabParametros[Código do Posto],tabCustoUnit[[#This Row],[Código do Posto]],tabParametros[Despesas de Viagem])</f>
        <v>0</v>
      </c>
      <c r="AK330" s="22" t="e">
        <f ca="1">SUM(tabCustoUnit[[#This Row],[Vale - Transporte (Descontada parcela do empregado)]:[Despesas de Viagem]])</f>
        <v>#NAME?</v>
      </c>
      <c r="AL330" s="22" t="e">
        <f ca="1">tabCustoUnit[[#This Row],[Submódulo 2.1]]+tabCustoUnit[[#This Row],[Submódulo 2.2]]+tabCustoUnit[[#This Row],[Submódulo 2.3]]</f>
        <v>#NAME?</v>
      </c>
      <c r="AM330" s="22">
        <f>SUMIF(tabParametros[Código do Posto],tabCustoUnit[[#This Row],[Código do Posto]],tabParametros[Aviso Prévio Indenizado (API) e Reflexo do Aviso Prévio Indenizado])*tabCustoUnit[[#This Row],[MODULO 1 - REMUNERAÇÃO ]]</f>
        <v>13.766938338155864</v>
      </c>
      <c r="AN330" s="22">
        <f>SUMIF(tabParametros[Código do Posto],tabCustoUnit[[#This Row],[Código do Posto]],tabParametros[Incidência do FGTS sobre API e Reflexo do API])*tabCustoUnit[[#This Row],[MODULO 1 - REMUNERAÇÃO ]]</f>
        <v>1.1013550670524692</v>
      </c>
      <c r="AO330" s="22">
        <f>SUMIF(tabParametros[Código do Posto],tabCustoUnit[[#This Row],[Código do Posto]],tabParametros[Multa Rescisória do FGTS sobre o Aviso Prévio Indenizado])*tabCustoUnit[[#This Row],[MODULO 1 - REMUNERAÇÃO ]]</f>
        <v>0.44054202682098775</v>
      </c>
      <c r="AP330" s="22">
        <f>SUMIF(tabParametros[Código do Posto],tabCustoUnit[[#This Row],[Código do Posto]],tabParametros[Aviso Prévio Trabalhado - APT])*tabCustoUnit[[#This Row],[MODULO 1 - REMUNERAÇÃO ]]</f>
        <v>6.8719175000000012</v>
      </c>
      <c r="AQ330" s="22">
        <f>SUMIF(tabParametros[Código do Posto],tabCustoUnit[[#This Row],[Código do Posto]],tabParametros[Incidência dos encargos do submódulo 2.1 sobre Aviso Prévio Trabalhado])*tabCustoUnit[[#This Row],[MODULO 1 - REMUNERAÇÃO ]]</f>
        <v>2.5975848150000007</v>
      </c>
      <c r="AR330" s="22">
        <f>SUMIF(tabParametros[Código do Posto],tabCustoUnit[[#This Row],[Código do Posto]],tabParametros[Multa Rescisória do FGTS])*tabCustoUnit[[#This Row],[MODULO 1 - REMUNERAÇÃO ]]</f>
        <v>60.03656177777777</v>
      </c>
      <c r="AS330" s="22">
        <f>SUMIF(tabParametros[Código do Posto],tabCustoUnit[[#This Row],[Código do Posto]],tabParametros[Indenização Adicional (Art. 9º da Lei nº 7.238/84)])*tabCustoUnit[[#This Row],[MODULO 1 - REMUNERAÇÃO ]]</f>
        <v>1.6361708333333334</v>
      </c>
      <c r="AT330" s="22">
        <f>SUM(tabCustoUnit[[#This Row],[Aviso Prévio Indenizado (API) e Reflexo do Aviso Prévio Indenizado]:[Indenização Adicional (Art. 9º da Lei nº 7.238/84)]])</f>
        <v>86.451070358140427</v>
      </c>
      <c r="AU330" s="22">
        <f>SUMIF(tabParametros[Código do Posto],tabCustoUnit[[#This Row],[Código do Posto]],tabParametros[Ausência por Doença])*tabCustoUnit[[#This Row],[MODULO 1 - REMUNERAÇÃO ]]</f>
        <v>16.579864444444443</v>
      </c>
      <c r="AV330" s="22">
        <f>SUMIF(tabParametros[Código do Posto],tabCustoUnit[[#This Row],[Código do Posto]],tabParametros[Ausências Legais])*tabCustoUnit[[#This Row],[MODULO 1 - REMUNERAÇÃO ]]</f>
        <v>3.9813490277777777</v>
      </c>
      <c r="AW330" s="22">
        <f>SUMIF(tabParametros[Código do Posto],tabCustoUnit[[#This Row],[Código do Posto]],tabParametros[Licença Paternidade])*tabCustoUnit[[#This Row],[MODULO 1 - REMUNERAÇÃO ]]</f>
        <v>0.3354150208333333</v>
      </c>
      <c r="AX330" s="22">
        <f>SUMIF(tabParametros[Código do Posto],tabCustoUnit[[#This Row],[Código do Posto]],tabParametros[Ausência por Acidente de Trabalho])*tabCustoUnit[[#This Row],[MODULO 1 - REMUNERAÇÃO ]]</f>
        <v>0.40904270833333334</v>
      </c>
      <c r="AY330" s="22">
        <f>SUMIF(tabParametros[Código do Posto],tabCustoUnit[[#This Row],[Código do Posto]],tabParametros[Férias, Adicional de Férias e 13º  com empregada em gozo de Licença Maternidade])*tabCustoUnit[[#This Row],[MODULO 1 - REMUNERAÇÃO ]]</f>
        <v>2.5451546296296295</v>
      </c>
      <c r="AZ330" s="22">
        <f>SUMIF(tabParametros[Código do Posto],tabCustoUnit[[#This Row],[Código do Posto]],tabParametros[Incidência do Submódulo 2.1 sobre Ausências Legais])*tabCustoUnit[[#This Row],[MODULO 1 - REMUNERAÇÃO ]]</f>
        <v>9.0156121641250007</v>
      </c>
      <c r="BA330" s="22">
        <f>SUM(tabCustoUnit[[#This Row],[Ausência por Doença]:[Incidência do Submódulo 2.1 sobre Ausências Legais]])</f>
        <v>32.866437995143521</v>
      </c>
      <c r="BB330" s="22">
        <f>SUMIF(tabParametros[Código do Posto],tabCustoUnit[[#This Row],[Código do Posto]],tabParametros[Intervalo para Repouso ou Alimentação])</f>
        <v>267.73704981301341</v>
      </c>
      <c r="BC330" s="22">
        <f>tabCustoUnit[[#This Row],[Intervalo para Repouso ou Alimentação]]</f>
        <v>267.73704981301341</v>
      </c>
      <c r="BD33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0" s="22">
        <f>tabCustoUnit[[#This Row],[Suspensão Temporária do Contrato de Trabalho]]</f>
        <v>0</v>
      </c>
      <c r="BF330" s="22">
        <f>tabCustoUnit[[#This Row],[Submódulo 4.1]]+tabCustoUnit[[#This Row],[Submódulo 4.2]]+tabCustoUnit[[#This Row],[Submódulo 4.3]]</f>
        <v>300.60348780815696</v>
      </c>
      <c r="BG330" s="22">
        <f>VLOOKUP(tabCustoUnit[[#This Row],[Código do Posto]],tabParametros[],MATCH(tabCustoUnit[[#Headers],[Uniformes e EPIs]],tabParametros[#Headers],0),0)</f>
        <v>56.642978962543395</v>
      </c>
      <c r="BH330" s="22">
        <f>VLOOKUP(tabCustoUnit[[#This Row],[Código do Posto]],tabParametros[],MATCH(tabCustoUnit[[#Headers],[Materiais de Consumo]],tabParametros[#Headers],0),0)</f>
        <v>0</v>
      </c>
      <c r="BI330" s="22">
        <f>VLOOKUP(tabCustoUnit[[#This Row],[Código do Posto]],tabParametros[],MATCH(tabCustoUnit[[#Headers],[Máquinas e Equipamentos (depreciação)]],tabParametros[#Headers],0),0)</f>
        <v>0</v>
      </c>
      <c r="BJ330" s="22">
        <f>VLOOKUP(tabCustoUnit[[#This Row],[Código do Posto]],tabParametros[],MATCH(tabCustoUnit[[#Headers],[Produtos de Limpeza e Materiais de Higiene Pessoal]],tabParametros[#Headers],0),0)</f>
        <v>0</v>
      </c>
      <c r="BK330" s="22">
        <f>VLOOKUP(tabCustoUnit[[#This Row],[Código do Posto]],tabParametros[],MATCH(tabCustoUnit[[#Headers],[Outros (especificar)]],tabParametros[#Headers],0),0)</f>
        <v>0</v>
      </c>
      <c r="BL330" s="22">
        <f>SUM(tabCustoUnit[[#This Row],[Uniformes e EPIs]:[Outros (especificar)]])</f>
        <v>56.642978962543395</v>
      </c>
      <c r="BM33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0" s="22" t="e">
        <f ca="1">VLOOKUP(tabCustoUnit[[#This Row],[Código do Posto]],tabParametros[],MATCH(tabCustoUnit[[#Headers],[Custos Indiretos]],tabParametros[#Headers],0),0)</f>
        <v>#NAME?</v>
      </c>
      <c r="BO330" s="22" t="e">
        <f ca="1">VLOOKUP(tabCustoUnit[[#This Row],[Código do Posto]],tabParametros[],MATCH(tabCustoUnit[[#Headers],[Lucro]],tabParametros[#Headers],0),0)</f>
        <v>#NAME?</v>
      </c>
      <c r="BP330" s="26">
        <f>((100/((1-tabCustoUnit[[#This Row],[Resumo de Alíquotas (PIS+CONFINS+ISS)]]))-100)*VLOOKUP(tabCustoUnit[[#This Row],[Código do Posto]],tabParametros[],MATCH(tabCustoUnit[[#Headers],[COFINS]],tabParametros[#Headers],0),0))/(tabCustoUnit[[#This Row],[Resumo de Alíquotas (PIS+CONFINS+ISS)]]*100)</f>
        <v>8.6609686609686695E-2</v>
      </c>
      <c r="BQ330" s="26">
        <f>((100/((100-(tabCustoUnit[[#This Row],[Resumo de Alíquotas (PIS+CONFINS+ISS)]]*100))%)-100)*VLOOKUP(tabCustoUnit[[#This Row],[Código do Posto]],tabParametros[],MATCH(tabCustoUnit[[#Headers],[PIS]],tabParametros[#Headers],0),0))/(tabCustoUnit[[#This Row],[Resumo de Alíquotas (PIS+CONFINS+ISS)]]*100)</f>
        <v>1.880341880341882E-2</v>
      </c>
      <c r="BR330" s="28">
        <f>VLOOKUP(tabCustoUnit[[#This Row],[Código do Posto]],tabParametros[],MATCH(tabCustoUnit[[#Headers],[ISS]],tabParametros[#Headers],0),0)</f>
        <v>0.03</v>
      </c>
      <c r="BS330" s="26">
        <f>(((100/((100-(tabCustoUnit[[#This Row],[Resumo de Alíquotas (PIS+CONFINS+ISS)]]*100))%)-100)*tabCustoUnit[[#This Row],[ISS]])/tabCustoUnit[[#This Row],[Resumo de Alíquotas (PIS+CONFINS+ISS)]])/100</f>
        <v>3.4188034188034219E-2</v>
      </c>
      <c r="BT33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30" s="138">
        <f>tabCustoUnit[[#This Row],[COFINS]]+tabCustoUnit[[#This Row],[PIS]]+tabCustoUnit[[#This Row],[ISS (Conversão Alíquota s/ fatura)]]</f>
        <v>0.13960113960113973</v>
      </c>
      <c r="BV330" s="22" t="e">
        <f ca="1">(tabCustoUnit[[#This Row],[TOTAL MÓDULOS 1+2+3+4+5]]+tabCustoUnit[[#This Row],[Custos Indiretos]]+tabCustoUnit[[#This Row],[Lucro]])*tabCustoUnit[[#This Row],[PIS + COFINS + ISS (Total Conversão  Alíquota s/ Fatura)]]</f>
        <v>#NAME?</v>
      </c>
      <c r="BW330" s="22" t="e">
        <f ca="1">tabCustoUnit[[#This Row],[Custos Indiretos]]+tabCustoUnit[[#This Row],[Lucro]]+tabCustoUnit[[#This Row],[Valor dos Tributos (ISS, PIS, CONFINS)]]</f>
        <v>#NAME?</v>
      </c>
      <c r="BX330" s="22" t="e">
        <f ca="1">tabCustoUnit[[#This Row],[TOTAL MÓDULOS 1+2+3+4+5]]+tabCustoUnit[[#This Row],[MÓDULO 6 – CUSTOS INDIRETOS, TRIBUTOS E LUCRO]]</f>
        <v>#NAME?</v>
      </c>
      <c r="BY330" s="22" t="e">
        <f ca="1">tabCustoUnit[[#This Row],[CUSTO TOTAL MENSAL]]*12</f>
        <v>#NAME?</v>
      </c>
      <c r="BZ330" s="24">
        <f>VLOOKUP(tabCustoUnit[[#This Row],[Código do Posto]],tabParametros[],MATCH(tabCustoUnit[[#Headers],[ANO DA CCT]],tabParametros[#Headers],0),0)</f>
        <v>45658</v>
      </c>
      <c r="CA330" s="25" t="str">
        <f>VLOOKUP(tabCustoUnit[[#This Row],[Código do Posto]],tabParametros[],MATCH(tabCustoUnit[[#Headers],[Nº DE PEDIDO DA CCT]],tabParametros[#Headers],0),0)</f>
        <v>-</v>
      </c>
      <c r="CB330" s="25" t="str">
        <f>VLOOKUP(tabCustoUnit[[#This Row],[Código do Posto]],tabParametros[],MATCH(tabCustoUnit[[#Headers],[TERMO ADITIVO ALTERAÇÃO DA CCT]],tabParametros[#Headers],0),0)</f>
        <v>-</v>
      </c>
    </row>
    <row r="331" spans="1:80">
      <c r="A331" s="20" t="s">
        <v>1737</v>
      </c>
      <c r="B331" t="s">
        <v>1074</v>
      </c>
      <c r="C331" t="s">
        <v>274</v>
      </c>
      <c r="D331" t="s">
        <v>1014</v>
      </c>
      <c r="E331" s="20" t="s">
        <v>1090</v>
      </c>
      <c r="F331" s="20" t="s">
        <v>120</v>
      </c>
      <c r="G331" s="418">
        <v>4465.6282000000001</v>
      </c>
      <c r="H331" s="418">
        <v>0</v>
      </c>
      <c r="I331" s="418">
        <v>0</v>
      </c>
      <c r="J331" s="418">
        <v>0</v>
      </c>
      <c r="K331" s="418">
        <v>0</v>
      </c>
      <c r="L331" s="418">
        <v>0</v>
      </c>
      <c r="M331" s="418">
        <v>0</v>
      </c>
      <c r="N331" s="418">
        <v>0</v>
      </c>
      <c r="O331" s="21">
        <f>SUM(tabCustoUnit[[#This Row],[Salário Base]:[Adicional de Acúmulo de função]])</f>
        <v>4465.6282000000001</v>
      </c>
      <c r="P331" s="21">
        <f>tabCustoUnit[[#This Row],[MODULO 1 - REMUNERAÇÃO ]]*SUMIFS(tabParametros[INSS],tabParametros[Código do Posto],tabCustoUnit[[#This Row],[Código do Posto]])</f>
        <v>893.12564000000009</v>
      </c>
      <c r="Q331" s="21">
        <f>tabCustoUnit[[#This Row],[MODULO 1 - REMUNERAÇÃO ]]*SUMIFS(tabParametros[SESI OU SESC],tabParametros[Código do Posto],tabCustoUnit[[#This Row],[Código do Posto]])</f>
        <v>66.984422999999992</v>
      </c>
      <c r="R331" s="21">
        <f>tabCustoUnit[[#This Row],[MODULO 1 - REMUNERAÇÃO ]]*SUMIFS(tabParametros[SENAI OU SENAC],tabParametros[Código do Posto],tabCustoUnit[[#This Row],[Código do Posto]])</f>
        <v>44.656282000000004</v>
      </c>
      <c r="S331" s="21">
        <f>tabCustoUnit[[#This Row],[MODULO 1 - REMUNERAÇÃO ]]*SUMIFS(tabParametros[INCRA],tabParametros[Código do Posto],tabCustoUnit[[#This Row],[Código do Posto]])</f>
        <v>8.9312564000000005</v>
      </c>
      <c r="T331" s="21">
        <f>tabCustoUnit[[#This Row],[MODULO 1 - REMUNERAÇÃO ]]*SUMIFS(tabParametros[Salário Educação],tabParametros[Código do Posto],tabCustoUnit[[#This Row],[Código do Posto]])</f>
        <v>111.64070500000001</v>
      </c>
      <c r="U331" s="21">
        <f>tabCustoUnit[[#This Row],[MODULO 1 - REMUNERAÇÃO ]]*SUMIFS(tabParametros[FGTS],tabParametros[Código do Posto],tabCustoUnit[[#This Row],[Código do Posto]])</f>
        <v>357.25025600000004</v>
      </c>
      <c r="V331" s="21">
        <f>tabCustoUnit[[#This Row],[MODULO 1 - REMUNERAÇÃO ]]*SUMIFS(tabParametros[RAT Ajustado],tabParametros[Código do Posto],tabCustoUnit[[#This Row],[Código do Posto]])</f>
        <v>178.62512800000002</v>
      </c>
      <c r="W331" s="21">
        <f>tabCustoUnit[[#This Row],[MODULO 1 - REMUNERAÇÃO ]]*SUMIFS(tabParametros[SEBRAE],tabParametros[Código do Posto],tabCustoUnit[[#This Row],[Código do Posto]])</f>
        <v>26.7937692</v>
      </c>
      <c r="X331" s="21">
        <f>SUM(tabCustoUnit[[#This Row],[INSS]:[SEBRAE]])</f>
        <v>1688.0074596000004</v>
      </c>
      <c r="Y331" s="21">
        <f>tabCustoUnit[[#This Row],[MODULO 1 - REMUNERAÇÃO ]]*SUMIFS(tabParametros[13º salário (titular)],tabParametros[Código do Posto],tabCustoUnit[[#This Row],[Código do Posto]])</f>
        <v>372.1356833333333</v>
      </c>
      <c r="Z331" s="21">
        <f>tabCustoUnit[[#This Row],[MODULO 1 - REMUNERAÇÃO ]]*SUMIFS(tabParametros[Férias e Adicional de Férias (titular)],tabParametros[Código do Posto],tabCustoUnit[[#This Row],[Código do Posto]])</f>
        <v>496.18091111111107</v>
      </c>
      <c r="AA331" s="21">
        <f>IFERROR((tabCustoUnit[[#This Row],[Submódulo 2.1]]/tabCustoUnit[[#This Row],[MODULO 1 - REMUNERAÇÃO ]])*SUM(tabCustoUnit[[#This Row],[13º salário (titular)]:[Férias e Adicional de Férias (titular)]]),0)</f>
        <v>328.22367270000001</v>
      </c>
      <c r="AB331" s="21">
        <f>SUM(tabCustoUnit[[#This Row],[13º salário (titular)]:[Incidência do Submódulo 2.1 sobre 13º Salário, Férias e Adicional de Férias]])</f>
        <v>1196.5402671444444</v>
      </c>
      <c r="AC331" s="22" t="e">
        <f ca="1">_xlfn.LET(_xlpm.VT,SUMIF(tabParametros[Código do Posto],tabCustoUnit[[#This Row],[Código do Posto]],tabParametros[Vale - Transporte])*2*20,
IF((_xlpm.VT-tabCustoUnit[[#This Row],[Salário Base]]*0.06)&gt;=0,(_xlpm.VT-tabCustoUnit[[#This Row],[Salário Base]]*0.06),0)
)</f>
        <v>#NAME?</v>
      </c>
      <c r="AD331" s="22">
        <f>IF(SUMIF(tabParametros[Código do Posto],tabCustoUnit[[#This Row],[Código do Posto]],tabParametros[Vale - Alimentação])&lt;=0,0,
SUMIF(tabParametros[Código do Posto],tabCustoUnit[[#This Row],[Código do Posto]],tabParametros[Vale - Alimentação])*20-1)</f>
        <v>578.4</v>
      </c>
      <c r="AE331" s="22">
        <f>SUMIF(tabParametros[Código do Posto],tabCustoUnit[[#This Row],[Código do Posto]],tabParametros[Cesta Básica])</f>
        <v>0</v>
      </c>
      <c r="AF331" s="22">
        <f>SUMIF(tabParametros[Código do Posto],tabCustoUnit[[#This Row],[Código do Posto]],tabParametros[PAF])</f>
        <v>22.52</v>
      </c>
      <c r="AG331" s="22">
        <f>SUMIF(tabParametros[Código do Posto],tabCustoUnit[[#This Row],[Código do Posto]],tabParametros[PQM])</f>
        <v>0</v>
      </c>
      <c r="AH331" s="22">
        <f>SUMIF(tabParametros[Código do Posto],tabCustoUnit[[#This Row],[Código do Posto]],tabParametros[Abono Único e Especial])</f>
        <v>0</v>
      </c>
      <c r="AI331" s="22">
        <f>SUMIF(tabParametros[Código do Posto],tabCustoUnit[[#This Row],[Código do Posto]],tabParametros[Seguro de Vida])</f>
        <v>3.36</v>
      </c>
      <c r="AJ331" s="22">
        <f>SUMIF(tabParametros[Código do Posto],tabCustoUnit[[#This Row],[Código do Posto]],tabParametros[Despesas de Viagem])</f>
        <v>662.42</v>
      </c>
      <c r="AK331" s="22" t="e">
        <f ca="1">SUM(tabCustoUnit[[#This Row],[Vale - Transporte (Descontada parcela do empregado)]:[Despesas de Viagem]])</f>
        <v>#NAME?</v>
      </c>
      <c r="AL331" s="22" t="e">
        <f ca="1">tabCustoUnit[[#This Row],[Submódulo 2.1]]+tabCustoUnit[[#This Row],[Submódulo 2.2]]+tabCustoUnit[[#This Row],[Submódulo 2.3]]</f>
        <v>#NAME?</v>
      </c>
      <c r="AM331" s="22">
        <f>SUMIF(tabParametros[Código do Posto],tabCustoUnit[[#This Row],[Código do Posto]],tabParametros[Aviso Prévio Indenizado (API) e Reflexo do Aviso Prévio Indenizado])*tabCustoUnit[[#This Row],[MODULO 1 - REMUNERAÇÃO ]]</f>
        <v>31.311944336766977</v>
      </c>
      <c r="AN331" s="22">
        <f>SUMIF(tabParametros[Código do Posto],tabCustoUnit[[#This Row],[Código do Posto]],tabParametros[Incidência do FGTS sobre API e Reflexo do API])*tabCustoUnit[[#This Row],[MODULO 1 - REMUNERAÇÃO ]]</f>
        <v>2.5049555469413582</v>
      </c>
      <c r="AO331" s="22">
        <f>SUMIF(tabParametros[Código do Posto],tabCustoUnit[[#This Row],[Código do Posto]],tabParametros[Multa Rescisória do FGTS sobre o Aviso Prévio Indenizado])*tabCustoUnit[[#This Row],[MODULO 1 - REMUNERAÇÃO ]]</f>
        <v>1.0019822187765435</v>
      </c>
      <c r="AP331" s="22">
        <f>SUMIF(tabParametros[Código do Posto],tabCustoUnit[[#This Row],[Código do Posto]],tabParametros[Aviso Prévio Trabalhado - APT])*tabCustoUnit[[#This Row],[MODULO 1 - REMUNERAÇÃO ]]</f>
        <v>15.629698700000002</v>
      </c>
      <c r="AQ331" s="22">
        <f>SUMIF(tabParametros[Código do Posto],tabCustoUnit[[#This Row],[Código do Posto]],tabParametros[Incidência dos encargos do submódulo 2.1 sobre Aviso Prévio Trabalhado])*tabCustoUnit[[#This Row],[MODULO 1 - REMUNERAÇÃO ]]</f>
        <v>5.9080261086000023</v>
      </c>
      <c r="AR331" s="22">
        <f>SUMIF(tabParametros[Código do Posto],tabCustoUnit[[#This Row],[Código do Posto]],tabParametros[Multa Rescisória do FGTS])*tabCustoUnit[[#This Row],[MODULO 1 - REMUNERAÇÃO ]]</f>
        <v>136.54898673777777</v>
      </c>
      <c r="AS331" s="22">
        <f>SUMIF(tabParametros[Código do Posto],tabCustoUnit[[#This Row],[Código do Posto]],tabParametros[Indenização Adicional (Art. 9º da Lei nº 7.238/84)])*tabCustoUnit[[#This Row],[MODULO 1 - REMUNERAÇÃO ]]</f>
        <v>3.7213568333333336</v>
      </c>
      <c r="AT331" s="22">
        <f>SUM(tabCustoUnit[[#This Row],[Aviso Prévio Indenizado (API) e Reflexo do Aviso Prévio Indenizado]:[Indenização Adicional (Art. 9º da Lei nº 7.238/84)]])</f>
        <v>196.62695048219601</v>
      </c>
      <c r="AU331" s="22">
        <f>SUMIF(tabParametros[Código do Posto],tabCustoUnit[[#This Row],[Código do Posto]],tabParametros[Ausência por Doença])*tabCustoUnit[[#This Row],[MODULO 1 - REMUNERAÇÃO ]]</f>
        <v>37.709749244444438</v>
      </c>
      <c r="AV331" s="22">
        <f>SUMIF(tabParametros[Código do Posto],tabCustoUnit[[#This Row],[Código do Posto]],tabParametros[Ausências Legais])*tabCustoUnit[[#This Row],[MODULO 1 - REMUNERAÇÃO ]]</f>
        <v>9.0553016277777783</v>
      </c>
      <c r="AW331" s="22">
        <f>SUMIF(tabParametros[Código do Posto],tabCustoUnit[[#This Row],[Código do Posto]],tabParametros[Licença Paternidade])*tabCustoUnit[[#This Row],[MODULO 1 - REMUNERAÇÃO ]]</f>
        <v>0.76287815083333332</v>
      </c>
      <c r="AX331" s="22">
        <f>SUMIF(tabParametros[Código do Posto],tabCustoUnit[[#This Row],[Código do Posto]],tabParametros[Ausência por Acidente de Trabalho])*tabCustoUnit[[#This Row],[MODULO 1 - REMUNERAÇÃO ]]</f>
        <v>0.93033920833333339</v>
      </c>
      <c r="AY331" s="22">
        <f>SUMIF(tabParametros[Código do Posto],tabCustoUnit[[#This Row],[Código do Posto]],tabParametros[Férias, Adicional de Férias e 13º  com empregada em gozo de Licença Maternidade])*tabCustoUnit[[#This Row],[MODULO 1 - REMUNERAÇÃO ]]</f>
        <v>5.7887772962962964</v>
      </c>
      <c r="AZ331" s="22">
        <f>SUMIF(tabParametros[Código do Posto],tabCustoUnit[[#This Row],[Código do Posto]],tabParametros[Incidência do Submódulo 2.1 sobre Ausências Legais])*tabCustoUnit[[#This Row],[MODULO 1 - REMUNERAÇÃO ]]</f>
        <v>20.505383209465005</v>
      </c>
      <c r="BA331" s="22">
        <f>SUM(tabCustoUnit[[#This Row],[Ausência por Doença]:[Incidência do Submódulo 2.1 sobre Ausências Legais]])</f>
        <v>74.752428737150183</v>
      </c>
      <c r="BB331" s="22">
        <f>SUMIF(tabParametros[Código do Posto],tabCustoUnit[[#This Row],[Código do Posto]],tabParametros[Intervalo para Repouso ou Alimentação])</f>
        <v>0</v>
      </c>
      <c r="BC331" s="22">
        <f>tabCustoUnit[[#This Row],[Intervalo para Repouso ou Alimentação]]</f>
        <v>0</v>
      </c>
      <c r="BD33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1" s="22">
        <f>tabCustoUnit[[#This Row],[Suspensão Temporária do Contrato de Trabalho]]</f>
        <v>0</v>
      </c>
      <c r="BF331" s="22">
        <f>tabCustoUnit[[#This Row],[Submódulo 4.1]]+tabCustoUnit[[#This Row],[Submódulo 4.2]]+tabCustoUnit[[#This Row],[Submódulo 4.3]]</f>
        <v>74.752428737150183</v>
      </c>
      <c r="BG331" s="22">
        <f>VLOOKUP(tabCustoUnit[[#This Row],[Código do Posto]],tabParametros[],MATCH(tabCustoUnit[[#Headers],[Uniformes e EPIs]],tabParametros[#Headers],0),0)</f>
        <v>92.100763771570698</v>
      </c>
      <c r="BH331" s="22">
        <f>VLOOKUP(tabCustoUnit[[#This Row],[Código do Posto]],tabParametros[],MATCH(tabCustoUnit[[#Headers],[Materiais de Consumo]],tabParametros[#Headers],0),0)</f>
        <v>0</v>
      </c>
      <c r="BI331" s="22">
        <f>VLOOKUP(tabCustoUnit[[#This Row],[Código do Posto]],tabParametros[],MATCH(tabCustoUnit[[#Headers],[Máquinas e Equipamentos (depreciação)]],tabParametros[#Headers],0),0)</f>
        <v>0</v>
      </c>
      <c r="BJ331" s="22">
        <f>VLOOKUP(tabCustoUnit[[#This Row],[Código do Posto]],tabParametros[],MATCH(tabCustoUnit[[#Headers],[Produtos de Limpeza e Materiais de Higiene Pessoal]],tabParametros[#Headers],0),0)</f>
        <v>0</v>
      </c>
      <c r="BK331" s="22">
        <f>VLOOKUP(tabCustoUnit[[#This Row],[Código do Posto]],tabParametros[],MATCH(tabCustoUnit[[#Headers],[Outros (especificar)]],tabParametros[#Headers],0),0)</f>
        <v>0</v>
      </c>
      <c r="BL331" s="22">
        <f>SUM(tabCustoUnit[[#This Row],[Uniformes e EPIs]:[Outros (especificar)]])</f>
        <v>92.100763771570698</v>
      </c>
      <c r="BM33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1" s="22" t="e">
        <f ca="1">VLOOKUP(tabCustoUnit[[#This Row],[Código do Posto]],tabParametros[],MATCH(tabCustoUnit[[#Headers],[Custos Indiretos]],tabParametros[#Headers],0),0)</f>
        <v>#NAME?</v>
      </c>
      <c r="BO331" s="22" t="e">
        <f ca="1">VLOOKUP(tabCustoUnit[[#This Row],[Código do Posto]],tabParametros[],MATCH(tabCustoUnit[[#Headers],[Lucro]],tabParametros[#Headers],0),0)</f>
        <v>#NAME?</v>
      </c>
      <c r="BP331" s="26">
        <f>((100/((1-tabCustoUnit[[#This Row],[Resumo de Alíquotas (PIS+CONFINS+ISS)]]))-100)*VLOOKUP(tabCustoUnit[[#This Row],[Código do Posto]],tabParametros[],MATCH(tabCustoUnit[[#Headers],[COFINS]],tabParametros[#Headers],0),0))/(tabCustoUnit[[#This Row],[Resumo de Alíquotas (PIS+CONFINS+ISS)]]*100)</f>
        <v>8.5633802816901458E-2</v>
      </c>
      <c r="BQ331" s="26">
        <f>((100/((100-(tabCustoUnit[[#This Row],[Resumo de Alíquotas (PIS+CONFINS+ISS)]]*100))%)-100)*VLOOKUP(tabCustoUnit[[#This Row],[Código do Posto]],tabParametros[],MATCH(tabCustoUnit[[#Headers],[PIS]],tabParametros[#Headers],0),0))/(tabCustoUnit[[#This Row],[Resumo de Alíquotas (PIS+CONFINS+ISS)]]*100)</f>
        <v>1.8591549295774657E-2</v>
      </c>
      <c r="BR331" s="28">
        <f>VLOOKUP(tabCustoUnit[[#This Row],[Código do Posto]],tabParametros[],MATCH(tabCustoUnit[[#Headers],[ISS]],tabParametros[#Headers],0),0)</f>
        <v>0.02</v>
      </c>
      <c r="BS331" s="26">
        <f>(((100/((100-(tabCustoUnit[[#This Row],[Resumo de Alíquotas (PIS+CONFINS+ISS)]]*100))%)-100)*tabCustoUnit[[#This Row],[ISS]])/tabCustoUnit[[#This Row],[Resumo de Alíquotas (PIS+CONFINS+ISS)]])/100</f>
        <v>2.2535211267605645E-2</v>
      </c>
      <c r="BT33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31" s="138">
        <f>tabCustoUnit[[#This Row],[COFINS]]+tabCustoUnit[[#This Row],[PIS]]+tabCustoUnit[[#This Row],[ISS (Conversão Alíquota s/ fatura)]]</f>
        <v>0.12676056338028174</v>
      </c>
      <c r="BV331" s="22" t="e">
        <f ca="1">(tabCustoUnit[[#This Row],[TOTAL MÓDULOS 1+2+3+4+5]]+tabCustoUnit[[#This Row],[Custos Indiretos]]+tabCustoUnit[[#This Row],[Lucro]])*tabCustoUnit[[#This Row],[PIS + COFINS + ISS (Total Conversão  Alíquota s/ Fatura)]]</f>
        <v>#NAME?</v>
      </c>
      <c r="BW331" s="22" t="e">
        <f ca="1">tabCustoUnit[[#This Row],[Custos Indiretos]]+tabCustoUnit[[#This Row],[Lucro]]+tabCustoUnit[[#This Row],[Valor dos Tributos (ISS, PIS, CONFINS)]]</f>
        <v>#NAME?</v>
      </c>
      <c r="BX331" s="22" t="e">
        <f ca="1">tabCustoUnit[[#This Row],[TOTAL MÓDULOS 1+2+3+4+5]]+tabCustoUnit[[#This Row],[MÓDULO 6 – CUSTOS INDIRETOS, TRIBUTOS E LUCRO]]</f>
        <v>#NAME?</v>
      </c>
      <c r="BY331" s="22" t="e">
        <f ca="1">tabCustoUnit[[#This Row],[CUSTO TOTAL MENSAL]]*12</f>
        <v>#NAME?</v>
      </c>
      <c r="BZ331" s="24">
        <f>VLOOKUP(tabCustoUnit[[#This Row],[Código do Posto]],tabParametros[],MATCH(tabCustoUnit[[#Headers],[ANO DA CCT]],tabParametros[#Headers],0),0)</f>
        <v>45658</v>
      </c>
      <c r="CA331" s="25" t="str">
        <f>VLOOKUP(tabCustoUnit[[#This Row],[Código do Posto]],tabParametros[],MATCH(tabCustoUnit[[#Headers],[Nº DE PEDIDO DA CCT]],tabParametros[#Headers],0),0)</f>
        <v>-</v>
      </c>
      <c r="CB331" s="25" t="str">
        <f>VLOOKUP(tabCustoUnit[[#This Row],[Código do Posto]],tabParametros[],MATCH(tabCustoUnit[[#Headers],[TERMO ADITIVO ALTERAÇÃO DA CCT]],tabParametros[#Headers],0),0)</f>
        <v>-</v>
      </c>
    </row>
    <row r="332" spans="1:80">
      <c r="A332" s="20" t="s">
        <v>1738</v>
      </c>
      <c r="B332" t="s">
        <v>1074</v>
      </c>
      <c r="C332" t="s">
        <v>304</v>
      </c>
      <c r="D332" t="s">
        <v>1074</v>
      </c>
      <c r="E332" s="20" t="s">
        <v>1090</v>
      </c>
      <c r="F332" s="20" t="s">
        <v>120</v>
      </c>
      <c r="G332" s="418">
        <v>2134.8042</v>
      </c>
      <c r="H332" s="418">
        <v>0</v>
      </c>
      <c r="I332" s="418">
        <v>0</v>
      </c>
      <c r="J332" s="418">
        <v>0</v>
      </c>
      <c r="K332" s="418">
        <v>0</v>
      </c>
      <c r="L332" s="418">
        <v>0</v>
      </c>
      <c r="M332" s="418">
        <v>0</v>
      </c>
      <c r="N332" s="418">
        <v>0</v>
      </c>
      <c r="O332" s="21">
        <f>SUM(tabCustoUnit[[#This Row],[Salário Base]:[Adicional de Acúmulo de função]])</f>
        <v>2134.8042</v>
      </c>
      <c r="P332" s="21">
        <f>tabCustoUnit[[#This Row],[MODULO 1 - REMUNERAÇÃO ]]*SUMIFS(tabParametros[INSS],tabParametros[Código do Posto],tabCustoUnit[[#This Row],[Código do Posto]])</f>
        <v>426.96084000000002</v>
      </c>
      <c r="Q332" s="21">
        <f>tabCustoUnit[[#This Row],[MODULO 1 - REMUNERAÇÃO ]]*SUMIFS(tabParametros[SESI OU SESC],tabParametros[Código do Posto],tabCustoUnit[[#This Row],[Código do Posto]])</f>
        <v>32.022063000000003</v>
      </c>
      <c r="R332" s="21">
        <f>tabCustoUnit[[#This Row],[MODULO 1 - REMUNERAÇÃO ]]*SUMIFS(tabParametros[SENAI OU SENAC],tabParametros[Código do Posto],tabCustoUnit[[#This Row],[Código do Posto]])</f>
        <v>21.348042</v>
      </c>
      <c r="S332" s="21">
        <f>tabCustoUnit[[#This Row],[MODULO 1 - REMUNERAÇÃO ]]*SUMIFS(tabParametros[INCRA],tabParametros[Código do Posto],tabCustoUnit[[#This Row],[Código do Posto]])</f>
        <v>4.2696084000000001</v>
      </c>
      <c r="T332" s="21">
        <f>tabCustoUnit[[#This Row],[MODULO 1 - REMUNERAÇÃO ]]*SUMIFS(tabParametros[Salário Educação],tabParametros[Código do Posto],tabCustoUnit[[#This Row],[Código do Posto]])</f>
        <v>53.370105000000002</v>
      </c>
      <c r="U332" s="21">
        <f>tabCustoUnit[[#This Row],[MODULO 1 - REMUNERAÇÃO ]]*SUMIFS(tabParametros[FGTS],tabParametros[Código do Posto],tabCustoUnit[[#This Row],[Código do Posto]])</f>
        <v>170.784336</v>
      </c>
      <c r="V332" s="21">
        <f>tabCustoUnit[[#This Row],[MODULO 1 - REMUNERAÇÃO ]]*SUMIFS(tabParametros[RAT Ajustado],tabParametros[Código do Posto],tabCustoUnit[[#This Row],[Código do Posto]])</f>
        <v>85.392167999999998</v>
      </c>
      <c r="W332" s="21">
        <f>tabCustoUnit[[#This Row],[MODULO 1 - REMUNERAÇÃO ]]*SUMIFS(tabParametros[SEBRAE],tabParametros[Código do Posto],tabCustoUnit[[#This Row],[Código do Posto]])</f>
        <v>12.808825200000001</v>
      </c>
      <c r="X332" s="21">
        <f>SUM(tabCustoUnit[[#This Row],[INSS]:[SEBRAE]])</f>
        <v>806.95598759999996</v>
      </c>
      <c r="Y332" s="21">
        <f>tabCustoUnit[[#This Row],[MODULO 1 - REMUNERAÇÃO ]]*SUMIFS(tabParametros[13º salário (titular)],tabParametros[Código do Posto],tabCustoUnit[[#This Row],[Código do Posto]])</f>
        <v>177.90035</v>
      </c>
      <c r="Z332" s="21">
        <f>tabCustoUnit[[#This Row],[MODULO 1 - REMUNERAÇÃO ]]*SUMIFS(tabParametros[Férias e Adicional de Férias (titular)],tabParametros[Código do Posto],tabCustoUnit[[#This Row],[Código do Posto]])</f>
        <v>237.20046666666667</v>
      </c>
      <c r="AA332" s="21">
        <f>IFERROR((tabCustoUnit[[#This Row],[Submódulo 2.1]]/tabCustoUnit[[#This Row],[MODULO 1 - REMUNERAÇÃO ]])*SUM(tabCustoUnit[[#This Row],[13º salário (titular)]:[Férias e Adicional de Férias (titular)]]),0)</f>
        <v>156.90810869999999</v>
      </c>
      <c r="AB332" s="21">
        <f>SUM(tabCustoUnit[[#This Row],[13º salário (titular)]:[Incidência do Submódulo 2.1 sobre 13º Salário, Férias e Adicional de Férias]])</f>
        <v>572.00892536666663</v>
      </c>
      <c r="AC332" s="22" t="e">
        <f ca="1">_xlfn.LET(_xlpm.VT,SUMIF(tabParametros[Código do Posto],tabCustoUnit[[#This Row],[Código do Posto]],tabParametros[Vale - Transporte])*2*20,
IF((_xlpm.VT-tabCustoUnit[[#This Row],[Salário Base]]*0.06)&gt;=0,(_xlpm.VT-tabCustoUnit[[#This Row],[Salário Base]]*0.06),0)
)</f>
        <v>#NAME?</v>
      </c>
      <c r="AD332" s="22">
        <f>IF(SUMIF(tabParametros[Código do Posto],tabCustoUnit[[#This Row],[Código do Posto]],tabParametros[Vale - Alimentação])&lt;=0,0,
SUMIF(tabParametros[Código do Posto],tabCustoUnit[[#This Row],[Código do Posto]],tabParametros[Vale - Alimentação])*20-1)</f>
        <v>582</v>
      </c>
      <c r="AE332" s="22">
        <f>SUMIF(tabParametros[Código do Posto],tabCustoUnit[[#This Row],[Código do Posto]],tabParametros[Cesta Básica])</f>
        <v>0</v>
      </c>
      <c r="AF332" s="22">
        <f>SUMIF(tabParametros[Código do Posto],tabCustoUnit[[#This Row],[Código do Posto]],tabParametros[PAF])</f>
        <v>0</v>
      </c>
      <c r="AG332" s="22">
        <f>SUMIF(tabParametros[Código do Posto],tabCustoUnit[[#This Row],[Código do Posto]],tabParametros[PQM])</f>
        <v>0</v>
      </c>
      <c r="AH332" s="22">
        <f>SUMIF(tabParametros[Código do Posto],tabCustoUnit[[#This Row],[Código do Posto]],tabParametros[Abono Único e Especial])</f>
        <v>0</v>
      </c>
      <c r="AI332" s="22">
        <f>SUMIF(tabParametros[Código do Posto],tabCustoUnit[[#This Row],[Código do Posto]],tabParametros[Seguro de Vida])</f>
        <v>3.36</v>
      </c>
      <c r="AJ332" s="22">
        <f>SUMIF(tabParametros[Código do Posto],tabCustoUnit[[#This Row],[Código do Posto]],tabParametros[Despesas de Viagem])</f>
        <v>0</v>
      </c>
      <c r="AK332" s="22" t="e">
        <f ca="1">SUM(tabCustoUnit[[#This Row],[Vale - Transporte (Descontada parcela do empregado)]:[Despesas de Viagem]])</f>
        <v>#NAME?</v>
      </c>
      <c r="AL332" s="22" t="e">
        <f ca="1">tabCustoUnit[[#This Row],[Submódulo 2.1]]+tabCustoUnit[[#This Row],[Submódulo 2.2]]+tabCustoUnit[[#This Row],[Submódulo 2.3]]</f>
        <v>#NAME?</v>
      </c>
      <c r="AM332" s="22">
        <f>SUMIF(tabParametros[Código do Posto],tabCustoUnit[[#This Row],[Código do Posto]],tabParametros[Aviso Prévio Indenizado (API) e Reflexo do Aviso Prévio Indenizado])*tabCustoUnit[[#This Row],[MODULO 1 - REMUNERAÇÃO ]]</f>
        <v>14.968749588310185</v>
      </c>
      <c r="AN332" s="22">
        <f>SUMIF(tabParametros[Código do Posto],tabCustoUnit[[#This Row],[Código do Posto]],tabParametros[Incidência do FGTS sobre API e Reflexo do API])*tabCustoUnit[[#This Row],[MODULO 1 - REMUNERAÇÃO ]]</f>
        <v>1.197499967064815</v>
      </c>
      <c r="AO332" s="22">
        <f>SUMIF(tabParametros[Código do Posto],tabCustoUnit[[#This Row],[Código do Posto]],tabParametros[Multa Rescisória do FGTS sobre o Aviso Prévio Indenizado])*tabCustoUnit[[#This Row],[MODULO 1 - REMUNERAÇÃO ]]</f>
        <v>0.47899998682592604</v>
      </c>
      <c r="AP332" s="22">
        <f>SUMIF(tabParametros[Código do Posto],tabCustoUnit[[#This Row],[Código do Posto]],tabParametros[Aviso Prévio Trabalhado - APT])*tabCustoUnit[[#This Row],[MODULO 1 - REMUNERAÇÃO ]]</f>
        <v>7.4718147000000013</v>
      </c>
      <c r="AQ332" s="22">
        <f>SUMIF(tabParametros[Código do Posto],tabCustoUnit[[#This Row],[Código do Posto]],tabParametros[Incidência dos encargos do submódulo 2.1 sobre Aviso Prévio Trabalhado])*tabCustoUnit[[#This Row],[MODULO 1 - REMUNERAÇÃO ]]</f>
        <v>2.8243459566000011</v>
      </c>
      <c r="AR332" s="22">
        <f>SUMIF(tabParametros[Código do Posto],tabCustoUnit[[#This Row],[Código do Posto]],tabParametros[Multa Rescisória do FGTS])*tabCustoUnit[[#This Row],[MODULO 1 - REMUNERAÇÃO ]]</f>
        <v>65.277568426666662</v>
      </c>
      <c r="AS332" s="22">
        <f>SUMIF(tabParametros[Código do Posto],tabCustoUnit[[#This Row],[Código do Posto]],tabParametros[Indenização Adicional (Art. 9º da Lei nº 7.238/84)])*tabCustoUnit[[#This Row],[MODULO 1 - REMUNERAÇÃO ]]</f>
        <v>1.7790035000000002</v>
      </c>
      <c r="AT332" s="22">
        <f>SUM(tabCustoUnit[[#This Row],[Aviso Prévio Indenizado (API) e Reflexo do Aviso Prévio Indenizado]:[Indenização Adicional (Art. 9º da Lei nº 7.238/84)]])</f>
        <v>93.997982125467587</v>
      </c>
      <c r="AU332" s="22">
        <f>SUMIF(tabParametros[Código do Posto],tabCustoUnit[[#This Row],[Código do Posto]],tabParametros[Ausência por Doença])*tabCustoUnit[[#This Row],[MODULO 1 - REMUNERAÇÃO ]]</f>
        <v>18.027235466666664</v>
      </c>
      <c r="AV332" s="22">
        <f>SUMIF(tabParametros[Código do Posto],tabCustoUnit[[#This Row],[Código do Posto]],tabParametros[Ausências Legais])*tabCustoUnit[[#This Row],[MODULO 1 - REMUNERAÇÃO ]]</f>
        <v>4.3289085166666661</v>
      </c>
      <c r="AW332" s="22">
        <f>SUMIF(tabParametros[Código do Posto],tabCustoUnit[[#This Row],[Código do Posto]],tabParametros[Licença Paternidade])*tabCustoUnit[[#This Row],[MODULO 1 - REMUNERAÇÃO ]]</f>
        <v>0.36469571750000002</v>
      </c>
      <c r="AX332" s="22">
        <f>SUMIF(tabParametros[Código do Posto],tabCustoUnit[[#This Row],[Código do Posto]],tabParametros[Ausência por Acidente de Trabalho])*tabCustoUnit[[#This Row],[MODULO 1 - REMUNERAÇÃO ]]</f>
        <v>0.44475087500000005</v>
      </c>
      <c r="AY332" s="22">
        <f>SUMIF(tabParametros[Código do Posto],tabCustoUnit[[#This Row],[Código do Posto]],tabParametros[Férias, Adicional de Férias e 13º  com empregada em gozo de Licença Maternidade])*tabCustoUnit[[#This Row],[MODULO 1 - REMUNERAÇÃO ]]</f>
        <v>2.7673387777777778</v>
      </c>
      <c r="AZ332" s="22">
        <f>SUMIF(tabParametros[Código do Posto],tabCustoUnit[[#This Row],[Código do Posto]],tabParametros[Incidência do Submódulo 2.1 sobre Ausências Legais])*tabCustoUnit[[#This Row],[MODULO 1 - REMUNERAÇÃO ]]</f>
        <v>9.8026472956650021</v>
      </c>
      <c r="BA332" s="22">
        <f>SUM(tabCustoUnit[[#This Row],[Ausência por Doença]:[Incidência do Submódulo 2.1 sobre Ausências Legais]])</f>
        <v>35.735576649276105</v>
      </c>
      <c r="BB332" s="22">
        <f>SUMIF(tabParametros[Código do Posto],tabCustoUnit[[#This Row],[Código do Posto]],tabParametros[Intervalo para Repouso ou Alimentação])</f>
        <v>236.35331788404324</v>
      </c>
      <c r="BC332" s="22">
        <f>tabCustoUnit[[#This Row],[Intervalo para Repouso ou Alimentação]]</f>
        <v>236.35331788404324</v>
      </c>
      <c r="BD332"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2" s="22">
        <f>tabCustoUnit[[#This Row],[Suspensão Temporária do Contrato de Trabalho]]</f>
        <v>0</v>
      </c>
      <c r="BF332" s="22">
        <f>tabCustoUnit[[#This Row],[Submódulo 4.1]]+tabCustoUnit[[#This Row],[Submódulo 4.2]]+tabCustoUnit[[#This Row],[Submódulo 4.3]]</f>
        <v>272.08889453331932</v>
      </c>
      <c r="BG332" s="22">
        <f>VLOOKUP(tabCustoUnit[[#This Row],[Código do Posto]],tabParametros[],MATCH(tabCustoUnit[[#Headers],[Uniformes e EPIs]],tabParametros[#Headers],0),0)</f>
        <v>56.642978962543395</v>
      </c>
      <c r="BH332" s="22">
        <f>VLOOKUP(tabCustoUnit[[#This Row],[Código do Posto]],tabParametros[],MATCH(tabCustoUnit[[#Headers],[Materiais de Consumo]],tabParametros[#Headers],0),0)</f>
        <v>0</v>
      </c>
      <c r="BI332" s="22">
        <f>VLOOKUP(tabCustoUnit[[#This Row],[Código do Posto]],tabParametros[],MATCH(tabCustoUnit[[#Headers],[Máquinas e Equipamentos (depreciação)]],tabParametros[#Headers],0),0)</f>
        <v>0</v>
      </c>
      <c r="BJ332" s="22">
        <f>VLOOKUP(tabCustoUnit[[#This Row],[Código do Posto]],tabParametros[],MATCH(tabCustoUnit[[#Headers],[Produtos de Limpeza e Materiais de Higiene Pessoal]],tabParametros[#Headers],0),0)</f>
        <v>0</v>
      </c>
      <c r="BK332" s="22">
        <f>VLOOKUP(tabCustoUnit[[#This Row],[Código do Posto]],tabParametros[],MATCH(tabCustoUnit[[#Headers],[Outros (especificar)]],tabParametros[#Headers],0),0)</f>
        <v>0</v>
      </c>
      <c r="BL332" s="22">
        <f>SUM(tabCustoUnit[[#This Row],[Uniformes e EPIs]:[Outros (especificar)]])</f>
        <v>56.642978962543395</v>
      </c>
      <c r="BM332"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2" s="22" t="e">
        <f ca="1">VLOOKUP(tabCustoUnit[[#This Row],[Código do Posto]],tabParametros[],MATCH(tabCustoUnit[[#Headers],[Custos Indiretos]],tabParametros[#Headers],0),0)</f>
        <v>#NAME?</v>
      </c>
      <c r="BO332" s="22" t="e">
        <f ca="1">VLOOKUP(tabCustoUnit[[#This Row],[Código do Posto]],tabParametros[],MATCH(tabCustoUnit[[#Headers],[Lucro]],tabParametros[#Headers],0),0)</f>
        <v>#NAME?</v>
      </c>
      <c r="BP332" s="26">
        <f>((100/((1-tabCustoUnit[[#This Row],[Resumo de Alíquotas (PIS+CONFINS+ISS)]]))-100)*VLOOKUP(tabCustoUnit[[#This Row],[Código do Posto]],tabParametros[],MATCH(tabCustoUnit[[#Headers],[COFINS]],tabParametros[#Headers],0),0))/(tabCustoUnit[[#This Row],[Resumo de Alíquotas (PIS+CONFINS+ISS)]]*100)</f>
        <v>8.5633802816901458E-2</v>
      </c>
      <c r="BQ332" s="26">
        <f>((100/((100-(tabCustoUnit[[#This Row],[Resumo de Alíquotas (PIS+CONFINS+ISS)]]*100))%)-100)*VLOOKUP(tabCustoUnit[[#This Row],[Código do Posto]],tabParametros[],MATCH(tabCustoUnit[[#Headers],[PIS]],tabParametros[#Headers],0),0))/(tabCustoUnit[[#This Row],[Resumo de Alíquotas (PIS+CONFINS+ISS)]]*100)</f>
        <v>1.8591549295774657E-2</v>
      </c>
      <c r="BR332" s="28">
        <f>VLOOKUP(tabCustoUnit[[#This Row],[Código do Posto]],tabParametros[],MATCH(tabCustoUnit[[#Headers],[ISS]],tabParametros[#Headers],0),0)</f>
        <v>0.02</v>
      </c>
      <c r="BS332" s="26">
        <f>(((100/((100-(tabCustoUnit[[#This Row],[Resumo de Alíquotas (PIS+CONFINS+ISS)]]*100))%)-100)*tabCustoUnit[[#This Row],[ISS]])/tabCustoUnit[[#This Row],[Resumo de Alíquotas (PIS+CONFINS+ISS)]])/100</f>
        <v>2.2535211267605645E-2</v>
      </c>
      <c r="BT33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32" s="138">
        <f>tabCustoUnit[[#This Row],[COFINS]]+tabCustoUnit[[#This Row],[PIS]]+tabCustoUnit[[#This Row],[ISS (Conversão Alíquota s/ fatura)]]</f>
        <v>0.12676056338028174</v>
      </c>
      <c r="BV332" s="22" t="e">
        <f ca="1">(tabCustoUnit[[#This Row],[TOTAL MÓDULOS 1+2+3+4+5]]+tabCustoUnit[[#This Row],[Custos Indiretos]]+tabCustoUnit[[#This Row],[Lucro]])*tabCustoUnit[[#This Row],[PIS + COFINS + ISS (Total Conversão  Alíquota s/ Fatura)]]</f>
        <v>#NAME?</v>
      </c>
      <c r="BW332" s="22" t="e">
        <f ca="1">tabCustoUnit[[#This Row],[Custos Indiretos]]+tabCustoUnit[[#This Row],[Lucro]]+tabCustoUnit[[#This Row],[Valor dos Tributos (ISS, PIS, CONFINS)]]</f>
        <v>#NAME?</v>
      </c>
      <c r="BX332" s="22" t="e">
        <f ca="1">tabCustoUnit[[#This Row],[TOTAL MÓDULOS 1+2+3+4+5]]+tabCustoUnit[[#This Row],[MÓDULO 6 – CUSTOS INDIRETOS, TRIBUTOS E LUCRO]]</f>
        <v>#NAME?</v>
      </c>
      <c r="BY332" s="22" t="e">
        <f ca="1">tabCustoUnit[[#This Row],[CUSTO TOTAL MENSAL]]*12</f>
        <v>#NAME?</v>
      </c>
      <c r="BZ332" s="24">
        <f>VLOOKUP(tabCustoUnit[[#This Row],[Código do Posto]],tabParametros[],MATCH(tabCustoUnit[[#Headers],[ANO DA CCT]],tabParametros[#Headers],0),0)</f>
        <v>45658</v>
      </c>
      <c r="CA332" s="25" t="str">
        <f>VLOOKUP(tabCustoUnit[[#This Row],[Código do Posto]],tabParametros[],MATCH(tabCustoUnit[[#Headers],[Nº DE PEDIDO DA CCT]],tabParametros[#Headers],0),0)</f>
        <v>-</v>
      </c>
      <c r="CB332" s="25" t="str">
        <f>VLOOKUP(tabCustoUnit[[#This Row],[Código do Posto]],tabParametros[],MATCH(tabCustoUnit[[#Headers],[TERMO ADITIVO ALTERAÇÃO DA CCT]],tabParametros[#Headers],0),0)</f>
        <v>-</v>
      </c>
    </row>
    <row r="333" spans="1:80">
      <c r="A333" s="20" t="s">
        <v>1739</v>
      </c>
      <c r="B333" t="s">
        <v>1074</v>
      </c>
      <c r="C333" t="s">
        <v>309</v>
      </c>
      <c r="D333" t="s">
        <v>1074</v>
      </c>
      <c r="E333" s="20" t="s">
        <v>1090</v>
      </c>
      <c r="F333" s="20" t="s">
        <v>120</v>
      </c>
      <c r="G333" s="418">
        <v>2134.8042</v>
      </c>
      <c r="H333" s="418">
        <v>0</v>
      </c>
      <c r="I333" s="418">
        <v>0</v>
      </c>
      <c r="J333" s="418">
        <v>430.16300000000001</v>
      </c>
      <c r="K333" s="418">
        <v>0</v>
      </c>
      <c r="L333" s="418">
        <v>0</v>
      </c>
      <c r="M333" s="418">
        <v>0</v>
      </c>
      <c r="N333" s="418">
        <v>0</v>
      </c>
      <c r="O333" s="21">
        <f>SUM(tabCustoUnit[[#This Row],[Salário Base]:[Adicional de Acúmulo de função]])</f>
        <v>2564.9672</v>
      </c>
      <c r="P333" s="21">
        <f>tabCustoUnit[[#This Row],[MODULO 1 - REMUNERAÇÃO ]]*SUMIFS(tabParametros[INSS],tabParametros[Código do Posto],tabCustoUnit[[#This Row],[Código do Posto]])</f>
        <v>512.99344000000008</v>
      </c>
      <c r="Q333" s="21">
        <f>tabCustoUnit[[#This Row],[MODULO 1 - REMUNERAÇÃO ]]*SUMIFS(tabParametros[SESI OU SESC],tabParametros[Código do Posto],tabCustoUnit[[#This Row],[Código do Posto]])</f>
        <v>38.474508</v>
      </c>
      <c r="R333" s="21">
        <f>tabCustoUnit[[#This Row],[MODULO 1 - REMUNERAÇÃO ]]*SUMIFS(tabParametros[SENAI OU SENAC],tabParametros[Código do Posto],tabCustoUnit[[#This Row],[Código do Posto]])</f>
        <v>25.649672000000002</v>
      </c>
      <c r="S333" s="21">
        <f>tabCustoUnit[[#This Row],[MODULO 1 - REMUNERAÇÃO ]]*SUMIFS(tabParametros[INCRA],tabParametros[Código do Posto],tabCustoUnit[[#This Row],[Código do Posto]])</f>
        <v>5.1299343999999998</v>
      </c>
      <c r="T333" s="21">
        <f>tabCustoUnit[[#This Row],[MODULO 1 - REMUNERAÇÃO ]]*SUMIFS(tabParametros[Salário Educação],tabParametros[Código do Posto],tabCustoUnit[[#This Row],[Código do Posto]])</f>
        <v>64.12418000000001</v>
      </c>
      <c r="U333" s="21">
        <f>tabCustoUnit[[#This Row],[MODULO 1 - REMUNERAÇÃO ]]*SUMIFS(tabParametros[FGTS],tabParametros[Código do Posto],tabCustoUnit[[#This Row],[Código do Posto]])</f>
        <v>205.19737600000002</v>
      </c>
      <c r="V333" s="21">
        <f>tabCustoUnit[[#This Row],[MODULO 1 - REMUNERAÇÃO ]]*SUMIFS(tabParametros[RAT Ajustado],tabParametros[Código do Posto],tabCustoUnit[[#This Row],[Código do Posto]])</f>
        <v>102.59868800000001</v>
      </c>
      <c r="W333" s="21">
        <f>tabCustoUnit[[#This Row],[MODULO 1 - REMUNERAÇÃO ]]*SUMIFS(tabParametros[SEBRAE],tabParametros[Código do Posto],tabCustoUnit[[#This Row],[Código do Posto]])</f>
        <v>15.389803200000001</v>
      </c>
      <c r="X333" s="21">
        <f>SUM(tabCustoUnit[[#This Row],[INSS]:[SEBRAE]])</f>
        <v>969.55760160000023</v>
      </c>
      <c r="Y333" s="21">
        <f>tabCustoUnit[[#This Row],[MODULO 1 - REMUNERAÇÃO ]]*SUMIFS(tabParametros[13º salário (titular)],tabParametros[Código do Posto],tabCustoUnit[[#This Row],[Código do Posto]])</f>
        <v>213.74726666666666</v>
      </c>
      <c r="Z333" s="21">
        <f>tabCustoUnit[[#This Row],[MODULO 1 - REMUNERAÇÃO ]]*SUMIFS(tabParametros[Férias e Adicional de Férias (titular)],tabParametros[Código do Posto],tabCustoUnit[[#This Row],[Código do Posto]])</f>
        <v>284.99635555555557</v>
      </c>
      <c r="AA333" s="21">
        <f>IFERROR((tabCustoUnit[[#This Row],[Submódulo 2.1]]/tabCustoUnit[[#This Row],[MODULO 1 - REMUNERAÇÃO ]])*SUM(tabCustoUnit[[#This Row],[13º salário (titular)]:[Férias e Adicional de Férias (titular)]]),0)</f>
        <v>188.52508920000005</v>
      </c>
      <c r="AB333" s="21">
        <f>SUM(tabCustoUnit[[#This Row],[13º salário (titular)]:[Incidência do Submódulo 2.1 sobre 13º Salário, Férias e Adicional de Férias]])</f>
        <v>687.26871142222228</v>
      </c>
      <c r="AC333" s="22" t="e">
        <f ca="1">_xlfn.LET(_xlpm.VT,SUMIF(tabParametros[Código do Posto],tabCustoUnit[[#This Row],[Código do Posto]],tabParametros[Vale - Transporte])*2*20,
IF((_xlpm.VT-tabCustoUnit[[#This Row],[Salário Base]]*0.06)&gt;=0,(_xlpm.VT-tabCustoUnit[[#This Row],[Salário Base]]*0.06),0)
)</f>
        <v>#NAME?</v>
      </c>
      <c r="AD333" s="22">
        <f>IF(SUMIF(tabParametros[Código do Posto],tabCustoUnit[[#This Row],[Código do Posto]],tabParametros[Vale - Alimentação])&lt;=0,0,
SUMIF(tabParametros[Código do Posto],tabCustoUnit[[#This Row],[Código do Posto]],tabParametros[Vale - Alimentação])*20-1)</f>
        <v>582</v>
      </c>
      <c r="AE333" s="22">
        <f>SUMIF(tabParametros[Código do Posto],tabCustoUnit[[#This Row],[Código do Posto]],tabParametros[Cesta Básica])</f>
        <v>0</v>
      </c>
      <c r="AF333" s="22">
        <f>SUMIF(tabParametros[Código do Posto],tabCustoUnit[[#This Row],[Código do Posto]],tabParametros[PAF])</f>
        <v>0</v>
      </c>
      <c r="AG333" s="22">
        <f>SUMIF(tabParametros[Código do Posto],tabCustoUnit[[#This Row],[Código do Posto]],tabParametros[PQM])</f>
        <v>0</v>
      </c>
      <c r="AH333" s="22">
        <f>SUMIF(tabParametros[Código do Posto],tabCustoUnit[[#This Row],[Código do Posto]],tabParametros[Abono Único e Especial])</f>
        <v>0</v>
      </c>
      <c r="AI333" s="22">
        <f>SUMIF(tabParametros[Código do Posto],tabCustoUnit[[#This Row],[Código do Posto]],tabParametros[Seguro de Vida])</f>
        <v>3.36</v>
      </c>
      <c r="AJ333" s="22">
        <f>SUMIF(tabParametros[Código do Posto],tabCustoUnit[[#This Row],[Código do Posto]],tabParametros[Despesas de Viagem])</f>
        <v>0</v>
      </c>
      <c r="AK333" s="22" t="e">
        <f ca="1">SUM(tabCustoUnit[[#This Row],[Vale - Transporte (Descontada parcela do empregado)]:[Despesas de Viagem]])</f>
        <v>#NAME?</v>
      </c>
      <c r="AL333" s="22" t="e">
        <f ca="1">tabCustoUnit[[#This Row],[Submódulo 2.1]]+tabCustoUnit[[#This Row],[Submódulo 2.2]]+tabCustoUnit[[#This Row],[Submódulo 2.3]]</f>
        <v>#NAME?</v>
      </c>
      <c r="AM333" s="22">
        <f>SUMIF(tabParametros[Código do Posto],tabCustoUnit[[#This Row],[Código do Posto]],tabParametros[Aviso Prévio Indenizado (API) e Reflexo do Aviso Prévio Indenizado])*tabCustoUnit[[#This Row],[MODULO 1 - REMUNERAÇÃO ]]</f>
        <v>17.984952305709879</v>
      </c>
      <c r="AN333" s="22">
        <f>SUMIF(tabParametros[Código do Posto],tabCustoUnit[[#This Row],[Código do Posto]],tabParametros[Incidência do FGTS sobre API e Reflexo do API])*tabCustoUnit[[#This Row],[MODULO 1 - REMUNERAÇÃO ]]</f>
        <v>1.4387961844567903</v>
      </c>
      <c r="AO333" s="22">
        <f>SUMIF(tabParametros[Código do Posto],tabCustoUnit[[#This Row],[Código do Posto]],tabParametros[Multa Rescisória do FGTS sobre o Aviso Prévio Indenizado])*tabCustoUnit[[#This Row],[MODULO 1 - REMUNERAÇÃO ]]</f>
        <v>0.57551847378271614</v>
      </c>
      <c r="AP333" s="22">
        <f>SUMIF(tabParametros[Código do Posto],tabCustoUnit[[#This Row],[Código do Posto]],tabParametros[Aviso Prévio Trabalhado - APT])*tabCustoUnit[[#This Row],[MODULO 1 - REMUNERAÇÃO ]]</f>
        <v>8.9773852000000023</v>
      </c>
      <c r="AQ333" s="22">
        <f>SUMIF(tabParametros[Código do Posto],tabCustoUnit[[#This Row],[Código do Posto]],tabParametros[Incidência dos encargos do submódulo 2.1 sobre Aviso Prévio Trabalhado])*tabCustoUnit[[#This Row],[MODULO 1 - REMUNERAÇÃO ]]</f>
        <v>3.393451605600001</v>
      </c>
      <c r="AR333" s="22">
        <f>SUMIF(tabParametros[Código do Posto],tabCustoUnit[[#This Row],[Código do Posto]],tabParametros[Multa Rescisória do FGTS])*tabCustoUnit[[#This Row],[MODULO 1 - REMUNERAÇÃO ]]</f>
        <v>78.430997048888884</v>
      </c>
      <c r="AS333" s="22">
        <f>SUMIF(tabParametros[Código do Posto],tabCustoUnit[[#This Row],[Código do Posto]],tabParametros[Indenização Adicional (Art. 9º da Lei nº 7.238/84)])*tabCustoUnit[[#This Row],[MODULO 1 - REMUNERAÇÃO ]]</f>
        <v>2.137472666666667</v>
      </c>
      <c r="AT333" s="22">
        <f>SUM(tabCustoUnit[[#This Row],[Aviso Prévio Indenizado (API) e Reflexo do Aviso Prévio Indenizado]:[Indenização Adicional (Art. 9º da Lei nº 7.238/84)]])</f>
        <v>112.93857348510494</v>
      </c>
      <c r="AU333" s="22">
        <f>SUMIF(tabParametros[Código do Posto],tabCustoUnit[[#This Row],[Código do Posto]],tabParametros[Ausência por Doença])*tabCustoUnit[[#This Row],[MODULO 1 - REMUNERAÇÃO ]]</f>
        <v>21.65972302222222</v>
      </c>
      <c r="AV333" s="22">
        <f>SUMIF(tabParametros[Código do Posto],tabCustoUnit[[#This Row],[Código do Posto]],tabParametros[Ausências Legais])*tabCustoUnit[[#This Row],[MODULO 1 - REMUNERAÇÃO ]]</f>
        <v>5.2011834888888888</v>
      </c>
      <c r="AW333" s="22">
        <f>SUMIF(tabParametros[Código do Posto],tabCustoUnit[[#This Row],[Código do Posto]],tabParametros[Licença Paternidade])*tabCustoUnit[[#This Row],[MODULO 1 - REMUNERAÇÃO ]]</f>
        <v>0.43818189666666668</v>
      </c>
      <c r="AX333" s="22">
        <f>SUMIF(tabParametros[Código do Posto],tabCustoUnit[[#This Row],[Código do Posto]],tabParametros[Ausência por Acidente de Trabalho])*tabCustoUnit[[#This Row],[MODULO 1 - REMUNERAÇÃO ]]</f>
        <v>0.53436816666666676</v>
      </c>
      <c r="AY333" s="22">
        <f>SUMIF(tabParametros[Código do Posto],tabCustoUnit[[#This Row],[Código do Posto]],tabParametros[Férias, Adicional de Férias e 13º  com empregada em gozo de Licença Maternidade])*tabCustoUnit[[#This Row],[MODULO 1 - REMUNERAÇÃO ]]</f>
        <v>3.3249574814814813</v>
      </c>
      <c r="AZ333" s="22">
        <f>SUMIF(tabParametros[Código do Posto],tabCustoUnit[[#This Row],[Código do Posto]],tabParametros[Incidência do Submódulo 2.1 sobre Ausências Legais])*tabCustoUnit[[#This Row],[MODULO 1 - REMUNERAÇÃO ]]</f>
        <v>11.777880513140003</v>
      </c>
      <c r="BA333" s="22">
        <f>SUM(tabCustoUnit[[#This Row],[Ausência por Doença]:[Incidência do Submódulo 2.1 sobre Ausências Legais]])</f>
        <v>42.936294569065929</v>
      </c>
      <c r="BB333" s="22">
        <f>SUMIF(tabParametros[Código do Posto],tabCustoUnit[[#This Row],[Código do Posto]],tabParametros[Intervalo para Repouso ou Alimentação])</f>
        <v>283.97851143767798</v>
      </c>
      <c r="BC333" s="22">
        <f>tabCustoUnit[[#This Row],[Intervalo para Repouso ou Alimentação]]</f>
        <v>283.97851143767798</v>
      </c>
      <c r="BD333"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3" s="22">
        <f>tabCustoUnit[[#This Row],[Suspensão Temporária do Contrato de Trabalho]]</f>
        <v>0</v>
      </c>
      <c r="BF333" s="22">
        <f>tabCustoUnit[[#This Row],[Submódulo 4.1]]+tabCustoUnit[[#This Row],[Submódulo 4.2]]+tabCustoUnit[[#This Row],[Submódulo 4.3]]</f>
        <v>326.9148060067439</v>
      </c>
      <c r="BG333" s="22">
        <f>VLOOKUP(tabCustoUnit[[#This Row],[Código do Posto]],tabParametros[],MATCH(tabCustoUnit[[#Headers],[Uniformes e EPIs]],tabParametros[#Headers],0),0)</f>
        <v>56.642978962543395</v>
      </c>
      <c r="BH333" s="22">
        <f>VLOOKUP(tabCustoUnit[[#This Row],[Código do Posto]],tabParametros[],MATCH(tabCustoUnit[[#Headers],[Materiais de Consumo]],tabParametros[#Headers],0),0)</f>
        <v>0</v>
      </c>
      <c r="BI333" s="22">
        <f>VLOOKUP(tabCustoUnit[[#This Row],[Código do Posto]],tabParametros[],MATCH(tabCustoUnit[[#Headers],[Máquinas e Equipamentos (depreciação)]],tabParametros[#Headers],0),0)</f>
        <v>0</v>
      </c>
      <c r="BJ333" s="22">
        <f>VLOOKUP(tabCustoUnit[[#This Row],[Código do Posto]],tabParametros[],MATCH(tabCustoUnit[[#Headers],[Produtos de Limpeza e Materiais de Higiene Pessoal]],tabParametros[#Headers],0),0)</f>
        <v>0</v>
      </c>
      <c r="BK333" s="22">
        <f>VLOOKUP(tabCustoUnit[[#This Row],[Código do Posto]],tabParametros[],MATCH(tabCustoUnit[[#Headers],[Outros (especificar)]],tabParametros[#Headers],0),0)</f>
        <v>0</v>
      </c>
      <c r="BL333" s="22">
        <f>SUM(tabCustoUnit[[#This Row],[Uniformes e EPIs]:[Outros (especificar)]])</f>
        <v>56.642978962543395</v>
      </c>
      <c r="BM333"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3" s="22" t="e">
        <f ca="1">VLOOKUP(tabCustoUnit[[#This Row],[Código do Posto]],tabParametros[],MATCH(tabCustoUnit[[#Headers],[Custos Indiretos]],tabParametros[#Headers],0),0)</f>
        <v>#NAME?</v>
      </c>
      <c r="BO333" s="22" t="e">
        <f ca="1">VLOOKUP(tabCustoUnit[[#This Row],[Código do Posto]],tabParametros[],MATCH(tabCustoUnit[[#Headers],[Lucro]],tabParametros[#Headers],0),0)</f>
        <v>#NAME?</v>
      </c>
      <c r="BP333" s="26">
        <f>((100/((1-tabCustoUnit[[#This Row],[Resumo de Alíquotas (PIS+CONFINS+ISS)]]))-100)*VLOOKUP(tabCustoUnit[[#This Row],[Código do Posto]],tabParametros[],MATCH(tabCustoUnit[[#Headers],[COFINS]],tabParametros[#Headers],0),0))/(tabCustoUnit[[#This Row],[Resumo de Alíquotas (PIS+CONFINS+ISS)]]*100)</f>
        <v>8.5633802816901458E-2</v>
      </c>
      <c r="BQ333" s="26">
        <f>((100/((100-(tabCustoUnit[[#This Row],[Resumo de Alíquotas (PIS+CONFINS+ISS)]]*100))%)-100)*VLOOKUP(tabCustoUnit[[#This Row],[Código do Posto]],tabParametros[],MATCH(tabCustoUnit[[#Headers],[PIS]],tabParametros[#Headers],0),0))/(tabCustoUnit[[#This Row],[Resumo de Alíquotas (PIS+CONFINS+ISS)]]*100)</f>
        <v>1.8591549295774657E-2</v>
      </c>
      <c r="BR333" s="28">
        <f>VLOOKUP(tabCustoUnit[[#This Row],[Código do Posto]],tabParametros[],MATCH(tabCustoUnit[[#Headers],[ISS]],tabParametros[#Headers],0),0)</f>
        <v>0.02</v>
      </c>
      <c r="BS333" s="26">
        <f>(((100/((100-(tabCustoUnit[[#This Row],[Resumo de Alíquotas (PIS+CONFINS+ISS)]]*100))%)-100)*tabCustoUnit[[#This Row],[ISS]])/tabCustoUnit[[#This Row],[Resumo de Alíquotas (PIS+CONFINS+ISS)]])/100</f>
        <v>2.2535211267605645E-2</v>
      </c>
      <c r="BT33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33" s="138">
        <f>tabCustoUnit[[#This Row],[COFINS]]+tabCustoUnit[[#This Row],[PIS]]+tabCustoUnit[[#This Row],[ISS (Conversão Alíquota s/ fatura)]]</f>
        <v>0.12676056338028174</v>
      </c>
      <c r="BV333" s="22" t="e">
        <f ca="1">(tabCustoUnit[[#This Row],[TOTAL MÓDULOS 1+2+3+4+5]]+tabCustoUnit[[#This Row],[Custos Indiretos]]+tabCustoUnit[[#This Row],[Lucro]])*tabCustoUnit[[#This Row],[PIS + COFINS + ISS (Total Conversão  Alíquota s/ Fatura)]]</f>
        <v>#NAME?</v>
      </c>
      <c r="BW333" s="22" t="e">
        <f ca="1">tabCustoUnit[[#This Row],[Custos Indiretos]]+tabCustoUnit[[#This Row],[Lucro]]+tabCustoUnit[[#This Row],[Valor dos Tributos (ISS, PIS, CONFINS)]]</f>
        <v>#NAME?</v>
      </c>
      <c r="BX333" s="22" t="e">
        <f ca="1">tabCustoUnit[[#This Row],[TOTAL MÓDULOS 1+2+3+4+5]]+tabCustoUnit[[#This Row],[MÓDULO 6 – CUSTOS INDIRETOS, TRIBUTOS E LUCRO]]</f>
        <v>#NAME?</v>
      </c>
      <c r="BY333" s="22" t="e">
        <f ca="1">tabCustoUnit[[#This Row],[CUSTO TOTAL MENSAL]]*12</f>
        <v>#NAME?</v>
      </c>
      <c r="BZ333" s="24">
        <f>VLOOKUP(tabCustoUnit[[#This Row],[Código do Posto]],tabParametros[],MATCH(tabCustoUnit[[#Headers],[ANO DA CCT]],tabParametros[#Headers],0),0)</f>
        <v>45658</v>
      </c>
      <c r="CA333" s="25" t="str">
        <f>VLOOKUP(tabCustoUnit[[#This Row],[Código do Posto]],tabParametros[],MATCH(tabCustoUnit[[#Headers],[Nº DE PEDIDO DA CCT]],tabParametros[#Headers],0),0)</f>
        <v>-</v>
      </c>
      <c r="CB333" s="25" t="str">
        <f>VLOOKUP(tabCustoUnit[[#This Row],[Código do Posto]],tabParametros[],MATCH(tabCustoUnit[[#Headers],[TERMO ADITIVO ALTERAÇÃO DA CCT]],tabParametros[#Headers],0),0)</f>
        <v>-</v>
      </c>
    </row>
    <row r="334" spans="1:80">
      <c r="A334" s="20" t="s">
        <v>1740</v>
      </c>
      <c r="B334" t="s">
        <v>1074</v>
      </c>
      <c r="C334" t="s">
        <v>324</v>
      </c>
      <c r="D334" t="s">
        <v>1074</v>
      </c>
      <c r="E334" s="20" t="s">
        <v>1090</v>
      </c>
      <c r="F334" s="20" t="s">
        <v>120</v>
      </c>
      <c r="G334" s="418">
        <v>3397.1305000000002</v>
      </c>
      <c r="H334" s="418">
        <v>0</v>
      </c>
      <c r="I334" s="418">
        <v>0</v>
      </c>
      <c r="J334" s="418">
        <v>0</v>
      </c>
      <c r="K334" s="418">
        <v>0</v>
      </c>
      <c r="L334" s="418">
        <v>0</v>
      </c>
      <c r="M334" s="418">
        <v>0</v>
      </c>
      <c r="N334" s="418">
        <v>0</v>
      </c>
      <c r="O334" s="21">
        <f>SUM(tabCustoUnit[[#This Row],[Salário Base]:[Adicional de Acúmulo de função]])</f>
        <v>3397.1305000000002</v>
      </c>
      <c r="P334" s="21">
        <f>tabCustoUnit[[#This Row],[MODULO 1 - REMUNERAÇÃO ]]*SUMIFS(tabParametros[INSS],tabParametros[Código do Posto],tabCustoUnit[[#This Row],[Código do Posto]])</f>
        <v>679.42610000000013</v>
      </c>
      <c r="Q334" s="21">
        <f>tabCustoUnit[[#This Row],[MODULO 1 - REMUNERAÇÃO ]]*SUMIFS(tabParametros[SESI OU SESC],tabParametros[Código do Posto],tabCustoUnit[[#This Row],[Código do Posto]])</f>
        <v>50.956957500000001</v>
      </c>
      <c r="R334" s="21">
        <f>tabCustoUnit[[#This Row],[MODULO 1 - REMUNERAÇÃO ]]*SUMIFS(tabParametros[SENAI OU SENAC],tabParametros[Código do Posto],tabCustoUnit[[#This Row],[Código do Posto]])</f>
        <v>33.971305000000001</v>
      </c>
      <c r="S334" s="21">
        <f>tabCustoUnit[[#This Row],[MODULO 1 - REMUNERAÇÃO ]]*SUMIFS(tabParametros[INCRA],tabParametros[Código do Posto],tabCustoUnit[[#This Row],[Código do Posto]])</f>
        <v>6.7942610000000005</v>
      </c>
      <c r="T334" s="21">
        <f>tabCustoUnit[[#This Row],[MODULO 1 - REMUNERAÇÃO ]]*SUMIFS(tabParametros[Salário Educação],tabParametros[Código do Posto],tabCustoUnit[[#This Row],[Código do Posto]])</f>
        <v>84.928262500000017</v>
      </c>
      <c r="U334" s="21">
        <f>tabCustoUnit[[#This Row],[MODULO 1 - REMUNERAÇÃO ]]*SUMIFS(tabParametros[FGTS],tabParametros[Código do Posto],tabCustoUnit[[#This Row],[Código do Posto]])</f>
        <v>271.77044000000001</v>
      </c>
      <c r="V334" s="21">
        <f>tabCustoUnit[[#This Row],[MODULO 1 - REMUNERAÇÃO ]]*SUMIFS(tabParametros[RAT Ajustado],tabParametros[Código do Posto],tabCustoUnit[[#This Row],[Código do Posto]])</f>
        <v>135.88522</v>
      </c>
      <c r="W334" s="21">
        <f>tabCustoUnit[[#This Row],[MODULO 1 - REMUNERAÇÃO ]]*SUMIFS(tabParametros[SEBRAE],tabParametros[Código do Posto],tabCustoUnit[[#This Row],[Código do Posto]])</f>
        <v>20.382783000000003</v>
      </c>
      <c r="X334" s="21">
        <f>SUM(tabCustoUnit[[#This Row],[INSS]:[SEBRAE]])</f>
        <v>1284.1153290000002</v>
      </c>
      <c r="Y334" s="21">
        <f>tabCustoUnit[[#This Row],[MODULO 1 - REMUNERAÇÃO ]]*SUMIFS(tabParametros[13º salário (titular)],tabParametros[Código do Posto],tabCustoUnit[[#This Row],[Código do Posto]])</f>
        <v>283.09420833333331</v>
      </c>
      <c r="Z334" s="21">
        <f>tabCustoUnit[[#This Row],[MODULO 1 - REMUNERAÇÃO ]]*SUMIFS(tabParametros[Férias e Adicional de Férias (titular)],tabParametros[Código do Posto],tabCustoUnit[[#This Row],[Código do Posto]])</f>
        <v>377.45894444444446</v>
      </c>
      <c r="AA334" s="21">
        <f>IFERROR((tabCustoUnit[[#This Row],[Submódulo 2.1]]/tabCustoUnit[[#This Row],[MODULO 1 - REMUNERAÇÃO ]])*SUM(tabCustoUnit[[#This Row],[13º salário (titular)]:[Férias e Adicional de Férias (titular)]]),0)</f>
        <v>249.68909175000005</v>
      </c>
      <c r="AB334" s="21">
        <f>SUM(tabCustoUnit[[#This Row],[13º salário (titular)]:[Incidência do Submódulo 2.1 sobre 13º Salário, Férias e Adicional de Férias]])</f>
        <v>910.24224452777776</v>
      </c>
      <c r="AC334" s="22" t="e">
        <f ca="1">_xlfn.LET(_xlpm.VT,SUMIF(tabParametros[Código do Posto],tabCustoUnit[[#This Row],[Código do Posto]],tabParametros[Vale - Transporte])*2*20,
IF((_xlpm.VT-tabCustoUnit[[#This Row],[Salário Base]]*0.06)&gt;=0,(_xlpm.VT-tabCustoUnit[[#This Row],[Salário Base]]*0.06),0)
)</f>
        <v>#NAME?</v>
      </c>
      <c r="AD334" s="22">
        <f>IF(SUMIF(tabParametros[Código do Posto],tabCustoUnit[[#This Row],[Código do Posto]],tabParametros[Vale - Alimentação])&lt;=0,0,
SUMIF(tabParametros[Código do Posto],tabCustoUnit[[#This Row],[Código do Posto]],tabParametros[Vale - Alimentação])*20-1)</f>
        <v>582</v>
      </c>
      <c r="AE334" s="22">
        <f>SUMIF(tabParametros[Código do Posto],tabCustoUnit[[#This Row],[Código do Posto]],tabParametros[Cesta Básica])</f>
        <v>0</v>
      </c>
      <c r="AF334" s="22">
        <f>SUMIF(tabParametros[Código do Posto],tabCustoUnit[[#This Row],[Código do Posto]],tabParametros[PAF])</f>
        <v>0</v>
      </c>
      <c r="AG334" s="22">
        <f>SUMIF(tabParametros[Código do Posto],tabCustoUnit[[#This Row],[Código do Posto]],tabParametros[PQM])</f>
        <v>0</v>
      </c>
      <c r="AH334" s="22">
        <f>SUMIF(tabParametros[Código do Posto],tabCustoUnit[[#This Row],[Código do Posto]],tabParametros[Abono Único e Especial])</f>
        <v>0</v>
      </c>
      <c r="AI334" s="22">
        <f>SUMIF(tabParametros[Código do Posto],tabCustoUnit[[#This Row],[Código do Posto]],tabParametros[Seguro de Vida])</f>
        <v>3.36</v>
      </c>
      <c r="AJ334" s="22">
        <f>SUMIF(tabParametros[Código do Posto],tabCustoUnit[[#This Row],[Código do Posto]],tabParametros[Despesas de Viagem])</f>
        <v>0</v>
      </c>
      <c r="AK334" s="22" t="e">
        <f ca="1">SUM(tabCustoUnit[[#This Row],[Vale - Transporte (Descontada parcela do empregado)]:[Despesas de Viagem]])</f>
        <v>#NAME?</v>
      </c>
      <c r="AL334" s="22" t="e">
        <f ca="1">tabCustoUnit[[#This Row],[Submódulo 2.1]]+tabCustoUnit[[#This Row],[Submódulo 2.2]]+tabCustoUnit[[#This Row],[Submódulo 2.3]]</f>
        <v>#NAME?</v>
      </c>
      <c r="AM334" s="22">
        <f>SUMIF(tabParametros[Código do Posto],tabCustoUnit[[#This Row],[Código do Posto]],tabParametros[Aviso Prévio Indenizado (API) e Reflexo do Aviso Prévio Indenizado])*tabCustoUnit[[#This Row],[MODULO 1 - REMUNERAÇÃO ]]</f>
        <v>23.819887450713736</v>
      </c>
      <c r="AN334" s="22">
        <f>SUMIF(tabParametros[Código do Posto],tabCustoUnit[[#This Row],[Código do Posto]],tabParametros[Incidência do FGTS sobre API e Reflexo do API])*tabCustoUnit[[#This Row],[MODULO 1 - REMUNERAÇÃO ]]</f>
        <v>1.9055909960570991</v>
      </c>
      <c r="AO334" s="22">
        <f>SUMIF(tabParametros[Código do Posto],tabCustoUnit[[#This Row],[Código do Posto]],tabParametros[Multa Rescisória do FGTS sobre o Aviso Prévio Indenizado])*tabCustoUnit[[#This Row],[MODULO 1 - REMUNERAÇÃO ]]</f>
        <v>0.76223639842283974</v>
      </c>
      <c r="AP334" s="22">
        <f>SUMIF(tabParametros[Código do Posto],tabCustoUnit[[#This Row],[Código do Posto]],tabParametros[Aviso Prévio Trabalhado - APT])*tabCustoUnit[[#This Row],[MODULO 1 - REMUNERAÇÃO ]]</f>
        <v>11.889956750000003</v>
      </c>
      <c r="AQ334" s="22">
        <f>SUMIF(tabParametros[Código do Posto],tabCustoUnit[[#This Row],[Código do Posto]],tabParametros[Incidência dos encargos do submódulo 2.1 sobre Aviso Prévio Trabalhado])*tabCustoUnit[[#This Row],[MODULO 1 - REMUNERAÇÃO ]]</f>
        <v>4.4944036515000017</v>
      </c>
      <c r="AR334" s="22">
        <f>SUMIF(tabParametros[Código do Posto],tabCustoUnit[[#This Row],[Código do Posto]],tabParametros[Multa Rescisória do FGTS])*tabCustoUnit[[#This Row],[MODULO 1 - REMUNERAÇÃO ]]</f>
        <v>103.87670151111111</v>
      </c>
      <c r="AS334" s="22">
        <f>SUMIF(tabParametros[Código do Posto],tabCustoUnit[[#This Row],[Código do Posto]],tabParametros[Indenização Adicional (Art. 9º da Lei nº 7.238/84)])*tabCustoUnit[[#This Row],[MODULO 1 - REMUNERAÇÃO ]]</f>
        <v>2.8309420833333339</v>
      </c>
      <c r="AT334" s="22">
        <f>SUM(tabCustoUnit[[#This Row],[Aviso Prévio Indenizado (API) e Reflexo do Aviso Prévio Indenizado]:[Indenização Adicional (Art. 9º da Lei nº 7.238/84)]])</f>
        <v>149.57971884113812</v>
      </c>
      <c r="AU334" s="22">
        <f>SUMIF(tabParametros[Código do Posto],tabCustoUnit[[#This Row],[Código do Posto]],tabParametros[Ausência por Doença])*tabCustoUnit[[#This Row],[MODULO 1 - REMUNERAÇÃO ]]</f>
        <v>28.686879777777776</v>
      </c>
      <c r="AV334" s="22">
        <f>SUMIF(tabParametros[Código do Posto],tabCustoUnit[[#This Row],[Código do Posto]],tabParametros[Ausências Legais])*tabCustoUnit[[#This Row],[MODULO 1 - REMUNERAÇÃO ]]</f>
        <v>6.888625736111111</v>
      </c>
      <c r="AW334" s="22">
        <f>SUMIF(tabParametros[Código do Posto],tabCustoUnit[[#This Row],[Código do Posto]],tabParametros[Licença Paternidade])*tabCustoUnit[[#This Row],[MODULO 1 - REMUNERAÇÃO ]]</f>
        <v>0.58034312708333335</v>
      </c>
      <c r="AX334" s="22">
        <f>SUMIF(tabParametros[Código do Posto],tabCustoUnit[[#This Row],[Código do Posto]],tabParametros[Ausência por Acidente de Trabalho])*tabCustoUnit[[#This Row],[MODULO 1 - REMUNERAÇÃO ]]</f>
        <v>0.70773552083333346</v>
      </c>
      <c r="AY334" s="22">
        <f>SUMIF(tabParametros[Código do Posto],tabCustoUnit[[#This Row],[Código do Posto]],tabParametros[Férias, Adicional de Férias e 13º  com empregada em gozo de Licença Maternidade])*tabCustoUnit[[#This Row],[MODULO 1 - REMUNERAÇÃO ]]</f>
        <v>4.4036876851851856</v>
      </c>
      <c r="AZ334" s="22">
        <f>SUMIF(tabParametros[Código do Posto],tabCustoUnit[[#This Row],[Código do Posto]],tabParametros[Incidência do Submódulo 2.1 sobre Ausências Legais])*tabCustoUnit[[#This Row],[MODULO 1 - REMUNERAÇÃO ]]</f>
        <v>15.599028758162504</v>
      </c>
      <c r="BA334" s="22">
        <f>SUM(tabCustoUnit[[#This Row],[Ausência por Doença]:[Incidência do Submódulo 2.1 sobre Ausências Legais]])</f>
        <v>56.866300605153235</v>
      </c>
      <c r="BB334" s="22">
        <f>SUMIF(tabParametros[Código do Posto],tabCustoUnit[[#This Row],[Código do Posto]],tabParametros[Intervalo para Repouso ou Alimentação])</f>
        <v>0</v>
      </c>
      <c r="BC334" s="22">
        <f>tabCustoUnit[[#This Row],[Intervalo para Repouso ou Alimentação]]</f>
        <v>0</v>
      </c>
      <c r="BD334"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4" s="22">
        <f>tabCustoUnit[[#This Row],[Suspensão Temporária do Contrato de Trabalho]]</f>
        <v>0</v>
      </c>
      <c r="BF334" s="22">
        <f>tabCustoUnit[[#This Row],[Submódulo 4.1]]+tabCustoUnit[[#This Row],[Submódulo 4.2]]+tabCustoUnit[[#This Row],[Submódulo 4.3]]</f>
        <v>56.866300605153235</v>
      </c>
      <c r="BG334" s="22">
        <f>VLOOKUP(tabCustoUnit[[#This Row],[Código do Posto]],tabParametros[],MATCH(tabCustoUnit[[#Headers],[Uniformes e EPIs]],tabParametros[#Headers],0),0)</f>
        <v>56.642978962543395</v>
      </c>
      <c r="BH334" s="22">
        <f>VLOOKUP(tabCustoUnit[[#This Row],[Código do Posto]],tabParametros[],MATCH(tabCustoUnit[[#Headers],[Materiais de Consumo]],tabParametros[#Headers],0),0)</f>
        <v>0</v>
      </c>
      <c r="BI334" s="22">
        <f>VLOOKUP(tabCustoUnit[[#This Row],[Código do Posto]],tabParametros[],MATCH(tabCustoUnit[[#Headers],[Máquinas e Equipamentos (depreciação)]],tabParametros[#Headers],0),0)</f>
        <v>0</v>
      </c>
      <c r="BJ334" s="22">
        <f>VLOOKUP(tabCustoUnit[[#This Row],[Código do Posto]],tabParametros[],MATCH(tabCustoUnit[[#Headers],[Produtos de Limpeza e Materiais de Higiene Pessoal]],tabParametros[#Headers],0),0)</f>
        <v>0</v>
      </c>
      <c r="BK334" s="22">
        <f>VLOOKUP(tabCustoUnit[[#This Row],[Código do Posto]],tabParametros[],MATCH(tabCustoUnit[[#Headers],[Outros (especificar)]],tabParametros[#Headers],0),0)</f>
        <v>0</v>
      </c>
      <c r="BL334" s="22">
        <f>SUM(tabCustoUnit[[#This Row],[Uniformes e EPIs]:[Outros (especificar)]])</f>
        <v>56.642978962543395</v>
      </c>
      <c r="BM334"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4" s="22" t="e">
        <f ca="1">VLOOKUP(tabCustoUnit[[#This Row],[Código do Posto]],tabParametros[],MATCH(tabCustoUnit[[#Headers],[Custos Indiretos]],tabParametros[#Headers],0),0)</f>
        <v>#NAME?</v>
      </c>
      <c r="BO334" s="22" t="e">
        <f ca="1">VLOOKUP(tabCustoUnit[[#This Row],[Código do Posto]],tabParametros[],MATCH(tabCustoUnit[[#Headers],[Lucro]],tabParametros[#Headers],0),0)</f>
        <v>#NAME?</v>
      </c>
      <c r="BP334" s="26">
        <f>((100/((1-tabCustoUnit[[#This Row],[Resumo de Alíquotas (PIS+CONFINS+ISS)]]))-100)*VLOOKUP(tabCustoUnit[[#This Row],[Código do Posto]],tabParametros[],MATCH(tabCustoUnit[[#Headers],[COFINS]],tabParametros[#Headers],0),0))/(tabCustoUnit[[#This Row],[Resumo de Alíquotas (PIS+CONFINS+ISS)]]*100)</f>
        <v>8.5633802816901458E-2</v>
      </c>
      <c r="BQ334" s="26">
        <f>((100/((100-(tabCustoUnit[[#This Row],[Resumo de Alíquotas (PIS+CONFINS+ISS)]]*100))%)-100)*VLOOKUP(tabCustoUnit[[#This Row],[Código do Posto]],tabParametros[],MATCH(tabCustoUnit[[#Headers],[PIS]],tabParametros[#Headers],0),0))/(tabCustoUnit[[#This Row],[Resumo de Alíquotas (PIS+CONFINS+ISS)]]*100)</f>
        <v>1.8591549295774657E-2</v>
      </c>
      <c r="BR334" s="28">
        <f>VLOOKUP(tabCustoUnit[[#This Row],[Código do Posto]],tabParametros[],MATCH(tabCustoUnit[[#Headers],[ISS]],tabParametros[#Headers],0),0)</f>
        <v>0.02</v>
      </c>
      <c r="BS334" s="26">
        <f>(((100/((100-(tabCustoUnit[[#This Row],[Resumo de Alíquotas (PIS+CONFINS+ISS)]]*100))%)-100)*tabCustoUnit[[#This Row],[ISS]])/tabCustoUnit[[#This Row],[Resumo de Alíquotas (PIS+CONFINS+ISS)]])/100</f>
        <v>2.2535211267605645E-2</v>
      </c>
      <c r="BT33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34" s="138">
        <f>tabCustoUnit[[#This Row],[COFINS]]+tabCustoUnit[[#This Row],[PIS]]+tabCustoUnit[[#This Row],[ISS (Conversão Alíquota s/ fatura)]]</f>
        <v>0.12676056338028174</v>
      </c>
      <c r="BV334" s="22" t="e">
        <f ca="1">(tabCustoUnit[[#This Row],[TOTAL MÓDULOS 1+2+3+4+5]]+tabCustoUnit[[#This Row],[Custos Indiretos]]+tabCustoUnit[[#This Row],[Lucro]])*tabCustoUnit[[#This Row],[PIS + COFINS + ISS (Total Conversão  Alíquota s/ Fatura)]]</f>
        <v>#NAME?</v>
      </c>
      <c r="BW334" s="22" t="e">
        <f ca="1">tabCustoUnit[[#This Row],[Custos Indiretos]]+tabCustoUnit[[#This Row],[Lucro]]+tabCustoUnit[[#This Row],[Valor dos Tributos (ISS, PIS, CONFINS)]]</f>
        <v>#NAME?</v>
      </c>
      <c r="BX334" s="22" t="e">
        <f ca="1">tabCustoUnit[[#This Row],[TOTAL MÓDULOS 1+2+3+4+5]]+tabCustoUnit[[#This Row],[MÓDULO 6 – CUSTOS INDIRETOS, TRIBUTOS E LUCRO]]</f>
        <v>#NAME?</v>
      </c>
      <c r="BY334" s="22" t="e">
        <f ca="1">tabCustoUnit[[#This Row],[CUSTO TOTAL MENSAL]]*12</f>
        <v>#NAME?</v>
      </c>
      <c r="BZ334" s="24">
        <f>VLOOKUP(tabCustoUnit[[#This Row],[Código do Posto]],tabParametros[],MATCH(tabCustoUnit[[#Headers],[ANO DA CCT]],tabParametros[#Headers],0),0)</f>
        <v>45658</v>
      </c>
      <c r="CA334" s="25" t="str">
        <f>VLOOKUP(tabCustoUnit[[#This Row],[Código do Posto]],tabParametros[],MATCH(tabCustoUnit[[#Headers],[Nº DE PEDIDO DA CCT]],tabParametros[#Headers],0),0)</f>
        <v>-</v>
      </c>
      <c r="CB334" s="25" t="str">
        <f>VLOOKUP(tabCustoUnit[[#This Row],[Código do Posto]],tabParametros[],MATCH(tabCustoUnit[[#Headers],[TERMO ADITIVO ALTERAÇÃO DA CCT]],tabParametros[#Headers],0),0)</f>
        <v>-</v>
      </c>
    </row>
    <row r="335" spans="1:80">
      <c r="A335" s="20" t="s">
        <v>1517</v>
      </c>
      <c r="B335" t="s">
        <v>1217</v>
      </c>
      <c r="C335" t="s">
        <v>1367</v>
      </c>
      <c r="D335" t="s">
        <v>1077</v>
      </c>
      <c r="E335" s="20" t="s">
        <v>1090</v>
      </c>
      <c r="F335" s="20" t="s">
        <v>120</v>
      </c>
      <c r="G335" s="418">
        <v>2087.4324000000001</v>
      </c>
      <c r="H335" s="418">
        <v>0</v>
      </c>
      <c r="I335" s="418">
        <v>303.60000000000002</v>
      </c>
      <c r="J335" s="418">
        <v>0</v>
      </c>
      <c r="K335" s="418">
        <v>0</v>
      </c>
      <c r="L335" s="418">
        <v>0</v>
      </c>
      <c r="M335" s="418">
        <v>0</v>
      </c>
      <c r="N335" s="418">
        <v>0</v>
      </c>
      <c r="O335" s="21">
        <f>SUM(tabCustoUnit[[#This Row],[Salário Base]:[Adicional de Acúmulo de função]])</f>
        <v>2391.0324000000001</v>
      </c>
      <c r="P335" s="21">
        <f>tabCustoUnit[[#This Row],[MODULO 1 - REMUNERAÇÃO ]]*SUMIFS(tabParametros[INSS],tabParametros[Código do Posto],tabCustoUnit[[#This Row],[Código do Posto]])</f>
        <v>478.20648000000006</v>
      </c>
      <c r="Q335" s="21">
        <f>tabCustoUnit[[#This Row],[MODULO 1 - REMUNERAÇÃO ]]*SUMIFS(tabParametros[SESI OU SESC],tabParametros[Código do Posto],tabCustoUnit[[#This Row],[Código do Posto]])</f>
        <v>35.865485999999997</v>
      </c>
      <c r="R335" s="21">
        <f>tabCustoUnit[[#This Row],[MODULO 1 - REMUNERAÇÃO ]]*SUMIFS(tabParametros[SENAI OU SENAC],tabParametros[Código do Posto],tabCustoUnit[[#This Row],[Código do Posto]])</f>
        <v>23.910324000000003</v>
      </c>
      <c r="S335" s="21">
        <f>tabCustoUnit[[#This Row],[MODULO 1 - REMUNERAÇÃO ]]*SUMIFS(tabParametros[INCRA],tabParametros[Código do Posto],tabCustoUnit[[#This Row],[Código do Posto]])</f>
        <v>4.7820648000000006</v>
      </c>
      <c r="T335" s="21">
        <f>tabCustoUnit[[#This Row],[MODULO 1 - REMUNERAÇÃO ]]*SUMIFS(tabParametros[Salário Educação],tabParametros[Código do Posto],tabCustoUnit[[#This Row],[Código do Posto]])</f>
        <v>59.775810000000007</v>
      </c>
      <c r="U335" s="21">
        <f>tabCustoUnit[[#This Row],[MODULO 1 - REMUNERAÇÃO ]]*SUMIFS(tabParametros[FGTS],tabParametros[Código do Posto],tabCustoUnit[[#This Row],[Código do Posto]])</f>
        <v>191.28259200000002</v>
      </c>
      <c r="V335" s="21">
        <f>tabCustoUnit[[#This Row],[MODULO 1 - REMUNERAÇÃO ]]*SUMIFS(tabParametros[RAT Ajustado],tabParametros[Código do Posto],tabCustoUnit[[#This Row],[Código do Posto]])</f>
        <v>95.641296000000011</v>
      </c>
      <c r="W335" s="21">
        <f>tabCustoUnit[[#This Row],[MODULO 1 - REMUNERAÇÃO ]]*SUMIFS(tabParametros[SEBRAE],tabParametros[Código do Posto],tabCustoUnit[[#This Row],[Código do Posto]])</f>
        <v>14.3461944</v>
      </c>
      <c r="X335" s="21">
        <f>SUM(tabCustoUnit[[#This Row],[INSS]:[SEBRAE]])</f>
        <v>903.81024720000005</v>
      </c>
      <c r="Y335" s="21">
        <f>tabCustoUnit[[#This Row],[MODULO 1 - REMUNERAÇÃO ]]*SUMIFS(tabParametros[13º salário (titular)],tabParametros[Código do Posto],tabCustoUnit[[#This Row],[Código do Posto]])</f>
        <v>199.2527</v>
      </c>
      <c r="Z335" s="21">
        <f>tabCustoUnit[[#This Row],[MODULO 1 - REMUNERAÇÃO ]]*SUMIFS(tabParametros[Férias e Adicional de Férias (titular)],tabParametros[Código do Posto],tabCustoUnit[[#This Row],[Código do Posto]])</f>
        <v>265.67026666666663</v>
      </c>
      <c r="AA335" s="21">
        <f>IFERROR((tabCustoUnit[[#This Row],[Submódulo 2.1]]/tabCustoUnit[[#This Row],[MODULO 1 - REMUNERAÇÃO ]])*SUM(tabCustoUnit[[#This Row],[13º salário (titular)]:[Férias e Adicional de Férias (titular)]]),0)</f>
        <v>175.74088139999998</v>
      </c>
      <c r="AB335" s="21">
        <f>SUM(tabCustoUnit[[#This Row],[13º salário (titular)]:[Incidência do Submódulo 2.1 sobre 13º Salário, Férias e Adicional de Férias]])</f>
        <v>640.66384806666656</v>
      </c>
      <c r="AC335" s="22" t="e">
        <f ca="1">_xlfn.LET(_xlpm.VT,SUMIF(tabParametros[Código do Posto],tabCustoUnit[[#This Row],[Código do Posto]],tabParametros[Vale - Transporte])*2*20,
IF((_xlpm.VT-tabCustoUnit[[#This Row],[Salário Base]]*0.06)&gt;=0,(_xlpm.VT-tabCustoUnit[[#This Row],[Salário Base]]*0.06),0)
)</f>
        <v>#NAME?</v>
      </c>
      <c r="AD335" s="22">
        <f>IF(SUMIF(tabParametros[Código do Posto],tabCustoUnit[[#This Row],[Código do Posto]],tabParametros[Vale - Alimentação])&lt;=0,0,
SUMIF(tabParametros[Código do Posto],tabCustoUnit[[#This Row],[Código do Posto]],tabParametros[Vale - Alimentação])*20-1)</f>
        <v>582</v>
      </c>
      <c r="AE335" s="22">
        <f>SUMIF(tabParametros[Código do Posto],tabCustoUnit[[#This Row],[Código do Posto]],tabParametros[Cesta Básica])</f>
        <v>0</v>
      </c>
      <c r="AF335" s="22">
        <f>SUMIF(tabParametros[Código do Posto],tabCustoUnit[[#This Row],[Código do Posto]],tabParametros[PAF])</f>
        <v>51.86</v>
      </c>
      <c r="AG335" s="22">
        <f>SUMIF(tabParametros[Código do Posto],tabCustoUnit[[#This Row],[Código do Posto]],tabParametros[PQM])</f>
        <v>0</v>
      </c>
      <c r="AH335" s="22">
        <f>SUMIF(tabParametros[Código do Posto],tabCustoUnit[[#This Row],[Código do Posto]],tabParametros[Abono Único e Especial])</f>
        <v>0</v>
      </c>
      <c r="AI335" s="22">
        <f>SUMIF(tabParametros[Código do Posto],tabCustoUnit[[#This Row],[Código do Posto]],tabParametros[Seguro de Vida])</f>
        <v>3.36</v>
      </c>
      <c r="AJ335" s="22">
        <f>SUMIF(tabParametros[Código do Posto],tabCustoUnit[[#This Row],[Código do Posto]],tabParametros[Despesas de Viagem])</f>
        <v>0</v>
      </c>
      <c r="AK335" s="22" t="e">
        <f ca="1">SUM(tabCustoUnit[[#This Row],[Vale - Transporte (Descontada parcela do empregado)]:[Despesas de Viagem]])</f>
        <v>#NAME?</v>
      </c>
      <c r="AL335" s="22" t="e">
        <f ca="1">tabCustoUnit[[#This Row],[Submódulo 2.1]]+tabCustoUnit[[#This Row],[Submódulo 2.2]]+tabCustoUnit[[#This Row],[Submódulo 2.3]]</f>
        <v>#NAME?</v>
      </c>
      <c r="AM335" s="22">
        <f>SUMIF(tabParametros[Código do Posto],tabCustoUnit[[#This Row],[Código do Posto]],tabParametros[Aviso Prévio Indenizado (API) e Reflexo do Aviso Prévio Indenizado])*tabCustoUnit[[#This Row],[MODULO 1 - REMUNERAÇÃO ]]</f>
        <v>16.765362019212965</v>
      </c>
      <c r="AN335" s="22">
        <f>SUMIF(tabParametros[Código do Posto],tabCustoUnit[[#This Row],[Código do Posto]],tabParametros[Incidência do FGTS sobre API e Reflexo do API])*tabCustoUnit[[#This Row],[MODULO 1 - REMUNERAÇÃO ]]</f>
        <v>1.3412289615370372</v>
      </c>
      <c r="AO335" s="22">
        <f>SUMIF(tabParametros[Código do Posto],tabCustoUnit[[#This Row],[Código do Posto]],tabParametros[Multa Rescisória do FGTS sobre o Aviso Prévio Indenizado])*tabCustoUnit[[#This Row],[MODULO 1 - REMUNERAÇÃO ]]</f>
        <v>0.53649158461481494</v>
      </c>
      <c r="AP335" s="22">
        <f>SUMIF(tabParametros[Código do Posto],tabCustoUnit[[#This Row],[Código do Posto]],tabParametros[Aviso Prévio Trabalhado - APT])*tabCustoUnit[[#This Row],[MODULO 1 - REMUNERAÇÃO ]]</f>
        <v>8.368613400000001</v>
      </c>
      <c r="AQ335" s="22">
        <f>SUMIF(tabParametros[Código do Posto],tabCustoUnit[[#This Row],[Código do Posto]],tabParametros[Incidência dos encargos do submódulo 2.1 sobre Aviso Prévio Trabalhado])*tabCustoUnit[[#This Row],[MODULO 1 - REMUNERAÇÃO ]]</f>
        <v>3.163335865200001</v>
      </c>
      <c r="AR335" s="22">
        <f>SUMIF(tabParametros[Código do Posto],tabCustoUnit[[#This Row],[Código do Posto]],tabParametros[Multa Rescisória do FGTS])*tabCustoUnit[[#This Row],[MODULO 1 - REMUNERAÇÃO ]]</f>
        <v>73.112457386666662</v>
      </c>
      <c r="AS335" s="22">
        <f>SUMIF(tabParametros[Código do Posto],tabCustoUnit[[#This Row],[Código do Posto]],tabParametros[Indenização Adicional (Art. 9º da Lei nº 7.238/84)])*tabCustoUnit[[#This Row],[MODULO 1 - REMUNERAÇÃO ]]</f>
        <v>1.9925270000000002</v>
      </c>
      <c r="AT335" s="22">
        <f>SUM(tabCustoUnit[[#This Row],[Aviso Prévio Indenizado (API) e Reflexo do Aviso Prévio Indenizado]:[Indenização Adicional (Art. 9º da Lei nº 7.238/84)]])</f>
        <v>105.28001621723148</v>
      </c>
      <c r="AU335" s="22">
        <f>SUMIF(tabParametros[Código do Posto],tabCustoUnit[[#This Row],[Código do Posto]],tabParametros[Ausência por Doença])*tabCustoUnit[[#This Row],[MODULO 1 - REMUNERAÇÃO ]]</f>
        <v>20.190940266666665</v>
      </c>
      <c r="AV335" s="22">
        <f>SUMIF(tabParametros[Código do Posto],tabCustoUnit[[#This Row],[Código do Posto]],tabParametros[Ausências Legais])*tabCustoUnit[[#This Row],[MODULO 1 - REMUNERAÇÃO ]]</f>
        <v>4.8484823666666665</v>
      </c>
      <c r="AW335" s="22">
        <f>SUMIF(tabParametros[Código do Posto],tabCustoUnit[[#This Row],[Código do Posto]],tabParametros[Licença Paternidade])*tabCustoUnit[[#This Row],[MODULO 1 - REMUNERAÇÃO ]]</f>
        <v>0.40846803500000001</v>
      </c>
      <c r="AX335" s="22">
        <f>SUMIF(tabParametros[Código do Posto],tabCustoUnit[[#This Row],[Código do Posto]],tabParametros[Ausência por Acidente de Trabalho])*tabCustoUnit[[#This Row],[MODULO 1 - REMUNERAÇÃO ]]</f>
        <v>0.49813175000000004</v>
      </c>
      <c r="AY335" s="22">
        <f>SUMIF(tabParametros[Código do Posto],tabCustoUnit[[#This Row],[Código do Posto]],tabParametros[Férias, Adicional de Férias e 13º  com empregada em gozo de Licença Maternidade])*tabCustoUnit[[#This Row],[MODULO 1 - REMUNERAÇÃO ]]</f>
        <v>3.0994864444444445</v>
      </c>
      <c r="AZ335" s="22">
        <f>SUMIF(tabParametros[Código do Posto],tabCustoUnit[[#This Row],[Código do Posto]],tabParametros[Incidência do Submódulo 2.1 sobre Ausências Legais])*tabCustoUnit[[#This Row],[MODULO 1 - REMUNERAÇÃO ]]</f>
        <v>10.979202350130002</v>
      </c>
      <c r="BA335" s="22">
        <f>SUM(tabCustoUnit[[#This Row],[Ausência por Doença]:[Incidência do Submódulo 2.1 sobre Ausências Legais]])</f>
        <v>40.024711212907775</v>
      </c>
      <c r="BB335" s="22">
        <f>SUMIF(tabParametros[Código do Posto],tabCustoUnit[[#This Row],[Código do Posto]],tabParametros[Intervalo para Repouso ou Alimentação])</f>
        <v>0</v>
      </c>
      <c r="BC335" s="22">
        <f>tabCustoUnit[[#This Row],[Intervalo para Repouso ou Alimentação]]</f>
        <v>0</v>
      </c>
      <c r="BD335"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5" s="22">
        <f>tabCustoUnit[[#This Row],[Suspensão Temporária do Contrato de Trabalho]]</f>
        <v>0</v>
      </c>
      <c r="BF335" s="22">
        <f>tabCustoUnit[[#This Row],[Submódulo 4.1]]+tabCustoUnit[[#This Row],[Submódulo 4.2]]+tabCustoUnit[[#This Row],[Submódulo 4.3]]</f>
        <v>40.024711212907775</v>
      </c>
      <c r="BG335" s="22">
        <f>VLOOKUP(tabCustoUnit[[#This Row],[Código do Posto]],tabParametros[],MATCH(tabCustoUnit[[#Headers],[Uniformes e EPIs]],tabParametros[#Headers],0),0)</f>
        <v>253.83572732312174</v>
      </c>
      <c r="BH335" s="22">
        <f>VLOOKUP(tabCustoUnit[[#This Row],[Código do Posto]],tabParametros[],MATCH(tabCustoUnit[[#Headers],[Materiais de Consumo]],tabParametros[#Headers],0),0)</f>
        <v>441.81099462365592</v>
      </c>
      <c r="BI335" s="22">
        <f>VLOOKUP(tabCustoUnit[[#This Row],[Código do Posto]],tabParametros[],MATCH(tabCustoUnit[[#Headers],[Máquinas e Equipamentos (depreciação)]],tabParametros[#Headers],0),0)</f>
        <v>113.11309677419354</v>
      </c>
      <c r="BJ335" s="22">
        <f>VLOOKUP(tabCustoUnit[[#This Row],[Código do Posto]],tabParametros[],MATCH(tabCustoUnit[[#Headers],[Produtos de Limpeza e Materiais de Higiene Pessoal]],tabParametros[#Headers],0),0)</f>
        <v>0</v>
      </c>
      <c r="BK335" s="22">
        <f>VLOOKUP(tabCustoUnit[[#This Row],[Código do Posto]],tabParametros[],MATCH(tabCustoUnit[[#Headers],[Outros (especificar)]],tabParametros[#Headers],0),0)</f>
        <v>0</v>
      </c>
      <c r="BL335" s="22">
        <f>SUM(tabCustoUnit[[#This Row],[Uniformes e EPIs]:[Outros (especificar)]])</f>
        <v>808.75981872097123</v>
      </c>
      <c r="BM335"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5" s="22" t="e">
        <f ca="1">VLOOKUP(tabCustoUnit[[#This Row],[Código do Posto]],tabParametros[],MATCH(tabCustoUnit[[#Headers],[Custos Indiretos]],tabParametros[#Headers],0),0)</f>
        <v>#NAME?</v>
      </c>
      <c r="BO335" s="22" t="e">
        <f ca="1">VLOOKUP(tabCustoUnit[[#This Row],[Código do Posto]],tabParametros[],MATCH(tabCustoUnit[[#Headers],[Lucro]],tabParametros[#Headers],0),0)</f>
        <v>#NAME?</v>
      </c>
      <c r="BP335" s="26">
        <f>((100/((1-tabCustoUnit[[#This Row],[Resumo de Alíquotas (PIS+CONFINS+ISS)]]))-100)*VLOOKUP(tabCustoUnit[[#This Row],[Código do Posto]],tabParametros[],MATCH(tabCustoUnit[[#Headers],[COFINS]],tabParametros[#Headers],0),0))/(tabCustoUnit[[#This Row],[Resumo de Alíquotas (PIS+CONFINS+ISS)]]*100)</f>
        <v>8.6609686609686695E-2</v>
      </c>
      <c r="BQ335" s="26">
        <f>((100/((100-(tabCustoUnit[[#This Row],[Resumo de Alíquotas (PIS+CONFINS+ISS)]]*100))%)-100)*VLOOKUP(tabCustoUnit[[#This Row],[Código do Posto]],tabParametros[],MATCH(tabCustoUnit[[#Headers],[PIS]],tabParametros[#Headers],0),0))/(tabCustoUnit[[#This Row],[Resumo de Alíquotas (PIS+CONFINS+ISS)]]*100)</f>
        <v>1.880341880341882E-2</v>
      </c>
      <c r="BR335" s="28">
        <f>VLOOKUP(tabCustoUnit[[#This Row],[Código do Posto]],tabParametros[],MATCH(tabCustoUnit[[#Headers],[ISS]],tabParametros[#Headers],0),0)</f>
        <v>0.03</v>
      </c>
      <c r="BS335" s="26">
        <f>(((100/((100-(tabCustoUnit[[#This Row],[Resumo de Alíquotas (PIS+CONFINS+ISS)]]*100))%)-100)*tabCustoUnit[[#This Row],[ISS]])/tabCustoUnit[[#This Row],[Resumo de Alíquotas (PIS+CONFINS+ISS)]])/100</f>
        <v>3.4188034188034219E-2</v>
      </c>
      <c r="BT33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35" s="138">
        <f>tabCustoUnit[[#This Row],[COFINS]]+tabCustoUnit[[#This Row],[PIS]]+tabCustoUnit[[#This Row],[ISS (Conversão Alíquota s/ fatura)]]</f>
        <v>0.13960113960113973</v>
      </c>
      <c r="BV335" s="22" t="e">
        <f ca="1">(tabCustoUnit[[#This Row],[TOTAL MÓDULOS 1+2+3+4+5]]+tabCustoUnit[[#This Row],[Custos Indiretos]]+tabCustoUnit[[#This Row],[Lucro]])*tabCustoUnit[[#This Row],[PIS + COFINS + ISS (Total Conversão  Alíquota s/ Fatura)]]</f>
        <v>#NAME?</v>
      </c>
      <c r="BW335" s="22" t="e">
        <f ca="1">tabCustoUnit[[#This Row],[Custos Indiretos]]+tabCustoUnit[[#This Row],[Lucro]]+tabCustoUnit[[#This Row],[Valor dos Tributos (ISS, PIS, CONFINS)]]</f>
        <v>#NAME?</v>
      </c>
      <c r="BX335" s="22" t="e">
        <f ca="1">tabCustoUnit[[#This Row],[TOTAL MÓDULOS 1+2+3+4+5]]+tabCustoUnit[[#This Row],[MÓDULO 6 – CUSTOS INDIRETOS, TRIBUTOS E LUCRO]]</f>
        <v>#NAME?</v>
      </c>
      <c r="BY335" s="22" t="e">
        <f ca="1">tabCustoUnit[[#This Row],[CUSTO TOTAL MENSAL]]*12</f>
        <v>#NAME?</v>
      </c>
      <c r="BZ335" s="24">
        <f>VLOOKUP(tabCustoUnit[[#This Row],[Código do Posto]],tabParametros[],MATCH(tabCustoUnit[[#Headers],[ANO DA CCT]],tabParametros[#Headers],0),0)</f>
        <v>45658</v>
      </c>
      <c r="CA335" s="25" t="str">
        <f>VLOOKUP(tabCustoUnit[[#This Row],[Código do Posto]],tabParametros[],MATCH(tabCustoUnit[[#Headers],[Nº DE PEDIDO DA CCT]],tabParametros[#Headers],0),0)</f>
        <v>-</v>
      </c>
      <c r="CB335" s="25" t="str">
        <f>VLOOKUP(tabCustoUnit[[#This Row],[Código do Posto]],tabParametros[],MATCH(tabCustoUnit[[#Headers],[TERMO ADITIVO ALTERAÇÃO DA CCT]],tabParametros[#Headers],0),0)</f>
        <v>-</v>
      </c>
    </row>
    <row r="336" spans="1:80">
      <c r="A336" s="20" t="s">
        <v>1741</v>
      </c>
      <c r="B336" t="s">
        <v>1217</v>
      </c>
      <c r="C336" t="s">
        <v>1368</v>
      </c>
      <c r="D336" t="s">
        <v>1077</v>
      </c>
      <c r="E336" s="20" t="s">
        <v>1090</v>
      </c>
      <c r="F336" s="20" t="s">
        <v>120</v>
      </c>
      <c r="G336" s="418">
        <v>2296.1756999999998</v>
      </c>
      <c r="H336" s="418">
        <v>0</v>
      </c>
      <c r="I336" s="418">
        <v>303.60000000000002</v>
      </c>
      <c r="J336" s="418">
        <v>0</v>
      </c>
      <c r="K336" s="418">
        <v>0</v>
      </c>
      <c r="L336" s="418">
        <v>0</v>
      </c>
      <c r="M336" s="418">
        <v>0</v>
      </c>
      <c r="N336" s="418">
        <v>0</v>
      </c>
      <c r="O336" s="21">
        <f>SUM(tabCustoUnit[[#This Row],[Salário Base]:[Adicional de Acúmulo de função]])</f>
        <v>2599.7756999999997</v>
      </c>
      <c r="P336" s="21">
        <f>tabCustoUnit[[#This Row],[MODULO 1 - REMUNERAÇÃO ]]*SUMIFS(tabParametros[INSS],tabParametros[Código do Posto],tabCustoUnit[[#This Row],[Código do Posto]])</f>
        <v>519.95513999999991</v>
      </c>
      <c r="Q336" s="21">
        <f>tabCustoUnit[[#This Row],[MODULO 1 - REMUNERAÇÃO ]]*SUMIFS(tabParametros[SESI OU SESC],tabParametros[Código do Posto],tabCustoUnit[[#This Row],[Código do Posto]])</f>
        <v>38.996635499999996</v>
      </c>
      <c r="R336" s="21">
        <f>tabCustoUnit[[#This Row],[MODULO 1 - REMUNERAÇÃO ]]*SUMIFS(tabParametros[SENAI OU SENAC],tabParametros[Código do Posto],tabCustoUnit[[#This Row],[Código do Posto]])</f>
        <v>25.997756999999996</v>
      </c>
      <c r="S336" s="21">
        <f>tabCustoUnit[[#This Row],[MODULO 1 - REMUNERAÇÃO ]]*SUMIFS(tabParametros[INCRA],tabParametros[Código do Posto],tabCustoUnit[[#This Row],[Código do Posto]])</f>
        <v>5.1995513999999998</v>
      </c>
      <c r="T336" s="21">
        <f>tabCustoUnit[[#This Row],[MODULO 1 - REMUNERAÇÃO ]]*SUMIFS(tabParametros[Salário Educação],tabParametros[Código do Posto],tabCustoUnit[[#This Row],[Código do Posto]])</f>
        <v>64.994392499999989</v>
      </c>
      <c r="U336" s="21">
        <f>tabCustoUnit[[#This Row],[MODULO 1 - REMUNERAÇÃO ]]*SUMIFS(tabParametros[FGTS],tabParametros[Código do Posto],tabCustoUnit[[#This Row],[Código do Posto]])</f>
        <v>207.98205599999997</v>
      </c>
      <c r="V336" s="21">
        <f>tabCustoUnit[[#This Row],[MODULO 1 - REMUNERAÇÃO ]]*SUMIFS(tabParametros[RAT Ajustado],tabParametros[Código do Posto],tabCustoUnit[[#This Row],[Código do Posto]])</f>
        <v>103.99102799999999</v>
      </c>
      <c r="W336" s="21">
        <f>tabCustoUnit[[#This Row],[MODULO 1 - REMUNERAÇÃO ]]*SUMIFS(tabParametros[SEBRAE],tabParametros[Código do Posto],tabCustoUnit[[#This Row],[Código do Posto]])</f>
        <v>15.598654199999999</v>
      </c>
      <c r="X336" s="21">
        <f>SUM(tabCustoUnit[[#This Row],[INSS]:[SEBRAE]])</f>
        <v>982.71521459999985</v>
      </c>
      <c r="Y336" s="21">
        <f>tabCustoUnit[[#This Row],[MODULO 1 - REMUNERAÇÃO ]]*SUMIFS(tabParametros[13º salário (titular)],tabParametros[Código do Posto],tabCustoUnit[[#This Row],[Código do Posto]])</f>
        <v>216.64797499999997</v>
      </c>
      <c r="Z336" s="21">
        <f>tabCustoUnit[[#This Row],[MODULO 1 - REMUNERAÇÃO ]]*SUMIFS(tabParametros[Férias e Adicional de Férias (titular)],tabParametros[Código do Posto],tabCustoUnit[[#This Row],[Código do Posto]])</f>
        <v>288.86396666666661</v>
      </c>
      <c r="AA336" s="21">
        <f>IFERROR((tabCustoUnit[[#This Row],[Submódulo 2.1]]/tabCustoUnit[[#This Row],[MODULO 1 - REMUNERAÇÃO ]])*SUM(tabCustoUnit[[#This Row],[13º salário (titular)]:[Férias e Adicional de Férias (titular)]]),0)</f>
        <v>191.08351394999997</v>
      </c>
      <c r="AB336" s="21">
        <f>SUM(tabCustoUnit[[#This Row],[13º salário (titular)]:[Incidência do Submódulo 2.1 sobre 13º Salário, Férias e Adicional de Férias]])</f>
        <v>696.59545561666653</v>
      </c>
      <c r="AC336" s="22" t="e">
        <f ca="1">_xlfn.LET(_xlpm.VT,SUMIF(tabParametros[Código do Posto],tabCustoUnit[[#This Row],[Código do Posto]],tabParametros[Vale - Transporte])*2*20,
IF((_xlpm.VT-tabCustoUnit[[#This Row],[Salário Base]]*0.06)&gt;=0,(_xlpm.VT-tabCustoUnit[[#This Row],[Salário Base]]*0.06),0)
)</f>
        <v>#NAME?</v>
      </c>
      <c r="AD336" s="22">
        <f>IF(SUMIF(tabParametros[Código do Posto],tabCustoUnit[[#This Row],[Código do Posto]],tabParametros[Vale - Alimentação])&lt;=0,0,
SUMIF(tabParametros[Código do Posto],tabCustoUnit[[#This Row],[Código do Posto]],tabParametros[Vale - Alimentação])*20-1)</f>
        <v>582</v>
      </c>
      <c r="AE336" s="22">
        <f>SUMIF(tabParametros[Código do Posto],tabCustoUnit[[#This Row],[Código do Posto]],tabParametros[Cesta Básica])</f>
        <v>0</v>
      </c>
      <c r="AF336" s="22">
        <f>SUMIF(tabParametros[Código do Posto],tabCustoUnit[[#This Row],[Código do Posto]],tabParametros[PAF])</f>
        <v>51.86</v>
      </c>
      <c r="AG336" s="22">
        <f>SUMIF(tabParametros[Código do Posto],tabCustoUnit[[#This Row],[Código do Posto]],tabParametros[PQM])</f>
        <v>0</v>
      </c>
      <c r="AH336" s="22">
        <f>SUMIF(tabParametros[Código do Posto],tabCustoUnit[[#This Row],[Código do Posto]],tabParametros[Abono Único e Especial])</f>
        <v>0</v>
      </c>
      <c r="AI336" s="22">
        <f>SUMIF(tabParametros[Código do Posto],tabCustoUnit[[#This Row],[Código do Posto]],tabParametros[Seguro de Vida])</f>
        <v>3.36</v>
      </c>
      <c r="AJ336" s="22">
        <f>SUMIF(tabParametros[Código do Posto],tabCustoUnit[[#This Row],[Código do Posto]],tabParametros[Despesas de Viagem])</f>
        <v>0</v>
      </c>
      <c r="AK336" s="22" t="e">
        <f ca="1">SUM(tabCustoUnit[[#This Row],[Vale - Transporte (Descontada parcela do empregado)]:[Despesas de Viagem]])</f>
        <v>#NAME?</v>
      </c>
      <c r="AL336" s="22" t="e">
        <f ca="1">tabCustoUnit[[#This Row],[Submódulo 2.1]]+tabCustoUnit[[#This Row],[Submódulo 2.2]]+tabCustoUnit[[#This Row],[Submódulo 2.3]]</f>
        <v>#NAME?</v>
      </c>
      <c r="AM336" s="22">
        <f>SUMIF(tabParametros[Código do Posto],tabCustoUnit[[#This Row],[Código do Posto]],tabParametros[Aviso Prévio Indenizado (API) e Reflexo do Aviso Prévio Indenizado])*tabCustoUnit[[#This Row],[MODULO 1 - REMUNERAÇÃO ]]</f>
        <v>18.229021396469907</v>
      </c>
      <c r="AN336" s="22">
        <f>SUMIF(tabParametros[Código do Posto],tabCustoUnit[[#This Row],[Código do Posto]],tabParametros[Incidência do FGTS sobre API e Reflexo do API])*tabCustoUnit[[#This Row],[MODULO 1 - REMUNERAÇÃO ]]</f>
        <v>1.4583217117175926</v>
      </c>
      <c r="AO336" s="22">
        <f>SUMIF(tabParametros[Código do Posto],tabCustoUnit[[#This Row],[Código do Posto]],tabParametros[Multa Rescisória do FGTS sobre o Aviso Prévio Indenizado])*tabCustoUnit[[#This Row],[MODULO 1 - REMUNERAÇÃO ]]</f>
        <v>0.58332868468703702</v>
      </c>
      <c r="AP336" s="22">
        <f>SUMIF(tabParametros[Código do Posto],tabCustoUnit[[#This Row],[Código do Posto]],tabParametros[Aviso Prévio Trabalhado - APT])*tabCustoUnit[[#This Row],[MODULO 1 - REMUNERAÇÃO ]]</f>
        <v>9.0992149500000004</v>
      </c>
      <c r="AQ336" s="22">
        <f>SUMIF(tabParametros[Código do Posto],tabCustoUnit[[#This Row],[Código do Posto]],tabParametros[Incidência dos encargos do submódulo 2.1 sobre Aviso Prévio Trabalhado])*tabCustoUnit[[#This Row],[MODULO 1 - REMUNERAÇÃO ]]</f>
        <v>3.4395032511000005</v>
      </c>
      <c r="AR336" s="22">
        <f>SUMIF(tabParametros[Código do Posto],tabCustoUnit[[#This Row],[Código do Posto]],tabParametros[Multa Rescisória do FGTS])*tabCustoUnit[[#This Row],[MODULO 1 - REMUNERAÇÃO ]]</f>
        <v>79.495363626666645</v>
      </c>
      <c r="AS336" s="22">
        <f>SUMIF(tabParametros[Código do Posto],tabCustoUnit[[#This Row],[Código do Posto]],tabParametros[Indenização Adicional (Art. 9º da Lei nº 7.238/84)])*tabCustoUnit[[#This Row],[MODULO 1 - REMUNERAÇÃO ]]</f>
        <v>2.1664797499999997</v>
      </c>
      <c r="AT336" s="22">
        <f>SUM(tabCustoUnit[[#This Row],[Aviso Prévio Indenizado (API) e Reflexo do Aviso Prévio Indenizado]:[Indenização Adicional (Art. 9º da Lei nº 7.238/84)]])</f>
        <v>114.47123337064117</v>
      </c>
      <c r="AU336" s="22">
        <f>SUMIF(tabParametros[Código do Posto],tabCustoUnit[[#This Row],[Código do Posto]],tabParametros[Ausência por Doença])*tabCustoUnit[[#This Row],[MODULO 1 - REMUNERAÇÃO ]]</f>
        <v>21.953661466666663</v>
      </c>
      <c r="AV336" s="22">
        <f>SUMIF(tabParametros[Código do Posto],tabCustoUnit[[#This Row],[Código do Posto]],tabParametros[Ausências Legais])*tabCustoUnit[[#This Row],[MODULO 1 - REMUNERAÇÃO ]]</f>
        <v>5.2717673916666659</v>
      </c>
      <c r="AW336" s="22">
        <f>SUMIF(tabParametros[Código do Posto],tabCustoUnit[[#This Row],[Código do Posto]],tabParametros[Licença Paternidade])*tabCustoUnit[[#This Row],[MODULO 1 - REMUNERAÇÃO ]]</f>
        <v>0.44412834874999996</v>
      </c>
      <c r="AX336" s="22">
        <f>SUMIF(tabParametros[Código do Posto],tabCustoUnit[[#This Row],[Código do Posto]],tabParametros[Ausência por Acidente de Trabalho])*tabCustoUnit[[#This Row],[MODULO 1 - REMUNERAÇÃO ]]</f>
        <v>0.54161993749999993</v>
      </c>
      <c r="AY336" s="22">
        <f>SUMIF(tabParametros[Código do Posto],tabCustoUnit[[#This Row],[Código do Posto]],tabParametros[Férias, Adicional de Férias e 13º  com empregada em gozo de Licença Maternidade])*tabCustoUnit[[#This Row],[MODULO 1 - REMUNERAÇÃO ]]</f>
        <v>3.3700796111111107</v>
      </c>
      <c r="AZ336" s="22">
        <f>SUMIF(tabParametros[Código do Posto],tabCustoUnit[[#This Row],[Código do Posto]],tabParametros[Incidência do Submódulo 2.1 sobre Ausências Legais])*tabCustoUnit[[#This Row],[MODULO 1 - REMUNERAÇÃO ]]</f>
        <v>11.9377150536525</v>
      </c>
      <c r="BA336" s="22">
        <f>SUM(tabCustoUnit[[#This Row],[Ausência por Doença]:[Incidência do Submódulo 2.1 sobre Ausências Legais]])</f>
        <v>43.518971809346937</v>
      </c>
      <c r="BB336" s="22">
        <f>SUMIF(tabParametros[Código do Posto],tabCustoUnit[[#This Row],[Código do Posto]],tabParametros[Intervalo para Repouso ou Alimentação])</f>
        <v>0</v>
      </c>
      <c r="BC336" s="22">
        <f>tabCustoUnit[[#This Row],[Intervalo para Repouso ou Alimentação]]</f>
        <v>0</v>
      </c>
      <c r="BD336"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6" s="22">
        <f>tabCustoUnit[[#This Row],[Suspensão Temporária do Contrato de Trabalho]]</f>
        <v>0</v>
      </c>
      <c r="BF336" s="22">
        <f>tabCustoUnit[[#This Row],[Submódulo 4.1]]+tabCustoUnit[[#This Row],[Submódulo 4.2]]+tabCustoUnit[[#This Row],[Submódulo 4.3]]</f>
        <v>43.518971809346937</v>
      </c>
      <c r="BG336" s="22">
        <f>VLOOKUP(tabCustoUnit[[#This Row],[Código do Posto]],tabParametros[],MATCH(tabCustoUnit[[#Headers],[Uniformes e EPIs]],tabParametros[#Headers],0),0)</f>
        <v>196.62072732312174</v>
      </c>
      <c r="BH336" s="22">
        <f>VLOOKUP(tabCustoUnit[[#This Row],[Código do Posto]],tabParametros[],MATCH(tabCustoUnit[[#Headers],[Materiais de Consumo]],tabParametros[#Headers],0),0)</f>
        <v>441.81099462365592</v>
      </c>
      <c r="BI336" s="22">
        <f>VLOOKUP(tabCustoUnit[[#This Row],[Código do Posto]],tabParametros[],MATCH(tabCustoUnit[[#Headers],[Máquinas e Equipamentos (depreciação)]],tabParametros[#Headers],0),0)</f>
        <v>113.11309677419354</v>
      </c>
      <c r="BJ336" s="22">
        <f>VLOOKUP(tabCustoUnit[[#This Row],[Código do Posto]],tabParametros[],MATCH(tabCustoUnit[[#Headers],[Produtos de Limpeza e Materiais de Higiene Pessoal]],tabParametros[#Headers],0),0)</f>
        <v>0</v>
      </c>
      <c r="BK336" s="22">
        <f>VLOOKUP(tabCustoUnit[[#This Row],[Código do Posto]],tabParametros[],MATCH(tabCustoUnit[[#Headers],[Outros (especificar)]],tabParametros[#Headers],0),0)</f>
        <v>0</v>
      </c>
      <c r="BL336" s="22">
        <f>SUM(tabCustoUnit[[#This Row],[Uniformes e EPIs]:[Outros (especificar)]])</f>
        <v>751.54481872097119</v>
      </c>
      <c r="BM336"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6" s="22" t="e">
        <f ca="1">VLOOKUP(tabCustoUnit[[#This Row],[Código do Posto]],tabParametros[],MATCH(tabCustoUnit[[#Headers],[Custos Indiretos]],tabParametros[#Headers],0),0)</f>
        <v>#NAME?</v>
      </c>
      <c r="BO336" s="22" t="e">
        <f ca="1">VLOOKUP(tabCustoUnit[[#This Row],[Código do Posto]],tabParametros[],MATCH(tabCustoUnit[[#Headers],[Lucro]],tabParametros[#Headers],0),0)</f>
        <v>#NAME?</v>
      </c>
      <c r="BP336" s="26">
        <f>((100/((1-tabCustoUnit[[#This Row],[Resumo de Alíquotas (PIS+CONFINS+ISS)]]))-100)*VLOOKUP(tabCustoUnit[[#This Row],[Código do Posto]],tabParametros[],MATCH(tabCustoUnit[[#Headers],[COFINS]],tabParametros[#Headers],0),0))/(tabCustoUnit[[#This Row],[Resumo de Alíquotas (PIS+CONFINS+ISS)]]*100)</f>
        <v>8.6609686609686695E-2</v>
      </c>
      <c r="BQ336" s="26">
        <f>((100/((100-(tabCustoUnit[[#This Row],[Resumo de Alíquotas (PIS+CONFINS+ISS)]]*100))%)-100)*VLOOKUP(tabCustoUnit[[#This Row],[Código do Posto]],tabParametros[],MATCH(tabCustoUnit[[#Headers],[PIS]],tabParametros[#Headers],0),0))/(tabCustoUnit[[#This Row],[Resumo de Alíquotas (PIS+CONFINS+ISS)]]*100)</f>
        <v>1.880341880341882E-2</v>
      </c>
      <c r="BR336" s="28">
        <f>VLOOKUP(tabCustoUnit[[#This Row],[Código do Posto]],tabParametros[],MATCH(tabCustoUnit[[#Headers],[ISS]],tabParametros[#Headers],0),0)</f>
        <v>0.03</v>
      </c>
      <c r="BS336" s="26">
        <f>(((100/((100-(tabCustoUnit[[#This Row],[Resumo de Alíquotas (PIS+CONFINS+ISS)]]*100))%)-100)*tabCustoUnit[[#This Row],[ISS]])/tabCustoUnit[[#This Row],[Resumo de Alíquotas (PIS+CONFINS+ISS)]])/100</f>
        <v>3.4188034188034219E-2</v>
      </c>
      <c r="BT33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36" s="138">
        <f>tabCustoUnit[[#This Row],[COFINS]]+tabCustoUnit[[#This Row],[PIS]]+tabCustoUnit[[#This Row],[ISS (Conversão Alíquota s/ fatura)]]</f>
        <v>0.13960113960113973</v>
      </c>
      <c r="BV336" s="22" t="e">
        <f ca="1">(tabCustoUnit[[#This Row],[TOTAL MÓDULOS 1+2+3+4+5]]+tabCustoUnit[[#This Row],[Custos Indiretos]]+tabCustoUnit[[#This Row],[Lucro]])*tabCustoUnit[[#This Row],[PIS + COFINS + ISS (Total Conversão  Alíquota s/ Fatura)]]</f>
        <v>#NAME?</v>
      </c>
      <c r="BW336" s="22" t="e">
        <f ca="1">tabCustoUnit[[#This Row],[Custos Indiretos]]+tabCustoUnit[[#This Row],[Lucro]]+tabCustoUnit[[#This Row],[Valor dos Tributos (ISS, PIS, CONFINS)]]</f>
        <v>#NAME?</v>
      </c>
      <c r="BX336" s="22" t="e">
        <f ca="1">tabCustoUnit[[#This Row],[TOTAL MÓDULOS 1+2+3+4+5]]+tabCustoUnit[[#This Row],[MÓDULO 6 – CUSTOS INDIRETOS, TRIBUTOS E LUCRO]]</f>
        <v>#NAME?</v>
      </c>
      <c r="BY336" s="22" t="e">
        <f ca="1">tabCustoUnit[[#This Row],[CUSTO TOTAL MENSAL]]*12</f>
        <v>#NAME?</v>
      </c>
      <c r="BZ336" s="24">
        <f>VLOOKUP(tabCustoUnit[[#This Row],[Código do Posto]],tabParametros[],MATCH(tabCustoUnit[[#Headers],[ANO DA CCT]],tabParametros[#Headers],0),0)</f>
        <v>45658</v>
      </c>
      <c r="CA336" s="25" t="str">
        <f>VLOOKUP(tabCustoUnit[[#This Row],[Código do Posto]],tabParametros[],MATCH(tabCustoUnit[[#Headers],[Nº DE PEDIDO DA CCT]],tabParametros[#Headers],0),0)</f>
        <v>-</v>
      </c>
      <c r="CB336" s="25" t="str">
        <f>VLOOKUP(tabCustoUnit[[#This Row],[Código do Posto]],tabParametros[],MATCH(tabCustoUnit[[#Headers],[TERMO ADITIVO ALTERAÇÃO DA CCT]],tabParametros[#Headers],0),0)</f>
        <v>-</v>
      </c>
    </row>
    <row r="337" spans="1:80">
      <c r="A337" s="20" t="s">
        <v>1742</v>
      </c>
      <c r="B337" t="s">
        <v>1217</v>
      </c>
      <c r="C337" t="s">
        <v>314</v>
      </c>
      <c r="D337" t="s">
        <v>1077</v>
      </c>
      <c r="E337" s="20" t="s">
        <v>1090</v>
      </c>
      <c r="F337" s="20" t="s">
        <v>120</v>
      </c>
      <c r="G337" s="418">
        <v>1963.4110000000001</v>
      </c>
      <c r="H337" s="418">
        <v>0</v>
      </c>
      <c r="I337" s="418">
        <v>0</v>
      </c>
      <c r="J337" s="418">
        <v>0</v>
      </c>
      <c r="K337" s="418">
        <v>0</v>
      </c>
      <c r="L337" s="418">
        <v>0</v>
      </c>
      <c r="M337" s="418">
        <v>0</v>
      </c>
      <c r="N337" s="418">
        <v>0</v>
      </c>
      <c r="O337" s="21">
        <f>SUM(tabCustoUnit[[#This Row],[Salário Base]:[Adicional de Acúmulo de função]])</f>
        <v>1963.4110000000001</v>
      </c>
      <c r="P337" s="21">
        <f>tabCustoUnit[[#This Row],[MODULO 1 - REMUNERAÇÃO ]]*SUMIFS(tabParametros[INSS],tabParametros[Código do Posto],tabCustoUnit[[#This Row],[Código do Posto]])</f>
        <v>392.68220000000002</v>
      </c>
      <c r="Q337" s="21">
        <f>tabCustoUnit[[#This Row],[MODULO 1 - REMUNERAÇÃO ]]*SUMIFS(tabParametros[SESI OU SESC],tabParametros[Código do Posto],tabCustoUnit[[#This Row],[Código do Posto]])</f>
        <v>29.451165</v>
      </c>
      <c r="R337" s="21">
        <f>tabCustoUnit[[#This Row],[MODULO 1 - REMUNERAÇÃO ]]*SUMIFS(tabParametros[SENAI OU SENAC],tabParametros[Código do Posto],tabCustoUnit[[#This Row],[Código do Posto]])</f>
        <v>19.63411</v>
      </c>
      <c r="S337" s="21">
        <f>tabCustoUnit[[#This Row],[MODULO 1 - REMUNERAÇÃO ]]*SUMIFS(tabParametros[INCRA],tabParametros[Código do Posto],tabCustoUnit[[#This Row],[Código do Posto]])</f>
        <v>3.926822</v>
      </c>
      <c r="T337" s="21">
        <f>tabCustoUnit[[#This Row],[MODULO 1 - REMUNERAÇÃO ]]*SUMIFS(tabParametros[Salário Educação],tabParametros[Código do Posto],tabCustoUnit[[#This Row],[Código do Posto]])</f>
        <v>49.085275000000003</v>
      </c>
      <c r="U337" s="21">
        <f>tabCustoUnit[[#This Row],[MODULO 1 - REMUNERAÇÃO ]]*SUMIFS(tabParametros[FGTS],tabParametros[Código do Posto],tabCustoUnit[[#This Row],[Código do Posto]])</f>
        <v>157.07288</v>
      </c>
      <c r="V337" s="21">
        <f>tabCustoUnit[[#This Row],[MODULO 1 - REMUNERAÇÃO ]]*SUMIFS(tabParametros[RAT Ajustado],tabParametros[Código do Posto],tabCustoUnit[[#This Row],[Código do Posto]])</f>
        <v>78.536439999999999</v>
      </c>
      <c r="W337" s="21">
        <f>tabCustoUnit[[#This Row],[MODULO 1 - REMUNERAÇÃO ]]*SUMIFS(tabParametros[SEBRAE],tabParametros[Código do Posto],tabCustoUnit[[#This Row],[Código do Posto]])</f>
        <v>11.780466000000001</v>
      </c>
      <c r="X337" s="21">
        <f>SUM(tabCustoUnit[[#This Row],[INSS]:[SEBRAE]])</f>
        <v>742.1693580000001</v>
      </c>
      <c r="Y337" s="21">
        <f>tabCustoUnit[[#This Row],[MODULO 1 - REMUNERAÇÃO ]]*SUMIFS(tabParametros[13º salário (titular)],tabParametros[Código do Posto],tabCustoUnit[[#This Row],[Código do Posto]])</f>
        <v>163.61758333333333</v>
      </c>
      <c r="Z337" s="21">
        <f>tabCustoUnit[[#This Row],[MODULO 1 - REMUNERAÇÃO ]]*SUMIFS(tabParametros[Férias e Adicional de Férias (titular)],tabParametros[Código do Posto],tabCustoUnit[[#This Row],[Código do Posto]])</f>
        <v>218.15677777777776</v>
      </c>
      <c r="AA337" s="21">
        <f>IFERROR((tabCustoUnit[[#This Row],[Submódulo 2.1]]/tabCustoUnit[[#This Row],[MODULO 1 - REMUNERAÇÃO ]])*SUM(tabCustoUnit[[#This Row],[13º salário (titular)]:[Férias e Adicional de Férias (titular)]]),0)</f>
        <v>144.3107085</v>
      </c>
      <c r="AB337" s="21">
        <f>SUM(tabCustoUnit[[#This Row],[13º salário (titular)]:[Incidência do Submódulo 2.1 sobre 13º Salário, Férias e Adicional de Férias]])</f>
        <v>526.08506961111107</v>
      </c>
      <c r="AC337" s="22" t="e">
        <f ca="1">_xlfn.LET(_xlpm.VT,SUMIF(tabParametros[Código do Posto],tabCustoUnit[[#This Row],[Código do Posto]],tabParametros[Vale - Transporte])*2*20,
IF((_xlpm.VT-tabCustoUnit[[#This Row],[Salário Base]]*0.06)&gt;=0,(_xlpm.VT-tabCustoUnit[[#This Row],[Salário Base]]*0.06),0)
)</f>
        <v>#NAME?</v>
      </c>
      <c r="AD337" s="22">
        <f>IF(SUMIF(tabParametros[Código do Posto],tabCustoUnit[[#This Row],[Código do Posto]],tabParametros[Vale - Alimentação])&lt;=0,0,
SUMIF(tabParametros[Código do Posto],tabCustoUnit[[#This Row],[Código do Posto]],tabParametros[Vale - Alimentação])*20-1)</f>
        <v>582</v>
      </c>
      <c r="AE337" s="22">
        <f>SUMIF(tabParametros[Código do Posto],tabCustoUnit[[#This Row],[Código do Posto]],tabParametros[Cesta Básica])</f>
        <v>0</v>
      </c>
      <c r="AF337" s="22">
        <f>SUMIF(tabParametros[Código do Posto],tabCustoUnit[[#This Row],[Código do Posto]],tabParametros[PAF])</f>
        <v>51.86</v>
      </c>
      <c r="AG337" s="22">
        <f>SUMIF(tabParametros[Código do Posto],tabCustoUnit[[#This Row],[Código do Posto]],tabParametros[PQM])</f>
        <v>0</v>
      </c>
      <c r="AH337" s="22">
        <f>SUMIF(tabParametros[Código do Posto],tabCustoUnit[[#This Row],[Código do Posto]],tabParametros[Abono Único e Especial])</f>
        <v>0</v>
      </c>
      <c r="AI337" s="22">
        <f>SUMIF(tabParametros[Código do Posto],tabCustoUnit[[#This Row],[Código do Posto]],tabParametros[Seguro de Vida])</f>
        <v>3.36</v>
      </c>
      <c r="AJ337" s="22">
        <f>SUMIF(tabParametros[Código do Posto],tabCustoUnit[[#This Row],[Código do Posto]],tabParametros[Despesas de Viagem])</f>
        <v>0</v>
      </c>
      <c r="AK337" s="22" t="e">
        <f ca="1">SUM(tabCustoUnit[[#This Row],[Vale - Transporte (Descontada parcela do empregado)]:[Despesas de Viagem]])</f>
        <v>#NAME?</v>
      </c>
      <c r="AL337" s="22" t="e">
        <f ca="1">tabCustoUnit[[#This Row],[Submódulo 2.1]]+tabCustoUnit[[#This Row],[Submódulo 2.2]]+tabCustoUnit[[#This Row],[Submódulo 2.3]]</f>
        <v>#NAME?</v>
      </c>
      <c r="AM337" s="22">
        <f>SUMIF(tabParametros[Código do Posto],tabCustoUnit[[#This Row],[Código do Posto]],tabParametros[Aviso Prévio Indenizado (API) e Reflexo do Aviso Prévio Indenizado])*tabCustoUnit[[#This Row],[MODULO 1 - REMUNERAÇÃO ]]</f>
        <v>13.766980408757716</v>
      </c>
      <c r="AN337" s="22">
        <f>SUMIF(tabParametros[Código do Posto],tabCustoUnit[[#This Row],[Código do Posto]],tabParametros[Incidência do FGTS sobre API e Reflexo do API])*tabCustoUnit[[#This Row],[MODULO 1 - REMUNERAÇÃO ]]</f>
        <v>1.1013584327006174</v>
      </c>
      <c r="AO337" s="22">
        <f>SUMIF(tabParametros[Código do Posto],tabCustoUnit[[#This Row],[Código do Posto]],tabParametros[Multa Rescisória do FGTS sobre o Aviso Prévio Indenizado])*tabCustoUnit[[#This Row],[MODULO 1 - REMUNERAÇÃO ]]</f>
        <v>0.44054337308024699</v>
      </c>
      <c r="AP337" s="22">
        <f>SUMIF(tabParametros[Código do Posto],tabCustoUnit[[#This Row],[Código do Posto]],tabParametros[Aviso Prévio Trabalhado - APT])*tabCustoUnit[[#This Row],[MODULO 1 - REMUNERAÇÃO ]]</f>
        <v>6.8719385000000015</v>
      </c>
      <c r="AQ337" s="22">
        <f>SUMIF(tabParametros[Código do Posto],tabCustoUnit[[#This Row],[Código do Posto]],tabParametros[Incidência dos encargos do submódulo 2.1 sobre Aviso Prévio Trabalhado])*tabCustoUnit[[#This Row],[MODULO 1 - REMUNERAÇÃO ]]</f>
        <v>2.5975927530000007</v>
      </c>
      <c r="AR337" s="22">
        <f>SUMIF(tabParametros[Código do Posto],tabCustoUnit[[#This Row],[Código do Posto]],tabParametros[Multa Rescisória do FGTS])*tabCustoUnit[[#This Row],[MODULO 1 - REMUNERAÇÃO ]]</f>
        <v>60.03674524444444</v>
      </c>
      <c r="AS337" s="22">
        <f>SUMIF(tabParametros[Código do Posto],tabCustoUnit[[#This Row],[Código do Posto]],tabParametros[Indenização Adicional (Art. 9º da Lei nº 7.238/84)])*tabCustoUnit[[#This Row],[MODULO 1 - REMUNERAÇÃO ]]</f>
        <v>1.6361758333333334</v>
      </c>
      <c r="AT337" s="22">
        <f>SUM(tabCustoUnit[[#This Row],[Aviso Prévio Indenizado (API) e Reflexo do Aviso Prévio Indenizado]:[Indenização Adicional (Art. 9º da Lei nº 7.238/84)]])</f>
        <v>86.451334545316371</v>
      </c>
      <c r="AU337" s="22">
        <f>SUMIF(tabParametros[Código do Posto],tabCustoUnit[[#This Row],[Código do Posto]],tabParametros[Ausência por Doença])*tabCustoUnit[[#This Row],[MODULO 1 - REMUNERAÇÃO ]]</f>
        <v>16.579915111111109</v>
      </c>
      <c r="AV337" s="22">
        <f>SUMIF(tabParametros[Código do Posto],tabCustoUnit[[#This Row],[Código do Posto]],tabParametros[Ausências Legais])*tabCustoUnit[[#This Row],[MODULO 1 - REMUNERAÇÃO ]]</f>
        <v>3.9813611944444443</v>
      </c>
      <c r="AW337" s="22">
        <f>SUMIF(tabParametros[Código do Posto],tabCustoUnit[[#This Row],[Código do Posto]],tabParametros[Licença Paternidade])*tabCustoUnit[[#This Row],[MODULO 1 - REMUNERAÇÃO ]]</f>
        <v>0.33541604583333334</v>
      </c>
      <c r="AX337" s="22">
        <f>SUMIF(tabParametros[Código do Posto],tabCustoUnit[[#This Row],[Código do Posto]],tabParametros[Ausência por Acidente de Trabalho])*tabCustoUnit[[#This Row],[MODULO 1 - REMUNERAÇÃO ]]</f>
        <v>0.40904395833333335</v>
      </c>
      <c r="AY337" s="22">
        <f>SUMIF(tabParametros[Código do Posto],tabCustoUnit[[#This Row],[Código do Posto]],tabParametros[Férias, Adicional de Férias e 13º  com empregada em gozo de Licença Maternidade])*tabCustoUnit[[#This Row],[MODULO 1 - REMUNERAÇÃO ]]</f>
        <v>2.5451624074074073</v>
      </c>
      <c r="AZ337" s="22">
        <f>SUMIF(tabParametros[Código do Posto],tabCustoUnit[[#This Row],[Código do Posto]],tabParametros[Incidência do Submódulo 2.1 sobre Ausências Legais])*tabCustoUnit[[#This Row],[MODULO 1 - REMUNERAÇÃO ]]</f>
        <v>9.0156397150750021</v>
      </c>
      <c r="BA337" s="22">
        <f>SUM(tabCustoUnit[[#This Row],[Ausência por Doença]:[Incidência do Submódulo 2.1 sobre Ausências Legais]])</f>
        <v>32.866538432204628</v>
      </c>
      <c r="BB337" s="22">
        <f>SUMIF(tabParametros[Código do Posto],tabCustoUnit[[#This Row],[Código do Posto]],tabParametros[Intervalo para Repouso ou Alimentação])</f>
        <v>267.73786489195959</v>
      </c>
      <c r="BC337" s="22">
        <f>tabCustoUnit[[#This Row],[Intervalo para Repouso ou Alimentação]]</f>
        <v>267.73786489195959</v>
      </c>
      <c r="BD337"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7" s="22">
        <f>tabCustoUnit[[#This Row],[Suspensão Temporária do Contrato de Trabalho]]</f>
        <v>0</v>
      </c>
      <c r="BF337" s="22">
        <f>tabCustoUnit[[#This Row],[Submódulo 4.1]]+tabCustoUnit[[#This Row],[Submódulo 4.2]]+tabCustoUnit[[#This Row],[Submódulo 4.3]]</f>
        <v>300.6044033241642</v>
      </c>
      <c r="BG337" s="22">
        <f>VLOOKUP(tabCustoUnit[[#This Row],[Código do Posto]],tabParametros[],MATCH(tabCustoUnit[[#Headers],[Uniformes e EPIs]],tabParametros[#Headers],0),0)</f>
        <v>56.642978962543395</v>
      </c>
      <c r="BH337" s="22">
        <f>VLOOKUP(tabCustoUnit[[#This Row],[Código do Posto]],tabParametros[],MATCH(tabCustoUnit[[#Headers],[Materiais de Consumo]],tabParametros[#Headers],0),0)</f>
        <v>0</v>
      </c>
      <c r="BI337" s="22">
        <f>VLOOKUP(tabCustoUnit[[#This Row],[Código do Posto]],tabParametros[],MATCH(tabCustoUnit[[#Headers],[Máquinas e Equipamentos (depreciação)]],tabParametros[#Headers],0),0)</f>
        <v>0</v>
      </c>
      <c r="BJ337" s="22">
        <f>VLOOKUP(tabCustoUnit[[#This Row],[Código do Posto]],tabParametros[],MATCH(tabCustoUnit[[#Headers],[Produtos de Limpeza e Materiais de Higiene Pessoal]],tabParametros[#Headers],0),0)</f>
        <v>0</v>
      </c>
      <c r="BK337" s="22">
        <f>VLOOKUP(tabCustoUnit[[#This Row],[Código do Posto]],tabParametros[],MATCH(tabCustoUnit[[#Headers],[Outros (especificar)]],tabParametros[#Headers],0),0)</f>
        <v>0</v>
      </c>
      <c r="BL337" s="22">
        <f>SUM(tabCustoUnit[[#This Row],[Uniformes e EPIs]:[Outros (especificar)]])</f>
        <v>56.642978962543395</v>
      </c>
      <c r="BM337"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7" s="22" t="e">
        <f ca="1">VLOOKUP(tabCustoUnit[[#This Row],[Código do Posto]],tabParametros[],MATCH(tabCustoUnit[[#Headers],[Custos Indiretos]],tabParametros[#Headers],0),0)</f>
        <v>#NAME?</v>
      </c>
      <c r="BO337" s="22" t="e">
        <f ca="1">VLOOKUP(tabCustoUnit[[#This Row],[Código do Posto]],tabParametros[],MATCH(tabCustoUnit[[#Headers],[Lucro]],tabParametros[#Headers],0),0)</f>
        <v>#NAME?</v>
      </c>
      <c r="BP337" s="26">
        <f>((100/((1-tabCustoUnit[[#This Row],[Resumo de Alíquotas (PIS+CONFINS+ISS)]]))-100)*VLOOKUP(tabCustoUnit[[#This Row],[Código do Posto]],tabParametros[],MATCH(tabCustoUnit[[#Headers],[COFINS]],tabParametros[#Headers],0),0))/(tabCustoUnit[[#This Row],[Resumo de Alíquotas (PIS+CONFINS+ISS)]]*100)</f>
        <v>8.6609686609686695E-2</v>
      </c>
      <c r="BQ337" s="26">
        <f>((100/((100-(tabCustoUnit[[#This Row],[Resumo de Alíquotas (PIS+CONFINS+ISS)]]*100))%)-100)*VLOOKUP(tabCustoUnit[[#This Row],[Código do Posto]],tabParametros[],MATCH(tabCustoUnit[[#Headers],[PIS]],tabParametros[#Headers],0),0))/(tabCustoUnit[[#This Row],[Resumo de Alíquotas (PIS+CONFINS+ISS)]]*100)</f>
        <v>1.880341880341882E-2</v>
      </c>
      <c r="BR337" s="28">
        <f>VLOOKUP(tabCustoUnit[[#This Row],[Código do Posto]],tabParametros[],MATCH(tabCustoUnit[[#Headers],[ISS]],tabParametros[#Headers],0),0)</f>
        <v>0.03</v>
      </c>
      <c r="BS337" s="26">
        <f>(((100/((100-(tabCustoUnit[[#This Row],[Resumo de Alíquotas (PIS+CONFINS+ISS)]]*100))%)-100)*tabCustoUnit[[#This Row],[ISS]])/tabCustoUnit[[#This Row],[Resumo de Alíquotas (PIS+CONFINS+ISS)]])/100</f>
        <v>3.4188034188034219E-2</v>
      </c>
      <c r="BT33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37" s="138">
        <f>tabCustoUnit[[#This Row],[COFINS]]+tabCustoUnit[[#This Row],[PIS]]+tabCustoUnit[[#This Row],[ISS (Conversão Alíquota s/ fatura)]]</f>
        <v>0.13960113960113973</v>
      </c>
      <c r="BV337" s="22" t="e">
        <f ca="1">(tabCustoUnit[[#This Row],[TOTAL MÓDULOS 1+2+3+4+5]]+tabCustoUnit[[#This Row],[Custos Indiretos]]+tabCustoUnit[[#This Row],[Lucro]])*tabCustoUnit[[#This Row],[PIS + COFINS + ISS (Total Conversão  Alíquota s/ Fatura)]]</f>
        <v>#NAME?</v>
      </c>
      <c r="BW337" s="22" t="e">
        <f ca="1">tabCustoUnit[[#This Row],[Custos Indiretos]]+tabCustoUnit[[#This Row],[Lucro]]+tabCustoUnit[[#This Row],[Valor dos Tributos (ISS, PIS, CONFINS)]]</f>
        <v>#NAME?</v>
      </c>
      <c r="BX337" s="22" t="e">
        <f ca="1">tabCustoUnit[[#This Row],[TOTAL MÓDULOS 1+2+3+4+5]]+tabCustoUnit[[#This Row],[MÓDULO 6 – CUSTOS INDIRETOS, TRIBUTOS E LUCRO]]</f>
        <v>#NAME?</v>
      </c>
      <c r="BY337" s="22" t="e">
        <f ca="1">tabCustoUnit[[#This Row],[CUSTO TOTAL MENSAL]]*12</f>
        <v>#NAME?</v>
      </c>
      <c r="BZ337" s="24">
        <f>VLOOKUP(tabCustoUnit[[#This Row],[Código do Posto]],tabParametros[],MATCH(tabCustoUnit[[#Headers],[ANO DA CCT]],tabParametros[#Headers],0),0)</f>
        <v>45658</v>
      </c>
      <c r="CA337" s="25" t="str">
        <f>VLOOKUP(tabCustoUnit[[#This Row],[Código do Posto]],tabParametros[],MATCH(tabCustoUnit[[#Headers],[Nº DE PEDIDO DA CCT]],tabParametros[#Headers],0),0)</f>
        <v>-</v>
      </c>
      <c r="CB337" s="25" t="str">
        <f>VLOOKUP(tabCustoUnit[[#This Row],[Código do Posto]],tabParametros[],MATCH(tabCustoUnit[[#Headers],[TERMO ADITIVO ALTERAÇÃO DA CCT]],tabParametros[#Headers],0),0)</f>
        <v>-</v>
      </c>
    </row>
    <row r="338" spans="1:80">
      <c r="A338" s="20" t="s">
        <v>1518</v>
      </c>
      <c r="B338" t="s">
        <v>1218</v>
      </c>
      <c r="C338" t="s">
        <v>200</v>
      </c>
      <c r="D338" t="s">
        <v>905</v>
      </c>
      <c r="E338" s="20" t="s">
        <v>1090</v>
      </c>
      <c r="F338" s="20" t="s">
        <v>120</v>
      </c>
      <c r="G338" s="418">
        <v>1596.2737999999999</v>
      </c>
      <c r="H338" s="418">
        <v>0</v>
      </c>
      <c r="I338" s="418">
        <v>0</v>
      </c>
      <c r="J338" s="418">
        <v>0</v>
      </c>
      <c r="K338" s="418">
        <v>0</v>
      </c>
      <c r="L338" s="418">
        <v>0</v>
      </c>
      <c r="M338" s="418">
        <v>0</v>
      </c>
      <c r="N338" s="418">
        <v>0</v>
      </c>
      <c r="O338" s="21">
        <f>SUM(tabCustoUnit[[#This Row],[Salário Base]:[Adicional de Acúmulo de função]])</f>
        <v>1596.2737999999999</v>
      </c>
      <c r="P338" s="21">
        <f>tabCustoUnit[[#This Row],[MODULO 1 - REMUNERAÇÃO ]]*SUMIFS(tabParametros[INSS],tabParametros[Código do Posto],tabCustoUnit[[#This Row],[Código do Posto]])</f>
        <v>319.25476000000003</v>
      </c>
      <c r="Q338" s="21">
        <f>tabCustoUnit[[#This Row],[MODULO 1 - REMUNERAÇÃO ]]*SUMIFS(tabParametros[SESI OU SESC],tabParametros[Código do Posto],tabCustoUnit[[#This Row],[Código do Posto]])</f>
        <v>23.944106999999999</v>
      </c>
      <c r="R338" s="21">
        <f>tabCustoUnit[[#This Row],[MODULO 1 - REMUNERAÇÃO ]]*SUMIFS(tabParametros[SENAI OU SENAC],tabParametros[Código do Posto],tabCustoUnit[[#This Row],[Código do Posto]])</f>
        <v>15.962738</v>
      </c>
      <c r="S338" s="21">
        <f>tabCustoUnit[[#This Row],[MODULO 1 - REMUNERAÇÃO ]]*SUMIFS(tabParametros[INCRA],tabParametros[Código do Posto],tabCustoUnit[[#This Row],[Código do Posto]])</f>
        <v>3.1925476000000002</v>
      </c>
      <c r="T338" s="21">
        <f>tabCustoUnit[[#This Row],[MODULO 1 - REMUNERAÇÃO ]]*SUMIFS(tabParametros[Salário Educação],tabParametros[Código do Posto],tabCustoUnit[[#This Row],[Código do Posto]])</f>
        <v>39.906845000000004</v>
      </c>
      <c r="U338" s="21">
        <f>tabCustoUnit[[#This Row],[MODULO 1 - REMUNERAÇÃO ]]*SUMIFS(tabParametros[FGTS],tabParametros[Código do Posto],tabCustoUnit[[#This Row],[Código do Posto]])</f>
        <v>127.701904</v>
      </c>
      <c r="V338" s="21">
        <f>tabCustoUnit[[#This Row],[MODULO 1 - REMUNERAÇÃO ]]*SUMIFS(tabParametros[RAT Ajustado],tabParametros[Código do Posto],tabCustoUnit[[#This Row],[Código do Posto]])</f>
        <v>63.850951999999999</v>
      </c>
      <c r="W338" s="21">
        <f>tabCustoUnit[[#This Row],[MODULO 1 - REMUNERAÇÃO ]]*SUMIFS(tabParametros[SEBRAE],tabParametros[Código do Posto],tabCustoUnit[[#This Row],[Código do Posto]])</f>
        <v>9.5776427999999996</v>
      </c>
      <c r="X338" s="21">
        <f>SUM(tabCustoUnit[[#This Row],[INSS]:[SEBRAE]])</f>
        <v>603.39149640000005</v>
      </c>
      <c r="Y338" s="21">
        <f>tabCustoUnit[[#This Row],[MODULO 1 - REMUNERAÇÃO ]]*SUMIFS(tabParametros[13º salário (titular)],tabParametros[Código do Posto],tabCustoUnit[[#This Row],[Código do Posto]])</f>
        <v>133.02281666666664</v>
      </c>
      <c r="Z338" s="21">
        <f>tabCustoUnit[[#This Row],[MODULO 1 - REMUNERAÇÃO ]]*SUMIFS(tabParametros[Férias e Adicional de Férias (titular)],tabParametros[Código do Posto],tabCustoUnit[[#This Row],[Código do Posto]])</f>
        <v>177.36375555555554</v>
      </c>
      <c r="AA338" s="21">
        <f>IFERROR((tabCustoUnit[[#This Row],[Submódulo 2.1]]/tabCustoUnit[[#This Row],[MODULO 1 - REMUNERAÇÃO ]])*SUM(tabCustoUnit[[#This Row],[13º salário (titular)]:[Férias e Adicional de Férias (titular)]]),0)</f>
        <v>117.3261243</v>
      </c>
      <c r="AB338" s="21">
        <f>SUM(tabCustoUnit[[#This Row],[13º salário (titular)]:[Incidência do Submódulo 2.1 sobre 13º Salário, Férias e Adicional de Férias]])</f>
        <v>427.71269652222219</v>
      </c>
      <c r="AC338" s="22" t="e">
        <f ca="1">_xlfn.LET(_xlpm.VT,SUMIF(tabParametros[Código do Posto],tabCustoUnit[[#This Row],[Código do Posto]],tabParametros[Vale - Transporte])*2*20,
IF((_xlpm.VT-tabCustoUnit[[#This Row],[Salário Base]]*0.06)&gt;=0,(_xlpm.VT-tabCustoUnit[[#This Row],[Salário Base]]*0.06),0)
)</f>
        <v>#NAME?</v>
      </c>
      <c r="AD338" s="22">
        <f>IF(SUMIF(tabParametros[Código do Posto],tabCustoUnit[[#This Row],[Código do Posto]],tabParametros[Vale - Alimentação])&lt;=0,0,
SUMIF(tabParametros[Código do Posto],tabCustoUnit[[#This Row],[Código do Posto]],tabParametros[Vale - Alimentação])*20-1)</f>
        <v>582</v>
      </c>
      <c r="AE338" s="22">
        <f>SUMIF(tabParametros[Código do Posto],tabCustoUnit[[#This Row],[Código do Posto]],tabParametros[Cesta Básica])</f>
        <v>0</v>
      </c>
      <c r="AF338" s="22">
        <f>SUMIF(tabParametros[Código do Posto],tabCustoUnit[[#This Row],[Código do Posto]],tabParametros[PAF])</f>
        <v>57.07</v>
      </c>
      <c r="AG338" s="22">
        <f>SUMIF(tabParametros[Código do Posto],tabCustoUnit[[#This Row],[Código do Posto]],tabParametros[PQM])</f>
        <v>0</v>
      </c>
      <c r="AH338" s="22">
        <f>SUMIF(tabParametros[Código do Posto],tabCustoUnit[[#This Row],[Código do Posto]],tabParametros[Abono Único e Especial])</f>
        <v>0</v>
      </c>
      <c r="AI338" s="22">
        <f>SUMIF(tabParametros[Código do Posto],tabCustoUnit[[#This Row],[Código do Posto]],tabParametros[Seguro de Vida])</f>
        <v>3.36</v>
      </c>
      <c r="AJ338" s="22">
        <f>SUMIF(tabParametros[Código do Posto],tabCustoUnit[[#This Row],[Código do Posto]],tabParametros[Despesas de Viagem])</f>
        <v>0</v>
      </c>
      <c r="AK338" s="22" t="e">
        <f ca="1">SUM(tabCustoUnit[[#This Row],[Vale - Transporte (Descontada parcela do empregado)]:[Despesas de Viagem]])</f>
        <v>#NAME?</v>
      </c>
      <c r="AL338" s="22" t="e">
        <f ca="1">tabCustoUnit[[#This Row],[Submódulo 2.1]]+tabCustoUnit[[#This Row],[Submódulo 2.2]]+tabCustoUnit[[#This Row],[Submódulo 2.3]]</f>
        <v>#NAME?</v>
      </c>
      <c r="AM338" s="22">
        <f>SUMIF(tabParametros[Código do Posto],tabCustoUnit[[#This Row],[Código do Posto]],tabParametros[Aviso Prévio Indenizado (API) e Reflexo do Aviso Prévio Indenizado])*tabCustoUnit[[#This Row],[MODULO 1 - REMUNERAÇÃO ]]</f>
        <v>11.192699914390431</v>
      </c>
      <c r="AN338" s="22">
        <f>SUMIF(tabParametros[Código do Posto],tabCustoUnit[[#This Row],[Código do Posto]],tabParametros[Incidência do FGTS sobre API e Reflexo do API])*tabCustoUnit[[#This Row],[MODULO 1 - REMUNERAÇÃO ]]</f>
        <v>0.89541599315123466</v>
      </c>
      <c r="AO338" s="22">
        <f>SUMIF(tabParametros[Código do Posto],tabCustoUnit[[#This Row],[Código do Posto]],tabParametros[Multa Rescisória do FGTS sobre o Aviso Prévio Indenizado])*tabCustoUnit[[#This Row],[MODULO 1 - REMUNERAÇÃO ]]</f>
        <v>0.35816639726049387</v>
      </c>
      <c r="AP338" s="22">
        <f>SUMIF(tabParametros[Código do Posto],tabCustoUnit[[#This Row],[Código do Posto]],tabParametros[Aviso Prévio Trabalhado - APT])*tabCustoUnit[[#This Row],[MODULO 1 - REMUNERAÇÃO ]]</f>
        <v>5.5869583000000009</v>
      </c>
      <c r="AQ338" s="22">
        <f>SUMIF(tabParametros[Código do Posto],tabCustoUnit[[#This Row],[Código do Posto]],tabParametros[Incidência dos encargos do submódulo 2.1 sobre Aviso Prévio Trabalhado])*tabCustoUnit[[#This Row],[MODULO 1 - REMUNERAÇÃO ]]</f>
        <v>2.1118702374000007</v>
      </c>
      <c r="AR338" s="22">
        <f>SUMIF(tabParametros[Código do Posto],tabCustoUnit[[#This Row],[Código do Posto]],tabParametros[Multa Rescisória do FGTS])*tabCustoUnit[[#This Row],[MODULO 1 - REMUNERAÇÃO ]]</f>
        <v>48.810505528888882</v>
      </c>
      <c r="AS338" s="22">
        <f>SUMIF(tabParametros[Código do Posto],tabCustoUnit[[#This Row],[Código do Posto]],tabParametros[Indenização Adicional (Art. 9º da Lei nº 7.238/84)])*tabCustoUnit[[#This Row],[MODULO 1 - REMUNERAÇÃO ]]</f>
        <v>1.3302281666666667</v>
      </c>
      <c r="AT338" s="22">
        <f>SUM(tabCustoUnit[[#This Row],[Aviso Prévio Indenizado (API) e Reflexo do Aviso Prévio Indenizado]:[Indenização Adicional (Art. 9º da Lei nº 7.238/84)]])</f>
        <v>70.285844537757711</v>
      </c>
      <c r="AU338" s="22">
        <f>SUMIF(tabParametros[Código do Posto],tabCustoUnit[[#This Row],[Código do Posto]],tabParametros[Ausência por Doença])*tabCustoUnit[[#This Row],[MODULO 1 - REMUNERAÇÃO ]]</f>
        <v>13.479645422222221</v>
      </c>
      <c r="AV338" s="22">
        <f>SUMIF(tabParametros[Código do Posto],tabCustoUnit[[#This Row],[Código do Posto]],tabParametros[Ausências Legais])*tabCustoUnit[[#This Row],[MODULO 1 - REMUNERAÇÃO ]]</f>
        <v>3.2368885388888886</v>
      </c>
      <c r="AW338" s="22">
        <f>SUMIF(tabParametros[Código do Posto],tabCustoUnit[[#This Row],[Código do Posto]],tabParametros[Licença Paternidade])*tabCustoUnit[[#This Row],[MODULO 1 - REMUNERAÇÃO ]]</f>
        <v>0.27269677416666666</v>
      </c>
      <c r="AX338" s="22">
        <f>SUMIF(tabParametros[Código do Posto],tabCustoUnit[[#This Row],[Código do Posto]],tabParametros[Ausência por Acidente de Trabalho])*tabCustoUnit[[#This Row],[MODULO 1 - REMUNERAÇÃO ]]</f>
        <v>0.33255704166666666</v>
      </c>
      <c r="AY338" s="22">
        <f>SUMIF(tabParametros[Código do Posto],tabCustoUnit[[#This Row],[Código do Posto]],tabParametros[Férias, Adicional de Férias e 13º  com empregada em gozo de Licença Maternidade])*tabCustoUnit[[#This Row],[MODULO 1 - REMUNERAÇÃO ]]</f>
        <v>2.0692438148148145</v>
      </c>
      <c r="AZ338" s="22">
        <f>SUMIF(tabParametros[Código do Posto],tabCustoUnit[[#This Row],[Código do Posto]],tabParametros[Incidência do Submódulo 2.1 sobre Ausências Legais])*tabCustoUnit[[#This Row],[MODULO 1 - REMUNERAÇÃO ]]</f>
        <v>7.3298099416850011</v>
      </c>
      <c r="BA338" s="22">
        <f>SUM(tabCustoUnit[[#This Row],[Ausência por Doença]:[Incidência do Submódulo 2.1 sobre Ausências Legais]])</f>
        <v>26.720841533444265</v>
      </c>
      <c r="BB338" s="22">
        <f>SUMIF(tabParametros[Código do Posto],tabCustoUnit[[#This Row],[Código do Posto]],tabParametros[Intervalo para Repouso ou Alimentação])</f>
        <v>0</v>
      </c>
      <c r="BC338" s="22">
        <f>tabCustoUnit[[#This Row],[Intervalo para Repouso ou Alimentação]]</f>
        <v>0</v>
      </c>
      <c r="BD338"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8" s="22">
        <f>tabCustoUnit[[#This Row],[Suspensão Temporária do Contrato de Trabalho]]</f>
        <v>0</v>
      </c>
      <c r="BF338" s="22">
        <f>tabCustoUnit[[#This Row],[Submódulo 4.1]]+tabCustoUnit[[#This Row],[Submódulo 4.2]]+tabCustoUnit[[#This Row],[Submódulo 4.3]]</f>
        <v>26.720841533444265</v>
      </c>
      <c r="BG338" s="22">
        <f>VLOOKUP(tabCustoUnit[[#This Row],[Código do Posto]],tabParametros[],MATCH(tabCustoUnit[[#Headers],[Uniformes e EPIs]],tabParametros[#Headers],0),0)</f>
        <v>56.141713661989918</v>
      </c>
      <c r="BH338" s="22">
        <f>VLOOKUP(tabCustoUnit[[#This Row],[Código do Posto]],tabParametros[],MATCH(tabCustoUnit[[#Headers],[Materiais de Consumo]],tabParametros[#Headers],0),0)</f>
        <v>0</v>
      </c>
      <c r="BI338" s="22">
        <f>VLOOKUP(tabCustoUnit[[#This Row],[Código do Posto]],tabParametros[],MATCH(tabCustoUnit[[#Headers],[Máquinas e Equipamentos (depreciação)]],tabParametros[#Headers],0),0)</f>
        <v>0</v>
      </c>
      <c r="BJ338" s="22">
        <f>VLOOKUP(tabCustoUnit[[#This Row],[Código do Posto]],tabParametros[],MATCH(tabCustoUnit[[#Headers],[Produtos de Limpeza e Materiais de Higiene Pessoal]],tabParametros[#Headers],0),0)</f>
        <v>0</v>
      </c>
      <c r="BK338" s="22">
        <f>VLOOKUP(tabCustoUnit[[#This Row],[Código do Posto]],tabParametros[],MATCH(tabCustoUnit[[#Headers],[Outros (especificar)]],tabParametros[#Headers],0),0)</f>
        <v>0</v>
      </c>
      <c r="BL338" s="22">
        <f>SUM(tabCustoUnit[[#This Row],[Uniformes e EPIs]:[Outros (especificar)]])</f>
        <v>56.141713661989918</v>
      </c>
      <c r="BM338"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8" s="22" t="e">
        <f ca="1">VLOOKUP(tabCustoUnit[[#This Row],[Código do Posto]],tabParametros[],MATCH(tabCustoUnit[[#Headers],[Custos Indiretos]],tabParametros[#Headers],0),0)</f>
        <v>#NAME?</v>
      </c>
      <c r="BO338" s="22" t="e">
        <f ca="1">VLOOKUP(tabCustoUnit[[#This Row],[Código do Posto]],tabParametros[],MATCH(tabCustoUnit[[#Headers],[Lucro]],tabParametros[#Headers],0),0)</f>
        <v>#NAME?</v>
      </c>
      <c r="BP338" s="26">
        <f>((100/((1-tabCustoUnit[[#This Row],[Resumo de Alíquotas (PIS+CONFINS+ISS)]]))-100)*VLOOKUP(tabCustoUnit[[#This Row],[Código do Posto]],tabParametros[],MATCH(tabCustoUnit[[#Headers],[COFINS]],tabParametros[#Headers],0),0))/(tabCustoUnit[[#This Row],[Resumo de Alíquotas (PIS+CONFINS+ISS)]]*100)</f>
        <v>8.6609686609686695E-2</v>
      </c>
      <c r="BQ338" s="26">
        <f>((100/((100-(tabCustoUnit[[#This Row],[Resumo de Alíquotas (PIS+CONFINS+ISS)]]*100))%)-100)*VLOOKUP(tabCustoUnit[[#This Row],[Código do Posto]],tabParametros[],MATCH(tabCustoUnit[[#Headers],[PIS]],tabParametros[#Headers],0),0))/(tabCustoUnit[[#This Row],[Resumo de Alíquotas (PIS+CONFINS+ISS)]]*100)</f>
        <v>1.880341880341882E-2</v>
      </c>
      <c r="BR338" s="28">
        <f>VLOOKUP(tabCustoUnit[[#This Row],[Código do Posto]],tabParametros[],MATCH(tabCustoUnit[[#Headers],[ISS]],tabParametros[#Headers],0),0)</f>
        <v>0.03</v>
      </c>
      <c r="BS338" s="26">
        <f>(((100/((100-(tabCustoUnit[[#This Row],[Resumo de Alíquotas (PIS+CONFINS+ISS)]]*100))%)-100)*tabCustoUnit[[#This Row],[ISS]])/tabCustoUnit[[#This Row],[Resumo de Alíquotas (PIS+CONFINS+ISS)]])/100</f>
        <v>3.4188034188034219E-2</v>
      </c>
      <c r="BT33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38" s="138">
        <f>tabCustoUnit[[#This Row],[COFINS]]+tabCustoUnit[[#This Row],[PIS]]+tabCustoUnit[[#This Row],[ISS (Conversão Alíquota s/ fatura)]]</f>
        <v>0.13960113960113973</v>
      </c>
      <c r="BV338" s="22" t="e">
        <f ca="1">(tabCustoUnit[[#This Row],[TOTAL MÓDULOS 1+2+3+4+5]]+tabCustoUnit[[#This Row],[Custos Indiretos]]+tabCustoUnit[[#This Row],[Lucro]])*tabCustoUnit[[#This Row],[PIS + COFINS + ISS (Total Conversão  Alíquota s/ Fatura)]]</f>
        <v>#NAME?</v>
      </c>
      <c r="BW338" s="22" t="e">
        <f ca="1">tabCustoUnit[[#This Row],[Custos Indiretos]]+tabCustoUnit[[#This Row],[Lucro]]+tabCustoUnit[[#This Row],[Valor dos Tributos (ISS, PIS, CONFINS)]]</f>
        <v>#NAME?</v>
      </c>
      <c r="BX338" s="22" t="e">
        <f ca="1">tabCustoUnit[[#This Row],[TOTAL MÓDULOS 1+2+3+4+5]]+tabCustoUnit[[#This Row],[MÓDULO 6 – CUSTOS INDIRETOS, TRIBUTOS E LUCRO]]</f>
        <v>#NAME?</v>
      </c>
      <c r="BY338" s="22" t="e">
        <f ca="1">tabCustoUnit[[#This Row],[CUSTO TOTAL MENSAL]]*12</f>
        <v>#NAME?</v>
      </c>
      <c r="BZ338" s="24">
        <f>VLOOKUP(tabCustoUnit[[#This Row],[Código do Posto]],tabParametros[],MATCH(tabCustoUnit[[#Headers],[ANO DA CCT]],tabParametros[#Headers],0),0)</f>
        <v>45658</v>
      </c>
      <c r="CA338" s="25" t="str">
        <f>VLOOKUP(tabCustoUnit[[#This Row],[Código do Posto]],tabParametros[],MATCH(tabCustoUnit[[#Headers],[Nº DE PEDIDO DA CCT]],tabParametros[#Headers],0),0)</f>
        <v>-</v>
      </c>
      <c r="CB338" s="25" t="str">
        <f>VLOOKUP(tabCustoUnit[[#This Row],[Código do Posto]],tabParametros[],MATCH(tabCustoUnit[[#Headers],[TERMO ADITIVO ALTERAÇÃO DA CCT]],tabParametros[#Headers],0),0)</f>
        <v>-</v>
      </c>
    </row>
    <row r="339" spans="1:80">
      <c r="A339" s="20" t="s">
        <v>1519</v>
      </c>
      <c r="B339" t="s">
        <v>1218</v>
      </c>
      <c r="C339" t="s">
        <v>1367</v>
      </c>
      <c r="D339" t="s">
        <v>905</v>
      </c>
      <c r="E339" s="20" t="s">
        <v>1090</v>
      </c>
      <c r="F339" s="20" t="s">
        <v>120</v>
      </c>
      <c r="G339" s="418">
        <v>2087.4324000000001</v>
      </c>
      <c r="H339" s="418">
        <v>0</v>
      </c>
      <c r="I339" s="418">
        <v>303.60000000000002</v>
      </c>
      <c r="J339" s="418">
        <v>0</v>
      </c>
      <c r="K339" s="418">
        <v>0</v>
      </c>
      <c r="L339" s="418">
        <v>0</v>
      </c>
      <c r="M339" s="418">
        <v>0</v>
      </c>
      <c r="N339" s="418">
        <v>0</v>
      </c>
      <c r="O339" s="21">
        <f>SUM(tabCustoUnit[[#This Row],[Salário Base]:[Adicional de Acúmulo de função]])</f>
        <v>2391.0324000000001</v>
      </c>
      <c r="P339" s="21">
        <f>tabCustoUnit[[#This Row],[MODULO 1 - REMUNERAÇÃO ]]*SUMIFS(tabParametros[INSS],tabParametros[Código do Posto],tabCustoUnit[[#This Row],[Código do Posto]])</f>
        <v>478.20648000000006</v>
      </c>
      <c r="Q339" s="21">
        <f>tabCustoUnit[[#This Row],[MODULO 1 - REMUNERAÇÃO ]]*SUMIFS(tabParametros[SESI OU SESC],tabParametros[Código do Posto],tabCustoUnit[[#This Row],[Código do Posto]])</f>
        <v>35.865485999999997</v>
      </c>
      <c r="R339" s="21">
        <f>tabCustoUnit[[#This Row],[MODULO 1 - REMUNERAÇÃO ]]*SUMIFS(tabParametros[SENAI OU SENAC],tabParametros[Código do Posto],tabCustoUnit[[#This Row],[Código do Posto]])</f>
        <v>23.910324000000003</v>
      </c>
      <c r="S339" s="21">
        <f>tabCustoUnit[[#This Row],[MODULO 1 - REMUNERAÇÃO ]]*SUMIFS(tabParametros[INCRA],tabParametros[Código do Posto],tabCustoUnit[[#This Row],[Código do Posto]])</f>
        <v>4.7820648000000006</v>
      </c>
      <c r="T339" s="21">
        <f>tabCustoUnit[[#This Row],[MODULO 1 - REMUNERAÇÃO ]]*SUMIFS(tabParametros[Salário Educação],tabParametros[Código do Posto],tabCustoUnit[[#This Row],[Código do Posto]])</f>
        <v>59.775810000000007</v>
      </c>
      <c r="U339" s="21">
        <f>tabCustoUnit[[#This Row],[MODULO 1 - REMUNERAÇÃO ]]*SUMIFS(tabParametros[FGTS],tabParametros[Código do Posto],tabCustoUnit[[#This Row],[Código do Posto]])</f>
        <v>191.28259200000002</v>
      </c>
      <c r="V339" s="21">
        <f>tabCustoUnit[[#This Row],[MODULO 1 - REMUNERAÇÃO ]]*SUMIFS(tabParametros[RAT Ajustado],tabParametros[Código do Posto],tabCustoUnit[[#This Row],[Código do Posto]])</f>
        <v>95.641296000000011</v>
      </c>
      <c r="W339" s="21">
        <f>tabCustoUnit[[#This Row],[MODULO 1 - REMUNERAÇÃO ]]*SUMIFS(tabParametros[SEBRAE],tabParametros[Código do Posto],tabCustoUnit[[#This Row],[Código do Posto]])</f>
        <v>14.3461944</v>
      </c>
      <c r="X339" s="21">
        <f>SUM(tabCustoUnit[[#This Row],[INSS]:[SEBRAE]])</f>
        <v>903.81024720000005</v>
      </c>
      <c r="Y339" s="21">
        <f>tabCustoUnit[[#This Row],[MODULO 1 - REMUNERAÇÃO ]]*SUMIFS(tabParametros[13º salário (titular)],tabParametros[Código do Posto],tabCustoUnit[[#This Row],[Código do Posto]])</f>
        <v>199.2527</v>
      </c>
      <c r="Z339" s="21">
        <f>tabCustoUnit[[#This Row],[MODULO 1 - REMUNERAÇÃO ]]*SUMIFS(tabParametros[Férias e Adicional de Férias (titular)],tabParametros[Código do Posto],tabCustoUnit[[#This Row],[Código do Posto]])</f>
        <v>265.67026666666663</v>
      </c>
      <c r="AA339" s="21">
        <f>IFERROR((tabCustoUnit[[#This Row],[Submódulo 2.1]]/tabCustoUnit[[#This Row],[MODULO 1 - REMUNERAÇÃO ]])*SUM(tabCustoUnit[[#This Row],[13º salário (titular)]:[Férias e Adicional de Férias (titular)]]),0)</f>
        <v>175.74088139999998</v>
      </c>
      <c r="AB339" s="21">
        <f>SUM(tabCustoUnit[[#This Row],[13º salário (titular)]:[Incidência do Submódulo 2.1 sobre 13º Salário, Férias e Adicional de Férias]])</f>
        <v>640.66384806666656</v>
      </c>
      <c r="AC339" s="22" t="e">
        <f ca="1">_xlfn.LET(_xlpm.VT,SUMIF(tabParametros[Código do Posto],tabCustoUnit[[#This Row],[Código do Posto]],tabParametros[Vale - Transporte])*2*20,
IF((_xlpm.VT-tabCustoUnit[[#This Row],[Salário Base]]*0.06)&gt;=0,(_xlpm.VT-tabCustoUnit[[#This Row],[Salário Base]]*0.06),0)
)</f>
        <v>#NAME?</v>
      </c>
      <c r="AD339" s="22">
        <f>IF(SUMIF(tabParametros[Código do Posto],tabCustoUnit[[#This Row],[Código do Posto]],tabParametros[Vale - Alimentação])&lt;=0,0,
SUMIF(tabParametros[Código do Posto],tabCustoUnit[[#This Row],[Código do Posto]],tabParametros[Vale - Alimentação])*20-1)</f>
        <v>582</v>
      </c>
      <c r="AE339" s="22">
        <f>SUMIF(tabParametros[Código do Posto],tabCustoUnit[[#This Row],[Código do Posto]],tabParametros[Cesta Básica])</f>
        <v>0</v>
      </c>
      <c r="AF339" s="22">
        <f>SUMIF(tabParametros[Código do Posto],tabCustoUnit[[#This Row],[Código do Posto]],tabParametros[PAF])</f>
        <v>57.07</v>
      </c>
      <c r="AG339" s="22">
        <f>SUMIF(tabParametros[Código do Posto],tabCustoUnit[[#This Row],[Código do Posto]],tabParametros[PQM])</f>
        <v>0</v>
      </c>
      <c r="AH339" s="22">
        <f>SUMIF(tabParametros[Código do Posto],tabCustoUnit[[#This Row],[Código do Posto]],tabParametros[Abono Único e Especial])</f>
        <v>0</v>
      </c>
      <c r="AI339" s="22">
        <f>SUMIF(tabParametros[Código do Posto],tabCustoUnit[[#This Row],[Código do Posto]],tabParametros[Seguro de Vida])</f>
        <v>3.36</v>
      </c>
      <c r="AJ339" s="22">
        <f>SUMIF(tabParametros[Código do Posto],tabCustoUnit[[#This Row],[Código do Posto]],tabParametros[Despesas de Viagem])</f>
        <v>0</v>
      </c>
      <c r="AK339" s="22" t="e">
        <f ca="1">SUM(tabCustoUnit[[#This Row],[Vale - Transporte (Descontada parcela do empregado)]:[Despesas de Viagem]])</f>
        <v>#NAME?</v>
      </c>
      <c r="AL339" s="22" t="e">
        <f ca="1">tabCustoUnit[[#This Row],[Submódulo 2.1]]+tabCustoUnit[[#This Row],[Submódulo 2.2]]+tabCustoUnit[[#This Row],[Submódulo 2.3]]</f>
        <v>#NAME?</v>
      </c>
      <c r="AM339" s="22">
        <f>SUMIF(tabParametros[Código do Posto],tabCustoUnit[[#This Row],[Código do Posto]],tabParametros[Aviso Prévio Indenizado (API) e Reflexo do Aviso Prévio Indenizado])*tabCustoUnit[[#This Row],[MODULO 1 - REMUNERAÇÃO ]]</f>
        <v>16.765362019212965</v>
      </c>
      <c r="AN339" s="22">
        <f>SUMIF(tabParametros[Código do Posto],tabCustoUnit[[#This Row],[Código do Posto]],tabParametros[Incidência do FGTS sobre API e Reflexo do API])*tabCustoUnit[[#This Row],[MODULO 1 - REMUNERAÇÃO ]]</f>
        <v>1.3412289615370372</v>
      </c>
      <c r="AO339" s="22">
        <f>SUMIF(tabParametros[Código do Posto],tabCustoUnit[[#This Row],[Código do Posto]],tabParametros[Multa Rescisória do FGTS sobre o Aviso Prévio Indenizado])*tabCustoUnit[[#This Row],[MODULO 1 - REMUNERAÇÃO ]]</f>
        <v>0.53649158461481494</v>
      </c>
      <c r="AP339" s="22">
        <f>SUMIF(tabParametros[Código do Posto],tabCustoUnit[[#This Row],[Código do Posto]],tabParametros[Aviso Prévio Trabalhado - APT])*tabCustoUnit[[#This Row],[MODULO 1 - REMUNERAÇÃO ]]</f>
        <v>8.368613400000001</v>
      </c>
      <c r="AQ339" s="22">
        <f>SUMIF(tabParametros[Código do Posto],tabCustoUnit[[#This Row],[Código do Posto]],tabParametros[Incidência dos encargos do submódulo 2.1 sobre Aviso Prévio Trabalhado])*tabCustoUnit[[#This Row],[MODULO 1 - REMUNERAÇÃO ]]</f>
        <v>3.163335865200001</v>
      </c>
      <c r="AR339" s="22">
        <f>SUMIF(tabParametros[Código do Posto],tabCustoUnit[[#This Row],[Código do Posto]],tabParametros[Multa Rescisória do FGTS])*tabCustoUnit[[#This Row],[MODULO 1 - REMUNERAÇÃO ]]</f>
        <v>73.112457386666662</v>
      </c>
      <c r="AS339" s="22">
        <f>SUMIF(tabParametros[Código do Posto],tabCustoUnit[[#This Row],[Código do Posto]],tabParametros[Indenização Adicional (Art. 9º da Lei nº 7.238/84)])*tabCustoUnit[[#This Row],[MODULO 1 - REMUNERAÇÃO ]]</f>
        <v>1.9925270000000002</v>
      </c>
      <c r="AT339" s="22">
        <f>SUM(tabCustoUnit[[#This Row],[Aviso Prévio Indenizado (API) e Reflexo do Aviso Prévio Indenizado]:[Indenização Adicional (Art. 9º da Lei nº 7.238/84)]])</f>
        <v>105.28001621723148</v>
      </c>
      <c r="AU339" s="22">
        <f>SUMIF(tabParametros[Código do Posto],tabCustoUnit[[#This Row],[Código do Posto]],tabParametros[Ausência por Doença])*tabCustoUnit[[#This Row],[MODULO 1 - REMUNERAÇÃO ]]</f>
        <v>20.190940266666665</v>
      </c>
      <c r="AV339" s="22">
        <f>SUMIF(tabParametros[Código do Posto],tabCustoUnit[[#This Row],[Código do Posto]],tabParametros[Ausências Legais])*tabCustoUnit[[#This Row],[MODULO 1 - REMUNERAÇÃO ]]</f>
        <v>4.8484823666666665</v>
      </c>
      <c r="AW339" s="22">
        <f>SUMIF(tabParametros[Código do Posto],tabCustoUnit[[#This Row],[Código do Posto]],tabParametros[Licença Paternidade])*tabCustoUnit[[#This Row],[MODULO 1 - REMUNERAÇÃO ]]</f>
        <v>0.40846803500000001</v>
      </c>
      <c r="AX339" s="22">
        <f>SUMIF(tabParametros[Código do Posto],tabCustoUnit[[#This Row],[Código do Posto]],tabParametros[Ausência por Acidente de Trabalho])*tabCustoUnit[[#This Row],[MODULO 1 - REMUNERAÇÃO ]]</f>
        <v>0.49813175000000004</v>
      </c>
      <c r="AY339" s="22">
        <f>SUMIF(tabParametros[Código do Posto],tabCustoUnit[[#This Row],[Código do Posto]],tabParametros[Férias, Adicional de Férias e 13º  com empregada em gozo de Licença Maternidade])*tabCustoUnit[[#This Row],[MODULO 1 - REMUNERAÇÃO ]]</f>
        <v>3.0994864444444445</v>
      </c>
      <c r="AZ339" s="22">
        <f>SUMIF(tabParametros[Código do Posto],tabCustoUnit[[#This Row],[Código do Posto]],tabParametros[Incidência do Submódulo 2.1 sobre Ausências Legais])*tabCustoUnit[[#This Row],[MODULO 1 - REMUNERAÇÃO ]]</f>
        <v>10.979202350130002</v>
      </c>
      <c r="BA339" s="22">
        <f>SUM(tabCustoUnit[[#This Row],[Ausência por Doença]:[Incidência do Submódulo 2.1 sobre Ausências Legais]])</f>
        <v>40.024711212907775</v>
      </c>
      <c r="BB339" s="22">
        <f>SUMIF(tabParametros[Código do Posto],tabCustoUnit[[#This Row],[Código do Posto]],tabParametros[Intervalo para Repouso ou Alimentação])</f>
        <v>0</v>
      </c>
      <c r="BC339" s="22">
        <f>tabCustoUnit[[#This Row],[Intervalo para Repouso ou Alimentação]]</f>
        <v>0</v>
      </c>
      <c r="BD339"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39" s="22">
        <f>tabCustoUnit[[#This Row],[Suspensão Temporária do Contrato de Trabalho]]</f>
        <v>0</v>
      </c>
      <c r="BF339" s="22">
        <f>tabCustoUnit[[#This Row],[Submódulo 4.1]]+tabCustoUnit[[#This Row],[Submódulo 4.2]]+tabCustoUnit[[#This Row],[Submódulo 4.3]]</f>
        <v>40.024711212907775</v>
      </c>
      <c r="BG339" s="22">
        <f>VLOOKUP(tabCustoUnit[[#This Row],[Código do Posto]],tabParametros[],MATCH(tabCustoUnit[[#Headers],[Uniformes e EPIs]],tabParametros[#Headers],0),0)</f>
        <v>253.83572732312174</v>
      </c>
      <c r="BH339" s="22">
        <f>VLOOKUP(tabCustoUnit[[#This Row],[Código do Posto]],tabParametros[],MATCH(tabCustoUnit[[#Headers],[Materiais de Consumo]],tabParametros[#Headers],0),0)</f>
        <v>441.81099462365592</v>
      </c>
      <c r="BI339" s="22">
        <f>VLOOKUP(tabCustoUnit[[#This Row],[Código do Posto]],tabParametros[],MATCH(tabCustoUnit[[#Headers],[Máquinas e Equipamentos (depreciação)]],tabParametros[#Headers],0),0)</f>
        <v>113.11309677419354</v>
      </c>
      <c r="BJ339" s="22">
        <f>VLOOKUP(tabCustoUnit[[#This Row],[Código do Posto]],tabParametros[],MATCH(tabCustoUnit[[#Headers],[Produtos de Limpeza e Materiais de Higiene Pessoal]],tabParametros[#Headers],0),0)</f>
        <v>0</v>
      </c>
      <c r="BK339" s="22">
        <f>VLOOKUP(tabCustoUnit[[#This Row],[Código do Posto]],tabParametros[],MATCH(tabCustoUnit[[#Headers],[Outros (especificar)]],tabParametros[#Headers],0),0)</f>
        <v>0</v>
      </c>
      <c r="BL339" s="22">
        <f>SUM(tabCustoUnit[[#This Row],[Uniformes e EPIs]:[Outros (especificar)]])</f>
        <v>808.75981872097123</v>
      </c>
      <c r="BM339"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39" s="22" t="e">
        <f ca="1">VLOOKUP(tabCustoUnit[[#This Row],[Código do Posto]],tabParametros[],MATCH(tabCustoUnit[[#Headers],[Custos Indiretos]],tabParametros[#Headers],0),0)</f>
        <v>#NAME?</v>
      </c>
      <c r="BO339" s="22" t="e">
        <f ca="1">VLOOKUP(tabCustoUnit[[#This Row],[Código do Posto]],tabParametros[],MATCH(tabCustoUnit[[#Headers],[Lucro]],tabParametros[#Headers],0),0)</f>
        <v>#NAME?</v>
      </c>
      <c r="BP339" s="26">
        <f>((100/((1-tabCustoUnit[[#This Row],[Resumo de Alíquotas (PIS+CONFINS+ISS)]]))-100)*VLOOKUP(tabCustoUnit[[#This Row],[Código do Posto]],tabParametros[],MATCH(tabCustoUnit[[#Headers],[COFINS]],tabParametros[#Headers],0),0))/(tabCustoUnit[[#This Row],[Resumo de Alíquotas (PIS+CONFINS+ISS)]]*100)</f>
        <v>8.6609686609686695E-2</v>
      </c>
      <c r="BQ339" s="26">
        <f>((100/((100-(tabCustoUnit[[#This Row],[Resumo de Alíquotas (PIS+CONFINS+ISS)]]*100))%)-100)*VLOOKUP(tabCustoUnit[[#This Row],[Código do Posto]],tabParametros[],MATCH(tabCustoUnit[[#Headers],[PIS]],tabParametros[#Headers],0),0))/(tabCustoUnit[[#This Row],[Resumo de Alíquotas (PIS+CONFINS+ISS)]]*100)</f>
        <v>1.880341880341882E-2</v>
      </c>
      <c r="BR339" s="28">
        <f>VLOOKUP(tabCustoUnit[[#This Row],[Código do Posto]],tabParametros[],MATCH(tabCustoUnit[[#Headers],[ISS]],tabParametros[#Headers],0),0)</f>
        <v>0.03</v>
      </c>
      <c r="BS339" s="26">
        <f>(((100/((100-(tabCustoUnit[[#This Row],[Resumo de Alíquotas (PIS+CONFINS+ISS)]]*100))%)-100)*tabCustoUnit[[#This Row],[ISS]])/tabCustoUnit[[#This Row],[Resumo de Alíquotas (PIS+CONFINS+ISS)]])/100</f>
        <v>3.4188034188034219E-2</v>
      </c>
      <c r="BT33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39" s="138">
        <f>tabCustoUnit[[#This Row],[COFINS]]+tabCustoUnit[[#This Row],[PIS]]+tabCustoUnit[[#This Row],[ISS (Conversão Alíquota s/ fatura)]]</f>
        <v>0.13960113960113973</v>
      </c>
      <c r="BV339" s="22" t="e">
        <f ca="1">(tabCustoUnit[[#This Row],[TOTAL MÓDULOS 1+2+3+4+5]]+tabCustoUnit[[#This Row],[Custos Indiretos]]+tabCustoUnit[[#This Row],[Lucro]])*tabCustoUnit[[#This Row],[PIS + COFINS + ISS (Total Conversão  Alíquota s/ Fatura)]]</f>
        <v>#NAME?</v>
      </c>
      <c r="BW339" s="22" t="e">
        <f ca="1">tabCustoUnit[[#This Row],[Custos Indiretos]]+tabCustoUnit[[#This Row],[Lucro]]+tabCustoUnit[[#This Row],[Valor dos Tributos (ISS, PIS, CONFINS)]]</f>
        <v>#NAME?</v>
      </c>
      <c r="BX339" s="22" t="e">
        <f ca="1">tabCustoUnit[[#This Row],[TOTAL MÓDULOS 1+2+3+4+5]]+tabCustoUnit[[#This Row],[MÓDULO 6 – CUSTOS INDIRETOS, TRIBUTOS E LUCRO]]</f>
        <v>#NAME?</v>
      </c>
      <c r="BY339" s="22" t="e">
        <f ca="1">tabCustoUnit[[#This Row],[CUSTO TOTAL MENSAL]]*12</f>
        <v>#NAME?</v>
      </c>
      <c r="BZ339" s="24">
        <f>VLOOKUP(tabCustoUnit[[#This Row],[Código do Posto]],tabParametros[],MATCH(tabCustoUnit[[#Headers],[ANO DA CCT]],tabParametros[#Headers],0),0)</f>
        <v>45658</v>
      </c>
      <c r="CA339" s="25" t="str">
        <f>VLOOKUP(tabCustoUnit[[#This Row],[Código do Posto]],tabParametros[],MATCH(tabCustoUnit[[#Headers],[Nº DE PEDIDO DA CCT]],tabParametros[#Headers],0),0)</f>
        <v>-</v>
      </c>
      <c r="CB339" s="25" t="str">
        <f>VLOOKUP(tabCustoUnit[[#This Row],[Código do Posto]],tabParametros[],MATCH(tabCustoUnit[[#Headers],[TERMO ADITIVO ALTERAÇÃO DA CCT]],tabParametros[#Headers],0),0)</f>
        <v>-</v>
      </c>
    </row>
    <row r="340" spans="1:80">
      <c r="A340" s="20" t="s">
        <v>1743</v>
      </c>
      <c r="B340" t="s">
        <v>1218</v>
      </c>
      <c r="C340" t="s">
        <v>1368</v>
      </c>
      <c r="D340" t="s">
        <v>905</v>
      </c>
      <c r="E340" s="20" t="s">
        <v>1090</v>
      </c>
      <c r="F340" s="20" t="s">
        <v>120</v>
      </c>
      <c r="G340" s="418">
        <v>2296.1756999999998</v>
      </c>
      <c r="H340" s="418">
        <v>0</v>
      </c>
      <c r="I340" s="418">
        <v>303.60000000000002</v>
      </c>
      <c r="J340" s="418">
        <v>0</v>
      </c>
      <c r="K340" s="418">
        <v>0</v>
      </c>
      <c r="L340" s="418"/>
      <c r="M340" s="418">
        <v>0</v>
      </c>
      <c r="N340" s="418">
        <v>0</v>
      </c>
      <c r="O340" s="21">
        <f>SUM(tabCustoUnit[[#This Row],[Salário Base]:[Adicional de Acúmulo de função]])</f>
        <v>2599.7756999999997</v>
      </c>
      <c r="P340" s="21">
        <f>tabCustoUnit[[#This Row],[MODULO 1 - REMUNERAÇÃO ]]*SUMIFS(tabParametros[INSS],tabParametros[Código do Posto],tabCustoUnit[[#This Row],[Código do Posto]])</f>
        <v>519.95513999999991</v>
      </c>
      <c r="Q340" s="21">
        <f>tabCustoUnit[[#This Row],[MODULO 1 - REMUNERAÇÃO ]]*SUMIFS(tabParametros[SESI OU SESC],tabParametros[Código do Posto],tabCustoUnit[[#This Row],[Código do Posto]])</f>
        <v>38.996635499999996</v>
      </c>
      <c r="R340" s="21">
        <f>tabCustoUnit[[#This Row],[MODULO 1 - REMUNERAÇÃO ]]*SUMIFS(tabParametros[SENAI OU SENAC],tabParametros[Código do Posto],tabCustoUnit[[#This Row],[Código do Posto]])</f>
        <v>25.997756999999996</v>
      </c>
      <c r="S340" s="21">
        <f>tabCustoUnit[[#This Row],[MODULO 1 - REMUNERAÇÃO ]]*SUMIFS(tabParametros[INCRA],tabParametros[Código do Posto],tabCustoUnit[[#This Row],[Código do Posto]])</f>
        <v>5.1995513999999998</v>
      </c>
      <c r="T340" s="21">
        <f>tabCustoUnit[[#This Row],[MODULO 1 - REMUNERAÇÃO ]]*SUMIFS(tabParametros[Salário Educação],tabParametros[Código do Posto],tabCustoUnit[[#This Row],[Código do Posto]])</f>
        <v>64.994392499999989</v>
      </c>
      <c r="U340" s="21">
        <f>tabCustoUnit[[#This Row],[MODULO 1 - REMUNERAÇÃO ]]*SUMIFS(tabParametros[FGTS],tabParametros[Código do Posto],tabCustoUnit[[#This Row],[Código do Posto]])</f>
        <v>207.98205599999997</v>
      </c>
      <c r="V340" s="21">
        <f>tabCustoUnit[[#This Row],[MODULO 1 - REMUNERAÇÃO ]]*SUMIFS(tabParametros[RAT Ajustado],tabParametros[Código do Posto],tabCustoUnit[[#This Row],[Código do Posto]])</f>
        <v>103.99102799999999</v>
      </c>
      <c r="W340" s="21">
        <f>tabCustoUnit[[#This Row],[MODULO 1 - REMUNERAÇÃO ]]*SUMIFS(tabParametros[SEBRAE],tabParametros[Código do Posto],tabCustoUnit[[#This Row],[Código do Posto]])</f>
        <v>15.598654199999999</v>
      </c>
      <c r="X340" s="21">
        <f>SUM(tabCustoUnit[[#This Row],[INSS]:[SEBRAE]])</f>
        <v>982.71521459999985</v>
      </c>
      <c r="Y340" s="21">
        <f>tabCustoUnit[[#This Row],[MODULO 1 - REMUNERAÇÃO ]]*SUMIFS(tabParametros[13º salário (titular)],tabParametros[Código do Posto],tabCustoUnit[[#This Row],[Código do Posto]])</f>
        <v>216.64797499999997</v>
      </c>
      <c r="Z340" s="21">
        <f>tabCustoUnit[[#This Row],[MODULO 1 - REMUNERAÇÃO ]]*SUMIFS(tabParametros[Férias e Adicional de Férias (titular)],tabParametros[Código do Posto],tabCustoUnit[[#This Row],[Código do Posto]])</f>
        <v>288.86396666666661</v>
      </c>
      <c r="AA340" s="21">
        <f>IFERROR((tabCustoUnit[[#This Row],[Submódulo 2.1]]/tabCustoUnit[[#This Row],[MODULO 1 - REMUNERAÇÃO ]])*SUM(tabCustoUnit[[#This Row],[13º salário (titular)]:[Férias e Adicional de Férias (titular)]]),0)</f>
        <v>191.08351394999997</v>
      </c>
      <c r="AB340" s="21">
        <f>SUM(tabCustoUnit[[#This Row],[13º salário (titular)]:[Incidência do Submódulo 2.1 sobre 13º Salário, Férias e Adicional de Férias]])</f>
        <v>696.59545561666653</v>
      </c>
      <c r="AC340" s="22" t="e">
        <f ca="1">_xlfn.LET(_xlpm.VT,SUMIF(tabParametros[Código do Posto],tabCustoUnit[[#This Row],[Código do Posto]],tabParametros[Vale - Transporte])*2*20,
IF((_xlpm.VT-tabCustoUnit[[#This Row],[Salário Base]]*0.06)&gt;=0,(_xlpm.VT-tabCustoUnit[[#This Row],[Salário Base]]*0.06),0)
)</f>
        <v>#NAME?</v>
      </c>
      <c r="AD340" s="22">
        <f>IF(SUMIF(tabParametros[Código do Posto],tabCustoUnit[[#This Row],[Código do Posto]],tabParametros[Vale - Alimentação])&lt;=0,0,
SUMIF(tabParametros[Código do Posto],tabCustoUnit[[#This Row],[Código do Posto]],tabParametros[Vale - Alimentação])*20-1)</f>
        <v>582</v>
      </c>
      <c r="AE340" s="22">
        <f>SUMIF(tabParametros[Código do Posto],tabCustoUnit[[#This Row],[Código do Posto]],tabParametros[Cesta Básica])</f>
        <v>0</v>
      </c>
      <c r="AF340" s="22">
        <f>SUMIF(tabParametros[Código do Posto],tabCustoUnit[[#This Row],[Código do Posto]],tabParametros[PAF])</f>
        <v>57.07</v>
      </c>
      <c r="AG340" s="22">
        <f>SUMIF(tabParametros[Código do Posto],tabCustoUnit[[#This Row],[Código do Posto]],tabParametros[PQM])</f>
        <v>0</v>
      </c>
      <c r="AH340" s="22">
        <f>SUMIF(tabParametros[Código do Posto],tabCustoUnit[[#This Row],[Código do Posto]],tabParametros[Abono Único e Especial])</f>
        <v>0</v>
      </c>
      <c r="AI340" s="22">
        <f>SUMIF(tabParametros[Código do Posto],tabCustoUnit[[#This Row],[Código do Posto]],tabParametros[Seguro de Vida])</f>
        <v>3.36</v>
      </c>
      <c r="AJ340" s="22">
        <f>SUMIF(tabParametros[Código do Posto],tabCustoUnit[[#This Row],[Código do Posto]],tabParametros[Despesas de Viagem])</f>
        <v>0</v>
      </c>
      <c r="AK340" s="22" t="e">
        <f ca="1">SUM(tabCustoUnit[[#This Row],[Vale - Transporte (Descontada parcela do empregado)]:[Despesas de Viagem]])</f>
        <v>#NAME?</v>
      </c>
      <c r="AL340" s="22" t="e">
        <f ca="1">tabCustoUnit[[#This Row],[Submódulo 2.1]]+tabCustoUnit[[#This Row],[Submódulo 2.2]]+tabCustoUnit[[#This Row],[Submódulo 2.3]]</f>
        <v>#NAME?</v>
      </c>
      <c r="AM340" s="22">
        <f>SUMIF(tabParametros[Código do Posto],tabCustoUnit[[#This Row],[Código do Posto]],tabParametros[Aviso Prévio Indenizado (API) e Reflexo do Aviso Prévio Indenizado])*tabCustoUnit[[#This Row],[MODULO 1 - REMUNERAÇÃO ]]</f>
        <v>18.229021396469907</v>
      </c>
      <c r="AN340" s="22">
        <f>SUMIF(tabParametros[Código do Posto],tabCustoUnit[[#This Row],[Código do Posto]],tabParametros[Incidência do FGTS sobre API e Reflexo do API])*tabCustoUnit[[#This Row],[MODULO 1 - REMUNERAÇÃO ]]</f>
        <v>1.4583217117175926</v>
      </c>
      <c r="AO340" s="22">
        <f>SUMIF(tabParametros[Código do Posto],tabCustoUnit[[#This Row],[Código do Posto]],tabParametros[Multa Rescisória do FGTS sobre o Aviso Prévio Indenizado])*tabCustoUnit[[#This Row],[MODULO 1 - REMUNERAÇÃO ]]</f>
        <v>0.58332868468703702</v>
      </c>
      <c r="AP340" s="22">
        <f>SUMIF(tabParametros[Código do Posto],tabCustoUnit[[#This Row],[Código do Posto]],tabParametros[Aviso Prévio Trabalhado - APT])*tabCustoUnit[[#This Row],[MODULO 1 - REMUNERAÇÃO ]]</f>
        <v>9.0992149500000004</v>
      </c>
      <c r="AQ340" s="22">
        <f>SUMIF(tabParametros[Código do Posto],tabCustoUnit[[#This Row],[Código do Posto]],tabParametros[Incidência dos encargos do submódulo 2.1 sobre Aviso Prévio Trabalhado])*tabCustoUnit[[#This Row],[MODULO 1 - REMUNERAÇÃO ]]</f>
        <v>3.4395032511000005</v>
      </c>
      <c r="AR340" s="22">
        <f>SUMIF(tabParametros[Código do Posto],tabCustoUnit[[#This Row],[Código do Posto]],tabParametros[Multa Rescisória do FGTS])*tabCustoUnit[[#This Row],[MODULO 1 - REMUNERAÇÃO ]]</f>
        <v>79.495363626666645</v>
      </c>
      <c r="AS340" s="22">
        <f>SUMIF(tabParametros[Código do Posto],tabCustoUnit[[#This Row],[Código do Posto]],tabParametros[Indenização Adicional (Art. 9º da Lei nº 7.238/84)])*tabCustoUnit[[#This Row],[MODULO 1 - REMUNERAÇÃO ]]</f>
        <v>2.1664797499999997</v>
      </c>
      <c r="AT340" s="22">
        <f>SUM(tabCustoUnit[[#This Row],[Aviso Prévio Indenizado (API) e Reflexo do Aviso Prévio Indenizado]:[Indenização Adicional (Art. 9º da Lei nº 7.238/84)]])</f>
        <v>114.47123337064117</v>
      </c>
      <c r="AU340" s="22">
        <f>SUMIF(tabParametros[Código do Posto],tabCustoUnit[[#This Row],[Código do Posto]],tabParametros[Ausência por Doença])*tabCustoUnit[[#This Row],[MODULO 1 - REMUNERAÇÃO ]]</f>
        <v>21.953661466666663</v>
      </c>
      <c r="AV340" s="22">
        <f>SUMIF(tabParametros[Código do Posto],tabCustoUnit[[#This Row],[Código do Posto]],tabParametros[Ausências Legais])*tabCustoUnit[[#This Row],[MODULO 1 - REMUNERAÇÃO ]]</f>
        <v>5.2717673916666659</v>
      </c>
      <c r="AW340" s="22">
        <f>SUMIF(tabParametros[Código do Posto],tabCustoUnit[[#This Row],[Código do Posto]],tabParametros[Licença Paternidade])*tabCustoUnit[[#This Row],[MODULO 1 - REMUNERAÇÃO ]]</f>
        <v>0.44412834874999996</v>
      </c>
      <c r="AX340" s="22">
        <f>SUMIF(tabParametros[Código do Posto],tabCustoUnit[[#This Row],[Código do Posto]],tabParametros[Ausência por Acidente de Trabalho])*tabCustoUnit[[#This Row],[MODULO 1 - REMUNERAÇÃO ]]</f>
        <v>0.54161993749999993</v>
      </c>
      <c r="AY340" s="22">
        <f>SUMIF(tabParametros[Código do Posto],tabCustoUnit[[#This Row],[Código do Posto]],tabParametros[Férias, Adicional de Férias e 13º  com empregada em gozo de Licença Maternidade])*tabCustoUnit[[#This Row],[MODULO 1 - REMUNERAÇÃO ]]</f>
        <v>3.3700796111111107</v>
      </c>
      <c r="AZ340" s="22">
        <f>SUMIF(tabParametros[Código do Posto],tabCustoUnit[[#This Row],[Código do Posto]],tabParametros[Incidência do Submódulo 2.1 sobre Ausências Legais])*tabCustoUnit[[#This Row],[MODULO 1 - REMUNERAÇÃO ]]</f>
        <v>11.9377150536525</v>
      </c>
      <c r="BA340" s="22">
        <f>SUM(tabCustoUnit[[#This Row],[Ausência por Doença]:[Incidência do Submódulo 2.1 sobre Ausências Legais]])</f>
        <v>43.518971809346937</v>
      </c>
      <c r="BB340" s="22">
        <f>SUMIF(tabParametros[Código do Posto],tabCustoUnit[[#This Row],[Código do Posto]],tabParametros[Intervalo para Repouso ou Alimentação])</f>
        <v>0</v>
      </c>
      <c r="BC340" s="22">
        <f>tabCustoUnit[[#This Row],[Intervalo para Repouso ou Alimentação]]</f>
        <v>0</v>
      </c>
      <c r="BD340"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40" s="22">
        <f>tabCustoUnit[[#This Row],[Suspensão Temporária do Contrato de Trabalho]]</f>
        <v>0</v>
      </c>
      <c r="BF340" s="22">
        <f>tabCustoUnit[[#This Row],[Submódulo 4.1]]+tabCustoUnit[[#This Row],[Submódulo 4.2]]+tabCustoUnit[[#This Row],[Submódulo 4.3]]</f>
        <v>43.518971809346937</v>
      </c>
      <c r="BG340" s="22">
        <f>VLOOKUP(tabCustoUnit[[#This Row],[Código do Posto]],tabParametros[],MATCH(tabCustoUnit[[#Headers],[Uniformes e EPIs]],tabParametros[#Headers],0),0)</f>
        <v>196.62072732312174</v>
      </c>
      <c r="BH340" s="22">
        <f>VLOOKUP(tabCustoUnit[[#This Row],[Código do Posto]],tabParametros[],MATCH(tabCustoUnit[[#Headers],[Materiais de Consumo]],tabParametros[#Headers],0),0)</f>
        <v>441.81099462365592</v>
      </c>
      <c r="BI340" s="22">
        <f>VLOOKUP(tabCustoUnit[[#This Row],[Código do Posto]],tabParametros[],MATCH(tabCustoUnit[[#Headers],[Máquinas e Equipamentos (depreciação)]],tabParametros[#Headers],0),0)</f>
        <v>113.11309677419354</v>
      </c>
      <c r="BJ340" s="22">
        <f>VLOOKUP(tabCustoUnit[[#This Row],[Código do Posto]],tabParametros[],MATCH(tabCustoUnit[[#Headers],[Produtos de Limpeza e Materiais de Higiene Pessoal]],tabParametros[#Headers],0),0)</f>
        <v>0</v>
      </c>
      <c r="BK340" s="22">
        <f>VLOOKUP(tabCustoUnit[[#This Row],[Código do Posto]],tabParametros[],MATCH(tabCustoUnit[[#Headers],[Outros (especificar)]],tabParametros[#Headers],0),0)</f>
        <v>0</v>
      </c>
      <c r="BL340" s="22">
        <f>SUM(tabCustoUnit[[#This Row],[Uniformes e EPIs]:[Outros (especificar)]])</f>
        <v>751.54481872097119</v>
      </c>
      <c r="BM340"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40" s="22" t="e">
        <f ca="1">VLOOKUP(tabCustoUnit[[#This Row],[Código do Posto]],tabParametros[],MATCH(tabCustoUnit[[#Headers],[Custos Indiretos]],tabParametros[#Headers],0),0)</f>
        <v>#NAME?</v>
      </c>
      <c r="BO340" s="22" t="e">
        <f ca="1">VLOOKUP(tabCustoUnit[[#This Row],[Código do Posto]],tabParametros[],MATCH(tabCustoUnit[[#Headers],[Lucro]],tabParametros[#Headers],0),0)</f>
        <v>#NAME?</v>
      </c>
      <c r="BP340" s="26">
        <f>((100/((1-tabCustoUnit[[#This Row],[Resumo de Alíquotas (PIS+CONFINS+ISS)]]))-100)*VLOOKUP(tabCustoUnit[[#This Row],[Código do Posto]],tabParametros[],MATCH(tabCustoUnit[[#Headers],[COFINS]],tabParametros[#Headers],0),0))/(tabCustoUnit[[#This Row],[Resumo de Alíquotas (PIS+CONFINS+ISS)]]*100)</f>
        <v>8.6609686609686695E-2</v>
      </c>
      <c r="BQ340" s="26">
        <f>((100/((100-(tabCustoUnit[[#This Row],[Resumo de Alíquotas (PIS+CONFINS+ISS)]]*100))%)-100)*VLOOKUP(tabCustoUnit[[#This Row],[Código do Posto]],tabParametros[],MATCH(tabCustoUnit[[#Headers],[PIS]],tabParametros[#Headers],0),0))/(tabCustoUnit[[#This Row],[Resumo de Alíquotas (PIS+CONFINS+ISS)]]*100)</f>
        <v>1.880341880341882E-2</v>
      </c>
      <c r="BR340" s="28">
        <f>VLOOKUP(tabCustoUnit[[#This Row],[Código do Posto]],tabParametros[],MATCH(tabCustoUnit[[#Headers],[ISS]],tabParametros[#Headers],0),0)</f>
        <v>0.03</v>
      </c>
      <c r="BS340" s="26">
        <f>(((100/((100-(tabCustoUnit[[#This Row],[Resumo de Alíquotas (PIS+CONFINS+ISS)]]*100))%)-100)*tabCustoUnit[[#This Row],[ISS]])/tabCustoUnit[[#This Row],[Resumo de Alíquotas (PIS+CONFINS+ISS)]])/100</f>
        <v>3.4188034188034219E-2</v>
      </c>
      <c r="BT34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40" s="138">
        <f>tabCustoUnit[[#This Row],[COFINS]]+tabCustoUnit[[#This Row],[PIS]]+tabCustoUnit[[#This Row],[ISS (Conversão Alíquota s/ fatura)]]</f>
        <v>0.13960113960113973</v>
      </c>
      <c r="BV340" s="22" t="e">
        <f ca="1">(tabCustoUnit[[#This Row],[TOTAL MÓDULOS 1+2+3+4+5]]+tabCustoUnit[[#This Row],[Custos Indiretos]]+tabCustoUnit[[#This Row],[Lucro]])*tabCustoUnit[[#This Row],[PIS + COFINS + ISS (Total Conversão  Alíquota s/ Fatura)]]</f>
        <v>#NAME?</v>
      </c>
      <c r="BW340" s="22" t="e">
        <f ca="1">tabCustoUnit[[#This Row],[Custos Indiretos]]+tabCustoUnit[[#This Row],[Lucro]]+tabCustoUnit[[#This Row],[Valor dos Tributos (ISS, PIS, CONFINS)]]</f>
        <v>#NAME?</v>
      </c>
      <c r="BX340" s="22" t="e">
        <f ca="1">tabCustoUnit[[#This Row],[TOTAL MÓDULOS 1+2+3+4+5]]+tabCustoUnit[[#This Row],[MÓDULO 6 – CUSTOS INDIRETOS, TRIBUTOS E LUCRO]]</f>
        <v>#NAME?</v>
      </c>
      <c r="BY340" s="22" t="e">
        <f ca="1">tabCustoUnit[[#This Row],[CUSTO TOTAL MENSAL]]*12</f>
        <v>#NAME?</v>
      </c>
      <c r="BZ340" s="24">
        <f>VLOOKUP(tabCustoUnit[[#This Row],[Código do Posto]],tabParametros[],MATCH(tabCustoUnit[[#Headers],[ANO DA CCT]],tabParametros[#Headers],0),0)</f>
        <v>45658</v>
      </c>
      <c r="CA340" s="25" t="str">
        <f>VLOOKUP(tabCustoUnit[[#This Row],[Código do Posto]],tabParametros[],MATCH(tabCustoUnit[[#Headers],[Nº DE PEDIDO DA CCT]],tabParametros[#Headers],0),0)</f>
        <v>-</v>
      </c>
      <c r="CB340" s="25" t="str">
        <f>VLOOKUP(tabCustoUnit[[#This Row],[Código do Posto]],tabParametros[],MATCH(tabCustoUnit[[#Headers],[TERMO ADITIVO ALTERAÇÃO DA CCT]],tabParametros[#Headers],0),0)</f>
        <v>-</v>
      </c>
    </row>
    <row r="341" spans="1:80">
      <c r="A341" s="20" t="s">
        <v>1744</v>
      </c>
      <c r="B341" t="s">
        <v>1218</v>
      </c>
      <c r="C341" t="s">
        <v>314</v>
      </c>
      <c r="D341" t="s">
        <v>905</v>
      </c>
      <c r="E341" s="20" t="s">
        <v>1090</v>
      </c>
      <c r="F341" s="20" t="s">
        <v>120</v>
      </c>
      <c r="G341" s="418">
        <v>1963.4110000000001</v>
      </c>
      <c r="H341" s="418">
        <v>0</v>
      </c>
      <c r="I341" s="418">
        <v>0</v>
      </c>
      <c r="J341" s="418">
        <v>0</v>
      </c>
      <c r="K341" s="418">
        <v>0</v>
      </c>
      <c r="L341" s="418">
        <v>0</v>
      </c>
      <c r="M341" s="418">
        <v>0</v>
      </c>
      <c r="N341" s="418">
        <v>0</v>
      </c>
      <c r="O341" s="21">
        <f>SUM(tabCustoUnit[[#This Row],[Salário Base]:[Adicional de Acúmulo de função]])</f>
        <v>1963.4110000000001</v>
      </c>
      <c r="P341" s="21">
        <f>tabCustoUnit[[#This Row],[MODULO 1 - REMUNERAÇÃO ]]*SUMIFS(tabParametros[INSS],tabParametros[Código do Posto],tabCustoUnit[[#This Row],[Código do Posto]])</f>
        <v>392.68220000000002</v>
      </c>
      <c r="Q341" s="21">
        <f>tabCustoUnit[[#This Row],[MODULO 1 - REMUNERAÇÃO ]]*SUMIFS(tabParametros[SESI OU SESC],tabParametros[Código do Posto],tabCustoUnit[[#This Row],[Código do Posto]])</f>
        <v>29.451165</v>
      </c>
      <c r="R341" s="21">
        <f>tabCustoUnit[[#This Row],[MODULO 1 - REMUNERAÇÃO ]]*SUMIFS(tabParametros[SENAI OU SENAC],tabParametros[Código do Posto],tabCustoUnit[[#This Row],[Código do Posto]])</f>
        <v>19.63411</v>
      </c>
      <c r="S341" s="21">
        <f>tabCustoUnit[[#This Row],[MODULO 1 - REMUNERAÇÃO ]]*SUMIFS(tabParametros[INCRA],tabParametros[Código do Posto],tabCustoUnit[[#This Row],[Código do Posto]])</f>
        <v>3.926822</v>
      </c>
      <c r="T341" s="21">
        <f>tabCustoUnit[[#This Row],[MODULO 1 - REMUNERAÇÃO ]]*SUMIFS(tabParametros[Salário Educação],tabParametros[Código do Posto],tabCustoUnit[[#This Row],[Código do Posto]])</f>
        <v>49.085275000000003</v>
      </c>
      <c r="U341" s="21">
        <f>tabCustoUnit[[#This Row],[MODULO 1 - REMUNERAÇÃO ]]*SUMIFS(tabParametros[FGTS],tabParametros[Código do Posto],tabCustoUnit[[#This Row],[Código do Posto]])</f>
        <v>157.07288</v>
      </c>
      <c r="V341" s="21">
        <f>tabCustoUnit[[#This Row],[MODULO 1 - REMUNERAÇÃO ]]*SUMIFS(tabParametros[RAT Ajustado],tabParametros[Código do Posto],tabCustoUnit[[#This Row],[Código do Posto]])</f>
        <v>78.536439999999999</v>
      </c>
      <c r="W341" s="21">
        <f>tabCustoUnit[[#This Row],[MODULO 1 - REMUNERAÇÃO ]]*SUMIFS(tabParametros[SEBRAE],tabParametros[Código do Posto],tabCustoUnit[[#This Row],[Código do Posto]])</f>
        <v>11.780466000000001</v>
      </c>
      <c r="X341" s="21">
        <f>SUM(tabCustoUnit[[#This Row],[INSS]:[SEBRAE]])</f>
        <v>742.1693580000001</v>
      </c>
      <c r="Y341" s="21">
        <f>tabCustoUnit[[#This Row],[MODULO 1 - REMUNERAÇÃO ]]*SUMIFS(tabParametros[13º salário (titular)],tabParametros[Código do Posto],tabCustoUnit[[#This Row],[Código do Posto]])</f>
        <v>163.61758333333333</v>
      </c>
      <c r="Z341" s="21">
        <f>tabCustoUnit[[#This Row],[MODULO 1 - REMUNERAÇÃO ]]*SUMIFS(tabParametros[Férias e Adicional de Férias (titular)],tabParametros[Código do Posto],tabCustoUnit[[#This Row],[Código do Posto]])</f>
        <v>218.15677777777776</v>
      </c>
      <c r="AA341" s="21">
        <f>IFERROR((tabCustoUnit[[#This Row],[Submódulo 2.1]]/tabCustoUnit[[#This Row],[MODULO 1 - REMUNERAÇÃO ]])*SUM(tabCustoUnit[[#This Row],[13º salário (titular)]:[Férias e Adicional de Férias (titular)]]),0)</f>
        <v>144.3107085</v>
      </c>
      <c r="AB341" s="21">
        <f>SUM(tabCustoUnit[[#This Row],[13º salário (titular)]:[Incidência do Submódulo 2.1 sobre 13º Salário, Férias e Adicional de Férias]])</f>
        <v>526.08506961111107</v>
      </c>
      <c r="AC341" s="22" t="e">
        <f ca="1">_xlfn.LET(_xlpm.VT,SUMIF(tabParametros[Código do Posto],tabCustoUnit[[#This Row],[Código do Posto]],tabParametros[Vale - Transporte])*2*20,
IF((_xlpm.VT-tabCustoUnit[[#This Row],[Salário Base]]*0.06)&gt;=0,(_xlpm.VT-tabCustoUnit[[#This Row],[Salário Base]]*0.06),0)
)</f>
        <v>#NAME?</v>
      </c>
      <c r="AD341" s="22">
        <f>IF(SUMIF(tabParametros[Código do Posto],tabCustoUnit[[#This Row],[Código do Posto]],tabParametros[Vale - Alimentação])&lt;=0,0,
SUMIF(tabParametros[Código do Posto],tabCustoUnit[[#This Row],[Código do Posto]],tabParametros[Vale - Alimentação])*20-1)</f>
        <v>582</v>
      </c>
      <c r="AE341" s="22">
        <f>SUMIF(tabParametros[Código do Posto],tabCustoUnit[[#This Row],[Código do Posto]],tabParametros[Cesta Básica])</f>
        <v>0</v>
      </c>
      <c r="AF341" s="22">
        <f>SUMIF(tabParametros[Código do Posto],tabCustoUnit[[#This Row],[Código do Posto]],tabParametros[PAF])</f>
        <v>57.07</v>
      </c>
      <c r="AG341" s="22">
        <f>SUMIF(tabParametros[Código do Posto],tabCustoUnit[[#This Row],[Código do Posto]],tabParametros[PQM])</f>
        <v>0</v>
      </c>
      <c r="AH341" s="22">
        <f>SUMIF(tabParametros[Código do Posto],tabCustoUnit[[#This Row],[Código do Posto]],tabParametros[Abono Único e Especial])</f>
        <v>0</v>
      </c>
      <c r="AI341" s="22">
        <f>SUMIF(tabParametros[Código do Posto],tabCustoUnit[[#This Row],[Código do Posto]],tabParametros[Seguro de Vida])</f>
        <v>3.36</v>
      </c>
      <c r="AJ341" s="22">
        <f>SUMIF(tabParametros[Código do Posto],tabCustoUnit[[#This Row],[Código do Posto]],tabParametros[Despesas de Viagem])</f>
        <v>0</v>
      </c>
      <c r="AK341" s="22" t="e">
        <f ca="1">SUM(tabCustoUnit[[#This Row],[Vale - Transporte (Descontada parcela do empregado)]:[Despesas de Viagem]])</f>
        <v>#NAME?</v>
      </c>
      <c r="AL341" s="22" t="e">
        <f ca="1">tabCustoUnit[[#This Row],[Submódulo 2.1]]+tabCustoUnit[[#This Row],[Submódulo 2.2]]+tabCustoUnit[[#This Row],[Submódulo 2.3]]</f>
        <v>#NAME?</v>
      </c>
      <c r="AM341" s="22">
        <f>SUMIF(tabParametros[Código do Posto],tabCustoUnit[[#This Row],[Código do Posto]],tabParametros[Aviso Prévio Indenizado (API) e Reflexo do Aviso Prévio Indenizado])*tabCustoUnit[[#This Row],[MODULO 1 - REMUNERAÇÃO ]]</f>
        <v>13.766980408757716</v>
      </c>
      <c r="AN341" s="22">
        <f>SUMIF(tabParametros[Código do Posto],tabCustoUnit[[#This Row],[Código do Posto]],tabParametros[Incidência do FGTS sobre API e Reflexo do API])*tabCustoUnit[[#This Row],[MODULO 1 - REMUNERAÇÃO ]]</f>
        <v>1.1013584327006174</v>
      </c>
      <c r="AO341" s="22">
        <f>SUMIF(tabParametros[Código do Posto],tabCustoUnit[[#This Row],[Código do Posto]],tabParametros[Multa Rescisória do FGTS sobre o Aviso Prévio Indenizado])*tabCustoUnit[[#This Row],[MODULO 1 - REMUNERAÇÃO ]]</f>
        <v>0.44054337308024699</v>
      </c>
      <c r="AP341" s="22">
        <f>SUMIF(tabParametros[Código do Posto],tabCustoUnit[[#This Row],[Código do Posto]],tabParametros[Aviso Prévio Trabalhado - APT])*tabCustoUnit[[#This Row],[MODULO 1 - REMUNERAÇÃO ]]</f>
        <v>6.8719385000000015</v>
      </c>
      <c r="AQ341" s="22">
        <f>SUMIF(tabParametros[Código do Posto],tabCustoUnit[[#This Row],[Código do Posto]],tabParametros[Incidência dos encargos do submódulo 2.1 sobre Aviso Prévio Trabalhado])*tabCustoUnit[[#This Row],[MODULO 1 - REMUNERAÇÃO ]]</f>
        <v>2.5975927530000007</v>
      </c>
      <c r="AR341" s="22">
        <f>SUMIF(tabParametros[Código do Posto],tabCustoUnit[[#This Row],[Código do Posto]],tabParametros[Multa Rescisória do FGTS])*tabCustoUnit[[#This Row],[MODULO 1 - REMUNERAÇÃO ]]</f>
        <v>60.03674524444444</v>
      </c>
      <c r="AS341" s="22">
        <f>SUMIF(tabParametros[Código do Posto],tabCustoUnit[[#This Row],[Código do Posto]],tabParametros[Indenização Adicional (Art. 9º da Lei nº 7.238/84)])*tabCustoUnit[[#This Row],[MODULO 1 - REMUNERAÇÃO ]]</f>
        <v>1.6361758333333334</v>
      </c>
      <c r="AT341" s="22">
        <f>SUM(tabCustoUnit[[#This Row],[Aviso Prévio Indenizado (API) e Reflexo do Aviso Prévio Indenizado]:[Indenização Adicional (Art. 9º da Lei nº 7.238/84)]])</f>
        <v>86.451334545316371</v>
      </c>
      <c r="AU341" s="22">
        <f>SUMIF(tabParametros[Código do Posto],tabCustoUnit[[#This Row],[Código do Posto]],tabParametros[Ausência por Doença])*tabCustoUnit[[#This Row],[MODULO 1 - REMUNERAÇÃO ]]</f>
        <v>16.579915111111109</v>
      </c>
      <c r="AV341" s="22">
        <f>SUMIF(tabParametros[Código do Posto],tabCustoUnit[[#This Row],[Código do Posto]],tabParametros[Ausências Legais])*tabCustoUnit[[#This Row],[MODULO 1 - REMUNERAÇÃO ]]</f>
        <v>3.9813611944444443</v>
      </c>
      <c r="AW341" s="22">
        <f>SUMIF(tabParametros[Código do Posto],tabCustoUnit[[#This Row],[Código do Posto]],tabParametros[Licença Paternidade])*tabCustoUnit[[#This Row],[MODULO 1 - REMUNERAÇÃO ]]</f>
        <v>0.33541604583333334</v>
      </c>
      <c r="AX341" s="22">
        <f>SUMIF(tabParametros[Código do Posto],tabCustoUnit[[#This Row],[Código do Posto]],tabParametros[Ausência por Acidente de Trabalho])*tabCustoUnit[[#This Row],[MODULO 1 - REMUNERAÇÃO ]]</f>
        <v>0.40904395833333335</v>
      </c>
      <c r="AY341" s="22">
        <f>SUMIF(tabParametros[Código do Posto],tabCustoUnit[[#This Row],[Código do Posto]],tabParametros[Férias, Adicional de Férias e 13º  com empregada em gozo de Licença Maternidade])*tabCustoUnit[[#This Row],[MODULO 1 - REMUNERAÇÃO ]]</f>
        <v>2.5451624074074073</v>
      </c>
      <c r="AZ341" s="22">
        <f>SUMIF(tabParametros[Código do Posto],tabCustoUnit[[#This Row],[Código do Posto]],tabParametros[Incidência do Submódulo 2.1 sobre Ausências Legais])*tabCustoUnit[[#This Row],[MODULO 1 - REMUNERAÇÃO ]]</f>
        <v>9.0156397150750021</v>
      </c>
      <c r="BA341" s="22">
        <f>SUM(tabCustoUnit[[#This Row],[Ausência por Doença]:[Incidência do Submódulo 2.1 sobre Ausências Legais]])</f>
        <v>32.866538432204628</v>
      </c>
      <c r="BB341" s="22">
        <f>SUMIF(tabParametros[Código do Posto],tabCustoUnit[[#This Row],[Código do Posto]],tabParametros[Intervalo para Repouso ou Alimentação])</f>
        <v>267.73786489195959</v>
      </c>
      <c r="BC341" s="22">
        <f>tabCustoUnit[[#This Row],[Intervalo para Repouso ou Alimentação]]</f>
        <v>267.73786489195959</v>
      </c>
      <c r="BD341" s="22">
        <f>IF(VLOOKUP(tabCustoUnit[[#This Row],[Código do Posto]],PARAMETROS!$A$4:$BJ$341,7,0)&lt;=0,0,
IFERROR((tabCustoUnit[[#This Row],[MODULO 1 - REMUNERAÇÃO ]]*VLOOKUP(tabCustoUnit[[#This Row],[Código do Posto]],PARAMETROS!$A$4:$BJ$341,49,0))/(VLOOKUP(tabCustoUnit[[#This Row],[Código do Posto]],PARAMETROS!$A$4:$BJ$341,7,0)*VLOOKUP(tabCustoUnit[[#This Row],[Código do Posto]],PARAMETROS!$A$4:$BJ$341,8,0)),0)
)</f>
        <v>0</v>
      </c>
      <c r="BE341" s="22">
        <f>tabCustoUnit[[#This Row],[Suspensão Temporária do Contrato de Trabalho]]</f>
        <v>0</v>
      </c>
      <c r="BF341" s="22">
        <f>tabCustoUnit[[#This Row],[Submódulo 4.1]]+tabCustoUnit[[#This Row],[Submódulo 4.2]]+tabCustoUnit[[#This Row],[Submódulo 4.3]]</f>
        <v>300.6044033241642</v>
      </c>
      <c r="BG341" s="22">
        <f>VLOOKUP(tabCustoUnit[[#This Row],[Código do Posto]],tabParametros[],MATCH(tabCustoUnit[[#Headers],[Uniformes e EPIs]],tabParametros[#Headers],0),0)</f>
        <v>56.642978962543395</v>
      </c>
      <c r="BH341" s="22">
        <f>VLOOKUP(tabCustoUnit[[#This Row],[Código do Posto]],tabParametros[],MATCH(tabCustoUnit[[#Headers],[Materiais de Consumo]],tabParametros[#Headers],0),0)</f>
        <v>0</v>
      </c>
      <c r="BI341" s="22">
        <f>VLOOKUP(tabCustoUnit[[#This Row],[Código do Posto]],tabParametros[],MATCH(tabCustoUnit[[#Headers],[Máquinas e Equipamentos (depreciação)]],tabParametros[#Headers],0),0)</f>
        <v>0</v>
      </c>
      <c r="BJ341" s="22">
        <f>VLOOKUP(tabCustoUnit[[#This Row],[Código do Posto]],tabParametros[],MATCH(tabCustoUnit[[#Headers],[Produtos de Limpeza e Materiais de Higiene Pessoal]],tabParametros[#Headers],0),0)</f>
        <v>0</v>
      </c>
      <c r="BK341" s="22">
        <f>VLOOKUP(tabCustoUnit[[#This Row],[Código do Posto]],tabParametros[],MATCH(tabCustoUnit[[#Headers],[Outros (especificar)]],tabParametros[#Headers],0),0)</f>
        <v>0</v>
      </c>
      <c r="BL341" s="22">
        <f>SUM(tabCustoUnit[[#This Row],[Uniformes e EPIs]:[Outros (especificar)]])</f>
        <v>56.642978962543395</v>
      </c>
      <c r="BM341" s="22" t="e">
        <f ca="1">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#NAME?</v>
      </c>
      <c r="BN341" s="22" t="e">
        <f ca="1">VLOOKUP(tabCustoUnit[[#This Row],[Código do Posto]],tabParametros[],MATCH(tabCustoUnit[[#Headers],[Custos Indiretos]],tabParametros[#Headers],0),0)</f>
        <v>#NAME?</v>
      </c>
      <c r="BO341" s="22" t="e">
        <f ca="1">VLOOKUP(tabCustoUnit[[#This Row],[Código do Posto]],tabParametros[],MATCH(tabCustoUnit[[#Headers],[Lucro]],tabParametros[#Headers],0),0)</f>
        <v>#NAME?</v>
      </c>
      <c r="BP341" s="26">
        <f>((100/((1-tabCustoUnit[[#This Row],[Resumo de Alíquotas (PIS+CONFINS+ISS)]]))-100)*VLOOKUP(tabCustoUnit[[#This Row],[Código do Posto]],tabParametros[],MATCH(tabCustoUnit[[#Headers],[COFINS]],tabParametros[#Headers],0),0))/(tabCustoUnit[[#This Row],[Resumo de Alíquotas (PIS+CONFINS+ISS)]]*100)</f>
        <v>8.6609686609686695E-2</v>
      </c>
      <c r="BQ341" s="26">
        <f>((100/((100-(tabCustoUnit[[#This Row],[Resumo de Alíquotas (PIS+CONFINS+ISS)]]*100))%)-100)*VLOOKUP(tabCustoUnit[[#This Row],[Código do Posto]],tabParametros[],MATCH(tabCustoUnit[[#Headers],[PIS]],tabParametros[#Headers],0),0))/(tabCustoUnit[[#This Row],[Resumo de Alíquotas (PIS+CONFINS+ISS)]]*100)</f>
        <v>1.880341880341882E-2</v>
      </c>
      <c r="BR341" s="28">
        <f>VLOOKUP(tabCustoUnit[[#This Row],[Código do Posto]],tabParametros[],MATCH(tabCustoUnit[[#Headers],[ISS]],tabParametros[#Headers],0),0)</f>
        <v>0.03</v>
      </c>
      <c r="BS341" s="26">
        <f>(((100/((100-(tabCustoUnit[[#This Row],[Resumo de Alíquotas (PIS+CONFINS+ISS)]]*100))%)-100)*tabCustoUnit[[#This Row],[ISS]])/tabCustoUnit[[#This Row],[Resumo de Alíquotas (PIS+CONFINS+ISS)]])/100</f>
        <v>3.4188034188034219E-2</v>
      </c>
      <c r="BT34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41" s="138">
        <f>tabCustoUnit[[#This Row],[COFINS]]+tabCustoUnit[[#This Row],[PIS]]+tabCustoUnit[[#This Row],[ISS (Conversão Alíquota s/ fatura)]]</f>
        <v>0.13960113960113973</v>
      </c>
      <c r="BV341" s="22" t="e">
        <f ca="1">(tabCustoUnit[[#This Row],[TOTAL MÓDULOS 1+2+3+4+5]]+tabCustoUnit[[#This Row],[Custos Indiretos]]+tabCustoUnit[[#This Row],[Lucro]])*tabCustoUnit[[#This Row],[PIS + COFINS + ISS (Total Conversão  Alíquota s/ Fatura)]]</f>
        <v>#NAME?</v>
      </c>
      <c r="BW341" s="22" t="e">
        <f ca="1">tabCustoUnit[[#This Row],[Custos Indiretos]]+tabCustoUnit[[#This Row],[Lucro]]+tabCustoUnit[[#This Row],[Valor dos Tributos (ISS, PIS, CONFINS)]]</f>
        <v>#NAME?</v>
      </c>
      <c r="BX341" s="22" t="e">
        <f ca="1">tabCustoUnit[[#This Row],[TOTAL MÓDULOS 1+2+3+4+5]]+tabCustoUnit[[#This Row],[MÓDULO 6 – CUSTOS INDIRETOS, TRIBUTOS E LUCRO]]</f>
        <v>#NAME?</v>
      </c>
      <c r="BY341" s="22" t="e">
        <f ca="1">tabCustoUnit[[#This Row],[CUSTO TOTAL MENSAL]]*12</f>
        <v>#NAME?</v>
      </c>
      <c r="BZ341" s="24">
        <f>VLOOKUP(tabCustoUnit[[#This Row],[Código do Posto]],tabParametros[],MATCH(tabCustoUnit[[#Headers],[ANO DA CCT]],tabParametros[#Headers],0),0)</f>
        <v>45658</v>
      </c>
      <c r="CA341" s="25" t="str">
        <f>VLOOKUP(tabCustoUnit[[#This Row],[Código do Posto]],tabParametros[],MATCH(tabCustoUnit[[#Headers],[Nº DE PEDIDO DA CCT]],tabParametros[#Headers],0),0)</f>
        <v>-</v>
      </c>
      <c r="CB341" s="25" t="str">
        <f>VLOOKUP(tabCustoUnit[[#This Row],[Código do Posto]],tabParametros[],MATCH(tabCustoUnit[[#Headers],[TERMO ADITIVO ALTERAÇÃO DA CCT]],tabParametros[#Headers],0),0)</f>
        <v>-</v>
      </c>
    </row>
    <row r="342" spans="1:80">
      <c r="A342" s="20" t="s">
        <v>7</v>
      </c>
      <c r="E342" s="20"/>
      <c r="F342" s="20"/>
      <c r="G342" s="417">
        <f>SUBTOTAL(9,tabCustoUnit[Salário Base])</f>
        <v>981388.11880000052</v>
      </c>
      <c r="H342" s="417">
        <f>SUBTOTAL(9,tabCustoUnit[Adicional Periculosidade])</f>
        <v>1102.1410000000001</v>
      </c>
      <c r="I342" s="417">
        <f>SUBTOTAL(9,tabCustoUnit[Adicional Insalubridade])</f>
        <v>9108.0000000000055</v>
      </c>
      <c r="J342" s="417">
        <f>SUBTOTAL(9,tabCustoUnit[Adicional Noturno])</f>
        <v>7952.1936000000005</v>
      </c>
      <c r="K342" s="417">
        <f>SUBTOTAL(9,tabCustoUnit[Adicional Motorista II (Gratificação)])</f>
        <v>1377.4491</v>
      </c>
      <c r="L342" s="417">
        <f>SUBTOTAL(9,tabCustoUnit[Adicional de Sobreaviso])</f>
        <v>0</v>
      </c>
      <c r="M342" s="417">
        <f>SUBTOTAL(9,tabCustoUnit[Horas Extras TI])</f>
        <v>1937.1844000000001</v>
      </c>
      <c r="N342" s="417">
        <f>SUBTOTAL(9,tabCustoUnit[Adicional de Acúmulo de função])</f>
        <v>861.72929999999997</v>
      </c>
      <c r="O342" s="25">
        <f>SUBTOTAL(9,tabCustoUnit[MODULO 1 - REMUNERAÇÃO ])</f>
        <v>1003726.8162000001</v>
      </c>
      <c r="P342" s="25">
        <f>SUBTOTAL(9,tabCustoUnit[INSS])</f>
        <v>200745.36324000015</v>
      </c>
      <c r="Q342" s="25">
        <f>SUBTOTAL(9,tabCustoUnit[SESI OU SESC])</f>
        <v>15055.902243000013</v>
      </c>
      <c r="R342" s="25">
        <f>SUBTOTAL(9,tabCustoUnit[SENAI OU SENAC])</f>
        <v>10037.268162000013</v>
      </c>
      <c r="S342" s="25">
        <f>SUBTOTAL(9,tabCustoUnit[INCRA])</f>
        <v>2007.4536323999944</v>
      </c>
      <c r="T342" s="25">
        <f>SUBTOTAL(9,tabCustoUnit[Salário Educação])</f>
        <v>25093.170405000019</v>
      </c>
      <c r="U342" s="25">
        <f>SUBTOTAL(9,tabCustoUnit[FGTS])</f>
        <v>80298.145296000104</v>
      </c>
      <c r="V342" s="25">
        <f>SUBTOTAL(9,tabCustoUnit[RAT Ajustado])</f>
        <v>40149.072648000052</v>
      </c>
      <c r="W342" s="25">
        <f>SUBTOTAL(9,tabCustoUnit[SEBRAE])</f>
        <v>6022.3608971999993</v>
      </c>
      <c r="X342" s="25">
        <f>SUBTOTAL(9,tabCustoUnit[Submódulo 2.1])</f>
        <v>379408.73652359936</v>
      </c>
      <c r="Y342" s="25">
        <f>SUBTOTAL(9,tabCustoUnit[13º salário (titular)])</f>
        <v>83643.901349999898</v>
      </c>
      <c r="Z342" s="25">
        <f>SUBTOTAL(9,tabCustoUnit[Férias e Adicional de Férias (titular)])</f>
        <v>111525.20180000016</v>
      </c>
      <c r="AA342" s="25">
        <f>SUBTOTAL(9,tabCustoUnit[Incidência do Submódulo 2.1 sobre 13º Salário, Férias e Adicional de Férias])</f>
        <v>73773.920990699989</v>
      </c>
      <c r="AB342" s="25">
        <f>SUBTOTAL(9,tabCustoUnit[Submódulo 2.2])</f>
        <v>268943.02414070023</v>
      </c>
      <c r="AC342" s="25" t="e">
        <f ca="1">SUBTOTAL(9,tabCustoUnit[Vale - Transporte (Descontada parcela do empregado)])</f>
        <v>#NAME?</v>
      </c>
      <c r="AD342" s="25">
        <f>SUBTOTAL(9,tabCustoUnit[Vale - Alimentação (Descontada parcela do empregado)])</f>
        <v>185929.59999999983</v>
      </c>
      <c r="AE342" s="25">
        <f>SUBTOTAL(9,tabCustoUnit[Cesta Básica])</f>
        <v>6980.22</v>
      </c>
      <c r="AF342" s="25">
        <f>SUBTOTAL(9,tabCustoUnit[PAF])</f>
        <v>13419.039999999992</v>
      </c>
      <c r="AG342" s="25">
        <f>SUBTOTAL(9,tabCustoUnit[PQM])</f>
        <v>571.9</v>
      </c>
      <c r="AH342" s="25">
        <f>SUBTOTAL(9,tabCustoUnit[Abono Único e Especial])</f>
        <v>0</v>
      </c>
      <c r="AI342" s="25">
        <f>SUBTOTAL(9,tabCustoUnit[Seguro de Vida])</f>
        <v>1135.6800000000003</v>
      </c>
      <c r="AJ342" s="25">
        <f>SUBTOTAL(9,tabCustoUnit[Despesas de Viagem])</f>
        <v>39800.539999999935</v>
      </c>
      <c r="AK342" s="25" t="e">
        <f ca="1">SUBTOTAL(9,tabCustoUnit[Submódulo 2.3])</f>
        <v>#NAME?</v>
      </c>
      <c r="AL342" s="25" t="e">
        <f ca="1">SUBTOTAL(9,tabCustoUnit[MÓDULO 2 - Total Encargos e Benefícios mensais e diários])</f>
        <v>#NAME?</v>
      </c>
      <c r="AM342" s="25">
        <f>SUBTOTAL(9,tabCustoUnit[Aviso Prévio Indenizado (API) e Reflexo do Aviso Prévio Indenizado])</f>
        <v>7037.8985420628296</v>
      </c>
      <c r="AN342" s="25">
        <f>SUBTOTAL(9,tabCustoUnit[Incidência do FGTS sobre API e Reflexo do API])</f>
        <v>563.03188336502751</v>
      </c>
      <c r="AO342" s="25">
        <f>SUBTOTAL(9,tabCustoUnit[Multa Rescisória do FGTS sobre o Aviso Prévio Indenizado])</f>
        <v>225.21275334601165</v>
      </c>
      <c r="AP342" s="25">
        <f>SUBTOTAL(9,tabCustoUnit[Aviso Prévio Trabalhado - APT])</f>
        <v>3513.0438566999942</v>
      </c>
      <c r="AQ342" s="25">
        <f>SUBTOTAL(9,tabCustoUnit[Incidência dos encargos do submódulo 2.1 sobre Aviso Prévio Trabalhado])</f>
        <v>1327.9305778325981</v>
      </c>
      <c r="AR342" s="25">
        <f>SUBTOTAL(9,tabCustoUnit[Multa Rescisória do FGTS])</f>
        <v>30691.73553536</v>
      </c>
      <c r="AS342" s="25">
        <f>SUBTOTAL(9,tabCustoUnit[Indenização Adicional (Art. 9º da Lei nº 7.238/84)])</f>
        <v>836.43901349999896</v>
      </c>
      <c r="AT342" s="25">
        <f>SUBTOTAL(9,tabCustoUnit[MÓDULO 3 – PROVISÃO PARA RESCISÃO])</f>
        <v>44195.292162166377</v>
      </c>
      <c r="AU342" s="25">
        <f>SUBTOTAL(9,tabCustoUnit[Ausência por Doença])</f>
        <v>8475.9153368000152</v>
      </c>
      <c r="AV342" s="25">
        <f>SUBTOTAL(9,tabCustoUnit[Ausências Legais])</f>
        <v>2035.3349328499989</v>
      </c>
      <c r="AW342" s="25">
        <f>SUBTOTAL(9,tabCustoUnit[Licença Paternidade])</f>
        <v>171.4699977674999</v>
      </c>
      <c r="AX342" s="25">
        <f>SUBTOTAL(9,tabCustoUnit[Ausência por Acidente de Trabalho])</f>
        <v>209.10975337499974</v>
      </c>
      <c r="AY342" s="25">
        <f>SUBTOTAL(9,tabCustoUnit[Férias, Adicional de Férias e 13º  com empregada em gozo de Licença Maternidade])</f>
        <v>1301.1273543333321</v>
      </c>
      <c r="AZ342" s="25">
        <f>SUBTOTAL(9,tabCustoUnit[Incidência do Submódulo 2.1 sobre Ausências Legais])</f>
        <v>4608.9378877975687</v>
      </c>
      <c r="BA342" s="25">
        <f>SUBTOTAL(9,tabCustoUnit[Submódulo 4.1])</f>
        <v>16801.895262923426</v>
      </c>
      <c r="BB342" s="25">
        <f>SUBTOTAL(9,tabCustoUnit[Intervalo para Repouso ou Alimentação])</f>
        <v>27519.65567139419</v>
      </c>
      <c r="BC342" s="25">
        <f>SUBTOTAL(9,tabCustoUnit[Submódulo 4.2])</f>
        <v>27519.65567139419</v>
      </c>
      <c r="BD342" s="25">
        <f>SUBTOTAL(9,tabCustoUnit[Suspensão Temporária do Contrato de Trabalho])</f>
        <v>0</v>
      </c>
      <c r="BE342" s="25">
        <f>SUBTOTAL(9,tabCustoUnit[Submódulo 4.3])</f>
        <v>0</v>
      </c>
      <c r="BF342" s="25">
        <f>SUBTOTAL(9,tabCustoUnit[MÓDULO 4 – CUSTO DE REPOSIÇÃO DO PROFISSIONAL AUSENTE])</f>
        <v>44321.550934317478</v>
      </c>
      <c r="BG342" s="25">
        <f>SUBTOTAL(9,tabCustoUnit[Uniformes e EPIs])</f>
        <v>29657.71018893056</v>
      </c>
      <c r="BH342" s="25">
        <f>SUBTOTAL(9,tabCustoUnit[Materiais de Consumo])</f>
        <v>11562.285026881727</v>
      </c>
      <c r="BI342" s="25">
        <f>SUBTOTAL(9,tabCustoUnit[Máquinas e Equipamentos (depreciação)])</f>
        <v>3316.4391161290341</v>
      </c>
      <c r="BJ342" s="25">
        <f>SUBTOTAL(9,tabCustoUnit[Produtos de Limpeza e Materiais de Higiene Pessoal])</f>
        <v>1012.8216666666667</v>
      </c>
      <c r="BK342" s="25">
        <f>SUBTOTAL(9,tabCustoUnit[Outros (especificar)])</f>
        <v>0</v>
      </c>
      <c r="BL342" s="25">
        <f>SUBTOTAL(9,tabCustoUnit[MÓDULO 5 – INSUMOS DIVERSOS])</f>
        <v>45549.255998607863</v>
      </c>
      <c r="BM342" s="25" t="e">
        <f ca="1">SUBTOTAL(9,tabCustoUnit[TOTAL MÓDULOS 1+2+3+4+5])</f>
        <v>#NAME?</v>
      </c>
      <c r="BN342" s="25" t="e">
        <f ca="1">SUBTOTAL(9,tabCustoUnit[Custos Indiretos])</f>
        <v>#NAME?</v>
      </c>
      <c r="BO342" s="25" t="e">
        <f ca="1">SUBTOTAL(9,tabCustoUnit[Lucro])</f>
        <v>#NAME?</v>
      </c>
      <c r="BP342" s="138">
        <f>SUBTOTAL(101,tabCustoUnit[COFINS])</f>
        <v>8.7087900962892872E-2</v>
      </c>
      <c r="BQ342" s="138">
        <f>SUBTOTAL(101,tabCustoUnit[PIS])</f>
        <v>1.8907241656417474E-2</v>
      </c>
      <c r="BR342" s="138">
        <f>SUBTOTAL(101,tabCustoUnit[ISS])</f>
        <v>3.4665680473372575E-2</v>
      </c>
      <c r="BS342" s="138">
        <f>SUBTOTAL(101,tabCustoUnit[ISS (Conversão Alíquota s/ fatura)])</f>
        <v>3.9898291102961357E-2</v>
      </c>
      <c r="BT342" s="138">
        <f>SUBTOTAL(101,tabCustoUnit[Resumo de Alíquotas (PIS+CONFINS+ISS)])</f>
        <v>0.12716568047337246</v>
      </c>
      <c r="BU342" s="138">
        <f>SUBTOTAL(101,tabCustoUnit[PIS + COFINS + ISS (Total Conversão  Alíquota s/ Fatura)])</f>
        <v>0.14589343372227143</v>
      </c>
      <c r="BV342" s="25" t="e">
        <f ca="1">SUBTOTAL(9,tabCustoUnit[Valor dos Tributos (ISS, PIS, CONFINS)])</f>
        <v>#NAME?</v>
      </c>
      <c r="BW342" s="25" t="e">
        <f ca="1">SUBTOTAL(9,tabCustoUnit[MÓDULO 6 – CUSTOS INDIRETOS, TRIBUTOS E LUCRO])</f>
        <v>#NAME?</v>
      </c>
      <c r="BX342" s="25" t="e">
        <f ca="1">SUBTOTAL(9,tabCustoUnit[CUSTO TOTAL MENSAL])</f>
        <v>#NAME?</v>
      </c>
      <c r="BY342" s="25" t="e">
        <f ca="1">SUBTOTAL(9,tabCustoUnit[CUSTO TOTAL ANUAL])</f>
        <v>#NAME?</v>
      </c>
      <c r="BZ342" s="20"/>
      <c r="CA342" s="20"/>
      <c r="CB342" s="20"/>
    </row>
    <row r="406" spans="84:84">
      <c r="CF406" s="22"/>
    </row>
  </sheetData>
  <mergeCells count="12">
    <mergeCell ref="G1:O2"/>
    <mergeCell ref="BN1:BW2"/>
    <mergeCell ref="BG1:BL2"/>
    <mergeCell ref="AC2:AK2"/>
    <mergeCell ref="Y2:AB2"/>
    <mergeCell ref="P2:X2"/>
    <mergeCell ref="P1:AL1"/>
    <mergeCell ref="AM1:AT2"/>
    <mergeCell ref="BD2:BE2"/>
    <mergeCell ref="BB2:BC2"/>
    <mergeCell ref="AU2:BA2"/>
    <mergeCell ref="AU1:BF1"/>
  </mergeCells>
  <phoneticPr fontId="9" type="noConversion"/>
  <pageMargins left="0.511811024" right="0.511811024" top="0.78740157499999996" bottom="0.78740157499999996" header="0.31496062000000002" footer="0.31496062000000002"/>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dimension ref="A1:CD340"/>
  <sheetViews>
    <sheetView workbookViewId="0"/>
  </sheetViews>
  <sheetFormatPr defaultRowHeight="14.25"/>
  <cols>
    <col min="1" max="1" width="12.75" style="20" customWidth="1"/>
    <col min="2" max="2" width="24.75" bestFit="1" customWidth="1"/>
    <col min="3" max="3" width="30.125" bestFit="1" customWidth="1"/>
    <col min="4" max="4" width="26.375" bestFit="1" customWidth="1"/>
    <col min="5" max="6" width="12.75" customWidth="1"/>
    <col min="7" max="8" width="12.75" style="20" customWidth="1"/>
    <col min="9" max="69" width="17.75" style="22" customWidth="1"/>
    <col min="70" max="75" width="17.75" style="26" customWidth="1"/>
    <col min="76" max="79" width="17.75" style="22" customWidth="1"/>
    <col min="80" max="80" width="17.75" style="24" customWidth="1"/>
    <col min="81" max="82" width="17.75" style="20" customWidth="1"/>
  </cols>
  <sheetData>
    <row r="1" spans="1:82" ht="90">
      <c r="A1" s="29" t="e" cm="1">
        <f t="array" aca="1" ref="A1:CD1" ca="1">_xlfn.HSTACK(tabCustoUnit[[#Headers],[Código do Posto]:[Fonte de Recursos]],"Vagas contratadas","Vagas suspensas",tabCustoUnit[[#Headers],[Salário Base]:[TERMO ADITIVO ALTERAÇÃO DA CCT]])</f>
        <v>#NAME?</v>
      </c>
      <c r="B1" s="29" t="e">
        <f ca="1"/>
        <v>#NAME?</v>
      </c>
      <c r="C1" s="29" t="e">
        <f ca="1"/>
        <v>#NAME?</v>
      </c>
      <c r="D1" s="29" t="e">
        <f ca="1"/>
        <v>#NAME?</v>
      </c>
      <c r="E1" s="29" t="e">
        <f ca="1"/>
        <v>#NAME?</v>
      </c>
      <c r="F1" s="29" t="e">
        <f ca="1"/>
        <v>#NAME?</v>
      </c>
      <c r="G1" s="29" t="e">
        <f ca="1"/>
        <v>#NAME?</v>
      </c>
      <c r="H1" s="29" t="e">
        <f ca="1"/>
        <v>#NAME?</v>
      </c>
      <c r="I1" s="29" t="e">
        <f ca="1"/>
        <v>#NAME?</v>
      </c>
      <c r="J1" s="29" t="e">
        <f ca="1"/>
        <v>#NAME?</v>
      </c>
      <c r="K1" s="29" t="e">
        <f ca="1"/>
        <v>#NAME?</v>
      </c>
      <c r="L1" s="29" t="e">
        <f ca="1"/>
        <v>#NAME?</v>
      </c>
      <c r="M1" s="29" t="e">
        <f ca="1"/>
        <v>#NAME?</v>
      </c>
      <c r="N1" s="29" t="e">
        <f ca="1"/>
        <v>#NAME?</v>
      </c>
      <c r="O1" s="29" t="e">
        <f ca="1"/>
        <v>#NAME?</v>
      </c>
      <c r="P1" s="29" t="e">
        <f ca="1"/>
        <v>#NAME?</v>
      </c>
      <c r="Q1" s="30" t="e">
        <f ca="1"/>
        <v>#NAME?</v>
      </c>
      <c r="R1" s="29" t="e">
        <f ca="1"/>
        <v>#NAME?</v>
      </c>
      <c r="S1" s="29" t="e">
        <f ca="1"/>
        <v>#NAME?</v>
      </c>
      <c r="T1" s="29" t="e">
        <f ca="1"/>
        <v>#NAME?</v>
      </c>
      <c r="U1" s="29" t="e">
        <f ca="1"/>
        <v>#NAME?</v>
      </c>
      <c r="V1" s="29" t="e">
        <f ca="1"/>
        <v>#NAME?</v>
      </c>
      <c r="W1" s="29" t="e">
        <f ca="1"/>
        <v>#NAME?</v>
      </c>
      <c r="X1" s="29" t="e">
        <f ca="1"/>
        <v>#NAME?</v>
      </c>
      <c r="Y1" s="29" t="e">
        <f ca="1"/>
        <v>#NAME?</v>
      </c>
      <c r="Z1" s="31" t="e">
        <f ca="1"/>
        <v>#NAME?</v>
      </c>
      <c r="AA1" s="29" t="e">
        <f ca="1"/>
        <v>#NAME?</v>
      </c>
      <c r="AB1" s="29" t="e">
        <f ca="1"/>
        <v>#NAME?</v>
      </c>
      <c r="AC1" s="29" t="e">
        <f ca="1"/>
        <v>#NAME?</v>
      </c>
      <c r="AD1" s="31" t="e">
        <f ca="1"/>
        <v>#NAME?</v>
      </c>
      <c r="AE1" s="29" t="e">
        <f ca="1"/>
        <v>#NAME?</v>
      </c>
      <c r="AF1" s="29" t="e">
        <f ca="1"/>
        <v>#NAME?</v>
      </c>
      <c r="AG1" s="29" t="e">
        <f ca="1"/>
        <v>#NAME?</v>
      </c>
      <c r="AH1" s="29" t="e">
        <f ca="1"/>
        <v>#NAME?</v>
      </c>
      <c r="AI1" s="29" t="e">
        <f ca="1"/>
        <v>#NAME?</v>
      </c>
      <c r="AJ1" s="29" t="e">
        <f ca="1"/>
        <v>#NAME?</v>
      </c>
      <c r="AK1" s="29" t="e">
        <f ca="1"/>
        <v>#NAME?</v>
      </c>
      <c r="AL1" s="29" t="e">
        <f ca="1"/>
        <v>#NAME?</v>
      </c>
      <c r="AM1" s="31" t="e">
        <f ca="1"/>
        <v>#NAME?</v>
      </c>
      <c r="AN1" s="30" t="e">
        <f ca="1"/>
        <v>#NAME?</v>
      </c>
      <c r="AO1" s="29" t="e">
        <f ca="1"/>
        <v>#NAME?</v>
      </c>
      <c r="AP1" s="29" t="e">
        <f ca="1"/>
        <v>#NAME?</v>
      </c>
      <c r="AQ1" s="29" t="e">
        <f ca="1"/>
        <v>#NAME?</v>
      </c>
      <c r="AR1" s="29" t="e">
        <f ca="1"/>
        <v>#NAME?</v>
      </c>
      <c r="AS1" s="29" t="e">
        <f ca="1"/>
        <v>#NAME?</v>
      </c>
      <c r="AT1" s="29" t="e">
        <f ca="1"/>
        <v>#NAME?</v>
      </c>
      <c r="AU1" s="29" t="e">
        <f ca="1"/>
        <v>#NAME?</v>
      </c>
      <c r="AV1" s="30" t="e">
        <f ca="1"/>
        <v>#NAME?</v>
      </c>
      <c r="AW1" s="29" t="e">
        <f ca="1"/>
        <v>#NAME?</v>
      </c>
      <c r="AX1" s="29" t="e">
        <f ca="1"/>
        <v>#NAME?</v>
      </c>
      <c r="AY1" s="29" t="e">
        <f ca="1"/>
        <v>#NAME?</v>
      </c>
      <c r="AZ1" s="29" t="e">
        <f ca="1"/>
        <v>#NAME?</v>
      </c>
      <c r="BA1" s="29" t="e">
        <f ca="1"/>
        <v>#NAME?</v>
      </c>
      <c r="BB1" s="29" t="e">
        <f ca="1"/>
        <v>#NAME?</v>
      </c>
      <c r="BC1" s="31" t="e">
        <f ca="1"/>
        <v>#NAME?</v>
      </c>
      <c r="BD1" s="29" t="e">
        <f ca="1"/>
        <v>#NAME?</v>
      </c>
      <c r="BE1" s="31" t="e">
        <f ca="1"/>
        <v>#NAME?</v>
      </c>
      <c r="BF1" s="29" t="e">
        <f ca="1"/>
        <v>#NAME?</v>
      </c>
      <c r="BG1" s="31" t="e">
        <f ca="1"/>
        <v>#NAME?</v>
      </c>
      <c r="BH1" s="30" t="e">
        <f ca="1"/>
        <v>#NAME?</v>
      </c>
      <c r="BI1" s="29" t="e">
        <f ca="1"/>
        <v>#NAME?</v>
      </c>
      <c r="BJ1" s="29" t="e">
        <f ca="1"/>
        <v>#NAME?</v>
      </c>
      <c r="BK1" s="29" t="e">
        <f ca="1"/>
        <v>#NAME?</v>
      </c>
      <c r="BL1" s="29" t="e">
        <f ca="1"/>
        <v>#NAME?</v>
      </c>
      <c r="BM1" s="29" t="e">
        <f ca="1"/>
        <v>#NAME?</v>
      </c>
      <c r="BN1" s="30" t="e">
        <f ca="1"/>
        <v>#NAME?</v>
      </c>
      <c r="BO1" s="32" t="e">
        <f ca="1"/>
        <v>#NAME?</v>
      </c>
      <c r="BP1" s="29" t="e">
        <f ca="1"/>
        <v>#NAME?</v>
      </c>
      <c r="BQ1" s="29" t="e">
        <f ca="1"/>
        <v>#NAME?</v>
      </c>
      <c r="BR1" s="29" t="e">
        <f ca="1"/>
        <v>#NAME?</v>
      </c>
      <c r="BS1" s="29" t="e">
        <f ca="1"/>
        <v>#NAME?</v>
      </c>
      <c r="BT1" s="29" t="e">
        <f ca="1"/>
        <v>#NAME?</v>
      </c>
      <c r="BU1" s="29" t="e">
        <f ca="1"/>
        <v>#NAME?</v>
      </c>
      <c r="BV1" s="29" t="e">
        <f ca="1"/>
        <v>#NAME?</v>
      </c>
      <c r="BW1" s="29" t="e">
        <f ca="1"/>
        <v>#NAME?</v>
      </c>
      <c r="BX1" s="29" t="e">
        <f ca="1"/>
        <v>#NAME?</v>
      </c>
      <c r="BY1" s="30" t="e">
        <f ca="1"/>
        <v>#NAME?</v>
      </c>
      <c r="BZ1" s="33" t="e">
        <f ca="1"/>
        <v>#NAME?</v>
      </c>
      <c r="CA1" s="33" t="e">
        <f ca="1"/>
        <v>#NAME?</v>
      </c>
      <c r="CB1" s="3" t="e">
        <f ca="1"/>
        <v>#NAME?</v>
      </c>
      <c r="CC1" s="3" t="e">
        <f ca="1"/>
        <v>#NAME?</v>
      </c>
      <c r="CD1" s="3" t="e">
        <f ca="1"/>
        <v>#NAME?</v>
      </c>
    </row>
    <row r="2" spans="1:82">
      <c r="A2" s="20" t="e" cm="1">
        <f t="array" ref="A2">_xlfn.VSTACK(PARAMETROS!#REF!,"Total")</f>
        <v>#REF!</v>
      </c>
      <c r="B2" s="27" t="e" cm="1">
        <f t="array" aca="1" ref="B2:B339" ca="1">INDIRECT("tabCustoUnit["&amp;B$1&amp;"]")</f>
        <v>#NAME?</v>
      </c>
      <c r="C2" s="27" t="e" cm="1">
        <f t="array" aca="1" ref="C2:C339" ca="1">INDIRECT("tabCustoUnit["&amp;C$1&amp;"]")</f>
        <v>#NAME?</v>
      </c>
      <c r="D2" s="27" t="e" cm="1">
        <f t="array" aca="1" ref="D2:D339" ca="1">INDIRECT("tabCustoUnit["&amp;D$1&amp;"]")</f>
        <v>#NAME?</v>
      </c>
      <c r="E2" s="20" t="e" cm="1">
        <f t="array" aca="1" ref="E2:E339" ca="1">INDIRECT("tabCustoUnit["&amp;E$1&amp;"]")</f>
        <v>#NAME?</v>
      </c>
      <c r="F2" s="20" t="e" cm="1">
        <f t="array" aca="1" ref="F2:F339" ca="1">INDIRECT("tabCustoUnit["&amp;F$1&amp;"]")</f>
        <v>#NAME?</v>
      </c>
      <c r="G2" s="20" t="e" cm="1">
        <f t="array" aca="1" ref="G2" ca="1">_xlfn.VSTACK(VLOOKUP(PARAMETROS!#REF!,PARAMETROS!$A$4:$BJ$341,7,0),SUM(VLOOKUP(PARAMETROS!#REF!,PARAMETROS!$A$4:$BJ$341,7,0)))</f>
        <v>#NAME?</v>
      </c>
      <c r="H2" s="20" t="e" cm="1">
        <f t="array" aca="1" ref="H2" ca="1">_xlfn.VSTACK(VLOOKUP(PARAMETROS!#REF!,PARAMETROS!$A$4:$BJ$341,8,0),SUM(VLOOKUP(PARAMETROS!#REF!,PARAMETROS!$A$4:$BJ$341,8,0)))</f>
        <v>#NAME?</v>
      </c>
      <c r="I2" s="22" t="e" cm="1">
        <f t="array" aca="1" ref="I2" ca="1">_xlfn.VSTACK(INDIRECT("tabCustoUnit["&amp;I$1&amp;"]")*($G$2:$G$300-$H$2:$H$300),SUM(INDIRECT("tabCustoUnit["&amp;I$1&amp;"]")*($G$2:$G$300-$H$2:$H$300)))</f>
        <v>#NAME?</v>
      </c>
      <c r="J2" s="22" t="e" cm="1">
        <f t="array" aca="1" ref="J2" ca="1">_xlfn.VSTACK(INDIRECT("tabCustoUnit["&amp;J$1&amp;"]")*($G$2:$G$300-$H$2:$H$300),SUM(INDIRECT("tabCustoUnit["&amp;J$1&amp;"]")*($G$2:$G$300-$H$2:$H$300)))</f>
        <v>#NAME?</v>
      </c>
      <c r="K2" s="22" t="e" cm="1">
        <f t="array" aca="1" ref="K2" ca="1">_xlfn.VSTACK(INDIRECT("tabCustoUnit["&amp;K$1&amp;"]")*($G$2:$G$300-$H$2:$H$300),SUM(INDIRECT("tabCustoUnit["&amp;K$1&amp;"]")*($G$2:$G$300-$H$2:$H$300)))</f>
        <v>#NAME?</v>
      </c>
      <c r="L2" s="22" t="e" cm="1">
        <f t="array" aca="1" ref="L2" ca="1">_xlfn.VSTACK(INDIRECT("tabCustoUnit["&amp;L$1&amp;"]")*($G$2:$G$300-$H$2:$H$300),SUM(INDIRECT("tabCustoUnit["&amp;L$1&amp;"]")*($G$2:$G$300-$H$2:$H$300)))</f>
        <v>#NAME?</v>
      </c>
      <c r="M2" s="22" t="e" cm="1">
        <f t="array" aca="1" ref="M2" ca="1">_xlfn.VSTACK(INDIRECT("tabCustoUnit["&amp;M$1&amp;"]")*($G$2:$G$300-$H$2:$H$300),SUM(INDIRECT("tabCustoUnit["&amp;M$1&amp;"]")*($G$2:$G$300-$H$2:$H$300)))</f>
        <v>#NAME?</v>
      </c>
      <c r="N2" s="22" t="e" cm="1">
        <f t="array" aca="1" ref="N2" ca="1">_xlfn.VSTACK(INDIRECT("tabCustoUnit["&amp;N$1&amp;"]")*($G$2:$G$300-$H$2:$H$300),SUM(INDIRECT("tabCustoUnit["&amp;N$1&amp;"]")*($G$2:$G$300-$H$2:$H$300)))</f>
        <v>#NAME?</v>
      </c>
      <c r="O2" s="22" t="e" cm="1">
        <f t="array" aca="1" ref="O2" ca="1">_xlfn.VSTACK(INDIRECT("tabCustoUnit["&amp;O$1&amp;"]")*($G$2:$G$300-$H$2:$H$300),SUM(INDIRECT("tabCustoUnit["&amp;O$1&amp;"]")*($G$2:$G$300-$H$2:$H$300)))</f>
        <v>#NAME?</v>
      </c>
      <c r="P2" s="22" t="e" cm="1">
        <f t="array" aca="1" ref="P2" ca="1">_xlfn.VSTACK(INDIRECT("tabCustoUnit["&amp;P$1&amp;"]")*($G$2:$G$300-$H$2:$H$300),SUM(INDIRECT("tabCustoUnit["&amp;P$1&amp;"]")*($G$2:$G$300-$H$2:$H$300)))</f>
        <v>#NAME?</v>
      </c>
      <c r="Q2" s="22" t="e" cm="1">
        <f t="array" aca="1" ref="Q2" ca="1">_xlfn.VSTACK(INDIRECT("tabCustoUnit["&amp;Q$1&amp;"]")*($G$2:$G$300-$H$2:$H$300),SUM(INDIRECT("tabCustoUnit["&amp;Q$1&amp;"]")*($G$2:$G$300-$H$2:$H$300)))</f>
        <v>#NAME?</v>
      </c>
      <c r="R2" s="22" t="e" cm="1">
        <f t="array" aca="1" ref="R2" ca="1">_xlfn.VSTACK(INDIRECT("tabCustoUnit["&amp;R$1&amp;"]")*($G$2:$G$300-$H$2:$H$300),SUM(INDIRECT("tabCustoUnit["&amp;R$1&amp;"]")*($G$2:$G$300-$H$2:$H$300)))</f>
        <v>#NAME?</v>
      </c>
      <c r="S2" s="22" t="e" cm="1">
        <f t="array" aca="1" ref="S2" ca="1">_xlfn.VSTACK(INDIRECT("tabCustoUnit["&amp;S$1&amp;"]")*($G$2:$G$300-$H$2:$H$300),SUM(INDIRECT("tabCustoUnit["&amp;S$1&amp;"]")*($G$2:$G$300-$H$2:$H$300)))</f>
        <v>#NAME?</v>
      </c>
      <c r="T2" s="22" t="e" cm="1">
        <f t="array" aca="1" ref="T2" ca="1">_xlfn.VSTACK(INDIRECT("tabCustoUnit["&amp;T$1&amp;"]")*($G$2:$G$300-$H$2:$H$300),SUM(INDIRECT("tabCustoUnit["&amp;T$1&amp;"]")*($G$2:$G$300-$H$2:$H$300)))</f>
        <v>#NAME?</v>
      </c>
      <c r="U2" s="22" t="e" cm="1">
        <f t="array" aca="1" ref="U2" ca="1">_xlfn.VSTACK(INDIRECT("tabCustoUnit["&amp;U$1&amp;"]")*($G$2:$G$300-$H$2:$H$300),SUM(INDIRECT("tabCustoUnit["&amp;U$1&amp;"]")*($G$2:$G$300-$H$2:$H$300)))</f>
        <v>#NAME?</v>
      </c>
      <c r="V2" s="22" t="e" cm="1">
        <f t="array" aca="1" ref="V2" ca="1">_xlfn.VSTACK(INDIRECT("tabCustoUnit["&amp;V$1&amp;"]")*($G$2:$G$300-$H$2:$H$300),SUM(INDIRECT("tabCustoUnit["&amp;V$1&amp;"]")*($G$2:$G$300-$H$2:$H$300)))</f>
        <v>#NAME?</v>
      </c>
      <c r="W2" s="22" t="e" cm="1">
        <f t="array" aca="1" ref="W2" ca="1">_xlfn.VSTACK(INDIRECT("tabCustoUnit["&amp;W$1&amp;"]")*($G$2:$G$300-$H$2:$H$300),SUM(INDIRECT("tabCustoUnit["&amp;W$1&amp;"]")*($G$2:$G$300-$H$2:$H$300)))</f>
        <v>#NAME?</v>
      </c>
      <c r="X2" s="22" t="e" cm="1">
        <f t="array" aca="1" ref="X2" ca="1">_xlfn.VSTACK(INDIRECT("tabCustoUnit["&amp;X$1&amp;"]")*($G$2:$G$300-$H$2:$H$300),SUM(INDIRECT("tabCustoUnit["&amp;X$1&amp;"]")*($G$2:$G$300-$H$2:$H$300)))</f>
        <v>#NAME?</v>
      </c>
      <c r="Y2" s="22" t="e" cm="1">
        <f t="array" aca="1" ref="Y2" ca="1">_xlfn.VSTACK(INDIRECT("tabCustoUnit["&amp;Y$1&amp;"]")*($G$2:$G$300-$H$2:$H$300),SUM(INDIRECT("tabCustoUnit["&amp;Y$1&amp;"]")*($G$2:$G$300-$H$2:$H$300)))</f>
        <v>#NAME?</v>
      </c>
      <c r="Z2" s="22" t="e" cm="1">
        <f t="array" aca="1" ref="Z2" ca="1">_xlfn.VSTACK(INDIRECT("tabCustoUnit["&amp;Z$1&amp;"]")*($G$2:$G$300-$H$2:$H$300),SUM(INDIRECT("tabCustoUnit["&amp;Z$1&amp;"]")*($G$2:$G$300-$H$2:$H$300)))</f>
        <v>#NAME?</v>
      </c>
      <c r="AA2" s="22" t="e" cm="1">
        <f t="array" aca="1" ref="AA2" ca="1">_xlfn.VSTACK(INDIRECT("tabCustoUnit["&amp;AA$1&amp;"]")*($G$2:$G$300-$H$2:$H$300),SUM(INDIRECT("tabCustoUnit["&amp;AA$1&amp;"]")*($G$2:$G$300-$H$2:$H$300)))</f>
        <v>#NAME?</v>
      </c>
      <c r="AB2" s="22" t="e" cm="1">
        <f t="array" aca="1" ref="AB2" ca="1">_xlfn.VSTACK(INDIRECT("tabCustoUnit["&amp;AB$1&amp;"]")*($G$2:$G$300-$H$2:$H$300),SUM(INDIRECT("tabCustoUnit["&amp;AB$1&amp;"]")*($G$2:$G$300-$H$2:$H$300)))</f>
        <v>#NAME?</v>
      </c>
      <c r="AC2" s="22" t="e" cm="1">
        <f t="array" aca="1" ref="AC2" ca="1">_xlfn.VSTACK(INDIRECT("tabCustoUnit["&amp;AC$1&amp;"]")*($G$2:$G$300-$H$2:$H$300),SUM(INDIRECT("tabCustoUnit["&amp;AC$1&amp;"]")*($G$2:$G$300-$H$2:$H$300)))</f>
        <v>#NAME?</v>
      </c>
      <c r="AD2" s="22" t="e" cm="1">
        <f t="array" aca="1" ref="AD2" ca="1">_xlfn.VSTACK(INDIRECT("tabCustoUnit["&amp;AD$1&amp;"]")*($G$2:$G$300-$H$2:$H$300),SUM(INDIRECT("tabCustoUnit["&amp;AD$1&amp;"]")*($G$2:$G$300-$H$2:$H$300)))</f>
        <v>#NAME?</v>
      </c>
      <c r="AE2" s="22" t="e" cm="1">
        <f t="array" aca="1" ref="AE2" ca="1">_xlfn.VSTACK(INDIRECT("tabCustoUnit["&amp;AE$1&amp;"]")*($G$2:$G$300-$H$2:$H$300),SUM(INDIRECT("tabCustoUnit["&amp;AE$1&amp;"]")*($G$2:$G$300-$H$2:$H$300)))</f>
        <v>#NAME?</v>
      </c>
      <c r="AF2" s="22" t="e" cm="1">
        <f t="array" aca="1" ref="AF2" ca="1">_xlfn.VSTACK(INDIRECT("tabCustoUnit["&amp;AF$1&amp;"]")*($G$2:$G$300-$H$2:$H$300),SUM(INDIRECT("tabCustoUnit["&amp;AF$1&amp;"]")*($G$2:$G$300-$H$2:$H$300)))</f>
        <v>#NAME?</v>
      </c>
      <c r="AG2" s="22" t="e" cm="1">
        <f t="array" aca="1" ref="AG2" ca="1">_xlfn.VSTACK(INDIRECT("tabCustoUnit["&amp;AG$1&amp;"]")*($G$2:$G$300-$H$2:$H$300),SUM(INDIRECT("tabCustoUnit["&amp;AG$1&amp;"]")*($G$2:$G$300-$H$2:$H$300)))</f>
        <v>#NAME?</v>
      </c>
      <c r="AH2" s="22" t="e" cm="1">
        <f t="array" aca="1" ref="AH2" ca="1">_xlfn.VSTACK(INDIRECT("tabCustoUnit["&amp;AH$1&amp;"]")*($G$2:$G$300-$H$2:$H$300),SUM(INDIRECT("tabCustoUnit["&amp;AH$1&amp;"]")*($G$2:$G$300-$H$2:$H$300)))</f>
        <v>#NAME?</v>
      </c>
      <c r="AI2" s="22" t="e" cm="1">
        <f t="array" aca="1" ref="AI2" ca="1">_xlfn.VSTACK(INDIRECT("tabCustoUnit["&amp;AI$1&amp;"]")*($G$2:$G$300-$H$2:$H$300),SUM(INDIRECT("tabCustoUnit["&amp;AI$1&amp;"]")*($G$2:$G$300-$H$2:$H$300)))</f>
        <v>#NAME?</v>
      </c>
      <c r="AJ2" s="22" t="e" cm="1">
        <f t="array" aca="1" ref="AJ2" ca="1">_xlfn.VSTACK(INDIRECT("tabCustoUnit["&amp;AJ$1&amp;"]")*($G$2:$G$300-$H$2:$H$300),SUM(INDIRECT("tabCustoUnit["&amp;AJ$1&amp;"]")*($G$2:$G$300-$H$2:$H$300)))</f>
        <v>#NAME?</v>
      </c>
      <c r="AK2" s="22" t="e" cm="1">
        <f t="array" aca="1" ref="AK2" ca="1">_xlfn.VSTACK(INDIRECT("tabCustoUnit["&amp;AK$1&amp;"]")*($G$2:$G$300-$H$2:$H$300),SUM(INDIRECT("tabCustoUnit["&amp;AK$1&amp;"]")*($G$2:$G$300-$H$2:$H$300)))</f>
        <v>#NAME?</v>
      </c>
      <c r="AL2" s="22" t="e" cm="1">
        <f t="array" aca="1" ref="AL2" ca="1">_xlfn.VSTACK(INDIRECT("tabCustoUnit["&amp;AL$1&amp;"]")*($G$2:$G$300-$H$2:$H$300),SUM(INDIRECT("tabCustoUnit["&amp;AL$1&amp;"]")*($G$2:$G$300-$H$2:$H$300)))</f>
        <v>#NAME?</v>
      </c>
      <c r="AM2" s="22" t="e" cm="1">
        <f t="array" aca="1" ref="AM2" ca="1">_xlfn.VSTACK(INDIRECT("tabCustoUnit["&amp;AM$1&amp;"]")*($G$2:$G$300-$H$2:$H$300),SUM(INDIRECT("tabCustoUnit["&amp;AM$1&amp;"]")*($G$2:$G$300-$H$2:$H$300)))</f>
        <v>#NAME?</v>
      </c>
      <c r="AN2" s="22" t="e" cm="1">
        <f t="array" aca="1" ref="AN2" ca="1">_xlfn.VSTACK(INDIRECT("tabCustoUnit["&amp;AN$1&amp;"]")*($G$2:$G$300-$H$2:$H$300),SUM(INDIRECT("tabCustoUnit["&amp;AN$1&amp;"]")*($G$2:$G$300-$H$2:$H$300)))</f>
        <v>#NAME?</v>
      </c>
      <c r="AO2" s="22" t="e" cm="1">
        <f t="array" aca="1" ref="AO2" ca="1">_xlfn.VSTACK(INDIRECT("tabCustoUnit["&amp;AO$1&amp;"]")*($G$2:$G$300-$H$2:$H$300),SUM(INDIRECT("tabCustoUnit["&amp;AO$1&amp;"]")*($G$2:$G$300-$H$2:$H$300)))</f>
        <v>#NAME?</v>
      </c>
      <c r="AP2" s="22" t="e" cm="1">
        <f t="array" aca="1" ref="AP2" ca="1">_xlfn.VSTACK(INDIRECT("tabCustoUnit["&amp;AP$1&amp;"]")*($G$2:$G$300-$H$2:$H$300),SUM(INDIRECT("tabCustoUnit["&amp;AP$1&amp;"]")*($G$2:$G$300-$H$2:$H$300)))</f>
        <v>#NAME?</v>
      </c>
      <c r="AQ2" s="22" t="e" cm="1">
        <f t="array" aca="1" ref="AQ2" ca="1">_xlfn.VSTACK(INDIRECT("tabCustoUnit["&amp;AQ$1&amp;"]")*($G$2:$G$300-$H$2:$H$300),SUM(INDIRECT("tabCustoUnit["&amp;AQ$1&amp;"]")*($G$2:$G$300-$H$2:$H$300)))</f>
        <v>#NAME?</v>
      </c>
      <c r="AR2" s="22" t="e" cm="1">
        <f t="array" aca="1" ref="AR2" ca="1">_xlfn.VSTACK(INDIRECT("tabCustoUnit["&amp;AR$1&amp;"]")*($G$2:$G$300-$H$2:$H$300),SUM(INDIRECT("tabCustoUnit["&amp;AR$1&amp;"]")*($G$2:$G$300-$H$2:$H$300)))</f>
        <v>#NAME?</v>
      </c>
      <c r="AS2" s="22" t="e" cm="1">
        <f t="array" aca="1" ref="AS2" ca="1">_xlfn.VSTACK(INDIRECT("tabCustoUnit["&amp;AS$1&amp;"]")*($G$2:$G$300-$H$2:$H$300),SUM(INDIRECT("tabCustoUnit["&amp;AS$1&amp;"]")*($G$2:$G$300-$H$2:$H$300)))</f>
        <v>#NAME?</v>
      </c>
      <c r="AT2" s="22" t="e" cm="1">
        <f t="array" aca="1" ref="AT2" ca="1">_xlfn.VSTACK(INDIRECT("tabCustoUnit["&amp;AT$1&amp;"]")*($G$2:$G$300-$H$2:$H$300),SUM(INDIRECT("tabCustoUnit["&amp;AT$1&amp;"]")*($G$2:$G$300-$H$2:$H$300)))</f>
        <v>#NAME?</v>
      </c>
      <c r="AU2" s="22" t="e" cm="1">
        <f t="array" aca="1" ref="AU2" ca="1">_xlfn.VSTACK(INDIRECT("tabCustoUnit["&amp;AU$1&amp;"]")*($G$2:$G$300-$H$2:$H$300),SUM(INDIRECT("tabCustoUnit["&amp;AU$1&amp;"]")*($G$2:$G$300-$H$2:$H$300)))</f>
        <v>#NAME?</v>
      </c>
      <c r="AV2" s="22" t="e" cm="1">
        <f t="array" aca="1" ref="AV2" ca="1">_xlfn.VSTACK(INDIRECT("tabCustoUnit["&amp;AV$1&amp;"]")*($G$2:$G$300-$H$2:$H$300),SUM(INDIRECT("tabCustoUnit["&amp;AV$1&amp;"]")*($G$2:$G$300-$H$2:$H$300)))</f>
        <v>#NAME?</v>
      </c>
      <c r="AW2" s="22" t="e" cm="1">
        <f t="array" aca="1" ref="AW2" ca="1">_xlfn.VSTACK(INDIRECT("tabCustoUnit["&amp;AW$1&amp;"]")*($G$2:$G$300-$H$2:$H$300),SUM(INDIRECT("tabCustoUnit["&amp;AW$1&amp;"]")*($G$2:$G$300-$H$2:$H$300)))</f>
        <v>#NAME?</v>
      </c>
      <c r="AX2" s="22" t="e" cm="1">
        <f t="array" aca="1" ref="AX2" ca="1">_xlfn.VSTACK(INDIRECT("tabCustoUnit["&amp;AX$1&amp;"]")*($G$2:$G$300-$H$2:$H$300),SUM(INDIRECT("tabCustoUnit["&amp;AX$1&amp;"]")*($G$2:$G$300-$H$2:$H$300)))</f>
        <v>#NAME?</v>
      </c>
      <c r="AY2" s="22" t="e" cm="1">
        <f t="array" aca="1" ref="AY2" ca="1">_xlfn.VSTACK(INDIRECT("tabCustoUnit["&amp;AY$1&amp;"]")*($G$2:$G$300-$H$2:$H$300),SUM(INDIRECT("tabCustoUnit["&amp;AY$1&amp;"]")*($G$2:$G$300-$H$2:$H$300)))</f>
        <v>#NAME?</v>
      </c>
      <c r="AZ2" s="22" t="e" cm="1">
        <f t="array" aca="1" ref="AZ2" ca="1">_xlfn.VSTACK(INDIRECT("tabCustoUnit["&amp;AZ$1&amp;"]")*($G$2:$G$300-$H$2:$H$300),SUM(INDIRECT("tabCustoUnit["&amp;AZ$1&amp;"]")*($G$2:$G$300-$H$2:$H$300)))</f>
        <v>#NAME?</v>
      </c>
      <c r="BA2" s="22" t="e" cm="1">
        <f t="array" aca="1" ref="BA2" ca="1">_xlfn.VSTACK(INDIRECT("tabCustoUnit["&amp;BA$1&amp;"]")*($G$2:$G$300-$H$2:$H$300),SUM(INDIRECT("tabCustoUnit["&amp;BA$1&amp;"]")*($G$2:$G$300-$H$2:$H$300)))</f>
        <v>#NAME?</v>
      </c>
      <c r="BB2" s="22" t="e" cm="1">
        <f t="array" aca="1" ref="BB2" ca="1">_xlfn.VSTACK(INDIRECT("tabCustoUnit["&amp;BB$1&amp;"]")*($G$2:$G$300-$H$2:$H$300),SUM(INDIRECT("tabCustoUnit["&amp;BB$1&amp;"]")*($G$2:$G$300-$H$2:$H$300)))</f>
        <v>#NAME?</v>
      </c>
      <c r="BC2" s="22" t="e" cm="1">
        <f t="array" aca="1" ref="BC2" ca="1">_xlfn.VSTACK(INDIRECT("tabCustoUnit["&amp;BC$1&amp;"]")*($G$2:$G$300-$H$2:$H$300),SUM(INDIRECT("tabCustoUnit["&amp;BC$1&amp;"]")*($G$2:$G$300-$H$2:$H$300)))</f>
        <v>#NAME?</v>
      </c>
      <c r="BD2" s="22" t="e" cm="1">
        <f t="array" aca="1" ref="BD2" ca="1">_xlfn.VSTACK(INDIRECT("tabCustoUnit["&amp;BD$1&amp;"]")*($G$2:$G$300-$H$2:$H$300),SUM(INDIRECT("tabCustoUnit["&amp;BD$1&amp;"]")*($G$2:$G$300-$H$2:$H$300)))</f>
        <v>#NAME?</v>
      </c>
      <c r="BE2" s="22" t="e" cm="1">
        <f t="array" aca="1" ref="BE2" ca="1">_xlfn.VSTACK(INDIRECT("tabCustoUnit["&amp;BE$1&amp;"]")*($G$2:$G$300-$H$2:$H$300),SUM(INDIRECT("tabCustoUnit["&amp;BE$1&amp;"]")*($G$2:$G$300-$H$2:$H$300)))</f>
        <v>#NAME?</v>
      </c>
      <c r="BF2" s="22" t="e" cm="1">
        <f t="array" aca="1" ref="BF2" ca="1">_xlfn.VSTACK(INDIRECT("tabCustoUnit["&amp;BF$1&amp;"]")*($G$2:$G$300-$H$2:$H$300),SUM(INDIRECT("tabCustoUnit["&amp;BF$1&amp;"]")*($G$2:$G$300-$H$2:$H$300)))</f>
        <v>#NAME?</v>
      </c>
      <c r="BG2" s="22" t="e" cm="1">
        <f t="array" aca="1" ref="BG2" ca="1">_xlfn.VSTACK(INDIRECT("tabCustoUnit["&amp;BG$1&amp;"]")*($G$2:$G$300-$H$2:$H$300),SUM(INDIRECT("tabCustoUnit["&amp;BG$1&amp;"]")*($G$2:$G$300-$H$2:$H$300)))</f>
        <v>#NAME?</v>
      </c>
      <c r="BH2" s="22" t="e" cm="1">
        <f t="array" aca="1" ref="BH2" ca="1">_xlfn.VSTACK(INDIRECT("tabCustoUnit["&amp;BH$1&amp;"]")*($G$2:$G$300-$H$2:$H$300),SUM(INDIRECT("tabCustoUnit["&amp;BH$1&amp;"]")*($G$2:$G$300-$H$2:$H$300)))</f>
        <v>#NAME?</v>
      </c>
      <c r="BI2" s="22" t="e" cm="1">
        <f t="array" aca="1" ref="BI2" ca="1">_xlfn.VSTACK(INDIRECT("tabCustoUnit["&amp;BI$1&amp;"]")*($G$2:$G$300-$H$2:$H$300),SUM(INDIRECT("tabCustoUnit["&amp;BI$1&amp;"]")*($G$2:$G$300-$H$2:$H$300)))</f>
        <v>#NAME?</v>
      </c>
      <c r="BJ2" s="22" t="e" cm="1">
        <f t="array" aca="1" ref="BJ2" ca="1">_xlfn.VSTACK(INDIRECT("tabCustoUnit["&amp;BJ$1&amp;"]")*($G$2:$G$300-$H$2:$H$300),SUM(INDIRECT("tabCustoUnit["&amp;BJ$1&amp;"]")*($G$2:$G$300-$H$2:$H$300)))</f>
        <v>#NAME?</v>
      </c>
      <c r="BK2" s="22" t="e" cm="1">
        <f t="array" aca="1" ref="BK2" ca="1">_xlfn.VSTACK(INDIRECT("tabCustoUnit["&amp;BK$1&amp;"]")*($G$2:$G$300-$H$2:$H$300),SUM(INDIRECT("tabCustoUnit["&amp;BK$1&amp;"]")*($G$2:$G$300-$H$2:$H$300)))</f>
        <v>#NAME?</v>
      </c>
      <c r="BL2" s="22" t="e" cm="1">
        <f t="array" aca="1" ref="BL2" ca="1">_xlfn.VSTACK(INDIRECT("tabCustoUnit["&amp;BL$1&amp;"]")*($G$2:$G$300-$H$2:$H$300),SUM(INDIRECT("tabCustoUnit["&amp;BL$1&amp;"]")*($G$2:$G$300-$H$2:$H$300)))</f>
        <v>#NAME?</v>
      </c>
      <c r="BM2" s="22" t="e" cm="1">
        <f t="array" aca="1" ref="BM2" ca="1">_xlfn.VSTACK(INDIRECT("tabCustoUnit["&amp;BM$1&amp;"]")*($G$2:$G$300-$H$2:$H$300),SUM(INDIRECT("tabCustoUnit["&amp;BM$1&amp;"]")*($G$2:$G$300-$H$2:$H$300)))</f>
        <v>#NAME?</v>
      </c>
      <c r="BN2" s="22" t="e" cm="1">
        <f t="array" aca="1" ref="BN2" ca="1">_xlfn.VSTACK(INDIRECT("tabCustoUnit["&amp;BN$1&amp;"]")*($G$2:$G$300-$H$2:$H$300),SUM(INDIRECT("tabCustoUnit["&amp;BN$1&amp;"]")*($G$2:$G$300-$H$2:$H$300)))</f>
        <v>#NAME?</v>
      </c>
      <c r="BO2" s="22" t="e" cm="1">
        <f t="array" aca="1" ref="BO2" ca="1">_xlfn.VSTACK(INDIRECT("tabCustoUnit["&amp;BO$1&amp;"]")*($G$2:$G$300-$H$2:$H$300),SUM(INDIRECT("tabCustoUnit["&amp;BO$1&amp;"]")*($G$2:$G$300-$H$2:$H$300)))</f>
        <v>#NAME?</v>
      </c>
      <c r="BP2" s="22" t="e" cm="1">
        <f t="array" aca="1" ref="BP2" ca="1">_xlfn.VSTACK(INDIRECT("tabCustoUnit["&amp;BP$1&amp;"]")*($G$2:$G$300-$H$2:$H$300),SUM(INDIRECT("tabCustoUnit["&amp;BP$1&amp;"]")*($G$2:$G$300-$H$2:$H$300)))</f>
        <v>#NAME?</v>
      </c>
      <c r="BQ2" s="22" t="e" cm="1">
        <f t="array" aca="1" ref="BQ2" ca="1">_xlfn.VSTACK(INDIRECT("tabCustoUnit["&amp;BQ$1&amp;"]")*($G$2:$G$300-$H$2:$H$300),SUM(INDIRECT("tabCustoUnit["&amp;BQ$1&amp;"]")*($G$2:$G$300-$H$2:$H$300)))</f>
        <v>#NAME?</v>
      </c>
      <c r="BR2" s="26" t="e" cm="1">
        <f t="array" aca="1" ref="BR2:BR340" ca="1">_xlfn.VSTACK(INDIRECT("tabCustoUnit["&amp;BR$1&amp;"]"),SUBTOTAL(1,INDIRECT("tabCustoUnit["&amp;BR$1&amp;"]")))</f>
        <v>#NAME?</v>
      </c>
      <c r="BS2" s="26" t="e" cm="1">
        <f t="array" aca="1" ref="BS2:BS340" ca="1">_xlfn.VSTACK(INDIRECT("tabCustoUnit["&amp;BS$1&amp;"]"),SUBTOTAL(1,INDIRECT("tabCustoUnit["&amp;BS$1&amp;"]")))</f>
        <v>#NAME?</v>
      </c>
      <c r="BT2" s="26" t="e" cm="1">
        <f t="array" aca="1" ref="BT2:BT340" ca="1">_xlfn.VSTACK(INDIRECT("tabCustoUnit["&amp;BT$1&amp;"]"),SUBTOTAL(1,INDIRECT("tabCustoUnit["&amp;BT$1&amp;"]")))</f>
        <v>#NAME?</v>
      </c>
      <c r="BU2" s="26" t="e" cm="1">
        <f t="array" aca="1" ref="BU2:BU340" ca="1">_xlfn.VSTACK(INDIRECT("tabCustoUnit["&amp;BU$1&amp;"]"),SUBTOTAL(1,INDIRECT("tabCustoUnit["&amp;BU$1&amp;"]")))</f>
        <v>#NAME?</v>
      </c>
      <c r="BV2" s="26" t="e" cm="1">
        <f t="array" aca="1" ref="BV2:BV340" ca="1">_xlfn.VSTACK(INDIRECT("tabCustoUnit["&amp;BV$1&amp;"]"),SUBTOTAL(1,INDIRECT("tabCustoUnit["&amp;BV$1&amp;"]")))</f>
        <v>#NAME?</v>
      </c>
      <c r="BW2" s="26" t="e" cm="1">
        <f t="array" aca="1" ref="BW2:BW340" ca="1">_xlfn.VSTACK(INDIRECT("tabCustoUnit["&amp;BW$1&amp;"]"),SUBTOTAL(1,INDIRECT("tabCustoUnit["&amp;BW$1&amp;"]")))</f>
        <v>#NAME?</v>
      </c>
      <c r="BX2" s="22" t="e" cm="1">
        <f t="array" aca="1" ref="BX2" ca="1">_xlfn.VSTACK(INDIRECT("tabCustoUnit["&amp;BX$1&amp;"]")*($G$2:$G$300-$H$2:$H$300),SUM(INDIRECT("tabCustoUnit["&amp;BX$1&amp;"]")*($G$2:$G$300-$H$2:$H$300)))</f>
        <v>#NAME?</v>
      </c>
      <c r="BY2" s="22" t="e" cm="1">
        <f t="array" aca="1" ref="BY2" ca="1">_xlfn.VSTACK(INDIRECT("tabCustoUnit["&amp;BY$1&amp;"]")*($G$2:$G$300-$H$2:$H$300),SUM(INDIRECT("tabCustoUnit["&amp;BY$1&amp;"]")*($G$2:$G$300-$H$2:$H$300)))</f>
        <v>#NAME?</v>
      </c>
      <c r="BZ2" s="22" t="e" cm="1">
        <f t="array" aca="1" ref="BZ2" ca="1">_xlfn.VSTACK(INDIRECT("tabCustoUnit["&amp;BZ$1&amp;"]")*($G$2:$G$300-$H$2:$H$300),SUM(INDIRECT("tabCustoUnit["&amp;BZ$1&amp;"]")*($G$2:$G$300-$H$2:$H$300)))</f>
        <v>#NAME?</v>
      </c>
      <c r="CA2" s="22" t="e" cm="1">
        <f t="array" aca="1" ref="CA2" ca="1">_xlfn.VSTACK(INDIRECT("tabCustoUnit["&amp;CA$1&amp;"]")*($G$2:$G$300-$H$2:$H$300),SUM(INDIRECT("tabCustoUnit["&amp;CA$1&amp;"]")*($G$2:$G$300-$H$2:$H$300)))</f>
        <v>#NAME?</v>
      </c>
      <c r="CB2" s="24" t="e" cm="1">
        <f t="array" aca="1" ref="CB2:CB339" ca="1">INDIRECT("tabCustoUnit["&amp;CB$1&amp;"]")</f>
        <v>#NAME?</v>
      </c>
      <c r="CC2" s="20" t="e" cm="1">
        <f t="array" aca="1" ref="CC2:CC339" ca="1">INDIRECT("tabCustoUnit["&amp;CC$1&amp;"]")</f>
        <v>#NAME?</v>
      </c>
      <c r="CD2" s="20" t="e" cm="1">
        <f t="array" aca="1" ref="CD2:CD339" ca="1">INDIRECT("tabCustoUnit["&amp;CD$1&amp;"]")</f>
        <v>#NAME?</v>
      </c>
    </row>
    <row r="3" spans="1:82">
      <c r="B3" s="27" t="e">
        <f ca="1"/>
        <v>#NAME?</v>
      </c>
      <c r="C3" s="27" t="e">
        <f ca="1"/>
        <v>#NAME?</v>
      </c>
      <c r="D3" s="27" t="e">
        <f ca="1"/>
        <v>#NAME?</v>
      </c>
      <c r="E3" s="20" t="e">
        <f ca="1"/>
        <v>#NAME?</v>
      </c>
      <c r="F3" s="20" t="e">
        <f ca="1"/>
        <v>#NAME?</v>
      </c>
      <c r="BR3" s="26" t="e">
        <f ca="1"/>
        <v>#NAME?</v>
      </c>
      <c r="BS3" s="26" t="e">
        <f ca="1"/>
        <v>#NAME?</v>
      </c>
      <c r="BT3" s="26" t="e">
        <f ca="1"/>
        <v>#NAME?</v>
      </c>
      <c r="BU3" s="26" t="e">
        <f ca="1"/>
        <v>#NAME?</v>
      </c>
      <c r="BV3" s="26" t="e">
        <f ca="1"/>
        <v>#NAME?</v>
      </c>
      <c r="BW3" s="26" t="e">
        <f ca="1"/>
        <v>#NAME?</v>
      </c>
      <c r="CB3" s="24" t="e">
        <f ca="1"/>
        <v>#NAME?</v>
      </c>
      <c r="CC3" s="20" t="e">
        <f ca="1"/>
        <v>#NAME?</v>
      </c>
      <c r="CD3" s="20" t="e">
        <f ca="1"/>
        <v>#NAME?</v>
      </c>
    </row>
    <row r="4" spans="1:82">
      <c r="B4" s="27" t="e">
        <f ca="1"/>
        <v>#NAME?</v>
      </c>
      <c r="C4" s="27" t="e">
        <f ca="1"/>
        <v>#NAME?</v>
      </c>
      <c r="D4" s="27" t="e">
        <f ca="1"/>
        <v>#NAME?</v>
      </c>
      <c r="E4" s="20" t="e">
        <f ca="1"/>
        <v>#NAME?</v>
      </c>
      <c r="F4" s="20" t="e">
        <f ca="1"/>
        <v>#NAME?</v>
      </c>
      <c r="BR4" s="26" t="e">
        <f ca="1"/>
        <v>#NAME?</v>
      </c>
      <c r="BS4" s="26" t="e">
        <f ca="1"/>
        <v>#NAME?</v>
      </c>
      <c r="BT4" s="26" t="e">
        <f ca="1"/>
        <v>#NAME?</v>
      </c>
      <c r="BU4" s="26" t="e">
        <f ca="1"/>
        <v>#NAME?</v>
      </c>
      <c r="BV4" s="26" t="e">
        <f ca="1"/>
        <v>#NAME?</v>
      </c>
      <c r="BW4" s="26" t="e">
        <f ca="1"/>
        <v>#NAME?</v>
      </c>
      <c r="CB4" s="24" t="e">
        <f ca="1"/>
        <v>#NAME?</v>
      </c>
      <c r="CC4" s="20" t="e">
        <f ca="1"/>
        <v>#NAME?</v>
      </c>
      <c r="CD4" s="20" t="e">
        <f ca="1"/>
        <v>#NAME?</v>
      </c>
    </row>
    <row r="5" spans="1:82">
      <c r="B5" s="27" t="e">
        <f ca="1"/>
        <v>#NAME?</v>
      </c>
      <c r="C5" s="27" t="e">
        <f ca="1"/>
        <v>#NAME?</v>
      </c>
      <c r="D5" s="27" t="e">
        <f ca="1"/>
        <v>#NAME?</v>
      </c>
      <c r="E5" s="20" t="e">
        <f ca="1"/>
        <v>#NAME?</v>
      </c>
      <c r="F5" s="20" t="e">
        <f ca="1"/>
        <v>#NAME?</v>
      </c>
      <c r="BR5" s="26" t="e">
        <f ca="1"/>
        <v>#NAME?</v>
      </c>
      <c r="BS5" s="26" t="e">
        <f ca="1"/>
        <v>#NAME?</v>
      </c>
      <c r="BT5" s="26" t="e">
        <f ca="1"/>
        <v>#NAME?</v>
      </c>
      <c r="BU5" s="26" t="e">
        <f ca="1"/>
        <v>#NAME?</v>
      </c>
      <c r="BV5" s="26" t="e">
        <f ca="1"/>
        <v>#NAME?</v>
      </c>
      <c r="BW5" s="26" t="e">
        <f ca="1"/>
        <v>#NAME?</v>
      </c>
      <c r="CB5" s="24" t="e">
        <f ca="1"/>
        <v>#NAME?</v>
      </c>
      <c r="CC5" s="20" t="e">
        <f ca="1"/>
        <v>#NAME?</v>
      </c>
      <c r="CD5" s="20" t="e">
        <f ca="1"/>
        <v>#NAME?</v>
      </c>
    </row>
    <row r="6" spans="1:82">
      <c r="B6" s="27" t="e">
        <f ca="1"/>
        <v>#NAME?</v>
      </c>
      <c r="C6" s="27" t="e">
        <f ca="1"/>
        <v>#NAME?</v>
      </c>
      <c r="D6" s="27" t="e">
        <f ca="1"/>
        <v>#NAME?</v>
      </c>
      <c r="E6" s="20" t="e">
        <f ca="1"/>
        <v>#NAME?</v>
      </c>
      <c r="F6" s="20" t="e">
        <f ca="1"/>
        <v>#NAME?</v>
      </c>
      <c r="BR6" s="26" t="e">
        <f ca="1"/>
        <v>#NAME?</v>
      </c>
      <c r="BS6" s="26" t="e">
        <f ca="1"/>
        <v>#NAME?</v>
      </c>
      <c r="BT6" s="26" t="e">
        <f ca="1"/>
        <v>#NAME?</v>
      </c>
      <c r="BU6" s="26" t="e">
        <f ca="1"/>
        <v>#NAME?</v>
      </c>
      <c r="BV6" s="26" t="e">
        <f ca="1"/>
        <v>#NAME?</v>
      </c>
      <c r="BW6" s="26" t="e">
        <f ca="1"/>
        <v>#NAME?</v>
      </c>
      <c r="CB6" s="24" t="e">
        <f ca="1"/>
        <v>#NAME?</v>
      </c>
      <c r="CC6" s="20" t="e">
        <f ca="1"/>
        <v>#NAME?</v>
      </c>
      <c r="CD6" s="20" t="e">
        <f ca="1"/>
        <v>#NAME?</v>
      </c>
    </row>
    <row r="7" spans="1:82">
      <c r="B7" s="27" t="e">
        <f ca="1"/>
        <v>#NAME?</v>
      </c>
      <c r="C7" s="27" t="e">
        <f ca="1"/>
        <v>#NAME?</v>
      </c>
      <c r="D7" s="27" t="e">
        <f ca="1"/>
        <v>#NAME?</v>
      </c>
      <c r="E7" s="20" t="e">
        <f ca="1"/>
        <v>#NAME?</v>
      </c>
      <c r="F7" s="20" t="e">
        <f ca="1"/>
        <v>#NAME?</v>
      </c>
      <c r="BR7" s="26" t="e">
        <f ca="1"/>
        <v>#NAME?</v>
      </c>
      <c r="BS7" s="26" t="e">
        <f ca="1"/>
        <v>#NAME?</v>
      </c>
      <c r="BT7" s="26" t="e">
        <f ca="1"/>
        <v>#NAME?</v>
      </c>
      <c r="BU7" s="26" t="e">
        <f ca="1"/>
        <v>#NAME?</v>
      </c>
      <c r="BV7" s="26" t="e">
        <f ca="1"/>
        <v>#NAME?</v>
      </c>
      <c r="BW7" s="26" t="e">
        <f ca="1"/>
        <v>#NAME?</v>
      </c>
      <c r="CB7" s="24" t="e">
        <f ca="1"/>
        <v>#NAME?</v>
      </c>
      <c r="CC7" s="20" t="e">
        <f ca="1"/>
        <v>#NAME?</v>
      </c>
      <c r="CD7" s="20" t="e">
        <f ca="1"/>
        <v>#NAME?</v>
      </c>
    </row>
    <row r="8" spans="1:82">
      <c r="B8" s="27" t="e">
        <f ca="1"/>
        <v>#NAME?</v>
      </c>
      <c r="C8" s="27" t="e">
        <f ca="1"/>
        <v>#NAME?</v>
      </c>
      <c r="D8" s="27" t="e">
        <f ca="1"/>
        <v>#NAME?</v>
      </c>
      <c r="E8" s="20" t="e">
        <f ca="1"/>
        <v>#NAME?</v>
      </c>
      <c r="F8" s="20" t="e">
        <f ca="1"/>
        <v>#NAME?</v>
      </c>
      <c r="BR8" s="26" t="e">
        <f ca="1"/>
        <v>#NAME?</v>
      </c>
      <c r="BS8" s="26" t="e">
        <f ca="1"/>
        <v>#NAME?</v>
      </c>
      <c r="BT8" s="26" t="e">
        <f ca="1"/>
        <v>#NAME?</v>
      </c>
      <c r="BU8" s="26" t="e">
        <f ca="1"/>
        <v>#NAME?</v>
      </c>
      <c r="BV8" s="26" t="e">
        <f ca="1"/>
        <v>#NAME?</v>
      </c>
      <c r="BW8" s="26" t="e">
        <f ca="1"/>
        <v>#NAME?</v>
      </c>
      <c r="CB8" s="24" t="e">
        <f ca="1"/>
        <v>#NAME?</v>
      </c>
      <c r="CC8" s="20" t="e">
        <f ca="1"/>
        <v>#NAME?</v>
      </c>
      <c r="CD8" s="20" t="e">
        <f ca="1"/>
        <v>#NAME?</v>
      </c>
    </row>
    <row r="9" spans="1:82">
      <c r="B9" s="27" t="e">
        <f ca="1"/>
        <v>#NAME?</v>
      </c>
      <c r="C9" s="27" t="e">
        <f ca="1"/>
        <v>#NAME?</v>
      </c>
      <c r="D9" s="27" t="e">
        <f ca="1"/>
        <v>#NAME?</v>
      </c>
      <c r="E9" s="20" t="e">
        <f ca="1"/>
        <v>#NAME?</v>
      </c>
      <c r="F9" s="20" t="e">
        <f ca="1"/>
        <v>#NAME?</v>
      </c>
      <c r="BR9" s="26" t="e">
        <f ca="1"/>
        <v>#NAME?</v>
      </c>
      <c r="BS9" s="26" t="e">
        <f ca="1"/>
        <v>#NAME?</v>
      </c>
      <c r="BT9" s="26" t="e">
        <f ca="1"/>
        <v>#NAME?</v>
      </c>
      <c r="BU9" s="26" t="e">
        <f ca="1"/>
        <v>#NAME?</v>
      </c>
      <c r="BV9" s="26" t="e">
        <f ca="1"/>
        <v>#NAME?</v>
      </c>
      <c r="BW9" s="26" t="e">
        <f ca="1"/>
        <v>#NAME?</v>
      </c>
      <c r="CB9" s="24" t="e">
        <f ca="1"/>
        <v>#NAME?</v>
      </c>
      <c r="CC9" s="20" t="e">
        <f ca="1"/>
        <v>#NAME?</v>
      </c>
      <c r="CD9" s="20" t="e">
        <f ca="1"/>
        <v>#NAME?</v>
      </c>
    </row>
    <row r="10" spans="1:82">
      <c r="B10" s="27" t="e">
        <f ca="1"/>
        <v>#NAME?</v>
      </c>
      <c r="C10" s="27" t="e">
        <f ca="1"/>
        <v>#NAME?</v>
      </c>
      <c r="D10" s="27" t="e">
        <f ca="1"/>
        <v>#NAME?</v>
      </c>
      <c r="E10" s="20" t="e">
        <f ca="1"/>
        <v>#NAME?</v>
      </c>
      <c r="F10" s="20" t="e">
        <f ca="1"/>
        <v>#NAME?</v>
      </c>
      <c r="BR10" s="26" t="e">
        <f ca="1"/>
        <v>#NAME?</v>
      </c>
      <c r="BS10" s="26" t="e">
        <f ca="1"/>
        <v>#NAME?</v>
      </c>
      <c r="BT10" s="26" t="e">
        <f ca="1"/>
        <v>#NAME?</v>
      </c>
      <c r="BU10" s="26" t="e">
        <f ca="1"/>
        <v>#NAME?</v>
      </c>
      <c r="BV10" s="26" t="e">
        <f ca="1"/>
        <v>#NAME?</v>
      </c>
      <c r="BW10" s="26" t="e">
        <f ca="1"/>
        <v>#NAME?</v>
      </c>
      <c r="CB10" s="24" t="e">
        <f ca="1"/>
        <v>#NAME?</v>
      </c>
      <c r="CC10" s="20" t="e">
        <f ca="1"/>
        <v>#NAME?</v>
      </c>
      <c r="CD10" s="20" t="e">
        <f ca="1"/>
        <v>#NAME?</v>
      </c>
    </row>
    <row r="11" spans="1:82">
      <c r="B11" s="27" t="e">
        <f ca="1"/>
        <v>#NAME?</v>
      </c>
      <c r="C11" s="27" t="e">
        <f ca="1"/>
        <v>#NAME?</v>
      </c>
      <c r="D11" s="27" t="e">
        <f ca="1"/>
        <v>#NAME?</v>
      </c>
      <c r="E11" s="20" t="e">
        <f ca="1"/>
        <v>#NAME?</v>
      </c>
      <c r="F11" s="20" t="e">
        <f ca="1"/>
        <v>#NAME?</v>
      </c>
      <c r="BR11" s="26" t="e">
        <f ca="1"/>
        <v>#NAME?</v>
      </c>
      <c r="BS11" s="26" t="e">
        <f ca="1"/>
        <v>#NAME?</v>
      </c>
      <c r="BT11" s="26" t="e">
        <f ca="1"/>
        <v>#NAME?</v>
      </c>
      <c r="BU11" s="26" t="e">
        <f ca="1"/>
        <v>#NAME?</v>
      </c>
      <c r="BV11" s="26" t="e">
        <f ca="1"/>
        <v>#NAME?</v>
      </c>
      <c r="BW11" s="26" t="e">
        <f ca="1"/>
        <v>#NAME?</v>
      </c>
      <c r="CB11" s="24" t="e">
        <f ca="1"/>
        <v>#NAME?</v>
      </c>
      <c r="CC11" s="20" t="e">
        <f ca="1"/>
        <v>#NAME?</v>
      </c>
      <c r="CD11" s="20" t="e">
        <f ca="1"/>
        <v>#NAME?</v>
      </c>
    </row>
    <row r="12" spans="1:82">
      <c r="B12" s="27" t="e">
        <f ca="1"/>
        <v>#NAME?</v>
      </c>
      <c r="C12" s="27" t="e">
        <f ca="1"/>
        <v>#NAME?</v>
      </c>
      <c r="D12" s="27" t="e">
        <f ca="1"/>
        <v>#NAME?</v>
      </c>
      <c r="E12" s="20" t="e">
        <f ca="1"/>
        <v>#NAME?</v>
      </c>
      <c r="F12" s="20" t="e">
        <f ca="1"/>
        <v>#NAME?</v>
      </c>
      <c r="BR12" s="26" t="e">
        <f ca="1"/>
        <v>#NAME?</v>
      </c>
      <c r="BS12" s="26" t="e">
        <f ca="1"/>
        <v>#NAME?</v>
      </c>
      <c r="BT12" s="26" t="e">
        <f ca="1"/>
        <v>#NAME?</v>
      </c>
      <c r="BU12" s="26" t="e">
        <f ca="1"/>
        <v>#NAME?</v>
      </c>
      <c r="BV12" s="26" t="e">
        <f ca="1"/>
        <v>#NAME?</v>
      </c>
      <c r="BW12" s="26" t="e">
        <f ca="1"/>
        <v>#NAME?</v>
      </c>
      <c r="CB12" s="24" t="e">
        <f ca="1"/>
        <v>#NAME?</v>
      </c>
      <c r="CC12" s="20" t="e">
        <f ca="1"/>
        <v>#NAME?</v>
      </c>
      <c r="CD12" s="20" t="e">
        <f ca="1"/>
        <v>#NAME?</v>
      </c>
    </row>
    <row r="13" spans="1:82">
      <c r="B13" s="27" t="e">
        <f ca="1"/>
        <v>#NAME?</v>
      </c>
      <c r="C13" s="27" t="e">
        <f ca="1"/>
        <v>#NAME?</v>
      </c>
      <c r="D13" s="27" t="e">
        <f ca="1"/>
        <v>#NAME?</v>
      </c>
      <c r="E13" s="20" t="e">
        <f ca="1"/>
        <v>#NAME?</v>
      </c>
      <c r="F13" s="20" t="e">
        <f ca="1"/>
        <v>#NAME?</v>
      </c>
      <c r="BR13" s="26" t="e">
        <f ca="1"/>
        <v>#NAME?</v>
      </c>
      <c r="BS13" s="26" t="e">
        <f ca="1"/>
        <v>#NAME?</v>
      </c>
      <c r="BT13" s="26" t="e">
        <f ca="1"/>
        <v>#NAME?</v>
      </c>
      <c r="BU13" s="26" t="e">
        <f ca="1"/>
        <v>#NAME?</v>
      </c>
      <c r="BV13" s="26" t="e">
        <f ca="1"/>
        <v>#NAME?</v>
      </c>
      <c r="BW13" s="26" t="e">
        <f ca="1"/>
        <v>#NAME?</v>
      </c>
      <c r="CB13" s="24" t="e">
        <f ca="1"/>
        <v>#NAME?</v>
      </c>
      <c r="CC13" s="20" t="e">
        <f ca="1"/>
        <v>#NAME?</v>
      </c>
      <c r="CD13" s="20" t="e">
        <f ca="1"/>
        <v>#NAME?</v>
      </c>
    </row>
    <row r="14" spans="1:82">
      <c r="B14" s="27" t="e">
        <f ca="1"/>
        <v>#NAME?</v>
      </c>
      <c r="C14" s="27" t="e">
        <f ca="1"/>
        <v>#NAME?</v>
      </c>
      <c r="D14" s="27" t="e">
        <f ca="1"/>
        <v>#NAME?</v>
      </c>
      <c r="E14" s="20" t="e">
        <f ca="1"/>
        <v>#NAME?</v>
      </c>
      <c r="F14" s="20" t="e">
        <f ca="1"/>
        <v>#NAME?</v>
      </c>
      <c r="BR14" s="26" t="e">
        <f ca="1"/>
        <v>#NAME?</v>
      </c>
      <c r="BS14" s="26" t="e">
        <f ca="1"/>
        <v>#NAME?</v>
      </c>
      <c r="BT14" s="26" t="e">
        <f ca="1"/>
        <v>#NAME?</v>
      </c>
      <c r="BU14" s="26" t="e">
        <f ca="1"/>
        <v>#NAME?</v>
      </c>
      <c r="BV14" s="26" t="e">
        <f ca="1"/>
        <v>#NAME?</v>
      </c>
      <c r="BW14" s="26" t="e">
        <f ca="1"/>
        <v>#NAME?</v>
      </c>
      <c r="CB14" s="24" t="e">
        <f ca="1"/>
        <v>#NAME?</v>
      </c>
      <c r="CC14" s="20" t="e">
        <f ca="1"/>
        <v>#NAME?</v>
      </c>
      <c r="CD14" s="20" t="e">
        <f ca="1"/>
        <v>#NAME?</v>
      </c>
    </row>
    <row r="15" spans="1:82">
      <c r="B15" s="27" t="e">
        <f ca="1"/>
        <v>#NAME?</v>
      </c>
      <c r="C15" s="27" t="e">
        <f ca="1"/>
        <v>#NAME?</v>
      </c>
      <c r="D15" s="27" t="e">
        <f ca="1"/>
        <v>#NAME?</v>
      </c>
      <c r="E15" s="20" t="e">
        <f ca="1"/>
        <v>#NAME?</v>
      </c>
      <c r="F15" s="20" t="e">
        <f ca="1"/>
        <v>#NAME?</v>
      </c>
      <c r="BR15" s="26" t="e">
        <f ca="1"/>
        <v>#NAME?</v>
      </c>
      <c r="BS15" s="26" t="e">
        <f ca="1"/>
        <v>#NAME?</v>
      </c>
      <c r="BT15" s="26" t="e">
        <f ca="1"/>
        <v>#NAME?</v>
      </c>
      <c r="BU15" s="26" t="e">
        <f ca="1"/>
        <v>#NAME?</v>
      </c>
      <c r="BV15" s="26" t="e">
        <f ca="1"/>
        <v>#NAME?</v>
      </c>
      <c r="BW15" s="26" t="e">
        <f ca="1"/>
        <v>#NAME?</v>
      </c>
      <c r="CB15" s="24" t="e">
        <f ca="1"/>
        <v>#NAME?</v>
      </c>
      <c r="CC15" s="20" t="e">
        <f ca="1"/>
        <v>#NAME?</v>
      </c>
      <c r="CD15" s="20" t="e">
        <f ca="1"/>
        <v>#NAME?</v>
      </c>
    </row>
    <row r="16" spans="1:82">
      <c r="B16" s="27" t="e">
        <f ca="1"/>
        <v>#NAME?</v>
      </c>
      <c r="C16" s="27" t="e">
        <f ca="1"/>
        <v>#NAME?</v>
      </c>
      <c r="D16" s="27" t="e">
        <f ca="1"/>
        <v>#NAME?</v>
      </c>
      <c r="E16" s="20" t="e">
        <f ca="1"/>
        <v>#NAME?</v>
      </c>
      <c r="F16" s="20" t="e">
        <f ca="1"/>
        <v>#NAME?</v>
      </c>
      <c r="BR16" s="26" t="e">
        <f ca="1"/>
        <v>#NAME?</v>
      </c>
      <c r="BS16" s="26" t="e">
        <f ca="1"/>
        <v>#NAME?</v>
      </c>
      <c r="BT16" s="26" t="e">
        <f ca="1"/>
        <v>#NAME?</v>
      </c>
      <c r="BU16" s="26" t="e">
        <f ca="1"/>
        <v>#NAME?</v>
      </c>
      <c r="BV16" s="26" t="e">
        <f ca="1"/>
        <v>#NAME?</v>
      </c>
      <c r="BW16" s="26" t="e">
        <f ca="1"/>
        <v>#NAME?</v>
      </c>
      <c r="CB16" s="24" t="e">
        <f ca="1"/>
        <v>#NAME?</v>
      </c>
      <c r="CC16" s="20" t="e">
        <f ca="1"/>
        <v>#NAME?</v>
      </c>
      <c r="CD16" s="20" t="e">
        <f ca="1"/>
        <v>#NAME?</v>
      </c>
    </row>
    <row r="17" spans="2:82">
      <c r="B17" s="27" t="e">
        <f ca="1"/>
        <v>#NAME?</v>
      </c>
      <c r="C17" s="27" t="e">
        <f ca="1"/>
        <v>#NAME?</v>
      </c>
      <c r="D17" s="27" t="e">
        <f ca="1"/>
        <v>#NAME?</v>
      </c>
      <c r="E17" s="20" t="e">
        <f ca="1"/>
        <v>#NAME?</v>
      </c>
      <c r="F17" s="20" t="e">
        <f ca="1"/>
        <v>#NAME?</v>
      </c>
      <c r="BR17" s="26" t="e">
        <f ca="1"/>
        <v>#NAME?</v>
      </c>
      <c r="BS17" s="26" t="e">
        <f ca="1"/>
        <v>#NAME?</v>
      </c>
      <c r="BT17" s="26" t="e">
        <f ca="1"/>
        <v>#NAME?</v>
      </c>
      <c r="BU17" s="26" t="e">
        <f ca="1"/>
        <v>#NAME?</v>
      </c>
      <c r="BV17" s="26" t="e">
        <f ca="1"/>
        <v>#NAME?</v>
      </c>
      <c r="BW17" s="26" t="e">
        <f ca="1"/>
        <v>#NAME?</v>
      </c>
      <c r="CB17" s="24" t="e">
        <f ca="1"/>
        <v>#NAME?</v>
      </c>
      <c r="CC17" s="20" t="e">
        <f ca="1"/>
        <v>#NAME?</v>
      </c>
      <c r="CD17" s="20" t="e">
        <f ca="1"/>
        <v>#NAME?</v>
      </c>
    </row>
    <row r="18" spans="2:82">
      <c r="B18" s="27" t="e">
        <f ca="1"/>
        <v>#NAME?</v>
      </c>
      <c r="C18" s="27" t="e">
        <f ca="1"/>
        <v>#NAME?</v>
      </c>
      <c r="D18" s="27" t="e">
        <f ca="1"/>
        <v>#NAME?</v>
      </c>
      <c r="E18" s="20" t="e">
        <f ca="1"/>
        <v>#NAME?</v>
      </c>
      <c r="F18" s="20" t="e">
        <f ca="1"/>
        <v>#NAME?</v>
      </c>
      <c r="BR18" s="26" t="e">
        <f ca="1"/>
        <v>#NAME?</v>
      </c>
      <c r="BS18" s="26" t="e">
        <f ca="1"/>
        <v>#NAME?</v>
      </c>
      <c r="BT18" s="26" t="e">
        <f ca="1"/>
        <v>#NAME?</v>
      </c>
      <c r="BU18" s="26" t="e">
        <f ca="1"/>
        <v>#NAME?</v>
      </c>
      <c r="BV18" s="26" t="e">
        <f ca="1"/>
        <v>#NAME?</v>
      </c>
      <c r="BW18" s="26" t="e">
        <f ca="1"/>
        <v>#NAME?</v>
      </c>
      <c r="CB18" s="24" t="e">
        <f ca="1"/>
        <v>#NAME?</v>
      </c>
      <c r="CC18" s="20" t="e">
        <f ca="1"/>
        <v>#NAME?</v>
      </c>
      <c r="CD18" s="20" t="e">
        <f ca="1"/>
        <v>#NAME?</v>
      </c>
    </row>
    <row r="19" spans="2:82">
      <c r="B19" s="27" t="e">
        <f ca="1"/>
        <v>#NAME?</v>
      </c>
      <c r="C19" s="27" t="e">
        <f ca="1"/>
        <v>#NAME?</v>
      </c>
      <c r="D19" s="27" t="e">
        <f ca="1"/>
        <v>#NAME?</v>
      </c>
      <c r="E19" s="20" t="e">
        <f ca="1"/>
        <v>#NAME?</v>
      </c>
      <c r="F19" s="20" t="e">
        <f ca="1"/>
        <v>#NAME?</v>
      </c>
      <c r="BR19" s="26" t="e">
        <f ca="1"/>
        <v>#NAME?</v>
      </c>
      <c r="BS19" s="26" t="e">
        <f ca="1"/>
        <v>#NAME?</v>
      </c>
      <c r="BT19" s="26" t="e">
        <f ca="1"/>
        <v>#NAME?</v>
      </c>
      <c r="BU19" s="26" t="e">
        <f ca="1"/>
        <v>#NAME?</v>
      </c>
      <c r="BV19" s="26" t="e">
        <f ca="1"/>
        <v>#NAME?</v>
      </c>
      <c r="BW19" s="26" t="e">
        <f ca="1"/>
        <v>#NAME?</v>
      </c>
      <c r="CB19" s="24" t="e">
        <f ca="1"/>
        <v>#NAME?</v>
      </c>
      <c r="CC19" s="20" t="e">
        <f ca="1"/>
        <v>#NAME?</v>
      </c>
      <c r="CD19" s="20" t="e">
        <f ca="1"/>
        <v>#NAME?</v>
      </c>
    </row>
    <row r="20" spans="2:82">
      <c r="B20" s="27" t="e">
        <f ca="1"/>
        <v>#NAME?</v>
      </c>
      <c r="C20" s="27" t="e">
        <f ca="1"/>
        <v>#NAME?</v>
      </c>
      <c r="D20" s="27" t="e">
        <f ca="1"/>
        <v>#NAME?</v>
      </c>
      <c r="E20" s="20" t="e">
        <f ca="1"/>
        <v>#NAME?</v>
      </c>
      <c r="F20" s="20" t="e">
        <f ca="1"/>
        <v>#NAME?</v>
      </c>
      <c r="BR20" s="26" t="e">
        <f ca="1"/>
        <v>#NAME?</v>
      </c>
      <c r="BS20" s="26" t="e">
        <f ca="1"/>
        <v>#NAME?</v>
      </c>
      <c r="BT20" s="26" t="e">
        <f ca="1"/>
        <v>#NAME?</v>
      </c>
      <c r="BU20" s="26" t="e">
        <f ca="1"/>
        <v>#NAME?</v>
      </c>
      <c r="BV20" s="26" t="e">
        <f ca="1"/>
        <v>#NAME?</v>
      </c>
      <c r="BW20" s="26" t="e">
        <f ca="1"/>
        <v>#NAME?</v>
      </c>
      <c r="CB20" s="24" t="e">
        <f ca="1"/>
        <v>#NAME?</v>
      </c>
      <c r="CC20" s="20" t="e">
        <f ca="1"/>
        <v>#NAME?</v>
      </c>
      <c r="CD20" s="20" t="e">
        <f ca="1"/>
        <v>#NAME?</v>
      </c>
    </row>
    <row r="21" spans="2:82">
      <c r="B21" s="27" t="e">
        <f ca="1"/>
        <v>#NAME?</v>
      </c>
      <c r="C21" s="27" t="e">
        <f ca="1"/>
        <v>#NAME?</v>
      </c>
      <c r="D21" s="27" t="e">
        <f ca="1"/>
        <v>#NAME?</v>
      </c>
      <c r="E21" s="20" t="e">
        <f ca="1"/>
        <v>#NAME?</v>
      </c>
      <c r="F21" s="20" t="e">
        <f ca="1"/>
        <v>#NAME?</v>
      </c>
      <c r="BR21" s="26" t="e">
        <f ca="1"/>
        <v>#NAME?</v>
      </c>
      <c r="BS21" s="26" t="e">
        <f ca="1"/>
        <v>#NAME?</v>
      </c>
      <c r="BT21" s="26" t="e">
        <f ca="1"/>
        <v>#NAME?</v>
      </c>
      <c r="BU21" s="26" t="e">
        <f ca="1"/>
        <v>#NAME?</v>
      </c>
      <c r="BV21" s="26" t="e">
        <f ca="1"/>
        <v>#NAME?</v>
      </c>
      <c r="BW21" s="26" t="e">
        <f ca="1"/>
        <v>#NAME?</v>
      </c>
      <c r="CB21" s="24" t="e">
        <f ca="1"/>
        <v>#NAME?</v>
      </c>
      <c r="CC21" s="20" t="e">
        <f ca="1"/>
        <v>#NAME?</v>
      </c>
      <c r="CD21" s="20" t="e">
        <f ca="1"/>
        <v>#NAME?</v>
      </c>
    </row>
    <row r="22" spans="2:82">
      <c r="B22" s="27" t="e">
        <f ca="1"/>
        <v>#NAME?</v>
      </c>
      <c r="C22" s="27" t="e">
        <f ca="1"/>
        <v>#NAME?</v>
      </c>
      <c r="D22" s="27" t="e">
        <f ca="1"/>
        <v>#NAME?</v>
      </c>
      <c r="E22" s="20" t="e">
        <f ca="1"/>
        <v>#NAME?</v>
      </c>
      <c r="F22" s="20" t="e">
        <f ca="1"/>
        <v>#NAME?</v>
      </c>
      <c r="BR22" s="26" t="e">
        <f ca="1"/>
        <v>#NAME?</v>
      </c>
      <c r="BS22" s="26" t="e">
        <f ca="1"/>
        <v>#NAME?</v>
      </c>
      <c r="BT22" s="26" t="e">
        <f ca="1"/>
        <v>#NAME?</v>
      </c>
      <c r="BU22" s="26" t="e">
        <f ca="1"/>
        <v>#NAME?</v>
      </c>
      <c r="BV22" s="26" t="e">
        <f ca="1"/>
        <v>#NAME?</v>
      </c>
      <c r="BW22" s="26" t="e">
        <f ca="1"/>
        <v>#NAME?</v>
      </c>
      <c r="CB22" s="24" t="e">
        <f ca="1"/>
        <v>#NAME?</v>
      </c>
      <c r="CC22" s="20" t="e">
        <f ca="1"/>
        <v>#NAME?</v>
      </c>
      <c r="CD22" s="20" t="e">
        <f ca="1"/>
        <v>#NAME?</v>
      </c>
    </row>
    <row r="23" spans="2:82">
      <c r="B23" s="27" t="e">
        <f ca="1"/>
        <v>#NAME?</v>
      </c>
      <c r="C23" s="27" t="e">
        <f ca="1"/>
        <v>#NAME?</v>
      </c>
      <c r="D23" s="27" t="e">
        <f ca="1"/>
        <v>#NAME?</v>
      </c>
      <c r="E23" s="20" t="e">
        <f ca="1"/>
        <v>#NAME?</v>
      </c>
      <c r="F23" s="20" t="e">
        <f ca="1"/>
        <v>#NAME?</v>
      </c>
      <c r="BR23" s="26" t="e">
        <f ca="1"/>
        <v>#NAME?</v>
      </c>
      <c r="BS23" s="26" t="e">
        <f ca="1"/>
        <v>#NAME?</v>
      </c>
      <c r="BT23" s="26" t="e">
        <f ca="1"/>
        <v>#NAME?</v>
      </c>
      <c r="BU23" s="26" t="e">
        <f ca="1"/>
        <v>#NAME?</v>
      </c>
      <c r="BV23" s="26" t="e">
        <f ca="1"/>
        <v>#NAME?</v>
      </c>
      <c r="BW23" s="26" t="e">
        <f ca="1"/>
        <v>#NAME?</v>
      </c>
      <c r="CB23" s="24" t="e">
        <f ca="1"/>
        <v>#NAME?</v>
      </c>
      <c r="CC23" s="20" t="e">
        <f ca="1"/>
        <v>#NAME?</v>
      </c>
      <c r="CD23" s="20" t="e">
        <f ca="1"/>
        <v>#NAME?</v>
      </c>
    </row>
    <row r="24" spans="2:82">
      <c r="B24" s="27" t="e">
        <f ca="1"/>
        <v>#NAME?</v>
      </c>
      <c r="C24" s="27" t="e">
        <f ca="1"/>
        <v>#NAME?</v>
      </c>
      <c r="D24" s="27" t="e">
        <f ca="1"/>
        <v>#NAME?</v>
      </c>
      <c r="E24" s="20" t="e">
        <f ca="1"/>
        <v>#NAME?</v>
      </c>
      <c r="F24" s="20" t="e">
        <f ca="1"/>
        <v>#NAME?</v>
      </c>
      <c r="BR24" s="26" t="e">
        <f ca="1"/>
        <v>#NAME?</v>
      </c>
      <c r="BS24" s="26" t="e">
        <f ca="1"/>
        <v>#NAME?</v>
      </c>
      <c r="BT24" s="26" t="e">
        <f ca="1"/>
        <v>#NAME?</v>
      </c>
      <c r="BU24" s="26" t="e">
        <f ca="1"/>
        <v>#NAME?</v>
      </c>
      <c r="BV24" s="26" t="e">
        <f ca="1"/>
        <v>#NAME?</v>
      </c>
      <c r="BW24" s="26" t="e">
        <f ca="1"/>
        <v>#NAME?</v>
      </c>
      <c r="CB24" s="24" t="e">
        <f ca="1"/>
        <v>#NAME?</v>
      </c>
      <c r="CC24" s="20" t="e">
        <f ca="1"/>
        <v>#NAME?</v>
      </c>
      <c r="CD24" s="20" t="e">
        <f ca="1"/>
        <v>#NAME?</v>
      </c>
    </row>
    <row r="25" spans="2:82">
      <c r="B25" s="27" t="e">
        <f ca="1"/>
        <v>#NAME?</v>
      </c>
      <c r="C25" s="27" t="e">
        <f ca="1"/>
        <v>#NAME?</v>
      </c>
      <c r="D25" s="27" t="e">
        <f ca="1"/>
        <v>#NAME?</v>
      </c>
      <c r="E25" s="20" t="e">
        <f ca="1"/>
        <v>#NAME?</v>
      </c>
      <c r="F25" s="20" t="e">
        <f ca="1"/>
        <v>#NAME?</v>
      </c>
      <c r="BR25" s="26" t="e">
        <f ca="1"/>
        <v>#NAME?</v>
      </c>
      <c r="BS25" s="26" t="e">
        <f ca="1"/>
        <v>#NAME?</v>
      </c>
      <c r="BT25" s="26" t="e">
        <f ca="1"/>
        <v>#NAME?</v>
      </c>
      <c r="BU25" s="26" t="e">
        <f ca="1"/>
        <v>#NAME?</v>
      </c>
      <c r="BV25" s="26" t="e">
        <f ca="1"/>
        <v>#NAME?</v>
      </c>
      <c r="BW25" s="26" t="e">
        <f ca="1"/>
        <v>#NAME?</v>
      </c>
      <c r="CB25" s="24" t="e">
        <f ca="1"/>
        <v>#NAME?</v>
      </c>
      <c r="CC25" s="20" t="e">
        <f ca="1"/>
        <v>#NAME?</v>
      </c>
      <c r="CD25" s="20" t="e">
        <f ca="1"/>
        <v>#NAME?</v>
      </c>
    </row>
    <row r="26" spans="2:82">
      <c r="B26" s="27" t="e">
        <f ca="1"/>
        <v>#NAME?</v>
      </c>
      <c r="C26" s="27" t="e">
        <f ca="1"/>
        <v>#NAME?</v>
      </c>
      <c r="D26" s="27" t="e">
        <f ca="1"/>
        <v>#NAME?</v>
      </c>
      <c r="E26" s="20" t="e">
        <f ca="1"/>
        <v>#NAME?</v>
      </c>
      <c r="F26" s="20" t="e">
        <f ca="1"/>
        <v>#NAME?</v>
      </c>
      <c r="BR26" s="26" t="e">
        <f ca="1"/>
        <v>#NAME?</v>
      </c>
      <c r="BS26" s="26" t="e">
        <f ca="1"/>
        <v>#NAME?</v>
      </c>
      <c r="BT26" s="26" t="e">
        <f ca="1"/>
        <v>#NAME?</v>
      </c>
      <c r="BU26" s="26" t="e">
        <f ca="1"/>
        <v>#NAME?</v>
      </c>
      <c r="BV26" s="26" t="e">
        <f ca="1"/>
        <v>#NAME?</v>
      </c>
      <c r="BW26" s="26" t="e">
        <f ca="1"/>
        <v>#NAME?</v>
      </c>
      <c r="CB26" s="24" t="e">
        <f ca="1"/>
        <v>#NAME?</v>
      </c>
      <c r="CC26" s="20" t="e">
        <f ca="1"/>
        <v>#NAME?</v>
      </c>
      <c r="CD26" s="20" t="e">
        <f ca="1"/>
        <v>#NAME?</v>
      </c>
    </row>
    <row r="27" spans="2:82">
      <c r="B27" s="27" t="e">
        <f ca="1"/>
        <v>#NAME?</v>
      </c>
      <c r="C27" s="27" t="e">
        <f ca="1"/>
        <v>#NAME?</v>
      </c>
      <c r="D27" s="27" t="e">
        <f ca="1"/>
        <v>#NAME?</v>
      </c>
      <c r="E27" s="20" t="e">
        <f ca="1"/>
        <v>#NAME?</v>
      </c>
      <c r="F27" s="20" t="e">
        <f ca="1"/>
        <v>#NAME?</v>
      </c>
      <c r="BR27" s="26" t="e">
        <f ca="1"/>
        <v>#NAME?</v>
      </c>
      <c r="BS27" s="26" t="e">
        <f ca="1"/>
        <v>#NAME?</v>
      </c>
      <c r="BT27" s="26" t="e">
        <f ca="1"/>
        <v>#NAME?</v>
      </c>
      <c r="BU27" s="26" t="e">
        <f ca="1"/>
        <v>#NAME?</v>
      </c>
      <c r="BV27" s="26" t="e">
        <f ca="1"/>
        <v>#NAME?</v>
      </c>
      <c r="BW27" s="26" t="e">
        <f ca="1"/>
        <v>#NAME?</v>
      </c>
      <c r="CB27" s="24" t="e">
        <f ca="1"/>
        <v>#NAME?</v>
      </c>
      <c r="CC27" s="20" t="e">
        <f ca="1"/>
        <v>#NAME?</v>
      </c>
      <c r="CD27" s="20" t="e">
        <f ca="1"/>
        <v>#NAME?</v>
      </c>
    </row>
    <row r="28" spans="2:82">
      <c r="B28" s="27" t="e">
        <f ca="1"/>
        <v>#NAME?</v>
      </c>
      <c r="C28" s="27" t="e">
        <f ca="1"/>
        <v>#NAME?</v>
      </c>
      <c r="D28" s="27" t="e">
        <f ca="1"/>
        <v>#NAME?</v>
      </c>
      <c r="E28" s="20" t="e">
        <f ca="1"/>
        <v>#NAME?</v>
      </c>
      <c r="F28" s="20" t="e">
        <f ca="1"/>
        <v>#NAME?</v>
      </c>
      <c r="BR28" s="26" t="e">
        <f ca="1"/>
        <v>#NAME?</v>
      </c>
      <c r="BS28" s="26" t="e">
        <f ca="1"/>
        <v>#NAME?</v>
      </c>
      <c r="BT28" s="26" t="e">
        <f ca="1"/>
        <v>#NAME?</v>
      </c>
      <c r="BU28" s="26" t="e">
        <f ca="1"/>
        <v>#NAME?</v>
      </c>
      <c r="BV28" s="26" t="e">
        <f ca="1"/>
        <v>#NAME?</v>
      </c>
      <c r="BW28" s="26" t="e">
        <f ca="1"/>
        <v>#NAME?</v>
      </c>
      <c r="CB28" s="24" t="e">
        <f ca="1"/>
        <v>#NAME?</v>
      </c>
      <c r="CC28" s="20" t="e">
        <f ca="1"/>
        <v>#NAME?</v>
      </c>
      <c r="CD28" s="20" t="e">
        <f ca="1"/>
        <v>#NAME?</v>
      </c>
    </row>
    <row r="29" spans="2:82">
      <c r="B29" s="27" t="e">
        <f ca="1"/>
        <v>#NAME?</v>
      </c>
      <c r="C29" s="27" t="e">
        <f ca="1"/>
        <v>#NAME?</v>
      </c>
      <c r="D29" s="27" t="e">
        <f ca="1"/>
        <v>#NAME?</v>
      </c>
      <c r="E29" s="20" t="e">
        <f ca="1"/>
        <v>#NAME?</v>
      </c>
      <c r="F29" s="20" t="e">
        <f ca="1"/>
        <v>#NAME?</v>
      </c>
      <c r="BR29" s="26" t="e">
        <f ca="1"/>
        <v>#NAME?</v>
      </c>
      <c r="BS29" s="26" t="e">
        <f ca="1"/>
        <v>#NAME?</v>
      </c>
      <c r="BT29" s="26" t="e">
        <f ca="1"/>
        <v>#NAME?</v>
      </c>
      <c r="BU29" s="26" t="e">
        <f ca="1"/>
        <v>#NAME?</v>
      </c>
      <c r="BV29" s="26" t="e">
        <f ca="1"/>
        <v>#NAME?</v>
      </c>
      <c r="BW29" s="26" t="e">
        <f ca="1"/>
        <v>#NAME?</v>
      </c>
      <c r="CB29" s="24" t="e">
        <f ca="1"/>
        <v>#NAME?</v>
      </c>
      <c r="CC29" s="20" t="e">
        <f ca="1"/>
        <v>#NAME?</v>
      </c>
      <c r="CD29" s="20" t="e">
        <f ca="1"/>
        <v>#NAME?</v>
      </c>
    </row>
    <row r="30" spans="2:82">
      <c r="B30" s="27" t="e">
        <f ca="1"/>
        <v>#NAME?</v>
      </c>
      <c r="C30" s="27" t="e">
        <f ca="1"/>
        <v>#NAME?</v>
      </c>
      <c r="D30" s="27" t="e">
        <f ca="1"/>
        <v>#NAME?</v>
      </c>
      <c r="E30" s="20" t="e">
        <f ca="1"/>
        <v>#NAME?</v>
      </c>
      <c r="F30" s="20" t="e">
        <f ca="1"/>
        <v>#NAME?</v>
      </c>
      <c r="BR30" s="26" t="e">
        <f ca="1"/>
        <v>#NAME?</v>
      </c>
      <c r="BS30" s="26" t="e">
        <f ca="1"/>
        <v>#NAME?</v>
      </c>
      <c r="BT30" s="26" t="e">
        <f ca="1"/>
        <v>#NAME?</v>
      </c>
      <c r="BU30" s="26" t="e">
        <f ca="1"/>
        <v>#NAME?</v>
      </c>
      <c r="BV30" s="26" t="e">
        <f ca="1"/>
        <v>#NAME?</v>
      </c>
      <c r="BW30" s="26" t="e">
        <f ca="1"/>
        <v>#NAME?</v>
      </c>
      <c r="CB30" s="24" t="e">
        <f ca="1"/>
        <v>#NAME?</v>
      </c>
      <c r="CC30" s="20" t="e">
        <f ca="1"/>
        <v>#NAME?</v>
      </c>
      <c r="CD30" s="20" t="e">
        <f ca="1"/>
        <v>#NAME?</v>
      </c>
    </row>
    <row r="31" spans="2:82">
      <c r="B31" s="27" t="e">
        <f ca="1"/>
        <v>#NAME?</v>
      </c>
      <c r="C31" s="27" t="e">
        <f ca="1"/>
        <v>#NAME?</v>
      </c>
      <c r="D31" s="27" t="e">
        <f ca="1"/>
        <v>#NAME?</v>
      </c>
      <c r="E31" s="20" t="e">
        <f ca="1"/>
        <v>#NAME?</v>
      </c>
      <c r="F31" s="20" t="e">
        <f ca="1"/>
        <v>#NAME?</v>
      </c>
      <c r="BR31" s="26" t="e">
        <f ca="1"/>
        <v>#NAME?</v>
      </c>
      <c r="BS31" s="26" t="e">
        <f ca="1"/>
        <v>#NAME?</v>
      </c>
      <c r="BT31" s="26" t="e">
        <f ca="1"/>
        <v>#NAME?</v>
      </c>
      <c r="BU31" s="26" t="e">
        <f ca="1"/>
        <v>#NAME?</v>
      </c>
      <c r="BV31" s="26" t="e">
        <f ca="1"/>
        <v>#NAME?</v>
      </c>
      <c r="BW31" s="26" t="e">
        <f ca="1"/>
        <v>#NAME?</v>
      </c>
      <c r="CB31" s="24" t="e">
        <f ca="1"/>
        <v>#NAME?</v>
      </c>
      <c r="CC31" s="20" t="e">
        <f ca="1"/>
        <v>#NAME?</v>
      </c>
      <c r="CD31" s="20" t="e">
        <f ca="1"/>
        <v>#NAME?</v>
      </c>
    </row>
    <row r="32" spans="2:82">
      <c r="B32" s="27" t="e">
        <f ca="1"/>
        <v>#NAME?</v>
      </c>
      <c r="C32" s="27" t="e">
        <f ca="1"/>
        <v>#NAME?</v>
      </c>
      <c r="D32" s="27" t="e">
        <f ca="1"/>
        <v>#NAME?</v>
      </c>
      <c r="E32" s="20" t="e">
        <f ca="1"/>
        <v>#NAME?</v>
      </c>
      <c r="F32" s="20" t="e">
        <f ca="1"/>
        <v>#NAME?</v>
      </c>
      <c r="BR32" s="26" t="e">
        <f ca="1"/>
        <v>#NAME?</v>
      </c>
      <c r="BS32" s="26" t="e">
        <f ca="1"/>
        <v>#NAME?</v>
      </c>
      <c r="BT32" s="26" t="e">
        <f ca="1"/>
        <v>#NAME?</v>
      </c>
      <c r="BU32" s="26" t="e">
        <f ca="1"/>
        <v>#NAME?</v>
      </c>
      <c r="BV32" s="26" t="e">
        <f ca="1"/>
        <v>#NAME?</v>
      </c>
      <c r="BW32" s="26" t="e">
        <f ca="1"/>
        <v>#NAME?</v>
      </c>
      <c r="CB32" s="24" t="e">
        <f ca="1"/>
        <v>#NAME?</v>
      </c>
      <c r="CC32" s="20" t="e">
        <f ca="1"/>
        <v>#NAME?</v>
      </c>
      <c r="CD32" s="20" t="e">
        <f ca="1"/>
        <v>#NAME?</v>
      </c>
    </row>
    <row r="33" spans="2:82">
      <c r="B33" s="27" t="e">
        <f ca="1"/>
        <v>#NAME?</v>
      </c>
      <c r="C33" s="27" t="e">
        <f ca="1"/>
        <v>#NAME?</v>
      </c>
      <c r="D33" s="27" t="e">
        <f ca="1"/>
        <v>#NAME?</v>
      </c>
      <c r="E33" s="20" t="e">
        <f ca="1"/>
        <v>#NAME?</v>
      </c>
      <c r="F33" s="20" t="e">
        <f ca="1"/>
        <v>#NAME?</v>
      </c>
      <c r="BR33" s="26" t="e">
        <f ca="1"/>
        <v>#NAME?</v>
      </c>
      <c r="BS33" s="26" t="e">
        <f ca="1"/>
        <v>#NAME?</v>
      </c>
      <c r="BT33" s="26" t="e">
        <f ca="1"/>
        <v>#NAME?</v>
      </c>
      <c r="BU33" s="26" t="e">
        <f ca="1"/>
        <v>#NAME?</v>
      </c>
      <c r="BV33" s="26" t="e">
        <f ca="1"/>
        <v>#NAME?</v>
      </c>
      <c r="BW33" s="26" t="e">
        <f ca="1"/>
        <v>#NAME?</v>
      </c>
      <c r="CB33" s="24" t="e">
        <f ca="1"/>
        <v>#NAME?</v>
      </c>
      <c r="CC33" s="20" t="e">
        <f ca="1"/>
        <v>#NAME?</v>
      </c>
      <c r="CD33" s="20" t="e">
        <f ca="1"/>
        <v>#NAME?</v>
      </c>
    </row>
    <row r="34" spans="2:82">
      <c r="B34" s="27" t="e">
        <f ca="1"/>
        <v>#NAME?</v>
      </c>
      <c r="C34" s="27" t="e">
        <f ca="1"/>
        <v>#NAME?</v>
      </c>
      <c r="D34" s="27" t="e">
        <f ca="1"/>
        <v>#NAME?</v>
      </c>
      <c r="E34" s="20" t="e">
        <f ca="1"/>
        <v>#NAME?</v>
      </c>
      <c r="F34" s="20" t="e">
        <f ca="1"/>
        <v>#NAME?</v>
      </c>
      <c r="BR34" s="26" t="e">
        <f ca="1"/>
        <v>#NAME?</v>
      </c>
      <c r="BS34" s="26" t="e">
        <f ca="1"/>
        <v>#NAME?</v>
      </c>
      <c r="BT34" s="26" t="e">
        <f ca="1"/>
        <v>#NAME?</v>
      </c>
      <c r="BU34" s="26" t="e">
        <f ca="1"/>
        <v>#NAME?</v>
      </c>
      <c r="BV34" s="26" t="e">
        <f ca="1"/>
        <v>#NAME?</v>
      </c>
      <c r="BW34" s="26" t="e">
        <f ca="1"/>
        <v>#NAME?</v>
      </c>
      <c r="CB34" s="24" t="e">
        <f ca="1"/>
        <v>#NAME?</v>
      </c>
      <c r="CC34" s="20" t="e">
        <f ca="1"/>
        <v>#NAME?</v>
      </c>
      <c r="CD34" s="20" t="e">
        <f ca="1"/>
        <v>#NAME?</v>
      </c>
    </row>
    <row r="35" spans="2:82">
      <c r="B35" s="27" t="e">
        <f ca="1"/>
        <v>#NAME?</v>
      </c>
      <c r="C35" s="27" t="e">
        <f ca="1"/>
        <v>#NAME?</v>
      </c>
      <c r="D35" s="27" t="e">
        <f ca="1"/>
        <v>#NAME?</v>
      </c>
      <c r="E35" s="20" t="e">
        <f ca="1"/>
        <v>#NAME?</v>
      </c>
      <c r="F35" s="20" t="e">
        <f ca="1"/>
        <v>#NAME?</v>
      </c>
      <c r="BR35" s="26" t="e">
        <f ca="1"/>
        <v>#NAME?</v>
      </c>
      <c r="BS35" s="26" t="e">
        <f ca="1"/>
        <v>#NAME?</v>
      </c>
      <c r="BT35" s="26" t="e">
        <f ca="1"/>
        <v>#NAME?</v>
      </c>
      <c r="BU35" s="26" t="e">
        <f ca="1"/>
        <v>#NAME?</v>
      </c>
      <c r="BV35" s="26" t="e">
        <f ca="1"/>
        <v>#NAME?</v>
      </c>
      <c r="BW35" s="26" t="e">
        <f ca="1"/>
        <v>#NAME?</v>
      </c>
      <c r="CB35" s="24" t="e">
        <f ca="1"/>
        <v>#NAME?</v>
      </c>
      <c r="CC35" s="20" t="e">
        <f ca="1"/>
        <v>#NAME?</v>
      </c>
      <c r="CD35" s="20" t="e">
        <f ca="1"/>
        <v>#NAME?</v>
      </c>
    </row>
    <row r="36" spans="2:82">
      <c r="B36" s="27" t="e">
        <f ca="1"/>
        <v>#NAME?</v>
      </c>
      <c r="C36" s="27" t="e">
        <f ca="1"/>
        <v>#NAME?</v>
      </c>
      <c r="D36" s="27" t="e">
        <f ca="1"/>
        <v>#NAME?</v>
      </c>
      <c r="E36" s="20" t="e">
        <f ca="1"/>
        <v>#NAME?</v>
      </c>
      <c r="F36" s="20" t="e">
        <f ca="1"/>
        <v>#NAME?</v>
      </c>
      <c r="BR36" s="26" t="e">
        <f ca="1"/>
        <v>#NAME?</v>
      </c>
      <c r="BS36" s="26" t="e">
        <f ca="1"/>
        <v>#NAME?</v>
      </c>
      <c r="BT36" s="26" t="e">
        <f ca="1"/>
        <v>#NAME?</v>
      </c>
      <c r="BU36" s="26" t="e">
        <f ca="1"/>
        <v>#NAME?</v>
      </c>
      <c r="BV36" s="26" t="e">
        <f ca="1"/>
        <v>#NAME?</v>
      </c>
      <c r="BW36" s="26" t="e">
        <f ca="1"/>
        <v>#NAME?</v>
      </c>
      <c r="CB36" s="24" t="e">
        <f ca="1"/>
        <v>#NAME?</v>
      </c>
      <c r="CC36" s="20" t="e">
        <f ca="1"/>
        <v>#NAME?</v>
      </c>
      <c r="CD36" s="20" t="e">
        <f ca="1"/>
        <v>#NAME?</v>
      </c>
    </row>
    <row r="37" spans="2:82">
      <c r="B37" s="27" t="e">
        <f ca="1"/>
        <v>#NAME?</v>
      </c>
      <c r="C37" s="27" t="e">
        <f ca="1"/>
        <v>#NAME?</v>
      </c>
      <c r="D37" s="27" t="e">
        <f ca="1"/>
        <v>#NAME?</v>
      </c>
      <c r="E37" s="20" t="e">
        <f ca="1"/>
        <v>#NAME?</v>
      </c>
      <c r="F37" s="20" t="e">
        <f ca="1"/>
        <v>#NAME?</v>
      </c>
      <c r="BR37" s="26" t="e">
        <f ca="1"/>
        <v>#NAME?</v>
      </c>
      <c r="BS37" s="26" t="e">
        <f ca="1"/>
        <v>#NAME?</v>
      </c>
      <c r="BT37" s="26" t="e">
        <f ca="1"/>
        <v>#NAME?</v>
      </c>
      <c r="BU37" s="26" t="e">
        <f ca="1"/>
        <v>#NAME?</v>
      </c>
      <c r="BV37" s="26" t="e">
        <f ca="1"/>
        <v>#NAME?</v>
      </c>
      <c r="BW37" s="26" t="e">
        <f ca="1"/>
        <v>#NAME?</v>
      </c>
      <c r="CB37" s="24" t="e">
        <f ca="1"/>
        <v>#NAME?</v>
      </c>
      <c r="CC37" s="20" t="e">
        <f ca="1"/>
        <v>#NAME?</v>
      </c>
      <c r="CD37" s="20" t="e">
        <f ca="1"/>
        <v>#NAME?</v>
      </c>
    </row>
    <row r="38" spans="2:82">
      <c r="B38" s="27" t="e">
        <f ca="1"/>
        <v>#NAME?</v>
      </c>
      <c r="C38" s="27" t="e">
        <f ca="1"/>
        <v>#NAME?</v>
      </c>
      <c r="D38" s="27" t="e">
        <f ca="1"/>
        <v>#NAME?</v>
      </c>
      <c r="E38" s="20" t="e">
        <f ca="1"/>
        <v>#NAME?</v>
      </c>
      <c r="F38" s="20" t="e">
        <f ca="1"/>
        <v>#NAME?</v>
      </c>
      <c r="BR38" s="26" t="e">
        <f ca="1"/>
        <v>#NAME?</v>
      </c>
      <c r="BS38" s="26" t="e">
        <f ca="1"/>
        <v>#NAME?</v>
      </c>
      <c r="BT38" s="26" t="e">
        <f ca="1"/>
        <v>#NAME?</v>
      </c>
      <c r="BU38" s="26" t="e">
        <f ca="1"/>
        <v>#NAME?</v>
      </c>
      <c r="BV38" s="26" t="e">
        <f ca="1"/>
        <v>#NAME?</v>
      </c>
      <c r="BW38" s="26" t="e">
        <f ca="1"/>
        <v>#NAME?</v>
      </c>
      <c r="CB38" s="24" t="e">
        <f ca="1"/>
        <v>#NAME?</v>
      </c>
      <c r="CC38" s="20" t="e">
        <f ca="1"/>
        <v>#NAME?</v>
      </c>
      <c r="CD38" s="20" t="e">
        <f ca="1"/>
        <v>#NAME?</v>
      </c>
    </row>
    <row r="39" spans="2:82">
      <c r="B39" s="27" t="e">
        <f ca="1"/>
        <v>#NAME?</v>
      </c>
      <c r="C39" s="27" t="e">
        <f ca="1"/>
        <v>#NAME?</v>
      </c>
      <c r="D39" s="27" t="e">
        <f ca="1"/>
        <v>#NAME?</v>
      </c>
      <c r="E39" s="20" t="e">
        <f ca="1"/>
        <v>#NAME?</v>
      </c>
      <c r="F39" s="20" t="e">
        <f ca="1"/>
        <v>#NAME?</v>
      </c>
      <c r="BR39" s="26" t="e">
        <f ca="1"/>
        <v>#NAME?</v>
      </c>
      <c r="BS39" s="26" t="e">
        <f ca="1"/>
        <v>#NAME?</v>
      </c>
      <c r="BT39" s="26" t="e">
        <f ca="1"/>
        <v>#NAME?</v>
      </c>
      <c r="BU39" s="26" t="e">
        <f ca="1"/>
        <v>#NAME?</v>
      </c>
      <c r="BV39" s="26" t="e">
        <f ca="1"/>
        <v>#NAME?</v>
      </c>
      <c r="BW39" s="26" t="e">
        <f ca="1"/>
        <v>#NAME?</v>
      </c>
      <c r="CB39" s="24" t="e">
        <f ca="1"/>
        <v>#NAME?</v>
      </c>
      <c r="CC39" s="20" t="e">
        <f ca="1"/>
        <v>#NAME?</v>
      </c>
      <c r="CD39" s="20" t="e">
        <f ca="1"/>
        <v>#NAME?</v>
      </c>
    </row>
    <row r="40" spans="2:82">
      <c r="B40" s="27" t="e">
        <f ca="1"/>
        <v>#NAME?</v>
      </c>
      <c r="C40" s="27" t="e">
        <f ca="1"/>
        <v>#NAME?</v>
      </c>
      <c r="D40" s="27" t="e">
        <f ca="1"/>
        <v>#NAME?</v>
      </c>
      <c r="E40" s="20" t="e">
        <f ca="1"/>
        <v>#NAME?</v>
      </c>
      <c r="F40" s="20" t="e">
        <f ca="1"/>
        <v>#NAME?</v>
      </c>
      <c r="BR40" s="26" t="e">
        <f ca="1"/>
        <v>#NAME?</v>
      </c>
      <c r="BS40" s="26" t="e">
        <f ca="1"/>
        <v>#NAME?</v>
      </c>
      <c r="BT40" s="26" t="e">
        <f ca="1"/>
        <v>#NAME?</v>
      </c>
      <c r="BU40" s="26" t="e">
        <f ca="1"/>
        <v>#NAME?</v>
      </c>
      <c r="BV40" s="26" t="e">
        <f ca="1"/>
        <v>#NAME?</v>
      </c>
      <c r="BW40" s="26" t="e">
        <f ca="1"/>
        <v>#NAME?</v>
      </c>
      <c r="CB40" s="24" t="e">
        <f ca="1"/>
        <v>#NAME?</v>
      </c>
      <c r="CC40" s="20" t="e">
        <f ca="1"/>
        <v>#NAME?</v>
      </c>
      <c r="CD40" s="20" t="e">
        <f ca="1"/>
        <v>#NAME?</v>
      </c>
    </row>
    <row r="41" spans="2:82">
      <c r="B41" s="27" t="e">
        <f ca="1"/>
        <v>#NAME?</v>
      </c>
      <c r="C41" s="27" t="e">
        <f ca="1"/>
        <v>#NAME?</v>
      </c>
      <c r="D41" s="27" t="e">
        <f ca="1"/>
        <v>#NAME?</v>
      </c>
      <c r="E41" s="20" t="e">
        <f ca="1"/>
        <v>#NAME?</v>
      </c>
      <c r="F41" s="20" t="e">
        <f ca="1"/>
        <v>#NAME?</v>
      </c>
      <c r="BR41" s="26" t="e">
        <f ca="1"/>
        <v>#NAME?</v>
      </c>
      <c r="BS41" s="26" t="e">
        <f ca="1"/>
        <v>#NAME?</v>
      </c>
      <c r="BT41" s="26" t="e">
        <f ca="1"/>
        <v>#NAME?</v>
      </c>
      <c r="BU41" s="26" t="e">
        <f ca="1"/>
        <v>#NAME?</v>
      </c>
      <c r="BV41" s="26" t="e">
        <f ca="1"/>
        <v>#NAME?</v>
      </c>
      <c r="BW41" s="26" t="e">
        <f ca="1"/>
        <v>#NAME?</v>
      </c>
      <c r="CB41" s="24" t="e">
        <f ca="1"/>
        <v>#NAME?</v>
      </c>
      <c r="CC41" s="20" t="e">
        <f ca="1"/>
        <v>#NAME?</v>
      </c>
      <c r="CD41" s="20" t="e">
        <f ca="1"/>
        <v>#NAME?</v>
      </c>
    </row>
    <row r="42" spans="2:82">
      <c r="B42" s="27" t="e">
        <f ca="1"/>
        <v>#NAME?</v>
      </c>
      <c r="C42" s="27" t="e">
        <f ca="1"/>
        <v>#NAME?</v>
      </c>
      <c r="D42" s="27" t="e">
        <f ca="1"/>
        <v>#NAME?</v>
      </c>
      <c r="E42" s="20" t="e">
        <f ca="1"/>
        <v>#NAME?</v>
      </c>
      <c r="F42" s="20" t="e">
        <f ca="1"/>
        <v>#NAME?</v>
      </c>
      <c r="BR42" s="26" t="e">
        <f ca="1"/>
        <v>#NAME?</v>
      </c>
      <c r="BS42" s="26" t="e">
        <f ca="1"/>
        <v>#NAME?</v>
      </c>
      <c r="BT42" s="26" t="e">
        <f ca="1"/>
        <v>#NAME?</v>
      </c>
      <c r="BU42" s="26" t="e">
        <f ca="1"/>
        <v>#NAME?</v>
      </c>
      <c r="BV42" s="26" t="e">
        <f ca="1"/>
        <v>#NAME?</v>
      </c>
      <c r="BW42" s="26" t="e">
        <f ca="1"/>
        <v>#NAME?</v>
      </c>
      <c r="CB42" s="24" t="e">
        <f ca="1"/>
        <v>#NAME?</v>
      </c>
      <c r="CC42" s="20" t="e">
        <f ca="1"/>
        <v>#NAME?</v>
      </c>
      <c r="CD42" s="20" t="e">
        <f ca="1"/>
        <v>#NAME?</v>
      </c>
    </row>
    <row r="43" spans="2:82">
      <c r="B43" s="27" t="e">
        <f ca="1"/>
        <v>#NAME?</v>
      </c>
      <c r="C43" s="27" t="e">
        <f ca="1"/>
        <v>#NAME?</v>
      </c>
      <c r="D43" s="27" t="e">
        <f ca="1"/>
        <v>#NAME?</v>
      </c>
      <c r="E43" s="20" t="e">
        <f ca="1"/>
        <v>#NAME?</v>
      </c>
      <c r="F43" s="20" t="e">
        <f ca="1"/>
        <v>#NAME?</v>
      </c>
      <c r="BR43" s="26" t="e">
        <f ca="1"/>
        <v>#NAME?</v>
      </c>
      <c r="BS43" s="26" t="e">
        <f ca="1"/>
        <v>#NAME?</v>
      </c>
      <c r="BT43" s="26" t="e">
        <f ca="1"/>
        <v>#NAME?</v>
      </c>
      <c r="BU43" s="26" t="e">
        <f ca="1"/>
        <v>#NAME?</v>
      </c>
      <c r="BV43" s="26" t="e">
        <f ca="1"/>
        <v>#NAME?</v>
      </c>
      <c r="BW43" s="26" t="e">
        <f ca="1"/>
        <v>#NAME?</v>
      </c>
      <c r="CB43" s="24" t="e">
        <f ca="1"/>
        <v>#NAME?</v>
      </c>
      <c r="CC43" s="20" t="e">
        <f ca="1"/>
        <v>#NAME?</v>
      </c>
      <c r="CD43" s="20" t="e">
        <f ca="1"/>
        <v>#NAME?</v>
      </c>
    </row>
    <row r="44" spans="2:82">
      <c r="B44" s="27" t="e">
        <f ca="1"/>
        <v>#NAME?</v>
      </c>
      <c r="C44" s="27" t="e">
        <f ca="1"/>
        <v>#NAME?</v>
      </c>
      <c r="D44" s="27" t="e">
        <f ca="1"/>
        <v>#NAME?</v>
      </c>
      <c r="E44" s="20" t="e">
        <f ca="1"/>
        <v>#NAME?</v>
      </c>
      <c r="F44" s="20" t="e">
        <f ca="1"/>
        <v>#NAME?</v>
      </c>
      <c r="BR44" s="26" t="e">
        <f ca="1"/>
        <v>#NAME?</v>
      </c>
      <c r="BS44" s="26" t="e">
        <f ca="1"/>
        <v>#NAME?</v>
      </c>
      <c r="BT44" s="26" t="e">
        <f ca="1"/>
        <v>#NAME?</v>
      </c>
      <c r="BU44" s="26" t="e">
        <f ca="1"/>
        <v>#NAME?</v>
      </c>
      <c r="BV44" s="26" t="e">
        <f ca="1"/>
        <v>#NAME?</v>
      </c>
      <c r="BW44" s="26" t="e">
        <f ca="1"/>
        <v>#NAME?</v>
      </c>
      <c r="CB44" s="24" t="e">
        <f ca="1"/>
        <v>#NAME?</v>
      </c>
      <c r="CC44" s="20" t="e">
        <f ca="1"/>
        <v>#NAME?</v>
      </c>
      <c r="CD44" s="20" t="e">
        <f ca="1"/>
        <v>#NAME?</v>
      </c>
    </row>
    <row r="45" spans="2:82">
      <c r="B45" s="27" t="e">
        <f ca="1"/>
        <v>#NAME?</v>
      </c>
      <c r="C45" s="27" t="e">
        <f ca="1"/>
        <v>#NAME?</v>
      </c>
      <c r="D45" s="27" t="e">
        <f ca="1"/>
        <v>#NAME?</v>
      </c>
      <c r="E45" s="20" t="e">
        <f ca="1"/>
        <v>#NAME?</v>
      </c>
      <c r="F45" s="20" t="e">
        <f ca="1"/>
        <v>#NAME?</v>
      </c>
      <c r="BR45" s="26" t="e">
        <f ca="1"/>
        <v>#NAME?</v>
      </c>
      <c r="BS45" s="26" t="e">
        <f ca="1"/>
        <v>#NAME?</v>
      </c>
      <c r="BT45" s="26" t="e">
        <f ca="1"/>
        <v>#NAME?</v>
      </c>
      <c r="BU45" s="26" t="e">
        <f ca="1"/>
        <v>#NAME?</v>
      </c>
      <c r="BV45" s="26" t="e">
        <f ca="1"/>
        <v>#NAME?</v>
      </c>
      <c r="BW45" s="26" t="e">
        <f ca="1"/>
        <v>#NAME?</v>
      </c>
      <c r="CB45" s="24" t="e">
        <f ca="1"/>
        <v>#NAME?</v>
      </c>
      <c r="CC45" s="20" t="e">
        <f ca="1"/>
        <v>#NAME?</v>
      </c>
      <c r="CD45" s="20" t="e">
        <f ca="1"/>
        <v>#NAME?</v>
      </c>
    </row>
    <row r="46" spans="2:82">
      <c r="B46" s="27" t="e">
        <f ca="1"/>
        <v>#NAME?</v>
      </c>
      <c r="C46" s="27" t="e">
        <f ca="1"/>
        <v>#NAME?</v>
      </c>
      <c r="D46" s="27" t="e">
        <f ca="1"/>
        <v>#NAME?</v>
      </c>
      <c r="E46" s="20" t="e">
        <f ca="1"/>
        <v>#NAME?</v>
      </c>
      <c r="F46" s="20" t="e">
        <f ca="1"/>
        <v>#NAME?</v>
      </c>
      <c r="BR46" s="26" t="e">
        <f ca="1"/>
        <v>#NAME?</v>
      </c>
      <c r="BS46" s="26" t="e">
        <f ca="1"/>
        <v>#NAME?</v>
      </c>
      <c r="BT46" s="26" t="e">
        <f ca="1"/>
        <v>#NAME?</v>
      </c>
      <c r="BU46" s="26" t="e">
        <f ca="1"/>
        <v>#NAME?</v>
      </c>
      <c r="BV46" s="26" t="e">
        <f ca="1"/>
        <v>#NAME?</v>
      </c>
      <c r="BW46" s="26" t="e">
        <f ca="1"/>
        <v>#NAME?</v>
      </c>
      <c r="CB46" s="24" t="e">
        <f ca="1"/>
        <v>#NAME?</v>
      </c>
      <c r="CC46" s="20" t="e">
        <f ca="1"/>
        <v>#NAME?</v>
      </c>
      <c r="CD46" s="20" t="e">
        <f ca="1"/>
        <v>#NAME?</v>
      </c>
    </row>
    <row r="47" spans="2:82">
      <c r="B47" s="27" t="e">
        <f ca="1"/>
        <v>#NAME?</v>
      </c>
      <c r="C47" s="27" t="e">
        <f ca="1"/>
        <v>#NAME?</v>
      </c>
      <c r="D47" s="27" t="e">
        <f ca="1"/>
        <v>#NAME?</v>
      </c>
      <c r="E47" s="20" t="e">
        <f ca="1"/>
        <v>#NAME?</v>
      </c>
      <c r="F47" s="20" t="e">
        <f ca="1"/>
        <v>#NAME?</v>
      </c>
      <c r="BR47" s="26" t="e">
        <f ca="1"/>
        <v>#NAME?</v>
      </c>
      <c r="BS47" s="26" t="e">
        <f ca="1"/>
        <v>#NAME?</v>
      </c>
      <c r="BT47" s="26" t="e">
        <f ca="1"/>
        <v>#NAME?</v>
      </c>
      <c r="BU47" s="26" t="e">
        <f ca="1"/>
        <v>#NAME?</v>
      </c>
      <c r="BV47" s="26" t="e">
        <f ca="1"/>
        <v>#NAME?</v>
      </c>
      <c r="BW47" s="26" t="e">
        <f ca="1"/>
        <v>#NAME?</v>
      </c>
      <c r="CB47" s="24" t="e">
        <f ca="1"/>
        <v>#NAME?</v>
      </c>
      <c r="CC47" s="20" t="e">
        <f ca="1"/>
        <v>#NAME?</v>
      </c>
      <c r="CD47" s="20" t="e">
        <f ca="1"/>
        <v>#NAME?</v>
      </c>
    </row>
    <row r="48" spans="2:82">
      <c r="B48" s="27" t="e">
        <f ca="1"/>
        <v>#NAME?</v>
      </c>
      <c r="C48" s="27" t="e">
        <f ca="1"/>
        <v>#NAME?</v>
      </c>
      <c r="D48" s="27" t="e">
        <f ca="1"/>
        <v>#NAME?</v>
      </c>
      <c r="E48" s="20" t="e">
        <f ca="1"/>
        <v>#NAME?</v>
      </c>
      <c r="F48" s="20" t="e">
        <f ca="1"/>
        <v>#NAME?</v>
      </c>
      <c r="BR48" s="26" t="e">
        <f ca="1"/>
        <v>#NAME?</v>
      </c>
      <c r="BS48" s="26" t="e">
        <f ca="1"/>
        <v>#NAME?</v>
      </c>
      <c r="BT48" s="26" t="e">
        <f ca="1"/>
        <v>#NAME?</v>
      </c>
      <c r="BU48" s="26" t="e">
        <f ca="1"/>
        <v>#NAME?</v>
      </c>
      <c r="BV48" s="26" t="e">
        <f ca="1"/>
        <v>#NAME?</v>
      </c>
      <c r="BW48" s="26" t="e">
        <f ca="1"/>
        <v>#NAME?</v>
      </c>
      <c r="CB48" s="24" t="e">
        <f ca="1"/>
        <v>#NAME?</v>
      </c>
      <c r="CC48" s="20" t="e">
        <f ca="1"/>
        <v>#NAME?</v>
      </c>
      <c r="CD48" s="20" t="e">
        <f ca="1"/>
        <v>#NAME?</v>
      </c>
    </row>
    <row r="49" spans="2:82">
      <c r="B49" s="27" t="e">
        <f ca="1"/>
        <v>#NAME?</v>
      </c>
      <c r="C49" s="27" t="e">
        <f ca="1"/>
        <v>#NAME?</v>
      </c>
      <c r="D49" s="27" t="e">
        <f ca="1"/>
        <v>#NAME?</v>
      </c>
      <c r="E49" s="20" t="e">
        <f ca="1"/>
        <v>#NAME?</v>
      </c>
      <c r="F49" s="20" t="e">
        <f ca="1"/>
        <v>#NAME?</v>
      </c>
      <c r="BR49" s="26" t="e">
        <f ca="1"/>
        <v>#NAME?</v>
      </c>
      <c r="BS49" s="26" t="e">
        <f ca="1"/>
        <v>#NAME?</v>
      </c>
      <c r="BT49" s="26" t="e">
        <f ca="1"/>
        <v>#NAME?</v>
      </c>
      <c r="BU49" s="26" t="e">
        <f ca="1"/>
        <v>#NAME?</v>
      </c>
      <c r="BV49" s="26" t="e">
        <f ca="1"/>
        <v>#NAME?</v>
      </c>
      <c r="BW49" s="26" t="e">
        <f ca="1"/>
        <v>#NAME?</v>
      </c>
      <c r="CB49" s="24" t="e">
        <f ca="1"/>
        <v>#NAME?</v>
      </c>
      <c r="CC49" s="20" t="e">
        <f ca="1"/>
        <v>#NAME?</v>
      </c>
      <c r="CD49" s="20" t="e">
        <f ca="1"/>
        <v>#NAME?</v>
      </c>
    </row>
    <row r="50" spans="2:82">
      <c r="B50" s="27" t="e">
        <f ca="1"/>
        <v>#NAME?</v>
      </c>
      <c r="C50" s="27" t="e">
        <f ca="1"/>
        <v>#NAME?</v>
      </c>
      <c r="D50" s="27" t="e">
        <f ca="1"/>
        <v>#NAME?</v>
      </c>
      <c r="E50" s="20" t="e">
        <f ca="1"/>
        <v>#NAME?</v>
      </c>
      <c r="F50" s="20" t="e">
        <f ca="1"/>
        <v>#NAME?</v>
      </c>
      <c r="BR50" s="26" t="e">
        <f ca="1"/>
        <v>#NAME?</v>
      </c>
      <c r="BS50" s="26" t="e">
        <f ca="1"/>
        <v>#NAME?</v>
      </c>
      <c r="BT50" s="26" t="e">
        <f ca="1"/>
        <v>#NAME?</v>
      </c>
      <c r="BU50" s="26" t="e">
        <f ca="1"/>
        <v>#NAME?</v>
      </c>
      <c r="BV50" s="26" t="e">
        <f ca="1"/>
        <v>#NAME?</v>
      </c>
      <c r="BW50" s="26" t="e">
        <f ca="1"/>
        <v>#NAME?</v>
      </c>
      <c r="CB50" s="24" t="e">
        <f ca="1"/>
        <v>#NAME?</v>
      </c>
      <c r="CC50" s="20" t="e">
        <f ca="1"/>
        <v>#NAME?</v>
      </c>
      <c r="CD50" s="20" t="e">
        <f ca="1"/>
        <v>#NAME?</v>
      </c>
    </row>
    <row r="51" spans="2:82">
      <c r="B51" s="27" t="e">
        <f ca="1"/>
        <v>#NAME?</v>
      </c>
      <c r="C51" s="27" t="e">
        <f ca="1"/>
        <v>#NAME?</v>
      </c>
      <c r="D51" s="27" t="e">
        <f ca="1"/>
        <v>#NAME?</v>
      </c>
      <c r="E51" s="20" t="e">
        <f ca="1"/>
        <v>#NAME?</v>
      </c>
      <c r="F51" s="20" t="e">
        <f ca="1"/>
        <v>#NAME?</v>
      </c>
      <c r="BR51" s="26" t="e">
        <f ca="1"/>
        <v>#NAME?</v>
      </c>
      <c r="BS51" s="26" t="e">
        <f ca="1"/>
        <v>#NAME?</v>
      </c>
      <c r="BT51" s="26" t="e">
        <f ca="1"/>
        <v>#NAME?</v>
      </c>
      <c r="BU51" s="26" t="e">
        <f ca="1"/>
        <v>#NAME?</v>
      </c>
      <c r="BV51" s="26" t="e">
        <f ca="1"/>
        <v>#NAME?</v>
      </c>
      <c r="BW51" s="26" t="e">
        <f ca="1"/>
        <v>#NAME?</v>
      </c>
      <c r="CB51" s="24" t="e">
        <f ca="1"/>
        <v>#NAME?</v>
      </c>
      <c r="CC51" s="20" t="e">
        <f ca="1"/>
        <v>#NAME?</v>
      </c>
      <c r="CD51" s="20" t="e">
        <f ca="1"/>
        <v>#NAME?</v>
      </c>
    </row>
    <row r="52" spans="2:82">
      <c r="B52" s="27" t="e">
        <f ca="1"/>
        <v>#NAME?</v>
      </c>
      <c r="C52" s="27" t="e">
        <f ca="1"/>
        <v>#NAME?</v>
      </c>
      <c r="D52" s="27" t="e">
        <f ca="1"/>
        <v>#NAME?</v>
      </c>
      <c r="E52" s="20" t="e">
        <f ca="1"/>
        <v>#NAME?</v>
      </c>
      <c r="F52" s="20" t="e">
        <f ca="1"/>
        <v>#NAME?</v>
      </c>
      <c r="BR52" s="26" t="e">
        <f ca="1"/>
        <v>#NAME?</v>
      </c>
      <c r="BS52" s="26" t="e">
        <f ca="1"/>
        <v>#NAME?</v>
      </c>
      <c r="BT52" s="26" t="e">
        <f ca="1"/>
        <v>#NAME?</v>
      </c>
      <c r="BU52" s="26" t="e">
        <f ca="1"/>
        <v>#NAME?</v>
      </c>
      <c r="BV52" s="26" t="e">
        <f ca="1"/>
        <v>#NAME?</v>
      </c>
      <c r="BW52" s="26" t="e">
        <f ca="1"/>
        <v>#NAME?</v>
      </c>
      <c r="CB52" s="24" t="e">
        <f ca="1"/>
        <v>#NAME?</v>
      </c>
      <c r="CC52" s="20" t="e">
        <f ca="1"/>
        <v>#NAME?</v>
      </c>
      <c r="CD52" s="20" t="e">
        <f ca="1"/>
        <v>#NAME?</v>
      </c>
    </row>
    <row r="53" spans="2:82">
      <c r="B53" s="27" t="e">
        <f ca="1"/>
        <v>#NAME?</v>
      </c>
      <c r="C53" s="27" t="e">
        <f ca="1"/>
        <v>#NAME?</v>
      </c>
      <c r="D53" s="27" t="e">
        <f ca="1"/>
        <v>#NAME?</v>
      </c>
      <c r="E53" s="20" t="e">
        <f ca="1"/>
        <v>#NAME?</v>
      </c>
      <c r="F53" s="20" t="e">
        <f ca="1"/>
        <v>#NAME?</v>
      </c>
      <c r="BR53" s="26" t="e">
        <f ca="1"/>
        <v>#NAME?</v>
      </c>
      <c r="BS53" s="26" t="e">
        <f ca="1"/>
        <v>#NAME?</v>
      </c>
      <c r="BT53" s="26" t="e">
        <f ca="1"/>
        <v>#NAME?</v>
      </c>
      <c r="BU53" s="26" t="e">
        <f ca="1"/>
        <v>#NAME?</v>
      </c>
      <c r="BV53" s="26" t="e">
        <f ca="1"/>
        <v>#NAME?</v>
      </c>
      <c r="BW53" s="26" t="e">
        <f ca="1"/>
        <v>#NAME?</v>
      </c>
      <c r="CB53" s="24" t="e">
        <f ca="1"/>
        <v>#NAME?</v>
      </c>
      <c r="CC53" s="20" t="e">
        <f ca="1"/>
        <v>#NAME?</v>
      </c>
      <c r="CD53" s="20" t="e">
        <f ca="1"/>
        <v>#NAME?</v>
      </c>
    </row>
    <row r="54" spans="2:82">
      <c r="B54" s="27" t="e">
        <f ca="1"/>
        <v>#NAME?</v>
      </c>
      <c r="C54" s="27" t="e">
        <f ca="1"/>
        <v>#NAME?</v>
      </c>
      <c r="D54" s="27" t="e">
        <f ca="1"/>
        <v>#NAME?</v>
      </c>
      <c r="E54" s="20" t="e">
        <f ca="1"/>
        <v>#NAME?</v>
      </c>
      <c r="F54" s="20" t="e">
        <f ca="1"/>
        <v>#NAME?</v>
      </c>
      <c r="BR54" s="26" t="e">
        <f ca="1"/>
        <v>#NAME?</v>
      </c>
      <c r="BS54" s="26" t="e">
        <f ca="1"/>
        <v>#NAME?</v>
      </c>
      <c r="BT54" s="26" t="e">
        <f ca="1"/>
        <v>#NAME?</v>
      </c>
      <c r="BU54" s="26" t="e">
        <f ca="1"/>
        <v>#NAME?</v>
      </c>
      <c r="BV54" s="26" t="e">
        <f ca="1"/>
        <v>#NAME?</v>
      </c>
      <c r="BW54" s="26" t="e">
        <f ca="1"/>
        <v>#NAME?</v>
      </c>
      <c r="CB54" s="24" t="e">
        <f ca="1"/>
        <v>#NAME?</v>
      </c>
      <c r="CC54" s="20" t="e">
        <f ca="1"/>
        <v>#NAME?</v>
      </c>
      <c r="CD54" s="20" t="e">
        <f ca="1"/>
        <v>#NAME?</v>
      </c>
    </row>
    <row r="55" spans="2:82">
      <c r="B55" s="27" t="e">
        <f ca="1"/>
        <v>#NAME?</v>
      </c>
      <c r="C55" s="27" t="e">
        <f ca="1"/>
        <v>#NAME?</v>
      </c>
      <c r="D55" s="27" t="e">
        <f ca="1"/>
        <v>#NAME?</v>
      </c>
      <c r="E55" s="20" t="e">
        <f ca="1"/>
        <v>#NAME?</v>
      </c>
      <c r="F55" s="20" t="e">
        <f ca="1"/>
        <v>#NAME?</v>
      </c>
      <c r="BR55" s="26" t="e">
        <f ca="1"/>
        <v>#NAME?</v>
      </c>
      <c r="BS55" s="26" t="e">
        <f ca="1"/>
        <v>#NAME?</v>
      </c>
      <c r="BT55" s="26" t="e">
        <f ca="1"/>
        <v>#NAME?</v>
      </c>
      <c r="BU55" s="26" t="e">
        <f ca="1"/>
        <v>#NAME?</v>
      </c>
      <c r="BV55" s="26" t="e">
        <f ca="1"/>
        <v>#NAME?</v>
      </c>
      <c r="BW55" s="26" t="e">
        <f ca="1"/>
        <v>#NAME?</v>
      </c>
      <c r="CB55" s="24" t="e">
        <f ca="1"/>
        <v>#NAME?</v>
      </c>
      <c r="CC55" s="20" t="e">
        <f ca="1"/>
        <v>#NAME?</v>
      </c>
      <c r="CD55" s="20" t="e">
        <f ca="1"/>
        <v>#NAME?</v>
      </c>
    </row>
    <row r="56" spans="2:82">
      <c r="B56" s="27" t="e">
        <f ca="1"/>
        <v>#NAME?</v>
      </c>
      <c r="C56" s="27" t="e">
        <f ca="1"/>
        <v>#NAME?</v>
      </c>
      <c r="D56" s="27" t="e">
        <f ca="1"/>
        <v>#NAME?</v>
      </c>
      <c r="E56" s="20" t="e">
        <f ca="1"/>
        <v>#NAME?</v>
      </c>
      <c r="F56" s="20" t="e">
        <f ca="1"/>
        <v>#NAME?</v>
      </c>
      <c r="BR56" s="26" t="e">
        <f ca="1"/>
        <v>#NAME?</v>
      </c>
      <c r="BS56" s="26" t="e">
        <f ca="1"/>
        <v>#NAME?</v>
      </c>
      <c r="BT56" s="26" t="e">
        <f ca="1"/>
        <v>#NAME?</v>
      </c>
      <c r="BU56" s="26" t="e">
        <f ca="1"/>
        <v>#NAME?</v>
      </c>
      <c r="BV56" s="26" t="e">
        <f ca="1"/>
        <v>#NAME?</v>
      </c>
      <c r="BW56" s="26" t="e">
        <f ca="1"/>
        <v>#NAME?</v>
      </c>
      <c r="CB56" s="24" t="e">
        <f ca="1"/>
        <v>#NAME?</v>
      </c>
      <c r="CC56" s="20" t="e">
        <f ca="1"/>
        <v>#NAME?</v>
      </c>
      <c r="CD56" s="20" t="e">
        <f ca="1"/>
        <v>#NAME?</v>
      </c>
    </row>
    <row r="57" spans="2:82">
      <c r="B57" s="27" t="e">
        <f ca="1"/>
        <v>#NAME?</v>
      </c>
      <c r="C57" s="27" t="e">
        <f ca="1"/>
        <v>#NAME?</v>
      </c>
      <c r="D57" s="27" t="e">
        <f ca="1"/>
        <v>#NAME?</v>
      </c>
      <c r="E57" s="20" t="e">
        <f ca="1"/>
        <v>#NAME?</v>
      </c>
      <c r="F57" s="20" t="e">
        <f ca="1"/>
        <v>#NAME?</v>
      </c>
      <c r="BR57" s="26" t="e">
        <f ca="1"/>
        <v>#NAME?</v>
      </c>
      <c r="BS57" s="26" t="e">
        <f ca="1"/>
        <v>#NAME?</v>
      </c>
      <c r="BT57" s="26" t="e">
        <f ca="1"/>
        <v>#NAME?</v>
      </c>
      <c r="BU57" s="26" t="e">
        <f ca="1"/>
        <v>#NAME?</v>
      </c>
      <c r="BV57" s="26" t="e">
        <f ca="1"/>
        <v>#NAME?</v>
      </c>
      <c r="BW57" s="26" t="e">
        <f ca="1"/>
        <v>#NAME?</v>
      </c>
      <c r="CB57" s="24" t="e">
        <f ca="1"/>
        <v>#NAME?</v>
      </c>
      <c r="CC57" s="20" t="e">
        <f ca="1"/>
        <v>#NAME?</v>
      </c>
      <c r="CD57" s="20" t="e">
        <f ca="1"/>
        <v>#NAME?</v>
      </c>
    </row>
    <row r="58" spans="2:82">
      <c r="B58" s="27" t="e">
        <f ca="1"/>
        <v>#NAME?</v>
      </c>
      <c r="C58" s="27" t="e">
        <f ca="1"/>
        <v>#NAME?</v>
      </c>
      <c r="D58" s="27" t="e">
        <f ca="1"/>
        <v>#NAME?</v>
      </c>
      <c r="E58" s="20" t="e">
        <f ca="1"/>
        <v>#NAME?</v>
      </c>
      <c r="F58" s="20" t="e">
        <f ca="1"/>
        <v>#NAME?</v>
      </c>
      <c r="BR58" s="26" t="e">
        <f ca="1"/>
        <v>#NAME?</v>
      </c>
      <c r="BS58" s="26" t="e">
        <f ca="1"/>
        <v>#NAME?</v>
      </c>
      <c r="BT58" s="26" t="e">
        <f ca="1"/>
        <v>#NAME?</v>
      </c>
      <c r="BU58" s="26" t="e">
        <f ca="1"/>
        <v>#NAME?</v>
      </c>
      <c r="BV58" s="26" t="e">
        <f ca="1"/>
        <v>#NAME?</v>
      </c>
      <c r="BW58" s="26" t="e">
        <f ca="1"/>
        <v>#NAME?</v>
      </c>
      <c r="CB58" s="24" t="e">
        <f ca="1"/>
        <v>#NAME?</v>
      </c>
      <c r="CC58" s="20" t="e">
        <f ca="1"/>
        <v>#NAME?</v>
      </c>
      <c r="CD58" s="20" t="e">
        <f ca="1"/>
        <v>#NAME?</v>
      </c>
    </row>
    <row r="59" spans="2:82">
      <c r="B59" s="27" t="e">
        <f ca="1"/>
        <v>#NAME?</v>
      </c>
      <c r="C59" s="27" t="e">
        <f ca="1"/>
        <v>#NAME?</v>
      </c>
      <c r="D59" s="27" t="e">
        <f ca="1"/>
        <v>#NAME?</v>
      </c>
      <c r="E59" s="20" t="e">
        <f ca="1"/>
        <v>#NAME?</v>
      </c>
      <c r="F59" s="20" t="e">
        <f ca="1"/>
        <v>#NAME?</v>
      </c>
      <c r="BR59" s="26" t="e">
        <f ca="1"/>
        <v>#NAME?</v>
      </c>
      <c r="BS59" s="26" t="e">
        <f ca="1"/>
        <v>#NAME?</v>
      </c>
      <c r="BT59" s="26" t="e">
        <f ca="1"/>
        <v>#NAME?</v>
      </c>
      <c r="BU59" s="26" t="e">
        <f ca="1"/>
        <v>#NAME?</v>
      </c>
      <c r="BV59" s="26" t="e">
        <f ca="1"/>
        <v>#NAME?</v>
      </c>
      <c r="BW59" s="26" t="e">
        <f ca="1"/>
        <v>#NAME?</v>
      </c>
      <c r="CB59" s="24" t="e">
        <f ca="1"/>
        <v>#NAME?</v>
      </c>
      <c r="CC59" s="20" t="e">
        <f ca="1"/>
        <v>#NAME?</v>
      </c>
      <c r="CD59" s="20" t="e">
        <f ca="1"/>
        <v>#NAME?</v>
      </c>
    </row>
    <row r="60" spans="2:82">
      <c r="B60" s="27" t="e">
        <f ca="1"/>
        <v>#NAME?</v>
      </c>
      <c r="C60" s="27" t="e">
        <f ca="1"/>
        <v>#NAME?</v>
      </c>
      <c r="D60" s="27" t="e">
        <f ca="1"/>
        <v>#NAME?</v>
      </c>
      <c r="E60" s="20" t="e">
        <f ca="1"/>
        <v>#NAME?</v>
      </c>
      <c r="F60" s="20" t="e">
        <f ca="1"/>
        <v>#NAME?</v>
      </c>
      <c r="BR60" s="26" t="e">
        <f ca="1"/>
        <v>#NAME?</v>
      </c>
      <c r="BS60" s="26" t="e">
        <f ca="1"/>
        <v>#NAME?</v>
      </c>
      <c r="BT60" s="26" t="e">
        <f ca="1"/>
        <v>#NAME?</v>
      </c>
      <c r="BU60" s="26" t="e">
        <f ca="1"/>
        <v>#NAME?</v>
      </c>
      <c r="BV60" s="26" t="e">
        <f ca="1"/>
        <v>#NAME?</v>
      </c>
      <c r="BW60" s="26" t="e">
        <f ca="1"/>
        <v>#NAME?</v>
      </c>
      <c r="CB60" s="24" t="e">
        <f ca="1"/>
        <v>#NAME?</v>
      </c>
      <c r="CC60" s="20" t="e">
        <f ca="1"/>
        <v>#NAME?</v>
      </c>
      <c r="CD60" s="20" t="e">
        <f ca="1"/>
        <v>#NAME?</v>
      </c>
    </row>
    <row r="61" spans="2:82">
      <c r="B61" s="27" t="e">
        <f ca="1"/>
        <v>#NAME?</v>
      </c>
      <c r="C61" s="27" t="e">
        <f ca="1"/>
        <v>#NAME?</v>
      </c>
      <c r="D61" s="27" t="e">
        <f ca="1"/>
        <v>#NAME?</v>
      </c>
      <c r="E61" s="20" t="e">
        <f ca="1"/>
        <v>#NAME?</v>
      </c>
      <c r="F61" s="20" t="e">
        <f ca="1"/>
        <v>#NAME?</v>
      </c>
      <c r="BR61" s="26" t="e">
        <f ca="1"/>
        <v>#NAME?</v>
      </c>
      <c r="BS61" s="26" t="e">
        <f ca="1"/>
        <v>#NAME?</v>
      </c>
      <c r="BT61" s="26" t="e">
        <f ca="1"/>
        <v>#NAME?</v>
      </c>
      <c r="BU61" s="26" t="e">
        <f ca="1"/>
        <v>#NAME?</v>
      </c>
      <c r="BV61" s="26" t="e">
        <f ca="1"/>
        <v>#NAME?</v>
      </c>
      <c r="BW61" s="26" t="e">
        <f ca="1"/>
        <v>#NAME?</v>
      </c>
      <c r="CB61" s="24" t="e">
        <f ca="1"/>
        <v>#NAME?</v>
      </c>
      <c r="CC61" s="20" t="e">
        <f ca="1"/>
        <v>#NAME?</v>
      </c>
      <c r="CD61" s="20" t="e">
        <f ca="1"/>
        <v>#NAME?</v>
      </c>
    </row>
    <row r="62" spans="2:82">
      <c r="B62" s="27" t="e">
        <f ca="1"/>
        <v>#NAME?</v>
      </c>
      <c r="C62" s="27" t="e">
        <f ca="1"/>
        <v>#NAME?</v>
      </c>
      <c r="D62" s="27" t="e">
        <f ca="1"/>
        <v>#NAME?</v>
      </c>
      <c r="E62" s="20" t="e">
        <f ca="1"/>
        <v>#NAME?</v>
      </c>
      <c r="F62" s="20" t="e">
        <f ca="1"/>
        <v>#NAME?</v>
      </c>
      <c r="BR62" s="26" t="e">
        <f ca="1"/>
        <v>#NAME?</v>
      </c>
      <c r="BS62" s="26" t="e">
        <f ca="1"/>
        <v>#NAME?</v>
      </c>
      <c r="BT62" s="26" t="e">
        <f ca="1"/>
        <v>#NAME?</v>
      </c>
      <c r="BU62" s="26" t="e">
        <f ca="1"/>
        <v>#NAME?</v>
      </c>
      <c r="BV62" s="26" t="e">
        <f ca="1"/>
        <v>#NAME?</v>
      </c>
      <c r="BW62" s="26" t="e">
        <f ca="1"/>
        <v>#NAME?</v>
      </c>
      <c r="CB62" s="24" t="e">
        <f ca="1"/>
        <v>#NAME?</v>
      </c>
      <c r="CC62" s="20" t="e">
        <f ca="1"/>
        <v>#NAME?</v>
      </c>
      <c r="CD62" s="20" t="e">
        <f ca="1"/>
        <v>#NAME?</v>
      </c>
    </row>
    <row r="63" spans="2:82">
      <c r="B63" s="27" t="e">
        <f ca="1"/>
        <v>#NAME?</v>
      </c>
      <c r="C63" s="27" t="e">
        <f ca="1"/>
        <v>#NAME?</v>
      </c>
      <c r="D63" s="27" t="e">
        <f ca="1"/>
        <v>#NAME?</v>
      </c>
      <c r="E63" s="20" t="e">
        <f ca="1"/>
        <v>#NAME?</v>
      </c>
      <c r="F63" s="20" t="e">
        <f ca="1"/>
        <v>#NAME?</v>
      </c>
      <c r="BR63" s="26" t="e">
        <f ca="1"/>
        <v>#NAME?</v>
      </c>
      <c r="BS63" s="26" t="e">
        <f ca="1"/>
        <v>#NAME?</v>
      </c>
      <c r="BT63" s="26" t="e">
        <f ca="1"/>
        <v>#NAME?</v>
      </c>
      <c r="BU63" s="26" t="e">
        <f ca="1"/>
        <v>#NAME?</v>
      </c>
      <c r="BV63" s="26" t="e">
        <f ca="1"/>
        <v>#NAME?</v>
      </c>
      <c r="BW63" s="26" t="e">
        <f ca="1"/>
        <v>#NAME?</v>
      </c>
      <c r="CB63" s="24" t="e">
        <f ca="1"/>
        <v>#NAME?</v>
      </c>
      <c r="CC63" s="20" t="e">
        <f ca="1"/>
        <v>#NAME?</v>
      </c>
      <c r="CD63" s="20" t="e">
        <f ca="1"/>
        <v>#NAME?</v>
      </c>
    </row>
    <row r="64" spans="2:82">
      <c r="B64" s="27" t="e">
        <f ca="1"/>
        <v>#NAME?</v>
      </c>
      <c r="C64" s="27" t="e">
        <f ca="1"/>
        <v>#NAME?</v>
      </c>
      <c r="D64" s="27" t="e">
        <f ca="1"/>
        <v>#NAME?</v>
      </c>
      <c r="E64" s="20" t="e">
        <f ca="1"/>
        <v>#NAME?</v>
      </c>
      <c r="F64" s="20" t="e">
        <f ca="1"/>
        <v>#NAME?</v>
      </c>
      <c r="BR64" s="26" t="e">
        <f ca="1"/>
        <v>#NAME?</v>
      </c>
      <c r="BS64" s="26" t="e">
        <f ca="1"/>
        <v>#NAME?</v>
      </c>
      <c r="BT64" s="26" t="e">
        <f ca="1"/>
        <v>#NAME?</v>
      </c>
      <c r="BU64" s="26" t="e">
        <f ca="1"/>
        <v>#NAME?</v>
      </c>
      <c r="BV64" s="26" t="e">
        <f ca="1"/>
        <v>#NAME?</v>
      </c>
      <c r="BW64" s="26" t="e">
        <f ca="1"/>
        <v>#NAME?</v>
      </c>
      <c r="CB64" s="24" t="e">
        <f ca="1"/>
        <v>#NAME?</v>
      </c>
      <c r="CC64" s="20" t="e">
        <f ca="1"/>
        <v>#NAME?</v>
      </c>
      <c r="CD64" s="20" t="e">
        <f ca="1"/>
        <v>#NAME?</v>
      </c>
    </row>
    <row r="65" spans="2:82">
      <c r="B65" s="27" t="e">
        <f ca="1"/>
        <v>#NAME?</v>
      </c>
      <c r="C65" s="27" t="e">
        <f ca="1"/>
        <v>#NAME?</v>
      </c>
      <c r="D65" s="27" t="e">
        <f ca="1"/>
        <v>#NAME?</v>
      </c>
      <c r="E65" s="20" t="e">
        <f ca="1"/>
        <v>#NAME?</v>
      </c>
      <c r="F65" s="20" t="e">
        <f ca="1"/>
        <v>#NAME?</v>
      </c>
      <c r="BR65" s="26" t="e">
        <f ca="1"/>
        <v>#NAME?</v>
      </c>
      <c r="BS65" s="26" t="e">
        <f ca="1"/>
        <v>#NAME?</v>
      </c>
      <c r="BT65" s="26" t="e">
        <f ca="1"/>
        <v>#NAME?</v>
      </c>
      <c r="BU65" s="26" t="e">
        <f ca="1"/>
        <v>#NAME?</v>
      </c>
      <c r="BV65" s="26" t="e">
        <f ca="1"/>
        <v>#NAME?</v>
      </c>
      <c r="BW65" s="26" t="e">
        <f ca="1"/>
        <v>#NAME?</v>
      </c>
      <c r="CB65" s="24" t="e">
        <f ca="1"/>
        <v>#NAME?</v>
      </c>
      <c r="CC65" s="20" t="e">
        <f ca="1"/>
        <v>#NAME?</v>
      </c>
      <c r="CD65" s="20" t="e">
        <f ca="1"/>
        <v>#NAME?</v>
      </c>
    </row>
    <row r="66" spans="2:82">
      <c r="B66" s="27" t="e">
        <f ca="1"/>
        <v>#NAME?</v>
      </c>
      <c r="C66" s="27" t="e">
        <f ca="1"/>
        <v>#NAME?</v>
      </c>
      <c r="D66" s="27" t="e">
        <f ca="1"/>
        <v>#NAME?</v>
      </c>
      <c r="E66" s="20" t="e">
        <f ca="1"/>
        <v>#NAME?</v>
      </c>
      <c r="F66" s="20" t="e">
        <f ca="1"/>
        <v>#NAME?</v>
      </c>
      <c r="BR66" s="26" t="e">
        <f ca="1"/>
        <v>#NAME?</v>
      </c>
      <c r="BS66" s="26" t="e">
        <f ca="1"/>
        <v>#NAME?</v>
      </c>
      <c r="BT66" s="26" t="e">
        <f ca="1"/>
        <v>#NAME?</v>
      </c>
      <c r="BU66" s="26" t="e">
        <f ca="1"/>
        <v>#NAME?</v>
      </c>
      <c r="BV66" s="26" t="e">
        <f ca="1"/>
        <v>#NAME?</v>
      </c>
      <c r="BW66" s="26" t="e">
        <f ca="1"/>
        <v>#NAME?</v>
      </c>
      <c r="CB66" s="24" t="e">
        <f ca="1"/>
        <v>#NAME?</v>
      </c>
      <c r="CC66" s="20" t="e">
        <f ca="1"/>
        <v>#NAME?</v>
      </c>
      <c r="CD66" s="20" t="e">
        <f ca="1"/>
        <v>#NAME?</v>
      </c>
    </row>
    <row r="67" spans="2:82">
      <c r="B67" s="27" t="e">
        <f ca="1"/>
        <v>#NAME?</v>
      </c>
      <c r="C67" s="27" t="e">
        <f ca="1"/>
        <v>#NAME?</v>
      </c>
      <c r="D67" s="27" t="e">
        <f ca="1"/>
        <v>#NAME?</v>
      </c>
      <c r="E67" s="20" t="e">
        <f ca="1"/>
        <v>#NAME?</v>
      </c>
      <c r="F67" s="20" t="e">
        <f ca="1"/>
        <v>#NAME?</v>
      </c>
      <c r="BR67" s="26" t="e">
        <f ca="1"/>
        <v>#NAME?</v>
      </c>
      <c r="BS67" s="26" t="e">
        <f ca="1"/>
        <v>#NAME?</v>
      </c>
      <c r="BT67" s="26" t="e">
        <f ca="1"/>
        <v>#NAME?</v>
      </c>
      <c r="BU67" s="26" t="e">
        <f ca="1"/>
        <v>#NAME?</v>
      </c>
      <c r="BV67" s="26" t="e">
        <f ca="1"/>
        <v>#NAME?</v>
      </c>
      <c r="BW67" s="26" t="e">
        <f ca="1"/>
        <v>#NAME?</v>
      </c>
      <c r="CB67" s="24" t="e">
        <f ca="1"/>
        <v>#NAME?</v>
      </c>
      <c r="CC67" s="20" t="e">
        <f ca="1"/>
        <v>#NAME?</v>
      </c>
      <c r="CD67" s="20" t="e">
        <f ca="1"/>
        <v>#NAME?</v>
      </c>
    </row>
    <row r="68" spans="2:82">
      <c r="B68" s="27" t="e">
        <f ca="1"/>
        <v>#NAME?</v>
      </c>
      <c r="C68" s="27" t="e">
        <f ca="1"/>
        <v>#NAME?</v>
      </c>
      <c r="D68" s="27" t="e">
        <f ca="1"/>
        <v>#NAME?</v>
      </c>
      <c r="E68" s="20" t="e">
        <f ca="1"/>
        <v>#NAME?</v>
      </c>
      <c r="F68" s="20" t="e">
        <f ca="1"/>
        <v>#NAME?</v>
      </c>
      <c r="BR68" s="26" t="e">
        <f ca="1"/>
        <v>#NAME?</v>
      </c>
      <c r="BS68" s="26" t="e">
        <f ca="1"/>
        <v>#NAME?</v>
      </c>
      <c r="BT68" s="26" t="e">
        <f ca="1"/>
        <v>#NAME?</v>
      </c>
      <c r="BU68" s="26" t="e">
        <f ca="1"/>
        <v>#NAME?</v>
      </c>
      <c r="BV68" s="26" t="e">
        <f ca="1"/>
        <v>#NAME?</v>
      </c>
      <c r="BW68" s="26" t="e">
        <f ca="1"/>
        <v>#NAME?</v>
      </c>
      <c r="CB68" s="24" t="e">
        <f ca="1"/>
        <v>#NAME?</v>
      </c>
      <c r="CC68" s="20" t="e">
        <f ca="1"/>
        <v>#NAME?</v>
      </c>
      <c r="CD68" s="20" t="e">
        <f ca="1"/>
        <v>#NAME?</v>
      </c>
    </row>
    <row r="69" spans="2:82">
      <c r="B69" s="27" t="e">
        <f ca="1"/>
        <v>#NAME?</v>
      </c>
      <c r="C69" s="27" t="e">
        <f ca="1"/>
        <v>#NAME?</v>
      </c>
      <c r="D69" s="27" t="e">
        <f ca="1"/>
        <v>#NAME?</v>
      </c>
      <c r="E69" s="20" t="e">
        <f ca="1"/>
        <v>#NAME?</v>
      </c>
      <c r="F69" s="20" t="e">
        <f ca="1"/>
        <v>#NAME?</v>
      </c>
      <c r="BR69" s="26" t="e">
        <f ca="1"/>
        <v>#NAME?</v>
      </c>
      <c r="BS69" s="26" t="e">
        <f ca="1"/>
        <v>#NAME?</v>
      </c>
      <c r="BT69" s="26" t="e">
        <f ca="1"/>
        <v>#NAME?</v>
      </c>
      <c r="BU69" s="26" t="e">
        <f ca="1"/>
        <v>#NAME?</v>
      </c>
      <c r="BV69" s="26" t="e">
        <f ca="1"/>
        <v>#NAME?</v>
      </c>
      <c r="BW69" s="26" t="e">
        <f ca="1"/>
        <v>#NAME?</v>
      </c>
      <c r="CB69" s="24" t="e">
        <f ca="1"/>
        <v>#NAME?</v>
      </c>
      <c r="CC69" s="20" t="e">
        <f ca="1"/>
        <v>#NAME?</v>
      </c>
      <c r="CD69" s="20" t="e">
        <f ca="1"/>
        <v>#NAME?</v>
      </c>
    </row>
    <row r="70" spans="2:82">
      <c r="B70" s="27" t="e">
        <f ca="1"/>
        <v>#NAME?</v>
      </c>
      <c r="C70" s="27" t="e">
        <f ca="1"/>
        <v>#NAME?</v>
      </c>
      <c r="D70" s="27" t="e">
        <f ca="1"/>
        <v>#NAME?</v>
      </c>
      <c r="E70" s="20" t="e">
        <f ca="1"/>
        <v>#NAME?</v>
      </c>
      <c r="F70" s="20" t="e">
        <f ca="1"/>
        <v>#NAME?</v>
      </c>
      <c r="BR70" s="26" t="e">
        <f ca="1"/>
        <v>#NAME?</v>
      </c>
      <c r="BS70" s="26" t="e">
        <f ca="1"/>
        <v>#NAME?</v>
      </c>
      <c r="BT70" s="26" t="e">
        <f ca="1"/>
        <v>#NAME?</v>
      </c>
      <c r="BU70" s="26" t="e">
        <f ca="1"/>
        <v>#NAME?</v>
      </c>
      <c r="BV70" s="26" t="e">
        <f ca="1"/>
        <v>#NAME?</v>
      </c>
      <c r="BW70" s="26" t="e">
        <f ca="1"/>
        <v>#NAME?</v>
      </c>
      <c r="CB70" s="24" t="e">
        <f ca="1"/>
        <v>#NAME?</v>
      </c>
      <c r="CC70" s="20" t="e">
        <f ca="1"/>
        <v>#NAME?</v>
      </c>
      <c r="CD70" s="20" t="e">
        <f ca="1"/>
        <v>#NAME?</v>
      </c>
    </row>
    <row r="71" spans="2:82">
      <c r="B71" s="27" t="e">
        <f ca="1"/>
        <v>#NAME?</v>
      </c>
      <c r="C71" s="27" t="e">
        <f ca="1"/>
        <v>#NAME?</v>
      </c>
      <c r="D71" s="27" t="e">
        <f ca="1"/>
        <v>#NAME?</v>
      </c>
      <c r="E71" s="20" t="e">
        <f ca="1"/>
        <v>#NAME?</v>
      </c>
      <c r="F71" s="20" t="e">
        <f ca="1"/>
        <v>#NAME?</v>
      </c>
      <c r="BR71" s="26" t="e">
        <f ca="1"/>
        <v>#NAME?</v>
      </c>
      <c r="BS71" s="26" t="e">
        <f ca="1"/>
        <v>#NAME?</v>
      </c>
      <c r="BT71" s="26" t="e">
        <f ca="1"/>
        <v>#NAME?</v>
      </c>
      <c r="BU71" s="26" t="e">
        <f ca="1"/>
        <v>#NAME?</v>
      </c>
      <c r="BV71" s="26" t="e">
        <f ca="1"/>
        <v>#NAME?</v>
      </c>
      <c r="BW71" s="26" t="e">
        <f ca="1"/>
        <v>#NAME?</v>
      </c>
      <c r="CB71" s="24" t="e">
        <f ca="1"/>
        <v>#NAME?</v>
      </c>
      <c r="CC71" s="20" t="e">
        <f ca="1"/>
        <v>#NAME?</v>
      </c>
      <c r="CD71" s="20" t="e">
        <f ca="1"/>
        <v>#NAME?</v>
      </c>
    </row>
    <row r="72" spans="2:82">
      <c r="B72" s="27" t="e">
        <f ca="1"/>
        <v>#NAME?</v>
      </c>
      <c r="C72" s="27" t="e">
        <f ca="1"/>
        <v>#NAME?</v>
      </c>
      <c r="D72" s="27" t="e">
        <f ca="1"/>
        <v>#NAME?</v>
      </c>
      <c r="E72" s="20" t="e">
        <f ca="1"/>
        <v>#NAME?</v>
      </c>
      <c r="F72" s="20" t="e">
        <f ca="1"/>
        <v>#NAME?</v>
      </c>
      <c r="BR72" s="26" t="e">
        <f ca="1"/>
        <v>#NAME?</v>
      </c>
      <c r="BS72" s="26" t="e">
        <f ca="1"/>
        <v>#NAME?</v>
      </c>
      <c r="BT72" s="26" t="e">
        <f ca="1"/>
        <v>#NAME?</v>
      </c>
      <c r="BU72" s="26" t="e">
        <f ca="1"/>
        <v>#NAME?</v>
      </c>
      <c r="BV72" s="26" t="e">
        <f ca="1"/>
        <v>#NAME?</v>
      </c>
      <c r="BW72" s="26" t="e">
        <f ca="1"/>
        <v>#NAME?</v>
      </c>
      <c r="CB72" s="24" t="e">
        <f ca="1"/>
        <v>#NAME?</v>
      </c>
      <c r="CC72" s="20" t="e">
        <f ca="1"/>
        <v>#NAME?</v>
      </c>
      <c r="CD72" s="20" t="e">
        <f ca="1"/>
        <v>#NAME?</v>
      </c>
    </row>
    <row r="73" spans="2:82">
      <c r="B73" s="27" t="e">
        <f ca="1"/>
        <v>#NAME?</v>
      </c>
      <c r="C73" s="27" t="e">
        <f ca="1"/>
        <v>#NAME?</v>
      </c>
      <c r="D73" s="27" t="e">
        <f ca="1"/>
        <v>#NAME?</v>
      </c>
      <c r="E73" s="20" t="e">
        <f ca="1"/>
        <v>#NAME?</v>
      </c>
      <c r="F73" s="20" t="e">
        <f ca="1"/>
        <v>#NAME?</v>
      </c>
      <c r="BR73" s="26" t="e">
        <f ca="1"/>
        <v>#NAME?</v>
      </c>
      <c r="BS73" s="26" t="e">
        <f ca="1"/>
        <v>#NAME?</v>
      </c>
      <c r="BT73" s="26" t="e">
        <f ca="1"/>
        <v>#NAME?</v>
      </c>
      <c r="BU73" s="26" t="e">
        <f ca="1"/>
        <v>#NAME?</v>
      </c>
      <c r="BV73" s="26" t="e">
        <f ca="1"/>
        <v>#NAME?</v>
      </c>
      <c r="BW73" s="26" t="e">
        <f ca="1"/>
        <v>#NAME?</v>
      </c>
      <c r="CB73" s="24" t="e">
        <f ca="1"/>
        <v>#NAME?</v>
      </c>
      <c r="CC73" s="20" t="e">
        <f ca="1"/>
        <v>#NAME?</v>
      </c>
      <c r="CD73" s="20" t="e">
        <f ca="1"/>
        <v>#NAME?</v>
      </c>
    </row>
    <row r="74" spans="2:82">
      <c r="B74" s="27" t="e">
        <f ca="1"/>
        <v>#NAME?</v>
      </c>
      <c r="C74" s="27" t="e">
        <f ca="1"/>
        <v>#NAME?</v>
      </c>
      <c r="D74" s="27" t="e">
        <f ca="1"/>
        <v>#NAME?</v>
      </c>
      <c r="E74" s="20" t="e">
        <f ca="1"/>
        <v>#NAME?</v>
      </c>
      <c r="F74" s="20" t="e">
        <f ca="1"/>
        <v>#NAME?</v>
      </c>
      <c r="BR74" s="26" t="e">
        <f ca="1"/>
        <v>#NAME?</v>
      </c>
      <c r="BS74" s="26" t="e">
        <f ca="1"/>
        <v>#NAME?</v>
      </c>
      <c r="BT74" s="26" t="e">
        <f ca="1"/>
        <v>#NAME?</v>
      </c>
      <c r="BU74" s="26" t="e">
        <f ca="1"/>
        <v>#NAME?</v>
      </c>
      <c r="BV74" s="26" t="e">
        <f ca="1"/>
        <v>#NAME?</v>
      </c>
      <c r="BW74" s="26" t="e">
        <f ca="1"/>
        <v>#NAME?</v>
      </c>
      <c r="CB74" s="24" t="e">
        <f ca="1"/>
        <v>#NAME?</v>
      </c>
      <c r="CC74" s="20" t="e">
        <f ca="1"/>
        <v>#NAME?</v>
      </c>
      <c r="CD74" s="20" t="e">
        <f ca="1"/>
        <v>#NAME?</v>
      </c>
    </row>
    <row r="75" spans="2:82">
      <c r="B75" s="27" t="e">
        <f ca="1"/>
        <v>#NAME?</v>
      </c>
      <c r="C75" s="27" t="e">
        <f ca="1"/>
        <v>#NAME?</v>
      </c>
      <c r="D75" s="27" t="e">
        <f ca="1"/>
        <v>#NAME?</v>
      </c>
      <c r="E75" s="20" t="e">
        <f ca="1"/>
        <v>#NAME?</v>
      </c>
      <c r="F75" s="20" t="e">
        <f ca="1"/>
        <v>#NAME?</v>
      </c>
      <c r="BR75" s="26" t="e">
        <f ca="1"/>
        <v>#NAME?</v>
      </c>
      <c r="BS75" s="26" t="e">
        <f ca="1"/>
        <v>#NAME?</v>
      </c>
      <c r="BT75" s="26" t="e">
        <f ca="1"/>
        <v>#NAME?</v>
      </c>
      <c r="BU75" s="26" t="e">
        <f ca="1"/>
        <v>#NAME?</v>
      </c>
      <c r="BV75" s="26" t="e">
        <f ca="1"/>
        <v>#NAME?</v>
      </c>
      <c r="BW75" s="26" t="e">
        <f ca="1"/>
        <v>#NAME?</v>
      </c>
      <c r="CB75" s="24" t="e">
        <f ca="1"/>
        <v>#NAME?</v>
      </c>
      <c r="CC75" s="20" t="e">
        <f ca="1"/>
        <v>#NAME?</v>
      </c>
      <c r="CD75" s="20" t="e">
        <f ca="1"/>
        <v>#NAME?</v>
      </c>
    </row>
    <row r="76" spans="2:82">
      <c r="B76" s="27" t="e">
        <f ca="1"/>
        <v>#NAME?</v>
      </c>
      <c r="C76" s="27" t="e">
        <f ca="1"/>
        <v>#NAME?</v>
      </c>
      <c r="D76" s="27" t="e">
        <f ca="1"/>
        <v>#NAME?</v>
      </c>
      <c r="E76" s="20" t="e">
        <f ca="1"/>
        <v>#NAME?</v>
      </c>
      <c r="F76" s="20" t="e">
        <f ca="1"/>
        <v>#NAME?</v>
      </c>
      <c r="BR76" s="26" t="e">
        <f ca="1"/>
        <v>#NAME?</v>
      </c>
      <c r="BS76" s="26" t="e">
        <f ca="1"/>
        <v>#NAME?</v>
      </c>
      <c r="BT76" s="26" t="e">
        <f ca="1"/>
        <v>#NAME?</v>
      </c>
      <c r="BU76" s="26" t="e">
        <f ca="1"/>
        <v>#NAME?</v>
      </c>
      <c r="BV76" s="26" t="e">
        <f ca="1"/>
        <v>#NAME?</v>
      </c>
      <c r="BW76" s="26" t="e">
        <f ca="1"/>
        <v>#NAME?</v>
      </c>
      <c r="CB76" s="24" t="e">
        <f ca="1"/>
        <v>#NAME?</v>
      </c>
      <c r="CC76" s="20" t="e">
        <f ca="1"/>
        <v>#NAME?</v>
      </c>
      <c r="CD76" s="20" t="e">
        <f ca="1"/>
        <v>#NAME?</v>
      </c>
    </row>
    <row r="77" spans="2:82">
      <c r="B77" s="27" t="e">
        <f ca="1"/>
        <v>#NAME?</v>
      </c>
      <c r="C77" s="27" t="e">
        <f ca="1"/>
        <v>#NAME?</v>
      </c>
      <c r="D77" s="27" t="e">
        <f ca="1"/>
        <v>#NAME?</v>
      </c>
      <c r="E77" s="20" t="e">
        <f ca="1"/>
        <v>#NAME?</v>
      </c>
      <c r="F77" s="20" t="e">
        <f ca="1"/>
        <v>#NAME?</v>
      </c>
      <c r="BR77" s="26" t="e">
        <f ca="1"/>
        <v>#NAME?</v>
      </c>
      <c r="BS77" s="26" t="e">
        <f ca="1"/>
        <v>#NAME?</v>
      </c>
      <c r="BT77" s="26" t="e">
        <f ca="1"/>
        <v>#NAME?</v>
      </c>
      <c r="BU77" s="26" t="e">
        <f ca="1"/>
        <v>#NAME?</v>
      </c>
      <c r="BV77" s="26" t="e">
        <f ca="1"/>
        <v>#NAME?</v>
      </c>
      <c r="BW77" s="26" t="e">
        <f ca="1"/>
        <v>#NAME?</v>
      </c>
      <c r="CB77" s="24" t="e">
        <f ca="1"/>
        <v>#NAME?</v>
      </c>
      <c r="CC77" s="20" t="e">
        <f ca="1"/>
        <v>#NAME?</v>
      </c>
      <c r="CD77" s="20" t="e">
        <f ca="1"/>
        <v>#NAME?</v>
      </c>
    </row>
    <row r="78" spans="2:82">
      <c r="B78" s="27" t="e">
        <f ca="1"/>
        <v>#NAME?</v>
      </c>
      <c r="C78" s="27" t="e">
        <f ca="1"/>
        <v>#NAME?</v>
      </c>
      <c r="D78" s="27" t="e">
        <f ca="1"/>
        <v>#NAME?</v>
      </c>
      <c r="E78" s="20" t="e">
        <f ca="1"/>
        <v>#NAME?</v>
      </c>
      <c r="F78" s="20" t="e">
        <f ca="1"/>
        <v>#NAME?</v>
      </c>
      <c r="BR78" s="26" t="e">
        <f ca="1"/>
        <v>#NAME?</v>
      </c>
      <c r="BS78" s="26" t="e">
        <f ca="1"/>
        <v>#NAME?</v>
      </c>
      <c r="BT78" s="26" t="e">
        <f ca="1"/>
        <v>#NAME?</v>
      </c>
      <c r="BU78" s="26" t="e">
        <f ca="1"/>
        <v>#NAME?</v>
      </c>
      <c r="BV78" s="26" t="e">
        <f ca="1"/>
        <v>#NAME?</v>
      </c>
      <c r="BW78" s="26" t="e">
        <f ca="1"/>
        <v>#NAME?</v>
      </c>
      <c r="CB78" s="24" t="e">
        <f ca="1"/>
        <v>#NAME?</v>
      </c>
      <c r="CC78" s="20" t="e">
        <f ca="1"/>
        <v>#NAME?</v>
      </c>
      <c r="CD78" s="20" t="e">
        <f ca="1"/>
        <v>#NAME?</v>
      </c>
    </row>
    <row r="79" spans="2:82">
      <c r="B79" s="27" t="e">
        <f ca="1"/>
        <v>#NAME?</v>
      </c>
      <c r="C79" s="27" t="e">
        <f ca="1"/>
        <v>#NAME?</v>
      </c>
      <c r="D79" s="27" t="e">
        <f ca="1"/>
        <v>#NAME?</v>
      </c>
      <c r="E79" s="20" t="e">
        <f ca="1"/>
        <v>#NAME?</v>
      </c>
      <c r="F79" s="20" t="e">
        <f ca="1"/>
        <v>#NAME?</v>
      </c>
      <c r="BR79" s="26" t="e">
        <f ca="1"/>
        <v>#NAME?</v>
      </c>
      <c r="BS79" s="26" t="e">
        <f ca="1"/>
        <v>#NAME?</v>
      </c>
      <c r="BT79" s="26" t="e">
        <f ca="1"/>
        <v>#NAME?</v>
      </c>
      <c r="BU79" s="26" t="e">
        <f ca="1"/>
        <v>#NAME?</v>
      </c>
      <c r="BV79" s="26" t="e">
        <f ca="1"/>
        <v>#NAME?</v>
      </c>
      <c r="BW79" s="26" t="e">
        <f ca="1"/>
        <v>#NAME?</v>
      </c>
      <c r="CB79" s="24" t="e">
        <f ca="1"/>
        <v>#NAME?</v>
      </c>
      <c r="CC79" s="20" t="e">
        <f ca="1"/>
        <v>#NAME?</v>
      </c>
      <c r="CD79" s="20" t="e">
        <f ca="1"/>
        <v>#NAME?</v>
      </c>
    </row>
    <row r="80" spans="2:82">
      <c r="B80" s="27" t="e">
        <f ca="1"/>
        <v>#NAME?</v>
      </c>
      <c r="C80" s="27" t="e">
        <f ca="1"/>
        <v>#NAME?</v>
      </c>
      <c r="D80" s="27" t="e">
        <f ca="1"/>
        <v>#NAME?</v>
      </c>
      <c r="E80" s="20" t="e">
        <f ca="1"/>
        <v>#NAME?</v>
      </c>
      <c r="F80" s="20" t="e">
        <f ca="1"/>
        <v>#NAME?</v>
      </c>
      <c r="BR80" s="26" t="e">
        <f ca="1"/>
        <v>#NAME?</v>
      </c>
      <c r="BS80" s="26" t="e">
        <f ca="1"/>
        <v>#NAME?</v>
      </c>
      <c r="BT80" s="26" t="e">
        <f ca="1"/>
        <v>#NAME?</v>
      </c>
      <c r="BU80" s="26" t="e">
        <f ca="1"/>
        <v>#NAME?</v>
      </c>
      <c r="BV80" s="26" t="e">
        <f ca="1"/>
        <v>#NAME?</v>
      </c>
      <c r="BW80" s="26" t="e">
        <f ca="1"/>
        <v>#NAME?</v>
      </c>
      <c r="CB80" s="24" t="e">
        <f ca="1"/>
        <v>#NAME?</v>
      </c>
      <c r="CC80" s="20" t="e">
        <f ca="1"/>
        <v>#NAME?</v>
      </c>
      <c r="CD80" s="20" t="e">
        <f ca="1"/>
        <v>#NAME?</v>
      </c>
    </row>
    <row r="81" spans="2:82">
      <c r="B81" s="27" t="e">
        <f ca="1"/>
        <v>#NAME?</v>
      </c>
      <c r="C81" s="27" t="e">
        <f ca="1"/>
        <v>#NAME?</v>
      </c>
      <c r="D81" s="27" t="e">
        <f ca="1"/>
        <v>#NAME?</v>
      </c>
      <c r="E81" s="20" t="e">
        <f ca="1"/>
        <v>#NAME?</v>
      </c>
      <c r="F81" s="20" t="e">
        <f ca="1"/>
        <v>#NAME?</v>
      </c>
      <c r="BR81" s="26" t="e">
        <f ca="1"/>
        <v>#NAME?</v>
      </c>
      <c r="BS81" s="26" t="e">
        <f ca="1"/>
        <v>#NAME?</v>
      </c>
      <c r="BT81" s="26" t="e">
        <f ca="1"/>
        <v>#NAME?</v>
      </c>
      <c r="BU81" s="26" t="e">
        <f ca="1"/>
        <v>#NAME?</v>
      </c>
      <c r="BV81" s="26" t="e">
        <f ca="1"/>
        <v>#NAME?</v>
      </c>
      <c r="BW81" s="26" t="e">
        <f ca="1"/>
        <v>#NAME?</v>
      </c>
      <c r="CB81" s="24" t="e">
        <f ca="1"/>
        <v>#NAME?</v>
      </c>
      <c r="CC81" s="20" t="e">
        <f ca="1"/>
        <v>#NAME?</v>
      </c>
      <c r="CD81" s="20" t="e">
        <f ca="1"/>
        <v>#NAME?</v>
      </c>
    </row>
    <row r="82" spans="2:82">
      <c r="B82" s="27" t="e">
        <f ca="1"/>
        <v>#NAME?</v>
      </c>
      <c r="C82" s="27" t="e">
        <f ca="1"/>
        <v>#NAME?</v>
      </c>
      <c r="D82" s="27" t="e">
        <f ca="1"/>
        <v>#NAME?</v>
      </c>
      <c r="E82" s="20" t="e">
        <f ca="1"/>
        <v>#NAME?</v>
      </c>
      <c r="F82" s="20" t="e">
        <f ca="1"/>
        <v>#NAME?</v>
      </c>
      <c r="BR82" s="26" t="e">
        <f ca="1"/>
        <v>#NAME?</v>
      </c>
      <c r="BS82" s="26" t="e">
        <f ca="1"/>
        <v>#NAME?</v>
      </c>
      <c r="BT82" s="26" t="e">
        <f ca="1"/>
        <v>#NAME?</v>
      </c>
      <c r="BU82" s="26" t="e">
        <f ca="1"/>
        <v>#NAME?</v>
      </c>
      <c r="BV82" s="26" t="e">
        <f ca="1"/>
        <v>#NAME?</v>
      </c>
      <c r="BW82" s="26" t="e">
        <f ca="1"/>
        <v>#NAME?</v>
      </c>
      <c r="CB82" s="24" t="e">
        <f ca="1"/>
        <v>#NAME?</v>
      </c>
      <c r="CC82" s="20" t="e">
        <f ca="1"/>
        <v>#NAME?</v>
      </c>
      <c r="CD82" s="20" t="e">
        <f ca="1"/>
        <v>#NAME?</v>
      </c>
    </row>
    <row r="83" spans="2:82">
      <c r="B83" s="27" t="e">
        <f ca="1"/>
        <v>#NAME?</v>
      </c>
      <c r="C83" s="27" t="e">
        <f ca="1"/>
        <v>#NAME?</v>
      </c>
      <c r="D83" s="27" t="e">
        <f ca="1"/>
        <v>#NAME?</v>
      </c>
      <c r="E83" s="20" t="e">
        <f ca="1"/>
        <v>#NAME?</v>
      </c>
      <c r="F83" s="20" t="e">
        <f ca="1"/>
        <v>#NAME?</v>
      </c>
      <c r="BR83" s="26" t="e">
        <f ca="1"/>
        <v>#NAME?</v>
      </c>
      <c r="BS83" s="26" t="e">
        <f ca="1"/>
        <v>#NAME?</v>
      </c>
      <c r="BT83" s="26" t="e">
        <f ca="1"/>
        <v>#NAME?</v>
      </c>
      <c r="BU83" s="26" t="e">
        <f ca="1"/>
        <v>#NAME?</v>
      </c>
      <c r="BV83" s="26" t="e">
        <f ca="1"/>
        <v>#NAME?</v>
      </c>
      <c r="BW83" s="26" t="e">
        <f ca="1"/>
        <v>#NAME?</v>
      </c>
      <c r="CB83" s="24" t="e">
        <f ca="1"/>
        <v>#NAME?</v>
      </c>
      <c r="CC83" s="20" t="e">
        <f ca="1"/>
        <v>#NAME?</v>
      </c>
      <c r="CD83" s="20" t="e">
        <f ca="1"/>
        <v>#NAME?</v>
      </c>
    </row>
    <row r="84" spans="2:82">
      <c r="B84" s="27" t="e">
        <f ca="1"/>
        <v>#NAME?</v>
      </c>
      <c r="C84" s="27" t="e">
        <f ca="1"/>
        <v>#NAME?</v>
      </c>
      <c r="D84" s="27" t="e">
        <f ca="1"/>
        <v>#NAME?</v>
      </c>
      <c r="E84" s="20" t="e">
        <f ca="1"/>
        <v>#NAME?</v>
      </c>
      <c r="F84" s="20" t="e">
        <f ca="1"/>
        <v>#NAME?</v>
      </c>
      <c r="BR84" s="26" t="e">
        <f ca="1"/>
        <v>#NAME?</v>
      </c>
      <c r="BS84" s="26" t="e">
        <f ca="1"/>
        <v>#NAME?</v>
      </c>
      <c r="BT84" s="26" t="e">
        <f ca="1"/>
        <v>#NAME?</v>
      </c>
      <c r="BU84" s="26" t="e">
        <f ca="1"/>
        <v>#NAME?</v>
      </c>
      <c r="BV84" s="26" t="e">
        <f ca="1"/>
        <v>#NAME?</v>
      </c>
      <c r="BW84" s="26" t="e">
        <f ca="1"/>
        <v>#NAME?</v>
      </c>
      <c r="CB84" s="24" t="e">
        <f ca="1"/>
        <v>#NAME?</v>
      </c>
      <c r="CC84" s="20" t="e">
        <f ca="1"/>
        <v>#NAME?</v>
      </c>
      <c r="CD84" s="20" t="e">
        <f ca="1"/>
        <v>#NAME?</v>
      </c>
    </row>
    <row r="85" spans="2:82">
      <c r="B85" s="27" t="e">
        <f ca="1"/>
        <v>#NAME?</v>
      </c>
      <c r="C85" s="27" t="e">
        <f ca="1"/>
        <v>#NAME?</v>
      </c>
      <c r="D85" s="27" t="e">
        <f ca="1"/>
        <v>#NAME?</v>
      </c>
      <c r="E85" s="20" t="e">
        <f ca="1"/>
        <v>#NAME?</v>
      </c>
      <c r="F85" s="20" t="e">
        <f ca="1"/>
        <v>#NAME?</v>
      </c>
      <c r="BR85" s="26" t="e">
        <f ca="1"/>
        <v>#NAME?</v>
      </c>
      <c r="BS85" s="26" t="e">
        <f ca="1"/>
        <v>#NAME?</v>
      </c>
      <c r="BT85" s="26" t="e">
        <f ca="1"/>
        <v>#NAME?</v>
      </c>
      <c r="BU85" s="26" t="e">
        <f ca="1"/>
        <v>#NAME?</v>
      </c>
      <c r="BV85" s="26" t="e">
        <f ca="1"/>
        <v>#NAME?</v>
      </c>
      <c r="BW85" s="26" t="e">
        <f ca="1"/>
        <v>#NAME?</v>
      </c>
      <c r="CB85" s="24" t="e">
        <f ca="1"/>
        <v>#NAME?</v>
      </c>
      <c r="CC85" s="20" t="e">
        <f ca="1"/>
        <v>#NAME?</v>
      </c>
      <c r="CD85" s="20" t="e">
        <f ca="1"/>
        <v>#NAME?</v>
      </c>
    </row>
    <row r="86" spans="2:82">
      <c r="B86" s="27" t="e">
        <f ca="1"/>
        <v>#NAME?</v>
      </c>
      <c r="C86" s="27" t="e">
        <f ca="1"/>
        <v>#NAME?</v>
      </c>
      <c r="D86" s="27" t="e">
        <f ca="1"/>
        <v>#NAME?</v>
      </c>
      <c r="E86" s="20" t="e">
        <f ca="1"/>
        <v>#NAME?</v>
      </c>
      <c r="F86" s="20" t="e">
        <f ca="1"/>
        <v>#NAME?</v>
      </c>
      <c r="BR86" s="26" t="e">
        <f ca="1"/>
        <v>#NAME?</v>
      </c>
      <c r="BS86" s="26" t="e">
        <f ca="1"/>
        <v>#NAME?</v>
      </c>
      <c r="BT86" s="26" t="e">
        <f ca="1"/>
        <v>#NAME?</v>
      </c>
      <c r="BU86" s="26" t="e">
        <f ca="1"/>
        <v>#NAME?</v>
      </c>
      <c r="BV86" s="26" t="e">
        <f ca="1"/>
        <v>#NAME?</v>
      </c>
      <c r="BW86" s="26" t="e">
        <f ca="1"/>
        <v>#NAME?</v>
      </c>
      <c r="CB86" s="24" t="e">
        <f ca="1"/>
        <v>#NAME?</v>
      </c>
      <c r="CC86" s="20" t="e">
        <f ca="1"/>
        <v>#NAME?</v>
      </c>
      <c r="CD86" s="20" t="e">
        <f ca="1"/>
        <v>#NAME?</v>
      </c>
    </row>
    <row r="87" spans="2:82">
      <c r="B87" s="27" t="e">
        <f ca="1"/>
        <v>#NAME?</v>
      </c>
      <c r="C87" s="27" t="e">
        <f ca="1"/>
        <v>#NAME?</v>
      </c>
      <c r="D87" s="27" t="e">
        <f ca="1"/>
        <v>#NAME?</v>
      </c>
      <c r="E87" s="20" t="e">
        <f ca="1"/>
        <v>#NAME?</v>
      </c>
      <c r="F87" s="20" t="e">
        <f ca="1"/>
        <v>#NAME?</v>
      </c>
      <c r="BR87" s="26" t="e">
        <f ca="1"/>
        <v>#NAME?</v>
      </c>
      <c r="BS87" s="26" t="e">
        <f ca="1"/>
        <v>#NAME?</v>
      </c>
      <c r="BT87" s="26" t="e">
        <f ca="1"/>
        <v>#NAME?</v>
      </c>
      <c r="BU87" s="26" t="e">
        <f ca="1"/>
        <v>#NAME?</v>
      </c>
      <c r="BV87" s="26" t="e">
        <f ca="1"/>
        <v>#NAME?</v>
      </c>
      <c r="BW87" s="26" t="e">
        <f ca="1"/>
        <v>#NAME?</v>
      </c>
      <c r="CB87" s="24" t="e">
        <f ca="1"/>
        <v>#NAME?</v>
      </c>
      <c r="CC87" s="20" t="e">
        <f ca="1"/>
        <v>#NAME?</v>
      </c>
      <c r="CD87" s="20" t="e">
        <f ca="1"/>
        <v>#NAME?</v>
      </c>
    </row>
    <row r="88" spans="2:82">
      <c r="B88" s="27" t="e">
        <f ca="1"/>
        <v>#NAME?</v>
      </c>
      <c r="C88" s="27" t="e">
        <f ca="1"/>
        <v>#NAME?</v>
      </c>
      <c r="D88" s="27" t="e">
        <f ca="1"/>
        <v>#NAME?</v>
      </c>
      <c r="E88" s="20" t="e">
        <f ca="1"/>
        <v>#NAME?</v>
      </c>
      <c r="F88" s="20" t="e">
        <f ca="1"/>
        <v>#NAME?</v>
      </c>
      <c r="BR88" s="26" t="e">
        <f ca="1"/>
        <v>#NAME?</v>
      </c>
      <c r="BS88" s="26" t="e">
        <f ca="1"/>
        <v>#NAME?</v>
      </c>
      <c r="BT88" s="26" t="e">
        <f ca="1"/>
        <v>#NAME?</v>
      </c>
      <c r="BU88" s="26" t="e">
        <f ca="1"/>
        <v>#NAME?</v>
      </c>
      <c r="BV88" s="26" t="e">
        <f ca="1"/>
        <v>#NAME?</v>
      </c>
      <c r="BW88" s="26" t="e">
        <f ca="1"/>
        <v>#NAME?</v>
      </c>
      <c r="CB88" s="24" t="e">
        <f ca="1"/>
        <v>#NAME?</v>
      </c>
      <c r="CC88" s="20" t="e">
        <f ca="1"/>
        <v>#NAME?</v>
      </c>
      <c r="CD88" s="20" t="e">
        <f ca="1"/>
        <v>#NAME?</v>
      </c>
    </row>
    <row r="89" spans="2:82">
      <c r="B89" s="27" t="e">
        <f ca="1"/>
        <v>#NAME?</v>
      </c>
      <c r="C89" s="27" t="e">
        <f ca="1"/>
        <v>#NAME?</v>
      </c>
      <c r="D89" s="27" t="e">
        <f ca="1"/>
        <v>#NAME?</v>
      </c>
      <c r="E89" s="20" t="e">
        <f ca="1"/>
        <v>#NAME?</v>
      </c>
      <c r="F89" s="20" t="e">
        <f ca="1"/>
        <v>#NAME?</v>
      </c>
      <c r="BR89" s="26" t="e">
        <f ca="1"/>
        <v>#NAME?</v>
      </c>
      <c r="BS89" s="26" t="e">
        <f ca="1"/>
        <v>#NAME?</v>
      </c>
      <c r="BT89" s="26" t="e">
        <f ca="1"/>
        <v>#NAME?</v>
      </c>
      <c r="BU89" s="26" t="e">
        <f ca="1"/>
        <v>#NAME?</v>
      </c>
      <c r="BV89" s="26" t="e">
        <f ca="1"/>
        <v>#NAME?</v>
      </c>
      <c r="BW89" s="26" t="e">
        <f ca="1"/>
        <v>#NAME?</v>
      </c>
      <c r="CB89" s="24" t="e">
        <f ca="1"/>
        <v>#NAME?</v>
      </c>
      <c r="CC89" s="20" t="e">
        <f ca="1"/>
        <v>#NAME?</v>
      </c>
      <c r="CD89" s="20" t="e">
        <f ca="1"/>
        <v>#NAME?</v>
      </c>
    </row>
    <row r="90" spans="2:82">
      <c r="B90" s="27" t="e">
        <f ca="1"/>
        <v>#NAME?</v>
      </c>
      <c r="C90" s="27" t="e">
        <f ca="1"/>
        <v>#NAME?</v>
      </c>
      <c r="D90" s="27" t="e">
        <f ca="1"/>
        <v>#NAME?</v>
      </c>
      <c r="E90" s="20" t="e">
        <f ca="1"/>
        <v>#NAME?</v>
      </c>
      <c r="F90" s="20" t="e">
        <f ca="1"/>
        <v>#NAME?</v>
      </c>
      <c r="BR90" s="26" t="e">
        <f ca="1"/>
        <v>#NAME?</v>
      </c>
      <c r="BS90" s="26" t="e">
        <f ca="1"/>
        <v>#NAME?</v>
      </c>
      <c r="BT90" s="26" t="e">
        <f ca="1"/>
        <v>#NAME?</v>
      </c>
      <c r="BU90" s="26" t="e">
        <f ca="1"/>
        <v>#NAME?</v>
      </c>
      <c r="BV90" s="26" t="e">
        <f ca="1"/>
        <v>#NAME?</v>
      </c>
      <c r="BW90" s="26" t="e">
        <f ca="1"/>
        <v>#NAME?</v>
      </c>
      <c r="CB90" s="24" t="e">
        <f ca="1"/>
        <v>#NAME?</v>
      </c>
      <c r="CC90" s="20" t="e">
        <f ca="1"/>
        <v>#NAME?</v>
      </c>
      <c r="CD90" s="20" t="e">
        <f ca="1"/>
        <v>#NAME?</v>
      </c>
    </row>
    <row r="91" spans="2:82">
      <c r="B91" s="27" t="e">
        <f ca="1"/>
        <v>#NAME?</v>
      </c>
      <c r="C91" s="27" t="e">
        <f ca="1"/>
        <v>#NAME?</v>
      </c>
      <c r="D91" s="27" t="e">
        <f ca="1"/>
        <v>#NAME?</v>
      </c>
      <c r="E91" s="20" t="e">
        <f ca="1"/>
        <v>#NAME?</v>
      </c>
      <c r="F91" s="20" t="e">
        <f ca="1"/>
        <v>#NAME?</v>
      </c>
      <c r="BR91" s="26" t="e">
        <f ca="1"/>
        <v>#NAME?</v>
      </c>
      <c r="BS91" s="26" t="e">
        <f ca="1"/>
        <v>#NAME?</v>
      </c>
      <c r="BT91" s="26" t="e">
        <f ca="1"/>
        <v>#NAME?</v>
      </c>
      <c r="BU91" s="26" t="e">
        <f ca="1"/>
        <v>#NAME?</v>
      </c>
      <c r="BV91" s="26" t="e">
        <f ca="1"/>
        <v>#NAME?</v>
      </c>
      <c r="BW91" s="26" t="e">
        <f ca="1"/>
        <v>#NAME?</v>
      </c>
      <c r="CB91" s="24" t="e">
        <f ca="1"/>
        <v>#NAME?</v>
      </c>
      <c r="CC91" s="20" t="e">
        <f ca="1"/>
        <v>#NAME?</v>
      </c>
      <c r="CD91" s="20" t="e">
        <f ca="1"/>
        <v>#NAME?</v>
      </c>
    </row>
    <row r="92" spans="2:82">
      <c r="B92" s="27" t="e">
        <f ca="1"/>
        <v>#NAME?</v>
      </c>
      <c r="C92" s="27" t="e">
        <f ca="1"/>
        <v>#NAME?</v>
      </c>
      <c r="D92" s="27" t="e">
        <f ca="1"/>
        <v>#NAME?</v>
      </c>
      <c r="E92" s="20" t="e">
        <f ca="1"/>
        <v>#NAME?</v>
      </c>
      <c r="F92" s="20" t="e">
        <f ca="1"/>
        <v>#NAME?</v>
      </c>
      <c r="BR92" s="26" t="e">
        <f ca="1"/>
        <v>#NAME?</v>
      </c>
      <c r="BS92" s="26" t="e">
        <f ca="1"/>
        <v>#NAME?</v>
      </c>
      <c r="BT92" s="26" t="e">
        <f ca="1"/>
        <v>#NAME?</v>
      </c>
      <c r="BU92" s="26" t="e">
        <f ca="1"/>
        <v>#NAME?</v>
      </c>
      <c r="BV92" s="26" t="e">
        <f ca="1"/>
        <v>#NAME?</v>
      </c>
      <c r="BW92" s="26" t="e">
        <f ca="1"/>
        <v>#NAME?</v>
      </c>
      <c r="CB92" s="24" t="e">
        <f ca="1"/>
        <v>#NAME?</v>
      </c>
      <c r="CC92" s="20" t="e">
        <f ca="1"/>
        <v>#NAME?</v>
      </c>
      <c r="CD92" s="20" t="e">
        <f ca="1"/>
        <v>#NAME?</v>
      </c>
    </row>
    <row r="93" spans="2:82">
      <c r="B93" s="27" t="e">
        <f ca="1"/>
        <v>#NAME?</v>
      </c>
      <c r="C93" s="27" t="e">
        <f ca="1"/>
        <v>#NAME?</v>
      </c>
      <c r="D93" s="27" t="e">
        <f ca="1"/>
        <v>#NAME?</v>
      </c>
      <c r="E93" s="20" t="e">
        <f ca="1"/>
        <v>#NAME?</v>
      </c>
      <c r="F93" s="20" t="e">
        <f ca="1"/>
        <v>#NAME?</v>
      </c>
      <c r="BR93" s="26" t="e">
        <f ca="1"/>
        <v>#NAME?</v>
      </c>
      <c r="BS93" s="26" t="e">
        <f ca="1"/>
        <v>#NAME?</v>
      </c>
      <c r="BT93" s="26" t="e">
        <f ca="1"/>
        <v>#NAME?</v>
      </c>
      <c r="BU93" s="26" t="e">
        <f ca="1"/>
        <v>#NAME?</v>
      </c>
      <c r="BV93" s="26" t="e">
        <f ca="1"/>
        <v>#NAME?</v>
      </c>
      <c r="BW93" s="26" t="e">
        <f ca="1"/>
        <v>#NAME?</v>
      </c>
      <c r="CB93" s="24" t="e">
        <f ca="1"/>
        <v>#NAME?</v>
      </c>
      <c r="CC93" s="20" t="e">
        <f ca="1"/>
        <v>#NAME?</v>
      </c>
      <c r="CD93" s="20" t="e">
        <f ca="1"/>
        <v>#NAME?</v>
      </c>
    </row>
    <row r="94" spans="2:82">
      <c r="B94" s="27" t="e">
        <f ca="1"/>
        <v>#NAME?</v>
      </c>
      <c r="C94" s="27" t="e">
        <f ca="1"/>
        <v>#NAME?</v>
      </c>
      <c r="D94" s="27" t="e">
        <f ca="1"/>
        <v>#NAME?</v>
      </c>
      <c r="E94" s="20" t="e">
        <f ca="1"/>
        <v>#NAME?</v>
      </c>
      <c r="F94" s="20" t="e">
        <f ca="1"/>
        <v>#NAME?</v>
      </c>
      <c r="BR94" s="26" t="e">
        <f ca="1"/>
        <v>#NAME?</v>
      </c>
      <c r="BS94" s="26" t="e">
        <f ca="1"/>
        <v>#NAME?</v>
      </c>
      <c r="BT94" s="26" t="e">
        <f ca="1"/>
        <v>#NAME?</v>
      </c>
      <c r="BU94" s="26" t="e">
        <f ca="1"/>
        <v>#NAME?</v>
      </c>
      <c r="BV94" s="26" t="e">
        <f ca="1"/>
        <v>#NAME?</v>
      </c>
      <c r="BW94" s="26" t="e">
        <f ca="1"/>
        <v>#NAME?</v>
      </c>
      <c r="CB94" s="24" t="e">
        <f ca="1"/>
        <v>#NAME?</v>
      </c>
      <c r="CC94" s="20" t="e">
        <f ca="1"/>
        <v>#NAME?</v>
      </c>
      <c r="CD94" s="20" t="e">
        <f ca="1"/>
        <v>#NAME?</v>
      </c>
    </row>
    <row r="95" spans="2:82">
      <c r="B95" s="27" t="e">
        <f ca="1"/>
        <v>#NAME?</v>
      </c>
      <c r="C95" s="27" t="e">
        <f ca="1"/>
        <v>#NAME?</v>
      </c>
      <c r="D95" s="27" t="e">
        <f ca="1"/>
        <v>#NAME?</v>
      </c>
      <c r="E95" s="20" t="e">
        <f ca="1"/>
        <v>#NAME?</v>
      </c>
      <c r="F95" s="20" t="e">
        <f ca="1"/>
        <v>#NAME?</v>
      </c>
      <c r="BR95" s="26" t="e">
        <f ca="1"/>
        <v>#NAME?</v>
      </c>
      <c r="BS95" s="26" t="e">
        <f ca="1"/>
        <v>#NAME?</v>
      </c>
      <c r="BT95" s="26" t="e">
        <f ca="1"/>
        <v>#NAME?</v>
      </c>
      <c r="BU95" s="26" t="e">
        <f ca="1"/>
        <v>#NAME?</v>
      </c>
      <c r="BV95" s="26" t="e">
        <f ca="1"/>
        <v>#NAME?</v>
      </c>
      <c r="BW95" s="26" t="e">
        <f ca="1"/>
        <v>#NAME?</v>
      </c>
      <c r="CB95" s="24" t="e">
        <f ca="1"/>
        <v>#NAME?</v>
      </c>
      <c r="CC95" s="20" t="e">
        <f ca="1"/>
        <v>#NAME?</v>
      </c>
      <c r="CD95" s="20" t="e">
        <f ca="1"/>
        <v>#NAME?</v>
      </c>
    </row>
    <row r="96" spans="2:82">
      <c r="B96" s="27" t="e">
        <f ca="1"/>
        <v>#NAME?</v>
      </c>
      <c r="C96" s="27" t="e">
        <f ca="1"/>
        <v>#NAME?</v>
      </c>
      <c r="D96" s="27" t="e">
        <f ca="1"/>
        <v>#NAME?</v>
      </c>
      <c r="E96" s="20" t="e">
        <f ca="1"/>
        <v>#NAME?</v>
      </c>
      <c r="F96" s="20" t="e">
        <f ca="1"/>
        <v>#NAME?</v>
      </c>
      <c r="BR96" s="26" t="e">
        <f ca="1"/>
        <v>#NAME?</v>
      </c>
      <c r="BS96" s="26" t="e">
        <f ca="1"/>
        <v>#NAME?</v>
      </c>
      <c r="BT96" s="26" t="e">
        <f ca="1"/>
        <v>#NAME?</v>
      </c>
      <c r="BU96" s="26" t="e">
        <f ca="1"/>
        <v>#NAME?</v>
      </c>
      <c r="BV96" s="26" t="e">
        <f ca="1"/>
        <v>#NAME?</v>
      </c>
      <c r="BW96" s="26" t="e">
        <f ca="1"/>
        <v>#NAME?</v>
      </c>
      <c r="CB96" s="24" t="e">
        <f ca="1"/>
        <v>#NAME?</v>
      </c>
      <c r="CC96" s="20" t="e">
        <f ca="1"/>
        <v>#NAME?</v>
      </c>
      <c r="CD96" s="20" t="e">
        <f ca="1"/>
        <v>#NAME?</v>
      </c>
    </row>
    <row r="97" spans="2:82">
      <c r="B97" s="27" t="e">
        <f ca="1"/>
        <v>#NAME?</v>
      </c>
      <c r="C97" s="27" t="e">
        <f ca="1"/>
        <v>#NAME?</v>
      </c>
      <c r="D97" s="27" t="e">
        <f ca="1"/>
        <v>#NAME?</v>
      </c>
      <c r="E97" s="20" t="e">
        <f ca="1"/>
        <v>#NAME?</v>
      </c>
      <c r="F97" s="20" t="e">
        <f ca="1"/>
        <v>#NAME?</v>
      </c>
      <c r="BR97" s="26" t="e">
        <f ca="1"/>
        <v>#NAME?</v>
      </c>
      <c r="BS97" s="26" t="e">
        <f ca="1"/>
        <v>#NAME?</v>
      </c>
      <c r="BT97" s="26" t="e">
        <f ca="1"/>
        <v>#NAME?</v>
      </c>
      <c r="BU97" s="26" t="e">
        <f ca="1"/>
        <v>#NAME?</v>
      </c>
      <c r="BV97" s="26" t="e">
        <f ca="1"/>
        <v>#NAME?</v>
      </c>
      <c r="BW97" s="26" t="e">
        <f ca="1"/>
        <v>#NAME?</v>
      </c>
      <c r="CB97" s="24" t="e">
        <f ca="1"/>
        <v>#NAME?</v>
      </c>
      <c r="CC97" s="20" t="e">
        <f ca="1"/>
        <v>#NAME?</v>
      </c>
      <c r="CD97" s="20" t="e">
        <f ca="1"/>
        <v>#NAME?</v>
      </c>
    </row>
    <row r="98" spans="2:82">
      <c r="B98" s="27" t="e">
        <f ca="1"/>
        <v>#NAME?</v>
      </c>
      <c r="C98" s="27" t="e">
        <f ca="1"/>
        <v>#NAME?</v>
      </c>
      <c r="D98" s="27" t="e">
        <f ca="1"/>
        <v>#NAME?</v>
      </c>
      <c r="E98" s="20" t="e">
        <f ca="1"/>
        <v>#NAME?</v>
      </c>
      <c r="F98" s="20" t="e">
        <f ca="1"/>
        <v>#NAME?</v>
      </c>
      <c r="BR98" s="26" t="e">
        <f ca="1"/>
        <v>#NAME?</v>
      </c>
      <c r="BS98" s="26" t="e">
        <f ca="1"/>
        <v>#NAME?</v>
      </c>
      <c r="BT98" s="26" t="e">
        <f ca="1"/>
        <v>#NAME?</v>
      </c>
      <c r="BU98" s="26" t="e">
        <f ca="1"/>
        <v>#NAME?</v>
      </c>
      <c r="BV98" s="26" t="e">
        <f ca="1"/>
        <v>#NAME?</v>
      </c>
      <c r="BW98" s="26" t="e">
        <f ca="1"/>
        <v>#NAME?</v>
      </c>
      <c r="CB98" s="24" t="e">
        <f ca="1"/>
        <v>#NAME?</v>
      </c>
      <c r="CC98" s="20" t="e">
        <f ca="1"/>
        <v>#NAME?</v>
      </c>
      <c r="CD98" s="20" t="e">
        <f ca="1"/>
        <v>#NAME?</v>
      </c>
    </row>
    <row r="99" spans="2:82">
      <c r="B99" s="27" t="e">
        <f ca="1"/>
        <v>#NAME?</v>
      </c>
      <c r="C99" s="27" t="e">
        <f ca="1"/>
        <v>#NAME?</v>
      </c>
      <c r="D99" s="27" t="e">
        <f ca="1"/>
        <v>#NAME?</v>
      </c>
      <c r="E99" s="20" t="e">
        <f ca="1"/>
        <v>#NAME?</v>
      </c>
      <c r="F99" s="20" t="e">
        <f ca="1"/>
        <v>#NAME?</v>
      </c>
      <c r="BR99" s="26" t="e">
        <f ca="1"/>
        <v>#NAME?</v>
      </c>
      <c r="BS99" s="26" t="e">
        <f ca="1"/>
        <v>#NAME?</v>
      </c>
      <c r="BT99" s="26" t="e">
        <f ca="1"/>
        <v>#NAME?</v>
      </c>
      <c r="BU99" s="26" t="e">
        <f ca="1"/>
        <v>#NAME?</v>
      </c>
      <c r="BV99" s="26" t="e">
        <f ca="1"/>
        <v>#NAME?</v>
      </c>
      <c r="BW99" s="26" t="e">
        <f ca="1"/>
        <v>#NAME?</v>
      </c>
      <c r="CB99" s="24" t="e">
        <f ca="1"/>
        <v>#NAME?</v>
      </c>
      <c r="CC99" s="20" t="e">
        <f ca="1"/>
        <v>#NAME?</v>
      </c>
      <c r="CD99" s="20" t="e">
        <f ca="1"/>
        <v>#NAME?</v>
      </c>
    </row>
    <row r="100" spans="2:82">
      <c r="B100" s="27" t="e">
        <f ca="1"/>
        <v>#NAME?</v>
      </c>
      <c r="C100" s="27" t="e">
        <f ca="1"/>
        <v>#NAME?</v>
      </c>
      <c r="D100" s="27" t="e">
        <f ca="1"/>
        <v>#NAME?</v>
      </c>
      <c r="E100" s="20" t="e">
        <f ca="1"/>
        <v>#NAME?</v>
      </c>
      <c r="F100" s="20" t="e">
        <f ca="1"/>
        <v>#NAME?</v>
      </c>
      <c r="BR100" s="26" t="e">
        <f ca="1"/>
        <v>#NAME?</v>
      </c>
      <c r="BS100" s="26" t="e">
        <f ca="1"/>
        <v>#NAME?</v>
      </c>
      <c r="BT100" s="26" t="e">
        <f ca="1"/>
        <v>#NAME?</v>
      </c>
      <c r="BU100" s="26" t="e">
        <f ca="1"/>
        <v>#NAME?</v>
      </c>
      <c r="BV100" s="26" t="e">
        <f ca="1"/>
        <v>#NAME?</v>
      </c>
      <c r="BW100" s="26" t="e">
        <f ca="1"/>
        <v>#NAME?</v>
      </c>
      <c r="CB100" s="24" t="e">
        <f ca="1"/>
        <v>#NAME?</v>
      </c>
      <c r="CC100" s="20" t="e">
        <f ca="1"/>
        <v>#NAME?</v>
      </c>
      <c r="CD100" s="20" t="e">
        <f ca="1"/>
        <v>#NAME?</v>
      </c>
    </row>
    <row r="101" spans="2:82">
      <c r="B101" s="27" t="e">
        <f ca="1"/>
        <v>#NAME?</v>
      </c>
      <c r="C101" s="27" t="e">
        <f ca="1"/>
        <v>#NAME?</v>
      </c>
      <c r="D101" s="27" t="e">
        <f ca="1"/>
        <v>#NAME?</v>
      </c>
      <c r="E101" s="20" t="e">
        <f ca="1"/>
        <v>#NAME?</v>
      </c>
      <c r="F101" s="20" t="e">
        <f ca="1"/>
        <v>#NAME?</v>
      </c>
      <c r="BR101" s="26" t="e">
        <f ca="1"/>
        <v>#NAME?</v>
      </c>
      <c r="BS101" s="26" t="e">
        <f ca="1"/>
        <v>#NAME?</v>
      </c>
      <c r="BT101" s="26" t="e">
        <f ca="1"/>
        <v>#NAME?</v>
      </c>
      <c r="BU101" s="26" t="e">
        <f ca="1"/>
        <v>#NAME?</v>
      </c>
      <c r="BV101" s="26" t="e">
        <f ca="1"/>
        <v>#NAME?</v>
      </c>
      <c r="BW101" s="26" t="e">
        <f ca="1"/>
        <v>#NAME?</v>
      </c>
      <c r="CB101" s="24" t="e">
        <f ca="1"/>
        <v>#NAME?</v>
      </c>
      <c r="CC101" s="20" t="e">
        <f ca="1"/>
        <v>#NAME?</v>
      </c>
      <c r="CD101" s="20" t="e">
        <f ca="1"/>
        <v>#NAME?</v>
      </c>
    </row>
    <row r="102" spans="2:82">
      <c r="B102" s="27" t="e">
        <f ca="1"/>
        <v>#NAME?</v>
      </c>
      <c r="C102" s="27" t="e">
        <f ca="1"/>
        <v>#NAME?</v>
      </c>
      <c r="D102" s="27" t="e">
        <f ca="1"/>
        <v>#NAME?</v>
      </c>
      <c r="E102" s="20" t="e">
        <f ca="1"/>
        <v>#NAME?</v>
      </c>
      <c r="F102" s="20" t="e">
        <f ca="1"/>
        <v>#NAME?</v>
      </c>
      <c r="BR102" s="26" t="e">
        <f ca="1"/>
        <v>#NAME?</v>
      </c>
      <c r="BS102" s="26" t="e">
        <f ca="1"/>
        <v>#NAME?</v>
      </c>
      <c r="BT102" s="26" t="e">
        <f ca="1"/>
        <v>#NAME?</v>
      </c>
      <c r="BU102" s="26" t="e">
        <f ca="1"/>
        <v>#NAME?</v>
      </c>
      <c r="BV102" s="26" t="e">
        <f ca="1"/>
        <v>#NAME?</v>
      </c>
      <c r="BW102" s="26" t="e">
        <f ca="1"/>
        <v>#NAME?</v>
      </c>
      <c r="CB102" s="24" t="e">
        <f ca="1"/>
        <v>#NAME?</v>
      </c>
      <c r="CC102" s="20" t="e">
        <f ca="1"/>
        <v>#NAME?</v>
      </c>
      <c r="CD102" s="20" t="e">
        <f ca="1"/>
        <v>#NAME?</v>
      </c>
    </row>
    <row r="103" spans="2:82">
      <c r="B103" s="27" t="e">
        <f ca="1"/>
        <v>#NAME?</v>
      </c>
      <c r="C103" s="27" t="e">
        <f ca="1"/>
        <v>#NAME?</v>
      </c>
      <c r="D103" s="27" t="e">
        <f ca="1"/>
        <v>#NAME?</v>
      </c>
      <c r="E103" s="20" t="e">
        <f ca="1"/>
        <v>#NAME?</v>
      </c>
      <c r="F103" s="20" t="e">
        <f ca="1"/>
        <v>#NAME?</v>
      </c>
      <c r="BR103" s="26" t="e">
        <f ca="1"/>
        <v>#NAME?</v>
      </c>
      <c r="BS103" s="26" t="e">
        <f ca="1"/>
        <v>#NAME?</v>
      </c>
      <c r="BT103" s="26" t="e">
        <f ca="1"/>
        <v>#NAME?</v>
      </c>
      <c r="BU103" s="26" t="e">
        <f ca="1"/>
        <v>#NAME?</v>
      </c>
      <c r="BV103" s="26" t="e">
        <f ca="1"/>
        <v>#NAME?</v>
      </c>
      <c r="BW103" s="26" t="e">
        <f ca="1"/>
        <v>#NAME?</v>
      </c>
      <c r="CB103" s="24" t="e">
        <f ca="1"/>
        <v>#NAME?</v>
      </c>
      <c r="CC103" s="20" t="e">
        <f ca="1"/>
        <v>#NAME?</v>
      </c>
      <c r="CD103" s="20" t="e">
        <f ca="1"/>
        <v>#NAME?</v>
      </c>
    </row>
    <row r="104" spans="2:82">
      <c r="B104" s="27" t="e">
        <f ca="1"/>
        <v>#NAME?</v>
      </c>
      <c r="C104" s="27" t="e">
        <f ca="1"/>
        <v>#NAME?</v>
      </c>
      <c r="D104" s="27" t="e">
        <f ca="1"/>
        <v>#NAME?</v>
      </c>
      <c r="E104" s="20" t="e">
        <f ca="1"/>
        <v>#NAME?</v>
      </c>
      <c r="F104" s="20" t="e">
        <f ca="1"/>
        <v>#NAME?</v>
      </c>
      <c r="BR104" s="26" t="e">
        <f ca="1"/>
        <v>#NAME?</v>
      </c>
      <c r="BS104" s="26" t="e">
        <f ca="1"/>
        <v>#NAME?</v>
      </c>
      <c r="BT104" s="26" t="e">
        <f ca="1"/>
        <v>#NAME?</v>
      </c>
      <c r="BU104" s="26" t="e">
        <f ca="1"/>
        <v>#NAME?</v>
      </c>
      <c r="BV104" s="26" t="e">
        <f ca="1"/>
        <v>#NAME?</v>
      </c>
      <c r="BW104" s="26" t="e">
        <f ca="1"/>
        <v>#NAME?</v>
      </c>
      <c r="CB104" s="24" t="e">
        <f ca="1"/>
        <v>#NAME?</v>
      </c>
      <c r="CC104" s="20" t="e">
        <f ca="1"/>
        <v>#NAME?</v>
      </c>
      <c r="CD104" s="20" t="e">
        <f ca="1"/>
        <v>#NAME?</v>
      </c>
    </row>
    <row r="105" spans="2:82">
      <c r="B105" s="27" t="e">
        <f ca="1"/>
        <v>#NAME?</v>
      </c>
      <c r="C105" s="27" t="e">
        <f ca="1"/>
        <v>#NAME?</v>
      </c>
      <c r="D105" s="27" t="e">
        <f ca="1"/>
        <v>#NAME?</v>
      </c>
      <c r="E105" s="20" t="e">
        <f ca="1"/>
        <v>#NAME?</v>
      </c>
      <c r="F105" s="20" t="e">
        <f ca="1"/>
        <v>#NAME?</v>
      </c>
      <c r="BR105" s="26" t="e">
        <f ca="1"/>
        <v>#NAME?</v>
      </c>
      <c r="BS105" s="26" t="e">
        <f ca="1"/>
        <v>#NAME?</v>
      </c>
      <c r="BT105" s="26" t="e">
        <f ca="1"/>
        <v>#NAME?</v>
      </c>
      <c r="BU105" s="26" t="e">
        <f ca="1"/>
        <v>#NAME?</v>
      </c>
      <c r="BV105" s="26" t="e">
        <f ca="1"/>
        <v>#NAME?</v>
      </c>
      <c r="BW105" s="26" t="e">
        <f ca="1"/>
        <v>#NAME?</v>
      </c>
      <c r="CB105" s="24" t="e">
        <f ca="1"/>
        <v>#NAME?</v>
      </c>
      <c r="CC105" s="20" t="e">
        <f ca="1"/>
        <v>#NAME?</v>
      </c>
      <c r="CD105" s="20" t="e">
        <f ca="1"/>
        <v>#NAME?</v>
      </c>
    </row>
    <row r="106" spans="2:82">
      <c r="B106" s="27" t="e">
        <f ca="1"/>
        <v>#NAME?</v>
      </c>
      <c r="C106" s="27" t="e">
        <f ca="1"/>
        <v>#NAME?</v>
      </c>
      <c r="D106" s="27" t="e">
        <f ca="1"/>
        <v>#NAME?</v>
      </c>
      <c r="E106" s="20" t="e">
        <f ca="1"/>
        <v>#NAME?</v>
      </c>
      <c r="F106" s="20" t="e">
        <f ca="1"/>
        <v>#NAME?</v>
      </c>
      <c r="BR106" s="26" t="e">
        <f ca="1"/>
        <v>#NAME?</v>
      </c>
      <c r="BS106" s="26" t="e">
        <f ca="1"/>
        <v>#NAME?</v>
      </c>
      <c r="BT106" s="26" t="e">
        <f ca="1"/>
        <v>#NAME?</v>
      </c>
      <c r="BU106" s="26" t="e">
        <f ca="1"/>
        <v>#NAME?</v>
      </c>
      <c r="BV106" s="26" t="e">
        <f ca="1"/>
        <v>#NAME?</v>
      </c>
      <c r="BW106" s="26" t="e">
        <f ca="1"/>
        <v>#NAME?</v>
      </c>
      <c r="CB106" s="24" t="e">
        <f ca="1"/>
        <v>#NAME?</v>
      </c>
      <c r="CC106" s="20" t="e">
        <f ca="1"/>
        <v>#NAME?</v>
      </c>
      <c r="CD106" s="20" t="e">
        <f ca="1"/>
        <v>#NAME?</v>
      </c>
    </row>
    <row r="107" spans="2:82">
      <c r="B107" s="27" t="e">
        <f ca="1"/>
        <v>#NAME?</v>
      </c>
      <c r="C107" s="27" t="e">
        <f ca="1"/>
        <v>#NAME?</v>
      </c>
      <c r="D107" s="27" t="e">
        <f ca="1"/>
        <v>#NAME?</v>
      </c>
      <c r="E107" s="20" t="e">
        <f ca="1"/>
        <v>#NAME?</v>
      </c>
      <c r="F107" s="20" t="e">
        <f ca="1"/>
        <v>#NAME?</v>
      </c>
      <c r="BR107" s="26" t="e">
        <f ca="1"/>
        <v>#NAME?</v>
      </c>
      <c r="BS107" s="26" t="e">
        <f ca="1"/>
        <v>#NAME?</v>
      </c>
      <c r="BT107" s="26" t="e">
        <f ca="1"/>
        <v>#NAME?</v>
      </c>
      <c r="BU107" s="26" t="e">
        <f ca="1"/>
        <v>#NAME?</v>
      </c>
      <c r="BV107" s="26" t="e">
        <f ca="1"/>
        <v>#NAME?</v>
      </c>
      <c r="BW107" s="26" t="e">
        <f ca="1"/>
        <v>#NAME?</v>
      </c>
      <c r="CB107" s="24" t="e">
        <f ca="1"/>
        <v>#NAME?</v>
      </c>
      <c r="CC107" s="20" t="e">
        <f ca="1"/>
        <v>#NAME?</v>
      </c>
      <c r="CD107" s="20" t="e">
        <f ca="1"/>
        <v>#NAME?</v>
      </c>
    </row>
    <row r="108" spans="2:82">
      <c r="B108" s="27" t="e">
        <f ca="1"/>
        <v>#NAME?</v>
      </c>
      <c r="C108" s="27" t="e">
        <f ca="1"/>
        <v>#NAME?</v>
      </c>
      <c r="D108" s="27" t="e">
        <f ca="1"/>
        <v>#NAME?</v>
      </c>
      <c r="E108" s="20" t="e">
        <f ca="1"/>
        <v>#NAME?</v>
      </c>
      <c r="F108" s="20" t="e">
        <f ca="1"/>
        <v>#NAME?</v>
      </c>
      <c r="BR108" s="26" t="e">
        <f ca="1"/>
        <v>#NAME?</v>
      </c>
      <c r="BS108" s="26" t="e">
        <f ca="1"/>
        <v>#NAME?</v>
      </c>
      <c r="BT108" s="26" t="e">
        <f ca="1"/>
        <v>#NAME?</v>
      </c>
      <c r="BU108" s="26" t="e">
        <f ca="1"/>
        <v>#NAME?</v>
      </c>
      <c r="BV108" s="26" t="e">
        <f ca="1"/>
        <v>#NAME?</v>
      </c>
      <c r="BW108" s="26" t="e">
        <f ca="1"/>
        <v>#NAME?</v>
      </c>
      <c r="CB108" s="24" t="e">
        <f ca="1"/>
        <v>#NAME?</v>
      </c>
      <c r="CC108" s="20" t="e">
        <f ca="1"/>
        <v>#NAME?</v>
      </c>
      <c r="CD108" s="20" t="e">
        <f ca="1"/>
        <v>#NAME?</v>
      </c>
    </row>
    <row r="109" spans="2:82">
      <c r="B109" s="27" t="e">
        <f ca="1"/>
        <v>#NAME?</v>
      </c>
      <c r="C109" s="27" t="e">
        <f ca="1"/>
        <v>#NAME?</v>
      </c>
      <c r="D109" s="27" t="e">
        <f ca="1"/>
        <v>#NAME?</v>
      </c>
      <c r="E109" s="20" t="e">
        <f ca="1"/>
        <v>#NAME?</v>
      </c>
      <c r="F109" s="20" t="e">
        <f ca="1"/>
        <v>#NAME?</v>
      </c>
      <c r="BR109" s="26" t="e">
        <f ca="1"/>
        <v>#NAME?</v>
      </c>
      <c r="BS109" s="26" t="e">
        <f ca="1"/>
        <v>#NAME?</v>
      </c>
      <c r="BT109" s="26" t="e">
        <f ca="1"/>
        <v>#NAME?</v>
      </c>
      <c r="BU109" s="26" t="e">
        <f ca="1"/>
        <v>#NAME?</v>
      </c>
      <c r="BV109" s="26" t="e">
        <f ca="1"/>
        <v>#NAME?</v>
      </c>
      <c r="BW109" s="26" t="e">
        <f ca="1"/>
        <v>#NAME?</v>
      </c>
      <c r="CB109" s="24" t="e">
        <f ca="1"/>
        <v>#NAME?</v>
      </c>
      <c r="CC109" s="20" t="e">
        <f ca="1"/>
        <v>#NAME?</v>
      </c>
      <c r="CD109" s="20" t="e">
        <f ca="1"/>
        <v>#NAME?</v>
      </c>
    </row>
    <row r="110" spans="2:82">
      <c r="B110" s="27" t="e">
        <f ca="1"/>
        <v>#NAME?</v>
      </c>
      <c r="C110" s="27" t="e">
        <f ca="1"/>
        <v>#NAME?</v>
      </c>
      <c r="D110" s="27" t="e">
        <f ca="1"/>
        <v>#NAME?</v>
      </c>
      <c r="E110" s="20" t="e">
        <f ca="1"/>
        <v>#NAME?</v>
      </c>
      <c r="F110" s="20" t="e">
        <f ca="1"/>
        <v>#NAME?</v>
      </c>
      <c r="BR110" s="26" t="e">
        <f ca="1"/>
        <v>#NAME?</v>
      </c>
      <c r="BS110" s="26" t="e">
        <f ca="1"/>
        <v>#NAME?</v>
      </c>
      <c r="BT110" s="26" t="e">
        <f ca="1"/>
        <v>#NAME?</v>
      </c>
      <c r="BU110" s="26" t="e">
        <f ca="1"/>
        <v>#NAME?</v>
      </c>
      <c r="BV110" s="26" t="e">
        <f ca="1"/>
        <v>#NAME?</v>
      </c>
      <c r="BW110" s="26" t="e">
        <f ca="1"/>
        <v>#NAME?</v>
      </c>
      <c r="CB110" s="24" t="e">
        <f ca="1"/>
        <v>#NAME?</v>
      </c>
      <c r="CC110" s="20" t="e">
        <f ca="1"/>
        <v>#NAME?</v>
      </c>
      <c r="CD110" s="20" t="e">
        <f ca="1"/>
        <v>#NAME?</v>
      </c>
    </row>
    <row r="111" spans="2:82">
      <c r="B111" s="27" t="e">
        <f ca="1"/>
        <v>#NAME?</v>
      </c>
      <c r="C111" s="27" t="e">
        <f ca="1"/>
        <v>#NAME?</v>
      </c>
      <c r="D111" s="27" t="e">
        <f ca="1"/>
        <v>#NAME?</v>
      </c>
      <c r="E111" s="20" t="e">
        <f ca="1"/>
        <v>#NAME?</v>
      </c>
      <c r="F111" s="20" t="e">
        <f ca="1"/>
        <v>#NAME?</v>
      </c>
      <c r="BR111" s="26" t="e">
        <f ca="1"/>
        <v>#NAME?</v>
      </c>
      <c r="BS111" s="26" t="e">
        <f ca="1"/>
        <v>#NAME?</v>
      </c>
      <c r="BT111" s="26" t="e">
        <f ca="1"/>
        <v>#NAME?</v>
      </c>
      <c r="BU111" s="26" t="e">
        <f ca="1"/>
        <v>#NAME?</v>
      </c>
      <c r="BV111" s="26" t="e">
        <f ca="1"/>
        <v>#NAME?</v>
      </c>
      <c r="BW111" s="26" t="e">
        <f ca="1"/>
        <v>#NAME?</v>
      </c>
      <c r="CB111" s="24" t="e">
        <f ca="1"/>
        <v>#NAME?</v>
      </c>
      <c r="CC111" s="20" t="e">
        <f ca="1"/>
        <v>#NAME?</v>
      </c>
      <c r="CD111" s="20" t="e">
        <f ca="1"/>
        <v>#NAME?</v>
      </c>
    </row>
    <row r="112" spans="2:82">
      <c r="B112" s="27" t="e">
        <f ca="1"/>
        <v>#NAME?</v>
      </c>
      <c r="C112" s="27" t="e">
        <f ca="1"/>
        <v>#NAME?</v>
      </c>
      <c r="D112" s="27" t="e">
        <f ca="1"/>
        <v>#NAME?</v>
      </c>
      <c r="E112" s="20" t="e">
        <f ca="1"/>
        <v>#NAME?</v>
      </c>
      <c r="F112" s="20" t="e">
        <f ca="1"/>
        <v>#NAME?</v>
      </c>
      <c r="BR112" s="26" t="e">
        <f ca="1"/>
        <v>#NAME?</v>
      </c>
      <c r="BS112" s="26" t="e">
        <f ca="1"/>
        <v>#NAME?</v>
      </c>
      <c r="BT112" s="26" t="e">
        <f ca="1"/>
        <v>#NAME?</v>
      </c>
      <c r="BU112" s="26" t="e">
        <f ca="1"/>
        <v>#NAME?</v>
      </c>
      <c r="BV112" s="26" t="e">
        <f ca="1"/>
        <v>#NAME?</v>
      </c>
      <c r="BW112" s="26" t="e">
        <f ca="1"/>
        <v>#NAME?</v>
      </c>
      <c r="CB112" s="24" t="e">
        <f ca="1"/>
        <v>#NAME?</v>
      </c>
      <c r="CC112" s="20" t="e">
        <f ca="1"/>
        <v>#NAME?</v>
      </c>
      <c r="CD112" s="20" t="e">
        <f ca="1"/>
        <v>#NAME?</v>
      </c>
    </row>
    <row r="113" spans="2:82">
      <c r="B113" s="27" t="e">
        <f ca="1"/>
        <v>#NAME?</v>
      </c>
      <c r="C113" s="27" t="e">
        <f ca="1"/>
        <v>#NAME?</v>
      </c>
      <c r="D113" s="27" t="e">
        <f ca="1"/>
        <v>#NAME?</v>
      </c>
      <c r="E113" s="20" t="e">
        <f ca="1"/>
        <v>#NAME?</v>
      </c>
      <c r="F113" s="20" t="e">
        <f ca="1"/>
        <v>#NAME?</v>
      </c>
      <c r="BR113" s="26" t="e">
        <f ca="1"/>
        <v>#NAME?</v>
      </c>
      <c r="BS113" s="26" t="e">
        <f ca="1"/>
        <v>#NAME?</v>
      </c>
      <c r="BT113" s="26" t="e">
        <f ca="1"/>
        <v>#NAME?</v>
      </c>
      <c r="BU113" s="26" t="e">
        <f ca="1"/>
        <v>#NAME?</v>
      </c>
      <c r="BV113" s="26" t="e">
        <f ca="1"/>
        <v>#NAME?</v>
      </c>
      <c r="BW113" s="26" t="e">
        <f ca="1"/>
        <v>#NAME?</v>
      </c>
      <c r="CB113" s="24" t="e">
        <f ca="1"/>
        <v>#NAME?</v>
      </c>
      <c r="CC113" s="20" t="e">
        <f ca="1"/>
        <v>#NAME?</v>
      </c>
      <c r="CD113" s="20" t="e">
        <f ca="1"/>
        <v>#NAME?</v>
      </c>
    </row>
    <row r="114" spans="2:82">
      <c r="B114" s="27" t="e">
        <f ca="1"/>
        <v>#NAME?</v>
      </c>
      <c r="C114" s="27" t="e">
        <f ca="1"/>
        <v>#NAME?</v>
      </c>
      <c r="D114" s="27" t="e">
        <f ca="1"/>
        <v>#NAME?</v>
      </c>
      <c r="E114" s="20" t="e">
        <f ca="1"/>
        <v>#NAME?</v>
      </c>
      <c r="F114" s="20" t="e">
        <f ca="1"/>
        <v>#NAME?</v>
      </c>
      <c r="BR114" s="26" t="e">
        <f ca="1"/>
        <v>#NAME?</v>
      </c>
      <c r="BS114" s="26" t="e">
        <f ca="1"/>
        <v>#NAME?</v>
      </c>
      <c r="BT114" s="26" t="e">
        <f ca="1"/>
        <v>#NAME?</v>
      </c>
      <c r="BU114" s="26" t="e">
        <f ca="1"/>
        <v>#NAME?</v>
      </c>
      <c r="BV114" s="26" t="e">
        <f ca="1"/>
        <v>#NAME?</v>
      </c>
      <c r="BW114" s="26" t="e">
        <f ca="1"/>
        <v>#NAME?</v>
      </c>
      <c r="CB114" s="24" t="e">
        <f ca="1"/>
        <v>#NAME?</v>
      </c>
      <c r="CC114" s="20" t="e">
        <f ca="1"/>
        <v>#NAME?</v>
      </c>
      <c r="CD114" s="20" t="e">
        <f ca="1"/>
        <v>#NAME?</v>
      </c>
    </row>
    <row r="115" spans="2:82">
      <c r="B115" s="27" t="e">
        <f ca="1"/>
        <v>#NAME?</v>
      </c>
      <c r="C115" s="27" t="e">
        <f ca="1"/>
        <v>#NAME?</v>
      </c>
      <c r="D115" s="27" t="e">
        <f ca="1"/>
        <v>#NAME?</v>
      </c>
      <c r="E115" s="20" t="e">
        <f ca="1"/>
        <v>#NAME?</v>
      </c>
      <c r="F115" s="20" t="e">
        <f ca="1"/>
        <v>#NAME?</v>
      </c>
      <c r="BR115" s="26" t="e">
        <f ca="1"/>
        <v>#NAME?</v>
      </c>
      <c r="BS115" s="26" t="e">
        <f ca="1"/>
        <v>#NAME?</v>
      </c>
      <c r="BT115" s="26" t="e">
        <f ca="1"/>
        <v>#NAME?</v>
      </c>
      <c r="BU115" s="26" t="e">
        <f ca="1"/>
        <v>#NAME?</v>
      </c>
      <c r="BV115" s="26" t="e">
        <f ca="1"/>
        <v>#NAME?</v>
      </c>
      <c r="BW115" s="26" t="e">
        <f ca="1"/>
        <v>#NAME?</v>
      </c>
      <c r="CB115" s="24" t="e">
        <f ca="1"/>
        <v>#NAME?</v>
      </c>
      <c r="CC115" s="20" t="e">
        <f ca="1"/>
        <v>#NAME?</v>
      </c>
      <c r="CD115" s="20" t="e">
        <f ca="1"/>
        <v>#NAME?</v>
      </c>
    </row>
    <row r="116" spans="2:82">
      <c r="B116" s="27" t="e">
        <f ca="1"/>
        <v>#NAME?</v>
      </c>
      <c r="C116" s="27" t="e">
        <f ca="1"/>
        <v>#NAME?</v>
      </c>
      <c r="D116" s="27" t="e">
        <f ca="1"/>
        <v>#NAME?</v>
      </c>
      <c r="E116" s="20" t="e">
        <f ca="1"/>
        <v>#NAME?</v>
      </c>
      <c r="F116" s="20" t="e">
        <f ca="1"/>
        <v>#NAME?</v>
      </c>
      <c r="BR116" s="26" t="e">
        <f ca="1"/>
        <v>#NAME?</v>
      </c>
      <c r="BS116" s="26" t="e">
        <f ca="1"/>
        <v>#NAME?</v>
      </c>
      <c r="BT116" s="26" t="e">
        <f ca="1"/>
        <v>#NAME?</v>
      </c>
      <c r="BU116" s="26" t="e">
        <f ca="1"/>
        <v>#NAME?</v>
      </c>
      <c r="BV116" s="26" t="e">
        <f ca="1"/>
        <v>#NAME?</v>
      </c>
      <c r="BW116" s="26" t="e">
        <f ca="1"/>
        <v>#NAME?</v>
      </c>
      <c r="CB116" s="24" t="e">
        <f ca="1"/>
        <v>#NAME?</v>
      </c>
      <c r="CC116" s="20" t="e">
        <f ca="1"/>
        <v>#NAME?</v>
      </c>
      <c r="CD116" s="20" t="e">
        <f ca="1"/>
        <v>#NAME?</v>
      </c>
    </row>
    <row r="117" spans="2:82">
      <c r="B117" s="27" t="e">
        <f ca="1"/>
        <v>#NAME?</v>
      </c>
      <c r="C117" s="27" t="e">
        <f ca="1"/>
        <v>#NAME?</v>
      </c>
      <c r="D117" s="27" t="e">
        <f ca="1"/>
        <v>#NAME?</v>
      </c>
      <c r="E117" s="20" t="e">
        <f ca="1"/>
        <v>#NAME?</v>
      </c>
      <c r="F117" s="20" t="e">
        <f ca="1"/>
        <v>#NAME?</v>
      </c>
      <c r="BR117" s="26" t="e">
        <f ca="1"/>
        <v>#NAME?</v>
      </c>
      <c r="BS117" s="26" t="e">
        <f ca="1"/>
        <v>#NAME?</v>
      </c>
      <c r="BT117" s="26" t="e">
        <f ca="1"/>
        <v>#NAME?</v>
      </c>
      <c r="BU117" s="26" t="e">
        <f ca="1"/>
        <v>#NAME?</v>
      </c>
      <c r="BV117" s="26" t="e">
        <f ca="1"/>
        <v>#NAME?</v>
      </c>
      <c r="BW117" s="26" t="e">
        <f ca="1"/>
        <v>#NAME?</v>
      </c>
      <c r="CB117" s="24" t="e">
        <f ca="1"/>
        <v>#NAME?</v>
      </c>
      <c r="CC117" s="20" t="e">
        <f ca="1"/>
        <v>#NAME?</v>
      </c>
      <c r="CD117" s="20" t="e">
        <f ca="1"/>
        <v>#NAME?</v>
      </c>
    </row>
    <row r="118" spans="2:82">
      <c r="B118" s="27" t="e">
        <f ca="1"/>
        <v>#NAME?</v>
      </c>
      <c r="C118" s="27" t="e">
        <f ca="1"/>
        <v>#NAME?</v>
      </c>
      <c r="D118" s="27" t="e">
        <f ca="1"/>
        <v>#NAME?</v>
      </c>
      <c r="E118" s="20" t="e">
        <f ca="1"/>
        <v>#NAME?</v>
      </c>
      <c r="F118" s="20" t="e">
        <f ca="1"/>
        <v>#NAME?</v>
      </c>
      <c r="BR118" s="26" t="e">
        <f ca="1"/>
        <v>#NAME?</v>
      </c>
      <c r="BS118" s="26" t="e">
        <f ca="1"/>
        <v>#NAME?</v>
      </c>
      <c r="BT118" s="26" t="e">
        <f ca="1"/>
        <v>#NAME?</v>
      </c>
      <c r="BU118" s="26" t="e">
        <f ca="1"/>
        <v>#NAME?</v>
      </c>
      <c r="BV118" s="26" t="e">
        <f ca="1"/>
        <v>#NAME?</v>
      </c>
      <c r="BW118" s="26" t="e">
        <f ca="1"/>
        <v>#NAME?</v>
      </c>
      <c r="CB118" s="24" t="e">
        <f ca="1"/>
        <v>#NAME?</v>
      </c>
      <c r="CC118" s="20" t="e">
        <f ca="1"/>
        <v>#NAME?</v>
      </c>
      <c r="CD118" s="20" t="e">
        <f ca="1"/>
        <v>#NAME?</v>
      </c>
    </row>
    <row r="119" spans="2:82">
      <c r="B119" s="27" t="e">
        <f ca="1"/>
        <v>#NAME?</v>
      </c>
      <c r="C119" s="27" t="e">
        <f ca="1"/>
        <v>#NAME?</v>
      </c>
      <c r="D119" s="27" t="e">
        <f ca="1"/>
        <v>#NAME?</v>
      </c>
      <c r="E119" s="20" t="e">
        <f ca="1"/>
        <v>#NAME?</v>
      </c>
      <c r="F119" s="20" t="e">
        <f ca="1"/>
        <v>#NAME?</v>
      </c>
      <c r="BR119" s="26" t="e">
        <f ca="1"/>
        <v>#NAME?</v>
      </c>
      <c r="BS119" s="26" t="e">
        <f ca="1"/>
        <v>#NAME?</v>
      </c>
      <c r="BT119" s="26" t="e">
        <f ca="1"/>
        <v>#NAME?</v>
      </c>
      <c r="BU119" s="26" t="e">
        <f ca="1"/>
        <v>#NAME?</v>
      </c>
      <c r="BV119" s="26" t="e">
        <f ca="1"/>
        <v>#NAME?</v>
      </c>
      <c r="BW119" s="26" t="e">
        <f ca="1"/>
        <v>#NAME?</v>
      </c>
      <c r="CB119" s="24" t="e">
        <f ca="1"/>
        <v>#NAME?</v>
      </c>
      <c r="CC119" s="20" t="e">
        <f ca="1"/>
        <v>#NAME?</v>
      </c>
      <c r="CD119" s="20" t="e">
        <f ca="1"/>
        <v>#NAME?</v>
      </c>
    </row>
    <row r="120" spans="2:82">
      <c r="B120" s="27" t="e">
        <f ca="1"/>
        <v>#NAME?</v>
      </c>
      <c r="C120" s="27" t="e">
        <f ca="1"/>
        <v>#NAME?</v>
      </c>
      <c r="D120" s="27" t="e">
        <f ca="1"/>
        <v>#NAME?</v>
      </c>
      <c r="E120" s="20" t="e">
        <f ca="1"/>
        <v>#NAME?</v>
      </c>
      <c r="F120" s="20" t="e">
        <f ca="1"/>
        <v>#NAME?</v>
      </c>
      <c r="BR120" s="26" t="e">
        <f ca="1"/>
        <v>#NAME?</v>
      </c>
      <c r="BS120" s="26" t="e">
        <f ca="1"/>
        <v>#NAME?</v>
      </c>
      <c r="BT120" s="26" t="e">
        <f ca="1"/>
        <v>#NAME?</v>
      </c>
      <c r="BU120" s="26" t="e">
        <f ca="1"/>
        <v>#NAME?</v>
      </c>
      <c r="BV120" s="26" t="e">
        <f ca="1"/>
        <v>#NAME?</v>
      </c>
      <c r="BW120" s="26" t="e">
        <f ca="1"/>
        <v>#NAME?</v>
      </c>
      <c r="CB120" s="24" t="e">
        <f ca="1"/>
        <v>#NAME?</v>
      </c>
      <c r="CC120" s="20" t="e">
        <f ca="1"/>
        <v>#NAME?</v>
      </c>
      <c r="CD120" s="20" t="e">
        <f ca="1"/>
        <v>#NAME?</v>
      </c>
    </row>
    <row r="121" spans="2:82">
      <c r="B121" s="27" t="e">
        <f ca="1"/>
        <v>#NAME?</v>
      </c>
      <c r="C121" s="27" t="e">
        <f ca="1"/>
        <v>#NAME?</v>
      </c>
      <c r="D121" s="27" t="e">
        <f ca="1"/>
        <v>#NAME?</v>
      </c>
      <c r="E121" s="20" t="e">
        <f ca="1"/>
        <v>#NAME?</v>
      </c>
      <c r="F121" s="20" t="e">
        <f ca="1"/>
        <v>#NAME?</v>
      </c>
      <c r="BR121" s="26" t="e">
        <f ca="1"/>
        <v>#NAME?</v>
      </c>
      <c r="BS121" s="26" t="e">
        <f ca="1"/>
        <v>#NAME?</v>
      </c>
      <c r="BT121" s="26" t="e">
        <f ca="1"/>
        <v>#NAME?</v>
      </c>
      <c r="BU121" s="26" t="e">
        <f ca="1"/>
        <v>#NAME?</v>
      </c>
      <c r="BV121" s="26" t="e">
        <f ca="1"/>
        <v>#NAME?</v>
      </c>
      <c r="BW121" s="26" t="e">
        <f ca="1"/>
        <v>#NAME?</v>
      </c>
      <c r="CB121" s="24" t="e">
        <f ca="1"/>
        <v>#NAME?</v>
      </c>
      <c r="CC121" s="20" t="e">
        <f ca="1"/>
        <v>#NAME?</v>
      </c>
      <c r="CD121" s="20" t="e">
        <f ca="1"/>
        <v>#NAME?</v>
      </c>
    </row>
    <row r="122" spans="2:82">
      <c r="B122" s="27" t="e">
        <f ca="1"/>
        <v>#NAME?</v>
      </c>
      <c r="C122" s="27" t="e">
        <f ca="1"/>
        <v>#NAME?</v>
      </c>
      <c r="D122" s="27" t="e">
        <f ca="1"/>
        <v>#NAME?</v>
      </c>
      <c r="E122" s="20" t="e">
        <f ca="1"/>
        <v>#NAME?</v>
      </c>
      <c r="F122" s="20" t="e">
        <f ca="1"/>
        <v>#NAME?</v>
      </c>
      <c r="BR122" s="26" t="e">
        <f ca="1"/>
        <v>#NAME?</v>
      </c>
      <c r="BS122" s="26" t="e">
        <f ca="1"/>
        <v>#NAME?</v>
      </c>
      <c r="BT122" s="26" t="e">
        <f ca="1"/>
        <v>#NAME?</v>
      </c>
      <c r="BU122" s="26" t="e">
        <f ca="1"/>
        <v>#NAME?</v>
      </c>
      <c r="BV122" s="26" t="e">
        <f ca="1"/>
        <v>#NAME?</v>
      </c>
      <c r="BW122" s="26" t="e">
        <f ca="1"/>
        <v>#NAME?</v>
      </c>
      <c r="CB122" s="24" t="e">
        <f ca="1"/>
        <v>#NAME?</v>
      </c>
      <c r="CC122" s="20" t="e">
        <f ca="1"/>
        <v>#NAME?</v>
      </c>
      <c r="CD122" s="20" t="e">
        <f ca="1"/>
        <v>#NAME?</v>
      </c>
    </row>
    <row r="123" spans="2:82">
      <c r="B123" s="27" t="e">
        <f ca="1"/>
        <v>#NAME?</v>
      </c>
      <c r="C123" s="27" t="e">
        <f ca="1"/>
        <v>#NAME?</v>
      </c>
      <c r="D123" s="27" t="e">
        <f ca="1"/>
        <v>#NAME?</v>
      </c>
      <c r="E123" s="20" t="e">
        <f ca="1"/>
        <v>#NAME?</v>
      </c>
      <c r="F123" s="20" t="e">
        <f ca="1"/>
        <v>#NAME?</v>
      </c>
      <c r="BR123" s="26" t="e">
        <f ca="1"/>
        <v>#NAME?</v>
      </c>
      <c r="BS123" s="26" t="e">
        <f ca="1"/>
        <v>#NAME?</v>
      </c>
      <c r="BT123" s="26" t="e">
        <f ca="1"/>
        <v>#NAME?</v>
      </c>
      <c r="BU123" s="26" t="e">
        <f ca="1"/>
        <v>#NAME?</v>
      </c>
      <c r="BV123" s="26" t="e">
        <f ca="1"/>
        <v>#NAME?</v>
      </c>
      <c r="BW123" s="26" t="e">
        <f ca="1"/>
        <v>#NAME?</v>
      </c>
      <c r="CB123" s="24" t="e">
        <f ca="1"/>
        <v>#NAME?</v>
      </c>
      <c r="CC123" s="20" t="e">
        <f ca="1"/>
        <v>#NAME?</v>
      </c>
      <c r="CD123" s="20" t="e">
        <f ca="1"/>
        <v>#NAME?</v>
      </c>
    </row>
    <row r="124" spans="2:82">
      <c r="B124" s="27" t="e">
        <f ca="1"/>
        <v>#NAME?</v>
      </c>
      <c r="C124" s="27" t="e">
        <f ca="1"/>
        <v>#NAME?</v>
      </c>
      <c r="D124" s="27" t="e">
        <f ca="1"/>
        <v>#NAME?</v>
      </c>
      <c r="E124" s="20" t="e">
        <f ca="1"/>
        <v>#NAME?</v>
      </c>
      <c r="F124" s="20" t="e">
        <f ca="1"/>
        <v>#NAME?</v>
      </c>
      <c r="BR124" s="26" t="e">
        <f ca="1"/>
        <v>#NAME?</v>
      </c>
      <c r="BS124" s="26" t="e">
        <f ca="1"/>
        <v>#NAME?</v>
      </c>
      <c r="BT124" s="26" t="e">
        <f ca="1"/>
        <v>#NAME?</v>
      </c>
      <c r="BU124" s="26" t="e">
        <f ca="1"/>
        <v>#NAME?</v>
      </c>
      <c r="BV124" s="26" t="e">
        <f ca="1"/>
        <v>#NAME?</v>
      </c>
      <c r="BW124" s="26" t="e">
        <f ca="1"/>
        <v>#NAME?</v>
      </c>
      <c r="CB124" s="24" t="e">
        <f ca="1"/>
        <v>#NAME?</v>
      </c>
      <c r="CC124" s="20" t="e">
        <f ca="1"/>
        <v>#NAME?</v>
      </c>
      <c r="CD124" s="20" t="e">
        <f ca="1"/>
        <v>#NAME?</v>
      </c>
    </row>
    <row r="125" spans="2:82">
      <c r="B125" s="27" t="e">
        <f ca="1"/>
        <v>#NAME?</v>
      </c>
      <c r="C125" s="27" t="e">
        <f ca="1"/>
        <v>#NAME?</v>
      </c>
      <c r="D125" s="27" t="e">
        <f ca="1"/>
        <v>#NAME?</v>
      </c>
      <c r="E125" s="20" t="e">
        <f ca="1"/>
        <v>#NAME?</v>
      </c>
      <c r="F125" s="20" t="e">
        <f ca="1"/>
        <v>#NAME?</v>
      </c>
      <c r="BR125" s="26" t="e">
        <f ca="1"/>
        <v>#NAME?</v>
      </c>
      <c r="BS125" s="26" t="e">
        <f ca="1"/>
        <v>#NAME?</v>
      </c>
      <c r="BT125" s="26" t="e">
        <f ca="1"/>
        <v>#NAME?</v>
      </c>
      <c r="BU125" s="26" t="e">
        <f ca="1"/>
        <v>#NAME?</v>
      </c>
      <c r="BV125" s="26" t="e">
        <f ca="1"/>
        <v>#NAME?</v>
      </c>
      <c r="BW125" s="26" t="e">
        <f ca="1"/>
        <v>#NAME?</v>
      </c>
      <c r="CB125" s="24" t="e">
        <f ca="1"/>
        <v>#NAME?</v>
      </c>
      <c r="CC125" s="20" t="e">
        <f ca="1"/>
        <v>#NAME?</v>
      </c>
      <c r="CD125" s="20" t="e">
        <f ca="1"/>
        <v>#NAME?</v>
      </c>
    </row>
    <row r="126" spans="2:82">
      <c r="B126" s="27" t="e">
        <f ca="1"/>
        <v>#NAME?</v>
      </c>
      <c r="C126" s="27" t="e">
        <f ca="1"/>
        <v>#NAME?</v>
      </c>
      <c r="D126" s="27" t="e">
        <f ca="1"/>
        <v>#NAME?</v>
      </c>
      <c r="E126" s="20" t="e">
        <f ca="1"/>
        <v>#NAME?</v>
      </c>
      <c r="F126" s="20" t="e">
        <f ca="1"/>
        <v>#NAME?</v>
      </c>
      <c r="BR126" s="26" t="e">
        <f ca="1"/>
        <v>#NAME?</v>
      </c>
      <c r="BS126" s="26" t="e">
        <f ca="1"/>
        <v>#NAME?</v>
      </c>
      <c r="BT126" s="26" t="e">
        <f ca="1"/>
        <v>#NAME?</v>
      </c>
      <c r="BU126" s="26" t="e">
        <f ca="1"/>
        <v>#NAME?</v>
      </c>
      <c r="BV126" s="26" t="e">
        <f ca="1"/>
        <v>#NAME?</v>
      </c>
      <c r="BW126" s="26" t="e">
        <f ca="1"/>
        <v>#NAME?</v>
      </c>
      <c r="CB126" s="24" t="e">
        <f ca="1"/>
        <v>#NAME?</v>
      </c>
      <c r="CC126" s="20" t="e">
        <f ca="1"/>
        <v>#NAME?</v>
      </c>
      <c r="CD126" s="20" t="e">
        <f ca="1"/>
        <v>#NAME?</v>
      </c>
    </row>
    <row r="127" spans="2:82">
      <c r="B127" s="27" t="e">
        <f ca="1"/>
        <v>#NAME?</v>
      </c>
      <c r="C127" s="27" t="e">
        <f ca="1"/>
        <v>#NAME?</v>
      </c>
      <c r="D127" s="27" t="e">
        <f ca="1"/>
        <v>#NAME?</v>
      </c>
      <c r="E127" s="20" t="e">
        <f ca="1"/>
        <v>#NAME?</v>
      </c>
      <c r="F127" s="20" t="e">
        <f ca="1"/>
        <v>#NAME?</v>
      </c>
      <c r="BR127" s="26" t="e">
        <f ca="1"/>
        <v>#NAME?</v>
      </c>
      <c r="BS127" s="26" t="e">
        <f ca="1"/>
        <v>#NAME?</v>
      </c>
      <c r="BT127" s="26" t="e">
        <f ca="1"/>
        <v>#NAME?</v>
      </c>
      <c r="BU127" s="26" t="e">
        <f ca="1"/>
        <v>#NAME?</v>
      </c>
      <c r="BV127" s="26" t="e">
        <f ca="1"/>
        <v>#NAME?</v>
      </c>
      <c r="BW127" s="26" t="e">
        <f ca="1"/>
        <v>#NAME?</v>
      </c>
      <c r="CB127" s="24" t="e">
        <f ca="1"/>
        <v>#NAME?</v>
      </c>
      <c r="CC127" s="20" t="e">
        <f ca="1"/>
        <v>#NAME?</v>
      </c>
      <c r="CD127" s="20" t="e">
        <f ca="1"/>
        <v>#NAME?</v>
      </c>
    </row>
    <row r="128" spans="2:82">
      <c r="B128" s="27" t="e">
        <f ca="1"/>
        <v>#NAME?</v>
      </c>
      <c r="C128" s="27" t="e">
        <f ca="1"/>
        <v>#NAME?</v>
      </c>
      <c r="D128" s="27" t="e">
        <f ca="1"/>
        <v>#NAME?</v>
      </c>
      <c r="E128" s="20" t="e">
        <f ca="1"/>
        <v>#NAME?</v>
      </c>
      <c r="F128" s="20" t="e">
        <f ca="1"/>
        <v>#NAME?</v>
      </c>
      <c r="BR128" s="26" t="e">
        <f ca="1"/>
        <v>#NAME?</v>
      </c>
      <c r="BS128" s="26" t="e">
        <f ca="1"/>
        <v>#NAME?</v>
      </c>
      <c r="BT128" s="26" t="e">
        <f ca="1"/>
        <v>#NAME?</v>
      </c>
      <c r="BU128" s="26" t="e">
        <f ca="1"/>
        <v>#NAME?</v>
      </c>
      <c r="BV128" s="26" t="e">
        <f ca="1"/>
        <v>#NAME?</v>
      </c>
      <c r="BW128" s="26" t="e">
        <f ca="1"/>
        <v>#NAME?</v>
      </c>
      <c r="CB128" s="24" t="e">
        <f ca="1"/>
        <v>#NAME?</v>
      </c>
      <c r="CC128" s="20" t="e">
        <f ca="1"/>
        <v>#NAME?</v>
      </c>
      <c r="CD128" s="20" t="e">
        <f ca="1"/>
        <v>#NAME?</v>
      </c>
    </row>
    <row r="129" spans="2:82">
      <c r="B129" s="27" t="e">
        <f ca="1"/>
        <v>#NAME?</v>
      </c>
      <c r="C129" s="27" t="e">
        <f ca="1"/>
        <v>#NAME?</v>
      </c>
      <c r="D129" s="27" t="e">
        <f ca="1"/>
        <v>#NAME?</v>
      </c>
      <c r="E129" s="20" t="e">
        <f ca="1"/>
        <v>#NAME?</v>
      </c>
      <c r="F129" s="20" t="e">
        <f ca="1"/>
        <v>#NAME?</v>
      </c>
      <c r="BR129" s="26" t="e">
        <f ca="1"/>
        <v>#NAME?</v>
      </c>
      <c r="BS129" s="26" t="e">
        <f ca="1"/>
        <v>#NAME?</v>
      </c>
      <c r="BT129" s="26" t="e">
        <f ca="1"/>
        <v>#NAME?</v>
      </c>
      <c r="BU129" s="26" t="e">
        <f ca="1"/>
        <v>#NAME?</v>
      </c>
      <c r="BV129" s="26" t="e">
        <f ca="1"/>
        <v>#NAME?</v>
      </c>
      <c r="BW129" s="26" t="e">
        <f ca="1"/>
        <v>#NAME?</v>
      </c>
      <c r="CB129" s="24" t="e">
        <f ca="1"/>
        <v>#NAME?</v>
      </c>
      <c r="CC129" s="20" t="e">
        <f ca="1"/>
        <v>#NAME?</v>
      </c>
      <c r="CD129" s="20" t="e">
        <f ca="1"/>
        <v>#NAME?</v>
      </c>
    </row>
    <row r="130" spans="2:82">
      <c r="B130" s="27" t="e">
        <f ca="1"/>
        <v>#NAME?</v>
      </c>
      <c r="C130" s="27" t="e">
        <f ca="1"/>
        <v>#NAME?</v>
      </c>
      <c r="D130" s="27" t="e">
        <f ca="1"/>
        <v>#NAME?</v>
      </c>
      <c r="E130" s="20" t="e">
        <f ca="1"/>
        <v>#NAME?</v>
      </c>
      <c r="F130" s="20" t="e">
        <f ca="1"/>
        <v>#NAME?</v>
      </c>
      <c r="BR130" s="26" t="e">
        <f ca="1"/>
        <v>#NAME?</v>
      </c>
      <c r="BS130" s="26" t="e">
        <f ca="1"/>
        <v>#NAME?</v>
      </c>
      <c r="BT130" s="26" t="e">
        <f ca="1"/>
        <v>#NAME?</v>
      </c>
      <c r="BU130" s="26" t="e">
        <f ca="1"/>
        <v>#NAME?</v>
      </c>
      <c r="BV130" s="26" t="e">
        <f ca="1"/>
        <v>#NAME?</v>
      </c>
      <c r="BW130" s="26" t="e">
        <f ca="1"/>
        <v>#NAME?</v>
      </c>
      <c r="CB130" s="24" t="e">
        <f ca="1"/>
        <v>#NAME?</v>
      </c>
      <c r="CC130" s="20" t="e">
        <f ca="1"/>
        <v>#NAME?</v>
      </c>
      <c r="CD130" s="20" t="e">
        <f ca="1"/>
        <v>#NAME?</v>
      </c>
    </row>
    <row r="131" spans="2:82">
      <c r="B131" s="27" t="e">
        <f ca="1"/>
        <v>#NAME?</v>
      </c>
      <c r="C131" s="27" t="e">
        <f ca="1"/>
        <v>#NAME?</v>
      </c>
      <c r="D131" s="27" t="e">
        <f ca="1"/>
        <v>#NAME?</v>
      </c>
      <c r="E131" s="20" t="e">
        <f ca="1"/>
        <v>#NAME?</v>
      </c>
      <c r="F131" s="20" t="e">
        <f ca="1"/>
        <v>#NAME?</v>
      </c>
      <c r="BR131" s="26" t="e">
        <f ca="1"/>
        <v>#NAME?</v>
      </c>
      <c r="BS131" s="26" t="e">
        <f ca="1"/>
        <v>#NAME?</v>
      </c>
      <c r="BT131" s="26" t="e">
        <f ca="1"/>
        <v>#NAME?</v>
      </c>
      <c r="BU131" s="26" t="e">
        <f ca="1"/>
        <v>#NAME?</v>
      </c>
      <c r="BV131" s="26" t="e">
        <f ca="1"/>
        <v>#NAME?</v>
      </c>
      <c r="BW131" s="26" t="e">
        <f ca="1"/>
        <v>#NAME?</v>
      </c>
      <c r="CB131" s="24" t="e">
        <f ca="1"/>
        <v>#NAME?</v>
      </c>
      <c r="CC131" s="20" t="e">
        <f ca="1"/>
        <v>#NAME?</v>
      </c>
      <c r="CD131" s="20" t="e">
        <f ca="1"/>
        <v>#NAME?</v>
      </c>
    </row>
    <row r="132" spans="2:82">
      <c r="B132" s="27" t="e">
        <f ca="1"/>
        <v>#NAME?</v>
      </c>
      <c r="C132" s="27" t="e">
        <f ca="1"/>
        <v>#NAME?</v>
      </c>
      <c r="D132" s="27" t="e">
        <f ca="1"/>
        <v>#NAME?</v>
      </c>
      <c r="E132" s="20" t="e">
        <f ca="1"/>
        <v>#NAME?</v>
      </c>
      <c r="F132" s="20" t="e">
        <f ca="1"/>
        <v>#NAME?</v>
      </c>
      <c r="BR132" s="26" t="e">
        <f ca="1"/>
        <v>#NAME?</v>
      </c>
      <c r="BS132" s="26" t="e">
        <f ca="1"/>
        <v>#NAME?</v>
      </c>
      <c r="BT132" s="26" t="e">
        <f ca="1"/>
        <v>#NAME?</v>
      </c>
      <c r="BU132" s="26" t="e">
        <f ca="1"/>
        <v>#NAME?</v>
      </c>
      <c r="BV132" s="26" t="e">
        <f ca="1"/>
        <v>#NAME?</v>
      </c>
      <c r="BW132" s="26" t="e">
        <f ca="1"/>
        <v>#NAME?</v>
      </c>
      <c r="CB132" s="24" t="e">
        <f ca="1"/>
        <v>#NAME?</v>
      </c>
      <c r="CC132" s="20" t="e">
        <f ca="1"/>
        <v>#NAME?</v>
      </c>
      <c r="CD132" s="20" t="e">
        <f ca="1"/>
        <v>#NAME?</v>
      </c>
    </row>
    <row r="133" spans="2:82">
      <c r="B133" s="27" t="e">
        <f ca="1"/>
        <v>#NAME?</v>
      </c>
      <c r="C133" s="27" t="e">
        <f ca="1"/>
        <v>#NAME?</v>
      </c>
      <c r="D133" s="27" t="e">
        <f ca="1"/>
        <v>#NAME?</v>
      </c>
      <c r="E133" s="20" t="e">
        <f ca="1"/>
        <v>#NAME?</v>
      </c>
      <c r="F133" s="20" t="e">
        <f ca="1"/>
        <v>#NAME?</v>
      </c>
      <c r="BR133" s="26" t="e">
        <f ca="1"/>
        <v>#NAME?</v>
      </c>
      <c r="BS133" s="26" t="e">
        <f ca="1"/>
        <v>#NAME?</v>
      </c>
      <c r="BT133" s="26" t="e">
        <f ca="1"/>
        <v>#NAME?</v>
      </c>
      <c r="BU133" s="26" t="e">
        <f ca="1"/>
        <v>#NAME?</v>
      </c>
      <c r="BV133" s="26" t="e">
        <f ca="1"/>
        <v>#NAME?</v>
      </c>
      <c r="BW133" s="26" t="e">
        <f ca="1"/>
        <v>#NAME?</v>
      </c>
      <c r="CB133" s="24" t="e">
        <f ca="1"/>
        <v>#NAME?</v>
      </c>
      <c r="CC133" s="20" t="e">
        <f ca="1"/>
        <v>#NAME?</v>
      </c>
      <c r="CD133" s="20" t="e">
        <f ca="1"/>
        <v>#NAME?</v>
      </c>
    </row>
    <row r="134" spans="2:82">
      <c r="B134" s="27" t="e">
        <f ca="1"/>
        <v>#NAME?</v>
      </c>
      <c r="C134" s="27" t="e">
        <f ca="1"/>
        <v>#NAME?</v>
      </c>
      <c r="D134" s="27" t="e">
        <f ca="1"/>
        <v>#NAME?</v>
      </c>
      <c r="E134" s="20" t="e">
        <f ca="1"/>
        <v>#NAME?</v>
      </c>
      <c r="F134" s="20" t="e">
        <f ca="1"/>
        <v>#NAME?</v>
      </c>
      <c r="BR134" s="26" t="e">
        <f ca="1"/>
        <v>#NAME?</v>
      </c>
      <c r="BS134" s="26" t="e">
        <f ca="1"/>
        <v>#NAME?</v>
      </c>
      <c r="BT134" s="26" t="e">
        <f ca="1"/>
        <v>#NAME?</v>
      </c>
      <c r="BU134" s="26" t="e">
        <f ca="1"/>
        <v>#NAME?</v>
      </c>
      <c r="BV134" s="26" t="e">
        <f ca="1"/>
        <v>#NAME?</v>
      </c>
      <c r="BW134" s="26" t="e">
        <f ca="1"/>
        <v>#NAME?</v>
      </c>
      <c r="CB134" s="24" t="e">
        <f ca="1"/>
        <v>#NAME?</v>
      </c>
      <c r="CC134" s="20" t="e">
        <f ca="1"/>
        <v>#NAME?</v>
      </c>
      <c r="CD134" s="20" t="e">
        <f ca="1"/>
        <v>#NAME?</v>
      </c>
    </row>
    <row r="135" spans="2:82">
      <c r="B135" s="27" t="e">
        <f ca="1"/>
        <v>#NAME?</v>
      </c>
      <c r="C135" s="27" t="e">
        <f ca="1"/>
        <v>#NAME?</v>
      </c>
      <c r="D135" s="27" t="e">
        <f ca="1"/>
        <v>#NAME?</v>
      </c>
      <c r="E135" s="20" t="e">
        <f ca="1"/>
        <v>#NAME?</v>
      </c>
      <c r="F135" s="20" t="e">
        <f ca="1"/>
        <v>#NAME?</v>
      </c>
      <c r="BR135" s="26" t="e">
        <f ca="1"/>
        <v>#NAME?</v>
      </c>
      <c r="BS135" s="26" t="e">
        <f ca="1"/>
        <v>#NAME?</v>
      </c>
      <c r="BT135" s="26" t="e">
        <f ca="1"/>
        <v>#NAME?</v>
      </c>
      <c r="BU135" s="26" t="e">
        <f ca="1"/>
        <v>#NAME?</v>
      </c>
      <c r="BV135" s="26" t="e">
        <f ca="1"/>
        <v>#NAME?</v>
      </c>
      <c r="BW135" s="26" t="e">
        <f ca="1"/>
        <v>#NAME?</v>
      </c>
      <c r="CB135" s="24" t="e">
        <f ca="1"/>
        <v>#NAME?</v>
      </c>
      <c r="CC135" s="20" t="e">
        <f ca="1"/>
        <v>#NAME?</v>
      </c>
      <c r="CD135" s="20" t="e">
        <f ca="1"/>
        <v>#NAME?</v>
      </c>
    </row>
    <row r="136" spans="2:82">
      <c r="B136" s="27" t="e">
        <f ca="1"/>
        <v>#NAME?</v>
      </c>
      <c r="C136" s="27" t="e">
        <f ca="1"/>
        <v>#NAME?</v>
      </c>
      <c r="D136" s="27" t="e">
        <f ca="1"/>
        <v>#NAME?</v>
      </c>
      <c r="E136" s="20" t="e">
        <f ca="1"/>
        <v>#NAME?</v>
      </c>
      <c r="F136" s="20" t="e">
        <f ca="1"/>
        <v>#NAME?</v>
      </c>
      <c r="BR136" s="26" t="e">
        <f ca="1"/>
        <v>#NAME?</v>
      </c>
      <c r="BS136" s="26" t="e">
        <f ca="1"/>
        <v>#NAME?</v>
      </c>
      <c r="BT136" s="26" t="e">
        <f ca="1"/>
        <v>#NAME?</v>
      </c>
      <c r="BU136" s="26" t="e">
        <f ca="1"/>
        <v>#NAME?</v>
      </c>
      <c r="BV136" s="26" t="e">
        <f ca="1"/>
        <v>#NAME?</v>
      </c>
      <c r="BW136" s="26" t="e">
        <f ca="1"/>
        <v>#NAME?</v>
      </c>
      <c r="CB136" s="24" t="e">
        <f ca="1"/>
        <v>#NAME?</v>
      </c>
      <c r="CC136" s="20" t="e">
        <f ca="1"/>
        <v>#NAME?</v>
      </c>
      <c r="CD136" s="20" t="e">
        <f ca="1"/>
        <v>#NAME?</v>
      </c>
    </row>
    <row r="137" spans="2:82">
      <c r="B137" s="27" t="e">
        <f ca="1"/>
        <v>#NAME?</v>
      </c>
      <c r="C137" s="27" t="e">
        <f ca="1"/>
        <v>#NAME?</v>
      </c>
      <c r="D137" s="27" t="e">
        <f ca="1"/>
        <v>#NAME?</v>
      </c>
      <c r="E137" s="20" t="e">
        <f ca="1"/>
        <v>#NAME?</v>
      </c>
      <c r="F137" s="20" t="e">
        <f ca="1"/>
        <v>#NAME?</v>
      </c>
      <c r="BR137" s="26" t="e">
        <f ca="1"/>
        <v>#NAME?</v>
      </c>
      <c r="BS137" s="26" t="e">
        <f ca="1"/>
        <v>#NAME?</v>
      </c>
      <c r="BT137" s="26" t="e">
        <f ca="1"/>
        <v>#NAME?</v>
      </c>
      <c r="BU137" s="26" t="e">
        <f ca="1"/>
        <v>#NAME?</v>
      </c>
      <c r="BV137" s="26" t="e">
        <f ca="1"/>
        <v>#NAME?</v>
      </c>
      <c r="BW137" s="26" t="e">
        <f ca="1"/>
        <v>#NAME?</v>
      </c>
      <c r="CB137" s="24" t="e">
        <f ca="1"/>
        <v>#NAME?</v>
      </c>
      <c r="CC137" s="20" t="e">
        <f ca="1"/>
        <v>#NAME?</v>
      </c>
      <c r="CD137" s="20" t="e">
        <f ca="1"/>
        <v>#NAME?</v>
      </c>
    </row>
    <row r="138" spans="2:82">
      <c r="B138" s="27" t="e">
        <f ca="1"/>
        <v>#NAME?</v>
      </c>
      <c r="C138" s="27" t="e">
        <f ca="1"/>
        <v>#NAME?</v>
      </c>
      <c r="D138" s="27" t="e">
        <f ca="1"/>
        <v>#NAME?</v>
      </c>
      <c r="E138" s="20" t="e">
        <f ca="1"/>
        <v>#NAME?</v>
      </c>
      <c r="F138" s="20" t="e">
        <f ca="1"/>
        <v>#NAME?</v>
      </c>
      <c r="BR138" s="26" t="e">
        <f ca="1"/>
        <v>#NAME?</v>
      </c>
      <c r="BS138" s="26" t="e">
        <f ca="1"/>
        <v>#NAME?</v>
      </c>
      <c r="BT138" s="26" t="e">
        <f ca="1"/>
        <v>#NAME?</v>
      </c>
      <c r="BU138" s="26" t="e">
        <f ca="1"/>
        <v>#NAME?</v>
      </c>
      <c r="BV138" s="26" t="e">
        <f ca="1"/>
        <v>#NAME?</v>
      </c>
      <c r="BW138" s="26" t="e">
        <f ca="1"/>
        <v>#NAME?</v>
      </c>
      <c r="CB138" s="24" t="e">
        <f ca="1"/>
        <v>#NAME?</v>
      </c>
      <c r="CC138" s="20" t="e">
        <f ca="1"/>
        <v>#NAME?</v>
      </c>
      <c r="CD138" s="20" t="e">
        <f ca="1"/>
        <v>#NAME?</v>
      </c>
    </row>
    <row r="139" spans="2:82">
      <c r="B139" s="27" t="e">
        <f ca="1"/>
        <v>#NAME?</v>
      </c>
      <c r="C139" s="27" t="e">
        <f ca="1"/>
        <v>#NAME?</v>
      </c>
      <c r="D139" s="27" t="e">
        <f ca="1"/>
        <v>#NAME?</v>
      </c>
      <c r="E139" s="20" t="e">
        <f ca="1"/>
        <v>#NAME?</v>
      </c>
      <c r="F139" s="20" t="e">
        <f ca="1"/>
        <v>#NAME?</v>
      </c>
      <c r="BR139" s="26" t="e">
        <f ca="1"/>
        <v>#NAME?</v>
      </c>
      <c r="BS139" s="26" t="e">
        <f ca="1"/>
        <v>#NAME?</v>
      </c>
      <c r="BT139" s="26" t="e">
        <f ca="1"/>
        <v>#NAME?</v>
      </c>
      <c r="BU139" s="26" t="e">
        <f ca="1"/>
        <v>#NAME?</v>
      </c>
      <c r="BV139" s="26" t="e">
        <f ca="1"/>
        <v>#NAME?</v>
      </c>
      <c r="BW139" s="26" t="e">
        <f ca="1"/>
        <v>#NAME?</v>
      </c>
      <c r="CB139" s="24" t="e">
        <f ca="1"/>
        <v>#NAME?</v>
      </c>
      <c r="CC139" s="20" t="e">
        <f ca="1"/>
        <v>#NAME?</v>
      </c>
      <c r="CD139" s="20" t="e">
        <f ca="1"/>
        <v>#NAME?</v>
      </c>
    </row>
    <row r="140" spans="2:82">
      <c r="B140" s="27" t="e">
        <f ca="1"/>
        <v>#NAME?</v>
      </c>
      <c r="C140" s="27" t="e">
        <f ca="1"/>
        <v>#NAME?</v>
      </c>
      <c r="D140" s="27" t="e">
        <f ca="1"/>
        <v>#NAME?</v>
      </c>
      <c r="E140" s="20" t="e">
        <f ca="1"/>
        <v>#NAME?</v>
      </c>
      <c r="F140" s="20" t="e">
        <f ca="1"/>
        <v>#NAME?</v>
      </c>
      <c r="BR140" s="26" t="e">
        <f ca="1"/>
        <v>#NAME?</v>
      </c>
      <c r="BS140" s="26" t="e">
        <f ca="1"/>
        <v>#NAME?</v>
      </c>
      <c r="BT140" s="26" t="e">
        <f ca="1"/>
        <v>#NAME?</v>
      </c>
      <c r="BU140" s="26" t="e">
        <f ca="1"/>
        <v>#NAME?</v>
      </c>
      <c r="BV140" s="26" t="e">
        <f ca="1"/>
        <v>#NAME?</v>
      </c>
      <c r="BW140" s="26" t="e">
        <f ca="1"/>
        <v>#NAME?</v>
      </c>
      <c r="CB140" s="24" t="e">
        <f ca="1"/>
        <v>#NAME?</v>
      </c>
      <c r="CC140" s="20" t="e">
        <f ca="1"/>
        <v>#NAME?</v>
      </c>
      <c r="CD140" s="20" t="e">
        <f ca="1"/>
        <v>#NAME?</v>
      </c>
    </row>
    <row r="141" spans="2:82">
      <c r="B141" s="27" t="e">
        <f ca="1"/>
        <v>#NAME?</v>
      </c>
      <c r="C141" s="27" t="e">
        <f ca="1"/>
        <v>#NAME?</v>
      </c>
      <c r="D141" s="27" t="e">
        <f ca="1"/>
        <v>#NAME?</v>
      </c>
      <c r="E141" s="20" t="e">
        <f ca="1"/>
        <v>#NAME?</v>
      </c>
      <c r="F141" s="20" t="e">
        <f ca="1"/>
        <v>#NAME?</v>
      </c>
      <c r="BR141" s="26" t="e">
        <f ca="1"/>
        <v>#NAME?</v>
      </c>
      <c r="BS141" s="26" t="e">
        <f ca="1"/>
        <v>#NAME?</v>
      </c>
      <c r="BT141" s="26" t="e">
        <f ca="1"/>
        <v>#NAME?</v>
      </c>
      <c r="BU141" s="26" t="e">
        <f ca="1"/>
        <v>#NAME?</v>
      </c>
      <c r="BV141" s="26" t="e">
        <f ca="1"/>
        <v>#NAME?</v>
      </c>
      <c r="BW141" s="26" t="e">
        <f ca="1"/>
        <v>#NAME?</v>
      </c>
      <c r="CB141" s="24" t="e">
        <f ca="1"/>
        <v>#NAME?</v>
      </c>
      <c r="CC141" s="20" t="e">
        <f ca="1"/>
        <v>#NAME?</v>
      </c>
      <c r="CD141" s="20" t="e">
        <f ca="1"/>
        <v>#NAME?</v>
      </c>
    </row>
    <row r="142" spans="2:82">
      <c r="B142" s="27" t="e">
        <f ca="1"/>
        <v>#NAME?</v>
      </c>
      <c r="C142" s="27" t="e">
        <f ca="1"/>
        <v>#NAME?</v>
      </c>
      <c r="D142" s="27" t="e">
        <f ca="1"/>
        <v>#NAME?</v>
      </c>
      <c r="E142" s="20" t="e">
        <f ca="1"/>
        <v>#NAME?</v>
      </c>
      <c r="F142" s="20" t="e">
        <f ca="1"/>
        <v>#NAME?</v>
      </c>
      <c r="BR142" s="26" t="e">
        <f ca="1"/>
        <v>#NAME?</v>
      </c>
      <c r="BS142" s="26" t="e">
        <f ca="1"/>
        <v>#NAME?</v>
      </c>
      <c r="BT142" s="26" t="e">
        <f ca="1"/>
        <v>#NAME?</v>
      </c>
      <c r="BU142" s="26" t="e">
        <f ca="1"/>
        <v>#NAME?</v>
      </c>
      <c r="BV142" s="26" t="e">
        <f ca="1"/>
        <v>#NAME?</v>
      </c>
      <c r="BW142" s="26" t="e">
        <f ca="1"/>
        <v>#NAME?</v>
      </c>
      <c r="CB142" s="24" t="e">
        <f ca="1"/>
        <v>#NAME?</v>
      </c>
      <c r="CC142" s="20" t="e">
        <f ca="1"/>
        <v>#NAME?</v>
      </c>
      <c r="CD142" s="20" t="e">
        <f ca="1"/>
        <v>#NAME?</v>
      </c>
    </row>
    <row r="143" spans="2:82">
      <c r="B143" s="27" t="e">
        <f ca="1"/>
        <v>#NAME?</v>
      </c>
      <c r="C143" s="27" t="e">
        <f ca="1"/>
        <v>#NAME?</v>
      </c>
      <c r="D143" s="27" t="e">
        <f ca="1"/>
        <v>#NAME?</v>
      </c>
      <c r="E143" s="20" t="e">
        <f ca="1"/>
        <v>#NAME?</v>
      </c>
      <c r="F143" s="20" t="e">
        <f ca="1"/>
        <v>#NAME?</v>
      </c>
      <c r="BR143" s="26" t="e">
        <f ca="1"/>
        <v>#NAME?</v>
      </c>
      <c r="BS143" s="26" t="e">
        <f ca="1"/>
        <v>#NAME?</v>
      </c>
      <c r="BT143" s="26" t="e">
        <f ca="1"/>
        <v>#NAME?</v>
      </c>
      <c r="BU143" s="26" t="e">
        <f ca="1"/>
        <v>#NAME?</v>
      </c>
      <c r="BV143" s="26" t="e">
        <f ca="1"/>
        <v>#NAME?</v>
      </c>
      <c r="BW143" s="26" t="e">
        <f ca="1"/>
        <v>#NAME?</v>
      </c>
      <c r="CB143" s="24" t="e">
        <f ca="1"/>
        <v>#NAME?</v>
      </c>
      <c r="CC143" s="20" t="e">
        <f ca="1"/>
        <v>#NAME?</v>
      </c>
      <c r="CD143" s="20" t="e">
        <f ca="1"/>
        <v>#NAME?</v>
      </c>
    </row>
    <row r="144" spans="2:82">
      <c r="B144" s="27" t="e">
        <f ca="1"/>
        <v>#NAME?</v>
      </c>
      <c r="C144" s="27" t="e">
        <f ca="1"/>
        <v>#NAME?</v>
      </c>
      <c r="D144" s="27" t="e">
        <f ca="1"/>
        <v>#NAME?</v>
      </c>
      <c r="E144" s="20" t="e">
        <f ca="1"/>
        <v>#NAME?</v>
      </c>
      <c r="F144" s="20" t="e">
        <f ca="1"/>
        <v>#NAME?</v>
      </c>
      <c r="BR144" s="26" t="e">
        <f ca="1"/>
        <v>#NAME?</v>
      </c>
      <c r="BS144" s="26" t="e">
        <f ca="1"/>
        <v>#NAME?</v>
      </c>
      <c r="BT144" s="26" t="e">
        <f ca="1"/>
        <v>#NAME?</v>
      </c>
      <c r="BU144" s="26" t="e">
        <f ca="1"/>
        <v>#NAME?</v>
      </c>
      <c r="BV144" s="26" t="e">
        <f ca="1"/>
        <v>#NAME?</v>
      </c>
      <c r="BW144" s="26" t="e">
        <f ca="1"/>
        <v>#NAME?</v>
      </c>
      <c r="CB144" s="24" t="e">
        <f ca="1"/>
        <v>#NAME?</v>
      </c>
      <c r="CC144" s="20" t="e">
        <f ca="1"/>
        <v>#NAME?</v>
      </c>
      <c r="CD144" s="20" t="e">
        <f ca="1"/>
        <v>#NAME?</v>
      </c>
    </row>
    <row r="145" spans="2:82">
      <c r="B145" s="27" t="e">
        <f ca="1"/>
        <v>#NAME?</v>
      </c>
      <c r="C145" s="27" t="e">
        <f ca="1"/>
        <v>#NAME?</v>
      </c>
      <c r="D145" s="27" t="e">
        <f ca="1"/>
        <v>#NAME?</v>
      </c>
      <c r="E145" s="20" t="e">
        <f ca="1"/>
        <v>#NAME?</v>
      </c>
      <c r="F145" s="20" t="e">
        <f ca="1"/>
        <v>#NAME?</v>
      </c>
      <c r="BR145" s="26" t="e">
        <f ca="1"/>
        <v>#NAME?</v>
      </c>
      <c r="BS145" s="26" t="e">
        <f ca="1"/>
        <v>#NAME?</v>
      </c>
      <c r="BT145" s="26" t="e">
        <f ca="1"/>
        <v>#NAME?</v>
      </c>
      <c r="BU145" s="26" t="e">
        <f ca="1"/>
        <v>#NAME?</v>
      </c>
      <c r="BV145" s="26" t="e">
        <f ca="1"/>
        <v>#NAME?</v>
      </c>
      <c r="BW145" s="26" t="e">
        <f ca="1"/>
        <v>#NAME?</v>
      </c>
      <c r="CB145" s="24" t="e">
        <f ca="1"/>
        <v>#NAME?</v>
      </c>
      <c r="CC145" s="20" t="e">
        <f ca="1"/>
        <v>#NAME?</v>
      </c>
      <c r="CD145" s="20" t="e">
        <f ca="1"/>
        <v>#NAME?</v>
      </c>
    </row>
    <row r="146" spans="2:82">
      <c r="B146" s="27" t="e">
        <f ca="1"/>
        <v>#NAME?</v>
      </c>
      <c r="C146" s="27" t="e">
        <f ca="1"/>
        <v>#NAME?</v>
      </c>
      <c r="D146" s="27" t="e">
        <f ca="1"/>
        <v>#NAME?</v>
      </c>
      <c r="E146" s="20" t="e">
        <f ca="1"/>
        <v>#NAME?</v>
      </c>
      <c r="F146" s="20" t="e">
        <f ca="1"/>
        <v>#NAME?</v>
      </c>
      <c r="BR146" s="26" t="e">
        <f ca="1"/>
        <v>#NAME?</v>
      </c>
      <c r="BS146" s="26" t="e">
        <f ca="1"/>
        <v>#NAME?</v>
      </c>
      <c r="BT146" s="26" t="e">
        <f ca="1"/>
        <v>#NAME?</v>
      </c>
      <c r="BU146" s="26" t="e">
        <f ca="1"/>
        <v>#NAME?</v>
      </c>
      <c r="BV146" s="26" t="e">
        <f ca="1"/>
        <v>#NAME?</v>
      </c>
      <c r="BW146" s="26" t="e">
        <f ca="1"/>
        <v>#NAME?</v>
      </c>
      <c r="CB146" s="24" t="e">
        <f ca="1"/>
        <v>#NAME?</v>
      </c>
      <c r="CC146" s="20" t="e">
        <f ca="1"/>
        <v>#NAME?</v>
      </c>
      <c r="CD146" s="20" t="e">
        <f ca="1"/>
        <v>#NAME?</v>
      </c>
    </row>
    <row r="147" spans="2:82">
      <c r="B147" s="27" t="e">
        <f ca="1"/>
        <v>#NAME?</v>
      </c>
      <c r="C147" s="27" t="e">
        <f ca="1"/>
        <v>#NAME?</v>
      </c>
      <c r="D147" s="27" t="e">
        <f ca="1"/>
        <v>#NAME?</v>
      </c>
      <c r="E147" s="20" t="e">
        <f ca="1"/>
        <v>#NAME?</v>
      </c>
      <c r="F147" s="20" t="e">
        <f ca="1"/>
        <v>#NAME?</v>
      </c>
      <c r="BR147" s="26" t="e">
        <f ca="1"/>
        <v>#NAME?</v>
      </c>
      <c r="BS147" s="26" t="e">
        <f ca="1"/>
        <v>#NAME?</v>
      </c>
      <c r="BT147" s="26" t="e">
        <f ca="1"/>
        <v>#NAME?</v>
      </c>
      <c r="BU147" s="26" t="e">
        <f ca="1"/>
        <v>#NAME?</v>
      </c>
      <c r="BV147" s="26" t="e">
        <f ca="1"/>
        <v>#NAME?</v>
      </c>
      <c r="BW147" s="26" t="e">
        <f ca="1"/>
        <v>#NAME?</v>
      </c>
      <c r="CB147" s="24" t="e">
        <f ca="1"/>
        <v>#NAME?</v>
      </c>
      <c r="CC147" s="20" t="e">
        <f ca="1"/>
        <v>#NAME?</v>
      </c>
      <c r="CD147" s="20" t="e">
        <f ca="1"/>
        <v>#NAME?</v>
      </c>
    </row>
    <row r="148" spans="2:82">
      <c r="B148" s="27" t="e">
        <f ca="1"/>
        <v>#NAME?</v>
      </c>
      <c r="C148" s="27" t="e">
        <f ca="1"/>
        <v>#NAME?</v>
      </c>
      <c r="D148" s="27" t="e">
        <f ca="1"/>
        <v>#NAME?</v>
      </c>
      <c r="E148" s="20" t="e">
        <f ca="1"/>
        <v>#NAME?</v>
      </c>
      <c r="F148" s="20" t="e">
        <f ca="1"/>
        <v>#NAME?</v>
      </c>
      <c r="BR148" s="26" t="e">
        <f ca="1"/>
        <v>#NAME?</v>
      </c>
      <c r="BS148" s="26" t="e">
        <f ca="1"/>
        <v>#NAME?</v>
      </c>
      <c r="BT148" s="26" t="e">
        <f ca="1"/>
        <v>#NAME?</v>
      </c>
      <c r="BU148" s="26" t="e">
        <f ca="1"/>
        <v>#NAME?</v>
      </c>
      <c r="BV148" s="26" t="e">
        <f ca="1"/>
        <v>#NAME?</v>
      </c>
      <c r="BW148" s="26" t="e">
        <f ca="1"/>
        <v>#NAME?</v>
      </c>
      <c r="CB148" s="24" t="e">
        <f ca="1"/>
        <v>#NAME?</v>
      </c>
      <c r="CC148" s="20" t="e">
        <f ca="1"/>
        <v>#NAME?</v>
      </c>
      <c r="CD148" s="20" t="e">
        <f ca="1"/>
        <v>#NAME?</v>
      </c>
    </row>
    <row r="149" spans="2:82">
      <c r="B149" s="27" t="e">
        <f ca="1"/>
        <v>#NAME?</v>
      </c>
      <c r="C149" s="27" t="e">
        <f ca="1"/>
        <v>#NAME?</v>
      </c>
      <c r="D149" s="27" t="e">
        <f ca="1"/>
        <v>#NAME?</v>
      </c>
      <c r="E149" s="20" t="e">
        <f ca="1"/>
        <v>#NAME?</v>
      </c>
      <c r="F149" s="20" t="e">
        <f ca="1"/>
        <v>#NAME?</v>
      </c>
      <c r="BR149" s="26" t="e">
        <f ca="1"/>
        <v>#NAME?</v>
      </c>
      <c r="BS149" s="26" t="e">
        <f ca="1"/>
        <v>#NAME?</v>
      </c>
      <c r="BT149" s="26" t="e">
        <f ca="1"/>
        <v>#NAME?</v>
      </c>
      <c r="BU149" s="26" t="e">
        <f ca="1"/>
        <v>#NAME?</v>
      </c>
      <c r="BV149" s="26" t="e">
        <f ca="1"/>
        <v>#NAME?</v>
      </c>
      <c r="BW149" s="26" t="e">
        <f ca="1"/>
        <v>#NAME?</v>
      </c>
      <c r="CB149" s="24" t="e">
        <f ca="1"/>
        <v>#NAME?</v>
      </c>
      <c r="CC149" s="20" t="e">
        <f ca="1"/>
        <v>#NAME?</v>
      </c>
      <c r="CD149" s="20" t="e">
        <f ca="1"/>
        <v>#NAME?</v>
      </c>
    </row>
    <row r="150" spans="2:82">
      <c r="B150" s="27" t="e">
        <f ca="1"/>
        <v>#NAME?</v>
      </c>
      <c r="C150" s="27" t="e">
        <f ca="1"/>
        <v>#NAME?</v>
      </c>
      <c r="D150" s="27" t="e">
        <f ca="1"/>
        <v>#NAME?</v>
      </c>
      <c r="E150" s="20" t="e">
        <f ca="1"/>
        <v>#NAME?</v>
      </c>
      <c r="F150" s="20" t="e">
        <f ca="1"/>
        <v>#NAME?</v>
      </c>
      <c r="BR150" s="26" t="e">
        <f ca="1"/>
        <v>#NAME?</v>
      </c>
      <c r="BS150" s="26" t="e">
        <f ca="1"/>
        <v>#NAME?</v>
      </c>
      <c r="BT150" s="26" t="e">
        <f ca="1"/>
        <v>#NAME?</v>
      </c>
      <c r="BU150" s="26" t="e">
        <f ca="1"/>
        <v>#NAME?</v>
      </c>
      <c r="BV150" s="26" t="e">
        <f ca="1"/>
        <v>#NAME?</v>
      </c>
      <c r="BW150" s="26" t="e">
        <f ca="1"/>
        <v>#NAME?</v>
      </c>
      <c r="CB150" s="24" t="e">
        <f ca="1"/>
        <v>#NAME?</v>
      </c>
      <c r="CC150" s="20" t="e">
        <f ca="1"/>
        <v>#NAME?</v>
      </c>
      <c r="CD150" s="20" t="e">
        <f ca="1"/>
        <v>#NAME?</v>
      </c>
    </row>
    <row r="151" spans="2:82">
      <c r="B151" s="27" t="e">
        <f ca="1"/>
        <v>#NAME?</v>
      </c>
      <c r="C151" s="27" t="e">
        <f ca="1"/>
        <v>#NAME?</v>
      </c>
      <c r="D151" s="27" t="e">
        <f ca="1"/>
        <v>#NAME?</v>
      </c>
      <c r="E151" s="20" t="e">
        <f ca="1"/>
        <v>#NAME?</v>
      </c>
      <c r="F151" s="20" t="e">
        <f ca="1"/>
        <v>#NAME?</v>
      </c>
      <c r="BR151" s="26" t="e">
        <f ca="1"/>
        <v>#NAME?</v>
      </c>
      <c r="BS151" s="26" t="e">
        <f ca="1"/>
        <v>#NAME?</v>
      </c>
      <c r="BT151" s="26" t="e">
        <f ca="1"/>
        <v>#NAME?</v>
      </c>
      <c r="BU151" s="26" t="e">
        <f ca="1"/>
        <v>#NAME?</v>
      </c>
      <c r="BV151" s="26" t="e">
        <f ca="1"/>
        <v>#NAME?</v>
      </c>
      <c r="BW151" s="26" t="e">
        <f ca="1"/>
        <v>#NAME?</v>
      </c>
      <c r="CB151" s="24" t="e">
        <f ca="1"/>
        <v>#NAME?</v>
      </c>
      <c r="CC151" s="20" t="e">
        <f ca="1"/>
        <v>#NAME?</v>
      </c>
      <c r="CD151" s="20" t="e">
        <f ca="1"/>
        <v>#NAME?</v>
      </c>
    </row>
    <row r="152" spans="2:82">
      <c r="B152" s="27" t="e">
        <f ca="1"/>
        <v>#NAME?</v>
      </c>
      <c r="C152" s="27" t="e">
        <f ca="1"/>
        <v>#NAME?</v>
      </c>
      <c r="D152" s="27" t="e">
        <f ca="1"/>
        <v>#NAME?</v>
      </c>
      <c r="E152" s="20" t="e">
        <f ca="1"/>
        <v>#NAME?</v>
      </c>
      <c r="F152" s="20" t="e">
        <f ca="1"/>
        <v>#NAME?</v>
      </c>
      <c r="BR152" s="26" t="e">
        <f ca="1"/>
        <v>#NAME?</v>
      </c>
      <c r="BS152" s="26" t="e">
        <f ca="1"/>
        <v>#NAME?</v>
      </c>
      <c r="BT152" s="26" t="e">
        <f ca="1"/>
        <v>#NAME?</v>
      </c>
      <c r="BU152" s="26" t="e">
        <f ca="1"/>
        <v>#NAME?</v>
      </c>
      <c r="BV152" s="26" t="e">
        <f ca="1"/>
        <v>#NAME?</v>
      </c>
      <c r="BW152" s="26" t="e">
        <f ca="1"/>
        <v>#NAME?</v>
      </c>
      <c r="CB152" s="24" t="e">
        <f ca="1"/>
        <v>#NAME?</v>
      </c>
      <c r="CC152" s="20" t="e">
        <f ca="1"/>
        <v>#NAME?</v>
      </c>
      <c r="CD152" s="20" t="e">
        <f ca="1"/>
        <v>#NAME?</v>
      </c>
    </row>
    <row r="153" spans="2:82">
      <c r="B153" s="27" t="e">
        <f ca="1"/>
        <v>#NAME?</v>
      </c>
      <c r="C153" s="27" t="e">
        <f ca="1"/>
        <v>#NAME?</v>
      </c>
      <c r="D153" s="27" t="e">
        <f ca="1"/>
        <v>#NAME?</v>
      </c>
      <c r="E153" s="20" t="e">
        <f ca="1"/>
        <v>#NAME?</v>
      </c>
      <c r="F153" s="20" t="e">
        <f ca="1"/>
        <v>#NAME?</v>
      </c>
      <c r="BR153" s="26" t="e">
        <f ca="1"/>
        <v>#NAME?</v>
      </c>
      <c r="BS153" s="26" t="e">
        <f ca="1"/>
        <v>#NAME?</v>
      </c>
      <c r="BT153" s="26" t="e">
        <f ca="1"/>
        <v>#NAME?</v>
      </c>
      <c r="BU153" s="26" t="e">
        <f ca="1"/>
        <v>#NAME?</v>
      </c>
      <c r="BV153" s="26" t="e">
        <f ca="1"/>
        <v>#NAME?</v>
      </c>
      <c r="BW153" s="26" t="e">
        <f ca="1"/>
        <v>#NAME?</v>
      </c>
      <c r="CB153" s="24" t="e">
        <f ca="1"/>
        <v>#NAME?</v>
      </c>
      <c r="CC153" s="20" t="e">
        <f ca="1"/>
        <v>#NAME?</v>
      </c>
      <c r="CD153" s="20" t="e">
        <f ca="1"/>
        <v>#NAME?</v>
      </c>
    </row>
    <row r="154" spans="2:82">
      <c r="B154" s="27" t="e">
        <f ca="1"/>
        <v>#NAME?</v>
      </c>
      <c r="C154" s="27" t="e">
        <f ca="1"/>
        <v>#NAME?</v>
      </c>
      <c r="D154" s="27" t="e">
        <f ca="1"/>
        <v>#NAME?</v>
      </c>
      <c r="E154" s="20" t="e">
        <f ca="1"/>
        <v>#NAME?</v>
      </c>
      <c r="F154" s="20" t="e">
        <f ca="1"/>
        <v>#NAME?</v>
      </c>
      <c r="BR154" s="26" t="e">
        <f ca="1"/>
        <v>#NAME?</v>
      </c>
      <c r="BS154" s="26" t="e">
        <f ca="1"/>
        <v>#NAME?</v>
      </c>
      <c r="BT154" s="26" t="e">
        <f ca="1"/>
        <v>#NAME?</v>
      </c>
      <c r="BU154" s="26" t="e">
        <f ca="1"/>
        <v>#NAME?</v>
      </c>
      <c r="BV154" s="26" t="e">
        <f ca="1"/>
        <v>#NAME?</v>
      </c>
      <c r="BW154" s="26" t="e">
        <f ca="1"/>
        <v>#NAME?</v>
      </c>
      <c r="CB154" s="24" t="e">
        <f ca="1"/>
        <v>#NAME?</v>
      </c>
      <c r="CC154" s="20" t="e">
        <f ca="1"/>
        <v>#NAME?</v>
      </c>
      <c r="CD154" s="20" t="e">
        <f ca="1"/>
        <v>#NAME?</v>
      </c>
    </row>
    <row r="155" spans="2:82">
      <c r="B155" s="27" t="e">
        <f ca="1"/>
        <v>#NAME?</v>
      </c>
      <c r="C155" s="27" t="e">
        <f ca="1"/>
        <v>#NAME?</v>
      </c>
      <c r="D155" s="27" t="e">
        <f ca="1"/>
        <v>#NAME?</v>
      </c>
      <c r="E155" s="20" t="e">
        <f ca="1"/>
        <v>#NAME?</v>
      </c>
      <c r="F155" s="20" t="e">
        <f ca="1"/>
        <v>#NAME?</v>
      </c>
      <c r="BR155" s="26" t="e">
        <f ca="1"/>
        <v>#NAME?</v>
      </c>
      <c r="BS155" s="26" t="e">
        <f ca="1"/>
        <v>#NAME?</v>
      </c>
      <c r="BT155" s="26" t="e">
        <f ca="1"/>
        <v>#NAME?</v>
      </c>
      <c r="BU155" s="26" t="e">
        <f ca="1"/>
        <v>#NAME?</v>
      </c>
      <c r="BV155" s="26" t="e">
        <f ca="1"/>
        <v>#NAME?</v>
      </c>
      <c r="BW155" s="26" t="e">
        <f ca="1"/>
        <v>#NAME?</v>
      </c>
      <c r="CB155" s="24" t="e">
        <f ca="1"/>
        <v>#NAME?</v>
      </c>
      <c r="CC155" s="20" t="e">
        <f ca="1"/>
        <v>#NAME?</v>
      </c>
      <c r="CD155" s="20" t="e">
        <f ca="1"/>
        <v>#NAME?</v>
      </c>
    </row>
    <row r="156" spans="2:82">
      <c r="B156" s="27" t="e">
        <f ca="1"/>
        <v>#NAME?</v>
      </c>
      <c r="C156" s="27" t="e">
        <f ca="1"/>
        <v>#NAME?</v>
      </c>
      <c r="D156" s="27" t="e">
        <f ca="1"/>
        <v>#NAME?</v>
      </c>
      <c r="E156" s="20" t="e">
        <f ca="1"/>
        <v>#NAME?</v>
      </c>
      <c r="F156" s="20" t="e">
        <f ca="1"/>
        <v>#NAME?</v>
      </c>
      <c r="BR156" s="26" t="e">
        <f ca="1"/>
        <v>#NAME?</v>
      </c>
      <c r="BS156" s="26" t="e">
        <f ca="1"/>
        <v>#NAME?</v>
      </c>
      <c r="BT156" s="26" t="e">
        <f ca="1"/>
        <v>#NAME?</v>
      </c>
      <c r="BU156" s="26" t="e">
        <f ca="1"/>
        <v>#NAME?</v>
      </c>
      <c r="BV156" s="26" t="e">
        <f ca="1"/>
        <v>#NAME?</v>
      </c>
      <c r="BW156" s="26" t="e">
        <f ca="1"/>
        <v>#NAME?</v>
      </c>
      <c r="CB156" s="24" t="e">
        <f ca="1"/>
        <v>#NAME?</v>
      </c>
      <c r="CC156" s="20" t="e">
        <f ca="1"/>
        <v>#NAME?</v>
      </c>
      <c r="CD156" s="20" t="e">
        <f ca="1"/>
        <v>#NAME?</v>
      </c>
    </row>
    <row r="157" spans="2:82">
      <c r="B157" s="27" t="e">
        <f ca="1"/>
        <v>#NAME?</v>
      </c>
      <c r="C157" s="27" t="e">
        <f ca="1"/>
        <v>#NAME?</v>
      </c>
      <c r="D157" s="27" t="e">
        <f ca="1"/>
        <v>#NAME?</v>
      </c>
      <c r="E157" s="20" t="e">
        <f ca="1"/>
        <v>#NAME?</v>
      </c>
      <c r="F157" s="20" t="e">
        <f ca="1"/>
        <v>#NAME?</v>
      </c>
      <c r="BR157" s="26" t="e">
        <f ca="1"/>
        <v>#NAME?</v>
      </c>
      <c r="BS157" s="26" t="e">
        <f ca="1"/>
        <v>#NAME?</v>
      </c>
      <c r="BT157" s="26" t="e">
        <f ca="1"/>
        <v>#NAME?</v>
      </c>
      <c r="BU157" s="26" t="e">
        <f ca="1"/>
        <v>#NAME?</v>
      </c>
      <c r="BV157" s="26" t="e">
        <f ca="1"/>
        <v>#NAME?</v>
      </c>
      <c r="BW157" s="26" t="e">
        <f ca="1"/>
        <v>#NAME?</v>
      </c>
      <c r="CB157" s="24" t="e">
        <f ca="1"/>
        <v>#NAME?</v>
      </c>
      <c r="CC157" s="20" t="e">
        <f ca="1"/>
        <v>#NAME?</v>
      </c>
      <c r="CD157" s="20" t="e">
        <f ca="1"/>
        <v>#NAME?</v>
      </c>
    </row>
    <row r="158" spans="2:82">
      <c r="B158" s="27" t="e">
        <f ca="1"/>
        <v>#NAME?</v>
      </c>
      <c r="C158" s="27" t="e">
        <f ca="1"/>
        <v>#NAME?</v>
      </c>
      <c r="D158" s="27" t="e">
        <f ca="1"/>
        <v>#NAME?</v>
      </c>
      <c r="E158" s="20" t="e">
        <f ca="1"/>
        <v>#NAME?</v>
      </c>
      <c r="F158" s="20" t="e">
        <f ca="1"/>
        <v>#NAME?</v>
      </c>
      <c r="BR158" s="26" t="e">
        <f ca="1"/>
        <v>#NAME?</v>
      </c>
      <c r="BS158" s="26" t="e">
        <f ca="1"/>
        <v>#NAME?</v>
      </c>
      <c r="BT158" s="26" t="e">
        <f ca="1"/>
        <v>#NAME?</v>
      </c>
      <c r="BU158" s="26" t="e">
        <f ca="1"/>
        <v>#NAME?</v>
      </c>
      <c r="BV158" s="26" t="e">
        <f ca="1"/>
        <v>#NAME?</v>
      </c>
      <c r="BW158" s="26" t="e">
        <f ca="1"/>
        <v>#NAME?</v>
      </c>
      <c r="CB158" s="24" t="e">
        <f ca="1"/>
        <v>#NAME?</v>
      </c>
      <c r="CC158" s="20" t="e">
        <f ca="1"/>
        <v>#NAME?</v>
      </c>
      <c r="CD158" s="20" t="e">
        <f ca="1"/>
        <v>#NAME?</v>
      </c>
    </row>
    <row r="159" spans="2:82">
      <c r="B159" s="27" t="e">
        <f ca="1"/>
        <v>#NAME?</v>
      </c>
      <c r="C159" s="27" t="e">
        <f ca="1"/>
        <v>#NAME?</v>
      </c>
      <c r="D159" s="27" t="e">
        <f ca="1"/>
        <v>#NAME?</v>
      </c>
      <c r="E159" s="20" t="e">
        <f ca="1"/>
        <v>#NAME?</v>
      </c>
      <c r="F159" s="20" t="e">
        <f ca="1"/>
        <v>#NAME?</v>
      </c>
      <c r="BR159" s="26" t="e">
        <f ca="1"/>
        <v>#NAME?</v>
      </c>
      <c r="BS159" s="26" t="e">
        <f ca="1"/>
        <v>#NAME?</v>
      </c>
      <c r="BT159" s="26" t="e">
        <f ca="1"/>
        <v>#NAME?</v>
      </c>
      <c r="BU159" s="26" t="e">
        <f ca="1"/>
        <v>#NAME?</v>
      </c>
      <c r="BV159" s="26" t="e">
        <f ca="1"/>
        <v>#NAME?</v>
      </c>
      <c r="BW159" s="26" t="e">
        <f ca="1"/>
        <v>#NAME?</v>
      </c>
      <c r="CB159" s="24" t="e">
        <f ca="1"/>
        <v>#NAME?</v>
      </c>
      <c r="CC159" s="20" t="e">
        <f ca="1"/>
        <v>#NAME?</v>
      </c>
      <c r="CD159" s="20" t="e">
        <f ca="1"/>
        <v>#NAME?</v>
      </c>
    </row>
    <row r="160" spans="2:82">
      <c r="B160" s="27" t="e">
        <f ca="1"/>
        <v>#NAME?</v>
      </c>
      <c r="C160" s="27" t="e">
        <f ca="1"/>
        <v>#NAME?</v>
      </c>
      <c r="D160" s="27" t="e">
        <f ca="1"/>
        <v>#NAME?</v>
      </c>
      <c r="E160" s="20" t="e">
        <f ca="1"/>
        <v>#NAME?</v>
      </c>
      <c r="F160" s="20" t="e">
        <f ca="1"/>
        <v>#NAME?</v>
      </c>
      <c r="BR160" s="26" t="e">
        <f ca="1"/>
        <v>#NAME?</v>
      </c>
      <c r="BS160" s="26" t="e">
        <f ca="1"/>
        <v>#NAME?</v>
      </c>
      <c r="BT160" s="26" t="e">
        <f ca="1"/>
        <v>#NAME?</v>
      </c>
      <c r="BU160" s="26" t="e">
        <f ca="1"/>
        <v>#NAME?</v>
      </c>
      <c r="BV160" s="26" t="e">
        <f ca="1"/>
        <v>#NAME?</v>
      </c>
      <c r="BW160" s="26" t="e">
        <f ca="1"/>
        <v>#NAME?</v>
      </c>
      <c r="CB160" s="24" t="e">
        <f ca="1"/>
        <v>#NAME?</v>
      </c>
      <c r="CC160" s="20" t="e">
        <f ca="1"/>
        <v>#NAME?</v>
      </c>
      <c r="CD160" s="20" t="e">
        <f ca="1"/>
        <v>#NAME?</v>
      </c>
    </row>
    <row r="161" spans="2:82">
      <c r="B161" s="27" t="e">
        <f ca="1"/>
        <v>#NAME?</v>
      </c>
      <c r="C161" s="27" t="e">
        <f ca="1"/>
        <v>#NAME?</v>
      </c>
      <c r="D161" s="27" t="e">
        <f ca="1"/>
        <v>#NAME?</v>
      </c>
      <c r="E161" s="20" t="e">
        <f ca="1"/>
        <v>#NAME?</v>
      </c>
      <c r="F161" s="20" t="e">
        <f ca="1"/>
        <v>#NAME?</v>
      </c>
      <c r="BR161" s="26" t="e">
        <f ca="1"/>
        <v>#NAME?</v>
      </c>
      <c r="BS161" s="26" t="e">
        <f ca="1"/>
        <v>#NAME?</v>
      </c>
      <c r="BT161" s="26" t="e">
        <f ca="1"/>
        <v>#NAME?</v>
      </c>
      <c r="BU161" s="26" t="e">
        <f ca="1"/>
        <v>#NAME?</v>
      </c>
      <c r="BV161" s="26" t="e">
        <f ca="1"/>
        <v>#NAME?</v>
      </c>
      <c r="BW161" s="26" t="e">
        <f ca="1"/>
        <v>#NAME?</v>
      </c>
      <c r="CB161" s="24" t="e">
        <f ca="1"/>
        <v>#NAME?</v>
      </c>
      <c r="CC161" s="20" t="e">
        <f ca="1"/>
        <v>#NAME?</v>
      </c>
      <c r="CD161" s="20" t="e">
        <f ca="1"/>
        <v>#NAME?</v>
      </c>
    </row>
    <row r="162" spans="2:82">
      <c r="B162" s="27" t="e">
        <f ca="1"/>
        <v>#NAME?</v>
      </c>
      <c r="C162" s="27" t="e">
        <f ca="1"/>
        <v>#NAME?</v>
      </c>
      <c r="D162" s="27" t="e">
        <f ca="1"/>
        <v>#NAME?</v>
      </c>
      <c r="E162" s="20" t="e">
        <f ca="1"/>
        <v>#NAME?</v>
      </c>
      <c r="F162" s="20" t="e">
        <f ca="1"/>
        <v>#NAME?</v>
      </c>
      <c r="BR162" s="26" t="e">
        <f ca="1"/>
        <v>#NAME?</v>
      </c>
      <c r="BS162" s="26" t="e">
        <f ca="1"/>
        <v>#NAME?</v>
      </c>
      <c r="BT162" s="26" t="e">
        <f ca="1"/>
        <v>#NAME?</v>
      </c>
      <c r="BU162" s="26" t="e">
        <f ca="1"/>
        <v>#NAME?</v>
      </c>
      <c r="BV162" s="26" t="e">
        <f ca="1"/>
        <v>#NAME?</v>
      </c>
      <c r="BW162" s="26" t="e">
        <f ca="1"/>
        <v>#NAME?</v>
      </c>
      <c r="CB162" s="24" t="e">
        <f ca="1"/>
        <v>#NAME?</v>
      </c>
      <c r="CC162" s="20" t="e">
        <f ca="1"/>
        <v>#NAME?</v>
      </c>
      <c r="CD162" s="20" t="e">
        <f ca="1"/>
        <v>#NAME?</v>
      </c>
    </row>
    <row r="163" spans="2:82">
      <c r="B163" s="27" t="e">
        <f ca="1"/>
        <v>#NAME?</v>
      </c>
      <c r="C163" s="27" t="e">
        <f ca="1"/>
        <v>#NAME?</v>
      </c>
      <c r="D163" s="27" t="e">
        <f ca="1"/>
        <v>#NAME?</v>
      </c>
      <c r="E163" s="20" t="e">
        <f ca="1"/>
        <v>#NAME?</v>
      </c>
      <c r="F163" s="20" t="e">
        <f ca="1"/>
        <v>#NAME?</v>
      </c>
      <c r="BR163" s="26" t="e">
        <f ca="1"/>
        <v>#NAME?</v>
      </c>
      <c r="BS163" s="26" t="e">
        <f ca="1"/>
        <v>#NAME?</v>
      </c>
      <c r="BT163" s="26" t="e">
        <f ca="1"/>
        <v>#NAME?</v>
      </c>
      <c r="BU163" s="26" t="e">
        <f ca="1"/>
        <v>#NAME?</v>
      </c>
      <c r="BV163" s="26" t="e">
        <f ca="1"/>
        <v>#NAME?</v>
      </c>
      <c r="BW163" s="26" t="e">
        <f ca="1"/>
        <v>#NAME?</v>
      </c>
      <c r="CB163" s="24" t="e">
        <f ca="1"/>
        <v>#NAME?</v>
      </c>
      <c r="CC163" s="20" t="e">
        <f ca="1"/>
        <v>#NAME?</v>
      </c>
      <c r="CD163" s="20" t="e">
        <f ca="1"/>
        <v>#NAME?</v>
      </c>
    </row>
    <row r="164" spans="2:82">
      <c r="B164" s="27" t="e">
        <f ca="1"/>
        <v>#NAME?</v>
      </c>
      <c r="C164" s="27" t="e">
        <f ca="1"/>
        <v>#NAME?</v>
      </c>
      <c r="D164" s="27" t="e">
        <f ca="1"/>
        <v>#NAME?</v>
      </c>
      <c r="E164" s="20" t="e">
        <f ca="1"/>
        <v>#NAME?</v>
      </c>
      <c r="F164" s="20" t="e">
        <f ca="1"/>
        <v>#NAME?</v>
      </c>
      <c r="BR164" s="26" t="e">
        <f ca="1"/>
        <v>#NAME?</v>
      </c>
      <c r="BS164" s="26" t="e">
        <f ca="1"/>
        <v>#NAME?</v>
      </c>
      <c r="BT164" s="26" t="e">
        <f ca="1"/>
        <v>#NAME?</v>
      </c>
      <c r="BU164" s="26" t="e">
        <f ca="1"/>
        <v>#NAME?</v>
      </c>
      <c r="BV164" s="26" t="e">
        <f ca="1"/>
        <v>#NAME?</v>
      </c>
      <c r="BW164" s="26" t="e">
        <f ca="1"/>
        <v>#NAME?</v>
      </c>
      <c r="CB164" s="24" t="e">
        <f ca="1"/>
        <v>#NAME?</v>
      </c>
      <c r="CC164" s="20" t="e">
        <f ca="1"/>
        <v>#NAME?</v>
      </c>
      <c r="CD164" s="20" t="e">
        <f ca="1"/>
        <v>#NAME?</v>
      </c>
    </row>
    <row r="165" spans="2:82">
      <c r="B165" s="27" t="e">
        <f ca="1"/>
        <v>#NAME?</v>
      </c>
      <c r="C165" s="27" t="e">
        <f ca="1"/>
        <v>#NAME?</v>
      </c>
      <c r="D165" s="27" t="e">
        <f ca="1"/>
        <v>#NAME?</v>
      </c>
      <c r="E165" s="20" t="e">
        <f ca="1"/>
        <v>#NAME?</v>
      </c>
      <c r="F165" s="20" t="e">
        <f ca="1"/>
        <v>#NAME?</v>
      </c>
      <c r="BR165" s="26" t="e">
        <f ca="1"/>
        <v>#NAME?</v>
      </c>
      <c r="BS165" s="26" t="e">
        <f ca="1"/>
        <v>#NAME?</v>
      </c>
      <c r="BT165" s="26" t="e">
        <f ca="1"/>
        <v>#NAME?</v>
      </c>
      <c r="BU165" s="26" t="e">
        <f ca="1"/>
        <v>#NAME?</v>
      </c>
      <c r="BV165" s="26" t="e">
        <f ca="1"/>
        <v>#NAME?</v>
      </c>
      <c r="BW165" s="26" t="e">
        <f ca="1"/>
        <v>#NAME?</v>
      </c>
      <c r="CB165" s="24" t="e">
        <f ca="1"/>
        <v>#NAME?</v>
      </c>
      <c r="CC165" s="20" t="e">
        <f ca="1"/>
        <v>#NAME?</v>
      </c>
      <c r="CD165" s="20" t="e">
        <f ca="1"/>
        <v>#NAME?</v>
      </c>
    </row>
    <row r="166" spans="2:82">
      <c r="B166" s="27" t="e">
        <f ca="1"/>
        <v>#NAME?</v>
      </c>
      <c r="C166" s="27" t="e">
        <f ca="1"/>
        <v>#NAME?</v>
      </c>
      <c r="D166" s="27" t="e">
        <f ca="1"/>
        <v>#NAME?</v>
      </c>
      <c r="E166" s="20" t="e">
        <f ca="1"/>
        <v>#NAME?</v>
      </c>
      <c r="F166" s="20" t="e">
        <f ca="1"/>
        <v>#NAME?</v>
      </c>
      <c r="BR166" s="26" t="e">
        <f ca="1"/>
        <v>#NAME?</v>
      </c>
      <c r="BS166" s="26" t="e">
        <f ca="1"/>
        <v>#NAME?</v>
      </c>
      <c r="BT166" s="26" t="e">
        <f ca="1"/>
        <v>#NAME?</v>
      </c>
      <c r="BU166" s="26" t="e">
        <f ca="1"/>
        <v>#NAME?</v>
      </c>
      <c r="BV166" s="26" t="e">
        <f ca="1"/>
        <v>#NAME?</v>
      </c>
      <c r="BW166" s="26" t="e">
        <f ca="1"/>
        <v>#NAME?</v>
      </c>
      <c r="CB166" s="24" t="e">
        <f ca="1"/>
        <v>#NAME?</v>
      </c>
      <c r="CC166" s="20" t="e">
        <f ca="1"/>
        <v>#NAME?</v>
      </c>
      <c r="CD166" s="20" t="e">
        <f ca="1"/>
        <v>#NAME?</v>
      </c>
    </row>
    <row r="167" spans="2:82">
      <c r="B167" s="27" t="e">
        <f ca="1"/>
        <v>#NAME?</v>
      </c>
      <c r="C167" s="27" t="e">
        <f ca="1"/>
        <v>#NAME?</v>
      </c>
      <c r="D167" s="27" t="e">
        <f ca="1"/>
        <v>#NAME?</v>
      </c>
      <c r="E167" s="20" t="e">
        <f ca="1"/>
        <v>#NAME?</v>
      </c>
      <c r="F167" s="20" t="e">
        <f ca="1"/>
        <v>#NAME?</v>
      </c>
      <c r="BR167" s="26" t="e">
        <f ca="1"/>
        <v>#NAME?</v>
      </c>
      <c r="BS167" s="26" t="e">
        <f ca="1"/>
        <v>#NAME?</v>
      </c>
      <c r="BT167" s="26" t="e">
        <f ca="1"/>
        <v>#NAME?</v>
      </c>
      <c r="BU167" s="26" t="e">
        <f ca="1"/>
        <v>#NAME?</v>
      </c>
      <c r="BV167" s="26" t="e">
        <f ca="1"/>
        <v>#NAME?</v>
      </c>
      <c r="BW167" s="26" t="e">
        <f ca="1"/>
        <v>#NAME?</v>
      </c>
      <c r="CB167" s="24" t="e">
        <f ca="1"/>
        <v>#NAME?</v>
      </c>
      <c r="CC167" s="20" t="e">
        <f ca="1"/>
        <v>#NAME?</v>
      </c>
      <c r="CD167" s="20" t="e">
        <f ca="1"/>
        <v>#NAME?</v>
      </c>
    </row>
    <row r="168" spans="2:82">
      <c r="B168" s="27" t="e">
        <f ca="1"/>
        <v>#NAME?</v>
      </c>
      <c r="C168" s="27" t="e">
        <f ca="1"/>
        <v>#NAME?</v>
      </c>
      <c r="D168" s="27" t="e">
        <f ca="1"/>
        <v>#NAME?</v>
      </c>
      <c r="E168" s="20" t="e">
        <f ca="1"/>
        <v>#NAME?</v>
      </c>
      <c r="F168" s="20" t="e">
        <f ca="1"/>
        <v>#NAME?</v>
      </c>
      <c r="BR168" s="26" t="e">
        <f ca="1"/>
        <v>#NAME?</v>
      </c>
      <c r="BS168" s="26" t="e">
        <f ca="1"/>
        <v>#NAME?</v>
      </c>
      <c r="BT168" s="26" t="e">
        <f ca="1"/>
        <v>#NAME?</v>
      </c>
      <c r="BU168" s="26" t="e">
        <f ca="1"/>
        <v>#NAME?</v>
      </c>
      <c r="BV168" s="26" t="e">
        <f ca="1"/>
        <v>#NAME?</v>
      </c>
      <c r="BW168" s="26" t="e">
        <f ca="1"/>
        <v>#NAME?</v>
      </c>
      <c r="CB168" s="24" t="e">
        <f ca="1"/>
        <v>#NAME?</v>
      </c>
      <c r="CC168" s="20" t="e">
        <f ca="1"/>
        <v>#NAME?</v>
      </c>
      <c r="CD168" s="20" t="e">
        <f ca="1"/>
        <v>#NAME?</v>
      </c>
    </row>
    <row r="169" spans="2:82">
      <c r="B169" s="27" t="e">
        <f ca="1"/>
        <v>#NAME?</v>
      </c>
      <c r="C169" s="27" t="e">
        <f ca="1"/>
        <v>#NAME?</v>
      </c>
      <c r="D169" s="27" t="e">
        <f ca="1"/>
        <v>#NAME?</v>
      </c>
      <c r="E169" s="20" t="e">
        <f ca="1"/>
        <v>#NAME?</v>
      </c>
      <c r="F169" s="20" t="e">
        <f ca="1"/>
        <v>#NAME?</v>
      </c>
      <c r="BR169" s="26" t="e">
        <f ca="1"/>
        <v>#NAME?</v>
      </c>
      <c r="BS169" s="26" t="e">
        <f ca="1"/>
        <v>#NAME?</v>
      </c>
      <c r="BT169" s="26" t="e">
        <f ca="1"/>
        <v>#NAME?</v>
      </c>
      <c r="BU169" s="26" t="e">
        <f ca="1"/>
        <v>#NAME?</v>
      </c>
      <c r="BV169" s="26" t="e">
        <f ca="1"/>
        <v>#NAME?</v>
      </c>
      <c r="BW169" s="26" t="e">
        <f ca="1"/>
        <v>#NAME?</v>
      </c>
      <c r="CB169" s="24" t="e">
        <f ca="1"/>
        <v>#NAME?</v>
      </c>
      <c r="CC169" s="20" t="e">
        <f ca="1"/>
        <v>#NAME?</v>
      </c>
      <c r="CD169" s="20" t="e">
        <f ca="1"/>
        <v>#NAME?</v>
      </c>
    </row>
    <row r="170" spans="2:82">
      <c r="B170" s="27" t="e">
        <f ca="1"/>
        <v>#NAME?</v>
      </c>
      <c r="C170" s="27" t="e">
        <f ca="1"/>
        <v>#NAME?</v>
      </c>
      <c r="D170" s="27" t="e">
        <f ca="1"/>
        <v>#NAME?</v>
      </c>
      <c r="E170" s="20" t="e">
        <f ca="1"/>
        <v>#NAME?</v>
      </c>
      <c r="F170" s="20" t="e">
        <f ca="1"/>
        <v>#NAME?</v>
      </c>
      <c r="BR170" s="26" t="e">
        <f ca="1"/>
        <v>#NAME?</v>
      </c>
      <c r="BS170" s="26" t="e">
        <f ca="1"/>
        <v>#NAME?</v>
      </c>
      <c r="BT170" s="26" t="e">
        <f ca="1"/>
        <v>#NAME?</v>
      </c>
      <c r="BU170" s="26" t="e">
        <f ca="1"/>
        <v>#NAME?</v>
      </c>
      <c r="BV170" s="26" t="e">
        <f ca="1"/>
        <v>#NAME?</v>
      </c>
      <c r="BW170" s="26" t="e">
        <f ca="1"/>
        <v>#NAME?</v>
      </c>
      <c r="CB170" s="24" t="e">
        <f ca="1"/>
        <v>#NAME?</v>
      </c>
      <c r="CC170" s="20" t="e">
        <f ca="1"/>
        <v>#NAME?</v>
      </c>
      <c r="CD170" s="20" t="e">
        <f ca="1"/>
        <v>#NAME?</v>
      </c>
    </row>
    <row r="171" spans="2:82">
      <c r="B171" s="27" t="e">
        <f ca="1"/>
        <v>#NAME?</v>
      </c>
      <c r="C171" s="27" t="e">
        <f ca="1"/>
        <v>#NAME?</v>
      </c>
      <c r="D171" s="27" t="e">
        <f ca="1"/>
        <v>#NAME?</v>
      </c>
      <c r="E171" s="20" t="e">
        <f ca="1"/>
        <v>#NAME?</v>
      </c>
      <c r="F171" s="20" t="e">
        <f ca="1"/>
        <v>#NAME?</v>
      </c>
      <c r="BR171" s="26" t="e">
        <f ca="1"/>
        <v>#NAME?</v>
      </c>
      <c r="BS171" s="26" t="e">
        <f ca="1"/>
        <v>#NAME?</v>
      </c>
      <c r="BT171" s="26" t="e">
        <f ca="1"/>
        <v>#NAME?</v>
      </c>
      <c r="BU171" s="26" t="e">
        <f ca="1"/>
        <v>#NAME?</v>
      </c>
      <c r="BV171" s="26" t="e">
        <f ca="1"/>
        <v>#NAME?</v>
      </c>
      <c r="BW171" s="26" t="e">
        <f ca="1"/>
        <v>#NAME?</v>
      </c>
      <c r="CB171" s="24" t="e">
        <f ca="1"/>
        <v>#NAME?</v>
      </c>
      <c r="CC171" s="20" t="e">
        <f ca="1"/>
        <v>#NAME?</v>
      </c>
      <c r="CD171" s="20" t="e">
        <f ca="1"/>
        <v>#NAME?</v>
      </c>
    </row>
    <row r="172" spans="2:82">
      <c r="B172" s="27" t="e">
        <f ca="1"/>
        <v>#NAME?</v>
      </c>
      <c r="C172" s="27" t="e">
        <f ca="1"/>
        <v>#NAME?</v>
      </c>
      <c r="D172" s="27" t="e">
        <f ca="1"/>
        <v>#NAME?</v>
      </c>
      <c r="E172" s="20" t="e">
        <f ca="1"/>
        <v>#NAME?</v>
      </c>
      <c r="F172" s="20" t="e">
        <f ca="1"/>
        <v>#NAME?</v>
      </c>
      <c r="BR172" s="26" t="e">
        <f ca="1"/>
        <v>#NAME?</v>
      </c>
      <c r="BS172" s="26" t="e">
        <f ca="1"/>
        <v>#NAME?</v>
      </c>
      <c r="BT172" s="26" t="e">
        <f ca="1"/>
        <v>#NAME?</v>
      </c>
      <c r="BU172" s="26" t="e">
        <f ca="1"/>
        <v>#NAME?</v>
      </c>
      <c r="BV172" s="26" t="e">
        <f ca="1"/>
        <v>#NAME?</v>
      </c>
      <c r="BW172" s="26" t="e">
        <f ca="1"/>
        <v>#NAME?</v>
      </c>
      <c r="CB172" s="24" t="e">
        <f ca="1"/>
        <v>#NAME?</v>
      </c>
      <c r="CC172" s="20" t="e">
        <f ca="1"/>
        <v>#NAME?</v>
      </c>
      <c r="CD172" s="20" t="e">
        <f ca="1"/>
        <v>#NAME?</v>
      </c>
    </row>
    <row r="173" spans="2:82">
      <c r="B173" s="27" t="e">
        <f ca="1"/>
        <v>#NAME?</v>
      </c>
      <c r="C173" s="27" t="e">
        <f ca="1"/>
        <v>#NAME?</v>
      </c>
      <c r="D173" s="27" t="e">
        <f ca="1"/>
        <v>#NAME?</v>
      </c>
      <c r="E173" s="20" t="e">
        <f ca="1"/>
        <v>#NAME?</v>
      </c>
      <c r="F173" s="20" t="e">
        <f ca="1"/>
        <v>#NAME?</v>
      </c>
      <c r="BR173" s="26" t="e">
        <f ca="1"/>
        <v>#NAME?</v>
      </c>
      <c r="BS173" s="26" t="e">
        <f ca="1"/>
        <v>#NAME?</v>
      </c>
      <c r="BT173" s="26" t="e">
        <f ca="1"/>
        <v>#NAME?</v>
      </c>
      <c r="BU173" s="26" t="e">
        <f ca="1"/>
        <v>#NAME?</v>
      </c>
      <c r="BV173" s="26" t="e">
        <f ca="1"/>
        <v>#NAME?</v>
      </c>
      <c r="BW173" s="26" t="e">
        <f ca="1"/>
        <v>#NAME?</v>
      </c>
      <c r="CB173" s="24" t="e">
        <f ca="1"/>
        <v>#NAME?</v>
      </c>
      <c r="CC173" s="20" t="e">
        <f ca="1"/>
        <v>#NAME?</v>
      </c>
      <c r="CD173" s="20" t="e">
        <f ca="1"/>
        <v>#NAME?</v>
      </c>
    </row>
    <row r="174" spans="2:82">
      <c r="B174" s="27" t="e">
        <f ca="1"/>
        <v>#NAME?</v>
      </c>
      <c r="C174" s="27" t="e">
        <f ca="1"/>
        <v>#NAME?</v>
      </c>
      <c r="D174" s="27" t="e">
        <f ca="1"/>
        <v>#NAME?</v>
      </c>
      <c r="E174" s="20" t="e">
        <f ca="1"/>
        <v>#NAME?</v>
      </c>
      <c r="F174" s="20" t="e">
        <f ca="1"/>
        <v>#NAME?</v>
      </c>
      <c r="BR174" s="26" t="e">
        <f ca="1"/>
        <v>#NAME?</v>
      </c>
      <c r="BS174" s="26" t="e">
        <f ca="1"/>
        <v>#NAME?</v>
      </c>
      <c r="BT174" s="26" t="e">
        <f ca="1"/>
        <v>#NAME?</v>
      </c>
      <c r="BU174" s="26" t="e">
        <f ca="1"/>
        <v>#NAME?</v>
      </c>
      <c r="BV174" s="26" t="e">
        <f ca="1"/>
        <v>#NAME?</v>
      </c>
      <c r="BW174" s="26" t="e">
        <f ca="1"/>
        <v>#NAME?</v>
      </c>
      <c r="CB174" s="24" t="e">
        <f ca="1"/>
        <v>#NAME?</v>
      </c>
      <c r="CC174" s="20" t="e">
        <f ca="1"/>
        <v>#NAME?</v>
      </c>
      <c r="CD174" s="20" t="e">
        <f ca="1"/>
        <v>#NAME?</v>
      </c>
    </row>
    <row r="175" spans="2:82">
      <c r="B175" s="27" t="e">
        <f ca="1"/>
        <v>#NAME?</v>
      </c>
      <c r="C175" s="27" t="e">
        <f ca="1"/>
        <v>#NAME?</v>
      </c>
      <c r="D175" s="27" t="e">
        <f ca="1"/>
        <v>#NAME?</v>
      </c>
      <c r="E175" s="20" t="e">
        <f ca="1"/>
        <v>#NAME?</v>
      </c>
      <c r="F175" s="20" t="e">
        <f ca="1"/>
        <v>#NAME?</v>
      </c>
      <c r="BR175" s="26" t="e">
        <f ca="1"/>
        <v>#NAME?</v>
      </c>
      <c r="BS175" s="26" t="e">
        <f ca="1"/>
        <v>#NAME?</v>
      </c>
      <c r="BT175" s="26" t="e">
        <f ca="1"/>
        <v>#NAME?</v>
      </c>
      <c r="BU175" s="26" t="e">
        <f ca="1"/>
        <v>#NAME?</v>
      </c>
      <c r="BV175" s="26" t="e">
        <f ca="1"/>
        <v>#NAME?</v>
      </c>
      <c r="BW175" s="26" t="e">
        <f ca="1"/>
        <v>#NAME?</v>
      </c>
      <c r="CB175" s="24" t="e">
        <f ca="1"/>
        <v>#NAME?</v>
      </c>
      <c r="CC175" s="20" t="e">
        <f ca="1"/>
        <v>#NAME?</v>
      </c>
      <c r="CD175" s="20" t="e">
        <f ca="1"/>
        <v>#NAME?</v>
      </c>
    </row>
    <row r="176" spans="2:82">
      <c r="B176" s="27" t="e">
        <f ca="1"/>
        <v>#NAME?</v>
      </c>
      <c r="C176" s="27" t="e">
        <f ca="1"/>
        <v>#NAME?</v>
      </c>
      <c r="D176" s="27" t="e">
        <f ca="1"/>
        <v>#NAME?</v>
      </c>
      <c r="E176" s="20" t="e">
        <f ca="1"/>
        <v>#NAME?</v>
      </c>
      <c r="F176" s="20" t="e">
        <f ca="1"/>
        <v>#NAME?</v>
      </c>
      <c r="BR176" s="26" t="e">
        <f ca="1"/>
        <v>#NAME?</v>
      </c>
      <c r="BS176" s="26" t="e">
        <f ca="1"/>
        <v>#NAME?</v>
      </c>
      <c r="BT176" s="26" t="e">
        <f ca="1"/>
        <v>#NAME?</v>
      </c>
      <c r="BU176" s="26" t="e">
        <f ca="1"/>
        <v>#NAME?</v>
      </c>
      <c r="BV176" s="26" t="e">
        <f ca="1"/>
        <v>#NAME?</v>
      </c>
      <c r="BW176" s="26" t="e">
        <f ca="1"/>
        <v>#NAME?</v>
      </c>
      <c r="CB176" s="24" t="e">
        <f ca="1"/>
        <v>#NAME?</v>
      </c>
      <c r="CC176" s="20" t="e">
        <f ca="1"/>
        <v>#NAME?</v>
      </c>
      <c r="CD176" s="20" t="e">
        <f ca="1"/>
        <v>#NAME?</v>
      </c>
    </row>
    <row r="177" spans="2:82">
      <c r="B177" s="27" t="e">
        <f ca="1"/>
        <v>#NAME?</v>
      </c>
      <c r="C177" s="27" t="e">
        <f ca="1"/>
        <v>#NAME?</v>
      </c>
      <c r="D177" s="27" t="e">
        <f ca="1"/>
        <v>#NAME?</v>
      </c>
      <c r="E177" s="20" t="e">
        <f ca="1"/>
        <v>#NAME?</v>
      </c>
      <c r="F177" s="20" t="e">
        <f ca="1"/>
        <v>#NAME?</v>
      </c>
      <c r="BR177" s="26" t="e">
        <f ca="1"/>
        <v>#NAME?</v>
      </c>
      <c r="BS177" s="26" t="e">
        <f ca="1"/>
        <v>#NAME?</v>
      </c>
      <c r="BT177" s="26" t="e">
        <f ca="1"/>
        <v>#NAME?</v>
      </c>
      <c r="BU177" s="26" t="e">
        <f ca="1"/>
        <v>#NAME?</v>
      </c>
      <c r="BV177" s="26" t="e">
        <f ca="1"/>
        <v>#NAME?</v>
      </c>
      <c r="BW177" s="26" t="e">
        <f ca="1"/>
        <v>#NAME?</v>
      </c>
      <c r="CB177" s="24" t="e">
        <f ca="1"/>
        <v>#NAME?</v>
      </c>
      <c r="CC177" s="20" t="e">
        <f ca="1"/>
        <v>#NAME?</v>
      </c>
      <c r="CD177" s="20" t="e">
        <f ca="1"/>
        <v>#NAME?</v>
      </c>
    </row>
    <row r="178" spans="2:82">
      <c r="B178" s="27" t="e">
        <f ca="1"/>
        <v>#NAME?</v>
      </c>
      <c r="C178" s="27" t="e">
        <f ca="1"/>
        <v>#NAME?</v>
      </c>
      <c r="D178" s="27" t="e">
        <f ca="1"/>
        <v>#NAME?</v>
      </c>
      <c r="E178" s="20" t="e">
        <f ca="1"/>
        <v>#NAME?</v>
      </c>
      <c r="F178" s="20" t="e">
        <f ca="1"/>
        <v>#NAME?</v>
      </c>
      <c r="BR178" s="26" t="e">
        <f ca="1"/>
        <v>#NAME?</v>
      </c>
      <c r="BS178" s="26" t="e">
        <f ca="1"/>
        <v>#NAME?</v>
      </c>
      <c r="BT178" s="26" t="e">
        <f ca="1"/>
        <v>#NAME?</v>
      </c>
      <c r="BU178" s="26" t="e">
        <f ca="1"/>
        <v>#NAME?</v>
      </c>
      <c r="BV178" s="26" t="e">
        <f ca="1"/>
        <v>#NAME?</v>
      </c>
      <c r="BW178" s="26" t="e">
        <f ca="1"/>
        <v>#NAME?</v>
      </c>
      <c r="CB178" s="24" t="e">
        <f ca="1"/>
        <v>#NAME?</v>
      </c>
      <c r="CC178" s="20" t="e">
        <f ca="1"/>
        <v>#NAME?</v>
      </c>
      <c r="CD178" s="20" t="e">
        <f ca="1"/>
        <v>#NAME?</v>
      </c>
    </row>
    <row r="179" spans="2:82">
      <c r="B179" s="27" t="e">
        <f ca="1"/>
        <v>#NAME?</v>
      </c>
      <c r="C179" s="27" t="e">
        <f ca="1"/>
        <v>#NAME?</v>
      </c>
      <c r="D179" s="27" t="e">
        <f ca="1"/>
        <v>#NAME?</v>
      </c>
      <c r="E179" s="20" t="e">
        <f ca="1"/>
        <v>#NAME?</v>
      </c>
      <c r="F179" s="20" t="e">
        <f ca="1"/>
        <v>#NAME?</v>
      </c>
      <c r="BR179" s="26" t="e">
        <f ca="1"/>
        <v>#NAME?</v>
      </c>
      <c r="BS179" s="26" t="e">
        <f ca="1"/>
        <v>#NAME?</v>
      </c>
      <c r="BT179" s="26" t="e">
        <f ca="1"/>
        <v>#NAME?</v>
      </c>
      <c r="BU179" s="26" t="e">
        <f ca="1"/>
        <v>#NAME?</v>
      </c>
      <c r="BV179" s="26" t="e">
        <f ca="1"/>
        <v>#NAME?</v>
      </c>
      <c r="BW179" s="26" t="e">
        <f ca="1"/>
        <v>#NAME?</v>
      </c>
      <c r="CB179" s="24" t="e">
        <f ca="1"/>
        <v>#NAME?</v>
      </c>
      <c r="CC179" s="20" t="e">
        <f ca="1"/>
        <v>#NAME?</v>
      </c>
      <c r="CD179" s="20" t="e">
        <f ca="1"/>
        <v>#NAME?</v>
      </c>
    </row>
    <row r="180" spans="2:82">
      <c r="B180" s="27" t="e">
        <f ca="1"/>
        <v>#NAME?</v>
      </c>
      <c r="C180" s="27" t="e">
        <f ca="1"/>
        <v>#NAME?</v>
      </c>
      <c r="D180" s="27" t="e">
        <f ca="1"/>
        <v>#NAME?</v>
      </c>
      <c r="E180" s="20" t="e">
        <f ca="1"/>
        <v>#NAME?</v>
      </c>
      <c r="F180" s="20" t="e">
        <f ca="1"/>
        <v>#NAME?</v>
      </c>
      <c r="BR180" s="26" t="e">
        <f ca="1"/>
        <v>#NAME?</v>
      </c>
      <c r="BS180" s="26" t="e">
        <f ca="1"/>
        <v>#NAME?</v>
      </c>
      <c r="BT180" s="26" t="e">
        <f ca="1"/>
        <v>#NAME?</v>
      </c>
      <c r="BU180" s="26" t="e">
        <f ca="1"/>
        <v>#NAME?</v>
      </c>
      <c r="BV180" s="26" t="e">
        <f ca="1"/>
        <v>#NAME?</v>
      </c>
      <c r="BW180" s="26" t="e">
        <f ca="1"/>
        <v>#NAME?</v>
      </c>
      <c r="CB180" s="24" t="e">
        <f ca="1"/>
        <v>#NAME?</v>
      </c>
      <c r="CC180" s="20" t="e">
        <f ca="1"/>
        <v>#NAME?</v>
      </c>
      <c r="CD180" s="20" t="e">
        <f ca="1"/>
        <v>#NAME?</v>
      </c>
    </row>
    <row r="181" spans="2:82">
      <c r="B181" s="27" t="e">
        <f ca="1"/>
        <v>#NAME?</v>
      </c>
      <c r="C181" s="27" t="e">
        <f ca="1"/>
        <v>#NAME?</v>
      </c>
      <c r="D181" s="27" t="e">
        <f ca="1"/>
        <v>#NAME?</v>
      </c>
      <c r="E181" s="20" t="e">
        <f ca="1"/>
        <v>#NAME?</v>
      </c>
      <c r="F181" s="20" t="e">
        <f ca="1"/>
        <v>#NAME?</v>
      </c>
      <c r="BR181" s="26" t="e">
        <f ca="1"/>
        <v>#NAME?</v>
      </c>
      <c r="BS181" s="26" t="e">
        <f ca="1"/>
        <v>#NAME?</v>
      </c>
      <c r="BT181" s="26" t="e">
        <f ca="1"/>
        <v>#NAME?</v>
      </c>
      <c r="BU181" s="26" t="e">
        <f ca="1"/>
        <v>#NAME?</v>
      </c>
      <c r="BV181" s="26" t="e">
        <f ca="1"/>
        <v>#NAME?</v>
      </c>
      <c r="BW181" s="26" t="e">
        <f ca="1"/>
        <v>#NAME?</v>
      </c>
      <c r="CB181" s="24" t="e">
        <f ca="1"/>
        <v>#NAME?</v>
      </c>
      <c r="CC181" s="20" t="e">
        <f ca="1"/>
        <v>#NAME?</v>
      </c>
      <c r="CD181" s="20" t="e">
        <f ca="1"/>
        <v>#NAME?</v>
      </c>
    </row>
    <row r="182" spans="2:82">
      <c r="B182" s="27" t="e">
        <f ca="1"/>
        <v>#NAME?</v>
      </c>
      <c r="C182" s="27" t="e">
        <f ca="1"/>
        <v>#NAME?</v>
      </c>
      <c r="D182" s="27" t="e">
        <f ca="1"/>
        <v>#NAME?</v>
      </c>
      <c r="E182" s="20" t="e">
        <f ca="1"/>
        <v>#NAME?</v>
      </c>
      <c r="F182" s="20" t="e">
        <f ca="1"/>
        <v>#NAME?</v>
      </c>
      <c r="BR182" s="26" t="e">
        <f ca="1"/>
        <v>#NAME?</v>
      </c>
      <c r="BS182" s="26" t="e">
        <f ca="1"/>
        <v>#NAME?</v>
      </c>
      <c r="BT182" s="26" t="e">
        <f ca="1"/>
        <v>#NAME?</v>
      </c>
      <c r="BU182" s="26" t="e">
        <f ca="1"/>
        <v>#NAME?</v>
      </c>
      <c r="BV182" s="26" t="e">
        <f ca="1"/>
        <v>#NAME?</v>
      </c>
      <c r="BW182" s="26" t="e">
        <f ca="1"/>
        <v>#NAME?</v>
      </c>
      <c r="CB182" s="24" t="e">
        <f ca="1"/>
        <v>#NAME?</v>
      </c>
      <c r="CC182" s="20" t="e">
        <f ca="1"/>
        <v>#NAME?</v>
      </c>
      <c r="CD182" s="20" t="e">
        <f ca="1"/>
        <v>#NAME?</v>
      </c>
    </row>
    <row r="183" spans="2:82">
      <c r="B183" s="27" t="e">
        <f ca="1"/>
        <v>#NAME?</v>
      </c>
      <c r="C183" s="27" t="e">
        <f ca="1"/>
        <v>#NAME?</v>
      </c>
      <c r="D183" s="27" t="e">
        <f ca="1"/>
        <v>#NAME?</v>
      </c>
      <c r="E183" s="20" t="e">
        <f ca="1"/>
        <v>#NAME?</v>
      </c>
      <c r="F183" s="20" t="e">
        <f ca="1"/>
        <v>#NAME?</v>
      </c>
      <c r="BR183" s="26" t="e">
        <f ca="1"/>
        <v>#NAME?</v>
      </c>
      <c r="BS183" s="26" t="e">
        <f ca="1"/>
        <v>#NAME?</v>
      </c>
      <c r="BT183" s="26" t="e">
        <f ca="1"/>
        <v>#NAME?</v>
      </c>
      <c r="BU183" s="26" t="e">
        <f ca="1"/>
        <v>#NAME?</v>
      </c>
      <c r="BV183" s="26" t="e">
        <f ca="1"/>
        <v>#NAME?</v>
      </c>
      <c r="BW183" s="26" t="e">
        <f ca="1"/>
        <v>#NAME?</v>
      </c>
      <c r="CB183" s="24" t="e">
        <f ca="1"/>
        <v>#NAME?</v>
      </c>
      <c r="CC183" s="20" t="e">
        <f ca="1"/>
        <v>#NAME?</v>
      </c>
      <c r="CD183" s="20" t="e">
        <f ca="1"/>
        <v>#NAME?</v>
      </c>
    </row>
    <row r="184" spans="2:82">
      <c r="B184" s="27" t="e">
        <f ca="1"/>
        <v>#NAME?</v>
      </c>
      <c r="C184" s="27" t="e">
        <f ca="1"/>
        <v>#NAME?</v>
      </c>
      <c r="D184" s="27" t="e">
        <f ca="1"/>
        <v>#NAME?</v>
      </c>
      <c r="E184" s="20" t="e">
        <f ca="1"/>
        <v>#NAME?</v>
      </c>
      <c r="F184" s="20" t="e">
        <f ca="1"/>
        <v>#NAME?</v>
      </c>
      <c r="BR184" s="26" t="e">
        <f ca="1"/>
        <v>#NAME?</v>
      </c>
      <c r="BS184" s="26" t="e">
        <f ca="1"/>
        <v>#NAME?</v>
      </c>
      <c r="BT184" s="26" t="e">
        <f ca="1"/>
        <v>#NAME?</v>
      </c>
      <c r="BU184" s="26" t="e">
        <f ca="1"/>
        <v>#NAME?</v>
      </c>
      <c r="BV184" s="26" t="e">
        <f ca="1"/>
        <v>#NAME?</v>
      </c>
      <c r="BW184" s="26" t="e">
        <f ca="1"/>
        <v>#NAME?</v>
      </c>
      <c r="CB184" s="24" t="e">
        <f ca="1"/>
        <v>#NAME?</v>
      </c>
      <c r="CC184" s="20" t="e">
        <f ca="1"/>
        <v>#NAME?</v>
      </c>
      <c r="CD184" s="20" t="e">
        <f ca="1"/>
        <v>#NAME?</v>
      </c>
    </row>
    <row r="185" spans="2:82">
      <c r="B185" s="27" t="e">
        <f ca="1"/>
        <v>#NAME?</v>
      </c>
      <c r="C185" s="27" t="e">
        <f ca="1"/>
        <v>#NAME?</v>
      </c>
      <c r="D185" s="27" t="e">
        <f ca="1"/>
        <v>#NAME?</v>
      </c>
      <c r="E185" s="20" t="e">
        <f ca="1"/>
        <v>#NAME?</v>
      </c>
      <c r="F185" s="20" t="e">
        <f ca="1"/>
        <v>#NAME?</v>
      </c>
      <c r="BR185" s="26" t="e">
        <f ca="1"/>
        <v>#NAME?</v>
      </c>
      <c r="BS185" s="26" t="e">
        <f ca="1"/>
        <v>#NAME?</v>
      </c>
      <c r="BT185" s="26" t="e">
        <f ca="1"/>
        <v>#NAME?</v>
      </c>
      <c r="BU185" s="26" t="e">
        <f ca="1"/>
        <v>#NAME?</v>
      </c>
      <c r="BV185" s="26" t="e">
        <f ca="1"/>
        <v>#NAME?</v>
      </c>
      <c r="BW185" s="26" t="e">
        <f ca="1"/>
        <v>#NAME?</v>
      </c>
      <c r="CB185" s="24" t="e">
        <f ca="1"/>
        <v>#NAME?</v>
      </c>
      <c r="CC185" s="20" t="e">
        <f ca="1"/>
        <v>#NAME?</v>
      </c>
      <c r="CD185" s="20" t="e">
        <f ca="1"/>
        <v>#NAME?</v>
      </c>
    </row>
    <row r="186" spans="2:82">
      <c r="B186" s="27" t="e">
        <f ca="1"/>
        <v>#NAME?</v>
      </c>
      <c r="C186" s="27" t="e">
        <f ca="1"/>
        <v>#NAME?</v>
      </c>
      <c r="D186" s="27" t="e">
        <f ca="1"/>
        <v>#NAME?</v>
      </c>
      <c r="E186" s="20" t="e">
        <f ca="1"/>
        <v>#NAME?</v>
      </c>
      <c r="F186" s="20" t="e">
        <f ca="1"/>
        <v>#NAME?</v>
      </c>
      <c r="BR186" s="26" t="e">
        <f ca="1"/>
        <v>#NAME?</v>
      </c>
      <c r="BS186" s="26" t="e">
        <f ca="1"/>
        <v>#NAME?</v>
      </c>
      <c r="BT186" s="26" t="e">
        <f ca="1"/>
        <v>#NAME?</v>
      </c>
      <c r="BU186" s="26" t="e">
        <f ca="1"/>
        <v>#NAME?</v>
      </c>
      <c r="BV186" s="26" t="e">
        <f ca="1"/>
        <v>#NAME?</v>
      </c>
      <c r="BW186" s="26" t="e">
        <f ca="1"/>
        <v>#NAME?</v>
      </c>
      <c r="CB186" s="24" t="e">
        <f ca="1"/>
        <v>#NAME?</v>
      </c>
      <c r="CC186" s="20" t="e">
        <f ca="1"/>
        <v>#NAME?</v>
      </c>
      <c r="CD186" s="20" t="e">
        <f ca="1"/>
        <v>#NAME?</v>
      </c>
    </row>
    <row r="187" spans="2:82">
      <c r="B187" s="27" t="e">
        <f ca="1"/>
        <v>#NAME?</v>
      </c>
      <c r="C187" s="27" t="e">
        <f ca="1"/>
        <v>#NAME?</v>
      </c>
      <c r="D187" s="27" t="e">
        <f ca="1"/>
        <v>#NAME?</v>
      </c>
      <c r="E187" s="20" t="e">
        <f ca="1"/>
        <v>#NAME?</v>
      </c>
      <c r="F187" s="20" t="e">
        <f ca="1"/>
        <v>#NAME?</v>
      </c>
      <c r="BR187" s="26" t="e">
        <f ca="1"/>
        <v>#NAME?</v>
      </c>
      <c r="BS187" s="26" t="e">
        <f ca="1"/>
        <v>#NAME?</v>
      </c>
      <c r="BT187" s="26" t="e">
        <f ca="1"/>
        <v>#NAME?</v>
      </c>
      <c r="BU187" s="26" t="e">
        <f ca="1"/>
        <v>#NAME?</v>
      </c>
      <c r="BV187" s="26" t="e">
        <f ca="1"/>
        <v>#NAME?</v>
      </c>
      <c r="BW187" s="26" t="e">
        <f ca="1"/>
        <v>#NAME?</v>
      </c>
      <c r="CB187" s="24" t="e">
        <f ca="1"/>
        <v>#NAME?</v>
      </c>
      <c r="CC187" s="20" t="e">
        <f ca="1"/>
        <v>#NAME?</v>
      </c>
      <c r="CD187" s="20" t="e">
        <f ca="1"/>
        <v>#NAME?</v>
      </c>
    </row>
    <row r="188" spans="2:82">
      <c r="B188" s="27" t="e">
        <f ca="1"/>
        <v>#NAME?</v>
      </c>
      <c r="C188" s="27" t="e">
        <f ca="1"/>
        <v>#NAME?</v>
      </c>
      <c r="D188" s="27" t="e">
        <f ca="1"/>
        <v>#NAME?</v>
      </c>
      <c r="E188" s="20" t="e">
        <f ca="1"/>
        <v>#NAME?</v>
      </c>
      <c r="F188" s="20" t="e">
        <f ca="1"/>
        <v>#NAME?</v>
      </c>
      <c r="BR188" s="26" t="e">
        <f ca="1"/>
        <v>#NAME?</v>
      </c>
      <c r="BS188" s="26" t="e">
        <f ca="1"/>
        <v>#NAME?</v>
      </c>
      <c r="BT188" s="26" t="e">
        <f ca="1"/>
        <v>#NAME?</v>
      </c>
      <c r="BU188" s="26" t="e">
        <f ca="1"/>
        <v>#NAME?</v>
      </c>
      <c r="BV188" s="26" t="e">
        <f ca="1"/>
        <v>#NAME?</v>
      </c>
      <c r="BW188" s="26" t="e">
        <f ca="1"/>
        <v>#NAME?</v>
      </c>
      <c r="CB188" s="24" t="e">
        <f ca="1"/>
        <v>#NAME?</v>
      </c>
      <c r="CC188" s="20" t="e">
        <f ca="1"/>
        <v>#NAME?</v>
      </c>
      <c r="CD188" s="20" t="e">
        <f ca="1"/>
        <v>#NAME?</v>
      </c>
    </row>
    <row r="189" spans="2:82">
      <c r="B189" s="27" t="e">
        <f ca="1"/>
        <v>#NAME?</v>
      </c>
      <c r="C189" s="27" t="e">
        <f ca="1"/>
        <v>#NAME?</v>
      </c>
      <c r="D189" s="27" t="e">
        <f ca="1"/>
        <v>#NAME?</v>
      </c>
      <c r="E189" s="20" t="e">
        <f ca="1"/>
        <v>#NAME?</v>
      </c>
      <c r="F189" s="20" t="e">
        <f ca="1"/>
        <v>#NAME?</v>
      </c>
      <c r="BR189" s="26" t="e">
        <f ca="1"/>
        <v>#NAME?</v>
      </c>
      <c r="BS189" s="26" t="e">
        <f ca="1"/>
        <v>#NAME?</v>
      </c>
      <c r="BT189" s="26" t="e">
        <f ca="1"/>
        <v>#NAME?</v>
      </c>
      <c r="BU189" s="26" t="e">
        <f ca="1"/>
        <v>#NAME?</v>
      </c>
      <c r="BV189" s="26" t="e">
        <f ca="1"/>
        <v>#NAME?</v>
      </c>
      <c r="BW189" s="26" t="e">
        <f ca="1"/>
        <v>#NAME?</v>
      </c>
      <c r="CB189" s="24" t="e">
        <f ca="1"/>
        <v>#NAME?</v>
      </c>
      <c r="CC189" s="20" t="e">
        <f ca="1"/>
        <v>#NAME?</v>
      </c>
      <c r="CD189" s="20" t="e">
        <f ca="1"/>
        <v>#NAME?</v>
      </c>
    </row>
    <row r="190" spans="2:82">
      <c r="B190" s="27" t="e">
        <f ca="1"/>
        <v>#NAME?</v>
      </c>
      <c r="C190" s="27" t="e">
        <f ca="1"/>
        <v>#NAME?</v>
      </c>
      <c r="D190" s="27" t="e">
        <f ca="1"/>
        <v>#NAME?</v>
      </c>
      <c r="E190" s="20" t="e">
        <f ca="1"/>
        <v>#NAME?</v>
      </c>
      <c r="F190" s="20" t="e">
        <f ca="1"/>
        <v>#NAME?</v>
      </c>
      <c r="BR190" s="26" t="e">
        <f ca="1"/>
        <v>#NAME?</v>
      </c>
      <c r="BS190" s="26" t="e">
        <f ca="1"/>
        <v>#NAME?</v>
      </c>
      <c r="BT190" s="26" t="e">
        <f ca="1"/>
        <v>#NAME?</v>
      </c>
      <c r="BU190" s="26" t="e">
        <f ca="1"/>
        <v>#NAME?</v>
      </c>
      <c r="BV190" s="26" t="e">
        <f ca="1"/>
        <v>#NAME?</v>
      </c>
      <c r="BW190" s="26" t="e">
        <f ca="1"/>
        <v>#NAME?</v>
      </c>
      <c r="CB190" s="24" t="e">
        <f ca="1"/>
        <v>#NAME?</v>
      </c>
      <c r="CC190" s="20" t="e">
        <f ca="1"/>
        <v>#NAME?</v>
      </c>
      <c r="CD190" s="20" t="e">
        <f ca="1"/>
        <v>#NAME?</v>
      </c>
    </row>
    <row r="191" spans="2:82">
      <c r="B191" s="27" t="e">
        <f ca="1"/>
        <v>#NAME?</v>
      </c>
      <c r="C191" s="27" t="e">
        <f ca="1"/>
        <v>#NAME?</v>
      </c>
      <c r="D191" s="27" t="e">
        <f ca="1"/>
        <v>#NAME?</v>
      </c>
      <c r="E191" s="20" t="e">
        <f ca="1"/>
        <v>#NAME?</v>
      </c>
      <c r="F191" s="20" t="e">
        <f ca="1"/>
        <v>#NAME?</v>
      </c>
      <c r="BR191" s="26" t="e">
        <f ca="1"/>
        <v>#NAME?</v>
      </c>
      <c r="BS191" s="26" t="e">
        <f ca="1"/>
        <v>#NAME?</v>
      </c>
      <c r="BT191" s="26" t="e">
        <f ca="1"/>
        <v>#NAME?</v>
      </c>
      <c r="BU191" s="26" t="e">
        <f ca="1"/>
        <v>#NAME?</v>
      </c>
      <c r="BV191" s="26" t="e">
        <f ca="1"/>
        <v>#NAME?</v>
      </c>
      <c r="BW191" s="26" t="e">
        <f ca="1"/>
        <v>#NAME?</v>
      </c>
      <c r="CB191" s="24" t="e">
        <f ca="1"/>
        <v>#NAME?</v>
      </c>
      <c r="CC191" s="20" t="e">
        <f ca="1"/>
        <v>#NAME?</v>
      </c>
      <c r="CD191" s="20" t="e">
        <f ca="1"/>
        <v>#NAME?</v>
      </c>
    </row>
    <row r="192" spans="2:82">
      <c r="B192" s="27" t="e">
        <f ca="1"/>
        <v>#NAME?</v>
      </c>
      <c r="C192" s="27" t="e">
        <f ca="1"/>
        <v>#NAME?</v>
      </c>
      <c r="D192" s="27" t="e">
        <f ca="1"/>
        <v>#NAME?</v>
      </c>
      <c r="E192" s="20" t="e">
        <f ca="1"/>
        <v>#NAME?</v>
      </c>
      <c r="F192" s="20" t="e">
        <f ca="1"/>
        <v>#NAME?</v>
      </c>
      <c r="BR192" s="26" t="e">
        <f ca="1"/>
        <v>#NAME?</v>
      </c>
      <c r="BS192" s="26" t="e">
        <f ca="1"/>
        <v>#NAME?</v>
      </c>
      <c r="BT192" s="26" t="e">
        <f ca="1"/>
        <v>#NAME?</v>
      </c>
      <c r="BU192" s="26" t="e">
        <f ca="1"/>
        <v>#NAME?</v>
      </c>
      <c r="BV192" s="26" t="e">
        <f ca="1"/>
        <v>#NAME?</v>
      </c>
      <c r="BW192" s="26" t="e">
        <f ca="1"/>
        <v>#NAME?</v>
      </c>
      <c r="CB192" s="24" t="e">
        <f ca="1"/>
        <v>#NAME?</v>
      </c>
      <c r="CC192" s="20" t="e">
        <f ca="1"/>
        <v>#NAME?</v>
      </c>
      <c r="CD192" s="20" t="e">
        <f ca="1"/>
        <v>#NAME?</v>
      </c>
    </row>
    <row r="193" spans="2:82">
      <c r="B193" s="27" t="e">
        <f ca="1"/>
        <v>#NAME?</v>
      </c>
      <c r="C193" s="27" t="e">
        <f ca="1"/>
        <v>#NAME?</v>
      </c>
      <c r="D193" s="27" t="e">
        <f ca="1"/>
        <v>#NAME?</v>
      </c>
      <c r="E193" s="20" t="e">
        <f ca="1"/>
        <v>#NAME?</v>
      </c>
      <c r="F193" s="20" t="e">
        <f ca="1"/>
        <v>#NAME?</v>
      </c>
      <c r="BR193" s="26" t="e">
        <f ca="1"/>
        <v>#NAME?</v>
      </c>
      <c r="BS193" s="26" t="e">
        <f ca="1"/>
        <v>#NAME?</v>
      </c>
      <c r="BT193" s="26" t="e">
        <f ca="1"/>
        <v>#NAME?</v>
      </c>
      <c r="BU193" s="26" t="e">
        <f ca="1"/>
        <v>#NAME?</v>
      </c>
      <c r="BV193" s="26" t="e">
        <f ca="1"/>
        <v>#NAME?</v>
      </c>
      <c r="BW193" s="26" t="e">
        <f ca="1"/>
        <v>#NAME?</v>
      </c>
      <c r="CB193" s="24" t="e">
        <f ca="1"/>
        <v>#NAME?</v>
      </c>
      <c r="CC193" s="20" t="e">
        <f ca="1"/>
        <v>#NAME?</v>
      </c>
      <c r="CD193" s="20" t="e">
        <f ca="1"/>
        <v>#NAME?</v>
      </c>
    </row>
    <row r="194" spans="2:82">
      <c r="B194" s="27" t="e">
        <f ca="1"/>
        <v>#NAME?</v>
      </c>
      <c r="C194" s="27" t="e">
        <f ca="1"/>
        <v>#NAME?</v>
      </c>
      <c r="D194" s="27" t="e">
        <f ca="1"/>
        <v>#NAME?</v>
      </c>
      <c r="E194" s="20" t="e">
        <f ca="1"/>
        <v>#NAME?</v>
      </c>
      <c r="F194" s="20" t="e">
        <f ca="1"/>
        <v>#NAME?</v>
      </c>
      <c r="BR194" s="26" t="e">
        <f ca="1"/>
        <v>#NAME?</v>
      </c>
      <c r="BS194" s="26" t="e">
        <f ca="1"/>
        <v>#NAME?</v>
      </c>
      <c r="BT194" s="26" t="e">
        <f ca="1"/>
        <v>#NAME?</v>
      </c>
      <c r="BU194" s="26" t="e">
        <f ca="1"/>
        <v>#NAME?</v>
      </c>
      <c r="BV194" s="26" t="e">
        <f ca="1"/>
        <v>#NAME?</v>
      </c>
      <c r="BW194" s="26" t="e">
        <f ca="1"/>
        <v>#NAME?</v>
      </c>
      <c r="CB194" s="24" t="e">
        <f ca="1"/>
        <v>#NAME?</v>
      </c>
      <c r="CC194" s="20" t="e">
        <f ca="1"/>
        <v>#NAME?</v>
      </c>
      <c r="CD194" s="20" t="e">
        <f ca="1"/>
        <v>#NAME?</v>
      </c>
    </row>
    <row r="195" spans="2:82">
      <c r="B195" s="27" t="e">
        <f ca="1"/>
        <v>#NAME?</v>
      </c>
      <c r="C195" s="27" t="e">
        <f ca="1"/>
        <v>#NAME?</v>
      </c>
      <c r="D195" s="27" t="e">
        <f ca="1"/>
        <v>#NAME?</v>
      </c>
      <c r="E195" s="20" t="e">
        <f ca="1"/>
        <v>#NAME?</v>
      </c>
      <c r="F195" s="20" t="e">
        <f ca="1"/>
        <v>#NAME?</v>
      </c>
      <c r="BR195" s="26" t="e">
        <f ca="1"/>
        <v>#NAME?</v>
      </c>
      <c r="BS195" s="26" t="e">
        <f ca="1"/>
        <v>#NAME?</v>
      </c>
      <c r="BT195" s="26" t="e">
        <f ca="1"/>
        <v>#NAME?</v>
      </c>
      <c r="BU195" s="26" t="e">
        <f ca="1"/>
        <v>#NAME?</v>
      </c>
      <c r="BV195" s="26" t="e">
        <f ca="1"/>
        <v>#NAME?</v>
      </c>
      <c r="BW195" s="26" t="e">
        <f ca="1"/>
        <v>#NAME?</v>
      </c>
      <c r="CB195" s="24" t="e">
        <f ca="1"/>
        <v>#NAME?</v>
      </c>
      <c r="CC195" s="20" t="e">
        <f ca="1"/>
        <v>#NAME?</v>
      </c>
      <c r="CD195" s="20" t="e">
        <f ca="1"/>
        <v>#NAME?</v>
      </c>
    </row>
    <row r="196" spans="2:82">
      <c r="B196" s="27" t="e">
        <f ca="1"/>
        <v>#NAME?</v>
      </c>
      <c r="C196" s="27" t="e">
        <f ca="1"/>
        <v>#NAME?</v>
      </c>
      <c r="D196" s="27" t="e">
        <f ca="1"/>
        <v>#NAME?</v>
      </c>
      <c r="E196" s="20" t="e">
        <f ca="1"/>
        <v>#NAME?</v>
      </c>
      <c r="F196" s="20" t="e">
        <f ca="1"/>
        <v>#NAME?</v>
      </c>
      <c r="BR196" s="26" t="e">
        <f ca="1"/>
        <v>#NAME?</v>
      </c>
      <c r="BS196" s="26" t="e">
        <f ca="1"/>
        <v>#NAME?</v>
      </c>
      <c r="BT196" s="26" t="e">
        <f ca="1"/>
        <v>#NAME?</v>
      </c>
      <c r="BU196" s="26" t="e">
        <f ca="1"/>
        <v>#NAME?</v>
      </c>
      <c r="BV196" s="26" t="e">
        <f ca="1"/>
        <v>#NAME?</v>
      </c>
      <c r="BW196" s="26" t="e">
        <f ca="1"/>
        <v>#NAME?</v>
      </c>
      <c r="CB196" s="24" t="e">
        <f ca="1"/>
        <v>#NAME?</v>
      </c>
      <c r="CC196" s="20" t="e">
        <f ca="1"/>
        <v>#NAME?</v>
      </c>
      <c r="CD196" s="20" t="e">
        <f ca="1"/>
        <v>#NAME?</v>
      </c>
    </row>
    <row r="197" spans="2:82">
      <c r="B197" s="27" t="e">
        <f ca="1"/>
        <v>#NAME?</v>
      </c>
      <c r="C197" s="27" t="e">
        <f ca="1"/>
        <v>#NAME?</v>
      </c>
      <c r="D197" s="27" t="e">
        <f ca="1"/>
        <v>#NAME?</v>
      </c>
      <c r="E197" s="20" t="e">
        <f ca="1"/>
        <v>#NAME?</v>
      </c>
      <c r="F197" s="20" t="e">
        <f ca="1"/>
        <v>#NAME?</v>
      </c>
      <c r="BR197" s="26" t="e">
        <f ca="1"/>
        <v>#NAME?</v>
      </c>
      <c r="BS197" s="26" t="e">
        <f ca="1"/>
        <v>#NAME?</v>
      </c>
      <c r="BT197" s="26" t="e">
        <f ca="1"/>
        <v>#NAME?</v>
      </c>
      <c r="BU197" s="26" t="e">
        <f ca="1"/>
        <v>#NAME?</v>
      </c>
      <c r="BV197" s="26" t="e">
        <f ca="1"/>
        <v>#NAME?</v>
      </c>
      <c r="BW197" s="26" t="e">
        <f ca="1"/>
        <v>#NAME?</v>
      </c>
      <c r="CB197" s="24" t="e">
        <f ca="1"/>
        <v>#NAME?</v>
      </c>
      <c r="CC197" s="20" t="e">
        <f ca="1"/>
        <v>#NAME?</v>
      </c>
      <c r="CD197" s="20" t="e">
        <f ca="1"/>
        <v>#NAME?</v>
      </c>
    </row>
    <row r="198" spans="2:82">
      <c r="B198" s="27" t="e">
        <f ca="1"/>
        <v>#NAME?</v>
      </c>
      <c r="C198" s="27" t="e">
        <f ca="1"/>
        <v>#NAME?</v>
      </c>
      <c r="D198" s="27" t="e">
        <f ca="1"/>
        <v>#NAME?</v>
      </c>
      <c r="E198" s="20" t="e">
        <f ca="1"/>
        <v>#NAME?</v>
      </c>
      <c r="F198" s="20" t="e">
        <f ca="1"/>
        <v>#NAME?</v>
      </c>
      <c r="BR198" s="26" t="e">
        <f ca="1"/>
        <v>#NAME?</v>
      </c>
      <c r="BS198" s="26" t="e">
        <f ca="1"/>
        <v>#NAME?</v>
      </c>
      <c r="BT198" s="26" t="e">
        <f ca="1"/>
        <v>#NAME?</v>
      </c>
      <c r="BU198" s="26" t="e">
        <f ca="1"/>
        <v>#NAME?</v>
      </c>
      <c r="BV198" s="26" t="e">
        <f ca="1"/>
        <v>#NAME?</v>
      </c>
      <c r="BW198" s="26" t="e">
        <f ca="1"/>
        <v>#NAME?</v>
      </c>
      <c r="CB198" s="24" t="e">
        <f ca="1"/>
        <v>#NAME?</v>
      </c>
      <c r="CC198" s="20" t="e">
        <f ca="1"/>
        <v>#NAME?</v>
      </c>
      <c r="CD198" s="20" t="e">
        <f ca="1"/>
        <v>#NAME?</v>
      </c>
    </row>
    <row r="199" spans="2:82">
      <c r="B199" s="27" t="e">
        <f ca="1"/>
        <v>#NAME?</v>
      </c>
      <c r="C199" s="27" t="e">
        <f ca="1"/>
        <v>#NAME?</v>
      </c>
      <c r="D199" s="27" t="e">
        <f ca="1"/>
        <v>#NAME?</v>
      </c>
      <c r="E199" s="20" t="e">
        <f ca="1"/>
        <v>#NAME?</v>
      </c>
      <c r="F199" s="20" t="e">
        <f ca="1"/>
        <v>#NAME?</v>
      </c>
      <c r="BR199" s="26" t="e">
        <f ca="1"/>
        <v>#NAME?</v>
      </c>
      <c r="BS199" s="26" t="e">
        <f ca="1"/>
        <v>#NAME?</v>
      </c>
      <c r="BT199" s="26" t="e">
        <f ca="1"/>
        <v>#NAME?</v>
      </c>
      <c r="BU199" s="26" t="e">
        <f ca="1"/>
        <v>#NAME?</v>
      </c>
      <c r="BV199" s="26" t="e">
        <f ca="1"/>
        <v>#NAME?</v>
      </c>
      <c r="BW199" s="26" t="e">
        <f ca="1"/>
        <v>#NAME?</v>
      </c>
      <c r="CB199" s="24" t="e">
        <f ca="1"/>
        <v>#NAME?</v>
      </c>
      <c r="CC199" s="20" t="e">
        <f ca="1"/>
        <v>#NAME?</v>
      </c>
      <c r="CD199" s="20" t="e">
        <f ca="1"/>
        <v>#NAME?</v>
      </c>
    </row>
    <row r="200" spans="2:82">
      <c r="B200" s="27" t="e">
        <f ca="1"/>
        <v>#NAME?</v>
      </c>
      <c r="C200" s="27" t="e">
        <f ca="1"/>
        <v>#NAME?</v>
      </c>
      <c r="D200" s="27" t="e">
        <f ca="1"/>
        <v>#NAME?</v>
      </c>
      <c r="E200" s="20" t="e">
        <f ca="1"/>
        <v>#NAME?</v>
      </c>
      <c r="F200" s="20" t="e">
        <f ca="1"/>
        <v>#NAME?</v>
      </c>
      <c r="BR200" s="26" t="e">
        <f ca="1"/>
        <v>#NAME?</v>
      </c>
      <c r="BS200" s="26" t="e">
        <f ca="1"/>
        <v>#NAME?</v>
      </c>
      <c r="BT200" s="26" t="e">
        <f ca="1"/>
        <v>#NAME?</v>
      </c>
      <c r="BU200" s="26" t="e">
        <f ca="1"/>
        <v>#NAME?</v>
      </c>
      <c r="BV200" s="26" t="e">
        <f ca="1"/>
        <v>#NAME?</v>
      </c>
      <c r="BW200" s="26" t="e">
        <f ca="1"/>
        <v>#NAME?</v>
      </c>
      <c r="CB200" s="24" t="e">
        <f ca="1"/>
        <v>#NAME?</v>
      </c>
      <c r="CC200" s="20" t="e">
        <f ca="1"/>
        <v>#NAME?</v>
      </c>
      <c r="CD200" s="20" t="e">
        <f ca="1"/>
        <v>#NAME?</v>
      </c>
    </row>
    <row r="201" spans="2:82">
      <c r="B201" s="27" t="e">
        <f ca="1"/>
        <v>#NAME?</v>
      </c>
      <c r="C201" s="27" t="e">
        <f ca="1"/>
        <v>#NAME?</v>
      </c>
      <c r="D201" s="27" t="e">
        <f ca="1"/>
        <v>#NAME?</v>
      </c>
      <c r="E201" s="20" t="e">
        <f ca="1"/>
        <v>#NAME?</v>
      </c>
      <c r="F201" s="20" t="e">
        <f ca="1"/>
        <v>#NAME?</v>
      </c>
      <c r="BR201" s="26" t="e">
        <f ca="1"/>
        <v>#NAME?</v>
      </c>
      <c r="BS201" s="26" t="e">
        <f ca="1"/>
        <v>#NAME?</v>
      </c>
      <c r="BT201" s="26" t="e">
        <f ca="1"/>
        <v>#NAME?</v>
      </c>
      <c r="BU201" s="26" t="e">
        <f ca="1"/>
        <v>#NAME?</v>
      </c>
      <c r="BV201" s="26" t="e">
        <f ca="1"/>
        <v>#NAME?</v>
      </c>
      <c r="BW201" s="26" t="e">
        <f ca="1"/>
        <v>#NAME?</v>
      </c>
      <c r="CB201" s="24" t="e">
        <f ca="1"/>
        <v>#NAME?</v>
      </c>
      <c r="CC201" s="20" t="e">
        <f ca="1"/>
        <v>#NAME?</v>
      </c>
      <c r="CD201" s="20" t="e">
        <f ca="1"/>
        <v>#NAME?</v>
      </c>
    </row>
    <row r="202" spans="2:82">
      <c r="B202" s="27" t="e">
        <f ca="1"/>
        <v>#NAME?</v>
      </c>
      <c r="C202" s="27" t="e">
        <f ca="1"/>
        <v>#NAME?</v>
      </c>
      <c r="D202" s="27" t="e">
        <f ca="1"/>
        <v>#NAME?</v>
      </c>
      <c r="E202" s="20" t="e">
        <f ca="1"/>
        <v>#NAME?</v>
      </c>
      <c r="F202" s="20" t="e">
        <f ca="1"/>
        <v>#NAME?</v>
      </c>
      <c r="BR202" s="26" t="e">
        <f ca="1"/>
        <v>#NAME?</v>
      </c>
      <c r="BS202" s="26" t="e">
        <f ca="1"/>
        <v>#NAME?</v>
      </c>
      <c r="BT202" s="26" t="e">
        <f ca="1"/>
        <v>#NAME?</v>
      </c>
      <c r="BU202" s="26" t="e">
        <f ca="1"/>
        <v>#NAME?</v>
      </c>
      <c r="BV202" s="26" t="e">
        <f ca="1"/>
        <v>#NAME?</v>
      </c>
      <c r="BW202" s="26" t="e">
        <f ca="1"/>
        <v>#NAME?</v>
      </c>
      <c r="CB202" s="24" t="e">
        <f ca="1"/>
        <v>#NAME?</v>
      </c>
      <c r="CC202" s="20" t="e">
        <f ca="1"/>
        <v>#NAME?</v>
      </c>
      <c r="CD202" s="20" t="e">
        <f ca="1"/>
        <v>#NAME?</v>
      </c>
    </row>
    <row r="203" spans="2:82">
      <c r="B203" s="27" t="e">
        <f ca="1"/>
        <v>#NAME?</v>
      </c>
      <c r="C203" s="27" t="e">
        <f ca="1"/>
        <v>#NAME?</v>
      </c>
      <c r="D203" s="27" t="e">
        <f ca="1"/>
        <v>#NAME?</v>
      </c>
      <c r="E203" s="20" t="e">
        <f ca="1"/>
        <v>#NAME?</v>
      </c>
      <c r="F203" s="20" t="e">
        <f ca="1"/>
        <v>#NAME?</v>
      </c>
      <c r="BR203" s="26" t="e">
        <f ca="1"/>
        <v>#NAME?</v>
      </c>
      <c r="BS203" s="26" t="e">
        <f ca="1"/>
        <v>#NAME?</v>
      </c>
      <c r="BT203" s="26" t="e">
        <f ca="1"/>
        <v>#NAME?</v>
      </c>
      <c r="BU203" s="26" t="e">
        <f ca="1"/>
        <v>#NAME?</v>
      </c>
      <c r="BV203" s="26" t="e">
        <f ca="1"/>
        <v>#NAME?</v>
      </c>
      <c r="BW203" s="26" t="e">
        <f ca="1"/>
        <v>#NAME?</v>
      </c>
      <c r="CB203" s="24" t="e">
        <f ca="1"/>
        <v>#NAME?</v>
      </c>
      <c r="CC203" s="20" t="e">
        <f ca="1"/>
        <v>#NAME?</v>
      </c>
      <c r="CD203" s="20" t="e">
        <f ca="1"/>
        <v>#NAME?</v>
      </c>
    </row>
    <row r="204" spans="2:82">
      <c r="B204" s="27" t="e">
        <f ca="1"/>
        <v>#NAME?</v>
      </c>
      <c r="C204" s="27" t="e">
        <f ca="1"/>
        <v>#NAME?</v>
      </c>
      <c r="D204" s="27" t="e">
        <f ca="1"/>
        <v>#NAME?</v>
      </c>
      <c r="E204" s="20" t="e">
        <f ca="1"/>
        <v>#NAME?</v>
      </c>
      <c r="F204" s="20" t="e">
        <f ca="1"/>
        <v>#NAME?</v>
      </c>
      <c r="BR204" s="26" t="e">
        <f ca="1"/>
        <v>#NAME?</v>
      </c>
      <c r="BS204" s="26" t="e">
        <f ca="1"/>
        <v>#NAME?</v>
      </c>
      <c r="BT204" s="26" t="e">
        <f ca="1"/>
        <v>#NAME?</v>
      </c>
      <c r="BU204" s="26" t="e">
        <f ca="1"/>
        <v>#NAME?</v>
      </c>
      <c r="BV204" s="26" t="e">
        <f ca="1"/>
        <v>#NAME?</v>
      </c>
      <c r="BW204" s="26" t="e">
        <f ca="1"/>
        <v>#NAME?</v>
      </c>
      <c r="CB204" s="24" t="e">
        <f ca="1"/>
        <v>#NAME?</v>
      </c>
      <c r="CC204" s="20" t="e">
        <f ca="1"/>
        <v>#NAME?</v>
      </c>
      <c r="CD204" s="20" t="e">
        <f ca="1"/>
        <v>#NAME?</v>
      </c>
    </row>
    <row r="205" spans="2:82">
      <c r="B205" s="27" t="e">
        <f ca="1"/>
        <v>#NAME?</v>
      </c>
      <c r="C205" s="27" t="e">
        <f ca="1"/>
        <v>#NAME?</v>
      </c>
      <c r="D205" s="27" t="e">
        <f ca="1"/>
        <v>#NAME?</v>
      </c>
      <c r="E205" s="20" t="e">
        <f ca="1"/>
        <v>#NAME?</v>
      </c>
      <c r="F205" s="20" t="e">
        <f ca="1"/>
        <v>#NAME?</v>
      </c>
      <c r="BR205" s="26" t="e">
        <f ca="1"/>
        <v>#NAME?</v>
      </c>
      <c r="BS205" s="26" t="e">
        <f ca="1"/>
        <v>#NAME?</v>
      </c>
      <c r="BT205" s="26" t="e">
        <f ca="1"/>
        <v>#NAME?</v>
      </c>
      <c r="BU205" s="26" t="e">
        <f ca="1"/>
        <v>#NAME?</v>
      </c>
      <c r="BV205" s="26" t="e">
        <f ca="1"/>
        <v>#NAME?</v>
      </c>
      <c r="BW205" s="26" t="e">
        <f ca="1"/>
        <v>#NAME?</v>
      </c>
      <c r="CB205" s="24" t="e">
        <f ca="1"/>
        <v>#NAME?</v>
      </c>
      <c r="CC205" s="20" t="e">
        <f ca="1"/>
        <v>#NAME?</v>
      </c>
      <c r="CD205" s="20" t="e">
        <f ca="1"/>
        <v>#NAME?</v>
      </c>
    </row>
    <row r="206" spans="2:82">
      <c r="B206" s="27" t="e">
        <f ca="1"/>
        <v>#NAME?</v>
      </c>
      <c r="C206" s="27" t="e">
        <f ca="1"/>
        <v>#NAME?</v>
      </c>
      <c r="D206" s="27" t="e">
        <f ca="1"/>
        <v>#NAME?</v>
      </c>
      <c r="E206" s="20" t="e">
        <f ca="1"/>
        <v>#NAME?</v>
      </c>
      <c r="F206" s="20" t="e">
        <f ca="1"/>
        <v>#NAME?</v>
      </c>
      <c r="BR206" s="26" t="e">
        <f ca="1"/>
        <v>#NAME?</v>
      </c>
      <c r="BS206" s="26" t="e">
        <f ca="1"/>
        <v>#NAME?</v>
      </c>
      <c r="BT206" s="26" t="e">
        <f ca="1"/>
        <v>#NAME?</v>
      </c>
      <c r="BU206" s="26" t="e">
        <f ca="1"/>
        <v>#NAME?</v>
      </c>
      <c r="BV206" s="26" t="e">
        <f ca="1"/>
        <v>#NAME?</v>
      </c>
      <c r="BW206" s="26" t="e">
        <f ca="1"/>
        <v>#NAME?</v>
      </c>
      <c r="CB206" s="24" t="e">
        <f ca="1"/>
        <v>#NAME?</v>
      </c>
      <c r="CC206" s="20" t="e">
        <f ca="1"/>
        <v>#NAME?</v>
      </c>
      <c r="CD206" s="20" t="e">
        <f ca="1"/>
        <v>#NAME?</v>
      </c>
    </row>
    <row r="207" spans="2:82">
      <c r="B207" s="27" t="e">
        <f ca="1"/>
        <v>#NAME?</v>
      </c>
      <c r="C207" s="27" t="e">
        <f ca="1"/>
        <v>#NAME?</v>
      </c>
      <c r="D207" s="27" t="e">
        <f ca="1"/>
        <v>#NAME?</v>
      </c>
      <c r="E207" s="20" t="e">
        <f ca="1"/>
        <v>#NAME?</v>
      </c>
      <c r="F207" s="20" t="e">
        <f ca="1"/>
        <v>#NAME?</v>
      </c>
      <c r="BR207" s="26" t="e">
        <f ca="1"/>
        <v>#NAME?</v>
      </c>
      <c r="BS207" s="26" t="e">
        <f ca="1"/>
        <v>#NAME?</v>
      </c>
      <c r="BT207" s="26" t="e">
        <f ca="1"/>
        <v>#NAME?</v>
      </c>
      <c r="BU207" s="26" t="e">
        <f ca="1"/>
        <v>#NAME?</v>
      </c>
      <c r="BV207" s="26" t="e">
        <f ca="1"/>
        <v>#NAME?</v>
      </c>
      <c r="BW207" s="26" t="e">
        <f ca="1"/>
        <v>#NAME?</v>
      </c>
      <c r="CB207" s="24" t="e">
        <f ca="1"/>
        <v>#NAME?</v>
      </c>
      <c r="CC207" s="20" t="e">
        <f ca="1"/>
        <v>#NAME?</v>
      </c>
      <c r="CD207" s="20" t="e">
        <f ca="1"/>
        <v>#NAME?</v>
      </c>
    </row>
    <row r="208" spans="2:82">
      <c r="B208" s="27" t="e">
        <f ca="1"/>
        <v>#NAME?</v>
      </c>
      <c r="C208" s="27" t="e">
        <f ca="1"/>
        <v>#NAME?</v>
      </c>
      <c r="D208" s="27" t="e">
        <f ca="1"/>
        <v>#NAME?</v>
      </c>
      <c r="E208" s="20" t="e">
        <f ca="1"/>
        <v>#NAME?</v>
      </c>
      <c r="F208" s="20" t="e">
        <f ca="1"/>
        <v>#NAME?</v>
      </c>
      <c r="BR208" s="26" t="e">
        <f ca="1"/>
        <v>#NAME?</v>
      </c>
      <c r="BS208" s="26" t="e">
        <f ca="1"/>
        <v>#NAME?</v>
      </c>
      <c r="BT208" s="26" t="e">
        <f ca="1"/>
        <v>#NAME?</v>
      </c>
      <c r="BU208" s="26" t="e">
        <f ca="1"/>
        <v>#NAME?</v>
      </c>
      <c r="BV208" s="26" t="e">
        <f ca="1"/>
        <v>#NAME?</v>
      </c>
      <c r="BW208" s="26" t="e">
        <f ca="1"/>
        <v>#NAME?</v>
      </c>
      <c r="CB208" s="24" t="e">
        <f ca="1"/>
        <v>#NAME?</v>
      </c>
      <c r="CC208" s="20" t="e">
        <f ca="1"/>
        <v>#NAME?</v>
      </c>
      <c r="CD208" s="20" t="e">
        <f ca="1"/>
        <v>#NAME?</v>
      </c>
    </row>
    <row r="209" spans="2:82">
      <c r="B209" s="27" t="e">
        <f ca="1"/>
        <v>#NAME?</v>
      </c>
      <c r="C209" s="27" t="e">
        <f ca="1"/>
        <v>#NAME?</v>
      </c>
      <c r="D209" s="27" t="e">
        <f ca="1"/>
        <v>#NAME?</v>
      </c>
      <c r="E209" s="20" t="e">
        <f ca="1"/>
        <v>#NAME?</v>
      </c>
      <c r="F209" s="20" t="e">
        <f ca="1"/>
        <v>#NAME?</v>
      </c>
      <c r="BR209" s="26" t="e">
        <f ca="1"/>
        <v>#NAME?</v>
      </c>
      <c r="BS209" s="26" t="e">
        <f ca="1"/>
        <v>#NAME?</v>
      </c>
      <c r="BT209" s="26" t="e">
        <f ca="1"/>
        <v>#NAME?</v>
      </c>
      <c r="BU209" s="26" t="e">
        <f ca="1"/>
        <v>#NAME?</v>
      </c>
      <c r="BV209" s="26" t="e">
        <f ca="1"/>
        <v>#NAME?</v>
      </c>
      <c r="BW209" s="26" t="e">
        <f ca="1"/>
        <v>#NAME?</v>
      </c>
      <c r="CB209" s="24" t="e">
        <f ca="1"/>
        <v>#NAME?</v>
      </c>
      <c r="CC209" s="20" t="e">
        <f ca="1"/>
        <v>#NAME?</v>
      </c>
      <c r="CD209" s="20" t="e">
        <f ca="1"/>
        <v>#NAME?</v>
      </c>
    </row>
    <row r="210" spans="2:82">
      <c r="B210" s="27" t="e">
        <f ca="1"/>
        <v>#NAME?</v>
      </c>
      <c r="C210" s="27" t="e">
        <f ca="1"/>
        <v>#NAME?</v>
      </c>
      <c r="D210" s="27" t="e">
        <f ca="1"/>
        <v>#NAME?</v>
      </c>
      <c r="E210" s="20" t="e">
        <f ca="1"/>
        <v>#NAME?</v>
      </c>
      <c r="F210" s="20" t="e">
        <f ca="1"/>
        <v>#NAME?</v>
      </c>
      <c r="BR210" s="26" t="e">
        <f ca="1"/>
        <v>#NAME?</v>
      </c>
      <c r="BS210" s="26" t="e">
        <f ca="1"/>
        <v>#NAME?</v>
      </c>
      <c r="BT210" s="26" t="e">
        <f ca="1"/>
        <v>#NAME?</v>
      </c>
      <c r="BU210" s="26" t="e">
        <f ca="1"/>
        <v>#NAME?</v>
      </c>
      <c r="BV210" s="26" t="e">
        <f ca="1"/>
        <v>#NAME?</v>
      </c>
      <c r="BW210" s="26" t="e">
        <f ca="1"/>
        <v>#NAME?</v>
      </c>
      <c r="CB210" s="24" t="e">
        <f ca="1"/>
        <v>#NAME?</v>
      </c>
      <c r="CC210" s="20" t="e">
        <f ca="1"/>
        <v>#NAME?</v>
      </c>
      <c r="CD210" s="20" t="e">
        <f ca="1"/>
        <v>#NAME?</v>
      </c>
    </row>
    <row r="211" spans="2:82">
      <c r="B211" s="27" t="e">
        <f ca="1"/>
        <v>#NAME?</v>
      </c>
      <c r="C211" s="27" t="e">
        <f ca="1"/>
        <v>#NAME?</v>
      </c>
      <c r="D211" s="27" t="e">
        <f ca="1"/>
        <v>#NAME?</v>
      </c>
      <c r="E211" s="20" t="e">
        <f ca="1"/>
        <v>#NAME?</v>
      </c>
      <c r="F211" s="20" t="e">
        <f ca="1"/>
        <v>#NAME?</v>
      </c>
      <c r="BR211" s="26" t="e">
        <f ca="1"/>
        <v>#NAME?</v>
      </c>
      <c r="BS211" s="26" t="e">
        <f ca="1"/>
        <v>#NAME?</v>
      </c>
      <c r="BT211" s="26" t="e">
        <f ca="1"/>
        <v>#NAME?</v>
      </c>
      <c r="BU211" s="26" t="e">
        <f ca="1"/>
        <v>#NAME?</v>
      </c>
      <c r="BV211" s="26" t="e">
        <f ca="1"/>
        <v>#NAME?</v>
      </c>
      <c r="BW211" s="26" t="e">
        <f ca="1"/>
        <v>#NAME?</v>
      </c>
      <c r="CB211" s="24" t="e">
        <f ca="1"/>
        <v>#NAME?</v>
      </c>
      <c r="CC211" s="20" t="e">
        <f ca="1"/>
        <v>#NAME?</v>
      </c>
      <c r="CD211" s="20" t="e">
        <f ca="1"/>
        <v>#NAME?</v>
      </c>
    </row>
    <row r="212" spans="2:82">
      <c r="B212" s="27" t="e">
        <f ca="1"/>
        <v>#NAME?</v>
      </c>
      <c r="C212" s="27" t="e">
        <f ca="1"/>
        <v>#NAME?</v>
      </c>
      <c r="D212" s="27" t="e">
        <f ca="1"/>
        <v>#NAME?</v>
      </c>
      <c r="E212" s="20" t="e">
        <f ca="1"/>
        <v>#NAME?</v>
      </c>
      <c r="F212" s="20" t="e">
        <f ca="1"/>
        <v>#NAME?</v>
      </c>
      <c r="BR212" s="26" t="e">
        <f ca="1"/>
        <v>#NAME?</v>
      </c>
      <c r="BS212" s="26" t="e">
        <f ca="1"/>
        <v>#NAME?</v>
      </c>
      <c r="BT212" s="26" t="e">
        <f ca="1"/>
        <v>#NAME?</v>
      </c>
      <c r="BU212" s="26" t="e">
        <f ca="1"/>
        <v>#NAME?</v>
      </c>
      <c r="BV212" s="26" t="e">
        <f ca="1"/>
        <v>#NAME?</v>
      </c>
      <c r="BW212" s="26" t="e">
        <f ca="1"/>
        <v>#NAME?</v>
      </c>
      <c r="CB212" s="24" t="e">
        <f ca="1"/>
        <v>#NAME?</v>
      </c>
      <c r="CC212" s="20" t="e">
        <f ca="1"/>
        <v>#NAME?</v>
      </c>
      <c r="CD212" s="20" t="e">
        <f ca="1"/>
        <v>#NAME?</v>
      </c>
    </row>
    <row r="213" spans="2:82">
      <c r="B213" s="27" t="e">
        <f ca="1"/>
        <v>#NAME?</v>
      </c>
      <c r="C213" s="27" t="e">
        <f ca="1"/>
        <v>#NAME?</v>
      </c>
      <c r="D213" s="27" t="e">
        <f ca="1"/>
        <v>#NAME?</v>
      </c>
      <c r="E213" s="20" t="e">
        <f ca="1"/>
        <v>#NAME?</v>
      </c>
      <c r="F213" s="20" t="e">
        <f ca="1"/>
        <v>#NAME?</v>
      </c>
      <c r="BR213" s="26" t="e">
        <f ca="1"/>
        <v>#NAME?</v>
      </c>
      <c r="BS213" s="26" t="e">
        <f ca="1"/>
        <v>#NAME?</v>
      </c>
      <c r="BT213" s="26" t="e">
        <f ca="1"/>
        <v>#NAME?</v>
      </c>
      <c r="BU213" s="26" t="e">
        <f ca="1"/>
        <v>#NAME?</v>
      </c>
      <c r="BV213" s="26" t="e">
        <f ca="1"/>
        <v>#NAME?</v>
      </c>
      <c r="BW213" s="26" t="e">
        <f ca="1"/>
        <v>#NAME?</v>
      </c>
      <c r="CB213" s="24" t="e">
        <f ca="1"/>
        <v>#NAME?</v>
      </c>
      <c r="CC213" s="20" t="e">
        <f ca="1"/>
        <v>#NAME?</v>
      </c>
      <c r="CD213" s="20" t="e">
        <f ca="1"/>
        <v>#NAME?</v>
      </c>
    </row>
    <row r="214" spans="2:82">
      <c r="B214" s="27" t="e">
        <f ca="1"/>
        <v>#NAME?</v>
      </c>
      <c r="C214" s="27" t="e">
        <f ca="1"/>
        <v>#NAME?</v>
      </c>
      <c r="D214" s="27" t="e">
        <f ca="1"/>
        <v>#NAME?</v>
      </c>
      <c r="E214" s="20" t="e">
        <f ca="1"/>
        <v>#NAME?</v>
      </c>
      <c r="F214" s="20" t="e">
        <f ca="1"/>
        <v>#NAME?</v>
      </c>
      <c r="BR214" s="26" t="e">
        <f ca="1"/>
        <v>#NAME?</v>
      </c>
      <c r="BS214" s="26" t="e">
        <f ca="1"/>
        <v>#NAME?</v>
      </c>
      <c r="BT214" s="26" t="e">
        <f ca="1"/>
        <v>#NAME?</v>
      </c>
      <c r="BU214" s="26" t="e">
        <f ca="1"/>
        <v>#NAME?</v>
      </c>
      <c r="BV214" s="26" t="e">
        <f ca="1"/>
        <v>#NAME?</v>
      </c>
      <c r="BW214" s="26" t="e">
        <f ca="1"/>
        <v>#NAME?</v>
      </c>
      <c r="CB214" s="24" t="e">
        <f ca="1"/>
        <v>#NAME?</v>
      </c>
      <c r="CC214" s="20" t="e">
        <f ca="1"/>
        <v>#NAME?</v>
      </c>
      <c r="CD214" s="20" t="e">
        <f ca="1"/>
        <v>#NAME?</v>
      </c>
    </row>
    <row r="215" spans="2:82">
      <c r="B215" s="27" t="e">
        <f ca="1"/>
        <v>#NAME?</v>
      </c>
      <c r="C215" s="27" t="e">
        <f ca="1"/>
        <v>#NAME?</v>
      </c>
      <c r="D215" s="27" t="e">
        <f ca="1"/>
        <v>#NAME?</v>
      </c>
      <c r="E215" s="20" t="e">
        <f ca="1"/>
        <v>#NAME?</v>
      </c>
      <c r="F215" s="20" t="e">
        <f ca="1"/>
        <v>#NAME?</v>
      </c>
      <c r="BR215" s="26" t="e">
        <f ca="1"/>
        <v>#NAME?</v>
      </c>
      <c r="BS215" s="26" t="e">
        <f ca="1"/>
        <v>#NAME?</v>
      </c>
      <c r="BT215" s="26" t="e">
        <f ca="1"/>
        <v>#NAME?</v>
      </c>
      <c r="BU215" s="26" t="e">
        <f ca="1"/>
        <v>#NAME?</v>
      </c>
      <c r="BV215" s="26" t="e">
        <f ca="1"/>
        <v>#NAME?</v>
      </c>
      <c r="BW215" s="26" t="e">
        <f ca="1"/>
        <v>#NAME?</v>
      </c>
      <c r="CB215" s="24" t="e">
        <f ca="1"/>
        <v>#NAME?</v>
      </c>
      <c r="CC215" s="20" t="e">
        <f ca="1"/>
        <v>#NAME?</v>
      </c>
      <c r="CD215" s="20" t="e">
        <f ca="1"/>
        <v>#NAME?</v>
      </c>
    </row>
    <row r="216" spans="2:82">
      <c r="B216" s="27" t="e">
        <f ca="1"/>
        <v>#NAME?</v>
      </c>
      <c r="C216" s="27" t="e">
        <f ca="1"/>
        <v>#NAME?</v>
      </c>
      <c r="D216" s="27" t="e">
        <f ca="1"/>
        <v>#NAME?</v>
      </c>
      <c r="E216" s="20" t="e">
        <f ca="1"/>
        <v>#NAME?</v>
      </c>
      <c r="F216" s="20" t="e">
        <f ca="1"/>
        <v>#NAME?</v>
      </c>
      <c r="BR216" s="26" t="e">
        <f ca="1"/>
        <v>#NAME?</v>
      </c>
      <c r="BS216" s="26" t="e">
        <f ca="1"/>
        <v>#NAME?</v>
      </c>
      <c r="BT216" s="26" t="e">
        <f ca="1"/>
        <v>#NAME?</v>
      </c>
      <c r="BU216" s="26" t="e">
        <f ca="1"/>
        <v>#NAME?</v>
      </c>
      <c r="BV216" s="26" t="e">
        <f ca="1"/>
        <v>#NAME?</v>
      </c>
      <c r="BW216" s="26" t="e">
        <f ca="1"/>
        <v>#NAME?</v>
      </c>
      <c r="CB216" s="24" t="e">
        <f ca="1"/>
        <v>#NAME?</v>
      </c>
      <c r="CC216" s="20" t="e">
        <f ca="1"/>
        <v>#NAME?</v>
      </c>
      <c r="CD216" s="20" t="e">
        <f ca="1"/>
        <v>#NAME?</v>
      </c>
    </row>
    <row r="217" spans="2:82">
      <c r="B217" s="27" t="e">
        <f ca="1"/>
        <v>#NAME?</v>
      </c>
      <c r="C217" s="27" t="e">
        <f ca="1"/>
        <v>#NAME?</v>
      </c>
      <c r="D217" s="27" t="e">
        <f ca="1"/>
        <v>#NAME?</v>
      </c>
      <c r="E217" s="20" t="e">
        <f ca="1"/>
        <v>#NAME?</v>
      </c>
      <c r="F217" s="20" t="e">
        <f ca="1"/>
        <v>#NAME?</v>
      </c>
      <c r="BR217" s="26" t="e">
        <f ca="1"/>
        <v>#NAME?</v>
      </c>
      <c r="BS217" s="26" t="e">
        <f ca="1"/>
        <v>#NAME?</v>
      </c>
      <c r="BT217" s="26" t="e">
        <f ca="1"/>
        <v>#NAME?</v>
      </c>
      <c r="BU217" s="26" t="e">
        <f ca="1"/>
        <v>#NAME?</v>
      </c>
      <c r="BV217" s="26" t="e">
        <f ca="1"/>
        <v>#NAME?</v>
      </c>
      <c r="BW217" s="26" t="e">
        <f ca="1"/>
        <v>#NAME?</v>
      </c>
      <c r="CB217" s="24" t="e">
        <f ca="1"/>
        <v>#NAME?</v>
      </c>
      <c r="CC217" s="20" t="e">
        <f ca="1"/>
        <v>#NAME?</v>
      </c>
      <c r="CD217" s="20" t="e">
        <f ca="1"/>
        <v>#NAME?</v>
      </c>
    </row>
    <row r="218" spans="2:82">
      <c r="B218" s="27" t="e">
        <f ca="1"/>
        <v>#NAME?</v>
      </c>
      <c r="C218" s="27" t="e">
        <f ca="1"/>
        <v>#NAME?</v>
      </c>
      <c r="D218" s="27" t="e">
        <f ca="1"/>
        <v>#NAME?</v>
      </c>
      <c r="E218" s="20" t="e">
        <f ca="1"/>
        <v>#NAME?</v>
      </c>
      <c r="F218" s="20" t="e">
        <f ca="1"/>
        <v>#NAME?</v>
      </c>
      <c r="BR218" s="26" t="e">
        <f ca="1"/>
        <v>#NAME?</v>
      </c>
      <c r="BS218" s="26" t="e">
        <f ca="1"/>
        <v>#NAME?</v>
      </c>
      <c r="BT218" s="26" t="e">
        <f ca="1"/>
        <v>#NAME?</v>
      </c>
      <c r="BU218" s="26" t="e">
        <f ca="1"/>
        <v>#NAME?</v>
      </c>
      <c r="BV218" s="26" t="e">
        <f ca="1"/>
        <v>#NAME?</v>
      </c>
      <c r="BW218" s="26" t="e">
        <f ca="1"/>
        <v>#NAME?</v>
      </c>
      <c r="CB218" s="24" t="e">
        <f ca="1"/>
        <v>#NAME?</v>
      </c>
      <c r="CC218" s="20" t="e">
        <f ca="1"/>
        <v>#NAME?</v>
      </c>
      <c r="CD218" s="20" t="e">
        <f ca="1"/>
        <v>#NAME?</v>
      </c>
    </row>
    <row r="219" spans="2:82">
      <c r="B219" s="27" t="e">
        <f ca="1"/>
        <v>#NAME?</v>
      </c>
      <c r="C219" s="27" t="e">
        <f ca="1"/>
        <v>#NAME?</v>
      </c>
      <c r="D219" s="27" t="e">
        <f ca="1"/>
        <v>#NAME?</v>
      </c>
      <c r="E219" s="20" t="e">
        <f ca="1"/>
        <v>#NAME?</v>
      </c>
      <c r="F219" s="20" t="e">
        <f ca="1"/>
        <v>#NAME?</v>
      </c>
      <c r="BR219" s="26" t="e">
        <f ca="1"/>
        <v>#NAME?</v>
      </c>
      <c r="BS219" s="26" t="e">
        <f ca="1"/>
        <v>#NAME?</v>
      </c>
      <c r="BT219" s="26" t="e">
        <f ca="1"/>
        <v>#NAME?</v>
      </c>
      <c r="BU219" s="26" t="e">
        <f ca="1"/>
        <v>#NAME?</v>
      </c>
      <c r="BV219" s="26" t="e">
        <f ca="1"/>
        <v>#NAME?</v>
      </c>
      <c r="BW219" s="26" t="e">
        <f ca="1"/>
        <v>#NAME?</v>
      </c>
      <c r="CB219" s="24" t="e">
        <f ca="1"/>
        <v>#NAME?</v>
      </c>
      <c r="CC219" s="20" t="e">
        <f ca="1"/>
        <v>#NAME?</v>
      </c>
      <c r="CD219" s="20" t="e">
        <f ca="1"/>
        <v>#NAME?</v>
      </c>
    </row>
    <row r="220" spans="2:82">
      <c r="B220" s="27" t="e">
        <f ca="1"/>
        <v>#NAME?</v>
      </c>
      <c r="C220" s="27" t="e">
        <f ca="1"/>
        <v>#NAME?</v>
      </c>
      <c r="D220" s="27" t="e">
        <f ca="1"/>
        <v>#NAME?</v>
      </c>
      <c r="E220" s="20" t="e">
        <f ca="1"/>
        <v>#NAME?</v>
      </c>
      <c r="F220" s="20" t="e">
        <f ca="1"/>
        <v>#NAME?</v>
      </c>
      <c r="BR220" s="26" t="e">
        <f ca="1"/>
        <v>#NAME?</v>
      </c>
      <c r="BS220" s="26" t="e">
        <f ca="1"/>
        <v>#NAME?</v>
      </c>
      <c r="BT220" s="26" t="e">
        <f ca="1"/>
        <v>#NAME?</v>
      </c>
      <c r="BU220" s="26" t="e">
        <f ca="1"/>
        <v>#NAME?</v>
      </c>
      <c r="BV220" s="26" t="e">
        <f ca="1"/>
        <v>#NAME?</v>
      </c>
      <c r="BW220" s="26" t="e">
        <f ca="1"/>
        <v>#NAME?</v>
      </c>
      <c r="CB220" s="24" t="e">
        <f ca="1"/>
        <v>#NAME?</v>
      </c>
      <c r="CC220" s="20" t="e">
        <f ca="1"/>
        <v>#NAME?</v>
      </c>
      <c r="CD220" s="20" t="e">
        <f ca="1"/>
        <v>#NAME?</v>
      </c>
    </row>
    <row r="221" spans="2:82">
      <c r="B221" s="27" t="e">
        <f ca="1"/>
        <v>#NAME?</v>
      </c>
      <c r="C221" s="27" t="e">
        <f ca="1"/>
        <v>#NAME?</v>
      </c>
      <c r="D221" s="27" t="e">
        <f ca="1"/>
        <v>#NAME?</v>
      </c>
      <c r="E221" s="20" t="e">
        <f ca="1"/>
        <v>#NAME?</v>
      </c>
      <c r="F221" s="20" t="e">
        <f ca="1"/>
        <v>#NAME?</v>
      </c>
      <c r="BR221" s="26" t="e">
        <f ca="1"/>
        <v>#NAME?</v>
      </c>
      <c r="BS221" s="26" t="e">
        <f ca="1"/>
        <v>#NAME?</v>
      </c>
      <c r="BT221" s="26" t="e">
        <f ca="1"/>
        <v>#NAME?</v>
      </c>
      <c r="BU221" s="26" t="e">
        <f ca="1"/>
        <v>#NAME?</v>
      </c>
      <c r="BV221" s="26" t="e">
        <f ca="1"/>
        <v>#NAME?</v>
      </c>
      <c r="BW221" s="26" t="e">
        <f ca="1"/>
        <v>#NAME?</v>
      </c>
      <c r="CB221" s="24" t="e">
        <f ca="1"/>
        <v>#NAME?</v>
      </c>
      <c r="CC221" s="20" t="e">
        <f ca="1"/>
        <v>#NAME?</v>
      </c>
      <c r="CD221" s="20" t="e">
        <f ca="1"/>
        <v>#NAME?</v>
      </c>
    </row>
    <row r="222" spans="2:82">
      <c r="B222" s="27" t="e">
        <f ca="1"/>
        <v>#NAME?</v>
      </c>
      <c r="C222" s="27" t="e">
        <f ca="1"/>
        <v>#NAME?</v>
      </c>
      <c r="D222" s="27" t="e">
        <f ca="1"/>
        <v>#NAME?</v>
      </c>
      <c r="E222" s="20" t="e">
        <f ca="1"/>
        <v>#NAME?</v>
      </c>
      <c r="F222" s="20" t="e">
        <f ca="1"/>
        <v>#NAME?</v>
      </c>
      <c r="BR222" s="26" t="e">
        <f ca="1"/>
        <v>#NAME?</v>
      </c>
      <c r="BS222" s="26" t="e">
        <f ca="1"/>
        <v>#NAME?</v>
      </c>
      <c r="BT222" s="26" t="e">
        <f ca="1"/>
        <v>#NAME?</v>
      </c>
      <c r="BU222" s="26" t="e">
        <f ca="1"/>
        <v>#NAME?</v>
      </c>
      <c r="BV222" s="26" t="e">
        <f ca="1"/>
        <v>#NAME?</v>
      </c>
      <c r="BW222" s="26" t="e">
        <f ca="1"/>
        <v>#NAME?</v>
      </c>
      <c r="CB222" s="24" t="e">
        <f ca="1"/>
        <v>#NAME?</v>
      </c>
      <c r="CC222" s="20" t="e">
        <f ca="1"/>
        <v>#NAME?</v>
      </c>
      <c r="CD222" s="20" t="e">
        <f ca="1"/>
        <v>#NAME?</v>
      </c>
    </row>
    <row r="223" spans="2:82">
      <c r="B223" s="27" t="e">
        <f ca="1"/>
        <v>#NAME?</v>
      </c>
      <c r="C223" s="27" t="e">
        <f ca="1"/>
        <v>#NAME?</v>
      </c>
      <c r="D223" s="27" t="e">
        <f ca="1"/>
        <v>#NAME?</v>
      </c>
      <c r="E223" s="20" t="e">
        <f ca="1"/>
        <v>#NAME?</v>
      </c>
      <c r="F223" s="20" t="e">
        <f ca="1"/>
        <v>#NAME?</v>
      </c>
      <c r="BR223" s="26" t="e">
        <f ca="1"/>
        <v>#NAME?</v>
      </c>
      <c r="BS223" s="26" t="e">
        <f ca="1"/>
        <v>#NAME?</v>
      </c>
      <c r="BT223" s="26" t="e">
        <f ca="1"/>
        <v>#NAME?</v>
      </c>
      <c r="BU223" s="26" t="e">
        <f ca="1"/>
        <v>#NAME?</v>
      </c>
      <c r="BV223" s="26" t="e">
        <f ca="1"/>
        <v>#NAME?</v>
      </c>
      <c r="BW223" s="26" t="e">
        <f ca="1"/>
        <v>#NAME?</v>
      </c>
      <c r="CB223" s="24" t="e">
        <f ca="1"/>
        <v>#NAME?</v>
      </c>
      <c r="CC223" s="20" t="e">
        <f ca="1"/>
        <v>#NAME?</v>
      </c>
      <c r="CD223" s="20" t="e">
        <f ca="1"/>
        <v>#NAME?</v>
      </c>
    </row>
    <row r="224" spans="2:82">
      <c r="B224" s="27" t="e">
        <f ca="1"/>
        <v>#NAME?</v>
      </c>
      <c r="C224" s="27" t="e">
        <f ca="1"/>
        <v>#NAME?</v>
      </c>
      <c r="D224" s="27" t="e">
        <f ca="1"/>
        <v>#NAME?</v>
      </c>
      <c r="E224" s="20" t="e">
        <f ca="1"/>
        <v>#NAME?</v>
      </c>
      <c r="F224" s="20" t="e">
        <f ca="1"/>
        <v>#NAME?</v>
      </c>
      <c r="BR224" s="26" t="e">
        <f ca="1"/>
        <v>#NAME?</v>
      </c>
      <c r="BS224" s="26" t="e">
        <f ca="1"/>
        <v>#NAME?</v>
      </c>
      <c r="BT224" s="26" t="e">
        <f ca="1"/>
        <v>#NAME?</v>
      </c>
      <c r="BU224" s="26" t="e">
        <f ca="1"/>
        <v>#NAME?</v>
      </c>
      <c r="BV224" s="26" t="e">
        <f ca="1"/>
        <v>#NAME?</v>
      </c>
      <c r="BW224" s="26" t="e">
        <f ca="1"/>
        <v>#NAME?</v>
      </c>
      <c r="CB224" s="24" t="e">
        <f ca="1"/>
        <v>#NAME?</v>
      </c>
      <c r="CC224" s="20" t="e">
        <f ca="1"/>
        <v>#NAME?</v>
      </c>
      <c r="CD224" s="20" t="e">
        <f ca="1"/>
        <v>#NAME?</v>
      </c>
    </row>
    <row r="225" spans="2:82">
      <c r="B225" s="27" t="e">
        <f ca="1"/>
        <v>#NAME?</v>
      </c>
      <c r="C225" s="27" t="e">
        <f ca="1"/>
        <v>#NAME?</v>
      </c>
      <c r="D225" s="27" t="e">
        <f ca="1"/>
        <v>#NAME?</v>
      </c>
      <c r="E225" s="20" t="e">
        <f ca="1"/>
        <v>#NAME?</v>
      </c>
      <c r="F225" s="20" t="e">
        <f ca="1"/>
        <v>#NAME?</v>
      </c>
      <c r="BR225" s="26" t="e">
        <f ca="1"/>
        <v>#NAME?</v>
      </c>
      <c r="BS225" s="26" t="e">
        <f ca="1"/>
        <v>#NAME?</v>
      </c>
      <c r="BT225" s="26" t="e">
        <f ca="1"/>
        <v>#NAME?</v>
      </c>
      <c r="BU225" s="26" t="e">
        <f ca="1"/>
        <v>#NAME?</v>
      </c>
      <c r="BV225" s="26" t="e">
        <f ca="1"/>
        <v>#NAME?</v>
      </c>
      <c r="BW225" s="26" t="e">
        <f ca="1"/>
        <v>#NAME?</v>
      </c>
      <c r="CB225" s="24" t="e">
        <f ca="1"/>
        <v>#NAME?</v>
      </c>
      <c r="CC225" s="20" t="e">
        <f ca="1"/>
        <v>#NAME?</v>
      </c>
      <c r="CD225" s="20" t="e">
        <f ca="1"/>
        <v>#NAME?</v>
      </c>
    </row>
    <row r="226" spans="2:82">
      <c r="B226" s="27" t="e">
        <f ca="1"/>
        <v>#NAME?</v>
      </c>
      <c r="C226" s="27" t="e">
        <f ca="1"/>
        <v>#NAME?</v>
      </c>
      <c r="D226" s="27" t="e">
        <f ca="1"/>
        <v>#NAME?</v>
      </c>
      <c r="E226" s="20" t="e">
        <f ca="1"/>
        <v>#NAME?</v>
      </c>
      <c r="F226" s="20" t="e">
        <f ca="1"/>
        <v>#NAME?</v>
      </c>
      <c r="BR226" s="26" t="e">
        <f ca="1"/>
        <v>#NAME?</v>
      </c>
      <c r="BS226" s="26" t="e">
        <f ca="1"/>
        <v>#NAME?</v>
      </c>
      <c r="BT226" s="26" t="e">
        <f ca="1"/>
        <v>#NAME?</v>
      </c>
      <c r="BU226" s="26" t="e">
        <f ca="1"/>
        <v>#NAME?</v>
      </c>
      <c r="BV226" s="26" t="e">
        <f ca="1"/>
        <v>#NAME?</v>
      </c>
      <c r="BW226" s="26" t="e">
        <f ca="1"/>
        <v>#NAME?</v>
      </c>
      <c r="CB226" s="24" t="e">
        <f ca="1"/>
        <v>#NAME?</v>
      </c>
      <c r="CC226" s="20" t="e">
        <f ca="1"/>
        <v>#NAME?</v>
      </c>
      <c r="CD226" s="20" t="e">
        <f ca="1"/>
        <v>#NAME?</v>
      </c>
    </row>
    <row r="227" spans="2:82">
      <c r="B227" s="27" t="e">
        <f ca="1"/>
        <v>#NAME?</v>
      </c>
      <c r="C227" s="27" t="e">
        <f ca="1"/>
        <v>#NAME?</v>
      </c>
      <c r="D227" s="27" t="e">
        <f ca="1"/>
        <v>#NAME?</v>
      </c>
      <c r="E227" s="20" t="e">
        <f ca="1"/>
        <v>#NAME?</v>
      </c>
      <c r="F227" s="20" t="e">
        <f ca="1"/>
        <v>#NAME?</v>
      </c>
      <c r="BR227" s="26" t="e">
        <f ca="1"/>
        <v>#NAME?</v>
      </c>
      <c r="BS227" s="26" t="e">
        <f ca="1"/>
        <v>#NAME?</v>
      </c>
      <c r="BT227" s="26" t="e">
        <f ca="1"/>
        <v>#NAME?</v>
      </c>
      <c r="BU227" s="26" t="e">
        <f ca="1"/>
        <v>#NAME?</v>
      </c>
      <c r="BV227" s="26" t="e">
        <f ca="1"/>
        <v>#NAME?</v>
      </c>
      <c r="BW227" s="26" t="e">
        <f ca="1"/>
        <v>#NAME?</v>
      </c>
      <c r="CB227" s="24" t="e">
        <f ca="1"/>
        <v>#NAME?</v>
      </c>
      <c r="CC227" s="20" t="e">
        <f ca="1"/>
        <v>#NAME?</v>
      </c>
      <c r="CD227" s="20" t="e">
        <f ca="1"/>
        <v>#NAME?</v>
      </c>
    </row>
    <row r="228" spans="2:82">
      <c r="B228" s="27" t="e">
        <f ca="1"/>
        <v>#NAME?</v>
      </c>
      <c r="C228" s="27" t="e">
        <f ca="1"/>
        <v>#NAME?</v>
      </c>
      <c r="D228" s="27" t="e">
        <f ca="1"/>
        <v>#NAME?</v>
      </c>
      <c r="E228" s="20" t="e">
        <f ca="1"/>
        <v>#NAME?</v>
      </c>
      <c r="F228" s="20" t="e">
        <f ca="1"/>
        <v>#NAME?</v>
      </c>
      <c r="BR228" s="26" t="e">
        <f ca="1"/>
        <v>#NAME?</v>
      </c>
      <c r="BS228" s="26" t="e">
        <f ca="1"/>
        <v>#NAME?</v>
      </c>
      <c r="BT228" s="26" t="e">
        <f ca="1"/>
        <v>#NAME?</v>
      </c>
      <c r="BU228" s="26" t="e">
        <f ca="1"/>
        <v>#NAME?</v>
      </c>
      <c r="BV228" s="26" t="e">
        <f ca="1"/>
        <v>#NAME?</v>
      </c>
      <c r="BW228" s="26" t="e">
        <f ca="1"/>
        <v>#NAME?</v>
      </c>
      <c r="CB228" s="24" t="e">
        <f ca="1"/>
        <v>#NAME?</v>
      </c>
      <c r="CC228" s="20" t="e">
        <f ca="1"/>
        <v>#NAME?</v>
      </c>
      <c r="CD228" s="20" t="e">
        <f ca="1"/>
        <v>#NAME?</v>
      </c>
    </row>
    <row r="229" spans="2:82">
      <c r="B229" s="27" t="e">
        <f ca="1"/>
        <v>#NAME?</v>
      </c>
      <c r="C229" s="27" t="e">
        <f ca="1"/>
        <v>#NAME?</v>
      </c>
      <c r="D229" s="27" t="e">
        <f ca="1"/>
        <v>#NAME?</v>
      </c>
      <c r="E229" s="20" t="e">
        <f ca="1"/>
        <v>#NAME?</v>
      </c>
      <c r="F229" s="20" t="e">
        <f ca="1"/>
        <v>#NAME?</v>
      </c>
      <c r="BR229" s="26" t="e">
        <f ca="1"/>
        <v>#NAME?</v>
      </c>
      <c r="BS229" s="26" t="e">
        <f ca="1"/>
        <v>#NAME?</v>
      </c>
      <c r="BT229" s="26" t="e">
        <f ca="1"/>
        <v>#NAME?</v>
      </c>
      <c r="BU229" s="26" t="e">
        <f ca="1"/>
        <v>#NAME?</v>
      </c>
      <c r="BV229" s="26" t="e">
        <f ca="1"/>
        <v>#NAME?</v>
      </c>
      <c r="BW229" s="26" t="e">
        <f ca="1"/>
        <v>#NAME?</v>
      </c>
      <c r="CB229" s="24" t="e">
        <f ca="1"/>
        <v>#NAME?</v>
      </c>
      <c r="CC229" s="20" t="e">
        <f ca="1"/>
        <v>#NAME?</v>
      </c>
      <c r="CD229" s="20" t="e">
        <f ca="1"/>
        <v>#NAME?</v>
      </c>
    </row>
    <row r="230" spans="2:82">
      <c r="B230" s="27" t="e">
        <f ca="1"/>
        <v>#NAME?</v>
      </c>
      <c r="C230" s="27" t="e">
        <f ca="1"/>
        <v>#NAME?</v>
      </c>
      <c r="D230" s="27" t="e">
        <f ca="1"/>
        <v>#NAME?</v>
      </c>
      <c r="E230" s="20" t="e">
        <f ca="1"/>
        <v>#NAME?</v>
      </c>
      <c r="F230" s="20" t="e">
        <f ca="1"/>
        <v>#NAME?</v>
      </c>
      <c r="BR230" s="26" t="e">
        <f ca="1"/>
        <v>#NAME?</v>
      </c>
      <c r="BS230" s="26" t="e">
        <f ca="1"/>
        <v>#NAME?</v>
      </c>
      <c r="BT230" s="26" t="e">
        <f ca="1"/>
        <v>#NAME?</v>
      </c>
      <c r="BU230" s="26" t="e">
        <f ca="1"/>
        <v>#NAME?</v>
      </c>
      <c r="BV230" s="26" t="e">
        <f ca="1"/>
        <v>#NAME?</v>
      </c>
      <c r="BW230" s="26" t="e">
        <f ca="1"/>
        <v>#NAME?</v>
      </c>
      <c r="CB230" s="24" t="e">
        <f ca="1"/>
        <v>#NAME?</v>
      </c>
      <c r="CC230" s="20" t="e">
        <f ca="1"/>
        <v>#NAME?</v>
      </c>
      <c r="CD230" s="20" t="e">
        <f ca="1"/>
        <v>#NAME?</v>
      </c>
    </row>
    <row r="231" spans="2:82">
      <c r="B231" s="27" t="e">
        <f ca="1"/>
        <v>#NAME?</v>
      </c>
      <c r="C231" s="27" t="e">
        <f ca="1"/>
        <v>#NAME?</v>
      </c>
      <c r="D231" s="27" t="e">
        <f ca="1"/>
        <v>#NAME?</v>
      </c>
      <c r="E231" s="20" t="e">
        <f ca="1"/>
        <v>#NAME?</v>
      </c>
      <c r="F231" s="20" t="e">
        <f ca="1"/>
        <v>#NAME?</v>
      </c>
      <c r="BR231" s="26" t="e">
        <f ca="1"/>
        <v>#NAME?</v>
      </c>
      <c r="BS231" s="26" t="e">
        <f ca="1"/>
        <v>#NAME?</v>
      </c>
      <c r="BT231" s="26" t="e">
        <f ca="1"/>
        <v>#NAME?</v>
      </c>
      <c r="BU231" s="26" t="e">
        <f ca="1"/>
        <v>#NAME?</v>
      </c>
      <c r="BV231" s="26" t="e">
        <f ca="1"/>
        <v>#NAME?</v>
      </c>
      <c r="BW231" s="26" t="e">
        <f ca="1"/>
        <v>#NAME?</v>
      </c>
      <c r="CB231" s="24" t="e">
        <f ca="1"/>
        <v>#NAME?</v>
      </c>
      <c r="CC231" s="20" t="e">
        <f ca="1"/>
        <v>#NAME?</v>
      </c>
      <c r="CD231" s="20" t="e">
        <f ca="1"/>
        <v>#NAME?</v>
      </c>
    </row>
    <row r="232" spans="2:82">
      <c r="B232" s="27" t="e">
        <f ca="1"/>
        <v>#NAME?</v>
      </c>
      <c r="C232" s="27" t="e">
        <f ca="1"/>
        <v>#NAME?</v>
      </c>
      <c r="D232" s="27" t="e">
        <f ca="1"/>
        <v>#NAME?</v>
      </c>
      <c r="E232" s="20" t="e">
        <f ca="1"/>
        <v>#NAME?</v>
      </c>
      <c r="F232" s="20" t="e">
        <f ca="1"/>
        <v>#NAME?</v>
      </c>
      <c r="BR232" s="26" t="e">
        <f ca="1"/>
        <v>#NAME?</v>
      </c>
      <c r="BS232" s="26" t="e">
        <f ca="1"/>
        <v>#NAME?</v>
      </c>
      <c r="BT232" s="26" t="e">
        <f ca="1"/>
        <v>#NAME?</v>
      </c>
      <c r="BU232" s="26" t="e">
        <f ca="1"/>
        <v>#NAME?</v>
      </c>
      <c r="BV232" s="26" t="e">
        <f ca="1"/>
        <v>#NAME?</v>
      </c>
      <c r="BW232" s="26" t="e">
        <f ca="1"/>
        <v>#NAME?</v>
      </c>
      <c r="CB232" s="24" t="e">
        <f ca="1"/>
        <v>#NAME?</v>
      </c>
      <c r="CC232" s="20" t="e">
        <f ca="1"/>
        <v>#NAME?</v>
      </c>
      <c r="CD232" s="20" t="e">
        <f ca="1"/>
        <v>#NAME?</v>
      </c>
    </row>
    <row r="233" spans="2:82">
      <c r="B233" s="27" t="e">
        <f ca="1"/>
        <v>#NAME?</v>
      </c>
      <c r="C233" s="27" t="e">
        <f ca="1"/>
        <v>#NAME?</v>
      </c>
      <c r="D233" s="27" t="e">
        <f ca="1"/>
        <v>#NAME?</v>
      </c>
      <c r="E233" s="20" t="e">
        <f ca="1"/>
        <v>#NAME?</v>
      </c>
      <c r="F233" s="20" t="e">
        <f ca="1"/>
        <v>#NAME?</v>
      </c>
      <c r="BR233" s="26" t="e">
        <f ca="1"/>
        <v>#NAME?</v>
      </c>
      <c r="BS233" s="26" t="e">
        <f ca="1"/>
        <v>#NAME?</v>
      </c>
      <c r="BT233" s="26" t="e">
        <f ca="1"/>
        <v>#NAME?</v>
      </c>
      <c r="BU233" s="26" t="e">
        <f ca="1"/>
        <v>#NAME?</v>
      </c>
      <c r="BV233" s="26" t="e">
        <f ca="1"/>
        <v>#NAME?</v>
      </c>
      <c r="BW233" s="26" t="e">
        <f ca="1"/>
        <v>#NAME?</v>
      </c>
      <c r="CB233" s="24" t="e">
        <f ca="1"/>
        <v>#NAME?</v>
      </c>
      <c r="CC233" s="20" t="e">
        <f ca="1"/>
        <v>#NAME?</v>
      </c>
      <c r="CD233" s="20" t="e">
        <f ca="1"/>
        <v>#NAME?</v>
      </c>
    </row>
    <row r="234" spans="2:82">
      <c r="B234" s="27" t="e">
        <f ca="1"/>
        <v>#NAME?</v>
      </c>
      <c r="C234" s="27" t="e">
        <f ca="1"/>
        <v>#NAME?</v>
      </c>
      <c r="D234" s="27" t="e">
        <f ca="1"/>
        <v>#NAME?</v>
      </c>
      <c r="E234" s="20" t="e">
        <f ca="1"/>
        <v>#NAME?</v>
      </c>
      <c r="F234" s="20" t="e">
        <f ca="1"/>
        <v>#NAME?</v>
      </c>
      <c r="BR234" s="26" t="e">
        <f ca="1"/>
        <v>#NAME?</v>
      </c>
      <c r="BS234" s="26" t="e">
        <f ca="1"/>
        <v>#NAME?</v>
      </c>
      <c r="BT234" s="26" t="e">
        <f ca="1"/>
        <v>#NAME?</v>
      </c>
      <c r="BU234" s="26" t="e">
        <f ca="1"/>
        <v>#NAME?</v>
      </c>
      <c r="BV234" s="26" t="e">
        <f ca="1"/>
        <v>#NAME?</v>
      </c>
      <c r="BW234" s="26" t="e">
        <f ca="1"/>
        <v>#NAME?</v>
      </c>
      <c r="CB234" s="24" t="e">
        <f ca="1"/>
        <v>#NAME?</v>
      </c>
      <c r="CC234" s="20" t="e">
        <f ca="1"/>
        <v>#NAME?</v>
      </c>
      <c r="CD234" s="20" t="e">
        <f ca="1"/>
        <v>#NAME?</v>
      </c>
    </row>
    <row r="235" spans="2:82">
      <c r="B235" s="27" t="e">
        <f ca="1"/>
        <v>#NAME?</v>
      </c>
      <c r="C235" s="27" t="e">
        <f ca="1"/>
        <v>#NAME?</v>
      </c>
      <c r="D235" s="27" t="e">
        <f ca="1"/>
        <v>#NAME?</v>
      </c>
      <c r="E235" s="20" t="e">
        <f ca="1"/>
        <v>#NAME?</v>
      </c>
      <c r="F235" s="20" t="e">
        <f ca="1"/>
        <v>#NAME?</v>
      </c>
      <c r="BR235" s="26" t="e">
        <f ca="1"/>
        <v>#NAME?</v>
      </c>
      <c r="BS235" s="26" t="e">
        <f ca="1"/>
        <v>#NAME?</v>
      </c>
      <c r="BT235" s="26" t="e">
        <f ca="1"/>
        <v>#NAME?</v>
      </c>
      <c r="BU235" s="26" t="e">
        <f ca="1"/>
        <v>#NAME?</v>
      </c>
      <c r="BV235" s="26" t="e">
        <f ca="1"/>
        <v>#NAME?</v>
      </c>
      <c r="BW235" s="26" t="e">
        <f ca="1"/>
        <v>#NAME?</v>
      </c>
      <c r="CB235" s="24" t="e">
        <f ca="1"/>
        <v>#NAME?</v>
      </c>
      <c r="CC235" s="20" t="e">
        <f ca="1"/>
        <v>#NAME?</v>
      </c>
      <c r="CD235" s="20" t="e">
        <f ca="1"/>
        <v>#NAME?</v>
      </c>
    </row>
    <row r="236" spans="2:82">
      <c r="B236" s="27" t="e">
        <f ca="1"/>
        <v>#NAME?</v>
      </c>
      <c r="C236" s="27" t="e">
        <f ca="1"/>
        <v>#NAME?</v>
      </c>
      <c r="D236" s="27" t="e">
        <f ca="1"/>
        <v>#NAME?</v>
      </c>
      <c r="E236" s="20" t="e">
        <f ca="1"/>
        <v>#NAME?</v>
      </c>
      <c r="F236" s="20" t="e">
        <f ca="1"/>
        <v>#NAME?</v>
      </c>
      <c r="BR236" s="26" t="e">
        <f ca="1"/>
        <v>#NAME?</v>
      </c>
      <c r="BS236" s="26" t="e">
        <f ca="1"/>
        <v>#NAME?</v>
      </c>
      <c r="BT236" s="26" t="e">
        <f ca="1"/>
        <v>#NAME?</v>
      </c>
      <c r="BU236" s="26" t="e">
        <f ca="1"/>
        <v>#NAME?</v>
      </c>
      <c r="BV236" s="26" t="e">
        <f ca="1"/>
        <v>#NAME?</v>
      </c>
      <c r="BW236" s="26" t="e">
        <f ca="1"/>
        <v>#NAME?</v>
      </c>
      <c r="CB236" s="24" t="e">
        <f ca="1"/>
        <v>#NAME?</v>
      </c>
      <c r="CC236" s="20" t="e">
        <f ca="1"/>
        <v>#NAME?</v>
      </c>
      <c r="CD236" s="20" t="e">
        <f ca="1"/>
        <v>#NAME?</v>
      </c>
    </row>
    <row r="237" spans="2:82">
      <c r="B237" s="27" t="e">
        <f ca="1"/>
        <v>#NAME?</v>
      </c>
      <c r="C237" s="27" t="e">
        <f ca="1"/>
        <v>#NAME?</v>
      </c>
      <c r="D237" s="27" t="e">
        <f ca="1"/>
        <v>#NAME?</v>
      </c>
      <c r="E237" s="20" t="e">
        <f ca="1"/>
        <v>#NAME?</v>
      </c>
      <c r="F237" s="20" t="e">
        <f ca="1"/>
        <v>#NAME?</v>
      </c>
      <c r="BR237" s="26" t="e">
        <f ca="1"/>
        <v>#NAME?</v>
      </c>
      <c r="BS237" s="26" t="e">
        <f ca="1"/>
        <v>#NAME?</v>
      </c>
      <c r="BT237" s="26" t="e">
        <f ca="1"/>
        <v>#NAME?</v>
      </c>
      <c r="BU237" s="26" t="e">
        <f ca="1"/>
        <v>#NAME?</v>
      </c>
      <c r="BV237" s="26" t="e">
        <f ca="1"/>
        <v>#NAME?</v>
      </c>
      <c r="BW237" s="26" t="e">
        <f ca="1"/>
        <v>#NAME?</v>
      </c>
      <c r="CB237" s="24" t="e">
        <f ca="1"/>
        <v>#NAME?</v>
      </c>
      <c r="CC237" s="20" t="e">
        <f ca="1"/>
        <v>#NAME?</v>
      </c>
      <c r="CD237" s="20" t="e">
        <f ca="1"/>
        <v>#NAME?</v>
      </c>
    </row>
    <row r="238" spans="2:82">
      <c r="B238" s="27" t="e">
        <f ca="1"/>
        <v>#NAME?</v>
      </c>
      <c r="C238" s="27" t="e">
        <f ca="1"/>
        <v>#NAME?</v>
      </c>
      <c r="D238" s="27" t="e">
        <f ca="1"/>
        <v>#NAME?</v>
      </c>
      <c r="E238" s="20" t="e">
        <f ca="1"/>
        <v>#NAME?</v>
      </c>
      <c r="F238" s="20" t="e">
        <f ca="1"/>
        <v>#NAME?</v>
      </c>
      <c r="BR238" s="26" t="e">
        <f ca="1"/>
        <v>#NAME?</v>
      </c>
      <c r="BS238" s="26" t="e">
        <f ca="1"/>
        <v>#NAME?</v>
      </c>
      <c r="BT238" s="26" t="e">
        <f ca="1"/>
        <v>#NAME?</v>
      </c>
      <c r="BU238" s="26" t="e">
        <f ca="1"/>
        <v>#NAME?</v>
      </c>
      <c r="BV238" s="26" t="e">
        <f ca="1"/>
        <v>#NAME?</v>
      </c>
      <c r="BW238" s="26" t="e">
        <f ca="1"/>
        <v>#NAME?</v>
      </c>
      <c r="CB238" s="24" t="e">
        <f ca="1"/>
        <v>#NAME?</v>
      </c>
      <c r="CC238" s="20" t="e">
        <f ca="1"/>
        <v>#NAME?</v>
      </c>
      <c r="CD238" s="20" t="e">
        <f ca="1"/>
        <v>#NAME?</v>
      </c>
    </row>
    <row r="239" spans="2:82">
      <c r="B239" s="27" t="e">
        <f ca="1"/>
        <v>#NAME?</v>
      </c>
      <c r="C239" s="27" t="e">
        <f ca="1"/>
        <v>#NAME?</v>
      </c>
      <c r="D239" s="27" t="e">
        <f ca="1"/>
        <v>#NAME?</v>
      </c>
      <c r="E239" s="20" t="e">
        <f ca="1"/>
        <v>#NAME?</v>
      </c>
      <c r="F239" s="20" t="e">
        <f ca="1"/>
        <v>#NAME?</v>
      </c>
      <c r="BR239" s="26" t="e">
        <f ca="1"/>
        <v>#NAME?</v>
      </c>
      <c r="BS239" s="26" t="e">
        <f ca="1"/>
        <v>#NAME?</v>
      </c>
      <c r="BT239" s="26" t="e">
        <f ca="1"/>
        <v>#NAME?</v>
      </c>
      <c r="BU239" s="26" t="e">
        <f ca="1"/>
        <v>#NAME?</v>
      </c>
      <c r="BV239" s="26" t="e">
        <f ca="1"/>
        <v>#NAME?</v>
      </c>
      <c r="BW239" s="26" t="e">
        <f ca="1"/>
        <v>#NAME?</v>
      </c>
      <c r="CB239" s="24" t="e">
        <f ca="1"/>
        <v>#NAME?</v>
      </c>
      <c r="CC239" s="20" t="e">
        <f ca="1"/>
        <v>#NAME?</v>
      </c>
      <c r="CD239" s="20" t="e">
        <f ca="1"/>
        <v>#NAME?</v>
      </c>
    </row>
    <row r="240" spans="2:82">
      <c r="B240" s="27" t="e">
        <f ca="1"/>
        <v>#NAME?</v>
      </c>
      <c r="C240" s="27" t="e">
        <f ca="1"/>
        <v>#NAME?</v>
      </c>
      <c r="D240" s="27" t="e">
        <f ca="1"/>
        <v>#NAME?</v>
      </c>
      <c r="E240" s="20" t="e">
        <f ca="1"/>
        <v>#NAME?</v>
      </c>
      <c r="F240" s="20" t="e">
        <f ca="1"/>
        <v>#NAME?</v>
      </c>
      <c r="BR240" s="26" t="e">
        <f ca="1"/>
        <v>#NAME?</v>
      </c>
      <c r="BS240" s="26" t="e">
        <f ca="1"/>
        <v>#NAME?</v>
      </c>
      <c r="BT240" s="26" t="e">
        <f ca="1"/>
        <v>#NAME?</v>
      </c>
      <c r="BU240" s="26" t="e">
        <f ca="1"/>
        <v>#NAME?</v>
      </c>
      <c r="BV240" s="26" t="e">
        <f ca="1"/>
        <v>#NAME?</v>
      </c>
      <c r="BW240" s="26" t="e">
        <f ca="1"/>
        <v>#NAME?</v>
      </c>
      <c r="CB240" s="24" t="e">
        <f ca="1"/>
        <v>#NAME?</v>
      </c>
      <c r="CC240" s="20" t="e">
        <f ca="1"/>
        <v>#NAME?</v>
      </c>
      <c r="CD240" s="20" t="e">
        <f ca="1"/>
        <v>#NAME?</v>
      </c>
    </row>
    <row r="241" spans="2:82">
      <c r="B241" s="27" t="e">
        <f ca="1"/>
        <v>#NAME?</v>
      </c>
      <c r="C241" s="27" t="e">
        <f ca="1"/>
        <v>#NAME?</v>
      </c>
      <c r="D241" s="27" t="e">
        <f ca="1"/>
        <v>#NAME?</v>
      </c>
      <c r="E241" s="20" t="e">
        <f ca="1"/>
        <v>#NAME?</v>
      </c>
      <c r="F241" s="20" t="e">
        <f ca="1"/>
        <v>#NAME?</v>
      </c>
      <c r="BR241" s="26" t="e">
        <f ca="1"/>
        <v>#NAME?</v>
      </c>
      <c r="BS241" s="26" t="e">
        <f ca="1"/>
        <v>#NAME?</v>
      </c>
      <c r="BT241" s="26" t="e">
        <f ca="1"/>
        <v>#NAME?</v>
      </c>
      <c r="BU241" s="26" t="e">
        <f ca="1"/>
        <v>#NAME?</v>
      </c>
      <c r="BV241" s="26" t="e">
        <f ca="1"/>
        <v>#NAME?</v>
      </c>
      <c r="BW241" s="26" t="e">
        <f ca="1"/>
        <v>#NAME?</v>
      </c>
      <c r="CB241" s="24" t="e">
        <f ca="1"/>
        <v>#NAME?</v>
      </c>
      <c r="CC241" s="20" t="e">
        <f ca="1"/>
        <v>#NAME?</v>
      </c>
      <c r="CD241" s="20" t="e">
        <f ca="1"/>
        <v>#NAME?</v>
      </c>
    </row>
    <row r="242" spans="2:82">
      <c r="B242" s="27" t="e">
        <f ca="1"/>
        <v>#NAME?</v>
      </c>
      <c r="C242" s="27" t="e">
        <f ca="1"/>
        <v>#NAME?</v>
      </c>
      <c r="D242" s="27" t="e">
        <f ca="1"/>
        <v>#NAME?</v>
      </c>
      <c r="E242" s="20" t="e">
        <f ca="1"/>
        <v>#NAME?</v>
      </c>
      <c r="F242" s="20" t="e">
        <f ca="1"/>
        <v>#NAME?</v>
      </c>
      <c r="BR242" s="26" t="e">
        <f ca="1"/>
        <v>#NAME?</v>
      </c>
      <c r="BS242" s="26" t="e">
        <f ca="1"/>
        <v>#NAME?</v>
      </c>
      <c r="BT242" s="26" t="e">
        <f ca="1"/>
        <v>#NAME?</v>
      </c>
      <c r="BU242" s="26" t="e">
        <f ca="1"/>
        <v>#NAME?</v>
      </c>
      <c r="BV242" s="26" t="e">
        <f ca="1"/>
        <v>#NAME?</v>
      </c>
      <c r="BW242" s="26" t="e">
        <f ca="1"/>
        <v>#NAME?</v>
      </c>
      <c r="CB242" s="24" t="e">
        <f ca="1"/>
        <v>#NAME?</v>
      </c>
      <c r="CC242" s="20" t="e">
        <f ca="1"/>
        <v>#NAME?</v>
      </c>
      <c r="CD242" s="20" t="e">
        <f ca="1"/>
        <v>#NAME?</v>
      </c>
    </row>
    <row r="243" spans="2:82">
      <c r="B243" s="27" t="e">
        <f ca="1"/>
        <v>#NAME?</v>
      </c>
      <c r="C243" s="27" t="e">
        <f ca="1"/>
        <v>#NAME?</v>
      </c>
      <c r="D243" s="27" t="e">
        <f ca="1"/>
        <v>#NAME?</v>
      </c>
      <c r="E243" s="20" t="e">
        <f ca="1"/>
        <v>#NAME?</v>
      </c>
      <c r="F243" s="20" t="e">
        <f ca="1"/>
        <v>#NAME?</v>
      </c>
      <c r="BR243" s="26" t="e">
        <f ca="1"/>
        <v>#NAME?</v>
      </c>
      <c r="BS243" s="26" t="e">
        <f ca="1"/>
        <v>#NAME?</v>
      </c>
      <c r="BT243" s="26" t="e">
        <f ca="1"/>
        <v>#NAME?</v>
      </c>
      <c r="BU243" s="26" t="e">
        <f ca="1"/>
        <v>#NAME?</v>
      </c>
      <c r="BV243" s="26" t="e">
        <f ca="1"/>
        <v>#NAME?</v>
      </c>
      <c r="BW243" s="26" t="e">
        <f ca="1"/>
        <v>#NAME?</v>
      </c>
      <c r="CB243" s="24" t="e">
        <f ca="1"/>
        <v>#NAME?</v>
      </c>
      <c r="CC243" s="20" t="e">
        <f ca="1"/>
        <v>#NAME?</v>
      </c>
      <c r="CD243" s="20" t="e">
        <f ca="1"/>
        <v>#NAME?</v>
      </c>
    </row>
    <row r="244" spans="2:82">
      <c r="B244" s="27" t="e">
        <f ca="1"/>
        <v>#NAME?</v>
      </c>
      <c r="C244" s="27" t="e">
        <f ca="1"/>
        <v>#NAME?</v>
      </c>
      <c r="D244" s="27" t="e">
        <f ca="1"/>
        <v>#NAME?</v>
      </c>
      <c r="E244" s="20" t="e">
        <f ca="1"/>
        <v>#NAME?</v>
      </c>
      <c r="F244" s="20" t="e">
        <f ca="1"/>
        <v>#NAME?</v>
      </c>
      <c r="BR244" s="26" t="e">
        <f ca="1"/>
        <v>#NAME?</v>
      </c>
      <c r="BS244" s="26" t="e">
        <f ca="1"/>
        <v>#NAME?</v>
      </c>
      <c r="BT244" s="26" t="e">
        <f ca="1"/>
        <v>#NAME?</v>
      </c>
      <c r="BU244" s="26" t="e">
        <f ca="1"/>
        <v>#NAME?</v>
      </c>
      <c r="BV244" s="26" t="e">
        <f ca="1"/>
        <v>#NAME?</v>
      </c>
      <c r="BW244" s="26" t="e">
        <f ca="1"/>
        <v>#NAME?</v>
      </c>
      <c r="CB244" s="24" t="e">
        <f ca="1"/>
        <v>#NAME?</v>
      </c>
      <c r="CC244" s="20" t="e">
        <f ca="1"/>
        <v>#NAME?</v>
      </c>
      <c r="CD244" s="20" t="e">
        <f ca="1"/>
        <v>#NAME?</v>
      </c>
    </row>
    <row r="245" spans="2:82">
      <c r="B245" s="27" t="e">
        <f ca="1"/>
        <v>#NAME?</v>
      </c>
      <c r="C245" s="27" t="e">
        <f ca="1"/>
        <v>#NAME?</v>
      </c>
      <c r="D245" s="27" t="e">
        <f ca="1"/>
        <v>#NAME?</v>
      </c>
      <c r="E245" s="20" t="e">
        <f ca="1"/>
        <v>#NAME?</v>
      </c>
      <c r="F245" s="20" t="e">
        <f ca="1"/>
        <v>#NAME?</v>
      </c>
      <c r="BR245" s="26" t="e">
        <f ca="1"/>
        <v>#NAME?</v>
      </c>
      <c r="BS245" s="26" t="e">
        <f ca="1"/>
        <v>#NAME?</v>
      </c>
      <c r="BT245" s="26" t="e">
        <f ca="1"/>
        <v>#NAME?</v>
      </c>
      <c r="BU245" s="26" t="e">
        <f ca="1"/>
        <v>#NAME?</v>
      </c>
      <c r="BV245" s="26" t="e">
        <f ca="1"/>
        <v>#NAME?</v>
      </c>
      <c r="BW245" s="26" t="e">
        <f ca="1"/>
        <v>#NAME?</v>
      </c>
      <c r="CB245" s="24" t="e">
        <f ca="1"/>
        <v>#NAME?</v>
      </c>
      <c r="CC245" s="20" t="e">
        <f ca="1"/>
        <v>#NAME?</v>
      </c>
      <c r="CD245" s="20" t="e">
        <f ca="1"/>
        <v>#NAME?</v>
      </c>
    </row>
    <row r="246" spans="2:82">
      <c r="B246" s="27" t="e">
        <f ca="1"/>
        <v>#NAME?</v>
      </c>
      <c r="C246" s="27" t="e">
        <f ca="1"/>
        <v>#NAME?</v>
      </c>
      <c r="D246" s="27" t="e">
        <f ca="1"/>
        <v>#NAME?</v>
      </c>
      <c r="E246" s="20" t="e">
        <f ca="1"/>
        <v>#NAME?</v>
      </c>
      <c r="F246" s="20" t="e">
        <f ca="1"/>
        <v>#NAME?</v>
      </c>
      <c r="BR246" s="26" t="e">
        <f ca="1"/>
        <v>#NAME?</v>
      </c>
      <c r="BS246" s="26" t="e">
        <f ca="1"/>
        <v>#NAME?</v>
      </c>
      <c r="BT246" s="26" t="e">
        <f ca="1"/>
        <v>#NAME?</v>
      </c>
      <c r="BU246" s="26" t="e">
        <f ca="1"/>
        <v>#NAME?</v>
      </c>
      <c r="BV246" s="26" t="e">
        <f ca="1"/>
        <v>#NAME?</v>
      </c>
      <c r="BW246" s="26" t="e">
        <f ca="1"/>
        <v>#NAME?</v>
      </c>
      <c r="CB246" s="24" t="e">
        <f ca="1"/>
        <v>#NAME?</v>
      </c>
      <c r="CC246" s="20" t="e">
        <f ca="1"/>
        <v>#NAME?</v>
      </c>
      <c r="CD246" s="20" t="e">
        <f ca="1"/>
        <v>#NAME?</v>
      </c>
    </row>
    <row r="247" spans="2:82">
      <c r="B247" s="27" t="e">
        <f ca="1"/>
        <v>#NAME?</v>
      </c>
      <c r="C247" s="27" t="e">
        <f ca="1"/>
        <v>#NAME?</v>
      </c>
      <c r="D247" s="27" t="e">
        <f ca="1"/>
        <v>#NAME?</v>
      </c>
      <c r="E247" s="20" t="e">
        <f ca="1"/>
        <v>#NAME?</v>
      </c>
      <c r="F247" s="20" t="e">
        <f ca="1"/>
        <v>#NAME?</v>
      </c>
      <c r="BR247" s="26" t="e">
        <f ca="1"/>
        <v>#NAME?</v>
      </c>
      <c r="BS247" s="26" t="e">
        <f ca="1"/>
        <v>#NAME?</v>
      </c>
      <c r="BT247" s="26" t="e">
        <f ca="1"/>
        <v>#NAME?</v>
      </c>
      <c r="BU247" s="26" t="e">
        <f ca="1"/>
        <v>#NAME?</v>
      </c>
      <c r="BV247" s="26" t="e">
        <f ca="1"/>
        <v>#NAME?</v>
      </c>
      <c r="BW247" s="26" t="e">
        <f ca="1"/>
        <v>#NAME?</v>
      </c>
      <c r="CB247" s="24" t="e">
        <f ca="1"/>
        <v>#NAME?</v>
      </c>
      <c r="CC247" s="20" t="e">
        <f ca="1"/>
        <v>#NAME?</v>
      </c>
      <c r="CD247" s="20" t="e">
        <f ca="1"/>
        <v>#NAME?</v>
      </c>
    </row>
    <row r="248" spans="2:82">
      <c r="B248" s="27" t="e">
        <f ca="1"/>
        <v>#NAME?</v>
      </c>
      <c r="C248" s="27" t="e">
        <f ca="1"/>
        <v>#NAME?</v>
      </c>
      <c r="D248" s="27" t="e">
        <f ca="1"/>
        <v>#NAME?</v>
      </c>
      <c r="E248" s="20" t="e">
        <f ca="1"/>
        <v>#NAME?</v>
      </c>
      <c r="F248" s="20" t="e">
        <f ca="1"/>
        <v>#NAME?</v>
      </c>
      <c r="BR248" s="26" t="e">
        <f ca="1"/>
        <v>#NAME?</v>
      </c>
      <c r="BS248" s="26" t="e">
        <f ca="1"/>
        <v>#NAME?</v>
      </c>
      <c r="BT248" s="26" t="e">
        <f ca="1"/>
        <v>#NAME?</v>
      </c>
      <c r="BU248" s="26" t="e">
        <f ca="1"/>
        <v>#NAME?</v>
      </c>
      <c r="BV248" s="26" t="e">
        <f ca="1"/>
        <v>#NAME?</v>
      </c>
      <c r="BW248" s="26" t="e">
        <f ca="1"/>
        <v>#NAME?</v>
      </c>
      <c r="CB248" s="24" t="e">
        <f ca="1"/>
        <v>#NAME?</v>
      </c>
      <c r="CC248" s="20" t="e">
        <f ca="1"/>
        <v>#NAME?</v>
      </c>
      <c r="CD248" s="20" t="e">
        <f ca="1"/>
        <v>#NAME?</v>
      </c>
    </row>
    <row r="249" spans="2:82">
      <c r="B249" s="27" t="e">
        <f ca="1"/>
        <v>#NAME?</v>
      </c>
      <c r="C249" s="27" t="e">
        <f ca="1"/>
        <v>#NAME?</v>
      </c>
      <c r="D249" s="27" t="e">
        <f ca="1"/>
        <v>#NAME?</v>
      </c>
      <c r="E249" s="20" t="e">
        <f ca="1"/>
        <v>#NAME?</v>
      </c>
      <c r="F249" s="20" t="e">
        <f ca="1"/>
        <v>#NAME?</v>
      </c>
      <c r="BR249" s="26" t="e">
        <f ca="1"/>
        <v>#NAME?</v>
      </c>
      <c r="BS249" s="26" t="e">
        <f ca="1"/>
        <v>#NAME?</v>
      </c>
      <c r="BT249" s="26" t="e">
        <f ca="1"/>
        <v>#NAME?</v>
      </c>
      <c r="BU249" s="26" t="e">
        <f ca="1"/>
        <v>#NAME?</v>
      </c>
      <c r="BV249" s="26" t="e">
        <f ca="1"/>
        <v>#NAME?</v>
      </c>
      <c r="BW249" s="26" t="e">
        <f ca="1"/>
        <v>#NAME?</v>
      </c>
      <c r="CB249" s="24" t="e">
        <f ca="1"/>
        <v>#NAME?</v>
      </c>
      <c r="CC249" s="20" t="e">
        <f ca="1"/>
        <v>#NAME?</v>
      </c>
      <c r="CD249" s="20" t="e">
        <f ca="1"/>
        <v>#NAME?</v>
      </c>
    </row>
    <row r="250" spans="2:82">
      <c r="B250" s="27" t="e">
        <f ca="1"/>
        <v>#NAME?</v>
      </c>
      <c r="C250" s="27" t="e">
        <f ca="1"/>
        <v>#NAME?</v>
      </c>
      <c r="D250" s="27" t="e">
        <f ca="1"/>
        <v>#NAME?</v>
      </c>
      <c r="E250" s="20" t="e">
        <f ca="1"/>
        <v>#NAME?</v>
      </c>
      <c r="F250" s="20" t="e">
        <f ca="1"/>
        <v>#NAME?</v>
      </c>
      <c r="BR250" s="26" t="e">
        <f ca="1"/>
        <v>#NAME?</v>
      </c>
      <c r="BS250" s="26" t="e">
        <f ca="1"/>
        <v>#NAME?</v>
      </c>
      <c r="BT250" s="26" t="e">
        <f ca="1"/>
        <v>#NAME?</v>
      </c>
      <c r="BU250" s="26" t="e">
        <f ca="1"/>
        <v>#NAME?</v>
      </c>
      <c r="BV250" s="26" t="e">
        <f ca="1"/>
        <v>#NAME?</v>
      </c>
      <c r="BW250" s="26" t="e">
        <f ca="1"/>
        <v>#NAME?</v>
      </c>
      <c r="CB250" s="24" t="e">
        <f ca="1"/>
        <v>#NAME?</v>
      </c>
      <c r="CC250" s="20" t="e">
        <f ca="1"/>
        <v>#NAME?</v>
      </c>
      <c r="CD250" s="20" t="e">
        <f ca="1"/>
        <v>#NAME?</v>
      </c>
    </row>
    <row r="251" spans="2:82">
      <c r="B251" s="27" t="e">
        <f ca="1"/>
        <v>#NAME?</v>
      </c>
      <c r="C251" s="27" t="e">
        <f ca="1"/>
        <v>#NAME?</v>
      </c>
      <c r="D251" s="27" t="e">
        <f ca="1"/>
        <v>#NAME?</v>
      </c>
      <c r="E251" s="20" t="e">
        <f ca="1"/>
        <v>#NAME?</v>
      </c>
      <c r="F251" s="20" t="e">
        <f ca="1"/>
        <v>#NAME?</v>
      </c>
      <c r="BR251" s="26" t="e">
        <f ca="1"/>
        <v>#NAME?</v>
      </c>
      <c r="BS251" s="26" t="e">
        <f ca="1"/>
        <v>#NAME?</v>
      </c>
      <c r="BT251" s="26" t="e">
        <f ca="1"/>
        <v>#NAME?</v>
      </c>
      <c r="BU251" s="26" t="e">
        <f ca="1"/>
        <v>#NAME?</v>
      </c>
      <c r="BV251" s="26" t="e">
        <f ca="1"/>
        <v>#NAME?</v>
      </c>
      <c r="BW251" s="26" t="e">
        <f ca="1"/>
        <v>#NAME?</v>
      </c>
      <c r="CB251" s="24" t="e">
        <f ca="1"/>
        <v>#NAME?</v>
      </c>
      <c r="CC251" s="20" t="e">
        <f ca="1"/>
        <v>#NAME?</v>
      </c>
      <c r="CD251" s="20" t="e">
        <f ca="1"/>
        <v>#NAME?</v>
      </c>
    </row>
    <row r="252" spans="2:82">
      <c r="B252" s="27" t="e">
        <f ca="1"/>
        <v>#NAME?</v>
      </c>
      <c r="C252" s="27" t="e">
        <f ca="1"/>
        <v>#NAME?</v>
      </c>
      <c r="D252" s="27" t="e">
        <f ca="1"/>
        <v>#NAME?</v>
      </c>
      <c r="E252" s="20" t="e">
        <f ca="1"/>
        <v>#NAME?</v>
      </c>
      <c r="F252" s="20" t="e">
        <f ca="1"/>
        <v>#NAME?</v>
      </c>
      <c r="BR252" s="26" t="e">
        <f ca="1"/>
        <v>#NAME?</v>
      </c>
      <c r="BS252" s="26" t="e">
        <f ca="1"/>
        <v>#NAME?</v>
      </c>
      <c r="BT252" s="26" t="e">
        <f ca="1"/>
        <v>#NAME?</v>
      </c>
      <c r="BU252" s="26" t="e">
        <f ca="1"/>
        <v>#NAME?</v>
      </c>
      <c r="BV252" s="26" t="e">
        <f ca="1"/>
        <v>#NAME?</v>
      </c>
      <c r="BW252" s="26" t="e">
        <f ca="1"/>
        <v>#NAME?</v>
      </c>
      <c r="CB252" s="24" t="e">
        <f ca="1"/>
        <v>#NAME?</v>
      </c>
      <c r="CC252" s="20" t="e">
        <f ca="1"/>
        <v>#NAME?</v>
      </c>
      <c r="CD252" s="20" t="e">
        <f ca="1"/>
        <v>#NAME?</v>
      </c>
    </row>
    <row r="253" spans="2:82">
      <c r="B253" s="27" t="e">
        <f ca="1"/>
        <v>#NAME?</v>
      </c>
      <c r="C253" s="27" t="e">
        <f ca="1"/>
        <v>#NAME?</v>
      </c>
      <c r="D253" s="27" t="e">
        <f ca="1"/>
        <v>#NAME?</v>
      </c>
      <c r="E253" s="20" t="e">
        <f ca="1"/>
        <v>#NAME?</v>
      </c>
      <c r="F253" s="20" t="e">
        <f ca="1"/>
        <v>#NAME?</v>
      </c>
      <c r="BR253" s="26" t="e">
        <f ca="1"/>
        <v>#NAME?</v>
      </c>
      <c r="BS253" s="26" t="e">
        <f ca="1"/>
        <v>#NAME?</v>
      </c>
      <c r="BT253" s="26" t="e">
        <f ca="1"/>
        <v>#NAME?</v>
      </c>
      <c r="BU253" s="26" t="e">
        <f ca="1"/>
        <v>#NAME?</v>
      </c>
      <c r="BV253" s="26" t="e">
        <f ca="1"/>
        <v>#NAME?</v>
      </c>
      <c r="BW253" s="26" t="e">
        <f ca="1"/>
        <v>#NAME?</v>
      </c>
      <c r="CB253" s="24" t="e">
        <f ca="1"/>
        <v>#NAME?</v>
      </c>
      <c r="CC253" s="20" t="e">
        <f ca="1"/>
        <v>#NAME?</v>
      </c>
      <c r="CD253" s="20" t="e">
        <f ca="1"/>
        <v>#NAME?</v>
      </c>
    </row>
    <row r="254" spans="2:82">
      <c r="B254" s="27" t="e">
        <f ca="1"/>
        <v>#NAME?</v>
      </c>
      <c r="C254" s="27" t="e">
        <f ca="1"/>
        <v>#NAME?</v>
      </c>
      <c r="D254" s="27" t="e">
        <f ca="1"/>
        <v>#NAME?</v>
      </c>
      <c r="E254" s="20" t="e">
        <f ca="1"/>
        <v>#NAME?</v>
      </c>
      <c r="F254" s="20" t="e">
        <f ca="1"/>
        <v>#NAME?</v>
      </c>
      <c r="BR254" s="26" t="e">
        <f ca="1"/>
        <v>#NAME?</v>
      </c>
      <c r="BS254" s="26" t="e">
        <f ca="1"/>
        <v>#NAME?</v>
      </c>
      <c r="BT254" s="26" t="e">
        <f ca="1"/>
        <v>#NAME?</v>
      </c>
      <c r="BU254" s="26" t="e">
        <f ca="1"/>
        <v>#NAME?</v>
      </c>
      <c r="BV254" s="26" t="e">
        <f ca="1"/>
        <v>#NAME?</v>
      </c>
      <c r="BW254" s="26" t="e">
        <f ca="1"/>
        <v>#NAME?</v>
      </c>
      <c r="CB254" s="24" t="e">
        <f ca="1"/>
        <v>#NAME?</v>
      </c>
      <c r="CC254" s="20" t="e">
        <f ca="1"/>
        <v>#NAME?</v>
      </c>
      <c r="CD254" s="20" t="e">
        <f ca="1"/>
        <v>#NAME?</v>
      </c>
    </row>
    <row r="255" spans="2:82">
      <c r="B255" s="27" t="e">
        <f ca="1"/>
        <v>#NAME?</v>
      </c>
      <c r="C255" s="27" t="e">
        <f ca="1"/>
        <v>#NAME?</v>
      </c>
      <c r="D255" s="27" t="e">
        <f ca="1"/>
        <v>#NAME?</v>
      </c>
      <c r="E255" s="20" t="e">
        <f ca="1"/>
        <v>#NAME?</v>
      </c>
      <c r="F255" s="20" t="e">
        <f ca="1"/>
        <v>#NAME?</v>
      </c>
      <c r="BR255" s="26" t="e">
        <f ca="1"/>
        <v>#NAME?</v>
      </c>
      <c r="BS255" s="26" t="e">
        <f ca="1"/>
        <v>#NAME?</v>
      </c>
      <c r="BT255" s="26" t="e">
        <f ca="1"/>
        <v>#NAME?</v>
      </c>
      <c r="BU255" s="26" t="e">
        <f ca="1"/>
        <v>#NAME?</v>
      </c>
      <c r="BV255" s="26" t="e">
        <f ca="1"/>
        <v>#NAME?</v>
      </c>
      <c r="BW255" s="26" t="e">
        <f ca="1"/>
        <v>#NAME?</v>
      </c>
      <c r="CB255" s="24" t="e">
        <f ca="1"/>
        <v>#NAME?</v>
      </c>
      <c r="CC255" s="20" t="e">
        <f ca="1"/>
        <v>#NAME?</v>
      </c>
      <c r="CD255" s="20" t="e">
        <f ca="1"/>
        <v>#NAME?</v>
      </c>
    </row>
    <row r="256" spans="2:82">
      <c r="B256" s="27" t="e">
        <f ca="1"/>
        <v>#NAME?</v>
      </c>
      <c r="C256" s="27" t="e">
        <f ca="1"/>
        <v>#NAME?</v>
      </c>
      <c r="D256" s="27" t="e">
        <f ca="1"/>
        <v>#NAME?</v>
      </c>
      <c r="E256" s="20" t="e">
        <f ca="1"/>
        <v>#NAME?</v>
      </c>
      <c r="F256" s="20" t="e">
        <f ca="1"/>
        <v>#NAME?</v>
      </c>
      <c r="BR256" s="26" t="e">
        <f ca="1"/>
        <v>#NAME?</v>
      </c>
      <c r="BS256" s="26" t="e">
        <f ca="1"/>
        <v>#NAME?</v>
      </c>
      <c r="BT256" s="26" t="e">
        <f ca="1"/>
        <v>#NAME?</v>
      </c>
      <c r="BU256" s="26" t="e">
        <f ca="1"/>
        <v>#NAME?</v>
      </c>
      <c r="BV256" s="26" t="e">
        <f ca="1"/>
        <v>#NAME?</v>
      </c>
      <c r="BW256" s="26" t="e">
        <f ca="1"/>
        <v>#NAME?</v>
      </c>
      <c r="CB256" s="24" t="e">
        <f ca="1"/>
        <v>#NAME?</v>
      </c>
      <c r="CC256" s="20" t="e">
        <f ca="1"/>
        <v>#NAME?</v>
      </c>
      <c r="CD256" s="20" t="e">
        <f ca="1"/>
        <v>#NAME?</v>
      </c>
    </row>
    <row r="257" spans="2:82">
      <c r="B257" s="27" t="e">
        <f ca="1"/>
        <v>#NAME?</v>
      </c>
      <c r="C257" s="27" t="e">
        <f ca="1"/>
        <v>#NAME?</v>
      </c>
      <c r="D257" s="27" t="e">
        <f ca="1"/>
        <v>#NAME?</v>
      </c>
      <c r="E257" s="20" t="e">
        <f ca="1"/>
        <v>#NAME?</v>
      </c>
      <c r="F257" s="20" t="e">
        <f ca="1"/>
        <v>#NAME?</v>
      </c>
      <c r="BR257" s="26" t="e">
        <f ca="1"/>
        <v>#NAME?</v>
      </c>
      <c r="BS257" s="26" t="e">
        <f ca="1"/>
        <v>#NAME?</v>
      </c>
      <c r="BT257" s="26" t="e">
        <f ca="1"/>
        <v>#NAME?</v>
      </c>
      <c r="BU257" s="26" t="e">
        <f ca="1"/>
        <v>#NAME?</v>
      </c>
      <c r="BV257" s="26" t="e">
        <f ca="1"/>
        <v>#NAME?</v>
      </c>
      <c r="BW257" s="26" t="e">
        <f ca="1"/>
        <v>#NAME?</v>
      </c>
      <c r="CB257" s="24" t="e">
        <f ca="1"/>
        <v>#NAME?</v>
      </c>
      <c r="CC257" s="20" t="e">
        <f ca="1"/>
        <v>#NAME?</v>
      </c>
      <c r="CD257" s="20" t="e">
        <f ca="1"/>
        <v>#NAME?</v>
      </c>
    </row>
    <row r="258" spans="2:82">
      <c r="B258" s="27" t="e">
        <f ca="1"/>
        <v>#NAME?</v>
      </c>
      <c r="C258" s="27" t="e">
        <f ca="1"/>
        <v>#NAME?</v>
      </c>
      <c r="D258" s="27" t="e">
        <f ca="1"/>
        <v>#NAME?</v>
      </c>
      <c r="E258" s="20" t="e">
        <f ca="1"/>
        <v>#NAME?</v>
      </c>
      <c r="F258" s="20" t="e">
        <f ca="1"/>
        <v>#NAME?</v>
      </c>
      <c r="BR258" s="26" t="e">
        <f ca="1"/>
        <v>#NAME?</v>
      </c>
      <c r="BS258" s="26" t="e">
        <f ca="1"/>
        <v>#NAME?</v>
      </c>
      <c r="BT258" s="26" t="e">
        <f ca="1"/>
        <v>#NAME?</v>
      </c>
      <c r="BU258" s="26" t="e">
        <f ca="1"/>
        <v>#NAME?</v>
      </c>
      <c r="BV258" s="26" t="e">
        <f ca="1"/>
        <v>#NAME?</v>
      </c>
      <c r="BW258" s="26" t="e">
        <f ca="1"/>
        <v>#NAME?</v>
      </c>
      <c r="CB258" s="24" t="e">
        <f ca="1"/>
        <v>#NAME?</v>
      </c>
      <c r="CC258" s="20" t="e">
        <f ca="1"/>
        <v>#NAME?</v>
      </c>
      <c r="CD258" s="20" t="e">
        <f ca="1"/>
        <v>#NAME?</v>
      </c>
    </row>
    <row r="259" spans="2:82">
      <c r="B259" s="27" t="e">
        <f ca="1"/>
        <v>#NAME?</v>
      </c>
      <c r="C259" s="27" t="e">
        <f ca="1"/>
        <v>#NAME?</v>
      </c>
      <c r="D259" s="27" t="e">
        <f ca="1"/>
        <v>#NAME?</v>
      </c>
      <c r="E259" s="20" t="e">
        <f ca="1"/>
        <v>#NAME?</v>
      </c>
      <c r="F259" s="20" t="e">
        <f ca="1"/>
        <v>#NAME?</v>
      </c>
      <c r="BR259" s="26" t="e">
        <f ca="1"/>
        <v>#NAME?</v>
      </c>
      <c r="BS259" s="26" t="e">
        <f ca="1"/>
        <v>#NAME?</v>
      </c>
      <c r="BT259" s="26" t="e">
        <f ca="1"/>
        <v>#NAME?</v>
      </c>
      <c r="BU259" s="26" t="e">
        <f ca="1"/>
        <v>#NAME?</v>
      </c>
      <c r="BV259" s="26" t="e">
        <f ca="1"/>
        <v>#NAME?</v>
      </c>
      <c r="BW259" s="26" t="e">
        <f ca="1"/>
        <v>#NAME?</v>
      </c>
      <c r="CB259" s="24" t="e">
        <f ca="1"/>
        <v>#NAME?</v>
      </c>
      <c r="CC259" s="20" t="e">
        <f ca="1"/>
        <v>#NAME?</v>
      </c>
      <c r="CD259" s="20" t="e">
        <f ca="1"/>
        <v>#NAME?</v>
      </c>
    </row>
    <row r="260" spans="2:82">
      <c r="B260" s="27" t="e">
        <f ca="1"/>
        <v>#NAME?</v>
      </c>
      <c r="C260" s="27" t="e">
        <f ca="1"/>
        <v>#NAME?</v>
      </c>
      <c r="D260" s="27" t="e">
        <f ca="1"/>
        <v>#NAME?</v>
      </c>
      <c r="E260" s="20" t="e">
        <f ca="1"/>
        <v>#NAME?</v>
      </c>
      <c r="F260" s="20" t="e">
        <f ca="1"/>
        <v>#NAME?</v>
      </c>
      <c r="BR260" s="26" t="e">
        <f ca="1"/>
        <v>#NAME?</v>
      </c>
      <c r="BS260" s="26" t="e">
        <f ca="1"/>
        <v>#NAME?</v>
      </c>
      <c r="BT260" s="26" t="e">
        <f ca="1"/>
        <v>#NAME?</v>
      </c>
      <c r="BU260" s="26" t="e">
        <f ca="1"/>
        <v>#NAME?</v>
      </c>
      <c r="BV260" s="26" t="e">
        <f ca="1"/>
        <v>#NAME?</v>
      </c>
      <c r="BW260" s="26" t="e">
        <f ca="1"/>
        <v>#NAME?</v>
      </c>
      <c r="CB260" s="24" t="e">
        <f ca="1"/>
        <v>#NAME?</v>
      </c>
      <c r="CC260" s="20" t="e">
        <f ca="1"/>
        <v>#NAME?</v>
      </c>
      <c r="CD260" s="20" t="e">
        <f ca="1"/>
        <v>#NAME?</v>
      </c>
    </row>
    <row r="261" spans="2:82">
      <c r="B261" s="27" t="e">
        <f ca="1"/>
        <v>#NAME?</v>
      </c>
      <c r="C261" s="27" t="e">
        <f ca="1"/>
        <v>#NAME?</v>
      </c>
      <c r="D261" s="27" t="e">
        <f ca="1"/>
        <v>#NAME?</v>
      </c>
      <c r="E261" s="20" t="e">
        <f ca="1"/>
        <v>#NAME?</v>
      </c>
      <c r="F261" s="20" t="e">
        <f ca="1"/>
        <v>#NAME?</v>
      </c>
      <c r="BR261" s="26" t="e">
        <f ca="1"/>
        <v>#NAME?</v>
      </c>
      <c r="BS261" s="26" t="e">
        <f ca="1"/>
        <v>#NAME?</v>
      </c>
      <c r="BT261" s="26" t="e">
        <f ca="1"/>
        <v>#NAME?</v>
      </c>
      <c r="BU261" s="26" t="e">
        <f ca="1"/>
        <v>#NAME?</v>
      </c>
      <c r="BV261" s="26" t="e">
        <f ca="1"/>
        <v>#NAME?</v>
      </c>
      <c r="BW261" s="26" t="e">
        <f ca="1"/>
        <v>#NAME?</v>
      </c>
      <c r="CB261" s="24" t="e">
        <f ca="1"/>
        <v>#NAME?</v>
      </c>
      <c r="CC261" s="20" t="e">
        <f ca="1"/>
        <v>#NAME?</v>
      </c>
      <c r="CD261" s="20" t="e">
        <f ca="1"/>
        <v>#NAME?</v>
      </c>
    </row>
    <row r="262" spans="2:82">
      <c r="B262" s="27" t="e">
        <f ca="1"/>
        <v>#NAME?</v>
      </c>
      <c r="C262" s="27" t="e">
        <f ca="1"/>
        <v>#NAME?</v>
      </c>
      <c r="D262" s="27" t="e">
        <f ca="1"/>
        <v>#NAME?</v>
      </c>
      <c r="E262" s="20" t="e">
        <f ca="1"/>
        <v>#NAME?</v>
      </c>
      <c r="F262" s="20" t="e">
        <f ca="1"/>
        <v>#NAME?</v>
      </c>
      <c r="BR262" s="26" t="e">
        <f ca="1"/>
        <v>#NAME?</v>
      </c>
      <c r="BS262" s="26" t="e">
        <f ca="1"/>
        <v>#NAME?</v>
      </c>
      <c r="BT262" s="26" t="e">
        <f ca="1"/>
        <v>#NAME?</v>
      </c>
      <c r="BU262" s="26" t="e">
        <f ca="1"/>
        <v>#NAME?</v>
      </c>
      <c r="BV262" s="26" t="e">
        <f ca="1"/>
        <v>#NAME?</v>
      </c>
      <c r="BW262" s="26" t="e">
        <f ca="1"/>
        <v>#NAME?</v>
      </c>
      <c r="CB262" s="24" t="e">
        <f ca="1"/>
        <v>#NAME?</v>
      </c>
      <c r="CC262" s="20" t="e">
        <f ca="1"/>
        <v>#NAME?</v>
      </c>
      <c r="CD262" s="20" t="e">
        <f ca="1"/>
        <v>#NAME?</v>
      </c>
    </row>
    <row r="263" spans="2:82">
      <c r="B263" s="27" t="e">
        <f ca="1"/>
        <v>#NAME?</v>
      </c>
      <c r="C263" s="27" t="e">
        <f ca="1"/>
        <v>#NAME?</v>
      </c>
      <c r="D263" s="27" t="e">
        <f ca="1"/>
        <v>#NAME?</v>
      </c>
      <c r="E263" s="20" t="e">
        <f ca="1"/>
        <v>#NAME?</v>
      </c>
      <c r="F263" s="20" t="e">
        <f ca="1"/>
        <v>#NAME?</v>
      </c>
      <c r="BR263" s="26" t="e">
        <f ca="1"/>
        <v>#NAME?</v>
      </c>
      <c r="BS263" s="26" t="e">
        <f ca="1"/>
        <v>#NAME?</v>
      </c>
      <c r="BT263" s="26" t="e">
        <f ca="1"/>
        <v>#NAME?</v>
      </c>
      <c r="BU263" s="26" t="e">
        <f ca="1"/>
        <v>#NAME?</v>
      </c>
      <c r="BV263" s="26" t="e">
        <f ca="1"/>
        <v>#NAME?</v>
      </c>
      <c r="BW263" s="26" t="e">
        <f ca="1"/>
        <v>#NAME?</v>
      </c>
      <c r="CB263" s="24" t="e">
        <f ca="1"/>
        <v>#NAME?</v>
      </c>
      <c r="CC263" s="20" t="e">
        <f ca="1"/>
        <v>#NAME?</v>
      </c>
      <c r="CD263" s="20" t="e">
        <f ca="1"/>
        <v>#NAME?</v>
      </c>
    </row>
    <row r="264" spans="2:82">
      <c r="B264" s="27" t="e">
        <f ca="1"/>
        <v>#NAME?</v>
      </c>
      <c r="C264" s="27" t="e">
        <f ca="1"/>
        <v>#NAME?</v>
      </c>
      <c r="D264" s="27" t="e">
        <f ca="1"/>
        <v>#NAME?</v>
      </c>
      <c r="E264" s="20" t="e">
        <f ca="1"/>
        <v>#NAME?</v>
      </c>
      <c r="F264" s="20" t="e">
        <f ca="1"/>
        <v>#NAME?</v>
      </c>
      <c r="BR264" s="26" t="e">
        <f ca="1"/>
        <v>#NAME?</v>
      </c>
      <c r="BS264" s="26" t="e">
        <f ca="1"/>
        <v>#NAME?</v>
      </c>
      <c r="BT264" s="26" t="e">
        <f ca="1"/>
        <v>#NAME?</v>
      </c>
      <c r="BU264" s="26" t="e">
        <f ca="1"/>
        <v>#NAME?</v>
      </c>
      <c r="BV264" s="26" t="e">
        <f ca="1"/>
        <v>#NAME?</v>
      </c>
      <c r="BW264" s="26" t="e">
        <f ca="1"/>
        <v>#NAME?</v>
      </c>
      <c r="CB264" s="24" t="e">
        <f ca="1"/>
        <v>#NAME?</v>
      </c>
      <c r="CC264" s="20" t="e">
        <f ca="1"/>
        <v>#NAME?</v>
      </c>
      <c r="CD264" s="20" t="e">
        <f ca="1"/>
        <v>#NAME?</v>
      </c>
    </row>
    <row r="265" spans="2:82">
      <c r="B265" s="27" t="e">
        <f ca="1"/>
        <v>#NAME?</v>
      </c>
      <c r="C265" s="27" t="e">
        <f ca="1"/>
        <v>#NAME?</v>
      </c>
      <c r="D265" s="27" t="e">
        <f ca="1"/>
        <v>#NAME?</v>
      </c>
      <c r="E265" s="20" t="e">
        <f ca="1"/>
        <v>#NAME?</v>
      </c>
      <c r="F265" s="20" t="e">
        <f ca="1"/>
        <v>#NAME?</v>
      </c>
      <c r="BR265" s="26" t="e">
        <f ca="1"/>
        <v>#NAME?</v>
      </c>
      <c r="BS265" s="26" t="e">
        <f ca="1"/>
        <v>#NAME?</v>
      </c>
      <c r="BT265" s="26" t="e">
        <f ca="1"/>
        <v>#NAME?</v>
      </c>
      <c r="BU265" s="26" t="e">
        <f ca="1"/>
        <v>#NAME?</v>
      </c>
      <c r="BV265" s="26" t="e">
        <f ca="1"/>
        <v>#NAME?</v>
      </c>
      <c r="BW265" s="26" t="e">
        <f ca="1"/>
        <v>#NAME?</v>
      </c>
      <c r="CB265" s="24" t="e">
        <f ca="1"/>
        <v>#NAME?</v>
      </c>
      <c r="CC265" s="20" t="e">
        <f ca="1"/>
        <v>#NAME?</v>
      </c>
      <c r="CD265" s="20" t="e">
        <f ca="1"/>
        <v>#NAME?</v>
      </c>
    </row>
    <row r="266" spans="2:82">
      <c r="B266" s="27" t="e">
        <f ca="1"/>
        <v>#NAME?</v>
      </c>
      <c r="C266" s="27" t="e">
        <f ca="1"/>
        <v>#NAME?</v>
      </c>
      <c r="D266" s="27" t="e">
        <f ca="1"/>
        <v>#NAME?</v>
      </c>
      <c r="E266" s="20" t="e">
        <f ca="1"/>
        <v>#NAME?</v>
      </c>
      <c r="F266" s="20" t="e">
        <f ca="1"/>
        <v>#NAME?</v>
      </c>
      <c r="BR266" s="26" t="e">
        <f ca="1"/>
        <v>#NAME?</v>
      </c>
      <c r="BS266" s="26" t="e">
        <f ca="1"/>
        <v>#NAME?</v>
      </c>
      <c r="BT266" s="26" t="e">
        <f ca="1"/>
        <v>#NAME?</v>
      </c>
      <c r="BU266" s="26" t="e">
        <f ca="1"/>
        <v>#NAME?</v>
      </c>
      <c r="BV266" s="26" t="e">
        <f ca="1"/>
        <v>#NAME?</v>
      </c>
      <c r="BW266" s="26" t="e">
        <f ca="1"/>
        <v>#NAME?</v>
      </c>
      <c r="CB266" s="24" t="e">
        <f ca="1"/>
        <v>#NAME?</v>
      </c>
      <c r="CC266" s="20" t="e">
        <f ca="1"/>
        <v>#NAME?</v>
      </c>
      <c r="CD266" s="20" t="e">
        <f ca="1"/>
        <v>#NAME?</v>
      </c>
    </row>
    <row r="267" spans="2:82">
      <c r="B267" s="27" t="e">
        <f ca="1"/>
        <v>#NAME?</v>
      </c>
      <c r="C267" s="27" t="e">
        <f ca="1"/>
        <v>#NAME?</v>
      </c>
      <c r="D267" s="27" t="e">
        <f ca="1"/>
        <v>#NAME?</v>
      </c>
      <c r="E267" s="20" t="e">
        <f ca="1"/>
        <v>#NAME?</v>
      </c>
      <c r="F267" s="20" t="e">
        <f ca="1"/>
        <v>#NAME?</v>
      </c>
      <c r="BR267" s="26" t="e">
        <f ca="1"/>
        <v>#NAME?</v>
      </c>
      <c r="BS267" s="26" t="e">
        <f ca="1"/>
        <v>#NAME?</v>
      </c>
      <c r="BT267" s="26" t="e">
        <f ca="1"/>
        <v>#NAME?</v>
      </c>
      <c r="BU267" s="26" t="e">
        <f ca="1"/>
        <v>#NAME?</v>
      </c>
      <c r="BV267" s="26" t="e">
        <f ca="1"/>
        <v>#NAME?</v>
      </c>
      <c r="BW267" s="26" t="e">
        <f ca="1"/>
        <v>#NAME?</v>
      </c>
      <c r="CB267" s="24" t="e">
        <f ca="1"/>
        <v>#NAME?</v>
      </c>
      <c r="CC267" s="20" t="e">
        <f ca="1"/>
        <v>#NAME?</v>
      </c>
      <c r="CD267" s="20" t="e">
        <f ca="1"/>
        <v>#NAME?</v>
      </c>
    </row>
    <row r="268" spans="2:82">
      <c r="B268" s="27" t="e">
        <f ca="1"/>
        <v>#NAME?</v>
      </c>
      <c r="C268" s="27" t="e">
        <f ca="1"/>
        <v>#NAME?</v>
      </c>
      <c r="D268" s="27" t="e">
        <f ca="1"/>
        <v>#NAME?</v>
      </c>
      <c r="E268" s="20" t="e">
        <f ca="1"/>
        <v>#NAME?</v>
      </c>
      <c r="F268" s="20" t="e">
        <f ca="1"/>
        <v>#NAME?</v>
      </c>
      <c r="BR268" s="26" t="e">
        <f ca="1"/>
        <v>#NAME?</v>
      </c>
      <c r="BS268" s="26" t="e">
        <f ca="1"/>
        <v>#NAME?</v>
      </c>
      <c r="BT268" s="26" t="e">
        <f ca="1"/>
        <v>#NAME?</v>
      </c>
      <c r="BU268" s="26" t="e">
        <f ca="1"/>
        <v>#NAME?</v>
      </c>
      <c r="BV268" s="26" t="e">
        <f ca="1"/>
        <v>#NAME?</v>
      </c>
      <c r="BW268" s="26" t="e">
        <f ca="1"/>
        <v>#NAME?</v>
      </c>
      <c r="CB268" s="24" t="e">
        <f ca="1"/>
        <v>#NAME?</v>
      </c>
      <c r="CC268" s="20" t="e">
        <f ca="1"/>
        <v>#NAME?</v>
      </c>
      <c r="CD268" s="20" t="e">
        <f ca="1"/>
        <v>#NAME?</v>
      </c>
    </row>
    <row r="269" spans="2:82">
      <c r="B269" s="27" t="e">
        <f ca="1"/>
        <v>#NAME?</v>
      </c>
      <c r="C269" s="27" t="e">
        <f ca="1"/>
        <v>#NAME?</v>
      </c>
      <c r="D269" s="27" t="e">
        <f ca="1"/>
        <v>#NAME?</v>
      </c>
      <c r="E269" s="20" t="e">
        <f ca="1"/>
        <v>#NAME?</v>
      </c>
      <c r="F269" s="20" t="e">
        <f ca="1"/>
        <v>#NAME?</v>
      </c>
      <c r="BR269" s="26" t="e">
        <f ca="1"/>
        <v>#NAME?</v>
      </c>
      <c r="BS269" s="26" t="e">
        <f ca="1"/>
        <v>#NAME?</v>
      </c>
      <c r="BT269" s="26" t="e">
        <f ca="1"/>
        <v>#NAME?</v>
      </c>
      <c r="BU269" s="26" t="e">
        <f ca="1"/>
        <v>#NAME?</v>
      </c>
      <c r="BV269" s="26" t="e">
        <f ca="1"/>
        <v>#NAME?</v>
      </c>
      <c r="BW269" s="26" t="e">
        <f ca="1"/>
        <v>#NAME?</v>
      </c>
      <c r="CB269" s="24" t="e">
        <f ca="1"/>
        <v>#NAME?</v>
      </c>
      <c r="CC269" s="20" t="e">
        <f ca="1"/>
        <v>#NAME?</v>
      </c>
      <c r="CD269" s="20" t="e">
        <f ca="1"/>
        <v>#NAME?</v>
      </c>
    </row>
    <row r="270" spans="2:82">
      <c r="B270" s="27" t="e">
        <f ca="1"/>
        <v>#NAME?</v>
      </c>
      <c r="C270" s="27" t="e">
        <f ca="1"/>
        <v>#NAME?</v>
      </c>
      <c r="D270" s="27" t="e">
        <f ca="1"/>
        <v>#NAME?</v>
      </c>
      <c r="E270" s="20" t="e">
        <f ca="1"/>
        <v>#NAME?</v>
      </c>
      <c r="F270" s="20" t="e">
        <f ca="1"/>
        <v>#NAME?</v>
      </c>
      <c r="BR270" s="26" t="e">
        <f ca="1"/>
        <v>#NAME?</v>
      </c>
      <c r="BS270" s="26" t="e">
        <f ca="1"/>
        <v>#NAME?</v>
      </c>
      <c r="BT270" s="26" t="e">
        <f ca="1"/>
        <v>#NAME?</v>
      </c>
      <c r="BU270" s="26" t="e">
        <f ca="1"/>
        <v>#NAME?</v>
      </c>
      <c r="BV270" s="26" t="e">
        <f ca="1"/>
        <v>#NAME?</v>
      </c>
      <c r="BW270" s="26" t="e">
        <f ca="1"/>
        <v>#NAME?</v>
      </c>
      <c r="CB270" s="24" t="e">
        <f ca="1"/>
        <v>#NAME?</v>
      </c>
      <c r="CC270" s="20" t="e">
        <f ca="1"/>
        <v>#NAME?</v>
      </c>
      <c r="CD270" s="20" t="e">
        <f ca="1"/>
        <v>#NAME?</v>
      </c>
    </row>
    <row r="271" spans="2:82">
      <c r="B271" s="27" t="e">
        <f ca="1"/>
        <v>#NAME?</v>
      </c>
      <c r="C271" s="27" t="e">
        <f ca="1"/>
        <v>#NAME?</v>
      </c>
      <c r="D271" s="27" t="e">
        <f ca="1"/>
        <v>#NAME?</v>
      </c>
      <c r="E271" s="20" t="e">
        <f ca="1"/>
        <v>#NAME?</v>
      </c>
      <c r="F271" s="20" t="e">
        <f ca="1"/>
        <v>#NAME?</v>
      </c>
      <c r="BR271" s="26" t="e">
        <f ca="1"/>
        <v>#NAME?</v>
      </c>
      <c r="BS271" s="26" t="e">
        <f ca="1"/>
        <v>#NAME?</v>
      </c>
      <c r="BT271" s="26" t="e">
        <f ca="1"/>
        <v>#NAME?</v>
      </c>
      <c r="BU271" s="26" t="e">
        <f ca="1"/>
        <v>#NAME?</v>
      </c>
      <c r="BV271" s="26" t="e">
        <f ca="1"/>
        <v>#NAME?</v>
      </c>
      <c r="BW271" s="26" t="e">
        <f ca="1"/>
        <v>#NAME?</v>
      </c>
      <c r="CB271" s="24" t="e">
        <f ca="1"/>
        <v>#NAME?</v>
      </c>
      <c r="CC271" s="20" t="e">
        <f ca="1"/>
        <v>#NAME?</v>
      </c>
      <c r="CD271" s="20" t="e">
        <f ca="1"/>
        <v>#NAME?</v>
      </c>
    </row>
    <row r="272" spans="2:82">
      <c r="B272" s="27" t="e">
        <f ca="1"/>
        <v>#NAME?</v>
      </c>
      <c r="C272" s="27" t="e">
        <f ca="1"/>
        <v>#NAME?</v>
      </c>
      <c r="D272" s="27" t="e">
        <f ca="1"/>
        <v>#NAME?</v>
      </c>
      <c r="E272" s="20" t="e">
        <f ca="1"/>
        <v>#NAME?</v>
      </c>
      <c r="F272" s="20" t="e">
        <f ca="1"/>
        <v>#NAME?</v>
      </c>
      <c r="BR272" s="26" t="e">
        <f ca="1"/>
        <v>#NAME?</v>
      </c>
      <c r="BS272" s="26" t="e">
        <f ca="1"/>
        <v>#NAME?</v>
      </c>
      <c r="BT272" s="26" t="e">
        <f ca="1"/>
        <v>#NAME?</v>
      </c>
      <c r="BU272" s="26" t="e">
        <f ca="1"/>
        <v>#NAME?</v>
      </c>
      <c r="BV272" s="26" t="e">
        <f ca="1"/>
        <v>#NAME?</v>
      </c>
      <c r="BW272" s="26" t="e">
        <f ca="1"/>
        <v>#NAME?</v>
      </c>
      <c r="CB272" s="24" t="e">
        <f ca="1"/>
        <v>#NAME?</v>
      </c>
      <c r="CC272" s="20" t="e">
        <f ca="1"/>
        <v>#NAME?</v>
      </c>
      <c r="CD272" s="20" t="e">
        <f ca="1"/>
        <v>#NAME?</v>
      </c>
    </row>
    <row r="273" spans="2:82">
      <c r="B273" s="27" t="e">
        <f ca="1"/>
        <v>#NAME?</v>
      </c>
      <c r="C273" s="27" t="e">
        <f ca="1"/>
        <v>#NAME?</v>
      </c>
      <c r="D273" s="27" t="e">
        <f ca="1"/>
        <v>#NAME?</v>
      </c>
      <c r="E273" s="20" t="e">
        <f ca="1"/>
        <v>#NAME?</v>
      </c>
      <c r="F273" s="20" t="e">
        <f ca="1"/>
        <v>#NAME?</v>
      </c>
      <c r="BR273" s="26" t="e">
        <f ca="1"/>
        <v>#NAME?</v>
      </c>
      <c r="BS273" s="26" t="e">
        <f ca="1"/>
        <v>#NAME?</v>
      </c>
      <c r="BT273" s="26" t="e">
        <f ca="1"/>
        <v>#NAME?</v>
      </c>
      <c r="BU273" s="26" t="e">
        <f ca="1"/>
        <v>#NAME?</v>
      </c>
      <c r="BV273" s="26" t="e">
        <f ca="1"/>
        <v>#NAME?</v>
      </c>
      <c r="BW273" s="26" t="e">
        <f ca="1"/>
        <v>#NAME?</v>
      </c>
      <c r="CB273" s="24" t="e">
        <f ca="1"/>
        <v>#NAME?</v>
      </c>
      <c r="CC273" s="20" t="e">
        <f ca="1"/>
        <v>#NAME?</v>
      </c>
      <c r="CD273" s="20" t="e">
        <f ca="1"/>
        <v>#NAME?</v>
      </c>
    </row>
    <row r="274" spans="2:82">
      <c r="B274" s="27" t="e">
        <f ca="1"/>
        <v>#NAME?</v>
      </c>
      <c r="C274" s="27" t="e">
        <f ca="1"/>
        <v>#NAME?</v>
      </c>
      <c r="D274" s="27" t="e">
        <f ca="1"/>
        <v>#NAME?</v>
      </c>
      <c r="E274" s="20" t="e">
        <f ca="1"/>
        <v>#NAME?</v>
      </c>
      <c r="F274" s="20" t="e">
        <f ca="1"/>
        <v>#NAME?</v>
      </c>
      <c r="BR274" s="26" t="e">
        <f ca="1"/>
        <v>#NAME?</v>
      </c>
      <c r="BS274" s="26" t="e">
        <f ca="1"/>
        <v>#NAME?</v>
      </c>
      <c r="BT274" s="26" t="e">
        <f ca="1"/>
        <v>#NAME?</v>
      </c>
      <c r="BU274" s="26" t="e">
        <f ca="1"/>
        <v>#NAME?</v>
      </c>
      <c r="BV274" s="26" t="e">
        <f ca="1"/>
        <v>#NAME?</v>
      </c>
      <c r="BW274" s="26" t="e">
        <f ca="1"/>
        <v>#NAME?</v>
      </c>
      <c r="CB274" s="24" t="e">
        <f ca="1"/>
        <v>#NAME?</v>
      </c>
      <c r="CC274" s="20" t="e">
        <f ca="1"/>
        <v>#NAME?</v>
      </c>
      <c r="CD274" s="20" t="e">
        <f ca="1"/>
        <v>#NAME?</v>
      </c>
    </row>
    <row r="275" spans="2:82">
      <c r="B275" s="27" t="e">
        <f ca="1"/>
        <v>#NAME?</v>
      </c>
      <c r="C275" s="27" t="e">
        <f ca="1"/>
        <v>#NAME?</v>
      </c>
      <c r="D275" s="27" t="e">
        <f ca="1"/>
        <v>#NAME?</v>
      </c>
      <c r="E275" s="20" t="e">
        <f ca="1"/>
        <v>#NAME?</v>
      </c>
      <c r="F275" s="20" t="e">
        <f ca="1"/>
        <v>#NAME?</v>
      </c>
      <c r="BR275" s="26" t="e">
        <f ca="1"/>
        <v>#NAME?</v>
      </c>
      <c r="BS275" s="26" t="e">
        <f ca="1"/>
        <v>#NAME?</v>
      </c>
      <c r="BT275" s="26" t="e">
        <f ca="1"/>
        <v>#NAME?</v>
      </c>
      <c r="BU275" s="26" t="e">
        <f ca="1"/>
        <v>#NAME?</v>
      </c>
      <c r="BV275" s="26" t="e">
        <f ca="1"/>
        <v>#NAME?</v>
      </c>
      <c r="BW275" s="26" t="e">
        <f ca="1"/>
        <v>#NAME?</v>
      </c>
      <c r="CB275" s="24" t="e">
        <f ca="1"/>
        <v>#NAME?</v>
      </c>
      <c r="CC275" s="20" t="e">
        <f ca="1"/>
        <v>#NAME?</v>
      </c>
      <c r="CD275" s="20" t="e">
        <f ca="1"/>
        <v>#NAME?</v>
      </c>
    </row>
    <row r="276" spans="2:82">
      <c r="B276" s="27" t="e">
        <f ca="1"/>
        <v>#NAME?</v>
      </c>
      <c r="C276" s="27" t="e">
        <f ca="1"/>
        <v>#NAME?</v>
      </c>
      <c r="D276" s="27" t="e">
        <f ca="1"/>
        <v>#NAME?</v>
      </c>
      <c r="E276" s="20" t="e">
        <f ca="1"/>
        <v>#NAME?</v>
      </c>
      <c r="F276" s="20" t="e">
        <f ca="1"/>
        <v>#NAME?</v>
      </c>
      <c r="BR276" s="26" t="e">
        <f ca="1"/>
        <v>#NAME?</v>
      </c>
      <c r="BS276" s="26" t="e">
        <f ca="1"/>
        <v>#NAME?</v>
      </c>
      <c r="BT276" s="26" t="e">
        <f ca="1"/>
        <v>#NAME?</v>
      </c>
      <c r="BU276" s="26" t="e">
        <f ca="1"/>
        <v>#NAME?</v>
      </c>
      <c r="BV276" s="26" t="e">
        <f ca="1"/>
        <v>#NAME?</v>
      </c>
      <c r="BW276" s="26" t="e">
        <f ca="1"/>
        <v>#NAME?</v>
      </c>
      <c r="CB276" s="24" t="e">
        <f ca="1"/>
        <v>#NAME?</v>
      </c>
      <c r="CC276" s="20" t="e">
        <f ca="1"/>
        <v>#NAME?</v>
      </c>
      <c r="CD276" s="20" t="e">
        <f ca="1"/>
        <v>#NAME?</v>
      </c>
    </row>
    <row r="277" spans="2:82">
      <c r="B277" s="27" t="e">
        <f ca="1"/>
        <v>#NAME?</v>
      </c>
      <c r="C277" s="27" t="e">
        <f ca="1"/>
        <v>#NAME?</v>
      </c>
      <c r="D277" s="27" t="e">
        <f ca="1"/>
        <v>#NAME?</v>
      </c>
      <c r="E277" s="20" t="e">
        <f ca="1"/>
        <v>#NAME?</v>
      </c>
      <c r="F277" s="20" t="e">
        <f ca="1"/>
        <v>#NAME?</v>
      </c>
      <c r="BR277" s="26" t="e">
        <f ca="1"/>
        <v>#NAME?</v>
      </c>
      <c r="BS277" s="26" t="e">
        <f ca="1"/>
        <v>#NAME?</v>
      </c>
      <c r="BT277" s="26" t="e">
        <f ca="1"/>
        <v>#NAME?</v>
      </c>
      <c r="BU277" s="26" t="e">
        <f ca="1"/>
        <v>#NAME?</v>
      </c>
      <c r="BV277" s="26" t="e">
        <f ca="1"/>
        <v>#NAME?</v>
      </c>
      <c r="BW277" s="26" t="e">
        <f ca="1"/>
        <v>#NAME?</v>
      </c>
      <c r="CB277" s="24" t="e">
        <f ca="1"/>
        <v>#NAME?</v>
      </c>
      <c r="CC277" s="20" t="e">
        <f ca="1"/>
        <v>#NAME?</v>
      </c>
      <c r="CD277" s="20" t="e">
        <f ca="1"/>
        <v>#NAME?</v>
      </c>
    </row>
    <row r="278" spans="2:82">
      <c r="B278" s="27" t="e">
        <f ca="1"/>
        <v>#NAME?</v>
      </c>
      <c r="C278" s="27" t="e">
        <f ca="1"/>
        <v>#NAME?</v>
      </c>
      <c r="D278" s="27" t="e">
        <f ca="1"/>
        <v>#NAME?</v>
      </c>
      <c r="E278" s="20" t="e">
        <f ca="1"/>
        <v>#NAME?</v>
      </c>
      <c r="F278" s="20" t="e">
        <f ca="1"/>
        <v>#NAME?</v>
      </c>
      <c r="BR278" s="26" t="e">
        <f ca="1"/>
        <v>#NAME?</v>
      </c>
      <c r="BS278" s="26" t="e">
        <f ca="1"/>
        <v>#NAME?</v>
      </c>
      <c r="BT278" s="26" t="e">
        <f ca="1"/>
        <v>#NAME?</v>
      </c>
      <c r="BU278" s="26" t="e">
        <f ca="1"/>
        <v>#NAME?</v>
      </c>
      <c r="BV278" s="26" t="e">
        <f ca="1"/>
        <v>#NAME?</v>
      </c>
      <c r="BW278" s="26" t="e">
        <f ca="1"/>
        <v>#NAME?</v>
      </c>
      <c r="CB278" s="24" t="e">
        <f ca="1"/>
        <v>#NAME?</v>
      </c>
      <c r="CC278" s="20" t="e">
        <f ca="1"/>
        <v>#NAME?</v>
      </c>
      <c r="CD278" s="20" t="e">
        <f ca="1"/>
        <v>#NAME?</v>
      </c>
    </row>
    <row r="279" spans="2:82">
      <c r="B279" s="27" t="e">
        <f ca="1"/>
        <v>#NAME?</v>
      </c>
      <c r="C279" s="27" t="e">
        <f ca="1"/>
        <v>#NAME?</v>
      </c>
      <c r="D279" s="27" t="e">
        <f ca="1"/>
        <v>#NAME?</v>
      </c>
      <c r="E279" s="20" t="e">
        <f ca="1"/>
        <v>#NAME?</v>
      </c>
      <c r="F279" s="20" t="e">
        <f ca="1"/>
        <v>#NAME?</v>
      </c>
      <c r="BR279" s="26" t="e">
        <f ca="1"/>
        <v>#NAME?</v>
      </c>
      <c r="BS279" s="26" t="e">
        <f ca="1"/>
        <v>#NAME?</v>
      </c>
      <c r="BT279" s="26" t="e">
        <f ca="1"/>
        <v>#NAME?</v>
      </c>
      <c r="BU279" s="26" t="e">
        <f ca="1"/>
        <v>#NAME?</v>
      </c>
      <c r="BV279" s="26" t="e">
        <f ca="1"/>
        <v>#NAME?</v>
      </c>
      <c r="BW279" s="26" t="e">
        <f ca="1"/>
        <v>#NAME?</v>
      </c>
      <c r="CB279" s="24" t="e">
        <f ca="1"/>
        <v>#NAME?</v>
      </c>
      <c r="CC279" s="20" t="e">
        <f ca="1"/>
        <v>#NAME?</v>
      </c>
      <c r="CD279" s="20" t="e">
        <f ca="1"/>
        <v>#NAME?</v>
      </c>
    </row>
    <row r="280" spans="2:82">
      <c r="B280" s="27" t="e">
        <f ca="1"/>
        <v>#NAME?</v>
      </c>
      <c r="C280" s="27" t="e">
        <f ca="1"/>
        <v>#NAME?</v>
      </c>
      <c r="D280" s="27" t="e">
        <f ca="1"/>
        <v>#NAME?</v>
      </c>
      <c r="E280" s="20" t="e">
        <f ca="1"/>
        <v>#NAME?</v>
      </c>
      <c r="F280" s="20" t="e">
        <f ca="1"/>
        <v>#NAME?</v>
      </c>
      <c r="BR280" s="26" t="e">
        <f ca="1"/>
        <v>#NAME?</v>
      </c>
      <c r="BS280" s="26" t="e">
        <f ca="1"/>
        <v>#NAME?</v>
      </c>
      <c r="BT280" s="26" t="e">
        <f ca="1"/>
        <v>#NAME?</v>
      </c>
      <c r="BU280" s="26" t="e">
        <f ca="1"/>
        <v>#NAME?</v>
      </c>
      <c r="BV280" s="26" t="e">
        <f ca="1"/>
        <v>#NAME?</v>
      </c>
      <c r="BW280" s="26" t="e">
        <f ca="1"/>
        <v>#NAME?</v>
      </c>
      <c r="CB280" s="24" t="e">
        <f ca="1"/>
        <v>#NAME?</v>
      </c>
      <c r="CC280" s="20" t="e">
        <f ca="1"/>
        <v>#NAME?</v>
      </c>
      <c r="CD280" s="20" t="e">
        <f ca="1"/>
        <v>#NAME?</v>
      </c>
    </row>
    <row r="281" spans="2:82">
      <c r="B281" s="27" t="e">
        <f ca="1"/>
        <v>#NAME?</v>
      </c>
      <c r="C281" s="27" t="e">
        <f ca="1"/>
        <v>#NAME?</v>
      </c>
      <c r="D281" s="27" t="e">
        <f ca="1"/>
        <v>#NAME?</v>
      </c>
      <c r="E281" s="20" t="e">
        <f ca="1"/>
        <v>#NAME?</v>
      </c>
      <c r="F281" s="20" t="e">
        <f ca="1"/>
        <v>#NAME?</v>
      </c>
      <c r="BR281" s="26" t="e">
        <f ca="1"/>
        <v>#NAME?</v>
      </c>
      <c r="BS281" s="26" t="e">
        <f ca="1"/>
        <v>#NAME?</v>
      </c>
      <c r="BT281" s="26" t="e">
        <f ca="1"/>
        <v>#NAME?</v>
      </c>
      <c r="BU281" s="26" t="e">
        <f ca="1"/>
        <v>#NAME?</v>
      </c>
      <c r="BV281" s="26" t="e">
        <f ca="1"/>
        <v>#NAME?</v>
      </c>
      <c r="BW281" s="26" t="e">
        <f ca="1"/>
        <v>#NAME?</v>
      </c>
      <c r="CB281" s="24" t="e">
        <f ca="1"/>
        <v>#NAME?</v>
      </c>
      <c r="CC281" s="20" t="e">
        <f ca="1"/>
        <v>#NAME?</v>
      </c>
      <c r="CD281" s="20" t="e">
        <f ca="1"/>
        <v>#NAME?</v>
      </c>
    </row>
    <row r="282" spans="2:82">
      <c r="B282" s="27" t="e">
        <f ca="1"/>
        <v>#NAME?</v>
      </c>
      <c r="C282" s="27" t="e">
        <f ca="1"/>
        <v>#NAME?</v>
      </c>
      <c r="D282" s="27" t="e">
        <f ca="1"/>
        <v>#NAME?</v>
      </c>
      <c r="E282" s="20" t="e">
        <f ca="1"/>
        <v>#NAME?</v>
      </c>
      <c r="F282" s="20" t="e">
        <f ca="1"/>
        <v>#NAME?</v>
      </c>
      <c r="BR282" s="26" t="e">
        <f ca="1"/>
        <v>#NAME?</v>
      </c>
      <c r="BS282" s="26" t="e">
        <f ca="1"/>
        <v>#NAME?</v>
      </c>
      <c r="BT282" s="26" t="e">
        <f ca="1"/>
        <v>#NAME?</v>
      </c>
      <c r="BU282" s="26" t="e">
        <f ca="1"/>
        <v>#NAME?</v>
      </c>
      <c r="BV282" s="26" t="e">
        <f ca="1"/>
        <v>#NAME?</v>
      </c>
      <c r="BW282" s="26" t="e">
        <f ca="1"/>
        <v>#NAME?</v>
      </c>
      <c r="CB282" s="24" t="e">
        <f ca="1"/>
        <v>#NAME?</v>
      </c>
      <c r="CC282" s="20" t="e">
        <f ca="1"/>
        <v>#NAME?</v>
      </c>
      <c r="CD282" s="20" t="e">
        <f ca="1"/>
        <v>#NAME?</v>
      </c>
    </row>
    <row r="283" spans="2:82">
      <c r="B283" s="27" t="e">
        <f ca="1"/>
        <v>#NAME?</v>
      </c>
      <c r="C283" s="27" t="e">
        <f ca="1"/>
        <v>#NAME?</v>
      </c>
      <c r="D283" s="27" t="e">
        <f ca="1"/>
        <v>#NAME?</v>
      </c>
      <c r="E283" s="20" t="e">
        <f ca="1"/>
        <v>#NAME?</v>
      </c>
      <c r="F283" s="20" t="e">
        <f ca="1"/>
        <v>#NAME?</v>
      </c>
      <c r="BR283" s="26" t="e">
        <f ca="1"/>
        <v>#NAME?</v>
      </c>
      <c r="BS283" s="26" t="e">
        <f ca="1"/>
        <v>#NAME?</v>
      </c>
      <c r="BT283" s="26" t="e">
        <f ca="1"/>
        <v>#NAME?</v>
      </c>
      <c r="BU283" s="26" t="e">
        <f ca="1"/>
        <v>#NAME?</v>
      </c>
      <c r="BV283" s="26" t="e">
        <f ca="1"/>
        <v>#NAME?</v>
      </c>
      <c r="BW283" s="26" t="e">
        <f ca="1"/>
        <v>#NAME?</v>
      </c>
      <c r="CB283" s="24" t="e">
        <f ca="1"/>
        <v>#NAME?</v>
      </c>
      <c r="CC283" s="20" t="e">
        <f ca="1"/>
        <v>#NAME?</v>
      </c>
      <c r="CD283" s="20" t="e">
        <f ca="1"/>
        <v>#NAME?</v>
      </c>
    </row>
    <row r="284" spans="2:82">
      <c r="B284" s="27" t="e">
        <f ca="1"/>
        <v>#NAME?</v>
      </c>
      <c r="C284" s="27" t="e">
        <f ca="1"/>
        <v>#NAME?</v>
      </c>
      <c r="D284" s="27" t="e">
        <f ca="1"/>
        <v>#NAME?</v>
      </c>
      <c r="E284" s="20" t="e">
        <f ca="1"/>
        <v>#NAME?</v>
      </c>
      <c r="F284" s="20" t="e">
        <f ca="1"/>
        <v>#NAME?</v>
      </c>
      <c r="BR284" s="26" t="e">
        <f ca="1"/>
        <v>#NAME?</v>
      </c>
      <c r="BS284" s="26" t="e">
        <f ca="1"/>
        <v>#NAME?</v>
      </c>
      <c r="BT284" s="26" t="e">
        <f ca="1"/>
        <v>#NAME?</v>
      </c>
      <c r="BU284" s="26" t="e">
        <f ca="1"/>
        <v>#NAME?</v>
      </c>
      <c r="BV284" s="26" t="e">
        <f ca="1"/>
        <v>#NAME?</v>
      </c>
      <c r="BW284" s="26" t="e">
        <f ca="1"/>
        <v>#NAME?</v>
      </c>
      <c r="CB284" s="24" t="e">
        <f ca="1"/>
        <v>#NAME?</v>
      </c>
      <c r="CC284" s="20" t="e">
        <f ca="1"/>
        <v>#NAME?</v>
      </c>
      <c r="CD284" s="20" t="e">
        <f ca="1"/>
        <v>#NAME?</v>
      </c>
    </row>
    <row r="285" spans="2:82">
      <c r="B285" s="27" t="e">
        <f ca="1"/>
        <v>#NAME?</v>
      </c>
      <c r="C285" s="27" t="e">
        <f ca="1"/>
        <v>#NAME?</v>
      </c>
      <c r="D285" s="27" t="e">
        <f ca="1"/>
        <v>#NAME?</v>
      </c>
      <c r="E285" s="20" t="e">
        <f ca="1"/>
        <v>#NAME?</v>
      </c>
      <c r="F285" s="20" t="e">
        <f ca="1"/>
        <v>#NAME?</v>
      </c>
      <c r="BR285" s="26" t="e">
        <f ca="1"/>
        <v>#NAME?</v>
      </c>
      <c r="BS285" s="26" t="e">
        <f ca="1"/>
        <v>#NAME?</v>
      </c>
      <c r="BT285" s="26" t="e">
        <f ca="1"/>
        <v>#NAME?</v>
      </c>
      <c r="BU285" s="26" t="e">
        <f ca="1"/>
        <v>#NAME?</v>
      </c>
      <c r="BV285" s="26" t="e">
        <f ca="1"/>
        <v>#NAME?</v>
      </c>
      <c r="BW285" s="26" t="e">
        <f ca="1"/>
        <v>#NAME?</v>
      </c>
      <c r="CB285" s="24" t="e">
        <f ca="1"/>
        <v>#NAME?</v>
      </c>
      <c r="CC285" s="20" t="e">
        <f ca="1"/>
        <v>#NAME?</v>
      </c>
      <c r="CD285" s="20" t="e">
        <f ca="1"/>
        <v>#NAME?</v>
      </c>
    </row>
    <row r="286" spans="2:82">
      <c r="B286" s="27" t="e">
        <f ca="1"/>
        <v>#NAME?</v>
      </c>
      <c r="C286" s="27" t="e">
        <f ca="1"/>
        <v>#NAME?</v>
      </c>
      <c r="D286" s="27" t="e">
        <f ca="1"/>
        <v>#NAME?</v>
      </c>
      <c r="E286" s="20" t="e">
        <f ca="1"/>
        <v>#NAME?</v>
      </c>
      <c r="F286" s="20" t="e">
        <f ca="1"/>
        <v>#NAME?</v>
      </c>
      <c r="BR286" s="26" t="e">
        <f ca="1"/>
        <v>#NAME?</v>
      </c>
      <c r="BS286" s="26" t="e">
        <f ca="1"/>
        <v>#NAME?</v>
      </c>
      <c r="BT286" s="26" t="e">
        <f ca="1"/>
        <v>#NAME?</v>
      </c>
      <c r="BU286" s="26" t="e">
        <f ca="1"/>
        <v>#NAME?</v>
      </c>
      <c r="BV286" s="26" t="e">
        <f ca="1"/>
        <v>#NAME?</v>
      </c>
      <c r="BW286" s="26" t="e">
        <f ca="1"/>
        <v>#NAME?</v>
      </c>
      <c r="CB286" s="24" t="e">
        <f ca="1"/>
        <v>#NAME?</v>
      </c>
      <c r="CC286" s="20" t="e">
        <f ca="1"/>
        <v>#NAME?</v>
      </c>
      <c r="CD286" s="20" t="e">
        <f ca="1"/>
        <v>#NAME?</v>
      </c>
    </row>
    <row r="287" spans="2:82">
      <c r="B287" s="27" t="e">
        <f ca="1"/>
        <v>#NAME?</v>
      </c>
      <c r="C287" s="27" t="e">
        <f ca="1"/>
        <v>#NAME?</v>
      </c>
      <c r="D287" s="27" t="e">
        <f ca="1"/>
        <v>#NAME?</v>
      </c>
      <c r="E287" s="20" t="e">
        <f ca="1"/>
        <v>#NAME?</v>
      </c>
      <c r="F287" s="20" t="e">
        <f ca="1"/>
        <v>#NAME?</v>
      </c>
      <c r="BR287" s="26" t="e">
        <f ca="1"/>
        <v>#NAME?</v>
      </c>
      <c r="BS287" s="26" t="e">
        <f ca="1"/>
        <v>#NAME?</v>
      </c>
      <c r="BT287" s="26" t="e">
        <f ca="1"/>
        <v>#NAME?</v>
      </c>
      <c r="BU287" s="26" t="e">
        <f ca="1"/>
        <v>#NAME?</v>
      </c>
      <c r="BV287" s="26" t="e">
        <f ca="1"/>
        <v>#NAME?</v>
      </c>
      <c r="BW287" s="26" t="e">
        <f ca="1"/>
        <v>#NAME?</v>
      </c>
      <c r="CB287" s="24" t="e">
        <f ca="1"/>
        <v>#NAME?</v>
      </c>
      <c r="CC287" s="20" t="e">
        <f ca="1"/>
        <v>#NAME?</v>
      </c>
      <c r="CD287" s="20" t="e">
        <f ca="1"/>
        <v>#NAME?</v>
      </c>
    </row>
    <row r="288" spans="2:82">
      <c r="B288" s="27" t="e">
        <f ca="1"/>
        <v>#NAME?</v>
      </c>
      <c r="C288" s="27" t="e">
        <f ca="1"/>
        <v>#NAME?</v>
      </c>
      <c r="D288" s="27" t="e">
        <f ca="1"/>
        <v>#NAME?</v>
      </c>
      <c r="E288" s="20" t="e">
        <f ca="1"/>
        <v>#NAME?</v>
      </c>
      <c r="F288" s="20" t="e">
        <f ca="1"/>
        <v>#NAME?</v>
      </c>
      <c r="BR288" s="26" t="e">
        <f ca="1"/>
        <v>#NAME?</v>
      </c>
      <c r="BS288" s="26" t="e">
        <f ca="1"/>
        <v>#NAME?</v>
      </c>
      <c r="BT288" s="26" t="e">
        <f ca="1"/>
        <v>#NAME?</v>
      </c>
      <c r="BU288" s="26" t="e">
        <f ca="1"/>
        <v>#NAME?</v>
      </c>
      <c r="BV288" s="26" t="e">
        <f ca="1"/>
        <v>#NAME?</v>
      </c>
      <c r="BW288" s="26" t="e">
        <f ca="1"/>
        <v>#NAME?</v>
      </c>
      <c r="CB288" s="24" t="e">
        <f ca="1"/>
        <v>#NAME?</v>
      </c>
      <c r="CC288" s="20" t="e">
        <f ca="1"/>
        <v>#NAME?</v>
      </c>
      <c r="CD288" s="20" t="e">
        <f ca="1"/>
        <v>#NAME?</v>
      </c>
    </row>
    <row r="289" spans="2:82">
      <c r="B289" s="27" t="e">
        <f ca="1"/>
        <v>#NAME?</v>
      </c>
      <c r="C289" s="27" t="e">
        <f ca="1"/>
        <v>#NAME?</v>
      </c>
      <c r="D289" s="27" t="e">
        <f ca="1"/>
        <v>#NAME?</v>
      </c>
      <c r="E289" s="20" t="e">
        <f ca="1"/>
        <v>#NAME?</v>
      </c>
      <c r="F289" s="20" t="e">
        <f ca="1"/>
        <v>#NAME?</v>
      </c>
      <c r="BR289" s="26" t="e">
        <f ca="1"/>
        <v>#NAME?</v>
      </c>
      <c r="BS289" s="26" t="e">
        <f ca="1"/>
        <v>#NAME?</v>
      </c>
      <c r="BT289" s="26" t="e">
        <f ca="1"/>
        <v>#NAME?</v>
      </c>
      <c r="BU289" s="26" t="e">
        <f ca="1"/>
        <v>#NAME?</v>
      </c>
      <c r="BV289" s="26" t="e">
        <f ca="1"/>
        <v>#NAME?</v>
      </c>
      <c r="BW289" s="26" t="e">
        <f ca="1"/>
        <v>#NAME?</v>
      </c>
      <c r="CB289" s="24" t="e">
        <f ca="1"/>
        <v>#NAME?</v>
      </c>
      <c r="CC289" s="20" t="e">
        <f ca="1"/>
        <v>#NAME?</v>
      </c>
      <c r="CD289" s="20" t="e">
        <f ca="1"/>
        <v>#NAME?</v>
      </c>
    </row>
    <row r="290" spans="2:82">
      <c r="B290" s="27" t="e">
        <f ca="1"/>
        <v>#NAME?</v>
      </c>
      <c r="C290" s="27" t="e">
        <f ca="1"/>
        <v>#NAME?</v>
      </c>
      <c r="D290" s="27" t="e">
        <f ca="1"/>
        <v>#NAME?</v>
      </c>
      <c r="E290" s="20" t="e">
        <f ca="1"/>
        <v>#NAME?</v>
      </c>
      <c r="F290" s="20" t="e">
        <f ca="1"/>
        <v>#NAME?</v>
      </c>
      <c r="BR290" s="26" t="e">
        <f ca="1"/>
        <v>#NAME?</v>
      </c>
      <c r="BS290" s="26" t="e">
        <f ca="1"/>
        <v>#NAME?</v>
      </c>
      <c r="BT290" s="26" t="e">
        <f ca="1"/>
        <v>#NAME?</v>
      </c>
      <c r="BU290" s="26" t="e">
        <f ca="1"/>
        <v>#NAME?</v>
      </c>
      <c r="BV290" s="26" t="e">
        <f ca="1"/>
        <v>#NAME?</v>
      </c>
      <c r="BW290" s="26" t="e">
        <f ca="1"/>
        <v>#NAME?</v>
      </c>
      <c r="CB290" s="24" t="e">
        <f ca="1"/>
        <v>#NAME?</v>
      </c>
      <c r="CC290" s="20" t="e">
        <f ca="1"/>
        <v>#NAME?</v>
      </c>
      <c r="CD290" s="20" t="e">
        <f ca="1"/>
        <v>#NAME?</v>
      </c>
    </row>
    <row r="291" spans="2:82">
      <c r="B291" s="27" t="e">
        <f ca="1"/>
        <v>#NAME?</v>
      </c>
      <c r="C291" s="27" t="e">
        <f ca="1"/>
        <v>#NAME?</v>
      </c>
      <c r="D291" s="27" t="e">
        <f ca="1"/>
        <v>#NAME?</v>
      </c>
      <c r="E291" s="20" t="e">
        <f ca="1"/>
        <v>#NAME?</v>
      </c>
      <c r="F291" s="20" t="e">
        <f ca="1"/>
        <v>#NAME?</v>
      </c>
      <c r="BR291" s="26" t="e">
        <f ca="1"/>
        <v>#NAME?</v>
      </c>
      <c r="BS291" s="26" t="e">
        <f ca="1"/>
        <v>#NAME?</v>
      </c>
      <c r="BT291" s="26" t="e">
        <f ca="1"/>
        <v>#NAME?</v>
      </c>
      <c r="BU291" s="26" t="e">
        <f ca="1"/>
        <v>#NAME?</v>
      </c>
      <c r="BV291" s="26" t="e">
        <f ca="1"/>
        <v>#NAME?</v>
      </c>
      <c r="BW291" s="26" t="e">
        <f ca="1"/>
        <v>#NAME?</v>
      </c>
      <c r="CB291" s="24" t="e">
        <f ca="1"/>
        <v>#NAME?</v>
      </c>
      <c r="CC291" s="20" t="e">
        <f ca="1"/>
        <v>#NAME?</v>
      </c>
      <c r="CD291" s="20" t="e">
        <f ca="1"/>
        <v>#NAME?</v>
      </c>
    </row>
    <row r="292" spans="2:82">
      <c r="B292" s="27" t="e">
        <f ca="1"/>
        <v>#NAME?</v>
      </c>
      <c r="C292" s="27" t="e">
        <f ca="1"/>
        <v>#NAME?</v>
      </c>
      <c r="D292" s="27" t="e">
        <f ca="1"/>
        <v>#NAME?</v>
      </c>
      <c r="E292" s="20" t="e">
        <f ca="1"/>
        <v>#NAME?</v>
      </c>
      <c r="F292" s="20" t="e">
        <f ca="1"/>
        <v>#NAME?</v>
      </c>
      <c r="BR292" s="26" t="e">
        <f ca="1"/>
        <v>#NAME?</v>
      </c>
      <c r="BS292" s="26" t="e">
        <f ca="1"/>
        <v>#NAME?</v>
      </c>
      <c r="BT292" s="26" t="e">
        <f ca="1"/>
        <v>#NAME?</v>
      </c>
      <c r="BU292" s="26" t="e">
        <f ca="1"/>
        <v>#NAME?</v>
      </c>
      <c r="BV292" s="26" t="e">
        <f ca="1"/>
        <v>#NAME?</v>
      </c>
      <c r="BW292" s="26" t="e">
        <f ca="1"/>
        <v>#NAME?</v>
      </c>
      <c r="CB292" s="24" t="e">
        <f ca="1"/>
        <v>#NAME?</v>
      </c>
      <c r="CC292" s="20" t="e">
        <f ca="1"/>
        <v>#NAME?</v>
      </c>
      <c r="CD292" s="20" t="e">
        <f ca="1"/>
        <v>#NAME?</v>
      </c>
    </row>
    <row r="293" spans="2:82">
      <c r="B293" s="27" t="e">
        <f ca="1"/>
        <v>#NAME?</v>
      </c>
      <c r="C293" s="27" t="e">
        <f ca="1"/>
        <v>#NAME?</v>
      </c>
      <c r="D293" s="27" t="e">
        <f ca="1"/>
        <v>#NAME?</v>
      </c>
      <c r="E293" s="20" t="e">
        <f ca="1"/>
        <v>#NAME?</v>
      </c>
      <c r="F293" s="20" t="e">
        <f ca="1"/>
        <v>#NAME?</v>
      </c>
      <c r="BR293" s="26" t="e">
        <f ca="1"/>
        <v>#NAME?</v>
      </c>
      <c r="BS293" s="26" t="e">
        <f ca="1"/>
        <v>#NAME?</v>
      </c>
      <c r="BT293" s="26" t="e">
        <f ca="1"/>
        <v>#NAME?</v>
      </c>
      <c r="BU293" s="26" t="e">
        <f ca="1"/>
        <v>#NAME?</v>
      </c>
      <c r="BV293" s="26" t="e">
        <f ca="1"/>
        <v>#NAME?</v>
      </c>
      <c r="BW293" s="26" t="e">
        <f ca="1"/>
        <v>#NAME?</v>
      </c>
      <c r="CB293" s="24" t="e">
        <f ca="1"/>
        <v>#NAME?</v>
      </c>
      <c r="CC293" s="20" t="e">
        <f ca="1"/>
        <v>#NAME?</v>
      </c>
      <c r="CD293" s="20" t="e">
        <f ca="1"/>
        <v>#NAME?</v>
      </c>
    </row>
    <row r="294" spans="2:82">
      <c r="B294" s="27" t="e">
        <f ca="1"/>
        <v>#NAME?</v>
      </c>
      <c r="C294" s="27" t="e">
        <f ca="1"/>
        <v>#NAME?</v>
      </c>
      <c r="D294" s="27" t="e">
        <f ca="1"/>
        <v>#NAME?</v>
      </c>
      <c r="E294" s="20" t="e">
        <f ca="1"/>
        <v>#NAME?</v>
      </c>
      <c r="F294" s="20" t="e">
        <f ca="1"/>
        <v>#NAME?</v>
      </c>
      <c r="BR294" s="26" t="e">
        <f ca="1"/>
        <v>#NAME?</v>
      </c>
      <c r="BS294" s="26" t="e">
        <f ca="1"/>
        <v>#NAME?</v>
      </c>
      <c r="BT294" s="26" t="e">
        <f ca="1"/>
        <v>#NAME?</v>
      </c>
      <c r="BU294" s="26" t="e">
        <f ca="1"/>
        <v>#NAME?</v>
      </c>
      <c r="BV294" s="26" t="e">
        <f ca="1"/>
        <v>#NAME?</v>
      </c>
      <c r="BW294" s="26" t="e">
        <f ca="1"/>
        <v>#NAME?</v>
      </c>
      <c r="CB294" s="24" t="e">
        <f ca="1"/>
        <v>#NAME?</v>
      </c>
      <c r="CC294" s="20" t="e">
        <f ca="1"/>
        <v>#NAME?</v>
      </c>
      <c r="CD294" s="20" t="e">
        <f ca="1"/>
        <v>#NAME?</v>
      </c>
    </row>
    <row r="295" spans="2:82">
      <c r="B295" s="27" t="e">
        <f ca="1"/>
        <v>#NAME?</v>
      </c>
      <c r="C295" s="27" t="e">
        <f ca="1"/>
        <v>#NAME?</v>
      </c>
      <c r="D295" s="27" t="e">
        <f ca="1"/>
        <v>#NAME?</v>
      </c>
      <c r="E295" s="20" t="e">
        <f ca="1"/>
        <v>#NAME?</v>
      </c>
      <c r="F295" s="20" t="e">
        <f ca="1"/>
        <v>#NAME?</v>
      </c>
      <c r="BR295" s="26" t="e">
        <f ca="1"/>
        <v>#NAME?</v>
      </c>
      <c r="BS295" s="26" t="e">
        <f ca="1"/>
        <v>#NAME?</v>
      </c>
      <c r="BT295" s="26" t="e">
        <f ca="1"/>
        <v>#NAME?</v>
      </c>
      <c r="BU295" s="26" t="e">
        <f ca="1"/>
        <v>#NAME?</v>
      </c>
      <c r="BV295" s="26" t="e">
        <f ca="1"/>
        <v>#NAME?</v>
      </c>
      <c r="BW295" s="26" t="e">
        <f ca="1"/>
        <v>#NAME?</v>
      </c>
      <c r="CB295" s="24" t="e">
        <f ca="1"/>
        <v>#NAME?</v>
      </c>
      <c r="CC295" s="20" t="e">
        <f ca="1"/>
        <v>#NAME?</v>
      </c>
      <c r="CD295" s="20" t="e">
        <f ca="1"/>
        <v>#NAME?</v>
      </c>
    </row>
    <row r="296" spans="2:82">
      <c r="B296" s="27" t="e">
        <f ca="1"/>
        <v>#NAME?</v>
      </c>
      <c r="C296" s="27" t="e">
        <f ca="1"/>
        <v>#NAME?</v>
      </c>
      <c r="D296" s="27" t="e">
        <f ca="1"/>
        <v>#NAME?</v>
      </c>
      <c r="E296" s="20" t="e">
        <f ca="1"/>
        <v>#NAME?</v>
      </c>
      <c r="F296" s="20" t="e">
        <f ca="1"/>
        <v>#NAME?</v>
      </c>
      <c r="BR296" s="26" t="e">
        <f ca="1"/>
        <v>#NAME?</v>
      </c>
      <c r="BS296" s="26" t="e">
        <f ca="1"/>
        <v>#NAME?</v>
      </c>
      <c r="BT296" s="26" t="e">
        <f ca="1"/>
        <v>#NAME?</v>
      </c>
      <c r="BU296" s="26" t="e">
        <f ca="1"/>
        <v>#NAME?</v>
      </c>
      <c r="BV296" s="26" t="e">
        <f ca="1"/>
        <v>#NAME?</v>
      </c>
      <c r="BW296" s="26" t="e">
        <f ca="1"/>
        <v>#NAME?</v>
      </c>
      <c r="CB296" s="24" t="e">
        <f ca="1"/>
        <v>#NAME?</v>
      </c>
      <c r="CC296" s="20" t="e">
        <f ca="1"/>
        <v>#NAME?</v>
      </c>
      <c r="CD296" s="20" t="e">
        <f ca="1"/>
        <v>#NAME?</v>
      </c>
    </row>
    <row r="297" spans="2:82">
      <c r="B297" s="27" t="e">
        <f ca="1"/>
        <v>#NAME?</v>
      </c>
      <c r="C297" s="27" t="e">
        <f ca="1"/>
        <v>#NAME?</v>
      </c>
      <c r="D297" s="27" t="e">
        <f ca="1"/>
        <v>#NAME?</v>
      </c>
      <c r="E297" s="20" t="e">
        <f ca="1"/>
        <v>#NAME?</v>
      </c>
      <c r="F297" s="20" t="e">
        <f ca="1"/>
        <v>#NAME?</v>
      </c>
      <c r="BR297" s="26" t="e">
        <f ca="1"/>
        <v>#NAME?</v>
      </c>
      <c r="BS297" s="26" t="e">
        <f ca="1"/>
        <v>#NAME?</v>
      </c>
      <c r="BT297" s="26" t="e">
        <f ca="1"/>
        <v>#NAME?</v>
      </c>
      <c r="BU297" s="26" t="e">
        <f ca="1"/>
        <v>#NAME?</v>
      </c>
      <c r="BV297" s="26" t="e">
        <f ca="1"/>
        <v>#NAME?</v>
      </c>
      <c r="BW297" s="26" t="e">
        <f ca="1"/>
        <v>#NAME?</v>
      </c>
      <c r="CB297" s="24" t="e">
        <f ca="1"/>
        <v>#NAME?</v>
      </c>
      <c r="CC297" s="20" t="e">
        <f ca="1"/>
        <v>#NAME?</v>
      </c>
      <c r="CD297" s="20" t="e">
        <f ca="1"/>
        <v>#NAME?</v>
      </c>
    </row>
    <row r="298" spans="2:82">
      <c r="B298" s="27" t="e">
        <f ca="1"/>
        <v>#NAME?</v>
      </c>
      <c r="C298" s="27" t="e">
        <f ca="1"/>
        <v>#NAME?</v>
      </c>
      <c r="D298" s="27" t="e">
        <f ca="1"/>
        <v>#NAME?</v>
      </c>
      <c r="E298" s="20" t="e">
        <f ca="1"/>
        <v>#NAME?</v>
      </c>
      <c r="F298" s="20" t="e">
        <f ca="1"/>
        <v>#NAME?</v>
      </c>
      <c r="BR298" s="26" t="e">
        <f ca="1"/>
        <v>#NAME?</v>
      </c>
      <c r="BS298" s="26" t="e">
        <f ca="1"/>
        <v>#NAME?</v>
      </c>
      <c r="BT298" s="26" t="e">
        <f ca="1"/>
        <v>#NAME?</v>
      </c>
      <c r="BU298" s="26" t="e">
        <f ca="1"/>
        <v>#NAME?</v>
      </c>
      <c r="BV298" s="26" t="e">
        <f ca="1"/>
        <v>#NAME?</v>
      </c>
      <c r="BW298" s="26" t="e">
        <f ca="1"/>
        <v>#NAME?</v>
      </c>
      <c r="CB298" s="24" t="e">
        <f ca="1"/>
        <v>#NAME?</v>
      </c>
      <c r="CC298" s="20" t="e">
        <f ca="1"/>
        <v>#NAME?</v>
      </c>
      <c r="CD298" s="20" t="e">
        <f ca="1"/>
        <v>#NAME?</v>
      </c>
    </row>
    <row r="299" spans="2:82">
      <c r="B299" s="27" t="e">
        <f ca="1"/>
        <v>#NAME?</v>
      </c>
      <c r="C299" s="27" t="e">
        <f ca="1"/>
        <v>#NAME?</v>
      </c>
      <c r="D299" s="27" t="e">
        <f ca="1"/>
        <v>#NAME?</v>
      </c>
      <c r="E299" s="20" t="e">
        <f ca="1"/>
        <v>#NAME?</v>
      </c>
      <c r="F299" s="20" t="e">
        <f ca="1"/>
        <v>#NAME?</v>
      </c>
      <c r="BR299" s="26" t="e">
        <f ca="1"/>
        <v>#NAME?</v>
      </c>
      <c r="BS299" s="26" t="e">
        <f ca="1"/>
        <v>#NAME?</v>
      </c>
      <c r="BT299" s="26" t="e">
        <f ca="1"/>
        <v>#NAME?</v>
      </c>
      <c r="BU299" s="26" t="e">
        <f ca="1"/>
        <v>#NAME?</v>
      </c>
      <c r="BV299" s="26" t="e">
        <f ca="1"/>
        <v>#NAME?</v>
      </c>
      <c r="BW299" s="26" t="e">
        <f ca="1"/>
        <v>#NAME?</v>
      </c>
      <c r="CB299" s="24" t="e">
        <f ca="1"/>
        <v>#NAME?</v>
      </c>
      <c r="CC299" s="20" t="e">
        <f ca="1"/>
        <v>#NAME?</v>
      </c>
      <c r="CD299" s="20" t="e">
        <f ca="1"/>
        <v>#NAME?</v>
      </c>
    </row>
    <row r="300" spans="2:82">
      <c r="B300" s="27" t="e">
        <f ca="1"/>
        <v>#NAME?</v>
      </c>
      <c r="C300" s="27" t="e">
        <f ca="1"/>
        <v>#NAME?</v>
      </c>
      <c r="D300" s="27" t="e">
        <f ca="1"/>
        <v>#NAME?</v>
      </c>
      <c r="E300" s="20" t="e">
        <f ca="1"/>
        <v>#NAME?</v>
      </c>
      <c r="F300" s="20" t="e">
        <f ca="1"/>
        <v>#NAME?</v>
      </c>
      <c r="BR300" s="26" t="e">
        <f ca="1"/>
        <v>#NAME?</v>
      </c>
      <c r="BS300" s="26" t="e">
        <f ca="1"/>
        <v>#NAME?</v>
      </c>
      <c r="BT300" s="26" t="e">
        <f ca="1"/>
        <v>#NAME?</v>
      </c>
      <c r="BU300" s="26" t="e">
        <f ca="1"/>
        <v>#NAME?</v>
      </c>
      <c r="BV300" s="26" t="e">
        <f ca="1"/>
        <v>#NAME?</v>
      </c>
      <c r="BW300" s="26" t="e">
        <f ca="1"/>
        <v>#NAME?</v>
      </c>
      <c r="CB300" s="24" t="e">
        <f ca="1"/>
        <v>#NAME?</v>
      </c>
      <c r="CC300" s="20" t="e">
        <f ca="1"/>
        <v>#NAME?</v>
      </c>
      <c r="CD300" s="20" t="e">
        <f ca="1"/>
        <v>#NAME?</v>
      </c>
    </row>
    <row r="301" spans="2:82">
      <c r="B301" t="e">
        <f ca="1"/>
        <v>#NAME?</v>
      </c>
      <c r="C301" t="e">
        <f ca="1"/>
        <v>#NAME?</v>
      </c>
      <c r="D301" t="e">
        <f ca="1"/>
        <v>#NAME?</v>
      </c>
      <c r="E301" t="e">
        <f ca="1"/>
        <v>#NAME?</v>
      </c>
      <c r="F301" t="e">
        <f ca="1"/>
        <v>#NAME?</v>
      </c>
      <c r="BR301" s="26" t="e">
        <f ca="1"/>
        <v>#NAME?</v>
      </c>
      <c r="BS301" s="26" t="e">
        <f ca="1"/>
        <v>#NAME?</v>
      </c>
      <c r="BT301" s="26" t="e">
        <f ca="1"/>
        <v>#NAME?</v>
      </c>
      <c r="BU301" s="26" t="e">
        <f ca="1"/>
        <v>#NAME?</v>
      </c>
      <c r="BV301" s="26" t="e">
        <f ca="1"/>
        <v>#NAME?</v>
      </c>
      <c r="BW301" s="26" t="e">
        <f ca="1"/>
        <v>#NAME?</v>
      </c>
      <c r="CB301" s="24" t="e">
        <f ca="1"/>
        <v>#NAME?</v>
      </c>
      <c r="CC301" s="20" t="e">
        <f ca="1"/>
        <v>#NAME?</v>
      </c>
      <c r="CD301" s="20" t="e">
        <f ca="1"/>
        <v>#NAME?</v>
      </c>
    </row>
    <row r="302" spans="2:82">
      <c r="B302" t="e">
        <f ca="1"/>
        <v>#NAME?</v>
      </c>
      <c r="C302" t="e">
        <f ca="1"/>
        <v>#NAME?</v>
      </c>
      <c r="D302" t="e">
        <f ca="1"/>
        <v>#NAME?</v>
      </c>
      <c r="E302" t="e">
        <f ca="1"/>
        <v>#NAME?</v>
      </c>
      <c r="F302" t="e">
        <f ca="1"/>
        <v>#NAME?</v>
      </c>
      <c r="BR302" s="26" t="e">
        <f ca="1"/>
        <v>#NAME?</v>
      </c>
      <c r="BS302" s="26" t="e">
        <f ca="1"/>
        <v>#NAME?</v>
      </c>
      <c r="BT302" s="26" t="e">
        <f ca="1"/>
        <v>#NAME?</v>
      </c>
      <c r="BU302" s="26" t="e">
        <f ca="1"/>
        <v>#NAME?</v>
      </c>
      <c r="BV302" s="26" t="e">
        <f ca="1"/>
        <v>#NAME?</v>
      </c>
      <c r="BW302" s="26" t="e">
        <f ca="1"/>
        <v>#NAME?</v>
      </c>
      <c r="CB302" s="24" t="e">
        <f ca="1"/>
        <v>#NAME?</v>
      </c>
      <c r="CC302" s="20" t="e">
        <f ca="1"/>
        <v>#NAME?</v>
      </c>
      <c r="CD302" s="20" t="e">
        <f ca="1"/>
        <v>#NAME?</v>
      </c>
    </row>
    <row r="303" spans="2:82">
      <c r="B303" t="e">
        <f ca="1"/>
        <v>#NAME?</v>
      </c>
      <c r="C303" t="e">
        <f ca="1"/>
        <v>#NAME?</v>
      </c>
      <c r="D303" t="e">
        <f ca="1"/>
        <v>#NAME?</v>
      </c>
      <c r="E303" t="e">
        <f ca="1"/>
        <v>#NAME?</v>
      </c>
      <c r="F303" t="e">
        <f ca="1"/>
        <v>#NAME?</v>
      </c>
      <c r="BR303" s="26" t="e">
        <f ca="1"/>
        <v>#NAME?</v>
      </c>
      <c r="BS303" s="26" t="e">
        <f ca="1"/>
        <v>#NAME?</v>
      </c>
      <c r="BT303" s="26" t="e">
        <f ca="1"/>
        <v>#NAME?</v>
      </c>
      <c r="BU303" s="26" t="e">
        <f ca="1"/>
        <v>#NAME?</v>
      </c>
      <c r="BV303" s="26" t="e">
        <f ca="1"/>
        <v>#NAME?</v>
      </c>
      <c r="BW303" s="26" t="e">
        <f ca="1"/>
        <v>#NAME?</v>
      </c>
      <c r="CB303" s="24" t="e">
        <f ca="1"/>
        <v>#NAME?</v>
      </c>
      <c r="CC303" s="20" t="e">
        <f ca="1"/>
        <v>#NAME?</v>
      </c>
      <c r="CD303" s="20" t="e">
        <f ca="1"/>
        <v>#NAME?</v>
      </c>
    </row>
    <row r="304" spans="2:82">
      <c r="B304" t="e">
        <f ca="1"/>
        <v>#NAME?</v>
      </c>
      <c r="C304" t="e">
        <f ca="1"/>
        <v>#NAME?</v>
      </c>
      <c r="D304" t="e">
        <f ca="1"/>
        <v>#NAME?</v>
      </c>
      <c r="E304" t="e">
        <f ca="1"/>
        <v>#NAME?</v>
      </c>
      <c r="F304" t="e">
        <f ca="1"/>
        <v>#NAME?</v>
      </c>
      <c r="BR304" s="26" t="e">
        <f ca="1"/>
        <v>#NAME?</v>
      </c>
      <c r="BS304" s="26" t="e">
        <f ca="1"/>
        <v>#NAME?</v>
      </c>
      <c r="BT304" s="26" t="e">
        <f ca="1"/>
        <v>#NAME?</v>
      </c>
      <c r="BU304" s="26" t="e">
        <f ca="1"/>
        <v>#NAME?</v>
      </c>
      <c r="BV304" s="26" t="e">
        <f ca="1"/>
        <v>#NAME?</v>
      </c>
      <c r="BW304" s="26" t="e">
        <f ca="1"/>
        <v>#NAME?</v>
      </c>
      <c r="CB304" s="24" t="e">
        <f ca="1"/>
        <v>#NAME?</v>
      </c>
      <c r="CC304" s="20" t="e">
        <f ca="1"/>
        <v>#NAME?</v>
      </c>
      <c r="CD304" s="20" t="e">
        <f ca="1"/>
        <v>#NAME?</v>
      </c>
    </row>
    <row r="305" spans="2:82">
      <c r="B305" t="e">
        <f ca="1"/>
        <v>#NAME?</v>
      </c>
      <c r="C305" t="e">
        <f ca="1"/>
        <v>#NAME?</v>
      </c>
      <c r="D305" t="e">
        <f ca="1"/>
        <v>#NAME?</v>
      </c>
      <c r="E305" t="e">
        <f ca="1"/>
        <v>#NAME?</v>
      </c>
      <c r="F305" t="e">
        <f ca="1"/>
        <v>#NAME?</v>
      </c>
      <c r="BR305" s="26" t="e">
        <f ca="1"/>
        <v>#NAME?</v>
      </c>
      <c r="BS305" s="26" t="e">
        <f ca="1"/>
        <v>#NAME?</v>
      </c>
      <c r="BT305" s="26" t="e">
        <f ca="1"/>
        <v>#NAME?</v>
      </c>
      <c r="BU305" s="26" t="e">
        <f ca="1"/>
        <v>#NAME?</v>
      </c>
      <c r="BV305" s="26" t="e">
        <f ca="1"/>
        <v>#NAME?</v>
      </c>
      <c r="BW305" s="26" t="e">
        <f ca="1"/>
        <v>#NAME?</v>
      </c>
      <c r="CB305" s="24" t="e">
        <f ca="1"/>
        <v>#NAME?</v>
      </c>
      <c r="CC305" s="20" t="e">
        <f ca="1"/>
        <v>#NAME?</v>
      </c>
      <c r="CD305" s="20" t="e">
        <f ca="1"/>
        <v>#NAME?</v>
      </c>
    </row>
    <row r="306" spans="2:82">
      <c r="B306" t="e">
        <f ca="1"/>
        <v>#NAME?</v>
      </c>
      <c r="C306" t="e">
        <f ca="1"/>
        <v>#NAME?</v>
      </c>
      <c r="D306" t="e">
        <f ca="1"/>
        <v>#NAME?</v>
      </c>
      <c r="E306" t="e">
        <f ca="1"/>
        <v>#NAME?</v>
      </c>
      <c r="F306" t="e">
        <f ca="1"/>
        <v>#NAME?</v>
      </c>
      <c r="BR306" s="26" t="e">
        <f ca="1"/>
        <v>#NAME?</v>
      </c>
      <c r="BS306" s="26" t="e">
        <f ca="1"/>
        <v>#NAME?</v>
      </c>
      <c r="BT306" s="26" t="e">
        <f ca="1"/>
        <v>#NAME?</v>
      </c>
      <c r="BU306" s="26" t="e">
        <f ca="1"/>
        <v>#NAME?</v>
      </c>
      <c r="BV306" s="26" t="e">
        <f ca="1"/>
        <v>#NAME?</v>
      </c>
      <c r="BW306" s="26" t="e">
        <f ca="1"/>
        <v>#NAME?</v>
      </c>
      <c r="CB306" s="24" t="e">
        <f ca="1"/>
        <v>#NAME?</v>
      </c>
      <c r="CC306" s="20" t="e">
        <f ca="1"/>
        <v>#NAME?</v>
      </c>
      <c r="CD306" s="20" t="e">
        <f ca="1"/>
        <v>#NAME?</v>
      </c>
    </row>
    <row r="307" spans="2:82">
      <c r="B307" t="e">
        <f ca="1"/>
        <v>#NAME?</v>
      </c>
      <c r="C307" t="e">
        <f ca="1"/>
        <v>#NAME?</v>
      </c>
      <c r="D307" t="e">
        <f ca="1"/>
        <v>#NAME?</v>
      </c>
      <c r="E307" t="e">
        <f ca="1"/>
        <v>#NAME?</v>
      </c>
      <c r="F307" t="e">
        <f ca="1"/>
        <v>#NAME?</v>
      </c>
      <c r="BR307" s="26" t="e">
        <f ca="1"/>
        <v>#NAME?</v>
      </c>
      <c r="BS307" s="26" t="e">
        <f ca="1"/>
        <v>#NAME?</v>
      </c>
      <c r="BT307" s="26" t="e">
        <f ca="1"/>
        <v>#NAME?</v>
      </c>
      <c r="BU307" s="26" t="e">
        <f ca="1"/>
        <v>#NAME?</v>
      </c>
      <c r="BV307" s="26" t="e">
        <f ca="1"/>
        <v>#NAME?</v>
      </c>
      <c r="BW307" s="26" t="e">
        <f ca="1"/>
        <v>#NAME?</v>
      </c>
      <c r="CB307" s="24" t="e">
        <f ca="1"/>
        <v>#NAME?</v>
      </c>
      <c r="CC307" s="20" t="e">
        <f ca="1"/>
        <v>#NAME?</v>
      </c>
      <c r="CD307" s="20" t="e">
        <f ca="1"/>
        <v>#NAME?</v>
      </c>
    </row>
    <row r="308" spans="2:82">
      <c r="B308" t="e">
        <f ca="1"/>
        <v>#NAME?</v>
      </c>
      <c r="C308" t="e">
        <f ca="1"/>
        <v>#NAME?</v>
      </c>
      <c r="D308" t="e">
        <f ca="1"/>
        <v>#NAME?</v>
      </c>
      <c r="E308" t="e">
        <f ca="1"/>
        <v>#NAME?</v>
      </c>
      <c r="F308" t="e">
        <f ca="1"/>
        <v>#NAME?</v>
      </c>
      <c r="BR308" s="26" t="e">
        <f ca="1"/>
        <v>#NAME?</v>
      </c>
      <c r="BS308" s="26" t="e">
        <f ca="1"/>
        <v>#NAME?</v>
      </c>
      <c r="BT308" s="26" t="e">
        <f ca="1"/>
        <v>#NAME?</v>
      </c>
      <c r="BU308" s="26" t="e">
        <f ca="1"/>
        <v>#NAME?</v>
      </c>
      <c r="BV308" s="26" t="e">
        <f ca="1"/>
        <v>#NAME?</v>
      </c>
      <c r="BW308" s="26" t="e">
        <f ca="1"/>
        <v>#NAME?</v>
      </c>
      <c r="CB308" s="24" t="e">
        <f ca="1"/>
        <v>#NAME?</v>
      </c>
      <c r="CC308" s="20" t="e">
        <f ca="1"/>
        <v>#NAME?</v>
      </c>
      <c r="CD308" s="20" t="e">
        <f ca="1"/>
        <v>#NAME?</v>
      </c>
    </row>
    <row r="309" spans="2:82">
      <c r="B309" t="e">
        <f ca="1"/>
        <v>#NAME?</v>
      </c>
      <c r="C309" t="e">
        <f ca="1"/>
        <v>#NAME?</v>
      </c>
      <c r="D309" t="e">
        <f ca="1"/>
        <v>#NAME?</v>
      </c>
      <c r="E309" t="e">
        <f ca="1"/>
        <v>#NAME?</v>
      </c>
      <c r="F309" t="e">
        <f ca="1"/>
        <v>#NAME?</v>
      </c>
      <c r="BR309" s="26" t="e">
        <f ca="1"/>
        <v>#NAME?</v>
      </c>
      <c r="BS309" s="26" t="e">
        <f ca="1"/>
        <v>#NAME?</v>
      </c>
      <c r="BT309" s="26" t="e">
        <f ca="1"/>
        <v>#NAME?</v>
      </c>
      <c r="BU309" s="26" t="e">
        <f ca="1"/>
        <v>#NAME?</v>
      </c>
      <c r="BV309" s="26" t="e">
        <f ca="1"/>
        <v>#NAME?</v>
      </c>
      <c r="BW309" s="26" t="e">
        <f ca="1"/>
        <v>#NAME?</v>
      </c>
      <c r="CB309" s="24" t="e">
        <f ca="1"/>
        <v>#NAME?</v>
      </c>
      <c r="CC309" s="20" t="e">
        <f ca="1"/>
        <v>#NAME?</v>
      </c>
      <c r="CD309" s="20" t="e">
        <f ca="1"/>
        <v>#NAME?</v>
      </c>
    </row>
    <row r="310" spans="2:82">
      <c r="B310" t="e">
        <f ca="1"/>
        <v>#NAME?</v>
      </c>
      <c r="C310" t="e">
        <f ca="1"/>
        <v>#NAME?</v>
      </c>
      <c r="D310" t="e">
        <f ca="1"/>
        <v>#NAME?</v>
      </c>
      <c r="E310" t="e">
        <f ca="1"/>
        <v>#NAME?</v>
      </c>
      <c r="F310" t="e">
        <f ca="1"/>
        <v>#NAME?</v>
      </c>
      <c r="BR310" s="26" t="e">
        <f ca="1"/>
        <v>#NAME?</v>
      </c>
      <c r="BS310" s="26" t="e">
        <f ca="1"/>
        <v>#NAME?</v>
      </c>
      <c r="BT310" s="26" t="e">
        <f ca="1"/>
        <v>#NAME?</v>
      </c>
      <c r="BU310" s="26" t="e">
        <f ca="1"/>
        <v>#NAME?</v>
      </c>
      <c r="BV310" s="26" t="e">
        <f ca="1"/>
        <v>#NAME?</v>
      </c>
      <c r="BW310" s="26" t="e">
        <f ca="1"/>
        <v>#NAME?</v>
      </c>
      <c r="CB310" s="24" t="e">
        <f ca="1"/>
        <v>#NAME?</v>
      </c>
      <c r="CC310" s="20" t="e">
        <f ca="1"/>
        <v>#NAME?</v>
      </c>
      <c r="CD310" s="20" t="e">
        <f ca="1"/>
        <v>#NAME?</v>
      </c>
    </row>
    <row r="311" spans="2:82">
      <c r="B311" t="e">
        <f ca="1"/>
        <v>#NAME?</v>
      </c>
      <c r="C311" t="e">
        <f ca="1"/>
        <v>#NAME?</v>
      </c>
      <c r="D311" t="e">
        <f ca="1"/>
        <v>#NAME?</v>
      </c>
      <c r="E311" t="e">
        <f ca="1"/>
        <v>#NAME?</v>
      </c>
      <c r="F311" t="e">
        <f ca="1"/>
        <v>#NAME?</v>
      </c>
      <c r="BR311" s="26" t="e">
        <f ca="1"/>
        <v>#NAME?</v>
      </c>
      <c r="BS311" s="26" t="e">
        <f ca="1"/>
        <v>#NAME?</v>
      </c>
      <c r="BT311" s="26" t="e">
        <f ca="1"/>
        <v>#NAME?</v>
      </c>
      <c r="BU311" s="26" t="e">
        <f ca="1"/>
        <v>#NAME?</v>
      </c>
      <c r="BV311" s="26" t="e">
        <f ca="1"/>
        <v>#NAME?</v>
      </c>
      <c r="BW311" s="26" t="e">
        <f ca="1"/>
        <v>#NAME?</v>
      </c>
      <c r="CB311" s="24" t="e">
        <f ca="1"/>
        <v>#NAME?</v>
      </c>
      <c r="CC311" s="20" t="e">
        <f ca="1"/>
        <v>#NAME?</v>
      </c>
      <c r="CD311" s="20" t="e">
        <f ca="1"/>
        <v>#NAME?</v>
      </c>
    </row>
    <row r="312" spans="2:82">
      <c r="B312" t="e">
        <f ca="1"/>
        <v>#NAME?</v>
      </c>
      <c r="C312" t="e">
        <f ca="1"/>
        <v>#NAME?</v>
      </c>
      <c r="D312" t="e">
        <f ca="1"/>
        <v>#NAME?</v>
      </c>
      <c r="E312" t="e">
        <f ca="1"/>
        <v>#NAME?</v>
      </c>
      <c r="F312" t="e">
        <f ca="1"/>
        <v>#NAME?</v>
      </c>
      <c r="BR312" s="26" t="e">
        <f ca="1"/>
        <v>#NAME?</v>
      </c>
      <c r="BS312" s="26" t="e">
        <f ca="1"/>
        <v>#NAME?</v>
      </c>
      <c r="BT312" s="26" t="e">
        <f ca="1"/>
        <v>#NAME?</v>
      </c>
      <c r="BU312" s="26" t="e">
        <f ca="1"/>
        <v>#NAME?</v>
      </c>
      <c r="BV312" s="26" t="e">
        <f ca="1"/>
        <v>#NAME?</v>
      </c>
      <c r="BW312" s="26" t="e">
        <f ca="1"/>
        <v>#NAME?</v>
      </c>
      <c r="CB312" s="24" t="e">
        <f ca="1"/>
        <v>#NAME?</v>
      </c>
      <c r="CC312" s="20" t="e">
        <f ca="1"/>
        <v>#NAME?</v>
      </c>
      <c r="CD312" s="20" t="e">
        <f ca="1"/>
        <v>#NAME?</v>
      </c>
    </row>
    <row r="313" spans="2:82">
      <c r="B313" t="e">
        <f ca="1"/>
        <v>#NAME?</v>
      </c>
      <c r="C313" t="e">
        <f ca="1"/>
        <v>#NAME?</v>
      </c>
      <c r="D313" t="e">
        <f ca="1"/>
        <v>#NAME?</v>
      </c>
      <c r="E313" t="e">
        <f ca="1"/>
        <v>#NAME?</v>
      </c>
      <c r="F313" t="e">
        <f ca="1"/>
        <v>#NAME?</v>
      </c>
      <c r="BR313" s="26" t="e">
        <f ca="1"/>
        <v>#NAME?</v>
      </c>
      <c r="BS313" s="26" t="e">
        <f ca="1"/>
        <v>#NAME?</v>
      </c>
      <c r="BT313" s="26" t="e">
        <f ca="1"/>
        <v>#NAME?</v>
      </c>
      <c r="BU313" s="26" t="e">
        <f ca="1"/>
        <v>#NAME?</v>
      </c>
      <c r="BV313" s="26" t="e">
        <f ca="1"/>
        <v>#NAME?</v>
      </c>
      <c r="BW313" s="26" t="e">
        <f ca="1"/>
        <v>#NAME?</v>
      </c>
      <c r="CB313" s="24" t="e">
        <f ca="1"/>
        <v>#NAME?</v>
      </c>
      <c r="CC313" s="20" t="e">
        <f ca="1"/>
        <v>#NAME?</v>
      </c>
      <c r="CD313" s="20" t="e">
        <f ca="1"/>
        <v>#NAME?</v>
      </c>
    </row>
    <row r="314" spans="2:82">
      <c r="B314" t="e">
        <f ca="1"/>
        <v>#NAME?</v>
      </c>
      <c r="C314" t="e">
        <f ca="1"/>
        <v>#NAME?</v>
      </c>
      <c r="D314" t="e">
        <f ca="1"/>
        <v>#NAME?</v>
      </c>
      <c r="E314" t="e">
        <f ca="1"/>
        <v>#NAME?</v>
      </c>
      <c r="F314" t="e">
        <f ca="1"/>
        <v>#NAME?</v>
      </c>
      <c r="BR314" s="26" t="e">
        <f ca="1"/>
        <v>#NAME?</v>
      </c>
      <c r="BS314" s="26" t="e">
        <f ca="1"/>
        <v>#NAME?</v>
      </c>
      <c r="BT314" s="26" t="e">
        <f ca="1"/>
        <v>#NAME?</v>
      </c>
      <c r="BU314" s="26" t="e">
        <f ca="1"/>
        <v>#NAME?</v>
      </c>
      <c r="BV314" s="26" t="e">
        <f ca="1"/>
        <v>#NAME?</v>
      </c>
      <c r="BW314" s="26" t="e">
        <f ca="1"/>
        <v>#NAME?</v>
      </c>
      <c r="CB314" s="24" t="e">
        <f ca="1"/>
        <v>#NAME?</v>
      </c>
      <c r="CC314" s="20" t="e">
        <f ca="1"/>
        <v>#NAME?</v>
      </c>
      <c r="CD314" s="20" t="e">
        <f ca="1"/>
        <v>#NAME?</v>
      </c>
    </row>
    <row r="315" spans="2:82">
      <c r="B315" t="e">
        <f ca="1"/>
        <v>#NAME?</v>
      </c>
      <c r="C315" t="e">
        <f ca="1"/>
        <v>#NAME?</v>
      </c>
      <c r="D315" t="e">
        <f ca="1"/>
        <v>#NAME?</v>
      </c>
      <c r="E315" t="e">
        <f ca="1"/>
        <v>#NAME?</v>
      </c>
      <c r="F315" t="e">
        <f ca="1"/>
        <v>#NAME?</v>
      </c>
      <c r="BR315" s="26" t="e">
        <f ca="1"/>
        <v>#NAME?</v>
      </c>
      <c r="BS315" s="26" t="e">
        <f ca="1"/>
        <v>#NAME?</v>
      </c>
      <c r="BT315" s="26" t="e">
        <f ca="1"/>
        <v>#NAME?</v>
      </c>
      <c r="BU315" s="26" t="e">
        <f ca="1"/>
        <v>#NAME?</v>
      </c>
      <c r="BV315" s="26" t="e">
        <f ca="1"/>
        <v>#NAME?</v>
      </c>
      <c r="BW315" s="26" t="e">
        <f ca="1"/>
        <v>#NAME?</v>
      </c>
      <c r="CB315" s="24" t="e">
        <f ca="1"/>
        <v>#NAME?</v>
      </c>
      <c r="CC315" s="20" t="e">
        <f ca="1"/>
        <v>#NAME?</v>
      </c>
      <c r="CD315" s="20" t="e">
        <f ca="1"/>
        <v>#NAME?</v>
      </c>
    </row>
    <row r="316" spans="2:82">
      <c r="B316" t="e">
        <f ca="1"/>
        <v>#NAME?</v>
      </c>
      <c r="C316" t="e">
        <f ca="1"/>
        <v>#NAME?</v>
      </c>
      <c r="D316" t="e">
        <f ca="1"/>
        <v>#NAME?</v>
      </c>
      <c r="E316" t="e">
        <f ca="1"/>
        <v>#NAME?</v>
      </c>
      <c r="F316" t="e">
        <f ca="1"/>
        <v>#NAME?</v>
      </c>
      <c r="BR316" s="26" t="e">
        <f ca="1"/>
        <v>#NAME?</v>
      </c>
      <c r="BS316" s="26" t="e">
        <f ca="1"/>
        <v>#NAME?</v>
      </c>
      <c r="BT316" s="26" t="e">
        <f ca="1"/>
        <v>#NAME?</v>
      </c>
      <c r="BU316" s="26" t="e">
        <f ca="1"/>
        <v>#NAME?</v>
      </c>
      <c r="BV316" s="26" t="e">
        <f ca="1"/>
        <v>#NAME?</v>
      </c>
      <c r="BW316" s="26" t="e">
        <f ca="1"/>
        <v>#NAME?</v>
      </c>
      <c r="CB316" s="24" t="e">
        <f ca="1"/>
        <v>#NAME?</v>
      </c>
      <c r="CC316" s="20" t="e">
        <f ca="1"/>
        <v>#NAME?</v>
      </c>
      <c r="CD316" s="20" t="e">
        <f ca="1"/>
        <v>#NAME?</v>
      </c>
    </row>
    <row r="317" spans="2:82">
      <c r="B317" t="e">
        <f ca="1"/>
        <v>#NAME?</v>
      </c>
      <c r="C317" t="e">
        <f ca="1"/>
        <v>#NAME?</v>
      </c>
      <c r="D317" t="e">
        <f ca="1"/>
        <v>#NAME?</v>
      </c>
      <c r="E317" t="e">
        <f ca="1"/>
        <v>#NAME?</v>
      </c>
      <c r="F317" t="e">
        <f ca="1"/>
        <v>#NAME?</v>
      </c>
      <c r="BR317" s="26" t="e">
        <f ca="1"/>
        <v>#NAME?</v>
      </c>
      <c r="BS317" s="26" t="e">
        <f ca="1"/>
        <v>#NAME?</v>
      </c>
      <c r="BT317" s="26" t="e">
        <f ca="1"/>
        <v>#NAME?</v>
      </c>
      <c r="BU317" s="26" t="e">
        <f ca="1"/>
        <v>#NAME?</v>
      </c>
      <c r="BV317" s="26" t="e">
        <f ca="1"/>
        <v>#NAME?</v>
      </c>
      <c r="BW317" s="26" t="e">
        <f ca="1"/>
        <v>#NAME?</v>
      </c>
      <c r="CB317" s="24" t="e">
        <f ca="1"/>
        <v>#NAME?</v>
      </c>
      <c r="CC317" s="20" t="e">
        <f ca="1"/>
        <v>#NAME?</v>
      </c>
      <c r="CD317" s="20" t="e">
        <f ca="1"/>
        <v>#NAME?</v>
      </c>
    </row>
    <row r="318" spans="2:82">
      <c r="B318" t="e">
        <f ca="1"/>
        <v>#NAME?</v>
      </c>
      <c r="C318" t="e">
        <f ca="1"/>
        <v>#NAME?</v>
      </c>
      <c r="D318" t="e">
        <f ca="1"/>
        <v>#NAME?</v>
      </c>
      <c r="E318" t="e">
        <f ca="1"/>
        <v>#NAME?</v>
      </c>
      <c r="F318" t="e">
        <f ca="1"/>
        <v>#NAME?</v>
      </c>
      <c r="BR318" s="26" t="e">
        <f ca="1"/>
        <v>#NAME?</v>
      </c>
      <c r="BS318" s="26" t="e">
        <f ca="1"/>
        <v>#NAME?</v>
      </c>
      <c r="BT318" s="26" t="e">
        <f ca="1"/>
        <v>#NAME?</v>
      </c>
      <c r="BU318" s="26" t="e">
        <f ca="1"/>
        <v>#NAME?</v>
      </c>
      <c r="BV318" s="26" t="e">
        <f ca="1"/>
        <v>#NAME?</v>
      </c>
      <c r="BW318" s="26" t="e">
        <f ca="1"/>
        <v>#NAME?</v>
      </c>
      <c r="CB318" s="24" t="e">
        <f ca="1"/>
        <v>#NAME?</v>
      </c>
      <c r="CC318" s="20" t="e">
        <f ca="1"/>
        <v>#NAME?</v>
      </c>
      <c r="CD318" s="20" t="e">
        <f ca="1"/>
        <v>#NAME?</v>
      </c>
    </row>
    <row r="319" spans="2:82">
      <c r="B319" t="e">
        <f ca="1"/>
        <v>#NAME?</v>
      </c>
      <c r="C319" t="e">
        <f ca="1"/>
        <v>#NAME?</v>
      </c>
      <c r="D319" t="e">
        <f ca="1"/>
        <v>#NAME?</v>
      </c>
      <c r="E319" t="e">
        <f ca="1"/>
        <v>#NAME?</v>
      </c>
      <c r="F319" t="e">
        <f ca="1"/>
        <v>#NAME?</v>
      </c>
      <c r="BR319" s="26" t="e">
        <f ca="1"/>
        <v>#NAME?</v>
      </c>
      <c r="BS319" s="26" t="e">
        <f ca="1"/>
        <v>#NAME?</v>
      </c>
      <c r="BT319" s="26" t="e">
        <f ca="1"/>
        <v>#NAME?</v>
      </c>
      <c r="BU319" s="26" t="e">
        <f ca="1"/>
        <v>#NAME?</v>
      </c>
      <c r="BV319" s="26" t="e">
        <f ca="1"/>
        <v>#NAME?</v>
      </c>
      <c r="BW319" s="26" t="e">
        <f ca="1"/>
        <v>#NAME?</v>
      </c>
      <c r="CB319" s="24" t="e">
        <f ca="1"/>
        <v>#NAME?</v>
      </c>
      <c r="CC319" s="20" t="e">
        <f ca="1"/>
        <v>#NAME?</v>
      </c>
      <c r="CD319" s="20" t="e">
        <f ca="1"/>
        <v>#NAME?</v>
      </c>
    </row>
    <row r="320" spans="2:82">
      <c r="B320" t="e">
        <f ca="1"/>
        <v>#NAME?</v>
      </c>
      <c r="C320" t="e">
        <f ca="1"/>
        <v>#NAME?</v>
      </c>
      <c r="D320" t="e">
        <f ca="1"/>
        <v>#NAME?</v>
      </c>
      <c r="E320" t="e">
        <f ca="1"/>
        <v>#NAME?</v>
      </c>
      <c r="F320" t="e">
        <f ca="1"/>
        <v>#NAME?</v>
      </c>
      <c r="BR320" s="26" t="e">
        <f ca="1"/>
        <v>#NAME?</v>
      </c>
      <c r="BS320" s="26" t="e">
        <f ca="1"/>
        <v>#NAME?</v>
      </c>
      <c r="BT320" s="26" t="e">
        <f ca="1"/>
        <v>#NAME?</v>
      </c>
      <c r="BU320" s="26" t="e">
        <f ca="1"/>
        <v>#NAME?</v>
      </c>
      <c r="BV320" s="26" t="e">
        <f ca="1"/>
        <v>#NAME?</v>
      </c>
      <c r="BW320" s="26" t="e">
        <f ca="1"/>
        <v>#NAME?</v>
      </c>
      <c r="CB320" s="24" t="e">
        <f ca="1"/>
        <v>#NAME?</v>
      </c>
      <c r="CC320" s="20" t="e">
        <f ca="1"/>
        <v>#NAME?</v>
      </c>
      <c r="CD320" s="20" t="e">
        <f ca="1"/>
        <v>#NAME?</v>
      </c>
    </row>
    <row r="321" spans="2:82">
      <c r="B321" t="e">
        <f ca="1"/>
        <v>#NAME?</v>
      </c>
      <c r="C321" t="e">
        <f ca="1"/>
        <v>#NAME?</v>
      </c>
      <c r="D321" t="e">
        <f ca="1"/>
        <v>#NAME?</v>
      </c>
      <c r="E321" t="e">
        <f ca="1"/>
        <v>#NAME?</v>
      </c>
      <c r="F321" t="e">
        <f ca="1"/>
        <v>#NAME?</v>
      </c>
      <c r="BR321" s="26" t="e">
        <f ca="1"/>
        <v>#NAME?</v>
      </c>
      <c r="BS321" s="26" t="e">
        <f ca="1"/>
        <v>#NAME?</v>
      </c>
      <c r="BT321" s="26" t="e">
        <f ca="1"/>
        <v>#NAME?</v>
      </c>
      <c r="BU321" s="26" t="e">
        <f ca="1"/>
        <v>#NAME?</v>
      </c>
      <c r="BV321" s="26" t="e">
        <f ca="1"/>
        <v>#NAME?</v>
      </c>
      <c r="BW321" s="26" t="e">
        <f ca="1"/>
        <v>#NAME?</v>
      </c>
      <c r="CB321" s="24" t="e">
        <f ca="1"/>
        <v>#NAME?</v>
      </c>
      <c r="CC321" s="20" t="e">
        <f ca="1"/>
        <v>#NAME?</v>
      </c>
      <c r="CD321" s="20" t="e">
        <f ca="1"/>
        <v>#NAME?</v>
      </c>
    </row>
    <row r="322" spans="2:82">
      <c r="B322" t="e">
        <f ca="1"/>
        <v>#NAME?</v>
      </c>
      <c r="C322" t="e">
        <f ca="1"/>
        <v>#NAME?</v>
      </c>
      <c r="D322" t="e">
        <f ca="1"/>
        <v>#NAME?</v>
      </c>
      <c r="E322" t="e">
        <f ca="1"/>
        <v>#NAME?</v>
      </c>
      <c r="F322" t="e">
        <f ca="1"/>
        <v>#NAME?</v>
      </c>
      <c r="BR322" s="26" t="e">
        <f ca="1"/>
        <v>#NAME?</v>
      </c>
      <c r="BS322" s="26" t="e">
        <f ca="1"/>
        <v>#NAME?</v>
      </c>
      <c r="BT322" s="26" t="e">
        <f ca="1"/>
        <v>#NAME?</v>
      </c>
      <c r="BU322" s="26" t="e">
        <f ca="1"/>
        <v>#NAME?</v>
      </c>
      <c r="BV322" s="26" t="e">
        <f ca="1"/>
        <v>#NAME?</v>
      </c>
      <c r="BW322" s="26" t="e">
        <f ca="1"/>
        <v>#NAME?</v>
      </c>
      <c r="CB322" s="24" t="e">
        <f ca="1"/>
        <v>#NAME?</v>
      </c>
      <c r="CC322" s="20" t="e">
        <f ca="1"/>
        <v>#NAME?</v>
      </c>
      <c r="CD322" s="20" t="e">
        <f ca="1"/>
        <v>#NAME?</v>
      </c>
    </row>
    <row r="323" spans="2:82">
      <c r="B323" t="e">
        <f ca="1"/>
        <v>#NAME?</v>
      </c>
      <c r="C323" t="e">
        <f ca="1"/>
        <v>#NAME?</v>
      </c>
      <c r="D323" t="e">
        <f ca="1"/>
        <v>#NAME?</v>
      </c>
      <c r="E323" t="e">
        <f ca="1"/>
        <v>#NAME?</v>
      </c>
      <c r="F323" t="e">
        <f ca="1"/>
        <v>#NAME?</v>
      </c>
      <c r="BR323" s="26" t="e">
        <f ca="1"/>
        <v>#NAME?</v>
      </c>
      <c r="BS323" s="26" t="e">
        <f ca="1"/>
        <v>#NAME?</v>
      </c>
      <c r="BT323" s="26" t="e">
        <f ca="1"/>
        <v>#NAME?</v>
      </c>
      <c r="BU323" s="26" t="e">
        <f ca="1"/>
        <v>#NAME?</v>
      </c>
      <c r="BV323" s="26" t="e">
        <f ca="1"/>
        <v>#NAME?</v>
      </c>
      <c r="BW323" s="26" t="e">
        <f ca="1"/>
        <v>#NAME?</v>
      </c>
      <c r="CB323" s="24" t="e">
        <f ca="1"/>
        <v>#NAME?</v>
      </c>
      <c r="CC323" s="20" t="e">
        <f ca="1"/>
        <v>#NAME?</v>
      </c>
      <c r="CD323" s="20" t="e">
        <f ca="1"/>
        <v>#NAME?</v>
      </c>
    </row>
    <row r="324" spans="2:82">
      <c r="B324" t="e">
        <f ca="1"/>
        <v>#NAME?</v>
      </c>
      <c r="C324" t="e">
        <f ca="1"/>
        <v>#NAME?</v>
      </c>
      <c r="D324" t="e">
        <f ca="1"/>
        <v>#NAME?</v>
      </c>
      <c r="E324" t="e">
        <f ca="1"/>
        <v>#NAME?</v>
      </c>
      <c r="F324" t="e">
        <f ca="1"/>
        <v>#NAME?</v>
      </c>
      <c r="BR324" s="26" t="e">
        <f ca="1"/>
        <v>#NAME?</v>
      </c>
      <c r="BS324" s="26" t="e">
        <f ca="1"/>
        <v>#NAME?</v>
      </c>
      <c r="BT324" s="26" t="e">
        <f ca="1"/>
        <v>#NAME?</v>
      </c>
      <c r="BU324" s="26" t="e">
        <f ca="1"/>
        <v>#NAME?</v>
      </c>
      <c r="BV324" s="26" t="e">
        <f ca="1"/>
        <v>#NAME?</v>
      </c>
      <c r="BW324" s="26" t="e">
        <f ca="1"/>
        <v>#NAME?</v>
      </c>
      <c r="CB324" s="24" t="e">
        <f ca="1"/>
        <v>#NAME?</v>
      </c>
      <c r="CC324" s="20" t="e">
        <f ca="1"/>
        <v>#NAME?</v>
      </c>
      <c r="CD324" s="20" t="e">
        <f ca="1"/>
        <v>#NAME?</v>
      </c>
    </row>
    <row r="325" spans="2:82">
      <c r="B325" t="e">
        <f ca="1"/>
        <v>#NAME?</v>
      </c>
      <c r="C325" t="e">
        <f ca="1"/>
        <v>#NAME?</v>
      </c>
      <c r="D325" t="e">
        <f ca="1"/>
        <v>#NAME?</v>
      </c>
      <c r="E325" t="e">
        <f ca="1"/>
        <v>#NAME?</v>
      </c>
      <c r="F325" t="e">
        <f ca="1"/>
        <v>#NAME?</v>
      </c>
      <c r="BR325" s="26" t="e">
        <f ca="1"/>
        <v>#NAME?</v>
      </c>
      <c r="BS325" s="26" t="e">
        <f ca="1"/>
        <v>#NAME?</v>
      </c>
      <c r="BT325" s="26" t="e">
        <f ca="1"/>
        <v>#NAME?</v>
      </c>
      <c r="BU325" s="26" t="e">
        <f ca="1"/>
        <v>#NAME?</v>
      </c>
      <c r="BV325" s="26" t="e">
        <f ca="1"/>
        <v>#NAME?</v>
      </c>
      <c r="BW325" s="26" t="e">
        <f ca="1"/>
        <v>#NAME?</v>
      </c>
      <c r="CB325" s="24" t="e">
        <f ca="1"/>
        <v>#NAME?</v>
      </c>
      <c r="CC325" s="20" t="e">
        <f ca="1"/>
        <v>#NAME?</v>
      </c>
      <c r="CD325" s="20" t="e">
        <f ca="1"/>
        <v>#NAME?</v>
      </c>
    </row>
    <row r="326" spans="2:82">
      <c r="B326" t="e">
        <f ca="1"/>
        <v>#NAME?</v>
      </c>
      <c r="C326" t="e">
        <f ca="1"/>
        <v>#NAME?</v>
      </c>
      <c r="D326" t="e">
        <f ca="1"/>
        <v>#NAME?</v>
      </c>
      <c r="E326" t="e">
        <f ca="1"/>
        <v>#NAME?</v>
      </c>
      <c r="F326" t="e">
        <f ca="1"/>
        <v>#NAME?</v>
      </c>
      <c r="BR326" s="26" t="e">
        <f ca="1"/>
        <v>#NAME?</v>
      </c>
      <c r="BS326" s="26" t="e">
        <f ca="1"/>
        <v>#NAME?</v>
      </c>
      <c r="BT326" s="26" t="e">
        <f ca="1"/>
        <v>#NAME?</v>
      </c>
      <c r="BU326" s="26" t="e">
        <f ca="1"/>
        <v>#NAME?</v>
      </c>
      <c r="BV326" s="26" t="e">
        <f ca="1"/>
        <v>#NAME?</v>
      </c>
      <c r="BW326" s="26" t="e">
        <f ca="1"/>
        <v>#NAME?</v>
      </c>
      <c r="CB326" s="24" t="e">
        <f ca="1"/>
        <v>#NAME?</v>
      </c>
      <c r="CC326" s="20" t="e">
        <f ca="1"/>
        <v>#NAME?</v>
      </c>
      <c r="CD326" s="20" t="e">
        <f ca="1"/>
        <v>#NAME?</v>
      </c>
    </row>
    <row r="327" spans="2:82">
      <c r="B327" t="e">
        <f ca="1"/>
        <v>#NAME?</v>
      </c>
      <c r="C327" t="e">
        <f ca="1"/>
        <v>#NAME?</v>
      </c>
      <c r="D327" t="e">
        <f ca="1"/>
        <v>#NAME?</v>
      </c>
      <c r="E327" t="e">
        <f ca="1"/>
        <v>#NAME?</v>
      </c>
      <c r="F327" t="e">
        <f ca="1"/>
        <v>#NAME?</v>
      </c>
      <c r="BR327" s="26" t="e">
        <f ca="1"/>
        <v>#NAME?</v>
      </c>
      <c r="BS327" s="26" t="e">
        <f ca="1"/>
        <v>#NAME?</v>
      </c>
      <c r="BT327" s="26" t="e">
        <f ca="1"/>
        <v>#NAME?</v>
      </c>
      <c r="BU327" s="26" t="e">
        <f ca="1"/>
        <v>#NAME?</v>
      </c>
      <c r="BV327" s="26" t="e">
        <f ca="1"/>
        <v>#NAME?</v>
      </c>
      <c r="BW327" s="26" t="e">
        <f ca="1"/>
        <v>#NAME?</v>
      </c>
      <c r="CB327" s="24" t="e">
        <f ca="1"/>
        <v>#NAME?</v>
      </c>
      <c r="CC327" s="20" t="e">
        <f ca="1"/>
        <v>#NAME?</v>
      </c>
      <c r="CD327" s="20" t="e">
        <f ca="1"/>
        <v>#NAME?</v>
      </c>
    </row>
    <row r="328" spans="2:82">
      <c r="B328" t="e">
        <f ca="1"/>
        <v>#NAME?</v>
      </c>
      <c r="C328" t="e">
        <f ca="1"/>
        <v>#NAME?</v>
      </c>
      <c r="D328" t="e">
        <f ca="1"/>
        <v>#NAME?</v>
      </c>
      <c r="E328" t="e">
        <f ca="1"/>
        <v>#NAME?</v>
      </c>
      <c r="F328" t="e">
        <f ca="1"/>
        <v>#NAME?</v>
      </c>
      <c r="BR328" s="26" t="e">
        <f ca="1"/>
        <v>#NAME?</v>
      </c>
      <c r="BS328" s="26" t="e">
        <f ca="1"/>
        <v>#NAME?</v>
      </c>
      <c r="BT328" s="26" t="e">
        <f ca="1"/>
        <v>#NAME?</v>
      </c>
      <c r="BU328" s="26" t="e">
        <f ca="1"/>
        <v>#NAME?</v>
      </c>
      <c r="BV328" s="26" t="e">
        <f ca="1"/>
        <v>#NAME?</v>
      </c>
      <c r="BW328" s="26" t="e">
        <f ca="1"/>
        <v>#NAME?</v>
      </c>
      <c r="CB328" s="24" t="e">
        <f ca="1"/>
        <v>#NAME?</v>
      </c>
      <c r="CC328" s="20" t="e">
        <f ca="1"/>
        <v>#NAME?</v>
      </c>
      <c r="CD328" s="20" t="e">
        <f ca="1"/>
        <v>#NAME?</v>
      </c>
    </row>
    <row r="329" spans="2:82">
      <c r="B329" t="e">
        <f ca="1"/>
        <v>#NAME?</v>
      </c>
      <c r="C329" t="e">
        <f ca="1"/>
        <v>#NAME?</v>
      </c>
      <c r="D329" t="e">
        <f ca="1"/>
        <v>#NAME?</v>
      </c>
      <c r="E329" t="e">
        <f ca="1"/>
        <v>#NAME?</v>
      </c>
      <c r="F329" t="e">
        <f ca="1"/>
        <v>#NAME?</v>
      </c>
      <c r="BR329" s="26" t="e">
        <f ca="1"/>
        <v>#NAME?</v>
      </c>
      <c r="BS329" s="26" t="e">
        <f ca="1"/>
        <v>#NAME?</v>
      </c>
      <c r="BT329" s="26" t="e">
        <f ca="1"/>
        <v>#NAME?</v>
      </c>
      <c r="BU329" s="26" t="e">
        <f ca="1"/>
        <v>#NAME?</v>
      </c>
      <c r="BV329" s="26" t="e">
        <f ca="1"/>
        <v>#NAME?</v>
      </c>
      <c r="BW329" s="26" t="e">
        <f ca="1"/>
        <v>#NAME?</v>
      </c>
      <c r="CB329" s="24" t="e">
        <f ca="1"/>
        <v>#NAME?</v>
      </c>
      <c r="CC329" s="20" t="e">
        <f ca="1"/>
        <v>#NAME?</v>
      </c>
      <c r="CD329" s="20" t="e">
        <f ca="1"/>
        <v>#NAME?</v>
      </c>
    </row>
    <row r="330" spans="2:82">
      <c r="B330" t="e">
        <f ca="1"/>
        <v>#NAME?</v>
      </c>
      <c r="C330" t="e">
        <f ca="1"/>
        <v>#NAME?</v>
      </c>
      <c r="D330" t="e">
        <f ca="1"/>
        <v>#NAME?</v>
      </c>
      <c r="E330" t="e">
        <f ca="1"/>
        <v>#NAME?</v>
      </c>
      <c r="F330" t="e">
        <f ca="1"/>
        <v>#NAME?</v>
      </c>
      <c r="BR330" s="26" t="e">
        <f ca="1"/>
        <v>#NAME?</v>
      </c>
      <c r="BS330" s="26" t="e">
        <f ca="1"/>
        <v>#NAME?</v>
      </c>
      <c r="BT330" s="26" t="e">
        <f ca="1"/>
        <v>#NAME?</v>
      </c>
      <c r="BU330" s="26" t="e">
        <f ca="1"/>
        <v>#NAME?</v>
      </c>
      <c r="BV330" s="26" t="e">
        <f ca="1"/>
        <v>#NAME?</v>
      </c>
      <c r="BW330" s="26" t="e">
        <f ca="1"/>
        <v>#NAME?</v>
      </c>
      <c r="CB330" s="24" t="e">
        <f ca="1"/>
        <v>#NAME?</v>
      </c>
      <c r="CC330" s="20" t="e">
        <f ca="1"/>
        <v>#NAME?</v>
      </c>
      <c r="CD330" s="20" t="e">
        <f ca="1"/>
        <v>#NAME?</v>
      </c>
    </row>
    <row r="331" spans="2:82">
      <c r="B331" t="e">
        <f ca="1"/>
        <v>#NAME?</v>
      </c>
      <c r="C331" t="e">
        <f ca="1"/>
        <v>#NAME?</v>
      </c>
      <c r="D331" t="e">
        <f ca="1"/>
        <v>#NAME?</v>
      </c>
      <c r="E331" t="e">
        <f ca="1"/>
        <v>#NAME?</v>
      </c>
      <c r="F331" t="e">
        <f ca="1"/>
        <v>#NAME?</v>
      </c>
      <c r="BR331" s="26" t="e">
        <f ca="1"/>
        <v>#NAME?</v>
      </c>
      <c r="BS331" s="26" t="e">
        <f ca="1"/>
        <v>#NAME?</v>
      </c>
      <c r="BT331" s="26" t="e">
        <f ca="1"/>
        <v>#NAME?</v>
      </c>
      <c r="BU331" s="26" t="e">
        <f ca="1"/>
        <v>#NAME?</v>
      </c>
      <c r="BV331" s="26" t="e">
        <f ca="1"/>
        <v>#NAME?</v>
      </c>
      <c r="BW331" s="26" t="e">
        <f ca="1"/>
        <v>#NAME?</v>
      </c>
      <c r="CB331" s="24" t="e">
        <f ca="1"/>
        <v>#NAME?</v>
      </c>
      <c r="CC331" s="20" t="e">
        <f ca="1"/>
        <v>#NAME?</v>
      </c>
      <c r="CD331" s="20" t="e">
        <f ca="1"/>
        <v>#NAME?</v>
      </c>
    </row>
    <row r="332" spans="2:82">
      <c r="B332" t="e">
        <f ca="1"/>
        <v>#NAME?</v>
      </c>
      <c r="C332" t="e">
        <f ca="1"/>
        <v>#NAME?</v>
      </c>
      <c r="D332" t="e">
        <f ca="1"/>
        <v>#NAME?</v>
      </c>
      <c r="E332" t="e">
        <f ca="1"/>
        <v>#NAME?</v>
      </c>
      <c r="F332" t="e">
        <f ca="1"/>
        <v>#NAME?</v>
      </c>
      <c r="BR332" s="26" t="e">
        <f ca="1"/>
        <v>#NAME?</v>
      </c>
      <c r="BS332" s="26" t="e">
        <f ca="1"/>
        <v>#NAME?</v>
      </c>
      <c r="BT332" s="26" t="e">
        <f ca="1"/>
        <v>#NAME?</v>
      </c>
      <c r="BU332" s="26" t="e">
        <f ca="1"/>
        <v>#NAME?</v>
      </c>
      <c r="BV332" s="26" t="e">
        <f ca="1"/>
        <v>#NAME?</v>
      </c>
      <c r="BW332" s="26" t="e">
        <f ca="1"/>
        <v>#NAME?</v>
      </c>
      <c r="CB332" s="24" t="e">
        <f ca="1"/>
        <v>#NAME?</v>
      </c>
      <c r="CC332" s="20" t="e">
        <f ca="1"/>
        <v>#NAME?</v>
      </c>
      <c r="CD332" s="20" t="e">
        <f ca="1"/>
        <v>#NAME?</v>
      </c>
    </row>
    <row r="333" spans="2:82">
      <c r="B333" t="e">
        <f ca="1"/>
        <v>#NAME?</v>
      </c>
      <c r="C333" t="e">
        <f ca="1"/>
        <v>#NAME?</v>
      </c>
      <c r="D333" t="e">
        <f ca="1"/>
        <v>#NAME?</v>
      </c>
      <c r="E333" t="e">
        <f ca="1"/>
        <v>#NAME?</v>
      </c>
      <c r="F333" t="e">
        <f ca="1"/>
        <v>#NAME?</v>
      </c>
      <c r="BR333" s="26" t="e">
        <f ca="1"/>
        <v>#NAME?</v>
      </c>
      <c r="BS333" s="26" t="e">
        <f ca="1"/>
        <v>#NAME?</v>
      </c>
      <c r="BT333" s="26" t="e">
        <f ca="1"/>
        <v>#NAME?</v>
      </c>
      <c r="BU333" s="26" t="e">
        <f ca="1"/>
        <v>#NAME?</v>
      </c>
      <c r="BV333" s="26" t="e">
        <f ca="1"/>
        <v>#NAME?</v>
      </c>
      <c r="BW333" s="26" t="e">
        <f ca="1"/>
        <v>#NAME?</v>
      </c>
      <c r="CB333" s="24" t="e">
        <f ca="1"/>
        <v>#NAME?</v>
      </c>
      <c r="CC333" s="20" t="e">
        <f ca="1"/>
        <v>#NAME?</v>
      </c>
      <c r="CD333" s="20" t="e">
        <f ca="1"/>
        <v>#NAME?</v>
      </c>
    </row>
    <row r="334" spans="2:82">
      <c r="B334" t="e">
        <f ca="1"/>
        <v>#NAME?</v>
      </c>
      <c r="C334" t="e">
        <f ca="1"/>
        <v>#NAME?</v>
      </c>
      <c r="D334" t="e">
        <f ca="1"/>
        <v>#NAME?</v>
      </c>
      <c r="E334" t="e">
        <f ca="1"/>
        <v>#NAME?</v>
      </c>
      <c r="F334" t="e">
        <f ca="1"/>
        <v>#NAME?</v>
      </c>
      <c r="BR334" s="26" t="e">
        <f ca="1"/>
        <v>#NAME?</v>
      </c>
      <c r="BS334" s="26" t="e">
        <f ca="1"/>
        <v>#NAME?</v>
      </c>
      <c r="BT334" s="26" t="e">
        <f ca="1"/>
        <v>#NAME?</v>
      </c>
      <c r="BU334" s="26" t="e">
        <f ca="1"/>
        <v>#NAME?</v>
      </c>
      <c r="BV334" s="26" t="e">
        <f ca="1"/>
        <v>#NAME?</v>
      </c>
      <c r="BW334" s="26" t="e">
        <f ca="1"/>
        <v>#NAME?</v>
      </c>
      <c r="CB334" s="24" t="e">
        <f ca="1"/>
        <v>#NAME?</v>
      </c>
      <c r="CC334" s="20" t="e">
        <f ca="1"/>
        <v>#NAME?</v>
      </c>
      <c r="CD334" s="20" t="e">
        <f ca="1"/>
        <v>#NAME?</v>
      </c>
    </row>
    <row r="335" spans="2:82">
      <c r="B335" t="e">
        <f ca="1"/>
        <v>#NAME?</v>
      </c>
      <c r="C335" t="e">
        <f ca="1"/>
        <v>#NAME?</v>
      </c>
      <c r="D335" t="e">
        <f ca="1"/>
        <v>#NAME?</v>
      </c>
      <c r="E335" t="e">
        <f ca="1"/>
        <v>#NAME?</v>
      </c>
      <c r="F335" t="e">
        <f ca="1"/>
        <v>#NAME?</v>
      </c>
      <c r="BR335" s="26" t="e">
        <f ca="1"/>
        <v>#NAME?</v>
      </c>
      <c r="BS335" s="26" t="e">
        <f ca="1"/>
        <v>#NAME?</v>
      </c>
      <c r="BT335" s="26" t="e">
        <f ca="1"/>
        <v>#NAME?</v>
      </c>
      <c r="BU335" s="26" t="e">
        <f ca="1"/>
        <v>#NAME?</v>
      </c>
      <c r="BV335" s="26" t="e">
        <f ca="1"/>
        <v>#NAME?</v>
      </c>
      <c r="BW335" s="26" t="e">
        <f ca="1"/>
        <v>#NAME?</v>
      </c>
      <c r="CB335" s="24" t="e">
        <f ca="1"/>
        <v>#NAME?</v>
      </c>
      <c r="CC335" s="20" t="e">
        <f ca="1"/>
        <v>#NAME?</v>
      </c>
      <c r="CD335" s="20" t="e">
        <f ca="1"/>
        <v>#NAME?</v>
      </c>
    </row>
    <row r="336" spans="2:82">
      <c r="B336" t="e">
        <f ca="1"/>
        <v>#NAME?</v>
      </c>
      <c r="C336" t="e">
        <f ca="1"/>
        <v>#NAME?</v>
      </c>
      <c r="D336" t="e">
        <f ca="1"/>
        <v>#NAME?</v>
      </c>
      <c r="E336" t="e">
        <f ca="1"/>
        <v>#NAME?</v>
      </c>
      <c r="F336" t="e">
        <f ca="1"/>
        <v>#NAME?</v>
      </c>
      <c r="BR336" s="26" t="e">
        <f ca="1"/>
        <v>#NAME?</v>
      </c>
      <c r="BS336" s="26" t="e">
        <f ca="1"/>
        <v>#NAME?</v>
      </c>
      <c r="BT336" s="26" t="e">
        <f ca="1"/>
        <v>#NAME?</v>
      </c>
      <c r="BU336" s="26" t="e">
        <f ca="1"/>
        <v>#NAME?</v>
      </c>
      <c r="BV336" s="26" t="e">
        <f ca="1"/>
        <v>#NAME?</v>
      </c>
      <c r="BW336" s="26" t="e">
        <f ca="1"/>
        <v>#NAME?</v>
      </c>
      <c r="CB336" s="24" t="e">
        <f ca="1"/>
        <v>#NAME?</v>
      </c>
      <c r="CC336" s="20" t="e">
        <f ca="1"/>
        <v>#NAME?</v>
      </c>
      <c r="CD336" s="20" t="e">
        <f ca="1"/>
        <v>#NAME?</v>
      </c>
    </row>
    <row r="337" spans="2:82">
      <c r="B337" t="e">
        <f ca="1"/>
        <v>#NAME?</v>
      </c>
      <c r="C337" t="e">
        <f ca="1"/>
        <v>#NAME?</v>
      </c>
      <c r="D337" t="e">
        <f ca="1"/>
        <v>#NAME?</v>
      </c>
      <c r="E337" t="e">
        <f ca="1"/>
        <v>#NAME?</v>
      </c>
      <c r="F337" t="e">
        <f ca="1"/>
        <v>#NAME?</v>
      </c>
      <c r="BR337" s="26" t="e">
        <f ca="1"/>
        <v>#NAME?</v>
      </c>
      <c r="BS337" s="26" t="e">
        <f ca="1"/>
        <v>#NAME?</v>
      </c>
      <c r="BT337" s="26" t="e">
        <f ca="1"/>
        <v>#NAME?</v>
      </c>
      <c r="BU337" s="26" t="e">
        <f ca="1"/>
        <v>#NAME?</v>
      </c>
      <c r="BV337" s="26" t="e">
        <f ca="1"/>
        <v>#NAME?</v>
      </c>
      <c r="BW337" s="26" t="e">
        <f ca="1"/>
        <v>#NAME?</v>
      </c>
      <c r="CB337" s="24" t="e">
        <f ca="1"/>
        <v>#NAME?</v>
      </c>
      <c r="CC337" s="20" t="e">
        <f ca="1"/>
        <v>#NAME?</v>
      </c>
      <c r="CD337" s="20" t="e">
        <f ca="1"/>
        <v>#NAME?</v>
      </c>
    </row>
    <row r="338" spans="2:82">
      <c r="B338" t="e">
        <f ca="1"/>
        <v>#NAME?</v>
      </c>
      <c r="C338" t="e">
        <f ca="1"/>
        <v>#NAME?</v>
      </c>
      <c r="D338" t="e">
        <f ca="1"/>
        <v>#NAME?</v>
      </c>
      <c r="E338" t="e">
        <f ca="1"/>
        <v>#NAME?</v>
      </c>
      <c r="F338" t="e">
        <f ca="1"/>
        <v>#NAME?</v>
      </c>
      <c r="BR338" s="26" t="e">
        <f ca="1"/>
        <v>#NAME?</v>
      </c>
      <c r="BS338" s="26" t="e">
        <f ca="1"/>
        <v>#NAME?</v>
      </c>
      <c r="BT338" s="26" t="e">
        <f ca="1"/>
        <v>#NAME?</v>
      </c>
      <c r="BU338" s="26" t="e">
        <f ca="1"/>
        <v>#NAME?</v>
      </c>
      <c r="BV338" s="26" t="e">
        <f ca="1"/>
        <v>#NAME?</v>
      </c>
      <c r="BW338" s="26" t="e">
        <f ca="1"/>
        <v>#NAME?</v>
      </c>
      <c r="CB338" s="24" t="e">
        <f ca="1"/>
        <v>#NAME?</v>
      </c>
      <c r="CC338" s="20" t="e">
        <f ca="1"/>
        <v>#NAME?</v>
      </c>
      <c r="CD338" s="20" t="e">
        <f ca="1"/>
        <v>#NAME?</v>
      </c>
    </row>
    <row r="339" spans="2:82">
      <c r="B339" t="e">
        <f ca="1"/>
        <v>#NAME?</v>
      </c>
      <c r="C339" t="e">
        <f ca="1"/>
        <v>#NAME?</v>
      </c>
      <c r="D339" t="e">
        <f ca="1"/>
        <v>#NAME?</v>
      </c>
      <c r="E339" t="e">
        <f ca="1"/>
        <v>#NAME?</v>
      </c>
      <c r="F339" t="e">
        <f ca="1"/>
        <v>#NAME?</v>
      </c>
      <c r="BR339" s="26" t="e">
        <f ca="1"/>
        <v>#NAME?</v>
      </c>
      <c r="BS339" s="26" t="e">
        <f ca="1"/>
        <v>#NAME?</v>
      </c>
      <c r="BT339" s="26" t="e">
        <f ca="1"/>
        <v>#NAME?</v>
      </c>
      <c r="BU339" s="26" t="e">
        <f ca="1"/>
        <v>#NAME?</v>
      </c>
      <c r="BV339" s="26" t="e">
        <f ca="1"/>
        <v>#NAME?</v>
      </c>
      <c r="BW339" s="26" t="e">
        <f ca="1"/>
        <v>#NAME?</v>
      </c>
      <c r="CB339" s="24" t="e">
        <f ca="1"/>
        <v>#NAME?</v>
      </c>
      <c r="CC339" s="20" t="e">
        <f ca="1"/>
        <v>#NAME?</v>
      </c>
      <c r="CD339" s="20" t="e">
        <f ca="1"/>
        <v>#NAME?</v>
      </c>
    </row>
    <row r="340" spans="2:82">
      <c r="BR340" s="26" t="e">
        <f ca="1"/>
        <v>#NAME?</v>
      </c>
      <c r="BS340" s="26" t="e">
        <f ca="1"/>
        <v>#NAME?</v>
      </c>
      <c r="BT340" s="26" t="e">
        <f ca="1"/>
        <v>#NAME?</v>
      </c>
      <c r="BU340" s="26" t="e">
        <f ca="1"/>
        <v>#NAME?</v>
      </c>
      <c r="BV340" s="26" t="e">
        <f ca="1"/>
        <v>#NAME?</v>
      </c>
      <c r="BW340" s="26" t="e">
        <f ca="1"/>
        <v>#NAME?</v>
      </c>
    </row>
  </sheetData>
  <autoFilter ref="A1:CD1"/>
  <conditionalFormatting sqref="A2:CD1000">
    <cfRule type="expression" dxfId="328" priority="1">
      <formula>$A2&lt;&gt;""</formula>
    </cfRule>
    <cfRule type="expression" dxfId="327" priority="2">
      <formula>$A2="Total"</formula>
    </cfRule>
  </conditionalFormatting>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dimension ref="A1:CD357"/>
  <sheetViews>
    <sheetView zoomScale="85" zoomScaleNormal="85" workbookViewId="0">
      <pane ySplit="3" topLeftCell="A4" activePane="bottomLeft" state="frozen"/>
      <selection pane="bottomLeft" activeCell="A3" sqref="A3:CD342"/>
    </sheetView>
  </sheetViews>
  <sheetFormatPr defaultRowHeight="14.25"/>
  <cols>
    <col min="1" max="1" width="19.75" customWidth="1"/>
    <col min="2" max="2" width="22.625" customWidth="1"/>
    <col min="3" max="3" width="50.375" customWidth="1"/>
    <col min="4" max="4" width="43.125" customWidth="1"/>
    <col min="5" max="5" width="17" customWidth="1"/>
    <col min="6" max="6" width="22" customWidth="1"/>
    <col min="7" max="7" width="21.75" customWidth="1"/>
    <col min="8" max="8" width="20.875" customWidth="1"/>
    <col min="9" max="9" width="15.625" customWidth="1"/>
    <col min="10" max="10" width="25.875" customWidth="1"/>
    <col min="11" max="11" width="24.875" customWidth="1"/>
    <col min="12" max="12" width="20.125" customWidth="1"/>
    <col min="13" max="13" width="34.25" customWidth="1"/>
    <col min="14" max="14" width="25.375" customWidth="1"/>
    <col min="15" max="15" width="17.75" customWidth="1"/>
    <col min="16" max="16" width="32.125" customWidth="1"/>
    <col min="17" max="17" width="27.875" customWidth="1"/>
    <col min="18" max="18" width="14.125" customWidth="1"/>
    <col min="19" max="19" width="16.375" customWidth="1"/>
    <col min="20" max="20" width="18.75" customWidth="1"/>
    <col min="21" max="21" width="12" customWidth="1"/>
    <col min="22" max="22" width="19.25" customWidth="1"/>
    <col min="23" max="23" width="14.125" customWidth="1"/>
    <col min="24" max="24" width="16.625" customWidth="1"/>
    <col min="25" max="25" width="13.125" customWidth="1"/>
    <col min="26" max="26" width="17.625" customWidth="1"/>
    <col min="27" max="27" width="20.375" customWidth="1"/>
    <col min="28" max="28" width="34.875" customWidth="1"/>
    <col min="29" max="29" width="67.5" customWidth="1"/>
    <col min="30" max="30" width="17.625" customWidth="1"/>
    <col min="31" max="31" width="50.75" customWidth="1"/>
    <col min="32" max="32" width="51.625" customWidth="1"/>
    <col min="33" max="33" width="16" customWidth="1"/>
    <col min="34" max="34" width="13.125" customWidth="1"/>
    <col min="35" max="35" width="10.5" customWidth="1"/>
    <col min="36" max="36" width="24.625" bestFit="1" customWidth="1"/>
    <col min="37" max="37" width="18.25" customWidth="1"/>
    <col min="38" max="38" width="23.25" customWidth="1"/>
    <col min="39" max="39" width="17.625" customWidth="1"/>
    <col min="40" max="40" width="54.125" customWidth="1"/>
    <col min="41" max="41" width="61.25" customWidth="1"/>
    <col min="42" max="42" width="43.75" customWidth="1"/>
    <col min="43" max="43" width="54.125" customWidth="1"/>
    <col min="44" max="44" width="30.375" customWidth="1"/>
    <col min="45" max="45" width="67.375" customWidth="1"/>
    <col min="46" max="46" width="26.5" customWidth="1"/>
    <col min="47" max="47" width="44.5" customWidth="1"/>
    <col min="48" max="48" width="38.5" customWidth="1"/>
    <col min="49" max="49" width="23.125" customWidth="1"/>
    <col min="50" max="50" width="20.25" customWidth="1"/>
    <col min="51" max="51" width="22.125" customWidth="1"/>
    <col min="52" max="52" width="34.625" customWidth="1"/>
    <col min="53" max="53" width="74.5" bestFit="1" customWidth="1"/>
    <col min="54" max="54" width="50" customWidth="1"/>
    <col min="55" max="55" width="17.625" customWidth="1"/>
    <col min="56" max="56" width="38.125" customWidth="1"/>
    <col min="57" max="57" width="17.625" customWidth="1"/>
    <col min="58" max="58" width="45.75" customWidth="1"/>
    <col min="59" max="59" width="17.625" customWidth="1"/>
    <col min="60" max="60" width="58.625" customWidth="1"/>
    <col min="61" max="61" width="19.625" customWidth="1"/>
    <col min="62" max="62" width="24.375" customWidth="1"/>
    <col min="63" max="63" width="39.25" customWidth="1"/>
    <col min="64" max="64" width="49.5" customWidth="1"/>
    <col min="65" max="65" width="22" customWidth="1"/>
    <col min="66" max="66" width="32.25" customWidth="1"/>
    <col min="67" max="67" width="28.375" customWidth="1"/>
    <col min="68" max="68" width="19.5" customWidth="1"/>
    <col min="69" max="69" width="10.375" customWidth="1"/>
    <col min="70" max="70" width="11.5" customWidth="1"/>
    <col min="71" max="72" width="8.25" customWidth="1"/>
    <col min="73" max="73" width="33.375" customWidth="1"/>
    <col min="74" max="74" width="39" customWidth="1"/>
    <col min="75" max="75" width="51" customWidth="1"/>
    <col min="76" max="76" width="36.75" customWidth="1"/>
    <col min="77" max="77" width="49.125" customWidth="1"/>
    <col min="78" max="78" width="27" bestFit="1" customWidth="1"/>
    <col min="79" max="79" width="25.375" bestFit="1" customWidth="1"/>
    <col min="80" max="80" width="15.625" customWidth="1"/>
    <col min="81" max="81" width="22.625" customWidth="1"/>
    <col min="82" max="82" width="35.75" customWidth="1"/>
  </cols>
  <sheetData>
    <row r="1" spans="1:82" s="147" customFormat="1" ht="18" customHeight="1">
      <c r="I1" s="322" t="s">
        <v>1257</v>
      </c>
      <c r="J1" s="323"/>
      <c r="K1" s="323"/>
      <c r="L1" s="323"/>
      <c r="M1" s="323"/>
      <c r="N1" s="323"/>
      <c r="O1" s="323"/>
      <c r="P1" s="323"/>
      <c r="Q1" s="323"/>
      <c r="R1" s="363" t="s">
        <v>1258</v>
      </c>
      <c r="S1" s="364"/>
      <c r="T1" s="364"/>
      <c r="U1" s="364"/>
      <c r="V1" s="364"/>
      <c r="W1" s="364"/>
      <c r="X1" s="364"/>
      <c r="Y1" s="364"/>
      <c r="Z1" s="364"/>
      <c r="AA1" s="364"/>
      <c r="AB1" s="364"/>
      <c r="AC1" s="364"/>
      <c r="AD1" s="364"/>
      <c r="AE1" s="364"/>
      <c r="AF1" s="364"/>
      <c r="AG1" s="364"/>
      <c r="AH1" s="364"/>
      <c r="AI1" s="364"/>
      <c r="AJ1" s="364"/>
      <c r="AK1" s="364"/>
      <c r="AL1" s="364"/>
      <c r="AM1" s="364"/>
      <c r="AN1" s="364"/>
      <c r="AO1" s="365" t="s">
        <v>1259</v>
      </c>
      <c r="AP1" s="365"/>
      <c r="AQ1" s="365"/>
      <c r="AR1" s="365"/>
      <c r="AS1" s="365"/>
      <c r="AT1" s="365"/>
      <c r="AU1" s="365"/>
      <c r="AV1" s="365"/>
      <c r="AW1" s="355" t="s">
        <v>1260</v>
      </c>
      <c r="AX1" s="356"/>
      <c r="AY1" s="356"/>
      <c r="AZ1" s="356"/>
      <c r="BA1" s="356"/>
      <c r="BB1" s="356"/>
      <c r="BC1" s="356"/>
      <c r="BD1" s="356"/>
      <c r="BE1" s="356"/>
      <c r="BF1" s="356"/>
      <c r="BG1" s="356"/>
      <c r="BH1" s="357"/>
      <c r="BI1" s="330" t="s">
        <v>1261</v>
      </c>
      <c r="BJ1" s="330"/>
      <c r="BK1" s="330"/>
      <c r="BL1" s="330"/>
      <c r="BM1" s="330"/>
      <c r="BN1" s="330"/>
      <c r="BP1" s="358" t="s">
        <v>1262</v>
      </c>
      <c r="BQ1" s="358"/>
      <c r="BR1" s="358"/>
      <c r="BS1" s="358"/>
      <c r="BT1" s="358"/>
      <c r="BU1" s="358"/>
      <c r="BV1" s="358"/>
      <c r="BW1" s="358"/>
      <c r="BX1" s="358"/>
      <c r="BY1" s="358"/>
    </row>
    <row r="2" spans="1:82" s="147" customFormat="1" ht="18" customHeight="1">
      <c r="I2" s="325"/>
      <c r="J2" s="326"/>
      <c r="K2" s="326"/>
      <c r="L2" s="326"/>
      <c r="M2" s="326"/>
      <c r="N2" s="326"/>
      <c r="O2" s="326"/>
      <c r="P2" s="326"/>
      <c r="Q2" s="326"/>
      <c r="R2" s="337" t="s">
        <v>1263</v>
      </c>
      <c r="S2" s="338"/>
      <c r="T2" s="338"/>
      <c r="U2" s="338"/>
      <c r="V2" s="338"/>
      <c r="W2" s="338"/>
      <c r="X2" s="338"/>
      <c r="Y2" s="338"/>
      <c r="Z2" s="338"/>
      <c r="AA2" s="334" t="s">
        <v>1264</v>
      </c>
      <c r="AB2" s="335"/>
      <c r="AC2" s="335"/>
      <c r="AD2" s="335"/>
      <c r="AE2" s="359" t="s">
        <v>1265</v>
      </c>
      <c r="AF2" s="359"/>
      <c r="AG2" s="359"/>
      <c r="AH2" s="359"/>
      <c r="AI2" s="359"/>
      <c r="AJ2" s="359"/>
      <c r="AK2" s="359"/>
      <c r="AL2" s="359"/>
      <c r="AM2" s="359"/>
      <c r="AN2" s="151"/>
      <c r="AO2" s="365"/>
      <c r="AP2" s="365"/>
      <c r="AQ2" s="365"/>
      <c r="AR2" s="365"/>
      <c r="AS2" s="365"/>
      <c r="AT2" s="365"/>
      <c r="AU2" s="365"/>
      <c r="AV2" s="365"/>
      <c r="AW2" s="360" t="s">
        <v>1266</v>
      </c>
      <c r="AX2" s="360"/>
      <c r="AY2" s="360"/>
      <c r="AZ2" s="360"/>
      <c r="BA2" s="360"/>
      <c r="BB2" s="360"/>
      <c r="BC2" s="360"/>
      <c r="BD2" s="350" t="s">
        <v>1267</v>
      </c>
      <c r="BE2" s="351"/>
      <c r="BF2" s="361" t="s">
        <v>1268</v>
      </c>
      <c r="BG2" s="362"/>
      <c r="BH2" s="152"/>
      <c r="BI2" s="330"/>
      <c r="BJ2" s="330"/>
      <c r="BK2" s="330"/>
      <c r="BL2" s="330"/>
      <c r="BM2" s="330"/>
      <c r="BN2" s="330"/>
      <c r="BP2" s="358"/>
      <c r="BQ2" s="358"/>
      <c r="BR2" s="358"/>
      <c r="BS2" s="358"/>
      <c r="BT2" s="358"/>
      <c r="BU2" s="358"/>
      <c r="BV2" s="358"/>
      <c r="BW2" s="358"/>
      <c r="BX2" s="358"/>
      <c r="BY2" s="358"/>
    </row>
    <row r="3" spans="1:82" ht="15">
      <c r="A3" s="150" t="s">
        <v>1081</v>
      </c>
      <c r="B3" s="150" t="s">
        <v>1082</v>
      </c>
      <c r="C3" s="150" t="s">
        <v>1083</v>
      </c>
      <c r="D3" s="150" t="s">
        <v>1084</v>
      </c>
      <c r="E3" s="150" t="s">
        <v>1085</v>
      </c>
      <c r="F3" s="150" t="s">
        <v>1086</v>
      </c>
      <c r="G3" s="150" t="s">
        <v>1087</v>
      </c>
      <c r="H3" s="150" t="s">
        <v>1088</v>
      </c>
      <c r="I3" s="12" t="s">
        <v>1089</v>
      </c>
      <c r="J3" s="12" t="s">
        <v>1219</v>
      </c>
      <c r="K3" s="12" t="s">
        <v>1220</v>
      </c>
      <c r="L3" s="12" t="s">
        <v>1221</v>
      </c>
      <c r="M3" s="12" t="s">
        <v>1222</v>
      </c>
      <c r="N3" s="12" t="s">
        <v>1223</v>
      </c>
      <c r="O3" s="12" t="s">
        <v>1892</v>
      </c>
      <c r="P3" s="12" t="s">
        <v>1224</v>
      </c>
      <c r="Q3" s="12" t="s">
        <v>1269</v>
      </c>
      <c r="R3" s="2" t="s">
        <v>129</v>
      </c>
      <c r="S3" s="2" t="s">
        <v>138</v>
      </c>
      <c r="T3" s="2" t="s">
        <v>145</v>
      </c>
      <c r="U3" s="2" t="s">
        <v>155</v>
      </c>
      <c r="V3" s="2" t="s">
        <v>161</v>
      </c>
      <c r="W3" s="2" t="s">
        <v>167</v>
      </c>
      <c r="X3" s="2" t="s">
        <v>173</v>
      </c>
      <c r="Y3" s="2" t="s">
        <v>179</v>
      </c>
      <c r="Z3" s="2" t="s">
        <v>1270</v>
      </c>
      <c r="AA3" s="13" t="s">
        <v>1225</v>
      </c>
      <c r="AB3" s="13" t="s">
        <v>1226</v>
      </c>
      <c r="AC3" s="13" t="s">
        <v>1271</v>
      </c>
      <c r="AD3" s="13" t="s">
        <v>1272</v>
      </c>
      <c r="AE3" s="2" t="s">
        <v>1273</v>
      </c>
      <c r="AF3" s="2" t="s">
        <v>1274</v>
      </c>
      <c r="AG3" s="2" t="s">
        <v>892</v>
      </c>
      <c r="AH3" s="2" t="s">
        <v>893</v>
      </c>
      <c r="AI3" s="2" t="s">
        <v>894</v>
      </c>
      <c r="AJ3" s="2" t="s">
        <v>1377</v>
      </c>
      <c r="AK3" s="2" t="s">
        <v>1229</v>
      </c>
      <c r="AL3" s="2" t="s">
        <v>1230</v>
      </c>
      <c r="AM3" s="2" t="s">
        <v>1275</v>
      </c>
      <c r="AN3" s="151" t="s">
        <v>1276</v>
      </c>
      <c r="AO3" s="14" t="s">
        <v>1231</v>
      </c>
      <c r="AP3" s="14" t="s">
        <v>1232</v>
      </c>
      <c r="AQ3" s="14" t="s">
        <v>1233</v>
      </c>
      <c r="AR3" s="14" t="s">
        <v>1234</v>
      </c>
      <c r="AS3" s="14" t="s">
        <v>1235</v>
      </c>
      <c r="AT3" s="13" t="s">
        <v>1236</v>
      </c>
      <c r="AU3" s="14" t="s">
        <v>1237</v>
      </c>
      <c r="AV3" s="14" t="s">
        <v>1259</v>
      </c>
      <c r="AW3" s="15" t="s">
        <v>1238</v>
      </c>
      <c r="AX3" s="15" t="s">
        <v>1239</v>
      </c>
      <c r="AY3" s="15" t="s">
        <v>1240</v>
      </c>
      <c r="AZ3" s="15" t="s">
        <v>1241</v>
      </c>
      <c r="BA3" s="15" t="s">
        <v>1242</v>
      </c>
      <c r="BB3" s="15" t="s">
        <v>1243</v>
      </c>
      <c r="BC3" s="15" t="s">
        <v>1277</v>
      </c>
      <c r="BD3" s="201" t="s">
        <v>1244</v>
      </c>
      <c r="BE3" s="201" t="s">
        <v>1278</v>
      </c>
      <c r="BF3" s="16" t="s">
        <v>1245</v>
      </c>
      <c r="BG3" s="16" t="s">
        <v>1279</v>
      </c>
      <c r="BH3" s="152" t="s">
        <v>1260</v>
      </c>
      <c r="BI3" s="198" t="s">
        <v>1246</v>
      </c>
      <c r="BJ3" s="198" t="s">
        <v>1247</v>
      </c>
      <c r="BK3" s="198" t="s">
        <v>1248</v>
      </c>
      <c r="BL3" s="198" t="s">
        <v>1249</v>
      </c>
      <c r="BM3" s="198" t="s">
        <v>1250</v>
      </c>
      <c r="BN3" s="198" t="s">
        <v>1261</v>
      </c>
      <c r="BO3" s="153" t="s">
        <v>1280</v>
      </c>
      <c r="BP3" s="17" t="s">
        <v>137</v>
      </c>
      <c r="BQ3" s="17" t="s">
        <v>144</v>
      </c>
      <c r="BR3" s="17" t="s">
        <v>185</v>
      </c>
      <c r="BS3" s="17" t="s">
        <v>191</v>
      </c>
      <c r="BT3" s="17" t="s">
        <v>101</v>
      </c>
      <c r="BU3" s="154" t="s">
        <v>1281</v>
      </c>
      <c r="BV3" s="148" t="s">
        <v>1282</v>
      </c>
      <c r="BW3" s="148" t="s">
        <v>1283</v>
      </c>
      <c r="BX3" s="17" t="s">
        <v>1284</v>
      </c>
      <c r="BY3" s="17" t="s">
        <v>1262</v>
      </c>
      <c r="BZ3" s="23" t="s">
        <v>1285</v>
      </c>
      <c r="CA3" s="155" t="s">
        <v>1286</v>
      </c>
      <c r="CB3" s="3" t="s">
        <v>895</v>
      </c>
      <c r="CC3" s="3" t="s">
        <v>896</v>
      </c>
      <c r="CD3" s="18" t="s">
        <v>1251</v>
      </c>
    </row>
    <row r="4" spans="1:82">
      <c r="A4" s="20" t="s">
        <v>1528</v>
      </c>
      <c r="B4" t="s">
        <v>1091</v>
      </c>
      <c r="C4" t="s">
        <v>1366</v>
      </c>
      <c r="D4" t="s">
        <v>918</v>
      </c>
      <c r="E4" s="20" t="s">
        <v>1090</v>
      </c>
      <c r="F4" s="20" t="s">
        <v>120</v>
      </c>
      <c r="G4" s="20">
        <v>1</v>
      </c>
      <c r="H4" s="20">
        <v>0</v>
      </c>
      <c r="I4" s="21">
        <f>VLOOKUP($A4,tabCustoUnit[],COLUMN(CUSTO_GLOBAL[[#Headers],[Salário Base]])-2,0)*($G4-$H4)</f>
        <v>1043.7162000000001</v>
      </c>
      <c r="J4" s="21">
        <f>VLOOKUP($A4,tabCustoUnit[],COLUMN(CUSTO_GLOBAL[[#Headers],[Adicional Periculosidade]])-2,0)*($G4-$H4)</f>
        <v>0</v>
      </c>
      <c r="K4" s="21">
        <f>VLOOKUP($A4,tabCustoUnit[],COLUMN(CUSTO_GLOBAL[[#Headers],[Adicional Insalubridade]])-2,0)*($G4-$H4)</f>
        <v>303.60000000000002</v>
      </c>
      <c r="L4" s="21">
        <f>VLOOKUP($A4,tabCustoUnit[],COLUMN(CUSTO_GLOBAL[[#Headers],[Adicional Noturno]])-2,0)*($G4-$H4)</f>
        <v>0</v>
      </c>
      <c r="M4" s="21">
        <f>VLOOKUP($A4,tabCustoUnit[],COLUMN(CUSTO_GLOBAL[[#Headers],[Adicional Motorista II (Gratificação)]])-2,0)*($G4-$H4)</f>
        <v>0</v>
      </c>
      <c r="N4" s="21">
        <f>VLOOKUP($A4,tabCustoUnit[],COLUMN(CUSTO_GLOBAL[[#Headers],[Adicional de Sobreaviso]])-2,0)*($G4-$H4)</f>
        <v>0</v>
      </c>
      <c r="O4" s="21">
        <f>VLOOKUP($A4,tabCustoUnit[],COLUMN(CUSTO_GLOBAL[[#Headers],[Horas Extras TI]])-2,0)*($G4-$H4)</f>
        <v>0</v>
      </c>
      <c r="P4" s="21">
        <f>VLOOKUP($A4,tabCustoUnit[],COLUMN(CUSTO_GLOBAL[[#Headers],[Adicional de Acúmulo de função]])-2,0)*($G4-$H4)</f>
        <v>0</v>
      </c>
      <c r="Q4" s="21">
        <f>VLOOKUP($A4,tabCustoUnit[],COLUMN(CUSTO_GLOBAL[[#Headers],[MODULO 1 - REMUNERAÇÃO ]])-2,0)*($G4-$H4)</f>
        <v>1347.3162000000002</v>
      </c>
      <c r="R4" s="21">
        <f>VLOOKUP($A4,tabCustoUnit[],COLUMN(CUSTO_GLOBAL[[#Headers],[INSS]])-2,0)*($G4-$H4)</f>
        <v>269.46324000000004</v>
      </c>
      <c r="S4" s="21">
        <f>VLOOKUP($A4,tabCustoUnit[],COLUMN(CUSTO_GLOBAL[[#Headers],[SESI OU SESC]])-2,0)*($G4-$H4)</f>
        <v>20.209743000000003</v>
      </c>
      <c r="T4" s="21">
        <f>VLOOKUP($A4,tabCustoUnit[],COLUMN(CUSTO_GLOBAL[[#Headers],[SENAI OU SENAC]])-2,0)*($G4-$H4)</f>
        <v>13.473162000000002</v>
      </c>
      <c r="U4" s="21">
        <f>VLOOKUP($A4,tabCustoUnit[],COLUMN(CUSTO_GLOBAL[[#Headers],[INCRA]])-2,0)*($G4-$H4)</f>
        <v>2.6946324000000006</v>
      </c>
      <c r="V4" s="21">
        <f>VLOOKUP($A4,tabCustoUnit[],COLUMN(CUSTO_GLOBAL[[#Headers],[Salário Educação]])-2,0)*($G4-$H4)</f>
        <v>33.682905000000005</v>
      </c>
      <c r="W4" s="21">
        <f>VLOOKUP($A4,tabCustoUnit[],COLUMN(CUSTO_GLOBAL[[#Headers],[FGTS]])-2,0)*($G4-$H4)</f>
        <v>107.78529600000002</v>
      </c>
      <c r="X4" s="21">
        <f>VLOOKUP($A4,tabCustoUnit[],COLUMN(CUSTO_GLOBAL[[#Headers],[RAT Ajustado]])-2,0)*($G4-$H4)</f>
        <v>53.892648000000008</v>
      </c>
      <c r="Y4" s="21">
        <f>VLOOKUP($A4,tabCustoUnit[],COLUMN(CUSTO_GLOBAL[[#Headers],[SEBRAE]])-2,0)*($G4-$H4)</f>
        <v>8.0838972000000009</v>
      </c>
      <c r="Z4" s="21">
        <f>VLOOKUP($A4,tabCustoUnit[],COLUMN(CUSTO_GLOBAL[[#Headers],[Submódulo 2.1]])-2,0)*($G4-$H4)</f>
        <v>509.28552360000009</v>
      </c>
      <c r="AA4" s="21">
        <f>VLOOKUP($A4,tabCustoUnit[],COLUMN(CUSTO_GLOBAL[[#Headers],[13º salário (titular)]])-2,0)*($G4-$H4)</f>
        <v>112.27635000000001</v>
      </c>
      <c r="AB4" s="21">
        <f>VLOOKUP($A4,tabCustoUnit[],COLUMN(CUSTO_GLOBAL[[#Headers],[Férias e Adicional de Férias (titular)]])-2,0)*($G4-$H4)</f>
        <v>149.70180000000002</v>
      </c>
      <c r="AC4" s="21">
        <f>VLOOKUP($A4,tabCustoUnit[],COLUMN(CUSTO_GLOBAL[[#Headers],[Incidência do Submódulo 2.1 sobre 13º Salário, Férias e Adicional de Férias]])-2,0)*($G4-$H4)</f>
        <v>99.02774070000001</v>
      </c>
      <c r="AD4" s="21">
        <f>VLOOKUP($A4,tabCustoUnit[],COLUMN(CUSTO_GLOBAL[[#Headers],[Submódulo 2.2]])-2,0)*($G4-$H4)</f>
        <v>361.00589070000001</v>
      </c>
      <c r="AE4" s="22" t="e">
        <f ca="1">VLOOKUP($A4,tabCustoUnit[],COLUMN(CUSTO_GLOBAL[[#Headers],[Vale - Transporte (Descontada parcela do empregado)]])-2,0)*($G4-$H4)</f>
        <v>#NAME?</v>
      </c>
      <c r="AF4" s="22">
        <f>VLOOKUP($A4,tabCustoUnit[],COLUMN(CUSTO_GLOBAL[[#Headers],[Vale - Alimentação (Descontada parcela do empregado)]])-2,0)*($G4-$H4)</f>
        <v>582</v>
      </c>
      <c r="AG4" s="22">
        <f>VLOOKUP($A4,tabCustoUnit[],COLUMN(CUSTO_GLOBAL[[#Headers],[Cesta Básica]])-2,0)*($G4-$H4)</f>
        <v>0</v>
      </c>
      <c r="AH4" s="22">
        <f>VLOOKUP($A4,tabCustoUnit[],COLUMN(CUSTO_GLOBAL[[#Headers],[PAF]])-2,0)*($G4-$H4)</f>
        <v>0</v>
      </c>
      <c r="AI4" s="22">
        <f>VLOOKUP($A4,tabCustoUnit[],COLUMN(CUSTO_GLOBAL[[#Headers],[PQM]])-2,0)*($G4-$H4)</f>
        <v>15.07</v>
      </c>
      <c r="AJ4" s="22">
        <v>0</v>
      </c>
      <c r="AK4" s="22">
        <f>VLOOKUP($A4,tabCustoUnit[],COLUMN(CUSTO_GLOBAL[[#Headers],[Seguro de Vida]])-2,0)*($G4-$H4)</f>
        <v>3.36</v>
      </c>
      <c r="AL4" s="22">
        <f>VLOOKUP($A4,tabCustoUnit[],COLUMN(CUSTO_GLOBAL[[#Headers],[Despesas de Viagem]])-2,0)*($G4-$H4)</f>
        <v>0</v>
      </c>
      <c r="AM4" s="22" t="e">
        <f ca="1">VLOOKUP($A4,tabCustoUnit[],COLUMN(CUSTO_GLOBAL[[#Headers],[Submódulo 2.3]])-2,0)*($G4-$H4)</f>
        <v>#NAME?</v>
      </c>
      <c r="AN4" s="22" t="e">
        <f ca="1">VLOOKUP($A4,tabCustoUnit[],COLUMN(CUSTO_GLOBAL[[#Headers],[MÓDULO 2 - Total Encargos e Benefícios mensais e diários]])-2,0)*($G4-$H4)</f>
        <v>#NAME?</v>
      </c>
      <c r="AO4" s="22">
        <f>VLOOKUP($A4,tabCustoUnit[],COLUMN(CUSTO_GLOBAL[[#Headers],[Aviso Prévio Indenizado (API) e Reflexo do Aviso Prévio Indenizado]])-2,0)*($G4-$H4)</f>
        <v>9.4470672364583343</v>
      </c>
      <c r="AP4" s="22">
        <f>VLOOKUP($A4,tabCustoUnit[],COLUMN(CUSTO_GLOBAL[[#Headers],[Incidência do FGTS sobre API e Reflexo do API]])-2,0)*($G4-$H4)</f>
        <v>0.75576537891666684</v>
      </c>
      <c r="AQ4" s="22">
        <f>VLOOKUP($A4,tabCustoUnit[],COLUMN(CUSTO_GLOBAL[[#Headers],[Multa Rescisória do FGTS sobre o Aviso Prévio Indenizado]])-2,0)*($G4-$H4)</f>
        <v>0.30230615156666679</v>
      </c>
      <c r="AR4" s="22">
        <f>VLOOKUP($A4,tabCustoUnit[],COLUMN(CUSTO_GLOBAL[[#Headers],[Aviso Prévio Trabalhado - APT]])-2,0)*($G4-$H4)</f>
        <v>4.7156067000000013</v>
      </c>
      <c r="AS4" s="22">
        <f>VLOOKUP($A4,tabCustoUnit[],COLUMN(CUSTO_GLOBAL[[#Headers],[Incidência dos encargos do submódulo 2.1 sobre Aviso Prévio Trabalhado]])-2,0)*($G4-$H4)</f>
        <v>1.7824993326000007</v>
      </c>
      <c r="AT4" s="22">
        <f>VLOOKUP($A4,tabCustoUnit[],COLUMN(CUSTO_GLOBAL[[#Headers],[Multa Rescisória do FGTS]])-2,0)*($G4-$H4)</f>
        <v>41.197935360000002</v>
      </c>
      <c r="AU4" s="22">
        <f>VLOOKUP($A4,tabCustoUnit[],COLUMN(CUSTO_GLOBAL[[#Headers],[Indenização Adicional (Art. 9º da Lei nº 7.238/84)]])-2,0)*($G4-$H4)</f>
        <v>1.1227635000000002</v>
      </c>
      <c r="AV4" s="22">
        <f>VLOOKUP($A4,tabCustoUnit[],COLUMN(CUSTO_GLOBAL[[#Headers],[MÓDULO 3 – PROVISÃO PARA RESCISÃO]])-2,0)*($G4-$H4)</f>
        <v>59.323943659541669</v>
      </c>
      <c r="AW4" s="22">
        <f>VLOOKUP($A4,tabCustoUnit[],COLUMN(CUSTO_GLOBAL[[#Headers],[Ausência por Doença]])-2,0)*($G4-$H4)</f>
        <v>11.3773368</v>
      </c>
      <c r="AX4" s="22">
        <f>VLOOKUP($A4,tabCustoUnit[],COLUMN(CUSTO_GLOBAL[[#Headers],[Ausências Legais]])-2,0)*($G4-$H4)</f>
        <v>2.7320578500000003</v>
      </c>
      <c r="AY4" s="22">
        <f>VLOOKUP($A4,tabCustoUnit[],COLUMN(CUSTO_GLOBAL[[#Headers],[Licença Paternidade]])-2,0)*($G4-$H4)</f>
        <v>0.23016651750000003</v>
      </c>
      <c r="AZ4" s="22">
        <f>VLOOKUP($A4,tabCustoUnit[],COLUMN(CUSTO_GLOBAL[[#Headers],[Ausência por Acidente de Trabalho]])-2,0)*($G4-$H4)</f>
        <v>0.28069087500000006</v>
      </c>
      <c r="BA4" s="22">
        <f>VLOOKUP($A4,tabCustoUnit[],COLUMN(CUSTO_GLOBAL[[#Headers],[Férias, Adicional de Férias e 13º  com empregada em gozo de Licença Maternidade]])-2,0)*($G4-$H4)</f>
        <v>1.7465210000000002</v>
      </c>
      <c r="BB4" s="22">
        <f>VLOOKUP($A4,tabCustoUnit[],COLUMN(CUSTO_GLOBAL[[#Headers],[Incidência do Submódulo 2.1 sobre Ausências Legais]])-2,0)*($G4-$H4)</f>
        <v>6.1866402100650024</v>
      </c>
      <c r="BC4" s="22">
        <f>VLOOKUP($A4,tabCustoUnit[],COLUMN(CUSTO_GLOBAL[[#Headers],[Submódulo 4.1]])-2,0)*($G4-$H4)</f>
        <v>22.553413252565001</v>
      </c>
      <c r="BD4" s="22">
        <f>VLOOKUP($A4,tabCustoUnit[],COLUMN(CUSTO_GLOBAL[[#Headers],[Intervalo para Repouso ou Alimentação]])-2,0)*($G4-$H4)</f>
        <v>0</v>
      </c>
      <c r="BE4" s="22">
        <f>VLOOKUP($A4,tabCustoUnit[],COLUMN(CUSTO_GLOBAL[[#Headers],[Submódulo 4.2]])-2,0)*($G4-$H4)</f>
        <v>0</v>
      </c>
      <c r="BF4" s="22">
        <f>VLOOKUP($A4,tabCustoUnit[],COLUMN(CUSTO_GLOBAL[[#Headers],[Suspensão Temporária do Contrato de Trabalho]])-2,0)*($G4-$H4)</f>
        <v>0</v>
      </c>
      <c r="BG4" s="22">
        <f>VLOOKUP($A4,tabCustoUnit[],COLUMN(CUSTO_GLOBAL[[#Headers],[Submódulo 4.3]])-2,0)*($G4-$H4)</f>
        <v>0</v>
      </c>
      <c r="BH4" s="22">
        <f>VLOOKUP($A4,tabCustoUnit[],COLUMN(CUSTO_GLOBAL[[#Headers],[MÓDULO 4 – CUSTO DE REPOSIÇÃO DO PROFISSIONAL AUSENTE]])-2,0)*($G4-$H4)</f>
        <v>22.553413252565001</v>
      </c>
      <c r="BI4" s="22">
        <f>VLOOKUP($A4,tabCustoUnit[],COLUMN(CUSTO_GLOBAL[[#Headers],[Uniformes e EPIs]])-2,0)*($G4-$H4)</f>
        <v>196.62072732312174</v>
      </c>
      <c r="BJ4" s="22">
        <f>VLOOKUP($A4,tabCustoUnit[],COLUMN(CUSTO_GLOBAL[[#Headers],[Materiais de Consumo]])-2,0)*($G4-$H4)</f>
        <v>441.81099462365592</v>
      </c>
      <c r="BK4" s="22">
        <f>VLOOKUP($A4,tabCustoUnit[],COLUMN(CUSTO_GLOBAL[[#Headers],[Máquinas e Equipamentos (depreciação)]])-2,0)*($G4-$H4)</f>
        <v>113.11309677419354</v>
      </c>
      <c r="BL4" s="22">
        <f>VLOOKUP($A4,tabCustoUnit[],COLUMN(CUSTO_GLOBAL[[#Headers],[Produtos de Limpeza e Materiais de Higiene Pessoal]])-2,0)*($G4-$H4)</f>
        <v>0</v>
      </c>
      <c r="BM4" s="22">
        <f>VLOOKUP($A4,tabCustoUnit[],COLUMN(CUSTO_GLOBAL[[#Headers],[Outros (especificar)]])-2,0)*($G4-$H4)</f>
        <v>0</v>
      </c>
      <c r="BN4" s="22">
        <f>VLOOKUP($A4,tabCustoUnit[],COLUMN(CUSTO_GLOBAL[[#Headers],[MÓDULO 5 – INSUMOS DIVERSOS]])-2,0)*($G4-$H4)</f>
        <v>751.54481872097119</v>
      </c>
      <c r="BO4" s="22" t="e">
        <f ca="1">VLOOKUP($A4,tabCustoUnit[],COLUMN(CUSTO_GLOBAL[[#Headers],[TOTAL MÓDULOS 1+2+3+4+5]])-2,0)*($G4-$H4)</f>
        <v>#NAME?</v>
      </c>
      <c r="BP4" s="22" t="e">
        <f ca="1">VLOOKUP($A4,tabCustoUnit[],COLUMN(CUSTO_GLOBAL[[#Headers],[Custos Indiretos]])-2,0)*($G4-$H4)</f>
        <v>#NAME?</v>
      </c>
      <c r="BQ4" s="22" t="e">
        <f ca="1">VLOOKUP($A4,tabCustoUnit[],COLUMN(CUSTO_GLOBAL[[#Headers],[Lucro]])-2,0)*($G4-$H4)</f>
        <v>#NAME?</v>
      </c>
      <c r="BR4" s="26">
        <f>VLOOKUP($A4,tabCustoUnit[],COLUMN(CUSTO_GLOBAL[[#Headers],[COFINS]])-2,0)</f>
        <v>8.6609686609686695E-2</v>
      </c>
      <c r="BS4" s="26">
        <f>VLOOKUP($A4,tabCustoUnit[],COLUMN(CUSTO_GLOBAL[[#Headers],[PIS]])-2,0)</f>
        <v>1.880341880341882E-2</v>
      </c>
      <c r="BT4" s="28">
        <f>VLOOKUP($A4,tabCustoUnit[],COLUMN(CUSTO_GLOBAL[[#Headers],[ISS]])-2,0)</f>
        <v>0.03</v>
      </c>
      <c r="BU4" s="26">
        <f>VLOOKUP($A4,tabCustoUnit[],COLUMN(CUSTO_GLOBAL[[#Headers],[ISS (Conversão Alíquota s/ fatura)]])-2,0)</f>
        <v>3.4188034188034219E-2</v>
      </c>
      <c r="BV4" s="26">
        <f>VLOOKUP($A4,tabCustoUnit[],COLUMN(CUSTO_GLOBAL[[#Headers],[Resumo de Alíquotas (PIS+CONFINS+ISS)]])-2,0)</f>
        <v>0.1225</v>
      </c>
      <c r="BW4" s="138">
        <f>VLOOKUP($A4,tabCustoUnit[],COLUMN(CUSTO_GLOBAL[[#Headers],[PIS + COFINS + ISS (Total Conversão  Alíquota s/ Fatura)]])-2,0)</f>
        <v>0.13960113960113973</v>
      </c>
      <c r="BX4" s="22" t="e">
        <f ca="1">VLOOKUP($A4,tabCustoUnit[],COLUMN(CUSTO_GLOBAL[[#Headers],[Valor dos Tributos (ISS, PIS, CONFINS)]])-2,0)*($G4-$H4)</f>
        <v>#NAME?</v>
      </c>
      <c r="BY4" s="22" t="e">
        <f ca="1">VLOOKUP($A4,tabCustoUnit[],COLUMN(CUSTO_GLOBAL[[#Headers],[MÓDULO 6 – CUSTOS INDIRETOS, TRIBUTOS E LUCRO]])-2,0)*($G4-$H4)</f>
        <v>#NAME?</v>
      </c>
      <c r="BZ4" s="22" t="e">
        <f ca="1">VLOOKUP($A4,tabCustoUnit[],COLUMN(CUSTO_GLOBAL[[#Headers],[CUSTO TOTAL MENSAL]])-2,0)*($G4-$H4)</f>
        <v>#NAME?</v>
      </c>
      <c r="CA4" s="22" t="e">
        <f ca="1">CUSTO_GLOBAL[[#This Row],[CUSTO TOTAL MENSAL]]*12</f>
        <v>#NAME?</v>
      </c>
      <c r="CB4" s="24">
        <f>VLOOKUP($A4,tabCustoUnit[],COLUMN(CUSTO_GLOBAL[[#Headers],[ANO DA CCT]])-2,0)</f>
        <v>45658</v>
      </c>
      <c r="CC4" s="25" t="str">
        <f>VLOOKUP($A4,tabCustoUnit[],COLUMN(CUSTO_GLOBAL[[#Headers],[Nº DE PEDIDO DA CCT]])-2,0)</f>
        <v>-</v>
      </c>
      <c r="CD4" s="25" t="str">
        <f>VLOOKUP($A4,tabCustoUnit[],COLUMN(CUSTO_GLOBAL[[#Headers],[TERMO ADITIVO ALTERAÇÃO DA CCT]])-2,0)</f>
        <v>-</v>
      </c>
    </row>
    <row r="5" spans="1:82">
      <c r="A5" s="20" t="s">
        <v>1529</v>
      </c>
      <c r="B5" t="s">
        <v>1091</v>
      </c>
      <c r="C5" t="s">
        <v>1368</v>
      </c>
      <c r="D5" t="s">
        <v>918</v>
      </c>
      <c r="E5" s="20" t="s">
        <v>1090</v>
      </c>
      <c r="F5" s="20" t="s">
        <v>120</v>
      </c>
      <c r="G5" s="20">
        <v>1</v>
      </c>
      <c r="H5" s="20">
        <v>0</v>
      </c>
      <c r="I5" s="21">
        <f>VLOOKUP($A5,tabCustoUnit[],COLUMN(CUSTO_GLOBAL[[#Headers],[Salário Base]])-2,0)*($G5-$H5)</f>
        <v>2296.1756999999998</v>
      </c>
      <c r="J5" s="21">
        <f>VLOOKUP($A5,tabCustoUnit[],COLUMN(CUSTO_GLOBAL[[#Headers],[Adicional Periculosidade]])-2,0)*($G5-$H5)</f>
        <v>0</v>
      </c>
      <c r="K5" s="21">
        <f>VLOOKUP($A5,tabCustoUnit[],COLUMN(CUSTO_GLOBAL[[#Headers],[Adicional Insalubridade]])-2,0)*($G5-$H5)</f>
        <v>303.60000000000002</v>
      </c>
      <c r="L5" s="21">
        <f>VLOOKUP($A5,tabCustoUnit[],COLUMN(CUSTO_GLOBAL[[#Headers],[Adicional Noturno]])-2,0)*($G5-$H5)</f>
        <v>0</v>
      </c>
      <c r="M5" s="21">
        <f>VLOOKUP($A5,tabCustoUnit[],COLUMN(CUSTO_GLOBAL[[#Headers],[Adicional Motorista II (Gratificação)]])-2,0)*($G5-$H5)</f>
        <v>0</v>
      </c>
      <c r="N5" s="21">
        <f>VLOOKUP($A5,tabCustoUnit[],COLUMN(CUSTO_GLOBAL[[#Headers],[Adicional de Sobreaviso]])-2,0)*($G5-$H5)</f>
        <v>0</v>
      </c>
      <c r="O5" s="21">
        <f>VLOOKUP($A5,tabCustoUnit[],COLUMN(CUSTO_GLOBAL[[#Headers],[Horas Extras TI]])-2,0)*($G5-$H5)</f>
        <v>0</v>
      </c>
      <c r="P5" s="21">
        <f>VLOOKUP($A5,tabCustoUnit[],COLUMN(CUSTO_GLOBAL[[#Headers],[Adicional de Acúmulo de função]])-2,0)*($G5-$H5)</f>
        <v>0</v>
      </c>
      <c r="Q5" s="21">
        <f>VLOOKUP($A5,tabCustoUnit[],COLUMN(CUSTO_GLOBAL[[#Headers],[MODULO 1 - REMUNERAÇÃO ]])-2,0)*($G5-$H5)</f>
        <v>2599.7756999999997</v>
      </c>
      <c r="R5" s="21">
        <f>VLOOKUP($A5,tabCustoUnit[],COLUMN(CUSTO_GLOBAL[[#Headers],[INSS]])-2,0)*($G5-$H5)</f>
        <v>519.95513999999991</v>
      </c>
      <c r="S5" s="21">
        <f>VLOOKUP($A5,tabCustoUnit[],COLUMN(CUSTO_GLOBAL[[#Headers],[SESI OU SESC]])-2,0)*($G5-$H5)</f>
        <v>38.996635499999996</v>
      </c>
      <c r="T5" s="21">
        <f>VLOOKUP($A5,tabCustoUnit[],COLUMN(CUSTO_GLOBAL[[#Headers],[SENAI OU SENAC]])-2,0)*($G5-$H5)</f>
        <v>25.997756999999996</v>
      </c>
      <c r="U5" s="21">
        <f>VLOOKUP($A5,tabCustoUnit[],COLUMN(CUSTO_GLOBAL[[#Headers],[INCRA]])-2,0)*($G5-$H5)</f>
        <v>5.1995513999999998</v>
      </c>
      <c r="V5" s="21">
        <f>VLOOKUP($A5,tabCustoUnit[],COLUMN(CUSTO_GLOBAL[[#Headers],[Salário Educação]])-2,0)*($G5-$H5)</f>
        <v>64.994392499999989</v>
      </c>
      <c r="W5" s="21">
        <f>VLOOKUP($A5,tabCustoUnit[],COLUMN(CUSTO_GLOBAL[[#Headers],[FGTS]])-2,0)*($G5-$H5)</f>
        <v>207.98205599999997</v>
      </c>
      <c r="X5" s="21">
        <f>VLOOKUP($A5,tabCustoUnit[],COLUMN(CUSTO_GLOBAL[[#Headers],[RAT Ajustado]])-2,0)*($G5-$H5)</f>
        <v>103.99102799999999</v>
      </c>
      <c r="Y5" s="21">
        <f>VLOOKUP($A5,tabCustoUnit[],COLUMN(CUSTO_GLOBAL[[#Headers],[SEBRAE]])-2,0)*($G5-$H5)</f>
        <v>15.598654199999999</v>
      </c>
      <c r="Z5" s="21">
        <f>VLOOKUP($A5,tabCustoUnit[],COLUMN(CUSTO_GLOBAL[[#Headers],[Submódulo 2.1]])-2,0)*($G5-$H5)</f>
        <v>982.71521459999985</v>
      </c>
      <c r="AA5" s="21">
        <f>VLOOKUP($A5,tabCustoUnit[],COLUMN(CUSTO_GLOBAL[[#Headers],[13º salário (titular)]])-2,0)*($G5-$H5)</f>
        <v>216.64797499999997</v>
      </c>
      <c r="AB5" s="21">
        <f>VLOOKUP($A5,tabCustoUnit[],COLUMN(CUSTO_GLOBAL[[#Headers],[Férias e Adicional de Férias (titular)]])-2,0)*($G5-$H5)</f>
        <v>288.86396666666661</v>
      </c>
      <c r="AC5" s="21">
        <f>VLOOKUP($A5,tabCustoUnit[],COLUMN(CUSTO_GLOBAL[[#Headers],[Incidência do Submódulo 2.1 sobre 13º Salário, Férias e Adicional de Férias]])-2,0)*($G5-$H5)</f>
        <v>191.08351394999997</v>
      </c>
      <c r="AD5" s="21">
        <f>VLOOKUP($A5,tabCustoUnit[],COLUMN(CUSTO_GLOBAL[[#Headers],[Submódulo 2.2]])-2,0)*($G5-$H5)</f>
        <v>696.59545561666653</v>
      </c>
      <c r="AE5" s="22" t="e">
        <f ca="1">VLOOKUP($A5,tabCustoUnit[],COLUMN(CUSTO_GLOBAL[[#Headers],[Vale - Transporte (Descontada parcela do empregado)]])-2,0)*($G5-$H5)</f>
        <v>#NAME?</v>
      </c>
      <c r="AF5" s="22">
        <f>VLOOKUP($A5,tabCustoUnit[],COLUMN(CUSTO_GLOBAL[[#Headers],[Vale - Alimentação (Descontada parcela do empregado)]])-2,0)*($G5-$H5)</f>
        <v>582</v>
      </c>
      <c r="AG5" s="22">
        <f>VLOOKUP($A5,tabCustoUnit[],COLUMN(CUSTO_GLOBAL[[#Headers],[Cesta Básica]])-2,0)*($G5-$H5)</f>
        <v>0</v>
      </c>
      <c r="AH5" s="22">
        <f>VLOOKUP($A5,tabCustoUnit[],COLUMN(CUSTO_GLOBAL[[#Headers],[PAF]])-2,0)*($G5-$H5)</f>
        <v>0</v>
      </c>
      <c r="AI5" s="22">
        <f>VLOOKUP($A5,tabCustoUnit[],COLUMN(CUSTO_GLOBAL[[#Headers],[PQM]])-2,0)*($G5-$H5)</f>
        <v>15.07</v>
      </c>
      <c r="AJ5" s="22">
        <v>0</v>
      </c>
      <c r="AK5" s="22">
        <f>VLOOKUP($A5,tabCustoUnit[],COLUMN(CUSTO_GLOBAL[[#Headers],[Seguro de Vida]])-2,0)*($G5-$H5)</f>
        <v>3.36</v>
      </c>
      <c r="AL5" s="22">
        <f>VLOOKUP($A5,tabCustoUnit[],COLUMN(CUSTO_GLOBAL[[#Headers],[Despesas de Viagem]])-2,0)*($G5-$H5)</f>
        <v>0</v>
      </c>
      <c r="AM5" s="22" t="e">
        <f ca="1">VLOOKUP($A5,tabCustoUnit[],COLUMN(CUSTO_GLOBAL[[#Headers],[Submódulo 2.3]])-2,0)*($G5-$H5)</f>
        <v>#NAME?</v>
      </c>
      <c r="AN5" s="22" t="e">
        <f ca="1">VLOOKUP($A5,tabCustoUnit[],COLUMN(CUSTO_GLOBAL[[#Headers],[MÓDULO 2 - Total Encargos e Benefícios mensais e diários]])-2,0)*($G5-$H5)</f>
        <v>#NAME?</v>
      </c>
      <c r="AO5" s="22">
        <f>VLOOKUP($A5,tabCustoUnit[],COLUMN(CUSTO_GLOBAL[[#Headers],[Aviso Prévio Indenizado (API) e Reflexo do Aviso Prévio Indenizado]])-2,0)*($G5-$H5)</f>
        <v>18.229021396469907</v>
      </c>
      <c r="AP5" s="22">
        <f>VLOOKUP($A5,tabCustoUnit[],COLUMN(CUSTO_GLOBAL[[#Headers],[Incidência do FGTS sobre API e Reflexo do API]])-2,0)*($G5-$H5)</f>
        <v>1.4583217117175926</v>
      </c>
      <c r="AQ5" s="22">
        <f>VLOOKUP($A5,tabCustoUnit[],COLUMN(CUSTO_GLOBAL[[#Headers],[Multa Rescisória do FGTS sobre o Aviso Prévio Indenizado]])-2,0)*($G5-$H5)</f>
        <v>0.58332868468703702</v>
      </c>
      <c r="AR5" s="22">
        <f>VLOOKUP($A5,tabCustoUnit[],COLUMN(CUSTO_GLOBAL[[#Headers],[Aviso Prévio Trabalhado - APT]])-2,0)*($G5-$H5)</f>
        <v>9.0992149500000004</v>
      </c>
      <c r="AS5" s="22">
        <f>VLOOKUP($A5,tabCustoUnit[],COLUMN(CUSTO_GLOBAL[[#Headers],[Incidência dos encargos do submódulo 2.1 sobre Aviso Prévio Trabalhado]])-2,0)*($G5-$H5)</f>
        <v>3.4395032511000005</v>
      </c>
      <c r="AT5" s="22">
        <f>VLOOKUP($A5,tabCustoUnit[],COLUMN(CUSTO_GLOBAL[[#Headers],[Multa Rescisória do FGTS]])-2,0)*($G5-$H5)</f>
        <v>79.495363626666645</v>
      </c>
      <c r="AU5" s="22">
        <f>VLOOKUP($A5,tabCustoUnit[],COLUMN(CUSTO_GLOBAL[[#Headers],[Indenização Adicional (Art. 9º da Lei nº 7.238/84)]])-2,0)*($G5-$H5)</f>
        <v>2.1664797499999997</v>
      </c>
      <c r="AV5" s="22">
        <f>VLOOKUP($A5,tabCustoUnit[],COLUMN(CUSTO_GLOBAL[[#Headers],[MÓDULO 3 – PROVISÃO PARA RESCISÃO]])-2,0)*($G5-$H5)</f>
        <v>114.47123337064117</v>
      </c>
      <c r="AW5" s="22">
        <f>VLOOKUP($A5,tabCustoUnit[],COLUMN(CUSTO_GLOBAL[[#Headers],[Ausência por Doença]])-2,0)*($G5-$H5)</f>
        <v>21.953661466666663</v>
      </c>
      <c r="AX5" s="22">
        <f>VLOOKUP($A5,tabCustoUnit[],COLUMN(CUSTO_GLOBAL[[#Headers],[Ausências Legais]])-2,0)*($G5-$H5)</f>
        <v>5.2717673916666659</v>
      </c>
      <c r="AY5" s="22">
        <f>VLOOKUP($A5,tabCustoUnit[],COLUMN(CUSTO_GLOBAL[[#Headers],[Licença Paternidade]])-2,0)*($G5-$H5)</f>
        <v>0.44412834874999996</v>
      </c>
      <c r="AZ5" s="22">
        <f>VLOOKUP($A5,tabCustoUnit[],COLUMN(CUSTO_GLOBAL[[#Headers],[Ausência por Acidente de Trabalho]])-2,0)*($G5-$H5)</f>
        <v>0.54161993749999993</v>
      </c>
      <c r="BA5" s="22">
        <f>VLOOKUP($A5,tabCustoUnit[],COLUMN(CUSTO_GLOBAL[[#Headers],[Férias, Adicional de Férias e 13º  com empregada em gozo de Licença Maternidade]])-2,0)*($G5-$H5)</f>
        <v>3.3700796111111107</v>
      </c>
      <c r="BB5" s="22">
        <f>VLOOKUP($A5,tabCustoUnit[],COLUMN(CUSTO_GLOBAL[[#Headers],[Incidência do Submódulo 2.1 sobre Ausências Legais]])-2,0)*($G5-$H5)</f>
        <v>11.9377150536525</v>
      </c>
      <c r="BC5" s="22">
        <f>VLOOKUP($A5,tabCustoUnit[],COLUMN(CUSTO_GLOBAL[[#Headers],[Submódulo 4.1]])-2,0)*($G5-$H5)</f>
        <v>43.518971809346937</v>
      </c>
      <c r="BD5" s="22">
        <f>VLOOKUP($A5,tabCustoUnit[],COLUMN(CUSTO_GLOBAL[[#Headers],[Intervalo para Repouso ou Alimentação]])-2,0)*($G5-$H5)</f>
        <v>0</v>
      </c>
      <c r="BE5" s="22">
        <f>VLOOKUP($A5,tabCustoUnit[],COLUMN(CUSTO_GLOBAL[[#Headers],[Submódulo 4.2]])-2,0)*($G5-$H5)</f>
        <v>0</v>
      </c>
      <c r="BF5" s="22">
        <f>VLOOKUP($A5,tabCustoUnit[],COLUMN(CUSTO_GLOBAL[[#Headers],[Suspensão Temporária do Contrato de Trabalho]])-2,0)*($G5-$H5)</f>
        <v>0</v>
      </c>
      <c r="BG5" s="22">
        <f>VLOOKUP($A5,tabCustoUnit[],COLUMN(CUSTO_GLOBAL[[#Headers],[Submódulo 4.3]])-2,0)*($G5-$H5)</f>
        <v>0</v>
      </c>
      <c r="BH5" s="22">
        <f>VLOOKUP($A5,tabCustoUnit[],COLUMN(CUSTO_GLOBAL[[#Headers],[MÓDULO 4 – CUSTO DE REPOSIÇÃO DO PROFISSIONAL AUSENTE]])-2,0)*($G5-$H5)</f>
        <v>43.518971809346937</v>
      </c>
      <c r="BI5" s="22">
        <f>VLOOKUP($A5,tabCustoUnit[],COLUMN(CUSTO_GLOBAL[[#Headers],[Uniformes e EPIs]])-2,0)*($G5-$H5)</f>
        <v>196.62072732312174</v>
      </c>
      <c r="BJ5" s="22">
        <f>VLOOKUP($A5,tabCustoUnit[],COLUMN(CUSTO_GLOBAL[[#Headers],[Materiais de Consumo]])-2,0)*($G5-$H5)</f>
        <v>441.81099462365592</v>
      </c>
      <c r="BK5" s="22">
        <f>VLOOKUP($A5,tabCustoUnit[],COLUMN(CUSTO_GLOBAL[[#Headers],[Máquinas e Equipamentos (depreciação)]])-2,0)*($G5-$H5)</f>
        <v>113.11309677419354</v>
      </c>
      <c r="BL5" s="22">
        <f>VLOOKUP($A5,tabCustoUnit[],COLUMN(CUSTO_GLOBAL[[#Headers],[Produtos de Limpeza e Materiais de Higiene Pessoal]])-2,0)*($G5-$H5)</f>
        <v>0</v>
      </c>
      <c r="BM5" s="22">
        <f>VLOOKUP($A5,tabCustoUnit[],COLUMN(CUSTO_GLOBAL[[#Headers],[Outros (especificar)]])-2,0)*($G5-$H5)</f>
        <v>0</v>
      </c>
      <c r="BN5" s="22">
        <f>VLOOKUP($A5,tabCustoUnit[],COLUMN(CUSTO_GLOBAL[[#Headers],[MÓDULO 5 – INSUMOS DIVERSOS]])-2,0)*($G5-$H5)</f>
        <v>751.54481872097119</v>
      </c>
      <c r="BO5" s="22" t="e">
        <f ca="1">VLOOKUP($A5,tabCustoUnit[],COLUMN(CUSTO_GLOBAL[[#Headers],[TOTAL MÓDULOS 1+2+3+4+5]])-2,0)*($G5-$H5)</f>
        <v>#NAME?</v>
      </c>
      <c r="BP5" s="22" t="e">
        <f ca="1">VLOOKUP($A5,tabCustoUnit[],COLUMN(CUSTO_GLOBAL[[#Headers],[Custos Indiretos]])-2,0)*($G5-$H5)</f>
        <v>#NAME?</v>
      </c>
      <c r="BQ5" s="22" t="e">
        <f ca="1">VLOOKUP($A5,tabCustoUnit[],COLUMN(CUSTO_GLOBAL[[#Headers],[Lucro]])-2,0)*($G5-$H5)</f>
        <v>#NAME?</v>
      </c>
      <c r="BR5" s="26">
        <f>VLOOKUP($A5,tabCustoUnit[],COLUMN(CUSTO_GLOBAL[[#Headers],[COFINS]])-2,0)</f>
        <v>8.6609686609686695E-2</v>
      </c>
      <c r="BS5" s="26">
        <f>VLOOKUP($A5,tabCustoUnit[],COLUMN(CUSTO_GLOBAL[[#Headers],[PIS]])-2,0)</f>
        <v>1.880341880341882E-2</v>
      </c>
      <c r="BT5" s="28">
        <f>VLOOKUP($A5,tabCustoUnit[],COLUMN(CUSTO_GLOBAL[[#Headers],[ISS]])-2,0)</f>
        <v>0.03</v>
      </c>
      <c r="BU5" s="26">
        <f>VLOOKUP($A5,tabCustoUnit[],COLUMN(CUSTO_GLOBAL[[#Headers],[ISS (Conversão Alíquota s/ fatura)]])-2,0)</f>
        <v>3.4188034188034219E-2</v>
      </c>
      <c r="BV5" s="26">
        <f>VLOOKUP($A5,tabCustoUnit[],COLUMN(CUSTO_GLOBAL[[#Headers],[Resumo de Alíquotas (PIS+CONFINS+ISS)]])-2,0)</f>
        <v>0.1225</v>
      </c>
      <c r="BW5" s="138">
        <f>VLOOKUP($A5,tabCustoUnit[],COLUMN(CUSTO_GLOBAL[[#Headers],[PIS + COFINS + ISS (Total Conversão  Alíquota s/ Fatura)]])-2,0)</f>
        <v>0.13960113960113973</v>
      </c>
      <c r="BX5" s="22" t="e">
        <f ca="1">VLOOKUP($A5,tabCustoUnit[],COLUMN(CUSTO_GLOBAL[[#Headers],[Valor dos Tributos (ISS, PIS, CONFINS)]])-2,0)*($G5-$H5)</f>
        <v>#NAME?</v>
      </c>
      <c r="BY5" s="22" t="e">
        <f ca="1">VLOOKUP($A5,tabCustoUnit[],COLUMN(CUSTO_GLOBAL[[#Headers],[MÓDULO 6 – CUSTOS INDIRETOS, TRIBUTOS E LUCRO]])-2,0)*($G5-$H5)</f>
        <v>#NAME?</v>
      </c>
      <c r="BZ5" s="22" t="e">
        <f ca="1">VLOOKUP($A5,tabCustoUnit[],COLUMN(CUSTO_GLOBAL[[#Headers],[CUSTO TOTAL MENSAL]])-2,0)*($G5-$H5)</f>
        <v>#NAME?</v>
      </c>
      <c r="CA5" s="22" t="e">
        <f ca="1">CUSTO_GLOBAL[[#This Row],[CUSTO TOTAL MENSAL]]*12</f>
        <v>#NAME?</v>
      </c>
      <c r="CB5" s="24">
        <f>VLOOKUP($A5,tabCustoUnit[],COLUMN(CUSTO_GLOBAL[[#Headers],[ANO DA CCT]])-2,0)</f>
        <v>45658</v>
      </c>
      <c r="CC5" s="25" t="str">
        <f>VLOOKUP($A5,tabCustoUnit[],COLUMN(CUSTO_GLOBAL[[#Headers],[Nº DE PEDIDO DA CCT]])-2,0)</f>
        <v>-</v>
      </c>
      <c r="CD5" s="25" t="str">
        <f>VLOOKUP($A5,tabCustoUnit[],COLUMN(CUSTO_GLOBAL[[#Headers],[TERMO ADITIVO ALTERAÇÃO DA CCT]])-2,0)</f>
        <v>-</v>
      </c>
    </row>
    <row r="6" spans="1:82">
      <c r="A6" s="20" t="s">
        <v>1530</v>
      </c>
      <c r="B6" t="s">
        <v>1091</v>
      </c>
      <c r="C6" t="s">
        <v>314</v>
      </c>
      <c r="D6" t="s">
        <v>918</v>
      </c>
      <c r="E6" s="20" t="s">
        <v>1090</v>
      </c>
      <c r="F6" s="20" t="s">
        <v>120</v>
      </c>
      <c r="G6" s="20">
        <v>1</v>
      </c>
      <c r="H6" s="20">
        <v>0</v>
      </c>
      <c r="I6" s="21">
        <f>VLOOKUP($A6,tabCustoUnit[],COLUMN(CUSTO_GLOBAL[[#Headers],[Salário Base]])-2,0)*($G6-$H6)</f>
        <v>1963.4110000000001</v>
      </c>
      <c r="J6" s="21">
        <f>VLOOKUP($A6,tabCustoUnit[],COLUMN(CUSTO_GLOBAL[[#Headers],[Adicional Periculosidade]])-2,0)*($G6-$H6)</f>
        <v>0</v>
      </c>
      <c r="K6" s="21">
        <f>VLOOKUP($A6,tabCustoUnit[],COLUMN(CUSTO_GLOBAL[[#Headers],[Adicional Insalubridade]])-2,0)*($G6-$H6)</f>
        <v>0</v>
      </c>
      <c r="L6" s="21">
        <f>VLOOKUP($A6,tabCustoUnit[],COLUMN(CUSTO_GLOBAL[[#Headers],[Adicional Noturno]])-2,0)*($G6-$H6)</f>
        <v>0</v>
      </c>
      <c r="M6" s="21">
        <f>VLOOKUP($A6,tabCustoUnit[],COLUMN(CUSTO_GLOBAL[[#Headers],[Adicional Motorista II (Gratificação)]])-2,0)*($G6-$H6)</f>
        <v>0</v>
      </c>
      <c r="N6" s="21">
        <f>VLOOKUP($A6,tabCustoUnit[],COLUMN(CUSTO_GLOBAL[[#Headers],[Adicional de Sobreaviso]])-2,0)*($G6-$H6)</f>
        <v>0</v>
      </c>
      <c r="O6" s="21">
        <f>VLOOKUP($A6,tabCustoUnit[],COLUMN(CUSTO_GLOBAL[[#Headers],[Horas Extras TI]])-2,0)*($G6-$H6)</f>
        <v>0</v>
      </c>
      <c r="P6" s="21">
        <f>VLOOKUP($A6,tabCustoUnit[],COLUMN(CUSTO_GLOBAL[[#Headers],[Adicional de Acúmulo de função]])-2,0)*($G6-$H6)</f>
        <v>0</v>
      </c>
      <c r="Q6" s="21">
        <f>VLOOKUP($A6,tabCustoUnit[],COLUMN(CUSTO_GLOBAL[[#Headers],[MODULO 1 - REMUNERAÇÃO ]])-2,0)*($G6-$H6)</f>
        <v>1963.4110000000001</v>
      </c>
      <c r="R6" s="21">
        <f>VLOOKUP($A6,tabCustoUnit[],COLUMN(CUSTO_GLOBAL[[#Headers],[INSS]])-2,0)*($G6-$H6)</f>
        <v>392.68220000000002</v>
      </c>
      <c r="S6" s="21">
        <f>VLOOKUP($A6,tabCustoUnit[],COLUMN(CUSTO_GLOBAL[[#Headers],[SESI OU SESC]])-2,0)*($G6-$H6)</f>
        <v>29.451165</v>
      </c>
      <c r="T6" s="21">
        <f>VLOOKUP($A6,tabCustoUnit[],COLUMN(CUSTO_GLOBAL[[#Headers],[SENAI OU SENAC]])-2,0)*($G6-$H6)</f>
        <v>19.63411</v>
      </c>
      <c r="U6" s="21">
        <f>VLOOKUP($A6,tabCustoUnit[],COLUMN(CUSTO_GLOBAL[[#Headers],[INCRA]])-2,0)*($G6-$H6)</f>
        <v>3.926822</v>
      </c>
      <c r="V6" s="21">
        <f>VLOOKUP($A6,tabCustoUnit[],COLUMN(CUSTO_GLOBAL[[#Headers],[Salário Educação]])-2,0)*($G6-$H6)</f>
        <v>49.085275000000003</v>
      </c>
      <c r="W6" s="21">
        <f>VLOOKUP($A6,tabCustoUnit[],COLUMN(CUSTO_GLOBAL[[#Headers],[FGTS]])-2,0)*($G6-$H6)</f>
        <v>157.07288</v>
      </c>
      <c r="X6" s="21">
        <f>VLOOKUP($A6,tabCustoUnit[],COLUMN(CUSTO_GLOBAL[[#Headers],[RAT Ajustado]])-2,0)*($G6-$H6)</f>
        <v>78.536439999999999</v>
      </c>
      <c r="Y6" s="21">
        <f>VLOOKUP($A6,tabCustoUnit[],COLUMN(CUSTO_GLOBAL[[#Headers],[SEBRAE]])-2,0)*($G6-$H6)</f>
        <v>11.780466000000001</v>
      </c>
      <c r="Z6" s="21">
        <f>VLOOKUP($A6,tabCustoUnit[],COLUMN(CUSTO_GLOBAL[[#Headers],[Submódulo 2.1]])-2,0)*($G6-$H6)</f>
        <v>742.1693580000001</v>
      </c>
      <c r="AA6" s="21">
        <f>VLOOKUP($A6,tabCustoUnit[],COLUMN(CUSTO_GLOBAL[[#Headers],[13º salário (titular)]])-2,0)*($G6-$H6)</f>
        <v>163.61758333333333</v>
      </c>
      <c r="AB6" s="21">
        <f>VLOOKUP($A6,tabCustoUnit[],COLUMN(CUSTO_GLOBAL[[#Headers],[Férias e Adicional de Férias (titular)]])-2,0)*($G6-$H6)</f>
        <v>218.15677777777776</v>
      </c>
      <c r="AC6" s="21">
        <f>VLOOKUP($A6,tabCustoUnit[],COLUMN(CUSTO_GLOBAL[[#Headers],[Incidência do Submódulo 2.1 sobre 13º Salário, Férias e Adicional de Férias]])-2,0)*($G6-$H6)</f>
        <v>144.3107085</v>
      </c>
      <c r="AD6" s="21">
        <f>VLOOKUP($A6,tabCustoUnit[],COLUMN(CUSTO_GLOBAL[[#Headers],[Submódulo 2.2]])-2,0)*($G6-$H6)</f>
        <v>526.08506961111107</v>
      </c>
      <c r="AE6" s="22" t="e">
        <f ca="1">VLOOKUP($A6,tabCustoUnit[],COLUMN(CUSTO_GLOBAL[[#Headers],[Vale - Transporte (Descontada parcela do empregado)]])-2,0)*($G6-$H6)</f>
        <v>#NAME?</v>
      </c>
      <c r="AF6" s="22">
        <f>VLOOKUP($A6,tabCustoUnit[],COLUMN(CUSTO_GLOBAL[[#Headers],[Vale - Alimentação (Descontada parcela do empregado)]])-2,0)*($G6-$H6)</f>
        <v>582</v>
      </c>
      <c r="AG6" s="22">
        <f>VLOOKUP($A6,tabCustoUnit[],COLUMN(CUSTO_GLOBAL[[#Headers],[Cesta Básica]])-2,0)*($G6-$H6)</f>
        <v>0</v>
      </c>
      <c r="AH6" s="22">
        <f>VLOOKUP($A6,tabCustoUnit[],COLUMN(CUSTO_GLOBAL[[#Headers],[PAF]])-2,0)*($G6-$H6)</f>
        <v>0</v>
      </c>
      <c r="AI6" s="22">
        <f>VLOOKUP($A6,tabCustoUnit[],COLUMN(CUSTO_GLOBAL[[#Headers],[PQM]])-2,0)*($G6-$H6)</f>
        <v>15.07</v>
      </c>
      <c r="AJ6" s="22">
        <v>0</v>
      </c>
      <c r="AK6" s="22">
        <f>VLOOKUP($A6,tabCustoUnit[],COLUMN(CUSTO_GLOBAL[[#Headers],[Seguro de Vida]])-2,0)*($G6-$H6)</f>
        <v>3.36</v>
      </c>
      <c r="AL6" s="22">
        <f>VLOOKUP($A6,tabCustoUnit[],COLUMN(CUSTO_GLOBAL[[#Headers],[Despesas de Viagem]])-2,0)*($G6-$H6)</f>
        <v>0</v>
      </c>
      <c r="AM6" s="22" t="e">
        <f ca="1">VLOOKUP($A6,tabCustoUnit[],COLUMN(CUSTO_GLOBAL[[#Headers],[Submódulo 2.3]])-2,0)*($G6-$H6)</f>
        <v>#NAME?</v>
      </c>
      <c r="AN6" s="22" t="e">
        <f ca="1">VLOOKUP($A6,tabCustoUnit[],COLUMN(CUSTO_GLOBAL[[#Headers],[MÓDULO 2 - Total Encargos e Benefícios mensais e diários]])-2,0)*($G6-$H6)</f>
        <v>#NAME?</v>
      </c>
      <c r="AO6" s="22">
        <f>VLOOKUP($A6,tabCustoUnit[],COLUMN(CUSTO_GLOBAL[[#Headers],[Aviso Prévio Indenizado (API) e Reflexo do Aviso Prévio Indenizado]])-2,0)*($G6-$H6)</f>
        <v>13.766980408757716</v>
      </c>
      <c r="AP6" s="22">
        <f>VLOOKUP($A6,tabCustoUnit[],COLUMN(CUSTO_GLOBAL[[#Headers],[Incidência do FGTS sobre API e Reflexo do API]])-2,0)*($G6-$H6)</f>
        <v>1.1013584327006174</v>
      </c>
      <c r="AQ6" s="22">
        <f>VLOOKUP($A6,tabCustoUnit[],COLUMN(CUSTO_GLOBAL[[#Headers],[Multa Rescisória do FGTS sobre o Aviso Prévio Indenizado]])-2,0)*($G6-$H6)</f>
        <v>0.44054337308024699</v>
      </c>
      <c r="AR6" s="22">
        <f>VLOOKUP($A6,tabCustoUnit[],COLUMN(CUSTO_GLOBAL[[#Headers],[Aviso Prévio Trabalhado - APT]])-2,0)*($G6-$H6)</f>
        <v>6.8719385000000015</v>
      </c>
      <c r="AS6" s="22">
        <f>VLOOKUP($A6,tabCustoUnit[],COLUMN(CUSTO_GLOBAL[[#Headers],[Incidência dos encargos do submódulo 2.1 sobre Aviso Prévio Trabalhado]])-2,0)*($G6-$H6)</f>
        <v>2.5975927530000007</v>
      </c>
      <c r="AT6" s="22">
        <f>VLOOKUP($A6,tabCustoUnit[],COLUMN(CUSTO_GLOBAL[[#Headers],[Multa Rescisória do FGTS]])-2,0)*($G6-$H6)</f>
        <v>60.03674524444444</v>
      </c>
      <c r="AU6" s="22">
        <f>VLOOKUP($A6,tabCustoUnit[],COLUMN(CUSTO_GLOBAL[[#Headers],[Indenização Adicional (Art. 9º da Lei nº 7.238/84)]])-2,0)*($G6-$H6)</f>
        <v>1.6361758333333334</v>
      </c>
      <c r="AV6" s="22">
        <f>VLOOKUP($A6,tabCustoUnit[],COLUMN(CUSTO_GLOBAL[[#Headers],[MÓDULO 3 – PROVISÃO PARA RESCISÃO]])-2,0)*($G6-$H6)</f>
        <v>86.451334545316371</v>
      </c>
      <c r="AW6" s="22">
        <f>VLOOKUP($A6,tabCustoUnit[],COLUMN(CUSTO_GLOBAL[[#Headers],[Ausência por Doença]])-2,0)*($G6-$H6)</f>
        <v>16.579915111111109</v>
      </c>
      <c r="AX6" s="22">
        <f>VLOOKUP($A6,tabCustoUnit[],COLUMN(CUSTO_GLOBAL[[#Headers],[Ausências Legais]])-2,0)*($G6-$H6)</f>
        <v>3.9813611944444443</v>
      </c>
      <c r="AY6" s="22">
        <f>VLOOKUP($A6,tabCustoUnit[],COLUMN(CUSTO_GLOBAL[[#Headers],[Licença Paternidade]])-2,0)*($G6-$H6)</f>
        <v>0.33541604583333334</v>
      </c>
      <c r="AZ6" s="22">
        <f>VLOOKUP($A6,tabCustoUnit[],COLUMN(CUSTO_GLOBAL[[#Headers],[Ausência por Acidente de Trabalho]])-2,0)*($G6-$H6)</f>
        <v>0.40904395833333335</v>
      </c>
      <c r="BA6" s="22">
        <f>VLOOKUP($A6,tabCustoUnit[],COLUMN(CUSTO_GLOBAL[[#Headers],[Férias, Adicional de Férias e 13º  com empregada em gozo de Licença Maternidade]])-2,0)*($G6-$H6)</f>
        <v>2.5451624074074073</v>
      </c>
      <c r="BB6" s="22">
        <f>VLOOKUP($A6,tabCustoUnit[],COLUMN(CUSTO_GLOBAL[[#Headers],[Incidência do Submódulo 2.1 sobre Ausências Legais]])-2,0)*($G6-$H6)</f>
        <v>9.0156397150750021</v>
      </c>
      <c r="BC6" s="22">
        <f>VLOOKUP($A6,tabCustoUnit[],COLUMN(CUSTO_GLOBAL[[#Headers],[Submódulo 4.1]])-2,0)*($G6-$H6)</f>
        <v>32.866538432204628</v>
      </c>
      <c r="BD6" s="22">
        <f>VLOOKUP($A6,tabCustoUnit[],COLUMN(CUSTO_GLOBAL[[#Headers],[Intervalo para Repouso ou Alimentação]])-2,0)*($G6-$H6)</f>
        <v>267.73786489195959</v>
      </c>
      <c r="BE6" s="22">
        <f>VLOOKUP($A6,tabCustoUnit[],COLUMN(CUSTO_GLOBAL[[#Headers],[Submódulo 4.2]])-2,0)*($G6-$H6)</f>
        <v>267.73786489195959</v>
      </c>
      <c r="BF6" s="22">
        <f>VLOOKUP($A6,tabCustoUnit[],COLUMN(CUSTO_GLOBAL[[#Headers],[Suspensão Temporária do Contrato de Trabalho]])-2,0)*($G6-$H6)</f>
        <v>0</v>
      </c>
      <c r="BG6" s="22">
        <f>VLOOKUP($A6,tabCustoUnit[],COLUMN(CUSTO_GLOBAL[[#Headers],[Submódulo 4.3]])-2,0)*($G6-$H6)</f>
        <v>0</v>
      </c>
      <c r="BH6" s="22">
        <f>VLOOKUP($A6,tabCustoUnit[],COLUMN(CUSTO_GLOBAL[[#Headers],[MÓDULO 4 – CUSTO DE REPOSIÇÃO DO PROFISSIONAL AUSENTE]])-2,0)*($G6-$H6)</f>
        <v>300.6044033241642</v>
      </c>
      <c r="BI6" s="22">
        <f>VLOOKUP($A6,tabCustoUnit[],COLUMN(CUSTO_GLOBAL[[#Headers],[Uniformes e EPIs]])-2,0)*($G6-$H6)</f>
        <v>56.642978962543395</v>
      </c>
      <c r="BJ6" s="22">
        <f>VLOOKUP($A6,tabCustoUnit[],COLUMN(CUSTO_GLOBAL[[#Headers],[Materiais de Consumo]])-2,0)*($G6-$H6)</f>
        <v>0</v>
      </c>
      <c r="BK6" s="22">
        <f>VLOOKUP($A6,tabCustoUnit[],COLUMN(CUSTO_GLOBAL[[#Headers],[Máquinas e Equipamentos (depreciação)]])-2,0)*($G6-$H6)</f>
        <v>0</v>
      </c>
      <c r="BL6" s="22">
        <f>VLOOKUP($A6,tabCustoUnit[],COLUMN(CUSTO_GLOBAL[[#Headers],[Produtos de Limpeza e Materiais de Higiene Pessoal]])-2,0)*($G6-$H6)</f>
        <v>0</v>
      </c>
      <c r="BM6" s="22">
        <f>VLOOKUP($A6,tabCustoUnit[],COLUMN(CUSTO_GLOBAL[[#Headers],[Outros (especificar)]])-2,0)*($G6-$H6)</f>
        <v>0</v>
      </c>
      <c r="BN6" s="22">
        <f>VLOOKUP($A6,tabCustoUnit[],COLUMN(CUSTO_GLOBAL[[#Headers],[MÓDULO 5 – INSUMOS DIVERSOS]])-2,0)*($G6-$H6)</f>
        <v>56.642978962543395</v>
      </c>
      <c r="BO6" s="22" t="e">
        <f ca="1">VLOOKUP($A6,tabCustoUnit[],COLUMN(CUSTO_GLOBAL[[#Headers],[TOTAL MÓDULOS 1+2+3+4+5]])-2,0)*($G6-$H6)</f>
        <v>#NAME?</v>
      </c>
      <c r="BP6" s="22" t="e">
        <f ca="1">VLOOKUP($A6,tabCustoUnit[],COLUMN(CUSTO_GLOBAL[[#Headers],[Custos Indiretos]])-2,0)*($G6-$H6)</f>
        <v>#NAME?</v>
      </c>
      <c r="BQ6" s="22" t="e">
        <f ca="1">VLOOKUP($A6,tabCustoUnit[],COLUMN(CUSTO_GLOBAL[[#Headers],[Lucro]])-2,0)*($G6-$H6)</f>
        <v>#NAME?</v>
      </c>
      <c r="BR6" s="26">
        <f>VLOOKUP($A6,tabCustoUnit[],COLUMN(CUSTO_GLOBAL[[#Headers],[COFINS]])-2,0)</f>
        <v>8.6609686609686695E-2</v>
      </c>
      <c r="BS6" s="26">
        <f>VLOOKUP($A6,tabCustoUnit[],COLUMN(CUSTO_GLOBAL[[#Headers],[PIS]])-2,0)</f>
        <v>1.880341880341882E-2</v>
      </c>
      <c r="BT6" s="28">
        <f>VLOOKUP($A6,tabCustoUnit[],COLUMN(CUSTO_GLOBAL[[#Headers],[ISS]])-2,0)</f>
        <v>0.03</v>
      </c>
      <c r="BU6" s="26">
        <f>VLOOKUP($A6,tabCustoUnit[],COLUMN(CUSTO_GLOBAL[[#Headers],[ISS (Conversão Alíquota s/ fatura)]])-2,0)</f>
        <v>3.4188034188034219E-2</v>
      </c>
      <c r="BV6" s="26">
        <f>VLOOKUP($A6,tabCustoUnit[],COLUMN(CUSTO_GLOBAL[[#Headers],[Resumo de Alíquotas (PIS+CONFINS+ISS)]])-2,0)</f>
        <v>0.1225</v>
      </c>
      <c r="BW6" s="138">
        <f>VLOOKUP($A6,tabCustoUnit[],COLUMN(CUSTO_GLOBAL[[#Headers],[PIS + COFINS + ISS (Total Conversão  Alíquota s/ Fatura)]])-2,0)</f>
        <v>0.13960113960113973</v>
      </c>
      <c r="BX6" s="22" t="e">
        <f ca="1">VLOOKUP($A6,tabCustoUnit[],COLUMN(CUSTO_GLOBAL[[#Headers],[Valor dos Tributos (ISS, PIS, CONFINS)]])-2,0)*($G6-$H6)</f>
        <v>#NAME?</v>
      </c>
      <c r="BY6" s="22" t="e">
        <f ca="1">VLOOKUP($A6,tabCustoUnit[],COLUMN(CUSTO_GLOBAL[[#Headers],[MÓDULO 6 – CUSTOS INDIRETOS, TRIBUTOS E LUCRO]])-2,0)*($G6-$H6)</f>
        <v>#NAME?</v>
      </c>
      <c r="BZ6" s="22" t="e">
        <f ca="1">VLOOKUP($A6,tabCustoUnit[],COLUMN(CUSTO_GLOBAL[[#Headers],[CUSTO TOTAL MENSAL]])-2,0)*($G6-$H6)</f>
        <v>#NAME?</v>
      </c>
      <c r="CA6" s="22" t="e">
        <f ca="1">CUSTO_GLOBAL[[#This Row],[CUSTO TOTAL MENSAL]]*12</f>
        <v>#NAME?</v>
      </c>
      <c r="CB6" s="24">
        <f>VLOOKUP($A6,tabCustoUnit[],COLUMN(CUSTO_GLOBAL[[#Headers],[ANO DA CCT]])-2,0)</f>
        <v>45658</v>
      </c>
      <c r="CC6" s="25" t="str">
        <f>VLOOKUP($A6,tabCustoUnit[],COLUMN(CUSTO_GLOBAL[[#Headers],[Nº DE PEDIDO DA CCT]])-2,0)</f>
        <v>-</v>
      </c>
      <c r="CD6" s="25" t="str">
        <f>VLOOKUP($A6,tabCustoUnit[],COLUMN(CUSTO_GLOBAL[[#Headers],[TERMO ADITIVO ALTERAÇÃO DA CCT]])-2,0)</f>
        <v>-</v>
      </c>
    </row>
    <row r="7" spans="1:82">
      <c r="A7" s="20" t="s">
        <v>1531</v>
      </c>
      <c r="B7" t="s">
        <v>1092</v>
      </c>
      <c r="C7" t="s">
        <v>314</v>
      </c>
      <c r="D7" t="s">
        <v>918</v>
      </c>
      <c r="E7" s="20" t="s">
        <v>1090</v>
      </c>
      <c r="F7" s="20" t="s">
        <v>120</v>
      </c>
      <c r="G7" s="20">
        <v>1</v>
      </c>
      <c r="H7" s="20">
        <v>0</v>
      </c>
      <c r="I7" s="21">
        <f>VLOOKUP($A7,tabCustoUnit[],COLUMN(CUSTO_GLOBAL[[#Headers],[Salário Base]])-2,0)*($G7-$H7)</f>
        <v>1963.4110000000001</v>
      </c>
      <c r="J7" s="21">
        <f>VLOOKUP($A7,tabCustoUnit[],COLUMN(CUSTO_GLOBAL[[#Headers],[Adicional Periculosidade]])-2,0)*($G7-$H7)</f>
        <v>0</v>
      </c>
      <c r="K7" s="21">
        <f>VLOOKUP($A7,tabCustoUnit[],COLUMN(CUSTO_GLOBAL[[#Headers],[Adicional Insalubridade]])-2,0)*($G7-$H7)</f>
        <v>0</v>
      </c>
      <c r="L7" s="21">
        <f>VLOOKUP($A7,tabCustoUnit[],COLUMN(CUSTO_GLOBAL[[#Headers],[Adicional Noturno]])-2,0)*($G7-$H7)</f>
        <v>0</v>
      </c>
      <c r="M7" s="21">
        <f>VLOOKUP($A7,tabCustoUnit[],COLUMN(CUSTO_GLOBAL[[#Headers],[Adicional Motorista II (Gratificação)]])-2,0)*($G7-$H7)</f>
        <v>0</v>
      </c>
      <c r="N7" s="21">
        <f>VLOOKUP($A7,tabCustoUnit[],COLUMN(CUSTO_GLOBAL[[#Headers],[Adicional de Sobreaviso]])-2,0)*($G7-$H7)</f>
        <v>0</v>
      </c>
      <c r="O7" s="21">
        <f>VLOOKUP($A7,tabCustoUnit[],COLUMN(CUSTO_GLOBAL[[#Headers],[Horas Extras TI]])-2,0)*($G7-$H7)</f>
        <v>0</v>
      </c>
      <c r="P7" s="21">
        <f>VLOOKUP($A7,tabCustoUnit[],COLUMN(CUSTO_GLOBAL[[#Headers],[Adicional de Acúmulo de função]])-2,0)*($G7-$H7)</f>
        <v>0</v>
      </c>
      <c r="Q7" s="21">
        <f>VLOOKUP($A7,tabCustoUnit[],COLUMN(CUSTO_GLOBAL[[#Headers],[MODULO 1 - REMUNERAÇÃO ]])-2,0)*($G7-$H7)</f>
        <v>1963.4110000000001</v>
      </c>
      <c r="R7" s="21">
        <f>VLOOKUP($A7,tabCustoUnit[],COLUMN(CUSTO_GLOBAL[[#Headers],[INSS]])-2,0)*($G7-$H7)</f>
        <v>392.68220000000002</v>
      </c>
      <c r="S7" s="21">
        <f>VLOOKUP($A7,tabCustoUnit[],COLUMN(CUSTO_GLOBAL[[#Headers],[SESI OU SESC]])-2,0)*($G7-$H7)</f>
        <v>29.451165</v>
      </c>
      <c r="T7" s="21">
        <f>VLOOKUP($A7,tabCustoUnit[],COLUMN(CUSTO_GLOBAL[[#Headers],[SENAI OU SENAC]])-2,0)*($G7-$H7)</f>
        <v>19.63411</v>
      </c>
      <c r="U7" s="21">
        <f>VLOOKUP($A7,tabCustoUnit[],COLUMN(CUSTO_GLOBAL[[#Headers],[INCRA]])-2,0)*($G7-$H7)</f>
        <v>3.926822</v>
      </c>
      <c r="V7" s="21">
        <f>VLOOKUP($A7,tabCustoUnit[],COLUMN(CUSTO_GLOBAL[[#Headers],[Salário Educação]])-2,0)*($G7-$H7)</f>
        <v>49.085275000000003</v>
      </c>
      <c r="W7" s="21">
        <f>VLOOKUP($A7,tabCustoUnit[],COLUMN(CUSTO_GLOBAL[[#Headers],[FGTS]])-2,0)*($G7-$H7)</f>
        <v>157.07288</v>
      </c>
      <c r="X7" s="21">
        <f>VLOOKUP($A7,tabCustoUnit[],COLUMN(CUSTO_GLOBAL[[#Headers],[RAT Ajustado]])-2,0)*($G7-$H7)</f>
        <v>78.536439999999999</v>
      </c>
      <c r="Y7" s="21">
        <f>VLOOKUP($A7,tabCustoUnit[],COLUMN(CUSTO_GLOBAL[[#Headers],[SEBRAE]])-2,0)*($G7-$H7)</f>
        <v>11.780466000000001</v>
      </c>
      <c r="Z7" s="21">
        <f>VLOOKUP($A7,tabCustoUnit[],COLUMN(CUSTO_GLOBAL[[#Headers],[Submódulo 2.1]])-2,0)*($G7-$H7)</f>
        <v>742.1693580000001</v>
      </c>
      <c r="AA7" s="21">
        <f>VLOOKUP($A7,tabCustoUnit[],COLUMN(CUSTO_GLOBAL[[#Headers],[13º salário (titular)]])-2,0)*($G7-$H7)</f>
        <v>163.61758333333333</v>
      </c>
      <c r="AB7" s="21">
        <f>VLOOKUP($A7,tabCustoUnit[],COLUMN(CUSTO_GLOBAL[[#Headers],[Férias e Adicional de Férias (titular)]])-2,0)*($G7-$H7)</f>
        <v>218.15677777777776</v>
      </c>
      <c r="AC7" s="21">
        <f>VLOOKUP($A7,tabCustoUnit[],COLUMN(CUSTO_GLOBAL[[#Headers],[Incidência do Submódulo 2.1 sobre 13º Salário, Férias e Adicional de Férias]])-2,0)*($G7-$H7)</f>
        <v>144.3107085</v>
      </c>
      <c r="AD7" s="21">
        <f>VLOOKUP($A7,tabCustoUnit[],COLUMN(CUSTO_GLOBAL[[#Headers],[Submódulo 2.2]])-2,0)*($G7-$H7)</f>
        <v>526.08506961111107</v>
      </c>
      <c r="AE7" s="22" t="e">
        <f ca="1">VLOOKUP($A7,tabCustoUnit[],COLUMN(CUSTO_GLOBAL[[#Headers],[Vale - Transporte (Descontada parcela do empregado)]])-2,0)*($G7-$H7)</f>
        <v>#NAME?</v>
      </c>
      <c r="AF7" s="22">
        <f>VLOOKUP($A7,tabCustoUnit[],COLUMN(CUSTO_GLOBAL[[#Headers],[Vale - Alimentação (Descontada parcela do empregado)]])-2,0)*($G7-$H7)</f>
        <v>582</v>
      </c>
      <c r="AG7" s="22">
        <f>VLOOKUP($A7,tabCustoUnit[],COLUMN(CUSTO_GLOBAL[[#Headers],[Cesta Básica]])-2,0)*($G7-$H7)</f>
        <v>0</v>
      </c>
      <c r="AH7" s="22">
        <f>VLOOKUP($A7,tabCustoUnit[],COLUMN(CUSTO_GLOBAL[[#Headers],[PAF]])-2,0)*($G7-$H7)</f>
        <v>0</v>
      </c>
      <c r="AI7" s="22">
        <f>VLOOKUP($A7,tabCustoUnit[],COLUMN(CUSTO_GLOBAL[[#Headers],[PQM]])-2,0)*($G7-$H7)</f>
        <v>15.07</v>
      </c>
      <c r="AJ7" s="22">
        <v>0</v>
      </c>
      <c r="AK7" s="22">
        <f>VLOOKUP($A7,tabCustoUnit[],COLUMN(CUSTO_GLOBAL[[#Headers],[Seguro de Vida]])-2,0)*($G7-$H7)</f>
        <v>3.36</v>
      </c>
      <c r="AL7" s="22">
        <f>VLOOKUP($A7,tabCustoUnit[],COLUMN(CUSTO_GLOBAL[[#Headers],[Despesas de Viagem]])-2,0)*($G7-$H7)</f>
        <v>0</v>
      </c>
      <c r="AM7" s="22" t="e">
        <f ca="1">VLOOKUP($A7,tabCustoUnit[],COLUMN(CUSTO_GLOBAL[[#Headers],[Submódulo 2.3]])-2,0)*($G7-$H7)</f>
        <v>#NAME?</v>
      </c>
      <c r="AN7" s="22" t="e">
        <f ca="1">VLOOKUP($A7,tabCustoUnit[],COLUMN(CUSTO_GLOBAL[[#Headers],[MÓDULO 2 - Total Encargos e Benefícios mensais e diários]])-2,0)*($G7-$H7)</f>
        <v>#NAME?</v>
      </c>
      <c r="AO7" s="22">
        <f>VLOOKUP($A7,tabCustoUnit[],COLUMN(CUSTO_GLOBAL[[#Headers],[Aviso Prévio Indenizado (API) e Reflexo do Aviso Prévio Indenizado]])-2,0)*($G7-$H7)</f>
        <v>13.766980408757716</v>
      </c>
      <c r="AP7" s="22">
        <f>VLOOKUP($A7,tabCustoUnit[],COLUMN(CUSTO_GLOBAL[[#Headers],[Incidência do FGTS sobre API e Reflexo do API]])-2,0)*($G7-$H7)</f>
        <v>1.1013584327006174</v>
      </c>
      <c r="AQ7" s="22">
        <f>VLOOKUP($A7,tabCustoUnit[],COLUMN(CUSTO_GLOBAL[[#Headers],[Multa Rescisória do FGTS sobre o Aviso Prévio Indenizado]])-2,0)*($G7-$H7)</f>
        <v>0.44054337308024699</v>
      </c>
      <c r="AR7" s="22">
        <f>VLOOKUP($A7,tabCustoUnit[],COLUMN(CUSTO_GLOBAL[[#Headers],[Aviso Prévio Trabalhado - APT]])-2,0)*($G7-$H7)</f>
        <v>6.8719385000000015</v>
      </c>
      <c r="AS7" s="22">
        <f>VLOOKUP($A7,tabCustoUnit[],COLUMN(CUSTO_GLOBAL[[#Headers],[Incidência dos encargos do submódulo 2.1 sobre Aviso Prévio Trabalhado]])-2,0)*($G7-$H7)</f>
        <v>2.5975927530000007</v>
      </c>
      <c r="AT7" s="22">
        <f>VLOOKUP($A7,tabCustoUnit[],COLUMN(CUSTO_GLOBAL[[#Headers],[Multa Rescisória do FGTS]])-2,0)*($G7-$H7)</f>
        <v>60.03674524444444</v>
      </c>
      <c r="AU7" s="22">
        <f>VLOOKUP($A7,tabCustoUnit[],COLUMN(CUSTO_GLOBAL[[#Headers],[Indenização Adicional (Art. 9º da Lei nº 7.238/84)]])-2,0)*($G7-$H7)</f>
        <v>1.6361758333333334</v>
      </c>
      <c r="AV7" s="22">
        <f>VLOOKUP($A7,tabCustoUnit[],COLUMN(CUSTO_GLOBAL[[#Headers],[MÓDULO 3 – PROVISÃO PARA RESCISÃO]])-2,0)*($G7-$H7)</f>
        <v>86.451334545316371</v>
      </c>
      <c r="AW7" s="22">
        <f>VLOOKUP($A7,tabCustoUnit[],COLUMN(CUSTO_GLOBAL[[#Headers],[Ausência por Doença]])-2,0)*($G7-$H7)</f>
        <v>16.579915111111109</v>
      </c>
      <c r="AX7" s="22">
        <f>VLOOKUP($A7,tabCustoUnit[],COLUMN(CUSTO_GLOBAL[[#Headers],[Ausências Legais]])-2,0)*($G7-$H7)</f>
        <v>3.9813611944444443</v>
      </c>
      <c r="AY7" s="22">
        <f>VLOOKUP($A7,tabCustoUnit[],COLUMN(CUSTO_GLOBAL[[#Headers],[Licença Paternidade]])-2,0)*($G7-$H7)</f>
        <v>0.33541604583333334</v>
      </c>
      <c r="AZ7" s="22">
        <f>VLOOKUP($A7,tabCustoUnit[],COLUMN(CUSTO_GLOBAL[[#Headers],[Ausência por Acidente de Trabalho]])-2,0)*($G7-$H7)</f>
        <v>0.40904395833333335</v>
      </c>
      <c r="BA7" s="22">
        <f>VLOOKUP($A7,tabCustoUnit[],COLUMN(CUSTO_GLOBAL[[#Headers],[Férias, Adicional de Férias e 13º  com empregada em gozo de Licença Maternidade]])-2,0)*($G7-$H7)</f>
        <v>2.5451624074074073</v>
      </c>
      <c r="BB7" s="22">
        <f>VLOOKUP($A7,tabCustoUnit[],COLUMN(CUSTO_GLOBAL[[#Headers],[Incidência do Submódulo 2.1 sobre Ausências Legais]])-2,0)*($G7-$H7)</f>
        <v>9.0156397150750021</v>
      </c>
      <c r="BC7" s="22">
        <f>VLOOKUP($A7,tabCustoUnit[],COLUMN(CUSTO_GLOBAL[[#Headers],[Submódulo 4.1]])-2,0)*($G7-$H7)</f>
        <v>32.866538432204628</v>
      </c>
      <c r="BD7" s="22">
        <f>VLOOKUP($A7,tabCustoUnit[],COLUMN(CUSTO_GLOBAL[[#Headers],[Intervalo para Repouso ou Alimentação]])-2,0)*($G7-$H7)</f>
        <v>267.73786489195959</v>
      </c>
      <c r="BE7" s="22">
        <f>VLOOKUP($A7,tabCustoUnit[],COLUMN(CUSTO_GLOBAL[[#Headers],[Submódulo 4.2]])-2,0)*($G7-$H7)</f>
        <v>267.73786489195959</v>
      </c>
      <c r="BF7" s="22">
        <f>VLOOKUP($A7,tabCustoUnit[],COLUMN(CUSTO_GLOBAL[[#Headers],[Suspensão Temporária do Contrato de Trabalho]])-2,0)*($G7-$H7)</f>
        <v>0</v>
      </c>
      <c r="BG7" s="22">
        <f>VLOOKUP($A7,tabCustoUnit[],COLUMN(CUSTO_GLOBAL[[#Headers],[Submódulo 4.3]])-2,0)*($G7-$H7)</f>
        <v>0</v>
      </c>
      <c r="BH7" s="22">
        <f>VLOOKUP($A7,tabCustoUnit[],COLUMN(CUSTO_GLOBAL[[#Headers],[MÓDULO 4 – CUSTO DE REPOSIÇÃO DO PROFISSIONAL AUSENTE]])-2,0)*($G7-$H7)</f>
        <v>300.6044033241642</v>
      </c>
      <c r="BI7" s="22">
        <f>VLOOKUP($A7,tabCustoUnit[],COLUMN(CUSTO_GLOBAL[[#Headers],[Uniformes e EPIs]])-2,0)*($G7-$H7)</f>
        <v>56.642978962543395</v>
      </c>
      <c r="BJ7" s="22">
        <f>VLOOKUP($A7,tabCustoUnit[],COLUMN(CUSTO_GLOBAL[[#Headers],[Materiais de Consumo]])-2,0)*($G7-$H7)</f>
        <v>0</v>
      </c>
      <c r="BK7" s="22">
        <f>VLOOKUP($A7,tabCustoUnit[],COLUMN(CUSTO_GLOBAL[[#Headers],[Máquinas e Equipamentos (depreciação)]])-2,0)*($G7-$H7)</f>
        <v>0</v>
      </c>
      <c r="BL7" s="22">
        <f>VLOOKUP($A7,tabCustoUnit[],COLUMN(CUSTO_GLOBAL[[#Headers],[Produtos de Limpeza e Materiais de Higiene Pessoal]])-2,0)*($G7-$H7)</f>
        <v>0</v>
      </c>
      <c r="BM7" s="22">
        <f>VLOOKUP($A7,tabCustoUnit[],COLUMN(CUSTO_GLOBAL[[#Headers],[Outros (especificar)]])-2,0)*($G7-$H7)</f>
        <v>0</v>
      </c>
      <c r="BN7" s="22">
        <f>VLOOKUP($A7,tabCustoUnit[],COLUMN(CUSTO_GLOBAL[[#Headers],[MÓDULO 5 – INSUMOS DIVERSOS]])-2,0)*($G7-$H7)</f>
        <v>56.642978962543395</v>
      </c>
      <c r="BO7" s="22" t="e">
        <f ca="1">VLOOKUP($A7,tabCustoUnit[],COLUMN(CUSTO_GLOBAL[[#Headers],[TOTAL MÓDULOS 1+2+3+4+5]])-2,0)*($G7-$H7)</f>
        <v>#NAME?</v>
      </c>
      <c r="BP7" s="22" t="e">
        <f ca="1">VLOOKUP($A7,tabCustoUnit[],COLUMN(CUSTO_GLOBAL[[#Headers],[Custos Indiretos]])-2,0)*($G7-$H7)</f>
        <v>#NAME?</v>
      </c>
      <c r="BQ7" s="22" t="e">
        <f ca="1">VLOOKUP($A7,tabCustoUnit[],COLUMN(CUSTO_GLOBAL[[#Headers],[Lucro]])-2,0)*($G7-$H7)</f>
        <v>#NAME?</v>
      </c>
      <c r="BR7" s="26">
        <f>VLOOKUP($A7,tabCustoUnit[],COLUMN(CUSTO_GLOBAL[[#Headers],[COFINS]])-2,0)</f>
        <v>8.8629737609329504E-2</v>
      </c>
      <c r="BS7" s="26">
        <f>VLOOKUP($A7,tabCustoUnit[],COLUMN(CUSTO_GLOBAL[[#Headers],[PIS]])-2,0)</f>
        <v>1.9241982507288629E-2</v>
      </c>
      <c r="BT7" s="28">
        <f>VLOOKUP($A7,tabCustoUnit[],COLUMN(CUSTO_GLOBAL[[#Headers],[ISS]])-2,0)</f>
        <v>0.05</v>
      </c>
      <c r="BU7" s="26">
        <f>VLOOKUP($A7,tabCustoUnit[],COLUMN(CUSTO_GLOBAL[[#Headers],[ISS (Conversão Alíquota s/ fatura)]])-2,0)</f>
        <v>5.8309037900874633E-2</v>
      </c>
      <c r="BV7" s="26">
        <f>VLOOKUP($A7,tabCustoUnit[],COLUMN(CUSTO_GLOBAL[[#Headers],[Resumo de Alíquotas (PIS+CONFINS+ISS)]])-2,0)</f>
        <v>0.14250000000000002</v>
      </c>
      <c r="BW7" s="138">
        <f>VLOOKUP($A7,tabCustoUnit[],COLUMN(CUSTO_GLOBAL[[#Headers],[PIS + COFINS + ISS (Total Conversão  Alíquota s/ Fatura)]])-2,0)</f>
        <v>0.16618075801749277</v>
      </c>
      <c r="BX7" s="22" t="e">
        <f ca="1">VLOOKUP($A7,tabCustoUnit[],COLUMN(CUSTO_GLOBAL[[#Headers],[Valor dos Tributos (ISS, PIS, CONFINS)]])-2,0)*($G7-$H7)</f>
        <v>#NAME?</v>
      </c>
      <c r="BY7" s="22" t="e">
        <f ca="1">VLOOKUP($A7,tabCustoUnit[],COLUMN(CUSTO_GLOBAL[[#Headers],[MÓDULO 6 – CUSTOS INDIRETOS, TRIBUTOS E LUCRO]])-2,0)*($G7-$H7)</f>
        <v>#NAME?</v>
      </c>
      <c r="BZ7" s="22" t="e">
        <f ca="1">VLOOKUP($A7,tabCustoUnit[],COLUMN(CUSTO_GLOBAL[[#Headers],[CUSTO TOTAL MENSAL]])-2,0)*($G7-$H7)</f>
        <v>#NAME?</v>
      </c>
      <c r="CA7" s="22" t="e">
        <f ca="1">CUSTO_GLOBAL[[#This Row],[CUSTO TOTAL MENSAL]]*12</f>
        <v>#NAME?</v>
      </c>
      <c r="CB7" s="24">
        <f>VLOOKUP($A7,tabCustoUnit[],COLUMN(CUSTO_GLOBAL[[#Headers],[ANO DA CCT]])-2,0)</f>
        <v>45658</v>
      </c>
      <c r="CC7" s="25" t="str">
        <f>VLOOKUP($A7,tabCustoUnit[],COLUMN(CUSTO_GLOBAL[[#Headers],[Nº DE PEDIDO DA CCT]])-2,0)</f>
        <v>-</v>
      </c>
      <c r="CD7" s="25" t="str">
        <f>VLOOKUP($A7,tabCustoUnit[],COLUMN(CUSTO_GLOBAL[[#Headers],[TERMO ADITIVO ALTERAÇÃO DA CCT]])-2,0)</f>
        <v>-</v>
      </c>
    </row>
    <row r="8" spans="1:82">
      <c r="A8" s="20" t="s">
        <v>1403</v>
      </c>
      <c r="B8" t="s">
        <v>1093</v>
      </c>
      <c r="C8" t="s">
        <v>200</v>
      </c>
      <c r="D8" t="s">
        <v>905</v>
      </c>
      <c r="E8" s="20" t="s">
        <v>1090</v>
      </c>
      <c r="F8" s="20" t="s">
        <v>120</v>
      </c>
      <c r="G8" s="20">
        <v>1</v>
      </c>
      <c r="H8" s="20">
        <v>0</v>
      </c>
      <c r="I8" s="21">
        <f>VLOOKUP($A8,tabCustoUnit[],COLUMN(CUSTO_GLOBAL[[#Headers],[Salário Base]])-2,0)*($G8-$H8)</f>
        <v>1596.2737999999999</v>
      </c>
      <c r="J8" s="21">
        <f>VLOOKUP($A8,tabCustoUnit[],COLUMN(CUSTO_GLOBAL[[#Headers],[Adicional Periculosidade]])-2,0)*($G8-$H8)</f>
        <v>0</v>
      </c>
      <c r="K8" s="21">
        <f>VLOOKUP($A8,tabCustoUnit[],COLUMN(CUSTO_GLOBAL[[#Headers],[Adicional Insalubridade]])-2,0)*($G8-$H8)</f>
        <v>0</v>
      </c>
      <c r="L8" s="21">
        <f>VLOOKUP($A8,tabCustoUnit[],COLUMN(CUSTO_GLOBAL[[#Headers],[Adicional Noturno]])-2,0)*($G8-$H8)</f>
        <v>0</v>
      </c>
      <c r="M8" s="21">
        <f>VLOOKUP($A8,tabCustoUnit[],COLUMN(CUSTO_GLOBAL[[#Headers],[Adicional Motorista II (Gratificação)]])-2,0)*($G8-$H8)</f>
        <v>0</v>
      </c>
      <c r="N8" s="21">
        <f>VLOOKUP($A8,tabCustoUnit[],COLUMN(CUSTO_GLOBAL[[#Headers],[Adicional de Sobreaviso]])-2,0)*($G8-$H8)</f>
        <v>0</v>
      </c>
      <c r="O8" s="21">
        <f>VLOOKUP($A8,tabCustoUnit[],COLUMN(CUSTO_GLOBAL[[#Headers],[Horas Extras TI]])-2,0)*($G8-$H8)</f>
        <v>0</v>
      </c>
      <c r="P8" s="21">
        <f>VLOOKUP($A8,tabCustoUnit[],COLUMN(CUSTO_GLOBAL[[#Headers],[Adicional de Acúmulo de função]])-2,0)*($G8-$H8)</f>
        <v>0</v>
      </c>
      <c r="Q8" s="21">
        <f>VLOOKUP($A8,tabCustoUnit[],COLUMN(CUSTO_GLOBAL[[#Headers],[MODULO 1 - REMUNERAÇÃO ]])-2,0)*($G8-$H8)</f>
        <v>1596.2737999999999</v>
      </c>
      <c r="R8" s="21">
        <f>VLOOKUP($A8,tabCustoUnit[],COLUMN(CUSTO_GLOBAL[[#Headers],[INSS]])-2,0)*($G8-$H8)</f>
        <v>319.25476000000003</v>
      </c>
      <c r="S8" s="21">
        <f>VLOOKUP($A8,tabCustoUnit[],COLUMN(CUSTO_GLOBAL[[#Headers],[SESI OU SESC]])-2,0)*($G8-$H8)</f>
        <v>23.944106999999999</v>
      </c>
      <c r="T8" s="21">
        <f>VLOOKUP($A8,tabCustoUnit[],COLUMN(CUSTO_GLOBAL[[#Headers],[SENAI OU SENAC]])-2,0)*($G8-$H8)</f>
        <v>15.962738</v>
      </c>
      <c r="U8" s="21">
        <f>VLOOKUP($A8,tabCustoUnit[],COLUMN(CUSTO_GLOBAL[[#Headers],[INCRA]])-2,0)*($G8-$H8)</f>
        <v>3.1925476000000002</v>
      </c>
      <c r="V8" s="21">
        <f>VLOOKUP($A8,tabCustoUnit[],COLUMN(CUSTO_GLOBAL[[#Headers],[Salário Educação]])-2,0)*($G8-$H8)</f>
        <v>39.906845000000004</v>
      </c>
      <c r="W8" s="21">
        <f>VLOOKUP($A8,tabCustoUnit[],COLUMN(CUSTO_GLOBAL[[#Headers],[FGTS]])-2,0)*($G8-$H8)</f>
        <v>127.701904</v>
      </c>
      <c r="X8" s="21">
        <f>VLOOKUP($A8,tabCustoUnit[],COLUMN(CUSTO_GLOBAL[[#Headers],[RAT Ajustado]])-2,0)*($G8-$H8)</f>
        <v>63.850951999999999</v>
      </c>
      <c r="Y8" s="21">
        <f>VLOOKUP($A8,tabCustoUnit[],COLUMN(CUSTO_GLOBAL[[#Headers],[SEBRAE]])-2,0)*($G8-$H8)</f>
        <v>9.5776427999999996</v>
      </c>
      <c r="Z8" s="21">
        <f>VLOOKUP($A8,tabCustoUnit[],COLUMN(CUSTO_GLOBAL[[#Headers],[Submódulo 2.1]])-2,0)*($G8-$H8)</f>
        <v>603.39149640000005</v>
      </c>
      <c r="AA8" s="21">
        <f>VLOOKUP($A8,tabCustoUnit[],COLUMN(CUSTO_GLOBAL[[#Headers],[13º salário (titular)]])-2,0)*($G8-$H8)</f>
        <v>133.02281666666664</v>
      </c>
      <c r="AB8" s="21">
        <f>VLOOKUP($A8,tabCustoUnit[],COLUMN(CUSTO_GLOBAL[[#Headers],[Férias e Adicional de Férias (titular)]])-2,0)*($G8-$H8)</f>
        <v>177.36375555555554</v>
      </c>
      <c r="AC8" s="21">
        <f>VLOOKUP($A8,tabCustoUnit[],COLUMN(CUSTO_GLOBAL[[#Headers],[Incidência do Submódulo 2.1 sobre 13º Salário, Férias e Adicional de Férias]])-2,0)*($G8-$H8)</f>
        <v>117.3261243</v>
      </c>
      <c r="AD8" s="21">
        <f>VLOOKUP($A8,tabCustoUnit[],COLUMN(CUSTO_GLOBAL[[#Headers],[Submódulo 2.2]])-2,0)*($G8-$H8)</f>
        <v>427.71269652222219</v>
      </c>
      <c r="AE8" s="22" t="e">
        <f ca="1">VLOOKUP($A8,tabCustoUnit[],COLUMN(CUSTO_GLOBAL[[#Headers],[Vale - Transporte (Descontada parcela do empregado)]])-2,0)*($G8-$H8)</f>
        <v>#NAME?</v>
      </c>
      <c r="AF8" s="22">
        <f>VLOOKUP($A8,tabCustoUnit[],COLUMN(CUSTO_GLOBAL[[#Headers],[Vale - Alimentação (Descontada parcela do empregado)]])-2,0)*($G8-$H8)</f>
        <v>582</v>
      </c>
      <c r="AG8" s="22">
        <f>VLOOKUP($A8,tabCustoUnit[],COLUMN(CUSTO_GLOBAL[[#Headers],[Cesta Básica]])-2,0)*($G8-$H8)</f>
        <v>0</v>
      </c>
      <c r="AH8" s="22">
        <f>VLOOKUP($A8,tabCustoUnit[],COLUMN(CUSTO_GLOBAL[[#Headers],[PAF]])-2,0)*($G8-$H8)</f>
        <v>57.07</v>
      </c>
      <c r="AI8" s="22">
        <f>VLOOKUP($A8,tabCustoUnit[],COLUMN(CUSTO_GLOBAL[[#Headers],[PQM]])-2,0)*($G8-$H8)</f>
        <v>0</v>
      </c>
      <c r="AJ8" s="22">
        <v>0</v>
      </c>
      <c r="AK8" s="22">
        <f>VLOOKUP($A8,tabCustoUnit[],COLUMN(CUSTO_GLOBAL[[#Headers],[Seguro de Vida]])-2,0)*($G8-$H8)</f>
        <v>3.36</v>
      </c>
      <c r="AL8" s="22">
        <f>VLOOKUP($A8,tabCustoUnit[],COLUMN(CUSTO_GLOBAL[[#Headers],[Despesas de Viagem]])-2,0)*($G8-$H8)</f>
        <v>0</v>
      </c>
      <c r="AM8" s="22" t="e">
        <f ca="1">VLOOKUP($A8,tabCustoUnit[],COLUMN(CUSTO_GLOBAL[[#Headers],[Submódulo 2.3]])-2,0)*($G8-$H8)</f>
        <v>#NAME?</v>
      </c>
      <c r="AN8" s="22" t="e">
        <f ca="1">VLOOKUP($A8,tabCustoUnit[],COLUMN(CUSTO_GLOBAL[[#Headers],[MÓDULO 2 - Total Encargos e Benefícios mensais e diários]])-2,0)*($G8-$H8)</f>
        <v>#NAME?</v>
      </c>
      <c r="AO8" s="22">
        <f>VLOOKUP($A8,tabCustoUnit[],COLUMN(CUSTO_GLOBAL[[#Headers],[Aviso Prévio Indenizado (API) e Reflexo do Aviso Prévio Indenizado]])-2,0)*($G8-$H8)</f>
        <v>11.192699914390431</v>
      </c>
      <c r="AP8" s="22">
        <f>VLOOKUP($A8,tabCustoUnit[],COLUMN(CUSTO_GLOBAL[[#Headers],[Incidência do FGTS sobre API e Reflexo do API]])-2,0)*($G8-$H8)</f>
        <v>0.89541599315123466</v>
      </c>
      <c r="AQ8" s="22">
        <f>VLOOKUP($A8,tabCustoUnit[],COLUMN(CUSTO_GLOBAL[[#Headers],[Multa Rescisória do FGTS sobre o Aviso Prévio Indenizado]])-2,0)*($G8-$H8)</f>
        <v>0.35816639726049387</v>
      </c>
      <c r="AR8" s="22">
        <f>VLOOKUP($A8,tabCustoUnit[],COLUMN(CUSTO_GLOBAL[[#Headers],[Aviso Prévio Trabalhado - APT]])-2,0)*($G8-$H8)</f>
        <v>5.5869583000000009</v>
      </c>
      <c r="AS8" s="22">
        <f>VLOOKUP($A8,tabCustoUnit[],COLUMN(CUSTO_GLOBAL[[#Headers],[Incidência dos encargos do submódulo 2.1 sobre Aviso Prévio Trabalhado]])-2,0)*($G8-$H8)</f>
        <v>2.1118702374000007</v>
      </c>
      <c r="AT8" s="22">
        <f>VLOOKUP($A8,tabCustoUnit[],COLUMN(CUSTO_GLOBAL[[#Headers],[Multa Rescisória do FGTS]])-2,0)*($G8-$H8)</f>
        <v>48.810505528888882</v>
      </c>
      <c r="AU8" s="22">
        <f>VLOOKUP($A8,tabCustoUnit[],COLUMN(CUSTO_GLOBAL[[#Headers],[Indenização Adicional (Art. 9º da Lei nº 7.238/84)]])-2,0)*($G8-$H8)</f>
        <v>1.3302281666666667</v>
      </c>
      <c r="AV8" s="22">
        <f>VLOOKUP($A8,tabCustoUnit[],COLUMN(CUSTO_GLOBAL[[#Headers],[MÓDULO 3 – PROVISÃO PARA RESCISÃO]])-2,0)*($G8-$H8)</f>
        <v>70.285844537757711</v>
      </c>
      <c r="AW8" s="22">
        <f>VLOOKUP($A8,tabCustoUnit[],COLUMN(CUSTO_GLOBAL[[#Headers],[Ausência por Doença]])-2,0)*($G8-$H8)</f>
        <v>13.479645422222221</v>
      </c>
      <c r="AX8" s="22">
        <f>VLOOKUP($A8,tabCustoUnit[],COLUMN(CUSTO_GLOBAL[[#Headers],[Ausências Legais]])-2,0)*($G8-$H8)</f>
        <v>3.2368885388888886</v>
      </c>
      <c r="AY8" s="22">
        <f>VLOOKUP($A8,tabCustoUnit[],COLUMN(CUSTO_GLOBAL[[#Headers],[Licença Paternidade]])-2,0)*($G8-$H8)</f>
        <v>0.27269677416666666</v>
      </c>
      <c r="AZ8" s="22">
        <f>VLOOKUP($A8,tabCustoUnit[],COLUMN(CUSTO_GLOBAL[[#Headers],[Ausência por Acidente de Trabalho]])-2,0)*($G8-$H8)</f>
        <v>0.33255704166666666</v>
      </c>
      <c r="BA8" s="22">
        <f>VLOOKUP($A8,tabCustoUnit[],COLUMN(CUSTO_GLOBAL[[#Headers],[Férias, Adicional de Férias e 13º  com empregada em gozo de Licença Maternidade]])-2,0)*($G8-$H8)</f>
        <v>2.0692438148148145</v>
      </c>
      <c r="BB8" s="22">
        <f>VLOOKUP($A8,tabCustoUnit[],COLUMN(CUSTO_GLOBAL[[#Headers],[Incidência do Submódulo 2.1 sobre Ausências Legais]])-2,0)*($G8-$H8)</f>
        <v>7.3298099416850011</v>
      </c>
      <c r="BC8" s="22">
        <f>VLOOKUP($A8,tabCustoUnit[],COLUMN(CUSTO_GLOBAL[[#Headers],[Submódulo 4.1]])-2,0)*($G8-$H8)</f>
        <v>26.720841533444265</v>
      </c>
      <c r="BD8" s="22">
        <f>VLOOKUP($A8,tabCustoUnit[],COLUMN(CUSTO_GLOBAL[[#Headers],[Intervalo para Repouso ou Alimentação]])-2,0)*($G8-$H8)</f>
        <v>0</v>
      </c>
      <c r="BE8" s="22">
        <f>VLOOKUP($A8,tabCustoUnit[],COLUMN(CUSTO_GLOBAL[[#Headers],[Submódulo 4.2]])-2,0)*($G8-$H8)</f>
        <v>0</v>
      </c>
      <c r="BF8" s="22">
        <f>VLOOKUP($A8,tabCustoUnit[],COLUMN(CUSTO_GLOBAL[[#Headers],[Suspensão Temporária do Contrato de Trabalho]])-2,0)*($G8-$H8)</f>
        <v>0</v>
      </c>
      <c r="BG8" s="22">
        <f>VLOOKUP($A8,tabCustoUnit[],COLUMN(CUSTO_GLOBAL[[#Headers],[Submódulo 4.3]])-2,0)*($G8-$H8)</f>
        <v>0</v>
      </c>
      <c r="BH8" s="22">
        <f>VLOOKUP($A8,tabCustoUnit[],COLUMN(CUSTO_GLOBAL[[#Headers],[MÓDULO 4 – CUSTO DE REPOSIÇÃO DO PROFISSIONAL AUSENTE]])-2,0)*($G8-$H8)</f>
        <v>26.720841533444265</v>
      </c>
      <c r="BI8" s="22">
        <f>VLOOKUP($A8,tabCustoUnit[],COLUMN(CUSTO_GLOBAL[[#Headers],[Uniformes e EPIs]])-2,0)*($G8-$H8)</f>
        <v>56.141713661989918</v>
      </c>
      <c r="BJ8" s="22">
        <f>VLOOKUP($A8,tabCustoUnit[],COLUMN(CUSTO_GLOBAL[[#Headers],[Materiais de Consumo]])-2,0)*($G8-$H8)</f>
        <v>0</v>
      </c>
      <c r="BK8" s="22">
        <f>VLOOKUP($A8,tabCustoUnit[],COLUMN(CUSTO_GLOBAL[[#Headers],[Máquinas e Equipamentos (depreciação)]])-2,0)*($G8-$H8)</f>
        <v>0</v>
      </c>
      <c r="BL8" s="22">
        <f>VLOOKUP($A8,tabCustoUnit[],COLUMN(CUSTO_GLOBAL[[#Headers],[Produtos de Limpeza e Materiais de Higiene Pessoal]])-2,0)*($G8-$H8)</f>
        <v>0</v>
      </c>
      <c r="BM8" s="22">
        <f>VLOOKUP($A8,tabCustoUnit[],COLUMN(CUSTO_GLOBAL[[#Headers],[Outros (especificar)]])-2,0)*($G8-$H8)</f>
        <v>0</v>
      </c>
      <c r="BN8" s="22">
        <f>VLOOKUP($A8,tabCustoUnit[],COLUMN(CUSTO_GLOBAL[[#Headers],[MÓDULO 5 – INSUMOS DIVERSOS]])-2,0)*($G8-$H8)</f>
        <v>56.141713661989918</v>
      </c>
      <c r="BO8" s="22" t="e">
        <f ca="1">VLOOKUP($A8,tabCustoUnit[],COLUMN(CUSTO_GLOBAL[[#Headers],[TOTAL MÓDULOS 1+2+3+4+5]])-2,0)*($G8-$H8)</f>
        <v>#NAME?</v>
      </c>
      <c r="BP8" s="22" t="e">
        <f ca="1">VLOOKUP($A8,tabCustoUnit[],COLUMN(CUSTO_GLOBAL[[#Headers],[Custos Indiretos]])-2,0)*($G8-$H8)</f>
        <v>#NAME?</v>
      </c>
      <c r="BQ8" s="22" t="e">
        <f ca="1">VLOOKUP($A8,tabCustoUnit[],COLUMN(CUSTO_GLOBAL[[#Headers],[Lucro]])-2,0)*($G8-$H8)</f>
        <v>#NAME?</v>
      </c>
      <c r="BR8" s="26">
        <f>VLOOKUP($A8,tabCustoUnit[],COLUMN(CUSTO_GLOBAL[[#Headers],[COFINS]])-2,0)</f>
        <v>8.5633802816901458E-2</v>
      </c>
      <c r="BS8" s="26">
        <f>VLOOKUP($A8,tabCustoUnit[],COLUMN(CUSTO_GLOBAL[[#Headers],[PIS]])-2,0)</f>
        <v>1.8591549295774657E-2</v>
      </c>
      <c r="BT8" s="28">
        <f>VLOOKUP($A8,tabCustoUnit[],COLUMN(CUSTO_GLOBAL[[#Headers],[ISS]])-2,0)</f>
        <v>0.02</v>
      </c>
      <c r="BU8" s="26">
        <f>VLOOKUP($A8,tabCustoUnit[],COLUMN(CUSTO_GLOBAL[[#Headers],[ISS (Conversão Alíquota s/ fatura)]])-2,0)</f>
        <v>2.2535211267605645E-2</v>
      </c>
      <c r="BV8" s="26">
        <f>VLOOKUP($A8,tabCustoUnit[],COLUMN(CUSTO_GLOBAL[[#Headers],[Resumo de Alíquotas (PIS+CONFINS+ISS)]])-2,0)</f>
        <v>0.1125</v>
      </c>
      <c r="BW8" s="138">
        <f>VLOOKUP($A8,tabCustoUnit[],COLUMN(CUSTO_GLOBAL[[#Headers],[PIS + COFINS + ISS (Total Conversão  Alíquota s/ Fatura)]])-2,0)</f>
        <v>0.12676056338028174</v>
      </c>
      <c r="BX8" s="22" t="e">
        <f ca="1">VLOOKUP($A8,tabCustoUnit[],COLUMN(CUSTO_GLOBAL[[#Headers],[Valor dos Tributos (ISS, PIS, CONFINS)]])-2,0)*($G8-$H8)</f>
        <v>#NAME?</v>
      </c>
      <c r="BY8" s="22" t="e">
        <f ca="1">VLOOKUP($A8,tabCustoUnit[],COLUMN(CUSTO_GLOBAL[[#Headers],[MÓDULO 6 – CUSTOS INDIRETOS, TRIBUTOS E LUCRO]])-2,0)*($G8-$H8)</f>
        <v>#NAME?</v>
      </c>
      <c r="BZ8" s="22" t="e">
        <f ca="1">VLOOKUP($A8,tabCustoUnit[],COLUMN(CUSTO_GLOBAL[[#Headers],[CUSTO TOTAL MENSAL]])-2,0)*($G8-$H8)</f>
        <v>#NAME?</v>
      </c>
      <c r="CA8" s="22" t="e">
        <f ca="1">CUSTO_GLOBAL[[#This Row],[CUSTO TOTAL MENSAL]]*12</f>
        <v>#NAME?</v>
      </c>
      <c r="CB8" s="24">
        <f>VLOOKUP($A8,tabCustoUnit[],COLUMN(CUSTO_GLOBAL[[#Headers],[ANO DA CCT]])-2,0)</f>
        <v>45658</v>
      </c>
      <c r="CC8" s="25" t="str">
        <f>VLOOKUP($A8,tabCustoUnit[],COLUMN(CUSTO_GLOBAL[[#Headers],[Nº DE PEDIDO DA CCT]])-2,0)</f>
        <v>-</v>
      </c>
      <c r="CD8" s="25" t="str">
        <f>VLOOKUP($A8,tabCustoUnit[],COLUMN(CUSTO_GLOBAL[[#Headers],[TERMO ADITIVO ALTERAÇÃO DA CCT]])-2,0)</f>
        <v>-</v>
      </c>
    </row>
    <row r="9" spans="1:82">
      <c r="A9" s="20" t="s">
        <v>1532</v>
      </c>
      <c r="B9" t="s">
        <v>1093</v>
      </c>
      <c r="C9" t="s">
        <v>324</v>
      </c>
      <c r="D9" t="s">
        <v>905</v>
      </c>
      <c r="E9" s="20" t="s">
        <v>1090</v>
      </c>
      <c r="F9" s="20" t="s">
        <v>120</v>
      </c>
      <c r="G9" s="20">
        <v>1</v>
      </c>
      <c r="H9" s="20">
        <v>0</v>
      </c>
      <c r="I9" s="21">
        <f>VLOOKUP($A9,tabCustoUnit[],COLUMN(CUSTO_GLOBAL[[#Headers],[Salário Base]])-2,0)*($G9-$H9)</f>
        <v>3397.1306</v>
      </c>
      <c r="J9" s="21">
        <f>VLOOKUP($A9,tabCustoUnit[],COLUMN(CUSTO_GLOBAL[[#Headers],[Adicional Periculosidade]])-2,0)*($G9-$H9)</f>
        <v>0</v>
      </c>
      <c r="K9" s="21">
        <f>VLOOKUP($A9,tabCustoUnit[],COLUMN(CUSTO_GLOBAL[[#Headers],[Adicional Insalubridade]])-2,0)*($G9-$H9)</f>
        <v>0</v>
      </c>
      <c r="L9" s="21">
        <f>VLOOKUP($A9,tabCustoUnit[],COLUMN(CUSTO_GLOBAL[[#Headers],[Adicional Noturno]])-2,0)*($G9-$H9)</f>
        <v>0</v>
      </c>
      <c r="M9" s="21">
        <f>VLOOKUP($A9,tabCustoUnit[],COLUMN(CUSTO_GLOBAL[[#Headers],[Adicional Motorista II (Gratificação)]])-2,0)*($G9-$H9)</f>
        <v>0</v>
      </c>
      <c r="N9" s="21">
        <f>VLOOKUP($A9,tabCustoUnit[],COLUMN(CUSTO_GLOBAL[[#Headers],[Adicional de Sobreaviso]])-2,0)*($G9-$H9)</f>
        <v>0</v>
      </c>
      <c r="O9" s="21">
        <f>VLOOKUP($A9,tabCustoUnit[],COLUMN(CUSTO_GLOBAL[[#Headers],[Horas Extras TI]])-2,0)*($G9-$H9)</f>
        <v>0</v>
      </c>
      <c r="P9" s="21">
        <f>VLOOKUP($A9,tabCustoUnit[],COLUMN(CUSTO_GLOBAL[[#Headers],[Adicional de Acúmulo de função]])-2,0)*($G9-$H9)</f>
        <v>0</v>
      </c>
      <c r="Q9" s="21">
        <f>VLOOKUP($A9,tabCustoUnit[],COLUMN(CUSTO_GLOBAL[[#Headers],[MODULO 1 - REMUNERAÇÃO ]])-2,0)*($G9-$H9)</f>
        <v>3397.1306</v>
      </c>
      <c r="R9" s="21">
        <f>VLOOKUP($A9,tabCustoUnit[],COLUMN(CUSTO_GLOBAL[[#Headers],[INSS]])-2,0)*($G9-$H9)</f>
        <v>679.42612000000008</v>
      </c>
      <c r="S9" s="21">
        <f>VLOOKUP($A9,tabCustoUnit[],COLUMN(CUSTO_GLOBAL[[#Headers],[SESI OU SESC]])-2,0)*($G9-$H9)</f>
        <v>50.956958999999998</v>
      </c>
      <c r="T9" s="21">
        <f>VLOOKUP($A9,tabCustoUnit[],COLUMN(CUSTO_GLOBAL[[#Headers],[SENAI OU SENAC]])-2,0)*($G9-$H9)</f>
        <v>33.971305999999998</v>
      </c>
      <c r="U9" s="21">
        <f>VLOOKUP($A9,tabCustoUnit[],COLUMN(CUSTO_GLOBAL[[#Headers],[INCRA]])-2,0)*($G9-$H9)</f>
        <v>6.7942612000000002</v>
      </c>
      <c r="V9" s="21">
        <f>VLOOKUP($A9,tabCustoUnit[],COLUMN(CUSTO_GLOBAL[[#Headers],[Salário Educação]])-2,0)*($G9-$H9)</f>
        <v>84.92826500000001</v>
      </c>
      <c r="W9" s="21">
        <f>VLOOKUP($A9,tabCustoUnit[],COLUMN(CUSTO_GLOBAL[[#Headers],[FGTS]])-2,0)*($G9-$H9)</f>
        <v>271.77044799999999</v>
      </c>
      <c r="X9" s="21">
        <f>VLOOKUP($A9,tabCustoUnit[],COLUMN(CUSTO_GLOBAL[[#Headers],[RAT Ajustado]])-2,0)*($G9-$H9)</f>
        <v>135.88522399999999</v>
      </c>
      <c r="Y9" s="21">
        <f>VLOOKUP($A9,tabCustoUnit[],COLUMN(CUSTO_GLOBAL[[#Headers],[SEBRAE]])-2,0)*($G9-$H9)</f>
        <v>20.3827836</v>
      </c>
      <c r="Z9" s="21">
        <f>VLOOKUP($A9,tabCustoUnit[],COLUMN(CUSTO_GLOBAL[[#Headers],[Submódulo 2.1]])-2,0)*($G9-$H9)</f>
        <v>1284.1153668000002</v>
      </c>
      <c r="AA9" s="21">
        <f>VLOOKUP($A9,tabCustoUnit[],COLUMN(CUSTO_GLOBAL[[#Headers],[13º salário (titular)]])-2,0)*($G9-$H9)</f>
        <v>283.09421666666663</v>
      </c>
      <c r="AB9" s="21">
        <f>VLOOKUP($A9,tabCustoUnit[],COLUMN(CUSTO_GLOBAL[[#Headers],[Férias e Adicional de Férias (titular)]])-2,0)*($G9-$H9)</f>
        <v>377.45895555555552</v>
      </c>
      <c r="AC9" s="21">
        <f>VLOOKUP($A9,tabCustoUnit[],COLUMN(CUSTO_GLOBAL[[#Headers],[Incidência do Submódulo 2.1 sobre 13º Salário, Férias e Adicional de Férias]])-2,0)*($G9-$H9)</f>
        <v>249.68909910000002</v>
      </c>
      <c r="AD9" s="21">
        <f>VLOOKUP($A9,tabCustoUnit[],COLUMN(CUSTO_GLOBAL[[#Headers],[Submódulo 2.2]])-2,0)*($G9-$H9)</f>
        <v>910.24227132222222</v>
      </c>
      <c r="AE9" s="22" t="e">
        <f ca="1">VLOOKUP($A9,tabCustoUnit[],COLUMN(CUSTO_GLOBAL[[#Headers],[Vale - Transporte (Descontada parcela do empregado)]])-2,0)*($G9-$H9)</f>
        <v>#NAME?</v>
      </c>
      <c r="AF9" s="22">
        <f>VLOOKUP($A9,tabCustoUnit[],COLUMN(CUSTO_GLOBAL[[#Headers],[Vale - Alimentação (Descontada parcela do empregado)]])-2,0)*($G9-$H9)</f>
        <v>582</v>
      </c>
      <c r="AG9" s="22">
        <f>VLOOKUP($A9,tabCustoUnit[],COLUMN(CUSTO_GLOBAL[[#Headers],[Cesta Básica]])-2,0)*($G9-$H9)</f>
        <v>0</v>
      </c>
      <c r="AH9" s="22">
        <f>VLOOKUP($A9,tabCustoUnit[],COLUMN(CUSTO_GLOBAL[[#Headers],[PAF]])-2,0)*($G9-$H9)</f>
        <v>57.07</v>
      </c>
      <c r="AI9" s="22">
        <f>VLOOKUP($A9,tabCustoUnit[],COLUMN(CUSTO_GLOBAL[[#Headers],[PQM]])-2,0)*($G9-$H9)</f>
        <v>0</v>
      </c>
      <c r="AJ9" s="22">
        <v>0</v>
      </c>
      <c r="AK9" s="22">
        <f>VLOOKUP($A9,tabCustoUnit[],COLUMN(CUSTO_GLOBAL[[#Headers],[Seguro de Vida]])-2,0)*($G9-$H9)</f>
        <v>3.36</v>
      </c>
      <c r="AL9" s="22">
        <f>VLOOKUP($A9,tabCustoUnit[],COLUMN(CUSTO_GLOBAL[[#Headers],[Despesas de Viagem]])-2,0)*($G9-$H9)</f>
        <v>0</v>
      </c>
      <c r="AM9" s="22" t="e">
        <f ca="1">VLOOKUP($A9,tabCustoUnit[],COLUMN(CUSTO_GLOBAL[[#Headers],[Submódulo 2.3]])-2,0)*($G9-$H9)</f>
        <v>#NAME?</v>
      </c>
      <c r="AN9" s="22" t="e">
        <f ca="1">VLOOKUP($A9,tabCustoUnit[],COLUMN(CUSTO_GLOBAL[[#Headers],[MÓDULO 2 - Total Encargos e Benefícios mensais e diários]])-2,0)*($G9-$H9)</f>
        <v>#NAME?</v>
      </c>
      <c r="AO9" s="22">
        <f>VLOOKUP($A9,tabCustoUnit[],COLUMN(CUSTO_GLOBAL[[#Headers],[Aviso Prévio Indenizado (API) e Reflexo do Aviso Prévio Indenizado]])-2,0)*($G9-$H9)</f>
        <v>23.819888151890432</v>
      </c>
      <c r="AP9" s="22">
        <f>VLOOKUP($A9,tabCustoUnit[],COLUMN(CUSTO_GLOBAL[[#Headers],[Incidência do FGTS sobre API e Reflexo do API]])-2,0)*($G9-$H9)</f>
        <v>1.9055910521512347</v>
      </c>
      <c r="AQ9" s="22">
        <f>VLOOKUP($A9,tabCustoUnit[],COLUMN(CUSTO_GLOBAL[[#Headers],[Multa Rescisória do FGTS sobre o Aviso Prévio Indenizado]])-2,0)*($G9-$H9)</f>
        <v>0.76223642086049392</v>
      </c>
      <c r="AR9" s="22">
        <f>VLOOKUP($A9,tabCustoUnit[],COLUMN(CUSTO_GLOBAL[[#Headers],[Aviso Prévio Trabalhado - APT]])-2,0)*($G9-$H9)</f>
        <v>11.889957100000002</v>
      </c>
      <c r="AS9" s="22">
        <f>VLOOKUP($A9,tabCustoUnit[],COLUMN(CUSTO_GLOBAL[[#Headers],[Incidência dos encargos do submódulo 2.1 sobre Aviso Prévio Trabalhado]])-2,0)*($G9-$H9)</f>
        <v>4.4944037838000011</v>
      </c>
      <c r="AT9" s="22">
        <f>VLOOKUP($A9,tabCustoUnit[],COLUMN(CUSTO_GLOBAL[[#Headers],[Multa Rescisória do FGTS]])-2,0)*($G9-$H9)</f>
        <v>103.87670456888887</v>
      </c>
      <c r="AU9" s="22">
        <f>VLOOKUP($A9,tabCustoUnit[],COLUMN(CUSTO_GLOBAL[[#Headers],[Indenização Adicional (Art. 9º da Lei nº 7.238/84)]])-2,0)*($G9-$H9)</f>
        <v>2.830942166666667</v>
      </c>
      <c r="AV9" s="22">
        <f>VLOOKUP($A9,tabCustoUnit[],COLUMN(CUSTO_GLOBAL[[#Headers],[MÓDULO 3 – PROVISÃO PARA RESCISÃO]])-2,0)*($G9-$H9)</f>
        <v>149.57972324425771</v>
      </c>
      <c r="AW9" s="22">
        <f>VLOOKUP($A9,tabCustoUnit[],COLUMN(CUSTO_GLOBAL[[#Headers],[Ausência por Doença]])-2,0)*($G9-$H9)</f>
        <v>28.686880622222219</v>
      </c>
      <c r="AX9" s="22">
        <f>VLOOKUP($A9,tabCustoUnit[],COLUMN(CUSTO_GLOBAL[[#Headers],[Ausências Legais]])-2,0)*($G9-$H9)</f>
        <v>6.8886259388888886</v>
      </c>
      <c r="AY9" s="22">
        <f>VLOOKUP($A9,tabCustoUnit[],COLUMN(CUSTO_GLOBAL[[#Headers],[Licença Paternidade]])-2,0)*($G9-$H9)</f>
        <v>0.58034314416666666</v>
      </c>
      <c r="AZ9" s="22">
        <f>VLOOKUP($A9,tabCustoUnit[],COLUMN(CUSTO_GLOBAL[[#Headers],[Ausência por Acidente de Trabalho]])-2,0)*($G9-$H9)</f>
        <v>0.70773554166666675</v>
      </c>
      <c r="BA9" s="22">
        <f>VLOOKUP($A9,tabCustoUnit[],COLUMN(CUSTO_GLOBAL[[#Headers],[Férias, Adicional de Férias e 13º  com empregada em gozo de Licença Maternidade]])-2,0)*($G9-$H9)</f>
        <v>4.4036878148148144</v>
      </c>
      <c r="BB9" s="22">
        <f>VLOOKUP($A9,tabCustoUnit[],COLUMN(CUSTO_GLOBAL[[#Headers],[Incidência do Submódulo 2.1 sobre Ausências Legais]])-2,0)*($G9-$H9)</f>
        <v>15.599029217345002</v>
      </c>
      <c r="BC9" s="22">
        <f>VLOOKUP($A9,tabCustoUnit[],COLUMN(CUSTO_GLOBAL[[#Headers],[Submódulo 4.1]])-2,0)*($G9-$H9)</f>
        <v>56.866302279104261</v>
      </c>
      <c r="BD9" s="22">
        <f>VLOOKUP($A9,tabCustoUnit[],COLUMN(CUSTO_GLOBAL[[#Headers],[Intervalo para Repouso ou Alimentação]])-2,0)*($G9-$H9)</f>
        <v>0</v>
      </c>
      <c r="BE9" s="22">
        <f>VLOOKUP($A9,tabCustoUnit[],COLUMN(CUSTO_GLOBAL[[#Headers],[Submódulo 4.2]])-2,0)*($G9-$H9)</f>
        <v>0</v>
      </c>
      <c r="BF9" s="22">
        <f>VLOOKUP($A9,tabCustoUnit[],COLUMN(CUSTO_GLOBAL[[#Headers],[Suspensão Temporária do Contrato de Trabalho]])-2,0)*($G9-$H9)</f>
        <v>0</v>
      </c>
      <c r="BG9" s="22">
        <f>VLOOKUP($A9,tabCustoUnit[],COLUMN(CUSTO_GLOBAL[[#Headers],[Submódulo 4.3]])-2,0)*($G9-$H9)</f>
        <v>0</v>
      </c>
      <c r="BH9" s="22">
        <f>VLOOKUP($A9,tabCustoUnit[],COLUMN(CUSTO_GLOBAL[[#Headers],[MÓDULO 4 – CUSTO DE REPOSIÇÃO DO PROFISSIONAL AUSENTE]])-2,0)*($G9-$H9)</f>
        <v>56.866302279104261</v>
      </c>
      <c r="BI9" s="22">
        <f>VLOOKUP($A9,tabCustoUnit[],COLUMN(CUSTO_GLOBAL[[#Headers],[Uniformes e EPIs]])-2,0)*($G9-$H9)</f>
        <v>56.642978962543395</v>
      </c>
      <c r="BJ9" s="22">
        <f>VLOOKUP($A9,tabCustoUnit[],COLUMN(CUSTO_GLOBAL[[#Headers],[Materiais de Consumo]])-2,0)*($G9-$H9)</f>
        <v>0</v>
      </c>
      <c r="BK9" s="22">
        <f>VLOOKUP($A9,tabCustoUnit[],COLUMN(CUSTO_GLOBAL[[#Headers],[Máquinas e Equipamentos (depreciação)]])-2,0)*($G9-$H9)</f>
        <v>0</v>
      </c>
      <c r="BL9" s="22">
        <f>VLOOKUP($A9,tabCustoUnit[],COLUMN(CUSTO_GLOBAL[[#Headers],[Produtos de Limpeza e Materiais de Higiene Pessoal]])-2,0)*($G9-$H9)</f>
        <v>0</v>
      </c>
      <c r="BM9" s="22">
        <f>VLOOKUP($A9,tabCustoUnit[],COLUMN(CUSTO_GLOBAL[[#Headers],[Outros (especificar)]])-2,0)*($G9-$H9)</f>
        <v>0</v>
      </c>
      <c r="BN9" s="22">
        <f>VLOOKUP($A9,tabCustoUnit[],COLUMN(CUSTO_GLOBAL[[#Headers],[MÓDULO 5 – INSUMOS DIVERSOS]])-2,0)*($G9-$H9)</f>
        <v>56.642978962543395</v>
      </c>
      <c r="BO9" s="22" t="e">
        <f ca="1">VLOOKUP($A9,tabCustoUnit[],COLUMN(CUSTO_GLOBAL[[#Headers],[TOTAL MÓDULOS 1+2+3+4+5]])-2,0)*($G9-$H9)</f>
        <v>#NAME?</v>
      </c>
      <c r="BP9" s="22" t="e">
        <f ca="1">VLOOKUP($A9,tabCustoUnit[],COLUMN(CUSTO_GLOBAL[[#Headers],[Custos Indiretos]])-2,0)*($G9-$H9)</f>
        <v>#NAME?</v>
      </c>
      <c r="BQ9" s="22" t="e">
        <f ca="1">VLOOKUP($A9,tabCustoUnit[],COLUMN(CUSTO_GLOBAL[[#Headers],[Lucro]])-2,0)*($G9-$H9)</f>
        <v>#NAME?</v>
      </c>
      <c r="BR9" s="26">
        <f>VLOOKUP($A9,tabCustoUnit[],COLUMN(CUSTO_GLOBAL[[#Headers],[COFINS]])-2,0)</f>
        <v>8.5633802816901458E-2</v>
      </c>
      <c r="BS9" s="26">
        <f>VLOOKUP($A9,tabCustoUnit[],COLUMN(CUSTO_GLOBAL[[#Headers],[PIS]])-2,0)</f>
        <v>1.8591549295774657E-2</v>
      </c>
      <c r="BT9" s="28">
        <f>VLOOKUP($A9,tabCustoUnit[],COLUMN(CUSTO_GLOBAL[[#Headers],[ISS]])-2,0)</f>
        <v>0.02</v>
      </c>
      <c r="BU9" s="26">
        <f>VLOOKUP($A9,tabCustoUnit[],COLUMN(CUSTO_GLOBAL[[#Headers],[ISS (Conversão Alíquota s/ fatura)]])-2,0)</f>
        <v>2.2535211267605645E-2</v>
      </c>
      <c r="BV9" s="26">
        <f>VLOOKUP($A9,tabCustoUnit[],COLUMN(CUSTO_GLOBAL[[#Headers],[Resumo de Alíquotas (PIS+CONFINS+ISS)]])-2,0)</f>
        <v>0.1125</v>
      </c>
      <c r="BW9" s="138">
        <f>VLOOKUP($A9,tabCustoUnit[],COLUMN(CUSTO_GLOBAL[[#Headers],[PIS + COFINS + ISS (Total Conversão  Alíquota s/ Fatura)]])-2,0)</f>
        <v>0.12676056338028174</v>
      </c>
      <c r="BX9" s="22" t="e">
        <f ca="1">VLOOKUP($A9,tabCustoUnit[],COLUMN(CUSTO_GLOBAL[[#Headers],[Valor dos Tributos (ISS, PIS, CONFINS)]])-2,0)*($G9-$H9)</f>
        <v>#NAME?</v>
      </c>
      <c r="BY9" s="22" t="e">
        <f ca="1">VLOOKUP($A9,tabCustoUnit[],COLUMN(CUSTO_GLOBAL[[#Headers],[MÓDULO 6 – CUSTOS INDIRETOS, TRIBUTOS E LUCRO]])-2,0)*($G9-$H9)</f>
        <v>#NAME?</v>
      </c>
      <c r="BZ9" s="22" t="e">
        <f ca="1">VLOOKUP($A9,tabCustoUnit[],COLUMN(CUSTO_GLOBAL[[#Headers],[CUSTO TOTAL MENSAL]])-2,0)*($G9-$H9)</f>
        <v>#NAME?</v>
      </c>
      <c r="CA9" s="22" t="e">
        <f ca="1">CUSTO_GLOBAL[[#This Row],[CUSTO TOTAL MENSAL]]*12</f>
        <v>#NAME?</v>
      </c>
      <c r="CB9" s="24">
        <f>VLOOKUP($A9,tabCustoUnit[],COLUMN(CUSTO_GLOBAL[[#Headers],[ANO DA CCT]])-2,0)</f>
        <v>45658</v>
      </c>
      <c r="CC9" s="25" t="str">
        <f>VLOOKUP($A9,tabCustoUnit[],COLUMN(CUSTO_GLOBAL[[#Headers],[Nº DE PEDIDO DA CCT]])-2,0)</f>
        <v>-</v>
      </c>
      <c r="CD9" s="25" t="str">
        <f>VLOOKUP($A9,tabCustoUnit[],COLUMN(CUSTO_GLOBAL[[#Headers],[TERMO ADITIVO ALTERAÇÃO DA CCT]])-2,0)</f>
        <v>-</v>
      </c>
    </row>
    <row r="10" spans="1:82">
      <c r="A10" s="20" t="s">
        <v>1533</v>
      </c>
      <c r="B10" t="s">
        <v>1094</v>
      </c>
      <c r="C10" t="s">
        <v>244</v>
      </c>
      <c r="D10" t="s">
        <v>961</v>
      </c>
      <c r="E10" s="20" t="s">
        <v>1090</v>
      </c>
      <c r="F10" s="20" t="s">
        <v>120</v>
      </c>
      <c r="G10" s="20">
        <v>1</v>
      </c>
      <c r="H10" s="20">
        <v>0</v>
      </c>
      <c r="I10" s="21">
        <f>VLOOKUP($A10,tabCustoUnit[],COLUMN(CUSTO_GLOBAL[[#Headers],[Salário Base]])-2,0)*($G10-$H10)</f>
        <v>2296.1756999999998</v>
      </c>
      <c r="J10" s="21">
        <f>VLOOKUP($A10,tabCustoUnit[],COLUMN(CUSTO_GLOBAL[[#Headers],[Adicional Periculosidade]])-2,0)*($G10-$H10)</f>
        <v>0</v>
      </c>
      <c r="K10" s="21">
        <f>VLOOKUP($A10,tabCustoUnit[],COLUMN(CUSTO_GLOBAL[[#Headers],[Adicional Insalubridade]])-2,0)*($G10-$H10)</f>
        <v>303.60000000000002</v>
      </c>
      <c r="L10" s="21">
        <f>VLOOKUP($A10,tabCustoUnit[],COLUMN(CUSTO_GLOBAL[[#Headers],[Adicional Noturno]])-2,0)*($G10-$H10)</f>
        <v>0</v>
      </c>
      <c r="M10" s="21">
        <f>VLOOKUP($A10,tabCustoUnit[],COLUMN(CUSTO_GLOBAL[[#Headers],[Adicional Motorista II (Gratificação)]])-2,0)*($G10-$H10)</f>
        <v>0</v>
      </c>
      <c r="N10" s="21">
        <f>VLOOKUP($A10,tabCustoUnit[],COLUMN(CUSTO_GLOBAL[[#Headers],[Adicional de Sobreaviso]])-2,0)*($G10-$H10)</f>
        <v>0</v>
      </c>
      <c r="O10" s="21">
        <f>VLOOKUP($A10,tabCustoUnit[],COLUMN(CUSTO_GLOBAL[[#Headers],[Horas Extras TI]])-2,0)*($G10-$H10)</f>
        <v>0</v>
      </c>
      <c r="P10" s="21">
        <f>VLOOKUP($A10,tabCustoUnit[],COLUMN(CUSTO_GLOBAL[[#Headers],[Adicional de Acúmulo de função]])-2,0)*($G10-$H10)</f>
        <v>0</v>
      </c>
      <c r="Q10" s="21">
        <f>VLOOKUP($A10,tabCustoUnit[],COLUMN(CUSTO_GLOBAL[[#Headers],[MODULO 1 - REMUNERAÇÃO ]])-2,0)*($G10-$H10)</f>
        <v>2599.7756999999997</v>
      </c>
      <c r="R10" s="21">
        <f>VLOOKUP($A10,tabCustoUnit[],COLUMN(CUSTO_GLOBAL[[#Headers],[INSS]])-2,0)*($G10-$H10)</f>
        <v>519.95513999999991</v>
      </c>
      <c r="S10" s="21">
        <f>VLOOKUP($A10,tabCustoUnit[],COLUMN(CUSTO_GLOBAL[[#Headers],[SESI OU SESC]])-2,0)*($G10-$H10)</f>
        <v>38.996635499999996</v>
      </c>
      <c r="T10" s="21">
        <f>VLOOKUP($A10,tabCustoUnit[],COLUMN(CUSTO_GLOBAL[[#Headers],[SENAI OU SENAC]])-2,0)*($G10-$H10)</f>
        <v>25.997756999999996</v>
      </c>
      <c r="U10" s="21">
        <f>VLOOKUP($A10,tabCustoUnit[],COLUMN(CUSTO_GLOBAL[[#Headers],[INCRA]])-2,0)*($G10-$H10)</f>
        <v>5.1995513999999998</v>
      </c>
      <c r="V10" s="21">
        <f>VLOOKUP($A10,tabCustoUnit[],COLUMN(CUSTO_GLOBAL[[#Headers],[Salário Educação]])-2,0)*($G10-$H10)</f>
        <v>64.994392499999989</v>
      </c>
      <c r="W10" s="21">
        <f>VLOOKUP($A10,tabCustoUnit[],COLUMN(CUSTO_GLOBAL[[#Headers],[FGTS]])-2,0)*($G10-$H10)</f>
        <v>207.98205599999997</v>
      </c>
      <c r="X10" s="21">
        <f>VLOOKUP($A10,tabCustoUnit[],COLUMN(CUSTO_GLOBAL[[#Headers],[RAT Ajustado]])-2,0)*($G10-$H10)</f>
        <v>103.99102799999999</v>
      </c>
      <c r="Y10" s="21">
        <f>VLOOKUP($A10,tabCustoUnit[],COLUMN(CUSTO_GLOBAL[[#Headers],[SEBRAE]])-2,0)*($G10-$H10)</f>
        <v>15.598654199999999</v>
      </c>
      <c r="Z10" s="21">
        <f>VLOOKUP($A10,tabCustoUnit[],COLUMN(CUSTO_GLOBAL[[#Headers],[Submódulo 2.1]])-2,0)*($G10-$H10)</f>
        <v>982.71521459999985</v>
      </c>
      <c r="AA10" s="21">
        <f>VLOOKUP($A10,tabCustoUnit[],COLUMN(CUSTO_GLOBAL[[#Headers],[13º salário (titular)]])-2,0)*($G10-$H10)</f>
        <v>216.64797499999997</v>
      </c>
      <c r="AB10" s="21">
        <f>VLOOKUP($A10,tabCustoUnit[],COLUMN(CUSTO_GLOBAL[[#Headers],[Férias e Adicional de Férias (titular)]])-2,0)*($G10-$H10)</f>
        <v>288.86396666666661</v>
      </c>
      <c r="AC10" s="21">
        <f>VLOOKUP($A10,tabCustoUnit[],COLUMN(CUSTO_GLOBAL[[#Headers],[Incidência do Submódulo 2.1 sobre 13º Salário, Férias e Adicional de Férias]])-2,0)*($G10-$H10)</f>
        <v>191.08351394999997</v>
      </c>
      <c r="AD10" s="21">
        <f>VLOOKUP($A10,tabCustoUnit[],COLUMN(CUSTO_GLOBAL[[#Headers],[Submódulo 2.2]])-2,0)*($G10-$H10)</f>
        <v>696.59545561666653</v>
      </c>
      <c r="AE10" s="22" t="e">
        <f ca="1">VLOOKUP($A10,tabCustoUnit[],COLUMN(CUSTO_GLOBAL[[#Headers],[Vale - Transporte (Descontada parcela do empregado)]])-2,0)*($G10-$H10)</f>
        <v>#NAME?</v>
      </c>
      <c r="AF10" s="22">
        <f>VLOOKUP($A10,tabCustoUnit[],COLUMN(CUSTO_GLOBAL[[#Headers],[Vale - Alimentação (Descontada parcela do empregado)]])-2,0)*($G10-$H10)</f>
        <v>582</v>
      </c>
      <c r="AG10" s="22">
        <f>VLOOKUP($A10,tabCustoUnit[],COLUMN(CUSTO_GLOBAL[[#Headers],[Cesta Básica]])-2,0)*($G10-$H10)</f>
        <v>0</v>
      </c>
      <c r="AH10" s="22">
        <f>VLOOKUP($A10,tabCustoUnit[],COLUMN(CUSTO_GLOBAL[[#Headers],[PAF]])-2,0)*($G10-$H10)</f>
        <v>0</v>
      </c>
      <c r="AI10" s="22">
        <f>VLOOKUP($A10,tabCustoUnit[],COLUMN(CUSTO_GLOBAL[[#Headers],[PQM]])-2,0)*($G10-$H10)</f>
        <v>0</v>
      </c>
      <c r="AJ10" s="22">
        <v>0</v>
      </c>
      <c r="AK10" s="22">
        <f>VLOOKUP($A10,tabCustoUnit[],COLUMN(CUSTO_GLOBAL[[#Headers],[Seguro de Vida]])-2,0)*($G10-$H10)</f>
        <v>3.36</v>
      </c>
      <c r="AL10" s="22">
        <f>VLOOKUP($A10,tabCustoUnit[],COLUMN(CUSTO_GLOBAL[[#Headers],[Despesas de Viagem]])-2,0)*($G10-$H10)</f>
        <v>0</v>
      </c>
      <c r="AM10" s="22" t="e">
        <f ca="1">VLOOKUP($A10,tabCustoUnit[],COLUMN(CUSTO_GLOBAL[[#Headers],[Submódulo 2.3]])-2,0)*($G10-$H10)</f>
        <v>#NAME?</v>
      </c>
      <c r="AN10" s="22" t="e">
        <f ca="1">VLOOKUP($A10,tabCustoUnit[],COLUMN(CUSTO_GLOBAL[[#Headers],[MÓDULO 2 - Total Encargos e Benefícios mensais e diários]])-2,0)*($G10-$H10)</f>
        <v>#NAME?</v>
      </c>
      <c r="AO10" s="22">
        <f>VLOOKUP($A10,tabCustoUnit[],COLUMN(CUSTO_GLOBAL[[#Headers],[Aviso Prévio Indenizado (API) e Reflexo do Aviso Prévio Indenizado]])-2,0)*($G10-$H10)</f>
        <v>18.229021396469907</v>
      </c>
      <c r="AP10" s="22">
        <f>VLOOKUP($A10,tabCustoUnit[],COLUMN(CUSTO_GLOBAL[[#Headers],[Incidência do FGTS sobre API e Reflexo do API]])-2,0)*($G10-$H10)</f>
        <v>1.4583217117175926</v>
      </c>
      <c r="AQ10" s="22">
        <f>VLOOKUP($A10,tabCustoUnit[],COLUMN(CUSTO_GLOBAL[[#Headers],[Multa Rescisória do FGTS sobre o Aviso Prévio Indenizado]])-2,0)*($G10-$H10)</f>
        <v>0.58332868468703702</v>
      </c>
      <c r="AR10" s="22">
        <f>VLOOKUP($A10,tabCustoUnit[],COLUMN(CUSTO_GLOBAL[[#Headers],[Aviso Prévio Trabalhado - APT]])-2,0)*($G10-$H10)</f>
        <v>9.0992149500000004</v>
      </c>
      <c r="AS10" s="22">
        <f>VLOOKUP($A10,tabCustoUnit[],COLUMN(CUSTO_GLOBAL[[#Headers],[Incidência dos encargos do submódulo 2.1 sobre Aviso Prévio Trabalhado]])-2,0)*($G10-$H10)</f>
        <v>3.4395032511000005</v>
      </c>
      <c r="AT10" s="22">
        <f>VLOOKUP($A10,tabCustoUnit[],COLUMN(CUSTO_GLOBAL[[#Headers],[Multa Rescisória do FGTS]])-2,0)*($G10-$H10)</f>
        <v>79.495363626666645</v>
      </c>
      <c r="AU10" s="22">
        <f>VLOOKUP($A10,tabCustoUnit[],COLUMN(CUSTO_GLOBAL[[#Headers],[Indenização Adicional (Art. 9º da Lei nº 7.238/84)]])-2,0)*($G10-$H10)</f>
        <v>2.1664797499999997</v>
      </c>
      <c r="AV10" s="22">
        <f>VLOOKUP($A10,tabCustoUnit[],COLUMN(CUSTO_GLOBAL[[#Headers],[MÓDULO 3 – PROVISÃO PARA RESCISÃO]])-2,0)*($G10-$H10)</f>
        <v>114.47123337064117</v>
      </c>
      <c r="AW10" s="22">
        <f>VLOOKUP($A10,tabCustoUnit[],COLUMN(CUSTO_GLOBAL[[#Headers],[Ausência por Doença]])-2,0)*($G10-$H10)</f>
        <v>21.953661466666663</v>
      </c>
      <c r="AX10" s="22">
        <f>VLOOKUP($A10,tabCustoUnit[],COLUMN(CUSTO_GLOBAL[[#Headers],[Ausências Legais]])-2,0)*($G10-$H10)</f>
        <v>5.2717673916666659</v>
      </c>
      <c r="AY10" s="22">
        <f>VLOOKUP($A10,tabCustoUnit[],COLUMN(CUSTO_GLOBAL[[#Headers],[Licença Paternidade]])-2,0)*($G10-$H10)</f>
        <v>0.44412834874999996</v>
      </c>
      <c r="AZ10" s="22">
        <f>VLOOKUP($A10,tabCustoUnit[],COLUMN(CUSTO_GLOBAL[[#Headers],[Ausência por Acidente de Trabalho]])-2,0)*($G10-$H10)</f>
        <v>0.54161993749999993</v>
      </c>
      <c r="BA10" s="22">
        <f>VLOOKUP($A10,tabCustoUnit[],COLUMN(CUSTO_GLOBAL[[#Headers],[Férias, Adicional de Férias e 13º  com empregada em gozo de Licença Maternidade]])-2,0)*($G10-$H10)</f>
        <v>3.3700796111111107</v>
      </c>
      <c r="BB10" s="22">
        <f>VLOOKUP($A10,tabCustoUnit[],COLUMN(CUSTO_GLOBAL[[#Headers],[Incidência do Submódulo 2.1 sobre Ausências Legais]])-2,0)*($G10-$H10)</f>
        <v>11.9377150536525</v>
      </c>
      <c r="BC10" s="22">
        <f>VLOOKUP($A10,tabCustoUnit[],COLUMN(CUSTO_GLOBAL[[#Headers],[Submódulo 4.1]])-2,0)*($G10-$H10)</f>
        <v>43.518971809346937</v>
      </c>
      <c r="BD10" s="22">
        <f>VLOOKUP($A10,tabCustoUnit[],COLUMN(CUSTO_GLOBAL[[#Headers],[Intervalo para Repouso ou Alimentação]])-2,0)*($G10-$H10)</f>
        <v>0</v>
      </c>
      <c r="BE10" s="22">
        <f>VLOOKUP($A10,tabCustoUnit[],COLUMN(CUSTO_GLOBAL[[#Headers],[Submódulo 4.2]])-2,0)*($G10-$H10)</f>
        <v>0</v>
      </c>
      <c r="BF10" s="22">
        <f>VLOOKUP($A10,tabCustoUnit[],COLUMN(CUSTO_GLOBAL[[#Headers],[Suspensão Temporária do Contrato de Trabalho]])-2,0)*($G10-$H10)</f>
        <v>0</v>
      </c>
      <c r="BG10" s="22">
        <f>VLOOKUP($A10,tabCustoUnit[],COLUMN(CUSTO_GLOBAL[[#Headers],[Submódulo 4.3]])-2,0)*($G10-$H10)</f>
        <v>0</v>
      </c>
      <c r="BH10" s="22">
        <f>VLOOKUP($A10,tabCustoUnit[],COLUMN(CUSTO_GLOBAL[[#Headers],[MÓDULO 4 – CUSTO DE REPOSIÇÃO DO PROFISSIONAL AUSENTE]])-2,0)*($G10-$H10)</f>
        <v>43.518971809346937</v>
      </c>
      <c r="BI10" s="22">
        <f>VLOOKUP($A10,tabCustoUnit[],COLUMN(CUSTO_GLOBAL[[#Headers],[Uniformes e EPIs]])-2,0)*($G10-$H10)</f>
        <v>226.33322732312172</v>
      </c>
      <c r="BJ10" s="22">
        <f>VLOOKUP($A10,tabCustoUnit[],COLUMN(CUSTO_GLOBAL[[#Headers],[Materiais de Consumo]])-2,0)*($G10-$H10)</f>
        <v>441.81099462365592</v>
      </c>
      <c r="BK10" s="22">
        <f>VLOOKUP($A10,tabCustoUnit[],COLUMN(CUSTO_GLOBAL[[#Headers],[Máquinas e Equipamentos (depreciação)]])-2,0)*($G10-$H10)</f>
        <v>113.11309677419354</v>
      </c>
      <c r="BL10" s="22">
        <f>VLOOKUP($A10,tabCustoUnit[],COLUMN(CUSTO_GLOBAL[[#Headers],[Produtos de Limpeza e Materiais de Higiene Pessoal]])-2,0)*($G10-$H10)</f>
        <v>0</v>
      </c>
      <c r="BM10" s="22">
        <f>VLOOKUP($A10,tabCustoUnit[],COLUMN(CUSTO_GLOBAL[[#Headers],[Outros (especificar)]])-2,0)*($G10-$H10)</f>
        <v>0</v>
      </c>
      <c r="BN10" s="22">
        <f>VLOOKUP($A10,tabCustoUnit[],COLUMN(CUSTO_GLOBAL[[#Headers],[MÓDULO 5 – INSUMOS DIVERSOS]])-2,0)*($G10-$H10)</f>
        <v>781.25731872097117</v>
      </c>
      <c r="BO10" s="22" t="e">
        <f ca="1">VLOOKUP($A10,tabCustoUnit[],COLUMN(CUSTO_GLOBAL[[#Headers],[TOTAL MÓDULOS 1+2+3+4+5]])-2,0)*($G10-$H10)</f>
        <v>#NAME?</v>
      </c>
      <c r="BP10" s="22" t="e">
        <f ca="1">VLOOKUP($A10,tabCustoUnit[],COLUMN(CUSTO_GLOBAL[[#Headers],[Custos Indiretos]])-2,0)*($G10-$H10)</f>
        <v>#NAME?</v>
      </c>
      <c r="BQ10" s="22" t="e">
        <f ca="1">VLOOKUP($A10,tabCustoUnit[],COLUMN(CUSTO_GLOBAL[[#Headers],[Lucro]])-2,0)*($G10-$H10)</f>
        <v>#NAME?</v>
      </c>
      <c r="BR10" s="26">
        <f>VLOOKUP($A10,tabCustoUnit[],COLUMN(CUSTO_GLOBAL[[#Headers],[COFINS]])-2,0)</f>
        <v>8.5633802816901458E-2</v>
      </c>
      <c r="BS10" s="26">
        <f>VLOOKUP($A10,tabCustoUnit[],COLUMN(CUSTO_GLOBAL[[#Headers],[PIS]])-2,0)</f>
        <v>1.8591549295774657E-2</v>
      </c>
      <c r="BT10" s="28">
        <f>VLOOKUP($A10,tabCustoUnit[],COLUMN(CUSTO_GLOBAL[[#Headers],[ISS]])-2,0)</f>
        <v>0.02</v>
      </c>
      <c r="BU10" s="26">
        <f>VLOOKUP($A10,tabCustoUnit[],COLUMN(CUSTO_GLOBAL[[#Headers],[ISS (Conversão Alíquota s/ fatura)]])-2,0)</f>
        <v>2.2535211267605645E-2</v>
      </c>
      <c r="BV10" s="26">
        <f>VLOOKUP($A10,tabCustoUnit[],COLUMN(CUSTO_GLOBAL[[#Headers],[Resumo de Alíquotas (PIS+CONFINS+ISS)]])-2,0)</f>
        <v>0.1125</v>
      </c>
      <c r="BW10" s="138">
        <f>VLOOKUP($A10,tabCustoUnit[],COLUMN(CUSTO_GLOBAL[[#Headers],[PIS + COFINS + ISS (Total Conversão  Alíquota s/ Fatura)]])-2,0)</f>
        <v>0.12676056338028174</v>
      </c>
      <c r="BX10" s="22" t="e">
        <f ca="1">VLOOKUP($A10,tabCustoUnit[],COLUMN(CUSTO_GLOBAL[[#Headers],[Valor dos Tributos (ISS, PIS, CONFINS)]])-2,0)*($G10-$H10)</f>
        <v>#NAME?</v>
      </c>
      <c r="BY10" s="22" t="e">
        <f ca="1">VLOOKUP($A10,tabCustoUnit[],COLUMN(CUSTO_GLOBAL[[#Headers],[MÓDULO 6 – CUSTOS INDIRETOS, TRIBUTOS E LUCRO]])-2,0)*($G10-$H10)</f>
        <v>#NAME?</v>
      </c>
      <c r="BZ10" s="22" t="e">
        <f ca="1">VLOOKUP($A10,tabCustoUnit[],COLUMN(CUSTO_GLOBAL[[#Headers],[CUSTO TOTAL MENSAL]])-2,0)*($G10-$H10)</f>
        <v>#NAME?</v>
      </c>
      <c r="CA10" s="22" t="e">
        <f ca="1">CUSTO_GLOBAL[[#This Row],[CUSTO TOTAL MENSAL]]*12</f>
        <v>#NAME?</v>
      </c>
      <c r="CB10" s="24">
        <f>VLOOKUP($A10,tabCustoUnit[],COLUMN(CUSTO_GLOBAL[[#Headers],[ANO DA CCT]])-2,0)</f>
        <v>45658</v>
      </c>
      <c r="CC10" s="25" t="str">
        <f>VLOOKUP($A10,tabCustoUnit[],COLUMN(CUSTO_GLOBAL[[#Headers],[Nº DE PEDIDO DA CCT]])-2,0)</f>
        <v>-</v>
      </c>
      <c r="CD10" s="25" t="str">
        <f>VLOOKUP($A10,tabCustoUnit[],COLUMN(CUSTO_GLOBAL[[#Headers],[TERMO ADITIVO ALTERAÇÃO DA CCT]])-2,0)</f>
        <v>-</v>
      </c>
    </row>
    <row r="11" spans="1:82">
      <c r="A11" s="20" t="s">
        <v>1534</v>
      </c>
      <c r="B11" t="s">
        <v>1094</v>
      </c>
      <c r="C11" t="s">
        <v>324</v>
      </c>
      <c r="D11" t="s">
        <v>961</v>
      </c>
      <c r="E11" s="20" t="s">
        <v>1090</v>
      </c>
      <c r="F11" s="20" t="s">
        <v>120</v>
      </c>
      <c r="G11" s="20">
        <v>1</v>
      </c>
      <c r="H11" s="20">
        <v>0</v>
      </c>
      <c r="I11" s="21">
        <f>VLOOKUP($A11,tabCustoUnit[],COLUMN(CUSTO_GLOBAL[[#Headers],[Salário Base]])-2,0)*($G11-$H11)</f>
        <v>3397.1305000000002</v>
      </c>
      <c r="J11" s="21">
        <f>VLOOKUP($A11,tabCustoUnit[],COLUMN(CUSTO_GLOBAL[[#Headers],[Adicional Periculosidade]])-2,0)*($G11-$H11)</f>
        <v>0</v>
      </c>
      <c r="K11" s="21">
        <f>VLOOKUP($A11,tabCustoUnit[],COLUMN(CUSTO_GLOBAL[[#Headers],[Adicional Insalubridade]])-2,0)*($G11-$H11)</f>
        <v>0</v>
      </c>
      <c r="L11" s="21">
        <f>VLOOKUP($A11,tabCustoUnit[],COLUMN(CUSTO_GLOBAL[[#Headers],[Adicional Noturno]])-2,0)*($G11-$H11)</f>
        <v>0</v>
      </c>
      <c r="M11" s="21">
        <f>VLOOKUP($A11,tabCustoUnit[],COLUMN(CUSTO_GLOBAL[[#Headers],[Adicional Motorista II (Gratificação)]])-2,0)*($G11-$H11)</f>
        <v>0</v>
      </c>
      <c r="N11" s="21">
        <f>VLOOKUP($A11,tabCustoUnit[],COLUMN(CUSTO_GLOBAL[[#Headers],[Adicional de Sobreaviso]])-2,0)*($G11-$H11)</f>
        <v>0</v>
      </c>
      <c r="O11" s="21">
        <f>VLOOKUP($A11,tabCustoUnit[],COLUMN(CUSTO_GLOBAL[[#Headers],[Horas Extras TI]])-2,0)*($G11-$H11)</f>
        <v>0</v>
      </c>
      <c r="P11" s="21">
        <f>VLOOKUP($A11,tabCustoUnit[],COLUMN(CUSTO_GLOBAL[[#Headers],[Adicional de Acúmulo de função]])-2,0)*($G11-$H11)</f>
        <v>0</v>
      </c>
      <c r="Q11" s="21">
        <f>VLOOKUP($A11,tabCustoUnit[],COLUMN(CUSTO_GLOBAL[[#Headers],[MODULO 1 - REMUNERAÇÃO ]])-2,0)*($G11-$H11)</f>
        <v>3397.1305000000002</v>
      </c>
      <c r="R11" s="21">
        <f>VLOOKUP($A11,tabCustoUnit[],COLUMN(CUSTO_GLOBAL[[#Headers],[INSS]])-2,0)*($G11-$H11)</f>
        <v>679.42610000000013</v>
      </c>
      <c r="S11" s="21">
        <f>VLOOKUP($A11,tabCustoUnit[],COLUMN(CUSTO_GLOBAL[[#Headers],[SESI OU SESC]])-2,0)*($G11-$H11)</f>
        <v>50.956957500000001</v>
      </c>
      <c r="T11" s="21">
        <f>VLOOKUP($A11,tabCustoUnit[],COLUMN(CUSTO_GLOBAL[[#Headers],[SENAI OU SENAC]])-2,0)*($G11-$H11)</f>
        <v>33.971305000000001</v>
      </c>
      <c r="U11" s="21">
        <f>VLOOKUP($A11,tabCustoUnit[],COLUMN(CUSTO_GLOBAL[[#Headers],[INCRA]])-2,0)*($G11-$H11)</f>
        <v>6.7942610000000005</v>
      </c>
      <c r="V11" s="21">
        <f>VLOOKUP($A11,tabCustoUnit[],COLUMN(CUSTO_GLOBAL[[#Headers],[Salário Educação]])-2,0)*($G11-$H11)</f>
        <v>84.928262500000017</v>
      </c>
      <c r="W11" s="21">
        <f>VLOOKUP($A11,tabCustoUnit[],COLUMN(CUSTO_GLOBAL[[#Headers],[FGTS]])-2,0)*($G11-$H11)</f>
        <v>271.77044000000001</v>
      </c>
      <c r="X11" s="21">
        <f>VLOOKUP($A11,tabCustoUnit[],COLUMN(CUSTO_GLOBAL[[#Headers],[RAT Ajustado]])-2,0)*($G11-$H11)</f>
        <v>135.88522</v>
      </c>
      <c r="Y11" s="21">
        <f>VLOOKUP($A11,tabCustoUnit[],COLUMN(CUSTO_GLOBAL[[#Headers],[SEBRAE]])-2,0)*($G11-$H11)</f>
        <v>20.382783000000003</v>
      </c>
      <c r="Z11" s="21">
        <f>VLOOKUP($A11,tabCustoUnit[],COLUMN(CUSTO_GLOBAL[[#Headers],[Submódulo 2.1]])-2,0)*($G11-$H11)</f>
        <v>1284.1153290000002</v>
      </c>
      <c r="AA11" s="21">
        <f>VLOOKUP($A11,tabCustoUnit[],COLUMN(CUSTO_GLOBAL[[#Headers],[13º salário (titular)]])-2,0)*($G11-$H11)</f>
        <v>283.09420833333331</v>
      </c>
      <c r="AB11" s="21">
        <f>VLOOKUP($A11,tabCustoUnit[],COLUMN(CUSTO_GLOBAL[[#Headers],[Férias e Adicional de Férias (titular)]])-2,0)*($G11-$H11)</f>
        <v>377.45894444444446</v>
      </c>
      <c r="AC11" s="21">
        <f>VLOOKUP($A11,tabCustoUnit[],COLUMN(CUSTO_GLOBAL[[#Headers],[Incidência do Submódulo 2.1 sobre 13º Salário, Férias e Adicional de Férias]])-2,0)*($G11-$H11)</f>
        <v>249.68909175000005</v>
      </c>
      <c r="AD11" s="21">
        <f>VLOOKUP($A11,tabCustoUnit[],COLUMN(CUSTO_GLOBAL[[#Headers],[Submódulo 2.2]])-2,0)*($G11-$H11)</f>
        <v>910.24224452777776</v>
      </c>
      <c r="AE11" s="22" t="e">
        <f ca="1">VLOOKUP($A11,tabCustoUnit[],COLUMN(CUSTO_GLOBAL[[#Headers],[Vale - Transporte (Descontada parcela do empregado)]])-2,0)*($G11-$H11)</f>
        <v>#NAME?</v>
      </c>
      <c r="AF11" s="22">
        <f>VLOOKUP($A11,tabCustoUnit[],COLUMN(CUSTO_GLOBAL[[#Headers],[Vale - Alimentação (Descontada parcela do empregado)]])-2,0)*($G11-$H11)</f>
        <v>582</v>
      </c>
      <c r="AG11" s="22">
        <f>VLOOKUP($A11,tabCustoUnit[],COLUMN(CUSTO_GLOBAL[[#Headers],[Cesta Básica]])-2,0)*($G11-$H11)</f>
        <v>0</v>
      </c>
      <c r="AH11" s="22">
        <f>VLOOKUP($A11,tabCustoUnit[],COLUMN(CUSTO_GLOBAL[[#Headers],[PAF]])-2,0)*($G11-$H11)</f>
        <v>0</v>
      </c>
      <c r="AI11" s="22">
        <f>VLOOKUP($A11,tabCustoUnit[],COLUMN(CUSTO_GLOBAL[[#Headers],[PQM]])-2,0)*($G11-$H11)</f>
        <v>0</v>
      </c>
      <c r="AJ11" s="22">
        <v>0</v>
      </c>
      <c r="AK11" s="22">
        <f>VLOOKUP($A11,tabCustoUnit[],COLUMN(CUSTO_GLOBAL[[#Headers],[Seguro de Vida]])-2,0)*($G11-$H11)</f>
        <v>3.36</v>
      </c>
      <c r="AL11" s="22">
        <f>VLOOKUP($A11,tabCustoUnit[],COLUMN(CUSTO_GLOBAL[[#Headers],[Despesas de Viagem]])-2,0)*($G11-$H11)</f>
        <v>0</v>
      </c>
      <c r="AM11" s="22" t="e">
        <f ca="1">VLOOKUP($A11,tabCustoUnit[],COLUMN(CUSTO_GLOBAL[[#Headers],[Submódulo 2.3]])-2,0)*($G11-$H11)</f>
        <v>#NAME?</v>
      </c>
      <c r="AN11" s="22" t="e">
        <f ca="1">VLOOKUP($A11,tabCustoUnit[],COLUMN(CUSTO_GLOBAL[[#Headers],[MÓDULO 2 - Total Encargos e Benefícios mensais e diários]])-2,0)*($G11-$H11)</f>
        <v>#NAME?</v>
      </c>
      <c r="AO11" s="22">
        <f>VLOOKUP($A11,tabCustoUnit[],COLUMN(CUSTO_GLOBAL[[#Headers],[Aviso Prévio Indenizado (API) e Reflexo do Aviso Prévio Indenizado]])-2,0)*($G11-$H11)</f>
        <v>23.819887450713736</v>
      </c>
      <c r="AP11" s="22">
        <f>VLOOKUP($A11,tabCustoUnit[],COLUMN(CUSTO_GLOBAL[[#Headers],[Incidência do FGTS sobre API e Reflexo do API]])-2,0)*($G11-$H11)</f>
        <v>1.9055909960570991</v>
      </c>
      <c r="AQ11" s="22">
        <f>VLOOKUP($A11,tabCustoUnit[],COLUMN(CUSTO_GLOBAL[[#Headers],[Multa Rescisória do FGTS sobre o Aviso Prévio Indenizado]])-2,0)*($G11-$H11)</f>
        <v>0.76223639842283974</v>
      </c>
      <c r="AR11" s="22">
        <f>VLOOKUP($A11,tabCustoUnit[],COLUMN(CUSTO_GLOBAL[[#Headers],[Aviso Prévio Trabalhado - APT]])-2,0)*($G11-$H11)</f>
        <v>11.889956750000003</v>
      </c>
      <c r="AS11" s="22">
        <f>VLOOKUP($A11,tabCustoUnit[],COLUMN(CUSTO_GLOBAL[[#Headers],[Incidência dos encargos do submódulo 2.1 sobre Aviso Prévio Trabalhado]])-2,0)*($G11-$H11)</f>
        <v>4.4944036515000017</v>
      </c>
      <c r="AT11" s="22">
        <f>VLOOKUP($A11,tabCustoUnit[],COLUMN(CUSTO_GLOBAL[[#Headers],[Multa Rescisória do FGTS]])-2,0)*($G11-$H11)</f>
        <v>103.87670151111111</v>
      </c>
      <c r="AU11" s="22">
        <f>VLOOKUP($A11,tabCustoUnit[],COLUMN(CUSTO_GLOBAL[[#Headers],[Indenização Adicional (Art. 9º da Lei nº 7.238/84)]])-2,0)*($G11-$H11)</f>
        <v>2.8309420833333339</v>
      </c>
      <c r="AV11" s="22">
        <f>VLOOKUP($A11,tabCustoUnit[],COLUMN(CUSTO_GLOBAL[[#Headers],[MÓDULO 3 – PROVISÃO PARA RESCISÃO]])-2,0)*($G11-$H11)</f>
        <v>149.57971884113812</v>
      </c>
      <c r="AW11" s="22">
        <f>VLOOKUP($A11,tabCustoUnit[],COLUMN(CUSTO_GLOBAL[[#Headers],[Ausência por Doença]])-2,0)*($G11-$H11)</f>
        <v>28.686879777777776</v>
      </c>
      <c r="AX11" s="22">
        <f>VLOOKUP($A11,tabCustoUnit[],COLUMN(CUSTO_GLOBAL[[#Headers],[Ausências Legais]])-2,0)*($G11-$H11)</f>
        <v>6.888625736111111</v>
      </c>
      <c r="AY11" s="22">
        <f>VLOOKUP($A11,tabCustoUnit[],COLUMN(CUSTO_GLOBAL[[#Headers],[Licença Paternidade]])-2,0)*($G11-$H11)</f>
        <v>0.58034312708333335</v>
      </c>
      <c r="AZ11" s="22">
        <f>VLOOKUP($A11,tabCustoUnit[],COLUMN(CUSTO_GLOBAL[[#Headers],[Ausência por Acidente de Trabalho]])-2,0)*($G11-$H11)</f>
        <v>0.70773552083333346</v>
      </c>
      <c r="BA11" s="22">
        <f>VLOOKUP($A11,tabCustoUnit[],COLUMN(CUSTO_GLOBAL[[#Headers],[Férias, Adicional de Férias e 13º  com empregada em gozo de Licença Maternidade]])-2,0)*($G11-$H11)</f>
        <v>4.4036876851851856</v>
      </c>
      <c r="BB11" s="22">
        <f>VLOOKUP($A11,tabCustoUnit[],COLUMN(CUSTO_GLOBAL[[#Headers],[Incidência do Submódulo 2.1 sobre Ausências Legais]])-2,0)*($G11-$H11)</f>
        <v>15.599028758162504</v>
      </c>
      <c r="BC11" s="22">
        <f>VLOOKUP($A11,tabCustoUnit[],COLUMN(CUSTO_GLOBAL[[#Headers],[Submódulo 4.1]])-2,0)*($G11-$H11)</f>
        <v>56.866300605153235</v>
      </c>
      <c r="BD11" s="22">
        <f>VLOOKUP($A11,tabCustoUnit[],COLUMN(CUSTO_GLOBAL[[#Headers],[Intervalo para Repouso ou Alimentação]])-2,0)*($G11-$H11)</f>
        <v>0</v>
      </c>
      <c r="BE11" s="22">
        <f>VLOOKUP($A11,tabCustoUnit[],COLUMN(CUSTO_GLOBAL[[#Headers],[Submódulo 4.2]])-2,0)*($G11-$H11)</f>
        <v>0</v>
      </c>
      <c r="BF11" s="22">
        <f>VLOOKUP($A11,tabCustoUnit[],COLUMN(CUSTO_GLOBAL[[#Headers],[Suspensão Temporária do Contrato de Trabalho]])-2,0)*($G11-$H11)</f>
        <v>0</v>
      </c>
      <c r="BG11" s="22">
        <f>VLOOKUP($A11,tabCustoUnit[],COLUMN(CUSTO_GLOBAL[[#Headers],[Submódulo 4.3]])-2,0)*($G11-$H11)</f>
        <v>0</v>
      </c>
      <c r="BH11" s="22">
        <f>VLOOKUP($A11,tabCustoUnit[],COLUMN(CUSTO_GLOBAL[[#Headers],[MÓDULO 4 – CUSTO DE REPOSIÇÃO DO PROFISSIONAL AUSENTE]])-2,0)*($G11-$H11)</f>
        <v>56.866300605153235</v>
      </c>
      <c r="BI11" s="22">
        <f>VLOOKUP($A11,tabCustoUnit[],COLUMN(CUSTO_GLOBAL[[#Headers],[Uniformes e EPIs]])-2,0)*($G11-$H11)</f>
        <v>56.642978962543395</v>
      </c>
      <c r="BJ11" s="22">
        <f>VLOOKUP($A11,tabCustoUnit[],COLUMN(CUSTO_GLOBAL[[#Headers],[Materiais de Consumo]])-2,0)*($G11-$H11)</f>
        <v>0</v>
      </c>
      <c r="BK11" s="22">
        <f>VLOOKUP($A11,tabCustoUnit[],COLUMN(CUSTO_GLOBAL[[#Headers],[Máquinas e Equipamentos (depreciação)]])-2,0)*($G11-$H11)</f>
        <v>0</v>
      </c>
      <c r="BL11" s="22">
        <f>VLOOKUP($A11,tabCustoUnit[],COLUMN(CUSTO_GLOBAL[[#Headers],[Produtos de Limpeza e Materiais de Higiene Pessoal]])-2,0)*($G11-$H11)</f>
        <v>0</v>
      </c>
      <c r="BM11" s="22">
        <f>VLOOKUP($A11,tabCustoUnit[],COLUMN(CUSTO_GLOBAL[[#Headers],[Outros (especificar)]])-2,0)*($G11-$H11)</f>
        <v>0</v>
      </c>
      <c r="BN11" s="22">
        <f>VLOOKUP($A11,tabCustoUnit[],COLUMN(CUSTO_GLOBAL[[#Headers],[MÓDULO 5 – INSUMOS DIVERSOS]])-2,0)*($G11-$H11)</f>
        <v>56.642978962543395</v>
      </c>
      <c r="BO11" s="22" t="e">
        <f ca="1">VLOOKUP($A11,tabCustoUnit[],COLUMN(CUSTO_GLOBAL[[#Headers],[TOTAL MÓDULOS 1+2+3+4+5]])-2,0)*($G11-$H11)</f>
        <v>#NAME?</v>
      </c>
      <c r="BP11" s="22" t="e">
        <f ca="1">VLOOKUP($A11,tabCustoUnit[],COLUMN(CUSTO_GLOBAL[[#Headers],[Custos Indiretos]])-2,0)*($G11-$H11)</f>
        <v>#NAME?</v>
      </c>
      <c r="BQ11" s="22" t="e">
        <f ca="1">VLOOKUP($A11,tabCustoUnit[],COLUMN(CUSTO_GLOBAL[[#Headers],[Lucro]])-2,0)*($G11-$H11)</f>
        <v>#NAME?</v>
      </c>
      <c r="BR11" s="26">
        <f>VLOOKUP($A11,tabCustoUnit[],COLUMN(CUSTO_GLOBAL[[#Headers],[COFINS]])-2,0)</f>
        <v>8.5633802816901458E-2</v>
      </c>
      <c r="BS11" s="26">
        <f>VLOOKUP($A11,tabCustoUnit[],COLUMN(CUSTO_GLOBAL[[#Headers],[PIS]])-2,0)</f>
        <v>1.8591549295774657E-2</v>
      </c>
      <c r="BT11" s="28">
        <f>VLOOKUP($A11,tabCustoUnit[],COLUMN(CUSTO_GLOBAL[[#Headers],[ISS]])-2,0)</f>
        <v>0.02</v>
      </c>
      <c r="BU11" s="26">
        <f>VLOOKUP($A11,tabCustoUnit[],COLUMN(CUSTO_GLOBAL[[#Headers],[ISS (Conversão Alíquota s/ fatura)]])-2,0)</f>
        <v>2.2535211267605645E-2</v>
      </c>
      <c r="BV11" s="26">
        <f>VLOOKUP($A11,tabCustoUnit[],COLUMN(CUSTO_GLOBAL[[#Headers],[Resumo de Alíquotas (PIS+CONFINS+ISS)]])-2,0)</f>
        <v>0.1125</v>
      </c>
      <c r="BW11" s="138">
        <f>VLOOKUP($A11,tabCustoUnit[],COLUMN(CUSTO_GLOBAL[[#Headers],[PIS + COFINS + ISS (Total Conversão  Alíquota s/ Fatura)]])-2,0)</f>
        <v>0.12676056338028174</v>
      </c>
      <c r="BX11" s="22" t="e">
        <f ca="1">VLOOKUP($A11,tabCustoUnit[],COLUMN(CUSTO_GLOBAL[[#Headers],[Valor dos Tributos (ISS, PIS, CONFINS)]])-2,0)*($G11-$H11)</f>
        <v>#NAME?</v>
      </c>
      <c r="BY11" s="22" t="e">
        <f ca="1">VLOOKUP($A11,tabCustoUnit[],COLUMN(CUSTO_GLOBAL[[#Headers],[MÓDULO 6 – CUSTOS INDIRETOS, TRIBUTOS E LUCRO]])-2,0)*($G11-$H11)</f>
        <v>#NAME?</v>
      </c>
      <c r="BZ11" s="22" t="e">
        <f ca="1">VLOOKUP($A11,tabCustoUnit[],COLUMN(CUSTO_GLOBAL[[#Headers],[CUSTO TOTAL MENSAL]])-2,0)*($G11-$H11)</f>
        <v>#NAME?</v>
      </c>
      <c r="CA11" s="22" t="e">
        <f ca="1">CUSTO_GLOBAL[[#This Row],[CUSTO TOTAL MENSAL]]*12</f>
        <v>#NAME?</v>
      </c>
      <c r="CB11" s="24">
        <f>VLOOKUP($A11,tabCustoUnit[],COLUMN(CUSTO_GLOBAL[[#Headers],[ANO DA CCT]])-2,0)</f>
        <v>45658</v>
      </c>
      <c r="CC11" s="25" t="str">
        <f>VLOOKUP($A11,tabCustoUnit[],COLUMN(CUSTO_GLOBAL[[#Headers],[Nº DE PEDIDO DA CCT]])-2,0)</f>
        <v>-</v>
      </c>
      <c r="CD11" s="25" t="str">
        <f>VLOOKUP($A11,tabCustoUnit[],COLUMN(CUSTO_GLOBAL[[#Headers],[TERMO ADITIVO ALTERAÇÃO DA CCT]])-2,0)</f>
        <v>-</v>
      </c>
    </row>
    <row r="12" spans="1:82">
      <c r="A12" s="20" t="s">
        <v>1535</v>
      </c>
      <c r="B12" t="s">
        <v>1095</v>
      </c>
      <c r="C12" t="s">
        <v>324</v>
      </c>
      <c r="D12" t="s">
        <v>965</v>
      </c>
      <c r="E12" s="20" t="s">
        <v>1090</v>
      </c>
      <c r="F12" s="20" t="s">
        <v>120</v>
      </c>
      <c r="G12" s="20">
        <v>1</v>
      </c>
      <c r="H12" s="20">
        <v>0</v>
      </c>
      <c r="I12" s="21">
        <f>VLOOKUP($A12,tabCustoUnit[],COLUMN(CUSTO_GLOBAL[[#Headers],[Salário Base]])-2,0)*($G12-$H12)</f>
        <v>3397.1306</v>
      </c>
      <c r="J12" s="21">
        <f>VLOOKUP($A12,tabCustoUnit[],COLUMN(CUSTO_GLOBAL[[#Headers],[Adicional Periculosidade]])-2,0)*($G12-$H12)</f>
        <v>0</v>
      </c>
      <c r="K12" s="21">
        <f>VLOOKUP($A12,tabCustoUnit[],COLUMN(CUSTO_GLOBAL[[#Headers],[Adicional Insalubridade]])-2,0)*($G12-$H12)</f>
        <v>0</v>
      </c>
      <c r="L12" s="21">
        <f>VLOOKUP($A12,tabCustoUnit[],COLUMN(CUSTO_GLOBAL[[#Headers],[Adicional Noturno]])-2,0)*($G12-$H12)</f>
        <v>0</v>
      </c>
      <c r="M12" s="21">
        <f>VLOOKUP($A12,tabCustoUnit[],COLUMN(CUSTO_GLOBAL[[#Headers],[Adicional Motorista II (Gratificação)]])-2,0)*($G12-$H12)</f>
        <v>0</v>
      </c>
      <c r="N12" s="21">
        <f>VLOOKUP($A12,tabCustoUnit[],COLUMN(CUSTO_GLOBAL[[#Headers],[Adicional de Sobreaviso]])-2,0)*($G12-$H12)</f>
        <v>0</v>
      </c>
      <c r="O12" s="21">
        <f>VLOOKUP($A12,tabCustoUnit[],COLUMN(CUSTO_GLOBAL[[#Headers],[Horas Extras TI]])-2,0)*($G12-$H12)</f>
        <v>0</v>
      </c>
      <c r="P12" s="21">
        <f>VLOOKUP($A12,tabCustoUnit[],COLUMN(CUSTO_GLOBAL[[#Headers],[Adicional de Acúmulo de função]])-2,0)*($G12-$H12)</f>
        <v>0</v>
      </c>
      <c r="Q12" s="21">
        <f>VLOOKUP($A12,tabCustoUnit[],COLUMN(CUSTO_GLOBAL[[#Headers],[MODULO 1 - REMUNERAÇÃO ]])-2,0)*($G12-$H12)</f>
        <v>3397.1306</v>
      </c>
      <c r="R12" s="21">
        <f>VLOOKUP($A12,tabCustoUnit[],COLUMN(CUSTO_GLOBAL[[#Headers],[INSS]])-2,0)*($G12-$H12)</f>
        <v>679.42612000000008</v>
      </c>
      <c r="S12" s="21">
        <f>VLOOKUP($A12,tabCustoUnit[],COLUMN(CUSTO_GLOBAL[[#Headers],[SESI OU SESC]])-2,0)*($G12-$H12)</f>
        <v>50.956958999999998</v>
      </c>
      <c r="T12" s="21">
        <f>VLOOKUP($A12,tabCustoUnit[],COLUMN(CUSTO_GLOBAL[[#Headers],[SENAI OU SENAC]])-2,0)*($G12-$H12)</f>
        <v>33.971305999999998</v>
      </c>
      <c r="U12" s="21">
        <f>VLOOKUP($A12,tabCustoUnit[],COLUMN(CUSTO_GLOBAL[[#Headers],[INCRA]])-2,0)*($G12-$H12)</f>
        <v>6.7942612000000002</v>
      </c>
      <c r="V12" s="21">
        <f>VLOOKUP($A12,tabCustoUnit[],COLUMN(CUSTO_GLOBAL[[#Headers],[Salário Educação]])-2,0)*($G12-$H12)</f>
        <v>84.92826500000001</v>
      </c>
      <c r="W12" s="21">
        <f>VLOOKUP($A12,tabCustoUnit[],COLUMN(CUSTO_GLOBAL[[#Headers],[FGTS]])-2,0)*($G12-$H12)</f>
        <v>271.77044799999999</v>
      </c>
      <c r="X12" s="21">
        <f>VLOOKUP($A12,tabCustoUnit[],COLUMN(CUSTO_GLOBAL[[#Headers],[RAT Ajustado]])-2,0)*($G12-$H12)</f>
        <v>135.88522399999999</v>
      </c>
      <c r="Y12" s="21">
        <f>VLOOKUP($A12,tabCustoUnit[],COLUMN(CUSTO_GLOBAL[[#Headers],[SEBRAE]])-2,0)*($G12-$H12)</f>
        <v>20.3827836</v>
      </c>
      <c r="Z12" s="21">
        <f>VLOOKUP($A12,tabCustoUnit[],COLUMN(CUSTO_GLOBAL[[#Headers],[Submódulo 2.1]])-2,0)*($G12-$H12)</f>
        <v>1284.1153668000002</v>
      </c>
      <c r="AA12" s="21">
        <f>VLOOKUP($A12,tabCustoUnit[],COLUMN(CUSTO_GLOBAL[[#Headers],[13º salário (titular)]])-2,0)*($G12-$H12)</f>
        <v>283.09421666666663</v>
      </c>
      <c r="AB12" s="21">
        <f>VLOOKUP($A12,tabCustoUnit[],COLUMN(CUSTO_GLOBAL[[#Headers],[Férias e Adicional de Férias (titular)]])-2,0)*($G12-$H12)</f>
        <v>377.45895555555552</v>
      </c>
      <c r="AC12" s="21">
        <f>VLOOKUP($A12,tabCustoUnit[],COLUMN(CUSTO_GLOBAL[[#Headers],[Incidência do Submódulo 2.1 sobre 13º Salário, Férias e Adicional de Férias]])-2,0)*($G12-$H12)</f>
        <v>249.68909910000002</v>
      </c>
      <c r="AD12" s="21">
        <f>VLOOKUP($A12,tabCustoUnit[],COLUMN(CUSTO_GLOBAL[[#Headers],[Submódulo 2.2]])-2,0)*($G12-$H12)</f>
        <v>910.24227132222222</v>
      </c>
      <c r="AE12" s="22" t="e">
        <f ca="1">VLOOKUP($A12,tabCustoUnit[],COLUMN(CUSTO_GLOBAL[[#Headers],[Vale - Transporte (Descontada parcela do empregado)]])-2,0)*($G12-$H12)</f>
        <v>#NAME?</v>
      </c>
      <c r="AF12" s="22">
        <f>VLOOKUP($A12,tabCustoUnit[],COLUMN(CUSTO_GLOBAL[[#Headers],[Vale - Alimentação (Descontada parcela do empregado)]])-2,0)*($G12-$H12)</f>
        <v>582</v>
      </c>
      <c r="AG12" s="22">
        <f>VLOOKUP($A12,tabCustoUnit[],COLUMN(CUSTO_GLOBAL[[#Headers],[Cesta Básica]])-2,0)*($G12-$H12)</f>
        <v>0</v>
      </c>
      <c r="AH12" s="22">
        <f>VLOOKUP($A12,tabCustoUnit[],COLUMN(CUSTO_GLOBAL[[#Headers],[PAF]])-2,0)*($G12-$H12)</f>
        <v>0</v>
      </c>
      <c r="AI12" s="22">
        <f>VLOOKUP($A12,tabCustoUnit[],COLUMN(CUSTO_GLOBAL[[#Headers],[PQM]])-2,0)*($G12-$H12)</f>
        <v>15.07</v>
      </c>
      <c r="AJ12" s="22">
        <v>0</v>
      </c>
      <c r="AK12" s="22">
        <f>VLOOKUP($A12,tabCustoUnit[],COLUMN(CUSTO_GLOBAL[[#Headers],[Seguro de Vida]])-2,0)*($G12-$H12)</f>
        <v>3.36</v>
      </c>
      <c r="AL12" s="22">
        <f>VLOOKUP($A12,tabCustoUnit[],COLUMN(CUSTO_GLOBAL[[#Headers],[Despesas de Viagem]])-2,0)*($G12-$H12)</f>
        <v>0</v>
      </c>
      <c r="AM12" s="22" t="e">
        <f ca="1">VLOOKUP($A12,tabCustoUnit[],COLUMN(CUSTO_GLOBAL[[#Headers],[Submódulo 2.3]])-2,0)*($G12-$H12)</f>
        <v>#NAME?</v>
      </c>
      <c r="AN12" s="22" t="e">
        <f ca="1">VLOOKUP($A12,tabCustoUnit[],COLUMN(CUSTO_GLOBAL[[#Headers],[MÓDULO 2 - Total Encargos e Benefícios mensais e diários]])-2,0)*($G12-$H12)</f>
        <v>#NAME?</v>
      </c>
      <c r="AO12" s="22">
        <f>VLOOKUP($A12,tabCustoUnit[],COLUMN(CUSTO_GLOBAL[[#Headers],[Aviso Prévio Indenizado (API) e Reflexo do Aviso Prévio Indenizado]])-2,0)*($G12-$H12)</f>
        <v>23.819888151890432</v>
      </c>
      <c r="AP12" s="22">
        <f>VLOOKUP($A12,tabCustoUnit[],COLUMN(CUSTO_GLOBAL[[#Headers],[Incidência do FGTS sobre API e Reflexo do API]])-2,0)*($G12-$H12)</f>
        <v>1.9055910521512347</v>
      </c>
      <c r="AQ12" s="22">
        <f>VLOOKUP($A12,tabCustoUnit[],COLUMN(CUSTO_GLOBAL[[#Headers],[Multa Rescisória do FGTS sobre o Aviso Prévio Indenizado]])-2,0)*($G12-$H12)</f>
        <v>0.76223642086049392</v>
      </c>
      <c r="AR12" s="22">
        <f>VLOOKUP($A12,tabCustoUnit[],COLUMN(CUSTO_GLOBAL[[#Headers],[Aviso Prévio Trabalhado - APT]])-2,0)*($G12-$H12)</f>
        <v>11.889957100000002</v>
      </c>
      <c r="AS12" s="22">
        <f>VLOOKUP($A12,tabCustoUnit[],COLUMN(CUSTO_GLOBAL[[#Headers],[Incidência dos encargos do submódulo 2.1 sobre Aviso Prévio Trabalhado]])-2,0)*($G12-$H12)</f>
        <v>4.4944037838000011</v>
      </c>
      <c r="AT12" s="22">
        <f>VLOOKUP($A12,tabCustoUnit[],COLUMN(CUSTO_GLOBAL[[#Headers],[Multa Rescisória do FGTS]])-2,0)*($G12-$H12)</f>
        <v>103.87670456888887</v>
      </c>
      <c r="AU12" s="22">
        <f>VLOOKUP($A12,tabCustoUnit[],COLUMN(CUSTO_GLOBAL[[#Headers],[Indenização Adicional (Art. 9º da Lei nº 7.238/84)]])-2,0)*($G12-$H12)</f>
        <v>2.830942166666667</v>
      </c>
      <c r="AV12" s="22">
        <f>VLOOKUP($A12,tabCustoUnit[],COLUMN(CUSTO_GLOBAL[[#Headers],[MÓDULO 3 – PROVISÃO PARA RESCISÃO]])-2,0)*($G12-$H12)</f>
        <v>149.57972324425771</v>
      </c>
      <c r="AW12" s="22">
        <f>VLOOKUP($A12,tabCustoUnit[],COLUMN(CUSTO_GLOBAL[[#Headers],[Ausência por Doença]])-2,0)*($G12-$H12)</f>
        <v>28.686880622222219</v>
      </c>
      <c r="AX12" s="22">
        <f>VLOOKUP($A12,tabCustoUnit[],COLUMN(CUSTO_GLOBAL[[#Headers],[Ausências Legais]])-2,0)*($G12-$H12)</f>
        <v>6.8886259388888886</v>
      </c>
      <c r="AY12" s="22">
        <f>VLOOKUP($A12,tabCustoUnit[],COLUMN(CUSTO_GLOBAL[[#Headers],[Licença Paternidade]])-2,0)*($G12-$H12)</f>
        <v>0.58034314416666666</v>
      </c>
      <c r="AZ12" s="22">
        <f>VLOOKUP($A12,tabCustoUnit[],COLUMN(CUSTO_GLOBAL[[#Headers],[Ausência por Acidente de Trabalho]])-2,0)*($G12-$H12)</f>
        <v>0.70773554166666675</v>
      </c>
      <c r="BA12" s="22">
        <f>VLOOKUP($A12,tabCustoUnit[],COLUMN(CUSTO_GLOBAL[[#Headers],[Férias, Adicional de Férias e 13º  com empregada em gozo de Licença Maternidade]])-2,0)*($G12-$H12)</f>
        <v>4.4036878148148144</v>
      </c>
      <c r="BB12" s="22">
        <f>VLOOKUP($A12,tabCustoUnit[],COLUMN(CUSTO_GLOBAL[[#Headers],[Incidência do Submódulo 2.1 sobre Ausências Legais]])-2,0)*($G12-$H12)</f>
        <v>15.599029217345002</v>
      </c>
      <c r="BC12" s="22">
        <f>VLOOKUP($A12,tabCustoUnit[],COLUMN(CUSTO_GLOBAL[[#Headers],[Submódulo 4.1]])-2,0)*($G12-$H12)</f>
        <v>56.866302279104261</v>
      </c>
      <c r="BD12" s="22">
        <f>VLOOKUP($A12,tabCustoUnit[],COLUMN(CUSTO_GLOBAL[[#Headers],[Intervalo para Repouso ou Alimentação]])-2,0)*($G12-$H12)</f>
        <v>0</v>
      </c>
      <c r="BE12" s="22">
        <f>VLOOKUP($A12,tabCustoUnit[],COLUMN(CUSTO_GLOBAL[[#Headers],[Submódulo 4.2]])-2,0)*($G12-$H12)</f>
        <v>0</v>
      </c>
      <c r="BF12" s="22">
        <f>VLOOKUP($A12,tabCustoUnit[],COLUMN(CUSTO_GLOBAL[[#Headers],[Suspensão Temporária do Contrato de Trabalho]])-2,0)*($G12-$H12)</f>
        <v>0</v>
      </c>
      <c r="BG12" s="22">
        <f>VLOOKUP($A12,tabCustoUnit[],COLUMN(CUSTO_GLOBAL[[#Headers],[Submódulo 4.3]])-2,0)*($G12-$H12)</f>
        <v>0</v>
      </c>
      <c r="BH12" s="22">
        <f>VLOOKUP($A12,tabCustoUnit[],COLUMN(CUSTO_GLOBAL[[#Headers],[MÓDULO 4 – CUSTO DE REPOSIÇÃO DO PROFISSIONAL AUSENTE]])-2,0)*($G12-$H12)</f>
        <v>56.866302279104261</v>
      </c>
      <c r="BI12" s="22">
        <f>VLOOKUP($A12,tabCustoUnit[],COLUMN(CUSTO_GLOBAL[[#Headers],[Uniformes e EPIs]])-2,0)*($G12-$H12)</f>
        <v>56.642978962543395</v>
      </c>
      <c r="BJ12" s="22">
        <f>VLOOKUP($A12,tabCustoUnit[],COLUMN(CUSTO_GLOBAL[[#Headers],[Materiais de Consumo]])-2,0)*($G12-$H12)</f>
        <v>0</v>
      </c>
      <c r="BK12" s="22">
        <f>VLOOKUP($A12,tabCustoUnit[],COLUMN(CUSTO_GLOBAL[[#Headers],[Máquinas e Equipamentos (depreciação)]])-2,0)*($G12-$H12)</f>
        <v>0</v>
      </c>
      <c r="BL12" s="22">
        <f>VLOOKUP($A12,tabCustoUnit[],COLUMN(CUSTO_GLOBAL[[#Headers],[Produtos de Limpeza e Materiais de Higiene Pessoal]])-2,0)*($G12-$H12)</f>
        <v>0</v>
      </c>
      <c r="BM12" s="22">
        <f>VLOOKUP($A12,tabCustoUnit[],COLUMN(CUSTO_GLOBAL[[#Headers],[Outros (especificar)]])-2,0)*($G12-$H12)</f>
        <v>0</v>
      </c>
      <c r="BN12" s="22">
        <f>VLOOKUP($A12,tabCustoUnit[],COLUMN(CUSTO_GLOBAL[[#Headers],[MÓDULO 5 – INSUMOS DIVERSOS]])-2,0)*($G12-$H12)</f>
        <v>56.642978962543395</v>
      </c>
      <c r="BO12" s="22" t="e">
        <f ca="1">VLOOKUP($A12,tabCustoUnit[],COLUMN(CUSTO_GLOBAL[[#Headers],[TOTAL MÓDULOS 1+2+3+4+5]])-2,0)*($G12-$H12)</f>
        <v>#NAME?</v>
      </c>
      <c r="BP12" s="22" t="e">
        <f ca="1">VLOOKUP($A12,tabCustoUnit[],COLUMN(CUSTO_GLOBAL[[#Headers],[Custos Indiretos]])-2,0)*($G12-$H12)</f>
        <v>#NAME?</v>
      </c>
      <c r="BQ12" s="22" t="e">
        <f ca="1">VLOOKUP($A12,tabCustoUnit[],COLUMN(CUSTO_GLOBAL[[#Headers],[Lucro]])-2,0)*($G12-$H12)</f>
        <v>#NAME?</v>
      </c>
      <c r="BR12" s="26">
        <f>VLOOKUP($A12,tabCustoUnit[],COLUMN(CUSTO_GLOBAL[[#Headers],[COFINS]])-2,0)</f>
        <v>8.6609686609686695E-2</v>
      </c>
      <c r="BS12" s="26">
        <f>VLOOKUP($A12,tabCustoUnit[],COLUMN(CUSTO_GLOBAL[[#Headers],[PIS]])-2,0)</f>
        <v>1.880341880341882E-2</v>
      </c>
      <c r="BT12" s="28">
        <f>VLOOKUP($A12,tabCustoUnit[],COLUMN(CUSTO_GLOBAL[[#Headers],[ISS]])-2,0)</f>
        <v>0.03</v>
      </c>
      <c r="BU12" s="26">
        <f>VLOOKUP($A12,tabCustoUnit[],COLUMN(CUSTO_GLOBAL[[#Headers],[ISS (Conversão Alíquota s/ fatura)]])-2,0)</f>
        <v>3.4188034188034219E-2</v>
      </c>
      <c r="BV12" s="26">
        <f>VLOOKUP($A12,tabCustoUnit[],COLUMN(CUSTO_GLOBAL[[#Headers],[Resumo de Alíquotas (PIS+CONFINS+ISS)]])-2,0)</f>
        <v>0.1225</v>
      </c>
      <c r="BW12" s="138">
        <f>VLOOKUP($A12,tabCustoUnit[],COLUMN(CUSTO_GLOBAL[[#Headers],[PIS + COFINS + ISS (Total Conversão  Alíquota s/ Fatura)]])-2,0)</f>
        <v>0.13960113960113973</v>
      </c>
      <c r="BX12" s="22" t="e">
        <f ca="1">VLOOKUP($A12,tabCustoUnit[],COLUMN(CUSTO_GLOBAL[[#Headers],[Valor dos Tributos (ISS, PIS, CONFINS)]])-2,0)*($G12-$H12)</f>
        <v>#NAME?</v>
      </c>
      <c r="BY12" s="22" t="e">
        <f ca="1">VLOOKUP($A12,tabCustoUnit[],COLUMN(CUSTO_GLOBAL[[#Headers],[MÓDULO 6 – CUSTOS INDIRETOS, TRIBUTOS E LUCRO]])-2,0)*($G12-$H12)</f>
        <v>#NAME?</v>
      </c>
      <c r="BZ12" s="22" t="e">
        <f ca="1">VLOOKUP($A12,tabCustoUnit[],COLUMN(CUSTO_GLOBAL[[#Headers],[CUSTO TOTAL MENSAL]])-2,0)*($G12-$H12)</f>
        <v>#NAME?</v>
      </c>
      <c r="CA12" s="22" t="e">
        <f ca="1">CUSTO_GLOBAL[[#This Row],[CUSTO TOTAL MENSAL]]*12</f>
        <v>#NAME?</v>
      </c>
      <c r="CB12" s="24">
        <f>VLOOKUP($A12,tabCustoUnit[],COLUMN(CUSTO_GLOBAL[[#Headers],[ANO DA CCT]])-2,0)</f>
        <v>45658</v>
      </c>
      <c r="CC12" s="25" t="str">
        <f>VLOOKUP($A12,tabCustoUnit[],COLUMN(CUSTO_GLOBAL[[#Headers],[Nº DE PEDIDO DA CCT]])-2,0)</f>
        <v>-</v>
      </c>
      <c r="CD12" s="25" t="str">
        <f>VLOOKUP($A12,tabCustoUnit[],COLUMN(CUSTO_GLOBAL[[#Headers],[TERMO ADITIVO ALTERAÇÃO DA CCT]])-2,0)</f>
        <v>-</v>
      </c>
    </row>
    <row r="13" spans="1:82">
      <c r="A13" s="20" t="s">
        <v>1536</v>
      </c>
      <c r="B13" t="s">
        <v>1096</v>
      </c>
      <c r="C13" t="s">
        <v>314</v>
      </c>
      <c r="D13" t="s">
        <v>961</v>
      </c>
      <c r="E13" s="20" t="s">
        <v>1090</v>
      </c>
      <c r="F13" s="20" t="s">
        <v>120</v>
      </c>
      <c r="G13" s="20">
        <v>1</v>
      </c>
      <c r="H13" s="20">
        <v>0</v>
      </c>
      <c r="I13" s="21">
        <f>VLOOKUP($A13,tabCustoUnit[],COLUMN(CUSTO_GLOBAL[[#Headers],[Salário Base]])-2,0)*($G13-$H13)</f>
        <v>1963.405</v>
      </c>
      <c r="J13" s="21">
        <f>VLOOKUP($A13,tabCustoUnit[],COLUMN(CUSTO_GLOBAL[[#Headers],[Adicional Periculosidade]])-2,0)*($G13-$H13)</f>
        <v>0</v>
      </c>
      <c r="K13" s="21">
        <f>VLOOKUP($A13,tabCustoUnit[],COLUMN(CUSTO_GLOBAL[[#Headers],[Adicional Insalubridade]])-2,0)*($G13-$H13)</f>
        <v>0</v>
      </c>
      <c r="L13" s="21">
        <f>VLOOKUP($A13,tabCustoUnit[],COLUMN(CUSTO_GLOBAL[[#Headers],[Adicional Noturno]])-2,0)*($G13-$H13)</f>
        <v>0</v>
      </c>
      <c r="M13" s="21">
        <f>VLOOKUP($A13,tabCustoUnit[],COLUMN(CUSTO_GLOBAL[[#Headers],[Adicional Motorista II (Gratificação)]])-2,0)*($G13-$H13)</f>
        <v>0</v>
      </c>
      <c r="N13" s="21">
        <f>VLOOKUP($A13,tabCustoUnit[],COLUMN(CUSTO_GLOBAL[[#Headers],[Adicional de Sobreaviso]])-2,0)*($G13-$H13)</f>
        <v>0</v>
      </c>
      <c r="O13" s="21">
        <f>VLOOKUP($A13,tabCustoUnit[],COLUMN(CUSTO_GLOBAL[[#Headers],[Horas Extras TI]])-2,0)*($G13-$H13)</f>
        <v>0</v>
      </c>
      <c r="P13" s="21">
        <f>VLOOKUP($A13,tabCustoUnit[],COLUMN(CUSTO_GLOBAL[[#Headers],[Adicional de Acúmulo de função]])-2,0)*($G13-$H13)</f>
        <v>0</v>
      </c>
      <c r="Q13" s="21">
        <f>VLOOKUP($A13,tabCustoUnit[],COLUMN(CUSTO_GLOBAL[[#Headers],[MODULO 1 - REMUNERAÇÃO ]])-2,0)*($G13-$H13)</f>
        <v>1963.405</v>
      </c>
      <c r="R13" s="21">
        <f>VLOOKUP($A13,tabCustoUnit[],COLUMN(CUSTO_GLOBAL[[#Headers],[INSS]])-2,0)*($G13-$H13)</f>
        <v>392.68100000000004</v>
      </c>
      <c r="S13" s="21">
        <f>VLOOKUP($A13,tabCustoUnit[],COLUMN(CUSTO_GLOBAL[[#Headers],[SESI OU SESC]])-2,0)*($G13-$H13)</f>
        <v>29.451074999999999</v>
      </c>
      <c r="T13" s="21">
        <f>VLOOKUP($A13,tabCustoUnit[],COLUMN(CUSTO_GLOBAL[[#Headers],[SENAI OU SENAC]])-2,0)*($G13-$H13)</f>
        <v>19.634049999999998</v>
      </c>
      <c r="U13" s="21">
        <f>VLOOKUP($A13,tabCustoUnit[],COLUMN(CUSTO_GLOBAL[[#Headers],[INCRA]])-2,0)*($G13-$H13)</f>
        <v>3.9268100000000001</v>
      </c>
      <c r="V13" s="21">
        <f>VLOOKUP($A13,tabCustoUnit[],COLUMN(CUSTO_GLOBAL[[#Headers],[Salário Educação]])-2,0)*($G13-$H13)</f>
        <v>49.085125000000005</v>
      </c>
      <c r="W13" s="21">
        <f>VLOOKUP($A13,tabCustoUnit[],COLUMN(CUSTO_GLOBAL[[#Headers],[FGTS]])-2,0)*($G13-$H13)</f>
        <v>157.07239999999999</v>
      </c>
      <c r="X13" s="21">
        <f>VLOOKUP($A13,tabCustoUnit[],COLUMN(CUSTO_GLOBAL[[#Headers],[RAT Ajustado]])-2,0)*($G13-$H13)</f>
        <v>78.536199999999994</v>
      </c>
      <c r="Y13" s="21">
        <f>VLOOKUP($A13,tabCustoUnit[],COLUMN(CUSTO_GLOBAL[[#Headers],[SEBRAE]])-2,0)*($G13-$H13)</f>
        <v>11.780430000000001</v>
      </c>
      <c r="Z13" s="21">
        <f>VLOOKUP($A13,tabCustoUnit[],COLUMN(CUSTO_GLOBAL[[#Headers],[Submódulo 2.1]])-2,0)*($G13-$H13)</f>
        <v>742.16709000000003</v>
      </c>
      <c r="AA13" s="21">
        <f>VLOOKUP($A13,tabCustoUnit[],COLUMN(CUSTO_GLOBAL[[#Headers],[13º salário (titular)]])-2,0)*($G13-$H13)</f>
        <v>163.61708333333331</v>
      </c>
      <c r="AB13" s="21">
        <f>VLOOKUP($A13,tabCustoUnit[],COLUMN(CUSTO_GLOBAL[[#Headers],[Férias e Adicional de Férias (titular)]])-2,0)*($G13-$H13)</f>
        <v>218.1561111111111</v>
      </c>
      <c r="AC13" s="21">
        <f>VLOOKUP($A13,tabCustoUnit[],COLUMN(CUSTO_GLOBAL[[#Headers],[Incidência do Submódulo 2.1 sobre 13º Salário, Férias e Adicional de Férias]])-2,0)*($G13-$H13)</f>
        <v>144.31026749999998</v>
      </c>
      <c r="AD13" s="21">
        <f>VLOOKUP($A13,tabCustoUnit[],COLUMN(CUSTO_GLOBAL[[#Headers],[Submódulo 2.2]])-2,0)*($G13-$H13)</f>
        <v>526.08346194444437</v>
      </c>
      <c r="AE13" s="22" t="e">
        <f ca="1">VLOOKUP($A13,tabCustoUnit[],COLUMN(CUSTO_GLOBAL[[#Headers],[Vale - Transporte (Descontada parcela do empregado)]])-2,0)*($G13-$H13)</f>
        <v>#NAME?</v>
      </c>
      <c r="AF13" s="22">
        <f>VLOOKUP($A13,tabCustoUnit[],COLUMN(CUSTO_GLOBAL[[#Headers],[Vale - Alimentação (Descontada parcela do empregado)]])-2,0)*($G13-$H13)</f>
        <v>582</v>
      </c>
      <c r="AG13" s="22">
        <f>VLOOKUP($A13,tabCustoUnit[],COLUMN(CUSTO_GLOBAL[[#Headers],[Cesta Básica]])-2,0)*($G13-$H13)</f>
        <v>0</v>
      </c>
      <c r="AH13" s="22">
        <f>VLOOKUP($A13,tabCustoUnit[],COLUMN(CUSTO_GLOBAL[[#Headers],[PAF]])-2,0)*($G13-$H13)</f>
        <v>0</v>
      </c>
      <c r="AI13" s="22">
        <f>VLOOKUP($A13,tabCustoUnit[],COLUMN(CUSTO_GLOBAL[[#Headers],[PQM]])-2,0)*($G13-$H13)</f>
        <v>0</v>
      </c>
      <c r="AJ13" s="22">
        <v>0</v>
      </c>
      <c r="AK13" s="22">
        <f>VLOOKUP($A13,tabCustoUnit[],COLUMN(CUSTO_GLOBAL[[#Headers],[Seguro de Vida]])-2,0)*($G13-$H13)</f>
        <v>3.36</v>
      </c>
      <c r="AL13" s="22">
        <f>VLOOKUP($A13,tabCustoUnit[],COLUMN(CUSTO_GLOBAL[[#Headers],[Despesas de Viagem]])-2,0)*($G13-$H13)</f>
        <v>0</v>
      </c>
      <c r="AM13" s="22" t="e">
        <f ca="1">VLOOKUP($A13,tabCustoUnit[],COLUMN(CUSTO_GLOBAL[[#Headers],[Submódulo 2.3]])-2,0)*($G13-$H13)</f>
        <v>#NAME?</v>
      </c>
      <c r="AN13" s="22" t="e">
        <f ca="1">VLOOKUP($A13,tabCustoUnit[],COLUMN(CUSTO_GLOBAL[[#Headers],[MÓDULO 2 - Total Encargos e Benefícios mensais e diários]])-2,0)*($G13-$H13)</f>
        <v>#NAME?</v>
      </c>
      <c r="AO13" s="22">
        <f>VLOOKUP($A13,tabCustoUnit[],COLUMN(CUSTO_GLOBAL[[#Headers],[Aviso Prévio Indenizado (API) e Reflexo do Aviso Prévio Indenizado]])-2,0)*($G13-$H13)</f>
        <v>13.766938338155864</v>
      </c>
      <c r="AP13" s="22">
        <f>VLOOKUP($A13,tabCustoUnit[],COLUMN(CUSTO_GLOBAL[[#Headers],[Incidência do FGTS sobre API e Reflexo do API]])-2,0)*($G13-$H13)</f>
        <v>1.1013550670524692</v>
      </c>
      <c r="AQ13" s="22">
        <f>VLOOKUP($A13,tabCustoUnit[],COLUMN(CUSTO_GLOBAL[[#Headers],[Multa Rescisória do FGTS sobre o Aviso Prévio Indenizado]])-2,0)*($G13-$H13)</f>
        <v>0.44054202682098775</v>
      </c>
      <c r="AR13" s="22">
        <f>VLOOKUP($A13,tabCustoUnit[],COLUMN(CUSTO_GLOBAL[[#Headers],[Aviso Prévio Trabalhado - APT]])-2,0)*($G13-$H13)</f>
        <v>6.8719175000000012</v>
      </c>
      <c r="AS13" s="22">
        <f>VLOOKUP($A13,tabCustoUnit[],COLUMN(CUSTO_GLOBAL[[#Headers],[Incidência dos encargos do submódulo 2.1 sobre Aviso Prévio Trabalhado]])-2,0)*($G13-$H13)</f>
        <v>2.5975848150000007</v>
      </c>
      <c r="AT13" s="22">
        <f>VLOOKUP($A13,tabCustoUnit[],COLUMN(CUSTO_GLOBAL[[#Headers],[Multa Rescisória do FGTS]])-2,0)*($G13-$H13)</f>
        <v>60.03656177777777</v>
      </c>
      <c r="AU13" s="22">
        <f>VLOOKUP($A13,tabCustoUnit[],COLUMN(CUSTO_GLOBAL[[#Headers],[Indenização Adicional (Art. 9º da Lei nº 7.238/84)]])-2,0)*($G13-$H13)</f>
        <v>1.6361708333333334</v>
      </c>
      <c r="AV13" s="22">
        <f>VLOOKUP($A13,tabCustoUnit[],COLUMN(CUSTO_GLOBAL[[#Headers],[MÓDULO 3 – PROVISÃO PARA RESCISÃO]])-2,0)*($G13-$H13)</f>
        <v>86.451070358140427</v>
      </c>
      <c r="AW13" s="22">
        <f>VLOOKUP($A13,tabCustoUnit[],COLUMN(CUSTO_GLOBAL[[#Headers],[Ausência por Doença]])-2,0)*($G13-$H13)</f>
        <v>16.579864444444443</v>
      </c>
      <c r="AX13" s="22">
        <f>VLOOKUP($A13,tabCustoUnit[],COLUMN(CUSTO_GLOBAL[[#Headers],[Ausências Legais]])-2,0)*($G13-$H13)</f>
        <v>3.9813490277777777</v>
      </c>
      <c r="AY13" s="22">
        <f>VLOOKUP($A13,tabCustoUnit[],COLUMN(CUSTO_GLOBAL[[#Headers],[Licença Paternidade]])-2,0)*($G13-$H13)</f>
        <v>0.3354150208333333</v>
      </c>
      <c r="AZ13" s="22">
        <f>VLOOKUP($A13,tabCustoUnit[],COLUMN(CUSTO_GLOBAL[[#Headers],[Ausência por Acidente de Trabalho]])-2,0)*($G13-$H13)</f>
        <v>0.40904270833333334</v>
      </c>
      <c r="BA13" s="22">
        <f>VLOOKUP($A13,tabCustoUnit[],COLUMN(CUSTO_GLOBAL[[#Headers],[Férias, Adicional de Férias e 13º  com empregada em gozo de Licença Maternidade]])-2,0)*($G13-$H13)</f>
        <v>2.5451546296296295</v>
      </c>
      <c r="BB13" s="22">
        <f>VLOOKUP($A13,tabCustoUnit[],COLUMN(CUSTO_GLOBAL[[#Headers],[Incidência do Submódulo 2.1 sobre Ausências Legais]])-2,0)*($G13-$H13)</f>
        <v>9.0156121641250007</v>
      </c>
      <c r="BC13" s="22">
        <f>VLOOKUP($A13,tabCustoUnit[],COLUMN(CUSTO_GLOBAL[[#Headers],[Submódulo 4.1]])-2,0)*($G13-$H13)</f>
        <v>32.866437995143521</v>
      </c>
      <c r="BD13" s="22">
        <f>VLOOKUP($A13,tabCustoUnit[],COLUMN(CUSTO_GLOBAL[[#Headers],[Intervalo para Repouso ou Alimentação]])-2,0)*($G13-$H13)</f>
        <v>267.73704981301341</v>
      </c>
      <c r="BE13" s="22">
        <f>VLOOKUP($A13,tabCustoUnit[],COLUMN(CUSTO_GLOBAL[[#Headers],[Submódulo 4.2]])-2,0)*($G13-$H13)</f>
        <v>267.73704981301341</v>
      </c>
      <c r="BF13" s="22">
        <f>VLOOKUP($A13,tabCustoUnit[],COLUMN(CUSTO_GLOBAL[[#Headers],[Suspensão Temporária do Contrato de Trabalho]])-2,0)*($G13-$H13)</f>
        <v>0</v>
      </c>
      <c r="BG13" s="22">
        <f>VLOOKUP($A13,tabCustoUnit[],COLUMN(CUSTO_GLOBAL[[#Headers],[Submódulo 4.3]])-2,0)*($G13-$H13)</f>
        <v>0</v>
      </c>
      <c r="BH13" s="22">
        <f>VLOOKUP($A13,tabCustoUnit[],COLUMN(CUSTO_GLOBAL[[#Headers],[MÓDULO 4 – CUSTO DE REPOSIÇÃO DO PROFISSIONAL AUSENTE]])-2,0)*($G13-$H13)</f>
        <v>300.60348780815696</v>
      </c>
      <c r="BI13" s="22">
        <f>VLOOKUP($A13,tabCustoUnit[],COLUMN(CUSTO_GLOBAL[[#Headers],[Uniformes e EPIs]])-2,0)*($G13-$H13)</f>
        <v>56.642978962543395</v>
      </c>
      <c r="BJ13" s="22">
        <f>VLOOKUP($A13,tabCustoUnit[],COLUMN(CUSTO_GLOBAL[[#Headers],[Materiais de Consumo]])-2,0)*($G13-$H13)</f>
        <v>0</v>
      </c>
      <c r="BK13" s="22">
        <f>VLOOKUP($A13,tabCustoUnit[],COLUMN(CUSTO_GLOBAL[[#Headers],[Máquinas e Equipamentos (depreciação)]])-2,0)*($G13-$H13)</f>
        <v>0</v>
      </c>
      <c r="BL13" s="22">
        <f>VLOOKUP($A13,tabCustoUnit[],COLUMN(CUSTO_GLOBAL[[#Headers],[Produtos de Limpeza e Materiais de Higiene Pessoal]])-2,0)*($G13-$H13)</f>
        <v>0</v>
      </c>
      <c r="BM13" s="22">
        <f>VLOOKUP($A13,tabCustoUnit[],COLUMN(CUSTO_GLOBAL[[#Headers],[Outros (especificar)]])-2,0)*($G13-$H13)</f>
        <v>0</v>
      </c>
      <c r="BN13" s="22">
        <f>VLOOKUP($A13,tabCustoUnit[],COLUMN(CUSTO_GLOBAL[[#Headers],[MÓDULO 5 – INSUMOS DIVERSOS]])-2,0)*($G13-$H13)</f>
        <v>56.642978962543395</v>
      </c>
      <c r="BO13" s="22" t="e">
        <f ca="1">VLOOKUP($A13,tabCustoUnit[],COLUMN(CUSTO_GLOBAL[[#Headers],[TOTAL MÓDULOS 1+2+3+4+5]])-2,0)*($G13-$H13)</f>
        <v>#NAME?</v>
      </c>
      <c r="BP13" s="22" t="e">
        <f ca="1">VLOOKUP($A13,tabCustoUnit[],COLUMN(CUSTO_GLOBAL[[#Headers],[Custos Indiretos]])-2,0)*($G13-$H13)</f>
        <v>#NAME?</v>
      </c>
      <c r="BQ13" s="22" t="e">
        <f ca="1">VLOOKUP($A13,tabCustoUnit[],COLUMN(CUSTO_GLOBAL[[#Headers],[Lucro]])-2,0)*($G13-$H13)</f>
        <v>#NAME?</v>
      </c>
      <c r="BR13" s="26">
        <f>VLOOKUP($A13,tabCustoUnit[],COLUMN(CUSTO_GLOBAL[[#Headers],[COFINS]])-2,0)</f>
        <v>8.5633802816901458E-2</v>
      </c>
      <c r="BS13" s="26">
        <f>VLOOKUP($A13,tabCustoUnit[],COLUMN(CUSTO_GLOBAL[[#Headers],[PIS]])-2,0)</f>
        <v>1.8591549295774657E-2</v>
      </c>
      <c r="BT13" s="28">
        <f>VLOOKUP($A13,tabCustoUnit[],COLUMN(CUSTO_GLOBAL[[#Headers],[ISS]])-2,0)</f>
        <v>0.02</v>
      </c>
      <c r="BU13" s="26">
        <f>VLOOKUP($A13,tabCustoUnit[],COLUMN(CUSTO_GLOBAL[[#Headers],[ISS (Conversão Alíquota s/ fatura)]])-2,0)</f>
        <v>2.2535211267605645E-2</v>
      </c>
      <c r="BV13" s="26">
        <f>VLOOKUP($A13,tabCustoUnit[],COLUMN(CUSTO_GLOBAL[[#Headers],[Resumo de Alíquotas (PIS+CONFINS+ISS)]])-2,0)</f>
        <v>0.1125</v>
      </c>
      <c r="BW13" s="138">
        <f>VLOOKUP($A13,tabCustoUnit[],COLUMN(CUSTO_GLOBAL[[#Headers],[PIS + COFINS + ISS (Total Conversão  Alíquota s/ Fatura)]])-2,0)</f>
        <v>0.12676056338028174</v>
      </c>
      <c r="BX13" s="22" t="e">
        <f ca="1">VLOOKUP($A13,tabCustoUnit[],COLUMN(CUSTO_GLOBAL[[#Headers],[Valor dos Tributos (ISS, PIS, CONFINS)]])-2,0)*($G13-$H13)</f>
        <v>#NAME?</v>
      </c>
      <c r="BY13" s="22" t="e">
        <f ca="1">VLOOKUP($A13,tabCustoUnit[],COLUMN(CUSTO_GLOBAL[[#Headers],[MÓDULO 6 – CUSTOS INDIRETOS, TRIBUTOS E LUCRO]])-2,0)*($G13-$H13)</f>
        <v>#NAME?</v>
      </c>
      <c r="BZ13" s="22" t="e">
        <f ca="1">VLOOKUP($A13,tabCustoUnit[],COLUMN(CUSTO_GLOBAL[[#Headers],[CUSTO TOTAL MENSAL]])-2,0)*($G13-$H13)</f>
        <v>#NAME?</v>
      </c>
      <c r="CA13" s="22" t="e">
        <f ca="1">CUSTO_GLOBAL[[#This Row],[CUSTO TOTAL MENSAL]]*12</f>
        <v>#NAME?</v>
      </c>
      <c r="CB13" s="24">
        <f>VLOOKUP($A13,tabCustoUnit[],COLUMN(CUSTO_GLOBAL[[#Headers],[ANO DA CCT]])-2,0)</f>
        <v>45658</v>
      </c>
      <c r="CC13" s="25" t="str">
        <f>VLOOKUP($A13,tabCustoUnit[],COLUMN(CUSTO_GLOBAL[[#Headers],[Nº DE PEDIDO DA CCT]])-2,0)</f>
        <v>-</v>
      </c>
      <c r="CD13" s="25" t="str">
        <f>VLOOKUP($A13,tabCustoUnit[],COLUMN(CUSTO_GLOBAL[[#Headers],[TERMO ADITIVO ALTERAÇÃO DA CCT]])-2,0)</f>
        <v>-</v>
      </c>
    </row>
    <row r="14" spans="1:82">
      <c r="A14" s="20" t="s">
        <v>1537</v>
      </c>
      <c r="B14" t="s">
        <v>1097</v>
      </c>
      <c r="C14" t="s">
        <v>314</v>
      </c>
      <c r="D14" t="s">
        <v>961</v>
      </c>
      <c r="E14" s="20" t="s">
        <v>1090</v>
      </c>
      <c r="F14" s="20" t="s">
        <v>120</v>
      </c>
      <c r="G14" s="20">
        <v>1</v>
      </c>
      <c r="H14" s="20">
        <v>0</v>
      </c>
      <c r="I14" s="21">
        <f>VLOOKUP($A14,tabCustoUnit[],COLUMN(CUSTO_GLOBAL[[#Headers],[Salário Base]])-2,0)*($G14-$H14)</f>
        <v>1963.405</v>
      </c>
      <c r="J14" s="21">
        <f>VLOOKUP($A14,tabCustoUnit[],COLUMN(CUSTO_GLOBAL[[#Headers],[Adicional Periculosidade]])-2,0)*($G14-$H14)</f>
        <v>0</v>
      </c>
      <c r="K14" s="21">
        <f>VLOOKUP($A14,tabCustoUnit[],COLUMN(CUSTO_GLOBAL[[#Headers],[Adicional Insalubridade]])-2,0)*($G14-$H14)</f>
        <v>0</v>
      </c>
      <c r="L14" s="21">
        <f>VLOOKUP($A14,tabCustoUnit[],COLUMN(CUSTO_GLOBAL[[#Headers],[Adicional Noturno]])-2,0)*($G14-$H14)</f>
        <v>0</v>
      </c>
      <c r="M14" s="21">
        <f>VLOOKUP($A14,tabCustoUnit[],COLUMN(CUSTO_GLOBAL[[#Headers],[Adicional Motorista II (Gratificação)]])-2,0)*($G14-$H14)</f>
        <v>0</v>
      </c>
      <c r="N14" s="21">
        <f>VLOOKUP($A14,tabCustoUnit[],COLUMN(CUSTO_GLOBAL[[#Headers],[Adicional de Sobreaviso]])-2,0)*($G14-$H14)</f>
        <v>0</v>
      </c>
      <c r="O14" s="21">
        <f>VLOOKUP($A14,tabCustoUnit[],COLUMN(CUSTO_GLOBAL[[#Headers],[Horas Extras TI]])-2,0)*($G14-$H14)</f>
        <v>0</v>
      </c>
      <c r="P14" s="21">
        <f>VLOOKUP($A14,tabCustoUnit[],COLUMN(CUSTO_GLOBAL[[#Headers],[Adicional de Acúmulo de função]])-2,0)*($G14-$H14)</f>
        <v>0</v>
      </c>
      <c r="Q14" s="21">
        <f>VLOOKUP($A14,tabCustoUnit[],COLUMN(CUSTO_GLOBAL[[#Headers],[MODULO 1 - REMUNERAÇÃO ]])-2,0)*($G14-$H14)</f>
        <v>1963.405</v>
      </c>
      <c r="R14" s="21">
        <f>VLOOKUP($A14,tabCustoUnit[],COLUMN(CUSTO_GLOBAL[[#Headers],[INSS]])-2,0)*($G14-$H14)</f>
        <v>392.68100000000004</v>
      </c>
      <c r="S14" s="21">
        <f>VLOOKUP($A14,tabCustoUnit[],COLUMN(CUSTO_GLOBAL[[#Headers],[SESI OU SESC]])-2,0)*($G14-$H14)</f>
        <v>29.451074999999999</v>
      </c>
      <c r="T14" s="21">
        <f>VLOOKUP($A14,tabCustoUnit[],COLUMN(CUSTO_GLOBAL[[#Headers],[SENAI OU SENAC]])-2,0)*($G14-$H14)</f>
        <v>19.634049999999998</v>
      </c>
      <c r="U14" s="21">
        <f>VLOOKUP($A14,tabCustoUnit[],COLUMN(CUSTO_GLOBAL[[#Headers],[INCRA]])-2,0)*($G14-$H14)</f>
        <v>3.9268100000000001</v>
      </c>
      <c r="V14" s="21">
        <f>VLOOKUP($A14,tabCustoUnit[],COLUMN(CUSTO_GLOBAL[[#Headers],[Salário Educação]])-2,0)*($G14-$H14)</f>
        <v>49.085125000000005</v>
      </c>
      <c r="W14" s="21">
        <f>VLOOKUP($A14,tabCustoUnit[],COLUMN(CUSTO_GLOBAL[[#Headers],[FGTS]])-2,0)*($G14-$H14)</f>
        <v>157.07239999999999</v>
      </c>
      <c r="X14" s="21">
        <f>VLOOKUP($A14,tabCustoUnit[],COLUMN(CUSTO_GLOBAL[[#Headers],[RAT Ajustado]])-2,0)*($G14-$H14)</f>
        <v>78.536199999999994</v>
      </c>
      <c r="Y14" s="21">
        <f>VLOOKUP($A14,tabCustoUnit[],COLUMN(CUSTO_GLOBAL[[#Headers],[SEBRAE]])-2,0)*($G14-$H14)</f>
        <v>11.780430000000001</v>
      </c>
      <c r="Z14" s="21">
        <f>VLOOKUP($A14,tabCustoUnit[],COLUMN(CUSTO_GLOBAL[[#Headers],[Submódulo 2.1]])-2,0)*($G14-$H14)</f>
        <v>742.16709000000003</v>
      </c>
      <c r="AA14" s="21">
        <f>VLOOKUP($A14,tabCustoUnit[],COLUMN(CUSTO_GLOBAL[[#Headers],[13º salário (titular)]])-2,0)*($G14-$H14)</f>
        <v>163.61708333333331</v>
      </c>
      <c r="AB14" s="21">
        <f>VLOOKUP($A14,tabCustoUnit[],COLUMN(CUSTO_GLOBAL[[#Headers],[Férias e Adicional de Férias (titular)]])-2,0)*($G14-$H14)</f>
        <v>218.1561111111111</v>
      </c>
      <c r="AC14" s="21">
        <f>VLOOKUP($A14,tabCustoUnit[],COLUMN(CUSTO_GLOBAL[[#Headers],[Incidência do Submódulo 2.1 sobre 13º Salário, Férias e Adicional de Férias]])-2,0)*($G14-$H14)</f>
        <v>144.31026749999998</v>
      </c>
      <c r="AD14" s="21">
        <f>VLOOKUP($A14,tabCustoUnit[],COLUMN(CUSTO_GLOBAL[[#Headers],[Submódulo 2.2]])-2,0)*($G14-$H14)</f>
        <v>526.08346194444437</v>
      </c>
      <c r="AE14" s="22" t="e">
        <f ca="1">VLOOKUP($A14,tabCustoUnit[],COLUMN(CUSTO_GLOBAL[[#Headers],[Vale - Transporte (Descontada parcela do empregado)]])-2,0)*($G14-$H14)</f>
        <v>#NAME?</v>
      </c>
      <c r="AF14" s="22">
        <f>VLOOKUP($A14,tabCustoUnit[],COLUMN(CUSTO_GLOBAL[[#Headers],[Vale - Alimentação (Descontada parcela do empregado)]])-2,0)*($G14-$H14)</f>
        <v>582</v>
      </c>
      <c r="AG14" s="22">
        <f>VLOOKUP($A14,tabCustoUnit[],COLUMN(CUSTO_GLOBAL[[#Headers],[Cesta Básica]])-2,0)*($G14-$H14)</f>
        <v>0</v>
      </c>
      <c r="AH14" s="22">
        <f>VLOOKUP($A14,tabCustoUnit[],COLUMN(CUSTO_GLOBAL[[#Headers],[PAF]])-2,0)*($G14-$H14)</f>
        <v>0</v>
      </c>
      <c r="AI14" s="22">
        <f>VLOOKUP($A14,tabCustoUnit[],COLUMN(CUSTO_GLOBAL[[#Headers],[PQM]])-2,0)*($G14-$H14)</f>
        <v>0</v>
      </c>
      <c r="AJ14" s="22">
        <v>0</v>
      </c>
      <c r="AK14" s="22">
        <f>VLOOKUP($A14,tabCustoUnit[],COLUMN(CUSTO_GLOBAL[[#Headers],[Seguro de Vida]])-2,0)*($G14-$H14)</f>
        <v>3.36</v>
      </c>
      <c r="AL14" s="22">
        <f>VLOOKUP($A14,tabCustoUnit[],COLUMN(CUSTO_GLOBAL[[#Headers],[Despesas de Viagem]])-2,0)*($G14-$H14)</f>
        <v>0</v>
      </c>
      <c r="AM14" s="22" t="e">
        <f ca="1">VLOOKUP($A14,tabCustoUnit[],COLUMN(CUSTO_GLOBAL[[#Headers],[Submódulo 2.3]])-2,0)*($G14-$H14)</f>
        <v>#NAME?</v>
      </c>
      <c r="AN14" s="22" t="e">
        <f ca="1">VLOOKUP($A14,tabCustoUnit[],COLUMN(CUSTO_GLOBAL[[#Headers],[MÓDULO 2 - Total Encargos e Benefícios mensais e diários]])-2,0)*($G14-$H14)</f>
        <v>#NAME?</v>
      </c>
      <c r="AO14" s="22">
        <f>VLOOKUP($A14,tabCustoUnit[],COLUMN(CUSTO_GLOBAL[[#Headers],[Aviso Prévio Indenizado (API) e Reflexo do Aviso Prévio Indenizado]])-2,0)*($G14-$H14)</f>
        <v>13.766938338155864</v>
      </c>
      <c r="AP14" s="22">
        <f>VLOOKUP($A14,tabCustoUnit[],COLUMN(CUSTO_GLOBAL[[#Headers],[Incidência do FGTS sobre API e Reflexo do API]])-2,0)*($G14-$H14)</f>
        <v>1.1013550670524692</v>
      </c>
      <c r="AQ14" s="22">
        <f>VLOOKUP($A14,tabCustoUnit[],COLUMN(CUSTO_GLOBAL[[#Headers],[Multa Rescisória do FGTS sobre o Aviso Prévio Indenizado]])-2,0)*($G14-$H14)</f>
        <v>0.44054202682098775</v>
      </c>
      <c r="AR14" s="22">
        <f>VLOOKUP($A14,tabCustoUnit[],COLUMN(CUSTO_GLOBAL[[#Headers],[Aviso Prévio Trabalhado - APT]])-2,0)*($G14-$H14)</f>
        <v>6.8719175000000012</v>
      </c>
      <c r="AS14" s="22">
        <f>VLOOKUP($A14,tabCustoUnit[],COLUMN(CUSTO_GLOBAL[[#Headers],[Incidência dos encargos do submódulo 2.1 sobre Aviso Prévio Trabalhado]])-2,0)*($G14-$H14)</f>
        <v>2.5975848150000007</v>
      </c>
      <c r="AT14" s="22">
        <f>VLOOKUP($A14,tabCustoUnit[],COLUMN(CUSTO_GLOBAL[[#Headers],[Multa Rescisória do FGTS]])-2,0)*($G14-$H14)</f>
        <v>60.03656177777777</v>
      </c>
      <c r="AU14" s="22">
        <f>VLOOKUP($A14,tabCustoUnit[],COLUMN(CUSTO_GLOBAL[[#Headers],[Indenização Adicional (Art. 9º da Lei nº 7.238/84)]])-2,0)*($G14-$H14)</f>
        <v>1.6361708333333334</v>
      </c>
      <c r="AV14" s="22">
        <f>VLOOKUP($A14,tabCustoUnit[],COLUMN(CUSTO_GLOBAL[[#Headers],[MÓDULO 3 – PROVISÃO PARA RESCISÃO]])-2,0)*($G14-$H14)</f>
        <v>86.451070358140427</v>
      </c>
      <c r="AW14" s="22">
        <f>VLOOKUP($A14,tabCustoUnit[],COLUMN(CUSTO_GLOBAL[[#Headers],[Ausência por Doença]])-2,0)*($G14-$H14)</f>
        <v>16.579864444444443</v>
      </c>
      <c r="AX14" s="22">
        <f>VLOOKUP($A14,tabCustoUnit[],COLUMN(CUSTO_GLOBAL[[#Headers],[Ausências Legais]])-2,0)*($G14-$H14)</f>
        <v>3.9813490277777777</v>
      </c>
      <c r="AY14" s="22">
        <f>VLOOKUP($A14,tabCustoUnit[],COLUMN(CUSTO_GLOBAL[[#Headers],[Licença Paternidade]])-2,0)*($G14-$H14)</f>
        <v>0.3354150208333333</v>
      </c>
      <c r="AZ14" s="22">
        <f>VLOOKUP($A14,tabCustoUnit[],COLUMN(CUSTO_GLOBAL[[#Headers],[Ausência por Acidente de Trabalho]])-2,0)*($G14-$H14)</f>
        <v>0.40904270833333334</v>
      </c>
      <c r="BA14" s="22">
        <f>VLOOKUP($A14,tabCustoUnit[],COLUMN(CUSTO_GLOBAL[[#Headers],[Férias, Adicional de Férias e 13º  com empregada em gozo de Licença Maternidade]])-2,0)*($G14-$H14)</f>
        <v>2.5451546296296295</v>
      </c>
      <c r="BB14" s="22">
        <f>VLOOKUP($A14,tabCustoUnit[],COLUMN(CUSTO_GLOBAL[[#Headers],[Incidência do Submódulo 2.1 sobre Ausências Legais]])-2,0)*($G14-$H14)</f>
        <v>9.0156121641250007</v>
      </c>
      <c r="BC14" s="22">
        <f>VLOOKUP($A14,tabCustoUnit[],COLUMN(CUSTO_GLOBAL[[#Headers],[Submódulo 4.1]])-2,0)*($G14-$H14)</f>
        <v>32.866437995143521</v>
      </c>
      <c r="BD14" s="22">
        <f>VLOOKUP($A14,tabCustoUnit[],COLUMN(CUSTO_GLOBAL[[#Headers],[Intervalo para Repouso ou Alimentação]])-2,0)*($G14-$H14)</f>
        <v>267.73704981301341</v>
      </c>
      <c r="BE14" s="22">
        <f>VLOOKUP($A14,tabCustoUnit[],COLUMN(CUSTO_GLOBAL[[#Headers],[Submódulo 4.2]])-2,0)*($G14-$H14)</f>
        <v>267.73704981301341</v>
      </c>
      <c r="BF14" s="22">
        <f>VLOOKUP($A14,tabCustoUnit[],COLUMN(CUSTO_GLOBAL[[#Headers],[Suspensão Temporária do Contrato de Trabalho]])-2,0)*($G14-$H14)</f>
        <v>0</v>
      </c>
      <c r="BG14" s="22">
        <f>VLOOKUP($A14,tabCustoUnit[],COLUMN(CUSTO_GLOBAL[[#Headers],[Submódulo 4.3]])-2,0)*($G14-$H14)</f>
        <v>0</v>
      </c>
      <c r="BH14" s="22">
        <f>VLOOKUP($A14,tabCustoUnit[],COLUMN(CUSTO_GLOBAL[[#Headers],[MÓDULO 4 – CUSTO DE REPOSIÇÃO DO PROFISSIONAL AUSENTE]])-2,0)*($G14-$H14)</f>
        <v>300.60348780815696</v>
      </c>
      <c r="BI14" s="22">
        <f>VLOOKUP($A14,tabCustoUnit[],COLUMN(CUSTO_GLOBAL[[#Headers],[Uniformes e EPIs]])-2,0)*($G14-$H14)</f>
        <v>56.642978962543395</v>
      </c>
      <c r="BJ14" s="22">
        <f>VLOOKUP($A14,tabCustoUnit[],COLUMN(CUSTO_GLOBAL[[#Headers],[Materiais de Consumo]])-2,0)*($G14-$H14)</f>
        <v>0</v>
      </c>
      <c r="BK14" s="22">
        <f>VLOOKUP($A14,tabCustoUnit[],COLUMN(CUSTO_GLOBAL[[#Headers],[Máquinas e Equipamentos (depreciação)]])-2,0)*($G14-$H14)</f>
        <v>0</v>
      </c>
      <c r="BL14" s="22">
        <f>VLOOKUP($A14,tabCustoUnit[],COLUMN(CUSTO_GLOBAL[[#Headers],[Produtos de Limpeza e Materiais de Higiene Pessoal]])-2,0)*($G14-$H14)</f>
        <v>0</v>
      </c>
      <c r="BM14" s="22">
        <f>VLOOKUP($A14,tabCustoUnit[],COLUMN(CUSTO_GLOBAL[[#Headers],[Outros (especificar)]])-2,0)*($G14-$H14)</f>
        <v>0</v>
      </c>
      <c r="BN14" s="22">
        <f>VLOOKUP($A14,tabCustoUnit[],COLUMN(CUSTO_GLOBAL[[#Headers],[MÓDULO 5 – INSUMOS DIVERSOS]])-2,0)*($G14-$H14)</f>
        <v>56.642978962543395</v>
      </c>
      <c r="BO14" s="22" t="e">
        <f ca="1">VLOOKUP($A14,tabCustoUnit[],COLUMN(CUSTO_GLOBAL[[#Headers],[TOTAL MÓDULOS 1+2+3+4+5]])-2,0)*($G14-$H14)</f>
        <v>#NAME?</v>
      </c>
      <c r="BP14" s="22" t="e">
        <f ca="1">VLOOKUP($A14,tabCustoUnit[],COLUMN(CUSTO_GLOBAL[[#Headers],[Custos Indiretos]])-2,0)*($G14-$H14)</f>
        <v>#NAME?</v>
      </c>
      <c r="BQ14" s="22" t="e">
        <f ca="1">VLOOKUP($A14,tabCustoUnit[],COLUMN(CUSTO_GLOBAL[[#Headers],[Lucro]])-2,0)*($G14-$H14)</f>
        <v>#NAME?</v>
      </c>
      <c r="BR14" s="26">
        <f>VLOOKUP($A14,tabCustoUnit[],COLUMN(CUSTO_GLOBAL[[#Headers],[COFINS]])-2,0)</f>
        <v>8.8629737609329504E-2</v>
      </c>
      <c r="BS14" s="26">
        <f>VLOOKUP($A14,tabCustoUnit[],COLUMN(CUSTO_GLOBAL[[#Headers],[PIS]])-2,0)</f>
        <v>1.9241982507288629E-2</v>
      </c>
      <c r="BT14" s="28">
        <f>VLOOKUP($A14,tabCustoUnit[],COLUMN(CUSTO_GLOBAL[[#Headers],[ISS]])-2,0)</f>
        <v>0.05</v>
      </c>
      <c r="BU14" s="26">
        <f>VLOOKUP($A14,tabCustoUnit[],COLUMN(CUSTO_GLOBAL[[#Headers],[ISS (Conversão Alíquota s/ fatura)]])-2,0)</f>
        <v>5.8309037900874633E-2</v>
      </c>
      <c r="BV14" s="26">
        <f>VLOOKUP($A14,tabCustoUnit[],COLUMN(CUSTO_GLOBAL[[#Headers],[Resumo de Alíquotas (PIS+CONFINS+ISS)]])-2,0)</f>
        <v>0.14250000000000002</v>
      </c>
      <c r="BW14" s="138">
        <f>VLOOKUP($A14,tabCustoUnit[],COLUMN(CUSTO_GLOBAL[[#Headers],[PIS + COFINS + ISS (Total Conversão  Alíquota s/ Fatura)]])-2,0)</f>
        <v>0.16618075801749277</v>
      </c>
      <c r="BX14" s="22" t="e">
        <f ca="1">VLOOKUP($A14,tabCustoUnit[],COLUMN(CUSTO_GLOBAL[[#Headers],[Valor dos Tributos (ISS, PIS, CONFINS)]])-2,0)*($G14-$H14)</f>
        <v>#NAME?</v>
      </c>
      <c r="BY14" s="22" t="e">
        <f ca="1">VLOOKUP($A14,tabCustoUnit[],COLUMN(CUSTO_GLOBAL[[#Headers],[MÓDULO 6 – CUSTOS INDIRETOS, TRIBUTOS E LUCRO]])-2,0)*($G14-$H14)</f>
        <v>#NAME?</v>
      </c>
      <c r="BZ14" s="22" t="e">
        <f ca="1">VLOOKUP($A14,tabCustoUnit[],COLUMN(CUSTO_GLOBAL[[#Headers],[CUSTO TOTAL MENSAL]])-2,0)*($G14-$H14)</f>
        <v>#NAME?</v>
      </c>
      <c r="CA14" s="22" t="e">
        <f ca="1">CUSTO_GLOBAL[[#This Row],[CUSTO TOTAL MENSAL]]*12</f>
        <v>#NAME?</v>
      </c>
      <c r="CB14" s="24">
        <f>VLOOKUP($A14,tabCustoUnit[],COLUMN(CUSTO_GLOBAL[[#Headers],[ANO DA CCT]])-2,0)</f>
        <v>45658</v>
      </c>
      <c r="CC14" s="25" t="str">
        <f>VLOOKUP($A14,tabCustoUnit[],COLUMN(CUSTO_GLOBAL[[#Headers],[Nº DE PEDIDO DA CCT]])-2,0)</f>
        <v>-</v>
      </c>
      <c r="CD14" s="25" t="str">
        <f>VLOOKUP($A14,tabCustoUnit[],COLUMN(CUSTO_GLOBAL[[#Headers],[TERMO ADITIVO ALTERAÇÃO DA CCT]])-2,0)</f>
        <v>-</v>
      </c>
    </row>
    <row r="15" spans="1:82">
      <c r="A15" s="20" t="s">
        <v>1404</v>
      </c>
      <c r="B15" t="s">
        <v>1098</v>
      </c>
      <c r="C15" t="s">
        <v>200</v>
      </c>
      <c r="D15" t="s">
        <v>899</v>
      </c>
      <c r="E15" s="20" t="s">
        <v>1090</v>
      </c>
      <c r="F15" s="20" t="s">
        <v>120</v>
      </c>
      <c r="G15" s="20">
        <v>3</v>
      </c>
      <c r="H15" s="20">
        <v>0</v>
      </c>
      <c r="I15" s="21">
        <f>VLOOKUP($A15,tabCustoUnit[],COLUMN(CUSTO_GLOBAL[[#Headers],[Salário Base]])-2,0)*($G15-$H15)</f>
        <v>4788.8213999999998</v>
      </c>
      <c r="J15" s="21">
        <f>VLOOKUP($A15,tabCustoUnit[],COLUMN(CUSTO_GLOBAL[[#Headers],[Adicional Periculosidade]])-2,0)*($G15-$H15)</f>
        <v>0</v>
      </c>
      <c r="K15" s="21">
        <f>VLOOKUP($A15,tabCustoUnit[],COLUMN(CUSTO_GLOBAL[[#Headers],[Adicional Insalubridade]])-2,0)*($G15-$H15)</f>
        <v>0</v>
      </c>
      <c r="L15" s="21">
        <f>VLOOKUP($A15,tabCustoUnit[],COLUMN(CUSTO_GLOBAL[[#Headers],[Adicional Noturno]])-2,0)*($G15-$H15)</f>
        <v>0</v>
      </c>
      <c r="M15" s="21">
        <f>VLOOKUP($A15,tabCustoUnit[],COLUMN(CUSTO_GLOBAL[[#Headers],[Adicional Motorista II (Gratificação)]])-2,0)*($G15-$H15)</f>
        <v>0</v>
      </c>
      <c r="N15" s="21">
        <f>VLOOKUP($A15,tabCustoUnit[],COLUMN(CUSTO_GLOBAL[[#Headers],[Adicional de Sobreaviso]])-2,0)*($G15-$H15)</f>
        <v>0</v>
      </c>
      <c r="O15" s="21">
        <f>VLOOKUP($A15,tabCustoUnit[],COLUMN(CUSTO_GLOBAL[[#Headers],[Horas Extras TI]])-2,0)*($G15-$H15)</f>
        <v>0</v>
      </c>
      <c r="P15" s="21">
        <f>VLOOKUP($A15,tabCustoUnit[],COLUMN(CUSTO_GLOBAL[[#Headers],[Adicional de Acúmulo de função]])-2,0)*($G15-$H15)</f>
        <v>0</v>
      </c>
      <c r="Q15" s="21">
        <f>VLOOKUP($A15,tabCustoUnit[],COLUMN(CUSTO_GLOBAL[[#Headers],[MODULO 1 - REMUNERAÇÃO ]])-2,0)*($G15-$H15)</f>
        <v>4788.8213999999998</v>
      </c>
      <c r="R15" s="21">
        <f>VLOOKUP($A15,tabCustoUnit[],COLUMN(CUSTO_GLOBAL[[#Headers],[INSS]])-2,0)*($G15-$H15)</f>
        <v>957.7642800000001</v>
      </c>
      <c r="S15" s="21">
        <f>VLOOKUP($A15,tabCustoUnit[],COLUMN(CUSTO_GLOBAL[[#Headers],[SESI OU SESC]])-2,0)*($G15-$H15)</f>
        <v>71.832320999999993</v>
      </c>
      <c r="T15" s="21">
        <f>VLOOKUP($A15,tabCustoUnit[],COLUMN(CUSTO_GLOBAL[[#Headers],[SENAI OU SENAC]])-2,0)*($G15-$H15)</f>
        <v>47.888213999999998</v>
      </c>
      <c r="U15" s="21">
        <f>VLOOKUP($A15,tabCustoUnit[],COLUMN(CUSTO_GLOBAL[[#Headers],[INCRA]])-2,0)*($G15-$H15)</f>
        <v>9.5776427999999996</v>
      </c>
      <c r="V15" s="21">
        <f>VLOOKUP($A15,tabCustoUnit[],COLUMN(CUSTO_GLOBAL[[#Headers],[Salário Educação]])-2,0)*($G15-$H15)</f>
        <v>119.72053500000001</v>
      </c>
      <c r="W15" s="21">
        <f>VLOOKUP($A15,tabCustoUnit[],COLUMN(CUSTO_GLOBAL[[#Headers],[FGTS]])-2,0)*($G15-$H15)</f>
        <v>383.10571199999998</v>
      </c>
      <c r="X15" s="21">
        <f>VLOOKUP($A15,tabCustoUnit[],COLUMN(CUSTO_GLOBAL[[#Headers],[RAT Ajustado]])-2,0)*($G15-$H15)</f>
        <v>191.55285599999999</v>
      </c>
      <c r="Y15" s="21">
        <f>VLOOKUP($A15,tabCustoUnit[],COLUMN(CUSTO_GLOBAL[[#Headers],[SEBRAE]])-2,0)*($G15-$H15)</f>
        <v>28.732928399999999</v>
      </c>
      <c r="Z15" s="21">
        <f>VLOOKUP($A15,tabCustoUnit[],COLUMN(CUSTO_GLOBAL[[#Headers],[Submódulo 2.1]])-2,0)*($G15-$H15)</f>
        <v>1810.1744892000002</v>
      </c>
      <c r="AA15" s="21">
        <f>VLOOKUP($A15,tabCustoUnit[],COLUMN(CUSTO_GLOBAL[[#Headers],[13º salário (titular)]])-2,0)*($G15-$H15)</f>
        <v>399.06844999999993</v>
      </c>
      <c r="AB15" s="21">
        <f>VLOOKUP($A15,tabCustoUnit[],COLUMN(CUSTO_GLOBAL[[#Headers],[Férias e Adicional de Férias (titular)]])-2,0)*($G15-$H15)</f>
        <v>532.09126666666657</v>
      </c>
      <c r="AC15" s="21">
        <f>VLOOKUP($A15,tabCustoUnit[],COLUMN(CUSTO_GLOBAL[[#Headers],[Incidência do Submódulo 2.1 sobre 13º Salário, Férias e Adicional de Férias]])-2,0)*($G15-$H15)</f>
        <v>351.97837290000001</v>
      </c>
      <c r="AD15" s="21">
        <f>VLOOKUP($A15,tabCustoUnit[],COLUMN(CUSTO_GLOBAL[[#Headers],[Submódulo 2.2]])-2,0)*($G15-$H15)</f>
        <v>1283.1380895666666</v>
      </c>
      <c r="AE15" s="22" t="e">
        <f ca="1">VLOOKUP($A15,tabCustoUnit[],COLUMN(CUSTO_GLOBAL[[#Headers],[Vale - Transporte (Descontada parcela do empregado)]])-2,0)*($G15-$H15)</f>
        <v>#NAME?</v>
      </c>
      <c r="AF15" s="22">
        <f>VLOOKUP($A15,tabCustoUnit[],COLUMN(CUSTO_GLOBAL[[#Headers],[Vale - Alimentação (Descontada parcela do empregado)]])-2,0)*($G15-$H15)</f>
        <v>0</v>
      </c>
      <c r="AG15" s="22">
        <f>VLOOKUP($A15,tabCustoUnit[],COLUMN(CUSTO_GLOBAL[[#Headers],[Cesta Básica]])-2,0)*($G15-$H15)</f>
        <v>1163.3700000000001</v>
      </c>
      <c r="AH15" s="22">
        <f>VLOOKUP($A15,tabCustoUnit[],COLUMN(CUSTO_GLOBAL[[#Headers],[PAF]])-2,0)*($G15-$H15)</f>
        <v>128.91</v>
      </c>
      <c r="AI15" s="22">
        <f>VLOOKUP($A15,tabCustoUnit[],COLUMN(CUSTO_GLOBAL[[#Headers],[PQM]])-2,0)*($G15-$H15)</f>
        <v>0</v>
      </c>
      <c r="AJ15" s="22">
        <v>0</v>
      </c>
      <c r="AK15" s="22">
        <f>VLOOKUP($A15,tabCustoUnit[],COLUMN(CUSTO_GLOBAL[[#Headers],[Seguro de Vida]])-2,0)*($G15-$H15)</f>
        <v>10.08</v>
      </c>
      <c r="AL15" s="22">
        <f>VLOOKUP($A15,tabCustoUnit[],COLUMN(CUSTO_GLOBAL[[#Headers],[Despesas de Viagem]])-2,0)*($G15-$H15)</f>
        <v>0</v>
      </c>
      <c r="AM15" s="22" t="e">
        <f ca="1">VLOOKUP($A15,tabCustoUnit[],COLUMN(CUSTO_GLOBAL[[#Headers],[Submódulo 2.3]])-2,0)*($G15-$H15)</f>
        <v>#NAME?</v>
      </c>
      <c r="AN15" s="22" t="e">
        <f ca="1">VLOOKUP($A15,tabCustoUnit[],COLUMN(CUSTO_GLOBAL[[#Headers],[MÓDULO 2 - Total Encargos e Benefícios mensais e diários]])-2,0)*($G15-$H15)</f>
        <v>#NAME?</v>
      </c>
      <c r="AO15" s="22">
        <f>VLOOKUP($A15,tabCustoUnit[],COLUMN(CUSTO_GLOBAL[[#Headers],[Aviso Prévio Indenizado (API) e Reflexo do Aviso Prévio Indenizado]])-2,0)*($G15-$H15)</f>
        <v>33.578099743171293</v>
      </c>
      <c r="AP15" s="22">
        <f>VLOOKUP($A15,tabCustoUnit[],COLUMN(CUSTO_GLOBAL[[#Headers],[Incidência do FGTS sobre API e Reflexo do API]])-2,0)*($G15-$H15)</f>
        <v>2.6862479794537037</v>
      </c>
      <c r="AQ15" s="22">
        <f>VLOOKUP($A15,tabCustoUnit[],COLUMN(CUSTO_GLOBAL[[#Headers],[Multa Rescisória do FGTS sobre o Aviso Prévio Indenizado]])-2,0)*($G15-$H15)</f>
        <v>1.0744991917814817</v>
      </c>
      <c r="AR15" s="22">
        <f>VLOOKUP($A15,tabCustoUnit[],COLUMN(CUSTO_GLOBAL[[#Headers],[Aviso Prévio Trabalhado - APT]])-2,0)*($G15-$H15)</f>
        <v>16.760874900000005</v>
      </c>
      <c r="AS15" s="22">
        <f>VLOOKUP($A15,tabCustoUnit[],COLUMN(CUSTO_GLOBAL[[#Headers],[Incidência dos encargos do submódulo 2.1 sobre Aviso Prévio Trabalhado]])-2,0)*($G15-$H15)</f>
        <v>6.335610712200002</v>
      </c>
      <c r="AT15" s="22">
        <f>VLOOKUP($A15,tabCustoUnit[],COLUMN(CUSTO_GLOBAL[[#Headers],[Multa Rescisória do FGTS]])-2,0)*($G15-$H15)</f>
        <v>146.43151658666665</v>
      </c>
      <c r="AU15" s="22">
        <f>VLOOKUP($A15,tabCustoUnit[],COLUMN(CUSTO_GLOBAL[[#Headers],[Indenização Adicional (Art. 9º da Lei nº 7.238/84)]])-2,0)*($G15-$H15)</f>
        <v>3.9906845</v>
      </c>
      <c r="AV15" s="22">
        <f>VLOOKUP($A15,tabCustoUnit[],COLUMN(CUSTO_GLOBAL[[#Headers],[MÓDULO 3 – PROVISÃO PARA RESCISÃO]])-2,0)*($G15-$H15)</f>
        <v>210.85753361327312</v>
      </c>
      <c r="AW15" s="22">
        <f>VLOOKUP($A15,tabCustoUnit[],COLUMN(CUSTO_GLOBAL[[#Headers],[Ausência por Doença]])-2,0)*($G15-$H15)</f>
        <v>40.438936266666666</v>
      </c>
      <c r="AX15" s="22">
        <f>VLOOKUP($A15,tabCustoUnit[],COLUMN(CUSTO_GLOBAL[[#Headers],[Ausências Legais]])-2,0)*($G15-$H15)</f>
        <v>9.7106656166666667</v>
      </c>
      <c r="AY15" s="22">
        <f>VLOOKUP($A15,tabCustoUnit[],COLUMN(CUSTO_GLOBAL[[#Headers],[Licença Paternidade]])-2,0)*($G15-$H15)</f>
        <v>0.81809032250000002</v>
      </c>
      <c r="AZ15" s="22">
        <f>VLOOKUP($A15,tabCustoUnit[],COLUMN(CUSTO_GLOBAL[[#Headers],[Ausência por Acidente de Trabalho]])-2,0)*($G15-$H15)</f>
        <v>0.99767112499999999</v>
      </c>
      <c r="BA15" s="22">
        <f>VLOOKUP($A15,tabCustoUnit[],COLUMN(CUSTO_GLOBAL[[#Headers],[Férias, Adicional de Férias e 13º  com empregada em gozo de Licença Maternidade]])-2,0)*($G15-$H15)</f>
        <v>6.2077314444444429</v>
      </c>
      <c r="BB15" s="22">
        <f>VLOOKUP($A15,tabCustoUnit[],COLUMN(CUSTO_GLOBAL[[#Headers],[Incidência do Submódulo 2.1 sobre Ausências Legais]])-2,0)*($G15-$H15)</f>
        <v>21.989429825055005</v>
      </c>
      <c r="BC15" s="22">
        <f>VLOOKUP($A15,tabCustoUnit[],COLUMN(CUSTO_GLOBAL[[#Headers],[Submódulo 4.1]])-2,0)*($G15-$H15)</f>
        <v>80.162524600332802</v>
      </c>
      <c r="BD15" s="22">
        <f>VLOOKUP($A15,tabCustoUnit[],COLUMN(CUSTO_GLOBAL[[#Headers],[Intervalo para Repouso ou Alimentação]])-2,0)*($G15-$H15)</f>
        <v>0</v>
      </c>
      <c r="BE15" s="22">
        <f>VLOOKUP($A15,tabCustoUnit[],COLUMN(CUSTO_GLOBAL[[#Headers],[Submódulo 4.2]])-2,0)*($G15-$H15)</f>
        <v>0</v>
      </c>
      <c r="BF15" s="22">
        <f>VLOOKUP($A15,tabCustoUnit[],COLUMN(CUSTO_GLOBAL[[#Headers],[Suspensão Temporária do Contrato de Trabalho]])-2,0)*($G15-$H15)</f>
        <v>0</v>
      </c>
      <c r="BG15" s="22">
        <f>VLOOKUP($A15,tabCustoUnit[],COLUMN(CUSTO_GLOBAL[[#Headers],[Submódulo 4.3]])-2,0)*($G15-$H15)</f>
        <v>0</v>
      </c>
      <c r="BH15" s="22">
        <f>VLOOKUP($A15,tabCustoUnit[],COLUMN(CUSTO_GLOBAL[[#Headers],[MÓDULO 4 – CUSTO DE REPOSIÇÃO DO PROFISSIONAL AUSENTE]])-2,0)*($G15-$H15)</f>
        <v>80.162524600332802</v>
      </c>
      <c r="BI15" s="22">
        <f>VLOOKUP($A15,tabCustoUnit[],COLUMN(CUSTO_GLOBAL[[#Headers],[Uniformes e EPIs]])-2,0)*($G15-$H15)</f>
        <v>168.42514098596976</v>
      </c>
      <c r="BJ15" s="22">
        <f>VLOOKUP($A15,tabCustoUnit[],COLUMN(CUSTO_GLOBAL[[#Headers],[Materiais de Consumo]])-2,0)*($G15-$H15)</f>
        <v>0</v>
      </c>
      <c r="BK15" s="22">
        <f>VLOOKUP($A15,tabCustoUnit[],COLUMN(CUSTO_GLOBAL[[#Headers],[Máquinas e Equipamentos (depreciação)]])-2,0)*($G15-$H15)</f>
        <v>0</v>
      </c>
      <c r="BL15" s="22">
        <f>VLOOKUP($A15,tabCustoUnit[],COLUMN(CUSTO_GLOBAL[[#Headers],[Produtos de Limpeza e Materiais de Higiene Pessoal]])-2,0)*($G15-$H15)</f>
        <v>0</v>
      </c>
      <c r="BM15" s="22">
        <f>VLOOKUP($A15,tabCustoUnit[],COLUMN(CUSTO_GLOBAL[[#Headers],[Outros (especificar)]])-2,0)*($G15-$H15)</f>
        <v>0</v>
      </c>
      <c r="BN15" s="22">
        <f>VLOOKUP($A15,tabCustoUnit[],COLUMN(CUSTO_GLOBAL[[#Headers],[MÓDULO 5 – INSUMOS DIVERSOS]])-2,0)*($G15-$H15)</f>
        <v>168.42514098596976</v>
      </c>
      <c r="BO15" s="22" t="e">
        <f ca="1">VLOOKUP($A15,tabCustoUnit[],COLUMN(CUSTO_GLOBAL[[#Headers],[TOTAL MÓDULOS 1+2+3+4+5]])-2,0)*($G15-$H15)</f>
        <v>#NAME?</v>
      </c>
      <c r="BP15" s="22" t="e">
        <f ca="1">VLOOKUP($A15,tabCustoUnit[],COLUMN(CUSTO_GLOBAL[[#Headers],[Custos Indiretos]])-2,0)*($G15-$H15)</f>
        <v>#NAME?</v>
      </c>
      <c r="BQ15" s="22" t="e">
        <f ca="1">VLOOKUP($A15,tabCustoUnit[],COLUMN(CUSTO_GLOBAL[[#Headers],[Lucro]])-2,0)*($G15-$H15)</f>
        <v>#NAME?</v>
      </c>
      <c r="BR15" s="26">
        <f>VLOOKUP($A15,tabCustoUnit[],COLUMN(CUSTO_GLOBAL[[#Headers],[COFINS]])-2,0)</f>
        <v>8.6609686609686695E-2</v>
      </c>
      <c r="BS15" s="26">
        <f>VLOOKUP($A15,tabCustoUnit[],COLUMN(CUSTO_GLOBAL[[#Headers],[PIS]])-2,0)</f>
        <v>1.880341880341882E-2</v>
      </c>
      <c r="BT15" s="28">
        <f>VLOOKUP($A15,tabCustoUnit[],COLUMN(CUSTO_GLOBAL[[#Headers],[ISS]])-2,0)</f>
        <v>0.03</v>
      </c>
      <c r="BU15" s="26">
        <f>VLOOKUP($A15,tabCustoUnit[],COLUMN(CUSTO_GLOBAL[[#Headers],[ISS (Conversão Alíquota s/ fatura)]])-2,0)</f>
        <v>3.4188034188034219E-2</v>
      </c>
      <c r="BV15" s="26">
        <f>VLOOKUP($A15,tabCustoUnit[],COLUMN(CUSTO_GLOBAL[[#Headers],[Resumo de Alíquotas (PIS+CONFINS+ISS)]])-2,0)</f>
        <v>0.1225</v>
      </c>
      <c r="BW15" s="138">
        <f>VLOOKUP($A15,tabCustoUnit[],COLUMN(CUSTO_GLOBAL[[#Headers],[PIS + COFINS + ISS (Total Conversão  Alíquota s/ Fatura)]])-2,0)</f>
        <v>0.13960113960113973</v>
      </c>
      <c r="BX15" s="22" t="e">
        <f ca="1">VLOOKUP($A15,tabCustoUnit[],COLUMN(CUSTO_GLOBAL[[#Headers],[Valor dos Tributos (ISS, PIS, CONFINS)]])-2,0)*($G15-$H15)</f>
        <v>#NAME?</v>
      </c>
      <c r="BY15" s="22" t="e">
        <f ca="1">VLOOKUP($A15,tabCustoUnit[],COLUMN(CUSTO_GLOBAL[[#Headers],[MÓDULO 6 – CUSTOS INDIRETOS, TRIBUTOS E LUCRO]])-2,0)*($G15-$H15)</f>
        <v>#NAME?</v>
      </c>
      <c r="BZ15" s="22" t="e">
        <f ca="1">VLOOKUP($A15,tabCustoUnit[],COLUMN(CUSTO_GLOBAL[[#Headers],[CUSTO TOTAL MENSAL]])-2,0)*($G15-$H15)</f>
        <v>#NAME?</v>
      </c>
      <c r="CA15" s="22" t="e">
        <f ca="1">CUSTO_GLOBAL[[#This Row],[CUSTO TOTAL MENSAL]]*12</f>
        <v>#NAME?</v>
      </c>
      <c r="CB15" s="24">
        <f>VLOOKUP($A15,tabCustoUnit[],COLUMN(CUSTO_GLOBAL[[#Headers],[ANO DA CCT]])-2,0)</f>
        <v>45658</v>
      </c>
      <c r="CC15" s="25" t="str">
        <f>VLOOKUP($A15,tabCustoUnit[],COLUMN(CUSTO_GLOBAL[[#Headers],[Nº DE PEDIDO DA CCT]])-2,0)</f>
        <v>-</v>
      </c>
      <c r="CD15" s="25" t="str">
        <f>VLOOKUP($A15,tabCustoUnit[],COLUMN(CUSTO_GLOBAL[[#Headers],[TERMO ADITIVO ALTERAÇÃO DA CCT]])-2,0)</f>
        <v>-</v>
      </c>
    </row>
    <row r="16" spans="1:82">
      <c r="A16" s="20" t="s">
        <v>1538</v>
      </c>
      <c r="B16" t="s">
        <v>1098</v>
      </c>
      <c r="C16" t="s">
        <v>324</v>
      </c>
      <c r="D16" t="s">
        <v>899</v>
      </c>
      <c r="E16" s="20" t="s">
        <v>1090</v>
      </c>
      <c r="F16" s="20" t="s">
        <v>120</v>
      </c>
      <c r="G16" s="20">
        <v>1</v>
      </c>
      <c r="H16" s="20">
        <v>0</v>
      </c>
      <c r="I16" s="21">
        <f>VLOOKUP($A16,tabCustoUnit[],COLUMN(CUSTO_GLOBAL[[#Headers],[Salário Base]])-2,0)*($G16-$H16)</f>
        <v>3397.1305000000002</v>
      </c>
      <c r="J16" s="21">
        <f>VLOOKUP($A16,tabCustoUnit[],COLUMN(CUSTO_GLOBAL[[#Headers],[Adicional Periculosidade]])-2,0)*($G16-$H16)</f>
        <v>0</v>
      </c>
      <c r="K16" s="21">
        <f>VLOOKUP($A16,tabCustoUnit[],COLUMN(CUSTO_GLOBAL[[#Headers],[Adicional Insalubridade]])-2,0)*($G16-$H16)</f>
        <v>0</v>
      </c>
      <c r="L16" s="21">
        <f>VLOOKUP($A16,tabCustoUnit[],COLUMN(CUSTO_GLOBAL[[#Headers],[Adicional Noturno]])-2,0)*($G16-$H16)</f>
        <v>0</v>
      </c>
      <c r="M16" s="21">
        <f>VLOOKUP($A16,tabCustoUnit[],COLUMN(CUSTO_GLOBAL[[#Headers],[Adicional Motorista II (Gratificação)]])-2,0)*($G16-$H16)</f>
        <v>0</v>
      </c>
      <c r="N16" s="21">
        <f>VLOOKUP($A16,tabCustoUnit[],COLUMN(CUSTO_GLOBAL[[#Headers],[Adicional de Sobreaviso]])-2,0)*($G16-$H16)</f>
        <v>0</v>
      </c>
      <c r="O16" s="21">
        <f>VLOOKUP($A16,tabCustoUnit[],COLUMN(CUSTO_GLOBAL[[#Headers],[Horas Extras TI]])-2,0)*($G16-$H16)</f>
        <v>0</v>
      </c>
      <c r="P16" s="21">
        <f>VLOOKUP($A16,tabCustoUnit[],COLUMN(CUSTO_GLOBAL[[#Headers],[Adicional de Acúmulo de função]])-2,0)*($G16-$H16)</f>
        <v>0</v>
      </c>
      <c r="Q16" s="21">
        <f>VLOOKUP($A16,tabCustoUnit[],COLUMN(CUSTO_GLOBAL[[#Headers],[MODULO 1 - REMUNERAÇÃO ]])-2,0)*($G16-$H16)</f>
        <v>3397.1305000000002</v>
      </c>
      <c r="R16" s="21">
        <f>VLOOKUP($A16,tabCustoUnit[],COLUMN(CUSTO_GLOBAL[[#Headers],[INSS]])-2,0)*($G16-$H16)</f>
        <v>679.42610000000013</v>
      </c>
      <c r="S16" s="21">
        <f>VLOOKUP($A16,tabCustoUnit[],COLUMN(CUSTO_GLOBAL[[#Headers],[SESI OU SESC]])-2,0)*($G16-$H16)</f>
        <v>50.956957500000001</v>
      </c>
      <c r="T16" s="21">
        <f>VLOOKUP($A16,tabCustoUnit[],COLUMN(CUSTO_GLOBAL[[#Headers],[SENAI OU SENAC]])-2,0)*($G16-$H16)</f>
        <v>33.971305000000001</v>
      </c>
      <c r="U16" s="21">
        <f>VLOOKUP($A16,tabCustoUnit[],COLUMN(CUSTO_GLOBAL[[#Headers],[INCRA]])-2,0)*($G16-$H16)</f>
        <v>6.7942610000000005</v>
      </c>
      <c r="V16" s="21">
        <f>VLOOKUP($A16,tabCustoUnit[],COLUMN(CUSTO_GLOBAL[[#Headers],[Salário Educação]])-2,0)*($G16-$H16)</f>
        <v>84.928262500000017</v>
      </c>
      <c r="W16" s="21">
        <f>VLOOKUP($A16,tabCustoUnit[],COLUMN(CUSTO_GLOBAL[[#Headers],[FGTS]])-2,0)*($G16-$H16)</f>
        <v>271.77044000000001</v>
      </c>
      <c r="X16" s="21">
        <f>VLOOKUP($A16,tabCustoUnit[],COLUMN(CUSTO_GLOBAL[[#Headers],[RAT Ajustado]])-2,0)*($G16-$H16)</f>
        <v>135.88522</v>
      </c>
      <c r="Y16" s="21">
        <f>VLOOKUP($A16,tabCustoUnit[],COLUMN(CUSTO_GLOBAL[[#Headers],[SEBRAE]])-2,0)*($G16-$H16)</f>
        <v>20.382783000000003</v>
      </c>
      <c r="Z16" s="21">
        <f>VLOOKUP($A16,tabCustoUnit[],COLUMN(CUSTO_GLOBAL[[#Headers],[Submódulo 2.1]])-2,0)*($G16-$H16)</f>
        <v>1284.1153290000002</v>
      </c>
      <c r="AA16" s="21">
        <f>VLOOKUP($A16,tabCustoUnit[],COLUMN(CUSTO_GLOBAL[[#Headers],[13º salário (titular)]])-2,0)*($G16-$H16)</f>
        <v>283.09420833333331</v>
      </c>
      <c r="AB16" s="21">
        <f>VLOOKUP($A16,tabCustoUnit[],COLUMN(CUSTO_GLOBAL[[#Headers],[Férias e Adicional de Férias (titular)]])-2,0)*($G16-$H16)</f>
        <v>377.45894444444446</v>
      </c>
      <c r="AC16" s="21">
        <f>VLOOKUP($A16,tabCustoUnit[],COLUMN(CUSTO_GLOBAL[[#Headers],[Incidência do Submódulo 2.1 sobre 13º Salário, Férias e Adicional de Férias]])-2,0)*($G16-$H16)</f>
        <v>249.68909175000005</v>
      </c>
      <c r="AD16" s="21">
        <f>VLOOKUP($A16,tabCustoUnit[],COLUMN(CUSTO_GLOBAL[[#Headers],[Submódulo 2.2]])-2,0)*($G16-$H16)</f>
        <v>910.24224452777776</v>
      </c>
      <c r="AE16" s="22" t="e">
        <f ca="1">VLOOKUP($A16,tabCustoUnit[],COLUMN(CUSTO_GLOBAL[[#Headers],[Vale - Transporte (Descontada parcela do empregado)]])-2,0)*($G16-$H16)</f>
        <v>#NAME?</v>
      </c>
      <c r="AF16" s="22">
        <f>VLOOKUP($A16,tabCustoUnit[],COLUMN(CUSTO_GLOBAL[[#Headers],[Vale - Alimentação (Descontada parcela do empregado)]])-2,0)*($G16-$H16)</f>
        <v>0</v>
      </c>
      <c r="AG16" s="22">
        <f>VLOOKUP($A16,tabCustoUnit[],COLUMN(CUSTO_GLOBAL[[#Headers],[Cesta Básica]])-2,0)*($G16-$H16)</f>
        <v>387.79</v>
      </c>
      <c r="AH16" s="22">
        <f>VLOOKUP($A16,tabCustoUnit[],COLUMN(CUSTO_GLOBAL[[#Headers],[PAF]])-2,0)*($G16-$H16)</f>
        <v>42.97</v>
      </c>
      <c r="AI16" s="22">
        <f>VLOOKUP($A16,tabCustoUnit[],COLUMN(CUSTO_GLOBAL[[#Headers],[PQM]])-2,0)*($G16-$H16)</f>
        <v>0</v>
      </c>
      <c r="AJ16" s="22">
        <v>0</v>
      </c>
      <c r="AK16" s="22">
        <f>VLOOKUP($A16,tabCustoUnit[],COLUMN(CUSTO_GLOBAL[[#Headers],[Seguro de Vida]])-2,0)*($G16-$H16)</f>
        <v>3.36</v>
      </c>
      <c r="AL16" s="22">
        <f>VLOOKUP($A16,tabCustoUnit[],COLUMN(CUSTO_GLOBAL[[#Headers],[Despesas de Viagem]])-2,0)*($G16-$H16)</f>
        <v>0</v>
      </c>
      <c r="AM16" s="22" t="e">
        <f ca="1">VLOOKUP($A16,tabCustoUnit[],COLUMN(CUSTO_GLOBAL[[#Headers],[Submódulo 2.3]])-2,0)*($G16-$H16)</f>
        <v>#NAME?</v>
      </c>
      <c r="AN16" s="22" t="e">
        <f ca="1">VLOOKUP($A16,tabCustoUnit[],COLUMN(CUSTO_GLOBAL[[#Headers],[MÓDULO 2 - Total Encargos e Benefícios mensais e diários]])-2,0)*($G16-$H16)</f>
        <v>#NAME?</v>
      </c>
      <c r="AO16" s="22">
        <f>VLOOKUP($A16,tabCustoUnit[],COLUMN(CUSTO_GLOBAL[[#Headers],[Aviso Prévio Indenizado (API) e Reflexo do Aviso Prévio Indenizado]])-2,0)*($G16-$H16)</f>
        <v>23.819887450713736</v>
      </c>
      <c r="AP16" s="22">
        <f>VLOOKUP($A16,tabCustoUnit[],COLUMN(CUSTO_GLOBAL[[#Headers],[Incidência do FGTS sobre API e Reflexo do API]])-2,0)*($G16-$H16)</f>
        <v>1.9055909960570991</v>
      </c>
      <c r="AQ16" s="22">
        <f>VLOOKUP($A16,tabCustoUnit[],COLUMN(CUSTO_GLOBAL[[#Headers],[Multa Rescisória do FGTS sobre o Aviso Prévio Indenizado]])-2,0)*($G16-$H16)</f>
        <v>0.76223639842283974</v>
      </c>
      <c r="AR16" s="22">
        <f>VLOOKUP($A16,tabCustoUnit[],COLUMN(CUSTO_GLOBAL[[#Headers],[Aviso Prévio Trabalhado - APT]])-2,0)*($G16-$H16)</f>
        <v>11.889956750000003</v>
      </c>
      <c r="AS16" s="22">
        <f>VLOOKUP($A16,tabCustoUnit[],COLUMN(CUSTO_GLOBAL[[#Headers],[Incidência dos encargos do submódulo 2.1 sobre Aviso Prévio Trabalhado]])-2,0)*($G16-$H16)</f>
        <v>4.4944036515000017</v>
      </c>
      <c r="AT16" s="22">
        <f>VLOOKUP($A16,tabCustoUnit[],COLUMN(CUSTO_GLOBAL[[#Headers],[Multa Rescisória do FGTS]])-2,0)*($G16-$H16)</f>
        <v>103.87670151111111</v>
      </c>
      <c r="AU16" s="22">
        <f>VLOOKUP($A16,tabCustoUnit[],COLUMN(CUSTO_GLOBAL[[#Headers],[Indenização Adicional (Art. 9º da Lei nº 7.238/84)]])-2,0)*($G16-$H16)</f>
        <v>2.8309420833333339</v>
      </c>
      <c r="AV16" s="22">
        <f>VLOOKUP($A16,tabCustoUnit[],COLUMN(CUSTO_GLOBAL[[#Headers],[MÓDULO 3 – PROVISÃO PARA RESCISÃO]])-2,0)*($G16-$H16)</f>
        <v>149.57971884113812</v>
      </c>
      <c r="AW16" s="22">
        <f>VLOOKUP($A16,tabCustoUnit[],COLUMN(CUSTO_GLOBAL[[#Headers],[Ausência por Doença]])-2,0)*($G16-$H16)</f>
        <v>28.686879777777776</v>
      </c>
      <c r="AX16" s="22">
        <f>VLOOKUP($A16,tabCustoUnit[],COLUMN(CUSTO_GLOBAL[[#Headers],[Ausências Legais]])-2,0)*($G16-$H16)</f>
        <v>6.888625736111111</v>
      </c>
      <c r="AY16" s="22">
        <f>VLOOKUP($A16,tabCustoUnit[],COLUMN(CUSTO_GLOBAL[[#Headers],[Licença Paternidade]])-2,0)*($G16-$H16)</f>
        <v>0.58034312708333335</v>
      </c>
      <c r="AZ16" s="22">
        <f>VLOOKUP($A16,tabCustoUnit[],COLUMN(CUSTO_GLOBAL[[#Headers],[Ausência por Acidente de Trabalho]])-2,0)*($G16-$H16)</f>
        <v>0.70773552083333346</v>
      </c>
      <c r="BA16" s="22">
        <f>VLOOKUP($A16,tabCustoUnit[],COLUMN(CUSTO_GLOBAL[[#Headers],[Férias, Adicional de Férias e 13º  com empregada em gozo de Licença Maternidade]])-2,0)*($G16-$H16)</f>
        <v>4.4036876851851856</v>
      </c>
      <c r="BB16" s="22">
        <f>VLOOKUP($A16,tabCustoUnit[],COLUMN(CUSTO_GLOBAL[[#Headers],[Incidência do Submódulo 2.1 sobre Ausências Legais]])-2,0)*($G16-$H16)</f>
        <v>15.599028758162504</v>
      </c>
      <c r="BC16" s="22">
        <f>VLOOKUP($A16,tabCustoUnit[],COLUMN(CUSTO_GLOBAL[[#Headers],[Submódulo 4.1]])-2,0)*($G16-$H16)</f>
        <v>56.866300605153235</v>
      </c>
      <c r="BD16" s="22">
        <f>VLOOKUP($A16,tabCustoUnit[],COLUMN(CUSTO_GLOBAL[[#Headers],[Intervalo para Repouso ou Alimentação]])-2,0)*($G16-$H16)</f>
        <v>0</v>
      </c>
      <c r="BE16" s="22">
        <f>VLOOKUP($A16,tabCustoUnit[],COLUMN(CUSTO_GLOBAL[[#Headers],[Submódulo 4.2]])-2,0)*($G16-$H16)</f>
        <v>0</v>
      </c>
      <c r="BF16" s="22">
        <f>VLOOKUP($A16,tabCustoUnit[],COLUMN(CUSTO_GLOBAL[[#Headers],[Suspensão Temporária do Contrato de Trabalho]])-2,0)*($G16-$H16)</f>
        <v>0</v>
      </c>
      <c r="BG16" s="22">
        <f>VLOOKUP($A16,tabCustoUnit[],COLUMN(CUSTO_GLOBAL[[#Headers],[Submódulo 4.3]])-2,0)*($G16-$H16)</f>
        <v>0</v>
      </c>
      <c r="BH16" s="22">
        <f>VLOOKUP($A16,tabCustoUnit[],COLUMN(CUSTO_GLOBAL[[#Headers],[MÓDULO 4 – CUSTO DE REPOSIÇÃO DO PROFISSIONAL AUSENTE]])-2,0)*($G16-$H16)</f>
        <v>56.866300605153235</v>
      </c>
      <c r="BI16" s="22">
        <f>VLOOKUP($A16,tabCustoUnit[],COLUMN(CUSTO_GLOBAL[[#Headers],[Uniformes e EPIs]])-2,0)*($G16-$H16)</f>
        <v>56.642978962543395</v>
      </c>
      <c r="BJ16" s="22">
        <f>VLOOKUP($A16,tabCustoUnit[],COLUMN(CUSTO_GLOBAL[[#Headers],[Materiais de Consumo]])-2,0)*($G16-$H16)</f>
        <v>0</v>
      </c>
      <c r="BK16" s="22">
        <f>VLOOKUP($A16,tabCustoUnit[],COLUMN(CUSTO_GLOBAL[[#Headers],[Máquinas e Equipamentos (depreciação)]])-2,0)*($G16-$H16)</f>
        <v>0</v>
      </c>
      <c r="BL16" s="22">
        <f>VLOOKUP($A16,tabCustoUnit[],COLUMN(CUSTO_GLOBAL[[#Headers],[Produtos de Limpeza e Materiais de Higiene Pessoal]])-2,0)*($G16-$H16)</f>
        <v>0</v>
      </c>
      <c r="BM16" s="22">
        <f>VLOOKUP($A16,tabCustoUnit[],COLUMN(CUSTO_GLOBAL[[#Headers],[Outros (especificar)]])-2,0)*($G16-$H16)</f>
        <v>0</v>
      </c>
      <c r="BN16" s="22">
        <f>VLOOKUP($A16,tabCustoUnit[],COLUMN(CUSTO_GLOBAL[[#Headers],[MÓDULO 5 – INSUMOS DIVERSOS]])-2,0)*($G16-$H16)</f>
        <v>56.642978962543395</v>
      </c>
      <c r="BO16" s="22" t="e">
        <f ca="1">VLOOKUP($A16,tabCustoUnit[],COLUMN(CUSTO_GLOBAL[[#Headers],[TOTAL MÓDULOS 1+2+3+4+5]])-2,0)*($G16-$H16)</f>
        <v>#NAME?</v>
      </c>
      <c r="BP16" s="22" t="e">
        <f ca="1">VLOOKUP($A16,tabCustoUnit[],COLUMN(CUSTO_GLOBAL[[#Headers],[Custos Indiretos]])-2,0)*($G16-$H16)</f>
        <v>#NAME?</v>
      </c>
      <c r="BQ16" s="22" t="e">
        <f ca="1">VLOOKUP($A16,tabCustoUnit[],COLUMN(CUSTO_GLOBAL[[#Headers],[Lucro]])-2,0)*($G16-$H16)</f>
        <v>#NAME?</v>
      </c>
      <c r="BR16" s="26">
        <f>VLOOKUP($A16,tabCustoUnit[],COLUMN(CUSTO_GLOBAL[[#Headers],[COFINS]])-2,0)</f>
        <v>8.6609686609686695E-2</v>
      </c>
      <c r="BS16" s="26">
        <f>VLOOKUP($A16,tabCustoUnit[],COLUMN(CUSTO_GLOBAL[[#Headers],[PIS]])-2,0)</f>
        <v>1.880341880341882E-2</v>
      </c>
      <c r="BT16" s="28">
        <f>VLOOKUP($A16,tabCustoUnit[],COLUMN(CUSTO_GLOBAL[[#Headers],[ISS]])-2,0)</f>
        <v>0.03</v>
      </c>
      <c r="BU16" s="26">
        <f>VLOOKUP($A16,tabCustoUnit[],COLUMN(CUSTO_GLOBAL[[#Headers],[ISS (Conversão Alíquota s/ fatura)]])-2,0)</f>
        <v>3.4188034188034219E-2</v>
      </c>
      <c r="BV16" s="26">
        <f>VLOOKUP($A16,tabCustoUnit[],COLUMN(CUSTO_GLOBAL[[#Headers],[Resumo de Alíquotas (PIS+CONFINS+ISS)]])-2,0)</f>
        <v>0.1225</v>
      </c>
      <c r="BW16" s="138">
        <f>VLOOKUP($A16,tabCustoUnit[],COLUMN(CUSTO_GLOBAL[[#Headers],[PIS + COFINS + ISS (Total Conversão  Alíquota s/ Fatura)]])-2,0)</f>
        <v>0.13960113960113973</v>
      </c>
      <c r="BX16" s="22" t="e">
        <f ca="1">VLOOKUP($A16,tabCustoUnit[],COLUMN(CUSTO_GLOBAL[[#Headers],[Valor dos Tributos (ISS, PIS, CONFINS)]])-2,0)*($G16-$H16)</f>
        <v>#NAME?</v>
      </c>
      <c r="BY16" s="22" t="e">
        <f ca="1">VLOOKUP($A16,tabCustoUnit[],COLUMN(CUSTO_GLOBAL[[#Headers],[MÓDULO 6 – CUSTOS INDIRETOS, TRIBUTOS E LUCRO]])-2,0)*($G16-$H16)</f>
        <v>#NAME?</v>
      </c>
      <c r="BZ16" s="22" t="e">
        <f ca="1">VLOOKUP($A16,tabCustoUnit[],COLUMN(CUSTO_GLOBAL[[#Headers],[CUSTO TOTAL MENSAL]])-2,0)*($G16-$H16)</f>
        <v>#NAME?</v>
      </c>
      <c r="CA16" s="22" t="e">
        <f ca="1">CUSTO_GLOBAL[[#This Row],[CUSTO TOTAL MENSAL]]*12</f>
        <v>#NAME?</v>
      </c>
      <c r="CB16" s="24">
        <f>VLOOKUP($A16,tabCustoUnit[],COLUMN(CUSTO_GLOBAL[[#Headers],[ANO DA CCT]])-2,0)</f>
        <v>45658</v>
      </c>
      <c r="CC16" s="25" t="str">
        <f>VLOOKUP($A16,tabCustoUnit[],COLUMN(CUSTO_GLOBAL[[#Headers],[Nº DE PEDIDO DA CCT]])-2,0)</f>
        <v>-</v>
      </c>
      <c r="CD16" s="25" t="str">
        <f>VLOOKUP($A16,tabCustoUnit[],COLUMN(CUSTO_GLOBAL[[#Headers],[TERMO ADITIVO ALTERAÇÃO DA CCT]])-2,0)</f>
        <v>-</v>
      </c>
    </row>
    <row r="17" spans="1:82">
      <c r="A17" s="20" t="s">
        <v>1539</v>
      </c>
      <c r="B17" t="s">
        <v>902</v>
      </c>
      <c r="C17" t="s">
        <v>274</v>
      </c>
      <c r="D17" t="s">
        <v>972</v>
      </c>
      <c r="E17" s="20" t="s">
        <v>1090</v>
      </c>
      <c r="F17" s="20" t="s">
        <v>120</v>
      </c>
      <c r="G17" s="20">
        <v>1</v>
      </c>
      <c r="H17" s="20">
        <v>0</v>
      </c>
      <c r="I17" s="21">
        <f>VLOOKUP($A17,tabCustoUnit[],COLUMN(CUSTO_GLOBAL[[#Headers],[Salário Base]])-2,0)*($G17-$H17)</f>
        <v>4380.5699000000004</v>
      </c>
      <c r="J17" s="21">
        <f>VLOOKUP($A17,tabCustoUnit[],COLUMN(CUSTO_GLOBAL[[#Headers],[Adicional Periculosidade]])-2,0)*($G17-$H17)</f>
        <v>0</v>
      </c>
      <c r="K17" s="21">
        <f>VLOOKUP($A17,tabCustoUnit[],COLUMN(CUSTO_GLOBAL[[#Headers],[Adicional Insalubridade]])-2,0)*($G17-$H17)</f>
        <v>0</v>
      </c>
      <c r="L17" s="21">
        <f>VLOOKUP($A17,tabCustoUnit[],COLUMN(CUSTO_GLOBAL[[#Headers],[Adicional Noturno]])-2,0)*($G17-$H17)</f>
        <v>0</v>
      </c>
      <c r="M17" s="21">
        <f>VLOOKUP($A17,tabCustoUnit[],COLUMN(CUSTO_GLOBAL[[#Headers],[Adicional Motorista II (Gratificação)]])-2,0)*($G17-$H17)</f>
        <v>0</v>
      </c>
      <c r="N17" s="21">
        <f>VLOOKUP($A17,tabCustoUnit[],COLUMN(CUSTO_GLOBAL[[#Headers],[Adicional de Sobreaviso]])-2,0)*($G17-$H17)</f>
        <v>0</v>
      </c>
      <c r="O17" s="21">
        <f>VLOOKUP($A17,tabCustoUnit[],COLUMN(CUSTO_GLOBAL[[#Headers],[Horas Extras TI]])-2,0)*($G17-$H17)</f>
        <v>0</v>
      </c>
      <c r="P17" s="21">
        <f>VLOOKUP($A17,tabCustoUnit[],COLUMN(CUSTO_GLOBAL[[#Headers],[Adicional de Acúmulo de função]])-2,0)*($G17-$H17)</f>
        <v>0</v>
      </c>
      <c r="Q17" s="21">
        <f>VLOOKUP($A17,tabCustoUnit[],COLUMN(CUSTO_GLOBAL[[#Headers],[MODULO 1 - REMUNERAÇÃO ]])-2,0)*($G17-$H17)</f>
        <v>4380.5699000000004</v>
      </c>
      <c r="R17" s="21">
        <f>VLOOKUP($A17,tabCustoUnit[],COLUMN(CUSTO_GLOBAL[[#Headers],[INSS]])-2,0)*($G17-$H17)</f>
        <v>876.11398000000008</v>
      </c>
      <c r="S17" s="21">
        <f>VLOOKUP($A17,tabCustoUnit[],COLUMN(CUSTO_GLOBAL[[#Headers],[SESI OU SESC]])-2,0)*($G17-$H17)</f>
        <v>65.708548500000006</v>
      </c>
      <c r="T17" s="21">
        <f>VLOOKUP($A17,tabCustoUnit[],COLUMN(CUSTO_GLOBAL[[#Headers],[SENAI OU SENAC]])-2,0)*($G17-$H17)</f>
        <v>43.805699000000004</v>
      </c>
      <c r="U17" s="21">
        <f>VLOOKUP($A17,tabCustoUnit[],COLUMN(CUSTO_GLOBAL[[#Headers],[INCRA]])-2,0)*($G17-$H17)</f>
        <v>8.7611398000000005</v>
      </c>
      <c r="V17" s="21">
        <f>VLOOKUP($A17,tabCustoUnit[],COLUMN(CUSTO_GLOBAL[[#Headers],[Salário Educação]])-2,0)*($G17-$H17)</f>
        <v>109.51424750000001</v>
      </c>
      <c r="W17" s="21">
        <f>VLOOKUP($A17,tabCustoUnit[],COLUMN(CUSTO_GLOBAL[[#Headers],[FGTS]])-2,0)*($G17-$H17)</f>
        <v>350.44559200000003</v>
      </c>
      <c r="X17" s="21">
        <f>VLOOKUP($A17,tabCustoUnit[],COLUMN(CUSTO_GLOBAL[[#Headers],[RAT Ajustado]])-2,0)*($G17-$H17)</f>
        <v>175.22279600000002</v>
      </c>
      <c r="Y17" s="21">
        <f>VLOOKUP($A17,tabCustoUnit[],COLUMN(CUSTO_GLOBAL[[#Headers],[SEBRAE]])-2,0)*($G17-$H17)</f>
        <v>26.283419400000003</v>
      </c>
      <c r="Z17" s="21">
        <f>VLOOKUP($A17,tabCustoUnit[],COLUMN(CUSTO_GLOBAL[[#Headers],[Submódulo 2.1]])-2,0)*($G17-$H17)</f>
        <v>1655.8554222</v>
      </c>
      <c r="AA17" s="21">
        <f>VLOOKUP($A17,tabCustoUnit[],COLUMN(CUSTO_GLOBAL[[#Headers],[13º salário (titular)]])-2,0)*($G17-$H17)</f>
        <v>365.0474916666667</v>
      </c>
      <c r="AB17" s="21">
        <f>VLOOKUP($A17,tabCustoUnit[],COLUMN(CUSTO_GLOBAL[[#Headers],[Férias e Adicional de Férias (titular)]])-2,0)*($G17-$H17)</f>
        <v>486.7299888888889</v>
      </c>
      <c r="AC17" s="21">
        <f>VLOOKUP($A17,tabCustoUnit[],COLUMN(CUSTO_GLOBAL[[#Headers],[Incidência do Submódulo 2.1 sobre 13º Salário, Férias e Adicional de Férias]])-2,0)*($G17-$H17)</f>
        <v>321.97188764999999</v>
      </c>
      <c r="AD17" s="21">
        <f>VLOOKUP($A17,tabCustoUnit[],COLUMN(CUSTO_GLOBAL[[#Headers],[Submódulo 2.2]])-2,0)*($G17-$H17)</f>
        <v>1173.7493682055556</v>
      </c>
      <c r="AE17" s="22" t="e">
        <f ca="1">VLOOKUP($A17,tabCustoUnit[],COLUMN(CUSTO_GLOBAL[[#Headers],[Vale - Transporte (Descontada parcela do empregado)]])-2,0)*($G17-$H17)</f>
        <v>#NAME?</v>
      </c>
      <c r="AF17" s="22">
        <f>VLOOKUP($A17,tabCustoUnit[],COLUMN(CUSTO_GLOBAL[[#Headers],[Vale - Alimentação (Descontada parcela do empregado)]])-2,0)*($G17-$H17)</f>
        <v>578.4</v>
      </c>
      <c r="AG17" s="22">
        <f>VLOOKUP($A17,tabCustoUnit[],COLUMN(CUSTO_GLOBAL[[#Headers],[Cesta Básica]])-2,0)*($G17-$H17)</f>
        <v>0</v>
      </c>
      <c r="AH17" s="22">
        <f>VLOOKUP($A17,tabCustoUnit[],COLUMN(CUSTO_GLOBAL[[#Headers],[PAF]])-2,0)*($G17-$H17)</f>
        <v>0</v>
      </c>
      <c r="AI17" s="22">
        <f>VLOOKUP($A17,tabCustoUnit[],COLUMN(CUSTO_GLOBAL[[#Headers],[PQM]])-2,0)*($G17-$H17)</f>
        <v>0</v>
      </c>
      <c r="AJ17" s="22">
        <v>0</v>
      </c>
      <c r="AK17" s="22">
        <f>VLOOKUP($A17,tabCustoUnit[],COLUMN(CUSTO_GLOBAL[[#Headers],[Seguro de Vida]])-2,0)*($G17-$H17)</f>
        <v>3.36</v>
      </c>
      <c r="AL17" s="22">
        <f>VLOOKUP($A17,tabCustoUnit[],COLUMN(CUSTO_GLOBAL[[#Headers],[Despesas de Viagem]])-2,0)*($G17-$H17)</f>
        <v>662.42</v>
      </c>
      <c r="AM17" s="22" t="e">
        <f ca="1">VLOOKUP($A17,tabCustoUnit[],COLUMN(CUSTO_GLOBAL[[#Headers],[Submódulo 2.3]])-2,0)*($G17-$H17)</f>
        <v>#NAME?</v>
      </c>
      <c r="AN17" s="22" t="e">
        <f ca="1">VLOOKUP($A17,tabCustoUnit[],COLUMN(CUSTO_GLOBAL[[#Headers],[MÓDULO 2 - Total Encargos e Benefícios mensais e diários]])-2,0)*($G17-$H17)</f>
        <v>#NAME?</v>
      </c>
      <c r="AO17" s="22">
        <f>VLOOKUP($A17,tabCustoUnit[],COLUMN(CUSTO_GLOBAL[[#Headers],[Aviso Prévio Indenizado (API) e Reflexo do Aviso Prévio Indenizado]])-2,0)*($G17-$H17)</f>
        <v>30.715535357851085</v>
      </c>
      <c r="AP17" s="22">
        <f>VLOOKUP($A17,tabCustoUnit[],COLUMN(CUSTO_GLOBAL[[#Headers],[Incidência do FGTS sobre API e Reflexo do API]])-2,0)*($G17-$H17)</f>
        <v>2.457242828628087</v>
      </c>
      <c r="AQ17" s="22">
        <f>VLOOKUP($A17,tabCustoUnit[],COLUMN(CUSTO_GLOBAL[[#Headers],[Multa Rescisória do FGTS sobre o Aviso Prévio Indenizado]])-2,0)*($G17-$H17)</f>
        <v>0.98289713145123481</v>
      </c>
      <c r="AR17" s="22">
        <f>VLOOKUP($A17,tabCustoUnit[],COLUMN(CUSTO_GLOBAL[[#Headers],[Aviso Prévio Trabalhado - APT]])-2,0)*($G17-$H17)</f>
        <v>15.331994650000004</v>
      </c>
      <c r="AS17" s="22">
        <f>VLOOKUP($A17,tabCustoUnit[],COLUMN(CUSTO_GLOBAL[[#Headers],[Incidência dos encargos do submódulo 2.1 sobre Aviso Prévio Trabalhado]])-2,0)*($G17-$H17)</f>
        <v>5.7954939777000023</v>
      </c>
      <c r="AT17" s="22">
        <f>VLOOKUP($A17,tabCustoUnit[],COLUMN(CUSTO_GLOBAL[[#Headers],[Multa Rescisória do FGTS]])-2,0)*($G17-$H17)</f>
        <v>133.94809294222222</v>
      </c>
      <c r="AU17" s="22">
        <f>VLOOKUP($A17,tabCustoUnit[],COLUMN(CUSTO_GLOBAL[[#Headers],[Indenização Adicional (Art. 9º da Lei nº 7.238/84)]])-2,0)*($G17-$H17)</f>
        <v>3.6504749166666675</v>
      </c>
      <c r="AV17" s="22">
        <f>VLOOKUP($A17,tabCustoUnit[],COLUMN(CUSTO_GLOBAL[[#Headers],[MÓDULO 3 – PROVISÃO PARA RESCISÃO]])-2,0)*($G17-$H17)</f>
        <v>192.88173180451929</v>
      </c>
      <c r="AW17" s="22">
        <f>VLOOKUP($A17,tabCustoUnit[],COLUMN(CUSTO_GLOBAL[[#Headers],[Ausência por Doença]])-2,0)*($G17-$H17)</f>
        <v>36.991479155555552</v>
      </c>
      <c r="AX17" s="22">
        <f>VLOOKUP($A17,tabCustoUnit[],COLUMN(CUSTO_GLOBAL[[#Headers],[Ausências Legais]])-2,0)*($G17-$H17)</f>
        <v>8.8828222972222228</v>
      </c>
      <c r="AY17" s="22">
        <f>VLOOKUP($A17,tabCustoUnit[],COLUMN(CUSTO_GLOBAL[[#Headers],[Licença Paternidade]])-2,0)*($G17-$H17)</f>
        <v>0.74834735791666673</v>
      </c>
      <c r="AZ17" s="22">
        <f>VLOOKUP($A17,tabCustoUnit[],COLUMN(CUSTO_GLOBAL[[#Headers],[Ausência por Acidente de Trabalho]])-2,0)*($G17-$H17)</f>
        <v>0.91261872916666686</v>
      </c>
      <c r="BA17" s="22">
        <f>VLOOKUP($A17,tabCustoUnit[],COLUMN(CUSTO_GLOBAL[[#Headers],[Férias, Adicional de Férias e 13º  com empregada em gozo de Licença Maternidade]])-2,0)*($G17-$H17)</f>
        <v>5.6785165370370372</v>
      </c>
      <c r="BB17" s="22">
        <f>VLOOKUP($A17,tabCustoUnit[],COLUMN(CUSTO_GLOBAL[[#Headers],[Incidência do Submódulo 2.1 sobre Ausências Legais]])-2,0)*($G17-$H17)</f>
        <v>20.114810381067507</v>
      </c>
      <c r="BC17" s="22">
        <f>VLOOKUP($A17,tabCustoUnit[],COLUMN(CUSTO_GLOBAL[[#Headers],[Submódulo 4.1]])-2,0)*($G17-$H17)</f>
        <v>73.328594457965636</v>
      </c>
      <c r="BD17" s="22">
        <f>VLOOKUP($A17,tabCustoUnit[],COLUMN(CUSTO_GLOBAL[[#Headers],[Intervalo para Repouso ou Alimentação]])-2,0)*($G17-$H17)</f>
        <v>0</v>
      </c>
      <c r="BE17" s="22">
        <f>VLOOKUP($A17,tabCustoUnit[],COLUMN(CUSTO_GLOBAL[[#Headers],[Submódulo 4.2]])-2,0)*($G17-$H17)</f>
        <v>0</v>
      </c>
      <c r="BF17" s="22">
        <f>VLOOKUP($A17,tabCustoUnit[],COLUMN(CUSTO_GLOBAL[[#Headers],[Suspensão Temporária do Contrato de Trabalho]])-2,0)*($G17-$H17)</f>
        <v>0</v>
      </c>
      <c r="BG17" s="22">
        <f>VLOOKUP($A17,tabCustoUnit[],COLUMN(CUSTO_GLOBAL[[#Headers],[Submódulo 4.3]])-2,0)*($G17-$H17)</f>
        <v>0</v>
      </c>
      <c r="BH17" s="22">
        <f>VLOOKUP($A17,tabCustoUnit[],COLUMN(CUSTO_GLOBAL[[#Headers],[MÓDULO 4 – CUSTO DE REPOSIÇÃO DO PROFISSIONAL AUSENTE]])-2,0)*($G17-$H17)</f>
        <v>73.328594457965636</v>
      </c>
      <c r="BI17" s="22">
        <f>VLOOKUP($A17,tabCustoUnit[],COLUMN(CUSTO_GLOBAL[[#Headers],[Uniformes e EPIs]])-2,0)*($G17-$H17)</f>
        <v>92.100763771570698</v>
      </c>
      <c r="BJ17" s="22">
        <f>VLOOKUP($A17,tabCustoUnit[],COLUMN(CUSTO_GLOBAL[[#Headers],[Materiais de Consumo]])-2,0)*($G17-$H17)</f>
        <v>0</v>
      </c>
      <c r="BK17" s="22">
        <f>VLOOKUP($A17,tabCustoUnit[],COLUMN(CUSTO_GLOBAL[[#Headers],[Máquinas e Equipamentos (depreciação)]])-2,0)*($G17-$H17)</f>
        <v>0</v>
      </c>
      <c r="BL17" s="22">
        <f>VLOOKUP($A17,tabCustoUnit[],COLUMN(CUSTO_GLOBAL[[#Headers],[Produtos de Limpeza e Materiais de Higiene Pessoal]])-2,0)*($G17-$H17)</f>
        <v>0</v>
      </c>
      <c r="BM17" s="22">
        <f>VLOOKUP($A17,tabCustoUnit[],COLUMN(CUSTO_GLOBAL[[#Headers],[Outros (especificar)]])-2,0)*($G17-$H17)</f>
        <v>0</v>
      </c>
      <c r="BN17" s="22">
        <f>VLOOKUP($A17,tabCustoUnit[],COLUMN(CUSTO_GLOBAL[[#Headers],[MÓDULO 5 – INSUMOS DIVERSOS]])-2,0)*($G17-$H17)</f>
        <v>92.100763771570698</v>
      </c>
      <c r="BO17" s="22" t="e">
        <f ca="1">VLOOKUP($A17,tabCustoUnit[],COLUMN(CUSTO_GLOBAL[[#Headers],[TOTAL MÓDULOS 1+2+3+4+5]])-2,0)*($G17-$H17)</f>
        <v>#NAME?</v>
      </c>
      <c r="BP17" s="22" t="e">
        <f ca="1">VLOOKUP($A17,tabCustoUnit[],COLUMN(CUSTO_GLOBAL[[#Headers],[Custos Indiretos]])-2,0)*($G17-$H17)</f>
        <v>#NAME?</v>
      </c>
      <c r="BQ17" s="22" t="e">
        <f ca="1">VLOOKUP($A17,tabCustoUnit[],COLUMN(CUSTO_GLOBAL[[#Headers],[Lucro]])-2,0)*($G17-$H17)</f>
        <v>#NAME?</v>
      </c>
      <c r="BR17" s="26">
        <f>VLOOKUP($A17,tabCustoUnit[],COLUMN(CUSTO_GLOBAL[[#Headers],[COFINS]])-2,0)</f>
        <v>8.5633802816901458E-2</v>
      </c>
      <c r="BS17" s="26">
        <f>VLOOKUP($A17,tabCustoUnit[],COLUMN(CUSTO_GLOBAL[[#Headers],[PIS]])-2,0)</f>
        <v>1.8591549295774657E-2</v>
      </c>
      <c r="BT17" s="28">
        <f>VLOOKUP($A17,tabCustoUnit[],COLUMN(CUSTO_GLOBAL[[#Headers],[ISS]])-2,0)</f>
        <v>0.02</v>
      </c>
      <c r="BU17" s="26">
        <f>VLOOKUP($A17,tabCustoUnit[],COLUMN(CUSTO_GLOBAL[[#Headers],[ISS (Conversão Alíquota s/ fatura)]])-2,0)</f>
        <v>2.2535211267605645E-2</v>
      </c>
      <c r="BV17" s="26">
        <f>VLOOKUP($A17,tabCustoUnit[],COLUMN(CUSTO_GLOBAL[[#Headers],[Resumo de Alíquotas (PIS+CONFINS+ISS)]])-2,0)</f>
        <v>0.1125</v>
      </c>
      <c r="BW17" s="138">
        <f>VLOOKUP($A17,tabCustoUnit[],COLUMN(CUSTO_GLOBAL[[#Headers],[PIS + COFINS + ISS (Total Conversão  Alíquota s/ Fatura)]])-2,0)</f>
        <v>0.12676056338028174</v>
      </c>
      <c r="BX17" s="22" t="e">
        <f ca="1">VLOOKUP($A17,tabCustoUnit[],COLUMN(CUSTO_GLOBAL[[#Headers],[Valor dos Tributos (ISS, PIS, CONFINS)]])-2,0)*($G17-$H17)</f>
        <v>#NAME?</v>
      </c>
      <c r="BY17" s="22" t="e">
        <f ca="1">VLOOKUP($A17,tabCustoUnit[],COLUMN(CUSTO_GLOBAL[[#Headers],[MÓDULO 6 – CUSTOS INDIRETOS, TRIBUTOS E LUCRO]])-2,0)*($G17-$H17)</f>
        <v>#NAME?</v>
      </c>
      <c r="BZ17" s="22" t="e">
        <f ca="1">VLOOKUP($A17,tabCustoUnit[],COLUMN(CUSTO_GLOBAL[[#Headers],[CUSTO TOTAL MENSAL]])-2,0)*($G17-$H17)</f>
        <v>#NAME?</v>
      </c>
      <c r="CA17" s="22" t="e">
        <f ca="1">CUSTO_GLOBAL[[#This Row],[CUSTO TOTAL MENSAL]]*12</f>
        <v>#NAME?</v>
      </c>
      <c r="CB17" s="24">
        <f>VLOOKUP($A17,tabCustoUnit[],COLUMN(CUSTO_GLOBAL[[#Headers],[ANO DA CCT]])-2,0)</f>
        <v>45658</v>
      </c>
      <c r="CC17" s="25" t="str">
        <f>VLOOKUP($A17,tabCustoUnit[],COLUMN(CUSTO_GLOBAL[[#Headers],[Nº DE PEDIDO DA CCT]])-2,0)</f>
        <v>-</v>
      </c>
      <c r="CD17" s="25" t="str">
        <f>VLOOKUP($A17,tabCustoUnit[],COLUMN(CUSTO_GLOBAL[[#Headers],[TERMO ADITIVO ALTERAÇÃO DA CCT]])-2,0)</f>
        <v>-</v>
      </c>
    </row>
    <row r="18" spans="1:82">
      <c r="A18" s="20" t="s">
        <v>1540</v>
      </c>
      <c r="B18" t="s">
        <v>902</v>
      </c>
      <c r="C18" t="s">
        <v>319</v>
      </c>
      <c r="D18" t="s">
        <v>902</v>
      </c>
      <c r="E18" s="20" t="s">
        <v>1090</v>
      </c>
      <c r="F18" s="20" t="s">
        <v>120</v>
      </c>
      <c r="G18" s="20">
        <v>1</v>
      </c>
      <c r="H18" s="20">
        <v>0</v>
      </c>
      <c r="I18" s="21">
        <f>VLOOKUP($A18,tabCustoUnit[],COLUMN(CUSTO_GLOBAL[[#Headers],[Salário Base]])-2,0)*($G18-$H18)</f>
        <v>2316.2296999999999</v>
      </c>
      <c r="J18" s="21">
        <f>VLOOKUP($A18,tabCustoUnit[],COLUMN(CUSTO_GLOBAL[[#Headers],[Adicional Periculosidade]])-2,0)*($G18-$H18)</f>
        <v>0</v>
      </c>
      <c r="K18" s="21">
        <f>VLOOKUP($A18,tabCustoUnit[],COLUMN(CUSTO_GLOBAL[[#Headers],[Adicional Insalubridade]])-2,0)*($G18-$H18)</f>
        <v>0</v>
      </c>
      <c r="L18" s="21">
        <f>VLOOKUP($A18,tabCustoUnit[],COLUMN(CUSTO_GLOBAL[[#Headers],[Adicional Noturno]])-2,0)*($G18-$H18)</f>
        <v>0</v>
      </c>
      <c r="M18" s="21">
        <f>VLOOKUP($A18,tabCustoUnit[],COLUMN(CUSTO_GLOBAL[[#Headers],[Adicional Motorista II (Gratificação)]])-2,0)*($G18-$H18)</f>
        <v>0</v>
      </c>
      <c r="N18" s="21">
        <f>VLOOKUP($A18,tabCustoUnit[],COLUMN(CUSTO_GLOBAL[[#Headers],[Adicional de Sobreaviso]])-2,0)*($G18-$H18)</f>
        <v>0</v>
      </c>
      <c r="O18" s="21">
        <f>VLOOKUP($A18,tabCustoUnit[],COLUMN(CUSTO_GLOBAL[[#Headers],[Horas Extras TI]])-2,0)*($G18-$H18)</f>
        <v>0</v>
      </c>
      <c r="P18" s="21">
        <f>VLOOKUP($A18,tabCustoUnit[],COLUMN(CUSTO_GLOBAL[[#Headers],[Adicional de Acúmulo de função]])-2,0)*($G18-$H18)</f>
        <v>0</v>
      </c>
      <c r="Q18" s="21">
        <f>VLOOKUP($A18,tabCustoUnit[],COLUMN(CUSTO_GLOBAL[[#Headers],[MODULO 1 - REMUNERAÇÃO ]])-2,0)*($G18-$H18)</f>
        <v>2316.2296999999999</v>
      </c>
      <c r="R18" s="21">
        <f>VLOOKUP($A18,tabCustoUnit[],COLUMN(CUSTO_GLOBAL[[#Headers],[INSS]])-2,0)*($G18-$H18)</f>
        <v>463.24594000000002</v>
      </c>
      <c r="S18" s="21">
        <f>VLOOKUP($A18,tabCustoUnit[],COLUMN(CUSTO_GLOBAL[[#Headers],[SESI OU SESC]])-2,0)*($G18-$H18)</f>
        <v>34.7434455</v>
      </c>
      <c r="T18" s="21">
        <f>VLOOKUP($A18,tabCustoUnit[],COLUMN(CUSTO_GLOBAL[[#Headers],[SENAI OU SENAC]])-2,0)*($G18-$H18)</f>
        <v>23.162296999999999</v>
      </c>
      <c r="U18" s="21">
        <f>VLOOKUP($A18,tabCustoUnit[],COLUMN(CUSTO_GLOBAL[[#Headers],[INCRA]])-2,0)*($G18-$H18)</f>
        <v>4.6324594000000001</v>
      </c>
      <c r="V18" s="21">
        <f>VLOOKUP($A18,tabCustoUnit[],COLUMN(CUSTO_GLOBAL[[#Headers],[Salário Educação]])-2,0)*($G18-$H18)</f>
        <v>57.905742500000002</v>
      </c>
      <c r="W18" s="21">
        <f>VLOOKUP($A18,tabCustoUnit[],COLUMN(CUSTO_GLOBAL[[#Headers],[FGTS]])-2,0)*($G18-$H18)</f>
        <v>185.29837599999999</v>
      </c>
      <c r="X18" s="21">
        <f>VLOOKUP($A18,tabCustoUnit[],COLUMN(CUSTO_GLOBAL[[#Headers],[RAT Ajustado]])-2,0)*($G18-$H18)</f>
        <v>92.649187999999995</v>
      </c>
      <c r="Y18" s="21">
        <f>VLOOKUP($A18,tabCustoUnit[],COLUMN(CUSTO_GLOBAL[[#Headers],[SEBRAE]])-2,0)*($G18-$H18)</f>
        <v>13.8973782</v>
      </c>
      <c r="Z18" s="21">
        <f>VLOOKUP($A18,tabCustoUnit[],COLUMN(CUSTO_GLOBAL[[#Headers],[Submódulo 2.1]])-2,0)*($G18-$H18)</f>
        <v>875.53482659999997</v>
      </c>
      <c r="AA18" s="21">
        <f>VLOOKUP($A18,tabCustoUnit[],COLUMN(CUSTO_GLOBAL[[#Headers],[13º salário (titular)]])-2,0)*($G18-$H18)</f>
        <v>193.01914166666666</v>
      </c>
      <c r="AB18" s="21">
        <f>VLOOKUP($A18,tabCustoUnit[],COLUMN(CUSTO_GLOBAL[[#Headers],[Férias e Adicional de Férias (titular)]])-2,0)*($G18-$H18)</f>
        <v>257.35885555555552</v>
      </c>
      <c r="AC18" s="21">
        <f>VLOOKUP($A18,tabCustoUnit[],COLUMN(CUSTO_GLOBAL[[#Headers],[Incidência do Submódulo 2.1 sobre 13º Salário, Férias e Adicional de Férias]])-2,0)*($G18-$H18)</f>
        <v>170.24288294999999</v>
      </c>
      <c r="AD18" s="21">
        <f>VLOOKUP($A18,tabCustoUnit[],COLUMN(CUSTO_GLOBAL[[#Headers],[Submódulo 2.2]])-2,0)*($G18-$H18)</f>
        <v>620.6208801722222</v>
      </c>
      <c r="AE18" s="22" t="e">
        <f ca="1">VLOOKUP($A18,tabCustoUnit[],COLUMN(CUSTO_GLOBAL[[#Headers],[Vale - Transporte (Descontada parcela do empregado)]])-2,0)*($G18-$H18)</f>
        <v>#NAME?</v>
      </c>
      <c r="AF18" s="22">
        <f>VLOOKUP($A18,tabCustoUnit[],COLUMN(CUSTO_GLOBAL[[#Headers],[Vale - Alimentação (Descontada parcela do empregado)]])-2,0)*($G18-$H18)</f>
        <v>582</v>
      </c>
      <c r="AG18" s="22">
        <f>VLOOKUP($A18,tabCustoUnit[],COLUMN(CUSTO_GLOBAL[[#Headers],[Cesta Básica]])-2,0)*($G18-$H18)</f>
        <v>0</v>
      </c>
      <c r="AH18" s="22">
        <f>VLOOKUP($A18,tabCustoUnit[],COLUMN(CUSTO_GLOBAL[[#Headers],[PAF]])-2,0)*($G18-$H18)</f>
        <v>58.96</v>
      </c>
      <c r="AI18" s="22">
        <f>VLOOKUP($A18,tabCustoUnit[],COLUMN(CUSTO_GLOBAL[[#Headers],[PQM]])-2,0)*($G18-$H18)</f>
        <v>0</v>
      </c>
      <c r="AJ18" s="22">
        <v>0</v>
      </c>
      <c r="AK18" s="22">
        <f>VLOOKUP($A18,tabCustoUnit[],COLUMN(CUSTO_GLOBAL[[#Headers],[Seguro de Vida]])-2,0)*($G18-$H18)</f>
        <v>3.36</v>
      </c>
      <c r="AL18" s="22">
        <f>VLOOKUP($A18,tabCustoUnit[],COLUMN(CUSTO_GLOBAL[[#Headers],[Despesas de Viagem]])-2,0)*($G18-$H18)</f>
        <v>0</v>
      </c>
      <c r="AM18" s="22" t="e">
        <f ca="1">VLOOKUP($A18,tabCustoUnit[],COLUMN(CUSTO_GLOBAL[[#Headers],[Submódulo 2.3]])-2,0)*($G18-$H18)</f>
        <v>#NAME?</v>
      </c>
      <c r="AN18" s="22" t="e">
        <f ca="1">VLOOKUP($A18,tabCustoUnit[],COLUMN(CUSTO_GLOBAL[[#Headers],[MÓDULO 2 - Total Encargos e Benefícios mensais e diários]])-2,0)*($G18-$H18)</f>
        <v>#NAME?</v>
      </c>
      <c r="AO18" s="22">
        <f>VLOOKUP($A18,tabCustoUnit[],COLUMN(CUSTO_GLOBAL[[#Headers],[Aviso Prévio Indenizado (API) e Reflexo do Aviso Prévio Indenizado]])-2,0)*($G18-$H18)</f>
        <v>16.240862917689043</v>
      </c>
      <c r="AP18" s="22">
        <f>VLOOKUP($A18,tabCustoUnit[],COLUMN(CUSTO_GLOBAL[[#Headers],[Incidência do FGTS sobre API e Reflexo do API]])-2,0)*($G18-$H18)</f>
        <v>1.2992690334151236</v>
      </c>
      <c r="AQ18" s="22">
        <f>VLOOKUP($A18,tabCustoUnit[],COLUMN(CUSTO_GLOBAL[[#Headers],[Multa Rescisória do FGTS sobre o Aviso Prévio Indenizado]])-2,0)*($G18-$H18)</f>
        <v>0.51970761336604943</v>
      </c>
      <c r="AR18" s="22">
        <f>VLOOKUP($A18,tabCustoUnit[],COLUMN(CUSTO_GLOBAL[[#Headers],[Aviso Prévio Trabalhado - APT]])-2,0)*($G18-$H18)</f>
        <v>8.1068039500000015</v>
      </c>
      <c r="AS18" s="22">
        <f>VLOOKUP($A18,tabCustoUnit[],COLUMN(CUSTO_GLOBAL[[#Headers],[Incidência dos encargos do submódulo 2.1 sobre Aviso Prévio Trabalhado]])-2,0)*($G18-$H18)</f>
        <v>3.0643718931000006</v>
      </c>
      <c r="AT18" s="22">
        <f>VLOOKUP($A18,tabCustoUnit[],COLUMN(CUSTO_GLOBAL[[#Headers],[Multa Rescisória do FGTS]])-2,0)*($G18-$H18)</f>
        <v>70.825157048888869</v>
      </c>
      <c r="AU18" s="22">
        <f>VLOOKUP($A18,tabCustoUnit[],COLUMN(CUSTO_GLOBAL[[#Headers],[Indenização Adicional (Art. 9º da Lei nº 7.238/84)]])-2,0)*($G18-$H18)</f>
        <v>1.9301914166666667</v>
      </c>
      <c r="AV18" s="22">
        <f>VLOOKUP($A18,tabCustoUnit[],COLUMN(CUSTO_GLOBAL[[#Headers],[MÓDULO 3 – PROVISÃO PARA RESCISÃO]])-2,0)*($G18-$H18)</f>
        <v>101.98636387312575</v>
      </c>
      <c r="AW18" s="22">
        <f>VLOOKUP($A18,tabCustoUnit[],COLUMN(CUSTO_GLOBAL[[#Headers],[Ausência por Doença]])-2,0)*($G18-$H18)</f>
        <v>19.559273022222218</v>
      </c>
      <c r="AX18" s="22">
        <f>VLOOKUP($A18,tabCustoUnit[],COLUMN(CUSTO_GLOBAL[[#Headers],[Ausências Legais]])-2,0)*($G18-$H18)</f>
        <v>4.696799113888888</v>
      </c>
      <c r="AY18" s="22">
        <f>VLOOKUP($A18,tabCustoUnit[],COLUMN(CUSTO_GLOBAL[[#Headers],[Licença Paternidade]])-2,0)*($G18-$H18)</f>
        <v>0.39568924041666664</v>
      </c>
      <c r="AZ18" s="22">
        <f>VLOOKUP($A18,tabCustoUnit[],COLUMN(CUSTO_GLOBAL[[#Headers],[Ausência por Acidente de Trabalho]])-2,0)*($G18-$H18)</f>
        <v>0.48254785416666668</v>
      </c>
      <c r="BA18" s="22">
        <f>VLOOKUP($A18,tabCustoUnit[],COLUMN(CUSTO_GLOBAL[[#Headers],[Férias, Adicional de Férias e 13º  com empregada em gozo de Licença Maternidade]])-2,0)*($G18-$H18)</f>
        <v>3.0025199814814814</v>
      </c>
      <c r="BB18" s="22">
        <f>VLOOKUP($A18,tabCustoUnit[],COLUMN(CUSTO_GLOBAL[[#Headers],[Incidência do Submódulo 2.1 sobre Ausências Legais]])-2,0)*($G18-$H18)</f>
        <v>10.635721442202501</v>
      </c>
      <c r="BC18" s="22">
        <f>VLOOKUP($A18,tabCustoUnit[],COLUMN(CUSTO_GLOBAL[[#Headers],[Submódulo 4.1]])-2,0)*($G18-$H18)</f>
        <v>38.772550654378421</v>
      </c>
      <c r="BD18" s="22">
        <f>VLOOKUP($A18,tabCustoUnit[],COLUMN(CUSTO_GLOBAL[[#Headers],[Intervalo para Repouso ou Alimentação]])-2,0)*($G18-$H18)</f>
        <v>0</v>
      </c>
      <c r="BE18" s="22">
        <f>VLOOKUP($A18,tabCustoUnit[],COLUMN(CUSTO_GLOBAL[[#Headers],[Submódulo 4.2]])-2,0)*($G18-$H18)</f>
        <v>0</v>
      </c>
      <c r="BF18" s="22">
        <f>VLOOKUP($A18,tabCustoUnit[],COLUMN(CUSTO_GLOBAL[[#Headers],[Suspensão Temporária do Contrato de Trabalho]])-2,0)*($G18-$H18)</f>
        <v>0</v>
      </c>
      <c r="BG18" s="22">
        <f>VLOOKUP($A18,tabCustoUnit[],COLUMN(CUSTO_GLOBAL[[#Headers],[Submódulo 4.3]])-2,0)*($G18-$H18)</f>
        <v>0</v>
      </c>
      <c r="BH18" s="22">
        <f>VLOOKUP($A18,tabCustoUnit[],COLUMN(CUSTO_GLOBAL[[#Headers],[MÓDULO 4 – CUSTO DE REPOSIÇÃO DO PROFISSIONAL AUSENTE]])-2,0)*($G18-$H18)</f>
        <v>38.772550654378421</v>
      </c>
      <c r="BI18" s="22">
        <f>VLOOKUP($A18,tabCustoUnit[],COLUMN(CUSTO_GLOBAL[[#Headers],[Uniformes e EPIs]])-2,0)*($G18-$H18)</f>
        <v>56.642978962543395</v>
      </c>
      <c r="BJ18" s="22">
        <f>VLOOKUP($A18,tabCustoUnit[],COLUMN(CUSTO_GLOBAL[[#Headers],[Materiais de Consumo]])-2,0)*($G18-$H18)</f>
        <v>0</v>
      </c>
      <c r="BK18" s="22">
        <f>VLOOKUP($A18,tabCustoUnit[],COLUMN(CUSTO_GLOBAL[[#Headers],[Máquinas e Equipamentos (depreciação)]])-2,0)*($G18-$H18)</f>
        <v>0</v>
      </c>
      <c r="BL18" s="22">
        <f>VLOOKUP($A18,tabCustoUnit[],COLUMN(CUSTO_GLOBAL[[#Headers],[Produtos de Limpeza e Materiais de Higiene Pessoal]])-2,0)*($G18-$H18)</f>
        <v>0</v>
      </c>
      <c r="BM18" s="22">
        <f>VLOOKUP($A18,tabCustoUnit[],COLUMN(CUSTO_GLOBAL[[#Headers],[Outros (especificar)]])-2,0)*($G18-$H18)</f>
        <v>0</v>
      </c>
      <c r="BN18" s="22">
        <f>VLOOKUP($A18,tabCustoUnit[],COLUMN(CUSTO_GLOBAL[[#Headers],[MÓDULO 5 – INSUMOS DIVERSOS]])-2,0)*($G18-$H18)</f>
        <v>56.642978962543395</v>
      </c>
      <c r="BO18" s="22" t="e">
        <f ca="1">VLOOKUP($A18,tabCustoUnit[],COLUMN(CUSTO_GLOBAL[[#Headers],[TOTAL MÓDULOS 1+2+3+4+5]])-2,0)*($G18-$H18)</f>
        <v>#NAME?</v>
      </c>
      <c r="BP18" s="22" t="e">
        <f ca="1">VLOOKUP($A18,tabCustoUnit[],COLUMN(CUSTO_GLOBAL[[#Headers],[Custos Indiretos]])-2,0)*($G18-$H18)</f>
        <v>#NAME?</v>
      </c>
      <c r="BQ18" s="22" t="e">
        <f ca="1">VLOOKUP($A18,tabCustoUnit[],COLUMN(CUSTO_GLOBAL[[#Headers],[Lucro]])-2,0)*($G18-$H18)</f>
        <v>#NAME?</v>
      </c>
      <c r="BR18" s="26">
        <f>VLOOKUP($A18,tabCustoUnit[],COLUMN(CUSTO_GLOBAL[[#Headers],[COFINS]])-2,0)</f>
        <v>8.5633802816901458E-2</v>
      </c>
      <c r="BS18" s="26">
        <f>VLOOKUP($A18,tabCustoUnit[],COLUMN(CUSTO_GLOBAL[[#Headers],[PIS]])-2,0)</f>
        <v>1.8591549295774657E-2</v>
      </c>
      <c r="BT18" s="28">
        <f>VLOOKUP($A18,tabCustoUnit[],COLUMN(CUSTO_GLOBAL[[#Headers],[ISS]])-2,0)</f>
        <v>0.02</v>
      </c>
      <c r="BU18" s="26">
        <f>VLOOKUP($A18,tabCustoUnit[],COLUMN(CUSTO_GLOBAL[[#Headers],[ISS (Conversão Alíquota s/ fatura)]])-2,0)</f>
        <v>2.2535211267605645E-2</v>
      </c>
      <c r="BV18" s="26">
        <f>VLOOKUP($A18,tabCustoUnit[],COLUMN(CUSTO_GLOBAL[[#Headers],[Resumo de Alíquotas (PIS+CONFINS+ISS)]])-2,0)</f>
        <v>0.1125</v>
      </c>
      <c r="BW18" s="138">
        <f>VLOOKUP($A18,tabCustoUnit[],COLUMN(CUSTO_GLOBAL[[#Headers],[PIS + COFINS + ISS (Total Conversão  Alíquota s/ Fatura)]])-2,0)</f>
        <v>0.12676056338028174</v>
      </c>
      <c r="BX18" s="22" t="e">
        <f ca="1">VLOOKUP($A18,tabCustoUnit[],COLUMN(CUSTO_GLOBAL[[#Headers],[Valor dos Tributos (ISS, PIS, CONFINS)]])-2,0)*($G18-$H18)</f>
        <v>#NAME?</v>
      </c>
      <c r="BY18" s="22" t="e">
        <f ca="1">VLOOKUP($A18,tabCustoUnit[],COLUMN(CUSTO_GLOBAL[[#Headers],[MÓDULO 6 – CUSTOS INDIRETOS, TRIBUTOS E LUCRO]])-2,0)*($G18-$H18)</f>
        <v>#NAME?</v>
      </c>
      <c r="BZ18" s="22" t="e">
        <f ca="1">VLOOKUP($A18,tabCustoUnit[],COLUMN(CUSTO_GLOBAL[[#Headers],[CUSTO TOTAL MENSAL]])-2,0)*($G18-$H18)</f>
        <v>#NAME?</v>
      </c>
      <c r="CA18" s="22" t="e">
        <f ca="1">CUSTO_GLOBAL[[#This Row],[CUSTO TOTAL MENSAL]]*12</f>
        <v>#NAME?</v>
      </c>
      <c r="CB18" s="24">
        <f>VLOOKUP($A18,tabCustoUnit[],COLUMN(CUSTO_GLOBAL[[#Headers],[ANO DA CCT]])-2,0)</f>
        <v>45658</v>
      </c>
      <c r="CC18" s="25" t="str">
        <f>VLOOKUP($A18,tabCustoUnit[],COLUMN(CUSTO_GLOBAL[[#Headers],[Nº DE PEDIDO DA CCT]])-2,0)</f>
        <v>-</v>
      </c>
      <c r="CD18" s="25" t="str">
        <f>VLOOKUP($A18,tabCustoUnit[],COLUMN(CUSTO_GLOBAL[[#Headers],[TERMO ADITIVO ALTERAÇÃO DA CCT]])-2,0)</f>
        <v>-</v>
      </c>
    </row>
    <row r="19" spans="1:82">
      <c r="A19" s="20" t="s">
        <v>1541</v>
      </c>
      <c r="B19" t="s">
        <v>902</v>
      </c>
      <c r="C19" t="s">
        <v>324</v>
      </c>
      <c r="D19" t="s">
        <v>902</v>
      </c>
      <c r="E19" s="20" t="s">
        <v>1090</v>
      </c>
      <c r="F19" s="20" t="s">
        <v>120</v>
      </c>
      <c r="G19" s="20">
        <v>1</v>
      </c>
      <c r="H19" s="20">
        <v>0</v>
      </c>
      <c r="I19" s="21">
        <f>VLOOKUP($A19,tabCustoUnit[],COLUMN(CUSTO_GLOBAL[[#Headers],[Salário Base]])-2,0)*($G19-$H19)</f>
        <v>3397.1306</v>
      </c>
      <c r="J19" s="21">
        <f>VLOOKUP($A19,tabCustoUnit[],COLUMN(CUSTO_GLOBAL[[#Headers],[Adicional Periculosidade]])-2,0)*($G19-$H19)</f>
        <v>0</v>
      </c>
      <c r="K19" s="21">
        <f>VLOOKUP($A19,tabCustoUnit[],COLUMN(CUSTO_GLOBAL[[#Headers],[Adicional Insalubridade]])-2,0)*($G19-$H19)</f>
        <v>0</v>
      </c>
      <c r="L19" s="21">
        <f>VLOOKUP($A19,tabCustoUnit[],COLUMN(CUSTO_GLOBAL[[#Headers],[Adicional Noturno]])-2,0)*($G19-$H19)</f>
        <v>0</v>
      </c>
      <c r="M19" s="21">
        <f>VLOOKUP($A19,tabCustoUnit[],COLUMN(CUSTO_GLOBAL[[#Headers],[Adicional Motorista II (Gratificação)]])-2,0)*($G19-$H19)</f>
        <v>0</v>
      </c>
      <c r="N19" s="21">
        <f>VLOOKUP($A19,tabCustoUnit[],COLUMN(CUSTO_GLOBAL[[#Headers],[Adicional de Sobreaviso]])-2,0)*($G19-$H19)</f>
        <v>0</v>
      </c>
      <c r="O19" s="21">
        <f>VLOOKUP($A19,tabCustoUnit[],COLUMN(CUSTO_GLOBAL[[#Headers],[Horas Extras TI]])-2,0)*($G19-$H19)</f>
        <v>0</v>
      </c>
      <c r="P19" s="21">
        <f>VLOOKUP($A19,tabCustoUnit[],COLUMN(CUSTO_GLOBAL[[#Headers],[Adicional de Acúmulo de função]])-2,0)*($G19-$H19)</f>
        <v>0</v>
      </c>
      <c r="Q19" s="21">
        <f>VLOOKUP($A19,tabCustoUnit[],COLUMN(CUSTO_GLOBAL[[#Headers],[MODULO 1 - REMUNERAÇÃO ]])-2,0)*($G19-$H19)</f>
        <v>3397.1306</v>
      </c>
      <c r="R19" s="21">
        <f>VLOOKUP($A19,tabCustoUnit[],COLUMN(CUSTO_GLOBAL[[#Headers],[INSS]])-2,0)*($G19-$H19)</f>
        <v>679.42612000000008</v>
      </c>
      <c r="S19" s="21">
        <f>VLOOKUP($A19,tabCustoUnit[],COLUMN(CUSTO_GLOBAL[[#Headers],[SESI OU SESC]])-2,0)*($G19-$H19)</f>
        <v>50.956958999999998</v>
      </c>
      <c r="T19" s="21">
        <f>VLOOKUP($A19,tabCustoUnit[],COLUMN(CUSTO_GLOBAL[[#Headers],[SENAI OU SENAC]])-2,0)*($G19-$H19)</f>
        <v>33.971305999999998</v>
      </c>
      <c r="U19" s="21">
        <f>VLOOKUP($A19,tabCustoUnit[],COLUMN(CUSTO_GLOBAL[[#Headers],[INCRA]])-2,0)*($G19-$H19)</f>
        <v>6.7942612000000002</v>
      </c>
      <c r="V19" s="21">
        <f>VLOOKUP($A19,tabCustoUnit[],COLUMN(CUSTO_GLOBAL[[#Headers],[Salário Educação]])-2,0)*($G19-$H19)</f>
        <v>84.92826500000001</v>
      </c>
      <c r="W19" s="21">
        <f>VLOOKUP($A19,tabCustoUnit[],COLUMN(CUSTO_GLOBAL[[#Headers],[FGTS]])-2,0)*($G19-$H19)</f>
        <v>271.77044799999999</v>
      </c>
      <c r="X19" s="21">
        <f>VLOOKUP($A19,tabCustoUnit[],COLUMN(CUSTO_GLOBAL[[#Headers],[RAT Ajustado]])-2,0)*($G19-$H19)</f>
        <v>135.88522399999999</v>
      </c>
      <c r="Y19" s="21">
        <f>VLOOKUP($A19,tabCustoUnit[],COLUMN(CUSTO_GLOBAL[[#Headers],[SEBRAE]])-2,0)*($G19-$H19)</f>
        <v>20.3827836</v>
      </c>
      <c r="Z19" s="21">
        <f>VLOOKUP($A19,tabCustoUnit[],COLUMN(CUSTO_GLOBAL[[#Headers],[Submódulo 2.1]])-2,0)*($G19-$H19)</f>
        <v>1284.1153668000002</v>
      </c>
      <c r="AA19" s="21">
        <f>VLOOKUP($A19,tabCustoUnit[],COLUMN(CUSTO_GLOBAL[[#Headers],[13º salário (titular)]])-2,0)*($G19-$H19)</f>
        <v>283.09421666666663</v>
      </c>
      <c r="AB19" s="21">
        <f>VLOOKUP($A19,tabCustoUnit[],COLUMN(CUSTO_GLOBAL[[#Headers],[Férias e Adicional de Férias (titular)]])-2,0)*($G19-$H19)</f>
        <v>377.45895555555552</v>
      </c>
      <c r="AC19" s="21">
        <f>VLOOKUP($A19,tabCustoUnit[],COLUMN(CUSTO_GLOBAL[[#Headers],[Incidência do Submódulo 2.1 sobre 13º Salário, Férias e Adicional de Férias]])-2,0)*($G19-$H19)</f>
        <v>249.68909910000002</v>
      </c>
      <c r="AD19" s="21">
        <f>VLOOKUP($A19,tabCustoUnit[],COLUMN(CUSTO_GLOBAL[[#Headers],[Submódulo 2.2]])-2,0)*($G19-$H19)</f>
        <v>910.24227132222222</v>
      </c>
      <c r="AE19" s="22" t="e">
        <f ca="1">VLOOKUP($A19,tabCustoUnit[],COLUMN(CUSTO_GLOBAL[[#Headers],[Vale - Transporte (Descontada parcela do empregado)]])-2,0)*($G19-$H19)</f>
        <v>#NAME?</v>
      </c>
      <c r="AF19" s="22">
        <f>VLOOKUP($A19,tabCustoUnit[],COLUMN(CUSTO_GLOBAL[[#Headers],[Vale - Alimentação (Descontada parcela do empregado)]])-2,0)*($G19-$H19)</f>
        <v>582</v>
      </c>
      <c r="AG19" s="22">
        <f>VLOOKUP($A19,tabCustoUnit[],COLUMN(CUSTO_GLOBAL[[#Headers],[Cesta Básica]])-2,0)*($G19-$H19)</f>
        <v>0</v>
      </c>
      <c r="AH19" s="22">
        <f>VLOOKUP($A19,tabCustoUnit[],COLUMN(CUSTO_GLOBAL[[#Headers],[PAF]])-2,0)*($G19-$H19)</f>
        <v>58.96</v>
      </c>
      <c r="AI19" s="22">
        <f>VLOOKUP($A19,tabCustoUnit[],COLUMN(CUSTO_GLOBAL[[#Headers],[PQM]])-2,0)*($G19-$H19)</f>
        <v>0</v>
      </c>
      <c r="AJ19" s="22">
        <v>0</v>
      </c>
      <c r="AK19" s="22">
        <f>VLOOKUP($A19,tabCustoUnit[],COLUMN(CUSTO_GLOBAL[[#Headers],[Seguro de Vida]])-2,0)*($G19-$H19)</f>
        <v>3.36</v>
      </c>
      <c r="AL19" s="22">
        <f>VLOOKUP($A19,tabCustoUnit[],COLUMN(CUSTO_GLOBAL[[#Headers],[Despesas de Viagem]])-2,0)*($G19-$H19)</f>
        <v>0</v>
      </c>
      <c r="AM19" s="22" t="e">
        <f ca="1">VLOOKUP($A19,tabCustoUnit[],COLUMN(CUSTO_GLOBAL[[#Headers],[Submódulo 2.3]])-2,0)*($G19-$H19)</f>
        <v>#NAME?</v>
      </c>
      <c r="AN19" s="22" t="e">
        <f ca="1">VLOOKUP($A19,tabCustoUnit[],COLUMN(CUSTO_GLOBAL[[#Headers],[MÓDULO 2 - Total Encargos e Benefícios mensais e diários]])-2,0)*($G19-$H19)</f>
        <v>#NAME?</v>
      </c>
      <c r="AO19" s="22">
        <f>VLOOKUP($A19,tabCustoUnit[],COLUMN(CUSTO_GLOBAL[[#Headers],[Aviso Prévio Indenizado (API) e Reflexo do Aviso Prévio Indenizado]])-2,0)*($G19-$H19)</f>
        <v>23.819888151890432</v>
      </c>
      <c r="AP19" s="22">
        <f>VLOOKUP($A19,tabCustoUnit[],COLUMN(CUSTO_GLOBAL[[#Headers],[Incidência do FGTS sobre API e Reflexo do API]])-2,0)*($G19-$H19)</f>
        <v>1.9055910521512347</v>
      </c>
      <c r="AQ19" s="22">
        <f>VLOOKUP($A19,tabCustoUnit[],COLUMN(CUSTO_GLOBAL[[#Headers],[Multa Rescisória do FGTS sobre o Aviso Prévio Indenizado]])-2,0)*($G19-$H19)</f>
        <v>0.76223642086049392</v>
      </c>
      <c r="AR19" s="22">
        <f>VLOOKUP($A19,tabCustoUnit[],COLUMN(CUSTO_GLOBAL[[#Headers],[Aviso Prévio Trabalhado - APT]])-2,0)*($G19-$H19)</f>
        <v>11.889957100000002</v>
      </c>
      <c r="AS19" s="22">
        <f>VLOOKUP($A19,tabCustoUnit[],COLUMN(CUSTO_GLOBAL[[#Headers],[Incidência dos encargos do submódulo 2.1 sobre Aviso Prévio Trabalhado]])-2,0)*($G19-$H19)</f>
        <v>4.4944037838000011</v>
      </c>
      <c r="AT19" s="22">
        <f>VLOOKUP($A19,tabCustoUnit[],COLUMN(CUSTO_GLOBAL[[#Headers],[Multa Rescisória do FGTS]])-2,0)*($G19-$H19)</f>
        <v>103.87670456888887</v>
      </c>
      <c r="AU19" s="22">
        <f>VLOOKUP($A19,tabCustoUnit[],COLUMN(CUSTO_GLOBAL[[#Headers],[Indenização Adicional (Art. 9º da Lei nº 7.238/84)]])-2,0)*($G19-$H19)</f>
        <v>2.830942166666667</v>
      </c>
      <c r="AV19" s="22">
        <f>VLOOKUP($A19,tabCustoUnit[],COLUMN(CUSTO_GLOBAL[[#Headers],[MÓDULO 3 – PROVISÃO PARA RESCISÃO]])-2,0)*($G19-$H19)</f>
        <v>149.57972324425771</v>
      </c>
      <c r="AW19" s="22">
        <f>VLOOKUP($A19,tabCustoUnit[],COLUMN(CUSTO_GLOBAL[[#Headers],[Ausência por Doença]])-2,0)*($G19-$H19)</f>
        <v>28.686880622222219</v>
      </c>
      <c r="AX19" s="22">
        <f>VLOOKUP($A19,tabCustoUnit[],COLUMN(CUSTO_GLOBAL[[#Headers],[Ausências Legais]])-2,0)*($G19-$H19)</f>
        <v>6.8886259388888886</v>
      </c>
      <c r="AY19" s="22">
        <f>VLOOKUP($A19,tabCustoUnit[],COLUMN(CUSTO_GLOBAL[[#Headers],[Licença Paternidade]])-2,0)*($G19-$H19)</f>
        <v>0.58034314416666666</v>
      </c>
      <c r="AZ19" s="22">
        <f>VLOOKUP($A19,tabCustoUnit[],COLUMN(CUSTO_GLOBAL[[#Headers],[Ausência por Acidente de Trabalho]])-2,0)*($G19-$H19)</f>
        <v>0.70773554166666675</v>
      </c>
      <c r="BA19" s="22">
        <f>VLOOKUP($A19,tabCustoUnit[],COLUMN(CUSTO_GLOBAL[[#Headers],[Férias, Adicional de Férias e 13º  com empregada em gozo de Licença Maternidade]])-2,0)*($G19-$H19)</f>
        <v>4.4036878148148144</v>
      </c>
      <c r="BB19" s="22">
        <f>VLOOKUP($A19,tabCustoUnit[],COLUMN(CUSTO_GLOBAL[[#Headers],[Incidência do Submódulo 2.1 sobre Ausências Legais]])-2,0)*($G19-$H19)</f>
        <v>15.599029217345002</v>
      </c>
      <c r="BC19" s="22">
        <f>VLOOKUP($A19,tabCustoUnit[],COLUMN(CUSTO_GLOBAL[[#Headers],[Submódulo 4.1]])-2,0)*($G19-$H19)</f>
        <v>56.866302279104261</v>
      </c>
      <c r="BD19" s="22">
        <f>VLOOKUP($A19,tabCustoUnit[],COLUMN(CUSTO_GLOBAL[[#Headers],[Intervalo para Repouso ou Alimentação]])-2,0)*($G19-$H19)</f>
        <v>0</v>
      </c>
      <c r="BE19" s="22">
        <f>VLOOKUP($A19,tabCustoUnit[],COLUMN(CUSTO_GLOBAL[[#Headers],[Submódulo 4.2]])-2,0)*($G19-$H19)</f>
        <v>0</v>
      </c>
      <c r="BF19" s="22">
        <f>VLOOKUP($A19,tabCustoUnit[],COLUMN(CUSTO_GLOBAL[[#Headers],[Suspensão Temporária do Contrato de Trabalho]])-2,0)*($G19-$H19)</f>
        <v>0</v>
      </c>
      <c r="BG19" s="22">
        <f>VLOOKUP($A19,tabCustoUnit[],COLUMN(CUSTO_GLOBAL[[#Headers],[Submódulo 4.3]])-2,0)*($G19-$H19)</f>
        <v>0</v>
      </c>
      <c r="BH19" s="22">
        <f>VLOOKUP($A19,tabCustoUnit[],COLUMN(CUSTO_GLOBAL[[#Headers],[MÓDULO 4 – CUSTO DE REPOSIÇÃO DO PROFISSIONAL AUSENTE]])-2,0)*($G19-$H19)</f>
        <v>56.866302279104261</v>
      </c>
      <c r="BI19" s="22">
        <f>VLOOKUP($A19,tabCustoUnit[],COLUMN(CUSTO_GLOBAL[[#Headers],[Uniformes e EPIs]])-2,0)*($G19-$H19)</f>
        <v>56.642978962543395</v>
      </c>
      <c r="BJ19" s="22">
        <f>VLOOKUP($A19,tabCustoUnit[],COLUMN(CUSTO_GLOBAL[[#Headers],[Materiais de Consumo]])-2,0)*($G19-$H19)</f>
        <v>0</v>
      </c>
      <c r="BK19" s="22">
        <f>VLOOKUP($A19,tabCustoUnit[],COLUMN(CUSTO_GLOBAL[[#Headers],[Máquinas e Equipamentos (depreciação)]])-2,0)*($G19-$H19)</f>
        <v>0</v>
      </c>
      <c r="BL19" s="22">
        <f>VLOOKUP($A19,tabCustoUnit[],COLUMN(CUSTO_GLOBAL[[#Headers],[Produtos de Limpeza e Materiais de Higiene Pessoal]])-2,0)*($G19-$H19)</f>
        <v>0</v>
      </c>
      <c r="BM19" s="22">
        <f>VLOOKUP($A19,tabCustoUnit[],COLUMN(CUSTO_GLOBAL[[#Headers],[Outros (especificar)]])-2,0)*($G19-$H19)</f>
        <v>0</v>
      </c>
      <c r="BN19" s="22">
        <f>VLOOKUP($A19,tabCustoUnit[],COLUMN(CUSTO_GLOBAL[[#Headers],[MÓDULO 5 – INSUMOS DIVERSOS]])-2,0)*($G19-$H19)</f>
        <v>56.642978962543395</v>
      </c>
      <c r="BO19" s="22" t="e">
        <f ca="1">VLOOKUP($A19,tabCustoUnit[],COLUMN(CUSTO_GLOBAL[[#Headers],[TOTAL MÓDULOS 1+2+3+4+5]])-2,0)*($G19-$H19)</f>
        <v>#NAME?</v>
      </c>
      <c r="BP19" s="22" t="e">
        <f ca="1">VLOOKUP($A19,tabCustoUnit[],COLUMN(CUSTO_GLOBAL[[#Headers],[Custos Indiretos]])-2,0)*($G19-$H19)</f>
        <v>#NAME?</v>
      </c>
      <c r="BQ19" s="22" t="e">
        <f ca="1">VLOOKUP($A19,tabCustoUnit[],COLUMN(CUSTO_GLOBAL[[#Headers],[Lucro]])-2,0)*($G19-$H19)</f>
        <v>#NAME?</v>
      </c>
      <c r="BR19" s="26">
        <f>VLOOKUP($A19,tabCustoUnit[],COLUMN(CUSTO_GLOBAL[[#Headers],[COFINS]])-2,0)</f>
        <v>8.5633802816901458E-2</v>
      </c>
      <c r="BS19" s="26">
        <f>VLOOKUP($A19,tabCustoUnit[],COLUMN(CUSTO_GLOBAL[[#Headers],[PIS]])-2,0)</f>
        <v>1.8591549295774657E-2</v>
      </c>
      <c r="BT19" s="28">
        <f>VLOOKUP($A19,tabCustoUnit[],COLUMN(CUSTO_GLOBAL[[#Headers],[ISS]])-2,0)</f>
        <v>0.02</v>
      </c>
      <c r="BU19" s="26">
        <f>VLOOKUP($A19,tabCustoUnit[],COLUMN(CUSTO_GLOBAL[[#Headers],[ISS (Conversão Alíquota s/ fatura)]])-2,0)</f>
        <v>2.2535211267605645E-2</v>
      </c>
      <c r="BV19" s="26">
        <f>VLOOKUP($A19,tabCustoUnit[],COLUMN(CUSTO_GLOBAL[[#Headers],[Resumo de Alíquotas (PIS+CONFINS+ISS)]])-2,0)</f>
        <v>0.1125</v>
      </c>
      <c r="BW19" s="138">
        <f>VLOOKUP($A19,tabCustoUnit[],COLUMN(CUSTO_GLOBAL[[#Headers],[PIS + COFINS + ISS (Total Conversão  Alíquota s/ Fatura)]])-2,0)</f>
        <v>0.12676056338028174</v>
      </c>
      <c r="BX19" s="22" t="e">
        <f ca="1">VLOOKUP($A19,tabCustoUnit[],COLUMN(CUSTO_GLOBAL[[#Headers],[Valor dos Tributos (ISS, PIS, CONFINS)]])-2,0)*($G19-$H19)</f>
        <v>#NAME?</v>
      </c>
      <c r="BY19" s="22" t="e">
        <f ca="1">VLOOKUP($A19,tabCustoUnit[],COLUMN(CUSTO_GLOBAL[[#Headers],[MÓDULO 6 – CUSTOS INDIRETOS, TRIBUTOS E LUCRO]])-2,0)*($G19-$H19)</f>
        <v>#NAME?</v>
      </c>
      <c r="BZ19" s="22" t="e">
        <f ca="1">VLOOKUP($A19,tabCustoUnit[],COLUMN(CUSTO_GLOBAL[[#Headers],[CUSTO TOTAL MENSAL]])-2,0)*($G19-$H19)</f>
        <v>#NAME?</v>
      </c>
      <c r="CA19" s="22" t="e">
        <f ca="1">CUSTO_GLOBAL[[#This Row],[CUSTO TOTAL MENSAL]]*12</f>
        <v>#NAME?</v>
      </c>
      <c r="CB19" s="24">
        <f>VLOOKUP($A19,tabCustoUnit[],COLUMN(CUSTO_GLOBAL[[#Headers],[ANO DA CCT]])-2,0)</f>
        <v>45658</v>
      </c>
      <c r="CC19" s="25" t="str">
        <f>VLOOKUP($A19,tabCustoUnit[],COLUMN(CUSTO_GLOBAL[[#Headers],[Nº DE PEDIDO DA CCT]])-2,0)</f>
        <v>-</v>
      </c>
      <c r="CD19" s="25" t="str">
        <f>VLOOKUP($A19,tabCustoUnit[],COLUMN(CUSTO_GLOBAL[[#Headers],[TERMO ADITIVO ALTERAÇÃO DA CCT]])-2,0)</f>
        <v>-</v>
      </c>
    </row>
    <row r="20" spans="1:82">
      <c r="A20" s="20" t="s">
        <v>1542</v>
      </c>
      <c r="B20" t="s">
        <v>1099</v>
      </c>
      <c r="C20" t="s">
        <v>324</v>
      </c>
      <c r="D20" t="s">
        <v>942</v>
      </c>
      <c r="E20" s="20" t="s">
        <v>1090</v>
      </c>
      <c r="F20" s="20" t="s">
        <v>120</v>
      </c>
      <c r="G20" s="20">
        <v>1</v>
      </c>
      <c r="H20" s="20">
        <v>0</v>
      </c>
      <c r="I20" s="21">
        <f>VLOOKUP($A20,tabCustoUnit[],COLUMN(CUSTO_GLOBAL[[#Headers],[Salário Base]])-2,0)*($G20-$H20)</f>
        <v>3397.1305000000002</v>
      </c>
      <c r="J20" s="21">
        <f>VLOOKUP($A20,tabCustoUnit[],COLUMN(CUSTO_GLOBAL[[#Headers],[Adicional Periculosidade]])-2,0)*($G20-$H20)</f>
        <v>0</v>
      </c>
      <c r="K20" s="21">
        <f>VLOOKUP($A20,tabCustoUnit[],COLUMN(CUSTO_GLOBAL[[#Headers],[Adicional Insalubridade]])-2,0)*($G20-$H20)</f>
        <v>0</v>
      </c>
      <c r="L20" s="21">
        <f>VLOOKUP($A20,tabCustoUnit[],COLUMN(CUSTO_GLOBAL[[#Headers],[Adicional Noturno]])-2,0)*($G20-$H20)</f>
        <v>0</v>
      </c>
      <c r="M20" s="21">
        <f>VLOOKUP($A20,tabCustoUnit[],COLUMN(CUSTO_GLOBAL[[#Headers],[Adicional Motorista II (Gratificação)]])-2,0)*($G20-$H20)</f>
        <v>0</v>
      </c>
      <c r="N20" s="21">
        <f>VLOOKUP($A20,tabCustoUnit[],COLUMN(CUSTO_GLOBAL[[#Headers],[Adicional de Sobreaviso]])-2,0)*($G20-$H20)</f>
        <v>0</v>
      </c>
      <c r="O20" s="21">
        <f>VLOOKUP($A20,tabCustoUnit[],COLUMN(CUSTO_GLOBAL[[#Headers],[Horas Extras TI]])-2,0)*($G20-$H20)</f>
        <v>0</v>
      </c>
      <c r="P20" s="21">
        <f>VLOOKUP($A20,tabCustoUnit[],COLUMN(CUSTO_GLOBAL[[#Headers],[Adicional de Acúmulo de função]])-2,0)*($G20-$H20)</f>
        <v>0</v>
      </c>
      <c r="Q20" s="21">
        <f>VLOOKUP($A20,tabCustoUnit[],COLUMN(CUSTO_GLOBAL[[#Headers],[MODULO 1 - REMUNERAÇÃO ]])-2,0)*($G20-$H20)</f>
        <v>3397.1305000000002</v>
      </c>
      <c r="R20" s="21">
        <f>VLOOKUP($A20,tabCustoUnit[],COLUMN(CUSTO_GLOBAL[[#Headers],[INSS]])-2,0)*($G20-$H20)</f>
        <v>679.42610000000013</v>
      </c>
      <c r="S20" s="21">
        <f>VLOOKUP($A20,tabCustoUnit[],COLUMN(CUSTO_GLOBAL[[#Headers],[SESI OU SESC]])-2,0)*($G20-$H20)</f>
        <v>50.956957500000001</v>
      </c>
      <c r="T20" s="21">
        <f>VLOOKUP($A20,tabCustoUnit[],COLUMN(CUSTO_GLOBAL[[#Headers],[SENAI OU SENAC]])-2,0)*($G20-$H20)</f>
        <v>33.971305000000001</v>
      </c>
      <c r="U20" s="21">
        <f>VLOOKUP($A20,tabCustoUnit[],COLUMN(CUSTO_GLOBAL[[#Headers],[INCRA]])-2,0)*($G20-$H20)</f>
        <v>6.7942610000000005</v>
      </c>
      <c r="V20" s="21">
        <f>VLOOKUP($A20,tabCustoUnit[],COLUMN(CUSTO_GLOBAL[[#Headers],[Salário Educação]])-2,0)*($G20-$H20)</f>
        <v>84.928262500000017</v>
      </c>
      <c r="W20" s="21">
        <f>VLOOKUP($A20,tabCustoUnit[],COLUMN(CUSTO_GLOBAL[[#Headers],[FGTS]])-2,0)*($G20-$H20)</f>
        <v>271.77044000000001</v>
      </c>
      <c r="X20" s="21">
        <f>VLOOKUP($A20,tabCustoUnit[],COLUMN(CUSTO_GLOBAL[[#Headers],[RAT Ajustado]])-2,0)*($G20-$H20)</f>
        <v>135.88522</v>
      </c>
      <c r="Y20" s="21">
        <f>VLOOKUP($A20,tabCustoUnit[],COLUMN(CUSTO_GLOBAL[[#Headers],[SEBRAE]])-2,0)*($G20-$H20)</f>
        <v>20.382783000000003</v>
      </c>
      <c r="Z20" s="21">
        <f>VLOOKUP($A20,tabCustoUnit[],COLUMN(CUSTO_GLOBAL[[#Headers],[Submódulo 2.1]])-2,0)*($G20-$H20)</f>
        <v>1284.1153290000002</v>
      </c>
      <c r="AA20" s="21">
        <f>VLOOKUP($A20,tabCustoUnit[],COLUMN(CUSTO_GLOBAL[[#Headers],[13º salário (titular)]])-2,0)*($G20-$H20)</f>
        <v>283.09420833333331</v>
      </c>
      <c r="AB20" s="21">
        <f>VLOOKUP($A20,tabCustoUnit[],COLUMN(CUSTO_GLOBAL[[#Headers],[Férias e Adicional de Férias (titular)]])-2,0)*($G20-$H20)</f>
        <v>377.45894444444446</v>
      </c>
      <c r="AC20" s="21">
        <f>VLOOKUP($A20,tabCustoUnit[],COLUMN(CUSTO_GLOBAL[[#Headers],[Incidência do Submódulo 2.1 sobre 13º Salário, Férias e Adicional de Férias]])-2,0)*($G20-$H20)</f>
        <v>249.68909175000005</v>
      </c>
      <c r="AD20" s="21">
        <f>VLOOKUP($A20,tabCustoUnit[],COLUMN(CUSTO_GLOBAL[[#Headers],[Submódulo 2.2]])-2,0)*($G20-$H20)</f>
        <v>910.24224452777776</v>
      </c>
      <c r="AE20" s="22" t="e">
        <f ca="1">VLOOKUP($A20,tabCustoUnit[],COLUMN(CUSTO_GLOBAL[[#Headers],[Vale - Transporte (Descontada parcela do empregado)]])-2,0)*($G20-$H20)</f>
        <v>#NAME?</v>
      </c>
      <c r="AF20" s="22">
        <f>VLOOKUP($A20,tabCustoUnit[],COLUMN(CUSTO_GLOBAL[[#Headers],[Vale - Alimentação (Descontada parcela do empregado)]])-2,0)*($G20-$H20)</f>
        <v>582</v>
      </c>
      <c r="AG20" s="22">
        <f>VLOOKUP($A20,tabCustoUnit[],COLUMN(CUSTO_GLOBAL[[#Headers],[Cesta Básica]])-2,0)*($G20-$H20)</f>
        <v>0</v>
      </c>
      <c r="AH20" s="22">
        <f>VLOOKUP($A20,tabCustoUnit[],COLUMN(CUSTO_GLOBAL[[#Headers],[PAF]])-2,0)*($G20-$H20)</f>
        <v>51.88</v>
      </c>
      <c r="AI20" s="22">
        <f>VLOOKUP($A20,tabCustoUnit[],COLUMN(CUSTO_GLOBAL[[#Headers],[PQM]])-2,0)*($G20-$H20)</f>
        <v>0</v>
      </c>
      <c r="AJ20" s="22">
        <v>0</v>
      </c>
      <c r="AK20" s="22">
        <f>VLOOKUP($A20,tabCustoUnit[],COLUMN(CUSTO_GLOBAL[[#Headers],[Seguro de Vida]])-2,0)*($G20-$H20)</f>
        <v>3.36</v>
      </c>
      <c r="AL20" s="22">
        <f>VLOOKUP($A20,tabCustoUnit[],COLUMN(CUSTO_GLOBAL[[#Headers],[Despesas de Viagem]])-2,0)*($G20-$H20)</f>
        <v>0</v>
      </c>
      <c r="AM20" s="22" t="e">
        <f ca="1">VLOOKUP($A20,tabCustoUnit[],COLUMN(CUSTO_GLOBAL[[#Headers],[Submódulo 2.3]])-2,0)*($G20-$H20)</f>
        <v>#NAME?</v>
      </c>
      <c r="AN20" s="22" t="e">
        <f ca="1">VLOOKUP($A20,tabCustoUnit[],COLUMN(CUSTO_GLOBAL[[#Headers],[MÓDULO 2 - Total Encargos e Benefícios mensais e diários]])-2,0)*($G20-$H20)</f>
        <v>#NAME?</v>
      </c>
      <c r="AO20" s="22">
        <f>VLOOKUP($A20,tabCustoUnit[],COLUMN(CUSTO_GLOBAL[[#Headers],[Aviso Prévio Indenizado (API) e Reflexo do Aviso Prévio Indenizado]])-2,0)*($G20-$H20)</f>
        <v>23.819887450713736</v>
      </c>
      <c r="AP20" s="22">
        <f>VLOOKUP($A20,tabCustoUnit[],COLUMN(CUSTO_GLOBAL[[#Headers],[Incidência do FGTS sobre API e Reflexo do API]])-2,0)*($G20-$H20)</f>
        <v>1.9055909960570991</v>
      </c>
      <c r="AQ20" s="22">
        <f>VLOOKUP($A20,tabCustoUnit[],COLUMN(CUSTO_GLOBAL[[#Headers],[Multa Rescisória do FGTS sobre o Aviso Prévio Indenizado]])-2,0)*($G20-$H20)</f>
        <v>0.76223639842283974</v>
      </c>
      <c r="AR20" s="22">
        <f>VLOOKUP($A20,tabCustoUnit[],COLUMN(CUSTO_GLOBAL[[#Headers],[Aviso Prévio Trabalhado - APT]])-2,0)*($G20-$H20)</f>
        <v>11.889956750000003</v>
      </c>
      <c r="AS20" s="22">
        <f>VLOOKUP($A20,tabCustoUnit[],COLUMN(CUSTO_GLOBAL[[#Headers],[Incidência dos encargos do submódulo 2.1 sobre Aviso Prévio Trabalhado]])-2,0)*($G20-$H20)</f>
        <v>4.4944036515000017</v>
      </c>
      <c r="AT20" s="22">
        <f>VLOOKUP($A20,tabCustoUnit[],COLUMN(CUSTO_GLOBAL[[#Headers],[Multa Rescisória do FGTS]])-2,0)*($G20-$H20)</f>
        <v>103.87670151111111</v>
      </c>
      <c r="AU20" s="22">
        <f>VLOOKUP($A20,tabCustoUnit[],COLUMN(CUSTO_GLOBAL[[#Headers],[Indenização Adicional (Art. 9º da Lei nº 7.238/84)]])-2,0)*($G20-$H20)</f>
        <v>2.8309420833333339</v>
      </c>
      <c r="AV20" s="22">
        <f>VLOOKUP($A20,tabCustoUnit[],COLUMN(CUSTO_GLOBAL[[#Headers],[MÓDULO 3 – PROVISÃO PARA RESCISÃO]])-2,0)*($G20-$H20)</f>
        <v>149.57971884113812</v>
      </c>
      <c r="AW20" s="22">
        <f>VLOOKUP($A20,tabCustoUnit[],COLUMN(CUSTO_GLOBAL[[#Headers],[Ausência por Doença]])-2,0)*($G20-$H20)</f>
        <v>28.686879777777776</v>
      </c>
      <c r="AX20" s="22">
        <f>VLOOKUP($A20,tabCustoUnit[],COLUMN(CUSTO_GLOBAL[[#Headers],[Ausências Legais]])-2,0)*($G20-$H20)</f>
        <v>6.888625736111111</v>
      </c>
      <c r="AY20" s="22">
        <f>VLOOKUP($A20,tabCustoUnit[],COLUMN(CUSTO_GLOBAL[[#Headers],[Licença Paternidade]])-2,0)*($G20-$H20)</f>
        <v>0.58034312708333335</v>
      </c>
      <c r="AZ20" s="22">
        <f>VLOOKUP($A20,tabCustoUnit[],COLUMN(CUSTO_GLOBAL[[#Headers],[Ausência por Acidente de Trabalho]])-2,0)*($G20-$H20)</f>
        <v>0.70773552083333346</v>
      </c>
      <c r="BA20" s="22">
        <f>VLOOKUP($A20,tabCustoUnit[],COLUMN(CUSTO_GLOBAL[[#Headers],[Férias, Adicional de Férias e 13º  com empregada em gozo de Licença Maternidade]])-2,0)*($G20-$H20)</f>
        <v>4.4036876851851856</v>
      </c>
      <c r="BB20" s="22">
        <f>VLOOKUP($A20,tabCustoUnit[],COLUMN(CUSTO_GLOBAL[[#Headers],[Incidência do Submódulo 2.1 sobre Ausências Legais]])-2,0)*($G20-$H20)</f>
        <v>15.599028758162504</v>
      </c>
      <c r="BC20" s="22">
        <f>VLOOKUP($A20,tabCustoUnit[],COLUMN(CUSTO_GLOBAL[[#Headers],[Submódulo 4.1]])-2,0)*($G20-$H20)</f>
        <v>56.866300605153235</v>
      </c>
      <c r="BD20" s="22">
        <f>VLOOKUP($A20,tabCustoUnit[],COLUMN(CUSTO_GLOBAL[[#Headers],[Intervalo para Repouso ou Alimentação]])-2,0)*($G20-$H20)</f>
        <v>0</v>
      </c>
      <c r="BE20" s="22">
        <f>VLOOKUP($A20,tabCustoUnit[],COLUMN(CUSTO_GLOBAL[[#Headers],[Submódulo 4.2]])-2,0)*($G20-$H20)</f>
        <v>0</v>
      </c>
      <c r="BF20" s="22">
        <f>VLOOKUP($A20,tabCustoUnit[],COLUMN(CUSTO_GLOBAL[[#Headers],[Suspensão Temporária do Contrato de Trabalho]])-2,0)*($G20-$H20)</f>
        <v>0</v>
      </c>
      <c r="BG20" s="22">
        <f>VLOOKUP($A20,tabCustoUnit[],COLUMN(CUSTO_GLOBAL[[#Headers],[Submódulo 4.3]])-2,0)*($G20-$H20)</f>
        <v>0</v>
      </c>
      <c r="BH20" s="22">
        <f>VLOOKUP($A20,tabCustoUnit[],COLUMN(CUSTO_GLOBAL[[#Headers],[MÓDULO 4 – CUSTO DE REPOSIÇÃO DO PROFISSIONAL AUSENTE]])-2,0)*($G20-$H20)</f>
        <v>56.866300605153235</v>
      </c>
      <c r="BI20" s="22">
        <f>VLOOKUP($A20,tabCustoUnit[],COLUMN(CUSTO_GLOBAL[[#Headers],[Uniformes e EPIs]])-2,0)*($G20-$H20)</f>
        <v>56.642978962543395</v>
      </c>
      <c r="BJ20" s="22">
        <f>VLOOKUP($A20,tabCustoUnit[],COLUMN(CUSTO_GLOBAL[[#Headers],[Materiais de Consumo]])-2,0)*($G20-$H20)</f>
        <v>0</v>
      </c>
      <c r="BK20" s="22">
        <f>VLOOKUP($A20,tabCustoUnit[],COLUMN(CUSTO_GLOBAL[[#Headers],[Máquinas e Equipamentos (depreciação)]])-2,0)*($G20-$H20)</f>
        <v>0</v>
      </c>
      <c r="BL20" s="22">
        <f>VLOOKUP($A20,tabCustoUnit[],COLUMN(CUSTO_GLOBAL[[#Headers],[Produtos de Limpeza e Materiais de Higiene Pessoal]])-2,0)*($G20-$H20)</f>
        <v>0</v>
      </c>
      <c r="BM20" s="22">
        <f>VLOOKUP($A20,tabCustoUnit[],COLUMN(CUSTO_GLOBAL[[#Headers],[Outros (especificar)]])-2,0)*($G20-$H20)</f>
        <v>0</v>
      </c>
      <c r="BN20" s="22">
        <f>VLOOKUP($A20,tabCustoUnit[],COLUMN(CUSTO_GLOBAL[[#Headers],[MÓDULO 5 – INSUMOS DIVERSOS]])-2,0)*($G20-$H20)</f>
        <v>56.642978962543395</v>
      </c>
      <c r="BO20" s="22" t="e">
        <f ca="1">VLOOKUP($A20,tabCustoUnit[],COLUMN(CUSTO_GLOBAL[[#Headers],[TOTAL MÓDULOS 1+2+3+4+5]])-2,0)*($G20-$H20)</f>
        <v>#NAME?</v>
      </c>
      <c r="BP20" s="22" t="e">
        <f ca="1">VLOOKUP($A20,tabCustoUnit[],COLUMN(CUSTO_GLOBAL[[#Headers],[Custos Indiretos]])-2,0)*($G20-$H20)</f>
        <v>#NAME?</v>
      </c>
      <c r="BQ20" s="22" t="e">
        <f ca="1">VLOOKUP($A20,tabCustoUnit[],COLUMN(CUSTO_GLOBAL[[#Headers],[Lucro]])-2,0)*($G20-$H20)</f>
        <v>#NAME?</v>
      </c>
      <c r="BR20" s="26">
        <f>VLOOKUP($A20,tabCustoUnit[],COLUMN(CUSTO_GLOBAL[[#Headers],[COFINS]])-2,0)</f>
        <v>8.5633802816901458E-2</v>
      </c>
      <c r="BS20" s="26">
        <f>VLOOKUP($A20,tabCustoUnit[],COLUMN(CUSTO_GLOBAL[[#Headers],[PIS]])-2,0)</f>
        <v>1.8591549295774657E-2</v>
      </c>
      <c r="BT20" s="28">
        <f>VLOOKUP($A20,tabCustoUnit[],COLUMN(CUSTO_GLOBAL[[#Headers],[ISS]])-2,0)</f>
        <v>0.02</v>
      </c>
      <c r="BU20" s="26">
        <f>VLOOKUP($A20,tabCustoUnit[],COLUMN(CUSTO_GLOBAL[[#Headers],[ISS (Conversão Alíquota s/ fatura)]])-2,0)</f>
        <v>2.2535211267605645E-2</v>
      </c>
      <c r="BV20" s="26">
        <f>VLOOKUP($A20,tabCustoUnit[],COLUMN(CUSTO_GLOBAL[[#Headers],[Resumo de Alíquotas (PIS+CONFINS+ISS)]])-2,0)</f>
        <v>0.1125</v>
      </c>
      <c r="BW20" s="138">
        <f>VLOOKUP($A20,tabCustoUnit[],COLUMN(CUSTO_GLOBAL[[#Headers],[PIS + COFINS + ISS (Total Conversão  Alíquota s/ Fatura)]])-2,0)</f>
        <v>0.12676056338028174</v>
      </c>
      <c r="BX20" s="22" t="e">
        <f ca="1">VLOOKUP($A20,tabCustoUnit[],COLUMN(CUSTO_GLOBAL[[#Headers],[Valor dos Tributos (ISS, PIS, CONFINS)]])-2,0)*($G20-$H20)</f>
        <v>#NAME?</v>
      </c>
      <c r="BY20" s="22" t="e">
        <f ca="1">VLOOKUP($A20,tabCustoUnit[],COLUMN(CUSTO_GLOBAL[[#Headers],[MÓDULO 6 – CUSTOS INDIRETOS, TRIBUTOS E LUCRO]])-2,0)*($G20-$H20)</f>
        <v>#NAME?</v>
      </c>
      <c r="BZ20" s="22" t="e">
        <f ca="1">VLOOKUP($A20,tabCustoUnit[],COLUMN(CUSTO_GLOBAL[[#Headers],[CUSTO TOTAL MENSAL]])-2,0)*($G20-$H20)</f>
        <v>#NAME?</v>
      </c>
      <c r="CA20" s="22" t="e">
        <f ca="1">CUSTO_GLOBAL[[#This Row],[CUSTO TOTAL MENSAL]]*12</f>
        <v>#NAME?</v>
      </c>
      <c r="CB20" s="24">
        <f>VLOOKUP($A20,tabCustoUnit[],COLUMN(CUSTO_GLOBAL[[#Headers],[ANO DA CCT]])-2,0)</f>
        <v>45658</v>
      </c>
      <c r="CC20" s="25" t="str">
        <f>VLOOKUP($A20,tabCustoUnit[],COLUMN(CUSTO_GLOBAL[[#Headers],[Nº DE PEDIDO DA CCT]])-2,0)</f>
        <v>-</v>
      </c>
      <c r="CD20" s="25" t="str">
        <f>VLOOKUP($A20,tabCustoUnit[],COLUMN(CUSTO_GLOBAL[[#Headers],[TERMO ADITIVO ALTERAÇÃO DA CCT]])-2,0)</f>
        <v>-</v>
      </c>
    </row>
    <row r="21" spans="1:82">
      <c r="A21" s="20" t="s">
        <v>1405</v>
      </c>
      <c r="B21" t="s">
        <v>1100</v>
      </c>
      <c r="C21" t="s">
        <v>200</v>
      </c>
      <c r="D21" t="s">
        <v>918</v>
      </c>
      <c r="E21" s="20" t="s">
        <v>1090</v>
      </c>
      <c r="F21" s="20" t="s">
        <v>120</v>
      </c>
      <c r="G21" s="20">
        <v>1</v>
      </c>
      <c r="H21" s="20">
        <v>0</v>
      </c>
      <c r="I21" s="21">
        <f>VLOOKUP($A21,tabCustoUnit[],COLUMN(CUSTO_GLOBAL[[#Headers],[Salário Base]])-2,0)*($G21-$H21)</f>
        <v>1596.2737999999999</v>
      </c>
      <c r="J21" s="21">
        <f>VLOOKUP($A21,tabCustoUnit[],COLUMN(CUSTO_GLOBAL[[#Headers],[Adicional Periculosidade]])-2,0)*($G21-$H21)</f>
        <v>0</v>
      </c>
      <c r="K21" s="21">
        <f>VLOOKUP($A21,tabCustoUnit[],COLUMN(CUSTO_GLOBAL[[#Headers],[Adicional Insalubridade]])-2,0)*($G21-$H21)</f>
        <v>0</v>
      </c>
      <c r="L21" s="21">
        <f>VLOOKUP($A21,tabCustoUnit[],COLUMN(CUSTO_GLOBAL[[#Headers],[Adicional Noturno]])-2,0)*($G21-$H21)</f>
        <v>0</v>
      </c>
      <c r="M21" s="21">
        <f>VLOOKUP($A21,tabCustoUnit[],COLUMN(CUSTO_GLOBAL[[#Headers],[Adicional Motorista II (Gratificação)]])-2,0)*($G21-$H21)</f>
        <v>0</v>
      </c>
      <c r="N21" s="21">
        <f>VLOOKUP($A21,tabCustoUnit[],COLUMN(CUSTO_GLOBAL[[#Headers],[Adicional de Sobreaviso]])-2,0)*($G21-$H21)</f>
        <v>0</v>
      </c>
      <c r="O21" s="21">
        <f>VLOOKUP($A21,tabCustoUnit[],COLUMN(CUSTO_GLOBAL[[#Headers],[Horas Extras TI]])-2,0)*($G21-$H21)</f>
        <v>0</v>
      </c>
      <c r="P21" s="21">
        <f>VLOOKUP($A21,tabCustoUnit[],COLUMN(CUSTO_GLOBAL[[#Headers],[Adicional de Acúmulo de função]])-2,0)*($G21-$H21)</f>
        <v>0</v>
      </c>
      <c r="Q21" s="21">
        <f>VLOOKUP($A21,tabCustoUnit[],COLUMN(CUSTO_GLOBAL[[#Headers],[MODULO 1 - REMUNERAÇÃO ]])-2,0)*($G21-$H21)</f>
        <v>1596.2737999999999</v>
      </c>
      <c r="R21" s="21">
        <f>VLOOKUP($A21,tabCustoUnit[],COLUMN(CUSTO_GLOBAL[[#Headers],[INSS]])-2,0)*($G21-$H21)</f>
        <v>319.25476000000003</v>
      </c>
      <c r="S21" s="21">
        <f>VLOOKUP($A21,tabCustoUnit[],COLUMN(CUSTO_GLOBAL[[#Headers],[SESI OU SESC]])-2,0)*($G21-$H21)</f>
        <v>23.944106999999999</v>
      </c>
      <c r="T21" s="21">
        <f>VLOOKUP($A21,tabCustoUnit[],COLUMN(CUSTO_GLOBAL[[#Headers],[SENAI OU SENAC]])-2,0)*($G21-$H21)</f>
        <v>15.962738</v>
      </c>
      <c r="U21" s="21">
        <f>VLOOKUP($A21,tabCustoUnit[],COLUMN(CUSTO_GLOBAL[[#Headers],[INCRA]])-2,0)*($G21-$H21)</f>
        <v>3.1925476000000002</v>
      </c>
      <c r="V21" s="21">
        <f>VLOOKUP($A21,tabCustoUnit[],COLUMN(CUSTO_GLOBAL[[#Headers],[Salário Educação]])-2,0)*($G21-$H21)</f>
        <v>39.906845000000004</v>
      </c>
      <c r="W21" s="21">
        <f>VLOOKUP($A21,tabCustoUnit[],COLUMN(CUSTO_GLOBAL[[#Headers],[FGTS]])-2,0)*($G21-$H21)</f>
        <v>127.701904</v>
      </c>
      <c r="X21" s="21">
        <f>VLOOKUP($A21,tabCustoUnit[],COLUMN(CUSTO_GLOBAL[[#Headers],[RAT Ajustado]])-2,0)*($G21-$H21)</f>
        <v>63.850951999999999</v>
      </c>
      <c r="Y21" s="21">
        <f>VLOOKUP($A21,tabCustoUnit[],COLUMN(CUSTO_GLOBAL[[#Headers],[SEBRAE]])-2,0)*($G21-$H21)</f>
        <v>9.5776427999999996</v>
      </c>
      <c r="Z21" s="21">
        <f>VLOOKUP($A21,tabCustoUnit[],COLUMN(CUSTO_GLOBAL[[#Headers],[Submódulo 2.1]])-2,0)*($G21-$H21)</f>
        <v>603.39149640000005</v>
      </c>
      <c r="AA21" s="21">
        <f>VLOOKUP($A21,tabCustoUnit[],COLUMN(CUSTO_GLOBAL[[#Headers],[13º salário (titular)]])-2,0)*($G21-$H21)</f>
        <v>133.02281666666664</v>
      </c>
      <c r="AB21" s="21">
        <f>VLOOKUP($A21,tabCustoUnit[],COLUMN(CUSTO_GLOBAL[[#Headers],[Férias e Adicional de Férias (titular)]])-2,0)*($G21-$H21)</f>
        <v>177.36375555555554</v>
      </c>
      <c r="AC21" s="21">
        <f>VLOOKUP($A21,tabCustoUnit[],COLUMN(CUSTO_GLOBAL[[#Headers],[Incidência do Submódulo 2.1 sobre 13º Salário, Férias e Adicional de Férias]])-2,0)*($G21-$H21)</f>
        <v>117.3261243</v>
      </c>
      <c r="AD21" s="21">
        <f>VLOOKUP($A21,tabCustoUnit[],COLUMN(CUSTO_GLOBAL[[#Headers],[Submódulo 2.2]])-2,0)*($G21-$H21)</f>
        <v>427.71269652222219</v>
      </c>
      <c r="AE21" s="22" t="e">
        <f ca="1">VLOOKUP($A21,tabCustoUnit[],COLUMN(CUSTO_GLOBAL[[#Headers],[Vale - Transporte (Descontada parcela do empregado)]])-2,0)*($G21-$H21)</f>
        <v>#NAME?</v>
      </c>
      <c r="AF21" s="22">
        <f>VLOOKUP($A21,tabCustoUnit[],COLUMN(CUSTO_GLOBAL[[#Headers],[Vale - Alimentação (Descontada parcela do empregado)]])-2,0)*($G21-$H21)</f>
        <v>582</v>
      </c>
      <c r="AG21" s="22">
        <f>VLOOKUP($A21,tabCustoUnit[],COLUMN(CUSTO_GLOBAL[[#Headers],[Cesta Básica]])-2,0)*($G21-$H21)</f>
        <v>0</v>
      </c>
      <c r="AH21" s="22">
        <f>VLOOKUP($A21,tabCustoUnit[],COLUMN(CUSTO_GLOBAL[[#Headers],[PAF]])-2,0)*($G21-$H21)</f>
        <v>0</v>
      </c>
      <c r="AI21" s="22">
        <f>VLOOKUP($A21,tabCustoUnit[],COLUMN(CUSTO_GLOBAL[[#Headers],[PQM]])-2,0)*($G21-$H21)</f>
        <v>15.07</v>
      </c>
      <c r="AJ21" s="22">
        <v>0</v>
      </c>
      <c r="AK21" s="22">
        <f>VLOOKUP($A21,tabCustoUnit[],COLUMN(CUSTO_GLOBAL[[#Headers],[Seguro de Vida]])-2,0)*($G21-$H21)</f>
        <v>3.36</v>
      </c>
      <c r="AL21" s="22">
        <f>VLOOKUP($A21,tabCustoUnit[],COLUMN(CUSTO_GLOBAL[[#Headers],[Despesas de Viagem]])-2,0)*($G21-$H21)</f>
        <v>0</v>
      </c>
      <c r="AM21" s="22" t="e">
        <f ca="1">VLOOKUP($A21,tabCustoUnit[],COLUMN(CUSTO_GLOBAL[[#Headers],[Submódulo 2.3]])-2,0)*($G21-$H21)</f>
        <v>#NAME?</v>
      </c>
      <c r="AN21" s="22" t="e">
        <f ca="1">VLOOKUP($A21,tabCustoUnit[],COLUMN(CUSTO_GLOBAL[[#Headers],[MÓDULO 2 - Total Encargos e Benefícios mensais e diários]])-2,0)*($G21-$H21)</f>
        <v>#NAME?</v>
      </c>
      <c r="AO21" s="22">
        <f>VLOOKUP($A21,tabCustoUnit[],COLUMN(CUSTO_GLOBAL[[#Headers],[Aviso Prévio Indenizado (API) e Reflexo do Aviso Prévio Indenizado]])-2,0)*($G21-$H21)</f>
        <v>11.192699914390431</v>
      </c>
      <c r="AP21" s="22">
        <f>VLOOKUP($A21,tabCustoUnit[],COLUMN(CUSTO_GLOBAL[[#Headers],[Incidência do FGTS sobre API e Reflexo do API]])-2,0)*($G21-$H21)</f>
        <v>0.89541599315123466</v>
      </c>
      <c r="AQ21" s="22">
        <f>VLOOKUP($A21,tabCustoUnit[],COLUMN(CUSTO_GLOBAL[[#Headers],[Multa Rescisória do FGTS sobre o Aviso Prévio Indenizado]])-2,0)*($G21-$H21)</f>
        <v>0.35816639726049387</v>
      </c>
      <c r="AR21" s="22">
        <f>VLOOKUP($A21,tabCustoUnit[],COLUMN(CUSTO_GLOBAL[[#Headers],[Aviso Prévio Trabalhado - APT]])-2,0)*($G21-$H21)</f>
        <v>5.5869583000000009</v>
      </c>
      <c r="AS21" s="22">
        <f>VLOOKUP($A21,tabCustoUnit[],COLUMN(CUSTO_GLOBAL[[#Headers],[Incidência dos encargos do submódulo 2.1 sobre Aviso Prévio Trabalhado]])-2,0)*($G21-$H21)</f>
        <v>2.1118702374000007</v>
      </c>
      <c r="AT21" s="22">
        <f>VLOOKUP($A21,tabCustoUnit[],COLUMN(CUSTO_GLOBAL[[#Headers],[Multa Rescisória do FGTS]])-2,0)*($G21-$H21)</f>
        <v>48.810505528888882</v>
      </c>
      <c r="AU21" s="22">
        <f>VLOOKUP($A21,tabCustoUnit[],COLUMN(CUSTO_GLOBAL[[#Headers],[Indenização Adicional (Art. 9º da Lei nº 7.238/84)]])-2,0)*($G21-$H21)</f>
        <v>1.3302281666666667</v>
      </c>
      <c r="AV21" s="22">
        <f>VLOOKUP($A21,tabCustoUnit[],COLUMN(CUSTO_GLOBAL[[#Headers],[MÓDULO 3 – PROVISÃO PARA RESCISÃO]])-2,0)*($G21-$H21)</f>
        <v>70.285844537757711</v>
      </c>
      <c r="AW21" s="22">
        <f>VLOOKUP($A21,tabCustoUnit[],COLUMN(CUSTO_GLOBAL[[#Headers],[Ausência por Doença]])-2,0)*($G21-$H21)</f>
        <v>13.479645422222221</v>
      </c>
      <c r="AX21" s="22">
        <f>VLOOKUP($A21,tabCustoUnit[],COLUMN(CUSTO_GLOBAL[[#Headers],[Ausências Legais]])-2,0)*($G21-$H21)</f>
        <v>3.2368885388888886</v>
      </c>
      <c r="AY21" s="22">
        <f>VLOOKUP($A21,tabCustoUnit[],COLUMN(CUSTO_GLOBAL[[#Headers],[Licença Paternidade]])-2,0)*($G21-$H21)</f>
        <v>0.27269677416666666</v>
      </c>
      <c r="AZ21" s="22">
        <f>VLOOKUP($A21,tabCustoUnit[],COLUMN(CUSTO_GLOBAL[[#Headers],[Ausência por Acidente de Trabalho]])-2,0)*($G21-$H21)</f>
        <v>0.33255704166666666</v>
      </c>
      <c r="BA21" s="22">
        <f>VLOOKUP($A21,tabCustoUnit[],COLUMN(CUSTO_GLOBAL[[#Headers],[Férias, Adicional de Férias e 13º  com empregada em gozo de Licença Maternidade]])-2,0)*($G21-$H21)</f>
        <v>2.0692438148148145</v>
      </c>
      <c r="BB21" s="22">
        <f>VLOOKUP($A21,tabCustoUnit[],COLUMN(CUSTO_GLOBAL[[#Headers],[Incidência do Submódulo 2.1 sobre Ausências Legais]])-2,0)*($G21-$H21)</f>
        <v>7.3298099416850011</v>
      </c>
      <c r="BC21" s="22">
        <f>VLOOKUP($A21,tabCustoUnit[],COLUMN(CUSTO_GLOBAL[[#Headers],[Submódulo 4.1]])-2,0)*($G21-$H21)</f>
        <v>26.720841533444265</v>
      </c>
      <c r="BD21" s="22">
        <f>VLOOKUP($A21,tabCustoUnit[],COLUMN(CUSTO_GLOBAL[[#Headers],[Intervalo para Repouso ou Alimentação]])-2,0)*($G21-$H21)</f>
        <v>0</v>
      </c>
      <c r="BE21" s="22">
        <f>VLOOKUP($A21,tabCustoUnit[],COLUMN(CUSTO_GLOBAL[[#Headers],[Submódulo 4.2]])-2,0)*($G21-$H21)</f>
        <v>0</v>
      </c>
      <c r="BF21" s="22">
        <f>VLOOKUP($A21,tabCustoUnit[],COLUMN(CUSTO_GLOBAL[[#Headers],[Suspensão Temporária do Contrato de Trabalho]])-2,0)*($G21-$H21)</f>
        <v>0</v>
      </c>
      <c r="BG21" s="22">
        <f>VLOOKUP($A21,tabCustoUnit[],COLUMN(CUSTO_GLOBAL[[#Headers],[Submódulo 4.3]])-2,0)*($G21-$H21)</f>
        <v>0</v>
      </c>
      <c r="BH21" s="22">
        <f>VLOOKUP($A21,tabCustoUnit[],COLUMN(CUSTO_GLOBAL[[#Headers],[MÓDULO 4 – CUSTO DE REPOSIÇÃO DO PROFISSIONAL AUSENTE]])-2,0)*($G21-$H21)</f>
        <v>26.720841533444265</v>
      </c>
      <c r="BI21" s="22">
        <f>VLOOKUP($A21,tabCustoUnit[],COLUMN(CUSTO_GLOBAL[[#Headers],[Uniformes e EPIs]])-2,0)*($G21-$H21)</f>
        <v>56.141713661989918</v>
      </c>
      <c r="BJ21" s="22">
        <f>VLOOKUP($A21,tabCustoUnit[],COLUMN(CUSTO_GLOBAL[[#Headers],[Materiais de Consumo]])-2,0)*($G21-$H21)</f>
        <v>0</v>
      </c>
      <c r="BK21" s="22">
        <f>VLOOKUP($A21,tabCustoUnit[],COLUMN(CUSTO_GLOBAL[[#Headers],[Máquinas e Equipamentos (depreciação)]])-2,0)*($G21-$H21)</f>
        <v>0</v>
      </c>
      <c r="BL21" s="22">
        <f>VLOOKUP($A21,tabCustoUnit[],COLUMN(CUSTO_GLOBAL[[#Headers],[Produtos de Limpeza e Materiais de Higiene Pessoal]])-2,0)*($G21-$H21)</f>
        <v>0</v>
      </c>
      <c r="BM21" s="22">
        <f>VLOOKUP($A21,tabCustoUnit[],COLUMN(CUSTO_GLOBAL[[#Headers],[Outros (especificar)]])-2,0)*($G21-$H21)</f>
        <v>0</v>
      </c>
      <c r="BN21" s="22">
        <f>VLOOKUP($A21,tabCustoUnit[],COLUMN(CUSTO_GLOBAL[[#Headers],[MÓDULO 5 – INSUMOS DIVERSOS]])-2,0)*($G21-$H21)</f>
        <v>56.141713661989918</v>
      </c>
      <c r="BO21" s="22" t="e">
        <f ca="1">VLOOKUP($A21,tabCustoUnit[],COLUMN(CUSTO_GLOBAL[[#Headers],[TOTAL MÓDULOS 1+2+3+4+5]])-2,0)*($G21-$H21)</f>
        <v>#NAME?</v>
      </c>
      <c r="BP21" s="22" t="e">
        <f ca="1">VLOOKUP($A21,tabCustoUnit[],COLUMN(CUSTO_GLOBAL[[#Headers],[Custos Indiretos]])-2,0)*($G21-$H21)</f>
        <v>#NAME?</v>
      </c>
      <c r="BQ21" s="22" t="e">
        <f ca="1">VLOOKUP($A21,tabCustoUnit[],COLUMN(CUSTO_GLOBAL[[#Headers],[Lucro]])-2,0)*($G21-$H21)</f>
        <v>#NAME?</v>
      </c>
      <c r="BR21" s="26">
        <f>VLOOKUP($A21,tabCustoUnit[],COLUMN(CUSTO_GLOBAL[[#Headers],[COFINS]])-2,0)</f>
        <v>8.6609686609686695E-2</v>
      </c>
      <c r="BS21" s="26">
        <f>VLOOKUP($A21,tabCustoUnit[],COLUMN(CUSTO_GLOBAL[[#Headers],[PIS]])-2,0)</f>
        <v>1.880341880341882E-2</v>
      </c>
      <c r="BT21" s="28">
        <f>VLOOKUP($A21,tabCustoUnit[],COLUMN(CUSTO_GLOBAL[[#Headers],[ISS]])-2,0)</f>
        <v>0.03</v>
      </c>
      <c r="BU21" s="26">
        <f>VLOOKUP($A21,tabCustoUnit[],COLUMN(CUSTO_GLOBAL[[#Headers],[ISS (Conversão Alíquota s/ fatura)]])-2,0)</f>
        <v>3.4188034188034219E-2</v>
      </c>
      <c r="BV21" s="26">
        <f>VLOOKUP($A21,tabCustoUnit[],COLUMN(CUSTO_GLOBAL[[#Headers],[Resumo de Alíquotas (PIS+CONFINS+ISS)]])-2,0)</f>
        <v>0.1225</v>
      </c>
      <c r="BW21" s="138">
        <f>VLOOKUP($A21,tabCustoUnit[],COLUMN(CUSTO_GLOBAL[[#Headers],[PIS + COFINS + ISS (Total Conversão  Alíquota s/ Fatura)]])-2,0)</f>
        <v>0.13960113960113973</v>
      </c>
      <c r="BX21" s="22" t="e">
        <f ca="1">VLOOKUP($A21,tabCustoUnit[],COLUMN(CUSTO_GLOBAL[[#Headers],[Valor dos Tributos (ISS, PIS, CONFINS)]])-2,0)*($G21-$H21)</f>
        <v>#NAME?</v>
      </c>
      <c r="BY21" s="22" t="e">
        <f ca="1">VLOOKUP($A21,tabCustoUnit[],COLUMN(CUSTO_GLOBAL[[#Headers],[MÓDULO 6 – CUSTOS INDIRETOS, TRIBUTOS E LUCRO]])-2,0)*($G21-$H21)</f>
        <v>#NAME?</v>
      </c>
      <c r="BZ21" s="22" t="e">
        <f ca="1">VLOOKUP($A21,tabCustoUnit[],COLUMN(CUSTO_GLOBAL[[#Headers],[CUSTO TOTAL MENSAL]])-2,0)*($G21-$H21)</f>
        <v>#NAME?</v>
      </c>
      <c r="CA21" s="22" t="e">
        <f ca="1">CUSTO_GLOBAL[[#This Row],[CUSTO TOTAL MENSAL]]*12</f>
        <v>#NAME?</v>
      </c>
      <c r="CB21" s="24">
        <f>VLOOKUP($A21,tabCustoUnit[],COLUMN(CUSTO_GLOBAL[[#Headers],[ANO DA CCT]])-2,0)</f>
        <v>45658</v>
      </c>
      <c r="CC21" s="25" t="str">
        <f>VLOOKUP($A21,tabCustoUnit[],COLUMN(CUSTO_GLOBAL[[#Headers],[Nº DE PEDIDO DA CCT]])-2,0)</f>
        <v>-</v>
      </c>
      <c r="CD21" s="25" t="str">
        <f>VLOOKUP($A21,tabCustoUnit[],COLUMN(CUSTO_GLOBAL[[#Headers],[TERMO ADITIVO ALTERAÇÃO DA CCT]])-2,0)</f>
        <v>-</v>
      </c>
    </row>
    <row r="22" spans="1:82">
      <c r="A22" s="20" t="s">
        <v>1543</v>
      </c>
      <c r="B22" t="s">
        <v>1100</v>
      </c>
      <c r="C22" t="s">
        <v>314</v>
      </c>
      <c r="D22" t="s">
        <v>918</v>
      </c>
      <c r="E22" s="20" t="s">
        <v>1090</v>
      </c>
      <c r="F22" s="20" t="s">
        <v>120</v>
      </c>
      <c r="G22" s="20">
        <v>1</v>
      </c>
      <c r="H22" s="20">
        <v>0</v>
      </c>
      <c r="I22" s="21">
        <f>VLOOKUP($A22,tabCustoUnit[],COLUMN(CUSTO_GLOBAL[[#Headers],[Salário Base]])-2,0)*($G22-$H22)</f>
        <v>1963.4110000000001</v>
      </c>
      <c r="J22" s="21">
        <f>VLOOKUP($A22,tabCustoUnit[],COLUMN(CUSTO_GLOBAL[[#Headers],[Adicional Periculosidade]])-2,0)*($G22-$H22)</f>
        <v>0</v>
      </c>
      <c r="K22" s="21">
        <f>VLOOKUP($A22,tabCustoUnit[],COLUMN(CUSTO_GLOBAL[[#Headers],[Adicional Insalubridade]])-2,0)*($G22-$H22)</f>
        <v>0</v>
      </c>
      <c r="L22" s="21">
        <f>VLOOKUP($A22,tabCustoUnit[],COLUMN(CUSTO_GLOBAL[[#Headers],[Adicional Noturno]])-2,0)*($G22-$H22)</f>
        <v>0</v>
      </c>
      <c r="M22" s="21">
        <f>VLOOKUP($A22,tabCustoUnit[],COLUMN(CUSTO_GLOBAL[[#Headers],[Adicional Motorista II (Gratificação)]])-2,0)*($G22-$H22)</f>
        <v>0</v>
      </c>
      <c r="N22" s="21">
        <f>VLOOKUP($A22,tabCustoUnit[],COLUMN(CUSTO_GLOBAL[[#Headers],[Adicional de Sobreaviso]])-2,0)*($G22-$H22)</f>
        <v>0</v>
      </c>
      <c r="O22" s="21">
        <f>VLOOKUP($A22,tabCustoUnit[],COLUMN(CUSTO_GLOBAL[[#Headers],[Horas Extras TI]])-2,0)*($G22-$H22)</f>
        <v>0</v>
      </c>
      <c r="P22" s="21">
        <f>VLOOKUP($A22,tabCustoUnit[],COLUMN(CUSTO_GLOBAL[[#Headers],[Adicional de Acúmulo de função]])-2,0)*($G22-$H22)</f>
        <v>0</v>
      </c>
      <c r="Q22" s="21">
        <f>VLOOKUP($A22,tabCustoUnit[],COLUMN(CUSTO_GLOBAL[[#Headers],[MODULO 1 - REMUNERAÇÃO ]])-2,0)*($G22-$H22)</f>
        <v>1963.4110000000001</v>
      </c>
      <c r="R22" s="21">
        <f>VLOOKUP($A22,tabCustoUnit[],COLUMN(CUSTO_GLOBAL[[#Headers],[INSS]])-2,0)*($G22-$H22)</f>
        <v>392.68220000000002</v>
      </c>
      <c r="S22" s="21">
        <f>VLOOKUP($A22,tabCustoUnit[],COLUMN(CUSTO_GLOBAL[[#Headers],[SESI OU SESC]])-2,0)*($G22-$H22)</f>
        <v>29.451165</v>
      </c>
      <c r="T22" s="21">
        <f>VLOOKUP($A22,tabCustoUnit[],COLUMN(CUSTO_GLOBAL[[#Headers],[SENAI OU SENAC]])-2,0)*($G22-$H22)</f>
        <v>19.63411</v>
      </c>
      <c r="U22" s="21">
        <f>VLOOKUP($A22,tabCustoUnit[],COLUMN(CUSTO_GLOBAL[[#Headers],[INCRA]])-2,0)*($G22-$H22)</f>
        <v>3.926822</v>
      </c>
      <c r="V22" s="21">
        <f>VLOOKUP($A22,tabCustoUnit[],COLUMN(CUSTO_GLOBAL[[#Headers],[Salário Educação]])-2,0)*($G22-$H22)</f>
        <v>49.085275000000003</v>
      </c>
      <c r="W22" s="21">
        <f>VLOOKUP($A22,tabCustoUnit[],COLUMN(CUSTO_GLOBAL[[#Headers],[FGTS]])-2,0)*($G22-$H22)</f>
        <v>157.07288</v>
      </c>
      <c r="X22" s="21">
        <f>VLOOKUP($A22,tabCustoUnit[],COLUMN(CUSTO_GLOBAL[[#Headers],[RAT Ajustado]])-2,0)*($G22-$H22)</f>
        <v>78.536439999999999</v>
      </c>
      <c r="Y22" s="21">
        <f>VLOOKUP($A22,tabCustoUnit[],COLUMN(CUSTO_GLOBAL[[#Headers],[SEBRAE]])-2,0)*($G22-$H22)</f>
        <v>11.780466000000001</v>
      </c>
      <c r="Z22" s="21">
        <f>VLOOKUP($A22,tabCustoUnit[],COLUMN(CUSTO_GLOBAL[[#Headers],[Submódulo 2.1]])-2,0)*($G22-$H22)</f>
        <v>742.1693580000001</v>
      </c>
      <c r="AA22" s="21">
        <f>VLOOKUP($A22,tabCustoUnit[],COLUMN(CUSTO_GLOBAL[[#Headers],[13º salário (titular)]])-2,0)*($G22-$H22)</f>
        <v>163.61758333333333</v>
      </c>
      <c r="AB22" s="21">
        <f>VLOOKUP($A22,tabCustoUnit[],COLUMN(CUSTO_GLOBAL[[#Headers],[Férias e Adicional de Férias (titular)]])-2,0)*($G22-$H22)</f>
        <v>218.15677777777776</v>
      </c>
      <c r="AC22" s="21">
        <f>VLOOKUP($A22,tabCustoUnit[],COLUMN(CUSTO_GLOBAL[[#Headers],[Incidência do Submódulo 2.1 sobre 13º Salário, Férias e Adicional de Férias]])-2,0)*($G22-$H22)</f>
        <v>144.3107085</v>
      </c>
      <c r="AD22" s="21">
        <f>VLOOKUP($A22,tabCustoUnit[],COLUMN(CUSTO_GLOBAL[[#Headers],[Submódulo 2.2]])-2,0)*($G22-$H22)</f>
        <v>526.08506961111107</v>
      </c>
      <c r="AE22" s="22" t="e">
        <f ca="1">VLOOKUP($A22,tabCustoUnit[],COLUMN(CUSTO_GLOBAL[[#Headers],[Vale - Transporte (Descontada parcela do empregado)]])-2,0)*($G22-$H22)</f>
        <v>#NAME?</v>
      </c>
      <c r="AF22" s="22">
        <f>VLOOKUP($A22,tabCustoUnit[],COLUMN(CUSTO_GLOBAL[[#Headers],[Vale - Alimentação (Descontada parcela do empregado)]])-2,0)*($G22-$H22)</f>
        <v>582</v>
      </c>
      <c r="AG22" s="22">
        <f>VLOOKUP($A22,tabCustoUnit[],COLUMN(CUSTO_GLOBAL[[#Headers],[Cesta Básica]])-2,0)*($G22-$H22)</f>
        <v>0</v>
      </c>
      <c r="AH22" s="22">
        <f>VLOOKUP($A22,tabCustoUnit[],COLUMN(CUSTO_GLOBAL[[#Headers],[PAF]])-2,0)*($G22-$H22)</f>
        <v>0</v>
      </c>
      <c r="AI22" s="22">
        <f>VLOOKUP($A22,tabCustoUnit[],COLUMN(CUSTO_GLOBAL[[#Headers],[PQM]])-2,0)*($G22-$H22)</f>
        <v>15.07</v>
      </c>
      <c r="AJ22" s="22">
        <v>0</v>
      </c>
      <c r="AK22" s="22">
        <f>VLOOKUP($A22,tabCustoUnit[],COLUMN(CUSTO_GLOBAL[[#Headers],[Seguro de Vida]])-2,0)*($G22-$H22)</f>
        <v>3.36</v>
      </c>
      <c r="AL22" s="22">
        <f>VLOOKUP($A22,tabCustoUnit[],COLUMN(CUSTO_GLOBAL[[#Headers],[Despesas de Viagem]])-2,0)*($G22-$H22)</f>
        <v>0</v>
      </c>
      <c r="AM22" s="22" t="e">
        <f ca="1">VLOOKUP($A22,tabCustoUnit[],COLUMN(CUSTO_GLOBAL[[#Headers],[Submódulo 2.3]])-2,0)*($G22-$H22)</f>
        <v>#NAME?</v>
      </c>
      <c r="AN22" s="22" t="e">
        <f ca="1">VLOOKUP($A22,tabCustoUnit[],COLUMN(CUSTO_GLOBAL[[#Headers],[MÓDULO 2 - Total Encargos e Benefícios mensais e diários]])-2,0)*($G22-$H22)</f>
        <v>#NAME?</v>
      </c>
      <c r="AO22" s="22">
        <f>VLOOKUP($A22,tabCustoUnit[],COLUMN(CUSTO_GLOBAL[[#Headers],[Aviso Prévio Indenizado (API) e Reflexo do Aviso Prévio Indenizado]])-2,0)*($G22-$H22)</f>
        <v>13.766980408757716</v>
      </c>
      <c r="AP22" s="22">
        <f>VLOOKUP($A22,tabCustoUnit[],COLUMN(CUSTO_GLOBAL[[#Headers],[Incidência do FGTS sobre API e Reflexo do API]])-2,0)*($G22-$H22)</f>
        <v>1.1013584327006174</v>
      </c>
      <c r="AQ22" s="22">
        <f>VLOOKUP($A22,tabCustoUnit[],COLUMN(CUSTO_GLOBAL[[#Headers],[Multa Rescisória do FGTS sobre o Aviso Prévio Indenizado]])-2,0)*($G22-$H22)</f>
        <v>0.44054337308024699</v>
      </c>
      <c r="AR22" s="22">
        <f>VLOOKUP($A22,tabCustoUnit[],COLUMN(CUSTO_GLOBAL[[#Headers],[Aviso Prévio Trabalhado - APT]])-2,0)*($G22-$H22)</f>
        <v>6.8719385000000015</v>
      </c>
      <c r="AS22" s="22">
        <f>VLOOKUP($A22,tabCustoUnit[],COLUMN(CUSTO_GLOBAL[[#Headers],[Incidência dos encargos do submódulo 2.1 sobre Aviso Prévio Trabalhado]])-2,0)*($G22-$H22)</f>
        <v>2.5975927530000007</v>
      </c>
      <c r="AT22" s="22">
        <f>VLOOKUP($A22,tabCustoUnit[],COLUMN(CUSTO_GLOBAL[[#Headers],[Multa Rescisória do FGTS]])-2,0)*($G22-$H22)</f>
        <v>60.03674524444444</v>
      </c>
      <c r="AU22" s="22">
        <f>VLOOKUP($A22,tabCustoUnit[],COLUMN(CUSTO_GLOBAL[[#Headers],[Indenização Adicional (Art. 9º da Lei nº 7.238/84)]])-2,0)*($G22-$H22)</f>
        <v>1.6361758333333334</v>
      </c>
      <c r="AV22" s="22">
        <f>VLOOKUP($A22,tabCustoUnit[],COLUMN(CUSTO_GLOBAL[[#Headers],[MÓDULO 3 – PROVISÃO PARA RESCISÃO]])-2,0)*($G22-$H22)</f>
        <v>86.451334545316371</v>
      </c>
      <c r="AW22" s="22">
        <f>VLOOKUP($A22,tabCustoUnit[],COLUMN(CUSTO_GLOBAL[[#Headers],[Ausência por Doença]])-2,0)*($G22-$H22)</f>
        <v>16.579915111111109</v>
      </c>
      <c r="AX22" s="22">
        <f>VLOOKUP($A22,tabCustoUnit[],COLUMN(CUSTO_GLOBAL[[#Headers],[Ausências Legais]])-2,0)*($G22-$H22)</f>
        <v>3.9813611944444443</v>
      </c>
      <c r="AY22" s="22">
        <f>VLOOKUP($A22,tabCustoUnit[],COLUMN(CUSTO_GLOBAL[[#Headers],[Licença Paternidade]])-2,0)*($G22-$H22)</f>
        <v>0.33541604583333334</v>
      </c>
      <c r="AZ22" s="22">
        <f>VLOOKUP($A22,tabCustoUnit[],COLUMN(CUSTO_GLOBAL[[#Headers],[Ausência por Acidente de Trabalho]])-2,0)*($G22-$H22)</f>
        <v>0.40904395833333335</v>
      </c>
      <c r="BA22" s="22">
        <f>VLOOKUP($A22,tabCustoUnit[],COLUMN(CUSTO_GLOBAL[[#Headers],[Férias, Adicional de Férias e 13º  com empregada em gozo de Licença Maternidade]])-2,0)*($G22-$H22)</f>
        <v>2.5451624074074073</v>
      </c>
      <c r="BB22" s="22">
        <f>VLOOKUP($A22,tabCustoUnit[],COLUMN(CUSTO_GLOBAL[[#Headers],[Incidência do Submódulo 2.1 sobre Ausências Legais]])-2,0)*($G22-$H22)</f>
        <v>9.0156397150750021</v>
      </c>
      <c r="BC22" s="22">
        <f>VLOOKUP($A22,tabCustoUnit[],COLUMN(CUSTO_GLOBAL[[#Headers],[Submódulo 4.1]])-2,0)*($G22-$H22)</f>
        <v>32.866538432204628</v>
      </c>
      <c r="BD22" s="22">
        <f>VLOOKUP($A22,tabCustoUnit[],COLUMN(CUSTO_GLOBAL[[#Headers],[Intervalo para Repouso ou Alimentação]])-2,0)*($G22-$H22)</f>
        <v>267.73786489195959</v>
      </c>
      <c r="BE22" s="22">
        <f>VLOOKUP($A22,tabCustoUnit[],COLUMN(CUSTO_GLOBAL[[#Headers],[Submódulo 4.2]])-2,0)*($G22-$H22)</f>
        <v>267.73786489195959</v>
      </c>
      <c r="BF22" s="22">
        <f>VLOOKUP($A22,tabCustoUnit[],COLUMN(CUSTO_GLOBAL[[#Headers],[Suspensão Temporária do Contrato de Trabalho]])-2,0)*($G22-$H22)</f>
        <v>0</v>
      </c>
      <c r="BG22" s="22">
        <f>VLOOKUP($A22,tabCustoUnit[],COLUMN(CUSTO_GLOBAL[[#Headers],[Submódulo 4.3]])-2,0)*($G22-$H22)</f>
        <v>0</v>
      </c>
      <c r="BH22" s="22">
        <f>VLOOKUP($A22,tabCustoUnit[],COLUMN(CUSTO_GLOBAL[[#Headers],[MÓDULO 4 – CUSTO DE REPOSIÇÃO DO PROFISSIONAL AUSENTE]])-2,0)*($G22-$H22)</f>
        <v>300.6044033241642</v>
      </c>
      <c r="BI22" s="22">
        <f>VLOOKUP($A22,tabCustoUnit[],COLUMN(CUSTO_GLOBAL[[#Headers],[Uniformes e EPIs]])-2,0)*($G22-$H22)</f>
        <v>56.642978962543395</v>
      </c>
      <c r="BJ22" s="22">
        <f>VLOOKUP($A22,tabCustoUnit[],COLUMN(CUSTO_GLOBAL[[#Headers],[Materiais de Consumo]])-2,0)*($G22-$H22)</f>
        <v>0</v>
      </c>
      <c r="BK22" s="22">
        <f>VLOOKUP($A22,tabCustoUnit[],COLUMN(CUSTO_GLOBAL[[#Headers],[Máquinas e Equipamentos (depreciação)]])-2,0)*($G22-$H22)</f>
        <v>0</v>
      </c>
      <c r="BL22" s="22">
        <f>VLOOKUP($A22,tabCustoUnit[],COLUMN(CUSTO_GLOBAL[[#Headers],[Produtos de Limpeza e Materiais de Higiene Pessoal]])-2,0)*($G22-$H22)</f>
        <v>0</v>
      </c>
      <c r="BM22" s="22">
        <f>VLOOKUP($A22,tabCustoUnit[],COLUMN(CUSTO_GLOBAL[[#Headers],[Outros (especificar)]])-2,0)*($G22-$H22)</f>
        <v>0</v>
      </c>
      <c r="BN22" s="22">
        <f>VLOOKUP($A22,tabCustoUnit[],COLUMN(CUSTO_GLOBAL[[#Headers],[MÓDULO 5 – INSUMOS DIVERSOS]])-2,0)*($G22-$H22)</f>
        <v>56.642978962543395</v>
      </c>
      <c r="BO22" s="22" t="e">
        <f ca="1">VLOOKUP($A22,tabCustoUnit[],COLUMN(CUSTO_GLOBAL[[#Headers],[TOTAL MÓDULOS 1+2+3+4+5]])-2,0)*($G22-$H22)</f>
        <v>#NAME?</v>
      </c>
      <c r="BP22" s="22" t="e">
        <f ca="1">VLOOKUP($A22,tabCustoUnit[],COLUMN(CUSTO_GLOBAL[[#Headers],[Custos Indiretos]])-2,0)*($G22-$H22)</f>
        <v>#NAME?</v>
      </c>
      <c r="BQ22" s="22" t="e">
        <f ca="1">VLOOKUP($A22,tabCustoUnit[],COLUMN(CUSTO_GLOBAL[[#Headers],[Lucro]])-2,0)*($G22-$H22)</f>
        <v>#NAME?</v>
      </c>
      <c r="BR22" s="26">
        <f>VLOOKUP($A22,tabCustoUnit[],COLUMN(CUSTO_GLOBAL[[#Headers],[COFINS]])-2,0)</f>
        <v>8.6609686609686695E-2</v>
      </c>
      <c r="BS22" s="26">
        <f>VLOOKUP($A22,tabCustoUnit[],COLUMN(CUSTO_GLOBAL[[#Headers],[PIS]])-2,0)</f>
        <v>1.880341880341882E-2</v>
      </c>
      <c r="BT22" s="28">
        <f>VLOOKUP($A22,tabCustoUnit[],COLUMN(CUSTO_GLOBAL[[#Headers],[ISS]])-2,0)</f>
        <v>0.03</v>
      </c>
      <c r="BU22" s="26">
        <f>VLOOKUP($A22,tabCustoUnit[],COLUMN(CUSTO_GLOBAL[[#Headers],[ISS (Conversão Alíquota s/ fatura)]])-2,0)</f>
        <v>3.4188034188034219E-2</v>
      </c>
      <c r="BV22" s="26">
        <f>VLOOKUP($A22,tabCustoUnit[],COLUMN(CUSTO_GLOBAL[[#Headers],[Resumo de Alíquotas (PIS+CONFINS+ISS)]])-2,0)</f>
        <v>0.1225</v>
      </c>
      <c r="BW22" s="138">
        <f>VLOOKUP($A22,tabCustoUnit[],COLUMN(CUSTO_GLOBAL[[#Headers],[PIS + COFINS + ISS (Total Conversão  Alíquota s/ Fatura)]])-2,0)</f>
        <v>0.13960113960113973</v>
      </c>
      <c r="BX22" s="22" t="e">
        <f ca="1">VLOOKUP($A22,tabCustoUnit[],COLUMN(CUSTO_GLOBAL[[#Headers],[Valor dos Tributos (ISS, PIS, CONFINS)]])-2,0)*($G22-$H22)</f>
        <v>#NAME?</v>
      </c>
      <c r="BY22" s="22" t="e">
        <f ca="1">VLOOKUP($A22,tabCustoUnit[],COLUMN(CUSTO_GLOBAL[[#Headers],[MÓDULO 6 – CUSTOS INDIRETOS, TRIBUTOS E LUCRO]])-2,0)*($G22-$H22)</f>
        <v>#NAME?</v>
      </c>
      <c r="BZ22" s="22" t="e">
        <f ca="1">VLOOKUP($A22,tabCustoUnit[],COLUMN(CUSTO_GLOBAL[[#Headers],[CUSTO TOTAL MENSAL]])-2,0)*($G22-$H22)</f>
        <v>#NAME?</v>
      </c>
      <c r="CA22" s="22" t="e">
        <f ca="1">CUSTO_GLOBAL[[#This Row],[CUSTO TOTAL MENSAL]]*12</f>
        <v>#NAME?</v>
      </c>
      <c r="CB22" s="24">
        <f>VLOOKUP($A22,tabCustoUnit[],COLUMN(CUSTO_GLOBAL[[#Headers],[ANO DA CCT]])-2,0)</f>
        <v>45658</v>
      </c>
      <c r="CC22" s="25" t="str">
        <f>VLOOKUP($A22,tabCustoUnit[],COLUMN(CUSTO_GLOBAL[[#Headers],[Nº DE PEDIDO DA CCT]])-2,0)</f>
        <v>-</v>
      </c>
      <c r="CD22" s="25" t="str">
        <f>VLOOKUP($A22,tabCustoUnit[],COLUMN(CUSTO_GLOBAL[[#Headers],[TERMO ADITIVO ALTERAÇÃO DA CCT]])-2,0)</f>
        <v>-</v>
      </c>
    </row>
    <row r="23" spans="1:82">
      <c r="A23" s="20" t="s">
        <v>1544</v>
      </c>
      <c r="B23" t="s">
        <v>1101</v>
      </c>
      <c r="C23" t="s">
        <v>324</v>
      </c>
      <c r="D23" t="s">
        <v>950</v>
      </c>
      <c r="E23" s="20" t="s">
        <v>1090</v>
      </c>
      <c r="F23" s="20" t="s">
        <v>120</v>
      </c>
      <c r="G23" s="20">
        <v>1</v>
      </c>
      <c r="H23" s="20">
        <v>0</v>
      </c>
      <c r="I23" s="21">
        <f>VLOOKUP($A23,tabCustoUnit[],COLUMN(CUSTO_GLOBAL[[#Headers],[Salário Base]])-2,0)*($G23-$H23)</f>
        <v>3397.1306</v>
      </c>
      <c r="J23" s="21">
        <f>VLOOKUP($A23,tabCustoUnit[],COLUMN(CUSTO_GLOBAL[[#Headers],[Adicional Periculosidade]])-2,0)*($G23-$H23)</f>
        <v>0</v>
      </c>
      <c r="K23" s="21">
        <f>VLOOKUP($A23,tabCustoUnit[],COLUMN(CUSTO_GLOBAL[[#Headers],[Adicional Insalubridade]])-2,0)*($G23-$H23)</f>
        <v>0</v>
      </c>
      <c r="L23" s="21">
        <f>VLOOKUP($A23,tabCustoUnit[],COLUMN(CUSTO_GLOBAL[[#Headers],[Adicional Noturno]])-2,0)*($G23-$H23)</f>
        <v>0</v>
      </c>
      <c r="M23" s="21">
        <f>VLOOKUP($A23,tabCustoUnit[],COLUMN(CUSTO_GLOBAL[[#Headers],[Adicional Motorista II (Gratificação)]])-2,0)*($G23-$H23)</f>
        <v>0</v>
      </c>
      <c r="N23" s="21">
        <f>VLOOKUP($A23,tabCustoUnit[],COLUMN(CUSTO_GLOBAL[[#Headers],[Adicional de Sobreaviso]])-2,0)*($G23-$H23)</f>
        <v>0</v>
      </c>
      <c r="O23" s="21">
        <f>VLOOKUP($A23,tabCustoUnit[],COLUMN(CUSTO_GLOBAL[[#Headers],[Horas Extras TI]])-2,0)*($G23-$H23)</f>
        <v>0</v>
      </c>
      <c r="P23" s="21">
        <f>VLOOKUP($A23,tabCustoUnit[],COLUMN(CUSTO_GLOBAL[[#Headers],[Adicional de Acúmulo de função]])-2,0)*($G23-$H23)</f>
        <v>0</v>
      </c>
      <c r="Q23" s="21">
        <f>VLOOKUP($A23,tabCustoUnit[],COLUMN(CUSTO_GLOBAL[[#Headers],[MODULO 1 - REMUNERAÇÃO ]])-2,0)*($G23-$H23)</f>
        <v>3397.1306</v>
      </c>
      <c r="R23" s="21">
        <f>VLOOKUP($A23,tabCustoUnit[],COLUMN(CUSTO_GLOBAL[[#Headers],[INSS]])-2,0)*($G23-$H23)</f>
        <v>679.42612000000008</v>
      </c>
      <c r="S23" s="21">
        <f>VLOOKUP($A23,tabCustoUnit[],COLUMN(CUSTO_GLOBAL[[#Headers],[SESI OU SESC]])-2,0)*($G23-$H23)</f>
        <v>50.956958999999998</v>
      </c>
      <c r="T23" s="21">
        <f>VLOOKUP($A23,tabCustoUnit[],COLUMN(CUSTO_GLOBAL[[#Headers],[SENAI OU SENAC]])-2,0)*($G23-$H23)</f>
        <v>33.971305999999998</v>
      </c>
      <c r="U23" s="21">
        <f>VLOOKUP($A23,tabCustoUnit[],COLUMN(CUSTO_GLOBAL[[#Headers],[INCRA]])-2,0)*($G23-$H23)</f>
        <v>6.7942612000000002</v>
      </c>
      <c r="V23" s="21">
        <f>VLOOKUP($A23,tabCustoUnit[],COLUMN(CUSTO_GLOBAL[[#Headers],[Salário Educação]])-2,0)*($G23-$H23)</f>
        <v>84.92826500000001</v>
      </c>
      <c r="W23" s="21">
        <f>VLOOKUP($A23,tabCustoUnit[],COLUMN(CUSTO_GLOBAL[[#Headers],[FGTS]])-2,0)*($G23-$H23)</f>
        <v>271.77044799999999</v>
      </c>
      <c r="X23" s="21">
        <f>VLOOKUP($A23,tabCustoUnit[],COLUMN(CUSTO_GLOBAL[[#Headers],[RAT Ajustado]])-2,0)*($G23-$H23)</f>
        <v>135.88522399999999</v>
      </c>
      <c r="Y23" s="21">
        <f>VLOOKUP($A23,tabCustoUnit[],COLUMN(CUSTO_GLOBAL[[#Headers],[SEBRAE]])-2,0)*($G23-$H23)</f>
        <v>20.3827836</v>
      </c>
      <c r="Z23" s="21">
        <f>VLOOKUP($A23,tabCustoUnit[],COLUMN(CUSTO_GLOBAL[[#Headers],[Submódulo 2.1]])-2,0)*($G23-$H23)</f>
        <v>1284.1153668000002</v>
      </c>
      <c r="AA23" s="21">
        <f>VLOOKUP($A23,tabCustoUnit[],COLUMN(CUSTO_GLOBAL[[#Headers],[13º salário (titular)]])-2,0)*($G23-$H23)</f>
        <v>283.09421666666663</v>
      </c>
      <c r="AB23" s="21">
        <f>VLOOKUP($A23,tabCustoUnit[],COLUMN(CUSTO_GLOBAL[[#Headers],[Férias e Adicional de Férias (titular)]])-2,0)*($G23-$H23)</f>
        <v>377.45895555555552</v>
      </c>
      <c r="AC23" s="21">
        <f>VLOOKUP($A23,tabCustoUnit[],COLUMN(CUSTO_GLOBAL[[#Headers],[Incidência do Submódulo 2.1 sobre 13º Salário, Férias e Adicional de Férias]])-2,0)*($G23-$H23)</f>
        <v>249.68909910000002</v>
      </c>
      <c r="AD23" s="21">
        <f>VLOOKUP($A23,tabCustoUnit[],COLUMN(CUSTO_GLOBAL[[#Headers],[Submódulo 2.2]])-2,0)*($G23-$H23)</f>
        <v>910.24227132222222</v>
      </c>
      <c r="AE23" s="22" t="e">
        <f ca="1">VLOOKUP($A23,tabCustoUnit[],COLUMN(CUSTO_GLOBAL[[#Headers],[Vale - Transporte (Descontada parcela do empregado)]])-2,0)*($G23-$H23)</f>
        <v>#NAME?</v>
      </c>
      <c r="AF23" s="22">
        <f>VLOOKUP($A23,tabCustoUnit[],COLUMN(CUSTO_GLOBAL[[#Headers],[Vale - Alimentação (Descontada parcela do empregado)]])-2,0)*($G23-$H23)</f>
        <v>582</v>
      </c>
      <c r="AG23" s="22">
        <f>VLOOKUP($A23,tabCustoUnit[],COLUMN(CUSTO_GLOBAL[[#Headers],[Cesta Básica]])-2,0)*($G23-$H23)</f>
        <v>0</v>
      </c>
      <c r="AH23" s="22">
        <f>VLOOKUP($A23,tabCustoUnit[],COLUMN(CUSTO_GLOBAL[[#Headers],[PAF]])-2,0)*($G23-$H23)</f>
        <v>50.74</v>
      </c>
      <c r="AI23" s="22">
        <f>VLOOKUP($A23,tabCustoUnit[],COLUMN(CUSTO_GLOBAL[[#Headers],[PQM]])-2,0)*($G23-$H23)</f>
        <v>0</v>
      </c>
      <c r="AJ23" s="22">
        <v>0</v>
      </c>
      <c r="AK23" s="22">
        <f>VLOOKUP($A23,tabCustoUnit[],COLUMN(CUSTO_GLOBAL[[#Headers],[Seguro de Vida]])-2,0)*($G23-$H23)</f>
        <v>3.36</v>
      </c>
      <c r="AL23" s="22">
        <f>VLOOKUP($A23,tabCustoUnit[],COLUMN(CUSTO_GLOBAL[[#Headers],[Despesas de Viagem]])-2,0)*($G23-$H23)</f>
        <v>0</v>
      </c>
      <c r="AM23" s="22" t="e">
        <f ca="1">VLOOKUP($A23,tabCustoUnit[],COLUMN(CUSTO_GLOBAL[[#Headers],[Submódulo 2.3]])-2,0)*($G23-$H23)</f>
        <v>#NAME?</v>
      </c>
      <c r="AN23" s="22" t="e">
        <f ca="1">VLOOKUP($A23,tabCustoUnit[],COLUMN(CUSTO_GLOBAL[[#Headers],[MÓDULO 2 - Total Encargos e Benefícios mensais e diários]])-2,0)*($G23-$H23)</f>
        <v>#NAME?</v>
      </c>
      <c r="AO23" s="22">
        <f>VLOOKUP($A23,tabCustoUnit[],COLUMN(CUSTO_GLOBAL[[#Headers],[Aviso Prévio Indenizado (API) e Reflexo do Aviso Prévio Indenizado]])-2,0)*($G23-$H23)</f>
        <v>23.819888151890432</v>
      </c>
      <c r="AP23" s="22">
        <f>VLOOKUP($A23,tabCustoUnit[],COLUMN(CUSTO_GLOBAL[[#Headers],[Incidência do FGTS sobre API e Reflexo do API]])-2,0)*($G23-$H23)</f>
        <v>1.9055910521512347</v>
      </c>
      <c r="AQ23" s="22">
        <f>VLOOKUP($A23,tabCustoUnit[],COLUMN(CUSTO_GLOBAL[[#Headers],[Multa Rescisória do FGTS sobre o Aviso Prévio Indenizado]])-2,0)*($G23-$H23)</f>
        <v>0.76223642086049392</v>
      </c>
      <c r="AR23" s="22">
        <f>VLOOKUP($A23,tabCustoUnit[],COLUMN(CUSTO_GLOBAL[[#Headers],[Aviso Prévio Trabalhado - APT]])-2,0)*($G23-$H23)</f>
        <v>11.889957100000002</v>
      </c>
      <c r="AS23" s="22">
        <f>VLOOKUP($A23,tabCustoUnit[],COLUMN(CUSTO_GLOBAL[[#Headers],[Incidência dos encargos do submódulo 2.1 sobre Aviso Prévio Trabalhado]])-2,0)*($G23-$H23)</f>
        <v>4.4944037838000011</v>
      </c>
      <c r="AT23" s="22">
        <f>VLOOKUP($A23,tabCustoUnit[],COLUMN(CUSTO_GLOBAL[[#Headers],[Multa Rescisória do FGTS]])-2,0)*($G23-$H23)</f>
        <v>103.87670456888887</v>
      </c>
      <c r="AU23" s="22">
        <f>VLOOKUP($A23,tabCustoUnit[],COLUMN(CUSTO_GLOBAL[[#Headers],[Indenização Adicional (Art. 9º da Lei nº 7.238/84)]])-2,0)*($G23-$H23)</f>
        <v>2.830942166666667</v>
      </c>
      <c r="AV23" s="22">
        <f>VLOOKUP($A23,tabCustoUnit[],COLUMN(CUSTO_GLOBAL[[#Headers],[MÓDULO 3 – PROVISÃO PARA RESCISÃO]])-2,0)*($G23-$H23)</f>
        <v>149.57972324425771</v>
      </c>
      <c r="AW23" s="22">
        <f>VLOOKUP($A23,tabCustoUnit[],COLUMN(CUSTO_GLOBAL[[#Headers],[Ausência por Doença]])-2,0)*($G23-$H23)</f>
        <v>28.686880622222219</v>
      </c>
      <c r="AX23" s="22">
        <f>VLOOKUP($A23,tabCustoUnit[],COLUMN(CUSTO_GLOBAL[[#Headers],[Ausências Legais]])-2,0)*($G23-$H23)</f>
        <v>6.8886259388888886</v>
      </c>
      <c r="AY23" s="22">
        <f>VLOOKUP($A23,tabCustoUnit[],COLUMN(CUSTO_GLOBAL[[#Headers],[Licença Paternidade]])-2,0)*($G23-$H23)</f>
        <v>0.58034314416666666</v>
      </c>
      <c r="AZ23" s="22">
        <f>VLOOKUP($A23,tabCustoUnit[],COLUMN(CUSTO_GLOBAL[[#Headers],[Ausência por Acidente de Trabalho]])-2,0)*($G23-$H23)</f>
        <v>0.70773554166666675</v>
      </c>
      <c r="BA23" s="22">
        <f>VLOOKUP($A23,tabCustoUnit[],COLUMN(CUSTO_GLOBAL[[#Headers],[Férias, Adicional de Férias e 13º  com empregada em gozo de Licença Maternidade]])-2,0)*($G23-$H23)</f>
        <v>4.4036878148148144</v>
      </c>
      <c r="BB23" s="22">
        <f>VLOOKUP($A23,tabCustoUnit[],COLUMN(CUSTO_GLOBAL[[#Headers],[Incidência do Submódulo 2.1 sobre Ausências Legais]])-2,0)*($G23-$H23)</f>
        <v>15.599029217345002</v>
      </c>
      <c r="BC23" s="22">
        <f>VLOOKUP($A23,tabCustoUnit[],COLUMN(CUSTO_GLOBAL[[#Headers],[Submódulo 4.1]])-2,0)*($G23-$H23)</f>
        <v>56.866302279104261</v>
      </c>
      <c r="BD23" s="22">
        <f>VLOOKUP($A23,tabCustoUnit[],COLUMN(CUSTO_GLOBAL[[#Headers],[Intervalo para Repouso ou Alimentação]])-2,0)*($G23-$H23)</f>
        <v>0</v>
      </c>
      <c r="BE23" s="22">
        <f>VLOOKUP($A23,tabCustoUnit[],COLUMN(CUSTO_GLOBAL[[#Headers],[Submódulo 4.2]])-2,0)*($G23-$H23)</f>
        <v>0</v>
      </c>
      <c r="BF23" s="22">
        <f>VLOOKUP($A23,tabCustoUnit[],COLUMN(CUSTO_GLOBAL[[#Headers],[Suspensão Temporária do Contrato de Trabalho]])-2,0)*($G23-$H23)</f>
        <v>0</v>
      </c>
      <c r="BG23" s="22">
        <f>VLOOKUP($A23,tabCustoUnit[],COLUMN(CUSTO_GLOBAL[[#Headers],[Submódulo 4.3]])-2,0)*($G23-$H23)</f>
        <v>0</v>
      </c>
      <c r="BH23" s="22">
        <f>VLOOKUP($A23,tabCustoUnit[],COLUMN(CUSTO_GLOBAL[[#Headers],[MÓDULO 4 – CUSTO DE REPOSIÇÃO DO PROFISSIONAL AUSENTE]])-2,0)*($G23-$H23)</f>
        <v>56.866302279104261</v>
      </c>
      <c r="BI23" s="22">
        <f>VLOOKUP($A23,tabCustoUnit[],COLUMN(CUSTO_GLOBAL[[#Headers],[Uniformes e EPIs]])-2,0)*($G23-$H23)</f>
        <v>56.642978962543395</v>
      </c>
      <c r="BJ23" s="22">
        <f>VLOOKUP($A23,tabCustoUnit[],COLUMN(CUSTO_GLOBAL[[#Headers],[Materiais de Consumo]])-2,0)*($G23-$H23)</f>
        <v>0</v>
      </c>
      <c r="BK23" s="22">
        <f>VLOOKUP($A23,tabCustoUnit[],COLUMN(CUSTO_GLOBAL[[#Headers],[Máquinas e Equipamentos (depreciação)]])-2,0)*($G23-$H23)</f>
        <v>0</v>
      </c>
      <c r="BL23" s="22">
        <f>VLOOKUP($A23,tabCustoUnit[],COLUMN(CUSTO_GLOBAL[[#Headers],[Produtos de Limpeza e Materiais de Higiene Pessoal]])-2,0)*($G23-$H23)</f>
        <v>0</v>
      </c>
      <c r="BM23" s="22">
        <f>VLOOKUP($A23,tabCustoUnit[],COLUMN(CUSTO_GLOBAL[[#Headers],[Outros (especificar)]])-2,0)*($G23-$H23)</f>
        <v>0</v>
      </c>
      <c r="BN23" s="22">
        <f>VLOOKUP($A23,tabCustoUnit[],COLUMN(CUSTO_GLOBAL[[#Headers],[MÓDULO 5 – INSUMOS DIVERSOS]])-2,0)*($G23-$H23)</f>
        <v>56.642978962543395</v>
      </c>
      <c r="BO23" s="22" t="e">
        <f ca="1">VLOOKUP($A23,tabCustoUnit[],COLUMN(CUSTO_GLOBAL[[#Headers],[TOTAL MÓDULOS 1+2+3+4+5]])-2,0)*($G23-$H23)</f>
        <v>#NAME?</v>
      </c>
      <c r="BP23" s="22" t="e">
        <f ca="1">VLOOKUP($A23,tabCustoUnit[],COLUMN(CUSTO_GLOBAL[[#Headers],[Custos Indiretos]])-2,0)*($G23-$H23)</f>
        <v>#NAME?</v>
      </c>
      <c r="BQ23" s="22" t="e">
        <f ca="1">VLOOKUP($A23,tabCustoUnit[],COLUMN(CUSTO_GLOBAL[[#Headers],[Lucro]])-2,0)*($G23-$H23)</f>
        <v>#NAME?</v>
      </c>
      <c r="BR23" s="26">
        <f>VLOOKUP($A23,tabCustoUnit[],COLUMN(CUSTO_GLOBAL[[#Headers],[COFINS]])-2,0)</f>
        <v>8.8629737609329504E-2</v>
      </c>
      <c r="BS23" s="26">
        <f>VLOOKUP($A23,tabCustoUnit[],COLUMN(CUSTO_GLOBAL[[#Headers],[PIS]])-2,0)</f>
        <v>1.9241982507288629E-2</v>
      </c>
      <c r="BT23" s="28">
        <f>VLOOKUP($A23,tabCustoUnit[],COLUMN(CUSTO_GLOBAL[[#Headers],[ISS]])-2,0)</f>
        <v>0.05</v>
      </c>
      <c r="BU23" s="26">
        <f>VLOOKUP($A23,tabCustoUnit[],COLUMN(CUSTO_GLOBAL[[#Headers],[ISS (Conversão Alíquota s/ fatura)]])-2,0)</f>
        <v>5.8309037900874633E-2</v>
      </c>
      <c r="BV23" s="26">
        <f>VLOOKUP($A23,tabCustoUnit[],COLUMN(CUSTO_GLOBAL[[#Headers],[Resumo de Alíquotas (PIS+CONFINS+ISS)]])-2,0)</f>
        <v>0.14250000000000002</v>
      </c>
      <c r="BW23" s="138">
        <f>VLOOKUP($A23,tabCustoUnit[],COLUMN(CUSTO_GLOBAL[[#Headers],[PIS + COFINS + ISS (Total Conversão  Alíquota s/ Fatura)]])-2,0)</f>
        <v>0.16618075801749277</v>
      </c>
      <c r="BX23" s="22" t="e">
        <f ca="1">VLOOKUP($A23,tabCustoUnit[],COLUMN(CUSTO_GLOBAL[[#Headers],[Valor dos Tributos (ISS, PIS, CONFINS)]])-2,0)*($G23-$H23)</f>
        <v>#NAME?</v>
      </c>
      <c r="BY23" s="22" t="e">
        <f ca="1">VLOOKUP($A23,tabCustoUnit[],COLUMN(CUSTO_GLOBAL[[#Headers],[MÓDULO 6 – CUSTOS INDIRETOS, TRIBUTOS E LUCRO]])-2,0)*($G23-$H23)</f>
        <v>#NAME?</v>
      </c>
      <c r="BZ23" s="22" t="e">
        <f ca="1">VLOOKUP($A23,tabCustoUnit[],COLUMN(CUSTO_GLOBAL[[#Headers],[CUSTO TOTAL MENSAL]])-2,0)*($G23-$H23)</f>
        <v>#NAME?</v>
      </c>
      <c r="CA23" s="22" t="e">
        <f ca="1">CUSTO_GLOBAL[[#This Row],[CUSTO TOTAL MENSAL]]*12</f>
        <v>#NAME?</v>
      </c>
      <c r="CB23" s="24">
        <f>VLOOKUP($A23,tabCustoUnit[],COLUMN(CUSTO_GLOBAL[[#Headers],[ANO DA CCT]])-2,0)</f>
        <v>45658</v>
      </c>
      <c r="CC23" s="25" t="str">
        <f>VLOOKUP($A23,tabCustoUnit[],COLUMN(CUSTO_GLOBAL[[#Headers],[Nº DE PEDIDO DA CCT]])-2,0)</f>
        <v>-</v>
      </c>
      <c r="CD23" s="25" t="str">
        <f>VLOOKUP($A23,tabCustoUnit[],COLUMN(CUSTO_GLOBAL[[#Headers],[TERMO ADITIVO ALTERAÇÃO DA CCT]])-2,0)</f>
        <v>-</v>
      </c>
    </row>
    <row r="24" spans="1:82">
      <c r="A24" s="20" t="s">
        <v>1545</v>
      </c>
      <c r="B24" t="s">
        <v>1102</v>
      </c>
      <c r="C24" t="s">
        <v>274</v>
      </c>
      <c r="D24" t="s">
        <v>974</v>
      </c>
      <c r="E24" s="20" t="s">
        <v>1090</v>
      </c>
      <c r="F24" s="20" t="s">
        <v>120</v>
      </c>
      <c r="G24" s="20">
        <v>2</v>
      </c>
      <c r="H24" s="20">
        <v>0</v>
      </c>
      <c r="I24" s="21">
        <f>VLOOKUP($A24,tabCustoUnit[],COLUMN(CUSTO_GLOBAL[[#Headers],[Salário Base]])-2,0)*($G24-$H24)</f>
        <v>9116.1419999999998</v>
      </c>
      <c r="J24" s="21">
        <f>VLOOKUP($A24,tabCustoUnit[],COLUMN(CUSTO_GLOBAL[[#Headers],[Adicional Periculosidade]])-2,0)*($G24-$H24)</f>
        <v>0</v>
      </c>
      <c r="K24" s="21">
        <f>VLOOKUP($A24,tabCustoUnit[],COLUMN(CUSTO_GLOBAL[[#Headers],[Adicional Insalubridade]])-2,0)*($G24-$H24)</f>
        <v>0</v>
      </c>
      <c r="L24" s="21">
        <f>VLOOKUP($A24,tabCustoUnit[],COLUMN(CUSTO_GLOBAL[[#Headers],[Adicional Noturno]])-2,0)*($G24-$H24)</f>
        <v>0</v>
      </c>
      <c r="M24" s="21">
        <f>VLOOKUP($A24,tabCustoUnit[],COLUMN(CUSTO_GLOBAL[[#Headers],[Adicional Motorista II (Gratificação)]])-2,0)*($G24-$H24)</f>
        <v>0</v>
      </c>
      <c r="N24" s="21">
        <f>VLOOKUP($A24,tabCustoUnit[],COLUMN(CUSTO_GLOBAL[[#Headers],[Adicional de Sobreaviso]])-2,0)*($G24-$H24)</f>
        <v>0</v>
      </c>
      <c r="O24" s="21">
        <f>VLOOKUP($A24,tabCustoUnit[],COLUMN(CUSTO_GLOBAL[[#Headers],[Horas Extras TI]])-2,0)*($G24-$H24)</f>
        <v>0</v>
      </c>
      <c r="P24" s="21">
        <f>VLOOKUP($A24,tabCustoUnit[],COLUMN(CUSTO_GLOBAL[[#Headers],[Adicional de Acúmulo de função]])-2,0)*($G24-$H24)</f>
        <v>0</v>
      </c>
      <c r="Q24" s="21">
        <f>VLOOKUP($A24,tabCustoUnit[],COLUMN(CUSTO_GLOBAL[[#Headers],[MODULO 1 - REMUNERAÇÃO ]])-2,0)*($G24-$H24)</f>
        <v>9116.1419999999998</v>
      </c>
      <c r="R24" s="21">
        <f>VLOOKUP($A24,tabCustoUnit[],COLUMN(CUSTO_GLOBAL[[#Headers],[INSS]])-2,0)*($G24-$H24)</f>
        <v>1823.2284</v>
      </c>
      <c r="S24" s="21">
        <f>VLOOKUP($A24,tabCustoUnit[],COLUMN(CUSTO_GLOBAL[[#Headers],[SESI OU SESC]])-2,0)*($G24-$H24)</f>
        <v>136.74213</v>
      </c>
      <c r="T24" s="21">
        <f>VLOOKUP($A24,tabCustoUnit[],COLUMN(CUSTO_GLOBAL[[#Headers],[SENAI OU SENAC]])-2,0)*($G24-$H24)</f>
        <v>91.161420000000007</v>
      </c>
      <c r="U24" s="21">
        <f>VLOOKUP($A24,tabCustoUnit[],COLUMN(CUSTO_GLOBAL[[#Headers],[INCRA]])-2,0)*($G24-$H24)</f>
        <v>18.232284</v>
      </c>
      <c r="V24" s="21">
        <f>VLOOKUP($A24,tabCustoUnit[],COLUMN(CUSTO_GLOBAL[[#Headers],[Salário Educação]])-2,0)*($G24-$H24)</f>
        <v>227.90355</v>
      </c>
      <c r="W24" s="21">
        <f>VLOOKUP($A24,tabCustoUnit[],COLUMN(CUSTO_GLOBAL[[#Headers],[FGTS]])-2,0)*($G24-$H24)</f>
        <v>729.29136000000005</v>
      </c>
      <c r="X24" s="21">
        <f>VLOOKUP($A24,tabCustoUnit[],COLUMN(CUSTO_GLOBAL[[#Headers],[RAT Ajustado]])-2,0)*($G24-$H24)</f>
        <v>364.64568000000003</v>
      </c>
      <c r="Y24" s="21">
        <f>VLOOKUP($A24,tabCustoUnit[],COLUMN(CUSTO_GLOBAL[[#Headers],[SEBRAE]])-2,0)*($G24-$H24)</f>
        <v>54.696852</v>
      </c>
      <c r="Z24" s="21">
        <f>VLOOKUP($A24,tabCustoUnit[],COLUMN(CUSTO_GLOBAL[[#Headers],[Submódulo 2.1]])-2,0)*($G24-$H24)</f>
        <v>3445.9016760000004</v>
      </c>
      <c r="AA24" s="21">
        <f>VLOOKUP($A24,tabCustoUnit[],COLUMN(CUSTO_GLOBAL[[#Headers],[13º salário (titular)]])-2,0)*($G24-$H24)</f>
        <v>759.67849999999999</v>
      </c>
      <c r="AB24" s="21">
        <f>VLOOKUP($A24,tabCustoUnit[],COLUMN(CUSTO_GLOBAL[[#Headers],[Férias e Adicional de Férias (titular)]])-2,0)*($G24-$H24)</f>
        <v>1012.9046666666666</v>
      </c>
      <c r="AC24" s="21">
        <f>VLOOKUP($A24,tabCustoUnit[],COLUMN(CUSTO_GLOBAL[[#Headers],[Incidência do Submódulo 2.1 sobre 13º Salário, Férias e Adicional de Férias]])-2,0)*($G24-$H24)</f>
        <v>670.03643700000009</v>
      </c>
      <c r="AD24" s="21">
        <f>VLOOKUP($A24,tabCustoUnit[],COLUMN(CUSTO_GLOBAL[[#Headers],[Submódulo 2.2]])-2,0)*($G24-$H24)</f>
        <v>2442.6196036666665</v>
      </c>
      <c r="AE24" s="22" t="e">
        <f ca="1">VLOOKUP($A24,tabCustoUnit[],COLUMN(CUSTO_GLOBAL[[#Headers],[Vale - Transporte (Descontada parcela do empregado)]])-2,0)*($G24-$H24)</f>
        <v>#NAME?</v>
      </c>
      <c r="AF24" s="22">
        <f>VLOOKUP($A24,tabCustoUnit[],COLUMN(CUSTO_GLOBAL[[#Headers],[Vale - Alimentação (Descontada parcela do empregado)]])-2,0)*($G24-$H24)</f>
        <v>1156.8</v>
      </c>
      <c r="AG24" s="22">
        <f>VLOOKUP($A24,tabCustoUnit[],COLUMN(CUSTO_GLOBAL[[#Headers],[Cesta Básica]])-2,0)*($G24-$H24)</f>
        <v>0</v>
      </c>
      <c r="AH24" s="22">
        <f>VLOOKUP($A24,tabCustoUnit[],COLUMN(CUSTO_GLOBAL[[#Headers],[PAF]])-2,0)*($G24-$H24)</f>
        <v>45.04</v>
      </c>
      <c r="AI24" s="22">
        <f>VLOOKUP($A24,tabCustoUnit[],COLUMN(CUSTO_GLOBAL[[#Headers],[PQM]])-2,0)*($G24-$H24)</f>
        <v>0</v>
      </c>
      <c r="AJ24" s="22">
        <v>0</v>
      </c>
      <c r="AK24" s="22">
        <f>VLOOKUP($A24,tabCustoUnit[],COLUMN(CUSTO_GLOBAL[[#Headers],[Seguro de Vida]])-2,0)*($G24-$H24)</f>
        <v>6.72</v>
      </c>
      <c r="AL24" s="22">
        <f>VLOOKUP($A24,tabCustoUnit[],COLUMN(CUSTO_GLOBAL[[#Headers],[Despesas de Viagem]])-2,0)*($G24-$H24)</f>
        <v>1324.84</v>
      </c>
      <c r="AM24" s="22" t="e">
        <f ca="1">VLOOKUP($A24,tabCustoUnit[],COLUMN(CUSTO_GLOBAL[[#Headers],[Submódulo 2.3]])-2,0)*($G24-$H24)</f>
        <v>#NAME?</v>
      </c>
      <c r="AN24" s="22" t="e">
        <f ca="1">VLOOKUP($A24,tabCustoUnit[],COLUMN(CUSTO_GLOBAL[[#Headers],[MÓDULO 2 - Total Encargos e Benefícios mensais e diários]])-2,0)*($G24-$H24)</f>
        <v>#NAME?</v>
      </c>
      <c r="AO24" s="22">
        <f>VLOOKUP($A24,tabCustoUnit[],COLUMN(CUSTO_GLOBAL[[#Headers],[Aviso Prévio Indenizado (API) e Reflexo do Aviso Prévio Indenizado]])-2,0)*($G24-$H24)</f>
        <v>63.920263417824074</v>
      </c>
      <c r="AP24" s="22">
        <f>VLOOKUP($A24,tabCustoUnit[],COLUMN(CUSTO_GLOBAL[[#Headers],[Incidência do FGTS sobre API e Reflexo do API]])-2,0)*($G24-$H24)</f>
        <v>5.113621073425926</v>
      </c>
      <c r="AQ24" s="22">
        <f>VLOOKUP($A24,tabCustoUnit[],COLUMN(CUSTO_GLOBAL[[#Headers],[Multa Rescisória do FGTS sobre o Aviso Prévio Indenizado]])-2,0)*($G24-$H24)</f>
        <v>2.0454484293703707</v>
      </c>
      <c r="AR24" s="22">
        <f>VLOOKUP($A24,tabCustoUnit[],COLUMN(CUSTO_GLOBAL[[#Headers],[Aviso Prévio Trabalhado - APT]])-2,0)*($G24-$H24)</f>
        <v>31.906497000000005</v>
      </c>
      <c r="AS24" s="22">
        <f>VLOOKUP($A24,tabCustoUnit[],COLUMN(CUSTO_GLOBAL[[#Headers],[Incidência dos encargos do submódulo 2.1 sobre Aviso Prévio Trabalhado]])-2,0)*($G24-$H24)</f>
        <v>12.060655866000003</v>
      </c>
      <c r="AT24" s="22">
        <f>VLOOKUP($A24,tabCustoUnit[],COLUMN(CUSTO_GLOBAL[[#Headers],[Multa Rescisória do FGTS]])-2,0)*($G24-$H24)</f>
        <v>278.7513642666666</v>
      </c>
      <c r="AU24" s="22">
        <f>VLOOKUP($A24,tabCustoUnit[],COLUMN(CUSTO_GLOBAL[[#Headers],[Indenização Adicional (Art. 9º da Lei nº 7.238/84)]])-2,0)*($G24-$H24)</f>
        <v>7.5967850000000006</v>
      </c>
      <c r="AV24" s="22">
        <f>VLOOKUP($A24,tabCustoUnit[],COLUMN(CUSTO_GLOBAL[[#Headers],[MÓDULO 3 – PROVISÃO PARA RESCISÃO]])-2,0)*($G24-$H24)</f>
        <v>401.394635053287</v>
      </c>
      <c r="AW24" s="22">
        <f>VLOOKUP($A24,tabCustoUnit[],COLUMN(CUSTO_GLOBAL[[#Headers],[Ausência por Doença]])-2,0)*($G24-$H24)</f>
        <v>76.980754666666655</v>
      </c>
      <c r="AX24" s="22">
        <f>VLOOKUP($A24,tabCustoUnit[],COLUMN(CUSTO_GLOBAL[[#Headers],[Ausências Legais]])-2,0)*($G24-$H24)</f>
        <v>18.485510166666664</v>
      </c>
      <c r="AY24" s="22">
        <f>VLOOKUP($A24,tabCustoUnit[],COLUMN(CUSTO_GLOBAL[[#Headers],[Licença Paternidade]])-2,0)*($G24-$H24)</f>
        <v>1.5573409249999999</v>
      </c>
      <c r="AZ24" s="22">
        <f>VLOOKUP($A24,tabCustoUnit[],COLUMN(CUSTO_GLOBAL[[#Headers],[Ausência por Acidente de Trabalho]])-2,0)*($G24-$H24)</f>
        <v>1.8991962500000001</v>
      </c>
      <c r="BA24" s="22">
        <f>VLOOKUP($A24,tabCustoUnit[],COLUMN(CUSTO_GLOBAL[[#Headers],[Férias, Adicional de Férias e 13º  com empregada em gozo de Licença Maternidade]])-2,0)*($G24-$H24)</f>
        <v>11.817221111111111</v>
      </c>
      <c r="BB24" s="22">
        <f>VLOOKUP($A24,tabCustoUnit[],COLUMN(CUSTO_GLOBAL[[#Headers],[Incidência do Submódulo 2.1 sobre Ausências Legais]])-2,0)*($G24-$H24)</f>
        <v>41.859728739150007</v>
      </c>
      <c r="BC24" s="22">
        <f>VLOOKUP($A24,tabCustoUnit[],COLUMN(CUSTO_GLOBAL[[#Headers],[Submódulo 4.1]])-2,0)*($G24-$H24)</f>
        <v>152.59975185859446</v>
      </c>
      <c r="BD24" s="22">
        <f>VLOOKUP($A24,tabCustoUnit[],COLUMN(CUSTO_GLOBAL[[#Headers],[Intervalo para Repouso ou Alimentação]])-2,0)*($G24-$H24)</f>
        <v>0</v>
      </c>
      <c r="BE24" s="22">
        <f>VLOOKUP($A24,tabCustoUnit[],COLUMN(CUSTO_GLOBAL[[#Headers],[Submódulo 4.2]])-2,0)*($G24-$H24)</f>
        <v>0</v>
      </c>
      <c r="BF24" s="22">
        <f>VLOOKUP($A24,tabCustoUnit[],COLUMN(CUSTO_GLOBAL[[#Headers],[Suspensão Temporária do Contrato de Trabalho]])-2,0)*($G24-$H24)</f>
        <v>0</v>
      </c>
      <c r="BG24" s="22">
        <f>VLOOKUP($A24,tabCustoUnit[],COLUMN(CUSTO_GLOBAL[[#Headers],[Submódulo 4.3]])-2,0)*($G24-$H24)</f>
        <v>0</v>
      </c>
      <c r="BH24" s="22">
        <f>VLOOKUP($A24,tabCustoUnit[],COLUMN(CUSTO_GLOBAL[[#Headers],[MÓDULO 4 – CUSTO DE REPOSIÇÃO DO PROFISSIONAL AUSENTE]])-2,0)*($G24-$H24)</f>
        <v>152.59975185859446</v>
      </c>
      <c r="BI24" s="22">
        <f>VLOOKUP($A24,tabCustoUnit[],COLUMN(CUSTO_GLOBAL[[#Headers],[Uniformes e EPIs]])-2,0)*($G24-$H24)</f>
        <v>184.2015275431414</v>
      </c>
      <c r="BJ24" s="22">
        <f>VLOOKUP($A24,tabCustoUnit[],COLUMN(CUSTO_GLOBAL[[#Headers],[Materiais de Consumo]])-2,0)*($G24-$H24)</f>
        <v>0</v>
      </c>
      <c r="BK24" s="22">
        <f>VLOOKUP($A24,tabCustoUnit[],COLUMN(CUSTO_GLOBAL[[#Headers],[Máquinas e Equipamentos (depreciação)]])-2,0)*($G24-$H24)</f>
        <v>0</v>
      </c>
      <c r="BL24" s="22">
        <f>VLOOKUP($A24,tabCustoUnit[],COLUMN(CUSTO_GLOBAL[[#Headers],[Produtos de Limpeza e Materiais de Higiene Pessoal]])-2,0)*($G24-$H24)</f>
        <v>0</v>
      </c>
      <c r="BM24" s="22">
        <f>VLOOKUP($A24,tabCustoUnit[],COLUMN(CUSTO_GLOBAL[[#Headers],[Outros (especificar)]])-2,0)*($G24-$H24)</f>
        <v>0</v>
      </c>
      <c r="BN24" s="22">
        <f>VLOOKUP($A24,tabCustoUnit[],COLUMN(CUSTO_GLOBAL[[#Headers],[MÓDULO 5 – INSUMOS DIVERSOS]])-2,0)*($G24-$H24)</f>
        <v>184.2015275431414</v>
      </c>
      <c r="BO24" s="22" t="e">
        <f ca="1">VLOOKUP($A24,tabCustoUnit[],COLUMN(CUSTO_GLOBAL[[#Headers],[TOTAL MÓDULOS 1+2+3+4+5]])-2,0)*($G24-$H24)</f>
        <v>#NAME?</v>
      </c>
      <c r="BP24" s="22" t="e">
        <f ca="1">VLOOKUP($A24,tabCustoUnit[],COLUMN(CUSTO_GLOBAL[[#Headers],[Custos Indiretos]])-2,0)*($G24-$H24)</f>
        <v>#NAME?</v>
      </c>
      <c r="BQ24" s="22" t="e">
        <f ca="1">VLOOKUP($A24,tabCustoUnit[],COLUMN(CUSTO_GLOBAL[[#Headers],[Lucro]])-2,0)*($G24-$H24)</f>
        <v>#NAME?</v>
      </c>
      <c r="BR24" s="26">
        <f>VLOOKUP($A24,tabCustoUnit[],COLUMN(CUSTO_GLOBAL[[#Headers],[COFINS]])-2,0)</f>
        <v>8.7106017191977067E-2</v>
      </c>
      <c r="BS24" s="26">
        <f>VLOOKUP($A24,tabCustoUnit[],COLUMN(CUSTO_GLOBAL[[#Headers],[PIS]])-2,0)</f>
        <v>1.8911174785100283E-2</v>
      </c>
      <c r="BT24" s="28">
        <f>VLOOKUP($A24,tabCustoUnit[],COLUMN(CUSTO_GLOBAL[[#Headers],[ISS]])-2,0)</f>
        <v>3.5000000000000003E-2</v>
      </c>
      <c r="BU24" s="26">
        <f>VLOOKUP($A24,tabCustoUnit[],COLUMN(CUSTO_GLOBAL[[#Headers],[ISS (Conversão Alíquota s/ fatura)]])-2,0)</f>
        <v>4.0114613180515762E-2</v>
      </c>
      <c r="BV24" s="26">
        <f>VLOOKUP($A24,tabCustoUnit[],COLUMN(CUSTO_GLOBAL[[#Headers],[Resumo de Alíquotas (PIS+CONFINS+ISS)]])-2,0)</f>
        <v>0.1275</v>
      </c>
      <c r="BW24" s="138">
        <f>VLOOKUP($A24,tabCustoUnit[],COLUMN(CUSTO_GLOBAL[[#Headers],[PIS + COFINS + ISS (Total Conversão  Alíquota s/ Fatura)]])-2,0)</f>
        <v>0.14613180515759311</v>
      </c>
      <c r="BX24" s="22" t="e">
        <f ca="1">VLOOKUP($A24,tabCustoUnit[],COLUMN(CUSTO_GLOBAL[[#Headers],[Valor dos Tributos (ISS, PIS, CONFINS)]])-2,0)*($G24-$H24)</f>
        <v>#NAME?</v>
      </c>
      <c r="BY24" s="22" t="e">
        <f ca="1">VLOOKUP($A24,tabCustoUnit[],COLUMN(CUSTO_GLOBAL[[#Headers],[MÓDULO 6 – CUSTOS INDIRETOS, TRIBUTOS E LUCRO]])-2,0)*($G24-$H24)</f>
        <v>#NAME?</v>
      </c>
      <c r="BZ24" s="22" t="e">
        <f ca="1">VLOOKUP($A24,tabCustoUnit[],COLUMN(CUSTO_GLOBAL[[#Headers],[CUSTO TOTAL MENSAL]])-2,0)*($G24-$H24)</f>
        <v>#NAME?</v>
      </c>
      <c r="CA24" s="22" t="e">
        <f ca="1">CUSTO_GLOBAL[[#This Row],[CUSTO TOTAL MENSAL]]*12</f>
        <v>#NAME?</v>
      </c>
      <c r="CB24" s="24">
        <f>VLOOKUP($A24,tabCustoUnit[],COLUMN(CUSTO_GLOBAL[[#Headers],[ANO DA CCT]])-2,0)</f>
        <v>45658</v>
      </c>
      <c r="CC24" s="25" t="str">
        <f>VLOOKUP($A24,tabCustoUnit[],COLUMN(CUSTO_GLOBAL[[#Headers],[Nº DE PEDIDO DA CCT]])-2,0)</f>
        <v>-</v>
      </c>
      <c r="CD24" s="25" t="str">
        <f>VLOOKUP($A24,tabCustoUnit[],COLUMN(CUSTO_GLOBAL[[#Headers],[TERMO ADITIVO ALTERAÇÃO DA CCT]])-2,0)</f>
        <v>-</v>
      </c>
    </row>
    <row r="25" spans="1:82">
      <c r="A25" s="20" t="s">
        <v>1546</v>
      </c>
      <c r="B25" t="s">
        <v>1102</v>
      </c>
      <c r="C25" t="s">
        <v>319</v>
      </c>
      <c r="D25" t="s">
        <v>954</v>
      </c>
      <c r="E25" s="20" t="s">
        <v>1090</v>
      </c>
      <c r="F25" s="20" t="s">
        <v>120</v>
      </c>
      <c r="G25" s="20">
        <v>1</v>
      </c>
      <c r="H25" s="20">
        <v>0</v>
      </c>
      <c r="I25" s="21">
        <f>VLOOKUP($A25,tabCustoUnit[],COLUMN(CUSTO_GLOBAL[[#Headers],[Salário Base]])-2,0)*($G25-$H25)</f>
        <v>2316.2296999999999</v>
      </c>
      <c r="J25" s="21">
        <f>VLOOKUP($A25,tabCustoUnit[],COLUMN(CUSTO_GLOBAL[[#Headers],[Adicional Periculosidade]])-2,0)*($G25-$H25)</f>
        <v>0</v>
      </c>
      <c r="K25" s="21">
        <f>VLOOKUP($A25,tabCustoUnit[],COLUMN(CUSTO_GLOBAL[[#Headers],[Adicional Insalubridade]])-2,0)*($G25-$H25)</f>
        <v>0</v>
      </c>
      <c r="L25" s="21">
        <f>VLOOKUP($A25,tabCustoUnit[],COLUMN(CUSTO_GLOBAL[[#Headers],[Adicional Noturno]])-2,0)*($G25-$H25)</f>
        <v>0</v>
      </c>
      <c r="M25" s="21">
        <f>VLOOKUP($A25,tabCustoUnit[],COLUMN(CUSTO_GLOBAL[[#Headers],[Adicional Motorista II (Gratificação)]])-2,0)*($G25-$H25)</f>
        <v>0</v>
      </c>
      <c r="N25" s="21">
        <f>VLOOKUP($A25,tabCustoUnit[],COLUMN(CUSTO_GLOBAL[[#Headers],[Adicional de Sobreaviso]])-2,0)*($G25-$H25)</f>
        <v>0</v>
      </c>
      <c r="O25" s="21">
        <f>VLOOKUP($A25,tabCustoUnit[],COLUMN(CUSTO_GLOBAL[[#Headers],[Horas Extras TI]])-2,0)*($G25-$H25)</f>
        <v>0</v>
      </c>
      <c r="P25" s="21">
        <f>VLOOKUP($A25,tabCustoUnit[],COLUMN(CUSTO_GLOBAL[[#Headers],[Adicional de Acúmulo de função]])-2,0)*($G25-$H25)</f>
        <v>0</v>
      </c>
      <c r="Q25" s="21">
        <f>VLOOKUP($A25,tabCustoUnit[],COLUMN(CUSTO_GLOBAL[[#Headers],[MODULO 1 - REMUNERAÇÃO ]])-2,0)*($G25-$H25)</f>
        <v>2316.2296999999999</v>
      </c>
      <c r="R25" s="21">
        <f>VLOOKUP($A25,tabCustoUnit[],COLUMN(CUSTO_GLOBAL[[#Headers],[INSS]])-2,0)*($G25-$H25)</f>
        <v>463.24594000000002</v>
      </c>
      <c r="S25" s="21">
        <f>VLOOKUP($A25,tabCustoUnit[],COLUMN(CUSTO_GLOBAL[[#Headers],[SESI OU SESC]])-2,0)*($G25-$H25)</f>
        <v>34.7434455</v>
      </c>
      <c r="T25" s="21">
        <f>VLOOKUP($A25,tabCustoUnit[],COLUMN(CUSTO_GLOBAL[[#Headers],[SENAI OU SENAC]])-2,0)*($G25-$H25)</f>
        <v>23.162296999999999</v>
      </c>
      <c r="U25" s="21">
        <f>VLOOKUP($A25,tabCustoUnit[],COLUMN(CUSTO_GLOBAL[[#Headers],[INCRA]])-2,0)*($G25-$H25)</f>
        <v>4.6324594000000001</v>
      </c>
      <c r="V25" s="21">
        <f>VLOOKUP($A25,tabCustoUnit[],COLUMN(CUSTO_GLOBAL[[#Headers],[Salário Educação]])-2,0)*($G25-$H25)</f>
        <v>57.905742500000002</v>
      </c>
      <c r="W25" s="21">
        <f>VLOOKUP($A25,tabCustoUnit[],COLUMN(CUSTO_GLOBAL[[#Headers],[FGTS]])-2,0)*($G25-$H25)</f>
        <v>185.29837599999999</v>
      </c>
      <c r="X25" s="21">
        <f>VLOOKUP($A25,tabCustoUnit[],COLUMN(CUSTO_GLOBAL[[#Headers],[RAT Ajustado]])-2,0)*($G25-$H25)</f>
        <v>92.649187999999995</v>
      </c>
      <c r="Y25" s="21">
        <f>VLOOKUP($A25,tabCustoUnit[],COLUMN(CUSTO_GLOBAL[[#Headers],[SEBRAE]])-2,0)*($G25-$H25)</f>
        <v>13.8973782</v>
      </c>
      <c r="Z25" s="21">
        <f>VLOOKUP($A25,tabCustoUnit[],COLUMN(CUSTO_GLOBAL[[#Headers],[Submódulo 2.1]])-2,0)*($G25-$H25)</f>
        <v>875.53482659999997</v>
      </c>
      <c r="AA25" s="21">
        <f>VLOOKUP($A25,tabCustoUnit[],COLUMN(CUSTO_GLOBAL[[#Headers],[13º salário (titular)]])-2,0)*($G25-$H25)</f>
        <v>193.01914166666666</v>
      </c>
      <c r="AB25" s="21">
        <f>VLOOKUP($A25,tabCustoUnit[],COLUMN(CUSTO_GLOBAL[[#Headers],[Férias e Adicional de Férias (titular)]])-2,0)*($G25-$H25)</f>
        <v>257.35885555555552</v>
      </c>
      <c r="AC25" s="21">
        <f>VLOOKUP($A25,tabCustoUnit[],COLUMN(CUSTO_GLOBAL[[#Headers],[Incidência do Submódulo 2.1 sobre 13º Salário, Férias e Adicional de Férias]])-2,0)*($G25-$H25)</f>
        <v>170.24288294999999</v>
      </c>
      <c r="AD25" s="21">
        <f>VLOOKUP($A25,tabCustoUnit[],COLUMN(CUSTO_GLOBAL[[#Headers],[Submódulo 2.2]])-2,0)*($G25-$H25)</f>
        <v>620.6208801722222</v>
      </c>
      <c r="AE25" s="22" t="e">
        <f ca="1">VLOOKUP($A25,tabCustoUnit[],COLUMN(CUSTO_GLOBAL[[#Headers],[Vale - Transporte (Descontada parcela do empregado)]])-2,0)*($G25-$H25)</f>
        <v>#NAME?</v>
      </c>
      <c r="AF25" s="22">
        <f>VLOOKUP($A25,tabCustoUnit[],COLUMN(CUSTO_GLOBAL[[#Headers],[Vale - Alimentação (Descontada parcela do empregado)]])-2,0)*($G25-$H25)</f>
        <v>582</v>
      </c>
      <c r="AG25" s="22">
        <f>VLOOKUP($A25,tabCustoUnit[],COLUMN(CUSTO_GLOBAL[[#Headers],[Cesta Básica]])-2,0)*($G25-$H25)</f>
        <v>0</v>
      </c>
      <c r="AH25" s="22">
        <f>VLOOKUP($A25,tabCustoUnit[],COLUMN(CUSTO_GLOBAL[[#Headers],[PAF]])-2,0)*($G25-$H25)</f>
        <v>51.88</v>
      </c>
      <c r="AI25" s="22">
        <f>VLOOKUP($A25,tabCustoUnit[],COLUMN(CUSTO_GLOBAL[[#Headers],[PQM]])-2,0)*($G25-$H25)</f>
        <v>0</v>
      </c>
      <c r="AJ25" s="22">
        <v>0</v>
      </c>
      <c r="AK25" s="22">
        <f>VLOOKUP($A25,tabCustoUnit[],COLUMN(CUSTO_GLOBAL[[#Headers],[Seguro de Vida]])-2,0)*($G25-$H25)</f>
        <v>3.36</v>
      </c>
      <c r="AL25" s="22">
        <f>VLOOKUP($A25,tabCustoUnit[],COLUMN(CUSTO_GLOBAL[[#Headers],[Despesas de Viagem]])-2,0)*($G25-$H25)</f>
        <v>0</v>
      </c>
      <c r="AM25" s="22" t="e">
        <f ca="1">VLOOKUP($A25,tabCustoUnit[],COLUMN(CUSTO_GLOBAL[[#Headers],[Submódulo 2.3]])-2,0)*($G25-$H25)</f>
        <v>#NAME?</v>
      </c>
      <c r="AN25" s="22" t="e">
        <f ca="1">VLOOKUP($A25,tabCustoUnit[],COLUMN(CUSTO_GLOBAL[[#Headers],[MÓDULO 2 - Total Encargos e Benefícios mensais e diários]])-2,0)*($G25-$H25)</f>
        <v>#NAME?</v>
      </c>
      <c r="AO25" s="22">
        <f>VLOOKUP($A25,tabCustoUnit[],COLUMN(CUSTO_GLOBAL[[#Headers],[Aviso Prévio Indenizado (API) e Reflexo do Aviso Prévio Indenizado]])-2,0)*($G25-$H25)</f>
        <v>16.240862917689043</v>
      </c>
      <c r="AP25" s="22">
        <f>VLOOKUP($A25,tabCustoUnit[],COLUMN(CUSTO_GLOBAL[[#Headers],[Incidência do FGTS sobre API e Reflexo do API]])-2,0)*($G25-$H25)</f>
        <v>1.2992690334151236</v>
      </c>
      <c r="AQ25" s="22">
        <f>VLOOKUP($A25,tabCustoUnit[],COLUMN(CUSTO_GLOBAL[[#Headers],[Multa Rescisória do FGTS sobre o Aviso Prévio Indenizado]])-2,0)*($G25-$H25)</f>
        <v>0.51970761336604943</v>
      </c>
      <c r="AR25" s="22">
        <f>VLOOKUP($A25,tabCustoUnit[],COLUMN(CUSTO_GLOBAL[[#Headers],[Aviso Prévio Trabalhado - APT]])-2,0)*($G25-$H25)</f>
        <v>8.1068039500000015</v>
      </c>
      <c r="AS25" s="22">
        <f>VLOOKUP($A25,tabCustoUnit[],COLUMN(CUSTO_GLOBAL[[#Headers],[Incidência dos encargos do submódulo 2.1 sobre Aviso Prévio Trabalhado]])-2,0)*($G25-$H25)</f>
        <v>3.0643718931000006</v>
      </c>
      <c r="AT25" s="22">
        <f>VLOOKUP($A25,tabCustoUnit[],COLUMN(CUSTO_GLOBAL[[#Headers],[Multa Rescisória do FGTS]])-2,0)*($G25-$H25)</f>
        <v>70.825157048888869</v>
      </c>
      <c r="AU25" s="22">
        <f>VLOOKUP($A25,tabCustoUnit[],COLUMN(CUSTO_GLOBAL[[#Headers],[Indenização Adicional (Art. 9º da Lei nº 7.238/84)]])-2,0)*($G25-$H25)</f>
        <v>1.9301914166666667</v>
      </c>
      <c r="AV25" s="22">
        <f>VLOOKUP($A25,tabCustoUnit[],COLUMN(CUSTO_GLOBAL[[#Headers],[MÓDULO 3 – PROVISÃO PARA RESCISÃO]])-2,0)*($G25-$H25)</f>
        <v>101.98636387312575</v>
      </c>
      <c r="AW25" s="22">
        <f>VLOOKUP($A25,tabCustoUnit[],COLUMN(CUSTO_GLOBAL[[#Headers],[Ausência por Doença]])-2,0)*($G25-$H25)</f>
        <v>19.559273022222218</v>
      </c>
      <c r="AX25" s="22">
        <f>VLOOKUP($A25,tabCustoUnit[],COLUMN(CUSTO_GLOBAL[[#Headers],[Ausências Legais]])-2,0)*($G25-$H25)</f>
        <v>4.696799113888888</v>
      </c>
      <c r="AY25" s="22">
        <f>VLOOKUP($A25,tabCustoUnit[],COLUMN(CUSTO_GLOBAL[[#Headers],[Licença Paternidade]])-2,0)*($G25-$H25)</f>
        <v>0.39568924041666664</v>
      </c>
      <c r="AZ25" s="22">
        <f>VLOOKUP($A25,tabCustoUnit[],COLUMN(CUSTO_GLOBAL[[#Headers],[Ausência por Acidente de Trabalho]])-2,0)*($G25-$H25)</f>
        <v>0.48254785416666668</v>
      </c>
      <c r="BA25" s="22">
        <f>VLOOKUP($A25,tabCustoUnit[],COLUMN(CUSTO_GLOBAL[[#Headers],[Férias, Adicional de Férias e 13º  com empregada em gozo de Licença Maternidade]])-2,0)*($G25-$H25)</f>
        <v>3.0025199814814814</v>
      </c>
      <c r="BB25" s="22">
        <f>VLOOKUP($A25,tabCustoUnit[],COLUMN(CUSTO_GLOBAL[[#Headers],[Incidência do Submódulo 2.1 sobre Ausências Legais]])-2,0)*($G25-$H25)</f>
        <v>10.635721442202501</v>
      </c>
      <c r="BC25" s="22">
        <f>VLOOKUP($A25,tabCustoUnit[],COLUMN(CUSTO_GLOBAL[[#Headers],[Submódulo 4.1]])-2,0)*($G25-$H25)</f>
        <v>38.772550654378421</v>
      </c>
      <c r="BD25" s="22">
        <f>VLOOKUP($A25,tabCustoUnit[],COLUMN(CUSTO_GLOBAL[[#Headers],[Intervalo para Repouso ou Alimentação]])-2,0)*($G25-$H25)</f>
        <v>0</v>
      </c>
      <c r="BE25" s="22">
        <f>VLOOKUP($A25,tabCustoUnit[],COLUMN(CUSTO_GLOBAL[[#Headers],[Submódulo 4.2]])-2,0)*($G25-$H25)</f>
        <v>0</v>
      </c>
      <c r="BF25" s="22">
        <f>VLOOKUP($A25,tabCustoUnit[],COLUMN(CUSTO_GLOBAL[[#Headers],[Suspensão Temporária do Contrato de Trabalho]])-2,0)*($G25-$H25)</f>
        <v>0</v>
      </c>
      <c r="BG25" s="22">
        <f>VLOOKUP($A25,tabCustoUnit[],COLUMN(CUSTO_GLOBAL[[#Headers],[Submódulo 4.3]])-2,0)*($G25-$H25)</f>
        <v>0</v>
      </c>
      <c r="BH25" s="22">
        <f>VLOOKUP($A25,tabCustoUnit[],COLUMN(CUSTO_GLOBAL[[#Headers],[MÓDULO 4 – CUSTO DE REPOSIÇÃO DO PROFISSIONAL AUSENTE]])-2,0)*($G25-$H25)</f>
        <v>38.772550654378421</v>
      </c>
      <c r="BI25" s="22">
        <f>VLOOKUP($A25,tabCustoUnit[],COLUMN(CUSTO_GLOBAL[[#Headers],[Uniformes e EPIs]])-2,0)*($G25-$H25)</f>
        <v>56.642978962543395</v>
      </c>
      <c r="BJ25" s="22">
        <f>VLOOKUP($A25,tabCustoUnit[],COLUMN(CUSTO_GLOBAL[[#Headers],[Materiais de Consumo]])-2,0)*($G25-$H25)</f>
        <v>0</v>
      </c>
      <c r="BK25" s="22">
        <f>VLOOKUP($A25,tabCustoUnit[],COLUMN(CUSTO_GLOBAL[[#Headers],[Máquinas e Equipamentos (depreciação)]])-2,0)*($G25-$H25)</f>
        <v>0</v>
      </c>
      <c r="BL25" s="22">
        <f>VLOOKUP($A25,tabCustoUnit[],COLUMN(CUSTO_GLOBAL[[#Headers],[Produtos de Limpeza e Materiais de Higiene Pessoal]])-2,0)*($G25-$H25)</f>
        <v>0</v>
      </c>
      <c r="BM25" s="22">
        <f>VLOOKUP($A25,tabCustoUnit[],COLUMN(CUSTO_GLOBAL[[#Headers],[Outros (especificar)]])-2,0)*($G25-$H25)</f>
        <v>0</v>
      </c>
      <c r="BN25" s="22">
        <f>VLOOKUP($A25,tabCustoUnit[],COLUMN(CUSTO_GLOBAL[[#Headers],[MÓDULO 5 – INSUMOS DIVERSOS]])-2,0)*($G25-$H25)</f>
        <v>56.642978962543395</v>
      </c>
      <c r="BO25" s="22" t="e">
        <f ca="1">VLOOKUP($A25,tabCustoUnit[],COLUMN(CUSTO_GLOBAL[[#Headers],[TOTAL MÓDULOS 1+2+3+4+5]])-2,0)*($G25-$H25)</f>
        <v>#NAME?</v>
      </c>
      <c r="BP25" s="22" t="e">
        <f ca="1">VLOOKUP($A25,tabCustoUnit[],COLUMN(CUSTO_GLOBAL[[#Headers],[Custos Indiretos]])-2,0)*($G25-$H25)</f>
        <v>#NAME?</v>
      </c>
      <c r="BQ25" s="22" t="e">
        <f ca="1">VLOOKUP($A25,tabCustoUnit[],COLUMN(CUSTO_GLOBAL[[#Headers],[Lucro]])-2,0)*($G25-$H25)</f>
        <v>#NAME?</v>
      </c>
      <c r="BR25" s="26">
        <f>VLOOKUP($A25,tabCustoUnit[],COLUMN(CUSTO_GLOBAL[[#Headers],[COFINS]])-2,0)</f>
        <v>8.7106017191977067E-2</v>
      </c>
      <c r="BS25" s="26">
        <f>VLOOKUP($A25,tabCustoUnit[],COLUMN(CUSTO_GLOBAL[[#Headers],[PIS]])-2,0)</f>
        <v>1.8911174785100283E-2</v>
      </c>
      <c r="BT25" s="28">
        <f>VLOOKUP($A25,tabCustoUnit[],COLUMN(CUSTO_GLOBAL[[#Headers],[ISS]])-2,0)</f>
        <v>3.5000000000000003E-2</v>
      </c>
      <c r="BU25" s="26">
        <f>VLOOKUP($A25,tabCustoUnit[],COLUMN(CUSTO_GLOBAL[[#Headers],[ISS (Conversão Alíquota s/ fatura)]])-2,0)</f>
        <v>4.0114613180515762E-2</v>
      </c>
      <c r="BV25" s="26">
        <f>VLOOKUP($A25,tabCustoUnit[],COLUMN(CUSTO_GLOBAL[[#Headers],[Resumo de Alíquotas (PIS+CONFINS+ISS)]])-2,0)</f>
        <v>0.1275</v>
      </c>
      <c r="BW25" s="138">
        <f>VLOOKUP($A25,tabCustoUnit[],COLUMN(CUSTO_GLOBAL[[#Headers],[PIS + COFINS + ISS (Total Conversão  Alíquota s/ Fatura)]])-2,0)</f>
        <v>0.14613180515759311</v>
      </c>
      <c r="BX25" s="22" t="e">
        <f ca="1">VLOOKUP($A25,tabCustoUnit[],COLUMN(CUSTO_GLOBAL[[#Headers],[Valor dos Tributos (ISS, PIS, CONFINS)]])-2,0)*($G25-$H25)</f>
        <v>#NAME?</v>
      </c>
      <c r="BY25" s="22" t="e">
        <f ca="1">VLOOKUP($A25,tabCustoUnit[],COLUMN(CUSTO_GLOBAL[[#Headers],[MÓDULO 6 – CUSTOS INDIRETOS, TRIBUTOS E LUCRO]])-2,0)*($G25-$H25)</f>
        <v>#NAME?</v>
      </c>
      <c r="BZ25" s="22" t="e">
        <f ca="1">VLOOKUP($A25,tabCustoUnit[],COLUMN(CUSTO_GLOBAL[[#Headers],[CUSTO TOTAL MENSAL]])-2,0)*($G25-$H25)</f>
        <v>#NAME?</v>
      </c>
      <c r="CA25" s="22" t="e">
        <f ca="1">CUSTO_GLOBAL[[#This Row],[CUSTO TOTAL MENSAL]]*12</f>
        <v>#NAME?</v>
      </c>
      <c r="CB25" s="24">
        <f>VLOOKUP($A25,tabCustoUnit[],COLUMN(CUSTO_GLOBAL[[#Headers],[ANO DA CCT]])-2,0)</f>
        <v>45658</v>
      </c>
      <c r="CC25" s="25" t="str">
        <f>VLOOKUP($A25,tabCustoUnit[],COLUMN(CUSTO_GLOBAL[[#Headers],[Nº DE PEDIDO DA CCT]])-2,0)</f>
        <v>-</v>
      </c>
      <c r="CD25" s="25" t="str">
        <f>VLOOKUP($A25,tabCustoUnit[],COLUMN(CUSTO_GLOBAL[[#Headers],[TERMO ADITIVO ALTERAÇÃO DA CCT]])-2,0)</f>
        <v>-</v>
      </c>
    </row>
    <row r="26" spans="1:82">
      <c r="A26" s="20" t="s">
        <v>1406</v>
      </c>
      <c r="B26" t="s">
        <v>1103</v>
      </c>
      <c r="C26" t="s">
        <v>118</v>
      </c>
      <c r="D26" t="s">
        <v>1035</v>
      </c>
      <c r="E26" s="20" t="s">
        <v>1090</v>
      </c>
      <c r="F26" s="20" t="s">
        <v>120</v>
      </c>
      <c r="G26" s="20">
        <v>10</v>
      </c>
      <c r="H26" s="20">
        <v>0</v>
      </c>
      <c r="I26" s="21">
        <f>VLOOKUP($A26,tabCustoUnit[],COLUMN(CUSTO_GLOBAL[[#Headers],[Salário Base]])-2,0)*($G26-$H26)</f>
        <v>24492.1</v>
      </c>
      <c r="J26" s="21">
        <f>VLOOKUP($A26,tabCustoUnit[],COLUMN(CUSTO_GLOBAL[[#Headers],[Adicional Periculosidade]])-2,0)*($G26-$H26)</f>
        <v>0</v>
      </c>
      <c r="K26" s="21">
        <f>VLOOKUP($A26,tabCustoUnit[],COLUMN(CUSTO_GLOBAL[[#Headers],[Adicional Insalubridade]])-2,0)*($G26-$H26)</f>
        <v>0</v>
      </c>
      <c r="L26" s="21">
        <f>VLOOKUP($A26,tabCustoUnit[],COLUMN(CUSTO_GLOBAL[[#Headers],[Adicional Noturno]])-2,0)*($G26-$H26)</f>
        <v>0</v>
      </c>
      <c r="M26" s="21">
        <f>VLOOKUP($A26,tabCustoUnit[],COLUMN(CUSTO_GLOBAL[[#Headers],[Adicional Motorista II (Gratificação)]])-2,0)*($G26-$H26)</f>
        <v>0</v>
      </c>
      <c r="N26" s="21">
        <f>VLOOKUP($A26,tabCustoUnit[],COLUMN(CUSTO_GLOBAL[[#Headers],[Adicional de Sobreaviso]])-2,0)*($G26-$H26)</f>
        <v>0</v>
      </c>
      <c r="O26" s="21">
        <f>VLOOKUP($A26,tabCustoUnit[],COLUMN(CUSTO_GLOBAL[[#Headers],[Horas Extras TI]])-2,0)*($G26-$H26)</f>
        <v>0</v>
      </c>
      <c r="P26" s="21">
        <f>VLOOKUP($A26,tabCustoUnit[],COLUMN(CUSTO_GLOBAL[[#Headers],[Adicional de Acúmulo de função]])-2,0)*($G26-$H26)</f>
        <v>0</v>
      </c>
      <c r="Q26" s="21">
        <f>VLOOKUP($A26,tabCustoUnit[],COLUMN(CUSTO_GLOBAL[[#Headers],[MODULO 1 - REMUNERAÇÃO ]])-2,0)*($G26-$H26)</f>
        <v>24492.1</v>
      </c>
      <c r="R26" s="21">
        <f>VLOOKUP($A26,tabCustoUnit[],COLUMN(CUSTO_GLOBAL[[#Headers],[INSS]])-2,0)*($G26-$H26)</f>
        <v>4898.42</v>
      </c>
      <c r="S26" s="21">
        <f>VLOOKUP($A26,tabCustoUnit[],COLUMN(CUSTO_GLOBAL[[#Headers],[SESI OU SESC]])-2,0)*($G26-$H26)</f>
        <v>367.38149999999996</v>
      </c>
      <c r="T26" s="21">
        <f>VLOOKUP($A26,tabCustoUnit[],COLUMN(CUSTO_GLOBAL[[#Headers],[SENAI OU SENAC]])-2,0)*($G26-$H26)</f>
        <v>244.92099999999999</v>
      </c>
      <c r="U26" s="21">
        <f>VLOOKUP($A26,tabCustoUnit[],COLUMN(CUSTO_GLOBAL[[#Headers],[INCRA]])-2,0)*($G26-$H26)</f>
        <v>48.984200000000001</v>
      </c>
      <c r="V26" s="21">
        <f>VLOOKUP($A26,tabCustoUnit[],COLUMN(CUSTO_GLOBAL[[#Headers],[Salário Educação]])-2,0)*($G26-$H26)</f>
        <v>612.30250000000001</v>
      </c>
      <c r="W26" s="21">
        <f>VLOOKUP($A26,tabCustoUnit[],COLUMN(CUSTO_GLOBAL[[#Headers],[FGTS]])-2,0)*($G26-$H26)</f>
        <v>1959.3679999999999</v>
      </c>
      <c r="X26" s="21">
        <f>VLOOKUP($A26,tabCustoUnit[],COLUMN(CUSTO_GLOBAL[[#Headers],[RAT Ajustado]])-2,0)*($G26-$H26)</f>
        <v>979.68399999999997</v>
      </c>
      <c r="Y26" s="21">
        <f>VLOOKUP($A26,tabCustoUnit[],COLUMN(CUSTO_GLOBAL[[#Headers],[SEBRAE]])-2,0)*($G26-$H26)</f>
        <v>146.95260000000002</v>
      </c>
      <c r="Z26" s="21">
        <f>VLOOKUP($A26,tabCustoUnit[],COLUMN(CUSTO_GLOBAL[[#Headers],[Submódulo 2.1]])-2,0)*($G26-$H26)</f>
        <v>9258.0137999999988</v>
      </c>
      <c r="AA26" s="21">
        <f>VLOOKUP($A26,tabCustoUnit[],COLUMN(CUSTO_GLOBAL[[#Headers],[13º salário (titular)]])-2,0)*($G26-$H26)</f>
        <v>2041.0083333333332</v>
      </c>
      <c r="AB26" s="21">
        <f>VLOOKUP($A26,tabCustoUnit[],COLUMN(CUSTO_GLOBAL[[#Headers],[Férias e Adicional de Férias (titular)]])-2,0)*($G26-$H26)</f>
        <v>2721.3444444444444</v>
      </c>
      <c r="AC26" s="21">
        <f>VLOOKUP($A26,tabCustoUnit[],COLUMN(CUSTO_GLOBAL[[#Headers],[Incidência do Submódulo 2.1 sobre 13º Salário, Férias e Adicional de Férias]])-2,0)*($G26-$H26)</f>
        <v>1800.1693499999999</v>
      </c>
      <c r="AD26" s="21">
        <f>VLOOKUP($A26,tabCustoUnit[],COLUMN(CUSTO_GLOBAL[[#Headers],[Submódulo 2.2]])-2,0)*($G26-$H26)</f>
        <v>6562.5221277777782</v>
      </c>
      <c r="AE26" s="22" t="e">
        <f ca="1">VLOOKUP($A26,tabCustoUnit[],COLUMN(CUSTO_GLOBAL[[#Headers],[Vale - Transporte (Descontada parcela do empregado)]])-2,0)*($G26-$H26)</f>
        <v>#NAME?</v>
      </c>
      <c r="AF26" s="22">
        <f>VLOOKUP($A26,tabCustoUnit[],COLUMN(CUSTO_GLOBAL[[#Headers],[Vale - Alimentação (Descontada parcela do empregado)]])-2,0)*($G26-$H26)</f>
        <v>5820</v>
      </c>
      <c r="AG26" s="22">
        <f>VLOOKUP($A26,tabCustoUnit[],COLUMN(CUSTO_GLOBAL[[#Headers],[Cesta Básica]])-2,0)*($G26-$H26)</f>
        <v>0</v>
      </c>
      <c r="AH26" s="22">
        <f>VLOOKUP($A26,tabCustoUnit[],COLUMN(CUSTO_GLOBAL[[#Headers],[PAF]])-2,0)*($G26-$H26)</f>
        <v>959</v>
      </c>
      <c r="AI26" s="22">
        <f>VLOOKUP($A26,tabCustoUnit[],COLUMN(CUSTO_GLOBAL[[#Headers],[PQM]])-2,0)*($G26-$H26)</f>
        <v>0</v>
      </c>
      <c r="AJ26" s="22">
        <v>0</v>
      </c>
      <c r="AK26" s="22">
        <f>VLOOKUP($A26,tabCustoUnit[],COLUMN(CUSTO_GLOBAL[[#Headers],[Seguro de Vida]])-2,0)*($G26-$H26)</f>
        <v>33.6</v>
      </c>
      <c r="AL26" s="22">
        <f>VLOOKUP($A26,tabCustoUnit[],COLUMN(CUSTO_GLOBAL[[#Headers],[Despesas de Viagem]])-2,0)*($G26-$H26)</f>
        <v>2020.8000000000002</v>
      </c>
      <c r="AM26" s="22" t="e">
        <f ca="1">VLOOKUP($A26,tabCustoUnit[],COLUMN(CUSTO_GLOBAL[[#Headers],[Submódulo 2.3]])-2,0)*($G26-$H26)</f>
        <v>#NAME?</v>
      </c>
      <c r="AN26" s="22" t="e">
        <f ca="1">VLOOKUP($A26,tabCustoUnit[],COLUMN(CUSTO_GLOBAL[[#Headers],[MÓDULO 2 - Total Encargos e Benefícios mensais e diários]])-2,0)*($G26-$H26)</f>
        <v>#NAME?</v>
      </c>
      <c r="AO26" s="22">
        <f>VLOOKUP($A26,tabCustoUnit[],COLUMN(CUSTO_GLOBAL[[#Headers],[Aviso Prévio Indenizado (API) e Reflexo do Aviso Prévio Indenizado]])-2,0)*($G26-$H26)</f>
        <v>171.73289793595677</v>
      </c>
      <c r="AP26" s="22">
        <f>VLOOKUP($A26,tabCustoUnit[],COLUMN(CUSTO_GLOBAL[[#Headers],[Incidência do FGTS sobre API e Reflexo do API]])-2,0)*($G26-$H26)</f>
        <v>13.738631834876545</v>
      </c>
      <c r="AQ26" s="22">
        <f>VLOOKUP($A26,tabCustoUnit[],COLUMN(CUSTO_GLOBAL[[#Headers],[Multa Rescisória do FGTS sobre o Aviso Prévio Indenizado]])-2,0)*($G26-$H26)</f>
        <v>5.4954527339506187</v>
      </c>
      <c r="AR26" s="22">
        <f>VLOOKUP($A26,tabCustoUnit[],COLUMN(CUSTO_GLOBAL[[#Headers],[Aviso Prévio Trabalhado - APT]])-2,0)*($G26-$H26)</f>
        <v>85.722350000000006</v>
      </c>
      <c r="AS26" s="22">
        <f>VLOOKUP($A26,tabCustoUnit[],COLUMN(CUSTO_GLOBAL[[#Headers],[Incidência dos encargos do submódulo 2.1 sobre Aviso Prévio Trabalhado]])-2,0)*($G26-$H26)</f>
        <v>32.403048300000009</v>
      </c>
      <c r="AT26" s="22">
        <f>VLOOKUP($A26,tabCustoUnit[],COLUMN(CUSTO_GLOBAL[[#Headers],[Multa Rescisória do FGTS]])-2,0)*($G26-$H26)</f>
        <v>748.91399111111105</v>
      </c>
      <c r="AU26" s="22">
        <f>VLOOKUP($A26,tabCustoUnit[],COLUMN(CUSTO_GLOBAL[[#Headers],[Indenização Adicional (Art. 9º da Lei nº 7.238/84)]])-2,0)*($G26-$H26)</f>
        <v>20.410083333333336</v>
      </c>
      <c r="AV26" s="22">
        <f>VLOOKUP($A26,tabCustoUnit[],COLUMN(CUSTO_GLOBAL[[#Headers],[MÓDULO 3 – PROVISÃO PARA RESCISÃO]])-2,0)*($G26-$H26)</f>
        <v>1078.4164552492282</v>
      </c>
      <c r="AW26" s="22">
        <f>VLOOKUP($A26,tabCustoUnit[],COLUMN(CUSTO_GLOBAL[[#Headers],[Ausência por Doença]])-2,0)*($G26-$H26)</f>
        <v>206.82217777777777</v>
      </c>
      <c r="AX26" s="22">
        <f>VLOOKUP($A26,tabCustoUnit[],COLUMN(CUSTO_GLOBAL[[#Headers],[Ausências Legais]])-2,0)*($G26-$H26)</f>
        <v>49.664536111111104</v>
      </c>
      <c r="AY26" s="22">
        <f>VLOOKUP($A26,tabCustoUnit[],COLUMN(CUSTO_GLOBAL[[#Headers],[Licença Paternidade]])-2,0)*($G26-$H26)</f>
        <v>4.1840670833333329</v>
      </c>
      <c r="AZ26" s="22">
        <f>VLOOKUP($A26,tabCustoUnit[],COLUMN(CUSTO_GLOBAL[[#Headers],[Ausência por Acidente de Trabalho]])-2,0)*($G26-$H26)</f>
        <v>5.1025208333333341</v>
      </c>
      <c r="BA26" s="22">
        <f>VLOOKUP($A26,tabCustoUnit[],COLUMN(CUSTO_GLOBAL[[#Headers],[Férias, Adicional de Férias e 13º  com empregada em gozo de Licença Maternidade]])-2,0)*($G26-$H26)</f>
        <v>31.749018518518518</v>
      </c>
      <c r="BB26" s="22">
        <f>VLOOKUP($A26,tabCustoUnit[],COLUMN(CUSTO_GLOBAL[[#Headers],[Incidência do Submódulo 2.1 sobre Ausências Legais]])-2,0)*($G26-$H26)</f>
        <v>112.46343708250002</v>
      </c>
      <c r="BC26" s="22">
        <f>VLOOKUP($A26,tabCustoUnit[],COLUMN(CUSTO_GLOBAL[[#Headers],[Submódulo 4.1]])-2,0)*($G26-$H26)</f>
        <v>409.98575740657407</v>
      </c>
      <c r="BD26" s="22">
        <f>VLOOKUP($A26,tabCustoUnit[],COLUMN(CUSTO_GLOBAL[[#Headers],[Intervalo para Repouso ou Alimentação]])-2,0)*($G26-$H26)</f>
        <v>0</v>
      </c>
      <c r="BE26" s="22">
        <f>VLOOKUP($A26,tabCustoUnit[],COLUMN(CUSTO_GLOBAL[[#Headers],[Submódulo 4.2]])-2,0)*($G26-$H26)</f>
        <v>0</v>
      </c>
      <c r="BF26" s="22">
        <f>VLOOKUP($A26,tabCustoUnit[],COLUMN(CUSTO_GLOBAL[[#Headers],[Suspensão Temporária do Contrato de Trabalho]])-2,0)*($G26-$H26)</f>
        <v>0</v>
      </c>
      <c r="BG26" s="22">
        <f>VLOOKUP($A26,tabCustoUnit[],COLUMN(CUSTO_GLOBAL[[#Headers],[Submódulo 4.3]])-2,0)*($G26-$H26)</f>
        <v>0</v>
      </c>
      <c r="BH26" s="22">
        <f>VLOOKUP($A26,tabCustoUnit[],COLUMN(CUSTO_GLOBAL[[#Headers],[MÓDULO 4 – CUSTO DE REPOSIÇÃO DO PROFISSIONAL AUSENTE]])-2,0)*($G26-$H26)</f>
        <v>409.98575740657407</v>
      </c>
      <c r="BI26" s="22">
        <f>VLOOKUP($A26,tabCustoUnit[],COLUMN(CUSTO_GLOBAL[[#Headers],[Uniformes e EPIs]])-2,0)*($G26-$H26)</f>
        <v>1211.2249999999999</v>
      </c>
      <c r="BJ26" s="22">
        <f>VLOOKUP($A26,tabCustoUnit[],COLUMN(CUSTO_GLOBAL[[#Headers],[Materiais de Consumo]])-2,0)*($G26-$H26)</f>
        <v>0</v>
      </c>
      <c r="BK26" s="22">
        <f>VLOOKUP($A26,tabCustoUnit[],COLUMN(CUSTO_GLOBAL[[#Headers],[Máquinas e Equipamentos (depreciação)]])-2,0)*($G26-$H26)</f>
        <v>0</v>
      </c>
      <c r="BL26" s="22">
        <f>VLOOKUP($A26,tabCustoUnit[],COLUMN(CUSTO_GLOBAL[[#Headers],[Produtos de Limpeza e Materiais de Higiene Pessoal]])-2,0)*($G26-$H26)</f>
        <v>0</v>
      </c>
      <c r="BM26" s="22">
        <f>VLOOKUP($A26,tabCustoUnit[],COLUMN(CUSTO_GLOBAL[[#Headers],[Outros (especificar)]])-2,0)*($G26-$H26)</f>
        <v>0</v>
      </c>
      <c r="BN26" s="22">
        <f>VLOOKUP($A26,tabCustoUnit[],COLUMN(CUSTO_GLOBAL[[#Headers],[MÓDULO 5 – INSUMOS DIVERSOS]])-2,0)*($G26-$H26)</f>
        <v>1211.2249999999999</v>
      </c>
      <c r="BO26" s="22" t="e">
        <f ca="1">VLOOKUP($A26,tabCustoUnit[],COLUMN(CUSTO_GLOBAL[[#Headers],[TOTAL MÓDULOS 1+2+3+4+5]])-2,0)*($G26-$H26)</f>
        <v>#NAME?</v>
      </c>
      <c r="BP26" s="22" t="e">
        <f ca="1">VLOOKUP($A26,tabCustoUnit[],COLUMN(CUSTO_GLOBAL[[#Headers],[Custos Indiretos]])-2,0)*($G26-$H26)</f>
        <v>#NAME?</v>
      </c>
      <c r="BQ26" s="22" t="e">
        <f ca="1">VLOOKUP($A26,tabCustoUnit[],COLUMN(CUSTO_GLOBAL[[#Headers],[Lucro]])-2,0)*($G26-$H26)</f>
        <v>#NAME?</v>
      </c>
      <c r="BR26" s="26">
        <f>VLOOKUP($A26,tabCustoUnit[],COLUMN(CUSTO_GLOBAL[[#Headers],[COFINS]])-2,0)</f>
        <v>8.8629737609329504E-2</v>
      </c>
      <c r="BS26" s="26">
        <f>VLOOKUP($A26,tabCustoUnit[],COLUMN(CUSTO_GLOBAL[[#Headers],[PIS]])-2,0)</f>
        <v>1.9241982507288629E-2</v>
      </c>
      <c r="BT26" s="28">
        <f>VLOOKUP($A26,tabCustoUnit[],COLUMN(CUSTO_GLOBAL[[#Headers],[ISS]])-2,0)</f>
        <v>0.05</v>
      </c>
      <c r="BU26" s="26">
        <f>VLOOKUP($A26,tabCustoUnit[],COLUMN(CUSTO_GLOBAL[[#Headers],[ISS (Conversão Alíquota s/ fatura)]])-2,0)</f>
        <v>5.8309037900874633E-2</v>
      </c>
      <c r="BV26" s="26">
        <f>VLOOKUP($A26,tabCustoUnit[],COLUMN(CUSTO_GLOBAL[[#Headers],[Resumo de Alíquotas (PIS+CONFINS+ISS)]])-2,0)</f>
        <v>0.14250000000000002</v>
      </c>
      <c r="BW26" s="138">
        <f>VLOOKUP($A26,tabCustoUnit[],COLUMN(CUSTO_GLOBAL[[#Headers],[PIS + COFINS + ISS (Total Conversão  Alíquota s/ Fatura)]])-2,0)</f>
        <v>0.16618075801749277</v>
      </c>
      <c r="BX26" s="22" t="e">
        <f ca="1">VLOOKUP($A26,tabCustoUnit[],COLUMN(CUSTO_GLOBAL[[#Headers],[Valor dos Tributos (ISS, PIS, CONFINS)]])-2,0)*($G26-$H26)</f>
        <v>#NAME?</v>
      </c>
      <c r="BY26" s="22" t="e">
        <f ca="1">VLOOKUP($A26,tabCustoUnit[],COLUMN(CUSTO_GLOBAL[[#Headers],[MÓDULO 6 – CUSTOS INDIRETOS, TRIBUTOS E LUCRO]])-2,0)*($G26-$H26)</f>
        <v>#NAME?</v>
      </c>
      <c r="BZ26" s="22" t="e">
        <f ca="1">VLOOKUP($A26,tabCustoUnit[],COLUMN(CUSTO_GLOBAL[[#Headers],[CUSTO TOTAL MENSAL]])-2,0)*($G26-$H26)</f>
        <v>#NAME?</v>
      </c>
      <c r="CA26" s="22" t="e">
        <f ca="1">CUSTO_GLOBAL[[#This Row],[CUSTO TOTAL MENSAL]]*12</f>
        <v>#NAME?</v>
      </c>
      <c r="CB26" s="24">
        <f>VLOOKUP($A26,tabCustoUnit[],COLUMN(CUSTO_GLOBAL[[#Headers],[ANO DA CCT]])-2,0)</f>
        <v>45658</v>
      </c>
      <c r="CC26" s="25" t="str">
        <f>VLOOKUP($A26,tabCustoUnit[],COLUMN(CUSTO_GLOBAL[[#Headers],[Nº DE PEDIDO DA CCT]])-2,0)</f>
        <v>-</v>
      </c>
      <c r="CD26" s="25" t="str">
        <f>VLOOKUP($A26,tabCustoUnit[],COLUMN(CUSTO_GLOBAL[[#Headers],[TERMO ADITIVO ALTERAÇÃO DA CCT]])-2,0)</f>
        <v>-</v>
      </c>
    </row>
    <row r="27" spans="1:82">
      <c r="A27" s="20" t="s">
        <v>1407</v>
      </c>
      <c r="B27" t="s">
        <v>1103</v>
      </c>
      <c r="C27" t="s">
        <v>133</v>
      </c>
      <c r="D27" t="s">
        <v>1035</v>
      </c>
      <c r="E27" s="20" t="s">
        <v>1090</v>
      </c>
      <c r="F27" s="20" t="s">
        <v>120</v>
      </c>
      <c r="G27" s="20">
        <v>20</v>
      </c>
      <c r="H27" s="20">
        <v>0</v>
      </c>
      <c r="I27" s="21">
        <f>VLOOKUP($A27,tabCustoUnit[],COLUMN(CUSTO_GLOBAL[[#Headers],[Salário Base]])-2,0)*($G27-$H27)</f>
        <v>95373.2</v>
      </c>
      <c r="J27" s="21">
        <f>VLOOKUP($A27,tabCustoUnit[],COLUMN(CUSTO_GLOBAL[[#Headers],[Adicional Periculosidade]])-2,0)*($G27-$H27)</f>
        <v>0</v>
      </c>
      <c r="K27" s="21">
        <f>VLOOKUP($A27,tabCustoUnit[],COLUMN(CUSTO_GLOBAL[[#Headers],[Adicional Insalubridade]])-2,0)*($G27-$H27)</f>
        <v>0</v>
      </c>
      <c r="L27" s="21">
        <f>VLOOKUP($A27,tabCustoUnit[],COLUMN(CUSTO_GLOBAL[[#Headers],[Adicional Noturno]])-2,0)*($G27-$H27)</f>
        <v>0</v>
      </c>
      <c r="M27" s="21">
        <f>VLOOKUP($A27,tabCustoUnit[],COLUMN(CUSTO_GLOBAL[[#Headers],[Adicional Motorista II (Gratificação)]])-2,0)*($G27-$H27)</f>
        <v>0</v>
      </c>
      <c r="N27" s="21">
        <f>VLOOKUP($A27,tabCustoUnit[],COLUMN(CUSTO_GLOBAL[[#Headers],[Adicional de Sobreaviso]])-2,0)*($G27-$H27)</f>
        <v>0</v>
      </c>
      <c r="O27" s="21">
        <f>VLOOKUP($A27,tabCustoUnit[],COLUMN(CUSTO_GLOBAL[[#Headers],[Horas Extras TI]])-2,0)*($G27-$H27)</f>
        <v>0</v>
      </c>
      <c r="P27" s="21">
        <f>VLOOKUP($A27,tabCustoUnit[],COLUMN(CUSTO_GLOBAL[[#Headers],[Adicional de Acúmulo de função]])-2,0)*($G27-$H27)</f>
        <v>0</v>
      </c>
      <c r="Q27" s="21">
        <f>VLOOKUP($A27,tabCustoUnit[],COLUMN(CUSTO_GLOBAL[[#Headers],[MODULO 1 - REMUNERAÇÃO ]])-2,0)*($G27-$H27)</f>
        <v>95373.2</v>
      </c>
      <c r="R27" s="21">
        <f>VLOOKUP($A27,tabCustoUnit[],COLUMN(CUSTO_GLOBAL[[#Headers],[INSS]])-2,0)*($G27-$H27)</f>
        <v>19074.64</v>
      </c>
      <c r="S27" s="21">
        <f>VLOOKUP($A27,tabCustoUnit[],COLUMN(CUSTO_GLOBAL[[#Headers],[SESI OU SESC]])-2,0)*($G27-$H27)</f>
        <v>1430.598</v>
      </c>
      <c r="T27" s="21">
        <f>VLOOKUP($A27,tabCustoUnit[],COLUMN(CUSTO_GLOBAL[[#Headers],[SENAI OU SENAC]])-2,0)*($G27-$H27)</f>
        <v>953.73199999999997</v>
      </c>
      <c r="U27" s="21">
        <f>VLOOKUP($A27,tabCustoUnit[],COLUMN(CUSTO_GLOBAL[[#Headers],[INCRA]])-2,0)*($G27-$H27)</f>
        <v>190.74639999999999</v>
      </c>
      <c r="V27" s="21">
        <f>VLOOKUP($A27,tabCustoUnit[],COLUMN(CUSTO_GLOBAL[[#Headers],[Salário Educação]])-2,0)*($G27-$H27)</f>
        <v>2384.33</v>
      </c>
      <c r="W27" s="21">
        <f>VLOOKUP($A27,tabCustoUnit[],COLUMN(CUSTO_GLOBAL[[#Headers],[FGTS]])-2,0)*($G27-$H27)</f>
        <v>7629.8559999999998</v>
      </c>
      <c r="X27" s="21">
        <f>VLOOKUP($A27,tabCustoUnit[],COLUMN(CUSTO_GLOBAL[[#Headers],[RAT Ajustado]])-2,0)*($G27-$H27)</f>
        <v>3814.9279999999999</v>
      </c>
      <c r="Y27" s="21">
        <f>VLOOKUP($A27,tabCustoUnit[],COLUMN(CUSTO_GLOBAL[[#Headers],[SEBRAE]])-2,0)*($G27-$H27)</f>
        <v>572.23919999999998</v>
      </c>
      <c r="Z27" s="21">
        <f>VLOOKUP($A27,tabCustoUnit[],COLUMN(CUSTO_GLOBAL[[#Headers],[Submódulo 2.1]])-2,0)*($G27-$H27)</f>
        <v>36051.069599999995</v>
      </c>
      <c r="AA27" s="21">
        <f>VLOOKUP($A27,tabCustoUnit[],COLUMN(CUSTO_GLOBAL[[#Headers],[13º salário (titular)]])-2,0)*($G27-$H27)</f>
        <v>7947.7666666666664</v>
      </c>
      <c r="AB27" s="21">
        <f>VLOOKUP($A27,tabCustoUnit[],COLUMN(CUSTO_GLOBAL[[#Headers],[Férias e Adicional de Férias (titular)]])-2,0)*($G27-$H27)</f>
        <v>10597.022222222222</v>
      </c>
      <c r="AC27" s="21">
        <f>VLOOKUP($A27,tabCustoUnit[],COLUMN(CUSTO_GLOBAL[[#Headers],[Incidência do Submódulo 2.1 sobre 13º Salário, Férias e Adicional de Férias]])-2,0)*($G27-$H27)</f>
        <v>7009.9301999999989</v>
      </c>
      <c r="AD27" s="21">
        <f>VLOOKUP($A27,tabCustoUnit[],COLUMN(CUSTO_GLOBAL[[#Headers],[Submódulo 2.2]])-2,0)*($G27-$H27)</f>
        <v>25554.719088888887</v>
      </c>
      <c r="AE27" s="22" t="e">
        <f ca="1">VLOOKUP($A27,tabCustoUnit[],COLUMN(CUSTO_GLOBAL[[#Headers],[Vale - Transporte (Descontada parcela do empregado)]])-2,0)*($G27-$H27)</f>
        <v>#NAME?</v>
      </c>
      <c r="AF27" s="22">
        <f>VLOOKUP($A27,tabCustoUnit[],COLUMN(CUSTO_GLOBAL[[#Headers],[Vale - Alimentação (Descontada parcela do empregado)]])-2,0)*($G27-$H27)</f>
        <v>11640</v>
      </c>
      <c r="AG27" s="22">
        <f>VLOOKUP($A27,tabCustoUnit[],COLUMN(CUSTO_GLOBAL[[#Headers],[Cesta Básica]])-2,0)*($G27-$H27)</f>
        <v>0</v>
      </c>
      <c r="AH27" s="22">
        <f>VLOOKUP($A27,tabCustoUnit[],COLUMN(CUSTO_GLOBAL[[#Headers],[PAF]])-2,0)*($G27-$H27)</f>
        <v>1918</v>
      </c>
      <c r="AI27" s="22">
        <f>VLOOKUP($A27,tabCustoUnit[],COLUMN(CUSTO_GLOBAL[[#Headers],[PQM]])-2,0)*($G27-$H27)</f>
        <v>0</v>
      </c>
      <c r="AJ27" s="22">
        <v>0</v>
      </c>
      <c r="AK27" s="22">
        <f>VLOOKUP($A27,tabCustoUnit[],COLUMN(CUSTO_GLOBAL[[#Headers],[Seguro de Vida]])-2,0)*($G27-$H27)</f>
        <v>67.2</v>
      </c>
      <c r="AL27" s="22">
        <f>VLOOKUP($A27,tabCustoUnit[],COLUMN(CUSTO_GLOBAL[[#Headers],[Despesas de Viagem]])-2,0)*($G27-$H27)</f>
        <v>4041.6000000000004</v>
      </c>
      <c r="AM27" s="22" t="e">
        <f ca="1">VLOOKUP($A27,tabCustoUnit[],COLUMN(CUSTO_GLOBAL[[#Headers],[Submódulo 2.3]])-2,0)*($G27-$H27)</f>
        <v>#NAME?</v>
      </c>
      <c r="AN27" s="22" t="e">
        <f ca="1">VLOOKUP($A27,tabCustoUnit[],COLUMN(CUSTO_GLOBAL[[#Headers],[MÓDULO 2 - Total Encargos e Benefícios mensais e diários]])-2,0)*($G27-$H27)</f>
        <v>#NAME?</v>
      </c>
      <c r="AO27" s="22">
        <f>VLOOKUP($A27,tabCustoUnit[],COLUMN(CUSTO_GLOBAL[[#Headers],[Aviso Prévio Indenizado (API) e Reflexo do Aviso Prévio Indenizado]])-2,0)*($G27-$H27)</f>
        <v>668.73465408950619</v>
      </c>
      <c r="AP27" s="22">
        <f>VLOOKUP($A27,tabCustoUnit[],COLUMN(CUSTO_GLOBAL[[#Headers],[Incidência do FGTS sobre API e Reflexo do API]])-2,0)*($G27-$H27)</f>
        <v>53.498772327160495</v>
      </c>
      <c r="AQ27" s="22">
        <f>VLOOKUP($A27,tabCustoUnit[],COLUMN(CUSTO_GLOBAL[[#Headers],[Multa Rescisória do FGTS sobre o Aviso Prévio Indenizado]])-2,0)*($G27-$H27)</f>
        <v>21.399508930864201</v>
      </c>
      <c r="AR27" s="22">
        <f>VLOOKUP($A27,tabCustoUnit[],COLUMN(CUSTO_GLOBAL[[#Headers],[Aviso Prévio Trabalhado - APT]])-2,0)*($G27-$H27)</f>
        <v>333.80619999999999</v>
      </c>
      <c r="AS27" s="22">
        <f>VLOOKUP($A27,tabCustoUnit[],COLUMN(CUSTO_GLOBAL[[#Headers],[Incidência dos encargos do submódulo 2.1 sobre Aviso Prévio Trabalhado]])-2,0)*($G27-$H27)</f>
        <v>126.17874360000003</v>
      </c>
      <c r="AT27" s="22">
        <f>VLOOKUP($A27,tabCustoUnit[],COLUMN(CUSTO_GLOBAL[[#Headers],[Multa Rescisória do FGTS]])-2,0)*($G27-$H27)</f>
        <v>2916.3005155555547</v>
      </c>
      <c r="AU27" s="22">
        <f>VLOOKUP($A27,tabCustoUnit[],COLUMN(CUSTO_GLOBAL[[#Headers],[Indenização Adicional (Art. 9º da Lei nº 7.238/84)]])-2,0)*($G27-$H27)</f>
        <v>79.477666666666678</v>
      </c>
      <c r="AV27" s="22">
        <f>VLOOKUP($A27,tabCustoUnit[],COLUMN(CUSTO_GLOBAL[[#Headers],[MÓDULO 3 – PROVISÃO PARA RESCISÃO]])-2,0)*($G27-$H27)</f>
        <v>4199.396061169753</v>
      </c>
      <c r="AW27" s="22">
        <f>VLOOKUP($A27,tabCustoUnit[],COLUMN(CUSTO_GLOBAL[[#Headers],[Ausência por Doença]])-2,0)*($G27-$H27)</f>
        <v>805.37368888888875</v>
      </c>
      <c r="AX27" s="22">
        <f>VLOOKUP($A27,tabCustoUnit[],COLUMN(CUSTO_GLOBAL[[#Headers],[Ausências Legais]])-2,0)*($G27-$H27)</f>
        <v>193.39565555555552</v>
      </c>
      <c r="AY27" s="22">
        <f>VLOOKUP($A27,tabCustoUnit[],COLUMN(CUSTO_GLOBAL[[#Headers],[Licença Paternidade]])-2,0)*($G27-$H27)</f>
        <v>16.292921666666665</v>
      </c>
      <c r="AZ27" s="22">
        <f>VLOOKUP($A27,tabCustoUnit[],COLUMN(CUSTO_GLOBAL[[#Headers],[Ausência por Acidente de Trabalho]])-2,0)*($G27-$H27)</f>
        <v>19.86941666666667</v>
      </c>
      <c r="BA27" s="22">
        <f>VLOOKUP($A27,tabCustoUnit[],COLUMN(CUSTO_GLOBAL[[#Headers],[Férias, Adicional de Férias e 13º  com empregada em gozo de Licença Maternidade]])-2,0)*($G27-$H27)</f>
        <v>123.63192592592591</v>
      </c>
      <c r="BB27" s="22">
        <f>VLOOKUP($A27,tabCustoUnit[],COLUMN(CUSTO_GLOBAL[[#Headers],[Incidência do Submódulo 2.1 sobre Ausências Legais]])-2,0)*($G27-$H27)</f>
        <v>437.93704409000009</v>
      </c>
      <c r="BC27" s="22">
        <f>VLOOKUP($A27,tabCustoUnit[],COLUMN(CUSTO_GLOBAL[[#Headers],[Submódulo 4.1]])-2,0)*($G27-$H27)</f>
        <v>1596.5006527937039</v>
      </c>
      <c r="BD27" s="22">
        <f>VLOOKUP($A27,tabCustoUnit[],COLUMN(CUSTO_GLOBAL[[#Headers],[Intervalo para Repouso ou Alimentação]])-2,0)*($G27-$H27)</f>
        <v>0</v>
      </c>
      <c r="BE27" s="22">
        <f>VLOOKUP($A27,tabCustoUnit[],COLUMN(CUSTO_GLOBAL[[#Headers],[Submódulo 4.2]])-2,0)*($G27-$H27)</f>
        <v>0</v>
      </c>
      <c r="BF27" s="22">
        <f>VLOOKUP($A27,tabCustoUnit[],COLUMN(CUSTO_GLOBAL[[#Headers],[Suspensão Temporária do Contrato de Trabalho]])-2,0)*($G27-$H27)</f>
        <v>0</v>
      </c>
      <c r="BG27" s="22">
        <f>VLOOKUP($A27,tabCustoUnit[],COLUMN(CUSTO_GLOBAL[[#Headers],[Submódulo 4.3]])-2,0)*($G27-$H27)</f>
        <v>0</v>
      </c>
      <c r="BH27" s="22">
        <f>VLOOKUP($A27,tabCustoUnit[],COLUMN(CUSTO_GLOBAL[[#Headers],[MÓDULO 4 – CUSTO DE REPOSIÇÃO DO PROFISSIONAL AUSENTE]])-2,0)*($G27-$H27)</f>
        <v>1596.5006527937039</v>
      </c>
      <c r="BI27" s="22">
        <f>VLOOKUP($A27,tabCustoUnit[],COLUMN(CUSTO_GLOBAL[[#Headers],[Uniformes e EPIs]])-2,0)*($G27-$H27)</f>
        <v>1488.9833333333331</v>
      </c>
      <c r="BJ27" s="22">
        <f>VLOOKUP($A27,tabCustoUnit[],COLUMN(CUSTO_GLOBAL[[#Headers],[Materiais de Consumo]])-2,0)*($G27-$H27)</f>
        <v>0</v>
      </c>
      <c r="BK27" s="22">
        <f>VLOOKUP($A27,tabCustoUnit[],COLUMN(CUSTO_GLOBAL[[#Headers],[Máquinas e Equipamentos (depreciação)]])-2,0)*($G27-$H27)</f>
        <v>0</v>
      </c>
      <c r="BL27" s="22">
        <f>VLOOKUP($A27,tabCustoUnit[],COLUMN(CUSTO_GLOBAL[[#Headers],[Produtos de Limpeza e Materiais de Higiene Pessoal]])-2,0)*($G27-$H27)</f>
        <v>0</v>
      </c>
      <c r="BM27" s="22">
        <f>VLOOKUP($A27,tabCustoUnit[],COLUMN(CUSTO_GLOBAL[[#Headers],[Outros (especificar)]])-2,0)*($G27-$H27)</f>
        <v>0</v>
      </c>
      <c r="BN27" s="22">
        <f>VLOOKUP($A27,tabCustoUnit[],COLUMN(CUSTO_GLOBAL[[#Headers],[MÓDULO 5 – INSUMOS DIVERSOS]])-2,0)*($G27-$H27)</f>
        <v>1488.9833333333331</v>
      </c>
      <c r="BO27" s="22" t="e">
        <f ca="1">VLOOKUP($A27,tabCustoUnit[],COLUMN(CUSTO_GLOBAL[[#Headers],[TOTAL MÓDULOS 1+2+3+4+5]])-2,0)*($G27-$H27)</f>
        <v>#NAME?</v>
      </c>
      <c r="BP27" s="22" t="e">
        <f ca="1">VLOOKUP($A27,tabCustoUnit[],COLUMN(CUSTO_GLOBAL[[#Headers],[Custos Indiretos]])-2,0)*($G27-$H27)</f>
        <v>#NAME?</v>
      </c>
      <c r="BQ27" s="22" t="e">
        <f ca="1">VLOOKUP($A27,tabCustoUnit[],COLUMN(CUSTO_GLOBAL[[#Headers],[Lucro]])-2,0)*($G27-$H27)</f>
        <v>#NAME?</v>
      </c>
      <c r="BR27" s="26">
        <f>VLOOKUP($A27,tabCustoUnit[],COLUMN(CUSTO_GLOBAL[[#Headers],[COFINS]])-2,0)</f>
        <v>8.8629737609329504E-2</v>
      </c>
      <c r="BS27" s="26">
        <f>VLOOKUP($A27,tabCustoUnit[],COLUMN(CUSTO_GLOBAL[[#Headers],[PIS]])-2,0)</f>
        <v>1.9241982507288629E-2</v>
      </c>
      <c r="BT27" s="28">
        <f>VLOOKUP($A27,tabCustoUnit[],COLUMN(CUSTO_GLOBAL[[#Headers],[ISS]])-2,0)</f>
        <v>0.05</v>
      </c>
      <c r="BU27" s="26">
        <f>VLOOKUP($A27,tabCustoUnit[],COLUMN(CUSTO_GLOBAL[[#Headers],[ISS (Conversão Alíquota s/ fatura)]])-2,0)</f>
        <v>5.8309037900874633E-2</v>
      </c>
      <c r="BV27" s="26">
        <f>VLOOKUP($A27,tabCustoUnit[],COLUMN(CUSTO_GLOBAL[[#Headers],[Resumo de Alíquotas (PIS+CONFINS+ISS)]])-2,0)</f>
        <v>0.14250000000000002</v>
      </c>
      <c r="BW27" s="138">
        <f>VLOOKUP($A27,tabCustoUnit[],COLUMN(CUSTO_GLOBAL[[#Headers],[PIS + COFINS + ISS (Total Conversão  Alíquota s/ Fatura)]])-2,0)</f>
        <v>0.16618075801749277</v>
      </c>
      <c r="BX27" s="22" t="e">
        <f ca="1">VLOOKUP($A27,tabCustoUnit[],COLUMN(CUSTO_GLOBAL[[#Headers],[Valor dos Tributos (ISS, PIS, CONFINS)]])-2,0)*($G27-$H27)</f>
        <v>#NAME?</v>
      </c>
      <c r="BY27" s="22" t="e">
        <f ca="1">VLOOKUP($A27,tabCustoUnit[],COLUMN(CUSTO_GLOBAL[[#Headers],[MÓDULO 6 – CUSTOS INDIRETOS, TRIBUTOS E LUCRO]])-2,0)*($G27-$H27)</f>
        <v>#NAME?</v>
      </c>
      <c r="BZ27" s="22" t="e">
        <f ca="1">VLOOKUP($A27,tabCustoUnit[],COLUMN(CUSTO_GLOBAL[[#Headers],[CUSTO TOTAL MENSAL]])-2,0)*($G27-$H27)</f>
        <v>#NAME?</v>
      </c>
      <c r="CA27" s="22" t="e">
        <f ca="1">CUSTO_GLOBAL[[#This Row],[CUSTO TOTAL MENSAL]]*12</f>
        <v>#NAME?</v>
      </c>
      <c r="CB27" s="24">
        <f>VLOOKUP($A27,tabCustoUnit[],COLUMN(CUSTO_GLOBAL[[#Headers],[ANO DA CCT]])-2,0)</f>
        <v>45658</v>
      </c>
      <c r="CC27" s="25" t="str">
        <f>VLOOKUP($A27,tabCustoUnit[],COLUMN(CUSTO_GLOBAL[[#Headers],[Nº DE PEDIDO DA CCT]])-2,0)</f>
        <v>-</v>
      </c>
      <c r="CD27" s="25" t="str">
        <f>VLOOKUP($A27,tabCustoUnit[],COLUMN(CUSTO_GLOBAL[[#Headers],[TERMO ADITIVO ALTERAÇÃO DA CCT]])-2,0)</f>
        <v>-</v>
      </c>
    </row>
    <row r="28" spans="1:82">
      <c r="A28" s="20" t="s">
        <v>1800</v>
      </c>
      <c r="B28" t="s">
        <v>1103</v>
      </c>
      <c r="C28" t="s">
        <v>133</v>
      </c>
      <c r="D28" t="s">
        <v>1035</v>
      </c>
      <c r="E28" s="20" t="s">
        <v>1090</v>
      </c>
      <c r="F28" s="20" t="s">
        <v>135</v>
      </c>
      <c r="G28" s="20">
        <v>1</v>
      </c>
      <c r="H28" s="20">
        <v>0</v>
      </c>
      <c r="I28" s="21">
        <f>VLOOKUP($A28,tabCustoUnit[],COLUMN(CUSTO_GLOBAL[[#Headers],[Salário Base]])-2,0)*($G28-$H28)</f>
        <v>4768.66</v>
      </c>
      <c r="J28" s="21">
        <f>VLOOKUP($A28,tabCustoUnit[],COLUMN(CUSTO_GLOBAL[[#Headers],[Adicional Periculosidade]])-2,0)*($G28-$H28)</f>
        <v>0</v>
      </c>
      <c r="K28" s="21">
        <f>VLOOKUP($A28,tabCustoUnit[],COLUMN(CUSTO_GLOBAL[[#Headers],[Adicional Insalubridade]])-2,0)*($G28-$H28)</f>
        <v>0</v>
      </c>
      <c r="L28" s="21">
        <f>VLOOKUP($A28,tabCustoUnit[],COLUMN(CUSTO_GLOBAL[[#Headers],[Adicional Noturno]])-2,0)*($G28-$H28)</f>
        <v>0</v>
      </c>
      <c r="M28" s="21">
        <f>VLOOKUP($A28,tabCustoUnit[],COLUMN(CUSTO_GLOBAL[[#Headers],[Adicional Motorista II (Gratificação)]])-2,0)*($G28-$H28)</f>
        <v>0</v>
      </c>
      <c r="N28" s="21">
        <f>VLOOKUP($A28,tabCustoUnit[],COLUMN(CUSTO_GLOBAL[[#Headers],[Adicional de Sobreaviso]])-2,0)*($G28-$H28)</f>
        <v>0</v>
      </c>
      <c r="O28" s="21">
        <f>VLOOKUP($A28,tabCustoUnit[],COLUMN(CUSTO_GLOBAL[[#Headers],[Horas Extras TI]])-2,0)*($G28-$H28)</f>
        <v>0</v>
      </c>
      <c r="P28" s="21">
        <f>VLOOKUP($A28,tabCustoUnit[],COLUMN(CUSTO_GLOBAL[[#Headers],[Adicional de Acúmulo de função]])-2,0)*($G28-$H28)</f>
        <v>0</v>
      </c>
      <c r="Q28" s="21">
        <f>VLOOKUP($A28,tabCustoUnit[],COLUMN(CUSTO_GLOBAL[[#Headers],[MODULO 1 - REMUNERAÇÃO ]])-2,0)*($G28-$H28)</f>
        <v>4768.66</v>
      </c>
      <c r="R28" s="21">
        <f>VLOOKUP($A28,tabCustoUnit[],COLUMN(CUSTO_GLOBAL[[#Headers],[INSS]])-2,0)*($G28-$H28)</f>
        <v>953.73199999999997</v>
      </c>
      <c r="S28" s="21">
        <f>VLOOKUP($A28,tabCustoUnit[],COLUMN(CUSTO_GLOBAL[[#Headers],[SESI OU SESC]])-2,0)*($G28-$H28)</f>
        <v>71.529899999999998</v>
      </c>
      <c r="T28" s="21">
        <f>VLOOKUP($A28,tabCustoUnit[],COLUMN(CUSTO_GLOBAL[[#Headers],[SENAI OU SENAC]])-2,0)*($G28-$H28)</f>
        <v>47.686599999999999</v>
      </c>
      <c r="U28" s="21">
        <f>VLOOKUP($A28,tabCustoUnit[],COLUMN(CUSTO_GLOBAL[[#Headers],[INCRA]])-2,0)*($G28-$H28)</f>
        <v>9.5373199999999994</v>
      </c>
      <c r="V28" s="21">
        <f>VLOOKUP($A28,tabCustoUnit[],COLUMN(CUSTO_GLOBAL[[#Headers],[Salário Educação]])-2,0)*($G28-$H28)</f>
        <v>119.2165</v>
      </c>
      <c r="W28" s="21">
        <f>VLOOKUP($A28,tabCustoUnit[],COLUMN(CUSTO_GLOBAL[[#Headers],[FGTS]])-2,0)*($G28-$H28)</f>
        <v>381.49279999999999</v>
      </c>
      <c r="X28" s="21">
        <f>VLOOKUP($A28,tabCustoUnit[],COLUMN(CUSTO_GLOBAL[[#Headers],[RAT Ajustado]])-2,0)*($G28-$H28)</f>
        <v>190.74639999999999</v>
      </c>
      <c r="Y28" s="21">
        <f>VLOOKUP($A28,tabCustoUnit[],COLUMN(CUSTO_GLOBAL[[#Headers],[SEBRAE]])-2,0)*($G28-$H28)</f>
        <v>28.61196</v>
      </c>
      <c r="Z28" s="21">
        <f>VLOOKUP($A28,tabCustoUnit[],COLUMN(CUSTO_GLOBAL[[#Headers],[Submódulo 2.1]])-2,0)*($G28-$H28)</f>
        <v>1802.5534799999998</v>
      </c>
      <c r="AA28" s="21">
        <f>VLOOKUP($A28,tabCustoUnit[],COLUMN(CUSTO_GLOBAL[[#Headers],[13º salário (titular)]])-2,0)*($G28-$H28)</f>
        <v>397.38833333333332</v>
      </c>
      <c r="AB28" s="21">
        <f>VLOOKUP($A28,tabCustoUnit[],COLUMN(CUSTO_GLOBAL[[#Headers],[Férias e Adicional de Férias (titular)]])-2,0)*($G28-$H28)</f>
        <v>529.85111111111109</v>
      </c>
      <c r="AC28" s="21">
        <f>VLOOKUP($A28,tabCustoUnit[],COLUMN(CUSTO_GLOBAL[[#Headers],[Incidência do Submódulo 2.1 sobre 13º Salário, Férias e Adicional de Férias]])-2,0)*($G28-$H28)</f>
        <v>350.49650999999994</v>
      </c>
      <c r="AD28" s="21">
        <f>VLOOKUP($A28,tabCustoUnit[],COLUMN(CUSTO_GLOBAL[[#Headers],[Submódulo 2.2]])-2,0)*($G28-$H28)</f>
        <v>1277.7359544444444</v>
      </c>
      <c r="AE28" s="22" t="e">
        <f ca="1">VLOOKUP($A28,tabCustoUnit[],COLUMN(CUSTO_GLOBAL[[#Headers],[Vale - Transporte (Descontada parcela do empregado)]])-2,0)*($G28-$H28)</f>
        <v>#NAME?</v>
      </c>
      <c r="AF28" s="22">
        <f>VLOOKUP($A28,tabCustoUnit[],COLUMN(CUSTO_GLOBAL[[#Headers],[Vale - Alimentação (Descontada parcela do empregado)]])-2,0)*($G28-$H28)</f>
        <v>582</v>
      </c>
      <c r="AG28" s="22">
        <f>VLOOKUP($A28,tabCustoUnit[],COLUMN(CUSTO_GLOBAL[[#Headers],[Cesta Básica]])-2,0)*($G28-$H28)</f>
        <v>0</v>
      </c>
      <c r="AH28" s="22">
        <f>VLOOKUP($A28,tabCustoUnit[],COLUMN(CUSTO_GLOBAL[[#Headers],[PAF]])-2,0)*($G28-$H28)</f>
        <v>95.9</v>
      </c>
      <c r="AI28" s="22">
        <f>VLOOKUP($A28,tabCustoUnit[],COLUMN(CUSTO_GLOBAL[[#Headers],[PQM]])-2,0)*($G28-$H28)</f>
        <v>0</v>
      </c>
      <c r="AJ28" s="22">
        <v>0</v>
      </c>
      <c r="AK28" s="22">
        <f>VLOOKUP($A28,tabCustoUnit[],COLUMN(CUSTO_GLOBAL[[#Headers],[Seguro de Vida]])-2,0)*($G28-$H28)</f>
        <v>3.36</v>
      </c>
      <c r="AL28" s="22">
        <f>VLOOKUP($A28,tabCustoUnit[],COLUMN(CUSTO_GLOBAL[[#Headers],[Despesas de Viagem]])-2,0)*($G28-$H28)</f>
        <v>202.08</v>
      </c>
      <c r="AM28" s="22" t="e">
        <f ca="1">VLOOKUP($A28,tabCustoUnit[],COLUMN(CUSTO_GLOBAL[[#Headers],[Submódulo 2.3]])-2,0)*($G28-$H28)</f>
        <v>#NAME?</v>
      </c>
      <c r="AN28" s="22" t="e">
        <f ca="1">VLOOKUP($A28,tabCustoUnit[],COLUMN(CUSTO_GLOBAL[[#Headers],[MÓDULO 2 - Total Encargos e Benefícios mensais e diários]])-2,0)*($G28-$H28)</f>
        <v>#NAME?</v>
      </c>
      <c r="AO28" s="22">
        <f>VLOOKUP($A28,tabCustoUnit[],COLUMN(CUSTO_GLOBAL[[#Headers],[Aviso Prévio Indenizado (API) e Reflexo do Aviso Prévio Indenizado]])-2,0)*($G28-$H28)</f>
        <v>33.436732704475311</v>
      </c>
      <c r="AP28" s="22">
        <f>VLOOKUP($A28,tabCustoUnit[],COLUMN(CUSTO_GLOBAL[[#Headers],[Incidência do FGTS sobre API e Reflexo do API]])-2,0)*($G28-$H28)</f>
        <v>2.6749386163580247</v>
      </c>
      <c r="AQ28" s="22">
        <f>VLOOKUP($A28,tabCustoUnit[],COLUMN(CUSTO_GLOBAL[[#Headers],[Multa Rescisória do FGTS sobre o Aviso Prévio Indenizado]])-2,0)*($G28-$H28)</f>
        <v>1.0699754465432101</v>
      </c>
      <c r="AR28" s="22">
        <f>VLOOKUP($A28,tabCustoUnit[],COLUMN(CUSTO_GLOBAL[[#Headers],[Aviso Prévio Trabalhado - APT]])-2,0)*($G28-$H28)</f>
        <v>16.69031</v>
      </c>
      <c r="AS28" s="22">
        <f>VLOOKUP($A28,tabCustoUnit[],COLUMN(CUSTO_GLOBAL[[#Headers],[Incidência dos encargos do submódulo 2.1 sobre Aviso Prévio Trabalhado]])-2,0)*($G28-$H28)</f>
        <v>6.3089371800000018</v>
      </c>
      <c r="AT28" s="22">
        <f>VLOOKUP($A28,tabCustoUnit[],COLUMN(CUSTO_GLOBAL[[#Headers],[Multa Rescisória do FGTS]])-2,0)*($G28-$H28)</f>
        <v>145.81502577777775</v>
      </c>
      <c r="AU28" s="22">
        <f>VLOOKUP($A28,tabCustoUnit[],COLUMN(CUSTO_GLOBAL[[#Headers],[Indenização Adicional (Art. 9º da Lei nº 7.238/84)]])-2,0)*($G28-$H28)</f>
        <v>3.9738833333333337</v>
      </c>
      <c r="AV28" s="22">
        <f>VLOOKUP($A28,tabCustoUnit[],COLUMN(CUSTO_GLOBAL[[#Headers],[MÓDULO 3 – PROVISÃO PARA RESCISÃO]])-2,0)*($G28-$H28)</f>
        <v>209.96980305848763</v>
      </c>
      <c r="AW28" s="22">
        <f>VLOOKUP($A28,tabCustoUnit[],COLUMN(CUSTO_GLOBAL[[#Headers],[Ausência por Doença]])-2,0)*($G28-$H28)</f>
        <v>40.268684444444439</v>
      </c>
      <c r="AX28" s="22">
        <f>VLOOKUP($A28,tabCustoUnit[],COLUMN(CUSTO_GLOBAL[[#Headers],[Ausências Legais]])-2,0)*($G28-$H28)</f>
        <v>9.6697827777777761</v>
      </c>
      <c r="AY28" s="22">
        <f>VLOOKUP($A28,tabCustoUnit[],COLUMN(CUSTO_GLOBAL[[#Headers],[Licença Paternidade]])-2,0)*($G28-$H28)</f>
        <v>0.81464608333333333</v>
      </c>
      <c r="AZ28" s="22">
        <f>VLOOKUP($A28,tabCustoUnit[],COLUMN(CUSTO_GLOBAL[[#Headers],[Ausência por Acidente de Trabalho]])-2,0)*($G28-$H28)</f>
        <v>0.99347083333333341</v>
      </c>
      <c r="BA28" s="22">
        <f>VLOOKUP($A28,tabCustoUnit[],COLUMN(CUSTO_GLOBAL[[#Headers],[Férias, Adicional de Férias e 13º  com empregada em gozo de Licença Maternidade]])-2,0)*($G28-$H28)</f>
        <v>6.1815962962962958</v>
      </c>
      <c r="BB28" s="22">
        <f>VLOOKUP($A28,tabCustoUnit[],COLUMN(CUSTO_GLOBAL[[#Headers],[Incidência do Submódulo 2.1 sobre Ausências Legais]])-2,0)*($G28-$H28)</f>
        <v>21.896852204500004</v>
      </c>
      <c r="BC28" s="22">
        <f>VLOOKUP($A28,tabCustoUnit[],COLUMN(CUSTO_GLOBAL[[#Headers],[Submódulo 4.1]])-2,0)*($G28-$H28)</f>
        <v>79.82503263968519</v>
      </c>
      <c r="BD28" s="22">
        <f>VLOOKUP($A28,tabCustoUnit[],COLUMN(CUSTO_GLOBAL[[#Headers],[Intervalo para Repouso ou Alimentação]])-2,0)*($G28-$H28)</f>
        <v>0</v>
      </c>
      <c r="BE28" s="22">
        <f>VLOOKUP($A28,tabCustoUnit[],COLUMN(CUSTO_GLOBAL[[#Headers],[Submódulo 4.2]])-2,0)*($G28-$H28)</f>
        <v>0</v>
      </c>
      <c r="BF28" s="22">
        <f>VLOOKUP($A28,tabCustoUnit[],COLUMN(CUSTO_GLOBAL[[#Headers],[Suspensão Temporária do Contrato de Trabalho]])-2,0)*($G28-$H28)</f>
        <v>0</v>
      </c>
      <c r="BG28" s="22">
        <f>VLOOKUP($A28,tabCustoUnit[],COLUMN(CUSTO_GLOBAL[[#Headers],[Submódulo 4.3]])-2,0)*($G28-$H28)</f>
        <v>0</v>
      </c>
      <c r="BH28" s="22">
        <f>VLOOKUP($A28,tabCustoUnit[],COLUMN(CUSTO_GLOBAL[[#Headers],[MÓDULO 4 – CUSTO DE REPOSIÇÃO DO PROFISSIONAL AUSENTE]])-2,0)*($G28-$H28)</f>
        <v>79.82503263968519</v>
      </c>
      <c r="BI28" s="22">
        <f>VLOOKUP($A28,tabCustoUnit[],COLUMN(CUSTO_GLOBAL[[#Headers],[Uniformes e EPIs]])-2,0)*($G28-$H28)</f>
        <v>74.449166666666656</v>
      </c>
      <c r="BJ28" s="22">
        <f>VLOOKUP($A28,tabCustoUnit[],COLUMN(CUSTO_GLOBAL[[#Headers],[Materiais de Consumo]])-2,0)*($G28-$H28)</f>
        <v>0</v>
      </c>
      <c r="BK28" s="22">
        <f>VLOOKUP($A28,tabCustoUnit[],COLUMN(CUSTO_GLOBAL[[#Headers],[Máquinas e Equipamentos (depreciação)]])-2,0)*($G28-$H28)</f>
        <v>0</v>
      </c>
      <c r="BL28" s="22">
        <f>VLOOKUP($A28,tabCustoUnit[],COLUMN(CUSTO_GLOBAL[[#Headers],[Produtos de Limpeza e Materiais de Higiene Pessoal]])-2,0)*($G28-$H28)</f>
        <v>0</v>
      </c>
      <c r="BM28" s="22">
        <f>VLOOKUP($A28,tabCustoUnit[],COLUMN(CUSTO_GLOBAL[[#Headers],[Outros (especificar)]])-2,0)*($G28-$H28)</f>
        <v>0</v>
      </c>
      <c r="BN28" s="22">
        <f>VLOOKUP($A28,tabCustoUnit[],COLUMN(CUSTO_GLOBAL[[#Headers],[MÓDULO 5 – INSUMOS DIVERSOS]])-2,0)*($G28-$H28)</f>
        <v>74.449166666666656</v>
      </c>
      <c r="BO28" s="22" t="e">
        <f ca="1">VLOOKUP($A28,tabCustoUnit[],COLUMN(CUSTO_GLOBAL[[#Headers],[TOTAL MÓDULOS 1+2+3+4+5]])-2,0)*($G28-$H28)</f>
        <v>#NAME?</v>
      </c>
      <c r="BP28" s="22" t="e">
        <f ca="1">VLOOKUP($A28,tabCustoUnit[],COLUMN(CUSTO_GLOBAL[[#Headers],[Custos Indiretos]])-2,0)*($G28-$H28)</f>
        <v>#NAME?</v>
      </c>
      <c r="BQ28" s="22" t="e">
        <f ca="1">VLOOKUP($A28,tabCustoUnit[],COLUMN(CUSTO_GLOBAL[[#Headers],[Lucro]])-2,0)*($G28-$H28)</f>
        <v>#NAME?</v>
      </c>
      <c r="BR28" s="26">
        <f>VLOOKUP($A28,tabCustoUnit[],COLUMN(CUSTO_GLOBAL[[#Headers],[COFINS]])-2,0)</f>
        <v>8.8629737609329504E-2</v>
      </c>
      <c r="BS28" s="26">
        <f>VLOOKUP($A28,tabCustoUnit[],COLUMN(CUSTO_GLOBAL[[#Headers],[PIS]])-2,0)</f>
        <v>1.9241982507288629E-2</v>
      </c>
      <c r="BT28" s="28">
        <f>VLOOKUP($A28,tabCustoUnit[],COLUMN(CUSTO_GLOBAL[[#Headers],[ISS]])-2,0)</f>
        <v>0.05</v>
      </c>
      <c r="BU28" s="26">
        <f>VLOOKUP($A28,tabCustoUnit[],COLUMN(CUSTO_GLOBAL[[#Headers],[ISS (Conversão Alíquota s/ fatura)]])-2,0)</f>
        <v>5.8309037900874633E-2</v>
      </c>
      <c r="BV28" s="26">
        <f>VLOOKUP($A28,tabCustoUnit[],COLUMN(CUSTO_GLOBAL[[#Headers],[Resumo de Alíquotas (PIS+CONFINS+ISS)]])-2,0)</f>
        <v>0.14250000000000002</v>
      </c>
      <c r="BW28" s="138">
        <f>VLOOKUP($A28,tabCustoUnit[],COLUMN(CUSTO_GLOBAL[[#Headers],[PIS + COFINS + ISS (Total Conversão  Alíquota s/ Fatura)]])-2,0)</f>
        <v>0.16618075801749277</v>
      </c>
      <c r="BX28" s="22" t="e">
        <f ca="1">VLOOKUP($A28,tabCustoUnit[],COLUMN(CUSTO_GLOBAL[[#Headers],[Valor dos Tributos (ISS, PIS, CONFINS)]])-2,0)*($G28-$H28)</f>
        <v>#NAME?</v>
      </c>
      <c r="BY28" s="22" t="e">
        <f ca="1">VLOOKUP($A28,tabCustoUnit[],COLUMN(CUSTO_GLOBAL[[#Headers],[MÓDULO 6 – CUSTOS INDIRETOS, TRIBUTOS E LUCRO]])-2,0)*($G28-$H28)</f>
        <v>#NAME?</v>
      </c>
      <c r="BZ28" s="22" t="e">
        <f ca="1">VLOOKUP($A28,tabCustoUnit[],COLUMN(CUSTO_GLOBAL[[#Headers],[CUSTO TOTAL MENSAL]])-2,0)*($G28-$H28)</f>
        <v>#NAME?</v>
      </c>
      <c r="CA28" s="22" t="e">
        <f ca="1">CUSTO_GLOBAL[[#This Row],[CUSTO TOTAL MENSAL]]*12</f>
        <v>#NAME?</v>
      </c>
      <c r="CB28" s="24">
        <f>VLOOKUP($A28,tabCustoUnit[],COLUMN(CUSTO_GLOBAL[[#Headers],[ANO DA CCT]])-2,0)</f>
        <v>45658</v>
      </c>
      <c r="CC28" s="25" t="str">
        <f>VLOOKUP($A28,tabCustoUnit[],COLUMN(CUSTO_GLOBAL[[#Headers],[Nº DE PEDIDO DA CCT]])-2,0)</f>
        <v>-</v>
      </c>
      <c r="CD28" s="25" t="str">
        <f>VLOOKUP($A28,tabCustoUnit[],COLUMN(CUSTO_GLOBAL[[#Headers],[TERMO ADITIVO ALTERAÇÃO DA CCT]])-2,0)</f>
        <v>-</v>
      </c>
    </row>
    <row r="29" spans="1:82">
      <c r="A29" s="20" t="s">
        <v>1408</v>
      </c>
      <c r="B29" t="s">
        <v>1103</v>
      </c>
      <c r="C29" t="s">
        <v>142</v>
      </c>
      <c r="D29" t="s">
        <v>1035</v>
      </c>
      <c r="E29" s="20" t="s">
        <v>1090</v>
      </c>
      <c r="F29" s="20" t="s">
        <v>120</v>
      </c>
      <c r="G29" s="20">
        <v>88</v>
      </c>
      <c r="H29" s="20">
        <v>0</v>
      </c>
      <c r="I29" s="21">
        <f>VLOOKUP($A29,tabCustoUnit[],COLUMN(CUSTO_GLOBAL[[#Headers],[Salário Base]])-2,0)*($G29-$H29)</f>
        <v>419642.07999999996</v>
      </c>
      <c r="J29" s="21">
        <f>VLOOKUP($A29,tabCustoUnit[],COLUMN(CUSTO_GLOBAL[[#Headers],[Adicional Periculosidade]])-2,0)*($G29-$H29)</f>
        <v>0</v>
      </c>
      <c r="K29" s="21">
        <f>VLOOKUP($A29,tabCustoUnit[],COLUMN(CUSTO_GLOBAL[[#Headers],[Adicional Insalubridade]])-2,0)*($G29-$H29)</f>
        <v>0</v>
      </c>
      <c r="L29" s="21">
        <f>VLOOKUP($A29,tabCustoUnit[],COLUMN(CUSTO_GLOBAL[[#Headers],[Adicional Noturno]])-2,0)*($G29-$H29)</f>
        <v>0</v>
      </c>
      <c r="M29" s="21">
        <f>VLOOKUP($A29,tabCustoUnit[],COLUMN(CUSTO_GLOBAL[[#Headers],[Adicional Motorista II (Gratificação)]])-2,0)*($G29-$H29)</f>
        <v>0</v>
      </c>
      <c r="N29" s="21">
        <f>VLOOKUP($A29,tabCustoUnit[],COLUMN(CUSTO_GLOBAL[[#Headers],[Adicional de Sobreaviso]])-2,0)*($G29-$H29)</f>
        <v>0</v>
      </c>
      <c r="O29" s="21">
        <f>VLOOKUP($A29,tabCustoUnit[],COLUMN(CUSTO_GLOBAL[[#Headers],[Horas Extras TI]])-2,0)*($G29-$H29)</f>
        <v>0</v>
      </c>
      <c r="P29" s="21">
        <f>VLOOKUP($A29,tabCustoUnit[],COLUMN(CUSTO_GLOBAL[[#Headers],[Adicional de Acúmulo de função]])-2,0)*($G29-$H29)</f>
        <v>0</v>
      </c>
      <c r="Q29" s="21">
        <f>VLOOKUP($A29,tabCustoUnit[],COLUMN(CUSTO_GLOBAL[[#Headers],[MODULO 1 - REMUNERAÇÃO ]])-2,0)*($G29-$H29)</f>
        <v>419642.07999999996</v>
      </c>
      <c r="R29" s="21">
        <f>VLOOKUP($A29,tabCustoUnit[],COLUMN(CUSTO_GLOBAL[[#Headers],[INSS]])-2,0)*($G29-$H29)</f>
        <v>83928.415999999997</v>
      </c>
      <c r="S29" s="21">
        <f>VLOOKUP($A29,tabCustoUnit[],COLUMN(CUSTO_GLOBAL[[#Headers],[SESI OU SESC]])-2,0)*($G29-$H29)</f>
        <v>6294.6311999999998</v>
      </c>
      <c r="T29" s="21">
        <f>VLOOKUP($A29,tabCustoUnit[],COLUMN(CUSTO_GLOBAL[[#Headers],[SENAI OU SENAC]])-2,0)*($G29-$H29)</f>
        <v>4196.4207999999999</v>
      </c>
      <c r="U29" s="21">
        <f>VLOOKUP($A29,tabCustoUnit[],COLUMN(CUSTO_GLOBAL[[#Headers],[INCRA]])-2,0)*($G29-$H29)</f>
        <v>839.28415999999993</v>
      </c>
      <c r="V29" s="21">
        <f>VLOOKUP($A29,tabCustoUnit[],COLUMN(CUSTO_GLOBAL[[#Headers],[Salário Educação]])-2,0)*($G29-$H29)</f>
        <v>10491.052</v>
      </c>
      <c r="W29" s="21">
        <f>VLOOKUP($A29,tabCustoUnit[],COLUMN(CUSTO_GLOBAL[[#Headers],[FGTS]])-2,0)*($G29-$H29)</f>
        <v>33571.366399999999</v>
      </c>
      <c r="X29" s="21">
        <f>VLOOKUP($A29,tabCustoUnit[],COLUMN(CUSTO_GLOBAL[[#Headers],[RAT Ajustado]])-2,0)*($G29-$H29)</f>
        <v>16785.683199999999</v>
      </c>
      <c r="Y29" s="21">
        <f>VLOOKUP($A29,tabCustoUnit[],COLUMN(CUSTO_GLOBAL[[#Headers],[SEBRAE]])-2,0)*($G29-$H29)</f>
        <v>2517.85248</v>
      </c>
      <c r="Z29" s="21">
        <f>VLOOKUP($A29,tabCustoUnit[],COLUMN(CUSTO_GLOBAL[[#Headers],[Submódulo 2.1]])-2,0)*($G29-$H29)</f>
        <v>158624.70623999997</v>
      </c>
      <c r="AA29" s="21">
        <f>VLOOKUP($A29,tabCustoUnit[],COLUMN(CUSTO_GLOBAL[[#Headers],[13º salário (titular)]])-2,0)*($G29-$H29)</f>
        <v>34970.173333333332</v>
      </c>
      <c r="AB29" s="21">
        <f>VLOOKUP($A29,tabCustoUnit[],COLUMN(CUSTO_GLOBAL[[#Headers],[Férias e Adicional de Férias (titular)]])-2,0)*($G29-$H29)</f>
        <v>46626.897777777776</v>
      </c>
      <c r="AC29" s="21">
        <f>VLOOKUP($A29,tabCustoUnit[],COLUMN(CUSTO_GLOBAL[[#Headers],[Incidência do Submódulo 2.1 sobre 13º Salário, Férias e Adicional de Férias]])-2,0)*($G29-$H29)</f>
        <v>30843.692879999995</v>
      </c>
      <c r="AD29" s="21">
        <f>VLOOKUP($A29,tabCustoUnit[],COLUMN(CUSTO_GLOBAL[[#Headers],[Submódulo 2.2]])-2,0)*($G29-$H29)</f>
        <v>112440.7639911111</v>
      </c>
      <c r="AE29" s="22" t="e">
        <f ca="1">VLOOKUP($A29,tabCustoUnit[],COLUMN(CUSTO_GLOBAL[[#Headers],[Vale - Transporte (Descontada parcela do empregado)]])-2,0)*($G29-$H29)</f>
        <v>#NAME?</v>
      </c>
      <c r="AF29" s="22">
        <f>VLOOKUP($A29,tabCustoUnit[],COLUMN(CUSTO_GLOBAL[[#Headers],[Vale - Alimentação (Descontada parcela do empregado)]])-2,0)*($G29-$H29)</f>
        <v>51216</v>
      </c>
      <c r="AG29" s="22">
        <f>VLOOKUP($A29,tabCustoUnit[],COLUMN(CUSTO_GLOBAL[[#Headers],[Cesta Básica]])-2,0)*($G29-$H29)</f>
        <v>0</v>
      </c>
      <c r="AH29" s="22">
        <f>VLOOKUP($A29,tabCustoUnit[],COLUMN(CUSTO_GLOBAL[[#Headers],[PAF]])-2,0)*($G29-$H29)</f>
        <v>8439.2000000000007</v>
      </c>
      <c r="AI29" s="22">
        <f>VLOOKUP($A29,tabCustoUnit[],COLUMN(CUSTO_GLOBAL[[#Headers],[PQM]])-2,0)*($G29-$H29)</f>
        <v>0</v>
      </c>
      <c r="AJ29" s="22">
        <v>0</v>
      </c>
      <c r="AK29" s="22">
        <f>VLOOKUP($A29,tabCustoUnit[],COLUMN(CUSTO_GLOBAL[[#Headers],[Seguro de Vida]])-2,0)*($G29-$H29)</f>
        <v>295.68</v>
      </c>
      <c r="AL29" s="22">
        <f>VLOOKUP($A29,tabCustoUnit[],COLUMN(CUSTO_GLOBAL[[#Headers],[Despesas de Viagem]])-2,0)*($G29-$H29)</f>
        <v>17783.04</v>
      </c>
      <c r="AM29" s="22" t="e">
        <f ca="1">VLOOKUP($A29,tabCustoUnit[],COLUMN(CUSTO_GLOBAL[[#Headers],[Submódulo 2.3]])-2,0)*($G29-$H29)</f>
        <v>#NAME?</v>
      </c>
      <c r="AN29" s="22" t="e">
        <f ca="1">VLOOKUP($A29,tabCustoUnit[],COLUMN(CUSTO_GLOBAL[[#Headers],[MÓDULO 2 - Total Encargos e Benefícios mensais e diários]])-2,0)*($G29-$H29)</f>
        <v>#NAME?</v>
      </c>
      <c r="AO29" s="22">
        <f>VLOOKUP($A29,tabCustoUnit[],COLUMN(CUSTO_GLOBAL[[#Headers],[Aviso Prévio Indenizado (API) e Reflexo do Aviso Prévio Indenizado]])-2,0)*($G29-$H29)</f>
        <v>2942.4324779938274</v>
      </c>
      <c r="AP29" s="22">
        <f>VLOOKUP($A29,tabCustoUnit[],COLUMN(CUSTO_GLOBAL[[#Headers],[Incidência do FGTS sobre API e Reflexo do API]])-2,0)*($G29-$H29)</f>
        <v>235.39459823950617</v>
      </c>
      <c r="AQ29" s="22">
        <f>VLOOKUP($A29,tabCustoUnit[],COLUMN(CUSTO_GLOBAL[[#Headers],[Multa Rescisória do FGTS sobre o Aviso Prévio Indenizado]])-2,0)*($G29-$H29)</f>
        <v>94.157839295802489</v>
      </c>
      <c r="AR29" s="22">
        <f>VLOOKUP($A29,tabCustoUnit[],COLUMN(CUSTO_GLOBAL[[#Headers],[Aviso Prévio Trabalhado - APT]])-2,0)*($G29-$H29)</f>
        <v>1468.74728</v>
      </c>
      <c r="AS29" s="22">
        <f>VLOOKUP($A29,tabCustoUnit[],COLUMN(CUSTO_GLOBAL[[#Headers],[Incidência dos encargos do submódulo 2.1 sobre Aviso Prévio Trabalhado]])-2,0)*($G29-$H29)</f>
        <v>555.18647184000019</v>
      </c>
      <c r="AT29" s="22">
        <f>VLOOKUP($A29,tabCustoUnit[],COLUMN(CUSTO_GLOBAL[[#Headers],[Multa Rescisória do FGTS]])-2,0)*($G29-$H29)</f>
        <v>12831.722268444442</v>
      </c>
      <c r="AU29" s="22">
        <f>VLOOKUP($A29,tabCustoUnit[],COLUMN(CUSTO_GLOBAL[[#Headers],[Indenização Adicional (Art. 9º da Lei nº 7.238/84)]])-2,0)*($G29-$H29)</f>
        <v>349.70173333333338</v>
      </c>
      <c r="AV29" s="22">
        <f>VLOOKUP($A29,tabCustoUnit[],COLUMN(CUSTO_GLOBAL[[#Headers],[MÓDULO 3 – PROVISÃO PARA RESCISÃO]])-2,0)*($G29-$H29)</f>
        <v>18477.34266914691</v>
      </c>
      <c r="AW29" s="22">
        <f>VLOOKUP($A29,tabCustoUnit[],COLUMN(CUSTO_GLOBAL[[#Headers],[Ausência por Doença]])-2,0)*($G29-$H29)</f>
        <v>3543.6442311111105</v>
      </c>
      <c r="AX29" s="22">
        <f>VLOOKUP($A29,tabCustoUnit[],COLUMN(CUSTO_GLOBAL[[#Headers],[Ausências Legais]])-2,0)*($G29-$H29)</f>
        <v>850.94088444444424</v>
      </c>
      <c r="AY29" s="22">
        <f>VLOOKUP($A29,tabCustoUnit[],COLUMN(CUSTO_GLOBAL[[#Headers],[Licença Paternidade]])-2,0)*($G29-$H29)</f>
        <v>71.688855333333336</v>
      </c>
      <c r="AZ29" s="22">
        <f>VLOOKUP($A29,tabCustoUnit[],COLUMN(CUSTO_GLOBAL[[#Headers],[Ausência por Acidente de Trabalho]])-2,0)*($G29-$H29)</f>
        <v>87.425433333333345</v>
      </c>
      <c r="BA29" s="22">
        <f>VLOOKUP($A29,tabCustoUnit[],COLUMN(CUSTO_GLOBAL[[#Headers],[Férias, Adicional de Férias e 13º  com empregada em gozo de Licença Maternidade]])-2,0)*($G29-$H29)</f>
        <v>543.98047407407398</v>
      </c>
      <c r="BB29" s="22">
        <f>VLOOKUP($A29,tabCustoUnit[],COLUMN(CUSTO_GLOBAL[[#Headers],[Incidência do Submódulo 2.1 sobre Ausências Legais]])-2,0)*($G29-$H29)</f>
        <v>1926.9229939960003</v>
      </c>
      <c r="BC29" s="22">
        <f>VLOOKUP($A29,tabCustoUnit[],COLUMN(CUSTO_GLOBAL[[#Headers],[Submódulo 4.1]])-2,0)*($G29-$H29)</f>
        <v>7024.6028722922965</v>
      </c>
      <c r="BD29" s="22">
        <f>VLOOKUP($A29,tabCustoUnit[],COLUMN(CUSTO_GLOBAL[[#Headers],[Intervalo para Repouso ou Alimentação]])-2,0)*($G29-$H29)</f>
        <v>0</v>
      </c>
      <c r="BE29" s="22">
        <f>VLOOKUP($A29,tabCustoUnit[],COLUMN(CUSTO_GLOBAL[[#Headers],[Submódulo 4.2]])-2,0)*($G29-$H29)</f>
        <v>0</v>
      </c>
      <c r="BF29" s="22">
        <f>VLOOKUP($A29,tabCustoUnit[],COLUMN(CUSTO_GLOBAL[[#Headers],[Suspensão Temporária do Contrato de Trabalho]])-2,0)*($G29-$H29)</f>
        <v>0</v>
      </c>
      <c r="BG29" s="22">
        <f>VLOOKUP($A29,tabCustoUnit[],COLUMN(CUSTO_GLOBAL[[#Headers],[Submódulo 4.3]])-2,0)*($G29-$H29)</f>
        <v>0</v>
      </c>
      <c r="BH29" s="22">
        <f>VLOOKUP($A29,tabCustoUnit[],COLUMN(CUSTO_GLOBAL[[#Headers],[MÓDULO 4 – CUSTO DE REPOSIÇÃO DO PROFISSIONAL AUSENTE]])-2,0)*($G29-$H29)</f>
        <v>7024.6028722922965</v>
      </c>
      <c r="BI29" s="22">
        <f>VLOOKUP($A29,tabCustoUnit[],COLUMN(CUSTO_GLOBAL[[#Headers],[Uniformes e EPIs]])-2,0)*($G29-$H29)</f>
        <v>10814.285308647693</v>
      </c>
      <c r="BJ29" s="22">
        <f>VLOOKUP($A29,tabCustoUnit[],COLUMN(CUSTO_GLOBAL[[#Headers],[Materiais de Consumo]])-2,0)*($G29-$H29)</f>
        <v>0</v>
      </c>
      <c r="BK29" s="22">
        <f>VLOOKUP($A29,tabCustoUnit[],COLUMN(CUSTO_GLOBAL[[#Headers],[Máquinas e Equipamentos (depreciação)]])-2,0)*($G29-$H29)</f>
        <v>0</v>
      </c>
      <c r="BL29" s="22">
        <f>VLOOKUP($A29,tabCustoUnit[],COLUMN(CUSTO_GLOBAL[[#Headers],[Produtos de Limpeza e Materiais de Higiene Pessoal]])-2,0)*($G29-$H29)</f>
        <v>0</v>
      </c>
      <c r="BM29" s="22">
        <f>VLOOKUP($A29,tabCustoUnit[],COLUMN(CUSTO_GLOBAL[[#Headers],[Outros (especificar)]])-2,0)*($G29-$H29)</f>
        <v>0</v>
      </c>
      <c r="BN29" s="22">
        <f>VLOOKUP($A29,tabCustoUnit[],COLUMN(CUSTO_GLOBAL[[#Headers],[MÓDULO 5 – INSUMOS DIVERSOS]])-2,0)*($G29-$H29)</f>
        <v>10814.285308647693</v>
      </c>
      <c r="BO29" s="22" t="e">
        <f ca="1">VLOOKUP($A29,tabCustoUnit[],COLUMN(CUSTO_GLOBAL[[#Headers],[TOTAL MÓDULOS 1+2+3+4+5]])-2,0)*($G29-$H29)</f>
        <v>#NAME?</v>
      </c>
      <c r="BP29" s="22" t="e">
        <f ca="1">VLOOKUP($A29,tabCustoUnit[],COLUMN(CUSTO_GLOBAL[[#Headers],[Custos Indiretos]])-2,0)*($G29-$H29)</f>
        <v>#NAME?</v>
      </c>
      <c r="BQ29" s="22" t="e">
        <f ca="1">VLOOKUP($A29,tabCustoUnit[],COLUMN(CUSTO_GLOBAL[[#Headers],[Lucro]])-2,0)*($G29-$H29)</f>
        <v>#NAME?</v>
      </c>
      <c r="BR29" s="26">
        <f>VLOOKUP($A29,tabCustoUnit[],COLUMN(CUSTO_GLOBAL[[#Headers],[COFINS]])-2,0)</f>
        <v>8.8629737609329504E-2</v>
      </c>
      <c r="BS29" s="26">
        <f>VLOOKUP($A29,tabCustoUnit[],COLUMN(CUSTO_GLOBAL[[#Headers],[PIS]])-2,0)</f>
        <v>1.9241982507288629E-2</v>
      </c>
      <c r="BT29" s="28">
        <f>VLOOKUP($A29,tabCustoUnit[],COLUMN(CUSTO_GLOBAL[[#Headers],[ISS]])-2,0)</f>
        <v>0.05</v>
      </c>
      <c r="BU29" s="26">
        <f>VLOOKUP($A29,tabCustoUnit[],COLUMN(CUSTO_GLOBAL[[#Headers],[ISS (Conversão Alíquota s/ fatura)]])-2,0)</f>
        <v>5.8309037900874633E-2</v>
      </c>
      <c r="BV29" s="26">
        <f>VLOOKUP($A29,tabCustoUnit[],COLUMN(CUSTO_GLOBAL[[#Headers],[Resumo de Alíquotas (PIS+CONFINS+ISS)]])-2,0)</f>
        <v>0.14250000000000002</v>
      </c>
      <c r="BW29" s="138">
        <f>VLOOKUP($A29,tabCustoUnit[],COLUMN(CUSTO_GLOBAL[[#Headers],[PIS + COFINS + ISS (Total Conversão  Alíquota s/ Fatura)]])-2,0)</f>
        <v>0.16618075801749277</v>
      </c>
      <c r="BX29" s="22" t="e">
        <f ca="1">VLOOKUP($A29,tabCustoUnit[],COLUMN(CUSTO_GLOBAL[[#Headers],[Valor dos Tributos (ISS, PIS, CONFINS)]])-2,0)*($G29-$H29)</f>
        <v>#NAME?</v>
      </c>
      <c r="BY29" s="22" t="e">
        <f ca="1">VLOOKUP($A29,tabCustoUnit[],COLUMN(CUSTO_GLOBAL[[#Headers],[MÓDULO 6 – CUSTOS INDIRETOS, TRIBUTOS E LUCRO]])-2,0)*($G29-$H29)</f>
        <v>#NAME?</v>
      </c>
      <c r="BZ29" s="22" t="e">
        <f ca="1">VLOOKUP($A29,tabCustoUnit[],COLUMN(CUSTO_GLOBAL[[#Headers],[CUSTO TOTAL MENSAL]])-2,0)*($G29-$H29)</f>
        <v>#NAME?</v>
      </c>
      <c r="CA29" s="22" t="e">
        <f ca="1">CUSTO_GLOBAL[[#This Row],[CUSTO TOTAL MENSAL]]*12</f>
        <v>#NAME?</v>
      </c>
      <c r="CB29" s="24">
        <f>VLOOKUP($A29,tabCustoUnit[],COLUMN(CUSTO_GLOBAL[[#Headers],[ANO DA CCT]])-2,0)</f>
        <v>45658</v>
      </c>
      <c r="CC29" s="25" t="str">
        <f>VLOOKUP($A29,tabCustoUnit[],COLUMN(CUSTO_GLOBAL[[#Headers],[Nº DE PEDIDO DA CCT]])-2,0)</f>
        <v>-</v>
      </c>
      <c r="CD29" s="25" t="str">
        <f>VLOOKUP($A29,tabCustoUnit[],COLUMN(CUSTO_GLOBAL[[#Headers],[TERMO ADITIVO ALTERAÇÃO DA CCT]])-2,0)</f>
        <v>-</v>
      </c>
    </row>
    <row r="30" spans="1:82">
      <c r="A30" s="20" t="s">
        <v>1409</v>
      </c>
      <c r="B30" t="s">
        <v>1103</v>
      </c>
      <c r="C30" t="s">
        <v>142</v>
      </c>
      <c r="D30" t="s">
        <v>1035</v>
      </c>
      <c r="E30" s="20" t="s">
        <v>1090</v>
      </c>
      <c r="F30" s="20" t="s">
        <v>135</v>
      </c>
      <c r="G30" s="20">
        <v>29</v>
      </c>
      <c r="H30" s="20">
        <v>0</v>
      </c>
      <c r="I30" s="21">
        <f>VLOOKUP($A30,tabCustoUnit[],COLUMN(CUSTO_GLOBAL[[#Headers],[Salário Base]])-2,0)*($G30-$H30)</f>
        <v>138291.13999999998</v>
      </c>
      <c r="J30" s="21">
        <f>VLOOKUP($A30,tabCustoUnit[],COLUMN(CUSTO_GLOBAL[[#Headers],[Adicional Periculosidade]])-2,0)*($G30-$H30)</f>
        <v>0</v>
      </c>
      <c r="K30" s="21">
        <f>VLOOKUP($A30,tabCustoUnit[],COLUMN(CUSTO_GLOBAL[[#Headers],[Adicional Insalubridade]])-2,0)*($G30-$H30)</f>
        <v>0</v>
      </c>
      <c r="L30" s="21">
        <f>VLOOKUP($A30,tabCustoUnit[],COLUMN(CUSTO_GLOBAL[[#Headers],[Adicional Noturno]])-2,0)*($G30-$H30)</f>
        <v>0</v>
      </c>
      <c r="M30" s="21">
        <f>VLOOKUP($A30,tabCustoUnit[],COLUMN(CUSTO_GLOBAL[[#Headers],[Adicional Motorista II (Gratificação)]])-2,0)*($G30-$H30)</f>
        <v>0</v>
      </c>
      <c r="N30" s="21">
        <f>VLOOKUP($A30,tabCustoUnit[],COLUMN(CUSTO_GLOBAL[[#Headers],[Adicional de Sobreaviso]])-2,0)*($G30-$H30)</f>
        <v>0</v>
      </c>
      <c r="O30" s="21">
        <f>VLOOKUP($A30,tabCustoUnit[],COLUMN(CUSTO_GLOBAL[[#Headers],[Horas Extras TI]])-2,0)*($G30-$H30)</f>
        <v>0</v>
      </c>
      <c r="P30" s="21">
        <f>VLOOKUP($A30,tabCustoUnit[],COLUMN(CUSTO_GLOBAL[[#Headers],[Adicional de Acúmulo de função]])-2,0)*($G30-$H30)</f>
        <v>0</v>
      </c>
      <c r="Q30" s="21">
        <f>VLOOKUP($A30,tabCustoUnit[],COLUMN(CUSTO_GLOBAL[[#Headers],[MODULO 1 - REMUNERAÇÃO ]])-2,0)*($G30-$H30)</f>
        <v>138291.13999999998</v>
      </c>
      <c r="R30" s="21">
        <f>VLOOKUP($A30,tabCustoUnit[],COLUMN(CUSTO_GLOBAL[[#Headers],[INSS]])-2,0)*($G30-$H30)</f>
        <v>27658.227999999999</v>
      </c>
      <c r="S30" s="21">
        <f>VLOOKUP($A30,tabCustoUnit[],COLUMN(CUSTO_GLOBAL[[#Headers],[SESI OU SESC]])-2,0)*($G30-$H30)</f>
        <v>2074.3670999999999</v>
      </c>
      <c r="T30" s="21">
        <f>VLOOKUP($A30,tabCustoUnit[],COLUMN(CUSTO_GLOBAL[[#Headers],[SENAI OU SENAC]])-2,0)*($G30-$H30)</f>
        <v>1382.9114</v>
      </c>
      <c r="U30" s="21">
        <f>VLOOKUP($A30,tabCustoUnit[],COLUMN(CUSTO_GLOBAL[[#Headers],[INCRA]])-2,0)*($G30-$H30)</f>
        <v>276.58227999999997</v>
      </c>
      <c r="V30" s="21">
        <f>VLOOKUP($A30,tabCustoUnit[],COLUMN(CUSTO_GLOBAL[[#Headers],[Salário Educação]])-2,0)*($G30-$H30)</f>
        <v>3457.2784999999999</v>
      </c>
      <c r="W30" s="21">
        <f>VLOOKUP($A30,tabCustoUnit[],COLUMN(CUSTO_GLOBAL[[#Headers],[FGTS]])-2,0)*($G30-$H30)</f>
        <v>11063.2912</v>
      </c>
      <c r="X30" s="21">
        <f>VLOOKUP($A30,tabCustoUnit[],COLUMN(CUSTO_GLOBAL[[#Headers],[RAT Ajustado]])-2,0)*($G30-$H30)</f>
        <v>5531.6455999999998</v>
      </c>
      <c r="Y30" s="21">
        <f>VLOOKUP($A30,tabCustoUnit[],COLUMN(CUSTO_GLOBAL[[#Headers],[SEBRAE]])-2,0)*($G30-$H30)</f>
        <v>829.74684000000002</v>
      </c>
      <c r="Z30" s="21">
        <f>VLOOKUP($A30,tabCustoUnit[],COLUMN(CUSTO_GLOBAL[[#Headers],[Submódulo 2.1]])-2,0)*($G30-$H30)</f>
        <v>52274.050919999994</v>
      </c>
      <c r="AA30" s="21">
        <f>VLOOKUP($A30,tabCustoUnit[],COLUMN(CUSTO_GLOBAL[[#Headers],[13º salário (titular)]])-2,0)*($G30-$H30)</f>
        <v>11524.261666666665</v>
      </c>
      <c r="AB30" s="21">
        <f>VLOOKUP($A30,tabCustoUnit[],COLUMN(CUSTO_GLOBAL[[#Headers],[Férias e Adicional de Férias (titular)]])-2,0)*($G30-$H30)</f>
        <v>15365.682222222222</v>
      </c>
      <c r="AC30" s="21">
        <f>VLOOKUP($A30,tabCustoUnit[],COLUMN(CUSTO_GLOBAL[[#Headers],[Incidência do Submódulo 2.1 sobre 13º Salário, Férias e Adicional de Férias]])-2,0)*($G30-$H30)</f>
        <v>10164.398789999999</v>
      </c>
      <c r="AD30" s="21">
        <f>VLOOKUP($A30,tabCustoUnit[],COLUMN(CUSTO_GLOBAL[[#Headers],[Submódulo 2.2]])-2,0)*($G30-$H30)</f>
        <v>37054.34267888889</v>
      </c>
      <c r="AE30" s="22" t="e">
        <f ca="1">VLOOKUP($A30,tabCustoUnit[],COLUMN(CUSTO_GLOBAL[[#Headers],[Vale - Transporte (Descontada parcela do empregado)]])-2,0)*($G30-$H30)</f>
        <v>#NAME?</v>
      </c>
      <c r="AF30" s="22">
        <f>VLOOKUP($A30,tabCustoUnit[],COLUMN(CUSTO_GLOBAL[[#Headers],[Vale - Alimentação (Descontada parcela do empregado)]])-2,0)*($G30-$H30)</f>
        <v>16878</v>
      </c>
      <c r="AG30" s="22">
        <f>VLOOKUP($A30,tabCustoUnit[],COLUMN(CUSTO_GLOBAL[[#Headers],[Cesta Básica]])-2,0)*($G30-$H30)</f>
        <v>0</v>
      </c>
      <c r="AH30" s="22">
        <f>VLOOKUP($A30,tabCustoUnit[],COLUMN(CUSTO_GLOBAL[[#Headers],[PAF]])-2,0)*($G30-$H30)</f>
        <v>2781.1000000000004</v>
      </c>
      <c r="AI30" s="22">
        <f>VLOOKUP($A30,tabCustoUnit[],COLUMN(CUSTO_GLOBAL[[#Headers],[PQM]])-2,0)*($G30-$H30)</f>
        <v>0</v>
      </c>
      <c r="AJ30" s="22">
        <v>0</v>
      </c>
      <c r="AK30" s="22">
        <f>VLOOKUP($A30,tabCustoUnit[],COLUMN(CUSTO_GLOBAL[[#Headers],[Seguro de Vida]])-2,0)*($G30-$H30)</f>
        <v>97.44</v>
      </c>
      <c r="AL30" s="22">
        <f>VLOOKUP($A30,tabCustoUnit[],COLUMN(CUSTO_GLOBAL[[#Headers],[Despesas de Viagem]])-2,0)*($G30-$H30)</f>
        <v>5860.3200000000006</v>
      </c>
      <c r="AM30" s="22" t="e">
        <f ca="1">VLOOKUP($A30,tabCustoUnit[],COLUMN(CUSTO_GLOBAL[[#Headers],[Submódulo 2.3]])-2,0)*($G30-$H30)</f>
        <v>#NAME?</v>
      </c>
      <c r="AN30" s="22" t="e">
        <f ca="1">VLOOKUP($A30,tabCustoUnit[],COLUMN(CUSTO_GLOBAL[[#Headers],[MÓDULO 2 - Total Encargos e Benefícios mensais e diários]])-2,0)*($G30-$H30)</f>
        <v>#NAME?</v>
      </c>
      <c r="AO30" s="22">
        <f>VLOOKUP($A30,tabCustoUnit[],COLUMN(CUSTO_GLOBAL[[#Headers],[Aviso Prévio Indenizado (API) e Reflexo do Aviso Prévio Indenizado]])-2,0)*($G30-$H30)</f>
        <v>969.66524842978401</v>
      </c>
      <c r="AP30" s="22">
        <f>VLOOKUP($A30,tabCustoUnit[],COLUMN(CUSTO_GLOBAL[[#Headers],[Incidência do FGTS sobre API e Reflexo do API]])-2,0)*($G30-$H30)</f>
        <v>77.573219874382715</v>
      </c>
      <c r="AQ30" s="22">
        <f>VLOOKUP($A30,tabCustoUnit[],COLUMN(CUSTO_GLOBAL[[#Headers],[Multa Rescisória do FGTS sobre o Aviso Prévio Indenizado]])-2,0)*($G30-$H30)</f>
        <v>31.029287949753094</v>
      </c>
      <c r="AR30" s="22">
        <f>VLOOKUP($A30,tabCustoUnit[],COLUMN(CUSTO_GLOBAL[[#Headers],[Aviso Prévio Trabalhado - APT]])-2,0)*($G30-$H30)</f>
        <v>484.01899000000003</v>
      </c>
      <c r="AS30" s="22">
        <f>VLOOKUP($A30,tabCustoUnit[],COLUMN(CUSTO_GLOBAL[[#Headers],[Incidência dos encargos do submódulo 2.1 sobre Aviso Prévio Trabalhado]])-2,0)*($G30-$H30)</f>
        <v>182.95917822000004</v>
      </c>
      <c r="AT30" s="22">
        <f>VLOOKUP($A30,tabCustoUnit[],COLUMN(CUSTO_GLOBAL[[#Headers],[Multa Rescisória do FGTS]])-2,0)*($G30-$H30)</f>
        <v>4228.6357475555551</v>
      </c>
      <c r="AU30" s="22">
        <f>VLOOKUP($A30,tabCustoUnit[],COLUMN(CUSTO_GLOBAL[[#Headers],[Indenização Adicional (Art. 9º da Lei nº 7.238/84)]])-2,0)*($G30-$H30)</f>
        <v>115.24261666666668</v>
      </c>
      <c r="AV30" s="22">
        <f>VLOOKUP($A30,tabCustoUnit[],COLUMN(CUSTO_GLOBAL[[#Headers],[MÓDULO 3 – PROVISÃO PARA RESCISÃO]])-2,0)*($G30-$H30)</f>
        <v>6089.1242886961409</v>
      </c>
      <c r="AW30" s="22">
        <f>VLOOKUP($A30,tabCustoUnit[],COLUMN(CUSTO_GLOBAL[[#Headers],[Ausência por Doença]])-2,0)*($G30-$H30)</f>
        <v>1167.7918488888888</v>
      </c>
      <c r="AX30" s="22">
        <f>VLOOKUP($A30,tabCustoUnit[],COLUMN(CUSTO_GLOBAL[[#Headers],[Ausências Legais]])-2,0)*($G30-$H30)</f>
        <v>280.42370055555551</v>
      </c>
      <c r="AY30" s="22">
        <f>VLOOKUP($A30,tabCustoUnit[],COLUMN(CUSTO_GLOBAL[[#Headers],[Licença Paternidade]])-2,0)*($G30-$H30)</f>
        <v>23.624736416666668</v>
      </c>
      <c r="AZ30" s="22">
        <f>VLOOKUP($A30,tabCustoUnit[],COLUMN(CUSTO_GLOBAL[[#Headers],[Ausência por Acidente de Trabalho]])-2,0)*($G30-$H30)</f>
        <v>28.810654166666669</v>
      </c>
      <c r="BA30" s="22">
        <f>VLOOKUP($A30,tabCustoUnit[],COLUMN(CUSTO_GLOBAL[[#Headers],[Férias, Adicional de Férias e 13º  com empregada em gozo de Licença Maternidade]])-2,0)*($G30-$H30)</f>
        <v>179.26629259259258</v>
      </c>
      <c r="BB30" s="22">
        <f>VLOOKUP($A30,tabCustoUnit[],COLUMN(CUSTO_GLOBAL[[#Headers],[Incidência do Submódulo 2.1 sobre Ausências Legais]])-2,0)*($G30-$H30)</f>
        <v>635.00871393050011</v>
      </c>
      <c r="BC30" s="22">
        <f>VLOOKUP($A30,tabCustoUnit[],COLUMN(CUSTO_GLOBAL[[#Headers],[Submódulo 4.1]])-2,0)*($G30-$H30)</f>
        <v>2314.9259465508703</v>
      </c>
      <c r="BD30" s="22">
        <f>VLOOKUP($A30,tabCustoUnit[],COLUMN(CUSTO_GLOBAL[[#Headers],[Intervalo para Repouso ou Alimentação]])-2,0)*($G30-$H30)</f>
        <v>0</v>
      </c>
      <c r="BE30" s="22">
        <f>VLOOKUP($A30,tabCustoUnit[],COLUMN(CUSTO_GLOBAL[[#Headers],[Submódulo 4.2]])-2,0)*($G30-$H30)</f>
        <v>0</v>
      </c>
      <c r="BF30" s="22">
        <f>VLOOKUP($A30,tabCustoUnit[],COLUMN(CUSTO_GLOBAL[[#Headers],[Suspensão Temporária do Contrato de Trabalho]])-2,0)*($G30-$H30)</f>
        <v>0</v>
      </c>
      <c r="BG30" s="22">
        <f>VLOOKUP($A30,tabCustoUnit[],COLUMN(CUSTO_GLOBAL[[#Headers],[Submódulo 4.3]])-2,0)*($G30-$H30)</f>
        <v>0</v>
      </c>
      <c r="BH30" s="22">
        <f>VLOOKUP($A30,tabCustoUnit[],COLUMN(CUSTO_GLOBAL[[#Headers],[MÓDULO 4 – CUSTO DE REPOSIÇÃO DO PROFISSIONAL AUSENTE]])-2,0)*($G30-$H30)</f>
        <v>2314.9259465508703</v>
      </c>
      <c r="BI30" s="22">
        <f>VLOOKUP($A30,tabCustoUnit[],COLUMN(CUSTO_GLOBAL[[#Headers],[Uniformes e EPIs]])-2,0)*($G30-$H30)</f>
        <v>3563.7985676225358</v>
      </c>
      <c r="BJ30" s="22">
        <f>VLOOKUP($A30,tabCustoUnit[],COLUMN(CUSTO_GLOBAL[[#Headers],[Materiais de Consumo]])-2,0)*($G30-$H30)</f>
        <v>0</v>
      </c>
      <c r="BK30" s="22">
        <f>VLOOKUP($A30,tabCustoUnit[],COLUMN(CUSTO_GLOBAL[[#Headers],[Máquinas e Equipamentos (depreciação)]])-2,0)*($G30-$H30)</f>
        <v>0</v>
      </c>
      <c r="BL30" s="22">
        <f>VLOOKUP($A30,tabCustoUnit[],COLUMN(CUSTO_GLOBAL[[#Headers],[Produtos de Limpeza e Materiais de Higiene Pessoal]])-2,0)*($G30-$H30)</f>
        <v>0</v>
      </c>
      <c r="BM30" s="22">
        <f>VLOOKUP($A30,tabCustoUnit[],COLUMN(CUSTO_GLOBAL[[#Headers],[Outros (especificar)]])-2,0)*($G30-$H30)</f>
        <v>0</v>
      </c>
      <c r="BN30" s="22">
        <f>VLOOKUP($A30,tabCustoUnit[],COLUMN(CUSTO_GLOBAL[[#Headers],[MÓDULO 5 – INSUMOS DIVERSOS]])-2,0)*($G30-$H30)</f>
        <v>3563.7985676225358</v>
      </c>
      <c r="BO30" s="22" t="e">
        <f ca="1">VLOOKUP($A30,tabCustoUnit[],COLUMN(CUSTO_GLOBAL[[#Headers],[TOTAL MÓDULOS 1+2+3+4+5]])-2,0)*($G30-$H30)</f>
        <v>#NAME?</v>
      </c>
      <c r="BP30" s="22" t="e">
        <f ca="1">VLOOKUP($A30,tabCustoUnit[],COLUMN(CUSTO_GLOBAL[[#Headers],[Custos Indiretos]])-2,0)*($G30-$H30)</f>
        <v>#NAME?</v>
      </c>
      <c r="BQ30" s="22" t="e">
        <f ca="1">VLOOKUP($A30,tabCustoUnit[],COLUMN(CUSTO_GLOBAL[[#Headers],[Lucro]])-2,0)*($G30-$H30)</f>
        <v>#NAME?</v>
      </c>
      <c r="BR30" s="26">
        <f>VLOOKUP($A30,tabCustoUnit[],COLUMN(CUSTO_GLOBAL[[#Headers],[COFINS]])-2,0)</f>
        <v>8.8629737609329504E-2</v>
      </c>
      <c r="BS30" s="26">
        <f>VLOOKUP($A30,tabCustoUnit[],COLUMN(CUSTO_GLOBAL[[#Headers],[PIS]])-2,0)</f>
        <v>1.9241982507288629E-2</v>
      </c>
      <c r="BT30" s="28">
        <f>VLOOKUP($A30,tabCustoUnit[],COLUMN(CUSTO_GLOBAL[[#Headers],[ISS]])-2,0)</f>
        <v>0.05</v>
      </c>
      <c r="BU30" s="26">
        <f>VLOOKUP($A30,tabCustoUnit[],COLUMN(CUSTO_GLOBAL[[#Headers],[ISS (Conversão Alíquota s/ fatura)]])-2,0)</f>
        <v>5.8309037900874633E-2</v>
      </c>
      <c r="BV30" s="26">
        <f>VLOOKUP($A30,tabCustoUnit[],COLUMN(CUSTO_GLOBAL[[#Headers],[Resumo de Alíquotas (PIS+CONFINS+ISS)]])-2,0)</f>
        <v>0.14250000000000002</v>
      </c>
      <c r="BW30" s="138">
        <f>VLOOKUP($A30,tabCustoUnit[],COLUMN(CUSTO_GLOBAL[[#Headers],[PIS + COFINS + ISS (Total Conversão  Alíquota s/ Fatura)]])-2,0)</f>
        <v>0.16618075801749277</v>
      </c>
      <c r="BX30" s="22" t="e">
        <f ca="1">VLOOKUP($A30,tabCustoUnit[],COLUMN(CUSTO_GLOBAL[[#Headers],[Valor dos Tributos (ISS, PIS, CONFINS)]])-2,0)*($G30-$H30)</f>
        <v>#NAME?</v>
      </c>
      <c r="BY30" s="22" t="e">
        <f ca="1">VLOOKUP($A30,tabCustoUnit[],COLUMN(CUSTO_GLOBAL[[#Headers],[MÓDULO 6 – CUSTOS INDIRETOS, TRIBUTOS E LUCRO]])-2,0)*($G30-$H30)</f>
        <v>#NAME?</v>
      </c>
      <c r="BZ30" s="22" t="e">
        <f ca="1">VLOOKUP($A30,tabCustoUnit[],COLUMN(CUSTO_GLOBAL[[#Headers],[CUSTO TOTAL MENSAL]])-2,0)*($G30-$H30)</f>
        <v>#NAME?</v>
      </c>
      <c r="CA30" s="22" t="e">
        <f ca="1">CUSTO_GLOBAL[[#This Row],[CUSTO TOTAL MENSAL]]*12</f>
        <v>#NAME?</v>
      </c>
      <c r="CB30" s="24">
        <f>VLOOKUP($A30,tabCustoUnit[],COLUMN(CUSTO_GLOBAL[[#Headers],[ANO DA CCT]])-2,0)</f>
        <v>45658</v>
      </c>
      <c r="CC30" s="25" t="str">
        <f>VLOOKUP($A30,tabCustoUnit[],COLUMN(CUSTO_GLOBAL[[#Headers],[Nº DE PEDIDO DA CCT]])-2,0)</f>
        <v>-</v>
      </c>
      <c r="CD30" s="25" t="str">
        <f>VLOOKUP($A30,tabCustoUnit[],COLUMN(CUSTO_GLOBAL[[#Headers],[TERMO ADITIVO ALTERAÇÃO DA CCT]])-2,0)</f>
        <v>-</v>
      </c>
    </row>
    <row r="31" spans="1:82">
      <c r="A31" s="20" t="s">
        <v>1410</v>
      </c>
      <c r="B31" t="s">
        <v>1103</v>
      </c>
      <c r="C31" t="s">
        <v>150</v>
      </c>
      <c r="D31" t="s">
        <v>1054</v>
      </c>
      <c r="E31" s="20" t="s">
        <v>1090</v>
      </c>
      <c r="F31" s="20" t="s">
        <v>120</v>
      </c>
      <c r="G31" s="20">
        <v>15</v>
      </c>
      <c r="H31" s="20">
        <v>0</v>
      </c>
      <c r="I31" s="21">
        <f>VLOOKUP($A31,tabCustoUnit[],COLUMN(CUSTO_GLOBAL[[#Headers],[Salário Base]])-2,0)*($G31-$H31)</f>
        <v>120550.5</v>
      </c>
      <c r="J31" s="21">
        <f>VLOOKUP($A31,tabCustoUnit[],COLUMN(CUSTO_GLOBAL[[#Headers],[Adicional Periculosidade]])-2,0)*($G31-$H31)</f>
        <v>0</v>
      </c>
      <c r="K31" s="21">
        <f>VLOOKUP($A31,tabCustoUnit[],COLUMN(CUSTO_GLOBAL[[#Headers],[Adicional Insalubridade]])-2,0)*($G31-$H31)</f>
        <v>0</v>
      </c>
      <c r="L31" s="21">
        <f>VLOOKUP($A31,tabCustoUnit[],COLUMN(CUSTO_GLOBAL[[#Headers],[Adicional Noturno]])-2,0)*($G31-$H31)</f>
        <v>0</v>
      </c>
      <c r="M31" s="21">
        <f>VLOOKUP($A31,tabCustoUnit[],COLUMN(CUSTO_GLOBAL[[#Headers],[Adicional Motorista II (Gratificação)]])-2,0)*($G31-$H31)</f>
        <v>0</v>
      </c>
      <c r="N31" s="21">
        <f>VLOOKUP($A31,tabCustoUnit[],COLUMN(CUSTO_GLOBAL[[#Headers],[Adicional de Sobreaviso]])-2,0)*($G31-$H31)</f>
        <v>0</v>
      </c>
      <c r="O31" s="21">
        <f>VLOOKUP($A31,tabCustoUnit[],COLUMN(CUSTO_GLOBAL[[#Headers],[Horas Extras TI]])-2,0)*($G31-$H31)</f>
        <v>6750.8280000000004</v>
      </c>
      <c r="P31" s="21">
        <f>VLOOKUP($A31,tabCustoUnit[],COLUMN(CUSTO_GLOBAL[[#Headers],[Adicional de Acúmulo de função]])-2,0)*($G31-$H31)</f>
        <v>0</v>
      </c>
      <c r="Q31" s="21">
        <f>VLOOKUP($A31,tabCustoUnit[],COLUMN(CUSTO_GLOBAL[[#Headers],[MODULO 1 - REMUNERAÇÃO ]])-2,0)*($G31-$H31)</f>
        <v>127301.32799999999</v>
      </c>
      <c r="R31" s="21">
        <f>VLOOKUP($A31,tabCustoUnit[],COLUMN(CUSTO_GLOBAL[[#Headers],[INSS]])-2,0)*($G31-$H31)</f>
        <v>25460.265599999999</v>
      </c>
      <c r="S31" s="21">
        <f>VLOOKUP($A31,tabCustoUnit[],COLUMN(CUSTO_GLOBAL[[#Headers],[SESI OU SESC]])-2,0)*($G31-$H31)</f>
        <v>1909.5199199999997</v>
      </c>
      <c r="T31" s="21">
        <f>VLOOKUP($A31,tabCustoUnit[],COLUMN(CUSTO_GLOBAL[[#Headers],[SENAI OU SENAC]])-2,0)*($G31-$H31)</f>
        <v>1273.0132800000001</v>
      </c>
      <c r="U31" s="21">
        <f>VLOOKUP($A31,tabCustoUnit[],COLUMN(CUSTO_GLOBAL[[#Headers],[INCRA]])-2,0)*($G31-$H31)</f>
        <v>254.60265599999997</v>
      </c>
      <c r="V31" s="21">
        <f>VLOOKUP($A31,tabCustoUnit[],COLUMN(CUSTO_GLOBAL[[#Headers],[Salário Educação]])-2,0)*($G31-$H31)</f>
        <v>3182.5331999999999</v>
      </c>
      <c r="W31" s="21">
        <f>VLOOKUP($A31,tabCustoUnit[],COLUMN(CUSTO_GLOBAL[[#Headers],[FGTS]])-2,0)*($G31-$H31)</f>
        <v>10184.106240000001</v>
      </c>
      <c r="X31" s="21">
        <f>VLOOKUP($A31,tabCustoUnit[],COLUMN(CUSTO_GLOBAL[[#Headers],[RAT Ajustado]])-2,0)*($G31-$H31)</f>
        <v>5092.0531200000005</v>
      </c>
      <c r="Y31" s="21">
        <f>VLOOKUP($A31,tabCustoUnit[],COLUMN(CUSTO_GLOBAL[[#Headers],[SEBRAE]])-2,0)*($G31-$H31)</f>
        <v>763.80796799999996</v>
      </c>
      <c r="Z31" s="21">
        <f>VLOOKUP($A31,tabCustoUnit[],COLUMN(CUSTO_GLOBAL[[#Headers],[Submódulo 2.1]])-2,0)*($G31-$H31)</f>
        <v>48119.901984000004</v>
      </c>
      <c r="AA31" s="21">
        <f>VLOOKUP($A31,tabCustoUnit[],COLUMN(CUSTO_GLOBAL[[#Headers],[13º salário (titular)]])-2,0)*($G31-$H31)</f>
        <v>10608.443999999998</v>
      </c>
      <c r="AB31" s="21">
        <f>VLOOKUP($A31,tabCustoUnit[],COLUMN(CUSTO_GLOBAL[[#Headers],[Férias e Adicional de Férias (titular)]])-2,0)*($G31-$H31)</f>
        <v>14144.591999999999</v>
      </c>
      <c r="AC31" s="21">
        <f>VLOOKUP($A31,tabCustoUnit[],COLUMN(CUSTO_GLOBAL[[#Headers],[Incidência do Submódulo 2.1 sobre 13º Salário, Férias e Adicional de Férias]])-2,0)*($G31-$H31)</f>
        <v>9356.6476079999975</v>
      </c>
      <c r="AD31" s="21">
        <f>VLOOKUP($A31,tabCustoUnit[],COLUMN(CUSTO_GLOBAL[[#Headers],[Submódulo 2.2]])-2,0)*($G31-$H31)</f>
        <v>34109.683607999992</v>
      </c>
      <c r="AE31" s="22" t="e">
        <f ca="1">VLOOKUP($A31,tabCustoUnit[],COLUMN(CUSTO_GLOBAL[[#Headers],[Vale - Transporte (Descontada parcela do empregado)]])-2,0)*($G31-$H31)</f>
        <v>#NAME?</v>
      </c>
      <c r="AF31" s="22">
        <f>VLOOKUP($A31,tabCustoUnit[],COLUMN(CUSTO_GLOBAL[[#Headers],[Vale - Alimentação (Descontada parcela do empregado)]])-2,0)*($G31-$H31)</f>
        <v>8727</v>
      </c>
      <c r="AG31" s="22">
        <f>VLOOKUP($A31,tabCustoUnit[],COLUMN(CUSTO_GLOBAL[[#Headers],[Cesta Básica]])-2,0)*($G31-$H31)</f>
        <v>0</v>
      </c>
      <c r="AH31" s="22">
        <f>VLOOKUP($A31,tabCustoUnit[],COLUMN(CUSTO_GLOBAL[[#Headers],[PAF]])-2,0)*($G31-$H31)</f>
        <v>775.94999999999993</v>
      </c>
      <c r="AI31" s="22">
        <f>VLOOKUP($A31,tabCustoUnit[],COLUMN(CUSTO_GLOBAL[[#Headers],[PQM]])-2,0)*($G31-$H31)</f>
        <v>0</v>
      </c>
      <c r="AJ31" s="22">
        <v>0</v>
      </c>
      <c r="AK31" s="22">
        <f>VLOOKUP($A31,tabCustoUnit[],COLUMN(CUSTO_GLOBAL[[#Headers],[Seguro de Vida]])-2,0)*($G31-$H31)</f>
        <v>50.4</v>
      </c>
      <c r="AL31" s="22">
        <f>VLOOKUP($A31,tabCustoUnit[],COLUMN(CUSTO_GLOBAL[[#Headers],[Despesas de Viagem]])-2,0)*($G31-$H31)</f>
        <v>3031.2000000000003</v>
      </c>
      <c r="AM31" s="22" t="e">
        <f ca="1">VLOOKUP($A31,tabCustoUnit[],COLUMN(CUSTO_GLOBAL[[#Headers],[Submódulo 2.3]])-2,0)*($G31-$H31)</f>
        <v>#NAME?</v>
      </c>
      <c r="AN31" s="22" t="e">
        <f ca="1">VLOOKUP($A31,tabCustoUnit[],COLUMN(CUSTO_GLOBAL[[#Headers],[MÓDULO 2 - Total Encargos e Benefícios mensais e diários]])-2,0)*($G31-$H31)</f>
        <v>#NAME?</v>
      </c>
      <c r="AO31" s="22">
        <f>VLOOKUP($A31,tabCustoUnit[],COLUMN(CUSTO_GLOBAL[[#Headers],[Aviso Prévio Indenizado (API) e Reflexo do Aviso Prévio Indenizado]])-2,0)*($G31-$H31)</f>
        <v>892.60724758333333</v>
      </c>
      <c r="AP31" s="22">
        <f>VLOOKUP($A31,tabCustoUnit[],COLUMN(CUSTO_GLOBAL[[#Headers],[Incidência do FGTS sobre API e Reflexo do API]])-2,0)*($G31-$H31)</f>
        <v>71.40857980666668</v>
      </c>
      <c r="AQ31" s="22">
        <f>VLOOKUP($A31,tabCustoUnit[],COLUMN(CUSTO_GLOBAL[[#Headers],[Multa Rescisória do FGTS sobre o Aviso Prévio Indenizado]])-2,0)*($G31-$H31)</f>
        <v>28.56343192266667</v>
      </c>
      <c r="AR31" s="22">
        <f>VLOOKUP($A31,tabCustoUnit[],COLUMN(CUSTO_GLOBAL[[#Headers],[Aviso Prévio Trabalhado - APT]])-2,0)*($G31-$H31)</f>
        <v>445.55464800000004</v>
      </c>
      <c r="AS31" s="22">
        <f>VLOOKUP($A31,tabCustoUnit[],COLUMN(CUSTO_GLOBAL[[#Headers],[Incidência dos encargos do submódulo 2.1 sobre Aviso Prévio Trabalhado]])-2,0)*($G31-$H31)</f>
        <v>168.41965694400005</v>
      </c>
      <c r="AT31" s="22">
        <f>VLOOKUP($A31,tabCustoUnit[],COLUMN(CUSTO_GLOBAL[[#Headers],[Multa Rescisória do FGTS]])-2,0)*($G31-$H31)</f>
        <v>3892.5917183999995</v>
      </c>
      <c r="AU31" s="22">
        <f>VLOOKUP($A31,tabCustoUnit[],COLUMN(CUSTO_GLOBAL[[#Headers],[Indenização Adicional (Art. 9º da Lei nº 7.238/84)]])-2,0)*($G31-$H31)</f>
        <v>106.08444</v>
      </c>
      <c r="AV31" s="22">
        <f>VLOOKUP($A31,tabCustoUnit[],COLUMN(CUSTO_GLOBAL[[#Headers],[MÓDULO 3 – PROVISÃO PARA RESCISÃO]])-2,0)*($G31-$H31)</f>
        <v>5605.2297226566661</v>
      </c>
      <c r="AW31" s="22">
        <f>VLOOKUP($A31,tabCustoUnit[],COLUMN(CUSTO_GLOBAL[[#Headers],[Ausência por Doença]])-2,0)*($G31-$H31)</f>
        <v>1074.9889919999998</v>
      </c>
      <c r="AX31" s="22">
        <f>VLOOKUP($A31,tabCustoUnit[],COLUMN(CUSTO_GLOBAL[[#Headers],[Ausências Legais]])-2,0)*($G31-$H31)</f>
        <v>258.13880399999994</v>
      </c>
      <c r="AY31" s="22">
        <f>VLOOKUP($A31,tabCustoUnit[],COLUMN(CUSTO_GLOBAL[[#Headers],[Licença Paternidade]])-2,0)*($G31-$H31)</f>
        <v>21.747310200000001</v>
      </c>
      <c r="AZ31" s="22">
        <f>VLOOKUP($A31,tabCustoUnit[],COLUMN(CUSTO_GLOBAL[[#Headers],[Ausência por Acidente de Trabalho]])-2,0)*($G31-$H31)</f>
        <v>26.52111</v>
      </c>
      <c r="BA31" s="22">
        <f>VLOOKUP($A31,tabCustoUnit[],COLUMN(CUSTO_GLOBAL[[#Headers],[Férias, Adicional de Férias e 13º  com empregada em gozo de Licença Maternidade]])-2,0)*($G31-$H31)</f>
        <v>165.02023999999997</v>
      </c>
      <c r="BB31" s="22">
        <f>VLOOKUP($A31,tabCustoUnit[],COLUMN(CUSTO_GLOBAL[[#Headers],[Incidência do Submódulo 2.1 sobre Ausências Legais]])-2,0)*($G31-$H31)</f>
        <v>584.54542044360005</v>
      </c>
      <c r="BC31" s="22">
        <f>VLOOKUP($A31,tabCustoUnit[],COLUMN(CUSTO_GLOBAL[[#Headers],[Submódulo 4.1]])-2,0)*($G31-$H31)</f>
        <v>2130.9618766435997</v>
      </c>
      <c r="BD31" s="22">
        <f>VLOOKUP($A31,tabCustoUnit[],COLUMN(CUSTO_GLOBAL[[#Headers],[Intervalo para Repouso ou Alimentação]])-2,0)*($G31-$H31)</f>
        <v>0</v>
      </c>
      <c r="BE31" s="22">
        <f>VLOOKUP($A31,tabCustoUnit[],COLUMN(CUSTO_GLOBAL[[#Headers],[Submódulo 4.2]])-2,0)*($G31-$H31)</f>
        <v>0</v>
      </c>
      <c r="BF31" s="22">
        <f>VLOOKUP($A31,tabCustoUnit[],COLUMN(CUSTO_GLOBAL[[#Headers],[Suspensão Temporária do Contrato de Trabalho]])-2,0)*($G31-$H31)</f>
        <v>0</v>
      </c>
      <c r="BG31" s="22">
        <f>VLOOKUP($A31,tabCustoUnit[],COLUMN(CUSTO_GLOBAL[[#Headers],[Submódulo 4.3]])-2,0)*($G31-$H31)</f>
        <v>0</v>
      </c>
      <c r="BH31" s="22">
        <f>VLOOKUP($A31,tabCustoUnit[],COLUMN(CUSTO_GLOBAL[[#Headers],[MÓDULO 4 – CUSTO DE REPOSIÇÃO DO PROFISSIONAL AUSENTE]])-2,0)*($G31-$H31)</f>
        <v>2130.9618766435997</v>
      </c>
      <c r="BI31" s="22">
        <f>VLOOKUP($A31,tabCustoUnit[],COLUMN(CUSTO_GLOBAL[[#Headers],[Uniformes e EPIs]])-2,0)*($G31-$H31)</f>
        <v>661.67019673059531</v>
      </c>
      <c r="BJ31" s="22">
        <f>VLOOKUP($A31,tabCustoUnit[],COLUMN(CUSTO_GLOBAL[[#Headers],[Materiais de Consumo]])-2,0)*($G31-$H31)</f>
        <v>0</v>
      </c>
      <c r="BK31" s="22">
        <f>VLOOKUP($A31,tabCustoUnit[],COLUMN(CUSTO_GLOBAL[[#Headers],[Máquinas e Equipamentos (depreciação)]])-2,0)*($G31-$H31)</f>
        <v>0</v>
      </c>
      <c r="BL31" s="22">
        <f>VLOOKUP($A31,tabCustoUnit[],COLUMN(CUSTO_GLOBAL[[#Headers],[Produtos de Limpeza e Materiais de Higiene Pessoal]])-2,0)*($G31-$H31)</f>
        <v>0</v>
      </c>
      <c r="BM31" s="22">
        <f>VLOOKUP($A31,tabCustoUnit[],COLUMN(CUSTO_GLOBAL[[#Headers],[Outros (especificar)]])-2,0)*($G31-$H31)</f>
        <v>0</v>
      </c>
      <c r="BN31" s="22">
        <f>VLOOKUP($A31,tabCustoUnit[],COLUMN(CUSTO_GLOBAL[[#Headers],[MÓDULO 5 – INSUMOS DIVERSOS]])-2,0)*($G31-$H31)</f>
        <v>661.67019673059531</v>
      </c>
      <c r="BO31" s="22" t="e">
        <f ca="1">VLOOKUP($A31,tabCustoUnit[],COLUMN(CUSTO_GLOBAL[[#Headers],[TOTAL MÓDULOS 1+2+3+4+5]])-2,0)*($G31-$H31)</f>
        <v>#NAME?</v>
      </c>
      <c r="BP31" s="22" t="e">
        <f ca="1">VLOOKUP($A31,tabCustoUnit[],COLUMN(CUSTO_GLOBAL[[#Headers],[Custos Indiretos]])-2,0)*($G31-$H31)</f>
        <v>#NAME?</v>
      </c>
      <c r="BQ31" s="22" t="e">
        <f ca="1">VLOOKUP($A31,tabCustoUnit[],COLUMN(CUSTO_GLOBAL[[#Headers],[Lucro]])-2,0)*($G31-$H31)</f>
        <v>#NAME?</v>
      </c>
      <c r="BR31" s="26">
        <f>VLOOKUP($A31,tabCustoUnit[],COLUMN(CUSTO_GLOBAL[[#Headers],[COFINS]])-2,0)</f>
        <v>8.8629737609329504E-2</v>
      </c>
      <c r="BS31" s="26">
        <f>VLOOKUP($A31,tabCustoUnit[],COLUMN(CUSTO_GLOBAL[[#Headers],[PIS]])-2,0)</f>
        <v>1.9241982507288629E-2</v>
      </c>
      <c r="BT31" s="28">
        <f>VLOOKUP($A31,tabCustoUnit[],COLUMN(CUSTO_GLOBAL[[#Headers],[ISS]])-2,0)</f>
        <v>0.05</v>
      </c>
      <c r="BU31" s="26">
        <f>VLOOKUP($A31,tabCustoUnit[],COLUMN(CUSTO_GLOBAL[[#Headers],[ISS (Conversão Alíquota s/ fatura)]])-2,0)</f>
        <v>5.8309037900874633E-2</v>
      </c>
      <c r="BV31" s="26">
        <f>VLOOKUP($A31,tabCustoUnit[],COLUMN(CUSTO_GLOBAL[[#Headers],[Resumo de Alíquotas (PIS+CONFINS+ISS)]])-2,0)</f>
        <v>0.14250000000000002</v>
      </c>
      <c r="BW31" s="138">
        <f>VLOOKUP($A31,tabCustoUnit[],COLUMN(CUSTO_GLOBAL[[#Headers],[PIS + COFINS + ISS (Total Conversão  Alíquota s/ Fatura)]])-2,0)</f>
        <v>0.16618075801749277</v>
      </c>
      <c r="BX31" s="22" t="e">
        <f ca="1">VLOOKUP($A31,tabCustoUnit[],COLUMN(CUSTO_GLOBAL[[#Headers],[Valor dos Tributos (ISS, PIS, CONFINS)]])-2,0)*($G31-$H31)</f>
        <v>#NAME?</v>
      </c>
      <c r="BY31" s="22" t="e">
        <f ca="1">VLOOKUP($A31,tabCustoUnit[],COLUMN(CUSTO_GLOBAL[[#Headers],[MÓDULO 6 – CUSTOS INDIRETOS, TRIBUTOS E LUCRO]])-2,0)*($G31-$H31)</f>
        <v>#NAME?</v>
      </c>
      <c r="BZ31" s="22" t="e">
        <f ca="1">VLOOKUP($A31,tabCustoUnit[],COLUMN(CUSTO_GLOBAL[[#Headers],[CUSTO TOTAL MENSAL]])-2,0)*($G31-$H31)</f>
        <v>#NAME?</v>
      </c>
      <c r="CA31" s="22" t="e">
        <f ca="1">CUSTO_GLOBAL[[#This Row],[CUSTO TOTAL MENSAL]]*12</f>
        <v>#NAME?</v>
      </c>
      <c r="CB31" s="24">
        <f>VLOOKUP($A31,tabCustoUnit[],COLUMN(CUSTO_GLOBAL[[#Headers],[ANO DA CCT]])-2,0)</f>
        <v>45658</v>
      </c>
      <c r="CC31" s="25" t="str">
        <f>VLOOKUP($A31,tabCustoUnit[],COLUMN(CUSTO_GLOBAL[[#Headers],[Nº DE PEDIDO DA CCT]])-2,0)</f>
        <v>-</v>
      </c>
      <c r="CD31" s="25" t="str">
        <f>VLOOKUP($A31,tabCustoUnit[],COLUMN(CUSTO_GLOBAL[[#Headers],[TERMO ADITIVO ALTERAÇÃO DA CCT]])-2,0)</f>
        <v>-</v>
      </c>
    </row>
    <row r="32" spans="1:82">
      <c r="A32" s="20" t="s">
        <v>1411</v>
      </c>
      <c r="B32" t="s">
        <v>1103</v>
      </c>
      <c r="C32" t="s">
        <v>159</v>
      </c>
      <c r="D32" t="s">
        <v>1054</v>
      </c>
      <c r="E32" s="20" t="s">
        <v>1090</v>
      </c>
      <c r="F32" s="20" t="s">
        <v>120</v>
      </c>
      <c r="G32" s="20">
        <v>10</v>
      </c>
      <c r="H32" s="20">
        <v>0</v>
      </c>
      <c r="I32" s="21">
        <f>VLOOKUP($A32,tabCustoUnit[],COLUMN(CUSTO_GLOBAL[[#Headers],[Salário Base]])-2,0)*($G32-$H32)</f>
        <v>92367.900000000009</v>
      </c>
      <c r="J32" s="21">
        <f>VLOOKUP($A32,tabCustoUnit[],COLUMN(CUSTO_GLOBAL[[#Headers],[Adicional Periculosidade]])-2,0)*($G32-$H32)</f>
        <v>0</v>
      </c>
      <c r="K32" s="21">
        <f>VLOOKUP($A32,tabCustoUnit[],COLUMN(CUSTO_GLOBAL[[#Headers],[Adicional Insalubridade]])-2,0)*($G32-$H32)</f>
        <v>0</v>
      </c>
      <c r="L32" s="21">
        <f>VLOOKUP($A32,tabCustoUnit[],COLUMN(CUSTO_GLOBAL[[#Headers],[Adicional Noturno]])-2,0)*($G32-$H32)</f>
        <v>0</v>
      </c>
      <c r="M32" s="21">
        <f>VLOOKUP($A32,tabCustoUnit[],COLUMN(CUSTO_GLOBAL[[#Headers],[Adicional Motorista II (Gratificação)]])-2,0)*($G32-$H32)</f>
        <v>0</v>
      </c>
      <c r="N32" s="21">
        <f>VLOOKUP($A32,tabCustoUnit[],COLUMN(CUSTO_GLOBAL[[#Headers],[Adicional de Sobreaviso]])-2,0)*($G32-$H32)</f>
        <v>0</v>
      </c>
      <c r="O32" s="21">
        <f>VLOOKUP($A32,tabCustoUnit[],COLUMN(CUSTO_GLOBAL[[#Headers],[Horas Extras TI]])-2,0)*($G32-$H32)</f>
        <v>5172.6020000000008</v>
      </c>
      <c r="P32" s="21">
        <f>VLOOKUP($A32,tabCustoUnit[],COLUMN(CUSTO_GLOBAL[[#Headers],[Adicional de Acúmulo de função]])-2,0)*($G32-$H32)</f>
        <v>0</v>
      </c>
      <c r="Q32" s="21">
        <f>VLOOKUP($A32,tabCustoUnit[],COLUMN(CUSTO_GLOBAL[[#Headers],[MODULO 1 - REMUNERAÇÃO ]])-2,0)*($G32-$H32)</f>
        <v>97540.502000000008</v>
      </c>
      <c r="R32" s="21">
        <f>VLOOKUP($A32,tabCustoUnit[],COLUMN(CUSTO_GLOBAL[[#Headers],[INSS]])-2,0)*($G32-$H32)</f>
        <v>19508.100400000003</v>
      </c>
      <c r="S32" s="21">
        <f>VLOOKUP($A32,tabCustoUnit[],COLUMN(CUSTO_GLOBAL[[#Headers],[SESI OU SESC]])-2,0)*($G32-$H32)</f>
        <v>1463.10753</v>
      </c>
      <c r="T32" s="21">
        <f>VLOOKUP($A32,tabCustoUnit[],COLUMN(CUSTO_GLOBAL[[#Headers],[SENAI OU SENAC]])-2,0)*($G32-$H32)</f>
        <v>975.40502000000015</v>
      </c>
      <c r="U32" s="21">
        <f>VLOOKUP($A32,tabCustoUnit[],COLUMN(CUSTO_GLOBAL[[#Headers],[INCRA]])-2,0)*($G32-$H32)</f>
        <v>195.08100400000004</v>
      </c>
      <c r="V32" s="21">
        <f>VLOOKUP($A32,tabCustoUnit[],COLUMN(CUSTO_GLOBAL[[#Headers],[Salário Educação]])-2,0)*($G32-$H32)</f>
        <v>2438.5125500000004</v>
      </c>
      <c r="W32" s="21">
        <f>VLOOKUP($A32,tabCustoUnit[],COLUMN(CUSTO_GLOBAL[[#Headers],[FGTS]])-2,0)*($G32-$H32)</f>
        <v>7803.2401600000012</v>
      </c>
      <c r="X32" s="21">
        <f>VLOOKUP($A32,tabCustoUnit[],COLUMN(CUSTO_GLOBAL[[#Headers],[RAT Ajustado]])-2,0)*($G32-$H32)</f>
        <v>3901.6200800000006</v>
      </c>
      <c r="Y32" s="21">
        <f>VLOOKUP($A32,tabCustoUnit[],COLUMN(CUSTO_GLOBAL[[#Headers],[SEBRAE]])-2,0)*($G32-$H32)</f>
        <v>585.24301200000014</v>
      </c>
      <c r="Z32" s="21">
        <f>VLOOKUP($A32,tabCustoUnit[],COLUMN(CUSTO_GLOBAL[[#Headers],[Submódulo 2.1]])-2,0)*($G32-$H32)</f>
        <v>36870.309756000002</v>
      </c>
      <c r="AA32" s="21">
        <f>VLOOKUP($A32,tabCustoUnit[],COLUMN(CUSTO_GLOBAL[[#Headers],[13º salário (titular)]])-2,0)*($G32-$H32)</f>
        <v>8128.3751666666667</v>
      </c>
      <c r="AB32" s="21">
        <f>VLOOKUP($A32,tabCustoUnit[],COLUMN(CUSTO_GLOBAL[[#Headers],[Férias e Adicional de Férias (titular)]])-2,0)*($G32-$H32)</f>
        <v>10837.833555555557</v>
      </c>
      <c r="AC32" s="21">
        <f>VLOOKUP($A32,tabCustoUnit[],COLUMN(CUSTO_GLOBAL[[#Headers],[Incidência do Submódulo 2.1 sobre 13º Salário, Férias e Adicional de Férias]])-2,0)*($G32-$H32)</f>
        <v>7169.2268970000005</v>
      </c>
      <c r="AD32" s="21">
        <f>VLOOKUP($A32,tabCustoUnit[],COLUMN(CUSTO_GLOBAL[[#Headers],[Submódulo 2.2]])-2,0)*($G32-$H32)</f>
        <v>26135.435619222226</v>
      </c>
      <c r="AE32" s="22" t="e">
        <f ca="1">VLOOKUP($A32,tabCustoUnit[],COLUMN(CUSTO_GLOBAL[[#Headers],[Vale - Transporte (Descontada parcela do empregado)]])-2,0)*($G32-$H32)</f>
        <v>#NAME?</v>
      </c>
      <c r="AF32" s="22">
        <f>VLOOKUP($A32,tabCustoUnit[],COLUMN(CUSTO_GLOBAL[[#Headers],[Vale - Alimentação (Descontada parcela do empregado)]])-2,0)*($G32-$H32)</f>
        <v>5818</v>
      </c>
      <c r="AG32" s="22">
        <f>VLOOKUP($A32,tabCustoUnit[],COLUMN(CUSTO_GLOBAL[[#Headers],[Cesta Básica]])-2,0)*($G32-$H32)</f>
        <v>0</v>
      </c>
      <c r="AH32" s="22">
        <f>VLOOKUP($A32,tabCustoUnit[],COLUMN(CUSTO_GLOBAL[[#Headers],[PAF]])-2,0)*($G32-$H32)</f>
        <v>517.29999999999995</v>
      </c>
      <c r="AI32" s="22">
        <f>VLOOKUP($A32,tabCustoUnit[],COLUMN(CUSTO_GLOBAL[[#Headers],[PQM]])-2,0)*($G32-$H32)</f>
        <v>0</v>
      </c>
      <c r="AJ32" s="22">
        <v>0</v>
      </c>
      <c r="AK32" s="22">
        <f>VLOOKUP($A32,tabCustoUnit[],COLUMN(CUSTO_GLOBAL[[#Headers],[Seguro de Vida]])-2,0)*($G32-$H32)</f>
        <v>33.6</v>
      </c>
      <c r="AL32" s="22">
        <f>VLOOKUP($A32,tabCustoUnit[],COLUMN(CUSTO_GLOBAL[[#Headers],[Despesas de Viagem]])-2,0)*($G32-$H32)</f>
        <v>2020.8000000000002</v>
      </c>
      <c r="AM32" s="22" t="e">
        <f ca="1">VLOOKUP($A32,tabCustoUnit[],COLUMN(CUSTO_GLOBAL[[#Headers],[Submódulo 2.3]])-2,0)*($G32-$H32)</f>
        <v>#NAME?</v>
      </c>
      <c r="AN32" s="22" t="e">
        <f ca="1">VLOOKUP($A32,tabCustoUnit[],COLUMN(CUSTO_GLOBAL[[#Headers],[MÓDULO 2 - Total Encargos e Benefícios mensais e diários]])-2,0)*($G32-$H32)</f>
        <v>#NAME?</v>
      </c>
      <c r="AO32" s="22">
        <f>VLOOKUP($A32,tabCustoUnit[],COLUMN(CUSTO_GLOBAL[[#Headers],[Aviso Prévio Indenizado (API) e Reflexo do Aviso Prévio Indenizado]])-2,0)*($G32-$H32)</f>
        <v>683.93127067862667</v>
      </c>
      <c r="AP32" s="22">
        <f>VLOOKUP($A32,tabCustoUnit[],COLUMN(CUSTO_GLOBAL[[#Headers],[Incidência do FGTS sobre API e Reflexo do API]])-2,0)*($G32-$H32)</f>
        <v>54.714501654290132</v>
      </c>
      <c r="AQ32" s="22">
        <f>VLOOKUP($A32,tabCustoUnit[],COLUMN(CUSTO_GLOBAL[[#Headers],[Multa Rescisória do FGTS sobre o Aviso Prévio Indenizado]])-2,0)*($G32-$H32)</f>
        <v>21.885800661716054</v>
      </c>
      <c r="AR32" s="22">
        <f>VLOOKUP($A32,tabCustoUnit[],COLUMN(CUSTO_GLOBAL[[#Headers],[Aviso Prévio Trabalhado - APT]])-2,0)*($G32-$H32)</f>
        <v>341.3917570000001</v>
      </c>
      <c r="AS32" s="22">
        <f>VLOOKUP($A32,tabCustoUnit[],COLUMN(CUSTO_GLOBAL[[#Headers],[Incidência dos encargos do submódulo 2.1 sobre Aviso Prévio Trabalhado]])-2,0)*($G32-$H32)</f>
        <v>129.04608414600006</v>
      </c>
      <c r="AT32" s="22">
        <f>VLOOKUP($A32,tabCustoUnit[],COLUMN(CUSTO_GLOBAL[[#Headers],[Multa Rescisória do FGTS]])-2,0)*($G32-$H32)</f>
        <v>2982.5717944888893</v>
      </c>
      <c r="AU32" s="22">
        <f>VLOOKUP($A32,tabCustoUnit[],COLUMN(CUSTO_GLOBAL[[#Headers],[Indenização Adicional (Art. 9º da Lei nº 7.238/84)]])-2,0)*($G32-$H32)</f>
        <v>81.283751666666689</v>
      </c>
      <c r="AV32" s="22">
        <f>VLOOKUP($A32,tabCustoUnit[],COLUMN(CUSTO_GLOBAL[[#Headers],[MÓDULO 3 – PROVISÃO PARA RESCISÃO]])-2,0)*($G32-$H32)</f>
        <v>4294.8249602961887</v>
      </c>
      <c r="AW32" s="22">
        <f>VLOOKUP($A32,tabCustoUnit[],COLUMN(CUSTO_GLOBAL[[#Headers],[Ausência por Doença]])-2,0)*($G32-$H32)</f>
        <v>823.67535022222228</v>
      </c>
      <c r="AX32" s="22">
        <f>VLOOKUP($A32,tabCustoUnit[],COLUMN(CUSTO_GLOBAL[[#Headers],[Ausências Legais]])-2,0)*($G32-$H32)</f>
        <v>197.79046238888893</v>
      </c>
      <c r="AY32" s="22">
        <f>VLOOKUP($A32,tabCustoUnit[],COLUMN(CUSTO_GLOBAL[[#Headers],[Licença Paternidade]])-2,0)*($G32-$H32)</f>
        <v>16.663169091666671</v>
      </c>
      <c r="AZ32" s="22">
        <f>VLOOKUP($A32,tabCustoUnit[],COLUMN(CUSTO_GLOBAL[[#Headers],[Ausência por Acidente de Trabalho]])-2,0)*($G32-$H32)</f>
        <v>20.320937916666672</v>
      </c>
      <c r="BA32" s="22">
        <f>VLOOKUP($A32,tabCustoUnit[],COLUMN(CUSTO_GLOBAL[[#Headers],[Férias, Adicional de Férias e 13º  com empregada em gozo de Licença Maternidade]])-2,0)*($G32-$H32)</f>
        <v>126.44139148148149</v>
      </c>
      <c r="BB32" s="22">
        <f>VLOOKUP($A32,tabCustoUnit[],COLUMN(CUSTO_GLOBAL[[#Headers],[Incidência do Submódulo 2.1 sobre Ausências Legais]])-2,0)*($G32-$H32)</f>
        <v>447.88891559615018</v>
      </c>
      <c r="BC32" s="22">
        <f>VLOOKUP($A32,tabCustoUnit[],COLUMN(CUSTO_GLOBAL[[#Headers],[Submódulo 4.1]])-2,0)*($G32-$H32)</f>
        <v>1632.7802266970764</v>
      </c>
      <c r="BD32" s="22">
        <f>VLOOKUP($A32,tabCustoUnit[],COLUMN(CUSTO_GLOBAL[[#Headers],[Intervalo para Repouso ou Alimentação]])-2,0)*($G32-$H32)</f>
        <v>0</v>
      </c>
      <c r="BE32" s="22">
        <f>VLOOKUP($A32,tabCustoUnit[],COLUMN(CUSTO_GLOBAL[[#Headers],[Submódulo 4.2]])-2,0)*($G32-$H32)</f>
        <v>0</v>
      </c>
      <c r="BF32" s="22">
        <f>VLOOKUP($A32,tabCustoUnit[],COLUMN(CUSTO_GLOBAL[[#Headers],[Suspensão Temporária do Contrato de Trabalho]])-2,0)*($G32-$H32)</f>
        <v>0</v>
      </c>
      <c r="BG32" s="22">
        <f>VLOOKUP($A32,tabCustoUnit[],COLUMN(CUSTO_GLOBAL[[#Headers],[Submódulo 4.3]])-2,0)*($G32-$H32)</f>
        <v>0</v>
      </c>
      <c r="BH32" s="22">
        <f>VLOOKUP($A32,tabCustoUnit[],COLUMN(CUSTO_GLOBAL[[#Headers],[MÓDULO 4 – CUSTO DE REPOSIÇÃO DO PROFISSIONAL AUSENTE]])-2,0)*($G32-$H32)</f>
        <v>1632.7802266970764</v>
      </c>
      <c r="BI32" s="22">
        <f>VLOOKUP($A32,tabCustoUnit[],COLUMN(CUSTO_GLOBAL[[#Headers],[Uniformes e EPIs]])-2,0)*($G32-$H32)</f>
        <v>441.11346448706354</v>
      </c>
      <c r="BJ32" s="22">
        <f>VLOOKUP($A32,tabCustoUnit[],COLUMN(CUSTO_GLOBAL[[#Headers],[Materiais de Consumo]])-2,0)*($G32-$H32)</f>
        <v>0</v>
      </c>
      <c r="BK32" s="22">
        <f>VLOOKUP($A32,tabCustoUnit[],COLUMN(CUSTO_GLOBAL[[#Headers],[Máquinas e Equipamentos (depreciação)]])-2,0)*($G32-$H32)</f>
        <v>0</v>
      </c>
      <c r="BL32" s="22">
        <f>VLOOKUP($A32,tabCustoUnit[],COLUMN(CUSTO_GLOBAL[[#Headers],[Produtos de Limpeza e Materiais de Higiene Pessoal]])-2,0)*($G32-$H32)</f>
        <v>0</v>
      </c>
      <c r="BM32" s="22">
        <f>VLOOKUP($A32,tabCustoUnit[],COLUMN(CUSTO_GLOBAL[[#Headers],[Outros (especificar)]])-2,0)*($G32-$H32)</f>
        <v>0</v>
      </c>
      <c r="BN32" s="22">
        <f>VLOOKUP($A32,tabCustoUnit[],COLUMN(CUSTO_GLOBAL[[#Headers],[MÓDULO 5 – INSUMOS DIVERSOS]])-2,0)*($G32-$H32)</f>
        <v>441.11346448706354</v>
      </c>
      <c r="BO32" s="22" t="e">
        <f ca="1">VLOOKUP($A32,tabCustoUnit[],COLUMN(CUSTO_GLOBAL[[#Headers],[TOTAL MÓDULOS 1+2+3+4+5]])-2,0)*($G32-$H32)</f>
        <v>#NAME?</v>
      </c>
      <c r="BP32" s="22" t="e">
        <f ca="1">VLOOKUP($A32,tabCustoUnit[],COLUMN(CUSTO_GLOBAL[[#Headers],[Custos Indiretos]])-2,0)*($G32-$H32)</f>
        <v>#NAME?</v>
      </c>
      <c r="BQ32" s="22" t="e">
        <f ca="1">VLOOKUP($A32,tabCustoUnit[],COLUMN(CUSTO_GLOBAL[[#Headers],[Lucro]])-2,0)*($G32-$H32)</f>
        <v>#NAME?</v>
      </c>
      <c r="BR32" s="26">
        <f>VLOOKUP($A32,tabCustoUnit[],COLUMN(CUSTO_GLOBAL[[#Headers],[COFINS]])-2,0)</f>
        <v>8.8629737609329504E-2</v>
      </c>
      <c r="BS32" s="26">
        <f>VLOOKUP($A32,tabCustoUnit[],COLUMN(CUSTO_GLOBAL[[#Headers],[PIS]])-2,0)</f>
        <v>1.9241982507288629E-2</v>
      </c>
      <c r="BT32" s="28">
        <f>VLOOKUP($A32,tabCustoUnit[],COLUMN(CUSTO_GLOBAL[[#Headers],[ISS]])-2,0)</f>
        <v>0.05</v>
      </c>
      <c r="BU32" s="26">
        <f>VLOOKUP($A32,tabCustoUnit[],COLUMN(CUSTO_GLOBAL[[#Headers],[ISS (Conversão Alíquota s/ fatura)]])-2,0)</f>
        <v>5.8309037900874633E-2</v>
      </c>
      <c r="BV32" s="26">
        <f>VLOOKUP($A32,tabCustoUnit[],COLUMN(CUSTO_GLOBAL[[#Headers],[Resumo de Alíquotas (PIS+CONFINS+ISS)]])-2,0)</f>
        <v>0.14250000000000002</v>
      </c>
      <c r="BW32" s="138">
        <f>VLOOKUP($A32,tabCustoUnit[],COLUMN(CUSTO_GLOBAL[[#Headers],[PIS + COFINS + ISS (Total Conversão  Alíquota s/ Fatura)]])-2,0)</f>
        <v>0.16618075801749277</v>
      </c>
      <c r="BX32" s="22" t="e">
        <f ca="1">VLOOKUP($A32,tabCustoUnit[],COLUMN(CUSTO_GLOBAL[[#Headers],[Valor dos Tributos (ISS, PIS, CONFINS)]])-2,0)*($G32-$H32)</f>
        <v>#NAME?</v>
      </c>
      <c r="BY32" s="22" t="e">
        <f ca="1">VLOOKUP($A32,tabCustoUnit[],COLUMN(CUSTO_GLOBAL[[#Headers],[MÓDULO 6 – CUSTOS INDIRETOS, TRIBUTOS E LUCRO]])-2,0)*($G32-$H32)</f>
        <v>#NAME?</v>
      </c>
      <c r="BZ32" s="22" t="e">
        <f ca="1">VLOOKUP($A32,tabCustoUnit[],COLUMN(CUSTO_GLOBAL[[#Headers],[CUSTO TOTAL MENSAL]])-2,0)*($G32-$H32)</f>
        <v>#NAME?</v>
      </c>
      <c r="CA32" s="22" t="e">
        <f ca="1">CUSTO_GLOBAL[[#This Row],[CUSTO TOTAL MENSAL]]*12</f>
        <v>#NAME?</v>
      </c>
      <c r="CB32" s="24">
        <f>VLOOKUP($A32,tabCustoUnit[],COLUMN(CUSTO_GLOBAL[[#Headers],[ANO DA CCT]])-2,0)</f>
        <v>45658</v>
      </c>
      <c r="CC32" s="25" t="str">
        <f>VLOOKUP($A32,tabCustoUnit[],COLUMN(CUSTO_GLOBAL[[#Headers],[Nº DE PEDIDO DA CCT]])-2,0)</f>
        <v>-</v>
      </c>
      <c r="CD32" s="25" t="str">
        <f>VLOOKUP($A32,tabCustoUnit[],COLUMN(CUSTO_GLOBAL[[#Headers],[TERMO ADITIVO ALTERAÇÃO DA CCT]])-2,0)</f>
        <v>-</v>
      </c>
    </row>
    <row r="33" spans="1:82">
      <c r="A33" s="20" t="s">
        <v>1412</v>
      </c>
      <c r="B33" t="s">
        <v>1103</v>
      </c>
      <c r="C33" t="s">
        <v>165</v>
      </c>
      <c r="D33" t="s">
        <v>1035</v>
      </c>
      <c r="E33" s="20" t="s">
        <v>1090</v>
      </c>
      <c r="F33" s="20" t="s">
        <v>120</v>
      </c>
      <c r="G33" s="20">
        <v>25</v>
      </c>
      <c r="H33" s="20">
        <v>0</v>
      </c>
      <c r="I33" s="21">
        <f>VLOOKUP($A33,tabCustoUnit[],COLUMN(CUSTO_GLOBAL[[#Headers],[Salário Base]])-2,0)*($G33-$H33)</f>
        <v>61088.122499999998</v>
      </c>
      <c r="J33" s="21">
        <f>VLOOKUP($A33,tabCustoUnit[],COLUMN(CUSTO_GLOBAL[[#Headers],[Adicional Periculosidade]])-2,0)*($G33-$H33)</f>
        <v>0</v>
      </c>
      <c r="K33" s="21">
        <f>VLOOKUP($A33,tabCustoUnit[],COLUMN(CUSTO_GLOBAL[[#Headers],[Adicional Insalubridade]])-2,0)*($G33-$H33)</f>
        <v>0</v>
      </c>
      <c r="L33" s="21">
        <f>VLOOKUP($A33,tabCustoUnit[],COLUMN(CUSTO_GLOBAL[[#Headers],[Adicional Noturno]])-2,0)*($G33-$H33)</f>
        <v>0</v>
      </c>
      <c r="M33" s="21">
        <f>VLOOKUP($A33,tabCustoUnit[],COLUMN(CUSTO_GLOBAL[[#Headers],[Adicional Motorista II (Gratificação)]])-2,0)*($G33-$H33)</f>
        <v>0</v>
      </c>
      <c r="N33" s="21">
        <f>VLOOKUP($A33,tabCustoUnit[],COLUMN(CUSTO_GLOBAL[[#Headers],[Adicional de Sobreaviso]])-2,0)*($G33-$H33)</f>
        <v>0</v>
      </c>
      <c r="O33" s="21">
        <f>VLOOKUP($A33,tabCustoUnit[],COLUMN(CUSTO_GLOBAL[[#Headers],[Horas Extras TI]])-2,0)*($G33-$H33)</f>
        <v>0</v>
      </c>
      <c r="P33" s="21">
        <f>VLOOKUP($A33,tabCustoUnit[],COLUMN(CUSTO_GLOBAL[[#Headers],[Adicional de Acúmulo de função]])-2,0)*($G33-$H33)</f>
        <v>0</v>
      </c>
      <c r="Q33" s="21">
        <f>VLOOKUP($A33,tabCustoUnit[],COLUMN(CUSTO_GLOBAL[[#Headers],[MODULO 1 - REMUNERAÇÃO ]])-2,0)*($G33-$H33)</f>
        <v>61088.122499999998</v>
      </c>
      <c r="R33" s="21">
        <f>VLOOKUP($A33,tabCustoUnit[],COLUMN(CUSTO_GLOBAL[[#Headers],[INSS]])-2,0)*($G33-$H33)</f>
        <v>12217.6245</v>
      </c>
      <c r="S33" s="21">
        <f>VLOOKUP($A33,tabCustoUnit[],COLUMN(CUSTO_GLOBAL[[#Headers],[SESI OU SESC]])-2,0)*($G33-$H33)</f>
        <v>916.3218374999999</v>
      </c>
      <c r="T33" s="21">
        <f>VLOOKUP($A33,tabCustoUnit[],COLUMN(CUSTO_GLOBAL[[#Headers],[SENAI OU SENAC]])-2,0)*($G33-$H33)</f>
        <v>610.88122499999997</v>
      </c>
      <c r="U33" s="21">
        <f>VLOOKUP($A33,tabCustoUnit[],COLUMN(CUSTO_GLOBAL[[#Headers],[INCRA]])-2,0)*($G33-$H33)</f>
        <v>122.17624499999999</v>
      </c>
      <c r="V33" s="21">
        <f>VLOOKUP($A33,tabCustoUnit[],COLUMN(CUSTO_GLOBAL[[#Headers],[Salário Educação]])-2,0)*($G33-$H33)</f>
        <v>1527.2030625</v>
      </c>
      <c r="W33" s="21">
        <f>VLOOKUP($A33,tabCustoUnit[],COLUMN(CUSTO_GLOBAL[[#Headers],[FGTS]])-2,0)*($G33-$H33)</f>
        <v>4887.0497999999998</v>
      </c>
      <c r="X33" s="21">
        <f>VLOOKUP($A33,tabCustoUnit[],COLUMN(CUSTO_GLOBAL[[#Headers],[RAT Ajustado]])-2,0)*($G33-$H33)</f>
        <v>2443.5248999999999</v>
      </c>
      <c r="Y33" s="21">
        <f>VLOOKUP($A33,tabCustoUnit[],COLUMN(CUSTO_GLOBAL[[#Headers],[SEBRAE]])-2,0)*($G33-$H33)</f>
        <v>366.52873499999998</v>
      </c>
      <c r="Z33" s="21">
        <f>VLOOKUP($A33,tabCustoUnit[],COLUMN(CUSTO_GLOBAL[[#Headers],[Submódulo 2.1]])-2,0)*($G33-$H33)</f>
        <v>23091.310304999999</v>
      </c>
      <c r="AA33" s="21">
        <f>VLOOKUP($A33,tabCustoUnit[],COLUMN(CUSTO_GLOBAL[[#Headers],[13º salário (titular)]])-2,0)*($G33-$H33)</f>
        <v>5090.6768750000001</v>
      </c>
      <c r="AB33" s="21">
        <f>VLOOKUP($A33,tabCustoUnit[],COLUMN(CUSTO_GLOBAL[[#Headers],[Férias e Adicional de Férias (titular)]])-2,0)*($G33-$H33)</f>
        <v>6787.5691666666653</v>
      </c>
      <c r="AC33" s="21">
        <f>VLOOKUP($A33,tabCustoUnit[],COLUMN(CUSTO_GLOBAL[[#Headers],[Incidência do Submódulo 2.1 sobre 13º Salário, Férias e Adicional de Férias]])-2,0)*($G33-$H33)</f>
        <v>4489.9770037500002</v>
      </c>
      <c r="AD33" s="21">
        <f>VLOOKUP($A33,tabCustoUnit[],COLUMN(CUSTO_GLOBAL[[#Headers],[Submódulo 2.2]])-2,0)*($G33-$H33)</f>
        <v>16368.223045416664</v>
      </c>
      <c r="AE33" s="22" t="e">
        <f ca="1">VLOOKUP($A33,tabCustoUnit[],COLUMN(CUSTO_GLOBAL[[#Headers],[Vale - Transporte (Descontada parcela do empregado)]])-2,0)*($G33-$H33)</f>
        <v>#NAME?</v>
      </c>
      <c r="AF33" s="22">
        <f>VLOOKUP($A33,tabCustoUnit[],COLUMN(CUSTO_GLOBAL[[#Headers],[Vale - Alimentação (Descontada parcela do empregado)]])-2,0)*($G33-$H33)</f>
        <v>14550</v>
      </c>
      <c r="AG33" s="22">
        <f>VLOOKUP($A33,tabCustoUnit[],COLUMN(CUSTO_GLOBAL[[#Headers],[Cesta Básica]])-2,0)*($G33-$H33)</f>
        <v>0</v>
      </c>
      <c r="AH33" s="22">
        <f>VLOOKUP($A33,tabCustoUnit[],COLUMN(CUSTO_GLOBAL[[#Headers],[PAF]])-2,0)*($G33-$H33)</f>
        <v>2397.5</v>
      </c>
      <c r="AI33" s="22">
        <f>VLOOKUP($A33,tabCustoUnit[],COLUMN(CUSTO_GLOBAL[[#Headers],[PQM]])-2,0)*($G33-$H33)</f>
        <v>0</v>
      </c>
      <c r="AJ33" s="22">
        <v>0</v>
      </c>
      <c r="AK33" s="22">
        <f>VLOOKUP($A33,tabCustoUnit[],COLUMN(CUSTO_GLOBAL[[#Headers],[Seguro de Vida]])-2,0)*($G33-$H33)</f>
        <v>84</v>
      </c>
      <c r="AL33" s="22">
        <f>VLOOKUP($A33,tabCustoUnit[],COLUMN(CUSTO_GLOBAL[[#Headers],[Despesas de Viagem]])-2,0)*($G33-$H33)</f>
        <v>5052</v>
      </c>
      <c r="AM33" s="22" t="e">
        <f ca="1">VLOOKUP($A33,tabCustoUnit[],COLUMN(CUSTO_GLOBAL[[#Headers],[Submódulo 2.3]])-2,0)*($G33-$H33)</f>
        <v>#NAME?</v>
      </c>
      <c r="AN33" s="22" t="e">
        <f ca="1">VLOOKUP($A33,tabCustoUnit[],COLUMN(CUSTO_GLOBAL[[#Headers],[MÓDULO 2 - Total Encargos e Benefícios mensais e diários]])-2,0)*($G33-$H33)</f>
        <v>#NAME?</v>
      </c>
      <c r="AO33" s="22">
        <f>VLOOKUP($A33,tabCustoUnit[],COLUMN(CUSTO_GLOBAL[[#Headers],[Aviso Prévio Indenizado (API) e Reflexo do Aviso Prévio Indenizado]])-2,0)*($G33-$H33)</f>
        <v>428.33567992910878</v>
      </c>
      <c r="AP33" s="22">
        <f>VLOOKUP($A33,tabCustoUnit[],COLUMN(CUSTO_GLOBAL[[#Headers],[Incidência do FGTS sobre API e Reflexo do API]])-2,0)*($G33-$H33)</f>
        <v>34.266854394328703</v>
      </c>
      <c r="AQ33" s="22">
        <f>VLOOKUP($A33,tabCustoUnit[],COLUMN(CUSTO_GLOBAL[[#Headers],[Multa Rescisória do FGTS sobre o Aviso Prévio Indenizado]])-2,0)*($G33-$H33)</f>
        <v>13.706741757731484</v>
      </c>
      <c r="AR33" s="22">
        <f>VLOOKUP($A33,tabCustoUnit[],COLUMN(CUSTO_GLOBAL[[#Headers],[Aviso Prévio Trabalhado - APT]])-2,0)*($G33-$H33)</f>
        <v>213.80842875000005</v>
      </c>
      <c r="AS33" s="22">
        <f>VLOOKUP($A33,tabCustoUnit[],COLUMN(CUSTO_GLOBAL[[#Headers],[Incidência dos encargos do submódulo 2.1 sobre Aviso Prévio Trabalhado]])-2,0)*($G33-$H33)</f>
        <v>80.819586067500012</v>
      </c>
      <c r="AT33" s="22">
        <f>VLOOKUP($A33,tabCustoUnit[],COLUMN(CUSTO_GLOBAL[[#Headers],[Multa Rescisória do FGTS]])-2,0)*($G33-$H33)</f>
        <v>1867.9390346666662</v>
      </c>
      <c r="AU33" s="22">
        <f>VLOOKUP($A33,tabCustoUnit[],COLUMN(CUSTO_GLOBAL[[#Headers],[Indenização Adicional (Art. 9º da Lei nº 7.238/84)]])-2,0)*($G33-$H33)</f>
        <v>50.906768749999998</v>
      </c>
      <c r="AV33" s="22">
        <f>VLOOKUP($A33,tabCustoUnit[],COLUMN(CUSTO_GLOBAL[[#Headers],[MÓDULO 3 – PROVISÃO PARA RESCISÃO]])-2,0)*($G33-$H33)</f>
        <v>2689.7830943153353</v>
      </c>
      <c r="AW33" s="22">
        <f>VLOOKUP($A33,tabCustoUnit[],COLUMN(CUSTO_GLOBAL[[#Headers],[Ausência por Doença]])-2,0)*($G33-$H33)</f>
        <v>515.85525666666661</v>
      </c>
      <c r="AX33" s="22">
        <f>VLOOKUP($A33,tabCustoUnit[],COLUMN(CUSTO_GLOBAL[[#Headers],[Ausências Legais]])-2,0)*($G33-$H33)</f>
        <v>123.87313729166665</v>
      </c>
      <c r="AY33" s="22">
        <f>VLOOKUP($A33,tabCustoUnit[],COLUMN(CUSTO_GLOBAL[[#Headers],[Licença Paternidade]])-2,0)*($G33-$H33)</f>
        <v>10.43588759375</v>
      </c>
      <c r="AZ33" s="22">
        <f>VLOOKUP($A33,tabCustoUnit[],COLUMN(CUSTO_GLOBAL[[#Headers],[Ausência por Acidente de Trabalho]])-2,0)*($G33-$H33)</f>
        <v>12.726692187499999</v>
      </c>
      <c r="BA33" s="22">
        <f>VLOOKUP($A33,tabCustoUnit[],COLUMN(CUSTO_GLOBAL[[#Headers],[Férias, Adicional de Férias e 13º  com empregada em gozo de Licença Maternidade]])-2,0)*($G33-$H33)</f>
        <v>79.188306944444449</v>
      </c>
      <c r="BB33" s="22">
        <f>VLOOKUP($A33,tabCustoUnit[],COLUMN(CUSTO_GLOBAL[[#Headers],[Incidência do Submódulo 2.1 sobre Ausências Legais]])-2,0)*($G33-$H33)</f>
        <v>280.50596809856251</v>
      </c>
      <c r="BC33" s="22">
        <f>VLOOKUP($A33,tabCustoUnit[],COLUMN(CUSTO_GLOBAL[[#Headers],[Submódulo 4.1]])-2,0)*($G33-$H33)</f>
        <v>1022.58524878259</v>
      </c>
      <c r="BD33" s="22">
        <f>VLOOKUP($A33,tabCustoUnit[],COLUMN(CUSTO_GLOBAL[[#Headers],[Intervalo para Repouso ou Alimentação]])-2,0)*($G33-$H33)</f>
        <v>0</v>
      </c>
      <c r="BE33" s="22">
        <f>VLOOKUP($A33,tabCustoUnit[],COLUMN(CUSTO_GLOBAL[[#Headers],[Submódulo 4.2]])-2,0)*($G33-$H33)</f>
        <v>0</v>
      </c>
      <c r="BF33" s="22">
        <f>VLOOKUP($A33,tabCustoUnit[],COLUMN(CUSTO_GLOBAL[[#Headers],[Suspensão Temporária do Contrato de Trabalho]])-2,0)*($G33-$H33)</f>
        <v>0</v>
      </c>
      <c r="BG33" s="22">
        <f>VLOOKUP($A33,tabCustoUnit[],COLUMN(CUSTO_GLOBAL[[#Headers],[Submódulo 4.3]])-2,0)*($G33-$H33)</f>
        <v>0</v>
      </c>
      <c r="BH33" s="22">
        <f>VLOOKUP($A33,tabCustoUnit[],COLUMN(CUSTO_GLOBAL[[#Headers],[MÓDULO 4 – CUSTO DE REPOSIÇÃO DO PROFISSIONAL AUSENTE]])-2,0)*($G33-$H33)</f>
        <v>1022.58524878259</v>
      </c>
      <c r="BI33" s="22">
        <f>VLOOKUP($A33,tabCustoUnit[],COLUMN(CUSTO_GLOBAL[[#Headers],[Uniformes e EPIs]])-2,0)*($G33-$H33)</f>
        <v>4764.0151229673484</v>
      </c>
      <c r="BJ33" s="22">
        <f>VLOOKUP($A33,tabCustoUnit[],COLUMN(CUSTO_GLOBAL[[#Headers],[Materiais de Consumo]])-2,0)*($G33-$H33)</f>
        <v>0</v>
      </c>
      <c r="BK33" s="22">
        <f>VLOOKUP($A33,tabCustoUnit[],COLUMN(CUSTO_GLOBAL[[#Headers],[Máquinas e Equipamentos (depreciação)]])-2,0)*($G33-$H33)</f>
        <v>0</v>
      </c>
      <c r="BL33" s="22">
        <f>VLOOKUP($A33,tabCustoUnit[],COLUMN(CUSTO_GLOBAL[[#Headers],[Produtos de Limpeza e Materiais de Higiene Pessoal]])-2,0)*($G33-$H33)</f>
        <v>0</v>
      </c>
      <c r="BM33" s="22">
        <f>VLOOKUP($A33,tabCustoUnit[],COLUMN(CUSTO_GLOBAL[[#Headers],[Outros (especificar)]])-2,0)*($G33-$H33)</f>
        <v>0</v>
      </c>
      <c r="BN33" s="22">
        <f>VLOOKUP($A33,tabCustoUnit[],COLUMN(CUSTO_GLOBAL[[#Headers],[MÓDULO 5 – INSUMOS DIVERSOS]])-2,0)*($G33-$H33)</f>
        <v>4764.0151229673484</v>
      </c>
      <c r="BO33" s="22" t="e">
        <f ca="1">VLOOKUP($A33,tabCustoUnit[],COLUMN(CUSTO_GLOBAL[[#Headers],[TOTAL MÓDULOS 1+2+3+4+5]])-2,0)*($G33-$H33)</f>
        <v>#NAME?</v>
      </c>
      <c r="BP33" s="22" t="e">
        <f ca="1">VLOOKUP($A33,tabCustoUnit[],COLUMN(CUSTO_GLOBAL[[#Headers],[Custos Indiretos]])-2,0)*($G33-$H33)</f>
        <v>#NAME?</v>
      </c>
      <c r="BQ33" s="22" t="e">
        <f ca="1">VLOOKUP($A33,tabCustoUnit[],COLUMN(CUSTO_GLOBAL[[#Headers],[Lucro]])-2,0)*($G33-$H33)</f>
        <v>#NAME?</v>
      </c>
      <c r="BR33" s="26">
        <f>VLOOKUP($A33,tabCustoUnit[],COLUMN(CUSTO_GLOBAL[[#Headers],[COFINS]])-2,0)</f>
        <v>8.8629737609329504E-2</v>
      </c>
      <c r="BS33" s="26">
        <f>VLOOKUP($A33,tabCustoUnit[],COLUMN(CUSTO_GLOBAL[[#Headers],[PIS]])-2,0)</f>
        <v>1.9241982507288629E-2</v>
      </c>
      <c r="BT33" s="28">
        <f>VLOOKUP($A33,tabCustoUnit[],COLUMN(CUSTO_GLOBAL[[#Headers],[ISS]])-2,0)</f>
        <v>0.05</v>
      </c>
      <c r="BU33" s="26">
        <f>VLOOKUP($A33,tabCustoUnit[],COLUMN(CUSTO_GLOBAL[[#Headers],[ISS (Conversão Alíquota s/ fatura)]])-2,0)</f>
        <v>5.8309037900874633E-2</v>
      </c>
      <c r="BV33" s="26">
        <f>VLOOKUP($A33,tabCustoUnit[],COLUMN(CUSTO_GLOBAL[[#Headers],[Resumo de Alíquotas (PIS+CONFINS+ISS)]])-2,0)</f>
        <v>0.14250000000000002</v>
      </c>
      <c r="BW33" s="138">
        <f>VLOOKUP($A33,tabCustoUnit[],COLUMN(CUSTO_GLOBAL[[#Headers],[PIS + COFINS + ISS (Total Conversão  Alíquota s/ Fatura)]])-2,0)</f>
        <v>0.16618075801749277</v>
      </c>
      <c r="BX33" s="22" t="e">
        <f ca="1">VLOOKUP($A33,tabCustoUnit[],COLUMN(CUSTO_GLOBAL[[#Headers],[Valor dos Tributos (ISS, PIS, CONFINS)]])-2,0)*($G33-$H33)</f>
        <v>#NAME?</v>
      </c>
      <c r="BY33" s="22" t="e">
        <f ca="1">VLOOKUP($A33,tabCustoUnit[],COLUMN(CUSTO_GLOBAL[[#Headers],[MÓDULO 6 – CUSTOS INDIRETOS, TRIBUTOS E LUCRO]])-2,0)*($G33-$H33)</f>
        <v>#NAME?</v>
      </c>
      <c r="BZ33" s="22" t="e">
        <f ca="1">VLOOKUP($A33,tabCustoUnit[],COLUMN(CUSTO_GLOBAL[[#Headers],[CUSTO TOTAL MENSAL]])-2,0)*($G33-$H33)</f>
        <v>#NAME?</v>
      </c>
      <c r="CA33" s="22" t="e">
        <f ca="1">CUSTO_GLOBAL[[#This Row],[CUSTO TOTAL MENSAL]]*12</f>
        <v>#NAME?</v>
      </c>
      <c r="CB33" s="24">
        <f>VLOOKUP($A33,tabCustoUnit[],COLUMN(CUSTO_GLOBAL[[#Headers],[ANO DA CCT]])-2,0)</f>
        <v>45658</v>
      </c>
      <c r="CC33" s="25" t="str">
        <f>VLOOKUP($A33,tabCustoUnit[],COLUMN(CUSTO_GLOBAL[[#Headers],[Nº DE PEDIDO DA CCT]])-2,0)</f>
        <v>-</v>
      </c>
      <c r="CD33" s="25" t="str">
        <f>VLOOKUP($A33,tabCustoUnit[],COLUMN(CUSTO_GLOBAL[[#Headers],[TERMO ADITIVO ALTERAÇÃO DA CCT]])-2,0)</f>
        <v>-</v>
      </c>
    </row>
    <row r="34" spans="1:82">
      <c r="A34" s="20" t="s">
        <v>1413</v>
      </c>
      <c r="B34" t="s">
        <v>1103</v>
      </c>
      <c r="C34" t="s">
        <v>171</v>
      </c>
      <c r="D34" t="s">
        <v>1035</v>
      </c>
      <c r="E34" s="20" t="s">
        <v>1090</v>
      </c>
      <c r="F34" s="20" t="s">
        <v>120</v>
      </c>
      <c r="G34" s="20">
        <v>3</v>
      </c>
      <c r="H34" s="20">
        <v>0</v>
      </c>
      <c r="I34" s="21">
        <f>VLOOKUP($A34,tabCustoUnit[],COLUMN(CUSTO_GLOBAL[[#Headers],[Salário Base]])-2,0)*($G34-$H34)</f>
        <v>12409.4067</v>
      </c>
      <c r="J34" s="21">
        <f>VLOOKUP($A34,tabCustoUnit[],COLUMN(CUSTO_GLOBAL[[#Headers],[Adicional Periculosidade]])-2,0)*($G34-$H34)</f>
        <v>0</v>
      </c>
      <c r="K34" s="21">
        <f>VLOOKUP($A34,tabCustoUnit[],COLUMN(CUSTO_GLOBAL[[#Headers],[Adicional Insalubridade]])-2,0)*($G34-$H34)</f>
        <v>0</v>
      </c>
      <c r="L34" s="21">
        <f>VLOOKUP($A34,tabCustoUnit[],COLUMN(CUSTO_GLOBAL[[#Headers],[Adicional Noturno]])-2,0)*($G34-$H34)</f>
        <v>0</v>
      </c>
      <c r="M34" s="21">
        <f>VLOOKUP($A34,tabCustoUnit[],COLUMN(CUSTO_GLOBAL[[#Headers],[Adicional Motorista II (Gratificação)]])-2,0)*($G34-$H34)</f>
        <v>0</v>
      </c>
      <c r="N34" s="21">
        <f>VLOOKUP($A34,tabCustoUnit[],COLUMN(CUSTO_GLOBAL[[#Headers],[Adicional de Sobreaviso]])-2,0)*($G34-$H34)</f>
        <v>0</v>
      </c>
      <c r="O34" s="21">
        <f>VLOOKUP($A34,tabCustoUnit[],COLUMN(CUSTO_GLOBAL[[#Headers],[Horas Extras TI]])-2,0)*($G34-$H34)</f>
        <v>0</v>
      </c>
      <c r="P34" s="21">
        <f>VLOOKUP($A34,tabCustoUnit[],COLUMN(CUSTO_GLOBAL[[#Headers],[Adicional de Acúmulo de função]])-2,0)*($G34-$H34)</f>
        <v>0</v>
      </c>
      <c r="Q34" s="21">
        <f>VLOOKUP($A34,tabCustoUnit[],COLUMN(CUSTO_GLOBAL[[#Headers],[MODULO 1 - REMUNERAÇÃO ]])-2,0)*($G34-$H34)</f>
        <v>12409.4067</v>
      </c>
      <c r="R34" s="21">
        <f>VLOOKUP($A34,tabCustoUnit[],COLUMN(CUSTO_GLOBAL[[#Headers],[INSS]])-2,0)*($G34-$H34)</f>
        <v>2481.8813399999999</v>
      </c>
      <c r="S34" s="21">
        <f>VLOOKUP($A34,tabCustoUnit[],COLUMN(CUSTO_GLOBAL[[#Headers],[SESI OU SESC]])-2,0)*($G34-$H34)</f>
        <v>186.14110049999999</v>
      </c>
      <c r="T34" s="21">
        <f>VLOOKUP($A34,tabCustoUnit[],COLUMN(CUSTO_GLOBAL[[#Headers],[SENAI OU SENAC]])-2,0)*($G34-$H34)</f>
        <v>124.094067</v>
      </c>
      <c r="U34" s="21">
        <f>VLOOKUP($A34,tabCustoUnit[],COLUMN(CUSTO_GLOBAL[[#Headers],[INCRA]])-2,0)*($G34-$H34)</f>
        <v>24.818813399999996</v>
      </c>
      <c r="V34" s="21">
        <f>VLOOKUP($A34,tabCustoUnit[],COLUMN(CUSTO_GLOBAL[[#Headers],[Salário Educação]])-2,0)*($G34-$H34)</f>
        <v>310.23516749999999</v>
      </c>
      <c r="W34" s="21">
        <f>VLOOKUP($A34,tabCustoUnit[],COLUMN(CUSTO_GLOBAL[[#Headers],[FGTS]])-2,0)*($G34-$H34)</f>
        <v>992.75253599999996</v>
      </c>
      <c r="X34" s="21">
        <f>VLOOKUP($A34,tabCustoUnit[],COLUMN(CUSTO_GLOBAL[[#Headers],[RAT Ajustado]])-2,0)*($G34-$H34)</f>
        <v>496.37626799999998</v>
      </c>
      <c r="Y34" s="21">
        <f>VLOOKUP($A34,tabCustoUnit[],COLUMN(CUSTO_GLOBAL[[#Headers],[SEBRAE]])-2,0)*($G34-$H34)</f>
        <v>74.456440200000003</v>
      </c>
      <c r="Z34" s="21">
        <f>VLOOKUP($A34,tabCustoUnit[],COLUMN(CUSTO_GLOBAL[[#Headers],[Submódulo 2.1]])-2,0)*($G34-$H34)</f>
        <v>4690.7557325999996</v>
      </c>
      <c r="AA34" s="21">
        <f>VLOOKUP($A34,tabCustoUnit[],COLUMN(CUSTO_GLOBAL[[#Headers],[13º salário (titular)]])-2,0)*($G34-$H34)</f>
        <v>1034.117225</v>
      </c>
      <c r="AB34" s="21">
        <f>VLOOKUP($A34,tabCustoUnit[],COLUMN(CUSTO_GLOBAL[[#Headers],[Férias e Adicional de Férias (titular)]])-2,0)*($G34-$H34)</f>
        <v>1378.8229666666666</v>
      </c>
      <c r="AC34" s="21">
        <f>VLOOKUP($A34,tabCustoUnit[],COLUMN(CUSTO_GLOBAL[[#Headers],[Incidência do Submódulo 2.1 sobre 13º Salário, Férias e Adicional de Férias]])-2,0)*($G34-$H34)</f>
        <v>912.09139244999983</v>
      </c>
      <c r="AD34" s="21">
        <f>VLOOKUP($A34,tabCustoUnit[],COLUMN(CUSTO_GLOBAL[[#Headers],[Submódulo 2.2]])-2,0)*($G34-$H34)</f>
        <v>3325.0315841166666</v>
      </c>
      <c r="AE34" s="22" t="e">
        <f ca="1">VLOOKUP($A34,tabCustoUnit[],COLUMN(CUSTO_GLOBAL[[#Headers],[Vale - Transporte (Descontada parcela do empregado)]])-2,0)*($G34-$H34)</f>
        <v>#NAME?</v>
      </c>
      <c r="AF34" s="22">
        <f>VLOOKUP($A34,tabCustoUnit[],COLUMN(CUSTO_GLOBAL[[#Headers],[Vale - Alimentação (Descontada parcela do empregado)]])-2,0)*($G34-$H34)</f>
        <v>1746</v>
      </c>
      <c r="AG34" s="22">
        <f>VLOOKUP($A34,tabCustoUnit[],COLUMN(CUSTO_GLOBAL[[#Headers],[Cesta Básica]])-2,0)*($G34-$H34)</f>
        <v>0</v>
      </c>
      <c r="AH34" s="22">
        <f>VLOOKUP($A34,tabCustoUnit[],COLUMN(CUSTO_GLOBAL[[#Headers],[PAF]])-2,0)*($G34-$H34)</f>
        <v>287.70000000000005</v>
      </c>
      <c r="AI34" s="22">
        <f>VLOOKUP($A34,tabCustoUnit[],COLUMN(CUSTO_GLOBAL[[#Headers],[PQM]])-2,0)*($G34-$H34)</f>
        <v>0</v>
      </c>
      <c r="AJ34" s="22">
        <v>0</v>
      </c>
      <c r="AK34" s="22">
        <f>VLOOKUP($A34,tabCustoUnit[],COLUMN(CUSTO_GLOBAL[[#Headers],[Seguro de Vida]])-2,0)*($G34-$H34)</f>
        <v>10.08</v>
      </c>
      <c r="AL34" s="22">
        <f>VLOOKUP($A34,tabCustoUnit[],COLUMN(CUSTO_GLOBAL[[#Headers],[Despesas de Viagem]])-2,0)*($G34-$H34)</f>
        <v>606.24</v>
      </c>
      <c r="AM34" s="22" t="e">
        <f ca="1">VLOOKUP($A34,tabCustoUnit[],COLUMN(CUSTO_GLOBAL[[#Headers],[Submódulo 2.3]])-2,0)*($G34-$H34)</f>
        <v>#NAME?</v>
      </c>
      <c r="AN34" s="22" t="e">
        <f ca="1">VLOOKUP($A34,tabCustoUnit[],COLUMN(CUSTO_GLOBAL[[#Headers],[MÓDULO 2 - Total Encargos e Benefícios mensais e diários]])-2,0)*($G34-$H34)</f>
        <v>#NAME?</v>
      </c>
      <c r="AO34" s="22">
        <f>VLOOKUP($A34,tabCustoUnit[],COLUMN(CUSTO_GLOBAL[[#Headers],[Aviso Prévio Indenizado (API) e Reflexo do Aviso Prévio Indenizado]])-2,0)*($G34-$H34)</f>
        <v>87.011868082233789</v>
      </c>
      <c r="AP34" s="22">
        <f>VLOOKUP($A34,tabCustoUnit[],COLUMN(CUSTO_GLOBAL[[#Headers],[Incidência do FGTS sobre API e Reflexo do API]])-2,0)*($G34-$H34)</f>
        <v>6.9609494465787041</v>
      </c>
      <c r="AQ34" s="22">
        <f>VLOOKUP($A34,tabCustoUnit[],COLUMN(CUSTO_GLOBAL[[#Headers],[Multa Rescisória do FGTS sobre o Aviso Prévio Indenizado]])-2,0)*($G34-$H34)</f>
        <v>2.7843797786314819</v>
      </c>
      <c r="AR34" s="22">
        <f>VLOOKUP($A34,tabCustoUnit[],COLUMN(CUSTO_GLOBAL[[#Headers],[Aviso Prévio Trabalhado - APT]])-2,0)*($G34-$H34)</f>
        <v>43.432923450000004</v>
      </c>
      <c r="AS34" s="22">
        <f>VLOOKUP($A34,tabCustoUnit[],COLUMN(CUSTO_GLOBAL[[#Headers],[Incidência dos encargos do submódulo 2.1 sobre Aviso Prévio Trabalhado]])-2,0)*($G34-$H34)</f>
        <v>16.417645064100004</v>
      </c>
      <c r="AT34" s="22">
        <f>VLOOKUP($A34,tabCustoUnit[],COLUMN(CUSTO_GLOBAL[[#Headers],[Multa Rescisória do FGTS]])-2,0)*($G34-$H34)</f>
        <v>379.45208042666661</v>
      </c>
      <c r="AU34" s="22">
        <f>VLOOKUP($A34,tabCustoUnit[],COLUMN(CUSTO_GLOBAL[[#Headers],[Indenização Adicional (Art. 9º da Lei nº 7.238/84)]])-2,0)*($G34-$H34)</f>
        <v>10.34117225</v>
      </c>
      <c r="AV34" s="22">
        <f>VLOOKUP($A34,tabCustoUnit[],COLUMN(CUSTO_GLOBAL[[#Headers],[MÓDULO 3 – PROVISÃO PARA RESCISÃO]])-2,0)*($G34-$H34)</f>
        <v>546.40101849821053</v>
      </c>
      <c r="AW34" s="22">
        <f>VLOOKUP($A34,tabCustoUnit[],COLUMN(CUSTO_GLOBAL[[#Headers],[Ausência por Doença]])-2,0)*($G34-$H34)</f>
        <v>104.79054546666666</v>
      </c>
      <c r="AX34" s="22">
        <f>VLOOKUP($A34,tabCustoUnit[],COLUMN(CUSTO_GLOBAL[[#Headers],[Ausências Legais]])-2,0)*($G34-$H34)</f>
        <v>25.163519141666669</v>
      </c>
      <c r="AY34" s="22">
        <f>VLOOKUP($A34,tabCustoUnit[],COLUMN(CUSTO_GLOBAL[[#Headers],[Licença Paternidade]])-2,0)*($G34-$H34)</f>
        <v>2.1199403112500002</v>
      </c>
      <c r="AZ34" s="22">
        <f>VLOOKUP($A34,tabCustoUnit[],COLUMN(CUSTO_GLOBAL[[#Headers],[Ausência por Acidente de Trabalho]])-2,0)*($G34-$H34)</f>
        <v>2.5852930624999999</v>
      </c>
      <c r="BA34" s="22">
        <f>VLOOKUP($A34,tabCustoUnit[],COLUMN(CUSTO_GLOBAL[[#Headers],[Férias, Adicional de Férias e 13º  com empregada em gozo de Licença Maternidade]])-2,0)*($G34-$H34)</f>
        <v>16.086267944444444</v>
      </c>
      <c r="BB34" s="22">
        <f>VLOOKUP($A34,tabCustoUnit[],COLUMN(CUSTO_GLOBAL[[#Headers],[Incidência do Submódulo 2.1 sobre Ausências Legais]])-2,0)*($G34-$H34)</f>
        <v>56.981823920227512</v>
      </c>
      <c r="BC34" s="22">
        <f>VLOOKUP($A34,tabCustoUnit[],COLUMN(CUSTO_GLOBAL[[#Headers],[Submódulo 4.1]])-2,0)*($G34-$H34)</f>
        <v>207.72738984675527</v>
      </c>
      <c r="BD34" s="22">
        <f>VLOOKUP($A34,tabCustoUnit[],COLUMN(CUSTO_GLOBAL[[#Headers],[Intervalo para Repouso ou Alimentação]])-2,0)*($G34-$H34)</f>
        <v>0</v>
      </c>
      <c r="BE34" s="22">
        <f>VLOOKUP($A34,tabCustoUnit[],COLUMN(CUSTO_GLOBAL[[#Headers],[Submódulo 4.2]])-2,0)*($G34-$H34)</f>
        <v>0</v>
      </c>
      <c r="BF34" s="22">
        <f>VLOOKUP($A34,tabCustoUnit[],COLUMN(CUSTO_GLOBAL[[#Headers],[Suspensão Temporária do Contrato de Trabalho]])-2,0)*($G34-$H34)</f>
        <v>0</v>
      </c>
      <c r="BG34" s="22">
        <f>VLOOKUP($A34,tabCustoUnit[],COLUMN(CUSTO_GLOBAL[[#Headers],[Submódulo 4.3]])-2,0)*($G34-$H34)</f>
        <v>0</v>
      </c>
      <c r="BH34" s="22">
        <f>VLOOKUP($A34,tabCustoUnit[],COLUMN(CUSTO_GLOBAL[[#Headers],[MÓDULO 4 – CUSTO DE REPOSIÇÃO DO PROFISSIONAL AUSENTE]])-2,0)*($G34-$H34)</f>
        <v>207.72738984675527</v>
      </c>
      <c r="BI34" s="22">
        <f>VLOOKUP($A34,tabCustoUnit[],COLUMN(CUSTO_GLOBAL[[#Headers],[Uniformes e EPIs]])-2,0)*($G34-$H34)</f>
        <v>571.68181475608185</v>
      </c>
      <c r="BJ34" s="22">
        <f>VLOOKUP($A34,tabCustoUnit[],COLUMN(CUSTO_GLOBAL[[#Headers],[Materiais de Consumo]])-2,0)*($G34-$H34)</f>
        <v>0</v>
      </c>
      <c r="BK34" s="22">
        <f>VLOOKUP($A34,tabCustoUnit[],COLUMN(CUSTO_GLOBAL[[#Headers],[Máquinas e Equipamentos (depreciação)]])-2,0)*($G34-$H34)</f>
        <v>0</v>
      </c>
      <c r="BL34" s="22">
        <f>VLOOKUP($A34,tabCustoUnit[],COLUMN(CUSTO_GLOBAL[[#Headers],[Produtos de Limpeza e Materiais de Higiene Pessoal]])-2,0)*($G34-$H34)</f>
        <v>0</v>
      </c>
      <c r="BM34" s="22">
        <f>VLOOKUP($A34,tabCustoUnit[],COLUMN(CUSTO_GLOBAL[[#Headers],[Outros (especificar)]])-2,0)*($G34-$H34)</f>
        <v>0</v>
      </c>
      <c r="BN34" s="22">
        <f>VLOOKUP($A34,tabCustoUnit[],COLUMN(CUSTO_GLOBAL[[#Headers],[MÓDULO 5 – INSUMOS DIVERSOS]])-2,0)*($G34-$H34)</f>
        <v>571.68181475608185</v>
      </c>
      <c r="BO34" s="22" t="e">
        <f ca="1">VLOOKUP($A34,tabCustoUnit[],COLUMN(CUSTO_GLOBAL[[#Headers],[TOTAL MÓDULOS 1+2+3+4+5]])-2,0)*($G34-$H34)</f>
        <v>#NAME?</v>
      </c>
      <c r="BP34" s="22" t="e">
        <f ca="1">VLOOKUP($A34,tabCustoUnit[],COLUMN(CUSTO_GLOBAL[[#Headers],[Custos Indiretos]])-2,0)*($G34-$H34)</f>
        <v>#NAME?</v>
      </c>
      <c r="BQ34" s="22" t="e">
        <f ca="1">VLOOKUP($A34,tabCustoUnit[],COLUMN(CUSTO_GLOBAL[[#Headers],[Lucro]])-2,0)*($G34-$H34)</f>
        <v>#NAME?</v>
      </c>
      <c r="BR34" s="26">
        <f>VLOOKUP($A34,tabCustoUnit[],COLUMN(CUSTO_GLOBAL[[#Headers],[COFINS]])-2,0)</f>
        <v>8.8629737609329504E-2</v>
      </c>
      <c r="BS34" s="26">
        <f>VLOOKUP($A34,tabCustoUnit[],COLUMN(CUSTO_GLOBAL[[#Headers],[PIS]])-2,0)</f>
        <v>1.9241982507288629E-2</v>
      </c>
      <c r="BT34" s="28">
        <f>VLOOKUP($A34,tabCustoUnit[],COLUMN(CUSTO_GLOBAL[[#Headers],[ISS]])-2,0)</f>
        <v>0.05</v>
      </c>
      <c r="BU34" s="26">
        <f>VLOOKUP($A34,tabCustoUnit[],COLUMN(CUSTO_GLOBAL[[#Headers],[ISS (Conversão Alíquota s/ fatura)]])-2,0)</f>
        <v>5.8309037900874633E-2</v>
      </c>
      <c r="BV34" s="26">
        <f>VLOOKUP($A34,tabCustoUnit[],COLUMN(CUSTO_GLOBAL[[#Headers],[Resumo de Alíquotas (PIS+CONFINS+ISS)]])-2,0)</f>
        <v>0.14250000000000002</v>
      </c>
      <c r="BW34" s="138">
        <f>VLOOKUP($A34,tabCustoUnit[],COLUMN(CUSTO_GLOBAL[[#Headers],[PIS + COFINS + ISS (Total Conversão  Alíquota s/ Fatura)]])-2,0)</f>
        <v>0.16618075801749277</v>
      </c>
      <c r="BX34" s="22" t="e">
        <f ca="1">VLOOKUP($A34,tabCustoUnit[],COLUMN(CUSTO_GLOBAL[[#Headers],[Valor dos Tributos (ISS, PIS, CONFINS)]])-2,0)*($G34-$H34)</f>
        <v>#NAME?</v>
      </c>
      <c r="BY34" s="22" t="e">
        <f ca="1">VLOOKUP($A34,tabCustoUnit[],COLUMN(CUSTO_GLOBAL[[#Headers],[MÓDULO 6 – CUSTOS INDIRETOS, TRIBUTOS E LUCRO]])-2,0)*($G34-$H34)</f>
        <v>#NAME?</v>
      </c>
      <c r="BZ34" s="22" t="e">
        <f ca="1">VLOOKUP($A34,tabCustoUnit[],COLUMN(CUSTO_GLOBAL[[#Headers],[CUSTO TOTAL MENSAL]])-2,0)*($G34-$H34)</f>
        <v>#NAME?</v>
      </c>
      <c r="CA34" s="22" t="e">
        <f ca="1">CUSTO_GLOBAL[[#This Row],[CUSTO TOTAL MENSAL]]*12</f>
        <v>#NAME?</v>
      </c>
      <c r="CB34" s="24">
        <f>VLOOKUP($A34,tabCustoUnit[],COLUMN(CUSTO_GLOBAL[[#Headers],[ANO DA CCT]])-2,0)</f>
        <v>45658</v>
      </c>
      <c r="CC34" s="25" t="str">
        <f>VLOOKUP($A34,tabCustoUnit[],COLUMN(CUSTO_GLOBAL[[#Headers],[Nº DE PEDIDO DA CCT]])-2,0)</f>
        <v>-</v>
      </c>
      <c r="CD34" s="25" t="str">
        <f>VLOOKUP($A34,tabCustoUnit[],COLUMN(CUSTO_GLOBAL[[#Headers],[TERMO ADITIVO ALTERAÇÃO DA CCT]])-2,0)</f>
        <v>-</v>
      </c>
    </row>
    <row r="35" spans="1:82">
      <c r="A35" s="20" t="s">
        <v>1414</v>
      </c>
      <c r="B35" t="s">
        <v>1103</v>
      </c>
      <c r="C35" t="s">
        <v>1799</v>
      </c>
      <c r="D35" t="s">
        <v>1035</v>
      </c>
      <c r="E35" s="20" t="s">
        <v>1090</v>
      </c>
      <c r="F35" s="20" t="s">
        <v>120</v>
      </c>
      <c r="G35" s="20">
        <v>4</v>
      </c>
      <c r="H35" s="20">
        <v>0</v>
      </c>
      <c r="I35" s="21">
        <f>VLOOKUP($A35,tabCustoUnit[],COLUMN(CUSTO_GLOBAL[[#Headers],[Salário Base]])-2,0)*($G35-$H35)</f>
        <v>15021.6</v>
      </c>
      <c r="J35" s="21">
        <f>VLOOKUP($A35,tabCustoUnit[],COLUMN(CUSTO_GLOBAL[[#Headers],[Adicional Periculosidade]])-2,0)*($G35-$H35)</f>
        <v>0</v>
      </c>
      <c r="K35" s="21">
        <f>VLOOKUP($A35,tabCustoUnit[],COLUMN(CUSTO_GLOBAL[[#Headers],[Adicional Insalubridade]])-2,0)*($G35-$H35)</f>
        <v>0</v>
      </c>
      <c r="L35" s="21">
        <f>VLOOKUP($A35,tabCustoUnit[],COLUMN(CUSTO_GLOBAL[[#Headers],[Adicional Noturno]])-2,0)*($G35-$H35)</f>
        <v>0</v>
      </c>
      <c r="M35" s="21">
        <f>VLOOKUP($A35,tabCustoUnit[],COLUMN(CUSTO_GLOBAL[[#Headers],[Adicional Motorista II (Gratificação)]])-2,0)*($G35-$H35)</f>
        <v>0</v>
      </c>
      <c r="N35" s="21">
        <f>VLOOKUP($A35,tabCustoUnit[],COLUMN(CUSTO_GLOBAL[[#Headers],[Adicional de Sobreaviso]])-2,0)*($G35-$H35)</f>
        <v>0</v>
      </c>
      <c r="O35" s="21">
        <f>VLOOKUP($A35,tabCustoUnit[],COLUMN(CUSTO_GLOBAL[[#Headers],[Horas Extras TI]])-2,0)*($G35-$H35)</f>
        <v>0</v>
      </c>
      <c r="P35" s="21">
        <f>VLOOKUP($A35,tabCustoUnit[],COLUMN(CUSTO_GLOBAL[[#Headers],[Adicional de Acúmulo de função]])-2,0)*($G35-$H35)</f>
        <v>0</v>
      </c>
      <c r="Q35" s="21">
        <f>VLOOKUP($A35,tabCustoUnit[],COLUMN(CUSTO_GLOBAL[[#Headers],[MODULO 1 - REMUNERAÇÃO ]])-2,0)*($G35-$H35)</f>
        <v>15021.6</v>
      </c>
      <c r="R35" s="21">
        <f>VLOOKUP($A35,tabCustoUnit[],COLUMN(CUSTO_GLOBAL[[#Headers],[INSS]])-2,0)*($G35-$H35)</f>
        <v>3004.32</v>
      </c>
      <c r="S35" s="21">
        <f>VLOOKUP($A35,tabCustoUnit[],COLUMN(CUSTO_GLOBAL[[#Headers],[SESI OU SESC]])-2,0)*($G35-$H35)</f>
        <v>225.32399999999998</v>
      </c>
      <c r="T35" s="21">
        <f>VLOOKUP($A35,tabCustoUnit[],COLUMN(CUSTO_GLOBAL[[#Headers],[SENAI OU SENAC]])-2,0)*($G35-$H35)</f>
        <v>150.21600000000001</v>
      </c>
      <c r="U35" s="21">
        <f>VLOOKUP($A35,tabCustoUnit[],COLUMN(CUSTO_GLOBAL[[#Headers],[INCRA]])-2,0)*($G35-$H35)</f>
        <v>30.043200000000002</v>
      </c>
      <c r="V35" s="21">
        <f>VLOOKUP($A35,tabCustoUnit[],COLUMN(CUSTO_GLOBAL[[#Headers],[Salário Educação]])-2,0)*($G35-$H35)</f>
        <v>375.54</v>
      </c>
      <c r="W35" s="21">
        <f>VLOOKUP($A35,tabCustoUnit[],COLUMN(CUSTO_GLOBAL[[#Headers],[FGTS]])-2,0)*($G35-$H35)</f>
        <v>1201.7280000000001</v>
      </c>
      <c r="X35" s="21">
        <f>VLOOKUP($A35,tabCustoUnit[],COLUMN(CUSTO_GLOBAL[[#Headers],[RAT Ajustado]])-2,0)*($G35-$H35)</f>
        <v>600.86400000000003</v>
      </c>
      <c r="Y35" s="21">
        <f>VLOOKUP($A35,tabCustoUnit[],COLUMN(CUSTO_GLOBAL[[#Headers],[SEBRAE]])-2,0)*($G35-$H35)</f>
        <v>90.129600000000011</v>
      </c>
      <c r="Z35" s="21">
        <f>VLOOKUP($A35,tabCustoUnit[],COLUMN(CUSTO_GLOBAL[[#Headers],[Submódulo 2.1]])-2,0)*($G35-$H35)</f>
        <v>5678.1648000000005</v>
      </c>
      <c r="AA35" s="21">
        <f>VLOOKUP($A35,tabCustoUnit[],COLUMN(CUSTO_GLOBAL[[#Headers],[13º salário (titular)]])-2,0)*($G35-$H35)</f>
        <v>1251.8</v>
      </c>
      <c r="AB35" s="21">
        <f>VLOOKUP($A35,tabCustoUnit[],COLUMN(CUSTO_GLOBAL[[#Headers],[Férias e Adicional de Férias (titular)]])-2,0)*($G35-$H35)</f>
        <v>1669.0666666666666</v>
      </c>
      <c r="AC35" s="21">
        <f>VLOOKUP($A35,tabCustoUnit[],COLUMN(CUSTO_GLOBAL[[#Headers],[Incidência do Submódulo 2.1 sobre 13º Salário, Férias e Adicional de Férias]])-2,0)*($G35-$H35)</f>
        <v>1104.0876000000001</v>
      </c>
      <c r="AD35" s="21">
        <f>VLOOKUP($A35,tabCustoUnit[],COLUMN(CUSTO_GLOBAL[[#Headers],[Submódulo 2.2]])-2,0)*($G35-$H35)</f>
        <v>4024.9542666666666</v>
      </c>
      <c r="AE35" s="22" t="e">
        <f ca="1">VLOOKUP($A35,tabCustoUnit[],COLUMN(CUSTO_GLOBAL[[#Headers],[Vale - Transporte (Descontada parcela do empregado)]])-2,0)*($G35-$H35)</f>
        <v>#NAME?</v>
      </c>
      <c r="AF35" s="22">
        <f>VLOOKUP($A35,tabCustoUnit[],COLUMN(CUSTO_GLOBAL[[#Headers],[Vale - Alimentação (Descontada parcela do empregado)]])-2,0)*($G35-$H35)</f>
        <v>2328</v>
      </c>
      <c r="AG35" s="22">
        <f>VLOOKUP($A35,tabCustoUnit[],COLUMN(CUSTO_GLOBAL[[#Headers],[Cesta Básica]])-2,0)*($G35-$H35)</f>
        <v>0</v>
      </c>
      <c r="AH35" s="22">
        <f>VLOOKUP($A35,tabCustoUnit[],COLUMN(CUSTO_GLOBAL[[#Headers],[PAF]])-2,0)*($G35-$H35)</f>
        <v>383.6</v>
      </c>
      <c r="AI35" s="22">
        <f>VLOOKUP($A35,tabCustoUnit[],COLUMN(CUSTO_GLOBAL[[#Headers],[PQM]])-2,0)*($G35-$H35)</f>
        <v>0</v>
      </c>
      <c r="AJ35" s="22">
        <v>0</v>
      </c>
      <c r="AK35" s="22">
        <f>VLOOKUP($A35,tabCustoUnit[],COLUMN(CUSTO_GLOBAL[[#Headers],[Seguro de Vida]])-2,0)*($G35-$H35)</f>
        <v>13.44</v>
      </c>
      <c r="AL35" s="22">
        <f>VLOOKUP($A35,tabCustoUnit[],COLUMN(CUSTO_GLOBAL[[#Headers],[Despesas de Viagem]])-2,0)*($G35-$H35)</f>
        <v>808.32</v>
      </c>
      <c r="AM35" s="22" t="e">
        <f ca="1">VLOOKUP($A35,tabCustoUnit[],COLUMN(CUSTO_GLOBAL[[#Headers],[Submódulo 2.3]])-2,0)*($G35-$H35)</f>
        <v>#NAME?</v>
      </c>
      <c r="AN35" s="22" t="e">
        <f ca="1">VLOOKUP($A35,tabCustoUnit[],COLUMN(CUSTO_GLOBAL[[#Headers],[MÓDULO 2 - Total Encargos e Benefícios mensais e diários]])-2,0)*($G35-$H35)</f>
        <v>#NAME?</v>
      </c>
      <c r="AO35" s="22">
        <f>VLOOKUP($A35,tabCustoUnit[],COLUMN(CUSTO_GLOBAL[[#Headers],[Aviso Prévio Indenizado (API) e Reflexo do Aviso Prévio Indenizado]])-2,0)*($G35-$H35)</f>
        <v>105.3279587962963</v>
      </c>
      <c r="AP35" s="22">
        <f>VLOOKUP($A35,tabCustoUnit[],COLUMN(CUSTO_GLOBAL[[#Headers],[Incidência do FGTS sobre API e Reflexo do API]])-2,0)*($G35-$H35)</f>
        <v>8.4262367037037045</v>
      </c>
      <c r="AQ35" s="22">
        <f>VLOOKUP($A35,tabCustoUnit[],COLUMN(CUSTO_GLOBAL[[#Headers],[Multa Rescisória do FGTS sobre o Aviso Prévio Indenizado]])-2,0)*($G35-$H35)</f>
        <v>3.3704946814814822</v>
      </c>
      <c r="AR35" s="22">
        <f>VLOOKUP($A35,tabCustoUnit[],COLUMN(CUSTO_GLOBAL[[#Headers],[Aviso Prévio Trabalhado - APT]])-2,0)*($G35-$H35)</f>
        <v>52.575600000000009</v>
      </c>
      <c r="AS35" s="22">
        <f>VLOOKUP($A35,tabCustoUnit[],COLUMN(CUSTO_GLOBAL[[#Headers],[Incidência dos encargos do submódulo 2.1 sobre Aviso Prévio Trabalhado]])-2,0)*($G35-$H35)</f>
        <v>19.873576800000006</v>
      </c>
      <c r="AT35" s="22">
        <f>VLOOKUP($A35,tabCustoUnit[],COLUMN(CUSTO_GLOBAL[[#Headers],[Multa Rescisória do FGTS]])-2,0)*($G35-$H35)</f>
        <v>459.32714666666664</v>
      </c>
      <c r="AU35" s="22">
        <f>VLOOKUP($A35,tabCustoUnit[],COLUMN(CUSTO_GLOBAL[[#Headers],[Indenização Adicional (Art. 9º da Lei nº 7.238/84)]])-2,0)*($G35-$H35)</f>
        <v>12.518000000000001</v>
      </c>
      <c r="AV35" s="22">
        <f>VLOOKUP($A35,tabCustoUnit[],COLUMN(CUSTO_GLOBAL[[#Headers],[MÓDULO 3 – PROVISÃO PARA RESCISÃO]])-2,0)*($G35-$H35)</f>
        <v>661.41901364814817</v>
      </c>
      <c r="AW35" s="22">
        <f>VLOOKUP($A35,tabCustoUnit[],COLUMN(CUSTO_GLOBAL[[#Headers],[Ausência por Doença]])-2,0)*($G35-$H35)</f>
        <v>126.84906666666666</v>
      </c>
      <c r="AX35" s="22">
        <f>VLOOKUP($A35,tabCustoUnit[],COLUMN(CUSTO_GLOBAL[[#Headers],[Ausências Legais]])-2,0)*($G35-$H35)</f>
        <v>30.460466666666665</v>
      </c>
      <c r="AY35" s="22">
        <f>VLOOKUP($A35,tabCustoUnit[],COLUMN(CUSTO_GLOBAL[[#Headers],[Licença Paternidade]])-2,0)*($G35-$H35)</f>
        <v>2.5661900000000002</v>
      </c>
      <c r="AZ35" s="22">
        <f>VLOOKUP($A35,tabCustoUnit[],COLUMN(CUSTO_GLOBAL[[#Headers],[Ausência por Acidente de Trabalho]])-2,0)*($G35-$H35)</f>
        <v>3.1295000000000002</v>
      </c>
      <c r="BA35" s="22">
        <f>VLOOKUP($A35,tabCustoUnit[],COLUMN(CUSTO_GLOBAL[[#Headers],[Férias, Adicional de Férias e 13º  com empregada em gozo de Licença Maternidade]])-2,0)*($G35-$H35)</f>
        <v>19.472444444444445</v>
      </c>
      <c r="BB35" s="22">
        <f>VLOOKUP($A35,tabCustoUnit[],COLUMN(CUSTO_GLOBAL[[#Headers],[Incidência do Submódulo 2.1 sobre Ausências Legais]])-2,0)*($G35-$H35)</f>
        <v>68.976558420000018</v>
      </c>
      <c r="BC35" s="22">
        <f>VLOOKUP($A35,tabCustoUnit[],COLUMN(CUSTO_GLOBAL[[#Headers],[Submódulo 4.1]])-2,0)*($G35-$H35)</f>
        <v>251.45422619777781</v>
      </c>
      <c r="BD35" s="22">
        <f>VLOOKUP($A35,tabCustoUnit[],COLUMN(CUSTO_GLOBAL[[#Headers],[Intervalo para Repouso ou Alimentação]])-2,0)*($G35-$H35)</f>
        <v>0</v>
      </c>
      <c r="BE35" s="22">
        <f>VLOOKUP($A35,tabCustoUnit[],COLUMN(CUSTO_GLOBAL[[#Headers],[Submódulo 4.2]])-2,0)*($G35-$H35)</f>
        <v>0</v>
      </c>
      <c r="BF35" s="22">
        <f>VLOOKUP($A35,tabCustoUnit[],COLUMN(CUSTO_GLOBAL[[#Headers],[Suspensão Temporária do Contrato de Trabalho]])-2,0)*($G35-$H35)</f>
        <v>0</v>
      </c>
      <c r="BG35" s="22">
        <f>VLOOKUP($A35,tabCustoUnit[],COLUMN(CUSTO_GLOBAL[[#Headers],[Submódulo 4.3]])-2,0)*($G35-$H35)</f>
        <v>0</v>
      </c>
      <c r="BH35" s="22">
        <f>VLOOKUP($A35,tabCustoUnit[],COLUMN(CUSTO_GLOBAL[[#Headers],[MÓDULO 4 – CUSTO DE REPOSIÇÃO DO PROFISSIONAL AUSENTE]])-2,0)*($G35-$H35)</f>
        <v>251.45422619777781</v>
      </c>
      <c r="BI35" s="22">
        <f>VLOOKUP($A35,tabCustoUnit[],COLUMN(CUSTO_GLOBAL[[#Headers],[Uniformes e EPIs]])-2,0)*($G35-$H35)</f>
        <v>892.73</v>
      </c>
      <c r="BJ35" s="22">
        <f>VLOOKUP($A35,tabCustoUnit[],COLUMN(CUSTO_GLOBAL[[#Headers],[Materiais de Consumo]])-2,0)*($G35-$H35)</f>
        <v>0</v>
      </c>
      <c r="BK35" s="22">
        <f>VLOOKUP($A35,tabCustoUnit[],COLUMN(CUSTO_GLOBAL[[#Headers],[Máquinas e Equipamentos (depreciação)]])-2,0)*($G35-$H35)</f>
        <v>0</v>
      </c>
      <c r="BL35" s="22">
        <f>VLOOKUP($A35,tabCustoUnit[],COLUMN(CUSTO_GLOBAL[[#Headers],[Produtos de Limpeza e Materiais de Higiene Pessoal]])-2,0)*($G35-$H35)</f>
        <v>0</v>
      </c>
      <c r="BM35" s="22">
        <f>VLOOKUP($A35,tabCustoUnit[],COLUMN(CUSTO_GLOBAL[[#Headers],[Outros (especificar)]])-2,0)*($G35-$H35)</f>
        <v>0</v>
      </c>
      <c r="BN35" s="22">
        <f>VLOOKUP($A35,tabCustoUnit[],COLUMN(CUSTO_GLOBAL[[#Headers],[MÓDULO 5 – INSUMOS DIVERSOS]])-2,0)*($G35-$H35)</f>
        <v>892.73</v>
      </c>
      <c r="BO35" s="22" t="e">
        <f ca="1">VLOOKUP($A35,tabCustoUnit[],COLUMN(CUSTO_GLOBAL[[#Headers],[TOTAL MÓDULOS 1+2+3+4+5]])-2,0)*($G35-$H35)</f>
        <v>#NAME?</v>
      </c>
      <c r="BP35" s="22" t="e">
        <f ca="1">VLOOKUP($A35,tabCustoUnit[],COLUMN(CUSTO_GLOBAL[[#Headers],[Custos Indiretos]])-2,0)*($G35-$H35)</f>
        <v>#NAME?</v>
      </c>
      <c r="BQ35" s="22" t="e">
        <f ca="1">VLOOKUP($A35,tabCustoUnit[],COLUMN(CUSTO_GLOBAL[[#Headers],[Lucro]])-2,0)*($G35-$H35)</f>
        <v>#NAME?</v>
      </c>
      <c r="BR35" s="26">
        <f>VLOOKUP($A35,tabCustoUnit[],COLUMN(CUSTO_GLOBAL[[#Headers],[COFINS]])-2,0)</f>
        <v>8.8629737609329504E-2</v>
      </c>
      <c r="BS35" s="26">
        <f>VLOOKUP($A35,tabCustoUnit[],COLUMN(CUSTO_GLOBAL[[#Headers],[PIS]])-2,0)</f>
        <v>1.9241982507288629E-2</v>
      </c>
      <c r="BT35" s="28">
        <f>VLOOKUP($A35,tabCustoUnit[],COLUMN(CUSTO_GLOBAL[[#Headers],[ISS]])-2,0)</f>
        <v>0.05</v>
      </c>
      <c r="BU35" s="26">
        <f>VLOOKUP($A35,tabCustoUnit[],COLUMN(CUSTO_GLOBAL[[#Headers],[ISS (Conversão Alíquota s/ fatura)]])-2,0)</f>
        <v>5.8309037900874633E-2</v>
      </c>
      <c r="BV35" s="26">
        <f>VLOOKUP($A35,tabCustoUnit[],COLUMN(CUSTO_GLOBAL[[#Headers],[Resumo de Alíquotas (PIS+CONFINS+ISS)]])-2,0)</f>
        <v>0.14250000000000002</v>
      </c>
      <c r="BW35" s="138">
        <f>VLOOKUP($A35,tabCustoUnit[],COLUMN(CUSTO_GLOBAL[[#Headers],[PIS + COFINS + ISS (Total Conversão  Alíquota s/ Fatura)]])-2,0)</f>
        <v>0.16618075801749277</v>
      </c>
      <c r="BX35" s="22" t="e">
        <f ca="1">VLOOKUP($A35,tabCustoUnit[],COLUMN(CUSTO_GLOBAL[[#Headers],[Valor dos Tributos (ISS, PIS, CONFINS)]])-2,0)*($G35-$H35)</f>
        <v>#NAME?</v>
      </c>
      <c r="BY35" s="22" t="e">
        <f ca="1">VLOOKUP($A35,tabCustoUnit[],COLUMN(CUSTO_GLOBAL[[#Headers],[MÓDULO 6 – CUSTOS INDIRETOS, TRIBUTOS E LUCRO]])-2,0)*($G35-$H35)</f>
        <v>#NAME?</v>
      </c>
      <c r="BZ35" s="22" t="e">
        <f ca="1">VLOOKUP($A35,tabCustoUnit[],COLUMN(CUSTO_GLOBAL[[#Headers],[CUSTO TOTAL MENSAL]])-2,0)*($G35-$H35)</f>
        <v>#NAME?</v>
      </c>
      <c r="CA35" s="22" t="e">
        <f ca="1">CUSTO_GLOBAL[[#This Row],[CUSTO TOTAL MENSAL]]*12</f>
        <v>#NAME?</v>
      </c>
      <c r="CB35" s="24">
        <f>VLOOKUP($A35,tabCustoUnit[],COLUMN(CUSTO_GLOBAL[[#Headers],[ANO DA CCT]])-2,0)</f>
        <v>45658</v>
      </c>
      <c r="CC35" s="25" t="str">
        <f>VLOOKUP($A35,tabCustoUnit[],COLUMN(CUSTO_GLOBAL[[#Headers],[Nº DE PEDIDO DA CCT]])-2,0)</f>
        <v>-</v>
      </c>
      <c r="CD35" s="25" t="str">
        <f>VLOOKUP($A35,tabCustoUnit[],COLUMN(CUSTO_GLOBAL[[#Headers],[TERMO ADITIVO ALTERAÇÃO DA CCT]])-2,0)</f>
        <v>-</v>
      </c>
    </row>
    <row r="36" spans="1:82">
      <c r="A36" s="20" t="s">
        <v>1415</v>
      </c>
      <c r="B36" t="s">
        <v>1103</v>
      </c>
      <c r="C36" t="s">
        <v>177</v>
      </c>
      <c r="D36" t="s">
        <v>1035</v>
      </c>
      <c r="E36" s="20" t="s">
        <v>1090</v>
      </c>
      <c r="F36" s="20" t="s">
        <v>120</v>
      </c>
      <c r="G36" s="20">
        <v>6</v>
      </c>
      <c r="H36" s="20">
        <v>0</v>
      </c>
      <c r="I36" s="21">
        <f>VLOOKUP($A36,tabCustoUnit[],COLUMN(CUSTO_GLOBAL[[#Headers],[Salário Base]])-2,0)*($G36-$H36)</f>
        <v>14661.149399999998</v>
      </c>
      <c r="J36" s="21">
        <f>VLOOKUP($A36,tabCustoUnit[],COLUMN(CUSTO_GLOBAL[[#Headers],[Adicional Periculosidade]])-2,0)*($G36-$H36)</f>
        <v>0</v>
      </c>
      <c r="K36" s="21">
        <f>VLOOKUP($A36,tabCustoUnit[],COLUMN(CUSTO_GLOBAL[[#Headers],[Adicional Insalubridade]])-2,0)*($G36-$H36)</f>
        <v>0</v>
      </c>
      <c r="L36" s="21">
        <f>VLOOKUP($A36,tabCustoUnit[],COLUMN(CUSTO_GLOBAL[[#Headers],[Adicional Noturno]])-2,0)*($G36-$H36)</f>
        <v>0</v>
      </c>
      <c r="M36" s="21">
        <f>VLOOKUP($A36,tabCustoUnit[],COLUMN(CUSTO_GLOBAL[[#Headers],[Adicional Motorista II (Gratificação)]])-2,0)*($G36-$H36)</f>
        <v>0</v>
      </c>
      <c r="N36" s="21">
        <f>VLOOKUP($A36,tabCustoUnit[],COLUMN(CUSTO_GLOBAL[[#Headers],[Adicional de Sobreaviso]])-2,0)*($G36-$H36)</f>
        <v>0</v>
      </c>
      <c r="O36" s="21">
        <f>VLOOKUP($A36,tabCustoUnit[],COLUMN(CUSTO_GLOBAL[[#Headers],[Horas Extras TI]])-2,0)*($G36-$H36)</f>
        <v>0</v>
      </c>
      <c r="P36" s="21">
        <f>VLOOKUP($A36,tabCustoUnit[],COLUMN(CUSTO_GLOBAL[[#Headers],[Adicional de Acúmulo de função]])-2,0)*($G36-$H36)</f>
        <v>0</v>
      </c>
      <c r="Q36" s="21">
        <f>VLOOKUP($A36,tabCustoUnit[],COLUMN(CUSTO_GLOBAL[[#Headers],[MODULO 1 - REMUNERAÇÃO ]])-2,0)*($G36-$H36)</f>
        <v>14661.149399999998</v>
      </c>
      <c r="R36" s="21">
        <f>VLOOKUP($A36,tabCustoUnit[],COLUMN(CUSTO_GLOBAL[[#Headers],[INSS]])-2,0)*($G36-$H36)</f>
        <v>2932.2298799999999</v>
      </c>
      <c r="S36" s="21">
        <f>VLOOKUP($A36,tabCustoUnit[],COLUMN(CUSTO_GLOBAL[[#Headers],[SESI OU SESC]])-2,0)*($G36-$H36)</f>
        <v>219.91724099999999</v>
      </c>
      <c r="T36" s="21">
        <f>VLOOKUP($A36,tabCustoUnit[],COLUMN(CUSTO_GLOBAL[[#Headers],[SENAI OU SENAC]])-2,0)*($G36-$H36)</f>
        <v>146.61149399999999</v>
      </c>
      <c r="U36" s="21">
        <f>VLOOKUP($A36,tabCustoUnit[],COLUMN(CUSTO_GLOBAL[[#Headers],[INCRA]])-2,0)*($G36-$H36)</f>
        <v>29.322298799999999</v>
      </c>
      <c r="V36" s="21">
        <f>VLOOKUP($A36,tabCustoUnit[],COLUMN(CUSTO_GLOBAL[[#Headers],[Salário Educação]])-2,0)*($G36-$H36)</f>
        <v>366.52873499999998</v>
      </c>
      <c r="W36" s="21">
        <f>VLOOKUP($A36,tabCustoUnit[],COLUMN(CUSTO_GLOBAL[[#Headers],[FGTS]])-2,0)*($G36-$H36)</f>
        <v>1172.8919519999999</v>
      </c>
      <c r="X36" s="21">
        <f>VLOOKUP($A36,tabCustoUnit[],COLUMN(CUSTO_GLOBAL[[#Headers],[RAT Ajustado]])-2,0)*($G36-$H36)</f>
        <v>586.44597599999997</v>
      </c>
      <c r="Y36" s="21">
        <f>VLOOKUP($A36,tabCustoUnit[],COLUMN(CUSTO_GLOBAL[[#Headers],[SEBRAE]])-2,0)*($G36-$H36)</f>
        <v>87.966896399999996</v>
      </c>
      <c r="Z36" s="21">
        <f>VLOOKUP($A36,tabCustoUnit[],COLUMN(CUSTO_GLOBAL[[#Headers],[Submódulo 2.1]])-2,0)*($G36-$H36)</f>
        <v>5541.9144731999995</v>
      </c>
      <c r="AA36" s="21">
        <f>VLOOKUP($A36,tabCustoUnit[],COLUMN(CUSTO_GLOBAL[[#Headers],[13º salário (titular)]])-2,0)*($G36-$H36)</f>
        <v>1221.7624499999999</v>
      </c>
      <c r="AB36" s="21">
        <f>VLOOKUP($A36,tabCustoUnit[],COLUMN(CUSTO_GLOBAL[[#Headers],[Férias e Adicional de Férias (titular)]])-2,0)*($G36-$H36)</f>
        <v>1629.0165999999997</v>
      </c>
      <c r="AC36" s="21">
        <f>VLOOKUP($A36,tabCustoUnit[],COLUMN(CUSTO_GLOBAL[[#Headers],[Incidência do Submódulo 2.1 sobre 13º Salário, Férias e Adicional de Férias]])-2,0)*($G36-$H36)</f>
        <v>1077.5944809</v>
      </c>
      <c r="AD36" s="21">
        <f>VLOOKUP($A36,tabCustoUnit[],COLUMN(CUSTO_GLOBAL[[#Headers],[Submódulo 2.2]])-2,0)*($G36-$H36)</f>
        <v>3928.3735308999994</v>
      </c>
      <c r="AE36" s="22" t="e">
        <f ca="1">VLOOKUP($A36,tabCustoUnit[],COLUMN(CUSTO_GLOBAL[[#Headers],[Vale - Transporte (Descontada parcela do empregado)]])-2,0)*($G36-$H36)</f>
        <v>#NAME?</v>
      </c>
      <c r="AF36" s="22">
        <f>VLOOKUP($A36,tabCustoUnit[],COLUMN(CUSTO_GLOBAL[[#Headers],[Vale - Alimentação (Descontada parcela do empregado)]])-2,0)*($G36-$H36)</f>
        <v>3492</v>
      </c>
      <c r="AG36" s="22">
        <f>VLOOKUP($A36,tabCustoUnit[],COLUMN(CUSTO_GLOBAL[[#Headers],[Cesta Básica]])-2,0)*($G36-$H36)</f>
        <v>0</v>
      </c>
      <c r="AH36" s="22">
        <f>VLOOKUP($A36,tabCustoUnit[],COLUMN(CUSTO_GLOBAL[[#Headers],[PAF]])-2,0)*($G36-$H36)</f>
        <v>575.40000000000009</v>
      </c>
      <c r="AI36" s="22">
        <f>VLOOKUP($A36,tabCustoUnit[],COLUMN(CUSTO_GLOBAL[[#Headers],[PQM]])-2,0)*($G36-$H36)</f>
        <v>0</v>
      </c>
      <c r="AJ36" s="22">
        <v>0</v>
      </c>
      <c r="AK36" s="22">
        <f>VLOOKUP($A36,tabCustoUnit[],COLUMN(CUSTO_GLOBAL[[#Headers],[Seguro de Vida]])-2,0)*($G36-$H36)</f>
        <v>20.16</v>
      </c>
      <c r="AL36" s="22">
        <f>VLOOKUP($A36,tabCustoUnit[],COLUMN(CUSTO_GLOBAL[[#Headers],[Despesas de Viagem]])-2,0)*($G36-$H36)</f>
        <v>1212.48</v>
      </c>
      <c r="AM36" s="22" t="e">
        <f ca="1">VLOOKUP($A36,tabCustoUnit[],COLUMN(CUSTO_GLOBAL[[#Headers],[Submódulo 2.3]])-2,0)*($G36-$H36)</f>
        <v>#NAME?</v>
      </c>
      <c r="AN36" s="22" t="e">
        <f ca="1">VLOOKUP($A36,tabCustoUnit[],COLUMN(CUSTO_GLOBAL[[#Headers],[MÓDULO 2 - Total Encargos e Benefícios mensais e diários]])-2,0)*($G36-$H36)</f>
        <v>#NAME?</v>
      </c>
      <c r="AO36" s="22">
        <f>VLOOKUP($A36,tabCustoUnit[],COLUMN(CUSTO_GLOBAL[[#Headers],[Aviso Prévio Indenizado (API) e Reflexo do Aviso Prévio Indenizado]])-2,0)*($G36-$H36)</f>
        <v>102.80056318298611</v>
      </c>
      <c r="AP36" s="22">
        <f>VLOOKUP($A36,tabCustoUnit[],COLUMN(CUSTO_GLOBAL[[#Headers],[Incidência do FGTS sobre API e Reflexo do API]])-2,0)*($G36-$H36)</f>
        <v>8.2240450546388892</v>
      </c>
      <c r="AQ36" s="22">
        <f>VLOOKUP($A36,tabCustoUnit[],COLUMN(CUSTO_GLOBAL[[#Headers],[Multa Rescisória do FGTS sobre o Aviso Prévio Indenizado]])-2,0)*($G36-$H36)</f>
        <v>3.289618021855556</v>
      </c>
      <c r="AR36" s="22">
        <f>VLOOKUP($A36,tabCustoUnit[],COLUMN(CUSTO_GLOBAL[[#Headers],[Aviso Prévio Trabalhado - APT]])-2,0)*($G36-$H36)</f>
        <v>51.314022900000012</v>
      </c>
      <c r="AS36" s="22">
        <f>VLOOKUP($A36,tabCustoUnit[],COLUMN(CUSTO_GLOBAL[[#Headers],[Incidência dos encargos do submódulo 2.1 sobre Aviso Prévio Trabalhado]])-2,0)*($G36-$H36)</f>
        <v>19.396700656200004</v>
      </c>
      <c r="AT36" s="22">
        <f>VLOOKUP($A36,tabCustoUnit[],COLUMN(CUSTO_GLOBAL[[#Headers],[Multa Rescisória do FGTS]])-2,0)*($G36-$H36)</f>
        <v>448.30536831999984</v>
      </c>
      <c r="AU36" s="22">
        <f>VLOOKUP($A36,tabCustoUnit[],COLUMN(CUSTO_GLOBAL[[#Headers],[Indenização Adicional (Art. 9º da Lei nº 7.238/84)]])-2,0)*($G36-$H36)</f>
        <v>12.217624499999999</v>
      </c>
      <c r="AV36" s="22">
        <f>VLOOKUP($A36,tabCustoUnit[],COLUMN(CUSTO_GLOBAL[[#Headers],[MÓDULO 3 – PROVISÃO PARA RESCISÃO]])-2,0)*($G36-$H36)</f>
        <v>645.54794263568044</v>
      </c>
      <c r="AW36" s="22">
        <f>VLOOKUP($A36,tabCustoUnit[],COLUMN(CUSTO_GLOBAL[[#Headers],[Ausência por Doença]])-2,0)*($G36-$H36)</f>
        <v>123.80526159999998</v>
      </c>
      <c r="AX36" s="22">
        <f>VLOOKUP($A36,tabCustoUnit[],COLUMN(CUSTO_GLOBAL[[#Headers],[Ausências Legais]])-2,0)*($G36-$H36)</f>
        <v>29.729552949999995</v>
      </c>
      <c r="AY36" s="22">
        <f>VLOOKUP($A36,tabCustoUnit[],COLUMN(CUSTO_GLOBAL[[#Headers],[Licença Paternidade]])-2,0)*($G36-$H36)</f>
        <v>2.5046130225000001</v>
      </c>
      <c r="AZ36" s="22">
        <f>VLOOKUP($A36,tabCustoUnit[],COLUMN(CUSTO_GLOBAL[[#Headers],[Ausência por Acidente de Trabalho]])-2,0)*($G36-$H36)</f>
        <v>3.0544061249999999</v>
      </c>
      <c r="BA36" s="22">
        <f>VLOOKUP($A36,tabCustoUnit[],COLUMN(CUSTO_GLOBAL[[#Headers],[Férias, Adicional de Férias e 13º  com empregada em gozo de Licença Maternidade]])-2,0)*($G36-$H36)</f>
        <v>19.005193666666667</v>
      </c>
      <c r="BB36" s="22">
        <f>VLOOKUP($A36,tabCustoUnit[],COLUMN(CUSTO_GLOBAL[[#Headers],[Incidência do Submódulo 2.1 sobre Ausências Legais]])-2,0)*($G36-$H36)</f>
        <v>67.321432343655005</v>
      </c>
      <c r="BC36" s="22">
        <f>VLOOKUP($A36,tabCustoUnit[],COLUMN(CUSTO_GLOBAL[[#Headers],[Submódulo 4.1]])-2,0)*($G36-$H36)</f>
        <v>245.42045970782161</v>
      </c>
      <c r="BD36" s="22">
        <f>VLOOKUP($A36,tabCustoUnit[],COLUMN(CUSTO_GLOBAL[[#Headers],[Intervalo para Repouso ou Alimentação]])-2,0)*($G36-$H36)</f>
        <v>0</v>
      </c>
      <c r="BE36" s="22">
        <f>VLOOKUP($A36,tabCustoUnit[],COLUMN(CUSTO_GLOBAL[[#Headers],[Submódulo 4.2]])-2,0)*($G36-$H36)</f>
        <v>0</v>
      </c>
      <c r="BF36" s="22">
        <f>VLOOKUP($A36,tabCustoUnit[],COLUMN(CUSTO_GLOBAL[[#Headers],[Suspensão Temporária do Contrato de Trabalho]])-2,0)*($G36-$H36)</f>
        <v>0</v>
      </c>
      <c r="BG36" s="22">
        <f>VLOOKUP($A36,tabCustoUnit[],COLUMN(CUSTO_GLOBAL[[#Headers],[Submódulo 4.3]])-2,0)*($G36-$H36)</f>
        <v>0</v>
      </c>
      <c r="BH36" s="22">
        <f>VLOOKUP($A36,tabCustoUnit[],COLUMN(CUSTO_GLOBAL[[#Headers],[MÓDULO 4 – CUSTO DE REPOSIÇÃO DO PROFISSIONAL AUSENTE]])-2,0)*($G36-$H36)</f>
        <v>245.42045970782161</v>
      </c>
      <c r="BI36" s="22">
        <f>VLOOKUP($A36,tabCustoUnit[],COLUMN(CUSTO_GLOBAL[[#Headers],[Uniformes e EPIs]])-2,0)*($G36-$H36)</f>
        <v>544.70807869223825</v>
      </c>
      <c r="BJ36" s="22">
        <f>VLOOKUP($A36,tabCustoUnit[],COLUMN(CUSTO_GLOBAL[[#Headers],[Materiais de Consumo]])-2,0)*($G36-$H36)</f>
        <v>0</v>
      </c>
      <c r="BK36" s="22">
        <f>VLOOKUP($A36,tabCustoUnit[],COLUMN(CUSTO_GLOBAL[[#Headers],[Máquinas e Equipamentos (depreciação)]])-2,0)*($G36-$H36)</f>
        <v>0</v>
      </c>
      <c r="BL36" s="22">
        <f>VLOOKUP($A36,tabCustoUnit[],COLUMN(CUSTO_GLOBAL[[#Headers],[Produtos de Limpeza e Materiais de Higiene Pessoal]])-2,0)*($G36-$H36)</f>
        <v>0</v>
      </c>
      <c r="BM36" s="22">
        <f>VLOOKUP($A36,tabCustoUnit[],COLUMN(CUSTO_GLOBAL[[#Headers],[Outros (especificar)]])-2,0)*($G36-$H36)</f>
        <v>0</v>
      </c>
      <c r="BN36" s="22">
        <f>VLOOKUP($A36,tabCustoUnit[],COLUMN(CUSTO_GLOBAL[[#Headers],[MÓDULO 5 – INSUMOS DIVERSOS]])-2,0)*($G36-$H36)</f>
        <v>544.70807869223825</v>
      </c>
      <c r="BO36" s="22" t="e">
        <f ca="1">VLOOKUP($A36,tabCustoUnit[],COLUMN(CUSTO_GLOBAL[[#Headers],[TOTAL MÓDULOS 1+2+3+4+5]])-2,0)*($G36-$H36)</f>
        <v>#NAME?</v>
      </c>
      <c r="BP36" s="22" t="e">
        <f ca="1">VLOOKUP($A36,tabCustoUnit[],COLUMN(CUSTO_GLOBAL[[#Headers],[Custos Indiretos]])-2,0)*($G36-$H36)</f>
        <v>#NAME?</v>
      </c>
      <c r="BQ36" s="22" t="e">
        <f ca="1">VLOOKUP($A36,tabCustoUnit[],COLUMN(CUSTO_GLOBAL[[#Headers],[Lucro]])-2,0)*($G36-$H36)</f>
        <v>#NAME?</v>
      </c>
      <c r="BR36" s="26">
        <f>VLOOKUP($A36,tabCustoUnit[],COLUMN(CUSTO_GLOBAL[[#Headers],[COFINS]])-2,0)</f>
        <v>8.8629737609329504E-2</v>
      </c>
      <c r="BS36" s="26">
        <f>VLOOKUP($A36,tabCustoUnit[],COLUMN(CUSTO_GLOBAL[[#Headers],[PIS]])-2,0)</f>
        <v>1.9241982507288629E-2</v>
      </c>
      <c r="BT36" s="28">
        <f>VLOOKUP($A36,tabCustoUnit[],COLUMN(CUSTO_GLOBAL[[#Headers],[ISS]])-2,0)</f>
        <v>0.05</v>
      </c>
      <c r="BU36" s="26">
        <f>VLOOKUP($A36,tabCustoUnit[],COLUMN(CUSTO_GLOBAL[[#Headers],[ISS (Conversão Alíquota s/ fatura)]])-2,0)</f>
        <v>5.8309037900874633E-2</v>
      </c>
      <c r="BV36" s="26">
        <f>VLOOKUP($A36,tabCustoUnit[],COLUMN(CUSTO_GLOBAL[[#Headers],[Resumo de Alíquotas (PIS+CONFINS+ISS)]])-2,0)</f>
        <v>0.14250000000000002</v>
      </c>
      <c r="BW36" s="138">
        <f>VLOOKUP($A36,tabCustoUnit[],COLUMN(CUSTO_GLOBAL[[#Headers],[PIS + COFINS + ISS (Total Conversão  Alíquota s/ Fatura)]])-2,0)</f>
        <v>0.16618075801749277</v>
      </c>
      <c r="BX36" s="22" t="e">
        <f ca="1">VLOOKUP($A36,tabCustoUnit[],COLUMN(CUSTO_GLOBAL[[#Headers],[Valor dos Tributos (ISS, PIS, CONFINS)]])-2,0)*($G36-$H36)</f>
        <v>#NAME?</v>
      </c>
      <c r="BY36" s="22" t="e">
        <f ca="1">VLOOKUP($A36,tabCustoUnit[],COLUMN(CUSTO_GLOBAL[[#Headers],[MÓDULO 6 – CUSTOS INDIRETOS, TRIBUTOS E LUCRO]])-2,0)*($G36-$H36)</f>
        <v>#NAME?</v>
      </c>
      <c r="BZ36" s="22" t="e">
        <f ca="1">VLOOKUP($A36,tabCustoUnit[],COLUMN(CUSTO_GLOBAL[[#Headers],[CUSTO TOTAL MENSAL]])-2,0)*($G36-$H36)</f>
        <v>#NAME?</v>
      </c>
      <c r="CA36" s="22" t="e">
        <f ca="1">CUSTO_GLOBAL[[#This Row],[CUSTO TOTAL MENSAL]]*12</f>
        <v>#NAME?</v>
      </c>
      <c r="CB36" s="24">
        <f>VLOOKUP($A36,tabCustoUnit[],COLUMN(CUSTO_GLOBAL[[#Headers],[ANO DA CCT]])-2,0)</f>
        <v>45658</v>
      </c>
      <c r="CC36" s="25" t="str">
        <f>VLOOKUP($A36,tabCustoUnit[],COLUMN(CUSTO_GLOBAL[[#Headers],[Nº DE PEDIDO DA CCT]])-2,0)</f>
        <v>-</v>
      </c>
      <c r="CD36" s="25" t="str">
        <f>VLOOKUP($A36,tabCustoUnit[],COLUMN(CUSTO_GLOBAL[[#Headers],[TERMO ADITIVO ALTERAÇÃO DA CCT]])-2,0)</f>
        <v>-</v>
      </c>
    </row>
    <row r="37" spans="1:82">
      <c r="A37" s="20" t="s">
        <v>1416</v>
      </c>
      <c r="B37" t="s">
        <v>1103</v>
      </c>
      <c r="C37" t="s">
        <v>183</v>
      </c>
      <c r="D37" t="s">
        <v>1035</v>
      </c>
      <c r="E37" s="20" t="s">
        <v>1090</v>
      </c>
      <c r="F37" s="20" t="s">
        <v>120</v>
      </c>
      <c r="G37" s="20">
        <v>22</v>
      </c>
      <c r="H37" s="20">
        <v>0</v>
      </c>
      <c r="I37" s="21">
        <f>VLOOKUP($A37,tabCustoUnit[],COLUMN(CUSTO_GLOBAL[[#Headers],[Salário Base]])-2,0)*($G37-$H37)</f>
        <v>53882.5452</v>
      </c>
      <c r="J37" s="21">
        <f>VLOOKUP($A37,tabCustoUnit[],COLUMN(CUSTO_GLOBAL[[#Headers],[Adicional Periculosidade]])-2,0)*($G37-$H37)</f>
        <v>0</v>
      </c>
      <c r="K37" s="21">
        <f>VLOOKUP($A37,tabCustoUnit[],COLUMN(CUSTO_GLOBAL[[#Headers],[Adicional Insalubridade]])-2,0)*($G37-$H37)</f>
        <v>0</v>
      </c>
      <c r="L37" s="21">
        <f>VLOOKUP($A37,tabCustoUnit[],COLUMN(CUSTO_GLOBAL[[#Headers],[Adicional Noturno]])-2,0)*($G37-$H37)</f>
        <v>0</v>
      </c>
      <c r="M37" s="21">
        <f>VLOOKUP($A37,tabCustoUnit[],COLUMN(CUSTO_GLOBAL[[#Headers],[Adicional Motorista II (Gratificação)]])-2,0)*($G37-$H37)</f>
        <v>0</v>
      </c>
      <c r="N37" s="21">
        <f>VLOOKUP($A37,tabCustoUnit[],COLUMN(CUSTO_GLOBAL[[#Headers],[Adicional de Sobreaviso]])-2,0)*($G37-$H37)</f>
        <v>0</v>
      </c>
      <c r="O37" s="21">
        <f>VLOOKUP($A37,tabCustoUnit[],COLUMN(CUSTO_GLOBAL[[#Headers],[Horas Extras TI]])-2,0)*($G37-$H37)</f>
        <v>0</v>
      </c>
      <c r="P37" s="21">
        <f>VLOOKUP($A37,tabCustoUnit[],COLUMN(CUSTO_GLOBAL[[#Headers],[Adicional de Acúmulo de função]])-2,0)*($G37-$H37)</f>
        <v>0</v>
      </c>
      <c r="Q37" s="21">
        <f>VLOOKUP($A37,tabCustoUnit[],COLUMN(CUSTO_GLOBAL[[#Headers],[MODULO 1 - REMUNERAÇÃO ]])-2,0)*($G37-$H37)</f>
        <v>53882.5452</v>
      </c>
      <c r="R37" s="21">
        <f>VLOOKUP($A37,tabCustoUnit[],COLUMN(CUSTO_GLOBAL[[#Headers],[INSS]])-2,0)*($G37-$H37)</f>
        <v>10776.509040000001</v>
      </c>
      <c r="S37" s="21">
        <f>VLOOKUP($A37,tabCustoUnit[],COLUMN(CUSTO_GLOBAL[[#Headers],[SESI OU SESC]])-2,0)*($G37-$H37)</f>
        <v>808.23817799999995</v>
      </c>
      <c r="T37" s="21">
        <f>VLOOKUP($A37,tabCustoUnit[],COLUMN(CUSTO_GLOBAL[[#Headers],[SENAI OU SENAC]])-2,0)*($G37-$H37)</f>
        <v>538.82545200000004</v>
      </c>
      <c r="U37" s="21">
        <f>VLOOKUP($A37,tabCustoUnit[],COLUMN(CUSTO_GLOBAL[[#Headers],[INCRA]])-2,0)*($G37-$H37)</f>
        <v>107.76509040000001</v>
      </c>
      <c r="V37" s="21">
        <f>VLOOKUP($A37,tabCustoUnit[],COLUMN(CUSTO_GLOBAL[[#Headers],[Salário Educação]])-2,0)*($G37-$H37)</f>
        <v>1347.0636300000001</v>
      </c>
      <c r="W37" s="21">
        <f>VLOOKUP($A37,tabCustoUnit[],COLUMN(CUSTO_GLOBAL[[#Headers],[FGTS]])-2,0)*($G37-$H37)</f>
        <v>4310.6036160000003</v>
      </c>
      <c r="X37" s="21">
        <f>VLOOKUP($A37,tabCustoUnit[],COLUMN(CUSTO_GLOBAL[[#Headers],[RAT Ajustado]])-2,0)*($G37-$H37)</f>
        <v>2155.3018080000002</v>
      </c>
      <c r="Y37" s="21">
        <f>VLOOKUP($A37,tabCustoUnit[],COLUMN(CUSTO_GLOBAL[[#Headers],[SEBRAE]])-2,0)*($G37-$H37)</f>
        <v>323.2952712</v>
      </c>
      <c r="Z37" s="21">
        <f>VLOOKUP($A37,tabCustoUnit[],COLUMN(CUSTO_GLOBAL[[#Headers],[Submódulo 2.1]])-2,0)*($G37-$H37)</f>
        <v>20367.602085600003</v>
      </c>
      <c r="AA37" s="21">
        <f>VLOOKUP($A37,tabCustoUnit[],COLUMN(CUSTO_GLOBAL[[#Headers],[13º salário (titular)]])-2,0)*($G37-$H37)</f>
        <v>4490.2120999999997</v>
      </c>
      <c r="AB37" s="21">
        <f>VLOOKUP($A37,tabCustoUnit[],COLUMN(CUSTO_GLOBAL[[#Headers],[Férias e Adicional de Férias (titular)]])-2,0)*($G37-$H37)</f>
        <v>5986.949466666666</v>
      </c>
      <c r="AC37" s="21">
        <f>VLOOKUP($A37,tabCustoUnit[],COLUMN(CUSTO_GLOBAL[[#Headers],[Incidência do Submódulo 2.1 sobre 13º Salário, Férias e Adicional de Férias]])-2,0)*($G37-$H37)</f>
        <v>3960.3670722000006</v>
      </c>
      <c r="AD37" s="21">
        <f>VLOOKUP($A37,tabCustoUnit[],COLUMN(CUSTO_GLOBAL[[#Headers],[Submódulo 2.2]])-2,0)*($G37-$H37)</f>
        <v>14437.528638866666</v>
      </c>
      <c r="AE37" s="22" t="e">
        <f ca="1">VLOOKUP($A37,tabCustoUnit[],COLUMN(CUSTO_GLOBAL[[#Headers],[Vale - Transporte (Descontada parcela do empregado)]])-2,0)*($G37-$H37)</f>
        <v>#NAME?</v>
      </c>
      <c r="AF37" s="22">
        <f>VLOOKUP($A37,tabCustoUnit[],COLUMN(CUSTO_GLOBAL[[#Headers],[Vale - Alimentação (Descontada parcela do empregado)]])-2,0)*($G37-$H37)</f>
        <v>12804</v>
      </c>
      <c r="AG37" s="22">
        <f>VLOOKUP($A37,tabCustoUnit[],COLUMN(CUSTO_GLOBAL[[#Headers],[Cesta Básica]])-2,0)*($G37-$H37)</f>
        <v>0</v>
      </c>
      <c r="AH37" s="22">
        <f>VLOOKUP($A37,tabCustoUnit[],COLUMN(CUSTO_GLOBAL[[#Headers],[PAF]])-2,0)*($G37-$H37)</f>
        <v>2109.8000000000002</v>
      </c>
      <c r="AI37" s="22">
        <f>VLOOKUP($A37,tabCustoUnit[],COLUMN(CUSTO_GLOBAL[[#Headers],[PQM]])-2,0)*($G37-$H37)</f>
        <v>0</v>
      </c>
      <c r="AJ37" s="22">
        <v>0</v>
      </c>
      <c r="AK37" s="22">
        <f>VLOOKUP($A37,tabCustoUnit[],COLUMN(CUSTO_GLOBAL[[#Headers],[Seguro de Vida]])-2,0)*($G37-$H37)</f>
        <v>73.92</v>
      </c>
      <c r="AL37" s="22">
        <f>VLOOKUP($A37,tabCustoUnit[],COLUMN(CUSTO_GLOBAL[[#Headers],[Despesas de Viagem]])-2,0)*($G37-$H37)</f>
        <v>4445.76</v>
      </c>
      <c r="AM37" s="22" t="e">
        <f ca="1">VLOOKUP($A37,tabCustoUnit[],COLUMN(CUSTO_GLOBAL[[#Headers],[Submódulo 2.3]])-2,0)*($G37-$H37)</f>
        <v>#NAME?</v>
      </c>
      <c r="AN37" s="22" t="e">
        <f ca="1">VLOOKUP($A37,tabCustoUnit[],COLUMN(CUSTO_GLOBAL[[#Headers],[MÓDULO 2 - Total Encargos e Benefícios mensais e diários]])-2,0)*($G37-$H37)</f>
        <v>#NAME?</v>
      </c>
      <c r="AO37" s="22">
        <f>VLOOKUP($A37,tabCustoUnit[],COLUMN(CUSTO_GLOBAL[[#Headers],[Aviso Prévio Indenizado (API) e Reflexo do Aviso Prévio Indenizado]])-2,0)*($G37-$H37)</f>
        <v>377.81185097893513</v>
      </c>
      <c r="AP37" s="22">
        <f>VLOOKUP($A37,tabCustoUnit[],COLUMN(CUSTO_GLOBAL[[#Headers],[Incidência do FGTS sobre API e Reflexo do API]])-2,0)*($G37-$H37)</f>
        <v>30.224948078314821</v>
      </c>
      <c r="AQ37" s="22">
        <f>VLOOKUP($A37,tabCustoUnit[],COLUMN(CUSTO_GLOBAL[[#Headers],[Multa Rescisória do FGTS sobre o Aviso Prévio Indenizado]])-2,0)*($G37-$H37)</f>
        <v>12.089979231325927</v>
      </c>
      <c r="AR37" s="22">
        <f>VLOOKUP($A37,tabCustoUnit[],COLUMN(CUSTO_GLOBAL[[#Headers],[Aviso Prévio Trabalhado - APT]])-2,0)*($G37-$H37)</f>
        <v>188.58890820000002</v>
      </c>
      <c r="AS37" s="22">
        <f>VLOOKUP($A37,tabCustoUnit[],COLUMN(CUSTO_GLOBAL[[#Headers],[Incidência dos encargos do submódulo 2.1 sobre Aviso Prévio Trabalhado]])-2,0)*($G37-$H37)</f>
        <v>71.286607299600021</v>
      </c>
      <c r="AT37" s="22">
        <f>VLOOKUP($A37,tabCustoUnit[],COLUMN(CUSTO_GLOBAL[[#Headers],[Multa Rescisória do FGTS]])-2,0)*($G37-$H37)</f>
        <v>1647.6084932266663</v>
      </c>
      <c r="AU37" s="22">
        <f>VLOOKUP($A37,tabCustoUnit[],COLUMN(CUSTO_GLOBAL[[#Headers],[Indenização Adicional (Art. 9º da Lei nº 7.238/84)]])-2,0)*($G37-$H37)</f>
        <v>44.902121000000008</v>
      </c>
      <c r="AV37" s="22">
        <f>VLOOKUP($A37,tabCustoUnit[],COLUMN(CUSTO_GLOBAL[[#Headers],[MÓDULO 3 – PROVISÃO PARA RESCISÃO]])-2,0)*($G37-$H37)</f>
        <v>2372.5129080148422</v>
      </c>
      <c r="AW37" s="22">
        <f>VLOOKUP($A37,tabCustoUnit[],COLUMN(CUSTO_GLOBAL[[#Headers],[Ausência por Doença]])-2,0)*($G37-$H37)</f>
        <v>455.00815946666665</v>
      </c>
      <c r="AX37" s="22">
        <f>VLOOKUP($A37,tabCustoUnit[],COLUMN(CUSTO_GLOBAL[[#Headers],[Ausências Legais]])-2,0)*($G37-$H37)</f>
        <v>109.26182776666666</v>
      </c>
      <c r="AY37" s="22">
        <f>VLOOKUP($A37,tabCustoUnit[],COLUMN(CUSTO_GLOBAL[[#Headers],[Licença Paternidade]])-2,0)*($G37-$H37)</f>
        <v>9.2049348050000006</v>
      </c>
      <c r="AZ37" s="22">
        <f>VLOOKUP($A37,tabCustoUnit[],COLUMN(CUSTO_GLOBAL[[#Headers],[Ausência por Acidente de Trabalho]])-2,0)*($G37-$H37)</f>
        <v>11.225530250000002</v>
      </c>
      <c r="BA37" s="22">
        <f>VLOOKUP($A37,tabCustoUnit[],COLUMN(CUSTO_GLOBAL[[#Headers],[Férias, Adicional de Férias e 13º  com empregada em gozo de Licença Maternidade]])-2,0)*($G37-$H37)</f>
        <v>69.847743777777779</v>
      </c>
      <c r="BB37" s="22">
        <f>VLOOKUP($A37,tabCustoUnit[],COLUMN(CUSTO_GLOBAL[[#Headers],[Incidência do Submódulo 2.1 sobre Ausências Legais]])-2,0)*($G37-$H37)</f>
        <v>247.41921811299002</v>
      </c>
      <c r="BC37" s="22">
        <f>VLOOKUP($A37,tabCustoUnit[],COLUMN(CUSTO_GLOBAL[[#Headers],[Submódulo 4.1]])-2,0)*($G37-$H37)</f>
        <v>901.96741417910118</v>
      </c>
      <c r="BD37" s="22">
        <f>VLOOKUP($A37,tabCustoUnit[],COLUMN(CUSTO_GLOBAL[[#Headers],[Intervalo para Repouso ou Alimentação]])-2,0)*($G37-$H37)</f>
        <v>0</v>
      </c>
      <c r="BE37" s="22">
        <f>VLOOKUP($A37,tabCustoUnit[],COLUMN(CUSTO_GLOBAL[[#Headers],[Submódulo 4.2]])-2,0)*($G37-$H37)</f>
        <v>0</v>
      </c>
      <c r="BF37" s="22">
        <f>VLOOKUP($A37,tabCustoUnit[],COLUMN(CUSTO_GLOBAL[[#Headers],[Suspensão Temporária do Contrato de Trabalho]])-2,0)*($G37-$H37)</f>
        <v>0</v>
      </c>
      <c r="BG37" s="22">
        <f>VLOOKUP($A37,tabCustoUnit[],COLUMN(CUSTO_GLOBAL[[#Headers],[Submódulo 4.3]])-2,0)*($G37-$H37)</f>
        <v>0</v>
      </c>
      <c r="BH37" s="22">
        <f>VLOOKUP($A37,tabCustoUnit[],COLUMN(CUSTO_GLOBAL[[#Headers],[MÓDULO 4 – CUSTO DE REPOSIÇÃO DO PROFISSIONAL AUSENTE]])-2,0)*($G37-$H37)</f>
        <v>901.96741417910118</v>
      </c>
      <c r="BI37" s="22">
        <f>VLOOKUP($A37,tabCustoUnit[],COLUMN(CUSTO_GLOBAL[[#Headers],[Uniformes e EPIs]])-2,0)*($G37-$H37)</f>
        <v>12729.471321326639</v>
      </c>
      <c r="BJ37" s="22">
        <f>VLOOKUP($A37,tabCustoUnit[],COLUMN(CUSTO_GLOBAL[[#Headers],[Materiais de Consumo]])-2,0)*($G37-$H37)</f>
        <v>0</v>
      </c>
      <c r="BK37" s="22">
        <f>VLOOKUP($A37,tabCustoUnit[],COLUMN(CUSTO_GLOBAL[[#Headers],[Máquinas e Equipamentos (depreciação)]])-2,0)*($G37-$H37)</f>
        <v>0</v>
      </c>
      <c r="BL37" s="22">
        <f>VLOOKUP($A37,tabCustoUnit[],COLUMN(CUSTO_GLOBAL[[#Headers],[Produtos de Limpeza e Materiais de Higiene Pessoal]])-2,0)*($G37-$H37)</f>
        <v>0</v>
      </c>
      <c r="BM37" s="22">
        <f>VLOOKUP($A37,tabCustoUnit[],COLUMN(CUSTO_GLOBAL[[#Headers],[Outros (especificar)]])-2,0)*($G37-$H37)</f>
        <v>0</v>
      </c>
      <c r="BN37" s="22">
        <f>VLOOKUP($A37,tabCustoUnit[],COLUMN(CUSTO_GLOBAL[[#Headers],[MÓDULO 5 – INSUMOS DIVERSOS]])-2,0)*($G37-$H37)</f>
        <v>12729.471321326639</v>
      </c>
      <c r="BO37" s="22" t="e">
        <f ca="1">VLOOKUP($A37,tabCustoUnit[],COLUMN(CUSTO_GLOBAL[[#Headers],[TOTAL MÓDULOS 1+2+3+4+5]])-2,0)*($G37-$H37)</f>
        <v>#NAME?</v>
      </c>
      <c r="BP37" s="22" t="e">
        <f ca="1">VLOOKUP($A37,tabCustoUnit[],COLUMN(CUSTO_GLOBAL[[#Headers],[Custos Indiretos]])-2,0)*($G37-$H37)</f>
        <v>#NAME?</v>
      </c>
      <c r="BQ37" s="22" t="e">
        <f ca="1">VLOOKUP($A37,tabCustoUnit[],COLUMN(CUSTO_GLOBAL[[#Headers],[Lucro]])-2,0)*($G37-$H37)</f>
        <v>#NAME?</v>
      </c>
      <c r="BR37" s="26">
        <f>VLOOKUP($A37,tabCustoUnit[],COLUMN(CUSTO_GLOBAL[[#Headers],[COFINS]])-2,0)</f>
        <v>8.8629737609329504E-2</v>
      </c>
      <c r="BS37" s="26">
        <f>VLOOKUP($A37,tabCustoUnit[],COLUMN(CUSTO_GLOBAL[[#Headers],[PIS]])-2,0)</f>
        <v>1.9241982507288629E-2</v>
      </c>
      <c r="BT37" s="28">
        <f>VLOOKUP($A37,tabCustoUnit[],COLUMN(CUSTO_GLOBAL[[#Headers],[ISS]])-2,0)</f>
        <v>0.05</v>
      </c>
      <c r="BU37" s="26">
        <f>VLOOKUP($A37,tabCustoUnit[],COLUMN(CUSTO_GLOBAL[[#Headers],[ISS (Conversão Alíquota s/ fatura)]])-2,0)</f>
        <v>5.8309037900874633E-2</v>
      </c>
      <c r="BV37" s="26">
        <f>VLOOKUP($A37,tabCustoUnit[],COLUMN(CUSTO_GLOBAL[[#Headers],[Resumo de Alíquotas (PIS+CONFINS+ISS)]])-2,0)</f>
        <v>0.14250000000000002</v>
      </c>
      <c r="BW37" s="138">
        <f>VLOOKUP($A37,tabCustoUnit[],COLUMN(CUSTO_GLOBAL[[#Headers],[PIS + COFINS + ISS (Total Conversão  Alíquota s/ Fatura)]])-2,0)</f>
        <v>0.16618075801749277</v>
      </c>
      <c r="BX37" s="22" t="e">
        <f ca="1">VLOOKUP($A37,tabCustoUnit[],COLUMN(CUSTO_GLOBAL[[#Headers],[Valor dos Tributos (ISS, PIS, CONFINS)]])-2,0)*($G37-$H37)</f>
        <v>#NAME?</v>
      </c>
      <c r="BY37" s="22" t="e">
        <f ca="1">VLOOKUP($A37,tabCustoUnit[],COLUMN(CUSTO_GLOBAL[[#Headers],[MÓDULO 6 – CUSTOS INDIRETOS, TRIBUTOS E LUCRO]])-2,0)*($G37-$H37)</f>
        <v>#NAME?</v>
      </c>
      <c r="BZ37" s="22" t="e">
        <f ca="1">VLOOKUP($A37,tabCustoUnit[],COLUMN(CUSTO_GLOBAL[[#Headers],[CUSTO TOTAL MENSAL]])-2,0)*($G37-$H37)</f>
        <v>#NAME?</v>
      </c>
      <c r="CA37" s="22" t="e">
        <f ca="1">CUSTO_GLOBAL[[#This Row],[CUSTO TOTAL MENSAL]]*12</f>
        <v>#NAME?</v>
      </c>
      <c r="CB37" s="24">
        <f>VLOOKUP($A37,tabCustoUnit[],COLUMN(CUSTO_GLOBAL[[#Headers],[ANO DA CCT]])-2,0)</f>
        <v>45658</v>
      </c>
      <c r="CC37" s="25" t="str">
        <f>VLOOKUP($A37,tabCustoUnit[],COLUMN(CUSTO_GLOBAL[[#Headers],[Nº DE PEDIDO DA CCT]])-2,0)</f>
        <v>-</v>
      </c>
      <c r="CD37" s="25" t="str">
        <f>VLOOKUP($A37,tabCustoUnit[],COLUMN(CUSTO_GLOBAL[[#Headers],[TERMO ADITIVO ALTERAÇÃO DA CCT]])-2,0)</f>
        <v>-</v>
      </c>
    </row>
    <row r="38" spans="1:82">
      <c r="A38" s="20" t="s">
        <v>1417</v>
      </c>
      <c r="B38" t="s">
        <v>1103</v>
      </c>
      <c r="C38" t="s">
        <v>189</v>
      </c>
      <c r="D38" t="s">
        <v>1035</v>
      </c>
      <c r="E38" s="20" t="s">
        <v>1090</v>
      </c>
      <c r="F38" s="20" t="s">
        <v>120</v>
      </c>
      <c r="G38" s="20">
        <v>8</v>
      </c>
      <c r="H38" s="20">
        <v>0</v>
      </c>
      <c r="I38" s="21">
        <f>VLOOKUP($A38,tabCustoUnit[],COLUMN(CUSTO_GLOBAL[[#Headers],[Salário Base]])-2,0)*($G38-$H38)</f>
        <v>29390.425599999999</v>
      </c>
      <c r="J38" s="21">
        <f>VLOOKUP($A38,tabCustoUnit[],COLUMN(CUSTO_GLOBAL[[#Headers],[Adicional Periculosidade]])-2,0)*($G38-$H38)</f>
        <v>0</v>
      </c>
      <c r="K38" s="21">
        <f>VLOOKUP($A38,tabCustoUnit[],COLUMN(CUSTO_GLOBAL[[#Headers],[Adicional Insalubridade]])-2,0)*($G38-$H38)</f>
        <v>2428.8000000000002</v>
      </c>
      <c r="L38" s="21">
        <f>VLOOKUP($A38,tabCustoUnit[],COLUMN(CUSTO_GLOBAL[[#Headers],[Adicional Noturno]])-2,0)*($G38-$H38)</f>
        <v>0</v>
      </c>
      <c r="M38" s="21">
        <f>VLOOKUP($A38,tabCustoUnit[],COLUMN(CUSTO_GLOBAL[[#Headers],[Adicional Motorista II (Gratificação)]])-2,0)*($G38-$H38)</f>
        <v>0</v>
      </c>
      <c r="N38" s="21">
        <f>VLOOKUP($A38,tabCustoUnit[],COLUMN(CUSTO_GLOBAL[[#Headers],[Adicional de Sobreaviso]])-2,0)*($G38-$H38)</f>
        <v>0</v>
      </c>
      <c r="O38" s="21">
        <f>VLOOKUP($A38,tabCustoUnit[],COLUMN(CUSTO_GLOBAL[[#Headers],[Horas Extras TI]])-2,0)*($G38-$H38)</f>
        <v>0</v>
      </c>
      <c r="P38" s="21">
        <f>VLOOKUP($A38,tabCustoUnit[],COLUMN(CUSTO_GLOBAL[[#Headers],[Adicional de Acúmulo de função]])-2,0)*($G38-$H38)</f>
        <v>0</v>
      </c>
      <c r="Q38" s="21">
        <f>VLOOKUP($A38,tabCustoUnit[],COLUMN(CUSTO_GLOBAL[[#Headers],[MODULO 1 - REMUNERAÇÃO ]])-2,0)*($G38-$H38)</f>
        <v>31819.225599999998</v>
      </c>
      <c r="R38" s="21">
        <f>VLOOKUP($A38,tabCustoUnit[],COLUMN(CUSTO_GLOBAL[[#Headers],[INSS]])-2,0)*($G38-$H38)</f>
        <v>6363.84512</v>
      </c>
      <c r="S38" s="21">
        <f>VLOOKUP($A38,tabCustoUnit[],COLUMN(CUSTO_GLOBAL[[#Headers],[SESI OU SESC]])-2,0)*($G38-$H38)</f>
        <v>477.28838399999995</v>
      </c>
      <c r="T38" s="21">
        <f>VLOOKUP($A38,tabCustoUnit[],COLUMN(CUSTO_GLOBAL[[#Headers],[SENAI OU SENAC]])-2,0)*($G38-$H38)</f>
        <v>318.19225599999999</v>
      </c>
      <c r="U38" s="21">
        <f>VLOOKUP($A38,tabCustoUnit[],COLUMN(CUSTO_GLOBAL[[#Headers],[INCRA]])-2,0)*($G38-$H38)</f>
        <v>63.638451199999999</v>
      </c>
      <c r="V38" s="21">
        <f>VLOOKUP($A38,tabCustoUnit[],COLUMN(CUSTO_GLOBAL[[#Headers],[Salário Educação]])-2,0)*($G38-$H38)</f>
        <v>795.48063999999999</v>
      </c>
      <c r="W38" s="21">
        <f>VLOOKUP($A38,tabCustoUnit[],COLUMN(CUSTO_GLOBAL[[#Headers],[FGTS]])-2,0)*($G38-$H38)</f>
        <v>2545.5380479999999</v>
      </c>
      <c r="X38" s="21">
        <f>VLOOKUP($A38,tabCustoUnit[],COLUMN(CUSTO_GLOBAL[[#Headers],[RAT Ajustado]])-2,0)*($G38-$H38)</f>
        <v>1272.7690239999999</v>
      </c>
      <c r="Y38" s="21">
        <f>VLOOKUP($A38,tabCustoUnit[],COLUMN(CUSTO_GLOBAL[[#Headers],[SEBRAE]])-2,0)*($G38-$H38)</f>
        <v>190.9153536</v>
      </c>
      <c r="Z38" s="21">
        <f>VLOOKUP($A38,tabCustoUnit[],COLUMN(CUSTO_GLOBAL[[#Headers],[Submódulo 2.1]])-2,0)*($G38-$H38)</f>
        <v>12027.667276799999</v>
      </c>
      <c r="AA38" s="21">
        <f>VLOOKUP($A38,tabCustoUnit[],COLUMN(CUSTO_GLOBAL[[#Headers],[13º salário (titular)]])-2,0)*($G38-$H38)</f>
        <v>2651.6021333333329</v>
      </c>
      <c r="AB38" s="21">
        <f>VLOOKUP($A38,tabCustoUnit[],COLUMN(CUSTO_GLOBAL[[#Headers],[Férias e Adicional de Férias (titular)]])-2,0)*($G38-$H38)</f>
        <v>3535.4695111111105</v>
      </c>
      <c r="AC38" s="21">
        <f>VLOOKUP($A38,tabCustoUnit[],COLUMN(CUSTO_GLOBAL[[#Headers],[Incidência do Submódulo 2.1 sobre 13º Salário, Férias e Adicional de Férias]])-2,0)*($G38-$H38)</f>
        <v>2338.7130815999994</v>
      </c>
      <c r="AD38" s="21">
        <f>VLOOKUP($A38,tabCustoUnit[],COLUMN(CUSTO_GLOBAL[[#Headers],[Submódulo 2.2]])-2,0)*($G38-$H38)</f>
        <v>8525.7847260444432</v>
      </c>
      <c r="AE38" s="22" t="e">
        <f ca="1">VLOOKUP($A38,tabCustoUnit[],COLUMN(CUSTO_GLOBAL[[#Headers],[Vale - Transporte (Descontada parcela do empregado)]])-2,0)*($G38-$H38)</f>
        <v>#NAME?</v>
      </c>
      <c r="AF38" s="22">
        <f>VLOOKUP($A38,tabCustoUnit[],COLUMN(CUSTO_GLOBAL[[#Headers],[Vale - Alimentação (Descontada parcela do empregado)]])-2,0)*($G38-$H38)</f>
        <v>4656</v>
      </c>
      <c r="AG38" s="22">
        <f>VLOOKUP($A38,tabCustoUnit[],COLUMN(CUSTO_GLOBAL[[#Headers],[Cesta Básica]])-2,0)*($G38-$H38)</f>
        <v>0</v>
      </c>
      <c r="AH38" s="22">
        <f>VLOOKUP($A38,tabCustoUnit[],COLUMN(CUSTO_GLOBAL[[#Headers],[PAF]])-2,0)*($G38-$H38)</f>
        <v>767.2</v>
      </c>
      <c r="AI38" s="22">
        <f>VLOOKUP($A38,tabCustoUnit[],COLUMN(CUSTO_GLOBAL[[#Headers],[PQM]])-2,0)*($G38-$H38)</f>
        <v>0</v>
      </c>
      <c r="AJ38" s="22">
        <v>0</v>
      </c>
      <c r="AK38" s="22">
        <f>VLOOKUP($A38,tabCustoUnit[],COLUMN(CUSTO_GLOBAL[[#Headers],[Seguro de Vida]])-2,0)*($G38-$H38)</f>
        <v>26.88</v>
      </c>
      <c r="AL38" s="22">
        <f>VLOOKUP($A38,tabCustoUnit[],COLUMN(CUSTO_GLOBAL[[#Headers],[Despesas de Viagem]])-2,0)*($G38-$H38)</f>
        <v>1616.64</v>
      </c>
      <c r="AM38" s="22" t="e">
        <f ca="1">VLOOKUP($A38,tabCustoUnit[],COLUMN(CUSTO_GLOBAL[[#Headers],[Submódulo 2.3]])-2,0)*($G38-$H38)</f>
        <v>#NAME?</v>
      </c>
      <c r="AN38" s="22" t="e">
        <f ca="1">VLOOKUP($A38,tabCustoUnit[],COLUMN(CUSTO_GLOBAL[[#Headers],[MÓDULO 2 - Total Encargos e Benefícios mensais e diários]])-2,0)*($G38-$H38)</f>
        <v>#NAME?</v>
      </c>
      <c r="AO38" s="22">
        <f>VLOOKUP($A38,tabCustoUnit[],COLUMN(CUSTO_GLOBAL[[#Headers],[Aviso Prévio Indenizado (API) e Reflexo do Aviso Prévio Indenizado]])-2,0)*($G38-$H38)</f>
        <v>223.10899524197529</v>
      </c>
      <c r="AP38" s="22">
        <f>VLOOKUP($A38,tabCustoUnit[],COLUMN(CUSTO_GLOBAL[[#Headers],[Incidência do FGTS sobre API e Reflexo do API]])-2,0)*($G38-$H38)</f>
        <v>17.848719619358025</v>
      </c>
      <c r="AQ38" s="22">
        <f>VLOOKUP($A38,tabCustoUnit[],COLUMN(CUSTO_GLOBAL[[#Headers],[Multa Rescisória do FGTS sobre o Aviso Prévio Indenizado]])-2,0)*($G38-$H38)</f>
        <v>7.1394878477432107</v>
      </c>
      <c r="AR38" s="22">
        <f>VLOOKUP($A38,tabCustoUnit[],COLUMN(CUSTO_GLOBAL[[#Headers],[Aviso Prévio Trabalhado - APT]])-2,0)*($G38-$H38)</f>
        <v>111.36728960000001</v>
      </c>
      <c r="AS38" s="22">
        <f>VLOOKUP($A38,tabCustoUnit[],COLUMN(CUSTO_GLOBAL[[#Headers],[Incidência dos encargos do submódulo 2.1 sobre Aviso Prévio Trabalhado]])-2,0)*($G38-$H38)</f>
        <v>42.096835468800009</v>
      </c>
      <c r="AT38" s="22">
        <f>VLOOKUP($A38,tabCustoUnit[],COLUMN(CUSTO_GLOBAL[[#Headers],[Multa Rescisória do FGTS]])-2,0)*($G38-$H38)</f>
        <v>972.96120945777761</v>
      </c>
      <c r="AU38" s="22">
        <f>VLOOKUP($A38,tabCustoUnit[],COLUMN(CUSTO_GLOBAL[[#Headers],[Indenização Adicional (Art. 9º da Lei nº 7.238/84)]])-2,0)*($G38-$H38)</f>
        <v>26.516021333333335</v>
      </c>
      <c r="AV38" s="22">
        <f>VLOOKUP($A38,tabCustoUnit[],COLUMN(CUSTO_GLOBAL[[#Headers],[MÓDULO 3 – PROVISÃO PARA RESCISÃO]])-2,0)*($G38-$H38)</f>
        <v>1401.0385585689876</v>
      </c>
      <c r="AW38" s="22">
        <f>VLOOKUP($A38,tabCustoUnit[],COLUMN(CUSTO_GLOBAL[[#Headers],[Ausência por Doença]])-2,0)*($G38-$H38)</f>
        <v>268.69568284444438</v>
      </c>
      <c r="AX38" s="22">
        <f>VLOOKUP($A38,tabCustoUnit[],COLUMN(CUSTO_GLOBAL[[#Headers],[Ausências Legais]])-2,0)*($G38-$H38)</f>
        <v>64.522318577777767</v>
      </c>
      <c r="AY38" s="22">
        <f>VLOOKUP($A38,tabCustoUnit[],COLUMN(CUSTO_GLOBAL[[#Headers],[Licença Paternidade]])-2,0)*($G38-$H38)</f>
        <v>5.4357843733333331</v>
      </c>
      <c r="AZ38" s="22">
        <f>VLOOKUP($A38,tabCustoUnit[],COLUMN(CUSTO_GLOBAL[[#Headers],[Ausência por Acidente de Trabalho]])-2,0)*($G38-$H38)</f>
        <v>6.6290053333333336</v>
      </c>
      <c r="BA38" s="22">
        <f>VLOOKUP($A38,tabCustoUnit[],COLUMN(CUSTO_GLOBAL[[#Headers],[Férias, Adicional de Férias e 13º  com empregada em gozo de Licença Maternidade]])-2,0)*($G38-$H38)</f>
        <v>41.247144296296291</v>
      </c>
      <c r="BB38" s="22">
        <f>VLOOKUP($A38,tabCustoUnit[],COLUMN(CUSTO_GLOBAL[[#Headers],[Incidência do Submódulo 2.1 sobre Ausências Legais]])-2,0)*($G38-$H38)</f>
        <v>146.10831559072003</v>
      </c>
      <c r="BC38" s="22">
        <f>VLOOKUP($A38,tabCustoUnit[],COLUMN(CUSTO_GLOBAL[[#Headers],[Submódulo 4.1]])-2,0)*($G38-$H38)</f>
        <v>532.6382510159051</v>
      </c>
      <c r="BD38" s="22">
        <f>VLOOKUP($A38,tabCustoUnit[],COLUMN(CUSTO_GLOBAL[[#Headers],[Intervalo para Repouso ou Alimentação]])-2,0)*($G38-$H38)</f>
        <v>0</v>
      </c>
      <c r="BE38" s="22">
        <f>VLOOKUP($A38,tabCustoUnit[],COLUMN(CUSTO_GLOBAL[[#Headers],[Submódulo 4.2]])-2,0)*($G38-$H38)</f>
        <v>0</v>
      </c>
      <c r="BF38" s="22">
        <f>VLOOKUP($A38,tabCustoUnit[],COLUMN(CUSTO_GLOBAL[[#Headers],[Suspensão Temporária do Contrato de Trabalho]])-2,0)*($G38-$H38)</f>
        <v>0</v>
      </c>
      <c r="BG38" s="22">
        <f>VLOOKUP($A38,tabCustoUnit[],COLUMN(CUSTO_GLOBAL[[#Headers],[Submódulo 4.3]])-2,0)*($G38-$H38)</f>
        <v>0</v>
      </c>
      <c r="BH38" s="22">
        <f>VLOOKUP($A38,tabCustoUnit[],COLUMN(CUSTO_GLOBAL[[#Headers],[MÓDULO 4 – CUSTO DE REPOSIÇÃO DO PROFISSIONAL AUSENTE]])-2,0)*($G38-$H38)</f>
        <v>532.6382510159051</v>
      </c>
      <c r="BI38" s="22">
        <f>VLOOKUP($A38,tabCustoUnit[],COLUMN(CUSTO_GLOBAL[[#Headers],[Uniformes e EPIs]])-2,0)*($G38-$H38)</f>
        <v>5278.8401311537291</v>
      </c>
      <c r="BJ38" s="22">
        <f>VLOOKUP($A38,tabCustoUnit[],COLUMN(CUSTO_GLOBAL[[#Headers],[Materiais de Consumo]])-2,0)*($G38-$H38)</f>
        <v>0</v>
      </c>
      <c r="BK38" s="22">
        <f>VLOOKUP($A38,tabCustoUnit[],COLUMN(CUSTO_GLOBAL[[#Headers],[Máquinas e Equipamentos (depreciação)]])-2,0)*($G38-$H38)</f>
        <v>0</v>
      </c>
      <c r="BL38" s="22">
        <f>VLOOKUP($A38,tabCustoUnit[],COLUMN(CUSTO_GLOBAL[[#Headers],[Produtos de Limpeza e Materiais de Higiene Pessoal]])-2,0)*($G38-$H38)</f>
        <v>0</v>
      </c>
      <c r="BM38" s="22">
        <f>VLOOKUP($A38,tabCustoUnit[],COLUMN(CUSTO_GLOBAL[[#Headers],[Outros (especificar)]])-2,0)*($G38-$H38)</f>
        <v>0</v>
      </c>
      <c r="BN38" s="22">
        <f>VLOOKUP($A38,tabCustoUnit[],COLUMN(CUSTO_GLOBAL[[#Headers],[MÓDULO 5 – INSUMOS DIVERSOS]])-2,0)*($G38-$H38)</f>
        <v>5278.8401311537291</v>
      </c>
      <c r="BO38" s="22" t="e">
        <f ca="1">VLOOKUP($A38,tabCustoUnit[],COLUMN(CUSTO_GLOBAL[[#Headers],[TOTAL MÓDULOS 1+2+3+4+5]])-2,0)*($G38-$H38)</f>
        <v>#NAME?</v>
      </c>
      <c r="BP38" s="22" t="e">
        <f ca="1">VLOOKUP($A38,tabCustoUnit[],COLUMN(CUSTO_GLOBAL[[#Headers],[Custos Indiretos]])-2,0)*($G38-$H38)</f>
        <v>#NAME?</v>
      </c>
      <c r="BQ38" s="22" t="e">
        <f ca="1">VLOOKUP($A38,tabCustoUnit[],COLUMN(CUSTO_GLOBAL[[#Headers],[Lucro]])-2,0)*($G38-$H38)</f>
        <v>#NAME?</v>
      </c>
      <c r="BR38" s="26">
        <f>VLOOKUP($A38,tabCustoUnit[],COLUMN(CUSTO_GLOBAL[[#Headers],[COFINS]])-2,0)</f>
        <v>8.8629737609329504E-2</v>
      </c>
      <c r="BS38" s="26">
        <f>VLOOKUP($A38,tabCustoUnit[],COLUMN(CUSTO_GLOBAL[[#Headers],[PIS]])-2,0)</f>
        <v>1.9241982507288629E-2</v>
      </c>
      <c r="BT38" s="28">
        <f>VLOOKUP($A38,tabCustoUnit[],COLUMN(CUSTO_GLOBAL[[#Headers],[ISS]])-2,0)</f>
        <v>0.05</v>
      </c>
      <c r="BU38" s="26">
        <f>VLOOKUP($A38,tabCustoUnit[],COLUMN(CUSTO_GLOBAL[[#Headers],[ISS (Conversão Alíquota s/ fatura)]])-2,0)</f>
        <v>5.8309037900874633E-2</v>
      </c>
      <c r="BV38" s="26">
        <f>VLOOKUP($A38,tabCustoUnit[],COLUMN(CUSTO_GLOBAL[[#Headers],[Resumo de Alíquotas (PIS+CONFINS+ISS)]])-2,0)</f>
        <v>0.14250000000000002</v>
      </c>
      <c r="BW38" s="138">
        <f>VLOOKUP($A38,tabCustoUnit[],COLUMN(CUSTO_GLOBAL[[#Headers],[PIS + COFINS + ISS (Total Conversão  Alíquota s/ Fatura)]])-2,0)</f>
        <v>0.16618075801749277</v>
      </c>
      <c r="BX38" s="22" t="e">
        <f ca="1">VLOOKUP($A38,tabCustoUnit[],COLUMN(CUSTO_GLOBAL[[#Headers],[Valor dos Tributos (ISS, PIS, CONFINS)]])-2,0)*($G38-$H38)</f>
        <v>#NAME?</v>
      </c>
      <c r="BY38" s="22" t="e">
        <f ca="1">VLOOKUP($A38,tabCustoUnit[],COLUMN(CUSTO_GLOBAL[[#Headers],[MÓDULO 6 – CUSTOS INDIRETOS, TRIBUTOS E LUCRO]])-2,0)*($G38-$H38)</f>
        <v>#NAME?</v>
      </c>
      <c r="BZ38" s="22" t="e">
        <f ca="1">VLOOKUP($A38,tabCustoUnit[],COLUMN(CUSTO_GLOBAL[[#Headers],[CUSTO TOTAL MENSAL]])-2,0)*($G38-$H38)</f>
        <v>#NAME?</v>
      </c>
      <c r="CA38" s="22" t="e">
        <f ca="1">CUSTO_GLOBAL[[#This Row],[CUSTO TOTAL MENSAL]]*12</f>
        <v>#NAME?</v>
      </c>
      <c r="CB38" s="24">
        <f>VLOOKUP($A38,tabCustoUnit[],COLUMN(CUSTO_GLOBAL[[#Headers],[ANO DA CCT]])-2,0)</f>
        <v>45658</v>
      </c>
      <c r="CC38" s="25" t="str">
        <f>VLOOKUP($A38,tabCustoUnit[],COLUMN(CUSTO_GLOBAL[[#Headers],[Nº DE PEDIDO DA CCT]])-2,0)</f>
        <v>-</v>
      </c>
      <c r="CD38" s="25" t="str">
        <f>VLOOKUP($A38,tabCustoUnit[],COLUMN(CUSTO_GLOBAL[[#Headers],[TERMO ADITIVO ALTERAÇÃO DA CCT]])-2,0)</f>
        <v>-</v>
      </c>
    </row>
    <row r="39" spans="1:82">
      <c r="A39" s="20" t="s">
        <v>1418</v>
      </c>
      <c r="B39" t="s">
        <v>1103</v>
      </c>
      <c r="C39" t="s">
        <v>195</v>
      </c>
      <c r="D39" t="s">
        <v>1035</v>
      </c>
      <c r="E39" s="20" t="s">
        <v>1090</v>
      </c>
      <c r="F39" s="20" t="s">
        <v>120</v>
      </c>
      <c r="G39" s="20">
        <v>20</v>
      </c>
      <c r="H39" s="20">
        <v>0</v>
      </c>
      <c r="I39" s="21">
        <f>VLOOKUP($A39,tabCustoUnit[],COLUMN(CUSTO_GLOBAL[[#Headers],[Salário Base]])-2,0)*($G39-$H39)</f>
        <v>32982.305999999997</v>
      </c>
      <c r="J39" s="21">
        <f>VLOOKUP($A39,tabCustoUnit[],COLUMN(CUSTO_GLOBAL[[#Headers],[Adicional Periculosidade]])-2,0)*($G39-$H39)</f>
        <v>0</v>
      </c>
      <c r="K39" s="21">
        <f>VLOOKUP($A39,tabCustoUnit[],COLUMN(CUSTO_GLOBAL[[#Headers],[Adicional Insalubridade]])-2,0)*($G39-$H39)</f>
        <v>0</v>
      </c>
      <c r="L39" s="21">
        <f>VLOOKUP($A39,tabCustoUnit[],COLUMN(CUSTO_GLOBAL[[#Headers],[Adicional Noturno]])-2,0)*($G39-$H39)</f>
        <v>0</v>
      </c>
      <c r="M39" s="21">
        <f>VLOOKUP($A39,tabCustoUnit[],COLUMN(CUSTO_GLOBAL[[#Headers],[Adicional Motorista II (Gratificação)]])-2,0)*($G39-$H39)</f>
        <v>0</v>
      </c>
      <c r="N39" s="21">
        <f>VLOOKUP($A39,tabCustoUnit[],COLUMN(CUSTO_GLOBAL[[#Headers],[Adicional de Sobreaviso]])-2,0)*($G39-$H39)</f>
        <v>0</v>
      </c>
      <c r="O39" s="21">
        <f>VLOOKUP($A39,tabCustoUnit[],COLUMN(CUSTO_GLOBAL[[#Headers],[Horas Extras TI]])-2,0)*($G39-$H39)</f>
        <v>0</v>
      </c>
      <c r="P39" s="21">
        <f>VLOOKUP($A39,tabCustoUnit[],COLUMN(CUSTO_GLOBAL[[#Headers],[Adicional de Acúmulo de função]])-2,0)*($G39-$H39)</f>
        <v>0</v>
      </c>
      <c r="Q39" s="21">
        <f>VLOOKUP($A39,tabCustoUnit[],COLUMN(CUSTO_GLOBAL[[#Headers],[MODULO 1 - REMUNERAÇÃO ]])-2,0)*($G39-$H39)</f>
        <v>32982.305999999997</v>
      </c>
      <c r="R39" s="21">
        <f>VLOOKUP($A39,tabCustoUnit[],COLUMN(CUSTO_GLOBAL[[#Headers],[INSS]])-2,0)*($G39-$H39)</f>
        <v>6596.4611999999997</v>
      </c>
      <c r="S39" s="21">
        <f>VLOOKUP($A39,tabCustoUnit[],COLUMN(CUSTO_GLOBAL[[#Headers],[SESI OU SESC]])-2,0)*($G39-$H39)</f>
        <v>494.73458999999997</v>
      </c>
      <c r="T39" s="21">
        <f>VLOOKUP($A39,tabCustoUnit[],COLUMN(CUSTO_GLOBAL[[#Headers],[SENAI OU SENAC]])-2,0)*($G39-$H39)</f>
        <v>329.82306</v>
      </c>
      <c r="U39" s="21">
        <f>VLOOKUP($A39,tabCustoUnit[],COLUMN(CUSTO_GLOBAL[[#Headers],[INCRA]])-2,0)*($G39-$H39)</f>
        <v>65.964612000000002</v>
      </c>
      <c r="V39" s="21">
        <f>VLOOKUP($A39,tabCustoUnit[],COLUMN(CUSTO_GLOBAL[[#Headers],[Salário Educação]])-2,0)*($G39-$H39)</f>
        <v>824.55764999999997</v>
      </c>
      <c r="W39" s="21">
        <f>VLOOKUP($A39,tabCustoUnit[],COLUMN(CUSTO_GLOBAL[[#Headers],[FGTS]])-2,0)*($G39-$H39)</f>
        <v>2638.58448</v>
      </c>
      <c r="X39" s="21">
        <f>VLOOKUP($A39,tabCustoUnit[],COLUMN(CUSTO_GLOBAL[[#Headers],[RAT Ajustado]])-2,0)*($G39-$H39)</f>
        <v>1319.29224</v>
      </c>
      <c r="Y39" s="21">
        <f>VLOOKUP($A39,tabCustoUnit[],COLUMN(CUSTO_GLOBAL[[#Headers],[SEBRAE]])-2,0)*($G39-$H39)</f>
        <v>197.89383600000002</v>
      </c>
      <c r="Z39" s="21">
        <f>VLOOKUP($A39,tabCustoUnit[],COLUMN(CUSTO_GLOBAL[[#Headers],[Submódulo 2.1]])-2,0)*($G39-$H39)</f>
        <v>12467.311668000002</v>
      </c>
      <c r="AA39" s="21">
        <f>VLOOKUP($A39,tabCustoUnit[],COLUMN(CUSTO_GLOBAL[[#Headers],[13º salário (titular)]])-2,0)*($G39-$H39)</f>
        <v>2748.5254999999997</v>
      </c>
      <c r="AB39" s="21">
        <f>VLOOKUP($A39,tabCustoUnit[],COLUMN(CUSTO_GLOBAL[[#Headers],[Férias e Adicional de Férias (titular)]])-2,0)*($G39-$H39)</f>
        <v>3664.7006666666666</v>
      </c>
      <c r="AC39" s="21">
        <f>VLOOKUP($A39,tabCustoUnit[],COLUMN(CUSTO_GLOBAL[[#Headers],[Incidência do Submódulo 2.1 sobre 13º Salário, Férias e Adicional de Férias]])-2,0)*($G39-$H39)</f>
        <v>2424.1994909999999</v>
      </c>
      <c r="AD39" s="21">
        <f>VLOOKUP($A39,tabCustoUnit[],COLUMN(CUSTO_GLOBAL[[#Headers],[Submódulo 2.2]])-2,0)*($G39-$H39)</f>
        <v>8837.4256576666648</v>
      </c>
      <c r="AE39" s="22" t="e">
        <f ca="1">VLOOKUP($A39,tabCustoUnit[],COLUMN(CUSTO_GLOBAL[[#Headers],[Vale - Transporte (Descontada parcela do empregado)]])-2,0)*($G39-$H39)</f>
        <v>#NAME?</v>
      </c>
      <c r="AF39" s="22">
        <f>VLOOKUP($A39,tabCustoUnit[],COLUMN(CUSTO_GLOBAL[[#Headers],[Vale - Alimentação (Descontada parcela do empregado)]])-2,0)*($G39-$H39)</f>
        <v>11640</v>
      </c>
      <c r="AG39" s="22">
        <f>VLOOKUP($A39,tabCustoUnit[],COLUMN(CUSTO_GLOBAL[[#Headers],[Cesta Básica]])-2,0)*($G39-$H39)</f>
        <v>0</v>
      </c>
      <c r="AH39" s="22">
        <f>VLOOKUP($A39,tabCustoUnit[],COLUMN(CUSTO_GLOBAL[[#Headers],[PAF]])-2,0)*($G39-$H39)</f>
        <v>1918</v>
      </c>
      <c r="AI39" s="22">
        <f>VLOOKUP($A39,tabCustoUnit[],COLUMN(CUSTO_GLOBAL[[#Headers],[PQM]])-2,0)*($G39-$H39)</f>
        <v>0</v>
      </c>
      <c r="AJ39" s="22">
        <v>0</v>
      </c>
      <c r="AK39" s="22">
        <f>VLOOKUP($A39,tabCustoUnit[],COLUMN(CUSTO_GLOBAL[[#Headers],[Seguro de Vida]])-2,0)*($G39-$H39)</f>
        <v>67.2</v>
      </c>
      <c r="AL39" s="22">
        <f>VLOOKUP($A39,tabCustoUnit[],COLUMN(CUSTO_GLOBAL[[#Headers],[Despesas de Viagem]])-2,0)*($G39-$H39)</f>
        <v>4041.6000000000004</v>
      </c>
      <c r="AM39" s="22" t="e">
        <f ca="1">VLOOKUP($A39,tabCustoUnit[],COLUMN(CUSTO_GLOBAL[[#Headers],[Submódulo 2.3]])-2,0)*($G39-$H39)</f>
        <v>#NAME?</v>
      </c>
      <c r="AN39" s="22" t="e">
        <f ca="1">VLOOKUP($A39,tabCustoUnit[],COLUMN(CUSTO_GLOBAL[[#Headers],[MÓDULO 2 - Total Encargos e Benefícios mensais e diários]])-2,0)*($G39-$H39)</f>
        <v>#NAME?</v>
      </c>
      <c r="AO39" s="22">
        <f>VLOOKUP($A39,tabCustoUnit[],COLUMN(CUSTO_GLOBAL[[#Headers],[Aviso Prévio Indenizado (API) e Reflexo do Aviso Prévio Indenizado]])-2,0)*($G39-$H39)</f>
        <v>231.26424398032407</v>
      </c>
      <c r="AP39" s="22">
        <f>VLOOKUP($A39,tabCustoUnit[],COLUMN(CUSTO_GLOBAL[[#Headers],[Incidência do FGTS sobre API e Reflexo do API]])-2,0)*($G39-$H39)</f>
        <v>18.501139518425926</v>
      </c>
      <c r="AQ39" s="22">
        <f>VLOOKUP($A39,tabCustoUnit[],COLUMN(CUSTO_GLOBAL[[#Headers],[Multa Rescisória do FGTS sobre o Aviso Prévio Indenizado]])-2,0)*($G39-$H39)</f>
        <v>7.4004558073703723</v>
      </c>
      <c r="AR39" s="22">
        <f>VLOOKUP($A39,tabCustoUnit[],COLUMN(CUSTO_GLOBAL[[#Headers],[Aviso Prévio Trabalhado - APT]])-2,0)*($G39-$H39)</f>
        <v>115.43807100000001</v>
      </c>
      <c r="AS39" s="22">
        <f>VLOOKUP($A39,tabCustoUnit[],COLUMN(CUSTO_GLOBAL[[#Headers],[Incidência dos encargos do submódulo 2.1 sobre Aviso Prévio Trabalhado]])-2,0)*($G39-$H39)</f>
        <v>43.635590838000013</v>
      </c>
      <c r="AT39" s="22">
        <f>VLOOKUP($A39,tabCustoUnit[],COLUMN(CUSTO_GLOBAL[[#Headers],[Multa Rescisória do FGTS]])-2,0)*($G39-$H39)</f>
        <v>1008.5256234666665</v>
      </c>
      <c r="AU39" s="22">
        <f>VLOOKUP($A39,tabCustoUnit[],COLUMN(CUSTO_GLOBAL[[#Headers],[Indenização Adicional (Art. 9º da Lei nº 7.238/84)]])-2,0)*($G39-$H39)</f>
        <v>27.485254999999999</v>
      </c>
      <c r="AV39" s="22">
        <f>VLOOKUP($A39,tabCustoUnit[],COLUMN(CUSTO_GLOBAL[[#Headers],[MÓDULO 3 – PROVISÃO PARA RESCISÃO]])-2,0)*($G39-$H39)</f>
        <v>1452.2503796107867</v>
      </c>
      <c r="AW39" s="22">
        <f>VLOOKUP($A39,tabCustoUnit[],COLUMN(CUSTO_GLOBAL[[#Headers],[Ausência por Doença]])-2,0)*($G39-$H39)</f>
        <v>278.51725066666665</v>
      </c>
      <c r="AX39" s="22">
        <f>VLOOKUP($A39,tabCustoUnit[],COLUMN(CUSTO_GLOBAL[[#Headers],[Ausências Legais]])-2,0)*($G39-$H39)</f>
        <v>66.880787166666664</v>
      </c>
      <c r="AY39" s="22">
        <f>VLOOKUP($A39,tabCustoUnit[],COLUMN(CUSTO_GLOBAL[[#Headers],[Licença Paternidade]])-2,0)*($G39-$H39)</f>
        <v>5.6344772749999992</v>
      </c>
      <c r="AZ39" s="22">
        <f>VLOOKUP($A39,tabCustoUnit[],COLUMN(CUSTO_GLOBAL[[#Headers],[Ausência por Acidente de Trabalho]])-2,0)*($G39-$H39)</f>
        <v>6.8713137499999997</v>
      </c>
      <c r="BA39" s="22">
        <f>VLOOKUP($A39,tabCustoUnit[],COLUMN(CUSTO_GLOBAL[[#Headers],[Férias, Adicional de Férias e 13º  com empregada em gozo de Licença Maternidade]])-2,0)*($G39-$H39)</f>
        <v>42.754841111111112</v>
      </c>
      <c r="BB39" s="22">
        <f>VLOOKUP($A39,tabCustoUnit[],COLUMN(CUSTO_GLOBAL[[#Headers],[Incidência do Submódulo 2.1 sobre Ausências Legais]])-2,0)*($G39-$H39)</f>
        <v>151.44897724845003</v>
      </c>
      <c r="BC39" s="22">
        <f>VLOOKUP($A39,tabCustoUnit[],COLUMN(CUSTO_GLOBAL[[#Headers],[Submódulo 4.1]])-2,0)*($G39-$H39)</f>
        <v>552.1076472178944</v>
      </c>
      <c r="BD39" s="22">
        <f>VLOOKUP($A39,tabCustoUnit[],COLUMN(CUSTO_GLOBAL[[#Headers],[Intervalo para Repouso ou Alimentação]])-2,0)*($G39-$H39)</f>
        <v>0</v>
      </c>
      <c r="BE39" s="22">
        <f>VLOOKUP($A39,tabCustoUnit[],COLUMN(CUSTO_GLOBAL[[#Headers],[Submódulo 4.2]])-2,0)*($G39-$H39)</f>
        <v>0</v>
      </c>
      <c r="BF39" s="22">
        <f>VLOOKUP($A39,tabCustoUnit[],COLUMN(CUSTO_GLOBAL[[#Headers],[Suspensão Temporária do Contrato de Trabalho]])-2,0)*($G39-$H39)</f>
        <v>0</v>
      </c>
      <c r="BG39" s="22">
        <f>VLOOKUP($A39,tabCustoUnit[],COLUMN(CUSTO_GLOBAL[[#Headers],[Submódulo 4.3]])-2,0)*($G39-$H39)</f>
        <v>0</v>
      </c>
      <c r="BH39" s="22">
        <f>VLOOKUP($A39,tabCustoUnit[],COLUMN(CUSTO_GLOBAL[[#Headers],[MÓDULO 4 – CUSTO DE REPOSIÇÃO DO PROFISSIONAL AUSENTE]])-2,0)*($G39-$H39)</f>
        <v>552.1076472178944</v>
      </c>
      <c r="BI39" s="22">
        <f>VLOOKUP($A39,tabCustoUnit[],COLUMN(CUSTO_GLOBAL[[#Headers],[Uniformes e EPIs]])-2,0)*($G39-$H39)</f>
        <v>2033.5738688634308</v>
      </c>
      <c r="BJ39" s="22">
        <f>VLOOKUP($A39,tabCustoUnit[],COLUMN(CUSTO_GLOBAL[[#Headers],[Materiais de Consumo]])-2,0)*($G39-$H39)</f>
        <v>0</v>
      </c>
      <c r="BK39" s="22">
        <f>VLOOKUP($A39,tabCustoUnit[],COLUMN(CUSTO_GLOBAL[[#Headers],[Máquinas e Equipamentos (depreciação)]])-2,0)*($G39-$H39)</f>
        <v>0</v>
      </c>
      <c r="BL39" s="22">
        <f>VLOOKUP($A39,tabCustoUnit[],COLUMN(CUSTO_GLOBAL[[#Headers],[Produtos de Limpeza e Materiais de Higiene Pessoal]])-2,0)*($G39-$H39)</f>
        <v>0</v>
      </c>
      <c r="BM39" s="22">
        <f>VLOOKUP($A39,tabCustoUnit[],COLUMN(CUSTO_GLOBAL[[#Headers],[Outros (especificar)]])-2,0)*($G39-$H39)</f>
        <v>0</v>
      </c>
      <c r="BN39" s="22">
        <f>VLOOKUP($A39,tabCustoUnit[],COLUMN(CUSTO_GLOBAL[[#Headers],[MÓDULO 5 – INSUMOS DIVERSOS]])-2,0)*($G39-$H39)</f>
        <v>2033.5738688634308</v>
      </c>
      <c r="BO39" s="22" t="e">
        <f ca="1">VLOOKUP($A39,tabCustoUnit[],COLUMN(CUSTO_GLOBAL[[#Headers],[TOTAL MÓDULOS 1+2+3+4+5]])-2,0)*($G39-$H39)</f>
        <v>#NAME?</v>
      </c>
      <c r="BP39" s="22" t="e">
        <f ca="1">VLOOKUP($A39,tabCustoUnit[],COLUMN(CUSTO_GLOBAL[[#Headers],[Custos Indiretos]])-2,0)*($G39-$H39)</f>
        <v>#NAME?</v>
      </c>
      <c r="BQ39" s="22" t="e">
        <f ca="1">VLOOKUP($A39,tabCustoUnit[],COLUMN(CUSTO_GLOBAL[[#Headers],[Lucro]])-2,0)*($G39-$H39)</f>
        <v>#NAME?</v>
      </c>
      <c r="BR39" s="26">
        <f>VLOOKUP($A39,tabCustoUnit[],COLUMN(CUSTO_GLOBAL[[#Headers],[COFINS]])-2,0)</f>
        <v>8.8629737609329504E-2</v>
      </c>
      <c r="BS39" s="26">
        <f>VLOOKUP($A39,tabCustoUnit[],COLUMN(CUSTO_GLOBAL[[#Headers],[PIS]])-2,0)</f>
        <v>1.9241982507288629E-2</v>
      </c>
      <c r="BT39" s="28">
        <f>VLOOKUP($A39,tabCustoUnit[],COLUMN(CUSTO_GLOBAL[[#Headers],[ISS]])-2,0)</f>
        <v>0.05</v>
      </c>
      <c r="BU39" s="26">
        <f>VLOOKUP($A39,tabCustoUnit[],COLUMN(CUSTO_GLOBAL[[#Headers],[ISS (Conversão Alíquota s/ fatura)]])-2,0)</f>
        <v>5.8309037900874633E-2</v>
      </c>
      <c r="BV39" s="26">
        <f>VLOOKUP($A39,tabCustoUnit[],COLUMN(CUSTO_GLOBAL[[#Headers],[Resumo de Alíquotas (PIS+CONFINS+ISS)]])-2,0)</f>
        <v>0.14250000000000002</v>
      </c>
      <c r="BW39" s="138">
        <f>VLOOKUP($A39,tabCustoUnit[],COLUMN(CUSTO_GLOBAL[[#Headers],[PIS + COFINS + ISS (Total Conversão  Alíquota s/ Fatura)]])-2,0)</f>
        <v>0.16618075801749277</v>
      </c>
      <c r="BX39" s="22" t="e">
        <f ca="1">VLOOKUP($A39,tabCustoUnit[],COLUMN(CUSTO_GLOBAL[[#Headers],[Valor dos Tributos (ISS, PIS, CONFINS)]])-2,0)*($G39-$H39)</f>
        <v>#NAME?</v>
      </c>
      <c r="BY39" s="22" t="e">
        <f ca="1">VLOOKUP($A39,tabCustoUnit[],COLUMN(CUSTO_GLOBAL[[#Headers],[MÓDULO 6 – CUSTOS INDIRETOS, TRIBUTOS E LUCRO]])-2,0)*($G39-$H39)</f>
        <v>#NAME?</v>
      </c>
      <c r="BZ39" s="22" t="e">
        <f ca="1">VLOOKUP($A39,tabCustoUnit[],COLUMN(CUSTO_GLOBAL[[#Headers],[CUSTO TOTAL MENSAL]])-2,0)*($G39-$H39)</f>
        <v>#NAME?</v>
      </c>
      <c r="CA39" s="22" t="e">
        <f ca="1">CUSTO_GLOBAL[[#This Row],[CUSTO TOTAL MENSAL]]*12</f>
        <v>#NAME?</v>
      </c>
      <c r="CB39" s="24">
        <f>VLOOKUP($A39,tabCustoUnit[],COLUMN(CUSTO_GLOBAL[[#Headers],[ANO DA CCT]])-2,0)</f>
        <v>45658</v>
      </c>
      <c r="CC39" s="25" t="str">
        <f>VLOOKUP($A39,tabCustoUnit[],COLUMN(CUSTO_GLOBAL[[#Headers],[Nº DE PEDIDO DA CCT]])-2,0)</f>
        <v>-</v>
      </c>
      <c r="CD39" s="25" t="str">
        <f>VLOOKUP($A39,tabCustoUnit[],COLUMN(CUSTO_GLOBAL[[#Headers],[TERMO ADITIVO ALTERAÇÃO DA CCT]])-2,0)</f>
        <v>-</v>
      </c>
    </row>
    <row r="40" spans="1:82">
      <c r="A40" s="20" t="s">
        <v>1419</v>
      </c>
      <c r="B40" t="s">
        <v>1103</v>
      </c>
      <c r="C40" t="s">
        <v>200</v>
      </c>
      <c r="D40" t="s">
        <v>1035</v>
      </c>
      <c r="E40" s="20" t="s">
        <v>1090</v>
      </c>
      <c r="F40" s="20" t="s">
        <v>120</v>
      </c>
      <c r="G40" s="20">
        <v>45</v>
      </c>
      <c r="H40" s="20">
        <v>0</v>
      </c>
      <c r="I40" s="21">
        <f>VLOOKUP($A40,tabCustoUnit[],COLUMN(CUSTO_GLOBAL[[#Headers],[Salário Base]])-2,0)*($G40-$H40)</f>
        <v>74210.188500000004</v>
      </c>
      <c r="J40" s="21">
        <f>VLOOKUP($A40,tabCustoUnit[],COLUMN(CUSTO_GLOBAL[[#Headers],[Adicional Periculosidade]])-2,0)*($G40-$H40)</f>
        <v>0</v>
      </c>
      <c r="K40" s="21">
        <f>VLOOKUP($A40,tabCustoUnit[],COLUMN(CUSTO_GLOBAL[[#Headers],[Adicional Insalubridade]])-2,0)*($G40-$H40)</f>
        <v>0</v>
      </c>
      <c r="L40" s="21">
        <f>VLOOKUP($A40,tabCustoUnit[],COLUMN(CUSTO_GLOBAL[[#Headers],[Adicional Noturno]])-2,0)*($G40-$H40)</f>
        <v>0</v>
      </c>
      <c r="M40" s="21">
        <f>VLOOKUP($A40,tabCustoUnit[],COLUMN(CUSTO_GLOBAL[[#Headers],[Adicional Motorista II (Gratificação)]])-2,0)*($G40-$H40)</f>
        <v>0</v>
      </c>
      <c r="N40" s="21">
        <f>VLOOKUP($A40,tabCustoUnit[],COLUMN(CUSTO_GLOBAL[[#Headers],[Adicional de Sobreaviso]])-2,0)*($G40-$H40)</f>
        <v>0</v>
      </c>
      <c r="O40" s="21">
        <f>VLOOKUP($A40,tabCustoUnit[],COLUMN(CUSTO_GLOBAL[[#Headers],[Horas Extras TI]])-2,0)*($G40-$H40)</f>
        <v>0</v>
      </c>
      <c r="P40" s="21">
        <f>VLOOKUP($A40,tabCustoUnit[],COLUMN(CUSTO_GLOBAL[[#Headers],[Adicional de Acúmulo de função]])-2,0)*($G40-$H40)</f>
        <v>0</v>
      </c>
      <c r="Q40" s="21">
        <f>VLOOKUP($A40,tabCustoUnit[],COLUMN(CUSTO_GLOBAL[[#Headers],[MODULO 1 - REMUNERAÇÃO ]])-2,0)*($G40-$H40)</f>
        <v>74210.188500000004</v>
      </c>
      <c r="R40" s="21">
        <f>VLOOKUP($A40,tabCustoUnit[],COLUMN(CUSTO_GLOBAL[[#Headers],[INSS]])-2,0)*($G40-$H40)</f>
        <v>14842.037700000001</v>
      </c>
      <c r="S40" s="21">
        <f>VLOOKUP($A40,tabCustoUnit[],COLUMN(CUSTO_GLOBAL[[#Headers],[SESI OU SESC]])-2,0)*($G40-$H40)</f>
        <v>1113.1528275000001</v>
      </c>
      <c r="T40" s="21">
        <f>VLOOKUP($A40,tabCustoUnit[],COLUMN(CUSTO_GLOBAL[[#Headers],[SENAI OU SENAC]])-2,0)*($G40-$H40)</f>
        <v>742.10188500000004</v>
      </c>
      <c r="U40" s="21">
        <f>VLOOKUP($A40,tabCustoUnit[],COLUMN(CUSTO_GLOBAL[[#Headers],[INCRA]])-2,0)*($G40-$H40)</f>
        <v>148.420377</v>
      </c>
      <c r="V40" s="21">
        <f>VLOOKUP($A40,tabCustoUnit[],COLUMN(CUSTO_GLOBAL[[#Headers],[Salário Educação]])-2,0)*($G40-$H40)</f>
        <v>1855.2547125000001</v>
      </c>
      <c r="W40" s="21">
        <f>VLOOKUP($A40,tabCustoUnit[],COLUMN(CUSTO_GLOBAL[[#Headers],[FGTS]])-2,0)*($G40-$H40)</f>
        <v>5936.8150800000003</v>
      </c>
      <c r="X40" s="21">
        <f>VLOOKUP($A40,tabCustoUnit[],COLUMN(CUSTO_GLOBAL[[#Headers],[RAT Ajustado]])-2,0)*($G40-$H40)</f>
        <v>2968.4075400000002</v>
      </c>
      <c r="Y40" s="21">
        <f>VLOOKUP($A40,tabCustoUnit[],COLUMN(CUSTO_GLOBAL[[#Headers],[SEBRAE]])-2,0)*($G40-$H40)</f>
        <v>445.26113100000003</v>
      </c>
      <c r="Z40" s="21">
        <f>VLOOKUP($A40,tabCustoUnit[],COLUMN(CUSTO_GLOBAL[[#Headers],[Submódulo 2.1]])-2,0)*($G40-$H40)</f>
        <v>28051.451253000007</v>
      </c>
      <c r="AA40" s="21">
        <f>VLOOKUP($A40,tabCustoUnit[],COLUMN(CUSTO_GLOBAL[[#Headers],[13º salário (titular)]])-2,0)*($G40-$H40)</f>
        <v>6184.1823749999985</v>
      </c>
      <c r="AB40" s="21">
        <f>VLOOKUP($A40,tabCustoUnit[],COLUMN(CUSTO_GLOBAL[[#Headers],[Férias e Adicional de Férias (titular)]])-2,0)*($G40-$H40)</f>
        <v>8245.5764999999992</v>
      </c>
      <c r="AC40" s="21">
        <f>VLOOKUP($A40,tabCustoUnit[],COLUMN(CUSTO_GLOBAL[[#Headers],[Incidência do Submódulo 2.1 sobre 13º Salário, Férias e Adicional de Férias]])-2,0)*($G40-$H40)</f>
        <v>5454.4488547499996</v>
      </c>
      <c r="AD40" s="21">
        <f>VLOOKUP($A40,tabCustoUnit[],COLUMN(CUSTO_GLOBAL[[#Headers],[Submódulo 2.2]])-2,0)*($G40-$H40)</f>
        <v>19884.207729749996</v>
      </c>
      <c r="AE40" s="22" t="e">
        <f ca="1">VLOOKUP($A40,tabCustoUnit[],COLUMN(CUSTO_GLOBAL[[#Headers],[Vale - Transporte (Descontada parcela do empregado)]])-2,0)*($G40-$H40)</f>
        <v>#NAME?</v>
      </c>
      <c r="AF40" s="22">
        <f>VLOOKUP($A40,tabCustoUnit[],COLUMN(CUSTO_GLOBAL[[#Headers],[Vale - Alimentação (Descontada parcela do empregado)]])-2,0)*($G40-$H40)</f>
        <v>26190</v>
      </c>
      <c r="AG40" s="22">
        <f>VLOOKUP($A40,tabCustoUnit[],COLUMN(CUSTO_GLOBAL[[#Headers],[Cesta Básica]])-2,0)*($G40-$H40)</f>
        <v>0</v>
      </c>
      <c r="AH40" s="22">
        <f>VLOOKUP($A40,tabCustoUnit[],COLUMN(CUSTO_GLOBAL[[#Headers],[PAF]])-2,0)*($G40-$H40)</f>
        <v>4315.5</v>
      </c>
      <c r="AI40" s="22">
        <f>VLOOKUP($A40,tabCustoUnit[],COLUMN(CUSTO_GLOBAL[[#Headers],[PQM]])-2,0)*($G40-$H40)</f>
        <v>0</v>
      </c>
      <c r="AJ40" s="22">
        <v>0</v>
      </c>
      <c r="AK40" s="22">
        <f>VLOOKUP($A40,tabCustoUnit[],COLUMN(CUSTO_GLOBAL[[#Headers],[Seguro de Vida]])-2,0)*($G40-$H40)</f>
        <v>151.19999999999999</v>
      </c>
      <c r="AL40" s="22">
        <f>VLOOKUP($A40,tabCustoUnit[],COLUMN(CUSTO_GLOBAL[[#Headers],[Despesas de Viagem]])-2,0)*($G40-$H40)</f>
        <v>9093.6</v>
      </c>
      <c r="AM40" s="22" t="e">
        <f ca="1">VLOOKUP($A40,tabCustoUnit[],COLUMN(CUSTO_GLOBAL[[#Headers],[Submódulo 2.3]])-2,0)*($G40-$H40)</f>
        <v>#NAME?</v>
      </c>
      <c r="AN40" s="22" t="e">
        <f ca="1">VLOOKUP($A40,tabCustoUnit[],COLUMN(CUSTO_GLOBAL[[#Headers],[MÓDULO 2 - Total Encargos e Benefícios mensais e diários]])-2,0)*($G40-$H40)</f>
        <v>#NAME?</v>
      </c>
      <c r="AO40" s="22">
        <f>VLOOKUP($A40,tabCustoUnit[],COLUMN(CUSTO_GLOBAL[[#Headers],[Aviso Prévio Indenizado (API) e Reflexo do Aviso Prévio Indenizado]])-2,0)*($G40-$H40)</f>
        <v>520.34454895572912</v>
      </c>
      <c r="AP40" s="22">
        <f>VLOOKUP($A40,tabCustoUnit[],COLUMN(CUSTO_GLOBAL[[#Headers],[Incidência do FGTS sobre API e Reflexo do API]])-2,0)*($G40-$H40)</f>
        <v>41.627563916458335</v>
      </c>
      <c r="AQ40" s="22">
        <f>VLOOKUP($A40,tabCustoUnit[],COLUMN(CUSTO_GLOBAL[[#Headers],[Multa Rescisória do FGTS sobre o Aviso Prévio Indenizado]])-2,0)*($G40-$H40)</f>
        <v>16.651025566583336</v>
      </c>
      <c r="AR40" s="22">
        <f>VLOOKUP($A40,tabCustoUnit[],COLUMN(CUSTO_GLOBAL[[#Headers],[Aviso Prévio Trabalhado - APT]])-2,0)*($G40-$H40)</f>
        <v>259.73565975000002</v>
      </c>
      <c r="AS40" s="22">
        <f>VLOOKUP($A40,tabCustoUnit[],COLUMN(CUSTO_GLOBAL[[#Headers],[Incidência dos encargos do submódulo 2.1 sobre Aviso Prévio Trabalhado]])-2,0)*($G40-$H40)</f>
        <v>98.180079385500022</v>
      </c>
      <c r="AT40" s="22">
        <f>VLOOKUP($A40,tabCustoUnit[],COLUMN(CUSTO_GLOBAL[[#Headers],[Multa Rescisória do FGTS]])-2,0)*($G40-$H40)</f>
        <v>2269.1826527999997</v>
      </c>
      <c r="AU40" s="22">
        <f>VLOOKUP($A40,tabCustoUnit[],COLUMN(CUSTO_GLOBAL[[#Headers],[Indenização Adicional (Art. 9º da Lei nº 7.238/84)]])-2,0)*($G40-$H40)</f>
        <v>61.841823749999996</v>
      </c>
      <c r="AV40" s="22">
        <f>VLOOKUP($A40,tabCustoUnit[],COLUMN(CUSTO_GLOBAL[[#Headers],[MÓDULO 3 – PROVISÃO PARA RESCISÃO]])-2,0)*($G40-$H40)</f>
        <v>3267.5633541242701</v>
      </c>
      <c r="AW40" s="22">
        <f>VLOOKUP($A40,tabCustoUnit[],COLUMN(CUSTO_GLOBAL[[#Headers],[Ausência por Doença]])-2,0)*($G40-$H40)</f>
        <v>626.66381399999989</v>
      </c>
      <c r="AX40" s="22">
        <f>VLOOKUP($A40,tabCustoUnit[],COLUMN(CUSTO_GLOBAL[[#Headers],[Ausências Legais]])-2,0)*($G40-$H40)</f>
        <v>150.48177112499999</v>
      </c>
      <c r="AY40" s="22">
        <f>VLOOKUP($A40,tabCustoUnit[],COLUMN(CUSTO_GLOBAL[[#Headers],[Licença Paternidade]])-2,0)*($G40-$H40)</f>
        <v>12.677573868749999</v>
      </c>
      <c r="AZ40" s="22">
        <f>VLOOKUP($A40,tabCustoUnit[],COLUMN(CUSTO_GLOBAL[[#Headers],[Ausência por Acidente de Trabalho]])-2,0)*($G40-$H40)</f>
        <v>15.460455937499999</v>
      </c>
      <c r="BA40" s="22">
        <f>VLOOKUP($A40,tabCustoUnit[],COLUMN(CUSTO_GLOBAL[[#Headers],[Férias, Adicional de Férias e 13º  com empregada em gozo de Licença Maternidade]])-2,0)*($G40-$H40)</f>
        <v>96.198392499999997</v>
      </c>
      <c r="BB40" s="22">
        <f>VLOOKUP($A40,tabCustoUnit[],COLUMN(CUSTO_GLOBAL[[#Headers],[Incidência do Submódulo 2.1 sobre Ausências Legais]])-2,0)*($G40-$H40)</f>
        <v>340.76019880901254</v>
      </c>
      <c r="BC40" s="22">
        <f>VLOOKUP($A40,tabCustoUnit[],COLUMN(CUSTO_GLOBAL[[#Headers],[Submódulo 4.1]])-2,0)*($G40-$H40)</f>
        <v>1242.2422062402622</v>
      </c>
      <c r="BD40" s="22">
        <f>VLOOKUP($A40,tabCustoUnit[],COLUMN(CUSTO_GLOBAL[[#Headers],[Intervalo para Repouso ou Alimentação]])-2,0)*($G40-$H40)</f>
        <v>0</v>
      </c>
      <c r="BE40" s="22">
        <f>VLOOKUP($A40,tabCustoUnit[],COLUMN(CUSTO_GLOBAL[[#Headers],[Submódulo 4.2]])-2,0)*($G40-$H40)</f>
        <v>0</v>
      </c>
      <c r="BF40" s="22">
        <f>VLOOKUP($A40,tabCustoUnit[],COLUMN(CUSTO_GLOBAL[[#Headers],[Suspensão Temporária do Contrato de Trabalho]])-2,0)*($G40-$H40)</f>
        <v>0</v>
      </c>
      <c r="BG40" s="22">
        <f>VLOOKUP($A40,tabCustoUnit[],COLUMN(CUSTO_GLOBAL[[#Headers],[Submódulo 4.3]])-2,0)*($G40-$H40)</f>
        <v>0</v>
      </c>
      <c r="BH40" s="22">
        <f>VLOOKUP($A40,tabCustoUnit[],COLUMN(CUSTO_GLOBAL[[#Headers],[MÓDULO 4 – CUSTO DE REPOSIÇÃO DO PROFISSIONAL AUSENTE]])-2,0)*($G40-$H40)</f>
        <v>1242.2422062402622</v>
      </c>
      <c r="BI40" s="22">
        <f>VLOOKUP($A40,tabCustoUnit[],COLUMN(CUSTO_GLOBAL[[#Headers],[Uniformes e EPIs]])-2,0)*($G40-$H40)</f>
        <v>2526.3771147895463</v>
      </c>
      <c r="BJ40" s="22">
        <f>VLOOKUP($A40,tabCustoUnit[],COLUMN(CUSTO_GLOBAL[[#Headers],[Materiais de Consumo]])-2,0)*($G40-$H40)</f>
        <v>0</v>
      </c>
      <c r="BK40" s="22">
        <f>VLOOKUP($A40,tabCustoUnit[],COLUMN(CUSTO_GLOBAL[[#Headers],[Máquinas e Equipamentos (depreciação)]])-2,0)*($G40-$H40)</f>
        <v>0</v>
      </c>
      <c r="BL40" s="22">
        <f>VLOOKUP($A40,tabCustoUnit[],COLUMN(CUSTO_GLOBAL[[#Headers],[Produtos de Limpeza e Materiais de Higiene Pessoal]])-2,0)*($G40-$H40)</f>
        <v>0</v>
      </c>
      <c r="BM40" s="22">
        <f>VLOOKUP($A40,tabCustoUnit[],COLUMN(CUSTO_GLOBAL[[#Headers],[Outros (especificar)]])-2,0)*($G40-$H40)</f>
        <v>0</v>
      </c>
      <c r="BN40" s="22">
        <f>VLOOKUP($A40,tabCustoUnit[],COLUMN(CUSTO_GLOBAL[[#Headers],[MÓDULO 5 – INSUMOS DIVERSOS]])-2,0)*($G40-$H40)</f>
        <v>2526.3771147895463</v>
      </c>
      <c r="BO40" s="22" t="e">
        <f ca="1">VLOOKUP($A40,tabCustoUnit[],COLUMN(CUSTO_GLOBAL[[#Headers],[TOTAL MÓDULOS 1+2+3+4+5]])-2,0)*($G40-$H40)</f>
        <v>#NAME?</v>
      </c>
      <c r="BP40" s="22" t="e">
        <f ca="1">VLOOKUP($A40,tabCustoUnit[],COLUMN(CUSTO_GLOBAL[[#Headers],[Custos Indiretos]])-2,0)*($G40-$H40)</f>
        <v>#NAME?</v>
      </c>
      <c r="BQ40" s="22" t="e">
        <f ca="1">VLOOKUP($A40,tabCustoUnit[],COLUMN(CUSTO_GLOBAL[[#Headers],[Lucro]])-2,0)*($G40-$H40)</f>
        <v>#NAME?</v>
      </c>
      <c r="BR40" s="26">
        <f>VLOOKUP($A40,tabCustoUnit[],COLUMN(CUSTO_GLOBAL[[#Headers],[COFINS]])-2,0)</f>
        <v>8.8629737609329504E-2</v>
      </c>
      <c r="BS40" s="26">
        <f>VLOOKUP($A40,tabCustoUnit[],COLUMN(CUSTO_GLOBAL[[#Headers],[PIS]])-2,0)</f>
        <v>1.9241982507288629E-2</v>
      </c>
      <c r="BT40" s="28">
        <f>VLOOKUP($A40,tabCustoUnit[],COLUMN(CUSTO_GLOBAL[[#Headers],[ISS]])-2,0)</f>
        <v>0.05</v>
      </c>
      <c r="BU40" s="26">
        <f>VLOOKUP($A40,tabCustoUnit[],COLUMN(CUSTO_GLOBAL[[#Headers],[ISS (Conversão Alíquota s/ fatura)]])-2,0)</f>
        <v>5.8309037900874633E-2</v>
      </c>
      <c r="BV40" s="26">
        <f>VLOOKUP($A40,tabCustoUnit[],COLUMN(CUSTO_GLOBAL[[#Headers],[Resumo de Alíquotas (PIS+CONFINS+ISS)]])-2,0)</f>
        <v>0.14250000000000002</v>
      </c>
      <c r="BW40" s="138">
        <f>VLOOKUP($A40,tabCustoUnit[],COLUMN(CUSTO_GLOBAL[[#Headers],[PIS + COFINS + ISS (Total Conversão  Alíquota s/ Fatura)]])-2,0)</f>
        <v>0.16618075801749277</v>
      </c>
      <c r="BX40" s="22" t="e">
        <f ca="1">VLOOKUP($A40,tabCustoUnit[],COLUMN(CUSTO_GLOBAL[[#Headers],[Valor dos Tributos (ISS, PIS, CONFINS)]])-2,0)*($G40-$H40)</f>
        <v>#NAME?</v>
      </c>
      <c r="BY40" s="22" t="e">
        <f ca="1">VLOOKUP($A40,tabCustoUnit[],COLUMN(CUSTO_GLOBAL[[#Headers],[MÓDULO 6 – CUSTOS INDIRETOS, TRIBUTOS E LUCRO]])-2,0)*($G40-$H40)</f>
        <v>#NAME?</v>
      </c>
      <c r="BZ40" s="22" t="e">
        <f ca="1">VLOOKUP($A40,tabCustoUnit[],COLUMN(CUSTO_GLOBAL[[#Headers],[CUSTO TOTAL MENSAL]])-2,0)*($G40-$H40)</f>
        <v>#NAME?</v>
      </c>
      <c r="CA40" s="22" t="e">
        <f ca="1">CUSTO_GLOBAL[[#This Row],[CUSTO TOTAL MENSAL]]*12</f>
        <v>#NAME?</v>
      </c>
      <c r="CB40" s="24">
        <f>VLOOKUP($A40,tabCustoUnit[],COLUMN(CUSTO_GLOBAL[[#Headers],[ANO DA CCT]])-2,0)</f>
        <v>45658</v>
      </c>
      <c r="CC40" s="25" t="str">
        <f>VLOOKUP($A40,tabCustoUnit[],COLUMN(CUSTO_GLOBAL[[#Headers],[Nº DE PEDIDO DA CCT]])-2,0)</f>
        <v>-</v>
      </c>
      <c r="CD40" s="25" t="str">
        <f>VLOOKUP($A40,tabCustoUnit[],COLUMN(CUSTO_GLOBAL[[#Headers],[TERMO ADITIVO ALTERAÇÃO DA CCT]])-2,0)</f>
        <v>-</v>
      </c>
    </row>
    <row r="41" spans="1:82">
      <c r="A41" s="20" t="s">
        <v>1420</v>
      </c>
      <c r="B41" t="s">
        <v>1103</v>
      </c>
      <c r="C41" t="s">
        <v>1371</v>
      </c>
      <c r="D41" t="s">
        <v>1035</v>
      </c>
      <c r="E41" s="20" t="s">
        <v>1090</v>
      </c>
      <c r="F41" s="20" t="s">
        <v>120</v>
      </c>
      <c r="G41" s="20">
        <v>5</v>
      </c>
      <c r="H41" s="20">
        <v>0</v>
      </c>
      <c r="I41" s="21">
        <f>VLOOKUP($A41,tabCustoUnit[],COLUMN(CUSTO_GLOBAL[[#Headers],[Salário Base]])-2,0)*($G41-$H41)</f>
        <v>32274.35</v>
      </c>
      <c r="J41" s="21">
        <f>VLOOKUP($A41,tabCustoUnit[],COLUMN(CUSTO_GLOBAL[[#Headers],[Adicional Periculosidade]])-2,0)*($G41-$H41)</f>
        <v>0</v>
      </c>
      <c r="K41" s="21">
        <f>VLOOKUP($A41,tabCustoUnit[],COLUMN(CUSTO_GLOBAL[[#Headers],[Adicional Insalubridade]])-2,0)*($G41-$H41)</f>
        <v>0</v>
      </c>
      <c r="L41" s="21">
        <f>VLOOKUP($A41,tabCustoUnit[],COLUMN(CUSTO_GLOBAL[[#Headers],[Adicional Noturno]])-2,0)*($G41-$H41)</f>
        <v>0</v>
      </c>
      <c r="M41" s="21">
        <f>VLOOKUP($A41,tabCustoUnit[],COLUMN(CUSTO_GLOBAL[[#Headers],[Adicional Motorista II (Gratificação)]])-2,0)*($G41-$H41)</f>
        <v>0</v>
      </c>
      <c r="N41" s="21">
        <f>VLOOKUP($A41,tabCustoUnit[],COLUMN(CUSTO_GLOBAL[[#Headers],[Adicional de Sobreaviso]])-2,0)*($G41-$H41)</f>
        <v>0</v>
      </c>
      <c r="O41" s="21">
        <f>VLOOKUP($A41,tabCustoUnit[],COLUMN(CUSTO_GLOBAL[[#Headers],[Horas Extras TI]])-2,0)*($G41-$H41)</f>
        <v>0</v>
      </c>
      <c r="P41" s="21">
        <f>VLOOKUP($A41,tabCustoUnit[],COLUMN(CUSTO_GLOBAL[[#Headers],[Adicional de Acúmulo de função]])-2,0)*($G41-$H41)</f>
        <v>0</v>
      </c>
      <c r="Q41" s="21">
        <f>VLOOKUP($A41,tabCustoUnit[],COLUMN(CUSTO_GLOBAL[[#Headers],[MODULO 1 - REMUNERAÇÃO ]])-2,0)*($G41-$H41)</f>
        <v>32274.35</v>
      </c>
      <c r="R41" s="21">
        <f>VLOOKUP($A41,tabCustoUnit[],COLUMN(CUSTO_GLOBAL[[#Headers],[INSS]])-2,0)*($G41-$H41)</f>
        <v>6454.8700000000008</v>
      </c>
      <c r="S41" s="21">
        <f>VLOOKUP($A41,tabCustoUnit[],COLUMN(CUSTO_GLOBAL[[#Headers],[SESI OU SESC]])-2,0)*($G41-$H41)</f>
        <v>484.11524999999995</v>
      </c>
      <c r="T41" s="21">
        <f>VLOOKUP($A41,tabCustoUnit[],COLUMN(CUSTO_GLOBAL[[#Headers],[SENAI OU SENAC]])-2,0)*($G41-$H41)</f>
        <v>322.74349999999998</v>
      </c>
      <c r="U41" s="21">
        <f>VLOOKUP($A41,tabCustoUnit[],COLUMN(CUSTO_GLOBAL[[#Headers],[INCRA]])-2,0)*($G41-$H41)</f>
        <v>64.548699999999997</v>
      </c>
      <c r="V41" s="21">
        <f>VLOOKUP($A41,tabCustoUnit[],COLUMN(CUSTO_GLOBAL[[#Headers],[Salário Educação]])-2,0)*($G41-$H41)</f>
        <v>806.8587500000001</v>
      </c>
      <c r="W41" s="21">
        <f>VLOOKUP($A41,tabCustoUnit[],COLUMN(CUSTO_GLOBAL[[#Headers],[FGTS]])-2,0)*($G41-$H41)</f>
        <v>2581.9479999999999</v>
      </c>
      <c r="X41" s="21">
        <f>VLOOKUP($A41,tabCustoUnit[],COLUMN(CUSTO_GLOBAL[[#Headers],[RAT Ajustado]])-2,0)*($G41-$H41)</f>
        <v>1290.9739999999999</v>
      </c>
      <c r="Y41" s="21">
        <f>VLOOKUP($A41,tabCustoUnit[],COLUMN(CUSTO_GLOBAL[[#Headers],[SEBRAE]])-2,0)*($G41-$H41)</f>
        <v>193.64609999999999</v>
      </c>
      <c r="Z41" s="21">
        <f>VLOOKUP($A41,tabCustoUnit[],COLUMN(CUSTO_GLOBAL[[#Headers],[Submódulo 2.1]])-2,0)*($G41-$H41)</f>
        <v>12199.704300000003</v>
      </c>
      <c r="AA41" s="21">
        <f>VLOOKUP($A41,tabCustoUnit[],COLUMN(CUSTO_GLOBAL[[#Headers],[13º salário (titular)]])-2,0)*($G41-$H41)</f>
        <v>2689.5291666666662</v>
      </c>
      <c r="AB41" s="21">
        <f>VLOOKUP($A41,tabCustoUnit[],COLUMN(CUSTO_GLOBAL[[#Headers],[Férias e Adicional de Férias (titular)]])-2,0)*($G41-$H41)</f>
        <v>3586.0388888888888</v>
      </c>
      <c r="AC41" s="21">
        <f>VLOOKUP($A41,tabCustoUnit[],COLUMN(CUSTO_GLOBAL[[#Headers],[Incidência do Submódulo 2.1 sobre 13º Salário, Férias e Adicional de Férias]])-2,0)*($G41-$H41)</f>
        <v>2372.1647250000005</v>
      </c>
      <c r="AD41" s="21">
        <f>VLOOKUP($A41,tabCustoUnit[],COLUMN(CUSTO_GLOBAL[[#Headers],[Submódulo 2.2]])-2,0)*($G41-$H41)</f>
        <v>8647.7327805555542</v>
      </c>
      <c r="AE41" s="22" t="e">
        <f ca="1">VLOOKUP($A41,tabCustoUnit[],COLUMN(CUSTO_GLOBAL[[#Headers],[Vale - Transporte (Descontada parcela do empregado)]])-2,0)*($G41-$H41)</f>
        <v>#NAME?</v>
      </c>
      <c r="AF41" s="22">
        <f>VLOOKUP($A41,tabCustoUnit[],COLUMN(CUSTO_GLOBAL[[#Headers],[Vale - Alimentação (Descontada parcela do empregado)]])-2,0)*($G41-$H41)</f>
        <v>2910</v>
      </c>
      <c r="AG41" s="22">
        <f>VLOOKUP($A41,tabCustoUnit[],COLUMN(CUSTO_GLOBAL[[#Headers],[Cesta Básica]])-2,0)*($G41-$H41)</f>
        <v>0</v>
      </c>
      <c r="AH41" s="22">
        <f>VLOOKUP($A41,tabCustoUnit[],COLUMN(CUSTO_GLOBAL[[#Headers],[PAF]])-2,0)*($G41-$H41)</f>
        <v>479.5</v>
      </c>
      <c r="AI41" s="22">
        <f>VLOOKUP($A41,tabCustoUnit[],COLUMN(CUSTO_GLOBAL[[#Headers],[PQM]])-2,0)*($G41-$H41)</f>
        <v>0</v>
      </c>
      <c r="AJ41" s="22">
        <v>0</v>
      </c>
      <c r="AK41" s="22">
        <f>VLOOKUP($A41,tabCustoUnit[],COLUMN(CUSTO_GLOBAL[[#Headers],[Seguro de Vida]])-2,0)*($G41-$H41)</f>
        <v>16.8</v>
      </c>
      <c r="AL41" s="22">
        <f>VLOOKUP($A41,tabCustoUnit[],COLUMN(CUSTO_GLOBAL[[#Headers],[Despesas de Viagem]])-2,0)*($G41-$H41)</f>
        <v>1010.4000000000001</v>
      </c>
      <c r="AM41" s="22" t="e">
        <f ca="1">VLOOKUP($A41,tabCustoUnit[],COLUMN(CUSTO_GLOBAL[[#Headers],[Submódulo 2.3]])-2,0)*($G41-$H41)</f>
        <v>#NAME?</v>
      </c>
      <c r="AN41" s="22" t="e">
        <f ca="1">VLOOKUP($A41,tabCustoUnit[],COLUMN(CUSTO_GLOBAL[[#Headers],[MÓDULO 2 - Total Encargos e Benefícios mensais e diários]])-2,0)*($G41-$H41)</f>
        <v>#NAME?</v>
      </c>
      <c r="AO41" s="22">
        <f>VLOOKUP($A41,tabCustoUnit[],COLUMN(CUSTO_GLOBAL[[#Headers],[Aviso Prévio Indenizado (API) e Reflexo do Aviso Prévio Indenizado]])-2,0)*($G41-$H41)</f>
        <v>226.30022147955248</v>
      </c>
      <c r="AP41" s="22">
        <f>VLOOKUP($A41,tabCustoUnit[],COLUMN(CUSTO_GLOBAL[[#Headers],[Incidência do FGTS sobre API e Reflexo do API]])-2,0)*($G41-$H41)</f>
        <v>18.104017718364197</v>
      </c>
      <c r="AQ41" s="22">
        <f>VLOOKUP($A41,tabCustoUnit[],COLUMN(CUSTO_GLOBAL[[#Headers],[Multa Rescisória do FGTS sobre o Aviso Prévio Indenizado]])-2,0)*($G41-$H41)</f>
        <v>7.241607087345681</v>
      </c>
      <c r="AR41" s="22">
        <f>VLOOKUP($A41,tabCustoUnit[],COLUMN(CUSTO_GLOBAL[[#Headers],[Aviso Prévio Trabalhado - APT]])-2,0)*($G41-$H41)</f>
        <v>112.96022500000001</v>
      </c>
      <c r="AS41" s="22">
        <f>VLOOKUP($A41,tabCustoUnit[],COLUMN(CUSTO_GLOBAL[[#Headers],[Incidência dos encargos do submódulo 2.1 sobre Aviso Prévio Trabalhado]])-2,0)*($G41-$H41)</f>
        <v>42.698965050000012</v>
      </c>
      <c r="AT41" s="22">
        <f>VLOOKUP($A41,tabCustoUnit[],COLUMN(CUSTO_GLOBAL[[#Headers],[Multa Rescisória do FGTS]])-2,0)*($G41-$H41)</f>
        <v>986.87790222222202</v>
      </c>
      <c r="AU41" s="22">
        <f>VLOOKUP($A41,tabCustoUnit[],COLUMN(CUSTO_GLOBAL[[#Headers],[Indenização Adicional (Art. 9º da Lei nº 7.238/84)]])-2,0)*($G41-$H41)</f>
        <v>26.895291666666669</v>
      </c>
      <c r="AV41" s="22">
        <f>VLOOKUP($A41,tabCustoUnit[],COLUMN(CUSTO_GLOBAL[[#Headers],[MÓDULO 3 – PROVISÃO PARA RESCISÃO]])-2,0)*($G41-$H41)</f>
        <v>1421.0782302241512</v>
      </c>
      <c r="AW41" s="22">
        <f>VLOOKUP($A41,tabCustoUnit[],COLUMN(CUSTO_GLOBAL[[#Headers],[Ausência por Doença]])-2,0)*($G41-$H41)</f>
        <v>272.5389555555555</v>
      </c>
      <c r="AX41" s="22">
        <f>VLOOKUP($A41,tabCustoUnit[],COLUMN(CUSTO_GLOBAL[[#Headers],[Ausências Legais]])-2,0)*($G41-$H41)</f>
        <v>65.445209722222216</v>
      </c>
      <c r="AY41" s="22">
        <f>VLOOKUP($A41,tabCustoUnit[],COLUMN(CUSTO_GLOBAL[[#Headers],[Licença Paternidade]])-2,0)*($G41-$H41)</f>
        <v>5.5135347916666664</v>
      </c>
      <c r="AZ41" s="22">
        <f>VLOOKUP($A41,tabCustoUnit[],COLUMN(CUSTO_GLOBAL[[#Headers],[Ausência por Acidente de Trabalho]])-2,0)*($G41-$H41)</f>
        <v>6.7238229166666672</v>
      </c>
      <c r="BA41" s="22">
        <f>VLOOKUP($A41,tabCustoUnit[],COLUMN(CUSTO_GLOBAL[[#Headers],[Férias, Adicional de Férias e 13º  com empregada em gozo de Licença Maternidade]])-2,0)*($G41-$H41)</f>
        <v>41.837120370370364</v>
      </c>
      <c r="BB41" s="22">
        <f>VLOOKUP($A41,tabCustoUnit[],COLUMN(CUSTO_GLOBAL[[#Headers],[Incidência do Submódulo 2.1 sobre Ausências Legais]])-2,0)*($G41-$H41)</f>
        <v>148.19816718875001</v>
      </c>
      <c r="BC41" s="22">
        <f>VLOOKUP($A41,tabCustoUnit[],COLUMN(CUSTO_GLOBAL[[#Headers],[Submódulo 4.1]])-2,0)*($G41-$H41)</f>
        <v>540.25681054523147</v>
      </c>
      <c r="BD41" s="22">
        <f>VLOOKUP($A41,tabCustoUnit[],COLUMN(CUSTO_GLOBAL[[#Headers],[Intervalo para Repouso ou Alimentação]])-2,0)*($G41-$H41)</f>
        <v>0</v>
      </c>
      <c r="BE41" s="22">
        <f>VLOOKUP($A41,tabCustoUnit[],COLUMN(CUSTO_GLOBAL[[#Headers],[Submódulo 4.2]])-2,0)*($G41-$H41)</f>
        <v>0</v>
      </c>
      <c r="BF41" s="22">
        <f>VLOOKUP($A41,tabCustoUnit[],COLUMN(CUSTO_GLOBAL[[#Headers],[Suspensão Temporária do Contrato de Trabalho]])-2,0)*($G41-$H41)</f>
        <v>0</v>
      </c>
      <c r="BG41" s="22">
        <f>VLOOKUP($A41,tabCustoUnit[],COLUMN(CUSTO_GLOBAL[[#Headers],[Submódulo 4.3]])-2,0)*($G41-$H41)</f>
        <v>0</v>
      </c>
      <c r="BH41" s="22">
        <f>VLOOKUP($A41,tabCustoUnit[],COLUMN(CUSTO_GLOBAL[[#Headers],[MÓDULO 4 – CUSTO DE REPOSIÇÃO DO PROFISSIONAL AUSENTE]])-2,0)*($G41-$H41)</f>
        <v>540.25681054523147</v>
      </c>
      <c r="BI41" s="22">
        <f>VLOOKUP($A41,tabCustoUnit[],COLUMN(CUSTO_GLOBAL[[#Headers],[Uniformes e EPIs]])-2,0)*($G41-$H41)</f>
        <v>453.9233989101985</v>
      </c>
      <c r="BJ41" s="22">
        <f>VLOOKUP($A41,tabCustoUnit[],COLUMN(CUSTO_GLOBAL[[#Headers],[Materiais de Consumo]])-2,0)*($G41-$H41)</f>
        <v>0</v>
      </c>
      <c r="BK41" s="22">
        <f>VLOOKUP($A41,tabCustoUnit[],COLUMN(CUSTO_GLOBAL[[#Headers],[Máquinas e Equipamentos (depreciação)]])-2,0)*($G41-$H41)</f>
        <v>0</v>
      </c>
      <c r="BL41" s="22">
        <f>VLOOKUP($A41,tabCustoUnit[],COLUMN(CUSTO_GLOBAL[[#Headers],[Produtos de Limpeza e Materiais de Higiene Pessoal]])-2,0)*($G41-$H41)</f>
        <v>0</v>
      </c>
      <c r="BM41" s="22">
        <f>VLOOKUP($A41,tabCustoUnit[],COLUMN(CUSTO_GLOBAL[[#Headers],[Outros (especificar)]])-2,0)*($G41-$H41)</f>
        <v>0</v>
      </c>
      <c r="BN41" s="22">
        <f>VLOOKUP($A41,tabCustoUnit[],COLUMN(CUSTO_GLOBAL[[#Headers],[MÓDULO 5 – INSUMOS DIVERSOS]])-2,0)*($G41-$H41)</f>
        <v>453.9233989101985</v>
      </c>
      <c r="BO41" s="22" t="e">
        <f ca="1">VLOOKUP($A41,tabCustoUnit[],COLUMN(CUSTO_GLOBAL[[#Headers],[TOTAL MÓDULOS 1+2+3+4+5]])-2,0)*($G41-$H41)</f>
        <v>#NAME?</v>
      </c>
      <c r="BP41" s="22" t="e">
        <f ca="1">VLOOKUP($A41,tabCustoUnit[],COLUMN(CUSTO_GLOBAL[[#Headers],[Custos Indiretos]])-2,0)*($G41-$H41)</f>
        <v>#NAME?</v>
      </c>
      <c r="BQ41" s="22" t="e">
        <f ca="1">VLOOKUP($A41,tabCustoUnit[],COLUMN(CUSTO_GLOBAL[[#Headers],[Lucro]])-2,0)*($G41-$H41)</f>
        <v>#NAME?</v>
      </c>
      <c r="BR41" s="26">
        <f>VLOOKUP($A41,tabCustoUnit[],COLUMN(CUSTO_GLOBAL[[#Headers],[COFINS]])-2,0)</f>
        <v>8.8629737609329504E-2</v>
      </c>
      <c r="BS41" s="26">
        <f>VLOOKUP($A41,tabCustoUnit[],COLUMN(CUSTO_GLOBAL[[#Headers],[PIS]])-2,0)</f>
        <v>1.9241982507288629E-2</v>
      </c>
      <c r="BT41" s="28">
        <f>VLOOKUP($A41,tabCustoUnit[],COLUMN(CUSTO_GLOBAL[[#Headers],[ISS]])-2,0)</f>
        <v>0.05</v>
      </c>
      <c r="BU41" s="26">
        <f>VLOOKUP($A41,tabCustoUnit[],COLUMN(CUSTO_GLOBAL[[#Headers],[ISS (Conversão Alíquota s/ fatura)]])-2,0)</f>
        <v>5.8309037900874633E-2</v>
      </c>
      <c r="BV41" s="26">
        <f>VLOOKUP($A41,tabCustoUnit[],COLUMN(CUSTO_GLOBAL[[#Headers],[Resumo de Alíquotas (PIS+CONFINS+ISS)]])-2,0)</f>
        <v>0.14250000000000002</v>
      </c>
      <c r="BW41" s="138">
        <f>VLOOKUP($A41,tabCustoUnit[],COLUMN(CUSTO_GLOBAL[[#Headers],[PIS + COFINS + ISS (Total Conversão  Alíquota s/ Fatura)]])-2,0)</f>
        <v>0.16618075801749277</v>
      </c>
      <c r="BX41" s="22" t="e">
        <f ca="1">VLOOKUP($A41,tabCustoUnit[],COLUMN(CUSTO_GLOBAL[[#Headers],[Valor dos Tributos (ISS, PIS, CONFINS)]])-2,0)*($G41-$H41)</f>
        <v>#NAME?</v>
      </c>
      <c r="BY41" s="22" t="e">
        <f ca="1">VLOOKUP($A41,tabCustoUnit[],COLUMN(CUSTO_GLOBAL[[#Headers],[MÓDULO 6 – CUSTOS INDIRETOS, TRIBUTOS E LUCRO]])-2,0)*($G41-$H41)</f>
        <v>#NAME?</v>
      </c>
      <c r="BZ41" s="22" t="e">
        <f ca="1">VLOOKUP($A41,tabCustoUnit[],COLUMN(CUSTO_GLOBAL[[#Headers],[CUSTO TOTAL MENSAL]])-2,0)*($G41-$H41)</f>
        <v>#NAME?</v>
      </c>
      <c r="CA41" s="22" t="e">
        <f ca="1">CUSTO_GLOBAL[[#This Row],[CUSTO TOTAL MENSAL]]*12</f>
        <v>#NAME?</v>
      </c>
      <c r="CB41" s="24">
        <f>VLOOKUP($A41,tabCustoUnit[],COLUMN(CUSTO_GLOBAL[[#Headers],[ANO DA CCT]])-2,0)</f>
        <v>45658</v>
      </c>
      <c r="CC41" s="25" t="str">
        <f>VLOOKUP($A41,tabCustoUnit[],COLUMN(CUSTO_GLOBAL[[#Headers],[Nº DE PEDIDO DA CCT]])-2,0)</f>
        <v>-</v>
      </c>
      <c r="CD41" s="25" t="str">
        <f>VLOOKUP($A41,tabCustoUnit[],COLUMN(CUSTO_GLOBAL[[#Headers],[TERMO ADITIVO ALTERAÇÃO DA CCT]])-2,0)</f>
        <v>-</v>
      </c>
    </row>
    <row r="42" spans="1:82">
      <c r="A42" s="20" t="s">
        <v>1421</v>
      </c>
      <c r="B42" t="s">
        <v>1103</v>
      </c>
      <c r="C42" t="s">
        <v>205</v>
      </c>
      <c r="D42" t="s">
        <v>1035</v>
      </c>
      <c r="E42" s="20" t="s">
        <v>1090</v>
      </c>
      <c r="F42" s="20" t="s">
        <v>120</v>
      </c>
      <c r="G42" s="20">
        <v>12</v>
      </c>
      <c r="H42" s="20">
        <v>0</v>
      </c>
      <c r="I42" s="21">
        <f>VLOOKUP($A42,tabCustoUnit[],COLUMN(CUSTO_GLOBAL[[#Headers],[Salário Base]])-2,0)*($G42-$H42)</f>
        <v>19789.383600000001</v>
      </c>
      <c r="J42" s="21">
        <f>VLOOKUP($A42,tabCustoUnit[],COLUMN(CUSTO_GLOBAL[[#Headers],[Adicional Periculosidade]])-2,0)*($G42-$H42)</f>
        <v>0</v>
      </c>
      <c r="K42" s="21">
        <f>VLOOKUP($A42,tabCustoUnit[],COLUMN(CUSTO_GLOBAL[[#Headers],[Adicional Insalubridade]])-2,0)*($G42-$H42)</f>
        <v>0</v>
      </c>
      <c r="L42" s="21">
        <f>VLOOKUP($A42,tabCustoUnit[],COLUMN(CUSTO_GLOBAL[[#Headers],[Adicional Noturno]])-2,0)*($G42-$H42)</f>
        <v>0</v>
      </c>
      <c r="M42" s="21">
        <f>VLOOKUP($A42,tabCustoUnit[],COLUMN(CUSTO_GLOBAL[[#Headers],[Adicional Motorista II (Gratificação)]])-2,0)*($G42-$H42)</f>
        <v>0</v>
      </c>
      <c r="N42" s="21">
        <f>VLOOKUP($A42,tabCustoUnit[],COLUMN(CUSTO_GLOBAL[[#Headers],[Adicional de Sobreaviso]])-2,0)*($G42-$H42)</f>
        <v>0</v>
      </c>
      <c r="O42" s="21">
        <f>VLOOKUP($A42,tabCustoUnit[],COLUMN(CUSTO_GLOBAL[[#Headers],[Horas Extras TI]])-2,0)*($G42-$H42)</f>
        <v>0</v>
      </c>
      <c r="P42" s="21">
        <f>VLOOKUP($A42,tabCustoUnit[],COLUMN(CUSTO_GLOBAL[[#Headers],[Adicional de Acúmulo de função]])-2,0)*($G42-$H42)</f>
        <v>0</v>
      </c>
      <c r="Q42" s="21">
        <f>VLOOKUP($A42,tabCustoUnit[],COLUMN(CUSTO_GLOBAL[[#Headers],[MODULO 1 - REMUNERAÇÃO ]])-2,0)*($G42-$H42)</f>
        <v>19789.383600000001</v>
      </c>
      <c r="R42" s="21">
        <f>VLOOKUP($A42,tabCustoUnit[],COLUMN(CUSTO_GLOBAL[[#Headers],[INSS]])-2,0)*($G42-$H42)</f>
        <v>3957.8767200000002</v>
      </c>
      <c r="S42" s="21">
        <f>VLOOKUP($A42,tabCustoUnit[],COLUMN(CUSTO_GLOBAL[[#Headers],[SESI OU SESC]])-2,0)*($G42-$H42)</f>
        <v>296.840754</v>
      </c>
      <c r="T42" s="21">
        <f>VLOOKUP($A42,tabCustoUnit[],COLUMN(CUSTO_GLOBAL[[#Headers],[SENAI OU SENAC]])-2,0)*($G42-$H42)</f>
        <v>197.89383600000002</v>
      </c>
      <c r="U42" s="21">
        <f>VLOOKUP($A42,tabCustoUnit[],COLUMN(CUSTO_GLOBAL[[#Headers],[INCRA]])-2,0)*($G42-$H42)</f>
        <v>39.578767200000001</v>
      </c>
      <c r="V42" s="21">
        <f>VLOOKUP($A42,tabCustoUnit[],COLUMN(CUSTO_GLOBAL[[#Headers],[Salário Educação]])-2,0)*($G42-$H42)</f>
        <v>494.73459000000003</v>
      </c>
      <c r="W42" s="21">
        <f>VLOOKUP($A42,tabCustoUnit[],COLUMN(CUSTO_GLOBAL[[#Headers],[FGTS]])-2,0)*($G42-$H42)</f>
        <v>1583.1506880000002</v>
      </c>
      <c r="X42" s="21">
        <f>VLOOKUP($A42,tabCustoUnit[],COLUMN(CUSTO_GLOBAL[[#Headers],[RAT Ajustado]])-2,0)*($G42-$H42)</f>
        <v>791.57534400000009</v>
      </c>
      <c r="Y42" s="21">
        <f>VLOOKUP($A42,tabCustoUnit[],COLUMN(CUSTO_GLOBAL[[#Headers],[SEBRAE]])-2,0)*($G42-$H42)</f>
        <v>118.7363016</v>
      </c>
      <c r="Z42" s="21">
        <f>VLOOKUP($A42,tabCustoUnit[],COLUMN(CUSTO_GLOBAL[[#Headers],[Submódulo 2.1]])-2,0)*($G42-$H42)</f>
        <v>7480.3870008000013</v>
      </c>
      <c r="AA42" s="21">
        <f>VLOOKUP($A42,tabCustoUnit[],COLUMN(CUSTO_GLOBAL[[#Headers],[13º salário (titular)]])-2,0)*($G42-$H42)</f>
        <v>1649.1152999999997</v>
      </c>
      <c r="AB42" s="21">
        <f>VLOOKUP($A42,tabCustoUnit[],COLUMN(CUSTO_GLOBAL[[#Headers],[Férias e Adicional de Férias (titular)]])-2,0)*($G42-$H42)</f>
        <v>2198.8203999999996</v>
      </c>
      <c r="AC42" s="21">
        <f>VLOOKUP($A42,tabCustoUnit[],COLUMN(CUSTO_GLOBAL[[#Headers],[Incidência do Submódulo 2.1 sobre 13º Salário, Férias e Adicional de Férias]])-2,0)*($G42-$H42)</f>
        <v>1454.5196946000001</v>
      </c>
      <c r="AD42" s="21">
        <f>VLOOKUP($A42,tabCustoUnit[],COLUMN(CUSTO_GLOBAL[[#Headers],[Submódulo 2.2]])-2,0)*($G42-$H42)</f>
        <v>5302.4553945999996</v>
      </c>
      <c r="AE42" s="22" t="e">
        <f ca="1">VLOOKUP($A42,tabCustoUnit[],COLUMN(CUSTO_GLOBAL[[#Headers],[Vale - Transporte (Descontada parcela do empregado)]])-2,0)*($G42-$H42)</f>
        <v>#NAME?</v>
      </c>
      <c r="AF42" s="22">
        <f>VLOOKUP($A42,tabCustoUnit[],COLUMN(CUSTO_GLOBAL[[#Headers],[Vale - Alimentação (Descontada parcela do empregado)]])-2,0)*($G42-$H42)</f>
        <v>6984</v>
      </c>
      <c r="AG42" s="22">
        <f>VLOOKUP($A42,tabCustoUnit[],COLUMN(CUSTO_GLOBAL[[#Headers],[Cesta Básica]])-2,0)*($G42-$H42)</f>
        <v>0</v>
      </c>
      <c r="AH42" s="22">
        <f>VLOOKUP($A42,tabCustoUnit[],COLUMN(CUSTO_GLOBAL[[#Headers],[PAF]])-2,0)*($G42-$H42)</f>
        <v>1150.8000000000002</v>
      </c>
      <c r="AI42" s="22">
        <f>VLOOKUP($A42,tabCustoUnit[],COLUMN(CUSTO_GLOBAL[[#Headers],[PQM]])-2,0)*($G42-$H42)</f>
        <v>0</v>
      </c>
      <c r="AJ42" s="22">
        <v>0</v>
      </c>
      <c r="AK42" s="22">
        <f>VLOOKUP($A42,tabCustoUnit[],COLUMN(CUSTO_GLOBAL[[#Headers],[Seguro de Vida]])-2,0)*($G42-$H42)</f>
        <v>40.32</v>
      </c>
      <c r="AL42" s="22">
        <f>VLOOKUP($A42,tabCustoUnit[],COLUMN(CUSTO_GLOBAL[[#Headers],[Despesas de Viagem]])-2,0)*($G42-$H42)</f>
        <v>2424.96</v>
      </c>
      <c r="AM42" s="22" t="e">
        <f ca="1">VLOOKUP($A42,tabCustoUnit[],COLUMN(CUSTO_GLOBAL[[#Headers],[Submódulo 2.3]])-2,0)*($G42-$H42)</f>
        <v>#NAME?</v>
      </c>
      <c r="AN42" s="22" t="e">
        <f ca="1">VLOOKUP($A42,tabCustoUnit[],COLUMN(CUSTO_GLOBAL[[#Headers],[MÓDULO 2 - Total Encargos e Benefícios mensais e diários]])-2,0)*($G42-$H42)</f>
        <v>#NAME?</v>
      </c>
      <c r="AO42" s="22">
        <f>VLOOKUP($A42,tabCustoUnit[],COLUMN(CUSTO_GLOBAL[[#Headers],[Aviso Prévio Indenizado (API) e Reflexo do Aviso Prévio Indenizado]])-2,0)*($G42-$H42)</f>
        <v>138.75854638819442</v>
      </c>
      <c r="AP42" s="22">
        <f>VLOOKUP($A42,tabCustoUnit[],COLUMN(CUSTO_GLOBAL[[#Headers],[Incidência do FGTS sobre API e Reflexo do API]])-2,0)*($G42-$H42)</f>
        <v>11.100683711055556</v>
      </c>
      <c r="AQ42" s="22">
        <f>VLOOKUP($A42,tabCustoUnit[],COLUMN(CUSTO_GLOBAL[[#Headers],[Multa Rescisória do FGTS sobre o Aviso Prévio Indenizado]])-2,0)*($G42-$H42)</f>
        <v>4.4402734844222227</v>
      </c>
      <c r="AR42" s="22">
        <f>VLOOKUP($A42,tabCustoUnit[],COLUMN(CUSTO_GLOBAL[[#Headers],[Aviso Prévio Trabalhado - APT]])-2,0)*($G42-$H42)</f>
        <v>69.262842599999999</v>
      </c>
      <c r="AS42" s="22">
        <f>VLOOKUP($A42,tabCustoUnit[],COLUMN(CUSTO_GLOBAL[[#Headers],[Incidência dos encargos do submódulo 2.1 sobre Aviso Prévio Trabalhado]])-2,0)*($G42-$H42)</f>
        <v>26.181354502800005</v>
      </c>
      <c r="AT42" s="22">
        <f>VLOOKUP($A42,tabCustoUnit[],COLUMN(CUSTO_GLOBAL[[#Headers],[Multa Rescisória do FGTS]])-2,0)*($G42-$H42)</f>
        <v>605.11537407999981</v>
      </c>
      <c r="AU42" s="22">
        <f>VLOOKUP($A42,tabCustoUnit[],COLUMN(CUSTO_GLOBAL[[#Headers],[Indenização Adicional (Art. 9º da Lei nº 7.238/84)]])-2,0)*($G42-$H42)</f>
        <v>16.491153000000001</v>
      </c>
      <c r="AV42" s="22">
        <f>VLOOKUP($A42,tabCustoUnit[],COLUMN(CUSTO_GLOBAL[[#Headers],[MÓDULO 3 – PROVISÃO PARA RESCISÃO]])-2,0)*($G42-$H42)</f>
        <v>871.35022776647202</v>
      </c>
      <c r="AW42" s="22">
        <f>VLOOKUP($A42,tabCustoUnit[],COLUMN(CUSTO_GLOBAL[[#Headers],[Ausência por Doença]])-2,0)*($G42-$H42)</f>
        <v>167.11035039999999</v>
      </c>
      <c r="AX42" s="22">
        <f>VLOOKUP($A42,tabCustoUnit[],COLUMN(CUSTO_GLOBAL[[#Headers],[Ausências Legais]])-2,0)*($G42-$H42)</f>
        <v>40.128472299999999</v>
      </c>
      <c r="AY42" s="22">
        <f>VLOOKUP($A42,tabCustoUnit[],COLUMN(CUSTO_GLOBAL[[#Headers],[Licença Paternidade]])-2,0)*($G42-$H42)</f>
        <v>3.3806863649999999</v>
      </c>
      <c r="AZ42" s="22">
        <f>VLOOKUP($A42,tabCustoUnit[],COLUMN(CUSTO_GLOBAL[[#Headers],[Ausência por Acidente de Trabalho]])-2,0)*($G42-$H42)</f>
        <v>4.1227882500000002</v>
      </c>
      <c r="BA42" s="22">
        <f>VLOOKUP($A42,tabCustoUnit[],COLUMN(CUSTO_GLOBAL[[#Headers],[Férias, Adicional de Férias e 13º  com empregada em gozo de Licença Maternidade]])-2,0)*($G42-$H42)</f>
        <v>25.652904666666664</v>
      </c>
      <c r="BB42" s="22">
        <f>VLOOKUP($A42,tabCustoUnit[],COLUMN(CUSTO_GLOBAL[[#Headers],[Incidência do Submódulo 2.1 sobre Ausências Legais]])-2,0)*($G42-$H42)</f>
        <v>90.869386349070012</v>
      </c>
      <c r="BC42" s="22">
        <f>VLOOKUP($A42,tabCustoUnit[],COLUMN(CUSTO_GLOBAL[[#Headers],[Submódulo 4.1]])-2,0)*($G42-$H42)</f>
        <v>331.26458833073661</v>
      </c>
      <c r="BD42" s="22">
        <f>VLOOKUP($A42,tabCustoUnit[],COLUMN(CUSTO_GLOBAL[[#Headers],[Intervalo para Repouso ou Alimentação]])-2,0)*($G42-$H42)</f>
        <v>0</v>
      </c>
      <c r="BE42" s="22">
        <f>VLOOKUP($A42,tabCustoUnit[],COLUMN(CUSTO_GLOBAL[[#Headers],[Submódulo 4.2]])-2,0)*($G42-$H42)</f>
        <v>0</v>
      </c>
      <c r="BF42" s="22">
        <f>VLOOKUP($A42,tabCustoUnit[],COLUMN(CUSTO_GLOBAL[[#Headers],[Suspensão Temporária do Contrato de Trabalho]])-2,0)*($G42-$H42)</f>
        <v>0</v>
      </c>
      <c r="BG42" s="22">
        <f>VLOOKUP($A42,tabCustoUnit[],COLUMN(CUSTO_GLOBAL[[#Headers],[Submódulo 4.3]])-2,0)*($G42-$H42)</f>
        <v>0</v>
      </c>
      <c r="BH42" s="22">
        <f>VLOOKUP($A42,tabCustoUnit[],COLUMN(CUSTO_GLOBAL[[#Headers],[MÓDULO 4 – CUSTO DE REPOSIÇÃO DO PROFISSIONAL AUSENTE]])-2,0)*($G42-$H42)</f>
        <v>331.26458833073661</v>
      </c>
      <c r="BI42" s="22">
        <f>VLOOKUP($A42,tabCustoUnit[],COLUMN(CUSTO_GLOBAL[[#Headers],[Uniformes e EPIs]])-2,0)*($G42-$H42)</f>
        <v>1292.3843213180587</v>
      </c>
      <c r="BJ42" s="22">
        <f>VLOOKUP($A42,tabCustoUnit[],COLUMN(CUSTO_GLOBAL[[#Headers],[Materiais de Consumo]])-2,0)*($G42-$H42)</f>
        <v>0</v>
      </c>
      <c r="BK42" s="22">
        <f>VLOOKUP($A42,tabCustoUnit[],COLUMN(CUSTO_GLOBAL[[#Headers],[Máquinas e Equipamentos (depreciação)]])-2,0)*($G42-$H42)</f>
        <v>0</v>
      </c>
      <c r="BL42" s="22">
        <f>VLOOKUP($A42,tabCustoUnit[],COLUMN(CUSTO_GLOBAL[[#Headers],[Produtos de Limpeza e Materiais de Higiene Pessoal]])-2,0)*($G42-$H42)</f>
        <v>0</v>
      </c>
      <c r="BM42" s="22">
        <f>VLOOKUP($A42,tabCustoUnit[],COLUMN(CUSTO_GLOBAL[[#Headers],[Outros (especificar)]])-2,0)*($G42-$H42)</f>
        <v>0</v>
      </c>
      <c r="BN42" s="22">
        <f>VLOOKUP($A42,tabCustoUnit[],COLUMN(CUSTO_GLOBAL[[#Headers],[MÓDULO 5 – INSUMOS DIVERSOS]])-2,0)*($G42-$H42)</f>
        <v>1292.3843213180587</v>
      </c>
      <c r="BO42" s="22" t="e">
        <f ca="1">VLOOKUP($A42,tabCustoUnit[],COLUMN(CUSTO_GLOBAL[[#Headers],[TOTAL MÓDULOS 1+2+3+4+5]])-2,0)*($G42-$H42)</f>
        <v>#NAME?</v>
      </c>
      <c r="BP42" s="22" t="e">
        <f ca="1">VLOOKUP($A42,tabCustoUnit[],COLUMN(CUSTO_GLOBAL[[#Headers],[Custos Indiretos]])-2,0)*($G42-$H42)</f>
        <v>#NAME?</v>
      </c>
      <c r="BQ42" s="22" t="e">
        <f ca="1">VLOOKUP($A42,tabCustoUnit[],COLUMN(CUSTO_GLOBAL[[#Headers],[Lucro]])-2,0)*($G42-$H42)</f>
        <v>#NAME?</v>
      </c>
      <c r="BR42" s="26">
        <f>VLOOKUP($A42,tabCustoUnit[],COLUMN(CUSTO_GLOBAL[[#Headers],[COFINS]])-2,0)</f>
        <v>8.8629737609329504E-2</v>
      </c>
      <c r="BS42" s="26">
        <f>VLOOKUP($A42,tabCustoUnit[],COLUMN(CUSTO_GLOBAL[[#Headers],[PIS]])-2,0)</f>
        <v>1.9241982507288629E-2</v>
      </c>
      <c r="BT42" s="28">
        <f>VLOOKUP($A42,tabCustoUnit[],COLUMN(CUSTO_GLOBAL[[#Headers],[ISS]])-2,0)</f>
        <v>0.05</v>
      </c>
      <c r="BU42" s="26">
        <f>VLOOKUP($A42,tabCustoUnit[],COLUMN(CUSTO_GLOBAL[[#Headers],[ISS (Conversão Alíquota s/ fatura)]])-2,0)</f>
        <v>5.8309037900874633E-2</v>
      </c>
      <c r="BV42" s="26">
        <f>VLOOKUP($A42,tabCustoUnit[],COLUMN(CUSTO_GLOBAL[[#Headers],[Resumo de Alíquotas (PIS+CONFINS+ISS)]])-2,0)</f>
        <v>0.14250000000000002</v>
      </c>
      <c r="BW42" s="138">
        <f>VLOOKUP($A42,tabCustoUnit[],COLUMN(CUSTO_GLOBAL[[#Headers],[PIS + COFINS + ISS (Total Conversão  Alíquota s/ Fatura)]])-2,0)</f>
        <v>0.16618075801749277</v>
      </c>
      <c r="BX42" s="22" t="e">
        <f ca="1">VLOOKUP($A42,tabCustoUnit[],COLUMN(CUSTO_GLOBAL[[#Headers],[Valor dos Tributos (ISS, PIS, CONFINS)]])-2,0)*($G42-$H42)</f>
        <v>#NAME?</v>
      </c>
      <c r="BY42" s="22" t="e">
        <f ca="1">VLOOKUP($A42,tabCustoUnit[],COLUMN(CUSTO_GLOBAL[[#Headers],[MÓDULO 6 – CUSTOS INDIRETOS, TRIBUTOS E LUCRO]])-2,0)*($G42-$H42)</f>
        <v>#NAME?</v>
      </c>
      <c r="BZ42" s="22" t="e">
        <f ca="1">VLOOKUP($A42,tabCustoUnit[],COLUMN(CUSTO_GLOBAL[[#Headers],[CUSTO TOTAL MENSAL]])-2,0)*($G42-$H42)</f>
        <v>#NAME?</v>
      </c>
      <c r="CA42" s="22" t="e">
        <f ca="1">CUSTO_GLOBAL[[#This Row],[CUSTO TOTAL MENSAL]]*12</f>
        <v>#NAME?</v>
      </c>
      <c r="CB42" s="24">
        <f>VLOOKUP($A42,tabCustoUnit[],COLUMN(CUSTO_GLOBAL[[#Headers],[ANO DA CCT]])-2,0)</f>
        <v>45658</v>
      </c>
      <c r="CC42" s="25" t="str">
        <f>VLOOKUP($A42,tabCustoUnit[],COLUMN(CUSTO_GLOBAL[[#Headers],[Nº DE PEDIDO DA CCT]])-2,0)</f>
        <v>-</v>
      </c>
      <c r="CD42" s="25" t="str">
        <f>VLOOKUP($A42,tabCustoUnit[],COLUMN(CUSTO_GLOBAL[[#Headers],[TERMO ADITIVO ALTERAÇÃO DA CCT]])-2,0)</f>
        <v>-</v>
      </c>
    </row>
    <row r="43" spans="1:82">
      <c r="A43" s="20" t="s">
        <v>1422</v>
      </c>
      <c r="B43" t="s">
        <v>1103</v>
      </c>
      <c r="C43" t="s">
        <v>214</v>
      </c>
      <c r="D43" t="s">
        <v>1054</v>
      </c>
      <c r="E43" s="20" t="s">
        <v>1090</v>
      </c>
      <c r="F43" s="20" t="s">
        <v>120</v>
      </c>
      <c r="G43" s="20">
        <v>8</v>
      </c>
      <c r="H43" s="20">
        <v>0</v>
      </c>
      <c r="I43" s="21">
        <f>VLOOKUP($A43,tabCustoUnit[],COLUMN(CUSTO_GLOBAL[[#Headers],[Salário Base]])-2,0)*($G43-$H43)</f>
        <v>14692.788</v>
      </c>
      <c r="J43" s="21">
        <f>VLOOKUP($A43,tabCustoUnit[],COLUMN(CUSTO_GLOBAL[[#Headers],[Adicional Periculosidade]])-2,0)*($G43-$H43)</f>
        <v>0</v>
      </c>
      <c r="K43" s="21">
        <f>VLOOKUP($A43,tabCustoUnit[],COLUMN(CUSTO_GLOBAL[[#Headers],[Adicional Insalubridade]])-2,0)*($G43-$H43)</f>
        <v>0</v>
      </c>
      <c r="L43" s="21">
        <f>VLOOKUP($A43,tabCustoUnit[],COLUMN(CUSTO_GLOBAL[[#Headers],[Adicional Noturno]])-2,0)*($G43-$H43)</f>
        <v>0</v>
      </c>
      <c r="M43" s="21">
        <f>VLOOKUP($A43,tabCustoUnit[],COLUMN(CUSTO_GLOBAL[[#Headers],[Adicional Motorista II (Gratificação)]])-2,0)*($G43-$H43)</f>
        <v>0</v>
      </c>
      <c r="N43" s="21">
        <f>VLOOKUP($A43,tabCustoUnit[],COLUMN(CUSTO_GLOBAL[[#Headers],[Adicional de Sobreaviso]])-2,0)*($G43-$H43)</f>
        <v>0</v>
      </c>
      <c r="O43" s="21">
        <f>VLOOKUP($A43,tabCustoUnit[],COLUMN(CUSTO_GLOBAL[[#Headers],[Horas Extras TI]])-2,0)*($G43-$H43)</f>
        <v>0</v>
      </c>
      <c r="P43" s="21">
        <f>VLOOKUP($A43,tabCustoUnit[],COLUMN(CUSTO_GLOBAL[[#Headers],[Adicional de Acúmulo de função]])-2,0)*($G43-$H43)</f>
        <v>0</v>
      </c>
      <c r="Q43" s="21">
        <f>VLOOKUP($A43,tabCustoUnit[],COLUMN(CUSTO_GLOBAL[[#Headers],[MODULO 1 - REMUNERAÇÃO ]])-2,0)*($G43-$H43)</f>
        <v>14692.788</v>
      </c>
      <c r="R43" s="21">
        <f>VLOOKUP($A43,tabCustoUnit[],COLUMN(CUSTO_GLOBAL[[#Headers],[INSS]])-2,0)*($G43-$H43)</f>
        <v>2938.5576000000001</v>
      </c>
      <c r="S43" s="21">
        <f>VLOOKUP($A43,tabCustoUnit[],COLUMN(CUSTO_GLOBAL[[#Headers],[SESI OU SESC]])-2,0)*($G43-$H43)</f>
        <v>220.39182</v>
      </c>
      <c r="T43" s="21">
        <f>VLOOKUP($A43,tabCustoUnit[],COLUMN(CUSTO_GLOBAL[[#Headers],[SENAI OU SENAC]])-2,0)*($G43-$H43)</f>
        <v>146.92788000000002</v>
      </c>
      <c r="U43" s="21">
        <f>VLOOKUP($A43,tabCustoUnit[],COLUMN(CUSTO_GLOBAL[[#Headers],[INCRA]])-2,0)*($G43-$H43)</f>
        <v>29.385576</v>
      </c>
      <c r="V43" s="21">
        <f>VLOOKUP($A43,tabCustoUnit[],COLUMN(CUSTO_GLOBAL[[#Headers],[Salário Educação]])-2,0)*($G43-$H43)</f>
        <v>367.31970000000001</v>
      </c>
      <c r="W43" s="21">
        <f>VLOOKUP($A43,tabCustoUnit[],COLUMN(CUSTO_GLOBAL[[#Headers],[FGTS]])-2,0)*($G43-$H43)</f>
        <v>1175.4230400000001</v>
      </c>
      <c r="X43" s="21">
        <f>VLOOKUP($A43,tabCustoUnit[],COLUMN(CUSTO_GLOBAL[[#Headers],[RAT Ajustado]])-2,0)*($G43-$H43)</f>
        <v>587.71152000000006</v>
      </c>
      <c r="Y43" s="21">
        <f>VLOOKUP($A43,tabCustoUnit[],COLUMN(CUSTO_GLOBAL[[#Headers],[SEBRAE]])-2,0)*($G43-$H43)</f>
        <v>88.156728000000001</v>
      </c>
      <c r="Z43" s="21">
        <f>VLOOKUP($A43,tabCustoUnit[],COLUMN(CUSTO_GLOBAL[[#Headers],[Submódulo 2.1]])-2,0)*($G43-$H43)</f>
        <v>5553.8738640000001</v>
      </c>
      <c r="AA43" s="21">
        <f>VLOOKUP($A43,tabCustoUnit[],COLUMN(CUSTO_GLOBAL[[#Headers],[13º salário (titular)]])-2,0)*($G43-$H43)</f>
        <v>1224.3989999999999</v>
      </c>
      <c r="AB43" s="21">
        <f>VLOOKUP($A43,tabCustoUnit[],COLUMN(CUSTO_GLOBAL[[#Headers],[Férias e Adicional de Férias (titular)]])-2,0)*($G43-$H43)</f>
        <v>1632.5319999999999</v>
      </c>
      <c r="AC43" s="21">
        <f>VLOOKUP($A43,tabCustoUnit[],COLUMN(CUSTO_GLOBAL[[#Headers],[Incidência do Submódulo 2.1 sobre 13º Salário, Férias e Adicional de Férias]])-2,0)*($G43-$H43)</f>
        <v>1079.9199179999998</v>
      </c>
      <c r="AD43" s="21">
        <f>VLOOKUP($A43,tabCustoUnit[],COLUMN(CUSTO_GLOBAL[[#Headers],[Submódulo 2.2]])-2,0)*($G43-$H43)</f>
        <v>3936.8509179999992</v>
      </c>
      <c r="AE43" s="22" t="e">
        <f ca="1">VLOOKUP($A43,tabCustoUnit[],COLUMN(CUSTO_GLOBAL[[#Headers],[Vale - Transporte (Descontada parcela do empregado)]])-2,0)*($G43-$H43)</f>
        <v>#NAME?</v>
      </c>
      <c r="AF43" s="22">
        <f>VLOOKUP($A43,tabCustoUnit[],COLUMN(CUSTO_GLOBAL[[#Headers],[Vale - Alimentação (Descontada parcela do empregado)]])-2,0)*($G43-$H43)</f>
        <v>4654.3999999999996</v>
      </c>
      <c r="AG43" s="22">
        <f>VLOOKUP($A43,tabCustoUnit[],COLUMN(CUSTO_GLOBAL[[#Headers],[Cesta Básica]])-2,0)*($G43-$H43)</f>
        <v>0</v>
      </c>
      <c r="AH43" s="22">
        <f>VLOOKUP($A43,tabCustoUnit[],COLUMN(CUSTO_GLOBAL[[#Headers],[PAF]])-2,0)*($G43-$H43)</f>
        <v>413.84</v>
      </c>
      <c r="AI43" s="22">
        <f>VLOOKUP($A43,tabCustoUnit[],COLUMN(CUSTO_GLOBAL[[#Headers],[PQM]])-2,0)*($G43-$H43)</f>
        <v>0</v>
      </c>
      <c r="AJ43" s="22">
        <v>0</v>
      </c>
      <c r="AK43" s="22">
        <f>VLOOKUP($A43,tabCustoUnit[],COLUMN(CUSTO_GLOBAL[[#Headers],[Seguro de Vida]])-2,0)*($G43-$H43)</f>
        <v>26.88</v>
      </c>
      <c r="AL43" s="22">
        <f>VLOOKUP($A43,tabCustoUnit[],COLUMN(CUSTO_GLOBAL[[#Headers],[Despesas de Viagem]])-2,0)*($G43-$H43)</f>
        <v>1616.64</v>
      </c>
      <c r="AM43" s="22" t="e">
        <f ca="1">VLOOKUP($A43,tabCustoUnit[],COLUMN(CUSTO_GLOBAL[[#Headers],[Submódulo 2.3]])-2,0)*($G43-$H43)</f>
        <v>#NAME?</v>
      </c>
      <c r="AN43" s="22" t="e">
        <f ca="1">VLOOKUP($A43,tabCustoUnit[],COLUMN(CUSTO_GLOBAL[[#Headers],[MÓDULO 2 - Total Encargos e Benefícios mensais e diários]])-2,0)*($G43-$H43)</f>
        <v>#NAME?</v>
      </c>
      <c r="AO43" s="22">
        <f>VLOOKUP($A43,tabCustoUnit[],COLUMN(CUSTO_GLOBAL[[#Headers],[Aviso Prévio Indenizado (API) e Reflexo do Aviso Prévio Indenizado]])-2,0)*($G43-$H43)</f>
        <v>103.02240567361112</v>
      </c>
      <c r="AP43" s="22">
        <f>VLOOKUP($A43,tabCustoUnit[],COLUMN(CUSTO_GLOBAL[[#Headers],[Incidência do FGTS sobre API e Reflexo do API]])-2,0)*($G43-$H43)</f>
        <v>8.2417924538888894</v>
      </c>
      <c r="AQ43" s="22">
        <f>VLOOKUP($A43,tabCustoUnit[],COLUMN(CUSTO_GLOBAL[[#Headers],[Multa Rescisória do FGTS sobre o Aviso Prévio Indenizado]])-2,0)*($G43-$H43)</f>
        <v>3.2967169815555564</v>
      </c>
      <c r="AR43" s="22">
        <f>VLOOKUP($A43,tabCustoUnit[],COLUMN(CUSTO_GLOBAL[[#Headers],[Aviso Prévio Trabalhado - APT]])-2,0)*($G43-$H43)</f>
        <v>51.424758000000011</v>
      </c>
      <c r="AS43" s="22">
        <f>VLOOKUP($A43,tabCustoUnit[],COLUMN(CUSTO_GLOBAL[[#Headers],[Incidência dos encargos do submódulo 2.1 sobre Aviso Prévio Trabalhado]])-2,0)*($G43-$H43)</f>
        <v>19.438558524000005</v>
      </c>
      <c r="AT43" s="22">
        <f>VLOOKUP($A43,tabCustoUnit[],COLUMN(CUSTO_GLOBAL[[#Headers],[Multa Rescisória do FGTS]])-2,0)*($G43-$H43)</f>
        <v>449.27280639999992</v>
      </c>
      <c r="AU43" s="22">
        <f>VLOOKUP($A43,tabCustoUnit[],COLUMN(CUSTO_GLOBAL[[#Headers],[Indenização Adicional (Art. 9º da Lei nº 7.238/84)]])-2,0)*($G43-$H43)</f>
        <v>12.243990000000002</v>
      </c>
      <c r="AV43" s="22">
        <f>VLOOKUP($A43,tabCustoUnit[],COLUMN(CUSTO_GLOBAL[[#Headers],[MÓDULO 3 – PROVISÃO PARA RESCISÃO]])-2,0)*($G43-$H43)</f>
        <v>646.94102803305555</v>
      </c>
      <c r="AW43" s="22">
        <f>VLOOKUP($A43,tabCustoUnit[],COLUMN(CUSTO_GLOBAL[[#Headers],[Ausência por Doença]])-2,0)*($G43-$H43)</f>
        <v>124.07243199999999</v>
      </c>
      <c r="AX43" s="22">
        <f>VLOOKUP($A43,tabCustoUnit[],COLUMN(CUSTO_GLOBAL[[#Headers],[Ausências Legais]])-2,0)*($G43-$H43)</f>
        <v>29.793709</v>
      </c>
      <c r="AY43" s="22">
        <f>VLOOKUP($A43,tabCustoUnit[],COLUMN(CUSTO_GLOBAL[[#Headers],[Licença Paternidade]])-2,0)*($G43-$H43)</f>
        <v>2.5100179499999999</v>
      </c>
      <c r="AZ43" s="22">
        <f>VLOOKUP($A43,tabCustoUnit[],COLUMN(CUSTO_GLOBAL[[#Headers],[Ausência por Acidente de Trabalho]])-2,0)*($G43-$H43)</f>
        <v>3.0609975000000005</v>
      </c>
      <c r="BA43" s="22">
        <f>VLOOKUP($A43,tabCustoUnit[],COLUMN(CUSTO_GLOBAL[[#Headers],[Férias, Adicional de Férias e 13º  com empregada em gozo de Licença Maternidade]])-2,0)*($G43-$H43)</f>
        <v>19.046206666666667</v>
      </c>
      <c r="BB43" s="22">
        <f>VLOOKUP($A43,tabCustoUnit[],COLUMN(CUSTO_GLOBAL[[#Headers],[Incidência do Submódulo 2.1 sobre Ausências Legais]])-2,0)*($G43-$H43)</f>
        <v>67.46671125810002</v>
      </c>
      <c r="BC43" s="22">
        <f>VLOOKUP($A43,tabCustoUnit[],COLUMN(CUSTO_GLOBAL[[#Headers],[Submódulo 4.1]])-2,0)*($G43-$H43)</f>
        <v>245.9500743747667</v>
      </c>
      <c r="BD43" s="22">
        <f>VLOOKUP($A43,tabCustoUnit[],COLUMN(CUSTO_GLOBAL[[#Headers],[Intervalo para Repouso ou Alimentação]])-2,0)*($G43-$H43)</f>
        <v>0</v>
      </c>
      <c r="BE43" s="22">
        <f>VLOOKUP($A43,tabCustoUnit[],COLUMN(CUSTO_GLOBAL[[#Headers],[Submódulo 4.2]])-2,0)*($G43-$H43)</f>
        <v>0</v>
      </c>
      <c r="BF43" s="22">
        <f>VLOOKUP($A43,tabCustoUnit[],COLUMN(CUSTO_GLOBAL[[#Headers],[Suspensão Temporária do Contrato de Trabalho]])-2,0)*($G43-$H43)</f>
        <v>0</v>
      </c>
      <c r="BG43" s="22">
        <f>VLOOKUP($A43,tabCustoUnit[],COLUMN(CUSTO_GLOBAL[[#Headers],[Submódulo 4.3]])-2,0)*($G43-$H43)</f>
        <v>0</v>
      </c>
      <c r="BH43" s="22">
        <f>VLOOKUP($A43,tabCustoUnit[],COLUMN(CUSTO_GLOBAL[[#Headers],[MÓDULO 4 – CUSTO DE REPOSIÇÃO DO PROFISSIONAL AUSENTE]])-2,0)*($G43-$H43)</f>
        <v>245.9500743747667</v>
      </c>
      <c r="BI43" s="22">
        <f>VLOOKUP($A43,tabCustoUnit[],COLUMN(CUSTO_GLOBAL[[#Headers],[Uniformes e EPIs]])-2,0)*($G43-$H43)</f>
        <v>352.89077158965085</v>
      </c>
      <c r="BJ43" s="22">
        <f>VLOOKUP($A43,tabCustoUnit[],COLUMN(CUSTO_GLOBAL[[#Headers],[Materiais de Consumo]])-2,0)*($G43-$H43)</f>
        <v>0</v>
      </c>
      <c r="BK43" s="22">
        <f>VLOOKUP($A43,tabCustoUnit[],COLUMN(CUSTO_GLOBAL[[#Headers],[Máquinas e Equipamentos (depreciação)]])-2,0)*($G43-$H43)</f>
        <v>0</v>
      </c>
      <c r="BL43" s="22">
        <f>VLOOKUP($A43,tabCustoUnit[],COLUMN(CUSTO_GLOBAL[[#Headers],[Produtos de Limpeza e Materiais de Higiene Pessoal]])-2,0)*($G43-$H43)</f>
        <v>0</v>
      </c>
      <c r="BM43" s="22">
        <f>VLOOKUP($A43,tabCustoUnit[],COLUMN(CUSTO_GLOBAL[[#Headers],[Outros (especificar)]])-2,0)*($G43-$H43)</f>
        <v>0</v>
      </c>
      <c r="BN43" s="22">
        <f>VLOOKUP($A43,tabCustoUnit[],COLUMN(CUSTO_GLOBAL[[#Headers],[MÓDULO 5 – INSUMOS DIVERSOS]])-2,0)*($G43-$H43)</f>
        <v>352.89077158965085</v>
      </c>
      <c r="BO43" s="22" t="e">
        <f ca="1">VLOOKUP($A43,tabCustoUnit[],COLUMN(CUSTO_GLOBAL[[#Headers],[TOTAL MÓDULOS 1+2+3+4+5]])-2,0)*($G43-$H43)</f>
        <v>#NAME?</v>
      </c>
      <c r="BP43" s="22" t="e">
        <f ca="1">VLOOKUP($A43,tabCustoUnit[],COLUMN(CUSTO_GLOBAL[[#Headers],[Custos Indiretos]])-2,0)*($G43-$H43)</f>
        <v>#NAME?</v>
      </c>
      <c r="BQ43" s="22" t="e">
        <f ca="1">VLOOKUP($A43,tabCustoUnit[],COLUMN(CUSTO_GLOBAL[[#Headers],[Lucro]])-2,0)*($G43-$H43)</f>
        <v>#NAME?</v>
      </c>
      <c r="BR43" s="26">
        <f>VLOOKUP($A43,tabCustoUnit[],COLUMN(CUSTO_GLOBAL[[#Headers],[COFINS]])-2,0)</f>
        <v>8.8629737609329504E-2</v>
      </c>
      <c r="BS43" s="26">
        <f>VLOOKUP($A43,tabCustoUnit[],COLUMN(CUSTO_GLOBAL[[#Headers],[PIS]])-2,0)</f>
        <v>1.9241982507288629E-2</v>
      </c>
      <c r="BT43" s="28">
        <f>VLOOKUP($A43,tabCustoUnit[],COLUMN(CUSTO_GLOBAL[[#Headers],[ISS]])-2,0)</f>
        <v>0.05</v>
      </c>
      <c r="BU43" s="26">
        <f>VLOOKUP($A43,tabCustoUnit[],COLUMN(CUSTO_GLOBAL[[#Headers],[ISS (Conversão Alíquota s/ fatura)]])-2,0)</f>
        <v>5.8309037900874633E-2</v>
      </c>
      <c r="BV43" s="26">
        <f>VLOOKUP($A43,tabCustoUnit[],COLUMN(CUSTO_GLOBAL[[#Headers],[Resumo de Alíquotas (PIS+CONFINS+ISS)]])-2,0)</f>
        <v>0.14250000000000002</v>
      </c>
      <c r="BW43" s="138">
        <f>VLOOKUP($A43,tabCustoUnit[],COLUMN(CUSTO_GLOBAL[[#Headers],[PIS + COFINS + ISS (Total Conversão  Alíquota s/ Fatura)]])-2,0)</f>
        <v>0.16618075801749277</v>
      </c>
      <c r="BX43" s="22" t="e">
        <f ca="1">VLOOKUP($A43,tabCustoUnit[],COLUMN(CUSTO_GLOBAL[[#Headers],[Valor dos Tributos (ISS, PIS, CONFINS)]])-2,0)*($G43-$H43)</f>
        <v>#NAME?</v>
      </c>
      <c r="BY43" s="22" t="e">
        <f ca="1">VLOOKUP($A43,tabCustoUnit[],COLUMN(CUSTO_GLOBAL[[#Headers],[MÓDULO 6 – CUSTOS INDIRETOS, TRIBUTOS E LUCRO]])-2,0)*($G43-$H43)</f>
        <v>#NAME?</v>
      </c>
      <c r="BZ43" s="22" t="e">
        <f ca="1">VLOOKUP($A43,tabCustoUnit[],COLUMN(CUSTO_GLOBAL[[#Headers],[CUSTO TOTAL MENSAL]])-2,0)*($G43-$H43)</f>
        <v>#NAME?</v>
      </c>
      <c r="CA43" s="22" t="e">
        <f ca="1">CUSTO_GLOBAL[[#This Row],[CUSTO TOTAL MENSAL]]*12</f>
        <v>#NAME?</v>
      </c>
      <c r="CB43" s="24">
        <f>VLOOKUP($A43,tabCustoUnit[],COLUMN(CUSTO_GLOBAL[[#Headers],[ANO DA CCT]])-2,0)</f>
        <v>45658</v>
      </c>
      <c r="CC43" s="25" t="str">
        <f>VLOOKUP($A43,tabCustoUnit[],COLUMN(CUSTO_GLOBAL[[#Headers],[Nº DE PEDIDO DA CCT]])-2,0)</f>
        <v>-</v>
      </c>
      <c r="CD43" s="25" t="str">
        <f>VLOOKUP($A43,tabCustoUnit[],COLUMN(CUSTO_GLOBAL[[#Headers],[TERMO ADITIVO ALTERAÇÃO DA CCT]])-2,0)</f>
        <v>-</v>
      </c>
    </row>
    <row r="44" spans="1:82">
      <c r="A44" s="20" t="s">
        <v>1423</v>
      </c>
      <c r="B44" t="s">
        <v>1103</v>
      </c>
      <c r="C44" t="s">
        <v>219</v>
      </c>
      <c r="D44" t="s">
        <v>1035</v>
      </c>
      <c r="E44" s="20" t="s">
        <v>1090</v>
      </c>
      <c r="F44" s="20" t="s">
        <v>120</v>
      </c>
      <c r="G44" s="20">
        <v>18</v>
      </c>
      <c r="H44" s="20">
        <v>0</v>
      </c>
      <c r="I44" s="21">
        <f>VLOOKUP($A44,tabCustoUnit[],COLUMN(CUSTO_GLOBAL[[#Headers],[Salário Base]])-2,0)*($G44-$H44)</f>
        <v>66128.457599999994</v>
      </c>
      <c r="J44" s="21">
        <f>VLOOKUP($A44,tabCustoUnit[],COLUMN(CUSTO_GLOBAL[[#Headers],[Adicional Periculosidade]])-2,0)*($G44-$H44)</f>
        <v>19838.538</v>
      </c>
      <c r="K44" s="21">
        <f>VLOOKUP($A44,tabCustoUnit[],COLUMN(CUSTO_GLOBAL[[#Headers],[Adicional Insalubridade]])-2,0)*($G44-$H44)</f>
        <v>0</v>
      </c>
      <c r="L44" s="21">
        <f>VLOOKUP($A44,tabCustoUnit[],COLUMN(CUSTO_GLOBAL[[#Headers],[Adicional Noturno]])-2,0)*($G44-$H44)</f>
        <v>0</v>
      </c>
      <c r="M44" s="21">
        <f>VLOOKUP($A44,tabCustoUnit[],COLUMN(CUSTO_GLOBAL[[#Headers],[Adicional Motorista II (Gratificação)]])-2,0)*($G44-$H44)</f>
        <v>0</v>
      </c>
      <c r="N44" s="21">
        <f>VLOOKUP($A44,tabCustoUnit[],COLUMN(CUSTO_GLOBAL[[#Headers],[Adicional de Sobreaviso]])-2,0)*($G44-$H44)</f>
        <v>0</v>
      </c>
      <c r="O44" s="21">
        <f>VLOOKUP($A44,tabCustoUnit[],COLUMN(CUSTO_GLOBAL[[#Headers],[Horas Extras TI]])-2,0)*($G44-$H44)</f>
        <v>0</v>
      </c>
      <c r="P44" s="21">
        <f>VLOOKUP($A44,tabCustoUnit[],COLUMN(CUSTO_GLOBAL[[#Headers],[Adicional de Acúmulo de função]])-2,0)*($G44-$H44)</f>
        <v>0</v>
      </c>
      <c r="Q44" s="21">
        <f>VLOOKUP($A44,tabCustoUnit[],COLUMN(CUSTO_GLOBAL[[#Headers],[MODULO 1 - REMUNERAÇÃO ]])-2,0)*($G44-$H44)</f>
        <v>85966.995599999995</v>
      </c>
      <c r="R44" s="21">
        <f>VLOOKUP($A44,tabCustoUnit[],COLUMN(CUSTO_GLOBAL[[#Headers],[INSS]])-2,0)*($G44-$H44)</f>
        <v>17193.399120000002</v>
      </c>
      <c r="S44" s="21">
        <f>VLOOKUP($A44,tabCustoUnit[],COLUMN(CUSTO_GLOBAL[[#Headers],[SESI OU SESC]])-2,0)*($G44-$H44)</f>
        <v>1289.504934</v>
      </c>
      <c r="T44" s="21">
        <f>VLOOKUP($A44,tabCustoUnit[],COLUMN(CUSTO_GLOBAL[[#Headers],[SENAI OU SENAC]])-2,0)*($G44-$H44)</f>
        <v>859.66995599999996</v>
      </c>
      <c r="U44" s="21">
        <f>VLOOKUP($A44,tabCustoUnit[],COLUMN(CUSTO_GLOBAL[[#Headers],[INCRA]])-2,0)*($G44-$H44)</f>
        <v>171.93399119999998</v>
      </c>
      <c r="V44" s="21">
        <f>VLOOKUP($A44,tabCustoUnit[],COLUMN(CUSTO_GLOBAL[[#Headers],[Salário Educação]])-2,0)*($G44-$H44)</f>
        <v>2149.1748900000002</v>
      </c>
      <c r="W44" s="21">
        <f>VLOOKUP($A44,tabCustoUnit[],COLUMN(CUSTO_GLOBAL[[#Headers],[FGTS]])-2,0)*($G44-$H44)</f>
        <v>6877.3596479999997</v>
      </c>
      <c r="X44" s="21">
        <f>VLOOKUP($A44,tabCustoUnit[],COLUMN(CUSTO_GLOBAL[[#Headers],[RAT Ajustado]])-2,0)*($G44-$H44)</f>
        <v>3438.6798239999998</v>
      </c>
      <c r="Y44" s="21">
        <f>VLOOKUP($A44,tabCustoUnit[],COLUMN(CUSTO_GLOBAL[[#Headers],[SEBRAE]])-2,0)*($G44-$H44)</f>
        <v>515.8019736</v>
      </c>
      <c r="Z44" s="21">
        <f>VLOOKUP($A44,tabCustoUnit[],COLUMN(CUSTO_GLOBAL[[#Headers],[Submódulo 2.1]])-2,0)*($G44-$H44)</f>
        <v>32495.524336800001</v>
      </c>
      <c r="AA44" s="21">
        <f>VLOOKUP($A44,tabCustoUnit[],COLUMN(CUSTO_GLOBAL[[#Headers],[13º salário (titular)]])-2,0)*($G44-$H44)</f>
        <v>7163.9162999999999</v>
      </c>
      <c r="AB44" s="21">
        <f>VLOOKUP($A44,tabCustoUnit[],COLUMN(CUSTO_GLOBAL[[#Headers],[Férias e Adicional de Férias (titular)]])-2,0)*($G44-$H44)</f>
        <v>9551.888399999998</v>
      </c>
      <c r="AC44" s="21">
        <f>VLOOKUP($A44,tabCustoUnit[],COLUMN(CUSTO_GLOBAL[[#Headers],[Incidência do Submódulo 2.1 sobre 13º Salário, Férias e Adicional de Férias]])-2,0)*($G44-$H44)</f>
        <v>6318.574176600001</v>
      </c>
      <c r="AD44" s="21">
        <f>VLOOKUP($A44,tabCustoUnit[],COLUMN(CUSTO_GLOBAL[[#Headers],[Submódulo 2.2]])-2,0)*($G44-$H44)</f>
        <v>23034.3788766</v>
      </c>
      <c r="AE44" s="22" t="e">
        <f ca="1">VLOOKUP($A44,tabCustoUnit[],COLUMN(CUSTO_GLOBAL[[#Headers],[Vale - Transporte (Descontada parcela do empregado)]])-2,0)*($G44-$H44)</f>
        <v>#NAME?</v>
      </c>
      <c r="AF44" s="22">
        <f>VLOOKUP($A44,tabCustoUnit[],COLUMN(CUSTO_GLOBAL[[#Headers],[Vale - Alimentação (Descontada parcela do empregado)]])-2,0)*($G44-$H44)</f>
        <v>10476</v>
      </c>
      <c r="AG44" s="22">
        <f>VLOOKUP($A44,tabCustoUnit[],COLUMN(CUSTO_GLOBAL[[#Headers],[Cesta Básica]])-2,0)*($G44-$H44)</f>
        <v>0</v>
      </c>
      <c r="AH44" s="22">
        <f>VLOOKUP($A44,tabCustoUnit[],COLUMN(CUSTO_GLOBAL[[#Headers],[PAF]])-2,0)*($G44-$H44)</f>
        <v>1726.2</v>
      </c>
      <c r="AI44" s="22">
        <f>VLOOKUP($A44,tabCustoUnit[],COLUMN(CUSTO_GLOBAL[[#Headers],[PQM]])-2,0)*($G44-$H44)</f>
        <v>0</v>
      </c>
      <c r="AJ44" s="22">
        <v>0</v>
      </c>
      <c r="AK44" s="22">
        <f>VLOOKUP($A44,tabCustoUnit[],COLUMN(CUSTO_GLOBAL[[#Headers],[Seguro de Vida]])-2,0)*($G44-$H44)</f>
        <v>60.48</v>
      </c>
      <c r="AL44" s="22">
        <f>VLOOKUP($A44,tabCustoUnit[],COLUMN(CUSTO_GLOBAL[[#Headers],[Despesas de Viagem]])-2,0)*($G44-$H44)</f>
        <v>3637.44</v>
      </c>
      <c r="AM44" s="22" t="e">
        <f ca="1">VLOOKUP($A44,tabCustoUnit[],COLUMN(CUSTO_GLOBAL[[#Headers],[Submódulo 2.3]])-2,0)*($G44-$H44)</f>
        <v>#NAME?</v>
      </c>
      <c r="AN44" s="22" t="e">
        <f ca="1">VLOOKUP($A44,tabCustoUnit[],COLUMN(CUSTO_GLOBAL[[#Headers],[MÓDULO 2 - Total Encargos e Benefícios mensais e diários]])-2,0)*($G44-$H44)</f>
        <v>#NAME?</v>
      </c>
      <c r="AO44" s="22">
        <f>VLOOKUP($A44,tabCustoUnit[],COLUMN(CUSTO_GLOBAL[[#Headers],[Aviso Prévio Indenizado (API) e Reflexo do Aviso Prévio Indenizado]])-2,0)*($G44-$H44)</f>
        <v>602.78054071458325</v>
      </c>
      <c r="AP44" s="22">
        <f>VLOOKUP($A44,tabCustoUnit[],COLUMN(CUSTO_GLOBAL[[#Headers],[Incidência do FGTS sobre API e Reflexo do API]])-2,0)*($G44-$H44)</f>
        <v>48.222443257166674</v>
      </c>
      <c r="AQ44" s="22">
        <f>VLOOKUP($A44,tabCustoUnit[],COLUMN(CUSTO_GLOBAL[[#Headers],[Multa Rescisória do FGTS sobre o Aviso Prévio Indenizado]])-2,0)*($G44-$H44)</f>
        <v>19.28897730286667</v>
      </c>
      <c r="AR44" s="22">
        <f>VLOOKUP($A44,tabCustoUnit[],COLUMN(CUSTO_GLOBAL[[#Headers],[Aviso Prévio Trabalhado - APT]])-2,0)*($G44-$H44)</f>
        <v>300.88448460000006</v>
      </c>
      <c r="AS44" s="22">
        <f>VLOOKUP($A44,tabCustoUnit[],COLUMN(CUSTO_GLOBAL[[#Headers],[Incidência dos encargos do submódulo 2.1 sobre Aviso Prévio Trabalhado]])-2,0)*($G44-$H44)</f>
        <v>113.73433517880004</v>
      </c>
      <c r="AT44" s="22">
        <f>VLOOKUP($A44,tabCustoUnit[],COLUMN(CUSTO_GLOBAL[[#Headers],[Multa Rescisória do FGTS]])-2,0)*($G44-$H44)</f>
        <v>2628.6796876799995</v>
      </c>
      <c r="AU44" s="22">
        <f>VLOOKUP($A44,tabCustoUnit[],COLUMN(CUSTO_GLOBAL[[#Headers],[Indenização Adicional (Art. 9º da Lei nº 7.238/84)]])-2,0)*($G44-$H44)</f>
        <v>71.639162999999996</v>
      </c>
      <c r="AV44" s="22">
        <f>VLOOKUP($A44,tabCustoUnit[],COLUMN(CUSTO_GLOBAL[[#Headers],[MÓDULO 3 – PROVISÃO PARA RESCISÃO]])-2,0)*($G44-$H44)</f>
        <v>3785.2296317334158</v>
      </c>
      <c r="AW44" s="22">
        <f>VLOOKUP($A44,tabCustoUnit[],COLUMN(CUSTO_GLOBAL[[#Headers],[Ausência por Doença]])-2,0)*($G44-$H44)</f>
        <v>725.9435183999999</v>
      </c>
      <c r="AX44" s="22">
        <f>VLOOKUP($A44,tabCustoUnit[],COLUMN(CUSTO_GLOBAL[[#Headers],[Ausências Legais]])-2,0)*($G44-$H44)</f>
        <v>174.32196329999999</v>
      </c>
      <c r="AY44" s="22">
        <f>VLOOKUP($A44,tabCustoUnit[],COLUMN(CUSTO_GLOBAL[[#Headers],[Licença Paternidade]])-2,0)*($G44-$H44)</f>
        <v>14.686028414999999</v>
      </c>
      <c r="AZ44" s="22">
        <f>VLOOKUP($A44,tabCustoUnit[],COLUMN(CUSTO_GLOBAL[[#Headers],[Ausência por Acidente de Trabalho]])-2,0)*($G44-$H44)</f>
        <v>17.909790749999999</v>
      </c>
      <c r="BA44" s="22">
        <f>VLOOKUP($A44,tabCustoUnit[],COLUMN(CUSTO_GLOBAL[[#Headers],[Férias, Adicional de Férias e 13º  com empregada em gozo de Licença Maternidade]])-2,0)*($G44-$H44)</f>
        <v>111.43869799999999</v>
      </c>
      <c r="BB44" s="22">
        <f>VLOOKUP($A44,tabCustoUnit[],COLUMN(CUSTO_GLOBAL[[#Headers],[Incidência do Submódulo 2.1 sobre Ausências Legais]])-2,0)*($G44-$H44)</f>
        <v>394.74539957097005</v>
      </c>
      <c r="BC44" s="22">
        <f>VLOOKUP($A44,tabCustoUnit[],COLUMN(CUSTO_GLOBAL[[#Headers],[Submódulo 4.1]])-2,0)*($G44-$H44)</f>
        <v>1439.0453984359699</v>
      </c>
      <c r="BD44" s="22">
        <f>VLOOKUP($A44,tabCustoUnit[],COLUMN(CUSTO_GLOBAL[[#Headers],[Intervalo para Repouso ou Alimentação]])-2,0)*($G44-$H44)</f>
        <v>0</v>
      </c>
      <c r="BE44" s="22">
        <f>VLOOKUP($A44,tabCustoUnit[],COLUMN(CUSTO_GLOBAL[[#Headers],[Submódulo 4.2]])-2,0)*($G44-$H44)</f>
        <v>0</v>
      </c>
      <c r="BF44" s="22">
        <f>VLOOKUP($A44,tabCustoUnit[],COLUMN(CUSTO_GLOBAL[[#Headers],[Suspensão Temporária do Contrato de Trabalho]])-2,0)*($G44-$H44)</f>
        <v>0</v>
      </c>
      <c r="BG44" s="22">
        <f>VLOOKUP($A44,tabCustoUnit[],COLUMN(CUSTO_GLOBAL[[#Headers],[Submódulo 4.3]])-2,0)*($G44-$H44)</f>
        <v>0</v>
      </c>
      <c r="BH44" s="22">
        <f>VLOOKUP($A44,tabCustoUnit[],COLUMN(CUSTO_GLOBAL[[#Headers],[MÓDULO 4 – CUSTO DE REPOSIÇÃO DO PROFISSIONAL AUSENTE]])-2,0)*($G44-$H44)</f>
        <v>1439.0453984359699</v>
      </c>
      <c r="BI44" s="22">
        <f>VLOOKUP($A44,tabCustoUnit[],COLUMN(CUSTO_GLOBAL[[#Headers],[Uniformes e EPIs]])-2,0)*($G44-$H44)</f>
        <v>7936.2902950958915</v>
      </c>
      <c r="BJ44" s="22">
        <f>VLOOKUP($A44,tabCustoUnit[],COLUMN(CUSTO_GLOBAL[[#Headers],[Materiais de Consumo]])-2,0)*($G44-$H44)</f>
        <v>0</v>
      </c>
      <c r="BK44" s="22">
        <f>VLOOKUP($A44,tabCustoUnit[],COLUMN(CUSTO_GLOBAL[[#Headers],[Máquinas e Equipamentos (depreciação)]])-2,0)*($G44-$H44)</f>
        <v>0</v>
      </c>
      <c r="BL44" s="22">
        <f>VLOOKUP($A44,tabCustoUnit[],COLUMN(CUSTO_GLOBAL[[#Headers],[Produtos de Limpeza e Materiais de Higiene Pessoal]])-2,0)*($G44-$H44)</f>
        <v>0</v>
      </c>
      <c r="BM44" s="22">
        <f>VLOOKUP($A44,tabCustoUnit[],COLUMN(CUSTO_GLOBAL[[#Headers],[Outros (especificar)]])-2,0)*($G44-$H44)</f>
        <v>0</v>
      </c>
      <c r="BN44" s="22">
        <f>VLOOKUP($A44,tabCustoUnit[],COLUMN(CUSTO_GLOBAL[[#Headers],[MÓDULO 5 – INSUMOS DIVERSOS]])-2,0)*($G44-$H44)</f>
        <v>7936.2902950958915</v>
      </c>
      <c r="BO44" s="22" t="e">
        <f ca="1">VLOOKUP($A44,tabCustoUnit[],COLUMN(CUSTO_GLOBAL[[#Headers],[TOTAL MÓDULOS 1+2+3+4+5]])-2,0)*($G44-$H44)</f>
        <v>#NAME?</v>
      </c>
      <c r="BP44" s="22" t="e">
        <f ca="1">VLOOKUP($A44,tabCustoUnit[],COLUMN(CUSTO_GLOBAL[[#Headers],[Custos Indiretos]])-2,0)*($G44-$H44)</f>
        <v>#NAME?</v>
      </c>
      <c r="BQ44" s="22" t="e">
        <f ca="1">VLOOKUP($A44,tabCustoUnit[],COLUMN(CUSTO_GLOBAL[[#Headers],[Lucro]])-2,0)*($G44-$H44)</f>
        <v>#NAME?</v>
      </c>
      <c r="BR44" s="26">
        <f>VLOOKUP($A44,tabCustoUnit[],COLUMN(CUSTO_GLOBAL[[#Headers],[COFINS]])-2,0)</f>
        <v>8.8629737609329504E-2</v>
      </c>
      <c r="BS44" s="26">
        <f>VLOOKUP($A44,tabCustoUnit[],COLUMN(CUSTO_GLOBAL[[#Headers],[PIS]])-2,0)</f>
        <v>1.9241982507288629E-2</v>
      </c>
      <c r="BT44" s="28">
        <f>VLOOKUP($A44,tabCustoUnit[],COLUMN(CUSTO_GLOBAL[[#Headers],[ISS]])-2,0)</f>
        <v>0.05</v>
      </c>
      <c r="BU44" s="26">
        <f>VLOOKUP($A44,tabCustoUnit[],COLUMN(CUSTO_GLOBAL[[#Headers],[ISS (Conversão Alíquota s/ fatura)]])-2,0)</f>
        <v>5.8309037900874633E-2</v>
      </c>
      <c r="BV44" s="26">
        <f>VLOOKUP($A44,tabCustoUnit[],COLUMN(CUSTO_GLOBAL[[#Headers],[Resumo de Alíquotas (PIS+CONFINS+ISS)]])-2,0)</f>
        <v>0.14250000000000002</v>
      </c>
      <c r="BW44" s="138">
        <f>VLOOKUP($A44,tabCustoUnit[],COLUMN(CUSTO_GLOBAL[[#Headers],[PIS + COFINS + ISS (Total Conversão  Alíquota s/ Fatura)]])-2,0)</f>
        <v>0.16618075801749277</v>
      </c>
      <c r="BX44" s="22" t="e">
        <f ca="1">VLOOKUP($A44,tabCustoUnit[],COLUMN(CUSTO_GLOBAL[[#Headers],[Valor dos Tributos (ISS, PIS, CONFINS)]])-2,0)*($G44-$H44)</f>
        <v>#NAME?</v>
      </c>
      <c r="BY44" s="22" t="e">
        <f ca="1">VLOOKUP($A44,tabCustoUnit[],COLUMN(CUSTO_GLOBAL[[#Headers],[MÓDULO 6 – CUSTOS INDIRETOS, TRIBUTOS E LUCRO]])-2,0)*($G44-$H44)</f>
        <v>#NAME?</v>
      </c>
      <c r="BZ44" s="22" t="e">
        <f ca="1">VLOOKUP($A44,tabCustoUnit[],COLUMN(CUSTO_GLOBAL[[#Headers],[CUSTO TOTAL MENSAL]])-2,0)*($G44-$H44)</f>
        <v>#NAME?</v>
      </c>
      <c r="CA44" s="22" t="e">
        <f ca="1">CUSTO_GLOBAL[[#This Row],[CUSTO TOTAL MENSAL]]*12</f>
        <v>#NAME?</v>
      </c>
      <c r="CB44" s="24">
        <f>VLOOKUP($A44,tabCustoUnit[],COLUMN(CUSTO_GLOBAL[[#Headers],[ANO DA CCT]])-2,0)</f>
        <v>45658</v>
      </c>
      <c r="CC44" s="25" t="str">
        <f>VLOOKUP($A44,tabCustoUnit[],COLUMN(CUSTO_GLOBAL[[#Headers],[Nº DE PEDIDO DA CCT]])-2,0)</f>
        <v>-</v>
      </c>
      <c r="CD44" s="25" t="str">
        <f>VLOOKUP($A44,tabCustoUnit[],COLUMN(CUSTO_GLOBAL[[#Headers],[TERMO ADITIVO ALTERAÇÃO DA CCT]])-2,0)</f>
        <v>-</v>
      </c>
    </row>
    <row r="45" spans="1:82">
      <c r="A45" s="20" t="s">
        <v>1424</v>
      </c>
      <c r="B45" t="s">
        <v>1103</v>
      </c>
      <c r="C45" t="s">
        <v>1364</v>
      </c>
      <c r="D45" t="s">
        <v>1035</v>
      </c>
      <c r="E45" s="20" t="s">
        <v>1090</v>
      </c>
      <c r="F45" s="20" t="s">
        <v>120</v>
      </c>
      <c r="G45" s="20">
        <v>2</v>
      </c>
      <c r="H45" s="20">
        <v>0</v>
      </c>
      <c r="I45" s="21">
        <f>VLOOKUP($A45,tabCustoUnit[],COLUMN(CUSTO_GLOBAL[[#Headers],[Salário Base]])-2,0)*($G45-$H45)</f>
        <v>8104.28</v>
      </c>
      <c r="J45" s="21">
        <f>VLOOKUP($A45,tabCustoUnit[],COLUMN(CUSTO_GLOBAL[[#Headers],[Adicional Periculosidade]])-2,0)*($G45-$H45)</f>
        <v>0</v>
      </c>
      <c r="K45" s="21">
        <f>VLOOKUP($A45,tabCustoUnit[],COLUMN(CUSTO_GLOBAL[[#Headers],[Adicional Insalubridade]])-2,0)*($G45-$H45)</f>
        <v>0</v>
      </c>
      <c r="L45" s="21">
        <f>VLOOKUP($A45,tabCustoUnit[],COLUMN(CUSTO_GLOBAL[[#Headers],[Adicional Noturno]])-2,0)*($G45-$H45)</f>
        <v>0</v>
      </c>
      <c r="M45" s="21">
        <f>VLOOKUP($A45,tabCustoUnit[],COLUMN(CUSTO_GLOBAL[[#Headers],[Adicional Motorista II (Gratificação)]])-2,0)*($G45-$H45)</f>
        <v>0</v>
      </c>
      <c r="N45" s="21">
        <f>VLOOKUP($A45,tabCustoUnit[],COLUMN(CUSTO_GLOBAL[[#Headers],[Adicional de Sobreaviso]])-2,0)*($G45-$H45)</f>
        <v>0</v>
      </c>
      <c r="O45" s="21">
        <f>VLOOKUP($A45,tabCustoUnit[],COLUMN(CUSTO_GLOBAL[[#Headers],[Horas Extras TI]])-2,0)*($G45-$H45)</f>
        <v>0</v>
      </c>
      <c r="P45" s="21">
        <f>VLOOKUP($A45,tabCustoUnit[],COLUMN(CUSTO_GLOBAL[[#Headers],[Adicional de Acúmulo de função]])-2,0)*($G45-$H45)</f>
        <v>0</v>
      </c>
      <c r="Q45" s="21">
        <f>VLOOKUP($A45,tabCustoUnit[],COLUMN(CUSTO_GLOBAL[[#Headers],[MODULO 1 - REMUNERAÇÃO ]])-2,0)*($G45-$H45)</f>
        <v>8104.28</v>
      </c>
      <c r="R45" s="21">
        <f>VLOOKUP($A45,tabCustoUnit[],COLUMN(CUSTO_GLOBAL[[#Headers],[INSS]])-2,0)*($G45-$H45)</f>
        <v>1620.856</v>
      </c>
      <c r="S45" s="21">
        <f>VLOOKUP($A45,tabCustoUnit[],COLUMN(CUSTO_GLOBAL[[#Headers],[SESI OU SESC]])-2,0)*($G45-$H45)</f>
        <v>121.56419999999999</v>
      </c>
      <c r="T45" s="21">
        <f>VLOOKUP($A45,tabCustoUnit[],COLUMN(CUSTO_GLOBAL[[#Headers],[SENAI OU SENAC]])-2,0)*($G45-$H45)</f>
        <v>81.0428</v>
      </c>
      <c r="U45" s="21">
        <f>VLOOKUP($A45,tabCustoUnit[],COLUMN(CUSTO_GLOBAL[[#Headers],[INCRA]])-2,0)*($G45-$H45)</f>
        <v>16.208559999999999</v>
      </c>
      <c r="V45" s="21">
        <f>VLOOKUP($A45,tabCustoUnit[],COLUMN(CUSTO_GLOBAL[[#Headers],[Salário Educação]])-2,0)*($G45-$H45)</f>
        <v>202.607</v>
      </c>
      <c r="W45" s="21">
        <f>VLOOKUP($A45,tabCustoUnit[],COLUMN(CUSTO_GLOBAL[[#Headers],[FGTS]])-2,0)*($G45-$H45)</f>
        <v>648.3424</v>
      </c>
      <c r="X45" s="21">
        <f>VLOOKUP($A45,tabCustoUnit[],COLUMN(CUSTO_GLOBAL[[#Headers],[RAT Ajustado]])-2,0)*($G45-$H45)</f>
        <v>324.1712</v>
      </c>
      <c r="Y45" s="21">
        <f>VLOOKUP($A45,tabCustoUnit[],COLUMN(CUSTO_GLOBAL[[#Headers],[SEBRAE]])-2,0)*($G45-$H45)</f>
        <v>48.625680000000003</v>
      </c>
      <c r="Z45" s="21">
        <f>VLOOKUP($A45,tabCustoUnit[],COLUMN(CUSTO_GLOBAL[[#Headers],[Submódulo 2.1]])-2,0)*($G45-$H45)</f>
        <v>3063.4178400000001</v>
      </c>
      <c r="AA45" s="21">
        <f>VLOOKUP($A45,tabCustoUnit[],COLUMN(CUSTO_GLOBAL[[#Headers],[13º salário (titular)]])-2,0)*($G45-$H45)</f>
        <v>675.35666666666657</v>
      </c>
      <c r="AB45" s="21">
        <f>VLOOKUP($A45,tabCustoUnit[],COLUMN(CUSTO_GLOBAL[[#Headers],[Férias e Adicional de Férias (titular)]])-2,0)*($G45-$H45)</f>
        <v>900.4755555555555</v>
      </c>
      <c r="AC45" s="21">
        <f>VLOOKUP($A45,tabCustoUnit[],COLUMN(CUSTO_GLOBAL[[#Headers],[Incidência do Submódulo 2.1 sobre 13º Salário, Férias e Adicional de Férias]])-2,0)*($G45-$H45)</f>
        <v>595.66458</v>
      </c>
      <c r="AD45" s="21">
        <f>VLOOKUP($A45,tabCustoUnit[],COLUMN(CUSTO_GLOBAL[[#Headers],[Submódulo 2.2]])-2,0)*($G45-$H45)</f>
        <v>2171.496802222222</v>
      </c>
      <c r="AE45" s="22" t="e">
        <f ca="1">VLOOKUP($A45,tabCustoUnit[],COLUMN(CUSTO_GLOBAL[[#Headers],[Vale - Transporte (Descontada parcela do empregado)]])-2,0)*($G45-$H45)</f>
        <v>#NAME?</v>
      </c>
      <c r="AF45" s="22">
        <f>VLOOKUP($A45,tabCustoUnit[],COLUMN(CUSTO_GLOBAL[[#Headers],[Vale - Alimentação (Descontada parcela do empregado)]])-2,0)*($G45-$H45)</f>
        <v>1164</v>
      </c>
      <c r="AG45" s="22">
        <f>VLOOKUP($A45,tabCustoUnit[],COLUMN(CUSTO_GLOBAL[[#Headers],[Cesta Básica]])-2,0)*($G45-$H45)</f>
        <v>0</v>
      </c>
      <c r="AH45" s="22">
        <f>VLOOKUP($A45,tabCustoUnit[],COLUMN(CUSTO_GLOBAL[[#Headers],[PAF]])-2,0)*($G45-$H45)</f>
        <v>191.8</v>
      </c>
      <c r="AI45" s="22">
        <f>VLOOKUP($A45,tabCustoUnit[],COLUMN(CUSTO_GLOBAL[[#Headers],[PQM]])-2,0)*($G45-$H45)</f>
        <v>0</v>
      </c>
      <c r="AJ45" s="22">
        <v>0</v>
      </c>
      <c r="AK45" s="22">
        <f>VLOOKUP($A45,tabCustoUnit[],COLUMN(CUSTO_GLOBAL[[#Headers],[Seguro de Vida]])-2,0)*($G45-$H45)</f>
        <v>6.72</v>
      </c>
      <c r="AL45" s="22">
        <f>VLOOKUP($A45,tabCustoUnit[],COLUMN(CUSTO_GLOBAL[[#Headers],[Despesas de Viagem]])-2,0)*($G45-$H45)</f>
        <v>404.16</v>
      </c>
      <c r="AM45" s="22" t="e">
        <f ca="1">VLOOKUP($A45,tabCustoUnit[],COLUMN(CUSTO_GLOBAL[[#Headers],[Submódulo 2.3]])-2,0)*($G45-$H45)</f>
        <v>#NAME?</v>
      </c>
      <c r="AN45" s="22" t="e">
        <f ca="1">VLOOKUP($A45,tabCustoUnit[],COLUMN(CUSTO_GLOBAL[[#Headers],[MÓDULO 2 - Total Encargos e Benefícios mensais e diários]])-2,0)*($G45-$H45)</f>
        <v>#NAME?</v>
      </c>
      <c r="AO45" s="22">
        <f>VLOOKUP($A45,tabCustoUnit[],COLUMN(CUSTO_GLOBAL[[#Headers],[Aviso Prévio Indenizado (API) e Reflexo do Aviso Prévio Indenizado]])-2,0)*($G45-$H45)</f>
        <v>56.825322862654318</v>
      </c>
      <c r="AP45" s="22">
        <f>VLOOKUP($A45,tabCustoUnit[],COLUMN(CUSTO_GLOBAL[[#Headers],[Incidência do FGTS sobre API e Reflexo do API]])-2,0)*($G45-$H45)</f>
        <v>4.5460258290123461</v>
      </c>
      <c r="AQ45" s="22">
        <f>VLOOKUP($A45,tabCustoUnit[],COLUMN(CUSTO_GLOBAL[[#Headers],[Multa Rescisória do FGTS sobre o Aviso Prévio Indenizado]])-2,0)*($G45-$H45)</f>
        <v>1.8184103316049385</v>
      </c>
      <c r="AR45" s="22">
        <f>VLOOKUP($A45,tabCustoUnit[],COLUMN(CUSTO_GLOBAL[[#Headers],[Aviso Prévio Trabalhado - APT]])-2,0)*($G45-$H45)</f>
        <v>28.364980000000003</v>
      </c>
      <c r="AS45" s="22">
        <f>VLOOKUP($A45,tabCustoUnit[],COLUMN(CUSTO_GLOBAL[[#Headers],[Incidência dos encargos do submódulo 2.1 sobre Aviso Prévio Trabalhado]])-2,0)*($G45-$H45)</f>
        <v>10.721962440000002</v>
      </c>
      <c r="AT45" s="22">
        <f>VLOOKUP($A45,tabCustoUnit[],COLUMN(CUSTO_GLOBAL[[#Headers],[Multa Rescisória do FGTS]])-2,0)*($G45-$H45)</f>
        <v>247.81087288888884</v>
      </c>
      <c r="AU45" s="22">
        <f>VLOOKUP($A45,tabCustoUnit[],COLUMN(CUSTO_GLOBAL[[#Headers],[Indenização Adicional (Art. 9º da Lei nº 7.238/84)]])-2,0)*($G45-$H45)</f>
        <v>6.7535666666666669</v>
      </c>
      <c r="AV45" s="22">
        <f>VLOOKUP($A45,tabCustoUnit[],COLUMN(CUSTO_GLOBAL[[#Headers],[MÓDULO 3 – PROVISÃO PARA RESCISÃO]])-2,0)*($G45-$H45)</f>
        <v>356.8411410188271</v>
      </c>
      <c r="AW45" s="22">
        <f>VLOOKUP($A45,tabCustoUnit[],COLUMN(CUSTO_GLOBAL[[#Headers],[Ausência por Doença]])-2,0)*($G45-$H45)</f>
        <v>68.436142222222216</v>
      </c>
      <c r="AX45" s="22">
        <f>VLOOKUP($A45,tabCustoUnit[],COLUMN(CUSTO_GLOBAL[[#Headers],[Ausências Legais]])-2,0)*($G45-$H45)</f>
        <v>16.433678888888888</v>
      </c>
      <c r="AY45" s="22">
        <f>VLOOKUP($A45,tabCustoUnit[],COLUMN(CUSTO_GLOBAL[[#Headers],[Licença Paternidade]])-2,0)*($G45-$H45)</f>
        <v>1.3844811666666665</v>
      </c>
      <c r="AZ45" s="22">
        <f>VLOOKUP($A45,tabCustoUnit[],COLUMN(CUSTO_GLOBAL[[#Headers],[Ausência por Acidente de Trabalho]])-2,0)*($G45-$H45)</f>
        <v>1.6883916666666667</v>
      </c>
      <c r="BA45" s="22">
        <f>VLOOKUP($A45,tabCustoUnit[],COLUMN(CUSTO_GLOBAL[[#Headers],[Férias, Adicional de Férias e 13º  com empregada em gozo de Licença Maternidade]])-2,0)*($G45-$H45)</f>
        <v>10.505548148148147</v>
      </c>
      <c r="BB45" s="22">
        <f>VLOOKUP($A45,tabCustoUnit[],COLUMN(CUSTO_GLOBAL[[#Headers],[Incidência do Submódulo 2.1 sobre Ausências Legais]])-2,0)*($G45-$H45)</f>
        <v>37.213435511000007</v>
      </c>
      <c r="BC45" s="22">
        <f>VLOOKUP($A45,tabCustoUnit[],COLUMN(CUSTO_GLOBAL[[#Headers],[Submódulo 4.1]])-2,0)*($G45-$H45)</f>
        <v>135.66167760359258</v>
      </c>
      <c r="BD45" s="22">
        <f>VLOOKUP($A45,tabCustoUnit[],COLUMN(CUSTO_GLOBAL[[#Headers],[Intervalo para Repouso ou Alimentação]])-2,0)*($G45-$H45)</f>
        <v>897.25957142857135</v>
      </c>
      <c r="BE45" s="22">
        <f>VLOOKUP($A45,tabCustoUnit[],COLUMN(CUSTO_GLOBAL[[#Headers],[Submódulo 4.2]])-2,0)*($G45-$H45)</f>
        <v>897.25957142857135</v>
      </c>
      <c r="BF45" s="22">
        <f>VLOOKUP($A45,tabCustoUnit[],COLUMN(CUSTO_GLOBAL[[#Headers],[Suspensão Temporária do Contrato de Trabalho]])-2,0)*($G45-$H45)</f>
        <v>0</v>
      </c>
      <c r="BG45" s="22">
        <f>VLOOKUP($A45,tabCustoUnit[],COLUMN(CUSTO_GLOBAL[[#Headers],[Submódulo 4.3]])-2,0)*($G45-$H45)</f>
        <v>0</v>
      </c>
      <c r="BH45" s="22">
        <f>VLOOKUP($A45,tabCustoUnit[],COLUMN(CUSTO_GLOBAL[[#Headers],[MÓDULO 4 – CUSTO DE REPOSIÇÃO DO PROFISSIONAL AUSENTE]])-2,0)*($G45-$H45)</f>
        <v>1032.9212490321638</v>
      </c>
      <c r="BI45" s="22">
        <f>VLOOKUP($A45,tabCustoUnit[],COLUMN(CUSTO_GLOBAL[[#Headers],[Uniformes e EPIs]])-2,0)*($G45-$H45)</f>
        <v>113.28595792508679</v>
      </c>
      <c r="BJ45" s="22">
        <f>VLOOKUP($A45,tabCustoUnit[],COLUMN(CUSTO_GLOBAL[[#Headers],[Materiais de Consumo]])-2,0)*($G45-$H45)</f>
        <v>0</v>
      </c>
      <c r="BK45" s="22">
        <f>VLOOKUP($A45,tabCustoUnit[],COLUMN(CUSTO_GLOBAL[[#Headers],[Máquinas e Equipamentos (depreciação)]])-2,0)*($G45-$H45)</f>
        <v>0</v>
      </c>
      <c r="BL45" s="22">
        <f>VLOOKUP($A45,tabCustoUnit[],COLUMN(CUSTO_GLOBAL[[#Headers],[Produtos de Limpeza e Materiais de Higiene Pessoal]])-2,0)*($G45-$H45)</f>
        <v>0</v>
      </c>
      <c r="BM45" s="22">
        <f>VLOOKUP($A45,tabCustoUnit[],COLUMN(CUSTO_GLOBAL[[#Headers],[Outros (especificar)]])-2,0)*($G45-$H45)</f>
        <v>0</v>
      </c>
      <c r="BN45" s="22">
        <f>VLOOKUP($A45,tabCustoUnit[],COLUMN(CUSTO_GLOBAL[[#Headers],[MÓDULO 5 – INSUMOS DIVERSOS]])-2,0)*($G45-$H45)</f>
        <v>113.28595792508679</v>
      </c>
      <c r="BO45" s="22" t="e">
        <f ca="1">VLOOKUP($A45,tabCustoUnit[],COLUMN(CUSTO_GLOBAL[[#Headers],[TOTAL MÓDULOS 1+2+3+4+5]])-2,0)*($G45-$H45)</f>
        <v>#NAME?</v>
      </c>
      <c r="BP45" s="22" t="e">
        <f ca="1">VLOOKUP($A45,tabCustoUnit[],COLUMN(CUSTO_GLOBAL[[#Headers],[Custos Indiretos]])-2,0)*($G45-$H45)</f>
        <v>#NAME?</v>
      </c>
      <c r="BQ45" s="22" t="e">
        <f ca="1">VLOOKUP($A45,tabCustoUnit[],COLUMN(CUSTO_GLOBAL[[#Headers],[Lucro]])-2,0)*($G45-$H45)</f>
        <v>#NAME?</v>
      </c>
      <c r="BR45" s="26">
        <f>VLOOKUP($A45,tabCustoUnit[],COLUMN(CUSTO_GLOBAL[[#Headers],[COFINS]])-2,0)</f>
        <v>8.8629737609329504E-2</v>
      </c>
      <c r="BS45" s="26">
        <f>VLOOKUP($A45,tabCustoUnit[],COLUMN(CUSTO_GLOBAL[[#Headers],[PIS]])-2,0)</f>
        <v>1.9241982507288629E-2</v>
      </c>
      <c r="BT45" s="28">
        <f>VLOOKUP($A45,tabCustoUnit[],COLUMN(CUSTO_GLOBAL[[#Headers],[ISS]])-2,0)</f>
        <v>0.05</v>
      </c>
      <c r="BU45" s="26">
        <f>VLOOKUP($A45,tabCustoUnit[],COLUMN(CUSTO_GLOBAL[[#Headers],[ISS (Conversão Alíquota s/ fatura)]])-2,0)</f>
        <v>5.8309037900874633E-2</v>
      </c>
      <c r="BV45" s="26">
        <f>VLOOKUP($A45,tabCustoUnit[],COLUMN(CUSTO_GLOBAL[[#Headers],[Resumo de Alíquotas (PIS+CONFINS+ISS)]])-2,0)</f>
        <v>0.14250000000000002</v>
      </c>
      <c r="BW45" s="138">
        <f>VLOOKUP($A45,tabCustoUnit[],COLUMN(CUSTO_GLOBAL[[#Headers],[PIS + COFINS + ISS (Total Conversão  Alíquota s/ Fatura)]])-2,0)</f>
        <v>0.16618075801749277</v>
      </c>
      <c r="BX45" s="22" t="e">
        <f ca="1">VLOOKUP($A45,tabCustoUnit[],COLUMN(CUSTO_GLOBAL[[#Headers],[Valor dos Tributos (ISS, PIS, CONFINS)]])-2,0)*($G45-$H45)</f>
        <v>#NAME?</v>
      </c>
      <c r="BY45" s="22" t="e">
        <f ca="1">VLOOKUP($A45,tabCustoUnit[],COLUMN(CUSTO_GLOBAL[[#Headers],[MÓDULO 6 – CUSTOS INDIRETOS, TRIBUTOS E LUCRO]])-2,0)*($G45-$H45)</f>
        <v>#NAME?</v>
      </c>
      <c r="BZ45" s="22" t="e">
        <f ca="1">VLOOKUP($A45,tabCustoUnit[],COLUMN(CUSTO_GLOBAL[[#Headers],[CUSTO TOTAL MENSAL]])-2,0)*($G45-$H45)</f>
        <v>#NAME?</v>
      </c>
      <c r="CA45" s="22" t="e">
        <f ca="1">CUSTO_GLOBAL[[#This Row],[CUSTO TOTAL MENSAL]]*12</f>
        <v>#NAME?</v>
      </c>
      <c r="CB45" s="24">
        <f>VLOOKUP($A45,tabCustoUnit[],COLUMN(CUSTO_GLOBAL[[#Headers],[ANO DA CCT]])-2,0)</f>
        <v>45658</v>
      </c>
      <c r="CC45" s="25" t="str">
        <f>VLOOKUP($A45,tabCustoUnit[],COLUMN(CUSTO_GLOBAL[[#Headers],[Nº DE PEDIDO DA CCT]])-2,0)</f>
        <v>-</v>
      </c>
      <c r="CD45" s="25" t="str">
        <f>VLOOKUP($A45,tabCustoUnit[],COLUMN(CUSTO_GLOBAL[[#Headers],[TERMO ADITIVO ALTERAÇÃO DA CCT]])-2,0)</f>
        <v>-</v>
      </c>
    </row>
    <row r="46" spans="1:82">
      <c r="A46" s="20" t="s">
        <v>1425</v>
      </c>
      <c r="B46" t="s">
        <v>1103</v>
      </c>
      <c r="C46" t="s">
        <v>1521</v>
      </c>
      <c r="D46" t="s">
        <v>1035</v>
      </c>
      <c r="E46" s="20" t="s">
        <v>1090</v>
      </c>
      <c r="F46" s="20" t="s">
        <v>120</v>
      </c>
      <c r="G46" s="20">
        <v>2</v>
      </c>
      <c r="H46" s="20">
        <v>0</v>
      </c>
      <c r="I46" s="21">
        <f>VLOOKUP($A46,tabCustoUnit[],COLUMN(CUSTO_GLOBAL[[#Headers],[Salário Base]])-2,0)*($G46-$H46)</f>
        <v>8104.28</v>
      </c>
      <c r="J46" s="21">
        <f>VLOOKUP($A46,tabCustoUnit[],COLUMN(CUSTO_GLOBAL[[#Headers],[Adicional Periculosidade]])-2,0)*($G46-$H46)</f>
        <v>0</v>
      </c>
      <c r="K46" s="21">
        <f>VLOOKUP($A46,tabCustoUnit[],COLUMN(CUSTO_GLOBAL[[#Headers],[Adicional Insalubridade]])-2,0)*($G46-$H46)</f>
        <v>0</v>
      </c>
      <c r="L46" s="21">
        <f>VLOOKUP($A46,tabCustoUnit[],COLUMN(CUSTO_GLOBAL[[#Headers],[Adicional Noturno]])-2,0)*($G46-$H46)</f>
        <v>1633.0124000000001</v>
      </c>
      <c r="M46" s="21">
        <f>VLOOKUP($A46,tabCustoUnit[],COLUMN(CUSTO_GLOBAL[[#Headers],[Adicional Motorista II (Gratificação)]])-2,0)*($G46-$H46)</f>
        <v>0</v>
      </c>
      <c r="N46" s="21">
        <f>VLOOKUP($A46,tabCustoUnit[],COLUMN(CUSTO_GLOBAL[[#Headers],[Adicional de Sobreaviso]])-2,0)*($G46-$H46)</f>
        <v>0</v>
      </c>
      <c r="O46" s="21">
        <f>VLOOKUP($A46,tabCustoUnit[],COLUMN(CUSTO_GLOBAL[[#Headers],[Horas Extras TI]])-2,0)*($G46-$H46)</f>
        <v>0</v>
      </c>
      <c r="P46" s="21">
        <f>VLOOKUP($A46,tabCustoUnit[],COLUMN(CUSTO_GLOBAL[[#Headers],[Adicional de Acúmulo de função]])-2,0)*($G46-$H46)</f>
        <v>0</v>
      </c>
      <c r="Q46" s="21">
        <f>VLOOKUP($A46,tabCustoUnit[],COLUMN(CUSTO_GLOBAL[[#Headers],[MODULO 1 - REMUNERAÇÃO ]])-2,0)*($G46-$H46)</f>
        <v>9737.2924000000003</v>
      </c>
      <c r="R46" s="21">
        <f>VLOOKUP($A46,tabCustoUnit[],COLUMN(CUSTO_GLOBAL[[#Headers],[INSS]])-2,0)*($G46-$H46)</f>
        <v>1947.4584800000002</v>
      </c>
      <c r="S46" s="21">
        <f>VLOOKUP($A46,tabCustoUnit[],COLUMN(CUSTO_GLOBAL[[#Headers],[SESI OU SESC]])-2,0)*($G46-$H46)</f>
        <v>146.05938599999999</v>
      </c>
      <c r="T46" s="21">
        <f>VLOOKUP($A46,tabCustoUnit[],COLUMN(CUSTO_GLOBAL[[#Headers],[SENAI OU SENAC]])-2,0)*($G46-$H46)</f>
        <v>97.372924000000012</v>
      </c>
      <c r="U46" s="21">
        <f>VLOOKUP($A46,tabCustoUnit[],COLUMN(CUSTO_GLOBAL[[#Headers],[INCRA]])-2,0)*($G46-$H46)</f>
        <v>19.474584800000002</v>
      </c>
      <c r="V46" s="21">
        <f>VLOOKUP($A46,tabCustoUnit[],COLUMN(CUSTO_GLOBAL[[#Headers],[Salário Educação]])-2,0)*($G46-$H46)</f>
        <v>243.43231000000003</v>
      </c>
      <c r="W46" s="21">
        <f>VLOOKUP($A46,tabCustoUnit[],COLUMN(CUSTO_GLOBAL[[#Headers],[FGTS]])-2,0)*($G46-$H46)</f>
        <v>778.98339200000009</v>
      </c>
      <c r="X46" s="21">
        <f>VLOOKUP($A46,tabCustoUnit[],COLUMN(CUSTO_GLOBAL[[#Headers],[RAT Ajustado]])-2,0)*($G46-$H46)</f>
        <v>389.49169600000005</v>
      </c>
      <c r="Y46" s="21">
        <f>VLOOKUP($A46,tabCustoUnit[],COLUMN(CUSTO_GLOBAL[[#Headers],[SEBRAE]])-2,0)*($G46-$H46)</f>
        <v>58.4237544</v>
      </c>
      <c r="Z46" s="21">
        <f>VLOOKUP($A46,tabCustoUnit[],COLUMN(CUSTO_GLOBAL[[#Headers],[Submódulo 2.1]])-2,0)*($G46-$H46)</f>
        <v>3680.6965272000007</v>
      </c>
      <c r="AA46" s="21">
        <f>VLOOKUP($A46,tabCustoUnit[],COLUMN(CUSTO_GLOBAL[[#Headers],[13º salário (titular)]])-2,0)*($G46-$H46)</f>
        <v>811.44103333333328</v>
      </c>
      <c r="AB46" s="21">
        <f>VLOOKUP($A46,tabCustoUnit[],COLUMN(CUSTO_GLOBAL[[#Headers],[Férias e Adicional de Férias (titular)]])-2,0)*($G46-$H46)</f>
        <v>1081.9213777777777</v>
      </c>
      <c r="AC46" s="21">
        <f>VLOOKUP($A46,tabCustoUnit[],COLUMN(CUSTO_GLOBAL[[#Headers],[Incidência do Submódulo 2.1 sobre 13º Salário, Férias e Adicional de Férias]])-2,0)*($G46-$H46)</f>
        <v>715.69099140000003</v>
      </c>
      <c r="AD46" s="21">
        <f>VLOOKUP($A46,tabCustoUnit[],COLUMN(CUSTO_GLOBAL[[#Headers],[Submódulo 2.2]])-2,0)*($G46-$H46)</f>
        <v>2609.053402511111</v>
      </c>
      <c r="AE46" s="22" t="e">
        <f ca="1">VLOOKUP($A46,tabCustoUnit[],COLUMN(CUSTO_GLOBAL[[#Headers],[Vale - Transporte (Descontada parcela do empregado)]])-2,0)*($G46-$H46)</f>
        <v>#NAME?</v>
      </c>
      <c r="AF46" s="22">
        <f>VLOOKUP($A46,tabCustoUnit[],COLUMN(CUSTO_GLOBAL[[#Headers],[Vale - Alimentação (Descontada parcela do empregado)]])-2,0)*($G46-$H46)</f>
        <v>1164</v>
      </c>
      <c r="AG46" s="22">
        <f>VLOOKUP($A46,tabCustoUnit[],COLUMN(CUSTO_GLOBAL[[#Headers],[Cesta Básica]])-2,0)*($G46-$H46)</f>
        <v>0</v>
      </c>
      <c r="AH46" s="22">
        <f>VLOOKUP($A46,tabCustoUnit[],COLUMN(CUSTO_GLOBAL[[#Headers],[PAF]])-2,0)*($G46-$H46)</f>
        <v>191.8</v>
      </c>
      <c r="AI46" s="22">
        <f>VLOOKUP($A46,tabCustoUnit[],COLUMN(CUSTO_GLOBAL[[#Headers],[PQM]])-2,0)*($G46-$H46)</f>
        <v>0</v>
      </c>
      <c r="AJ46" s="22">
        <v>0</v>
      </c>
      <c r="AK46" s="22">
        <f>VLOOKUP($A46,tabCustoUnit[],COLUMN(CUSTO_GLOBAL[[#Headers],[Seguro de Vida]])-2,0)*($G46-$H46)</f>
        <v>6.72</v>
      </c>
      <c r="AL46" s="22">
        <f>VLOOKUP($A46,tabCustoUnit[],COLUMN(CUSTO_GLOBAL[[#Headers],[Despesas de Viagem]])-2,0)*($G46-$H46)</f>
        <v>404.16</v>
      </c>
      <c r="AM46" s="22" t="e">
        <f ca="1">VLOOKUP($A46,tabCustoUnit[],COLUMN(CUSTO_GLOBAL[[#Headers],[Submódulo 2.3]])-2,0)*($G46-$H46)</f>
        <v>#NAME?</v>
      </c>
      <c r="AN46" s="22" t="e">
        <f ca="1">VLOOKUP($A46,tabCustoUnit[],COLUMN(CUSTO_GLOBAL[[#Headers],[MÓDULO 2 - Total Encargos e Benefícios mensais e diários]])-2,0)*($G46-$H46)</f>
        <v>#NAME?</v>
      </c>
      <c r="AO46" s="22">
        <f>VLOOKUP($A46,tabCustoUnit[],COLUMN(CUSTO_GLOBAL[[#Headers],[Aviso Prévio Indenizado (API) e Reflexo do Aviso Prévio Indenizado]])-2,0)*($G46-$H46)</f>
        <v>68.275625279243826</v>
      </c>
      <c r="AP46" s="22">
        <f>VLOOKUP($A46,tabCustoUnit[],COLUMN(CUSTO_GLOBAL[[#Headers],[Incidência do FGTS sobre API e Reflexo do API]])-2,0)*($G46-$H46)</f>
        <v>5.4620500223395068</v>
      </c>
      <c r="AQ46" s="22">
        <f>VLOOKUP($A46,tabCustoUnit[],COLUMN(CUSTO_GLOBAL[[#Headers],[Multa Rescisória do FGTS sobre o Aviso Prévio Indenizado]])-2,0)*($G46-$H46)</f>
        <v>2.184820008935803</v>
      </c>
      <c r="AR46" s="22">
        <f>VLOOKUP($A46,tabCustoUnit[],COLUMN(CUSTO_GLOBAL[[#Headers],[Aviso Prévio Trabalhado - APT]])-2,0)*($G46-$H46)</f>
        <v>34.080523400000004</v>
      </c>
      <c r="AS46" s="22">
        <f>VLOOKUP($A46,tabCustoUnit[],COLUMN(CUSTO_GLOBAL[[#Headers],[Incidência dos encargos do submódulo 2.1 sobre Aviso Prévio Trabalhado]])-2,0)*($G46-$H46)</f>
        <v>12.882437845200004</v>
      </c>
      <c r="AT46" s="22">
        <f>VLOOKUP($A46,tabCustoUnit[],COLUMN(CUSTO_GLOBAL[[#Headers],[Multa Rescisória do FGTS]])-2,0)*($G46-$H46)</f>
        <v>297.74476316444441</v>
      </c>
      <c r="AU46" s="22">
        <f>VLOOKUP($A46,tabCustoUnit[],COLUMN(CUSTO_GLOBAL[[#Headers],[Indenização Adicional (Art. 9º da Lei nº 7.238/84)]])-2,0)*($G46-$H46)</f>
        <v>8.1144103333333337</v>
      </c>
      <c r="AV46" s="22">
        <f>VLOOKUP($A46,tabCustoUnit[],COLUMN(CUSTO_GLOBAL[[#Headers],[MÓDULO 3 – PROVISÃO PARA RESCISÃO]])-2,0)*($G46-$H46)</f>
        <v>428.74463005349691</v>
      </c>
      <c r="AW46" s="22">
        <f>VLOOKUP($A46,tabCustoUnit[],COLUMN(CUSTO_GLOBAL[[#Headers],[Ausência por Doença]])-2,0)*($G46-$H46)</f>
        <v>82.226024711111108</v>
      </c>
      <c r="AX46" s="22">
        <f>VLOOKUP($A46,tabCustoUnit[],COLUMN(CUSTO_GLOBAL[[#Headers],[Ausências Legais]])-2,0)*($G46-$H46)</f>
        <v>19.745065144444442</v>
      </c>
      <c r="AY46" s="22">
        <f>VLOOKUP($A46,tabCustoUnit[],COLUMN(CUSTO_GLOBAL[[#Headers],[Licença Paternidade]])-2,0)*($G46-$H46)</f>
        <v>1.6634541183333333</v>
      </c>
      <c r="AZ46" s="22">
        <f>VLOOKUP($A46,tabCustoUnit[],COLUMN(CUSTO_GLOBAL[[#Headers],[Ausência por Acidente de Trabalho]])-2,0)*($G46-$H46)</f>
        <v>2.0286025833333334</v>
      </c>
      <c r="BA46" s="22">
        <f>VLOOKUP($A46,tabCustoUnit[],COLUMN(CUSTO_GLOBAL[[#Headers],[Férias, Adicional de Férias e 13º  com empregada em gozo de Licença Maternidade]])-2,0)*($G46-$H46)</f>
        <v>12.622416074074074</v>
      </c>
      <c r="BB46" s="22">
        <f>VLOOKUP($A46,tabCustoUnit[],COLUMN(CUSTO_GLOBAL[[#Headers],[Incidência do Submódulo 2.1 sobre Ausências Legais]])-2,0)*($G46-$H46)</f>
        <v>44.711942674630009</v>
      </c>
      <c r="BC46" s="22">
        <f>VLOOKUP($A46,tabCustoUnit[],COLUMN(CUSTO_GLOBAL[[#Headers],[Submódulo 4.1]])-2,0)*($G46-$H46)</f>
        <v>162.99750530592632</v>
      </c>
      <c r="BD46" s="22">
        <f>VLOOKUP($A46,tabCustoUnit[],COLUMN(CUSTO_GLOBAL[[#Headers],[Intervalo para Repouso ou Alimentação]])-2,0)*($G46-$H46)</f>
        <v>1078.0573750714284</v>
      </c>
      <c r="BE46" s="22">
        <f>VLOOKUP($A46,tabCustoUnit[],COLUMN(CUSTO_GLOBAL[[#Headers],[Submódulo 4.2]])-2,0)*($G46-$H46)</f>
        <v>1078.0573750714284</v>
      </c>
      <c r="BF46" s="22">
        <f>VLOOKUP($A46,tabCustoUnit[],COLUMN(CUSTO_GLOBAL[[#Headers],[Suspensão Temporária do Contrato de Trabalho]])-2,0)*($G46-$H46)</f>
        <v>0</v>
      </c>
      <c r="BG46" s="22">
        <f>VLOOKUP($A46,tabCustoUnit[],COLUMN(CUSTO_GLOBAL[[#Headers],[Submódulo 4.3]])-2,0)*($G46-$H46)</f>
        <v>0</v>
      </c>
      <c r="BH46" s="22">
        <f>VLOOKUP($A46,tabCustoUnit[],COLUMN(CUSTO_GLOBAL[[#Headers],[MÓDULO 4 – CUSTO DE REPOSIÇÃO DO PROFISSIONAL AUSENTE]])-2,0)*($G46-$H46)</f>
        <v>1241.0548803773547</v>
      </c>
      <c r="BI46" s="22">
        <f>VLOOKUP($A46,tabCustoUnit[],COLUMN(CUSTO_GLOBAL[[#Headers],[Uniformes e EPIs]])-2,0)*($G46-$H46)</f>
        <v>113.28595792508679</v>
      </c>
      <c r="BJ46" s="22">
        <f>VLOOKUP($A46,tabCustoUnit[],COLUMN(CUSTO_GLOBAL[[#Headers],[Materiais de Consumo]])-2,0)*($G46-$H46)</f>
        <v>0</v>
      </c>
      <c r="BK46" s="22">
        <f>VLOOKUP($A46,tabCustoUnit[],COLUMN(CUSTO_GLOBAL[[#Headers],[Máquinas e Equipamentos (depreciação)]])-2,0)*($G46-$H46)</f>
        <v>0</v>
      </c>
      <c r="BL46" s="22">
        <f>VLOOKUP($A46,tabCustoUnit[],COLUMN(CUSTO_GLOBAL[[#Headers],[Produtos de Limpeza e Materiais de Higiene Pessoal]])-2,0)*($G46-$H46)</f>
        <v>0</v>
      </c>
      <c r="BM46" s="22">
        <f>VLOOKUP($A46,tabCustoUnit[],COLUMN(CUSTO_GLOBAL[[#Headers],[Outros (especificar)]])-2,0)*($G46-$H46)</f>
        <v>0</v>
      </c>
      <c r="BN46" s="22">
        <f>VLOOKUP($A46,tabCustoUnit[],COLUMN(CUSTO_GLOBAL[[#Headers],[MÓDULO 5 – INSUMOS DIVERSOS]])-2,0)*($G46-$H46)</f>
        <v>113.28595792508679</v>
      </c>
      <c r="BO46" s="22" t="e">
        <f ca="1">VLOOKUP($A46,tabCustoUnit[],COLUMN(CUSTO_GLOBAL[[#Headers],[TOTAL MÓDULOS 1+2+3+4+5]])-2,0)*($G46-$H46)</f>
        <v>#NAME?</v>
      </c>
      <c r="BP46" s="22" t="e">
        <f ca="1">VLOOKUP($A46,tabCustoUnit[],COLUMN(CUSTO_GLOBAL[[#Headers],[Custos Indiretos]])-2,0)*($G46-$H46)</f>
        <v>#NAME?</v>
      </c>
      <c r="BQ46" s="22" t="e">
        <f ca="1">VLOOKUP($A46,tabCustoUnit[],COLUMN(CUSTO_GLOBAL[[#Headers],[Lucro]])-2,0)*($G46-$H46)</f>
        <v>#NAME?</v>
      </c>
      <c r="BR46" s="26">
        <f>VLOOKUP($A46,tabCustoUnit[],COLUMN(CUSTO_GLOBAL[[#Headers],[COFINS]])-2,0)</f>
        <v>8.8629737609329504E-2</v>
      </c>
      <c r="BS46" s="26">
        <f>VLOOKUP($A46,tabCustoUnit[],COLUMN(CUSTO_GLOBAL[[#Headers],[PIS]])-2,0)</f>
        <v>1.9241982507288629E-2</v>
      </c>
      <c r="BT46" s="28">
        <f>VLOOKUP($A46,tabCustoUnit[],COLUMN(CUSTO_GLOBAL[[#Headers],[ISS]])-2,0)</f>
        <v>0.05</v>
      </c>
      <c r="BU46" s="26">
        <f>VLOOKUP($A46,tabCustoUnit[],COLUMN(CUSTO_GLOBAL[[#Headers],[ISS (Conversão Alíquota s/ fatura)]])-2,0)</f>
        <v>5.8309037900874633E-2</v>
      </c>
      <c r="BV46" s="26">
        <f>VLOOKUP($A46,tabCustoUnit[],COLUMN(CUSTO_GLOBAL[[#Headers],[Resumo de Alíquotas (PIS+CONFINS+ISS)]])-2,0)</f>
        <v>0.14250000000000002</v>
      </c>
      <c r="BW46" s="138">
        <f>VLOOKUP($A46,tabCustoUnit[],COLUMN(CUSTO_GLOBAL[[#Headers],[PIS + COFINS + ISS (Total Conversão  Alíquota s/ Fatura)]])-2,0)</f>
        <v>0.16618075801749277</v>
      </c>
      <c r="BX46" s="22" t="e">
        <f ca="1">VLOOKUP($A46,tabCustoUnit[],COLUMN(CUSTO_GLOBAL[[#Headers],[Valor dos Tributos (ISS, PIS, CONFINS)]])-2,0)*($G46-$H46)</f>
        <v>#NAME?</v>
      </c>
      <c r="BY46" s="22" t="e">
        <f ca="1">VLOOKUP($A46,tabCustoUnit[],COLUMN(CUSTO_GLOBAL[[#Headers],[MÓDULO 6 – CUSTOS INDIRETOS, TRIBUTOS E LUCRO]])-2,0)*($G46-$H46)</f>
        <v>#NAME?</v>
      </c>
      <c r="BZ46" s="22" t="e">
        <f ca="1">VLOOKUP($A46,tabCustoUnit[],COLUMN(CUSTO_GLOBAL[[#Headers],[CUSTO TOTAL MENSAL]])-2,0)*($G46-$H46)</f>
        <v>#NAME?</v>
      </c>
      <c r="CA46" s="22" t="e">
        <f ca="1">CUSTO_GLOBAL[[#This Row],[CUSTO TOTAL MENSAL]]*12</f>
        <v>#NAME?</v>
      </c>
      <c r="CB46" s="24">
        <f>VLOOKUP($A46,tabCustoUnit[],COLUMN(CUSTO_GLOBAL[[#Headers],[ANO DA CCT]])-2,0)</f>
        <v>45658</v>
      </c>
      <c r="CC46" s="25" t="str">
        <f>VLOOKUP($A46,tabCustoUnit[],COLUMN(CUSTO_GLOBAL[[#Headers],[Nº DE PEDIDO DA CCT]])-2,0)</f>
        <v>-</v>
      </c>
      <c r="CD46" s="25" t="str">
        <f>VLOOKUP($A46,tabCustoUnit[],COLUMN(CUSTO_GLOBAL[[#Headers],[TERMO ADITIVO ALTERAÇÃO DA CCT]])-2,0)</f>
        <v>-</v>
      </c>
    </row>
    <row r="47" spans="1:82">
      <c r="A47" s="20" t="s">
        <v>1426</v>
      </c>
      <c r="B47" t="s">
        <v>1103</v>
      </c>
      <c r="C47" t="s">
        <v>224</v>
      </c>
      <c r="D47" t="s">
        <v>1035</v>
      </c>
      <c r="E47" s="20" t="s">
        <v>1090</v>
      </c>
      <c r="F47" s="20" t="s">
        <v>120</v>
      </c>
      <c r="G47" s="20">
        <v>5</v>
      </c>
      <c r="H47" s="20">
        <v>0</v>
      </c>
      <c r="I47" s="21">
        <f>VLOOKUP($A47,tabCustoUnit[],COLUMN(CUSTO_GLOBAL[[#Headers],[Salário Base]])-2,0)*($G47-$H47)</f>
        <v>20260.7</v>
      </c>
      <c r="J47" s="21">
        <f>VLOOKUP($A47,tabCustoUnit[],COLUMN(CUSTO_GLOBAL[[#Headers],[Adicional Periculosidade]])-2,0)*($G47-$H47)</f>
        <v>0</v>
      </c>
      <c r="K47" s="21">
        <f>VLOOKUP($A47,tabCustoUnit[],COLUMN(CUSTO_GLOBAL[[#Headers],[Adicional Insalubridade]])-2,0)*($G47-$H47)</f>
        <v>0</v>
      </c>
      <c r="L47" s="21">
        <f>VLOOKUP($A47,tabCustoUnit[],COLUMN(CUSTO_GLOBAL[[#Headers],[Adicional Noturno]])-2,0)*($G47-$H47)</f>
        <v>0</v>
      </c>
      <c r="M47" s="21">
        <f>VLOOKUP($A47,tabCustoUnit[],COLUMN(CUSTO_GLOBAL[[#Headers],[Adicional Motorista II (Gratificação)]])-2,0)*($G47-$H47)</f>
        <v>0</v>
      </c>
      <c r="N47" s="21">
        <f>VLOOKUP($A47,tabCustoUnit[],COLUMN(CUSTO_GLOBAL[[#Headers],[Adicional de Sobreaviso]])-2,0)*($G47-$H47)</f>
        <v>0</v>
      </c>
      <c r="O47" s="21">
        <f>VLOOKUP($A47,tabCustoUnit[],COLUMN(CUSTO_GLOBAL[[#Headers],[Horas Extras TI]])-2,0)*($G47-$H47)</f>
        <v>0</v>
      </c>
      <c r="P47" s="21">
        <f>VLOOKUP($A47,tabCustoUnit[],COLUMN(CUSTO_GLOBAL[[#Headers],[Adicional de Acúmulo de função]])-2,0)*($G47-$H47)</f>
        <v>0</v>
      </c>
      <c r="Q47" s="21">
        <f>VLOOKUP($A47,tabCustoUnit[],COLUMN(CUSTO_GLOBAL[[#Headers],[MODULO 1 - REMUNERAÇÃO ]])-2,0)*($G47-$H47)</f>
        <v>20260.7</v>
      </c>
      <c r="R47" s="21">
        <f>VLOOKUP($A47,tabCustoUnit[],COLUMN(CUSTO_GLOBAL[[#Headers],[INSS]])-2,0)*($G47-$H47)</f>
        <v>4052.14</v>
      </c>
      <c r="S47" s="21">
        <f>VLOOKUP($A47,tabCustoUnit[],COLUMN(CUSTO_GLOBAL[[#Headers],[SESI OU SESC]])-2,0)*($G47-$H47)</f>
        <v>303.91049999999996</v>
      </c>
      <c r="T47" s="21">
        <f>VLOOKUP($A47,tabCustoUnit[],COLUMN(CUSTO_GLOBAL[[#Headers],[SENAI OU SENAC]])-2,0)*($G47-$H47)</f>
        <v>202.607</v>
      </c>
      <c r="U47" s="21">
        <f>VLOOKUP($A47,tabCustoUnit[],COLUMN(CUSTO_GLOBAL[[#Headers],[INCRA]])-2,0)*($G47-$H47)</f>
        <v>40.5214</v>
      </c>
      <c r="V47" s="21">
        <f>VLOOKUP($A47,tabCustoUnit[],COLUMN(CUSTO_GLOBAL[[#Headers],[Salário Educação]])-2,0)*($G47-$H47)</f>
        <v>506.51749999999998</v>
      </c>
      <c r="W47" s="21">
        <f>VLOOKUP($A47,tabCustoUnit[],COLUMN(CUSTO_GLOBAL[[#Headers],[FGTS]])-2,0)*($G47-$H47)</f>
        <v>1620.856</v>
      </c>
      <c r="X47" s="21">
        <f>VLOOKUP($A47,tabCustoUnit[],COLUMN(CUSTO_GLOBAL[[#Headers],[RAT Ajustado]])-2,0)*($G47-$H47)</f>
        <v>810.428</v>
      </c>
      <c r="Y47" s="21">
        <f>VLOOKUP($A47,tabCustoUnit[],COLUMN(CUSTO_GLOBAL[[#Headers],[SEBRAE]])-2,0)*($G47-$H47)</f>
        <v>121.5642</v>
      </c>
      <c r="Z47" s="21">
        <f>VLOOKUP($A47,tabCustoUnit[],COLUMN(CUSTO_GLOBAL[[#Headers],[Submódulo 2.1]])-2,0)*($G47-$H47)</f>
        <v>7658.5446000000002</v>
      </c>
      <c r="AA47" s="21">
        <f>VLOOKUP($A47,tabCustoUnit[],COLUMN(CUSTO_GLOBAL[[#Headers],[13º salário (titular)]])-2,0)*($G47-$H47)</f>
        <v>1688.3916666666664</v>
      </c>
      <c r="AB47" s="21">
        <f>VLOOKUP($A47,tabCustoUnit[],COLUMN(CUSTO_GLOBAL[[#Headers],[Férias e Adicional de Férias (titular)]])-2,0)*($G47-$H47)</f>
        <v>2251.1888888888889</v>
      </c>
      <c r="AC47" s="21">
        <f>VLOOKUP($A47,tabCustoUnit[],COLUMN(CUSTO_GLOBAL[[#Headers],[Incidência do Submódulo 2.1 sobre 13º Salário, Férias e Adicional de Férias]])-2,0)*($G47-$H47)</f>
        <v>1489.1614500000001</v>
      </c>
      <c r="AD47" s="21">
        <f>VLOOKUP($A47,tabCustoUnit[],COLUMN(CUSTO_GLOBAL[[#Headers],[Submódulo 2.2]])-2,0)*($G47-$H47)</f>
        <v>5428.7420055555549</v>
      </c>
      <c r="AE47" s="22" t="e">
        <f ca="1">VLOOKUP($A47,tabCustoUnit[],COLUMN(CUSTO_GLOBAL[[#Headers],[Vale - Transporte (Descontada parcela do empregado)]])-2,0)*($G47-$H47)</f>
        <v>#NAME?</v>
      </c>
      <c r="AF47" s="22">
        <f>VLOOKUP($A47,tabCustoUnit[],COLUMN(CUSTO_GLOBAL[[#Headers],[Vale - Alimentação (Descontada parcela do empregado)]])-2,0)*($G47-$H47)</f>
        <v>2910</v>
      </c>
      <c r="AG47" s="22">
        <f>VLOOKUP($A47,tabCustoUnit[],COLUMN(CUSTO_GLOBAL[[#Headers],[Cesta Básica]])-2,0)*($G47-$H47)</f>
        <v>0</v>
      </c>
      <c r="AH47" s="22">
        <f>VLOOKUP($A47,tabCustoUnit[],COLUMN(CUSTO_GLOBAL[[#Headers],[PAF]])-2,0)*($G47-$H47)</f>
        <v>479.5</v>
      </c>
      <c r="AI47" s="22">
        <f>VLOOKUP($A47,tabCustoUnit[],COLUMN(CUSTO_GLOBAL[[#Headers],[PQM]])-2,0)*($G47-$H47)</f>
        <v>0</v>
      </c>
      <c r="AJ47" s="22">
        <v>0</v>
      </c>
      <c r="AK47" s="22">
        <f>VLOOKUP($A47,tabCustoUnit[],COLUMN(CUSTO_GLOBAL[[#Headers],[Seguro de Vida]])-2,0)*($G47-$H47)</f>
        <v>16.8</v>
      </c>
      <c r="AL47" s="22">
        <f>VLOOKUP($A47,tabCustoUnit[],COLUMN(CUSTO_GLOBAL[[#Headers],[Despesas de Viagem]])-2,0)*($G47-$H47)</f>
        <v>1010.4000000000001</v>
      </c>
      <c r="AM47" s="22" t="e">
        <f ca="1">VLOOKUP($A47,tabCustoUnit[],COLUMN(CUSTO_GLOBAL[[#Headers],[Submódulo 2.3]])-2,0)*($G47-$H47)</f>
        <v>#NAME?</v>
      </c>
      <c r="AN47" s="22" t="e">
        <f ca="1">VLOOKUP($A47,tabCustoUnit[],COLUMN(CUSTO_GLOBAL[[#Headers],[MÓDULO 2 - Total Encargos e Benefícios mensais e diários]])-2,0)*($G47-$H47)</f>
        <v>#NAME?</v>
      </c>
      <c r="AO47" s="22">
        <f>VLOOKUP($A47,tabCustoUnit[],COLUMN(CUSTO_GLOBAL[[#Headers],[Aviso Prévio Indenizado (API) e Reflexo do Aviso Prévio Indenizado]])-2,0)*($G47-$H47)</f>
        <v>142.0633071566358</v>
      </c>
      <c r="AP47" s="22">
        <f>VLOOKUP($A47,tabCustoUnit[],COLUMN(CUSTO_GLOBAL[[#Headers],[Incidência do FGTS sobre API e Reflexo do API]])-2,0)*($G47-$H47)</f>
        <v>11.365064572530866</v>
      </c>
      <c r="AQ47" s="22">
        <f>VLOOKUP($A47,tabCustoUnit[],COLUMN(CUSTO_GLOBAL[[#Headers],[Multa Rescisória do FGTS sobre o Aviso Prévio Indenizado]])-2,0)*($G47-$H47)</f>
        <v>4.5460258290123461</v>
      </c>
      <c r="AR47" s="22">
        <f>VLOOKUP($A47,tabCustoUnit[],COLUMN(CUSTO_GLOBAL[[#Headers],[Aviso Prévio Trabalhado - APT]])-2,0)*($G47-$H47)</f>
        <v>70.912450000000007</v>
      </c>
      <c r="AS47" s="22">
        <f>VLOOKUP($A47,tabCustoUnit[],COLUMN(CUSTO_GLOBAL[[#Headers],[Incidência dos encargos do submódulo 2.1 sobre Aviso Prévio Trabalhado]])-2,0)*($G47-$H47)</f>
        <v>26.804906100000004</v>
      </c>
      <c r="AT47" s="22">
        <f>VLOOKUP($A47,tabCustoUnit[],COLUMN(CUSTO_GLOBAL[[#Headers],[Multa Rescisória do FGTS]])-2,0)*($G47-$H47)</f>
        <v>619.52718222222211</v>
      </c>
      <c r="AU47" s="22">
        <f>VLOOKUP($A47,tabCustoUnit[],COLUMN(CUSTO_GLOBAL[[#Headers],[Indenização Adicional (Art. 9º da Lei nº 7.238/84)]])-2,0)*($G47-$H47)</f>
        <v>16.883916666666668</v>
      </c>
      <c r="AV47" s="22">
        <f>VLOOKUP($A47,tabCustoUnit[],COLUMN(CUSTO_GLOBAL[[#Headers],[MÓDULO 3 – PROVISÃO PARA RESCISÃO]])-2,0)*($G47-$H47)</f>
        <v>892.10285254706776</v>
      </c>
      <c r="AW47" s="22">
        <f>VLOOKUP($A47,tabCustoUnit[],COLUMN(CUSTO_GLOBAL[[#Headers],[Ausência por Doença]])-2,0)*($G47-$H47)</f>
        <v>171.09035555555553</v>
      </c>
      <c r="AX47" s="22">
        <f>VLOOKUP($A47,tabCustoUnit[],COLUMN(CUSTO_GLOBAL[[#Headers],[Ausências Legais]])-2,0)*($G47-$H47)</f>
        <v>41.084197222222222</v>
      </c>
      <c r="AY47" s="22">
        <f>VLOOKUP($A47,tabCustoUnit[],COLUMN(CUSTO_GLOBAL[[#Headers],[Licença Paternidade]])-2,0)*($G47-$H47)</f>
        <v>3.4612029166666662</v>
      </c>
      <c r="AZ47" s="22">
        <f>VLOOKUP($A47,tabCustoUnit[],COLUMN(CUSTO_GLOBAL[[#Headers],[Ausência por Acidente de Trabalho]])-2,0)*($G47-$H47)</f>
        <v>4.2209791666666669</v>
      </c>
      <c r="BA47" s="22">
        <f>VLOOKUP($A47,tabCustoUnit[],COLUMN(CUSTO_GLOBAL[[#Headers],[Férias, Adicional de Férias e 13º  com empregada em gozo de Licença Maternidade]])-2,0)*($G47-$H47)</f>
        <v>26.26387037037037</v>
      </c>
      <c r="BB47" s="22">
        <f>VLOOKUP($A47,tabCustoUnit[],COLUMN(CUSTO_GLOBAL[[#Headers],[Incidência do Submódulo 2.1 sobre Ausências Legais]])-2,0)*($G47-$H47)</f>
        <v>93.033588777500015</v>
      </c>
      <c r="BC47" s="22">
        <f>VLOOKUP($A47,tabCustoUnit[],COLUMN(CUSTO_GLOBAL[[#Headers],[Submódulo 4.1]])-2,0)*($G47-$H47)</f>
        <v>339.15419400898145</v>
      </c>
      <c r="BD47" s="22">
        <f>VLOOKUP($A47,tabCustoUnit[],COLUMN(CUSTO_GLOBAL[[#Headers],[Intervalo para Repouso ou Alimentação]])-2,0)*($G47-$H47)</f>
        <v>0</v>
      </c>
      <c r="BE47" s="22">
        <f>VLOOKUP($A47,tabCustoUnit[],COLUMN(CUSTO_GLOBAL[[#Headers],[Submódulo 4.2]])-2,0)*($G47-$H47)</f>
        <v>0</v>
      </c>
      <c r="BF47" s="22">
        <f>VLOOKUP($A47,tabCustoUnit[],COLUMN(CUSTO_GLOBAL[[#Headers],[Suspensão Temporária do Contrato de Trabalho]])-2,0)*($G47-$H47)</f>
        <v>0</v>
      </c>
      <c r="BG47" s="22">
        <f>VLOOKUP($A47,tabCustoUnit[],COLUMN(CUSTO_GLOBAL[[#Headers],[Submódulo 4.3]])-2,0)*($G47-$H47)</f>
        <v>0</v>
      </c>
      <c r="BH47" s="22">
        <f>VLOOKUP($A47,tabCustoUnit[],COLUMN(CUSTO_GLOBAL[[#Headers],[MÓDULO 4 – CUSTO DE REPOSIÇÃO DO PROFISSIONAL AUSENTE]])-2,0)*($G47-$H47)</f>
        <v>339.15419400898145</v>
      </c>
      <c r="BI47" s="22">
        <f>VLOOKUP($A47,tabCustoUnit[],COLUMN(CUSTO_GLOBAL[[#Headers],[Uniformes e EPIs]])-2,0)*($G47-$H47)</f>
        <v>283.21489481271698</v>
      </c>
      <c r="BJ47" s="22">
        <f>VLOOKUP($A47,tabCustoUnit[],COLUMN(CUSTO_GLOBAL[[#Headers],[Materiais de Consumo]])-2,0)*($G47-$H47)</f>
        <v>0</v>
      </c>
      <c r="BK47" s="22">
        <f>VLOOKUP($A47,tabCustoUnit[],COLUMN(CUSTO_GLOBAL[[#Headers],[Máquinas e Equipamentos (depreciação)]])-2,0)*($G47-$H47)</f>
        <v>0</v>
      </c>
      <c r="BL47" s="22">
        <f>VLOOKUP($A47,tabCustoUnit[],COLUMN(CUSTO_GLOBAL[[#Headers],[Produtos de Limpeza e Materiais de Higiene Pessoal]])-2,0)*($G47-$H47)</f>
        <v>0</v>
      </c>
      <c r="BM47" s="22">
        <f>VLOOKUP($A47,tabCustoUnit[],COLUMN(CUSTO_GLOBAL[[#Headers],[Outros (especificar)]])-2,0)*($G47-$H47)</f>
        <v>0</v>
      </c>
      <c r="BN47" s="22">
        <f>VLOOKUP($A47,tabCustoUnit[],COLUMN(CUSTO_GLOBAL[[#Headers],[MÓDULO 5 – INSUMOS DIVERSOS]])-2,0)*($G47-$H47)</f>
        <v>283.21489481271698</v>
      </c>
      <c r="BO47" s="22" t="e">
        <f ca="1">VLOOKUP($A47,tabCustoUnit[],COLUMN(CUSTO_GLOBAL[[#Headers],[TOTAL MÓDULOS 1+2+3+4+5]])-2,0)*($G47-$H47)</f>
        <v>#NAME?</v>
      </c>
      <c r="BP47" s="22" t="e">
        <f ca="1">VLOOKUP($A47,tabCustoUnit[],COLUMN(CUSTO_GLOBAL[[#Headers],[Custos Indiretos]])-2,0)*($G47-$H47)</f>
        <v>#NAME?</v>
      </c>
      <c r="BQ47" s="22" t="e">
        <f ca="1">VLOOKUP($A47,tabCustoUnit[],COLUMN(CUSTO_GLOBAL[[#Headers],[Lucro]])-2,0)*($G47-$H47)</f>
        <v>#NAME?</v>
      </c>
      <c r="BR47" s="26">
        <f>VLOOKUP($A47,tabCustoUnit[],COLUMN(CUSTO_GLOBAL[[#Headers],[COFINS]])-2,0)</f>
        <v>8.8629737609329504E-2</v>
      </c>
      <c r="BS47" s="26">
        <f>VLOOKUP($A47,tabCustoUnit[],COLUMN(CUSTO_GLOBAL[[#Headers],[PIS]])-2,0)</f>
        <v>1.9241982507288629E-2</v>
      </c>
      <c r="BT47" s="28">
        <f>VLOOKUP($A47,tabCustoUnit[],COLUMN(CUSTO_GLOBAL[[#Headers],[ISS]])-2,0)</f>
        <v>0.05</v>
      </c>
      <c r="BU47" s="26">
        <f>VLOOKUP($A47,tabCustoUnit[],COLUMN(CUSTO_GLOBAL[[#Headers],[ISS (Conversão Alíquota s/ fatura)]])-2,0)</f>
        <v>5.8309037900874633E-2</v>
      </c>
      <c r="BV47" s="26">
        <f>VLOOKUP($A47,tabCustoUnit[],COLUMN(CUSTO_GLOBAL[[#Headers],[Resumo de Alíquotas (PIS+CONFINS+ISS)]])-2,0)</f>
        <v>0.14250000000000002</v>
      </c>
      <c r="BW47" s="138">
        <f>VLOOKUP($A47,tabCustoUnit[],COLUMN(CUSTO_GLOBAL[[#Headers],[PIS + COFINS + ISS (Total Conversão  Alíquota s/ Fatura)]])-2,0)</f>
        <v>0.16618075801749277</v>
      </c>
      <c r="BX47" s="22" t="e">
        <f ca="1">VLOOKUP($A47,tabCustoUnit[],COLUMN(CUSTO_GLOBAL[[#Headers],[Valor dos Tributos (ISS, PIS, CONFINS)]])-2,0)*($G47-$H47)</f>
        <v>#NAME?</v>
      </c>
      <c r="BY47" s="22" t="e">
        <f ca="1">VLOOKUP($A47,tabCustoUnit[],COLUMN(CUSTO_GLOBAL[[#Headers],[MÓDULO 6 – CUSTOS INDIRETOS, TRIBUTOS E LUCRO]])-2,0)*($G47-$H47)</f>
        <v>#NAME?</v>
      </c>
      <c r="BZ47" s="22" t="e">
        <f ca="1">VLOOKUP($A47,tabCustoUnit[],COLUMN(CUSTO_GLOBAL[[#Headers],[CUSTO TOTAL MENSAL]])-2,0)*($G47-$H47)</f>
        <v>#NAME?</v>
      </c>
      <c r="CA47" s="22" t="e">
        <f ca="1">CUSTO_GLOBAL[[#This Row],[CUSTO TOTAL MENSAL]]*12</f>
        <v>#NAME?</v>
      </c>
      <c r="CB47" s="24">
        <f>VLOOKUP($A47,tabCustoUnit[],COLUMN(CUSTO_GLOBAL[[#Headers],[ANO DA CCT]])-2,0)</f>
        <v>45658</v>
      </c>
      <c r="CC47" s="25" t="str">
        <f>VLOOKUP($A47,tabCustoUnit[],COLUMN(CUSTO_GLOBAL[[#Headers],[Nº DE PEDIDO DA CCT]])-2,0)</f>
        <v>-</v>
      </c>
      <c r="CD47" s="25" t="str">
        <f>VLOOKUP($A47,tabCustoUnit[],COLUMN(CUSTO_GLOBAL[[#Headers],[TERMO ADITIVO ALTERAÇÃO DA CCT]])-2,0)</f>
        <v>-</v>
      </c>
    </row>
    <row r="48" spans="1:82">
      <c r="A48" s="20" t="s">
        <v>1427</v>
      </c>
      <c r="B48" t="s">
        <v>1103</v>
      </c>
      <c r="C48" t="s">
        <v>229</v>
      </c>
      <c r="D48" t="s">
        <v>1035</v>
      </c>
      <c r="E48" s="20" t="s">
        <v>1090</v>
      </c>
      <c r="F48" s="20" t="s">
        <v>120</v>
      </c>
      <c r="G48" s="20">
        <v>4</v>
      </c>
      <c r="H48" s="20">
        <v>0</v>
      </c>
      <c r="I48" s="21">
        <f>VLOOKUP($A48,tabCustoUnit[],COLUMN(CUSTO_GLOBAL[[#Headers],[Salário Base]])-2,0)*($G48-$H48)</f>
        <v>12260.204</v>
      </c>
      <c r="J48" s="21">
        <f>VLOOKUP($A48,tabCustoUnit[],COLUMN(CUSTO_GLOBAL[[#Headers],[Adicional Periculosidade]])-2,0)*($G48-$H48)</f>
        <v>0</v>
      </c>
      <c r="K48" s="21">
        <f>VLOOKUP($A48,tabCustoUnit[],COLUMN(CUSTO_GLOBAL[[#Headers],[Adicional Insalubridade]])-2,0)*($G48-$H48)</f>
        <v>0</v>
      </c>
      <c r="L48" s="21">
        <f>VLOOKUP($A48,tabCustoUnit[],COLUMN(CUSTO_GLOBAL[[#Headers],[Adicional Noturno]])-2,0)*($G48-$H48)</f>
        <v>0</v>
      </c>
      <c r="M48" s="21">
        <f>VLOOKUP($A48,tabCustoUnit[],COLUMN(CUSTO_GLOBAL[[#Headers],[Adicional Motorista II (Gratificação)]])-2,0)*($G48-$H48)</f>
        <v>0</v>
      </c>
      <c r="N48" s="21">
        <f>VLOOKUP($A48,tabCustoUnit[],COLUMN(CUSTO_GLOBAL[[#Headers],[Adicional de Sobreaviso]])-2,0)*($G48-$H48)</f>
        <v>0</v>
      </c>
      <c r="O48" s="21">
        <f>VLOOKUP($A48,tabCustoUnit[],COLUMN(CUSTO_GLOBAL[[#Headers],[Horas Extras TI]])-2,0)*($G48-$H48)</f>
        <v>0</v>
      </c>
      <c r="P48" s="21">
        <f>VLOOKUP($A48,tabCustoUnit[],COLUMN(CUSTO_GLOBAL[[#Headers],[Adicional de Acúmulo de função]])-2,0)*($G48-$H48)</f>
        <v>0</v>
      </c>
      <c r="Q48" s="21">
        <f>VLOOKUP($A48,tabCustoUnit[],COLUMN(CUSTO_GLOBAL[[#Headers],[MODULO 1 - REMUNERAÇÃO ]])-2,0)*($G48-$H48)</f>
        <v>12260.204</v>
      </c>
      <c r="R48" s="21">
        <f>VLOOKUP($A48,tabCustoUnit[],COLUMN(CUSTO_GLOBAL[[#Headers],[INSS]])-2,0)*($G48-$H48)</f>
        <v>2452.0408000000002</v>
      </c>
      <c r="S48" s="21">
        <f>VLOOKUP($A48,tabCustoUnit[],COLUMN(CUSTO_GLOBAL[[#Headers],[SESI OU SESC]])-2,0)*($G48-$H48)</f>
        <v>183.90305999999998</v>
      </c>
      <c r="T48" s="21">
        <f>VLOOKUP($A48,tabCustoUnit[],COLUMN(CUSTO_GLOBAL[[#Headers],[SENAI OU SENAC]])-2,0)*($G48-$H48)</f>
        <v>122.60204</v>
      </c>
      <c r="U48" s="21">
        <f>VLOOKUP($A48,tabCustoUnit[],COLUMN(CUSTO_GLOBAL[[#Headers],[INCRA]])-2,0)*($G48-$H48)</f>
        <v>24.520408</v>
      </c>
      <c r="V48" s="21">
        <f>VLOOKUP($A48,tabCustoUnit[],COLUMN(CUSTO_GLOBAL[[#Headers],[Salário Educação]])-2,0)*($G48-$H48)</f>
        <v>306.50510000000003</v>
      </c>
      <c r="W48" s="21">
        <f>VLOOKUP($A48,tabCustoUnit[],COLUMN(CUSTO_GLOBAL[[#Headers],[FGTS]])-2,0)*($G48-$H48)</f>
        <v>980.81632000000002</v>
      </c>
      <c r="X48" s="21">
        <f>VLOOKUP($A48,tabCustoUnit[],COLUMN(CUSTO_GLOBAL[[#Headers],[RAT Ajustado]])-2,0)*($G48-$H48)</f>
        <v>490.40816000000001</v>
      </c>
      <c r="Y48" s="21">
        <f>VLOOKUP($A48,tabCustoUnit[],COLUMN(CUSTO_GLOBAL[[#Headers],[SEBRAE]])-2,0)*($G48-$H48)</f>
        <v>73.561223999999996</v>
      </c>
      <c r="Z48" s="21">
        <f>VLOOKUP($A48,tabCustoUnit[],COLUMN(CUSTO_GLOBAL[[#Headers],[Submódulo 2.1]])-2,0)*($G48-$H48)</f>
        <v>4634.3571120000006</v>
      </c>
      <c r="AA48" s="21">
        <f>VLOOKUP($A48,tabCustoUnit[],COLUMN(CUSTO_GLOBAL[[#Headers],[13º salário (titular)]])-2,0)*($G48-$H48)</f>
        <v>1021.6836666666666</v>
      </c>
      <c r="AB48" s="21">
        <f>VLOOKUP($A48,tabCustoUnit[],COLUMN(CUSTO_GLOBAL[[#Headers],[Férias e Adicional de Férias (titular)]])-2,0)*($G48-$H48)</f>
        <v>1362.2448888888887</v>
      </c>
      <c r="AC48" s="21">
        <f>VLOOKUP($A48,tabCustoUnit[],COLUMN(CUSTO_GLOBAL[[#Headers],[Incidência do Submódulo 2.1 sobre 13º Salário, Férias e Adicional de Férias]])-2,0)*($G48-$H48)</f>
        <v>901.12499400000002</v>
      </c>
      <c r="AD48" s="21">
        <f>VLOOKUP($A48,tabCustoUnit[],COLUMN(CUSTO_GLOBAL[[#Headers],[Submódulo 2.2]])-2,0)*($G48-$H48)</f>
        <v>3285.053549555555</v>
      </c>
      <c r="AE48" s="22" t="e">
        <f ca="1">VLOOKUP($A48,tabCustoUnit[],COLUMN(CUSTO_GLOBAL[[#Headers],[Vale - Transporte (Descontada parcela do empregado)]])-2,0)*($G48-$H48)</f>
        <v>#NAME?</v>
      </c>
      <c r="AF48" s="22">
        <f>VLOOKUP($A48,tabCustoUnit[],COLUMN(CUSTO_GLOBAL[[#Headers],[Vale - Alimentação (Descontada parcela do empregado)]])-2,0)*($G48-$H48)</f>
        <v>2328</v>
      </c>
      <c r="AG48" s="22">
        <f>VLOOKUP($A48,tabCustoUnit[],COLUMN(CUSTO_GLOBAL[[#Headers],[Cesta Básica]])-2,0)*($G48-$H48)</f>
        <v>0</v>
      </c>
      <c r="AH48" s="22">
        <f>VLOOKUP($A48,tabCustoUnit[],COLUMN(CUSTO_GLOBAL[[#Headers],[PAF]])-2,0)*($G48-$H48)</f>
        <v>383.6</v>
      </c>
      <c r="AI48" s="22">
        <f>VLOOKUP($A48,tabCustoUnit[],COLUMN(CUSTO_GLOBAL[[#Headers],[PQM]])-2,0)*($G48-$H48)</f>
        <v>0</v>
      </c>
      <c r="AJ48" s="22">
        <v>0</v>
      </c>
      <c r="AK48" s="22">
        <f>VLOOKUP($A48,tabCustoUnit[],COLUMN(CUSTO_GLOBAL[[#Headers],[Seguro de Vida]])-2,0)*($G48-$H48)</f>
        <v>13.44</v>
      </c>
      <c r="AL48" s="22">
        <f>VLOOKUP($A48,tabCustoUnit[],COLUMN(CUSTO_GLOBAL[[#Headers],[Despesas de Viagem]])-2,0)*($G48-$H48)</f>
        <v>808.32</v>
      </c>
      <c r="AM48" s="22" t="e">
        <f ca="1">VLOOKUP($A48,tabCustoUnit[],COLUMN(CUSTO_GLOBAL[[#Headers],[Submódulo 2.3]])-2,0)*($G48-$H48)</f>
        <v>#NAME?</v>
      </c>
      <c r="AN48" s="22" t="e">
        <f ca="1">VLOOKUP($A48,tabCustoUnit[],COLUMN(CUSTO_GLOBAL[[#Headers],[MÓDULO 2 - Total Encargos e Benefícios mensais e diários]])-2,0)*($G48-$H48)</f>
        <v>#NAME?</v>
      </c>
      <c r="AO48" s="22">
        <f>VLOOKUP($A48,tabCustoUnit[],COLUMN(CUSTO_GLOBAL[[#Headers],[Aviso Prévio Indenizado (API) e Reflexo do Aviso Prévio Indenizado]])-2,0)*($G48-$H48)</f>
        <v>85.965693517746914</v>
      </c>
      <c r="AP48" s="22">
        <f>VLOOKUP($A48,tabCustoUnit[],COLUMN(CUSTO_GLOBAL[[#Headers],[Incidência do FGTS sobre API e Reflexo do API]])-2,0)*($G48-$H48)</f>
        <v>6.8772554814197537</v>
      </c>
      <c r="AQ48" s="22">
        <f>VLOOKUP($A48,tabCustoUnit[],COLUMN(CUSTO_GLOBAL[[#Headers],[Multa Rescisória do FGTS sobre o Aviso Prévio Indenizado]])-2,0)*($G48-$H48)</f>
        <v>2.7509021925679016</v>
      </c>
      <c r="AR48" s="22">
        <f>VLOOKUP($A48,tabCustoUnit[],COLUMN(CUSTO_GLOBAL[[#Headers],[Aviso Prévio Trabalhado - APT]])-2,0)*($G48-$H48)</f>
        <v>42.910714000000006</v>
      </c>
      <c r="AS48" s="22">
        <f>VLOOKUP($A48,tabCustoUnit[],COLUMN(CUSTO_GLOBAL[[#Headers],[Incidência dos encargos do submódulo 2.1 sobre Aviso Prévio Trabalhado]])-2,0)*($G48-$H48)</f>
        <v>16.220249892000005</v>
      </c>
      <c r="AT48" s="22">
        <f>VLOOKUP($A48,tabCustoUnit[],COLUMN(CUSTO_GLOBAL[[#Headers],[Multa Rescisória do FGTS]])-2,0)*($G48-$H48)</f>
        <v>374.88979342222217</v>
      </c>
      <c r="AU48" s="22">
        <f>VLOOKUP($A48,tabCustoUnit[],COLUMN(CUSTO_GLOBAL[[#Headers],[Indenização Adicional (Art. 9º da Lei nº 7.238/84)]])-2,0)*($G48-$H48)</f>
        <v>10.216836666666667</v>
      </c>
      <c r="AV48" s="22">
        <f>VLOOKUP($A48,tabCustoUnit[],COLUMN(CUSTO_GLOBAL[[#Headers],[MÓDULO 3 – PROVISÃO PARA RESCISÃO]])-2,0)*($G48-$H48)</f>
        <v>539.83144517262349</v>
      </c>
      <c r="AW48" s="22">
        <f>VLOOKUP($A48,tabCustoUnit[],COLUMN(CUSTO_GLOBAL[[#Headers],[Ausência por Doença]])-2,0)*($G48-$H48)</f>
        <v>103.53061155555554</v>
      </c>
      <c r="AX48" s="22">
        <f>VLOOKUP($A48,tabCustoUnit[],COLUMN(CUSTO_GLOBAL[[#Headers],[Ausências Legais]])-2,0)*($G48-$H48)</f>
        <v>24.86096922222222</v>
      </c>
      <c r="AY48" s="22">
        <f>VLOOKUP($A48,tabCustoUnit[],COLUMN(CUSTO_GLOBAL[[#Headers],[Licença Paternidade]])-2,0)*($G48-$H48)</f>
        <v>2.0944515166666666</v>
      </c>
      <c r="AZ48" s="22">
        <f>VLOOKUP($A48,tabCustoUnit[],COLUMN(CUSTO_GLOBAL[[#Headers],[Ausência por Acidente de Trabalho]])-2,0)*($G48-$H48)</f>
        <v>2.5542091666666669</v>
      </c>
      <c r="BA48" s="22">
        <f>VLOOKUP($A48,tabCustoUnit[],COLUMN(CUSTO_GLOBAL[[#Headers],[Férias, Adicional de Férias e 13º  com empregada em gozo de Licença Maternidade]])-2,0)*($G48-$H48)</f>
        <v>15.892857037037036</v>
      </c>
      <c r="BB48" s="22">
        <f>VLOOKUP($A48,tabCustoUnit[],COLUMN(CUSTO_GLOBAL[[#Headers],[Incidência do Submódulo 2.1 sobre Ausências Legais]])-2,0)*($G48-$H48)</f>
        <v>56.296711232300005</v>
      </c>
      <c r="BC48" s="22">
        <f>VLOOKUP($A48,tabCustoUnit[],COLUMN(CUSTO_GLOBAL[[#Headers],[Submódulo 4.1]])-2,0)*($G48-$H48)</f>
        <v>205.22980973044815</v>
      </c>
      <c r="BD48" s="22">
        <f>VLOOKUP($A48,tabCustoUnit[],COLUMN(CUSTO_GLOBAL[[#Headers],[Intervalo para Repouso ou Alimentação]])-2,0)*($G48-$H48)</f>
        <v>0</v>
      </c>
      <c r="BE48" s="22">
        <f>VLOOKUP($A48,tabCustoUnit[],COLUMN(CUSTO_GLOBAL[[#Headers],[Submódulo 4.2]])-2,0)*($G48-$H48)</f>
        <v>0</v>
      </c>
      <c r="BF48" s="22">
        <f>VLOOKUP($A48,tabCustoUnit[],COLUMN(CUSTO_GLOBAL[[#Headers],[Suspensão Temporária do Contrato de Trabalho]])-2,0)*($G48-$H48)</f>
        <v>0</v>
      </c>
      <c r="BG48" s="22">
        <f>VLOOKUP($A48,tabCustoUnit[],COLUMN(CUSTO_GLOBAL[[#Headers],[Submódulo 4.3]])-2,0)*($G48-$H48)</f>
        <v>0</v>
      </c>
      <c r="BH48" s="22">
        <f>VLOOKUP($A48,tabCustoUnit[],COLUMN(CUSTO_GLOBAL[[#Headers],[MÓDULO 4 – CUSTO DE REPOSIÇÃO DO PROFISSIONAL AUSENTE]])-2,0)*($G48-$H48)</f>
        <v>205.22980973044815</v>
      </c>
      <c r="BI48" s="22">
        <f>VLOOKUP($A48,tabCustoUnit[],COLUMN(CUSTO_GLOBAL[[#Headers],[Uniformes e EPIs]])-2,0)*($G48-$H48)</f>
        <v>494.21463716136765</v>
      </c>
      <c r="BJ48" s="22">
        <f>VLOOKUP($A48,tabCustoUnit[],COLUMN(CUSTO_GLOBAL[[#Headers],[Materiais de Consumo]])-2,0)*($G48-$H48)</f>
        <v>0</v>
      </c>
      <c r="BK48" s="22">
        <f>VLOOKUP($A48,tabCustoUnit[],COLUMN(CUSTO_GLOBAL[[#Headers],[Máquinas e Equipamentos (depreciação)]])-2,0)*($G48-$H48)</f>
        <v>0</v>
      </c>
      <c r="BL48" s="22">
        <f>VLOOKUP($A48,tabCustoUnit[],COLUMN(CUSTO_GLOBAL[[#Headers],[Produtos de Limpeza e Materiais de Higiene Pessoal]])-2,0)*($G48-$H48)</f>
        <v>0</v>
      </c>
      <c r="BM48" s="22">
        <f>VLOOKUP($A48,tabCustoUnit[],COLUMN(CUSTO_GLOBAL[[#Headers],[Outros (especificar)]])-2,0)*($G48-$H48)</f>
        <v>0</v>
      </c>
      <c r="BN48" s="22">
        <f>VLOOKUP($A48,tabCustoUnit[],COLUMN(CUSTO_GLOBAL[[#Headers],[MÓDULO 5 – INSUMOS DIVERSOS]])-2,0)*($G48-$H48)</f>
        <v>494.21463716136765</v>
      </c>
      <c r="BO48" s="22" t="e">
        <f ca="1">VLOOKUP($A48,tabCustoUnit[],COLUMN(CUSTO_GLOBAL[[#Headers],[TOTAL MÓDULOS 1+2+3+4+5]])-2,0)*($G48-$H48)</f>
        <v>#NAME?</v>
      </c>
      <c r="BP48" s="22" t="e">
        <f ca="1">VLOOKUP($A48,tabCustoUnit[],COLUMN(CUSTO_GLOBAL[[#Headers],[Custos Indiretos]])-2,0)*($G48-$H48)</f>
        <v>#NAME?</v>
      </c>
      <c r="BQ48" s="22" t="e">
        <f ca="1">VLOOKUP($A48,tabCustoUnit[],COLUMN(CUSTO_GLOBAL[[#Headers],[Lucro]])-2,0)*($G48-$H48)</f>
        <v>#NAME?</v>
      </c>
      <c r="BR48" s="26">
        <f>VLOOKUP($A48,tabCustoUnit[],COLUMN(CUSTO_GLOBAL[[#Headers],[COFINS]])-2,0)</f>
        <v>8.8629737609329504E-2</v>
      </c>
      <c r="BS48" s="26">
        <f>VLOOKUP($A48,tabCustoUnit[],COLUMN(CUSTO_GLOBAL[[#Headers],[PIS]])-2,0)</f>
        <v>1.9241982507288629E-2</v>
      </c>
      <c r="BT48" s="28">
        <f>VLOOKUP($A48,tabCustoUnit[],COLUMN(CUSTO_GLOBAL[[#Headers],[ISS]])-2,0)</f>
        <v>0.05</v>
      </c>
      <c r="BU48" s="26">
        <f>VLOOKUP($A48,tabCustoUnit[],COLUMN(CUSTO_GLOBAL[[#Headers],[ISS (Conversão Alíquota s/ fatura)]])-2,0)</f>
        <v>5.8309037900874633E-2</v>
      </c>
      <c r="BV48" s="26">
        <f>VLOOKUP($A48,tabCustoUnit[],COLUMN(CUSTO_GLOBAL[[#Headers],[Resumo de Alíquotas (PIS+CONFINS+ISS)]])-2,0)</f>
        <v>0.14250000000000002</v>
      </c>
      <c r="BW48" s="138">
        <f>VLOOKUP($A48,tabCustoUnit[],COLUMN(CUSTO_GLOBAL[[#Headers],[PIS + COFINS + ISS (Total Conversão  Alíquota s/ Fatura)]])-2,0)</f>
        <v>0.16618075801749277</v>
      </c>
      <c r="BX48" s="22" t="e">
        <f ca="1">VLOOKUP($A48,tabCustoUnit[],COLUMN(CUSTO_GLOBAL[[#Headers],[Valor dos Tributos (ISS, PIS, CONFINS)]])-2,0)*($G48-$H48)</f>
        <v>#NAME?</v>
      </c>
      <c r="BY48" s="22" t="e">
        <f ca="1">VLOOKUP($A48,tabCustoUnit[],COLUMN(CUSTO_GLOBAL[[#Headers],[MÓDULO 6 – CUSTOS INDIRETOS, TRIBUTOS E LUCRO]])-2,0)*($G48-$H48)</f>
        <v>#NAME?</v>
      </c>
      <c r="BZ48" s="22" t="e">
        <f ca="1">VLOOKUP($A48,tabCustoUnit[],COLUMN(CUSTO_GLOBAL[[#Headers],[CUSTO TOTAL MENSAL]])-2,0)*($G48-$H48)</f>
        <v>#NAME?</v>
      </c>
      <c r="CA48" s="22" t="e">
        <f ca="1">CUSTO_GLOBAL[[#This Row],[CUSTO TOTAL MENSAL]]*12</f>
        <v>#NAME?</v>
      </c>
      <c r="CB48" s="24">
        <f>VLOOKUP($A48,tabCustoUnit[],COLUMN(CUSTO_GLOBAL[[#Headers],[ANO DA CCT]])-2,0)</f>
        <v>45658</v>
      </c>
      <c r="CC48" s="25" t="str">
        <f>VLOOKUP($A48,tabCustoUnit[],COLUMN(CUSTO_GLOBAL[[#Headers],[Nº DE PEDIDO DA CCT]])-2,0)</f>
        <v>-</v>
      </c>
      <c r="CD48" s="25" t="str">
        <f>VLOOKUP($A48,tabCustoUnit[],COLUMN(CUSTO_GLOBAL[[#Headers],[TERMO ADITIVO ALTERAÇÃO DA CCT]])-2,0)</f>
        <v>-</v>
      </c>
    </row>
    <row r="49" spans="1:82">
      <c r="A49" s="20" t="s">
        <v>1428</v>
      </c>
      <c r="B49" t="s">
        <v>1103</v>
      </c>
      <c r="C49" t="s">
        <v>1365</v>
      </c>
      <c r="D49" t="s">
        <v>1035</v>
      </c>
      <c r="E49" s="20" t="s">
        <v>1090</v>
      </c>
      <c r="F49" s="20" t="s">
        <v>120</v>
      </c>
      <c r="G49" s="20">
        <v>2</v>
      </c>
      <c r="H49" s="20">
        <v>0</v>
      </c>
      <c r="I49" s="21">
        <f>VLOOKUP($A49,tabCustoUnit[],COLUMN(CUSTO_GLOBAL[[#Headers],[Salário Base]])-2,0)*($G49-$H49)</f>
        <v>7367.5126</v>
      </c>
      <c r="J49" s="21">
        <f>VLOOKUP($A49,tabCustoUnit[],COLUMN(CUSTO_GLOBAL[[#Headers],[Adicional Periculosidade]])-2,0)*($G49-$H49)</f>
        <v>0</v>
      </c>
      <c r="K49" s="21">
        <f>VLOOKUP($A49,tabCustoUnit[],COLUMN(CUSTO_GLOBAL[[#Headers],[Adicional Insalubridade]])-2,0)*($G49-$H49)</f>
        <v>0</v>
      </c>
      <c r="L49" s="21">
        <f>VLOOKUP($A49,tabCustoUnit[],COLUMN(CUSTO_GLOBAL[[#Headers],[Adicional Noturno]])-2,0)*($G49-$H49)</f>
        <v>0</v>
      </c>
      <c r="M49" s="21">
        <f>VLOOKUP($A49,tabCustoUnit[],COLUMN(CUSTO_GLOBAL[[#Headers],[Adicional Motorista II (Gratificação)]])-2,0)*($G49-$H49)</f>
        <v>0</v>
      </c>
      <c r="N49" s="21">
        <f>VLOOKUP($A49,tabCustoUnit[],COLUMN(CUSTO_GLOBAL[[#Headers],[Adicional de Sobreaviso]])-2,0)*($G49-$H49)</f>
        <v>0</v>
      </c>
      <c r="O49" s="21">
        <f>VLOOKUP($A49,tabCustoUnit[],COLUMN(CUSTO_GLOBAL[[#Headers],[Horas Extras TI]])-2,0)*($G49-$H49)</f>
        <v>0</v>
      </c>
      <c r="P49" s="21">
        <f>VLOOKUP($A49,tabCustoUnit[],COLUMN(CUSTO_GLOBAL[[#Headers],[Adicional de Acúmulo de função]])-2,0)*($G49-$H49)</f>
        <v>0</v>
      </c>
      <c r="Q49" s="21">
        <f>VLOOKUP($A49,tabCustoUnit[],COLUMN(CUSTO_GLOBAL[[#Headers],[MODULO 1 - REMUNERAÇÃO ]])-2,0)*($G49-$H49)</f>
        <v>7367.5126</v>
      </c>
      <c r="R49" s="21">
        <f>VLOOKUP($A49,tabCustoUnit[],COLUMN(CUSTO_GLOBAL[[#Headers],[INSS]])-2,0)*($G49-$H49)</f>
        <v>1473.50252</v>
      </c>
      <c r="S49" s="21">
        <f>VLOOKUP($A49,tabCustoUnit[],COLUMN(CUSTO_GLOBAL[[#Headers],[SESI OU SESC]])-2,0)*($G49-$H49)</f>
        <v>110.51268899999999</v>
      </c>
      <c r="T49" s="21">
        <f>VLOOKUP($A49,tabCustoUnit[],COLUMN(CUSTO_GLOBAL[[#Headers],[SENAI OU SENAC]])-2,0)*($G49-$H49)</f>
        <v>73.675126000000006</v>
      </c>
      <c r="U49" s="21">
        <f>VLOOKUP($A49,tabCustoUnit[],COLUMN(CUSTO_GLOBAL[[#Headers],[INCRA]])-2,0)*($G49-$H49)</f>
        <v>14.735025200000001</v>
      </c>
      <c r="V49" s="21">
        <f>VLOOKUP($A49,tabCustoUnit[],COLUMN(CUSTO_GLOBAL[[#Headers],[Salário Educação]])-2,0)*($G49-$H49)</f>
        <v>184.187815</v>
      </c>
      <c r="W49" s="21">
        <f>VLOOKUP($A49,tabCustoUnit[],COLUMN(CUSTO_GLOBAL[[#Headers],[FGTS]])-2,0)*($G49-$H49)</f>
        <v>589.40100800000005</v>
      </c>
      <c r="X49" s="21">
        <f>VLOOKUP($A49,tabCustoUnit[],COLUMN(CUSTO_GLOBAL[[#Headers],[RAT Ajustado]])-2,0)*($G49-$H49)</f>
        <v>294.70050400000002</v>
      </c>
      <c r="Y49" s="21">
        <f>VLOOKUP($A49,tabCustoUnit[],COLUMN(CUSTO_GLOBAL[[#Headers],[SEBRAE]])-2,0)*($G49-$H49)</f>
        <v>44.205075600000001</v>
      </c>
      <c r="Z49" s="21">
        <f>VLOOKUP($A49,tabCustoUnit[],COLUMN(CUSTO_GLOBAL[[#Headers],[Submódulo 2.1]])-2,0)*($G49-$H49)</f>
        <v>2784.9197627999997</v>
      </c>
      <c r="AA49" s="21">
        <f>VLOOKUP($A49,tabCustoUnit[],COLUMN(CUSTO_GLOBAL[[#Headers],[13º salário (titular)]])-2,0)*($G49-$H49)</f>
        <v>613.95938333333334</v>
      </c>
      <c r="AB49" s="21">
        <f>VLOOKUP($A49,tabCustoUnit[],COLUMN(CUSTO_GLOBAL[[#Headers],[Férias e Adicional de Férias (titular)]])-2,0)*($G49-$H49)</f>
        <v>818.61251111111108</v>
      </c>
      <c r="AC49" s="21">
        <f>VLOOKUP($A49,tabCustoUnit[],COLUMN(CUSTO_GLOBAL[[#Headers],[Incidência do Submódulo 2.1 sobre 13º Salário, Férias e Adicional de Férias]])-2,0)*($G49-$H49)</f>
        <v>541.51217609999992</v>
      </c>
      <c r="AD49" s="21">
        <f>VLOOKUP($A49,tabCustoUnit[],COLUMN(CUSTO_GLOBAL[[#Headers],[Submódulo 2.2]])-2,0)*($G49-$H49)</f>
        <v>1974.0840705444443</v>
      </c>
      <c r="AE49" s="22" t="e">
        <f ca="1">VLOOKUP($A49,tabCustoUnit[],COLUMN(CUSTO_GLOBAL[[#Headers],[Vale - Transporte (Descontada parcela do empregado)]])-2,0)*($G49-$H49)</f>
        <v>#NAME?</v>
      </c>
      <c r="AF49" s="22">
        <f>VLOOKUP($A49,tabCustoUnit[],COLUMN(CUSTO_GLOBAL[[#Headers],[Vale - Alimentação (Descontada parcela do empregado)]])-2,0)*($G49-$H49)</f>
        <v>1164</v>
      </c>
      <c r="AG49" s="22">
        <f>VLOOKUP($A49,tabCustoUnit[],COLUMN(CUSTO_GLOBAL[[#Headers],[Cesta Básica]])-2,0)*($G49-$H49)</f>
        <v>0</v>
      </c>
      <c r="AH49" s="22">
        <f>VLOOKUP($A49,tabCustoUnit[],COLUMN(CUSTO_GLOBAL[[#Headers],[PAF]])-2,0)*($G49-$H49)</f>
        <v>191.8</v>
      </c>
      <c r="AI49" s="22">
        <f>VLOOKUP($A49,tabCustoUnit[],COLUMN(CUSTO_GLOBAL[[#Headers],[PQM]])-2,0)*($G49-$H49)</f>
        <v>0</v>
      </c>
      <c r="AJ49" s="22">
        <v>0</v>
      </c>
      <c r="AK49" s="22">
        <f>VLOOKUP($A49,tabCustoUnit[],COLUMN(CUSTO_GLOBAL[[#Headers],[Seguro de Vida]])-2,0)*($G49-$H49)</f>
        <v>6.72</v>
      </c>
      <c r="AL49" s="22">
        <f>VLOOKUP($A49,tabCustoUnit[],COLUMN(CUSTO_GLOBAL[[#Headers],[Despesas de Viagem]])-2,0)*($G49-$H49)</f>
        <v>404.16</v>
      </c>
      <c r="AM49" s="22" t="e">
        <f ca="1">VLOOKUP($A49,tabCustoUnit[],COLUMN(CUSTO_GLOBAL[[#Headers],[Submódulo 2.3]])-2,0)*($G49-$H49)</f>
        <v>#NAME?</v>
      </c>
      <c r="AN49" s="22" t="e">
        <f ca="1">VLOOKUP($A49,tabCustoUnit[],COLUMN(CUSTO_GLOBAL[[#Headers],[MÓDULO 2 - Total Encargos e Benefícios mensais e diários]])-2,0)*($G49-$H49)</f>
        <v>#NAME?</v>
      </c>
      <c r="AO49" s="22">
        <f>VLOOKUP($A49,tabCustoUnit[],COLUMN(CUSTO_GLOBAL[[#Headers],[Aviso Prévio Indenizado (API) e Reflexo do Aviso Prévio Indenizado]])-2,0)*($G49-$H49)</f>
        <v>51.659281538850308</v>
      </c>
      <c r="AP49" s="22">
        <f>VLOOKUP($A49,tabCustoUnit[],COLUMN(CUSTO_GLOBAL[[#Headers],[Incidência do FGTS sobre API e Reflexo do API]])-2,0)*($G49-$H49)</f>
        <v>4.1327425231080248</v>
      </c>
      <c r="AQ49" s="22">
        <f>VLOOKUP($A49,tabCustoUnit[],COLUMN(CUSTO_GLOBAL[[#Headers],[Multa Rescisória do FGTS sobre o Aviso Prévio Indenizado]])-2,0)*($G49-$H49)</f>
        <v>1.6530970092432102</v>
      </c>
      <c r="AR49" s="22">
        <f>VLOOKUP($A49,tabCustoUnit[],COLUMN(CUSTO_GLOBAL[[#Headers],[Aviso Prévio Trabalhado - APT]])-2,0)*($G49-$H49)</f>
        <v>25.786294100000003</v>
      </c>
      <c r="AS49" s="22">
        <f>VLOOKUP($A49,tabCustoUnit[],COLUMN(CUSTO_GLOBAL[[#Headers],[Incidência dos encargos do submódulo 2.1 sobre Aviso Prévio Trabalhado]])-2,0)*($G49-$H49)</f>
        <v>9.7472191698000028</v>
      </c>
      <c r="AT49" s="22">
        <f>VLOOKUP($A49,tabCustoUnit[],COLUMN(CUSTO_GLOBAL[[#Headers],[Multa Rescisória do FGTS]])-2,0)*($G49-$H49)</f>
        <v>225.28216305777775</v>
      </c>
      <c r="AU49" s="22">
        <f>VLOOKUP($A49,tabCustoUnit[],COLUMN(CUSTO_GLOBAL[[#Headers],[Indenização Adicional (Art. 9º da Lei nº 7.238/84)]])-2,0)*($G49-$H49)</f>
        <v>6.1395938333333335</v>
      </c>
      <c r="AV49" s="22">
        <f>VLOOKUP($A49,tabCustoUnit[],COLUMN(CUSTO_GLOBAL[[#Headers],[MÓDULO 3 – PROVISÃO PARA RESCISÃO]])-2,0)*($G49-$H49)</f>
        <v>324.40039123211261</v>
      </c>
      <c r="AW49" s="22">
        <f>VLOOKUP($A49,tabCustoUnit[],COLUMN(CUSTO_GLOBAL[[#Headers],[Ausência por Doença]])-2,0)*($G49-$H49)</f>
        <v>62.214550844444439</v>
      </c>
      <c r="AX49" s="22">
        <f>VLOOKUP($A49,tabCustoUnit[],COLUMN(CUSTO_GLOBAL[[#Headers],[Ausências Legais]])-2,0)*($G49-$H49)</f>
        <v>14.939678327777777</v>
      </c>
      <c r="AY49" s="22">
        <f>VLOOKUP($A49,tabCustoUnit[],COLUMN(CUSTO_GLOBAL[[#Headers],[Licença Paternidade]])-2,0)*($G49-$H49)</f>
        <v>1.2586167358333333</v>
      </c>
      <c r="AZ49" s="22">
        <f>VLOOKUP($A49,tabCustoUnit[],COLUMN(CUSTO_GLOBAL[[#Headers],[Ausência por Acidente de Trabalho]])-2,0)*($G49-$H49)</f>
        <v>1.5348984583333334</v>
      </c>
      <c r="BA49" s="22">
        <f>VLOOKUP($A49,tabCustoUnit[],COLUMN(CUSTO_GLOBAL[[#Headers],[Férias, Adicional de Férias e 13º  com empregada em gozo de Licença Maternidade]])-2,0)*($G49-$H49)</f>
        <v>9.5504792962962952</v>
      </c>
      <c r="BB49" s="22">
        <f>VLOOKUP($A49,tabCustoUnit[],COLUMN(CUSTO_GLOBAL[[#Headers],[Incidência do Submódulo 2.1 sobre Ausências Legais]])-2,0)*($G49-$H49)</f>
        <v>33.830328544495003</v>
      </c>
      <c r="BC49" s="22">
        <f>VLOOKUP($A49,tabCustoUnit[],COLUMN(CUSTO_GLOBAL[[#Headers],[Submódulo 4.1]])-2,0)*($G49-$H49)</f>
        <v>123.32855220718018</v>
      </c>
      <c r="BD49" s="22">
        <f>VLOOKUP($A49,tabCustoUnit[],COLUMN(CUSTO_GLOBAL[[#Headers],[Intervalo para Repouso ou Alimentação]])-2,0)*($G49-$H49)</f>
        <v>815.68889909159964</v>
      </c>
      <c r="BE49" s="22">
        <f>VLOOKUP($A49,tabCustoUnit[],COLUMN(CUSTO_GLOBAL[[#Headers],[Submódulo 4.2]])-2,0)*($G49-$H49)</f>
        <v>815.68889909159964</v>
      </c>
      <c r="BF49" s="22">
        <f>VLOOKUP($A49,tabCustoUnit[],COLUMN(CUSTO_GLOBAL[[#Headers],[Suspensão Temporária do Contrato de Trabalho]])-2,0)*($G49-$H49)</f>
        <v>0</v>
      </c>
      <c r="BG49" s="22">
        <f>VLOOKUP($A49,tabCustoUnit[],COLUMN(CUSTO_GLOBAL[[#Headers],[Submódulo 4.3]])-2,0)*($G49-$H49)</f>
        <v>0</v>
      </c>
      <c r="BH49" s="22">
        <f>VLOOKUP($A49,tabCustoUnit[],COLUMN(CUSTO_GLOBAL[[#Headers],[MÓDULO 4 – CUSTO DE REPOSIÇÃO DO PROFISSIONAL AUSENTE]])-2,0)*($G49-$H49)</f>
        <v>939.01745129877986</v>
      </c>
      <c r="BI49" s="22">
        <f>VLOOKUP($A49,tabCustoUnit[],COLUMN(CUSTO_GLOBAL[[#Headers],[Uniformes e EPIs]])-2,0)*($G49-$H49)</f>
        <v>125.31632513837035</v>
      </c>
      <c r="BJ49" s="22">
        <f>VLOOKUP($A49,tabCustoUnit[],COLUMN(CUSTO_GLOBAL[[#Headers],[Materiais de Consumo]])-2,0)*($G49-$H49)</f>
        <v>0</v>
      </c>
      <c r="BK49" s="22">
        <f>VLOOKUP($A49,tabCustoUnit[],COLUMN(CUSTO_GLOBAL[[#Headers],[Máquinas e Equipamentos (depreciação)]])-2,0)*($G49-$H49)</f>
        <v>187.2424</v>
      </c>
      <c r="BL49" s="22">
        <f>VLOOKUP($A49,tabCustoUnit[],COLUMN(CUSTO_GLOBAL[[#Headers],[Produtos de Limpeza e Materiais de Higiene Pessoal]])-2,0)*($G49-$H49)</f>
        <v>0</v>
      </c>
      <c r="BM49" s="22">
        <f>VLOOKUP($A49,tabCustoUnit[],COLUMN(CUSTO_GLOBAL[[#Headers],[Outros (especificar)]])-2,0)*($G49-$H49)</f>
        <v>0</v>
      </c>
      <c r="BN49" s="22">
        <f>VLOOKUP($A49,tabCustoUnit[],COLUMN(CUSTO_GLOBAL[[#Headers],[MÓDULO 5 – INSUMOS DIVERSOS]])-2,0)*($G49-$H49)</f>
        <v>312.55872513837033</v>
      </c>
      <c r="BO49" s="22" t="e">
        <f ca="1">VLOOKUP($A49,tabCustoUnit[],COLUMN(CUSTO_GLOBAL[[#Headers],[TOTAL MÓDULOS 1+2+3+4+5]])-2,0)*($G49-$H49)</f>
        <v>#NAME?</v>
      </c>
      <c r="BP49" s="22" t="e">
        <f ca="1">VLOOKUP($A49,tabCustoUnit[],COLUMN(CUSTO_GLOBAL[[#Headers],[Custos Indiretos]])-2,0)*($G49-$H49)</f>
        <v>#NAME?</v>
      </c>
      <c r="BQ49" s="22" t="e">
        <f ca="1">VLOOKUP($A49,tabCustoUnit[],COLUMN(CUSTO_GLOBAL[[#Headers],[Lucro]])-2,0)*($G49-$H49)</f>
        <v>#NAME?</v>
      </c>
      <c r="BR49" s="26">
        <f>VLOOKUP($A49,tabCustoUnit[],COLUMN(CUSTO_GLOBAL[[#Headers],[COFINS]])-2,0)</f>
        <v>8.8629737609329504E-2</v>
      </c>
      <c r="BS49" s="26">
        <f>VLOOKUP($A49,tabCustoUnit[],COLUMN(CUSTO_GLOBAL[[#Headers],[PIS]])-2,0)</f>
        <v>1.9241982507288629E-2</v>
      </c>
      <c r="BT49" s="28">
        <f>VLOOKUP($A49,tabCustoUnit[],COLUMN(CUSTO_GLOBAL[[#Headers],[ISS]])-2,0)</f>
        <v>0.05</v>
      </c>
      <c r="BU49" s="26">
        <f>VLOOKUP($A49,tabCustoUnit[],COLUMN(CUSTO_GLOBAL[[#Headers],[ISS (Conversão Alíquota s/ fatura)]])-2,0)</f>
        <v>5.8309037900874633E-2</v>
      </c>
      <c r="BV49" s="26">
        <f>VLOOKUP($A49,tabCustoUnit[],COLUMN(CUSTO_GLOBAL[[#Headers],[Resumo de Alíquotas (PIS+CONFINS+ISS)]])-2,0)</f>
        <v>0.14250000000000002</v>
      </c>
      <c r="BW49" s="138">
        <f>VLOOKUP($A49,tabCustoUnit[],COLUMN(CUSTO_GLOBAL[[#Headers],[PIS + COFINS + ISS (Total Conversão  Alíquota s/ Fatura)]])-2,0)</f>
        <v>0.16618075801749277</v>
      </c>
      <c r="BX49" s="22" t="e">
        <f ca="1">VLOOKUP($A49,tabCustoUnit[],COLUMN(CUSTO_GLOBAL[[#Headers],[Valor dos Tributos (ISS, PIS, CONFINS)]])-2,0)*($G49-$H49)</f>
        <v>#NAME?</v>
      </c>
      <c r="BY49" s="22" t="e">
        <f ca="1">VLOOKUP($A49,tabCustoUnit[],COLUMN(CUSTO_GLOBAL[[#Headers],[MÓDULO 6 – CUSTOS INDIRETOS, TRIBUTOS E LUCRO]])-2,0)*($G49-$H49)</f>
        <v>#NAME?</v>
      </c>
      <c r="BZ49" s="22" t="e">
        <f ca="1">VLOOKUP($A49,tabCustoUnit[],COLUMN(CUSTO_GLOBAL[[#Headers],[CUSTO TOTAL MENSAL]])-2,0)*($G49-$H49)</f>
        <v>#NAME?</v>
      </c>
      <c r="CA49" s="22" t="e">
        <f ca="1">CUSTO_GLOBAL[[#This Row],[CUSTO TOTAL MENSAL]]*12</f>
        <v>#NAME?</v>
      </c>
      <c r="CB49" s="24">
        <f>VLOOKUP($A49,tabCustoUnit[],COLUMN(CUSTO_GLOBAL[[#Headers],[ANO DA CCT]])-2,0)</f>
        <v>45658</v>
      </c>
      <c r="CC49" s="25" t="str">
        <f>VLOOKUP($A49,tabCustoUnit[],COLUMN(CUSTO_GLOBAL[[#Headers],[Nº DE PEDIDO DA CCT]])-2,0)</f>
        <v>-</v>
      </c>
      <c r="CD49" s="25" t="str">
        <f>VLOOKUP($A49,tabCustoUnit[],COLUMN(CUSTO_GLOBAL[[#Headers],[TERMO ADITIVO ALTERAÇÃO DA CCT]])-2,0)</f>
        <v>-</v>
      </c>
    </row>
    <row r="50" spans="1:82">
      <c r="A50" s="20" t="s">
        <v>1429</v>
      </c>
      <c r="B50" t="s">
        <v>1103</v>
      </c>
      <c r="C50" t="s">
        <v>1522</v>
      </c>
      <c r="D50" t="s">
        <v>1035</v>
      </c>
      <c r="E50" s="20" t="s">
        <v>1090</v>
      </c>
      <c r="F50" s="20" t="s">
        <v>120</v>
      </c>
      <c r="G50" s="20">
        <v>2</v>
      </c>
      <c r="H50" s="20">
        <v>0</v>
      </c>
      <c r="I50" s="21">
        <f>VLOOKUP($A50,tabCustoUnit[],COLUMN(CUSTO_GLOBAL[[#Headers],[Salário Base]])-2,0)*($G50-$H50)</f>
        <v>7367.5126</v>
      </c>
      <c r="J50" s="21">
        <f>VLOOKUP($A50,tabCustoUnit[],COLUMN(CUSTO_GLOBAL[[#Headers],[Adicional Periculosidade]])-2,0)*($G50-$H50)</f>
        <v>0</v>
      </c>
      <c r="K50" s="21">
        <f>VLOOKUP($A50,tabCustoUnit[],COLUMN(CUSTO_GLOBAL[[#Headers],[Adicional Insalubridade]])-2,0)*($G50-$H50)</f>
        <v>0</v>
      </c>
      <c r="L50" s="21">
        <f>VLOOKUP($A50,tabCustoUnit[],COLUMN(CUSTO_GLOBAL[[#Headers],[Adicional Noturno]])-2,0)*($G50-$H50)</f>
        <v>1484.5537999999999</v>
      </c>
      <c r="M50" s="21">
        <f>VLOOKUP($A50,tabCustoUnit[],COLUMN(CUSTO_GLOBAL[[#Headers],[Adicional Motorista II (Gratificação)]])-2,0)*($G50-$H50)</f>
        <v>0</v>
      </c>
      <c r="N50" s="21">
        <f>VLOOKUP($A50,tabCustoUnit[],COLUMN(CUSTO_GLOBAL[[#Headers],[Adicional de Sobreaviso]])-2,0)*($G50-$H50)</f>
        <v>0</v>
      </c>
      <c r="O50" s="21">
        <f>VLOOKUP($A50,tabCustoUnit[],COLUMN(CUSTO_GLOBAL[[#Headers],[Horas Extras TI]])-2,0)*($G50-$H50)</f>
        <v>0</v>
      </c>
      <c r="P50" s="21">
        <f>VLOOKUP($A50,tabCustoUnit[],COLUMN(CUSTO_GLOBAL[[#Headers],[Adicional de Acúmulo de função]])-2,0)*($G50-$H50)</f>
        <v>0</v>
      </c>
      <c r="Q50" s="21">
        <f>VLOOKUP($A50,tabCustoUnit[],COLUMN(CUSTO_GLOBAL[[#Headers],[MODULO 1 - REMUNERAÇÃO ]])-2,0)*($G50-$H50)</f>
        <v>8852.0663999999997</v>
      </c>
      <c r="R50" s="21">
        <f>VLOOKUP($A50,tabCustoUnit[],COLUMN(CUSTO_GLOBAL[[#Headers],[INSS]])-2,0)*($G50-$H50)</f>
        <v>1770.41328</v>
      </c>
      <c r="S50" s="21">
        <f>VLOOKUP($A50,tabCustoUnit[],COLUMN(CUSTO_GLOBAL[[#Headers],[SESI OU SESC]])-2,0)*($G50-$H50)</f>
        <v>132.78099599999999</v>
      </c>
      <c r="T50" s="21">
        <f>VLOOKUP($A50,tabCustoUnit[],COLUMN(CUSTO_GLOBAL[[#Headers],[SENAI OU SENAC]])-2,0)*($G50-$H50)</f>
        <v>88.520663999999996</v>
      </c>
      <c r="U50" s="21">
        <f>VLOOKUP($A50,tabCustoUnit[],COLUMN(CUSTO_GLOBAL[[#Headers],[INCRA]])-2,0)*($G50-$H50)</f>
        <v>17.7041328</v>
      </c>
      <c r="V50" s="21">
        <f>VLOOKUP($A50,tabCustoUnit[],COLUMN(CUSTO_GLOBAL[[#Headers],[Salário Educação]])-2,0)*($G50-$H50)</f>
        <v>221.30166</v>
      </c>
      <c r="W50" s="21">
        <f>VLOOKUP($A50,tabCustoUnit[],COLUMN(CUSTO_GLOBAL[[#Headers],[FGTS]])-2,0)*($G50-$H50)</f>
        <v>708.16531199999997</v>
      </c>
      <c r="X50" s="21">
        <f>VLOOKUP($A50,tabCustoUnit[],COLUMN(CUSTO_GLOBAL[[#Headers],[RAT Ajustado]])-2,0)*($G50-$H50)</f>
        <v>354.08265599999999</v>
      </c>
      <c r="Y50" s="21">
        <f>VLOOKUP($A50,tabCustoUnit[],COLUMN(CUSTO_GLOBAL[[#Headers],[SEBRAE]])-2,0)*($G50-$H50)</f>
        <v>53.112398399999996</v>
      </c>
      <c r="Z50" s="21">
        <f>VLOOKUP($A50,tabCustoUnit[],COLUMN(CUSTO_GLOBAL[[#Headers],[Submódulo 2.1]])-2,0)*($G50-$H50)</f>
        <v>3346.0810992000002</v>
      </c>
      <c r="AA50" s="21">
        <f>VLOOKUP($A50,tabCustoUnit[],COLUMN(CUSTO_GLOBAL[[#Headers],[13º salário (titular)]])-2,0)*($G50-$H50)</f>
        <v>737.67219999999998</v>
      </c>
      <c r="AB50" s="21">
        <f>VLOOKUP($A50,tabCustoUnit[],COLUMN(CUSTO_GLOBAL[[#Headers],[Férias e Adicional de Férias (titular)]])-2,0)*($G50-$H50)</f>
        <v>983.56293333333326</v>
      </c>
      <c r="AC50" s="21">
        <f>VLOOKUP($A50,tabCustoUnit[],COLUMN(CUSTO_GLOBAL[[#Headers],[Incidência do Submódulo 2.1 sobre 13º Salário, Férias e Adicional de Férias]])-2,0)*($G50-$H50)</f>
        <v>650.62688039999989</v>
      </c>
      <c r="AD50" s="21">
        <f>VLOOKUP($A50,tabCustoUnit[],COLUMN(CUSTO_GLOBAL[[#Headers],[Submódulo 2.2]])-2,0)*($G50-$H50)</f>
        <v>2371.8620137333328</v>
      </c>
      <c r="AE50" s="22" t="e">
        <f ca="1">VLOOKUP($A50,tabCustoUnit[],COLUMN(CUSTO_GLOBAL[[#Headers],[Vale - Transporte (Descontada parcela do empregado)]])-2,0)*($G50-$H50)</f>
        <v>#NAME?</v>
      </c>
      <c r="AF50" s="22">
        <f>VLOOKUP($A50,tabCustoUnit[],COLUMN(CUSTO_GLOBAL[[#Headers],[Vale - Alimentação (Descontada parcela do empregado)]])-2,0)*($G50-$H50)</f>
        <v>1164</v>
      </c>
      <c r="AG50" s="22">
        <f>VLOOKUP($A50,tabCustoUnit[],COLUMN(CUSTO_GLOBAL[[#Headers],[Cesta Básica]])-2,0)*($G50-$H50)</f>
        <v>0</v>
      </c>
      <c r="AH50" s="22">
        <f>VLOOKUP($A50,tabCustoUnit[],COLUMN(CUSTO_GLOBAL[[#Headers],[PAF]])-2,0)*($G50-$H50)</f>
        <v>191.8</v>
      </c>
      <c r="AI50" s="22">
        <f>VLOOKUP($A50,tabCustoUnit[],COLUMN(CUSTO_GLOBAL[[#Headers],[PQM]])-2,0)*($G50-$H50)</f>
        <v>0</v>
      </c>
      <c r="AJ50" s="22">
        <v>0</v>
      </c>
      <c r="AK50" s="22">
        <f>VLOOKUP($A50,tabCustoUnit[],COLUMN(CUSTO_GLOBAL[[#Headers],[Seguro de Vida]])-2,0)*($G50-$H50)</f>
        <v>6.72</v>
      </c>
      <c r="AL50" s="22">
        <f>VLOOKUP($A50,tabCustoUnit[],COLUMN(CUSTO_GLOBAL[[#Headers],[Despesas de Viagem]])-2,0)*($G50-$H50)</f>
        <v>404.16</v>
      </c>
      <c r="AM50" s="22" t="e">
        <f ca="1">VLOOKUP($A50,tabCustoUnit[],COLUMN(CUSTO_GLOBAL[[#Headers],[Submódulo 2.3]])-2,0)*($G50-$H50)</f>
        <v>#NAME?</v>
      </c>
      <c r="AN50" s="22" t="e">
        <f ca="1">VLOOKUP($A50,tabCustoUnit[],COLUMN(CUSTO_GLOBAL[[#Headers],[MÓDULO 2 - Total Encargos e Benefícios mensais e diários]])-2,0)*($G50-$H50)</f>
        <v>#NAME?</v>
      </c>
      <c r="AO50" s="22">
        <f>VLOOKUP($A50,tabCustoUnit[],COLUMN(CUSTO_GLOBAL[[#Headers],[Aviso Prévio Indenizado (API) e Reflexo do Aviso Prévio Indenizado]])-2,0)*($G50-$H50)</f>
        <v>62.068626846759258</v>
      </c>
      <c r="AP50" s="22">
        <f>VLOOKUP($A50,tabCustoUnit[],COLUMN(CUSTO_GLOBAL[[#Headers],[Incidência do FGTS sobre API e Reflexo do API]])-2,0)*($G50-$H50)</f>
        <v>4.9654901477407414</v>
      </c>
      <c r="AQ50" s="22">
        <f>VLOOKUP($A50,tabCustoUnit[],COLUMN(CUSTO_GLOBAL[[#Headers],[Multa Rescisória do FGTS sobre o Aviso Prévio Indenizado]])-2,0)*($G50-$H50)</f>
        <v>1.9861960590962966</v>
      </c>
      <c r="AR50" s="22">
        <f>VLOOKUP($A50,tabCustoUnit[],COLUMN(CUSTO_GLOBAL[[#Headers],[Aviso Prévio Trabalhado - APT]])-2,0)*($G50-$H50)</f>
        <v>30.982232400000004</v>
      </c>
      <c r="AS50" s="22">
        <f>VLOOKUP($A50,tabCustoUnit[],COLUMN(CUSTO_GLOBAL[[#Headers],[Incidência dos encargos do submódulo 2.1 sobre Aviso Prévio Trabalhado]])-2,0)*($G50-$H50)</f>
        <v>11.711283847200002</v>
      </c>
      <c r="AT50" s="22">
        <f>VLOOKUP($A50,tabCustoUnit[],COLUMN(CUSTO_GLOBAL[[#Headers],[Multa Rescisória do FGTS]])-2,0)*($G50-$H50)</f>
        <v>270.67651925333331</v>
      </c>
      <c r="AU50" s="22">
        <f>VLOOKUP($A50,tabCustoUnit[],COLUMN(CUSTO_GLOBAL[[#Headers],[Indenização Adicional (Art. 9º da Lei nº 7.238/84)]])-2,0)*($G50-$H50)</f>
        <v>7.376722</v>
      </c>
      <c r="AV50" s="22">
        <f>VLOOKUP($A50,tabCustoUnit[],COLUMN(CUSTO_GLOBAL[[#Headers],[MÓDULO 3 – PROVISÃO PARA RESCISÃO]])-2,0)*($G50-$H50)</f>
        <v>389.76707055412959</v>
      </c>
      <c r="AW50" s="22">
        <f>VLOOKUP($A50,tabCustoUnit[],COLUMN(CUSTO_GLOBAL[[#Headers],[Ausência por Doença]])-2,0)*($G50-$H50)</f>
        <v>74.750782933333326</v>
      </c>
      <c r="AX50" s="22">
        <f>VLOOKUP($A50,tabCustoUnit[],COLUMN(CUSTO_GLOBAL[[#Headers],[Ausências Legais]])-2,0)*($G50-$H50)</f>
        <v>17.950023533333333</v>
      </c>
      <c r="AY50" s="22">
        <f>VLOOKUP($A50,tabCustoUnit[],COLUMN(CUSTO_GLOBAL[[#Headers],[Licença Paternidade]])-2,0)*($G50-$H50)</f>
        <v>1.5122280099999998</v>
      </c>
      <c r="AZ50" s="22">
        <f>VLOOKUP($A50,tabCustoUnit[],COLUMN(CUSTO_GLOBAL[[#Headers],[Ausência por Acidente de Trabalho]])-2,0)*($G50-$H50)</f>
        <v>1.8441805</v>
      </c>
      <c r="BA50" s="22">
        <f>VLOOKUP($A50,tabCustoUnit[],COLUMN(CUSTO_GLOBAL[[#Headers],[Férias, Adicional de Férias e 13º  com empregada em gozo de Licença Maternidade]])-2,0)*($G50-$H50)</f>
        <v>11.474900888888888</v>
      </c>
      <c r="BB50" s="22">
        <f>VLOOKUP($A50,tabCustoUnit[],COLUMN(CUSTO_GLOBAL[[#Headers],[Incidência do Submódulo 2.1 sobre Ausências Legais]])-2,0)*($G50-$H50)</f>
        <v>40.647139797180003</v>
      </c>
      <c r="BC50" s="22">
        <f>VLOOKUP($A50,tabCustoUnit[],COLUMN(CUSTO_GLOBAL[[#Headers],[Submódulo 4.1]])-2,0)*($G50-$H50)</f>
        <v>148.17925566273556</v>
      </c>
      <c r="BD50" s="22">
        <f>VLOOKUP($A50,tabCustoUnit[],COLUMN(CUSTO_GLOBAL[[#Headers],[Intervalo para Repouso ou Alimentação]])-2,0)*($G50-$H50)</f>
        <v>980.05021225855671</v>
      </c>
      <c r="BE50" s="22">
        <f>VLOOKUP($A50,tabCustoUnit[],COLUMN(CUSTO_GLOBAL[[#Headers],[Submódulo 4.2]])-2,0)*($G50-$H50)</f>
        <v>980.05021225855671</v>
      </c>
      <c r="BF50" s="22">
        <f>VLOOKUP($A50,tabCustoUnit[],COLUMN(CUSTO_GLOBAL[[#Headers],[Suspensão Temporária do Contrato de Trabalho]])-2,0)*($G50-$H50)</f>
        <v>0</v>
      </c>
      <c r="BG50" s="22">
        <f>VLOOKUP($A50,tabCustoUnit[],COLUMN(CUSTO_GLOBAL[[#Headers],[Submódulo 4.3]])-2,0)*($G50-$H50)</f>
        <v>0</v>
      </c>
      <c r="BH50" s="22">
        <f>VLOOKUP($A50,tabCustoUnit[],COLUMN(CUSTO_GLOBAL[[#Headers],[MÓDULO 4 – CUSTO DE REPOSIÇÃO DO PROFISSIONAL AUSENTE]])-2,0)*($G50-$H50)</f>
        <v>1128.2294679212923</v>
      </c>
      <c r="BI50" s="22">
        <f>VLOOKUP($A50,tabCustoUnit[],COLUMN(CUSTO_GLOBAL[[#Headers],[Uniformes e EPIs]])-2,0)*($G50-$H50)</f>
        <v>125.31632513837035</v>
      </c>
      <c r="BJ50" s="22">
        <f>VLOOKUP($A50,tabCustoUnit[],COLUMN(CUSTO_GLOBAL[[#Headers],[Materiais de Consumo]])-2,0)*($G50-$H50)</f>
        <v>0</v>
      </c>
      <c r="BK50" s="22">
        <f>VLOOKUP($A50,tabCustoUnit[],COLUMN(CUSTO_GLOBAL[[#Headers],[Máquinas e Equipamentos (depreciação)]])-2,0)*($G50-$H50)</f>
        <v>187.2424</v>
      </c>
      <c r="BL50" s="22">
        <f>VLOOKUP($A50,tabCustoUnit[],COLUMN(CUSTO_GLOBAL[[#Headers],[Produtos de Limpeza e Materiais de Higiene Pessoal]])-2,0)*($G50-$H50)</f>
        <v>0</v>
      </c>
      <c r="BM50" s="22">
        <f>VLOOKUP($A50,tabCustoUnit[],COLUMN(CUSTO_GLOBAL[[#Headers],[Outros (especificar)]])-2,0)*($G50-$H50)</f>
        <v>0</v>
      </c>
      <c r="BN50" s="22">
        <f>VLOOKUP($A50,tabCustoUnit[],COLUMN(CUSTO_GLOBAL[[#Headers],[MÓDULO 5 – INSUMOS DIVERSOS]])-2,0)*($G50-$H50)</f>
        <v>312.55872513837033</v>
      </c>
      <c r="BO50" s="22" t="e">
        <f ca="1">VLOOKUP($A50,tabCustoUnit[],COLUMN(CUSTO_GLOBAL[[#Headers],[TOTAL MÓDULOS 1+2+3+4+5]])-2,0)*($G50-$H50)</f>
        <v>#NAME?</v>
      </c>
      <c r="BP50" s="22" t="e">
        <f ca="1">VLOOKUP($A50,tabCustoUnit[],COLUMN(CUSTO_GLOBAL[[#Headers],[Custos Indiretos]])-2,0)*($G50-$H50)</f>
        <v>#NAME?</v>
      </c>
      <c r="BQ50" s="22" t="e">
        <f ca="1">VLOOKUP($A50,tabCustoUnit[],COLUMN(CUSTO_GLOBAL[[#Headers],[Lucro]])-2,0)*($G50-$H50)</f>
        <v>#NAME?</v>
      </c>
      <c r="BR50" s="26">
        <f>VLOOKUP($A50,tabCustoUnit[],COLUMN(CUSTO_GLOBAL[[#Headers],[COFINS]])-2,0)</f>
        <v>8.8629737609329504E-2</v>
      </c>
      <c r="BS50" s="26">
        <f>VLOOKUP($A50,tabCustoUnit[],COLUMN(CUSTO_GLOBAL[[#Headers],[PIS]])-2,0)</f>
        <v>1.9241982507288629E-2</v>
      </c>
      <c r="BT50" s="28">
        <f>VLOOKUP($A50,tabCustoUnit[],COLUMN(CUSTO_GLOBAL[[#Headers],[ISS]])-2,0)</f>
        <v>0.05</v>
      </c>
      <c r="BU50" s="26">
        <f>VLOOKUP($A50,tabCustoUnit[],COLUMN(CUSTO_GLOBAL[[#Headers],[ISS (Conversão Alíquota s/ fatura)]])-2,0)</f>
        <v>5.8309037900874633E-2</v>
      </c>
      <c r="BV50" s="26">
        <f>VLOOKUP($A50,tabCustoUnit[],COLUMN(CUSTO_GLOBAL[[#Headers],[Resumo de Alíquotas (PIS+CONFINS+ISS)]])-2,0)</f>
        <v>0.14250000000000002</v>
      </c>
      <c r="BW50" s="138">
        <f>VLOOKUP($A50,tabCustoUnit[],COLUMN(CUSTO_GLOBAL[[#Headers],[PIS + COFINS + ISS (Total Conversão  Alíquota s/ Fatura)]])-2,0)</f>
        <v>0.16618075801749277</v>
      </c>
      <c r="BX50" s="22" t="e">
        <f ca="1">VLOOKUP($A50,tabCustoUnit[],COLUMN(CUSTO_GLOBAL[[#Headers],[Valor dos Tributos (ISS, PIS, CONFINS)]])-2,0)*($G50-$H50)</f>
        <v>#NAME?</v>
      </c>
      <c r="BY50" s="22" t="e">
        <f ca="1">VLOOKUP($A50,tabCustoUnit[],COLUMN(CUSTO_GLOBAL[[#Headers],[MÓDULO 6 – CUSTOS INDIRETOS, TRIBUTOS E LUCRO]])-2,0)*($G50-$H50)</f>
        <v>#NAME?</v>
      </c>
      <c r="BZ50" s="22" t="e">
        <f ca="1">VLOOKUP($A50,tabCustoUnit[],COLUMN(CUSTO_GLOBAL[[#Headers],[CUSTO TOTAL MENSAL]])-2,0)*($G50-$H50)</f>
        <v>#NAME?</v>
      </c>
      <c r="CA50" s="22" t="e">
        <f ca="1">CUSTO_GLOBAL[[#This Row],[CUSTO TOTAL MENSAL]]*12</f>
        <v>#NAME?</v>
      </c>
      <c r="CB50" s="24">
        <f>VLOOKUP($A50,tabCustoUnit[],COLUMN(CUSTO_GLOBAL[[#Headers],[ANO DA CCT]])-2,0)</f>
        <v>45658</v>
      </c>
      <c r="CC50" s="25" t="str">
        <f>VLOOKUP($A50,tabCustoUnit[],COLUMN(CUSTO_GLOBAL[[#Headers],[Nº DE PEDIDO DA CCT]])-2,0)</f>
        <v>-</v>
      </c>
      <c r="CD50" s="25" t="str">
        <f>VLOOKUP($A50,tabCustoUnit[],COLUMN(CUSTO_GLOBAL[[#Headers],[TERMO ADITIVO ALTERAÇÃO DA CCT]])-2,0)</f>
        <v>-</v>
      </c>
    </row>
    <row r="51" spans="1:82">
      <c r="A51" s="20" t="s">
        <v>1547</v>
      </c>
      <c r="B51" t="s">
        <v>1103</v>
      </c>
      <c r="C51" t="s">
        <v>234</v>
      </c>
      <c r="D51" t="s">
        <v>1035</v>
      </c>
      <c r="E51" s="20" t="s">
        <v>1090</v>
      </c>
      <c r="F51" s="20" t="s">
        <v>120</v>
      </c>
      <c r="G51" s="20">
        <v>16</v>
      </c>
      <c r="H51" s="20">
        <v>0</v>
      </c>
      <c r="I51" s="21">
        <f>VLOOKUP($A51,tabCustoUnit[],COLUMN(CUSTO_GLOBAL[[#Headers],[Salário Base]])-2,0)*($G51-$H51)</f>
        <v>58940.1008</v>
      </c>
      <c r="J51" s="21">
        <f>VLOOKUP($A51,tabCustoUnit[],COLUMN(CUSTO_GLOBAL[[#Headers],[Adicional Periculosidade]])-2,0)*($G51-$H51)</f>
        <v>0</v>
      </c>
      <c r="K51" s="21">
        <f>VLOOKUP($A51,tabCustoUnit[],COLUMN(CUSTO_GLOBAL[[#Headers],[Adicional Insalubridade]])-2,0)*($G51-$H51)</f>
        <v>0</v>
      </c>
      <c r="L51" s="21">
        <f>VLOOKUP($A51,tabCustoUnit[],COLUMN(CUSTO_GLOBAL[[#Headers],[Adicional Noturno]])-2,0)*($G51-$H51)</f>
        <v>0</v>
      </c>
      <c r="M51" s="21">
        <f>VLOOKUP($A51,tabCustoUnit[],COLUMN(CUSTO_GLOBAL[[#Headers],[Adicional Motorista II (Gratificação)]])-2,0)*($G51-$H51)</f>
        <v>0</v>
      </c>
      <c r="N51" s="21">
        <f>VLOOKUP($A51,tabCustoUnit[],COLUMN(CUSTO_GLOBAL[[#Headers],[Adicional de Sobreaviso]])-2,0)*($G51-$H51)</f>
        <v>0</v>
      </c>
      <c r="O51" s="21">
        <f>VLOOKUP($A51,tabCustoUnit[],COLUMN(CUSTO_GLOBAL[[#Headers],[Horas Extras TI]])-2,0)*($G51-$H51)</f>
        <v>0</v>
      </c>
      <c r="P51" s="21">
        <f>VLOOKUP($A51,tabCustoUnit[],COLUMN(CUSTO_GLOBAL[[#Headers],[Adicional de Acúmulo de função]])-2,0)*($G51-$H51)</f>
        <v>0</v>
      </c>
      <c r="Q51" s="21">
        <f>VLOOKUP($A51,tabCustoUnit[],COLUMN(CUSTO_GLOBAL[[#Headers],[MODULO 1 - REMUNERAÇÃO ]])-2,0)*($G51-$H51)</f>
        <v>58940.1008</v>
      </c>
      <c r="R51" s="21">
        <f>VLOOKUP($A51,tabCustoUnit[],COLUMN(CUSTO_GLOBAL[[#Headers],[INSS]])-2,0)*($G51-$H51)</f>
        <v>11788.02016</v>
      </c>
      <c r="S51" s="21">
        <f>VLOOKUP($A51,tabCustoUnit[],COLUMN(CUSTO_GLOBAL[[#Headers],[SESI OU SESC]])-2,0)*($G51-$H51)</f>
        <v>884.10151199999996</v>
      </c>
      <c r="T51" s="21">
        <f>VLOOKUP($A51,tabCustoUnit[],COLUMN(CUSTO_GLOBAL[[#Headers],[SENAI OU SENAC]])-2,0)*($G51-$H51)</f>
        <v>589.40100800000005</v>
      </c>
      <c r="U51" s="21">
        <f>VLOOKUP($A51,tabCustoUnit[],COLUMN(CUSTO_GLOBAL[[#Headers],[INCRA]])-2,0)*($G51-$H51)</f>
        <v>117.88020160000001</v>
      </c>
      <c r="V51" s="21">
        <f>VLOOKUP($A51,tabCustoUnit[],COLUMN(CUSTO_GLOBAL[[#Headers],[Salário Educação]])-2,0)*($G51-$H51)</f>
        <v>1473.50252</v>
      </c>
      <c r="W51" s="21">
        <f>VLOOKUP($A51,tabCustoUnit[],COLUMN(CUSTO_GLOBAL[[#Headers],[FGTS]])-2,0)*($G51-$H51)</f>
        <v>4715.2080640000004</v>
      </c>
      <c r="X51" s="21">
        <f>VLOOKUP($A51,tabCustoUnit[],COLUMN(CUSTO_GLOBAL[[#Headers],[RAT Ajustado]])-2,0)*($G51-$H51)</f>
        <v>2357.6040320000002</v>
      </c>
      <c r="Y51" s="21">
        <f>VLOOKUP($A51,tabCustoUnit[],COLUMN(CUSTO_GLOBAL[[#Headers],[SEBRAE]])-2,0)*($G51-$H51)</f>
        <v>353.64060480000001</v>
      </c>
      <c r="Z51" s="21">
        <f>VLOOKUP($A51,tabCustoUnit[],COLUMN(CUSTO_GLOBAL[[#Headers],[Submódulo 2.1]])-2,0)*($G51-$H51)</f>
        <v>22279.358102399998</v>
      </c>
      <c r="AA51" s="21">
        <f>VLOOKUP($A51,tabCustoUnit[],COLUMN(CUSTO_GLOBAL[[#Headers],[13º salário (titular)]])-2,0)*($G51-$H51)</f>
        <v>4911.6750666666667</v>
      </c>
      <c r="AB51" s="21">
        <f>VLOOKUP($A51,tabCustoUnit[],COLUMN(CUSTO_GLOBAL[[#Headers],[Férias e Adicional de Férias (titular)]])-2,0)*($G51-$H51)</f>
        <v>6548.9000888888886</v>
      </c>
      <c r="AC51" s="21">
        <f>VLOOKUP($A51,tabCustoUnit[],COLUMN(CUSTO_GLOBAL[[#Headers],[Incidência do Submódulo 2.1 sobre 13º Salário, Férias e Adicional de Férias]])-2,0)*($G51-$H51)</f>
        <v>4332.0974087999994</v>
      </c>
      <c r="AD51" s="21">
        <f>VLOOKUP($A51,tabCustoUnit[],COLUMN(CUSTO_GLOBAL[[#Headers],[Submódulo 2.2]])-2,0)*($G51-$H51)</f>
        <v>15792.672564355555</v>
      </c>
      <c r="AE51" s="22" t="e">
        <f ca="1">VLOOKUP($A51,tabCustoUnit[],COLUMN(CUSTO_GLOBAL[[#Headers],[Vale - Transporte (Descontada parcela do empregado)]])-2,0)*($G51-$H51)</f>
        <v>#NAME?</v>
      </c>
      <c r="AF51" s="22">
        <f>VLOOKUP($A51,tabCustoUnit[],COLUMN(CUSTO_GLOBAL[[#Headers],[Vale - Alimentação (Descontada parcela do empregado)]])-2,0)*($G51-$H51)</f>
        <v>9312</v>
      </c>
      <c r="AG51" s="22">
        <f>VLOOKUP($A51,tabCustoUnit[],COLUMN(CUSTO_GLOBAL[[#Headers],[Cesta Básica]])-2,0)*($G51-$H51)</f>
        <v>0</v>
      </c>
      <c r="AH51" s="22">
        <f>VLOOKUP($A51,tabCustoUnit[],COLUMN(CUSTO_GLOBAL[[#Headers],[PAF]])-2,0)*($G51-$H51)</f>
        <v>1534.4</v>
      </c>
      <c r="AI51" s="22">
        <f>VLOOKUP($A51,tabCustoUnit[],COLUMN(CUSTO_GLOBAL[[#Headers],[PQM]])-2,0)*($G51-$H51)</f>
        <v>0</v>
      </c>
      <c r="AJ51" s="22">
        <v>0</v>
      </c>
      <c r="AK51" s="22">
        <f>VLOOKUP($A51,tabCustoUnit[],COLUMN(CUSTO_GLOBAL[[#Headers],[Seguro de Vida]])-2,0)*($G51-$H51)</f>
        <v>53.76</v>
      </c>
      <c r="AL51" s="22">
        <f>VLOOKUP($A51,tabCustoUnit[],COLUMN(CUSTO_GLOBAL[[#Headers],[Despesas de Viagem]])-2,0)*($G51-$H51)</f>
        <v>3233.28</v>
      </c>
      <c r="AM51" s="22" t="e">
        <f ca="1">VLOOKUP($A51,tabCustoUnit[],COLUMN(CUSTO_GLOBAL[[#Headers],[Submódulo 2.3]])-2,0)*($G51-$H51)</f>
        <v>#NAME?</v>
      </c>
      <c r="AN51" s="22" t="e">
        <f ca="1">VLOOKUP($A51,tabCustoUnit[],COLUMN(CUSTO_GLOBAL[[#Headers],[MÓDULO 2 - Total Encargos e Benefícios mensais e diários]])-2,0)*($G51-$H51)</f>
        <v>#NAME?</v>
      </c>
      <c r="AO51" s="22">
        <f>VLOOKUP($A51,tabCustoUnit[],COLUMN(CUSTO_GLOBAL[[#Headers],[Aviso Prévio Indenizado (API) e Reflexo do Aviso Prévio Indenizado]])-2,0)*($G51-$H51)</f>
        <v>413.27425231080247</v>
      </c>
      <c r="AP51" s="22">
        <f>VLOOKUP($A51,tabCustoUnit[],COLUMN(CUSTO_GLOBAL[[#Headers],[Incidência do FGTS sobre API e Reflexo do API]])-2,0)*($G51-$H51)</f>
        <v>33.061940184864198</v>
      </c>
      <c r="AQ51" s="22">
        <f>VLOOKUP($A51,tabCustoUnit[],COLUMN(CUSTO_GLOBAL[[#Headers],[Multa Rescisória do FGTS sobre o Aviso Prévio Indenizado]])-2,0)*($G51-$H51)</f>
        <v>13.224776073945682</v>
      </c>
      <c r="AR51" s="22">
        <f>VLOOKUP($A51,tabCustoUnit[],COLUMN(CUSTO_GLOBAL[[#Headers],[Aviso Prévio Trabalhado - APT]])-2,0)*($G51-$H51)</f>
        <v>206.29035280000002</v>
      </c>
      <c r="AS51" s="22">
        <f>VLOOKUP($A51,tabCustoUnit[],COLUMN(CUSTO_GLOBAL[[#Headers],[Incidência dos encargos do submódulo 2.1 sobre Aviso Prévio Trabalhado]])-2,0)*($G51-$H51)</f>
        <v>77.977753358400022</v>
      </c>
      <c r="AT51" s="22">
        <f>VLOOKUP($A51,tabCustoUnit[],COLUMN(CUSTO_GLOBAL[[#Headers],[Multa Rescisória do FGTS]])-2,0)*($G51-$H51)</f>
        <v>1802.257304462222</v>
      </c>
      <c r="AU51" s="22">
        <f>VLOOKUP($A51,tabCustoUnit[],COLUMN(CUSTO_GLOBAL[[#Headers],[Indenização Adicional (Art. 9º da Lei nº 7.238/84)]])-2,0)*($G51-$H51)</f>
        <v>49.116750666666668</v>
      </c>
      <c r="AV51" s="22">
        <f>VLOOKUP($A51,tabCustoUnit[],COLUMN(CUSTO_GLOBAL[[#Headers],[MÓDULO 3 – PROVISÃO PARA RESCISÃO]])-2,0)*($G51-$H51)</f>
        <v>2595.2031298569009</v>
      </c>
      <c r="AW51" s="22">
        <f>VLOOKUP($A51,tabCustoUnit[],COLUMN(CUSTO_GLOBAL[[#Headers],[Ausência por Doença]])-2,0)*($G51-$H51)</f>
        <v>497.71640675555551</v>
      </c>
      <c r="AX51" s="22">
        <f>VLOOKUP($A51,tabCustoUnit[],COLUMN(CUSTO_GLOBAL[[#Headers],[Ausências Legais]])-2,0)*($G51-$H51)</f>
        <v>119.51742662222222</v>
      </c>
      <c r="AY51" s="22">
        <f>VLOOKUP($A51,tabCustoUnit[],COLUMN(CUSTO_GLOBAL[[#Headers],[Licença Paternidade]])-2,0)*($G51-$H51)</f>
        <v>10.068933886666667</v>
      </c>
      <c r="AZ51" s="22">
        <f>VLOOKUP($A51,tabCustoUnit[],COLUMN(CUSTO_GLOBAL[[#Headers],[Ausência por Acidente de Trabalho]])-2,0)*($G51-$H51)</f>
        <v>12.279187666666667</v>
      </c>
      <c r="BA51" s="22">
        <f>VLOOKUP($A51,tabCustoUnit[],COLUMN(CUSTO_GLOBAL[[#Headers],[Férias, Adicional de Férias e 13º  com empregada em gozo de Licença Maternidade]])-2,0)*($G51-$H51)</f>
        <v>76.403834370370362</v>
      </c>
      <c r="BB51" s="22">
        <f>VLOOKUP($A51,tabCustoUnit[],COLUMN(CUSTO_GLOBAL[[#Headers],[Incidência do Submódulo 2.1 sobre Ausências Legais]])-2,0)*($G51-$H51)</f>
        <v>270.64262835596003</v>
      </c>
      <c r="BC51" s="22">
        <f>VLOOKUP($A51,tabCustoUnit[],COLUMN(CUSTO_GLOBAL[[#Headers],[Submódulo 4.1]])-2,0)*($G51-$H51)</f>
        <v>986.62841765744145</v>
      </c>
      <c r="BD51" s="22">
        <f>VLOOKUP($A51,tabCustoUnit[],COLUMN(CUSTO_GLOBAL[[#Headers],[Intervalo para Repouso ou Alimentação]])-2,0)*($G51-$H51)</f>
        <v>0</v>
      </c>
      <c r="BE51" s="22">
        <f>VLOOKUP($A51,tabCustoUnit[],COLUMN(CUSTO_GLOBAL[[#Headers],[Submódulo 4.2]])-2,0)*($G51-$H51)</f>
        <v>0</v>
      </c>
      <c r="BF51" s="22">
        <f>VLOOKUP($A51,tabCustoUnit[],COLUMN(CUSTO_GLOBAL[[#Headers],[Suspensão Temporária do Contrato de Trabalho]])-2,0)*($G51-$H51)</f>
        <v>0</v>
      </c>
      <c r="BG51" s="22">
        <f>VLOOKUP($A51,tabCustoUnit[],COLUMN(CUSTO_GLOBAL[[#Headers],[Submódulo 4.3]])-2,0)*($G51-$H51)</f>
        <v>0</v>
      </c>
      <c r="BH51" s="22">
        <f>VLOOKUP($A51,tabCustoUnit[],COLUMN(CUSTO_GLOBAL[[#Headers],[MÓDULO 4 – CUSTO DE REPOSIÇÃO DO PROFISSIONAL AUSENTE]])-2,0)*($G51-$H51)</f>
        <v>986.62841765744145</v>
      </c>
      <c r="BI51" s="22">
        <f>VLOOKUP($A51,tabCustoUnit[],COLUMN(CUSTO_GLOBAL[[#Headers],[Uniformes e EPIs]])-2,0)*($G51-$H51)</f>
        <v>1002.5306011069628</v>
      </c>
      <c r="BJ51" s="22">
        <f>VLOOKUP($A51,tabCustoUnit[],COLUMN(CUSTO_GLOBAL[[#Headers],[Materiais de Consumo]])-2,0)*($G51-$H51)</f>
        <v>0</v>
      </c>
      <c r="BK51" s="22">
        <f>VLOOKUP($A51,tabCustoUnit[],COLUMN(CUSTO_GLOBAL[[#Headers],[Máquinas e Equipamentos (depreciação)]])-2,0)*($G51-$H51)</f>
        <v>1497.9392</v>
      </c>
      <c r="BL51" s="22">
        <f>VLOOKUP($A51,tabCustoUnit[],COLUMN(CUSTO_GLOBAL[[#Headers],[Produtos de Limpeza e Materiais de Higiene Pessoal]])-2,0)*($G51-$H51)</f>
        <v>0</v>
      </c>
      <c r="BM51" s="22">
        <f>VLOOKUP($A51,tabCustoUnit[],COLUMN(CUSTO_GLOBAL[[#Headers],[Outros (especificar)]])-2,0)*($G51-$H51)</f>
        <v>0</v>
      </c>
      <c r="BN51" s="22">
        <f>VLOOKUP($A51,tabCustoUnit[],COLUMN(CUSTO_GLOBAL[[#Headers],[MÓDULO 5 – INSUMOS DIVERSOS]])-2,0)*($G51-$H51)</f>
        <v>2500.4698011069627</v>
      </c>
      <c r="BO51" s="22" t="e">
        <f ca="1">VLOOKUP($A51,tabCustoUnit[],COLUMN(CUSTO_GLOBAL[[#Headers],[TOTAL MÓDULOS 1+2+3+4+5]])-2,0)*($G51-$H51)</f>
        <v>#NAME?</v>
      </c>
      <c r="BP51" s="22" t="e">
        <f ca="1">VLOOKUP($A51,tabCustoUnit[],COLUMN(CUSTO_GLOBAL[[#Headers],[Custos Indiretos]])-2,0)*($G51-$H51)</f>
        <v>#NAME?</v>
      </c>
      <c r="BQ51" s="22" t="e">
        <f ca="1">VLOOKUP($A51,tabCustoUnit[],COLUMN(CUSTO_GLOBAL[[#Headers],[Lucro]])-2,0)*($G51-$H51)</f>
        <v>#NAME?</v>
      </c>
      <c r="BR51" s="26">
        <f>VLOOKUP($A51,tabCustoUnit[],COLUMN(CUSTO_GLOBAL[[#Headers],[COFINS]])-2,0)</f>
        <v>8.8629737609329504E-2</v>
      </c>
      <c r="BS51" s="26">
        <f>VLOOKUP($A51,tabCustoUnit[],COLUMN(CUSTO_GLOBAL[[#Headers],[PIS]])-2,0)</f>
        <v>1.9241982507288629E-2</v>
      </c>
      <c r="BT51" s="28">
        <f>VLOOKUP($A51,tabCustoUnit[],COLUMN(CUSTO_GLOBAL[[#Headers],[ISS]])-2,0)</f>
        <v>0.05</v>
      </c>
      <c r="BU51" s="26">
        <f>VLOOKUP($A51,tabCustoUnit[],COLUMN(CUSTO_GLOBAL[[#Headers],[ISS (Conversão Alíquota s/ fatura)]])-2,0)</f>
        <v>5.8309037900874633E-2</v>
      </c>
      <c r="BV51" s="26">
        <f>VLOOKUP($A51,tabCustoUnit[],COLUMN(CUSTO_GLOBAL[[#Headers],[Resumo de Alíquotas (PIS+CONFINS+ISS)]])-2,0)</f>
        <v>0.14250000000000002</v>
      </c>
      <c r="BW51" s="138">
        <f>VLOOKUP($A51,tabCustoUnit[],COLUMN(CUSTO_GLOBAL[[#Headers],[PIS + COFINS + ISS (Total Conversão  Alíquota s/ Fatura)]])-2,0)</f>
        <v>0.16618075801749277</v>
      </c>
      <c r="BX51" s="22" t="e">
        <f ca="1">VLOOKUP($A51,tabCustoUnit[],COLUMN(CUSTO_GLOBAL[[#Headers],[Valor dos Tributos (ISS, PIS, CONFINS)]])-2,0)*($G51-$H51)</f>
        <v>#NAME?</v>
      </c>
      <c r="BY51" s="22" t="e">
        <f ca="1">VLOOKUP($A51,tabCustoUnit[],COLUMN(CUSTO_GLOBAL[[#Headers],[MÓDULO 6 – CUSTOS INDIRETOS, TRIBUTOS E LUCRO]])-2,0)*($G51-$H51)</f>
        <v>#NAME?</v>
      </c>
      <c r="BZ51" s="22" t="e">
        <f ca="1">VLOOKUP($A51,tabCustoUnit[],COLUMN(CUSTO_GLOBAL[[#Headers],[CUSTO TOTAL MENSAL]])-2,0)*($G51-$H51)</f>
        <v>#NAME?</v>
      </c>
      <c r="CA51" s="22" t="e">
        <f ca="1">CUSTO_GLOBAL[[#This Row],[CUSTO TOTAL MENSAL]]*12</f>
        <v>#NAME?</v>
      </c>
      <c r="CB51" s="24">
        <f>VLOOKUP($A51,tabCustoUnit[],COLUMN(CUSTO_GLOBAL[[#Headers],[ANO DA CCT]])-2,0)</f>
        <v>45658</v>
      </c>
      <c r="CC51" s="25" t="str">
        <f>VLOOKUP($A51,tabCustoUnit[],COLUMN(CUSTO_GLOBAL[[#Headers],[Nº DE PEDIDO DA CCT]])-2,0)</f>
        <v>-</v>
      </c>
      <c r="CD51" s="25" t="str">
        <f>VLOOKUP($A51,tabCustoUnit[],COLUMN(CUSTO_GLOBAL[[#Headers],[TERMO ADITIVO ALTERAÇÃO DA CCT]])-2,0)</f>
        <v>-</v>
      </c>
    </row>
    <row r="52" spans="1:82">
      <c r="A52" s="20" t="s">
        <v>1430</v>
      </c>
      <c r="B52" t="s">
        <v>1103</v>
      </c>
      <c r="C52" t="s">
        <v>244</v>
      </c>
      <c r="D52" t="s">
        <v>1035</v>
      </c>
      <c r="E52" s="20" t="s">
        <v>1090</v>
      </c>
      <c r="F52" s="20" t="s">
        <v>120</v>
      </c>
      <c r="G52" s="20">
        <v>6</v>
      </c>
      <c r="H52" s="20">
        <v>0</v>
      </c>
      <c r="I52" s="21">
        <f>VLOOKUP($A52,tabCustoUnit[],COLUMN(CUSTO_GLOBAL[[#Headers],[Salário Base]])-2,0)*($G52-$H52)</f>
        <v>13777.054199999999</v>
      </c>
      <c r="J52" s="21">
        <f>VLOOKUP($A52,tabCustoUnit[],COLUMN(CUSTO_GLOBAL[[#Headers],[Adicional Periculosidade]])-2,0)*($G52-$H52)</f>
        <v>0</v>
      </c>
      <c r="K52" s="21">
        <f>VLOOKUP($A52,tabCustoUnit[],COLUMN(CUSTO_GLOBAL[[#Headers],[Adicional Insalubridade]])-2,0)*($G52-$H52)</f>
        <v>1821.6000000000001</v>
      </c>
      <c r="L52" s="21">
        <f>VLOOKUP($A52,tabCustoUnit[],COLUMN(CUSTO_GLOBAL[[#Headers],[Adicional Noturno]])-2,0)*($G52-$H52)</f>
        <v>0</v>
      </c>
      <c r="M52" s="21">
        <f>VLOOKUP($A52,tabCustoUnit[],COLUMN(CUSTO_GLOBAL[[#Headers],[Adicional Motorista II (Gratificação)]])-2,0)*($G52-$H52)</f>
        <v>0</v>
      </c>
      <c r="N52" s="21">
        <f>VLOOKUP($A52,tabCustoUnit[],COLUMN(CUSTO_GLOBAL[[#Headers],[Adicional de Sobreaviso]])-2,0)*($G52-$H52)</f>
        <v>0</v>
      </c>
      <c r="O52" s="21">
        <f>VLOOKUP($A52,tabCustoUnit[],COLUMN(CUSTO_GLOBAL[[#Headers],[Horas Extras TI]])-2,0)*($G52-$H52)</f>
        <v>0</v>
      </c>
      <c r="P52" s="21">
        <f>VLOOKUP($A52,tabCustoUnit[],COLUMN(CUSTO_GLOBAL[[#Headers],[Adicional de Acúmulo de função]])-2,0)*($G52-$H52)</f>
        <v>0</v>
      </c>
      <c r="Q52" s="21">
        <f>VLOOKUP($A52,tabCustoUnit[],COLUMN(CUSTO_GLOBAL[[#Headers],[MODULO 1 - REMUNERAÇÃO ]])-2,0)*($G52-$H52)</f>
        <v>15598.654199999997</v>
      </c>
      <c r="R52" s="21">
        <f>VLOOKUP($A52,tabCustoUnit[],COLUMN(CUSTO_GLOBAL[[#Headers],[INSS]])-2,0)*($G52-$H52)</f>
        <v>3119.7308399999993</v>
      </c>
      <c r="S52" s="21">
        <f>VLOOKUP($A52,tabCustoUnit[],COLUMN(CUSTO_GLOBAL[[#Headers],[SESI OU SESC]])-2,0)*($G52-$H52)</f>
        <v>233.97981299999998</v>
      </c>
      <c r="T52" s="21">
        <f>VLOOKUP($A52,tabCustoUnit[],COLUMN(CUSTO_GLOBAL[[#Headers],[SENAI OU SENAC]])-2,0)*($G52-$H52)</f>
        <v>155.98654199999999</v>
      </c>
      <c r="U52" s="21">
        <f>VLOOKUP($A52,tabCustoUnit[],COLUMN(CUSTO_GLOBAL[[#Headers],[INCRA]])-2,0)*($G52-$H52)</f>
        <v>31.197308399999997</v>
      </c>
      <c r="V52" s="21">
        <f>VLOOKUP($A52,tabCustoUnit[],COLUMN(CUSTO_GLOBAL[[#Headers],[Salário Educação]])-2,0)*($G52-$H52)</f>
        <v>389.96635499999991</v>
      </c>
      <c r="W52" s="21">
        <f>VLOOKUP($A52,tabCustoUnit[],COLUMN(CUSTO_GLOBAL[[#Headers],[FGTS]])-2,0)*($G52-$H52)</f>
        <v>1247.8923359999999</v>
      </c>
      <c r="X52" s="21">
        <f>VLOOKUP($A52,tabCustoUnit[],COLUMN(CUSTO_GLOBAL[[#Headers],[RAT Ajustado]])-2,0)*($G52-$H52)</f>
        <v>623.94616799999994</v>
      </c>
      <c r="Y52" s="21">
        <f>VLOOKUP($A52,tabCustoUnit[],COLUMN(CUSTO_GLOBAL[[#Headers],[SEBRAE]])-2,0)*($G52-$H52)</f>
        <v>93.591925199999991</v>
      </c>
      <c r="Z52" s="21">
        <f>VLOOKUP($A52,tabCustoUnit[],COLUMN(CUSTO_GLOBAL[[#Headers],[Submódulo 2.1]])-2,0)*($G52-$H52)</f>
        <v>5896.2912875999991</v>
      </c>
      <c r="AA52" s="21">
        <f>VLOOKUP($A52,tabCustoUnit[],COLUMN(CUSTO_GLOBAL[[#Headers],[13º salário (titular)]])-2,0)*($G52-$H52)</f>
        <v>1299.8878499999998</v>
      </c>
      <c r="AB52" s="21">
        <f>VLOOKUP($A52,tabCustoUnit[],COLUMN(CUSTO_GLOBAL[[#Headers],[Férias e Adicional de Férias (titular)]])-2,0)*($G52-$H52)</f>
        <v>1733.1837999999998</v>
      </c>
      <c r="AC52" s="21">
        <f>VLOOKUP($A52,tabCustoUnit[],COLUMN(CUSTO_GLOBAL[[#Headers],[Incidência do Submódulo 2.1 sobre 13º Salário, Férias e Adicional de Férias]])-2,0)*($G52-$H52)</f>
        <v>1146.5010836999998</v>
      </c>
      <c r="AD52" s="21">
        <f>VLOOKUP($A52,tabCustoUnit[],COLUMN(CUSTO_GLOBAL[[#Headers],[Submódulo 2.2]])-2,0)*($G52-$H52)</f>
        <v>4179.5727336999989</v>
      </c>
      <c r="AE52" s="22" t="e">
        <f ca="1">VLOOKUP($A52,tabCustoUnit[],COLUMN(CUSTO_GLOBAL[[#Headers],[Vale - Transporte (Descontada parcela do empregado)]])-2,0)*($G52-$H52)</f>
        <v>#NAME?</v>
      </c>
      <c r="AF52" s="22">
        <f>VLOOKUP($A52,tabCustoUnit[],COLUMN(CUSTO_GLOBAL[[#Headers],[Vale - Alimentação (Descontada parcela do empregado)]])-2,0)*($G52-$H52)</f>
        <v>3492</v>
      </c>
      <c r="AG52" s="22">
        <f>VLOOKUP($A52,tabCustoUnit[],COLUMN(CUSTO_GLOBAL[[#Headers],[Cesta Básica]])-2,0)*($G52-$H52)</f>
        <v>0</v>
      </c>
      <c r="AH52" s="22">
        <f>VLOOKUP($A52,tabCustoUnit[],COLUMN(CUSTO_GLOBAL[[#Headers],[PAF]])-2,0)*($G52-$H52)</f>
        <v>575.40000000000009</v>
      </c>
      <c r="AI52" s="22">
        <f>VLOOKUP($A52,tabCustoUnit[],COLUMN(CUSTO_GLOBAL[[#Headers],[PQM]])-2,0)*($G52-$H52)</f>
        <v>0</v>
      </c>
      <c r="AJ52" s="22">
        <v>0</v>
      </c>
      <c r="AK52" s="22">
        <f>VLOOKUP($A52,tabCustoUnit[],COLUMN(CUSTO_GLOBAL[[#Headers],[Seguro de Vida]])-2,0)*($G52-$H52)</f>
        <v>20.16</v>
      </c>
      <c r="AL52" s="22">
        <f>VLOOKUP($A52,tabCustoUnit[],COLUMN(CUSTO_GLOBAL[[#Headers],[Despesas de Viagem]])-2,0)*($G52-$H52)</f>
        <v>1212.48</v>
      </c>
      <c r="AM52" s="22" t="e">
        <f ca="1">VLOOKUP($A52,tabCustoUnit[],COLUMN(CUSTO_GLOBAL[[#Headers],[Submódulo 2.3]])-2,0)*($G52-$H52)</f>
        <v>#NAME?</v>
      </c>
      <c r="AN52" s="22" t="e">
        <f ca="1">VLOOKUP($A52,tabCustoUnit[],COLUMN(CUSTO_GLOBAL[[#Headers],[MÓDULO 2 - Total Encargos e Benefícios mensais e diários]])-2,0)*($G52-$H52)</f>
        <v>#NAME?</v>
      </c>
      <c r="AO52" s="22">
        <f>VLOOKUP($A52,tabCustoUnit[],COLUMN(CUSTO_GLOBAL[[#Headers],[Aviso Prévio Indenizado (API) e Reflexo do Aviso Prévio Indenizado]])-2,0)*($G52-$H52)</f>
        <v>109.37412837881945</v>
      </c>
      <c r="AP52" s="22">
        <f>VLOOKUP($A52,tabCustoUnit[],COLUMN(CUSTO_GLOBAL[[#Headers],[Incidência do FGTS sobre API e Reflexo do API]])-2,0)*($G52-$H52)</f>
        <v>8.7499302703055548</v>
      </c>
      <c r="AQ52" s="22">
        <f>VLOOKUP($A52,tabCustoUnit[],COLUMN(CUSTO_GLOBAL[[#Headers],[Multa Rescisória do FGTS sobre o Aviso Prévio Indenizado]])-2,0)*($G52-$H52)</f>
        <v>3.4999721081222219</v>
      </c>
      <c r="AR52" s="22">
        <f>VLOOKUP($A52,tabCustoUnit[],COLUMN(CUSTO_GLOBAL[[#Headers],[Aviso Prévio Trabalhado - APT]])-2,0)*($G52-$H52)</f>
        <v>54.595289700000002</v>
      </c>
      <c r="AS52" s="22">
        <f>VLOOKUP($A52,tabCustoUnit[],COLUMN(CUSTO_GLOBAL[[#Headers],[Incidência dos encargos do submódulo 2.1 sobre Aviso Prévio Trabalhado]])-2,0)*($G52-$H52)</f>
        <v>20.637019506600005</v>
      </c>
      <c r="AT52" s="22">
        <f>VLOOKUP($A52,tabCustoUnit[],COLUMN(CUSTO_GLOBAL[[#Headers],[Multa Rescisória do FGTS]])-2,0)*($G52-$H52)</f>
        <v>476.9721817599999</v>
      </c>
      <c r="AU52" s="22">
        <f>VLOOKUP($A52,tabCustoUnit[],COLUMN(CUSTO_GLOBAL[[#Headers],[Indenização Adicional (Art. 9º da Lei nº 7.238/84)]])-2,0)*($G52-$H52)</f>
        <v>12.998878499999998</v>
      </c>
      <c r="AV52" s="22">
        <f>VLOOKUP($A52,tabCustoUnit[],COLUMN(CUSTO_GLOBAL[[#Headers],[MÓDULO 3 – PROVISÃO PARA RESCISÃO]])-2,0)*($G52-$H52)</f>
        <v>686.82740022384701</v>
      </c>
      <c r="AW52" s="22">
        <f>VLOOKUP($A52,tabCustoUnit[],COLUMN(CUSTO_GLOBAL[[#Headers],[Ausência por Doença]])-2,0)*($G52-$H52)</f>
        <v>131.72196879999998</v>
      </c>
      <c r="AX52" s="22">
        <f>VLOOKUP($A52,tabCustoUnit[],COLUMN(CUSTO_GLOBAL[[#Headers],[Ausências Legais]])-2,0)*($G52-$H52)</f>
        <v>31.630604349999995</v>
      </c>
      <c r="AY52" s="22">
        <f>VLOOKUP($A52,tabCustoUnit[],COLUMN(CUSTO_GLOBAL[[#Headers],[Licença Paternidade]])-2,0)*($G52-$H52)</f>
        <v>2.6647700924999995</v>
      </c>
      <c r="AZ52" s="22">
        <f>VLOOKUP($A52,tabCustoUnit[],COLUMN(CUSTO_GLOBAL[[#Headers],[Ausência por Acidente de Trabalho]])-2,0)*($G52-$H52)</f>
        <v>3.2497196249999996</v>
      </c>
      <c r="BA52" s="22">
        <f>VLOOKUP($A52,tabCustoUnit[],COLUMN(CUSTO_GLOBAL[[#Headers],[Férias, Adicional de Férias e 13º  com empregada em gozo de Licença Maternidade]])-2,0)*($G52-$H52)</f>
        <v>20.220477666666664</v>
      </c>
      <c r="BB52" s="22">
        <f>VLOOKUP($A52,tabCustoUnit[],COLUMN(CUSTO_GLOBAL[[#Headers],[Incidência do Submódulo 2.1 sobre Ausências Legais]])-2,0)*($G52-$H52)</f>
        <v>71.626290321915008</v>
      </c>
      <c r="BC52" s="22">
        <f>VLOOKUP($A52,tabCustoUnit[],COLUMN(CUSTO_GLOBAL[[#Headers],[Submódulo 4.1]])-2,0)*($G52-$H52)</f>
        <v>261.11383085608162</v>
      </c>
      <c r="BD52" s="22">
        <f>VLOOKUP($A52,tabCustoUnit[],COLUMN(CUSTO_GLOBAL[[#Headers],[Intervalo para Repouso ou Alimentação]])-2,0)*($G52-$H52)</f>
        <v>0</v>
      </c>
      <c r="BE52" s="22">
        <f>VLOOKUP($A52,tabCustoUnit[],COLUMN(CUSTO_GLOBAL[[#Headers],[Submódulo 4.2]])-2,0)*($G52-$H52)</f>
        <v>0</v>
      </c>
      <c r="BF52" s="22">
        <f>VLOOKUP($A52,tabCustoUnit[],COLUMN(CUSTO_GLOBAL[[#Headers],[Suspensão Temporária do Contrato de Trabalho]])-2,0)*($G52-$H52)</f>
        <v>0</v>
      </c>
      <c r="BG52" s="22">
        <f>VLOOKUP($A52,tabCustoUnit[],COLUMN(CUSTO_GLOBAL[[#Headers],[Submódulo 4.3]])-2,0)*($G52-$H52)</f>
        <v>0</v>
      </c>
      <c r="BH52" s="22">
        <f>VLOOKUP($A52,tabCustoUnit[],COLUMN(CUSTO_GLOBAL[[#Headers],[MÓDULO 4 – CUSTO DE REPOSIÇÃO DO PROFISSIONAL AUSENTE]])-2,0)*($G52-$H52)</f>
        <v>261.11383085608162</v>
      </c>
      <c r="BI52" s="22">
        <f>VLOOKUP($A52,tabCustoUnit[],COLUMN(CUSTO_GLOBAL[[#Headers],[Uniformes e EPIs]])-2,0)*($G52-$H52)</f>
        <v>1357.9993639387303</v>
      </c>
      <c r="BJ52" s="22">
        <f>VLOOKUP($A52,tabCustoUnit[],COLUMN(CUSTO_GLOBAL[[#Headers],[Materiais de Consumo]])-2,0)*($G52-$H52)</f>
        <v>2650.8659677419355</v>
      </c>
      <c r="BK52" s="22">
        <f>VLOOKUP($A52,tabCustoUnit[],COLUMN(CUSTO_GLOBAL[[#Headers],[Máquinas e Equipamentos (depreciação)]])-2,0)*($G52-$H52)</f>
        <v>678.67858064516122</v>
      </c>
      <c r="BL52" s="22">
        <f>VLOOKUP($A52,tabCustoUnit[],COLUMN(CUSTO_GLOBAL[[#Headers],[Produtos de Limpeza e Materiais de Higiene Pessoal]])-2,0)*($G52-$H52)</f>
        <v>0</v>
      </c>
      <c r="BM52" s="22">
        <f>VLOOKUP($A52,tabCustoUnit[],COLUMN(CUSTO_GLOBAL[[#Headers],[Outros (especificar)]])-2,0)*($G52-$H52)</f>
        <v>0</v>
      </c>
      <c r="BN52" s="22">
        <f>VLOOKUP($A52,tabCustoUnit[],COLUMN(CUSTO_GLOBAL[[#Headers],[MÓDULO 5 – INSUMOS DIVERSOS]])-2,0)*($G52-$H52)</f>
        <v>4687.5439123258275</v>
      </c>
      <c r="BO52" s="22" t="e">
        <f ca="1">VLOOKUP($A52,tabCustoUnit[],COLUMN(CUSTO_GLOBAL[[#Headers],[TOTAL MÓDULOS 1+2+3+4+5]])-2,0)*($G52-$H52)</f>
        <v>#NAME?</v>
      </c>
      <c r="BP52" s="22" t="e">
        <f ca="1">VLOOKUP($A52,tabCustoUnit[],COLUMN(CUSTO_GLOBAL[[#Headers],[Custos Indiretos]])-2,0)*($G52-$H52)</f>
        <v>#NAME?</v>
      </c>
      <c r="BQ52" s="22" t="e">
        <f ca="1">VLOOKUP($A52,tabCustoUnit[],COLUMN(CUSTO_GLOBAL[[#Headers],[Lucro]])-2,0)*($G52-$H52)</f>
        <v>#NAME?</v>
      </c>
      <c r="BR52" s="26">
        <f>VLOOKUP($A52,tabCustoUnit[],COLUMN(CUSTO_GLOBAL[[#Headers],[COFINS]])-2,0)</f>
        <v>8.8629737609329504E-2</v>
      </c>
      <c r="BS52" s="26">
        <f>VLOOKUP($A52,tabCustoUnit[],COLUMN(CUSTO_GLOBAL[[#Headers],[PIS]])-2,0)</f>
        <v>1.9241982507288629E-2</v>
      </c>
      <c r="BT52" s="28">
        <f>VLOOKUP($A52,tabCustoUnit[],COLUMN(CUSTO_GLOBAL[[#Headers],[ISS]])-2,0)</f>
        <v>0.05</v>
      </c>
      <c r="BU52" s="26">
        <f>VLOOKUP($A52,tabCustoUnit[],COLUMN(CUSTO_GLOBAL[[#Headers],[ISS (Conversão Alíquota s/ fatura)]])-2,0)</f>
        <v>5.8309037900874633E-2</v>
      </c>
      <c r="BV52" s="26">
        <f>VLOOKUP($A52,tabCustoUnit[],COLUMN(CUSTO_GLOBAL[[#Headers],[Resumo de Alíquotas (PIS+CONFINS+ISS)]])-2,0)</f>
        <v>0.14250000000000002</v>
      </c>
      <c r="BW52" s="138">
        <f>VLOOKUP($A52,tabCustoUnit[],COLUMN(CUSTO_GLOBAL[[#Headers],[PIS + COFINS + ISS (Total Conversão  Alíquota s/ Fatura)]])-2,0)</f>
        <v>0.16618075801749277</v>
      </c>
      <c r="BX52" s="22" t="e">
        <f ca="1">VLOOKUP($A52,tabCustoUnit[],COLUMN(CUSTO_GLOBAL[[#Headers],[Valor dos Tributos (ISS, PIS, CONFINS)]])-2,0)*($G52-$H52)</f>
        <v>#NAME?</v>
      </c>
      <c r="BY52" s="22" t="e">
        <f ca="1">VLOOKUP($A52,tabCustoUnit[],COLUMN(CUSTO_GLOBAL[[#Headers],[MÓDULO 6 – CUSTOS INDIRETOS, TRIBUTOS E LUCRO]])-2,0)*($G52-$H52)</f>
        <v>#NAME?</v>
      </c>
      <c r="BZ52" s="22" t="e">
        <f ca="1">VLOOKUP($A52,tabCustoUnit[],COLUMN(CUSTO_GLOBAL[[#Headers],[CUSTO TOTAL MENSAL]])-2,0)*($G52-$H52)</f>
        <v>#NAME?</v>
      </c>
      <c r="CA52" s="22" t="e">
        <f ca="1">CUSTO_GLOBAL[[#This Row],[CUSTO TOTAL MENSAL]]*12</f>
        <v>#NAME?</v>
      </c>
      <c r="CB52" s="24">
        <f>VLOOKUP($A52,tabCustoUnit[],COLUMN(CUSTO_GLOBAL[[#Headers],[ANO DA CCT]])-2,0)</f>
        <v>45658</v>
      </c>
      <c r="CC52" s="25" t="str">
        <f>VLOOKUP($A52,tabCustoUnit[],COLUMN(CUSTO_GLOBAL[[#Headers],[Nº DE PEDIDO DA CCT]])-2,0)</f>
        <v>-</v>
      </c>
      <c r="CD52" s="25" t="str">
        <f>VLOOKUP($A52,tabCustoUnit[],COLUMN(CUSTO_GLOBAL[[#Headers],[TERMO ADITIVO ALTERAÇÃO DA CCT]])-2,0)</f>
        <v>-</v>
      </c>
    </row>
    <row r="53" spans="1:82">
      <c r="A53" s="20" t="s">
        <v>1548</v>
      </c>
      <c r="B53" t="s">
        <v>1103</v>
      </c>
      <c r="C53" t="s">
        <v>239</v>
      </c>
      <c r="D53" t="s">
        <v>1035</v>
      </c>
      <c r="E53" s="20" t="s">
        <v>1090</v>
      </c>
      <c r="F53" s="20" t="s">
        <v>120</v>
      </c>
      <c r="G53" s="20">
        <v>2</v>
      </c>
      <c r="H53" s="20">
        <v>0</v>
      </c>
      <c r="I53" s="21">
        <f>VLOOKUP($A53,tabCustoUnit[],COLUMN(CUSTO_GLOBAL[[#Headers],[Salário Base]])-2,0)*($G53-$H53)</f>
        <v>9609.24</v>
      </c>
      <c r="J53" s="21">
        <f>VLOOKUP($A53,tabCustoUnit[],COLUMN(CUSTO_GLOBAL[[#Headers],[Adicional Periculosidade]])-2,0)*($G53-$H53)</f>
        <v>0</v>
      </c>
      <c r="K53" s="21">
        <f>VLOOKUP($A53,tabCustoUnit[],COLUMN(CUSTO_GLOBAL[[#Headers],[Adicional Insalubridade]])-2,0)*($G53-$H53)</f>
        <v>0</v>
      </c>
      <c r="L53" s="21">
        <f>VLOOKUP($A53,tabCustoUnit[],COLUMN(CUSTO_GLOBAL[[#Headers],[Adicional Noturno]])-2,0)*($G53-$H53)</f>
        <v>0</v>
      </c>
      <c r="M53" s="21">
        <f>VLOOKUP($A53,tabCustoUnit[],COLUMN(CUSTO_GLOBAL[[#Headers],[Adicional Motorista II (Gratificação)]])-2,0)*($G53-$H53)</f>
        <v>0</v>
      </c>
      <c r="N53" s="21">
        <f>VLOOKUP($A53,tabCustoUnit[],COLUMN(CUSTO_GLOBAL[[#Headers],[Adicional de Sobreaviso]])-2,0)*($G53-$H53)</f>
        <v>0</v>
      </c>
      <c r="O53" s="21">
        <f>VLOOKUP($A53,tabCustoUnit[],COLUMN(CUSTO_GLOBAL[[#Headers],[Horas Extras TI]])-2,0)*($G53-$H53)</f>
        <v>0</v>
      </c>
      <c r="P53" s="21">
        <f>VLOOKUP($A53,tabCustoUnit[],COLUMN(CUSTO_GLOBAL[[#Headers],[Adicional de Acúmulo de função]])-2,0)*($G53-$H53)</f>
        <v>0</v>
      </c>
      <c r="Q53" s="21">
        <f>VLOOKUP($A53,tabCustoUnit[],COLUMN(CUSTO_GLOBAL[[#Headers],[MODULO 1 - REMUNERAÇÃO ]])-2,0)*($G53-$H53)</f>
        <v>9609.24</v>
      </c>
      <c r="R53" s="21">
        <f>VLOOKUP($A53,tabCustoUnit[],COLUMN(CUSTO_GLOBAL[[#Headers],[INSS]])-2,0)*($G53-$H53)</f>
        <v>1921.848</v>
      </c>
      <c r="S53" s="21">
        <f>VLOOKUP($A53,tabCustoUnit[],COLUMN(CUSTO_GLOBAL[[#Headers],[SESI OU SESC]])-2,0)*($G53-$H53)</f>
        <v>144.1386</v>
      </c>
      <c r="T53" s="21">
        <f>VLOOKUP($A53,tabCustoUnit[],COLUMN(CUSTO_GLOBAL[[#Headers],[SENAI OU SENAC]])-2,0)*($G53-$H53)</f>
        <v>96.092399999999998</v>
      </c>
      <c r="U53" s="21">
        <f>VLOOKUP($A53,tabCustoUnit[],COLUMN(CUSTO_GLOBAL[[#Headers],[INCRA]])-2,0)*($G53-$H53)</f>
        <v>19.21848</v>
      </c>
      <c r="V53" s="21">
        <f>VLOOKUP($A53,tabCustoUnit[],COLUMN(CUSTO_GLOBAL[[#Headers],[Salário Educação]])-2,0)*($G53-$H53)</f>
        <v>240.23099999999999</v>
      </c>
      <c r="W53" s="21">
        <f>VLOOKUP($A53,tabCustoUnit[],COLUMN(CUSTO_GLOBAL[[#Headers],[FGTS]])-2,0)*($G53-$H53)</f>
        <v>768.73919999999998</v>
      </c>
      <c r="X53" s="21">
        <f>VLOOKUP($A53,tabCustoUnit[],COLUMN(CUSTO_GLOBAL[[#Headers],[RAT Ajustado]])-2,0)*($G53-$H53)</f>
        <v>384.36959999999999</v>
      </c>
      <c r="Y53" s="21">
        <f>VLOOKUP($A53,tabCustoUnit[],COLUMN(CUSTO_GLOBAL[[#Headers],[SEBRAE]])-2,0)*($G53-$H53)</f>
        <v>57.655439999999999</v>
      </c>
      <c r="Z53" s="21">
        <f>VLOOKUP($A53,tabCustoUnit[],COLUMN(CUSTO_GLOBAL[[#Headers],[Submódulo 2.1]])-2,0)*($G53-$H53)</f>
        <v>3632.2927199999999</v>
      </c>
      <c r="AA53" s="21">
        <f>VLOOKUP($A53,tabCustoUnit[],COLUMN(CUSTO_GLOBAL[[#Headers],[13º salário (titular)]])-2,0)*($G53-$H53)</f>
        <v>800.77</v>
      </c>
      <c r="AB53" s="21">
        <f>VLOOKUP($A53,tabCustoUnit[],COLUMN(CUSTO_GLOBAL[[#Headers],[Férias e Adicional de Férias (titular)]])-2,0)*($G53-$H53)</f>
        <v>1067.6933333333332</v>
      </c>
      <c r="AC53" s="21">
        <f>VLOOKUP($A53,tabCustoUnit[],COLUMN(CUSTO_GLOBAL[[#Headers],[Incidência do Submódulo 2.1 sobre 13º Salário, Férias e Adicional de Férias]])-2,0)*($G53-$H53)</f>
        <v>706.27913999999998</v>
      </c>
      <c r="AD53" s="21">
        <f>VLOOKUP($A53,tabCustoUnit[],COLUMN(CUSTO_GLOBAL[[#Headers],[Submódulo 2.2]])-2,0)*($G53-$H53)</f>
        <v>2574.7424733333332</v>
      </c>
      <c r="AE53" s="22" t="e">
        <f ca="1">VLOOKUP($A53,tabCustoUnit[],COLUMN(CUSTO_GLOBAL[[#Headers],[Vale - Transporte (Descontada parcela do empregado)]])-2,0)*($G53-$H53)</f>
        <v>#NAME?</v>
      </c>
      <c r="AF53" s="22">
        <f>VLOOKUP($A53,tabCustoUnit[],COLUMN(CUSTO_GLOBAL[[#Headers],[Vale - Alimentação (Descontada parcela do empregado)]])-2,0)*($G53-$H53)</f>
        <v>1164</v>
      </c>
      <c r="AG53" s="22">
        <f>VLOOKUP($A53,tabCustoUnit[],COLUMN(CUSTO_GLOBAL[[#Headers],[Cesta Básica]])-2,0)*($G53-$H53)</f>
        <v>0</v>
      </c>
      <c r="AH53" s="22">
        <f>VLOOKUP($A53,tabCustoUnit[],COLUMN(CUSTO_GLOBAL[[#Headers],[PAF]])-2,0)*($G53-$H53)</f>
        <v>191.8</v>
      </c>
      <c r="AI53" s="22">
        <f>VLOOKUP($A53,tabCustoUnit[],COLUMN(CUSTO_GLOBAL[[#Headers],[PQM]])-2,0)*($G53-$H53)</f>
        <v>0</v>
      </c>
      <c r="AJ53" s="22">
        <v>0</v>
      </c>
      <c r="AK53" s="22">
        <f>VLOOKUP($A53,tabCustoUnit[],COLUMN(CUSTO_GLOBAL[[#Headers],[Seguro de Vida]])-2,0)*($G53-$H53)</f>
        <v>6.72</v>
      </c>
      <c r="AL53" s="22">
        <f>VLOOKUP($A53,tabCustoUnit[],COLUMN(CUSTO_GLOBAL[[#Headers],[Despesas de Viagem]])-2,0)*($G53-$H53)</f>
        <v>404.16</v>
      </c>
      <c r="AM53" s="22" t="e">
        <f ca="1">VLOOKUP($A53,tabCustoUnit[],COLUMN(CUSTO_GLOBAL[[#Headers],[Submódulo 2.3]])-2,0)*($G53-$H53)</f>
        <v>#NAME?</v>
      </c>
      <c r="AN53" s="22" t="e">
        <f ca="1">VLOOKUP($A53,tabCustoUnit[],COLUMN(CUSTO_GLOBAL[[#Headers],[MÓDULO 2 - Total Encargos e Benefícios mensais e diários]])-2,0)*($G53-$H53)</f>
        <v>#NAME?</v>
      </c>
      <c r="AO53" s="22">
        <f>VLOOKUP($A53,tabCustoUnit[],COLUMN(CUSTO_GLOBAL[[#Headers],[Aviso Prévio Indenizado (API) e Reflexo do Aviso Prévio Indenizado]])-2,0)*($G53-$H53)</f>
        <v>67.377751689814815</v>
      </c>
      <c r="AP53" s="22">
        <f>VLOOKUP($A53,tabCustoUnit[],COLUMN(CUSTO_GLOBAL[[#Headers],[Incidência do FGTS sobre API e Reflexo do API]])-2,0)*($G53-$H53)</f>
        <v>5.3902201351851859</v>
      </c>
      <c r="AQ53" s="22">
        <f>VLOOKUP($A53,tabCustoUnit[],COLUMN(CUSTO_GLOBAL[[#Headers],[Multa Rescisória do FGTS sobre o Aviso Prévio Indenizado]])-2,0)*($G53-$H53)</f>
        <v>2.1560880540740746</v>
      </c>
      <c r="AR53" s="22">
        <f>VLOOKUP($A53,tabCustoUnit[],COLUMN(CUSTO_GLOBAL[[#Headers],[Aviso Prévio Trabalhado - APT]])-2,0)*($G53-$H53)</f>
        <v>33.632340000000006</v>
      </c>
      <c r="AS53" s="22">
        <f>VLOOKUP($A53,tabCustoUnit[],COLUMN(CUSTO_GLOBAL[[#Headers],[Incidência dos encargos do submódulo 2.1 sobre Aviso Prévio Trabalhado]])-2,0)*($G53-$H53)</f>
        <v>12.713024520000003</v>
      </c>
      <c r="AT53" s="22">
        <f>VLOOKUP($A53,tabCustoUnit[],COLUMN(CUSTO_GLOBAL[[#Headers],[Multa Rescisória do FGTS]])-2,0)*($G53-$H53)</f>
        <v>293.82920533333328</v>
      </c>
      <c r="AU53" s="22">
        <f>VLOOKUP($A53,tabCustoUnit[],COLUMN(CUSTO_GLOBAL[[#Headers],[Indenização Adicional (Art. 9º da Lei nº 7.238/84)]])-2,0)*($G53-$H53)</f>
        <v>8.0076999999999998</v>
      </c>
      <c r="AV53" s="22">
        <f>VLOOKUP($A53,tabCustoUnit[],COLUMN(CUSTO_GLOBAL[[#Headers],[MÓDULO 3 – PROVISÃO PARA RESCISÃO]])-2,0)*($G53-$H53)</f>
        <v>423.1063297324074</v>
      </c>
      <c r="AW53" s="22">
        <f>VLOOKUP($A53,tabCustoUnit[],COLUMN(CUSTO_GLOBAL[[#Headers],[Ausência por Doença]])-2,0)*($G53-$H53)</f>
        <v>81.144693333333322</v>
      </c>
      <c r="AX53" s="22">
        <f>VLOOKUP($A53,tabCustoUnit[],COLUMN(CUSTO_GLOBAL[[#Headers],[Ausências Legais]])-2,0)*($G53-$H53)</f>
        <v>19.485403333333331</v>
      </c>
      <c r="AY53" s="22">
        <f>VLOOKUP($A53,tabCustoUnit[],COLUMN(CUSTO_GLOBAL[[#Headers],[Licença Paternidade]])-2,0)*($G53-$H53)</f>
        <v>1.6415784999999998</v>
      </c>
      <c r="AZ53" s="22">
        <f>VLOOKUP($A53,tabCustoUnit[],COLUMN(CUSTO_GLOBAL[[#Headers],[Ausência por Acidente de Trabalho]])-2,0)*($G53-$H53)</f>
        <v>2.001925</v>
      </c>
      <c r="BA53" s="22">
        <f>VLOOKUP($A53,tabCustoUnit[],COLUMN(CUSTO_GLOBAL[[#Headers],[Férias, Adicional de Férias e 13º  com empregada em gozo de Licença Maternidade]])-2,0)*($G53-$H53)</f>
        <v>12.456422222222221</v>
      </c>
      <c r="BB53" s="22">
        <f>VLOOKUP($A53,tabCustoUnit[],COLUMN(CUSTO_GLOBAL[[#Headers],[Incidência do Submódulo 2.1 sobre Ausências Legais]])-2,0)*($G53-$H53)</f>
        <v>44.123948463000005</v>
      </c>
      <c r="BC53" s="22">
        <f>VLOOKUP($A53,tabCustoUnit[],COLUMN(CUSTO_GLOBAL[[#Headers],[Submódulo 4.1]])-2,0)*($G53-$H53)</f>
        <v>160.85397085188885</v>
      </c>
      <c r="BD53" s="22">
        <f>VLOOKUP($A53,tabCustoUnit[],COLUMN(CUSTO_GLOBAL[[#Headers],[Intervalo para Repouso ou Alimentação]])-2,0)*($G53-$H53)</f>
        <v>0</v>
      </c>
      <c r="BE53" s="22">
        <f>VLOOKUP($A53,tabCustoUnit[],COLUMN(CUSTO_GLOBAL[[#Headers],[Submódulo 4.2]])-2,0)*($G53-$H53)</f>
        <v>0</v>
      </c>
      <c r="BF53" s="22">
        <f>VLOOKUP($A53,tabCustoUnit[],COLUMN(CUSTO_GLOBAL[[#Headers],[Suspensão Temporária do Contrato de Trabalho]])-2,0)*($G53-$H53)</f>
        <v>0</v>
      </c>
      <c r="BG53" s="22">
        <f>VLOOKUP($A53,tabCustoUnit[],COLUMN(CUSTO_GLOBAL[[#Headers],[Submódulo 4.3]])-2,0)*($G53-$H53)</f>
        <v>0</v>
      </c>
      <c r="BH53" s="22">
        <f>VLOOKUP($A53,tabCustoUnit[],COLUMN(CUSTO_GLOBAL[[#Headers],[MÓDULO 4 – CUSTO DE REPOSIÇÃO DO PROFISSIONAL AUSENTE]])-2,0)*($G53-$H53)</f>
        <v>160.85397085188885</v>
      </c>
      <c r="BI53" s="22">
        <f>VLOOKUP($A53,tabCustoUnit[],COLUMN(CUSTO_GLOBAL[[#Headers],[Uniformes e EPIs]])-2,0)*($G53-$H53)</f>
        <v>181.56935956407941</v>
      </c>
      <c r="BJ53" s="22">
        <f>VLOOKUP($A53,tabCustoUnit[],COLUMN(CUSTO_GLOBAL[[#Headers],[Materiais de Consumo]])-2,0)*($G53-$H53)</f>
        <v>0</v>
      </c>
      <c r="BK53" s="22">
        <f>VLOOKUP($A53,tabCustoUnit[],COLUMN(CUSTO_GLOBAL[[#Headers],[Máquinas e Equipamentos (depreciação)]])-2,0)*($G53-$H53)</f>
        <v>0</v>
      </c>
      <c r="BL53" s="22">
        <f>VLOOKUP($A53,tabCustoUnit[],COLUMN(CUSTO_GLOBAL[[#Headers],[Produtos de Limpeza e Materiais de Higiene Pessoal]])-2,0)*($G53-$H53)</f>
        <v>0</v>
      </c>
      <c r="BM53" s="22">
        <f>VLOOKUP($A53,tabCustoUnit[],COLUMN(CUSTO_GLOBAL[[#Headers],[Outros (especificar)]])-2,0)*($G53-$H53)</f>
        <v>0</v>
      </c>
      <c r="BN53" s="22">
        <f>VLOOKUP($A53,tabCustoUnit[],COLUMN(CUSTO_GLOBAL[[#Headers],[MÓDULO 5 – INSUMOS DIVERSOS]])-2,0)*($G53-$H53)</f>
        <v>181.56935956407941</v>
      </c>
      <c r="BO53" s="22" t="e">
        <f ca="1">VLOOKUP($A53,tabCustoUnit[],COLUMN(CUSTO_GLOBAL[[#Headers],[TOTAL MÓDULOS 1+2+3+4+5]])-2,0)*($G53-$H53)</f>
        <v>#NAME?</v>
      </c>
      <c r="BP53" s="22" t="e">
        <f ca="1">VLOOKUP($A53,tabCustoUnit[],COLUMN(CUSTO_GLOBAL[[#Headers],[Custos Indiretos]])-2,0)*($G53-$H53)</f>
        <v>#NAME?</v>
      </c>
      <c r="BQ53" s="22" t="e">
        <f ca="1">VLOOKUP($A53,tabCustoUnit[],COLUMN(CUSTO_GLOBAL[[#Headers],[Lucro]])-2,0)*($G53-$H53)</f>
        <v>#NAME?</v>
      </c>
      <c r="BR53" s="26">
        <f>VLOOKUP($A53,tabCustoUnit[],COLUMN(CUSTO_GLOBAL[[#Headers],[COFINS]])-2,0)</f>
        <v>8.8629737609329504E-2</v>
      </c>
      <c r="BS53" s="26">
        <f>VLOOKUP($A53,tabCustoUnit[],COLUMN(CUSTO_GLOBAL[[#Headers],[PIS]])-2,0)</f>
        <v>1.9241982507288629E-2</v>
      </c>
      <c r="BT53" s="28">
        <f>VLOOKUP($A53,tabCustoUnit[],COLUMN(CUSTO_GLOBAL[[#Headers],[ISS]])-2,0)</f>
        <v>0.05</v>
      </c>
      <c r="BU53" s="26">
        <f>VLOOKUP($A53,tabCustoUnit[],COLUMN(CUSTO_GLOBAL[[#Headers],[ISS (Conversão Alíquota s/ fatura)]])-2,0)</f>
        <v>5.8309037900874633E-2</v>
      </c>
      <c r="BV53" s="26">
        <f>VLOOKUP($A53,tabCustoUnit[],COLUMN(CUSTO_GLOBAL[[#Headers],[Resumo de Alíquotas (PIS+CONFINS+ISS)]])-2,0)</f>
        <v>0.14250000000000002</v>
      </c>
      <c r="BW53" s="138">
        <f>VLOOKUP($A53,tabCustoUnit[],COLUMN(CUSTO_GLOBAL[[#Headers],[PIS + COFINS + ISS (Total Conversão  Alíquota s/ Fatura)]])-2,0)</f>
        <v>0.16618075801749277</v>
      </c>
      <c r="BX53" s="22" t="e">
        <f ca="1">VLOOKUP($A53,tabCustoUnit[],COLUMN(CUSTO_GLOBAL[[#Headers],[Valor dos Tributos (ISS, PIS, CONFINS)]])-2,0)*($G53-$H53)</f>
        <v>#NAME?</v>
      </c>
      <c r="BY53" s="22" t="e">
        <f ca="1">VLOOKUP($A53,tabCustoUnit[],COLUMN(CUSTO_GLOBAL[[#Headers],[MÓDULO 6 – CUSTOS INDIRETOS, TRIBUTOS E LUCRO]])-2,0)*($G53-$H53)</f>
        <v>#NAME?</v>
      </c>
      <c r="BZ53" s="22" t="e">
        <f ca="1">VLOOKUP($A53,tabCustoUnit[],COLUMN(CUSTO_GLOBAL[[#Headers],[CUSTO TOTAL MENSAL]])-2,0)*($G53-$H53)</f>
        <v>#NAME?</v>
      </c>
      <c r="CA53" s="22" t="e">
        <f ca="1">CUSTO_GLOBAL[[#This Row],[CUSTO TOTAL MENSAL]]*12</f>
        <v>#NAME?</v>
      </c>
      <c r="CB53" s="24">
        <f>VLOOKUP($A53,tabCustoUnit[],COLUMN(CUSTO_GLOBAL[[#Headers],[ANO DA CCT]])-2,0)</f>
        <v>45658</v>
      </c>
      <c r="CC53" s="25" t="str">
        <f>VLOOKUP($A53,tabCustoUnit[],COLUMN(CUSTO_GLOBAL[[#Headers],[Nº DE PEDIDO DA CCT]])-2,0)</f>
        <v>-</v>
      </c>
      <c r="CD53" s="25" t="str">
        <f>VLOOKUP($A53,tabCustoUnit[],COLUMN(CUSTO_GLOBAL[[#Headers],[TERMO ADITIVO ALTERAÇÃO DA CCT]])-2,0)</f>
        <v>-</v>
      </c>
    </row>
    <row r="54" spans="1:82">
      <c r="A54" s="20" t="s">
        <v>1431</v>
      </c>
      <c r="B54" t="s">
        <v>1103</v>
      </c>
      <c r="C54" t="s">
        <v>249</v>
      </c>
      <c r="D54" t="s">
        <v>1035</v>
      </c>
      <c r="E54" s="20" t="s">
        <v>1090</v>
      </c>
      <c r="F54" s="20" t="s">
        <v>120</v>
      </c>
      <c r="G54" s="20">
        <v>1</v>
      </c>
      <c r="H54" s="20">
        <v>0</v>
      </c>
      <c r="I54" s="21">
        <f>VLOOKUP($A54,tabCustoUnit[],COLUMN(CUSTO_GLOBAL[[#Headers],[Salário Base]])-2,0)*($G54-$H54)</f>
        <v>1649.1152999999999</v>
      </c>
      <c r="J54" s="21">
        <f>VLOOKUP($A54,tabCustoUnit[],COLUMN(CUSTO_GLOBAL[[#Headers],[Adicional Periculosidade]])-2,0)*($G54-$H54)</f>
        <v>0</v>
      </c>
      <c r="K54" s="21">
        <f>VLOOKUP($A54,tabCustoUnit[],COLUMN(CUSTO_GLOBAL[[#Headers],[Adicional Insalubridade]])-2,0)*($G54-$H54)</f>
        <v>303.60000000000002</v>
      </c>
      <c r="L54" s="21">
        <f>VLOOKUP($A54,tabCustoUnit[],COLUMN(CUSTO_GLOBAL[[#Headers],[Adicional Noturno]])-2,0)*($G54-$H54)</f>
        <v>0</v>
      </c>
      <c r="M54" s="21">
        <f>VLOOKUP($A54,tabCustoUnit[],COLUMN(CUSTO_GLOBAL[[#Headers],[Adicional Motorista II (Gratificação)]])-2,0)*($G54-$H54)</f>
        <v>0</v>
      </c>
      <c r="N54" s="21">
        <f>VLOOKUP($A54,tabCustoUnit[],COLUMN(CUSTO_GLOBAL[[#Headers],[Adicional de Sobreaviso]])-2,0)*($G54-$H54)</f>
        <v>0</v>
      </c>
      <c r="O54" s="21">
        <f>VLOOKUP($A54,tabCustoUnit[],COLUMN(CUSTO_GLOBAL[[#Headers],[Horas Extras TI]])-2,0)*($G54-$H54)</f>
        <v>0</v>
      </c>
      <c r="P54" s="21">
        <f>VLOOKUP($A54,tabCustoUnit[],COLUMN(CUSTO_GLOBAL[[#Headers],[Adicional de Acúmulo de função]])-2,0)*($G54-$H54)</f>
        <v>0</v>
      </c>
      <c r="Q54" s="21">
        <f>VLOOKUP($A54,tabCustoUnit[],COLUMN(CUSTO_GLOBAL[[#Headers],[MODULO 1 - REMUNERAÇÃO ]])-2,0)*($G54-$H54)</f>
        <v>1952.7152999999998</v>
      </c>
      <c r="R54" s="21">
        <f>VLOOKUP($A54,tabCustoUnit[],COLUMN(CUSTO_GLOBAL[[#Headers],[INSS]])-2,0)*($G54-$H54)</f>
        <v>390.54305999999997</v>
      </c>
      <c r="S54" s="21">
        <f>VLOOKUP($A54,tabCustoUnit[],COLUMN(CUSTO_GLOBAL[[#Headers],[SESI OU SESC]])-2,0)*($G54-$H54)</f>
        <v>29.290729499999998</v>
      </c>
      <c r="T54" s="21">
        <f>VLOOKUP($A54,tabCustoUnit[],COLUMN(CUSTO_GLOBAL[[#Headers],[SENAI OU SENAC]])-2,0)*($G54-$H54)</f>
        <v>19.527152999999998</v>
      </c>
      <c r="U54" s="21">
        <f>VLOOKUP($A54,tabCustoUnit[],COLUMN(CUSTO_GLOBAL[[#Headers],[INCRA]])-2,0)*($G54-$H54)</f>
        <v>3.9054305999999999</v>
      </c>
      <c r="V54" s="21">
        <f>VLOOKUP($A54,tabCustoUnit[],COLUMN(CUSTO_GLOBAL[[#Headers],[Salário Educação]])-2,0)*($G54-$H54)</f>
        <v>48.817882499999996</v>
      </c>
      <c r="W54" s="21">
        <f>VLOOKUP($A54,tabCustoUnit[],COLUMN(CUSTO_GLOBAL[[#Headers],[FGTS]])-2,0)*($G54-$H54)</f>
        <v>156.21722399999999</v>
      </c>
      <c r="X54" s="21">
        <f>VLOOKUP($A54,tabCustoUnit[],COLUMN(CUSTO_GLOBAL[[#Headers],[RAT Ajustado]])-2,0)*($G54-$H54)</f>
        <v>78.108611999999994</v>
      </c>
      <c r="Y54" s="21">
        <f>VLOOKUP($A54,tabCustoUnit[],COLUMN(CUSTO_GLOBAL[[#Headers],[SEBRAE]])-2,0)*($G54-$H54)</f>
        <v>11.716291799999999</v>
      </c>
      <c r="Z54" s="21">
        <f>VLOOKUP($A54,tabCustoUnit[],COLUMN(CUSTO_GLOBAL[[#Headers],[Submódulo 2.1]])-2,0)*($G54-$H54)</f>
        <v>738.12638340000001</v>
      </c>
      <c r="AA54" s="21">
        <f>VLOOKUP($A54,tabCustoUnit[],COLUMN(CUSTO_GLOBAL[[#Headers],[13º salário (titular)]])-2,0)*($G54-$H54)</f>
        <v>162.72627499999999</v>
      </c>
      <c r="AB54" s="21">
        <f>VLOOKUP($A54,tabCustoUnit[],COLUMN(CUSTO_GLOBAL[[#Headers],[Férias e Adicional de Férias (titular)]])-2,0)*($G54-$H54)</f>
        <v>216.96836666666664</v>
      </c>
      <c r="AC54" s="21">
        <f>VLOOKUP($A54,tabCustoUnit[],COLUMN(CUSTO_GLOBAL[[#Headers],[Incidência do Submódulo 2.1 sobre 13º Salário, Férias e Adicional de Férias]])-2,0)*($G54-$H54)</f>
        <v>143.52457454999998</v>
      </c>
      <c r="AD54" s="21">
        <f>VLOOKUP($A54,tabCustoUnit[],COLUMN(CUSTO_GLOBAL[[#Headers],[Submódulo 2.2]])-2,0)*($G54-$H54)</f>
        <v>523.21921621666661</v>
      </c>
      <c r="AE54" s="22" t="e">
        <f ca="1">VLOOKUP($A54,tabCustoUnit[],COLUMN(CUSTO_GLOBAL[[#Headers],[Vale - Transporte (Descontada parcela do empregado)]])-2,0)*($G54-$H54)</f>
        <v>#NAME?</v>
      </c>
      <c r="AF54" s="22">
        <f>VLOOKUP($A54,tabCustoUnit[],COLUMN(CUSTO_GLOBAL[[#Headers],[Vale - Alimentação (Descontada parcela do empregado)]])-2,0)*($G54-$H54)</f>
        <v>582</v>
      </c>
      <c r="AG54" s="22">
        <f>VLOOKUP($A54,tabCustoUnit[],COLUMN(CUSTO_GLOBAL[[#Headers],[Cesta Básica]])-2,0)*($G54-$H54)</f>
        <v>0</v>
      </c>
      <c r="AH54" s="22">
        <f>VLOOKUP($A54,tabCustoUnit[],COLUMN(CUSTO_GLOBAL[[#Headers],[PAF]])-2,0)*($G54-$H54)</f>
        <v>95.9</v>
      </c>
      <c r="AI54" s="22">
        <f>VLOOKUP($A54,tabCustoUnit[],COLUMN(CUSTO_GLOBAL[[#Headers],[PQM]])-2,0)*($G54-$H54)</f>
        <v>0</v>
      </c>
      <c r="AJ54" s="22">
        <v>0</v>
      </c>
      <c r="AK54" s="22">
        <f>VLOOKUP($A54,tabCustoUnit[],COLUMN(CUSTO_GLOBAL[[#Headers],[Seguro de Vida]])-2,0)*($G54-$H54)</f>
        <v>3.36</v>
      </c>
      <c r="AL54" s="22">
        <f>VLOOKUP($A54,tabCustoUnit[],COLUMN(CUSTO_GLOBAL[[#Headers],[Despesas de Viagem]])-2,0)*($G54-$H54)</f>
        <v>202.08</v>
      </c>
      <c r="AM54" s="22" t="e">
        <f ca="1">VLOOKUP($A54,tabCustoUnit[],COLUMN(CUSTO_GLOBAL[[#Headers],[Submódulo 2.3]])-2,0)*($G54-$H54)</f>
        <v>#NAME?</v>
      </c>
      <c r="AN54" s="22" t="e">
        <f ca="1">VLOOKUP($A54,tabCustoUnit[],COLUMN(CUSTO_GLOBAL[[#Headers],[MÓDULO 2 - Total Encargos e Benefícios mensais e diários]])-2,0)*($G54-$H54)</f>
        <v>#NAME?</v>
      </c>
      <c r="AO54" s="22">
        <f>VLOOKUP($A54,tabCustoUnit[],COLUMN(CUSTO_GLOBAL[[#Headers],[Aviso Prévio Indenizado (API) e Reflexo do Aviso Prévio Indenizado]])-2,0)*($G54-$H54)</f>
        <v>13.691984652719906</v>
      </c>
      <c r="AP54" s="22">
        <f>VLOOKUP($A54,tabCustoUnit[],COLUMN(CUSTO_GLOBAL[[#Headers],[Incidência do FGTS sobre API e Reflexo do API]])-2,0)*($G54-$H54)</f>
        <v>1.0953587722175926</v>
      </c>
      <c r="AQ54" s="22">
        <f>VLOOKUP($A54,tabCustoUnit[],COLUMN(CUSTO_GLOBAL[[#Headers],[Multa Rescisória do FGTS sobre o Aviso Prévio Indenizado]])-2,0)*($G54-$H54)</f>
        <v>0.43814350888703707</v>
      </c>
      <c r="AR54" s="22">
        <f>VLOOKUP($A54,tabCustoUnit[],COLUMN(CUSTO_GLOBAL[[#Headers],[Aviso Prévio Trabalhado - APT]])-2,0)*($G54-$H54)</f>
        <v>6.8345035500000009</v>
      </c>
      <c r="AS54" s="22">
        <f>VLOOKUP($A54,tabCustoUnit[],COLUMN(CUSTO_GLOBAL[[#Headers],[Incidência dos encargos do submódulo 2.1 sobre Aviso Prévio Trabalhado]])-2,0)*($G54-$H54)</f>
        <v>2.5834423419000005</v>
      </c>
      <c r="AT54" s="22">
        <f>VLOOKUP($A54,tabCustoUnit[],COLUMN(CUSTO_GLOBAL[[#Headers],[Multa Rescisória do FGTS]])-2,0)*($G54-$H54)</f>
        <v>59.709694506666651</v>
      </c>
      <c r="AU54" s="22">
        <f>VLOOKUP($A54,tabCustoUnit[],COLUMN(CUSTO_GLOBAL[[#Headers],[Indenização Adicional (Art. 9º da Lei nº 7.238/84)]])-2,0)*($G54-$H54)</f>
        <v>1.6272627499999999</v>
      </c>
      <c r="AV54" s="22">
        <f>VLOOKUP($A54,tabCustoUnit[],COLUMN(CUSTO_GLOBAL[[#Headers],[MÓDULO 3 – PROVISÃO PARA RESCISÃO]])-2,0)*($G54-$H54)</f>
        <v>85.980390082391182</v>
      </c>
      <c r="AW54" s="22">
        <f>VLOOKUP($A54,tabCustoUnit[],COLUMN(CUSTO_GLOBAL[[#Headers],[Ausência por Doença]])-2,0)*($G54-$H54)</f>
        <v>16.489595866666665</v>
      </c>
      <c r="AX54" s="22">
        <f>VLOOKUP($A54,tabCustoUnit[],COLUMN(CUSTO_GLOBAL[[#Headers],[Ausências Legais]])-2,0)*($G54-$H54)</f>
        <v>3.959672691666666</v>
      </c>
      <c r="AY54" s="22">
        <f>VLOOKUP($A54,tabCustoUnit[],COLUMN(CUSTO_GLOBAL[[#Headers],[Licença Paternidade]])-2,0)*($G54-$H54)</f>
        <v>0.33358886374999996</v>
      </c>
      <c r="AZ54" s="22">
        <f>VLOOKUP($A54,tabCustoUnit[],COLUMN(CUSTO_GLOBAL[[#Headers],[Ausência por Acidente de Trabalho]])-2,0)*($G54-$H54)</f>
        <v>0.40681568749999997</v>
      </c>
      <c r="BA54" s="22">
        <f>VLOOKUP($A54,tabCustoUnit[],COLUMN(CUSTO_GLOBAL[[#Headers],[Férias, Adicional de Férias e 13º  com empregada em gozo de Licença Maternidade]])-2,0)*($G54-$H54)</f>
        <v>2.531297611111111</v>
      </c>
      <c r="BB54" s="22">
        <f>VLOOKUP($A54,tabCustoUnit[],COLUMN(CUSTO_GLOBAL[[#Headers],[Incidência do Submódulo 2.1 sobre Ausências Legais]])-2,0)*($G54-$H54)</f>
        <v>8.9665269324225001</v>
      </c>
      <c r="BC54" s="22">
        <f>VLOOKUP($A54,tabCustoUnit[],COLUMN(CUSTO_GLOBAL[[#Headers],[Submódulo 4.1]])-2,0)*($G54-$H54)</f>
        <v>32.687497653116935</v>
      </c>
      <c r="BD54" s="22">
        <f>VLOOKUP($A54,tabCustoUnit[],COLUMN(CUSTO_GLOBAL[[#Headers],[Intervalo para Repouso ou Alimentação]])-2,0)*($G54-$H54)</f>
        <v>0</v>
      </c>
      <c r="BE54" s="22">
        <f>VLOOKUP($A54,tabCustoUnit[],COLUMN(CUSTO_GLOBAL[[#Headers],[Submódulo 4.2]])-2,0)*($G54-$H54)</f>
        <v>0</v>
      </c>
      <c r="BF54" s="22">
        <f>VLOOKUP($A54,tabCustoUnit[],COLUMN(CUSTO_GLOBAL[[#Headers],[Suspensão Temporária do Contrato de Trabalho]])-2,0)*($G54-$H54)</f>
        <v>0</v>
      </c>
      <c r="BG54" s="22">
        <f>VLOOKUP($A54,tabCustoUnit[],COLUMN(CUSTO_GLOBAL[[#Headers],[Submódulo 4.3]])-2,0)*($G54-$H54)</f>
        <v>0</v>
      </c>
      <c r="BH54" s="22">
        <f>VLOOKUP($A54,tabCustoUnit[],COLUMN(CUSTO_GLOBAL[[#Headers],[MÓDULO 4 – CUSTO DE REPOSIÇÃO DO PROFISSIONAL AUSENTE]])-2,0)*($G54-$H54)</f>
        <v>32.687497653116935</v>
      </c>
      <c r="BI54" s="22">
        <f>VLOOKUP($A54,tabCustoUnit[],COLUMN(CUSTO_GLOBAL[[#Headers],[Uniformes e EPIs]])-2,0)*($G54-$H54)</f>
        <v>130.12869344317153</v>
      </c>
      <c r="BJ54" s="22">
        <f>VLOOKUP($A54,tabCustoUnit[],COLUMN(CUSTO_GLOBAL[[#Headers],[Materiais de Consumo]])-2,0)*($G54-$H54)</f>
        <v>75.19916666666667</v>
      </c>
      <c r="BK54" s="22">
        <f>VLOOKUP($A54,tabCustoUnit[],COLUMN(CUSTO_GLOBAL[[#Headers],[Máquinas e Equipamentos (depreciação)]])-2,0)*($G54-$H54)</f>
        <v>94.635000000000005</v>
      </c>
      <c r="BL54" s="22">
        <f>VLOOKUP($A54,tabCustoUnit[],COLUMN(CUSTO_GLOBAL[[#Headers],[Produtos de Limpeza e Materiais de Higiene Pessoal]])-2,0)*($G54-$H54)</f>
        <v>1012.8216666666667</v>
      </c>
      <c r="BM54" s="22">
        <f>VLOOKUP($A54,tabCustoUnit[],COLUMN(CUSTO_GLOBAL[[#Headers],[Outros (especificar)]])-2,0)*($G54-$H54)</f>
        <v>0</v>
      </c>
      <c r="BN54" s="22">
        <f>VLOOKUP($A54,tabCustoUnit[],COLUMN(CUSTO_GLOBAL[[#Headers],[MÓDULO 5 – INSUMOS DIVERSOS]])-2,0)*($G54-$H54)</f>
        <v>1312.7845267765049</v>
      </c>
      <c r="BO54" s="22" t="e">
        <f ca="1">VLOOKUP($A54,tabCustoUnit[],COLUMN(CUSTO_GLOBAL[[#Headers],[TOTAL MÓDULOS 1+2+3+4+5]])-2,0)*($G54-$H54)</f>
        <v>#NAME?</v>
      </c>
      <c r="BP54" s="22" t="e">
        <f ca="1">VLOOKUP($A54,tabCustoUnit[],COLUMN(CUSTO_GLOBAL[[#Headers],[Custos Indiretos]])-2,0)*($G54-$H54)</f>
        <v>#NAME?</v>
      </c>
      <c r="BQ54" s="22" t="e">
        <f ca="1">VLOOKUP($A54,tabCustoUnit[],COLUMN(CUSTO_GLOBAL[[#Headers],[Lucro]])-2,0)*($G54-$H54)</f>
        <v>#NAME?</v>
      </c>
      <c r="BR54" s="26">
        <f>VLOOKUP($A54,tabCustoUnit[],COLUMN(CUSTO_GLOBAL[[#Headers],[COFINS]])-2,0)</f>
        <v>8.8629737609329504E-2</v>
      </c>
      <c r="BS54" s="26">
        <f>VLOOKUP($A54,tabCustoUnit[],COLUMN(CUSTO_GLOBAL[[#Headers],[PIS]])-2,0)</f>
        <v>1.9241982507288629E-2</v>
      </c>
      <c r="BT54" s="28">
        <f>VLOOKUP($A54,tabCustoUnit[],COLUMN(CUSTO_GLOBAL[[#Headers],[ISS]])-2,0)</f>
        <v>0.05</v>
      </c>
      <c r="BU54" s="26">
        <f>VLOOKUP($A54,tabCustoUnit[],COLUMN(CUSTO_GLOBAL[[#Headers],[ISS (Conversão Alíquota s/ fatura)]])-2,0)</f>
        <v>5.8309037900874633E-2</v>
      </c>
      <c r="BV54" s="26">
        <f>VLOOKUP($A54,tabCustoUnit[],COLUMN(CUSTO_GLOBAL[[#Headers],[Resumo de Alíquotas (PIS+CONFINS+ISS)]])-2,0)</f>
        <v>0.14250000000000002</v>
      </c>
      <c r="BW54" s="138">
        <f>VLOOKUP($A54,tabCustoUnit[],COLUMN(CUSTO_GLOBAL[[#Headers],[PIS + COFINS + ISS (Total Conversão  Alíquota s/ Fatura)]])-2,0)</f>
        <v>0.16618075801749277</v>
      </c>
      <c r="BX54" s="22" t="e">
        <f ca="1">VLOOKUP($A54,tabCustoUnit[],COLUMN(CUSTO_GLOBAL[[#Headers],[Valor dos Tributos (ISS, PIS, CONFINS)]])-2,0)*($G54-$H54)</f>
        <v>#NAME?</v>
      </c>
      <c r="BY54" s="22" t="e">
        <f ca="1">VLOOKUP($A54,tabCustoUnit[],COLUMN(CUSTO_GLOBAL[[#Headers],[MÓDULO 6 – CUSTOS INDIRETOS, TRIBUTOS E LUCRO]])-2,0)*($G54-$H54)</f>
        <v>#NAME?</v>
      </c>
      <c r="BZ54" s="22" t="e">
        <f ca="1">VLOOKUP($A54,tabCustoUnit[],COLUMN(CUSTO_GLOBAL[[#Headers],[CUSTO TOTAL MENSAL]])-2,0)*($G54-$H54)</f>
        <v>#NAME?</v>
      </c>
      <c r="CA54" s="22" t="e">
        <f ca="1">CUSTO_GLOBAL[[#This Row],[CUSTO TOTAL MENSAL]]*12</f>
        <v>#NAME?</v>
      </c>
      <c r="CB54" s="24">
        <f>VLOOKUP($A54,tabCustoUnit[],COLUMN(CUSTO_GLOBAL[[#Headers],[ANO DA CCT]])-2,0)</f>
        <v>45658</v>
      </c>
      <c r="CC54" s="25" t="str">
        <f>VLOOKUP($A54,tabCustoUnit[],COLUMN(CUSTO_GLOBAL[[#Headers],[Nº DE PEDIDO DA CCT]])-2,0)</f>
        <v>-</v>
      </c>
      <c r="CD54" s="25" t="str">
        <f>VLOOKUP($A54,tabCustoUnit[],COLUMN(CUSTO_GLOBAL[[#Headers],[TERMO ADITIVO ALTERAÇÃO DA CCT]])-2,0)</f>
        <v>-</v>
      </c>
    </row>
    <row r="55" spans="1:82">
      <c r="A55" s="20" t="s">
        <v>1432</v>
      </c>
      <c r="B55" t="s">
        <v>1103</v>
      </c>
      <c r="C55" t="s">
        <v>254</v>
      </c>
      <c r="D55" t="s">
        <v>1035</v>
      </c>
      <c r="E55" s="20" t="s">
        <v>1090</v>
      </c>
      <c r="F55" s="20" t="s">
        <v>120</v>
      </c>
      <c r="G55" s="20">
        <v>7</v>
      </c>
      <c r="H55" s="20">
        <v>0</v>
      </c>
      <c r="I55" s="21">
        <f>VLOOKUP($A55,tabCustoUnit[],COLUMN(CUSTO_GLOBAL[[#Headers],[Salário Base]])-2,0)*($G55-$H55)</f>
        <v>17243.053800000002</v>
      </c>
      <c r="J55" s="21">
        <f>VLOOKUP($A55,tabCustoUnit[],COLUMN(CUSTO_GLOBAL[[#Headers],[Adicional Periculosidade]])-2,0)*($G55-$H55)</f>
        <v>0</v>
      </c>
      <c r="K55" s="21">
        <f>VLOOKUP($A55,tabCustoUnit[],COLUMN(CUSTO_GLOBAL[[#Headers],[Adicional Insalubridade]])-2,0)*($G55-$H55)</f>
        <v>0</v>
      </c>
      <c r="L55" s="21">
        <f>VLOOKUP($A55,tabCustoUnit[],COLUMN(CUSTO_GLOBAL[[#Headers],[Adicional Noturno]])-2,0)*($G55-$H55)</f>
        <v>0</v>
      </c>
      <c r="M55" s="21">
        <f>VLOOKUP($A55,tabCustoUnit[],COLUMN(CUSTO_GLOBAL[[#Headers],[Adicional Motorista II (Gratificação)]])-2,0)*($G55-$H55)</f>
        <v>0</v>
      </c>
      <c r="N55" s="21">
        <f>VLOOKUP($A55,tabCustoUnit[],COLUMN(CUSTO_GLOBAL[[#Headers],[Adicional de Sobreaviso]])-2,0)*($G55-$H55)</f>
        <v>0</v>
      </c>
      <c r="O55" s="21">
        <f>VLOOKUP($A55,tabCustoUnit[],COLUMN(CUSTO_GLOBAL[[#Headers],[Horas Extras TI]])-2,0)*($G55-$H55)</f>
        <v>0</v>
      </c>
      <c r="P55" s="21">
        <f>VLOOKUP($A55,tabCustoUnit[],COLUMN(CUSTO_GLOBAL[[#Headers],[Adicional de Acúmulo de função]])-2,0)*($G55-$H55)</f>
        <v>0</v>
      </c>
      <c r="Q55" s="21">
        <f>VLOOKUP($A55,tabCustoUnit[],COLUMN(CUSTO_GLOBAL[[#Headers],[MODULO 1 - REMUNERAÇÃO ]])-2,0)*($G55-$H55)</f>
        <v>17243.053800000002</v>
      </c>
      <c r="R55" s="21">
        <f>VLOOKUP($A55,tabCustoUnit[],COLUMN(CUSTO_GLOBAL[[#Headers],[INSS]])-2,0)*($G55-$H55)</f>
        <v>3448.61076</v>
      </c>
      <c r="S55" s="21">
        <f>VLOOKUP($A55,tabCustoUnit[],COLUMN(CUSTO_GLOBAL[[#Headers],[SESI OU SESC]])-2,0)*($G55-$H55)</f>
        <v>258.64580699999999</v>
      </c>
      <c r="T55" s="21">
        <f>VLOOKUP($A55,tabCustoUnit[],COLUMN(CUSTO_GLOBAL[[#Headers],[SENAI OU SENAC]])-2,0)*($G55-$H55)</f>
        <v>172.43053800000001</v>
      </c>
      <c r="U55" s="21">
        <f>VLOOKUP($A55,tabCustoUnit[],COLUMN(CUSTO_GLOBAL[[#Headers],[INCRA]])-2,0)*($G55-$H55)</f>
        <v>34.486107599999997</v>
      </c>
      <c r="V55" s="21">
        <f>VLOOKUP($A55,tabCustoUnit[],COLUMN(CUSTO_GLOBAL[[#Headers],[Salário Educação]])-2,0)*($G55-$H55)</f>
        <v>431.076345</v>
      </c>
      <c r="W55" s="21">
        <f>VLOOKUP($A55,tabCustoUnit[],COLUMN(CUSTO_GLOBAL[[#Headers],[FGTS]])-2,0)*($G55-$H55)</f>
        <v>1379.4443040000001</v>
      </c>
      <c r="X55" s="21">
        <f>VLOOKUP($A55,tabCustoUnit[],COLUMN(CUSTO_GLOBAL[[#Headers],[RAT Ajustado]])-2,0)*($G55-$H55)</f>
        <v>689.72215200000005</v>
      </c>
      <c r="Y55" s="21">
        <f>VLOOKUP($A55,tabCustoUnit[],COLUMN(CUSTO_GLOBAL[[#Headers],[SEBRAE]])-2,0)*($G55-$H55)</f>
        <v>103.4583228</v>
      </c>
      <c r="Z55" s="21">
        <f>VLOOKUP($A55,tabCustoUnit[],COLUMN(CUSTO_GLOBAL[[#Headers],[Submódulo 2.1]])-2,0)*($G55-$H55)</f>
        <v>6517.8743363999993</v>
      </c>
      <c r="AA55" s="21">
        <f>VLOOKUP($A55,tabCustoUnit[],COLUMN(CUSTO_GLOBAL[[#Headers],[13º salário (titular)]])-2,0)*($G55-$H55)</f>
        <v>1436.9211500000001</v>
      </c>
      <c r="AB55" s="21">
        <f>VLOOKUP($A55,tabCustoUnit[],COLUMN(CUSTO_GLOBAL[[#Headers],[Férias e Adicional de Férias (titular)]])-2,0)*($G55-$H55)</f>
        <v>1915.8948666666665</v>
      </c>
      <c r="AC55" s="21">
        <f>VLOOKUP($A55,tabCustoUnit[],COLUMN(CUSTO_GLOBAL[[#Headers],[Incidência do Submódulo 2.1 sobre 13º Salário, Férias e Adicional de Férias]])-2,0)*($G55-$H55)</f>
        <v>1267.3644542999996</v>
      </c>
      <c r="AD55" s="21">
        <f>VLOOKUP($A55,tabCustoUnit[],COLUMN(CUSTO_GLOBAL[[#Headers],[Submódulo 2.2]])-2,0)*($G55-$H55)</f>
        <v>4620.1804709666667</v>
      </c>
      <c r="AE55" s="22" t="e">
        <f ca="1">VLOOKUP($A55,tabCustoUnit[],COLUMN(CUSTO_GLOBAL[[#Headers],[Vale - Transporte (Descontada parcela do empregado)]])-2,0)*($G55-$H55)</f>
        <v>#NAME?</v>
      </c>
      <c r="AF55" s="22">
        <f>VLOOKUP($A55,tabCustoUnit[],COLUMN(CUSTO_GLOBAL[[#Headers],[Vale - Alimentação (Descontada parcela do empregado)]])-2,0)*($G55-$H55)</f>
        <v>4074</v>
      </c>
      <c r="AG55" s="22">
        <f>VLOOKUP($A55,tabCustoUnit[],COLUMN(CUSTO_GLOBAL[[#Headers],[Cesta Básica]])-2,0)*($G55-$H55)</f>
        <v>0</v>
      </c>
      <c r="AH55" s="22">
        <f>VLOOKUP($A55,tabCustoUnit[],COLUMN(CUSTO_GLOBAL[[#Headers],[PAF]])-2,0)*($G55-$H55)</f>
        <v>671.30000000000007</v>
      </c>
      <c r="AI55" s="22">
        <f>VLOOKUP($A55,tabCustoUnit[],COLUMN(CUSTO_GLOBAL[[#Headers],[PQM]])-2,0)*($G55-$H55)</f>
        <v>0</v>
      </c>
      <c r="AJ55" s="22">
        <v>0</v>
      </c>
      <c r="AK55" s="22">
        <f>VLOOKUP($A55,tabCustoUnit[],COLUMN(CUSTO_GLOBAL[[#Headers],[Seguro de Vida]])-2,0)*($G55-$H55)</f>
        <v>23.52</v>
      </c>
      <c r="AL55" s="22">
        <f>VLOOKUP($A55,tabCustoUnit[],COLUMN(CUSTO_GLOBAL[[#Headers],[Despesas de Viagem]])-2,0)*($G55-$H55)</f>
        <v>1414.5600000000002</v>
      </c>
      <c r="AM55" s="22" t="e">
        <f ca="1">VLOOKUP($A55,tabCustoUnit[],COLUMN(CUSTO_GLOBAL[[#Headers],[Submódulo 2.3]])-2,0)*($G55-$H55)</f>
        <v>#NAME?</v>
      </c>
      <c r="AN55" s="22" t="e">
        <f ca="1">VLOOKUP($A55,tabCustoUnit[],COLUMN(CUSTO_GLOBAL[[#Headers],[MÓDULO 2 - Total Encargos e Benefícios mensais e diários]])-2,0)*($G55-$H55)</f>
        <v>#NAME?</v>
      </c>
      <c r="AO55" s="22">
        <f>VLOOKUP($A55,tabCustoUnit[],COLUMN(CUSTO_GLOBAL[[#Headers],[Aviso Prévio Indenizado (API) e Reflexo do Aviso Prévio Indenizado]])-2,0)*($G55-$H55)</f>
        <v>120.90427518831019</v>
      </c>
      <c r="AP55" s="22">
        <f>VLOOKUP($A55,tabCustoUnit[],COLUMN(CUSTO_GLOBAL[[#Headers],[Incidência do FGTS sobre API e Reflexo do API]])-2,0)*($G55-$H55)</f>
        <v>9.6723420150648156</v>
      </c>
      <c r="AQ55" s="22">
        <f>VLOOKUP($A55,tabCustoUnit[],COLUMN(CUSTO_GLOBAL[[#Headers],[Multa Rescisória do FGTS sobre o Aviso Prévio Indenizado]])-2,0)*($G55-$H55)</f>
        <v>3.868936806025927</v>
      </c>
      <c r="AR55" s="22">
        <f>VLOOKUP($A55,tabCustoUnit[],COLUMN(CUSTO_GLOBAL[[#Headers],[Aviso Prévio Trabalhado - APT]])-2,0)*($G55-$H55)</f>
        <v>60.350688300000009</v>
      </c>
      <c r="AS55" s="22">
        <f>VLOOKUP($A55,tabCustoUnit[],COLUMN(CUSTO_GLOBAL[[#Headers],[Incidência dos encargos do submódulo 2.1 sobre Aviso Prévio Trabalhado]])-2,0)*($G55-$H55)</f>
        <v>22.812560177400009</v>
      </c>
      <c r="AT55" s="22">
        <f>VLOOKUP($A55,tabCustoUnit[],COLUMN(CUSTO_GLOBAL[[#Headers],[Multa Rescisória do FGTS]])-2,0)*($G55-$H55)</f>
        <v>527.25426730666663</v>
      </c>
      <c r="AU55" s="22">
        <f>VLOOKUP($A55,tabCustoUnit[],COLUMN(CUSTO_GLOBAL[[#Headers],[Indenização Adicional (Art. 9º da Lei nº 7.238/84)]])-2,0)*($G55-$H55)</f>
        <v>14.369211500000002</v>
      </c>
      <c r="AV55" s="22">
        <f>VLOOKUP($A55,tabCustoUnit[],COLUMN(CUSTO_GLOBAL[[#Headers],[MÓDULO 3 – PROVISÃO PARA RESCISÃO]])-2,0)*($G55-$H55)</f>
        <v>759.23228129346751</v>
      </c>
      <c r="AW55" s="22">
        <f>VLOOKUP($A55,tabCustoUnit[],COLUMN(CUSTO_GLOBAL[[#Headers],[Ausência por Doença]])-2,0)*($G55-$H55)</f>
        <v>145.60800986666666</v>
      </c>
      <c r="AX55" s="22">
        <f>VLOOKUP($A55,tabCustoUnit[],COLUMN(CUSTO_GLOBAL[[#Headers],[Ausências Legais]])-2,0)*($G55-$H55)</f>
        <v>34.965081316666662</v>
      </c>
      <c r="AY55" s="22">
        <f>VLOOKUP($A55,tabCustoUnit[],COLUMN(CUSTO_GLOBAL[[#Headers],[Licença Paternidade]])-2,0)*($G55-$H55)</f>
        <v>2.9456883574999999</v>
      </c>
      <c r="AZ55" s="22">
        <f>VLOOKUP($A55,tabCustoUnit[],COLUMN(CUSTO_GLOBAL[[#Headers],[Ausência por Acidente de Trabalho]])-2,0)*($G55-$H55)</f>
        <v>3.5923028750000006</v>
      </c>
      <c r="BA55" s="22">
        <f>VLOOKUP($A55,tabCustoUnit[],COLUMN(CUSTO_GLOBAL[[#Headers],[Férias, Adicional de Férias e 13º  com empregada em gozo de Licença Maternidade]])-2,0)*($G55-$H55)</f>
        <v>22.352106777777777</v>
      </c>
      <c r="BB55" s="22">
        <f>VLOOKUP($A55,tabCustoUnit[],COLUMN(CUSTO_GLOBAL[[#Headers],[Incidência do Submódulo 2.1 sobre Ausências Legais]])-2,0)*($G55-$H55)</f>
        <v>79.177085515185013</v>
      </c>
      <c r="BC55" s="22">
        <f>VLOOKUP($A55,tabCustoUnit[],COLUMN(CUSTO_GLOBAL[[#Headers],[Submódulo 4.1]])-2,0)*($G55-$H55)</f>
        <v>288.64027470879608</v>
      </c>
      <c r="BD55" s="22">
        <f>VLOOKUP($A55,tabCustoUnit[],COLUMN(CUSTO_GLOBAL[[#Headers],[Intervalo para Repouso ou Alimentação]])-2,0)*($G55-$H55)</f>
        <v>0</v>
      </c>
      <c r="BE55" s="22">
        <f>VLOOKUP($A55,tabCustoUnit[],COLUMN(CUSTO_GLOBAL[[#Headers],[Submódulo 4.2]])-2,0)*($G55-$H55)</f>
        <v>0</v>
      </c>
      <c r="BF55" s="22">
        <f>VLOOKUP($A55,tabCustoUnit[],COLUMN(CUSTO_GLOBAL[[#Headers],[Suspensão Temporária do Contrato de Trabalho]])-2,0)*($G55-$H55)</f>
        <v>0</v>
      </c>
      <c r="BG55" s="22">
        <f>VLOOKUP($A55,tabCustoUnit[],COLUMN(CUSTO_GLOBAL[[#Headers],[Submódulo 4.3]])-2,0)*($G55-$H55)</f>
        <v>0</v>
      </c>
      <c r="BH55" s="22">
        <f>VLOOKUP($A55,tabCustoUnit[],COLUMN(CUSTO_GLOBAL[[#Headers],[MÓDULO 4 – CUSTO DE REPOSIÇÃO DO PROFISSIONAL AUSENTE]])-2,0)*($G55-$H55)</f>
        <v>288.64027470879608</v>
      </c>
      <c r="BI55" s="22">
        <f>VLOOKUP($A55,tabCustoUnit[],COLUMN(CUSTO_GLOBAL[[#Headers],[Uniformes e EPIs]])-2,0)*($G55-$H55)</f>
        <v>690.98718634401655</v>
      </c>
      <c r="BJ55" s="22">
        <f>VLOOKUP($A55,tabCustoUnit[],COLUMN(CUSTO_GLOBAL[[#Headers],[Materiais de Consumo]])-2,0)*($G55-$H55)</f>
        <v>0</v>
      </c>
      <c r="BK55" s="22">
        <f>VLOOKUP($A55,tabCustoUnit[],COLUMN(CUSTO_GLOBAL[[#Headers],[Máquinas e Equipamentos (depreciação)]])-2,0)*($G55-$H55)</f>
        <v>0</v>
      </c>
      <c r="BL55" s="22">
        <f>VLOOKUP($A55,tabCustoUnit[],COLUMN(CUSTO_GLOBAL[[#Headers],[Produtos de Limpeza e Materiais de Higiene Pessoal]])-2,0)*($G55-$H55)</f>
        <v>0</v>
      </c>
      <c r="BM55" s="22">
        <f>VLOOKUP($A55,tabCustoUnit[],COLUMN(CUSTO_GLOBAL[[#Headers],[Outros (especificar)]])-2,0)*($G55-$H55)</f>
        <v>0</v>
      </c>
      <c r="BN55" s="22">
        <f>VLOOKUP($A55,tabCustoUnit[],COLUMN(CUSTO_GLOBAL[[#Headers],[MÓDULO 5 – INSUMOS DIVERSOS]])-2,0)*($G55-$H55)</f>
        <v>690.98718634401655</v>
      </c>
      <c r="BO55" s="22" t="e">
        <f ca="1">VLOOKUP($A55,tabCustoUnit[],COLUMN(CUSTO_GLOBAL[[#Headers],[TOTAL MÓDULOS 1+2+3+4+5]])-2,0)*($G55-$H55)</f>
        <v>#NAME?</v>
      </c>
      <c r="BP55" s="22" t="e">
        <f ca="1">VLOOKUP($A55,tabCustoUnit[],COLUMN(CUSTO_GLOBAL[[#Headers],[Custos Indiretos]])-2,0)*($G55-$H55)</f>
        <v>#NAME?</v>
      </c>
      <c r="BQ55" s="22" t="e">
        <f ca="1">VLOOKUP($A55,tabCustoUnit[],COLUMN(CUSTO_GLOBAL[[#Headers],[Lucro]])-2,0)*($G55-$H55)</f>
        <v>#NAME?</v>
      </c>
      <c r="BR55" s="26">
        <f>VLOOKUP($A55,tabCustoUnit[],COLUMN(CUSTO_GLOBAL[[#Headers],[COFINS]])-2,0)</f>
        <v>8.8629737609329504E-2</v>
      </c>
      <c r="BS55" s="26">
        <f>VLOOKUP($A55,tabCustoUnit[],COLUMN(CUSTO_GLOBAL[[#Headers],[PIS]])-2,0)</f>
        <v>1.9241982507288629E-2</v>
      </c>
      <c r="BT55" s="28">
        <f>VLOOKUP($A55,tabCustoUnit[],COLUMN(CUSTO_GLOBAL[[#Headers],[ISS]])-2,0)</f>
        <v>0.05</v>
      </c>
      <c r="BU55" s="26">
        <f>VLOOKUP($A55,tabCustoUnit[],COLUMN(CUSTO_GLOBAL[[#Headers],[ISS (Conversão Alíquota s/ fatura)]])-2,0)</f>
        <v>5.8309037900874633E-2</v>
      </c>
      <c r="BV55" s="26">
        <f>VLOOKUP($A55,tabCustoUnit[],COLUMN(CUSTO_GLOBAL[[#Headers],[Resumo de Alíquotas (PIS+CONFINS+ISS)]])-2,0)</f>
        <v>0.14250000000000002</v>
      </c>
      <c r="BW55" s="138">
        <f>VLOOKUP($A55,tabCustoUnit[],COLUMN(CUSTO_GLOBAL[[#Headers],[PIS + COFINS + ISS (Total Conversão  Alíquota s/ Fatura)]])-2,0)</f>
        <v>0.16618075801749277</v>
      </c>
      <c r="BX55" s="22" t="e">
        <f ca="1">VLOOKUP($A55,tabCustoUnit[],COLUMN(CUSTO_GLOBAL[[#Headers],[Valor dos Tributos (ISS, PIS, CONFINS)]])-2,0)*($G55-$H55)</f>
        <v>#NAME?</v>
      </c>
      <c r="BY55" s="22" t="e">
        <f ca="1">VLOOKUP($A55,tabCustoUnit[],COLUMN(CUSTO_GLOBAL[[#Headers],[MÓDULO 6 – CUSTOS INDIRETOS, TRIBUTOS E LUCRO]])-2,0)*($G55-$H55)</f>
        <v>#NAME?</v>
      </c>
      <c r="BZ55" s="22" t="e">
        <f ca="1">VLOOKUP($A55,tabCustoUnit[],COLUMN(CUSTO_GLOBAL[[#Headers],[CUSTO TOTAL MENSAL]])-2,0)*($G55-$H55)</f>
        <v>#NAME?</v>
      </c>
      <c r="CA55" s="22" t="e">
        <f ca="1">CUSTO_GLOBAL[[#This Row],[CUSTO TOTAL MENSAL]]*12</f>
        <v>#NAME?</v>
      </c>
      <c r="CB55" s="24">
        <f>VLOOKUP($A55,tabCustoUnit[],COLUMN(CUSTO_GLOBAL[[#Headers],[ANO DA CCT]])-2,0)</f>
        <v>45658</v>
      </c>
      <c r="CC55" s="25" t="str">
        <f>VLOOKUP($A55,tabCustoUnit[],COLUMN(CUSTO_GLOBAL[[#Headers],[Nº DE PEDIDO DA CCT]])-2,0)</f>
        <v>-</v>
      </c>
      <c r="CD55" s="25" t="str">
        <f>VLOOKUP($A55,tabCustoUnit[],COLUMN(CUSTO_GLOBAL[[#Headers],[TERMO ADITIVO ALTERAÇÃO DA CCT]])-2,0)</f>
        <v>-</v>
      </c>
    </row>
    <row r="56" spans="1:82">
      <c r="A56" s="20" t="s">
        <v>1433</v>
      </c>
      <c r="B56" t="s">
        <v>1103</v>
      </c>
      <c r="C56" t="s">
        <v>259</v>
      </c>
      <c r="D56" t="s">
        <v>1035</v>
      </c>
      <c r="E56" s="20" t="s">
        <v>1090</v>
      </c>
      <c r="F56" s="20" t="s">
        <v>120</v>
      </c>
      <c r="G56" s="20">
        <v>13</v>
      </c>
      <c r="H56" s="20">
        <v>0</v>
      </c>
      <c r="I56" s="21">
        <f>VLOOKUP($A56,tabCustoUnit[],COLUMN(CUSTO_GLOBAL[[#Headers],[Salário Base]])-2,0)*($G56-$H56)</f>
        <v>47759.441599999998</v>
      </c>
      <c r="J56" s="21">
        <f>VLOOKUP($A56,tabCustoUnit[],COLUMN(CUSTO_GLOBAL[[#Headers],[Adicional Periculosidade]])-2,0)*($G56-$H56)</f>
        <v>0</v>
      </c>
      <c r="K56" s="21">
        <f>VLOOKUP($A56,tabCustoUnit[],COLUMN(CUSTO_GLOBAL[[#Headers],[Adicional Insalubridade]])-2,0)*($G56-$H56)</f>
        <v>3946.8</v>
      </c>
      <c r="L56" s="21">
        <f>VLOOKUP($A56,tabCustoUnit[],COLUMN(CUSTO_GLOBAL[[#Headers],[Adicional Noturno]])-2,0)*($G56-$H56)</f>
        <v>0</v>
      </c>
      <c r="M56" s="21">
        <f>VLOOKUP($A56,tabCustoUnit[],COLUMN(CUSTO_GLOBAL[[#Headers],[Adicional Motorista II (Gratificação)]])-2,0)*($G56-$H56)</f>
        <v>0</v>
      </c>
      <c r="N56" s="21">
        <f>VLOOKUP($A56,tabCustoUnit[],COLUMN(CUSTO_GLOBAL[[#Headers],[Adicional de Sobreaviso]])-2,0)*($G56-$H56)</f>
        <v>0</v>
      </c>
      <c r="O56" s="21">
        <f>VLOOKUP($A56,tabCustoUnit[],COLUMN(CUSTO_GLOBAL[[#Headers],[Horas Extras TI]])-2,0)*($G56-$H56)</f>
        <v>0</v>
      </c>
      <c r="P56" s="21">
        <f>VLOOKUP($A56,tabCustoUnit[],COLUMN(CUSTO_GLOBAL[[#Headers],[Adicional de Acúmulo de função]])-2,0)*($G56-$H56)</f>
        <v>0</v>
      </c>
      <c r="Q56" s="21">
        <f>VLOOKUP($A56,tabCustoUnit[],COLUMN(CUSTO_GLOBAL[[#Headers],[MODULO 1 - REMUNERAÇÃO ]])-2,0)*($G56-$H56)</f>
        <v>51706.241599999994</v>
      </c>
      <c r="R56" s="21">
        <f>VLOOKUP($A56,tabCustoUnit[],COLUMN(CUSTO_GLOBAL[[#Headers],[INSS]])-2,0)*($G56-$H56)</f>
        <v>10341.248320000001</v>
      </c>
      <c r="S56" s="21">
        <f>VLOOKUP($A56,tabCustoUnit[],COLUMN(CUSTO_GLOBAL[[#Headers],[SESI OU SESC]])-2,0)*($G56-$H56)</f>
        <v>775.59362399999986</v>
      </c>
      <c r="T56" s="21">
        <f>VLOOKUP($A56,tabCustoUnit[],COLUMN(CUSTO_GLOBAL[[#Headers],[SENAI OU SENAC]])-2,0)*($G56-$H56)</f>
        <v>517.06241599999998</v>
      </c>
      <c r="U56" s="21">
        <f>VLOOKUP($A56,tabCustoUnit[],COLUMN(CUSTO_GLOBAL[[#Headers],[INCRA]])-2,0)*($G56-$H56)</f>
        <v>103.4124832</v>
      </c>
      <c r="V56" s="21">
        <f>VLOOKUP($A56,tabCustoUnit[],COLUMN(CUSTO_GLOBAL[[#Headers],[Salário Educação]])-2,0)*($G56-$H56)</f>
        <v>1292.6560400000001</v>
      </c>
      <c r="W56" s="21">
        <f>VLOOKUP($A56,tabCustoUnit[],COLUMN(CUSTO_GLOBAL[[#Headers],[FGTS]])-2,0)*($G56-$H56)</f>
        <v>4136.4993279999999</v>
      </c>
      <c r="X56" s="21">
        <f>VLOOKUP($A56,tabCustoUnit[],COLUMN(CUSTO_GLOBAL[[#Headers],[RAT Ajustado]])-2,0)*($G56-$H56)</f>
        <v>2068.2496639999999</v>
      </c>
      <c r="Y56" s="21">
        <f>VLOOKUP($A56,tabCustoUnit[],COLUMN(CUSTO_GLOBAL[[#Headers],[SEBRAE]])-2,0)*($G56-$H56)</f>
        <v>310.23744959999999</v>
      </c>
      <c r="Z56" s="21">
        <f>VLOOKUP($A56,tabCustoUnit[],COLUMN(CUSTO_GLOBAL[[#Headers],[Submódulo 2.1]])-2,0)*($G56-$H56)</f>
        <v>19544.959324799998</v>
      </c>
      <c r="AA56" s="21">
        <f>VLOOKUP($A56,tabCustoUnit[],COLUMN(CUSTO_GLOBAL[[#Headers],[13º salário (titular)]])-2,0)*($G56-$H56)</f>
        <v>4308.8534666666656</v>
      </c>
      <c r="AB56" s="21">
        <f>VLOOKUP($A56,tabCustoUnit[],COLUMN(CUSTO_GLOBAL[[#Headers],[Férias e Adicional de Férias (titular)]])-2,0)*($G56-$H56)</f>
        <v>5745.1379555555541</v>
      </c>
      <c r="AC56" s="21">
        <f>VLOOKUP($A56,tabCustoUnit[],COLUMN(CUSTO_GLOBAL[[#Headers],[Incidência do Submódulo 2.1 sobre 13º Salário, Férias e Adicional de Férias]])-2,0)*($G56-$H56)</f>
        <v>3800.4087575999993</v>
      </c>
      <c r="AD56" s="21">
        <f>VLOOKUP($A56,tabCustoUnit[],COLUMN(CUSTO_GLOBAL[[#Headers],[Submódulo 2.2]])-2,0)*($G56-$H56)</f>
        <v>13854.40017982222</v>
      </c>
      <c r="AE56" s="22" t="e">
        <f ca="1">VLOOKUP($A56,tabCustoUnit[],COLUMN(CUSTO_GLOBAL[[#Headers],[Vale - Transporte (Descontada parcela do empregado)]])-2,0)*($G56-$H56)</f>
        <v>#NAME?</v>
      </c>
      <c r="AF56" s="22">
        <f>VLOOKUP($A56,tabCustoUnit[],COLUMN(CUSTO_GLOBAL[[#Headers],[Vale - Alimentação (Descontada parcela do empregado)]])-2,0)*($G56-$H56)</f>
        <v>7566</v>
      </c>
      <c r="AG56" s="22">
        <f>VLOOKUP($A56,tabCustoUnit[],COLUMN(CUSTO_GLOBAL[[#Headers],[Cesta Básica]])-2,0)*($G56-$H56)</f>
        <v>0</v>
      </c>
      <c r="AH56" s="22">
        <f>VLOOKUP($A56,tabCustoUnit[],COLUMN(CUSTO_GLOBAL[[#Headers],[PAF]])-2,0)*($G56-$H56)</f>
        <v>1246.7</v>
      </c>
      <c r="AI56" s="22">
        <f>VLOOKUP($A56,tabCustoUnit[],COLUMN(CUSTO_GLOBAL[[#Headers],[PQM]])-2,0)*($G56-$H56)</f>
        <v>0</v>
      </c>
      <c r="AJ56" s="22">
        <v>0</v>
      </c>
      <c r="AK56" s="22">
        <f>VLOOKUP($A56,tabCustoUnit[],COLUMN(CUSTO_GLOBAL[[#Headers],[Seguro de Vida]])-2,0)*($G56-$H56)</f>
        <v>43.68</v>
      </c>
      <c r="AL56" s="22">
        <f>VLOOKUP($A56,tabCustoUnit[],COLUMN(CUSTO_GLOBAL[[#Headers],[Despesas de Viagem]])-2,0)*($G56-$H56)</f>
        <v>2627.04</v>
      </c>
      <c r="AM56" s="22" t="e">
        <f ca="1">VLOOKUP($A56,tabCustoUnit[],COLUMN(CUSTO_GLOBAL[[#Headers],[Submódulo 2.3]])-2,0)*($G56-$H56)</f>
        <v>#NAME?</v>
      </c>
      <c r="AN56" s="22" t="e">
        <f ca="1">VLOOKUP($A56,tabCustoUnit[],COLUMN(CUSTO_GLOBAL[[#Headers],[MÓDULO 2 - Total Encargos e Benefícios mensais e diários]])-2,0)*($G56-$H56)</f>
        <v>#NAME?</v>
      </c>
      <c r="AO56" s="22">
        <f>VLOOKUP($A56,tabCustoUnit[],COLUMN(CUSTO_GLOBAL[[#Headers],[Aviso Prévio Indenizado (API) e Reflexo do Aviso Prévio Indenizado]])-2,0)*($G56-$H56)</f>
        <v>362.55211726820983</v>
      </c>
      <c r="AP56" s="22">
        <f>VLOOKUP($A56,tabCustoUnit[],COLUMN(CUSTO_GLOBAL[[#Headers],[Incidência do FGTS sobre API e Reflexo do API]])-2,0)*($G56-$H56)</f>
        <v>29.004169381456791</v>
      </c>
      <c r="AQ56" s="22">
        <f>VLOOKUP($A56,tabCustoUnit[],COLUMN(CUSTO_GLOBAL[[#Headers],[Multa Rescisória do FGTS sobre o Aviso Prévio Indenizado]])-2,0)*($G56-$H56)</f>
        <v>11.601667752582717</v>
      </c>
      <c r="AR56" s="22">
        <f>VLOOKUP($A56,tabCustoUnit[],COLUMN(CUSTO_GLOBAL[[#Headers],[Aviso Prévio Trabalhado - APT]])-2,0)*($G56-$H56)</f>
        <v>180.97184560000002</v>
      </c>
      <c r="AS56" s="22">
        <f>VLOOKUP($A56,tabCustoUnit[],COLUMN(CUSTO_GLOBAL[[#Headers],[Incidência dos encargos do submódulo 2.1 sobre Aviso Prévio Trabalhado]])-2,0)*($G56-$H56)</f>
        <v>68.407357636800015</v>
      </c>
      <c r="AT56" s="22">
        <f>VLOOKUP($A56,tabCustoUnit[],COLUMN(CUSTO_GLOBAL[[#Headers],[Multa Rescisória do FGTS]])-2,0)*($G56-$H56)</f>
        <v>1581.0619653688887</v>
      </c>
      <c r="AU56" s="22">
        <f>VLOOKUP($A56,tabCustoUnit[],COLUMN(CUSTO_GLOBAL[[#Headers],[Indenização Adicional (Art. 9º da Lei nº 7.238/84)]])-2,0)*($G56-$H56)</f>
        <v>43.088534666666668</v>
      </c>
      <c r="AV56" s="22">
        <f>VLOOKUP($A56,tabCustoUnit[],COLUMN(CUSTO_GLOBAL[[#Headers],[MÓDULO 3 – PROVISÃO PARA RESCISÃO]])-2,0)*($G56-$H56)</f>
        <v>2276.6876576746049</v>
      </c>
      <c r="AW56" s="22">
        <f>VLOOKUP($A56,tabCustoUnit[],COLUMN(CUSTO_GLOBAL[[#Headers],[Ausência por Doença]])-2,0)*($G56-$H56)</f>
        <v>436.63048462222213</v>
      </c>
      <c r="AX56" s="22">
        <f>VLOOKUP($A56,tabCustoUnit[],COLUMN(CUSTO_GLOBAL[[#Headers],[Ausências Legais]])-2,0)*($G56-$H56)</f>
        <v>104.84876768888887</v>
      </c>
      <c r="AY56" s="22">
        <f>VLOOKUP($A56,tabCustoUnit[],COLUMN(CUSTO_GLOBAL[[#Headers],[Licença Paternidade]])-2,0)*($G56-$H56)</f>
        <v>8.8331496066666659</v>
      </c>
      <c r="AZ56" s="22">
        <f>VLOOKUP($A56,tabCustoUnit[],COLUMN(CUSTO_GLOBAL[[#Headers],[Ausência por Acidente de Trabalho]])-2,0)*($G56-$H56)</f>
        <v>10.772133666666667</v>
      </c>
      <c r="BA56" s="22">
        <f>VLOOKUP($A56,tabCustoUnit[],COLUMN(CUSTO_GLOBAL[[#Headers],[Férias, Adicional de Férias e 13º  com empregada em gozo de Licença Maternidade]])-2,0)*($G56-$H56)</f>
        <v>67.026609481481472</v>
      </c>
      <c r="BB56" s="22">
        <f>VLOOKUP($A56,tabCustoUnit[],COLUMN(CUSTO_GLOBAL[[#Headers],[Incidência do Submódulo 2.1 sobre Ausências Legais]])-2,0)*($G56-$H56)</f>
        <v>237.42601283492004</v>
      </c>
      <c r="BC56" s="22">
        <f>VLOOKUP($A56,tabCustoUnit[],COLUMN(CUSTO_GLOBAL[[#Headers],[Submódulo 4.1]])-2,0)*($G56-$H56)</f>
        <v>865.53715790084584</v>
      </c>
      <c r="BD56" s="22">
        <f>VLOOKUP($A56,tabCustoUnit[],COLUMN(CUSTO_GLOBAL[[#Headers],[Intervalo para Repouso ou Alimentação]])-2,0)*($G56-$H56)</f>
        <v>0</v>
      </c>
      <c r="BE56" s="22">
        <f>VLOOKUP($A56,tabCustoUnit[],COLUMN(CUSTO_GLOBAL[[#Headers],[Submódulo 4.2]])-2,0)*($G56-$H56)</f>
        <v>0</v>
      </c>
      <c r="BF56" s="22">
        <f>VLOOKUP($A56,tabCustoUnit[],COLUMN(CUSTO_GLOBAL[[#Headers],[Suspensão Temporária do Contrato de Trabalho]])-2,0)*($G56-$H56)</f>
        <v>0</v>
      </c>
      <c r="BG56" s="22">
        <f>VLOOKUP($A56,tabCustoUnit[],COLUMN(CUSTO_GLOBAL[[#Headers],[Submódulo 4.3]])-2,0)*($G56-$H56)</f>
        <v>0</v>
      </c>
      <c r="BH56" s="22">
        <f>VLOOKUP($A56,tabCustoUnit[],COLUMN(CUSTO_GLOBAL[[#Headers],[MÓDULO 4 – CUSTO DE REPOSIÇÃO DO PROFISSIONAL AUSENTE]])-2,0)*($G56-$H56)</f>
        <v>865.53715790084584</v>
      </c>
      <c r="BI56" s="22">
        <f>VLOOKUP($A56,tabCustoUnit[],COLUMN(CUSTO_GLOBAL[[#Headers],[Uniformes e EPIs]])-2,0)*($G56-$H56)</f>
        <v>5247.7318797914768</v>
      </c>
      <c r="BJ56" s="22">
        <f>VLOOKUP($A56,tabCustoUnit[],COLUMN(CUSTO_GLOBAL[[#Headers],[Materiais de Consumo]])-2,0)*($G56-$H56)</f>
        <v>0</v>
      </c>
      <c r="BK56" s="22">
        <f>VLOOKUP($A56,tabCustoUnit[],COLUMN(CUSTO_GLOBAL[[#Headers],[Máquinas e Equipamentos (depreciação)]])-2,0)*($G56-$H56)</f>
        <v>0</v>
      </c>
      <c r="BL56" s="22">
        <f>VLOOKUP($A56,tabCustoUnit[],COLUMN(CUSTO_GLOBAL[[#Headers],[Produtos de Limpeza e Materiais de Higiene Pessoal]])-2,0)*($G56-$H56)</f>
        <v>0</v>
      </c>
      <c r="BM56" s="22">
        <f>VLOOKUP($A56,tabCustoUnit[],COLUMN(CUSTO_GLOBAL[[#Headers],[Outros (especificar)]])-2,0)*($G56-$H56)</f>
        <v>0</v>
      </c>
      <c r="BN56" s="22">
        <f>VLOOKUP($A56,tabCustoUnit[],COLUMN(CUSTO_GLOBAL[[#Headers],[MÓDULO 5 – INSUMOS DIVERSOS]])-2,0)*($G56-$H56)</f>
        <v>5247.7318797914768</v>
      </c>
      <c r="BO56" s="22" t="e">
        <f ca="1">VLOOKUP($A56,tabCustoUnit[],COLUMN(CUSTO_GLOBAL[[#Headers],[TOTAL MÓDULOS 1+2+3+4+5]])-2,0)*($G56-$H56)</f>
        <v>#NAME?</v>
      </c>
      <c r="BP56" s="22" t="e">
        <f ca="1">VLOOKUP($A56,tabCustoUnit[],COLUMN(CUSTO_GLOBAL[[#Headers],[Custos Indiretos]])-2,0)*($G56-$H56)</f>
        <v>#NAME?</v>
      </c>
      <c r="BQ56" s="22" t="e">
        <f ca="1">VLOOKUP($A56,tabCustoUnit[],COLUMN(CUSTO_GLOBAL[[#Headers],[Lucro]])-2,0)*($G56-$H56)</f>
        <v>#NAME?</v>
      </c>
      <c r="BR56" s="26">
        <f>VLOOKUP($A56,tabCustoUnit[],COLUMN(CUSTO_GLOBAL[[#Headers],[COFINS]])-2,0)</f>
        <v>8.8629737609329504E-2</v>
      </c>
      <c r="BS56" s="26">
        <f>VLOOKUP($A56,tabCustoUnit[],COLUMN(CUSTO_GLOBAL[[#Headers],[PIS]])-2,0)</f>
        <v>1.9241982507288629E-2</v>
      </c>
      <c r="BT56" s="28">
        <f>VLOOKUP($A56,tabCustoUnit[],COLUMN(CUSTO_GLOBAL[[#Headers],[ISS]])-2,0)</f>
        <v>0.05</v>
      </c>
      <c r="BU56" s="26">
        <f>VLOOKUP($A56,tabCustoUnit[],COLUMN(CUSTO_GLOBAL[[#Headers],[ISS (Conversão Alíquota s/ fatura)]])-2,0)</f>
        <v>5.8309037900874633E-2</v>
      </c>
      <c r="BV56" s="26">
        <f>VLOOKUP($A56,tabCustoUnit[],COLUMN(CUSTO_GLOBAL[[#Headers],[Resumo de Alíquotas (PIS+CONFINS+ISS)]])-2,0)</f>
        <v>0.14250000000000002</v>
      </c>
      <c r="BW56" s="138">
        <f>VLOOKUP($A56,tabCustoUnit[],COLUMN(CUSTO_GLOBAL[[#Headers],[PIS + COFINS + ISS (Total Conversão  Alíquota s/ Fatura)]])-2,0)</f>
        <v>0.16618075801749277</v>
      </c>
      <c r="BX56" s="22" t="e">
        <f ca="1">VLOOKUP($A56,tabCustoUnit[],COLUMN(CUSTO_GLOBAL[[#Headers],[Valor dos Tributos (ISS, PIS, CONFINS)]])-2,0)*($G56-$H56)</f>
        <v>#NAME?</v>
      </c>
      <c r="BY56" s="22" t="e">
        <f ca="1">VLOOKUP($A56,tabCustoUnit[],COLUMN(CUSTO_GLOBAL[[#Headers],[MÓDULO 6 – CUSTOS INDIRETOS, TRIBUTOS E LUCRO]])-2,0)*($G56-$H56)</f>
        <v>#NAME?</v>
      </c>
      <c r="BZ56" s="22" t="e">
        <f ca="1">VLOOKUP($A56,tabCustoUnit[],COLUMN(CUSTO_GLOBAL[[#Headers],[CUSTO TOTAL MENSAL]])-2,0)*($G56-$H56)</f>
        <v>#NAME?</v>
      </c>
      <c r="CA56" s="22" t="e">
        <f ca="1">CUSTO_GLOBAL[[#This Row],[CUSTO TOTAL MENSAL]]*12</f>
        <v>#NAME?</v>
      </c>
      <c r="CB56" s="24">
        <f>VLOOKUP($A56,tabCustoUnit[],COLUMN(CUSTO_GLOBAL[[#Headers],[ANO DA CCT]])-2,0)</f>
        <v>45658</v>
      </c>
      <c r="CC56" s="25" t="str">
        <f>VLOOKUP($A56,tabCustoUnit[],COLUMN(CUSTO_GLOBAL[[#Headers],[Nº DE PEDIDO DA CCT]])-2,0)</f>
        <v>-</v>
      </c>
      <c r="CD56" s="25" t="str">
        <f>VLOOKUP($A56,tabCustoUnit[],COLUMN(CUSTO_GLOBAL[[#Headers],[TERMO ADITIVO ALTERAÇÃO DA CCT]])-2,0)</f>
        <v>-</v>
      </c>
    </row>
    <row r="57" spans="1:82">
      <c r="A57" s="20" t="s">
        <v>1434</v>
      </c>
      <c r="B57" t="s">
        <v>1103</v>
      </c>
      <c r="C57" t="s">
        <v>264</v>
      </c>
      <c r="D57" t="s">
        <v>977</v>
      </c>
      <c r="E57" s="20" t="s">
        <v>1090</v>
      </c>
      <c r="F57" s="20" t="s">
        <v>120</v>
      </c>
      <c r="G57" s="20">
        <v>2</v>
      </c>
      <c r="H57" s="20">
        <v>0</v>
      </c>
      <c r="I57" s="21">
        <f>VLOOKUP($A57,tabCustoUnit[],COLUMN(CUSTO_GLOBAL[[#Headers],[Salário Base]])-2,0)*($G57-$H57)</f>
        <v>9116.1419999999998</v>
      </c>
      <c r="J57" s="21">
        <f>VLOOKUP($A57,tabCustoUnit[],COLUMN(CUSTO_GLOBAL[[#Headers],[Adicional Periculosidade]])-2,0)*($G57-$H57)</f>
        <v>0</v>
      </c>
      <c r="K57" s="21">
        <f>VLOOKUP($A57,tabCustoUnit[],COLUMN(CUSTO_GLOBAL[[#Headers],[Adicional Insalubridade]])-2,0)*($G57-$H57)</f>
        <v>0</v>
      </c>
      <c r="L57" s="21">
        <f>VLOOKUP($A57,tabCustoUnit[],COLUMN(CUSTO_GLOBAL[[#Headers],[Adicional Noturno]])-2,0)*($G57-$H57)</f>
        <v>0</v>
      </c>
      <c r="M57" s="21">
        <f>VLOOKUP($A57,tabCustoUnit[],COLUMN(CUSTO_GLOBAL[[#Headers],[Adicional Motorista II (Gratificação)]])-2,0)*($G57-$H57)</f>
        <v>0</v>
      </c>
      <c r="N57" s="21">
        <f>VLOOKUP($A57,tabCustoUnit[],COLUMN(CUSTO_GLOBAL[[#Headers],[Adicional de Sobreaviso]])-2,0)*($G57-$H57)</f>
        <v>0</v>
      </c>
      <c r="O57" s="21">
        <f>VLOOKUP($A57,tabCustoUnit[],COLUMN(CUSTO_GLOBAL[[#Headers],[Horas Extras TI]])-2,0)*($G57-$H57)</f>
        <v>0</v>
      </c>
      <c r="P57" s="21">
        <f>VLOOKUP($A57,tabCustoUnit[],COLUMN(CUSTO_GLOBAL[[#Headers],[Adicional de Acúmulo de função]])-2,0)*($G57-$H57)</f>
        <v>0</v>
      </c>
      <c r="Q57" s="21">
        <f>VLOOKUP($A57,tabCustoUnit[],COLUMN(CUSTO_GLOBAL[[#Headers],[MODULO 1 - REMUNERAÇÃO ]])-2,0)*($G57-$H57)</f>
        <v>9116.1419999999998</v>
      </c>
      <c r="R57" s="21">
        <f>VLOOKUP($A57,tabCustoUnit[],COLUMN(CUSTO_GLOBAL[[#Headers],[INSS]])-2,0)*($G57-$H57)</f>
        <v>1823.2284</v>
      </c>
      <c r="S57" s="21">
        <f>VLOOKUP($A57,tabCustoUnit[],COLUMN(CUSTO_GLOBAL[[#Headers],[SESI OU SESC]])-2,0)*($G57-$H57)</f>
        <v>136.74213</v>
      </c>
      <c r="T57" s="21">
        <f>VLOOKUP($A57,tabCustoUnit[],COLUMN(CUSTO_GLOBAL[[#Headers],[SENAI OU SENAC]])-2,0)*($G57-$H57)</f>
        <v>91.161420000000007</v>
      </c>
      <c r="U57" s="21">
        <f>VLOOKUP($A57,tabCustoUnit[],COLUMN(CUSTO_GLOBAL[[#Headers],[INCRA]])-2,0)*($G57-$H57)</f>
        <v>18.232284</v>
      </c>
      <c r="V57" s="21">
        <f>VLOOKUP($A57,tabCustoUnit[],COLUMN(CUSTO_GLOBAL[[#Headers],[Salário Educação]])-2,0)*($G57-$H57)</f>
        <v>227.90355</v>
      </c>
      <c r="W57" s="21">
        <f>VLOOKUP($A57,tabCustoUnit[],COLUMN(CUSTO_GLOBAL[[#Headers],[FGTS]])-2,0)*($G57-$H57)</f>
        <v>729.29136000000005</v>
      </c>
      <c r="X57" s="21">
        <f>VLOOKUP($A57,tabCustoUnit[],COLUMN(CUSTO_GLOBAL[[#Headers],[RAT Ajustado]])-2,0)*($G57-$H57)</f>
        <v>364.64568000000003</v>
      </c>
      <c r="Y57" s="21">
        <f>VLOOKUP($A57,tabCustoUnit[],COLUMN(CUSTO_GLOBAL[[#Headers],[SEBRAE]])-2,0)*($G57-$H57)</f>
        <v>54.696852</v>
      </c>
      <c r="Z57" s="21">
        <f>VLOOKUP($A57,tabCustoUnit[],COLUMN(CUSTO_GLOBAL[[#Headers],[Submódulo 2.1]])-2,0)*($G57-$H57)</f>
        <v>3445.9016760000004</v>
      </c>
      <c r="AA57" s="21">
        <f>VLOOKUP($A57,tabCustoUnit[],COLUMN(CUSTO_GLOBAL[[#Headers],[13º salário (titular)]])-2,0)*($G57-$H57)</f>
        <v>759.67849999999999</v>
      </c>
      <c r="AB57" s="21">
        <f>VLOOKUP($A57,tabCustoUnit[],COLUMN(CUSTO_GLOBAL[[#Headers],[Férias e Adicional de Férias (titular)]])-2,0)*($G57-$H57)</f>
        <v>1012.9046666666666</v>
      </c>
      <c r="AC57" s="21">
        <f>VLOOKUP($A57,tabCustoUnit[],COLUMN(CUSTO_GLOBAL[[#Headers],[Incidência do Submódulo 2.1 sobre 13º Salário, Férias e Adicional de Férias]])-2,0)*($G57-$H57)</f>
        <v>670.03643700000009</v>
      </c>
      <c r="AD57" s="21">
        <f>VLOOKUP($A57,tabCustoUnit[],COLUMN(CUSTO_GLOBAL[[#Headers],[Submódulo 2.2]])-2,0)*($G57-$H57)</f>
        <v>2442.6196036666665</v>
      </c>
      <c r="AE57" s="22" t="e">
        <f ca="1">VLOOKUP($A57,tabCustoUnit[],COLUMN(CUSTO_GLOBAL[[#Headers],[Vale - Transporte (Descontada parcela do empregado)]])-2,0)*($G57-$H57)</f>
        <v>#NAME?</v>
      </c>
      <c r="AF57" s="22">
        <f>VLOOKUP($A57,tabCustoUnit[],COLUMN(CUSTO_GLOBAL[[#Headers],[Vale - Alimentação (Descontada parcela do empregado)]])-2,0)*($G57-$H57)</f>
        <v>1156.8</v>
      </c>
      <c r="AG57" s="22">
        <f>VLOOKUP($A57,tabCustoUnit[],COLUMN(CUSTO_GLOBAL[[#Headers],[Cesta Básica]])-2,0)*($G57-$H57)</f>
        <v>0</v>
      </c>
      <c r="AH57" s="22">
        <f>VLOOKUP($A57,tabCustoUnit[],COLUMN(CUSTO_GLOBAL[[#Headers],[PAF]])-2,0)*($G57-$H57)</f>
        <v>36.700000000000003</v>
      </c>
      <c r="AI57" s="22">
        <f>VLOOKUP($A57,tabCustoUnit[],COLUMN(CUSTO_GLOBAL[[#Headers],[PQM]])-2,0)*($G57-$H57)</f>
        <v>0</v>
      </c>
      <c r="AJ57" s="22">
        <v>0</v>
      </c>
      <c r="AK57" s="22">
        <f>VLOOKUP($A57,tabCustoUnit[],COLUMN(CUSTO_GLOBAL[[#Headers],[Seguro de Vida]])-2,0)*($G57-$H57)</f>
        <v>6.72</v>
      </c>
      <c r="AL57" s="22">
        <f>VLOOKUP($A57,tabCustoUnit[],COLUMN(CUSTO_GLOBAL[[#Headers],[Despesas de Viagem]])-2,0)*($G57-$H57)</f>
        <v>1324.84</v>
      </c>
      <c r="AM57" s="22" t="e">
        <f ca="1">VLOOKUP($A57,tabCustoUnit[],COLUMN(CUSTO_GLOBAL[[#Headers],[Submódulo 2.3]])-2,0)*($G57-$H57)</f>
        <v>#NAME?</v>
      </c>
      <c r="AN57" s="22" t="e">
        <f ca="1">VLOOKUP($A57,tabCustoUnit[],COLUMN(CUSTO_GLOBAL[[#Headers],[MÓDULO 2 - Total Encargos e Benefícios mensais e diários]])-2,0)*($G57-$H57)</f>
        <v>#NAME?</v>
      </c>
      <c r="AO57" s="22">
        <f>VLOOKUP($A57,tabCustoUnit[],COLUMN(CUSTO_GLOBAL[[#Headers],[Aviso Prévio Indenizado (API) e Reflexo do Aviso Prévio Indenizado]])-2,0)*($G57-$H57)</f>
        <v>63.920263417824074</v>
      </c>
      <c r="AP57" s="22">
        <f>VLOOKUP($A57,tabCustoUnit[],COLUMN(CUSTO_GLOBAL[[#Headers],[Incidência do FGTS sobre API e Reflexo do API]])-2,0)*($G57-$H57)</f>
        <v>5.113621073425926</v>
      </c>
      <c r="AQ57" s="22">
        <f>VLOOKUP($A57,tabCustoUnit[],COLUMN(CUSTO_GLOBAL[[#Headers],[Multa Rescisória do FGTS sobre o Aviso Prévio Indenizado]])-2,0)*($G57-$H57)</f>
        <v>2.0454484293703707</v>
      </c>
      <c r="AR57" s="22">
        <f>VLOOKUP($A57,tabCustoUnit[],COLUMN(CUSTO_GLOBAL[[#Headers],[Aviso Prévio Trabalhado - APT]])-2,0)*($G57-$H57)</f>
        <v>31.906497000000005</v>
      </c>
      <c r="AS57" s="22">
        <f>VLOOKUP($A57,tabCustoUnit[],COLUMN(CUSTO_GLOBAL[[#Headers],[Incidência dos encargos do submódulo 2.1 sobre Aviso Prévio Trabalhado]])-2,0)*($G57-$H57)</f>
        <v>12.060655866000003</v>
      </c>
      <c r="AT57" s="22">
        <f>VLOOKUP($A57,tabCustoUnit[],COLUMN(CUSTO_GLOBAL[[#Headers],[Multa Rescisória do FGTS]])-2,0)*($G57-$H57)</f>
        <v>278.7513642666666</v>
      </c>
      <c r="AU57" s="22">
        <f>VLOOKUP($A57,tabCustoUnit[],COLUMN(CUSTO_GLOBAL[[#Headers],[Indenização Adicional (Art. 9º da Lei nº 7.238/84)]])-2,0)*($G57-$H57)</f>
        <v>7.5967850000000006</v>
      </c>
      <c r="AV57" s="22">
        <f>VLOOKUP($A57,tabCustoUnit[],COLUMN(CUSTO_GLOBAL[[#Headers],[MÓDULO 3 – PROVISÃO PARA RESCISÃO]])-2,0)*($G57-$H57)</f>
        <v>401.394635053287</v>
      </c>
      <c r="AW57" s="22">
        <f>VLOOKUP($A57,tabCustoUnit[],COLUMN(CUSTO_GLOBAL[[#Headers],[Ausência por Doença]])-2,0)*($G57-$H57)</f>
        <v>76.980754666666655</v>
      </c>
      <c r="AX57" s="22">
        <f>VLOOKUP($A57,tabCustoUnit[],COLUMN(CUSTO_GLOBAL[[#Headers],[Ausências Legais]])-2,0)*($G57-$H57)</f>
        <v>18.485510166666664</v>
      </c>
      <c r="AY57" s="22">
        <f>VLOOKUP($A57,tabCustoUnit[],COLUMN(CUSTO_GLOBAL[[#Headers],[Licença Paternidade]])-2,0)*($G57-$H57)</f>
        <v>1.5573409249999999</v>
      </c>
      <c r="AZ57" s="22">
        <f>VLOOKUP($A57,tabCustoUnit[],COLUMN(CUSTO_GLOBAL[[#Headers],[Ausência por Acidente de Trabalho]])-2,0)*($G57-$H57)</f>
        <v>1.8991962500000001</v>
      </c>
      <c r="BA57" s="22">
        <f>VLOOKUP($A57,tabCustoUnit[],COLUMN(CUSTO_GLOBAL[[#Headers],[Férias, Adicional de Férias e 13º  com empregada em gozo de Licença Maternidade]])-2,0)*($G57-$H57)</f>
        <v>11.817221111111111</v>
      </c>
      <c r="BB57" s="22">
        <f>VLOOKUP($A57,tabCustoUnit[],COLUMN(CUSTO_GLOBAL[[#Headers],[Incidência do Submódulo 2.1 sobre Ausências Legais]])-2,0)*($G57-$H57)</f>
        <v>41.859728739150007</v>
      </c>
      <c r="BC57" s="22">
        <f>VLOOKUP($A57,tabCustoUnit[],COLUMN(CUSTO_GLOBAL[[#Headers],[Submódulo 4.1]])-2,0)*($G57-$H57)</f>
        <v>152.59975185859446</v>
      </c>
      <c r="BD57" s="22">
        <f>VLOOKUP($A57,tabCustoUnit[],COLUMN(CUSTO_GLOBAL[[#Headers],[Intervalo para Repouso ou Alimentação]])-2,0)*($G57-$H57)</f>
        <v>1009.2871487518717</v>
      </c>
      <c r="BE57" s="22">
        <f>VLOOKUP($A57,tabCustoUnit[],COLUMN(CUSTO_GLOBAL[[#Headers],[Submódulo 4.2]])-2,0)*($G57-$H57)</f>
        <v>1009.2871487518717</v>
      </c>
      <c r="BF57" s="22">
        <f>VLOOKUP($A57,tabCustoUnit[],COLUMN(CUSTO_GLOBAL[[#Headers],[Suspensão Temporária do Contrato de Trabalho]])-2,0)*($G57-$H57)</f>
        <v>0</v>
      </c>
      <c r="BG57" s="22">
        <f>VLOOKUP($A57,tabCustoUnit[],COLUMN(CUSTO_GLOBAL[[#Headers],[Submódulo 4.3]])-2,0)*($G57-$H57)</f>
        <v>0</v>
      </c>
      <c r="BH57" s="22">
        <f>VLOOKUP($A57,tabCustoUnit[],COLUMN(CUSTO_GLOBAL[[#Headers],[MÓDULO 4 – CUSTO DE REPOSIÇÃO DO PROFISSIONAL AUSENTE]])-2,0)*($G57-$H57)</f>
        <v>1161.886900610466</v>
      </c>
      <c r="BI57" s="22">
        <f>VLOOKUP($A57,tabCustoUnit[],COLUMN(CUSTO_GLOBAL[[#Headers],[Uniformes e EPIs]])-2,0)*($G57-$H57)</f>
        <v>184.2015275431414</v>
      </c>
      <c r="BJ57" s="22">
        <f>VLOOKUP($A57,tabCustoUnit[],COLUMN(CUSTO_GLOBAL[[#Headers],[Materiais de Consumo]])-2,0)*($G57-$H57)</f>
        <v>0</v>
      </c>
      <c r="BK57" s="22">
        <f>VLOOKUP($A57,tabCustoUnit[],COLUMN(CUSTO_GLOBAL[[#Headers],[Máquinas e Equipamentos (depreciação)]])-2,0)*($G57-$H57)</f>
        <v>0</v>
      </c>
      <c r="BL57" s="22">
        <f>VLOOKUP($A57,tabCustoUnit[],COLUMN(CUSTO_GLOBAL[[#Headers],[Produtos de Limpeza e Materiais de Higiene Pessoal]])-2,0)*($G57-$H57)</f>
        <v>0</v>
      </c>
      <c r="BM57" s="22">
        <f>VLOOKUP($A57,tabCustoUnit[],COLUMN(CUSTO_GLOBAL[[#Headers],[Outros (especificar)]])-2,0)*($G57-$H57)</f>
        <v>0</v>
      </c>
      <c r="BN57" s="22">
        <f>VLOOKUP($A57,tabCustoUnit[],COLUMN(CUSTO_GLOBAL[[#Headers],[MÓDULO 5 – INSUMOS DIVERSOS]])-2,0)*($G57-$H57)</f>
        <v>184.2015275431414</v>
      </c>
      <c r="BO57" s="22" t="e">
        <f ca="1">VLOOKUP($A57,tabCustoUnit[],COLUMN(CUSTO_GLOBAL[[#Headers],[TOTAL MÓDULOS 1+2+3+4+5]])-2,0)*($G57-$H57)</f>
        <v>#NAME?</v>
      </c>
      <c r="BP57" s="22" t="e">
        <f ca="1">VLOOKUP($A57,tabCustoUnit[],COLUMN(CUSTO_GLOBAL[[#Headers],[Custos Indiretos]])-2,0)*($G57-$H57)</f>
        <v>#NAME?</v>
      </c>
      <c r="BQ57" s="22" t="e">
        <f ca="1">VLOOKUP($A57,tabCustoUnit[],COLUMN(CUSTO_GLOBAL[[#Headers],[Lucro]])-2,0)*($G57-$H57)</f>
        <v>#NAME?</v>
      </c>
      <c r="BR57" s="26">
        <f>VLOOKUP($A57,tabCustoUnit[],COLUMN(CUSTO_GLOBAL[[#Headers],[COFINS]])-2,0)</f>
        <v>8.8629737609329504E-2</v>
      </c>
      <c r="BS57" s="26">
        <f>VLOOKUP($A57,tabCustoUnit[],COLUMN(CUSTO_GLOBAL[[#Headers],[PIS]])-2,0)</f>
        <v>1.9241982507288629E-2</v>
      </c>
      <c r="BT57" s="28">
        <f>VLOOKUP($A57,tabCustoUnit[],COLUMN(CUSTO_GLOBAL[[#Headers],[ISS]])-2,0)</f>
        <v>0.05</v>
      </c>
      <c r="BU57" s="26">
        <f>VLOOKUP($A57,tabCustoUnit[],COLUMN(CUSTO_GLOBAL[[#Headers],[ISS (Conversão Alíquota s/ fatura)]])-2,0)</f>
        <v>5.8309037900874633E-2</v>
      </c>
      <c r="BV57" s="26">
        <f>VLOOKUP($A57,tabCustoUnit[],COLUMN(CUSTO_GLOBAL[[#Headers],[Resumo de Alíquotas (PIS+CONFINS+ISS)]])-2,0)</f>
        <v>0.14250000000000002</v>
      </c>
      <c r="BW57" s="138">
        <f>VLOOKUP($A57,tabCustoUnit[],COLUMN(CUSTO_GLOBAL[[#Headers],[PIS + COFINS + ISS (Total Conversão  Alíquota s/ Fatura)]])-2,0)</f>
        <v>0.16618075801749277</v>
      </c>
      <c r="BX57" s="22" t="e">
        <f ca="1">VLOOKUP($A57,tabCustoUnit[],COLUMN(CUSTO_GLOBAL[[#Headers],[Valor dos Tributos (ISS, PIS, CONFINS)]])-2,0)*($G57-$H57)</f>
        <v>#NAME?</v>
      </c>
      <c r="BY57" s="22" t="e">
        <f ca="1">VLOOKUP($A57,tabCustoUnit[],COLUMN(CUSTO_GLOBAL[[#Headers],[MÓDULO 6 – CUSTOS INDIRETOS, TRIBUTOS E LUCRO]])-2,0)*($G57-$H57)</f>
        <v>#NAME?</v>
      </c>
      <c r="BZ57" s="22" t="e">
        <f ca="1">VLOOKUP($A57,tabCustoUnit[],COLUMN(CUSTO_GLOBAL[[#Headers],[CUSTO TOTAL MENSAL]])-2,0)*($G57-$H57)</f>
        <v>#NAME?</v>
      </c>
      <c r="CA57" s="22" t="e">
        <f ca="1">CUSTO_GLOBAL[[#This Row],[CUSTO TOTAL MENSAL]]*12</f>
        <v>#NAME?</v>
      </c>
      <c r="CB57" s="24">
        <f>VLOOKUP($A57,tabCustoUnit[],COLUMN(CUSTO_GLOBAL[[#Headers],[ANO DA CCT]])-2,0)</f>
        <v>45658</v>
      </c>
      <c r="CC57" s="25" t="str">
        <f>VLOOKUP($A57,tabCustoUnit[],COLUMN(CUSTO_GLOBAL[[#Headers],[Nº DE PEDIDO DA CCT]])-2,0)</f>
        <v>-</v>
      </c>
      <c r="CD57" s="25" t="str">
        <f>VLOOKUP($A57,tabCustoUnit[],COLUMN(CUSTO_GLOBAL[[#Headers],[TERMO ADITIVO ALTERAÇÃO DA CCT]])-2,0)</f>
        <v>-</v>
      </c>
    </row>
    <row r="58" spans="1:82">
      <c r="A58" s="20" t="s">
        <v>1435</v>
      </c>
      <c r="B58" t="s">
        <v>1103</v>
      </c>
      <c r="C58" t="s">
        <v>269</v>
      </c>
      <c r="D58" t="s">
        <v>977</v>
      </c>
      <c r="E58" s="20" t="s">
        <v>1090</v>
      </c>
      <c r="F58" s="20" t="s">
        <v>120</v>
      </c>
      <c r="G58" s="20">
        <v>1</v>
      </c>
      <c r="H58" s="20">
        <v>0</v>
      </c>
      <c r="I58" s="21">
        <f>VLOOKUP($A58,tabCustoUnit[],COLUMN(CUSTO_GLOBAL[[#Headers],[Salário Base]])-2,0)*($G58-$H58)</f>
        <v>3107.7757000000001</v>
      </c>
      <c r="J58" s="21">
        <f>VLOOKUP($A58,tabCustoUnit[],COLUMN(CUSTO_GLOBAL[[#Headers],[Adicional Periculosidade]])-2,0)*($G58-$H58)</f>
        <v>0</v>
      </c>
      <c r="K58" s="21">
        <f>VLOOKUP($A58,tabCustoUnit[],COLUMN(CUSTO_GLOBAL[[#Headers],[Adicional Insalubridade]])-2,0)*($G58-$H58)</f>
        <v>0</v>
      </c>
      <c r="L58" s="21">
        <f>VLOOKUP($A58,tabCustoUnit[],COLUMN(CUSTO_GLOBAL[[#Headers],[Adicional Noturno]])-2,0)*($G58-$H58)</f>
        <v>0</v>
      </c>
      <c r="M58" s="21">
        <f>VLOOKUP($A58,tabCustoUnit[],COLUMN(CUSTO_GLOBAL[[#Headers],[Adicional Motorista II (Gratificação)]])-2,0)*($G58-$H58)</f>
        <v>0</v>
      </c>
      <c r="N58" s="21">
        <f>VLOOKUP($A58,tabCustoUnit[],COLUMN(CUSTO_GLOBAL[[#Headers],[Adicional de Sobreaviso]])-2,0)*($G58-$H58)</f>
        <v>0</v>
      </c>
      <c r="O58" s="21">
        <f>VLOOKUP($A58,tabCustoUnit[],COLUMN(CUSTO_GLOBAL[[#Headers],[Horas Extras TI]])-2,0)*($G58-$H58)</f>
        <v>0</v>
      </c>
      <c r="P58" s="21">
        <f>VLOOKUP($A58,tabCustoUnit[],COLUMN(CUSTO_GLOBAL[[#Headers],[Adicional de Acúmulo de função]])-2,0)*($G58-$H58)</f>
        <v>0</v>
      </c>
      <c r="Q58" s="21">
        <f>VLOOKUP($A58,tabCustoUnit[],COLUMN(CUSTO_GLOBAL[[#Headers],[MODULO 1 - REMUNERAÇÃO ]])-2,0)*($G58-$H58)</f>
        <v>3107.7757000000001</v>
      </c>
      <c r="R58" s="21">
        <f>VLOOKUP($A58,tabCustoUnit[],COLUMN(CUSTO_GLOBAL[[#Headers],[INSS]])-2,0)*($G58-$H58)</f>
        <v>621.55514000000005</v>
      </c>
      <c r="S58" s="21">
        <f>VLOOKUP($A58,tabCustoUnit[],COLUMN(CUSTO_GLOBAL[[#Headers],[SESI OU SESC]])-2,0)*($G58-$H58)</f>
        <v>46.616635500000001</v>
      </c>
      <c r="T58" s="21">
        <f>VLOOKUP($A58,tabCustoUnit[],COLUMN(CUSTO_GLOBAL[[#Headers],[SENAI OU SENAC]])-2,0)*($G58-$H58)</f>
        <v>31.077757000000002</v>
      </c>
      <c r="U58" s="21">
        <f>VLOOKUP($A58,tabCustoUnit[],COLUMN(CUSTO_GLOBAL[[#Headers],[INCRA]])-2,0)*($G58-$H58)</f>
        <v>6.2155514000000007</v>
      </c>
      <c r="V58" s="21">
        <f>VLOOKUP($A58,tabCustoUnit[],COLUMN(CUSTO_GLOBAL[[#Headers],[Salário Educação]])-2,0)*($G58-$H58)</f>
        <v>77.694392500000006</v>
      </c>
      <c r="W58" s="21">
        <f>VLOOKUP($A58,tabCustoUnit[],COLUMN(CUSTO_GLOBAL[[#Headers],[FGTS]])-2,0)*($G58-$H58)</f>
        <v>248.62205600000001</v>
      </c>
      <c r="X58" s="21">
        <f>VLOOKUP($A58,tabCustoUnit[],COLUMN(CUSTO_GLOBAL[[#Headers],[RAT Ajustado]])-2,0)*($G58-$H58)</f>
        <v>124.31102800000001</v>
      </c>
      <c r="Y58" s="21">
        <f>VLOOKUP($A58,tabCustoUnit[],COLUMN(CUSTO_GLOBAL[[#Headers],[SEBRAE]])-2,0)*($G58-$H58)</f>
        <v>18.6466542</v>
      </c>
      <c r="Z58" s="21">
        <f>VLOOKUP($A58,tabCustoUnit[],COLUMN(CUSTO_GLOBAL[[#Headers],[Submódulo 2.1]])-2,0)*($G58-$H58)</f>
        <v>1174.7392146000002</v>
      </c>
      <c r="AA58" s="21">
        <f>VLOOKUP($A58,tabCustoUnit[],COLUMN(CUSTO_GLOBAL[[#Headers],[13º salário (titular)]])-2,0)*($G58-$H58)</f>
        <v>258.98130833333335</v>
      </c>
      <c r="AB58" s="21">
        <f>VLOOKUP($A58,tabCustoUnit[],COLUMN(CUSTO_GLOBAL[[#Headers],[Férias e Adicional de Férias (titular)]])-2,0)*($G58-$H58)</f>
        <v>345.30841111111113</v>
      </c>
      <c r="AC58" s="21">
        <f>VLOOKUP($A58,tabCustoUnit[],COLUMN(CUSTO_GLOBAL[[#Headers],[Incidência do Submódulo 2.1 sobre 13º Salário, Férias e Adicional de Férias]])-2,0)*($G58-$H58)</f>
        <v>228.42151395000005</v>
      </c>
      <c r="AD58" s="21">
        <f>VLOOKUP($A58,tabCustoUnit[],COLUMN(CUSTO_GLOBAL[[#Headers],[Submódulo 2.2]])-2,0)*($G58-$H58)</f>
        <v>832.71123339444455</v>
      </c>
      <c r="AE58" s="22" t="e">
        <f ca="1">VLOOKUP($A58,tabCustoUnit[],COLUMN(CUSTO_GLOBAL[[#Headers],[Vale - Transporte (Descontada parcela do empregado)]])-2,0)*($G58-$H58)</f>
        <v>#NAME?</v>
      </c>
      <c r="AF58" s="22">
        <f>VLOOKUP($A58,tabCustoUnit[],COLUMN(CUSTO_GLOBAL[[#Headers],[Vale - Alimentação (Descontada parcela do empregado)]])-2,0)*($G58-$H58)</f>
        <v>578.4</v>
      </c>
      <c r="AG58" s="22">
        <f>VLOOKUP($A58,tabCustoUnit[],COLUMN(CUSTO_GLOBAL[[#Headers],[Cesta Básica]])-2,0)*($G58-$H58)</f>
        <v>0</v>
      </c>
      <c r="AH58" s="22">
        <f>VLOOKUP($A58,tabCustoUnit[],COLUMN(CUSTO_GLOBAL[[#Headers],[PAF]])-2,0)*($G58-$H58)</f>
        <v>18.350000000000001</v>
      </c>
      <c r="AI58" s="22">
        <f>VLOOKUP($A58,tabCustoUnit[],COLUMN(CUSTO_GLOBAL[[#Headers],[PQM]])-2,0)*($G58-$H58)</f>
        <v>0</v>
      </c>
      <c r="AJ58" s="22">
        <v>0</v>
      </c>
      <c r="AK58" s="22">
        <f>VLOOKUP($A58,tabCustoUnit[],COLUMN(CUSTO_GLOBAL[[#Headers],[Seguro de Vida]])-2,0)*($G58-$H58)</f>
        <v>3.36</v>
      </c>
      <c r="AL58" s="22">
        <f>VLOOKUP($A58,tabCustoUnit[],COLUMN(CUSTO_GLOBAL[[#Headers],[Despesas de Viagem]])-2,0)*($G58-$H58)</f>
        <v>662.42</v>
      </c>
      <c r="AM58" s="22" t="e">
        <f ca="1">VLOOKUP($A58,tabCustoUnit[],COLUMN(CUSTO_GLOBAL[[#Headers],[Submódulo 2.3]])-2,0)*($G58-$H58)</f>
        <v>#NAME?</v>
      </c>
      <c r="AN58" s="22" t="e">
        <f ca="1">VLOOKUP($A58,tabCustoUnit[],COLUMN(CUSTO_GLOBAL[[#Headers],[MÓDULO 2 - Total Encargos e Benefícios mensais e diários]])-2,0)*($G58-$H58)</f>
        <v>#NAME?</v>
      </c>
      <c r="AO58" s="22">
        <f>VLOOKUP($A58,tabCustoUnit[],COLUMN(CUSTO_GLOBAL[[#Headers],[Aviso Prévio Indenizado (API) e Reflexo do Aviso Prévio Indenizado]])-2,0)*($G58-$H58)</f>
        <v>21.790999019926698</v>
      </c>
      <c r="AP58" s="22">
        <f>VLOOKUP($A58,tabCustoUnit[],COLUMN(CUSTO_GLOBAL[[#Headers],[Incidência do FGTS sobre API e Reflexo do API]])-2,0)*($G58-$H58)</f>
        <v>1.7432799215941359</v>
      </c>
      <c r="AQ58" s="22">
        <f>VLOOKUP($A58,tabCustoUnit[],COLUMN(CUSTO_GLOBAL[[#Headers],[Multa Rescisória do FGTS sobre o Aviso Prévio Indenizado]])-2,0)*($G58-$H58)</f>
        <v>0.69731196863765443</v>
      </c>
      <c r="AR58" s="22">
        <f>VLOOKUP($A58,tabCustoUnit[],COLUMN(CUSTO_GLOBAL[[#Headers],[Aviso Prévio Trabalhado - APT]])-2,0)*($G58-$H58)</f>
        <v>10.877214950000003</v>
      </c>
      <c r="AS58" s="22">
        <f>VLOOKUP($A58,tabCustoUnit[],COLUMN(CUSTO_GLOBAL[[#Headers],[Incidência dos encargos do submódulo 2.1 sobre Aviso Prévio Trabalhado]])-2,0)*($G58-$H58)</f>
        <v>4.1115872511000013</v>
      </c>
      <c r="AT58" s="22">
        <f>VLOOKUP($A58,tabCustoUnit[],COLUMN(CUSTO_GLOBAL[[#Headers],[Multa Rescisória do FGTS]])-2,0)*($G58-$H58)</f>
        <v>95.02887473777777</v>
      </c>
      <c r="AU58" s="22">
        <f>VLOOKUP($A58,tabCustoUnit[],COLUMN(CUSTO_GLOBAL[[#Headers],[Indenização Adicional (Art. 9º da Lei nº 7.238/84)]])-2,0)*($G58-$H58)</f>
        <v>2.5898130833333335</v>
      </c>
      <c r="AV58" s="22">
        <f>VLOOKUP($A58,tabCustoUnit[],COLUMN(CUSTO_GLOBAL[[#Headers],[MÓDULO 3 – PROVISÃO PARA RESCISÃO]])-2,0)*($G58-$H58)</f>
        <v>136.83908093236957</v>
      </c>
      <c r="AW58" s="22">
        <f>VLOOKUP($A58,tabCustoUnit[],COLUMN(CUSTO_GLOBAL[[#Headers],[Ausência por Doença]])-2,0)*($G58-$H58)</f>
        <v>26.243439244444442</v>
      </c>
      <c r="AX58" s="22">
        <f>VLOOKUP($A58,tabCustoUnit[],COLUMN(CUSTO_GLOBAL[[#Headers],[Ausências Legais]])-2,0)*($G58-$H58)</f>
        <v>6.3018785027777779</v>
      </c>
      <c r="AY58" s="22">
        <f>VLOOKUP($A58,tabCustoUnit[],COLUMN(CUSTO_GLOBAL[[#Headers],[Licença Paternidade]])-2,0)*($G58-$H58)</f>
        <v>0.53091168208333339</v>
      </c>
      <c r="AZ58" s="22">
        <f>VLOOKUP($A58,tabCustoUnit[],COLUMN(CUSTO_GLOBAL[[#Headers],[Ausência por Acidente de Trabalho]])-2,0)*($G58-$H58)</f>
        <v>0.64745327083333337</v>
      </c>
      <c r="BA58" s="22">
        <f>VLOOKUP($A58,tabCustoUnit[],COLUMN(CUSTO_GLOBAL[[#Headers],[Férias, Adicional de Férias e 13º  com empregada em gozo de Licença Maternidade]])-2,0)*($G58-$H58)</f>
        <v>4.0285981296296294</v>
      </c>
      <c r="BB58" s="22">
        <f>VLOOKUP($A58,tabCustoUnit[],COLUMN(CUSTO_GLOBAL[[#Headers],[Incidência do Submódulo 2.1 sobre Ausências Legais]])-2,0)*($G58-$H58)</f>
        <v>14.270362153652503</v>
      </c>
      <c r="BC58" s="22">
        <f>VLOOKUP($A58,tabCustoUnit[],COLUMN(CUSTO_GLOBAL[[#Headers],[Submódulo 4.1]])-2,0)*($G58-$H58)</f>
        <v>52.022642983421022</v>
      </c>
      <c r="BD58" s="22">
        <f>VLOOKUP($A58,tabCustoUnit[],COLUMN(CUSTO_GLOBAL[[#Headers],[Intervalo para Repouso ou Alimentação]])-2,0)*($G58-$H58)</f>
        <v>0</v>
      </c>
      <c r="BE58" s="22">
        <f>VLOOKUP($A58,tabCustoUnit[],COLUMN(CUSTO_GLOBAL[[#Headers],[Submódulo 4.2]])-2,0)*($G58-$H58)</f>
        <v>0</v>
      </c>
      <c r="BF58" s="22">
        <f>VLOOKUP($A58,tabCustoUnit[],COLUMN(CUSTO_GLOBAL[[#Headers],[Suspensão Temporária do Contrato de Trabalho]])-2,0)*($G58-$H58)</f>
        <v>0</v>
      </c>
      <c r="BG58" s="22">
        <f>VLOOKUP($A58,tabCustoUnit[],COLUMN(CUSTO_GLOBAL[[#Headers],[Submódulo 4.3]])-2,0)*($G58-$H58)</f>
        <v>0</v>
      </c>
      <c r="BH58" s="22">
        <f>VLOOKUP($A58,tabCustoUnit[],COLUMN(CUSTO_GLOBAL[[#Headers],[MÓDULO 4 – CUSTO DE REPOSIÇÃO DO PROFISSIONAL AUSENTE]])-2,0)*($G58-$H58)</f>
        <v>52.022642983421022</v>
      </c>
      <c r="BI58" s="22">
        <f>VLOOKUP($A58,tabCustoUnit[],COLUMN(CUSTO_GLOBAL[[#Headers],[Uniformes e EPIs]])-2,0)*($G58-$H58)</f>
        <v>92.100763771570698</v>
      </c>
      <c r="BJ58" s="22">
        <f>VLOOKUP($A58,tabCustoUnit[],COLUMN(CUSTO_GLOBAL[[#Headers],[Materiais de Consumo]])-2,0)*($G58-$H58)</f>
        <v>0</v>
      </c>
      <c r="BK58" s="22">
        <f>VLOOKUP($A58,tabCustoUnit[],COLUMN(CUSTO_GLOBAL[[#Headers],[Máquinas e Equipamentos (depreciação)]])-2,0)*($G58-$H58)</f>
        <v>0</v>
      </c>
      <c r="BL58" s="22">
        <f>VLOOKUP($A58,tabCustoUnit[],COLUMN(CUSTO_GLOBAL[[#Headers],[Produtos de Limpeza e Materiais de Higiene Pessoal]])-2,0)*($G58-$H58)</f>
        <v>0</v>
      </c>
      <c r="BM58" s="22">
        <f>VLOOKUP($A58,tabCustoUnit[],COLUMN(CUSTO_GLOBAL[[#Headers],[Outros (especificar)]])-2,0)*($G58-$H58)</f>
        <v>0</v>
      </c>
      <c r="BN58" s="22">
        <f>VLOOKUP($A58,tabCustoUnit[],COLUMN(CUSTO_GLOBAL[[#Headers],[MÓDULO 5 – INSUMOS DIVERSOS]])-2,0)*($G58-$H58)</f>
        <v>92.100763771570698</v>
      </c>
      <c r="BO58" s="22" t="e">
        <f ca="1">VLOOKUP($A58,tabCustoUnit[],COLUMN(CUSTO_GLOBAL[[#Headers],[TOTAL MÓDULOS 1+2+3+4+5]])-2,0)*($G58-$H58)</f>
        <v>#NAME?</v>
      </c>
      <c r="BP58" s="22" t="e">
        <f ca="1">VLOOKUP($A58,tabCustoUnit[],COLUMN(CUSTO_GLOBAL[[#Headers],[Custos Indiretos]])-2,0)*($G58-$H58)</f>
        <v>#NAME?</v>
      </c>
      <c r="BQ58" s="22" t="e">
        <f ca="1">VLOOKUP($A58,tabCustoUnit[],COLUMN(CUSTO_GLOBAL[[#Headers],[Lucro]])-2,0)*($G58-$H58)</f>
        <v>#NAME?</v>
      </c>
      <c r="BR58" s="26">
        <f>VLOOKUP($A58,tabCustoUnit[],COLUMN(CUSTO_GLOBAL[[#Headers],[COFINS]])-2,0)</f>
        <v>8.8629737609329504E-2</v>
      </c>
      <c r="BS58" s="26">
        <f>VLOOKUP($A58,tabCustoUnit[],COLUMN(CUSTO_GLOBAL[[#Headers],[PIS]])-2,0)</f>
        <v>1.9241982507288629E-2</v>
      </c>
      <c r="BT58" s="28">
        <f>VLOOKUP($A58,tabCustoUnit[],COLUMN(CUSTO_GLOBAL[[#Headers],[ISS]])-2,0)</f>
        <v>0.05</v>
      </c>
      <c r="BU58" s="26">
        <f>VLOOKUP($A58,tabCustoUnit[],COLUMN(CUSTO_GLOBAL[[#Headers],[ISS (Conversão Alíquota s/ fatura)]])-2,0)</f>
        <v>5.8309037900874633E-2</v>
      </c>
      <c r="BV58" s="26">
        <f>VLOOKUP($A58,tabCustoUnit[],COLUMN(CUSTO_GLOBAL[[#Headers],[Resumo de Alíquotas (PIS+CONFINS+ISS)]])-2,0)</f>
        <v>0.14250000000000002</v>
      </c>
      <c r="BW58" s="138">
        <f>VLOOKUP($A58,tabCustoUnit[],COLUMN(CUSTO_GLOBAL[[#Headers],[PIS + COFINS + ISS (Total Conversão  Alíquota s/ Fatura)]])-2,0)</f>
        <v>0.16618075801749277</v>
      </c>
      <c r="BX58" s="22" t="e">
        <f ca="1">VLOOKUP($A58,tabCustoUnit[],COLUMN(CUSTO_GLOBAL[[#Headers],[Valor dos Tributos (ISS, PIS, CONFINS)]])-2,0)*($G58-$H58)</f>
        <v>#NAME?</v>
      </c>
      <c r="BY58" s="22" t="e">
        <f ca="1">VLOOKUP($A58,tabCustoUnit[],COLUMN(CUSTO_GLOBAL[[#Headers],[MÓDULO 6 – CUSTOS INDIRETOS, TRIBUTOS E LUCRO]])-2,0)*($G58-$H58)</f>
        <v>#NAME?</v>
      </c>
      <c r="BZ58" s="22" t="e">
        <f ca="1">VLOOKUP($A58,tabCustoUnit[],COLUMN(CUSTO_GLOBAL[[#Headers],[CUSTO TOTAL MENSAL]])-2,0)*($G58-$H58)</f>
        <v>#NAME?</v>
      </c>
      <c r="CA58" s="22" t="e">
        <f ca="1">CUSTO_GLOBAL[[#This Row],[CUSTO TOTAL MENSAL]]*12</f>
        <v>#NAME?</v>
      </c>
      <c r="CB58" s="24">
        <f>VLOOKUP($A58,tabCustoUnit[],COLUMN(CUSTO_GLOBAL[[#Headers],[ANO DA CCT]])-2,0)</f>
        <v>45658</v>
      </c>
      <c r="CC58" s="25" t="str">
        <f>VLOOKUP($A58,tabCustoUnit[],COLUMN(CUSTO_GLOBAL[[#Headers],[Nº DE PEDIDO DA CCT]])-2,0)</f>
        <v>-</v>
      </c>
      <c r="CD58" s="25" t="str">
        <f>VLOOKUP($A58,tabCustoUnit[],COLUMN(CUSTO_GLOBAL[[#Headers],[TERMO ADITIVO ALTERAÇÃO DA CCT]])-2,0)</f>
        <v>-</v>
      </c>
    </row>
    <row r="59" spans="1:82">
      <c r="A59" s="20" t="s">
        <v>1436</v>
      </c>
      <c r="B59" t="s">
        <v>1103</v>
      </c>
      <c r="C59" t="s">
        <v>274</v>
      </c>
      <c r="D59" t="s">
        <v>977</v>
      </c>
      <c r="E59" s="20" t="s">
        <v>1090</v>
      </c>
      <c r="F59" s="20" t="s">
        <v>120</v>
      </c>
      <c r="G59" s="20">
        <v>91</v>
      </c>
      <c r="H59" s="20">
        <v>0</v>
      </c>
      <c r="I59" s="21">
        <f>VLOOKUP($A59,tabCustoUnit[],COLUMN(CUSTO_GLOBAL[[#Headers],[Salário Base]])-2,0)*($G59-$H59)</f>
        <v>414784.46100000001</v>
      </c>
      <c r="J59" s="21">
        <f>VLOOKUP($A59,tabCustoUnit[],COLUMN(CUSTO_GLOBAL[[#Headers],[Adicional Periculosidade]])-2,0)*($G59-$H59)</f>
        <v>0</v>
      </c>
      <c r="K59" s="21">
        <f>VLOOKUP($A59,tabCustoUnit[],COLUMN(CUSTO_GLOBAL[[#Headers],[Adicional Insalubridade]])-2,0)*($G59-$H59)</f>
        <v>0</v>
      </c>
      <c r="L59" s="21">
        <f>VLOOKUP($A59,tabCustoUnit[],COLUMN(CUSTO_GLOBAL[[#Headers],[Adicional Noturno]])-2,0)*($G59-$H59)</f>
        <v>0</v>
      </c>
      <c r="M59" s="21">
        <f>VLOOKUP($A59,tabCustoUnit[],COLUMN(CUSTO_GLOBAL[[#Headers],[Adicional Motorista II (Gratificação)]])-2,0)*($G59-$H59)</f>
        <v>0</v>
      </c>
      <c r="N59" s="21">
        <f>VLOOKUP($A59,tabCustoUnit[],COLUMN(CUSTO_GLOBAL[[#Headers],[Adicional de Sobreaviso]])-2,0)*($G59-$H59)</f>
        <v>0</v>
      </c>
      <c r="O59" s="21">
        <f>VLOOKUP($A59,tabCustoUnit[],COLUMN(CUSTO_GLOBAL[[#Headers],[Horas Extras TI]])-2,0)*($G59-$H59)</f>
        <v>0</v>
      </c>
      <c r="P59" s="21">
        <f>VLOOKUP($A59,tabCustoUnit[],COLUMN(CUSTO_GLOBAL[[#Headers],[Adicional de Acúmulo de função]])-2,0)*($G59-$H59)</f>
        <v>0</v>
      </c>
      <c r="Q59" s="21">
        <f>VLOOKUP($A59,tabCustoUnit[],COLUMN(CUSTO_GLOBAL[[#Headers],[MODULO 1 - REMUNERAÇÃO ]])-2,0)*($G59-$H59)</f>
        <v>414784.46100000001</v>
      </c>
      <c r="R59" s="21">
        <f>VLOOKUP($A59,tabCustoUnit[],COLUMN(CUSTO_GLOBAL[[#Headers],[INSS]])-2,0)*($G59-$H59)</f>
        <v>82956.892200000002</v>
      </c>
      <c r="S59" s="21">
        <f>VLOOKUP($A59,tabCustoUnit[],COLUMN(CUSTO_GLOBAL[[#Headers],[SESI OU SESC]])-2,0)*($G59-$H59)</f>
        <v>6221.7669150000002</v>
      </c>
      <c r="T59" s="21">
        <f>VLOOKUP($A59,tabCustoUnit[],COLUMN(CUSTO_GLOBAL[[#Headers],[SENAI OU SENAC]])-2,0)*($G59-$H59)</f>
        <v>4147.8446100000001</v>
      </c>
      <c r="U59" s="21">
        <f>VLOOKUP($A59,tabCustoUnit[],COLUMN(CUSTO_GLOBAL[[#Headers],[INCRA]])-2,0)*($G59-$H59)</f>
        <v>829.56892200000004</v>
      </c>
      <c r="V59" s="21">
        <f>VLOOKUP($A59,tabCustoUnit[],COLUMN(CUSTO_GLOBAL[[#Headers],[Salário Educação]])-2,0)*($G59-$H59)</f>
        <v>10369.611525</v>
      </c>
      <c r="W59" s="21">
        <f>VLOOKUP($A59,tabCustoUnit[],COLUMN(CUSTO_GLOBAL[[#Headers],[FGTS]])-2,0)*($G59-$H59)</f>
        <v>33182.756880000001</v>
      </c>
      <c r="X59" s="21">
        <f>VLOOKUP($A59,tabCustoUnit[],COLUMN(CUSTO_GLOBAL[[#Headers],[RAT Ajustado]])-2,0)*($G59-$H59)</f>
        <v>16591.37844</v>
      </c>
      <c r="Y59" s="21">
        <f>VLOOKUP($A59,tabCustoUnit[],COLUMN(CUSTO_GLOBAL[[#Headers],[SEBRAE]])-2,0)*($G59-$H59)</f>
        <v>2488.7067659999998</v>
      </c>
      <c r="Z59" s="21">
        <f>VLOOKUP($A59,tabCustoUnit[],COLUMN(CUSTO_GLOBAL[[#Headers],[Submódulo 2.1]])-2,0)*($G59-$H59)</f>
        <v>156788.52625800003</v>
      </c>
      <c r="AA59" s="21">
        <f>VLOOKUP($A59,tabCustoUnit[],COLUMN(CUSTO_GLOBAL[[#Headers],[13º salário (titular)]])-2,0)*($G59-$H59)</f>
        <v>34565.371749999998</v>
      </c>
      <c r="AB59" s="21">
        <f>VLOOKUP($A59,tabCustoUnit[],COLUMN(CUSTO_GLOBAL[[#Headers],[Férias e Adicional de Férias (titular)]])-2,0)*($G59-$H59)</f>
        <v>46087.162333333326</v>
      </c>
      <c r="AC59" s="21">
        <f>VLOOKUP($A59,tabCustoUnit[],COLUMN(CUSTO_GLOBAL[[#Headers],[Incidência do Submódulo 2.1 sobre 13º Salário, Férias e Adicional de Férias]])-2,0)*($G59-$H59)</f>
        <v>30486.657883500004</v>
      </c>
      <c r="AD59" s="21">
        <f>VLOOKUP($A59,tabCustoUnit[],COLUMN(CUSTO_GLOBAL[[#Headers],[Submódulo 2.2]])-2,0)*($G59-$H59)</f>
        <v>111139.19196683333</v>
      </c>
      <c r="AE59" s="22" t="e">
        <f ca="1">VLOOKUP($A59,tabCustoUnit[],COLUMN(CUSTO_GLOBAL[[#Headers],[Vale - Transporte (Descontada parcela do empregado)]])-2,0)*($G59-$H59)</f>
        <v>#NAME?</v>
      </c>
      <c r="AF59" s="22">
        <f>VLOOKUP($A59,tabCustoUnit[],COLUMN(CUSTO_GLOBAL[[#Headers],[Vale - Alimentação (Descontada parcela do empregado)]])-2,0)*($G59-$H59)</f>
        <v>52634.400000000001</v>
      </c>
      <c r="AG59" s="22">
        <f>VLOOKUP($A59,tabCustoUnit[],COLUMN(CUSTO_GLOBAL[[#Headers],[Cesta Básica]])-2,0)*($G59-$H59)</f>
        <v>0</v>
      </c>
      <c r="AH59" s="22">
        <f>VLOOKUP($A59,tabCustoUnit[],COLUMN(CUSTO_GLOBAL[[#Headers],[PAF]])-2,0)*($G59-$H59)</f>
        <v>1669.8500000000001</v>
      </c>
      <c r="AI59" s="22">
        <f>VLOOKUP($A59,tabCustoUnit[],COLUMN(CUSTO_GLOBAL[[#Headers],[PQM]])-2,0)*($G59-$H59)</f>
        <v>0</v>
      </c>
      <c r="AJ59" s="22">
        <v>0</v>
      </c>
      <c r="AK59" s="22">
        <f>VLOOKUP($A59,tabCustoUnit[],COLUMN(CUSTO_GLOBAL[[#Headers],[Seguro de Vida]])-2,0)*($G59-$H59)</f>
        <v>305.76</v>
      </c>
      <c r="AL59" s="22">
        <f>VLOOKUP($A59,tabCustoUnit[],COLUMN(CUSTO_GLOBAL[[#Headers],[Despesas de Viagem]])-2,0)*($G59-$H59)</f>
        <v>60280.219999999994</v>
      </c>
      <c r="AM59" s="22" t="e">
        <f ca="1">VLOOKUP($A59,tabCustoUnit[],COLUMN(CUSTO_GLOBAL[[#Headers],[Submódulo 2.3]])-2,0)*($G59-$H59)</f>
        <v>#NAME?</v>
      </c>
      <c r="AN59" s="22" t="e">
        <f ca="1">VLOOKUP($A59,tabCustoUnit[],COLUMN(CUSTO_GLOBAL[[#Headers],[MÓDULO 2 - Total Encargos e Benefícios mensais e diários]])-2,0)*($G59-$H59)</f>
        <v>#NAME?</v>
      </c>
      <c r="AO59" s="22">
        <f>VLOOKUP($A59,tabCustoUnit[],COLUMN(CUSTO_GLOBAL[[#Headers],[Aviso Prévio Indenizado (API) e Reflexo do Aviso Prévio Indenizado]])-2,0)*($G59-$H59)</f>
        <v>2908.3719855109953</v>
      </c>
      <c r="AP59" s="22">
        <f>VLOOKUP($A59,tabCustoUnit[],COLUMN(CUSTO_GLOBAL[[#Headers],[Incidência do FGTS sobre API e Reflexo do API]])-2,0)*($G59-$H59)</f>
        <v>232.66975884087964</v>
      </c>
      <c r="AQ59" s="22">
        <f>VLOOKUP($A59,tabCustoUnit[],COLUMN(CUSTO_GLOBAL[[#Headers],[Multa Rescisória do FGTS sobre o Aviso Prévio Indenizado]])-2,0)*($G59-$H59)</f>
        <v>93.067903536351864</v>
      </c>
      <c r="AR59" s="22">
        <f>VLOOKUP($A59,tabCustoUnit[],COLUMN(CUSTO_GLOBAL[[#Headers],[Aviso Prévio Trabalhado - APT]])-2,0)*($G59-$H59)</f>
        <v>1451.7456135000002</v>
      </c>
      <c r="AS59" s="22">
        <f>VLOOKUP($A59,tabCustoUnit[],COLUMN(CUSTO_GLOBAL[[#Headers],[Incidência dos encargos do submódulo 2.1 sobre Aviso Prévio Trabalhado]])-2,0)*($G59-$H59)</f>
        <v>548.75984190300017</v>
      </c>
      <c r="AT59" s="22">
        <f>VLOOKUP($A59,tabCustoUnit[],COLUMN(CUSTO_GLOBAL[[#Headers],[Multa Rescisória do FGTS]])-2,0)*($G59-$H59)</f>
        <v>12683.18707413333</v>
      </c>
      <c r="AU59" s="22">
        <f>VLOOKUP($A59,tabCustoUnit[],COLUMN(CUSTO_GLOBAL[[#Headers],[Indenização Adicional (Art. 9º da Lei nº 7.238/84)]])-2,0)*($G59-$H59)</f>
        <v>345.65371750000003</v>
      </c>
      <c r="AV59" s="22">
        <f>VLOOKUP($A59,tabCustoUnit[],COLUMN(CUSTO_GLOBAL[[#Headers],[MÓDULO 3 – PROVISÃO PARA RESCISÃO]])-2,0)*($G59-$H59)</f>
        <v>18263.455894924558</v>
      </c>
      <c r="AW59" s="22">
        <f>VLOOKUP($A59,tabCustoUnit[],COLUMN(CUSTO_GLOBAL[[#Headers],[Ausência por Doença]])-2,0)*($G59-$H59)</f>
        <v>3502.6243373333327</v>
      </c>
      <c r="AX59" s="22">
        <f>VLOOKUP($A59,tabCustoUnit[],COLUMN(CUSTO_GLOBAL[[#Headers],[Ausências Legais]])-2,0)*($G59-$H59)</f>
        <v>841.09071258333324</v>
      </c>
      <c r="AY59" s="22">
        <f>VLOOKUP($A59,tabCustoUnit[],COLUMN(CUSTO_GLOBAL[[#Headers],[Licença Paternidade]])-2,0)*($G59-$H59)</f>
        <v>70.859012087499991</v>
      </c>
      <c r="AZ59" s="22">
        <f>VLOOKUP($A59,tabCustoUnit[],COLUMN(CUSTO_GLOBAL[[#Headers],[Ausência por Acidente de Trabalho]])-2,0)*($G59-$H59)</f>
        <v>86.413429375000007</v>
      </c>
      <c r="BA59" s="22">
        <f>VLOOKUP($A59,tabCustoUnit[],COLUMN(CUSTO_GLOBAL[[#Headers],[Férias, Adicional de Férias e 13º  com empregada em gozo de Licença Maternidade]])-2,0)*($G59-$H59)</f>
        <v>537.68356055555557</v>
      </c>
      <c r="BB59" s="22">
        <f>VLOOKUP($A59,tabCustoUnit[],COLUMN(CUSTO_GLOBAL[[#Headers],[Incidência do Submódulo 2.1 sobre Ausências Legais]])-2,0)*($G59-$H59)</f>
        <v>1904.6176576313253</v>
      </c>
      <c r="BC59" s="22">
        <f>VLOOKUP($A59,tabCustoUnit[],COLUMN(CUSTO_GLOBAL[[#Headers],[Submódulo 4.1]])-2,0)*($G59-$H59)</f>
        <v>6943.2887095660481</v>
      </c>
      <c r="BD59" s="22">
        <f>VLOOKUP($A59,tabCustoUnit[],COLUMN(CUSTO_GLOBAL[[#Headers],[Intervalo para Repouso ou Alimentação]])-2,0)*($G59-$H59)</f>
        <v>0</v>
      </c>
      <c r="BE59" s="22">
        <f>VLOOKUP($A59,tabCustoUnit[],COLUMN(CUSTO_GLOBAL[[#Headers],[Submódulo 4.2]])-2,0)*($G59-$H59)</f>
        <v>0</v>
      </c>
      <c r="BF59" s="22">
        <f>VLOOKUP($A59,tabCustoUnit[],COLUMN(CUSTO_GLOBAL[[#Headers],[Suspensão Temporária do Contrato de Trabalho]])-2,0)*($G59-$H59)</f>
        <v>0</v>
      </c>
      <c r="BG59" s="22">
        <f>VLOOKUP($A59,tabCustoUnit[],COLUMN(CUSTO_GLOBAL[[#Headers],[Submódulo 4.3]])-2,0)*($G59-$H59)</f>
        <v>0</v>
      </c>
      <c r="BH59" s="22">
        <f>VLOOKUP($A59,tabCustoUnit[],COLUMN(CUSTO_GLOBAL[[#Headers],[MÓDULO 4 – CUSTO DE REPOSIÇÃO DO PROFISSIONAL AUSENTE]])-2,0)*($G59-$H59)</f>
        <v>6943.2887095660481</v>
      </c>
      <c r="BI59" s="22">
        <f>VLOOKUP($A59,tabCustoUnit[],COLUMN(CUSTO_GLOBAL[[#Headers],[Uniformes e EPIs]])-2,0)*($G59-$H59)</f>
        <v>8381.1695032129337</v>
      </c>
      <c r="BJ59" s="22">
        <f>VLOOKUP($A59,tabCustoUnit[],COLUMN(CUSTO_GLOBAL[[#Headers],[Materiais de Consumo]])-2,0)*($G59-$H59)</f>
        <v>0</v>
      </c>
      <c r="BK59" s="22">
        <f>VLOOKUP($A59,tabCustoUnit[],COLUMN(CUSTO_GLOBAL[[#Headers],[Máquinas e Equipamentos (depreciação)]])-2,0)*($G59-$H59)</f>
        <v>0</v>
      </c>
      <c r="BL59" s="22">
        <f>VLOOKUP($A59,tabCustoUnit[],COLUMN(CUSTO_GLOBAL[[#Headers],[Produtos de Limpeza e Materiais de Higiene Pessoal]])-2,0)*($G59-$H59)</f>
        <v>0</v>
      </c>
      <c r="BM59" s="22">
        <f>VLOOKUP($A59,tabCustoUnit[],COLUMN(CUSTO_GLOBAL[[#Headers],[Outros (especificar)]])-2,0)*($G59-$H59)</f>
        <v>0</v>
      </c>
      <c r="BN59" s="22">
        <f>VLOOKUP($A59,tabCustoUnit[],COLUMN(CUSTO_GLOBAL[[#Headers],[MÓDULO 5 – INSUMOS DIVERSOS]])-2,0)*($G59-$H59)</f>
        <v>8381.1695032129337</v>
      </c>
      <c r="BO59" s="22" t="e">
        <f ca="1">VLOOKUP($A59,tabCustoUnit[],COLUMN(CUSTO_GLOBAL[[#Headers],[TOTAL MÓDULOS 1+2+3+4+5]])-2,0)*($G59-$H59)</f>
        <v>#NAME?</v>
      </c>
      <c r="BP59" s="22" t="e">
        <f ca="1">VLOOKUP($A59,tabCustoUnit[],COLUMN(CUSTO_GLOBAL[[#Headers],[Custos Indiretos]])-2,0)*($G59-$H59)</f>
        <v>#NAME?</v>
      </c>
      <c r="BQ59" s="22" t="e">
        <f ca="1">VLOOKUP($A59,tabCustoUnit[],COLUMN(CUSTO_GLOBAL[[#Headers],[Lucro]])-2,0)*($G59-$H59)</f>
        <v>#NAME?</v>
      </c>
      <c r="BR59" s="26">
        <f>VLOOKUP($A59,tabCustoUnit[],COLUMN(CUSTO_GLOBAL[[#Headers],[COFINS]])-2,0)</f>
        <v>8.8629737609329504E-2</v>
      </c>
      <c r="BS59" s="26">
        <f>VLOOKUP($A59,tabCustoUnit[],COLUMN(CUSTO_GLOBAL[[#Headers],[PIS]])-2,0)</f>
        <v>1.9241982507288629E-2</v>
      </c>
      <c r="BT59" s="28">
        <f>VLOOKUP($A59,tabCustoUnit[],COLUMN(CUSTO_GLOBAL[[#Headers],[ISS]])-2,0)</f>
        <v>0.05</v>
      </c>
      <c r="BU59" s="26">
        <f>VLOOKUP($A59,tabCustoUnit[],COLUMN(CUSTO_GLOBAL[[#Headers],[ISS (Conversão Alíquota s/ fatura)]])-2,0)</f>
        <v>5.8309037900874633E-2</v>
      </c>
      <c r="BV59" s="26">
        <f>VLOOKUP($A59,tabCustoUnit[],COLUMN(CUSTO_GLOBAL[[#Headers],[Resumo de Alíquotas (PIS+CONFINS+ISS)]])-2,0)</f>
        <v>0.14250000000000002</v>
      </c>
      <c r="BW59" s="138">
        <f>VLOOKUP($A59,tabCustoUnit[],COLUMN(CUSTO_GLOBAL[[#Headers],[PIS + COFINS + ISS (Total Conversão  Alíquota s/ Fatura)]])-2,0)</f>
        <v>0.16618075801749277</v>
      </c>
      <c r="BX59" s="22" t="e">
        <f ca="1">VLOOKUP($A59,tabCustoUnit[],COLUMN(CUSTO_GLOBAL[[#Headers],[Valor dos Tributos (ISS, PIS, CONFINS)]])-2,0)*($G59-$H59)</f>
        <v>#NAME?</v>
      </c>
      <c r="BY59" s="22" t="e">
        <f ca="1">VLOOKUP($A59,tabCustoUnit[],COLUMN(CUSTO_GLOBAL[[#Headers],[MÓDULO 6 – CUSTOS INDIRETOS, TRIBUTOS E LUCRO]])-2,0)*($G59-$H59)</f>
        <v>#NAME?</v>
      </c>
      <c r="BZ59" s="22" t="e">
        <f ca="1">VLOOKUP($A59,tabCustoUnit[],COLUMN(CUSTO_GLOBAL[[#Headers],[CUSTO TOTAL MENSAL]])-2,0)*($G59-$H59)</f>
        <v>#NAME?</v>
      </c>
      <c r="CA59" s="22" t="e">
        <f ca="1">CUSTO_GLOBAL[[#This Row],[CUSTO TOTAL MENSAL]]*12</f>
        <v>#NAME?</v>
      </c>
      <c r="CB59" s="24">
        <f>VLOOKUP($A59,tabCustoUnit[],COLUMN(CUSTO_GLOBAL[[#Headers],[ANO DA CCT]])-2,0)</f>
        <v>45658</v>
      </c>
      <c r="CC59" s="25" t="str">
        <f>VLOOKUP($A59,tabCustoUnit[],COLUMN(CUSTO_GLOBAL[[#Headers],[Nº DE PEDIDO DA CCT]])-2,0)</f>
        <v>-</v>
      </c>
      <c r="CD59" s="25" t="str">
        <f>VLOOKUP($A59,tabCustoUnit[],COLUMN(CUSTO_GLOBAL[[#Headers],[TERMO ADITIVO ALTERAÇÃO DA CCT]])-2,0)</f>
        <v>-</v>
      </c>
    </row>
    <row r="60" spans="1:82">
      <c r="A60" s="20" t="s">
        <v>1446</v>
      </c>
      <c r="B60" t="s">
        <v>1103</v>
      </c>
      <c r="C60" t="s">
        <v>279</v>
      </c>
      <c r="D60" t="s">
        <v>977</v>
      </c>
      <c r="E60" s="20" t="s">
        <v>1090</v>
      </c>
      <c r="F60" s="20" t="s">
        <v>120</v>
      </c>
      <c r="G60" s="20">
        <v>13</v>
      </c>
      <c r="H60" s="20">
        <v>0</v>
      </c>
      <c r="I60" s="21">
        <f>VLOOKUP($A60,tabCustoUnit[],COLUMN(CUSTO_GLOBAL[[#Headers],[Salário Base]])-2,0)*($G60-$H60)</f>
        <v>59254.922999999995</v>
      </c>
      <c r="J60" s="21">
        <f>VLOOKUP($A60,tabCustoUnit[],COLUMN(CUSTO_GLOBAL[[#Headers],[Adicional Periculosidade]])-2,0)*($G60-$H60)</f>
        <v>0</v>
      </c>
      <c r="K60" s="21">
        <f>VLOOKUP($A60,tabCustoUnit[],COLUMN(CUSTO_GLOBAL[[#Headers],[Adicional Insalubridade]])-2,0)*($G60-$H60)</f>
        <v>0</v>
      </c>
      <c r="L60" s="21">
        <f>VLOOKUP($A60,tabCustoUnit[],COLUMN(CUSTO_GLOBAL[[#Headers],[Adicional Noturno]])-2,0)*($G60-$H60)</f>
        <v>0</v>
      </c>
      <c r="M60" s="21">
        <f>VLOOKUP($A60,tabCustoUnit[],COLUMN(CUSTO_GLOBAL[[#Headers],[Adicional Motorista II (Gratificação)]])-2,0)*($G60-$H60)</f>
        <v>17906.838299999999</v>
      </c>
      <c r="N60" s="21">
        <f>VLOOKUP($A60,tabCustoUnit[],COLUMN(CUSTO_GLOBAL[[#Headers],[Adicional de Sobreaviso]])-2,0)*($G60-$H60)</f>
        <v>0</v>
      </c>
      <c r="O60" s="21">
        <f>VLOOKUP($A60,tabCustoUnit[],COLUMN(CUSTO_GLOBAL[[#Headers],[Horas Extras TI]])-2,0)*($G60-$H60)</f>
        <v>0</v>
      </c>
      <c r="P60" s="21">
        <f>VLOOKUP($A60,tabCustoUnit[],COLUMN(CUSTO_GLOBAL[[#Headers],[Adicional de Acúmulo de função]])-2,0)*($G60-$H60)</f>
        <v>0</v>
      </c>
      <c r="Q60" s="21">
        <f>VLOOKUP($A60,tabCustoUnit[],COLUMN(CUSTO_GLOBAL[[#Headers],[MODULO 1 - REMUNERAÇÃO ]])-2,0)*($G60-$H60)</f>
        <v>77161.761299999998</v>
      </c>
      <c r="R60" s="21">
        <f>VLOOKUP($A60,tabCustoUnit[],COLUMN(CUSTO_GLOBAL[[#Headers],[INSS]])-2,0)*($G60-$H60)</f>
        <v>15432.35226</v>
      </c>
      <c r="S60" s="21">
        <f>VLOOKUP($A60,tabCustoUnit[],COLUMN(CUSTO_GLOBAL[[#Headers],[SESI OU SESC]])-2,0)*($G60-$H60)</f>
        <v>1157.4264194999998</v>
      </c>
      <c r="T60" s="21">
        <f>VLOOKUP($A60,tabCustoUnit[],COLUMN(CUSTO_GLOBAL[[#Headers],[SENAI OU SENAC]])-2,0)*($G60-$H60)</f>
        <v>771.61761300000001</v>
      </c>
      <c r="U60" s="21">
        <f>VLOOKUP($A60,tabCustoUnit[],COLUMN(CUSTO_GLOBAL[[#Headers],[INCRA]])-2,0)*($G60-$H60)</f>
        <v>154.32352259999999</v>
      </c>
      <c r="V60" s="21">
        <f>VLOOKUP($A60,tabCustoUnit[],COLUMN(CUSTO_GLOBAL[[#Headers],[Salário Educação]])-2,0)*($G60-$H60)</f>
        <v>1929.0440325</v>
      </c>
      <c r="W60" s="21">
        <f>VLOOKUP($A60,tabCustoUnit[],COLUMN(CUSTO_GLOBAL[[#Headers],[FGTS]])-2,0)*($G60-$H60)</f>
        <v>6172.940904</v>
      </c>
      <c r="X60" s="21">
        <f>VLOOKUP($A60,tabCustoUnit[],COLUMN(CUSTO_GLOBAL[[#Headers],[RAT Ajustado]])-2,0)*($G60-$H60)</f>
        <v>3086.470452</v>
      </c>
      <c r="Y60" s="21">
        <f>VLOOKUP($A60,tabCustoUnit[],COLUMN(CUSTO_GLOBAL[[#Headers],[SEBRAE]])-2,0)*($G60-$H60)</f>
        <v>462.97056780000003</v>
      </c>
      <c r="Z60" s="21">
        <f>VLOOKUP($A60,tabCustoUnit[],COLUMN(CUSTO_GLOBAL[[#Headers],[Submódulo 2.1]])-2,0)*($G60-$H60)</f>
        <v>29167.145771400003</v>
      </c>
      <c r="AA60" s="21">
        <f>VLOOKUP($A60,tabCustoUnit[],COLUMN(CUSTO_GLOBAL[[#Headers],[13º salário (titular)]])-2,0)*($G60-$H60)</f>
        <v>6430.1467749999993</v>
      </c>
      <c r="AB60" s="21">
        <f>VLOOKUP($A60,tabCustoUnit[],COLUMN(CUSTO_GLOBAL[[#Headers],[Férias e Adicional de Férias (titular)]])-2,0)*($G60-$H60)</f>
        <v>8573.5290333333323</v>
      </c>
      <c r="AC60" s="21">
        <f>VLOOKUP($A60,tabCustoUnit[],COLUMN(CUSTO_GLOBAL[[#Headers],[Incidência do Submódulo 2.1 sobre 13º Salário, Férias e Adicional de Férias]])-2,0)*($G60-$H60)</f>
        <v>5671.3894555499992</v>
      </c>
      <c r="AD60" s="21">
        <f>VLOOKUP($A60,tabCustoUnit[],COLUMN(CUSTO_GLOBAL[[#Headers],[Submódulo 2.2]])-2,0)*($G60-$H60)</f>
        <v>20675.065263883331</v>
      </c>
      <c r="AE60" s="22" t="e">
        <f ca="1">VLOOKUP($A60,tabCustoUnit[],COLUMN(CUSTO_GLOBAL[[#Headers],[Vale - Transporte (Descontada parcela do empregado)]])-2,0)*($G60-$H60)</f>
        <v>#NAME?</v>
      </c>
      <c r="AF60" s="22">
        <f>VLOOKUP($A60,tabCustoUnit[],COLUMN(CUSTO_GLOBAL[[#Headers],[Vale - Alimentação (Descontada parcela do empregado)]])-2,0)*($G60-$H60)</f>
        <v>7519.2</v>
      </c>
      <c r="AG60" s="22">
        <f>VLOOKUP($A60,tabCustoUnit[],COLUMN(CUSTO_GLOBAL[[#Headers],[Cesta Básica]])-2,0)*($G60-$H60)</f>
        <v>0</v>
      </c>
      <c r="AH60" s="22">
        <f>VLOOKUP($A60,tabCustoUnit[],COLUMN(CUSTO_GLOBAL[[#Headers],[PAF]])-2,0)*($G60-$H60)</f>
        <v>238.55</v>
      </c>
      <c r="AI60" s="22">
        <f>VLOOKUP($A60,tabCustoUnit[],COLUMN(CUSTO_GLOBAL[[#Headers],[PQM]])-2,0)*($G60-$H60)</f>
        <v>0</v>
      </c>
      <c r="AJ60" s="22">
        <v>0</v>
      </c>
      <c r="AK60" s="22">
        <f>VLOOKUP($A60,tabCustoUnit[],COLUMN(CUSTO_GLOBAL[[#Headers],[Seguro de Vida]])-2,0)*($G60-$H60)</f>
        <v>43.68</v>
      </c>
      <c r="AL60" s="22">
        <f>VLOOKUP($A60,tabCustoUnit[],COLUMN(CUSTO_GLOBAL[[#Headers],[Despesas de Viagem]])-2,0)*($G60-$H60)</f>
        <v>8611.4599999999991</v>
      </c>
      <c r="AM60" s="22" t="e">
        <f ca="1">VLOOKUP($A60,tabCustoUnit[],COLUMN(CUSTO_GLOBAL[[#Headers],[Submódulo 2.3]])-2,0)*($G60-$H60)</f>
        <v>#NAME?</v>
      </c>
      <c r="AN60" s="22" t="e">
        <f ca="1">VLOOKUP($A60,tabCustoUnit[],COLUMN(CUSTO_GLOBAL[[#Headers],[MÓDULO 2 - Total Encargos e Benefícios mensais e diários]])-2,0)*($G60-$H60)</f>
        <v>#NAME?</v>
      </c>
      <c r="AO60" s="22">
        <f>VLOOKUP($A60,tabCustoUnit[],COLUMN(CUSTO_GLOBAL[[#Headers],[Aviso Prévio Indenizado (API) e Reflexo do Aviso Prévio Indenizado]])-2,0)*($G60-$H60)</f>
        <v>541.04028963998837</v>
      </c>
      <c r="AP60" s="22">
        <f>VLOOKUP($A60,tabCustoUnit[],COLUMN(CUSTO_GLOBAL[[#Headers],[Incidência do FGTS sobre API e Reflexo do API]])-2,0)*($G60-$H60)</f>
        <v>43.283223171199076</v>
      </c>
      <c r="AQ60" s="22">
        <f>VLOOKUP($A60,tabCustoUnit[],COLUMN(CUSTO_GLOBAL[[#Headers],[Multa Rescisória do FGTS sobre o Aviso Prévio Indenizado]])-2,0)*($G60-$H60)</f>
        <v>17.313289268479632</v>
      </c>
      <c r="AR60" s="22">
        <f>VLOOKUP($A60,tabCustoUnit[],COLUMN(CUSTO_GLOBAL[[#Headers],[Aviso Prévio Trabalhado - APT]])-2,0)*($G60-$H60)</f>
        <v>270.06616455000005</v>
      </c>
      <c r="AS60" s="22">
        <f>VLOOKUP($A60,tabCustoUnit[],COLUMN(CUSTO_GLOBAL[[#Headers],[Incidência dos encargos do submódulo 2.1 sobre Aviso Prévio Trabalhado]])-2,0)*($G60-$H60)</f>
        <v>102.08501019990003</v>
      </c>
      <c r="AT60" s="22">
        <f>VLOOKUP($A60,tabCustoUnit[],COLUMN(CUSTO_GLOBAL[[#Headers],[Multa Rescisória do FGTS]])-2,0)*($G60-$H60)</f>
        <v>2359.4351899733329</v>
      </c>
      <c r="AU60" s="22">
        <f>VLOOKUP($A60,tabCustoUnit[],COLUMN(CUSTO_GLOBAL[[#Headers],[Indenização Adicional (Art. 9º da Lei nº 7.238/84)]])-2,0)*($G60-$H60)</f>
        <v>64.30146775</v>
      </c>
      <c r="AV60" s="22">
        <f>VLOOKUP($A60,tabCustoUnit[],COLUMN(CUSTO_GLOBAL[[#Headers],[MÓDULO 3 – PROVISÃO PARA RESCISÃO]])-2,0)*($G60-$H60)</f>
        <v>3397.5246345528999</v>
      </c>
      <c r="AW60" s="22">
        <f>VLOOKUP($A60,tabCustoUnit[],COLUMN(CUSTO_GLOBAL[[#Headers],[Ausência por Doença]])-2,0)*($G60-$H60)</f>
        <v>651.58820653333328</v>
      </c>
      <c r="AX60" s="22">
        <f>VLOOKUP($A60,tabCustoUnit[],COLUMN(CUSTO_GLOBAL[[#Headers],[Ausências Legais]])-2,0)*($G60-$H60)</f>
        <v>156.46690485833329</v>
      </c>
      <c r="AY60" s="22">
        <f>VLOOKUP($A60,tabCustoUnit[],COLUMN(CUSTO_GLOBAL[[#Headers],[Licença Paternidade]])-2,0)*($G60-$H60)</f>
        <v>13.181800888749999</v>
      </c>
      <c r="AZ60" s="22">
        <f>VLOOKUP($A60,tabCustoUnit[],COLUMN(CUSTO_GLOBAL[[#Headers],[Ausência por Acidente de Trabalho]])-2,0)*($G60-$H60)</f>
        <v>16.0753669375</v>
      </c>
      <c r="BA60" s="22">
        <f>VLOOKUP($A60,tabCustoUnit[],COLUMN(CUSTO_GLOBAL[[#Headers],[Férias, Adicional de Férias e 13º  com empregada em gozo de Licença Maternidade]])-2,0)*($G60-$H60)</f>
        <v>100.02450538888888</v>
      </c>
      <c r="BB60" s="22">
        <f>VLOOKUP($A60,tabCustoUnit[],COLUMN(CUSTO_GLOBAL[[#Headers],[Incidência do Submódulo 2.1 sobre Ausências Legais]])-2,0)*($G60-$H60)</f>
        <v>354.31330458137256</v>
      </c>
      <c r="BC60" s="22">
        <f>VLOOKUP($A60,tabCustoUnit[],COLUMN(CUSTO_GLOBAL[[#Headers],[Submódulo 4.1]])-2,0)*($G60-$H60)</f>
        <v>1291.6500891881783</v>
      </c>
      <c r="BD60" s="22">
        <f>VLOOKUP($A60,tabCustoUnit[],COLUMN(CUSTO_GLOBAL[[#Headers],[Intervalo para Repouso ou Alimentação]])-2,0)*($G60-$H60)</f>
        <v>0</v>
      </c>
      <c r="BE60" s="22">
        <f>VLOOKUP($A60,tabCustoUnit[],COLUMN(CUSTO_GLOBAL[[#Headers],[Submódulo 4.2]])-2,0)*($G60-$H60)</f>
        <v>0</v>
      </c>
      <c r="BF60" s="22">
        <f>VLOOKUP($A60,tabCustoUnit[],COLUMN(CUSTO_GLOBAL[[#Headers],[Suspensão Temporária do Contrato de Trabalho]])-2,0)*($G60-$H60)</f>
        <v>0</v>
      </c>
      <c r="BG60" s="22">
        <f>VLOOKUP($A60,tabCustoUnit[],COLUMN(CUSTO_GLOBAL[[#Headers],[Submódulo 4.3]])-2,0)*($G60-$H60)</f>
        <v>0</v>
      </c>
      <c r="BH60" s="22">
        <f>VLOOKUP($A60,tabCustoUnit[],COLUMN(CUSTO_GLOBAL[[#Headers],[MÓDULO 4 – CUSTO DE REPOSIÇÃO DO PROFISSIONAL AUSENTE]])-2,0)*($G60-$H60)</f>
        <v>1291.6500891881783</v>
      </c>
      <c r="BI60" s="22">
        <f>VLOOKUP($A60,tabCustoUnit[],COLUMN(CUSTO_GLOBAL[[#Headers],[Uniformes e EPIs]])-2,0)*($G60-$H60)</f>
        <v>1197.3099290304192</v>
      </c>
      <c r="BJ60" s="22">
        <f>VLOOKUP($A60,tabCustoUnit[],COLUMN(CUSTO_GLOBAL[[#Headers],[Materiais de Consumo]])-2,0)*($G60-$H60)</f>
        <v>0</v>
      </c>
      <c r="BK60" s="22">
        <f>VLOOKUP($A60,tabCustoUnit[],COLUMN(CUSTO_GLOBAL[[#Headers],[Máquinas e Equipamentos (depreciação)]])-2,0)*($G60-$H60)</f>
        <v>0</v>
      </c>
      <c r="BL60" s="22">
        <f>VLOOKUP($A60,tabCustoUnit[],COLUMN(CUSTO_GLOBAL[[#Headers],[Produtos de Limpeza e Materiais de Higiene Pessoal]])-2,0)*($G60-$H60)</f>
        <v>0</v>
      </c>
      <c r="BM60" s="22">
        <f>VLOOKUP($A60,tabCustoUnit[],COLUMN(CUSTO_GLOBAL[[#Headers],[Outros (especificar)]])-2,0)*($G60-$H60)</f>
        <v>0</v>
      </c>
      <c r="BN60" s="22">
        <f>VLOOKUP($A60,tabCustoUnit[],COLUMN(CUSTO_GLOBAL[[#Headers],[MÓDULO 5 – INSUMOS DIVERSOS]])-2,0)*($G60-$H60)</f>
        <v>1197.3099290304192</v>
      </c>
      <c r="BO60" s="22" t="e">
        <f ca="1">VLOOKUP($A60,tabCustoUnit[],COLUMN(CUSTO_GLOBAL[[#Headers],[TOTAL MÓDULOS 1+2+3+4+5]])-2,0)*($G60-$H60)</f>
        <v>#NAME?</v>
      </c>
      <c r="BP60" s="22" t="e">
        <f ca="1">VLOOKUP($A60,tabCustoUnit[],COLUMN(CUSTO_GLOBAL[[#Headers],[Custos Indiretos]])-2,0)*($G60-$H60)</f>
        <v>#NAME?</v>
      </c>
      <c r="BQ60" s="22" t="e">
        <f ca="1">VLOOKUP($A60,tabCustoUnit[],COLUMN(CUSTO_GLOBAL[[#Headers],[Lucro]])-2,0)*($G60-$H60)</f>
        <v>#NAME?</v>
      </c>
      <c r="BR60" s="26">
        <f>VLOOKUP($A60,tabCustoUnit[],COLUMN(CUSTO_GLOBAL[[#Headers],[COFINS]])-2,0)</f>
        <v>8.8629737609329504E-2</v>
      </c>
      <c r="BS60" s="26">
        <f>VLOOKUP($A60,tabCustoUnit[],COLUMN(CUSTO_GLOBAL[[#Headers],[PIS]])-2,0)</f>
        <v>1.9241982507288629E-2</v>
      </c>
      <c r="BT60" s="28">
        <f>VLOOKUP($A60,tabCustoUnit[],COLUMN(CUSTO_GLOBAL[[#Headers],[ISS]])-2,0)</f>
        <v>0.05</v>
      </c>
      <c r="BU60" s="26">
        <f>VLOOKUP($A60,tabCustoUnit[],COLUMN(CUSTO_GLOBAL[[#Headers],[ISS (Conversão Alíquota s/ fatura)]])-2,0)</f>
        <v>5.8309037900874633E-2</v>
      </c>
      <c r="BV60" s="26">
        <f>VLOOKUP($A60,tabCustoUnit[],COLUMN(CUSTO_GLOBAL[[#Headers],[Resumo de Alíquotas (PIS+CONFINS+ISS)]])-2,0)</f>
        <v>0.14250000000000002</v>
      </c>
      <c r="BW60" s="138">
        <f>VLOOKUP($A60,tabCustoUnit[],COLUMN(CUSTO_GLOBAL[[#Headers],[PIS + COFINS + ISS (Total Conversão  Alíquota s/ Fatura)]])-2,0)</f>
        <v>0.16618075801749277</v>
      </c>
      <c r="BX60" s="22" t="e">
        <f ca="1">VLOOKUP($A60,tabCustoUnit[],COLUMN(CUSTO_GLOBAL[[#Headers],[Valor dos Tributos (ISS, PIS, CONFINS)]])-2,0)*($G60-$H60)</f>
        <v>#NAME?</v>
      </c>
      <c r="BY60" s="22" t="e">
        <f ca="1">VLOOKUP($A60,tabCustoUnit[],COLUMN(CUSTO_GLOBAL[[#Headers],[MÓDULO 6 – CUSTOS INDIRETOS, TRIBUTOS E LUCRO]])-2,0)*($G60-$H60)</f>
        <v>#NAME?</v>
      </c>
      <c r="BZ60" s="22" t="e">
        <f ca="1">VLOOKUP($A60,tabCustoUnit[],COLUMN(CUSTO_GLOBAL[[#Headers],[CUSTO TOTAL MENSAL]])-2,0)*($G60-$H60)</f>
        <v>#NAME?</v>
      </c>
      <c r="CA60" s="22" t="e">
        <f ca="1">CUSTO_GLOBAL[[#This Row],[CUSTO TOTAL MENSAL]]*12</f>
        <v>#NAME?</v>
      </c>
      <c r="CB60" s="24">
        <f>VLOOKUP($A60,tabCustoUnit[],COLUMN(CUSTO_GLOBAL[[#Headers],[ANO DA CCT]])-2,0)</f>
        <v>45658</v>
      </c>
      <c r="CC60" s="25" t="str">
        <f>VLOOKUP($A60,tabCustoUnit[],COLUMN(CUSTO_GLOBAL[[#Headers],[Nº DE PEDIDO DA CCT]])-2,0)</f>
        <v>-</v>
      </c>
      <c r="CD60" s="25" t="str">
        <f>VLOOKUP($A60,tabCustoUnit[],COLUMN(CUSTO_GLOBAL[[#Headers],[TERMO ADITIVO ALTERAÇÃO DA CCT]])-2,0)</f>
        <v>-</v>
      </c>
    </row>
    <row r="61" spans="1:82">
      <c r="A61" s="20" t="s">
        <v>1549</v>
      </c>
      <c r="B61" t="s">
        <v>1103</v>
      </c>
      <c r="C61" t="s">
        <v>274</v>
      </c>
      <c r="D61" t="s">
        <v>977</v>
      </c>
      <c r="E61" s="20" t="s">
        <v>1090</v>
      </c>
      <c r="F61" s="20" t="s">
        <v>135</v>
      </c>
      <c r="G61" s="20">
        <v>7</v>
      </c>
      <c r="H61" s="20">
        <v>0</v>
      </c>
      <c r="I61" s="21">
        <f>VLOOKUP($A61,tabCustoUnit[],COLUMN(CUSTO_GLOBAL[[#Headers],[Salário Base]])-2,0)*($G61-$H61)</f>
        <v>31906.496999999999</v>
      </c>
      <c r="J61" s="21">
        <f>VLOOKUP($A61,tabCustoUnit[],COLUMN(CUSTO_GLOBAL[[#Headers],[Adicional Periculosidade]])-2,0)*($G61-$H61)</f>
        <v>0</v>
      </c>
      <c r="K61" s="21">
        <f>VLOOKUP($A61,tabCustoUnit[],COLUMN(CUSTO_GLOBAL[[#Headers],[Adicional Insalubridade]])-2,0)*($G61-$H61)</f>
        <v>0</v>
      </c>
      <c r="L61" s="21">
        <f>VLOOKUP($A61,tabCustoUnit[],COLUMN(CUSTO_GLOBAL[[#Headers],[Adicional Noturno]])-2,0)*($G61-$H61)</f>
        <v>0</v>
      </c>
      <c r="M61" s="21">
        <f>VLOOKUP($A61,tabCustoUnit[],COLUMN(CUSTO_GLOBAL[[#Headers],[Adicional Motorista II (Gratificação)]])-2,0)*($G61-$H61)</f>
        <v>0</v>
      </c>
      <c r="N61" s="21">
        <f>VLOOKUP($A61,tabCustoUnit[],COLUMN(CUSTO_GLOBAL[[#Headers],[Adicional de Sobreaviso]])-2,0)*($G61-$H61)</f>
        <v>0</v>
      </c>
      <c r="O61" s="21">
        <f>VLOOKUP($A61,tabCustoUnit[],COLUMN(CUSTO_GLOBAL[[#Headers],[Horas Extras TI]])-2,0)*($G61-$H61)</f>
        <v>0</v>
      </c>
      <c r="P61" s="21">
        <f>VLOOKUP($A61,tabCustoUnit[],COLUMN(CUSTO_GLOBAL[[#Headers],[Adicional de Acúmulo de função]])-2,0)*($G61-$H61)</f>
        <v>0</v>
      </c>
      <c r="Q61" s="21">
        <f>VLOOKUP($A61,tabCustoUnit[],COLUMN(CUSTO_GLOBAL[[#Headers],[MODULO 1 - REMUNERAÇÃO ]])-2,0)*($G61-$H61)</f>
        <v>31906.496999999999</v>
      </c>
      <c r="R61" s="21">
        <f>VLOOKUP($A61,tabCustoUnit[],COLUMN(CUSTO_GLOBAL[[#Headers],[INSS]])-2,0)*($G61-$H61)</f>
        <v>6381.2993999999999</v>
      </c>
      <c r="S61" s="21">
        <f>VLOOKUP($A61,tabCustoUnit[],COLUMN(CUSTO_GLOBAL[[#Headers],[SESI OU SESC]])-2,0)*($G61-$H61)</f>
        <v>478.59745500000002</v>
      </c>
      <c r="T61" s="21">
        <f>VLOOKUP($A61,tabCustoUnit[],COLUMN(CUSTO_GLOBAL[[#Headers],[SENAI OU SENAC]])-2,0)*($G61-$H61)</f>
        <v>319.06497000000002</v>
      </c>
      <c r="U61" s="21">
        <f>VLOOKUP($A61,tabCustoUnit[],COLUMN(CUSTO_GLOBAL[[#Headers],[INCRA]])-2,0)*($G61-$H61)</f>
        <v>63.812994000000003</v>
      </c>
      <c r="V61" s="21">
        <f>VLOOKUP($A61,tabCustoUnit[],COLUMN(CUSTO_GLOBAL[[#Headers],[Salário Educação]])-2,0)*($G61-$H61)</f>
        <v>797.66242499999998</v>
      </c>
      <c r="W61" s="21">
        <f>VLOOKUP($A61,tabCustoUnit[],COLUMN(CUSTO_GLOBAL[[#Headers],[FGTS]])-2,0)*($G61-$H61)</f>
        <v>2552.5197600000001</v>
      </c>
      <c r="X61" s="21">
        <f>VLOOKUP($A61,tabCustoUnit[],COLUMN(CUSTO_GLOBAL[[#Headers],[RAT Ajustado]])-2,0)*($G61-$H61)</f>
        <v>1276.2598800000001</v>
      </c>
      <c r="Y61" s="21">
        <f>VLOOKUP($A61,tabCustoUnit[],COLUMN(CUSTO_GLOBAL[[#Headers],[SEBRAE]])-2,0)*($G61-$H61)</f>
        <v>191.43898200000001</v>
      </c>
      <c r="Z61" s="21">
        <f>VLOOKUP($A61,tabCustoUnit[],COLUMN(CUSTO_GLOBAL[[#Headers],[Submódulo 2.1]])-2,0)*($G61-$H61)</f>
        <v>12060.655866000001</v>
      </c>
      <c r="AA61" s="21">
        <f>VLOOKUP($A61,tabCustoUnit[],COLUMN(CUSTO_GLOBAL[[#Headers],[13º salário (titular)]])-2,0)*($G61-$H61)</f>
        <v>2658.8747499999999</v>
      </c>
      <c r="AB61" s="21">
        <f>VLOOKUP($A61,tabCustoUnit[],COLUMN(CUSTO_GLOBAL[[#Headers],[Férias e Adicional de Férias (titular)]])-2,0)*($G61-$H61)</f>
        <v>3545.1663333333331</v>
      </c>
      <c r="AC61" s="21">
        <f>VLOOKUP($A61,tabCustoUnit[],COLUMN(CUSTO_GLOBAL[[#Headers],[Incidência do Submódulo 2.1 sobre 13º Salário, Férias e Adicional de Férias]])-2,0)*($G61-$H61)</f>
        <v>2345.1275295000005</v>
      </c>
      <c r="AD61" s="21">
        <f>VLOOKUP($A61,tabCustoUnit[],COLUMN(CUSTO_GLOBAL[[#Headers],[Submódulo 2.2]])-2,0)*($G61-$H61)</f>
        <v>8549.1686128333331</v>
      </c>
      <c r="AE61" s="22" t="e">
        <f ca="1">VLOOKUP($A61,tabCustoUnit[],COLUMN(CUSTO_GLOBAL[[#Headers],[Vale - Transporte (Descontada parcela do empregado)]])-2,0)*($G61-$H61)</f>
        <v>#NAME?</v>
      </c>
      <c r="AF61" s="22">
        <f>VLOOKUP($A61,tabCustoUnit[],COLUMN(CUSTO_GLOBAL[[#Headers],[Vale - Alimentação (Descontada parcela do empregado)]])-2,0)*($G61-$H61)</f>
        <v>4048.7999999999997</v>
      </c>
      <c r="AG61" s="22">
        <f>VLOOKUP($A61,tabCustoUnit[],COLUMN(CUSTO_GLOBAL[[#Headers],[Cesta Básica]])-2,0)*($G61-$H61)</f>
        <v>0</v>
      </c>
      <c r="AH61" s="22">
        <f>VLOOKUP($A61,tabCustoUnit[],COLUMN(CUSTO_GLOBAL[[#Headers],[PAF]])-2,0)*($G61-$H61)</f>
        <v>128.45000000000002</v>
      </c>
      <c r="AI61" s="22">
        <f>VLOOKUP($A61,tabCustoUnit[],COLUMN(CUSTO_GLOBAL[[#Headers],[PQM]])-2,0)*($G61-$H61)</f>
        <v>0</v>
      </c>
      <c r="AJ61" s="22">
        <v>0</v>
      </c>
      <c r="AK61" s="22">
        <f>VLOOKUP($A61,tabCustoUnit[],COLUMN(CUSTO_GLOBAL[[#Headers],[Seguro de Vida]])-2,0)*($G61-$H61)</f>
        <v>23.52</v>
      </c>
      <c r="AL61" s="22">
        <f>VLOOKUP($A61,tabCustoUnit[],COLUMN(CUSTO_GLOBAL[[#Headers],[Despesas de Viagem]])-2,0)*($G61-$H61)</f>
        <v>4636.9399999999996</v>
      </c>
      <c r="AM61" s="22" t="e">
        <f ca="1">VLOOKUP($A61,tabCustoUnit[],COLUMN(CUSTO_GLOBAL[[#Headers],[Submódulo 2.3]])-2,0)*($G61-$H61)</f>
        <v>#NAME?</v>
      </c>
      <c r="AN61" s="22" t="e">
        <f ca="1">VLOOKUP($A61,tabCustoUnit[],COLUMN(CUSTO_GLOBAL[[#Headers],[MÓDULO 2 - Total Encargos e Benefícios mensais e diários]])-2,0)*($G61-$H61)</f>
        <v>#NAME?</v>
      </c>
      <c r="AO61" s="22">
        <f>VLOOKUP($A61,tabCustoUnit[],COLUMN(CUSTO_GLOBAL[[#Headers],[Aviso Prévio Indenizado (API) e Reflexo do Aviso Prévio Indenizado]])-2,0)*($G61-$H61)</f>
        <v>223.72092196238427</v>
      </c>
      <c r="AP61" s="22">
        <f>VLOOKUP($A61,tabCustoUnit[],COLUMN(CUSTO_GLOBAL[[#Headers],[Incidência do FGTS sobre API e Reflexo do API]])-2,0)*($G61-$H61)</f>
        <v>17.897673756990741</v>
      </c>
      <c r="AQ61" s="22">
        <f>VLOOKUP($A61,tabCustoUnit[],COLUMN(CUSTO_GLOBAL[[#Headers],[Multa Rescisória do FGTS sobre o Aviso Prévio Indenizado]])-2,0)*($G61-$H61)</f>
        <v>7.1590695027962976</v>
      </c>
      <c r="AR61" s="22">
        <f>VLOOKUP($A61,tabCustoUnit[],COLUMN(CUSTO_GLOBAL[[#Headers],[Aviso Prévio Trabalhado - APT]])-2,0)*($G61-$H61)</f>
        <v>111.67273950000002</v>
      </c>
      <c r="AS61" s="22">
        <f>VLOOKUP($A61,tabCustoUnit[],COLUMN(CUSTO_GLOBAL[[#Headers],[Incidência dos encargos do submódulo 2.1 sobre Aviso Prévio Trabalhado]])-2,0)*($G61-$H61)</f>
        <v>42.212295531000009</v>
      </c>
      <c r="AT61" s="22">
        <f>VLOOKUP($A61,tabCustoUnit[],COLUMN(CUSTO_GLOBAL[[#Headers],[Multa Rescisória do FGTS]])-2,0)*($G61-$H61)</f>
        <v>975.62977493333312</v>
      </c>
      <c r="AU61" s="22">
        <f>VLOOKUP($A61,tabCustoUnit[],COLUMN(CUSTO_GLOBAL[[#Headers],[Indenização Adicional (Art. 9º da Lei nº 7.238/84)]])-2,0)*($G61-$H61)</f>
        <v>26.588747500000004</v>
      </c>
      <c r="AV61" s="22">
        <f>VLOOKUP($A61,tabCustoUnit[],COLUMN(CUSTO_GLOBAL[[#Headers],[MÓDULO 3 – PROVISÃO PARA RESCISÃO]])-2,0)*($G61-$H61)</f>
        <v>1404.8812226865045</v>
      </c>
      <c r="AW61" s="22">
        <f>VLOOKUP($A61,tabCustoUnit[],COLUMN(CUSTO_GLOBAL[[#Headers],[Ausência por Doença]])-2,0)*($G61-$H61)</f>
        <v>269.43264133333332</v>
      </c>
      <c r="AX61" s="22">
        <f>VLOOKUP($A61,tabCustoUnit[],COLUMN(CUSTO_GLOBAL[[#Headers],[Ausências Legais]])-2,0)*($G61-$H61)</f>
        <v>64.699285583333321</v>
      </c>
      <c r="AY61" s="22">
        <f>VLOOKUP($A61,tabCustoUnit[],COLUMN(CUSTO_GLOBAL[[#Headers],[Licença Paternidade]])-2,0)*($G61-$H61)</f>
        <v>5.4506932374999995</v>
      </c>
      <c r="AZ61" s="22">
        <f>VLOOKUP($A61,tabCustoUnit[],COLUMN(CUSTO_GLOBAL[[#Headers],[Ausência por Acidente de Trabalho]])-2,0)*($G61-$H61)</f>
        <v>6.6471868750000009</v>
      </c>
      <c r="BA61" s="22">
        <f>VLOOKUP($A61,tabCustoUnit[],COLUMN(CUSTO_GLOBAL[[#Headers],[Férias, Adicional de Férias e 13º  com empregada em gozo de Licença Maternidade]])-2,0)*($G61-$H61)</f>
        <v>41.360273888888891</v>
      </c>
      <c r="BB61" s="22">
        <f>VLOOKUP($A61,tabCustoUnit[],COLUMN(CUSTO_GLOBAL[[#Headers],[Incidência do Submódulo 2.1 sobre Ausências Legais]])-2,0)*($G61-$H61)</f>
        <v>146.50905058702503</v>
      </c>
      <c r="BC61" s="22">
        <f>VLOOKUP($A61,tabCustoUnit[],COLUMN(CUSTO_GLOBAL[[#Headers],[Submódulo 4.1]])-2,0)*($G61-$H61)</f>
        <v>534.09913150508055</v>
      </c>
      <c r="BD61" s="22">
        <f>VLOOKUP($A61,tabCustoUnit[],COLUMN(CUSTO_GLOBAL[[#Headers],[Intervalo para Repouso ou Alimentação]])-2,0)*($G61-$H61)</f>
        <v>0</v>
      </c>
      <c r="BE61" s="22">
        <f>VLOOKUP($A61,tabCustoUnit[],COLUMN(CUSTO_GLOBAL[[#Headers],[Submódulo 4.2]])-2,0)*($G61-$H61)</f>
        <v>0</v>
      </c>
      <c r="BF61" s="22">
        <f>VLOOKUP($A61,tabCustoUnit[],COLUMN(CUSTO_GLOBAL[[#Headers],[Suspensão Temporária do Contrato de Trabalho]])-2,0)*($G61-$H61)</f>
        <v>0</v>
      </c>
      <c r="BG61" s="22">
        <f>VLOOKUP($A61,tabCustoUnit[],COLUMN(CUSTO_GLOBAL[[#Headers],[Submódulo 4.3]])-2,0)*($G61-$H61)</f>
        <v>0</v>
      </c>
      <c r="BH61" s="22">
        <f>VLOOKUP($A61,tabCustoUnit[],COLUMN(CUSTO_GLOBAL[[#Headers],[MÓDULO 4 – CUSTO DE REPOSIÇÃO DO PROFISSIONAL AUSENTE]])-2,0)*($G61-$H61)</f>
        <v>534.09913150508055</v>
      </c>
      <c r="BI61" s="22">
        <f>VLOOKUP($A61,tabCustoUnit[],COLUMN(CUSTO_GLOBAL[[#Headers],[Uniformes e EPIs]])-2,0)*($G61-$H61)</f>
        <v>644.70534640099493</v>
      </c>
      <c r="BJ61" s="22">
        <f>VLOOKUP($A61,tabCustoUnit[],COLUMN(CUSTO_GLOBAL[[#Headers],[Materiais de Consumo]])-2,0)*($G61-$H61)</f>
        <v>0</v>
      </c>
      <c r="BK61" s="22">
        <f>VLOOKUP($A61,tabCustoUnit[],COLUMN(CUSTO_GLOBAL[[#Headers],[Máquinas e Equipamentos (depreciação)]])-2,0)*($G61-$H61)</f>
        <v>0</v>
      </c>
      <c r="BL61" s="22">
        <f>VLOOKUP($A61,tabCustoUnit[],COLUMN(CUSTO_GLOBAL[[#Headers],[Produtos de Limpeza e Materiais de Higiene Pessoal]])-2,0)*($G61-$H61)</f>
        <v>0</v>
      </c>
      <c r="BM61" s="22">
        <f>VLOOKUP($A61,tabCustoUnit[],COLUMN(CUSTO_GLOBAL[[#Headers],[Outros (especificar)]])-2,0)*($G61-$H61)</f>
        <v>0</v>
      </c>
      <c r="BN61" s="22">
        <f>VLOOKUP($A61,tabCustoUnit[],COLUMN(CUSTO_GLOBAL[[#Headers],[MÓDULO 5 – INSUMOS DIVERSOS]])-2,0)*($G61-$H61)</f>
        <v>644.70534640099493</v>
      </c>
      <c r="BO61" s="22" t="e">
        <f ca="1">VLOOKUP($A61,tabCustoUnit[],COLUMN(CUSTO_GLOBAL[[#Headers],[TOTAL MÓDULOS 1+2+3+4+5]])-2,0)*($G61-$H61)</f>
        <v>#NAME?</v>
      </c>
      <c r="BP61" s="22" t="e">
        <f ca="1">VLOOKUP($A61,tabCustoUnit[],COLUMN(CUSTO_GLOBAL[[#Headers],[Custos Indiretos]])-2,0)*($G61-$H61)</f>
        <v>#NAME?</v>
      </c>
      <c r="BQ61" s="22" t="e">
        <f ca="1">VLOOKUP($A61,tabCustoUnit[],COLUMN(CUSTO_GLOBAL[[#Headers],[Lucro]])-2,0)*($G61-$H61)</f>
        <v>#NAME?</v>
      </c>
      <c r="BR61" s="26">
        <f>VLOOKUP($A61,tabCustoUnit[],COLUMN(CUSTO_GLOBAL[[#Headers],[COFINS]])-2,0)</f>
        <v>8.8629737609329504E-2</v>
      </c>
      <c r="BS61" s="26">
        <f>VLOOKUP($A61,tabCustoUnit[],COLUMN(CUSTO_GLOBAL[[#Headers],[PIS]])-2,0)</f>
        <v>1.9241982507288629E-2</v>
      </c>
      <c r="BT61" s="28">
        <f>VLOOKUP($A61,tabCustoUnit[],COLUMN(CUSTO_GLOBAL[[#Headers],[ISS]])-2,0)</f>
        <v>0.05</v>
      </c>
      <c r="BU61" s="26">
        <f>VLOOKUP($A61,tabCustoUnit[],COLUMN(CUSTO_GLOBAL[[#Headers],[ISS (Conversão Alíquota s/ fatura)]])-2,0)</f>
        <v>5.8309037900874633E-2</v>
      </c>
      <c r="BV61" s="26">
        <f>VLOOKUP($A61,tabCustoUnit[],COLUMN(CUSTO_GLOBAL[[#Headers],[Resumo de Alíquotas (PIS+CONFINS+ISS)]])-2,0)</f>
        <v>0.14250000000000002</v>
      </c>
      <c r="BW61" s="138">
        <f>VLOOKUP($A61,tabCustoUnit[],COLUMN(CUSTO_GLOBAL[[#Headers],[PIS + COFINS + ISS (Total Conversão  Alíquota s/ Fatura)]])-2,0)</f>
        <v>0.16618075801749277</v>
      </c>
      <c r="BX61" s="22" t="e">
        <f ca="1">VLOOKUP($A61,tabCustoUnit[],COLUMN(CUSTO_GLOBAL[[#Headers],[Valor dos Tributos (ISS, PIS, CONFINS)]])-2,0)*($G61-$H61)</f>
        <v>#NAME?</v>
      </c>
      <c r="BY61" s="22" t="e">
        <f ca="1">VLOOKUP($A61,tabCustoUnit[],COLUMN(CUSTO_GLOBAL[[#Headers],[MÓDULO 6 – CUSTOS INDIRETOS, TRIBUTOS E LUCRO]])-2,0)*($G61-$H61)</f>
        <v>#NAME?</v>
      </c>
      <c r="BZ61" s="22" t="e">
        <f ca="1">VLOOKUP($A61,tabCustoUnit[],COLUMN(CUSTO_GLOBAL[[#Headers],[CUSTO TOTAL MENSAL]])-2,0)*($G61-$H61)</f>
        <v>#NAME?</v>
      </c>
      <c r="CA61" s="22" t="e">
        <f ca="1">CUSTO_GLOBAL[[#This Row],[CUSTO TOTAL MENSAL]]*12</f>
        <v>#NAME?</v>
      </c>
      <c r="CB61" s="24">
        <f>VLOOKUP($A61,tabCustoUnit[],COLUMN(CUSTO_GLOBAL[[#Headers],[ANO DA CCT]])-2,0)</f>
        <v>45658</v>
      </c>
      <c r="CC61" s="25" t="str">
        <f>VLOOKUP($A61,tabCustoUnit[],COLUMN(CUSTO_GLOBAL[[#Headers],[Nº DE PEDIDO DA CCT]])-2,0)</f>
        <v>-</v>
      </c>
      <c r="CD61" s="25" t="str">
        <f>VLOOKUP($A61,tabCustoUnit[],COLUMN(CUSTO_GLOBAL[[#Headers],[TERMO ADITIVO ALTERAÇÃO DA CCT]])-2,0)</f>
        <v>-</v>
      </c>
    </row>
    <row r="62" spans="1:82">
      <c r="A62" s="20" t="s">
        <v>1437</v>
      </c>
      <c r="B62" t="s">
        <v>1103</v>
      </c>
      <c r="C62" t="s">
        <v>284</v>
      </c>
      <c r="D62" t="s">
        <v>1054</v>
      </c>
      <c r="E62" s="20" t="s">
        <v>1090</v>
      </c>
      <c r="F62" s="20" t="s">
        <v>120</v>
      </c>
      <c r="G62" s="20">
        <v>3</v>
      </c>
      <c r="H62" s="20">
        <v>0</v>
      </c>
      <c r="I62" s="21">
        <f>VLOOKUP($A62,tabCustoUnit[],COLUMN(CUSTO_GLOBAL[[#Headers],[Salário Base]])-2,0)*($G62-$H62)</f>
        <v>5501.5538999999999</v>
      </c>
      <c r="J62" s="21">
        <f>VLOOKUP($A62,tabCustoUnit[],COLUMN(CUSTO_GLOBAL[[#Headers],[Adicional Periculosidade]])-2,0)*($G62-$H62)</f>
        <v>0</v>
      </c>
      <c r="K62" s="21">
        <f>VLOOKUP($A62,tabCustoUnit[],COLUMN(CUSTO_GLOBAL[[#Headers],[Adicional Insalubridade]])-2,0)*($G62-$H62)</f>
        <v>0</v>
      </c>
      <c r="L62" s="21">
        <f>VLOOKUP($A62,tabCustoUnit[],COLUMN(CUSTO_GLOBAL[[#Headers],[Adicional Noturno]])-2,0)*($G62-$H62)</f>
        <v>0</v>
      </c>
      <c r="M62" s="21">
        <f>VLOOKUP($A62,tabCustoUnit[],COLUMN(CUSTO_GLOBAL[[#Headers],[Adicional Motorista II (Gratificação)]])-2,0)*($G62-$H62)</f>
        <v>0</v>
      </c>
      <c r="N62" s="21">
        <f>VLOOKUP($A62,tabCustoUnit[],COLUMN(CUSTO_GLOBAL[[#Headers],[Adicional de Sobreaviso]])-2,0)*($G62-$H62)</f>
        <v>0</v>
      </c>
      <c r="O62" s="21">
        <f>VLOOKUP($A62,tabCustoUnit[],COLUMN(CUSTO_GLOBAL[[#Headers],[Horas Extras TI]])-2,0)*($G62-$H62)</f>
        <v>0</v>
      </c>
      <c r="P62" s="21">
        <f>VLOOKUP($A62,tabCustoUnit[],COLUMN(CUSTO_GLOBAL[[#Headers],[Adicional de Acúmulo de função]])-2,0)*($G62-$H62)</f>
        <v>0</v>
      </c>
      <c r="Q62" s="21">
        <f>VLOOKUP($A62,tabCustoUnit[],COLUMN(CUSTO_GLOBAL[[#Headers],[MODULO 1 - REMUNERAÇÃO ]])-2,0)*($G62-$H62)</f>
        <v>5501.5538999999999</v>
      </c>
      <c r="R62" s="21">
        <f>VLOOKUP($A62,tabCustoUnit[],COLUMN(CUSTO_GLOBAL[[#Headers],[INSS]])-2,0)*($G62-$H62)</f>
        <v>1100.31078</v>
      </c>
      <c r="S62" s="21">
        <f>VLOOKUP($A62,tabCustoUnit[],COLUMN(CUSTO_GLOBAL[[#Headers],[SESI OU SESC]])-2,0)*($G62-$H62)</f>
        <v>82.523308499999999</v>
      </c>
      <c r="T62" s="21">
        <f>VLOOKUP($A62,tabCustoUnit[],COLUMN(CUSTO_GLOBAL[[#Headers],[SENAI OU SENAC]])-2,0)*($G62-$H62)</f>
        <v>55.015539000000004</v>
      </c>
      <c r="U62" s="21">
        <f>VLOOKUP($A62,tabCustoUnit[],COLUMN(CUSTO_GLOBAL[[#Headers],[INCRA]])-2,0)*($G62-$H62)</f>
        <v>11.0031078</v>
      </c>
      <c r="V62" s="21">
        <f>VLOOKUP($A62,tabCustoUnit[],COLUMN(CUSTO_GLOBAL[[#Headers],[Salário Educação]])-2,0)*($G62-$H62)</f>
        <v>137.5388475</v>
      </c>
      <c r="W62" s="21">
        <f>VLOOKUP($A62,tabCustoUnit[],COLUMN(CUSTO_GLOBAL[[#Headers],[FGTS]])-2,0)*($G62-$H62)</f>
        <v>440.12431200000003</v>
      </c>
      <c r="X62" s="21">
        <f>VLOOKUP($A62,tabCustoUnit[],COLUMN(CUSTO_GLOBAL[[#Headers],[RAT Ajustado]])-2,0)*($G62-$H62)</f>
        <v>220.06215600000002</v>
      </c>
      <c r="Y62" s="21">
        <f>VLOOKUP($A62,tabCustoUnit[],COLUMN(CUSTO_GLOBAL[[#Headers],[SEBRAE]])-2,0)*($G62-$H62)</f>
        <v>33.0093234</v>
      </c>
      <c r="Z62" s="21">
        <f>VLOOKUP($A62,tabCustoUnit[],COLUMN(CUSTO_GLOBAL[[#Headers],[Submódulo 2.1]])-2,0)*($G62-$H62)</f>
        <v>2079.5873741999999</v>
      </c>
      <c r="AA62" s="21">
        <f>VLOOKUP($A62,tabCustoUnit[],COLUMN(CUSTO_GLOBAL[[#Headers],[13º salário (titular)]])-2,0)*($G62-$H62)</f>
        <v>458.46282500000001</v>
      </c>
      <c r="AB62" s="21">
        <f>VLOOKUP($A62,tabCustoUnit[],COLUMN(CUSTO_GLOBAL[[#Headers],[Férias e Adicional de Férias (titular)]])-2,0)*($G62-$H62)</f>
        <v>611.28376666666668</v>
      </c>
      <c r="AC62" s="21">
        <f>VLOOKUP($A62,tabCustoUnit[],COLUMN(CUSTO_GLOBAL[[#Headers],[Incidência do Submódulo 2.1 sobre 13º Salário, Férias e Adicional de Férias]])-2,0)*($G62-$H62)</f>
        <v>404.36421164999996</v>
      </c>
      <c r="AD62" s="21">
        <f>VLOOKUP($A62,tabCustoUnit[],COLUMN(CUSTO_GLOBAL[[#Headers],[Submódulo 2.2]])-2,0)*($G62-$H62)</f>
        <v>1474.1108033166668</v>
      </c>
      <c r="AE62" s="22" t="e">
        <f ca="1">VLOOKUP($A62,tabCustoUnit[],COLUMN(CUSTO_GLOBAL[[#Headers],[Vale - Transporte (Descontada parcela do empregado)]])-2,0)*($G62-$H62)</f>
        <v>#NAME?</v>
      </c>
      <c r="AF62" s="22">
        <f>VLOOKUP($A62,tabCustoUnit[],COLUMN(CUSTO_GLOBAL[[#Headers],[Vale - Alimentação (Descontada parcela do empregado)]])-2,0)*($G62-$H62)</f>
        <v>1745.3999999999999</v>
      </c>
      <c r="AG62" s="22">
        <f>VLOOKUP($A62,tabCustoUnit[],COLUMN(CUSTO_GLOBAL[[#Headers],[Cesta Básica]])-2,0)*($G62-$H62)</f>
        <v>0</v>
      </c>
      <c r="AH62" s="22">
        <f>VLOOKUP($A62,tabCustoUnit[],COLUMN(CUSTO_GLOBAL[[#Headers],[PAF]])-2,0)*($G62-$H62)</f>
        <v>155.19</v>
      </c>
      <c r="AI62" s="22">
        <f>VLOOKUP($A62,tabCustoUnit[],COLUMN(CUSTO_GLOBAL[[#Headers],[PQM]])-2,0)*($G62-$H62)</f>
        <v>0</v>
      </c>
      <c r="AJ62" s="22">
        <v>0</v>
      </c>
      <c r="AK62" s="22">
        <f>VLOOKUP($A62,tabCustoUnit[],COLUMN(CUSTO_GLOBAL[[#Headers],[Seguro de Vida]])-2,0)*($G62-$H62)</f>
        <v>10.08</v>
      </c>
      <c r="AL62" s="22">
        <f>VLOOKUP($A62,tabCustoUnit[],COLUMN(CUSTO_GLOBAL[[#Headers],[Despesas de Viagem]])-2,0)*($G62-$H62)</f>
        <v>606.24</v>
      </c>
      <c r="AM62" s="22" t="e">
        <f ca="1">VLOOKUP($A62,tabCustoUnit[],COLUMN(CUSTO_GLOBAL[[#Headers],[Submódulo 2.3]])-2,0)*($G62-$H62)</f>
        <v>#NAME?</v>
      </c>
      <c r="AN62" s="22" t="e">
        <f ca="1">VLOOKUP($A62,tabCustoUnit[],COLUMN(CUSTO_GLOBAL[[#Headers],[MÓDULO 2 - Total Encargos e Benefícios mensais e diários]])-2,0)*($G62-$H62)</f>
        <v>#NAME?</v>
      </c>
      <c r="AO62" s="22">
        <f>VLOOKUP($A62,tabCustoUnit[],COLUMN(CUSTO_GLOBAL[[#Headers],[Aviso Prévio Indenizado (API) e Reflexo do Aviso Prévio Indenizado]])-2,0)*($G62-$H62)</f>
        <v>38.575613948900461</v>
      </c>
      <c r="AP62" s="22">
        <f>VLOOKUP($A62,tabCustoUnit[],COLUMN(CUSTO_GLOBAL[[#Headers],[Incidência do FGTS sobre API e Reflexo do API]])-2,0)*($G62-$H62)</f>
        <v>3.0860491159120373</v>
      </c>
      <c r="AQ62" s="22">
        <f>VLOOKUP($A62,tabCustoUnit[],COLUMN(CUSTO_GLOBAL[[#Headers],[Multa Rescisória do FGTS sobre o Aviso Prévio Indenizado]])-2,0)*($G62-$H62)</f>
        <v>1.2344196463648152</v>
      </c>
      <c r="AR62" s="22">
        <f>VLOOKUP($A62,tabCustoUnit[],COLUMN(CUSTO_GLOBAL[[#Headers],[Aviso Prévio Trabalhado - APT]])-2,0)*($G62-$H62)</f>
        <v>19.255438650000002</v>
      </c>
      <c r="AS62" s="22">
        <f>VLOOKUP($A62,tabCustoUnit[],COLUMN(CUSTO_GLOBAL[[#Headers],[Incidência dos encargos do submódulo 2.1 sobre Aviso Prévio Trabalhado]])-2,0)*($G62-$H62)</f>
        <v>7.278555809700002</v>
      </c>
      <c r="AT62" s="22">
        <f>VLOOKUP($A62,tabCustoUnit[],COLUMN(CUSTO_GLOBAL[[#Headers],[Multa Rescisória do FGTS]])-2,0)*($G62-$H62)</f>
        <v>168.22529258666665</v>
      </c>
      <c r="AU62" s="22">
        <f>VLOOKUP($A62,tabCustoUnit[],COLUMN(CUSTO_GLOBAL[[#Headers],[Indenização Adicional (Art. 9º da Lei nº 7.238/84)]])-2,0)*($G62-$H62)</f>
        <v>4.5846282500000006</v>
      </c>
      <c r="AV62" s="22">
        <f>VLOOKUP($A62,tabCustoUnit[],COLUMN(CUSTO_GLOBAL[[#Headers],[MÓDULO 3 – PROVISÃO PARA RESCISÃO]])-2,0)*($G62-$H62)</f>
        <v>242.23999800754399</v>
      </c>
      <c r="AW62" s="22">
        <f>VLOOKUP($A62,tabCustoUnit[],COLUMN(CUSTO_GLOBAL[[#Headers],[Ausência por Doença]])-2,0)*($G62-$H62)</f>
        <v>46.45756626666666</v>
      </c>
      <c r="AX62" s="22">
        <f>VLOOKUP($A62,tabCustoUnit[],COLUMN(CUSTO_GLOBAL[[#Headers],[Ausências Legais]])-2,0)*($G62-$H62)</f>
        <v>11.155928741666665</v>
      </c>
      <c r="AY62" s="22">
        <f>VLOOKUP($A62,tabCustoUnit[],COLUMN(CUSTO_GLOBAL[[#Headers],[Licença Paternidade]])-2,0)*($G62-$H62)</f>
        <v>0.93984879124999998</v>
      </c>
      <c r="AZ62" s="22">
        <f>VLOOKUP($A62,tabCustoUnit[],COLUMN(CUSTO_GLOBAL[[#Headers],[Ausência por Acidente de Trabalho]])-2,0)*($G62-$H62)</f>
        <v>1.1461570625000002</v>
      </c>
      <c r="BA62" s="22">
        <f>VLOOKUP($A62,tabCustoUnit[],COLUMN(CUSTO_GLOBAL[[#Headers],[Férias, Adicional de Férias e 13º  com empregada em gozo de Licença Maternidade]])-2,0)*($G62-$H62)</f>
        <v>7.1316439444444439</v>
      </c>
      <c r="BB62" s="22">
        <f>VLOOKUP($A62,tabCustoUnit[],COLUMN(CUSTO_GLOBAL[[#Headers],[Incidência do Submódulo 2.1 sobre Ausências Legais]])-2,0)*($G62-$H62)</f>
        <v>25.262172736867505</v>
      </c>
      <c r="BC62" s="22">
        <f>VLOOKUP($A62,tabCustoUnit[],COLUMN(CUSTO_GLOBAL[[#Headers],[Submódulo 4.1]])-2,0)*($G62-$H62)</f>
        <v>92.093317543395273</v>
      </c>
      <c r="BD62" s="22">
        <f>VLOOKUP($A62,tabCustoUnit[],COLUMN(CUSTO_GLOBAL[[#Headers],[Intervalo para Repouso ou Alimentação]])-2,0)*($G62-$H62)</f>
        <v>0</v>
      </c>
      <c r="BE62" s="22">
        <f>VLOOKUP($A62,tabCustoUnit[],COLUMN(CUSTO_GLOBAL[[#Headers],[Submódulo 4.2]])-2,0)*($G62-$H62)</f>
        <v>0</v>
      </c>
      <c r="BF62" s="22">
        <f>VLOOKUP($A62,tabCustoUnit[],COLUMN(CUSTO_GLOBAL[[#Headers],[Suspensão Temporária do Contrato de Trabalho]])-2,0)*($G62-$H62)</f>
        <v>0</v>
      </c>
      <c r="BG62" s="22">
        <f>VLOOKUP($A62,tabCustoUnit[],COLUMN(CUSTO_GLOBAL[[#Headers],[Submódulo 4.3]])-2,0)*($G62-$H62)</f>
        <v>0</v>
      </c>
      <c r="BH62" s="22">
        <f>VLOOKUP($A62,tabCustoUnit[],COLUMN(CUSTO_GLOBAL[[#Headers],[MÓDULO 4 – CUSTO DE REPOSIÇÃO DO PROFISSIONAL AUSENTE]])-2,0)*($G62-$H62)</f>
        <v>92.093317543395273</v>
      </c>
      <c r="BI62" s="22">
        <f>VLOOKUP($A62,tabCustoUnit[],COLUMN(CUSTO_GLOBAL[[#Headers],[Uniformes e EPIs]])-2,0)*($G62-$H62)</f>
        <v>272.35403934611912</v>
      </c>
      <c r="BJ62" s="22">
        <f>VLOOKUP($A62,tabCustoUnit[],COLUMN(CUSTO_GLOBAL[[#Headers],[Materiais de Consumo]])-2,0)*($G62-$H62)</f>
        <v>0</v>
      </c>
      <c r="BK62" s="22">
        <f>VLOOKUP($A62,tabCustoUnit[],COLUMN(CUSTO_GLOBAL[[#Headers],[Máquinas e Equipamentos (depreciação)]])-2,0)*($G62-$H62)</f>
        <v>0</v>
      </c>
      <c r="BL62" s="22">
        <f>VLOOKUP($A62,tabCustoUnit[],COLUMN(CUSTO_GLOBAL[[#Headers],[Produtos de Limpeza e Materiais de Higiene Pessoal]])-2,0)*($G62-$H62)</f>
        <v>0</v>
      </c>
      <c r="BM62" s="22">
        <f>VLOOKUP($A62,tabCustoUnit[],COLUMN(CUSTO_GLOBAL[[#Headers],[Outros (especificar)]])-2,0)*($G62-$H62)</f>
        <v>0</v>
      </c>
      <c r="BN62" s="22">
        <f>VLOOKUP($A62,tabCustoUnit[],COLUMN(CUSTO_GLOBAL[[#Headers],[MÓDULO 5 – INSUMOS DIVERSOS]])-2,0)*($G62-$H62)</f>
        <v>272.35403934611912</v>
      </c>
      <c r="BO62" s="22" t="e">
        <f ca="1">VLOOKUP($A62,tabCustoUnit[],COLUMN(CUSTO_GLOBAL[[#Headers],[TOTAL MÓDULOS 1+2+3+4+5]])-2,0)*($G62-$H62)</f>
        <v>#NAME?</v>
      </c>
      <c r="BP62" s="22" t="e">
        <f ca="1">VLOOKUP($A62,tabCustoUnit[],COLUMN(CUSTO_GLOBAL[[#Headers],[Custos Indiretos]])-2,0)*($G62-$H62)</f>
        <v>#NAME?</v>
      </c>
      <c r="BQ62" s="22" t="e">
        <f ca="1">VLOOKUP($A62,tabCustoUnit[],COLUMN(CUSTO_GLOBAL[[#Headers],[Lucro]])-2,0)*($G62-$H62)</f>
        <v>#NAME?</v>
      </c>
      <c r="BR62" s="26">
        <f>VLOOKUP($A62,tabCustoUnit[],COLUMN(CUSTO_GLOBAL[[#Headers],[COFINS]])-2,0)</f>
        <v>8.8629737609329504E-2</v>
      </c>
      <c r="BS62" s="26">
        <f>VLOOKUP($A62,tabCustoUnit[],COLUMN(CUSTO_GLOBAL[[#Headers],[PIS]])-2,0)</f>
        <v>1.9241982507288629E-2</v>
      </c>
      <c r="BT62" s="28">
        <f>VLOOKUP($A62,tabCustoUnit[],COLUMN(CUSTO_GLOBAL[[#Headers],[ISS]])-2,0)</f>
        <v>0.05</v>
      </c>
      <c r="BU62" s="26">
        <f>VLOOKUP($A62,tabCustoUnit[],COLUMN(CUSTO_GLOBAL[[#Headers],[ISS (Conversão Alíquota s/ fatura)]])-2,0)</f>
        <v>5.8309037900874633E-2</v>
      </c>
      <c r="BV62" s="26">
        <f>VLOOKUP($A62,tabCustoUnit[],COLUMN(CUSTO_GLOBAL[[#Headers],[Resumo de Alíquotas (PIS+CONFINS+ISS)]])-2,0)</f>
        <v>0.14250000000000002</v>
      </c>
      <c r="BW62" s="138">
        <f>VLOOKUP($A62,tabCustoUnit[],COLUMN(CUSTO_GLOBAL[[#Headers],[PIS + COFINS + ISS (Total Conversão  Alíquota s/ Fatura)]])-2,0)</f>
        <v>0.16618075801749277</v>
      </c>
      <c r="BX62" s="22" t="e">
        <f ca="1">VLOOKUP($A62,tabCustoUnit[],COLUMN(CUSTO_GLOBAL[[#Headers],[Valor dos Tributos (ISS, PIS, CONFINS)]])-2,0)*($G62-$H62)</f>
        <v>#NAME?</v>
      </c>
      <c r="BY62" s="22" t="e">
        <f ca="1">VLOOKUP($A62,tabCustoUnit[],COLUMN(CUSTO_GLOBAL[[#Headers],[MÓDULO 6 – CUSTOS INDIRETOS, TRIBUTOS E LUCRO]])-2,0)*($G62-$H62)</f>
        <v>#NAME?</v>
      </c>
      <c r="BZ62" s="22" t="e">
        <f ca="1">VLOOKUP($A62,tabCustoUnit[],COLUMN(CUSTO_GLOBAL[[#Headers],[CUSTO TOTAL MENSAL]])-2,0)*($G62-$H62)</f>
        <v>#NAME?</v>
      </c>
      <c r="CA62" s="22" t="e">
        <f ca="1">CUSTO_GLOBAL[[#This Row],[CUSTO TOTAL MENSAL]]*12</f>
        <v>#NAME?</v>
      </c>
      <c r="CB62" s="24">
        <f>VLOOKUP($A62,tabCustoUnit[],COLUMN(CUSTO_GLOBAL[[#Headers],[ANO DA CCT]])-2,0)</f>
        <v>45658</v>
      </c>
      <c r="CC62" s="25" t="str">
        <f>VLOOKUP($A62,tabCustoUnit[],COLUMN(CUSTO_GLOBAL[[#Headers],[Nº DE PEDIDO DA CCT]])-2,0)</f>
        <v>-</v>
      </c>
      <c r="CD62" s="25" t="str">
        <f>VLOOKUP($A62,tabCustoUnit[],COLUMN(CUSTO_GLOBAL[[#Headers],[TERMO ADITIVO ALTERAÇÃO DA CCT]])-2,0)</f>
        <v>-</v>
      </c>
    </row>
    <row r="63" spans="1:82">
      <c r="A63" s="20" t="s">
        <v>1439</v>
      </c>
      <c r="B63" t="s">
        <v>1103</v>
      </c>
      <c r="C63" t="s">
        <v>294</v>
      </c>
      <c r="D63" t="s">
        <v>1035</v>
      </c>
      <c r="E63" s="20" t="s">
        <v>1090</v>
      </c>
      <c r="F63" s="20" t="s">
        <v>120</v>
      </c>
      <c r="G63" s="20">
        <v>6</v>
      </c>
      <c r="H63" s="20">
        <v>0</v>
      </c>
      <c r="I63" s="21">
        <f>VLOOKUP($A63,tabCustoUnit[],COLUMN(CUSTO_GLOBAL[[#Headers],[Salário Base]])-2,0)*($G63-$H63)</f>
        <v>22042.819199999998</v>
      </c>
      <c r="J63" s="21">
        <f>VLOOKUP($A63,tabCustoUnit[],COLUMN(CUSTO_GLOBAL[[#Headers],[Adicional Periculosidade]])-2,0)*($G63-$H63)</f>
        <v>0</v>
      </c>
      <c r="K63" s="21">
        <f>VLOOKUP($A63,tabCustoUnit[],COLUMN(CUSTO_GLOBAL[[#Headers],[Adicional Insalubridade]])-2,0)*($G63-$H63)</f>
        <v>0</v>
      </c>
      <c r="L63" s="21">
        <f>VLOOKUP($A63,tabCustoUnit[],COLUMN(CUSTO_GLOBAL[[#Headers],[Adicional Noturno]])-2,0)*($G63-$H63)</f>
        <v>0</v>
      </c>
      <c r="M63" s="21">
        <f>VLOOKUP($A63,tabCustoUnit[],COLUMN(CUSTO_GLOBAL[[#Headers],[Adicional Motorista II (Gratificação)]])-2,0)*($G63-$H63)</f>
        <v>0</v>
      </c>
      <c r="N63" s="21">
        <f>VLOOKUP($A63,tabCustoUnit[],COLUMN(CUSTO_GLOBAL[[#Headers],[Adicional de Sobreaviso]])-2,0)*($G63-$H63)</f>
        <v>0</v>
      </c>
      <c r="O63" s="21">
        <f>VLOOKUP($A63,tabCustoUnit[],COLUMN(CUSTO_GLOBAL[[#Headers],[Horas Extras TI]])-2,0)*($G63-$H63)</f>
        <v>0</v>
      </c>
      <c r="P63" s="21">
        <f>VLOOKUP($A63,tabCustoUnit[],COLUMN(CUSTO_GLOBAL[[#Headers],[Adicional de Acúmulo de função]])-2,0)*($G63-$H63)</f>
        <v>0</v>
      </c>
      <c r="Q63" s="21">
        <f>VLOOKUP($A63,tabCustoUnit[],COLUMN(CUSTO_GLOBAL[[#Headers],[MODULO 1 - REMUNERAÇÃO ]])-2,0)*($G63-$H63)</f>
        <v>22042.819199999998</v>
      </c>
      <c r="R63" s="21">
        <f>VLOOKUP($A63,tabCustoUnit[],COLUMN(CUSTO_GLOBAL[[#Headers],[INSS]])-2,0)*($G63-$H63)</f>
        <v>4408.5638399999998</v>
      </c>
      <c r="S63" s="21">
        <f>VLOOKUP($A63,tabCustoUnit[],COLUMN(CUSTO_GLOBAL[[#Headers],[SESI OU SESC]])-2,0)*($G63-$H63)</f>
        <v>330.64228800000001</v>
      </c>
      <c r="T63" s="21">
        <f>VLOOKUP($A63,tabCustoUnit[],COLUMN(CUSTO_GLOBAL[[#Headers],[SENAI OU SENAC]])-2,0)*($G63-$H63)</f>
        <v>220.42819199999997</v>
      </c>
      <c r="U63" s="21">
        <f>VLOOKUP($A63,tabCustoUnit[],COLUMN(CUSTO_GLOBAL[[#Headers],[INCRA]])-2,0)*($G63-$H63)</f>
        <v>44.085638400000001</v>
      </c>
      <c r="V63" s="21">
        <f>VLOOKUP($A63,tabCustoUnit[],COLUMN(CUSTO_GLOBAL[[#Headers],[Salário Educação]])-2,0)*($G63-$H63)</f>
        <v>551.07047999999998</v>
      </c>
      <c r="W63" s="21">
        <f>VLOOKUP($A63,tabCustoUnit[],COLUMN(CUSTO_GLOBAL[[#Headers],[FGTS]])-2,0)*($G63-$H63)</f>
        <v>1763.4255359999997</v>
      </c>
      <c r="X63" s="21">
        <f>VLOOKUP($A63,tabCustoUnit[],COLUMN(CUSTO_GLOBAL[[#Headers],[RAT Ajustado]])-2,0)*($G63-$H63)</f>
        <v>881.71276799999987</v>
      </c>
      <c r="Y63" s="21">
        <f>VLOOKUP($A63,tabCustoUnit[],COLUMN(CUSTO_GLOBAL[[#Headers],[SEBRAE]])-2,0)*($G63-$H63)</f>
        <v>132.25691520000001</v>
      </c>
      <c r="Z63" s="21">
        <f>VLOOKUP($A63,tabCustoUnit[],COLUMN(CUSTO_GLOBAL[[#Headers],[Submódulo 2.1]])-2,0)*($G63-$H63)</f>
        <v>8332.1856575999991</v>
      </c>
      <c r="AA63" s="21">
        <f>VLOOKUP($A63,tabCustoUnit[],COLUMN(CUSTO_GLOBAL[[#Headers],[13º salário (titular)]])-2,0)*($G63-$H63)</f>
        <v>1836.9015999999999</v>
      </c>
      <c r="AB63" s="21">
        <f>VLOOKUP($A63,tabCustoUnit[],COLUMN(CUSTO_GLOBAL[[#Headers],[Férias e Adicional de Férias (titular)]])-2,0)*($G63-$H63)</f>
        <v>2449.2021333333332</v>
      </c>
      <c r="AC63" s="21">
        <f>VLOOKUP($A63,tabCustoUnit[],COLUMN(CUSTO_GLOBAL[[#Headers],[Incidência do Submódulo 2.1 sobre 13º Salário, Férias e Adicional de Férias]])-2,0)*($G63-$H63)</f>
        <v>1620.1472112000001</v>
      </c>
      <c r="AD63" s="21">
        <f>VLOOKUP($A63,tabCustoUnit[],COLUMN(CUSTO_GLOBAL[[#Headers],[Submódulo 2.2]])-2,0)*($G63-$H63)</f>
        <v>5906.2509445333326</v>
      </c>
      <c r="AE63" s="22" t="e">
        <f ca="1">VLOOKUP($A63,tabCustoUnit[],COLUMN(CUSTO_GLOBAL[[#Headers],[Vale - Transporte (Descontada parcela do empregado)]])-2,0)*($G63-$H63)</f>
        <v>#NAME?</v>
      </c>
      <c r="AF63" s="22">
        <f>VLOOKUP($A63,tabCustoUnit[],COLUMN(CUSTO_GLOBAL[[#Headers],[Vale - Alimentação (Descontada parcela do empregado)]])-2,0)*($G63-$H63)</f>
        <v>3492</v>
      </c>
      <c r="AG63" s="22">
        <f>VLOOKUP($A63,tabCustoUnit[],COLUMN(CUSTO_GLOBAL[[#Headers],[Cesta Básica]])-2,0)*($G63-$H63)</f>
        <v>0</v>
      </c>
      <c r="AH63" s="22">
        <f>VLOOKUP($A63,tabCustoUnit[],COLUMN(CUSTO_GLOBAL[[#Headers],[PAF]])-2,0)*($G63-$H63)</f>
        <v>575.40000000000009</v>
      </c>
      <c r="AI63" s="22">
        <f>VLOOKUP($A63,tabCustoUnit[],COLUMN(CUSTO_GLOBAL[[#Headers],[PQM]])-2,0)*($G63-$H63)</f>
        <v>0</v>
      </c>
      <c r="AJ63" s="22">
        <v>0</v>
      </c>
      <c r="AK63" s="22">
        <f>VLOOKUP($A63,tabCustoUnit[],COLUMN(CUSTO_GLOBAL[[#Headers],[Seguro de Vida]])-2,0)*($G63-$H63)</f>
        <v>20.16</v>
      </c>
      <c r="AL63" s="22">
        <f>VLOOKUP($A63,tabCustoUnit[],COLUMN(CUSTO_GLOBAL[[#Headers],[Despesas de Viagem]])-2,0)*($G63-$H63)</f>
        <v>1212.48</v>
      </c>
      <c r="AM63" s="22" t="e">
        <f ca="1">VLOOKUP($A63,tabCustoUnit[],COLUMN(CUSTO_GLOBAL[[#Headers],[Submódulo 2.3]])-2,0)*($G63-$H63)</f>
        <v>#NAME?</v>
      </c>
      <c r="AN63" s="22" t="e">
        <f ca="1">VLOOKUP($A63,tabCustoUnit[],COLUMN(CUSTO_GLOBAL[[#Headers],[MÓDULO 2 - Total Encargos e Benefícios mensais e diários]])-2,0)*($G63-$H63)</f>
        <v>#NAME?</v>
      </c>
      <c r="AO63" s="22">
        <f>VLOOKUP($A63,tabCustoUnit[],COLUMN(CUSTO_GLOBAL[[#Headers],[Aviso Prévio Indenizado (API) e Reflexo do Aviso Prévio Indenizado]])-2,0)*($G63-$H63)</f>
        <v>154.55911170925924</v>
      </c>
      <c r="AP63" s="22">
        <f>VLOOKUP($A63,tabCustoUnit[],COLUMN(CUSTO_GLOBAL[[#Headers],[Incidência do FGTS sobre API e Reflexo do API]])-2,0)*($G63-$H63)</f>
        <v>12.364728936740741</v>
      </c>
      <c r="AQ63" s="22">
        <f>VLOOKUP($A63,tabCustoUnit[],COLUMN(CUSTO_GLOBAL[[#Headers],[Multa Rescisória do FGTS sobre o Aviso Prévio Indenizado]])-2,0)*($G63-$H63)</f>
        <v>4.9458915746962973</v>
      </c>
      <c r="AR63" s="22">
        <f>VLOOKUP($A63,tabCustoUnit[],COLUMN(CUSTO_GLOBAL[[#Headers],[Aviso Prévio Trabalhado - APT]])-2,0)*($G63-$H63)</f>
        <v>77.149867200000003</v>
      </c>
      <c r="AS63" s="22">
        <f>VLOOKUP($A63,tabCustoUnit[],COLUMN(CUSTO_GLOBAL[[#Headers],[Incidência dos encargos do submódulo 2.1 sobre Aviso Prévio Trabalhado]])-2,0)*($G63-$H63)</f>
        <v>29.162649801600011</v>
      </c>
      <c r="AT63" s="22">
        <f>VLOOKUP($A63,tabCustoUnit[],COLUMN(CUSTO_GLOBAL[[#Headers],[Multa Rescisória do FGTS]])-2,0)*($G63-$H63)</f>
        <v>674.02042709333318</v>
      </c>
      <c r="AU63" s="22">
        <f>VLOOKUP($A63,tabCustoUnit[],COLUMN(CUSTO_GLOBAL[[#Headers],[Indenização Adicional (Art. 9º da Lei nº 7.238/84)]])-2,0)*($G63-$H63)</f>
        <v>18.369016000000002</v>
      </c>
      <c r="AV63" s="22">
        <f>VLOOKUP($A63,tabCustoUnit[],COLUMN(CUSTO_GLOBAL[[#Headers],[MÓDULO 3 – PROVISÃO PARA RESCISÃO]])-2,0)*($G63-$H63)</f>
        <v>970.57169231562943</v>
      </c>
      <c r="AW63" s="22">
        <f>VLOOKUP($A63,tabCustoUnit[],COLUMN(CUSTO_GLOBAL[[#Headers],[Ausência por Doença]])-2,0)*($G63-$H63)</f>
        <v>186.13936213333332</v>
      </c>
      <c r="AX63" s="22">
        <f>VLOOKUP($A63,tabCustoUnit[],COLUMN(CUSTO_GLOBAL[[#Headers],[Ausências Legais]])-2,0)*($G63-$H63)</f>
        <v>44.697938933333326</v>
      </c>
      <c r="AY63" s="22">
        <f>VLOOKUP($A63,tabCustoUnit[],COLUMN(CUSTO_GLOBAL[[#Headers],[Licença Paternidade]])-2,0)*($G63-$H63)</f>
        <v>3.7656482799999997</v>
      </c>
      <c r="AZ63" s="22">
        <f>VLOOKUP($A63,tabCustoUnit[],COLUMN(CUSTO_GLOBAL[[#Headers],[Ausência por Acidente de Trabalho]])-2,0)*($G63-$H63)</f>
        <v>4.5922540000000005</v>
      </c>
      <c r="BA63" s="22">
        <f>VLOOKUP($A63,tabCustoUnit[],COLUMN(CUSTO_GLOBAL[[#Headers],[Férias, Adicional de Férias e 13º  com empregada em gozo de Licença Maternidade]])-2,0)*($G63-$H63)</f>
        <v>28.574024888888886</v>
      </c>
      <c r="BB63" s="22">
        <f>VLOOKUP($A63,tabCustoUnit[],COLUMN(CUSTO_GLOBAL[[#Headers],[Incidência do Submódulo 2.1 sobre Ausências Legais]])-2,0)*($G63-$H63)</f>
        <v>101.21676827304</v>
      </c>
      <c r="BC63" s="22">
        <f>VLOOKUP($A63,tabCustoUnit[],COLUMN(CUSTO_GLOBAL[[#Headers],[Submódulo 4.1]])-2,0)*($G63-$H63)</f>
        <v>368.98599650859552</v>
      </c>
      <c r="BD63" s="22">
        <f>VLOOKUP($A63,tabCustoUnit[],COLUMN(CUSTO_GLOBAL[[#Headers],[Intervalo para Repouso ou Alimentação]])-2,0)*($G63-$H63)</f>
        <v>0</v>
      </c>
      <c r="BE63" s="22">
        <f>VLOOKUP($A63,tabCustoUnit[],COLUMN(CUSTO_GLOBAL[[#Headers],[Submódulo 4.2]])-2,0)*($G63-$H63)</f>
        <v>0</v>
      </c>
      <c r="BF63" s="22">
        <f>VLOOKUP($A63,tabCustoUnit[],COLUMN(CUSTO_GLOBAL[[#Headers],[Suspensão Temporária do Contrato de Trabalho]])-2,0)*($G63-$H63)</f>
        <v>0</v>
      </c>
      <c r="BG63" s="22">
        <f>VLOOKUP($A63,tabCustoUnit[],COLUMN(CUSTO_GLOBAL[[#Headers],[Submódulo 4.3]])-2,0)*($G63-$H63)</f>
        <v>0</v>
      </c>
      <c r="BH63" s="22">
        <f>VLOOKUP($A63,tabCustoUnit[],COLUMN(CUSTO_GLOBAL[[#Headers],[MÓDULO 4 – CUSTO DE REPOSIÇÃO DO PROFISSIONAL AUSENTE]])-2,0)*($G63-$H63)</f>
        <v>368.98599650859552</v>
      </c>
      <c r="BI63" s="22">
        <f>VLOOKUP($A63,tabCustoUnit[],COLUMN(CUSTO_GLOBAL[[#Headers],[Uniformes e EPIs]])-2,0)*($G63-$H63)</f>
        <v>2168.5850983652972</v>
      </c>
      <c r="BJ63" s="22">
        <f>VLOOKUP($A63,tabCustoUnit[],COLUMN(CUSTO_GLOBAL[[#Headers],[Materiais de Consumo]])-2,0)*($G63-$H63)</f>
        <v>0</v>
      </c>
      <c r="BK63" s="22">
        <f>VLOOKUP($A63,tabCustoUnit[],COLUMN(CUSTO_GLOBAL[[#Headers],[Máquinas e Equipamentos (depreciação)]])-2,0)*($G63-$H63)</f>
        <v>0</v>
      </c>
      <c r="BL63" s="22">
        <f>VLOOKUP($A63,tabCustoUnit[],COLUMN(CUSTO_GLOBAL[[#Headers],[Produtos de Limpeza e Materiais de Higiene Pessoal]])-2,0)*($G63-$H63)</f>
        <v>0</v>
      </c>
      <c r="BM63" s="22">
        <f>VLOOKUP($A63,tabCustoUnit[],COLUMN(CUSTO_GLOBAL[[#Headers],[Outros (especificar)]])-2,0)*($G63-$H63)</f>
        <v>0</v>
      </c>
      <c r="BN63" s="22">
        <f>VLOOKUP($A63,tabCustoUnit[],COLUMN(CUSTO_GLOBAL[[#Headers],[MÓDULO 5 – INSUMOS DIVERSOS]])-2,0)*($G63-$H63)</f>
        <v>2168.5850983652972</v>
      </c>
      <c r="BO63" s="22" t="e">
        <f ca="1">VLOOKUP($A63,tabCustoUnit[],COLUMN(CUSTO_GLOBAL[[#Headers],[TOTAL MÓDULOS 1+2+3+4+5]])-2,0)*($G63-$H63)</f>
        <v>#NAME?</v>
      </c>
      <c r="BP63" s="22" t="e">
        <f ca="1">VLOOKUP($A63,tabCustoUnit[],COLUMN(CUSTO_GLOBAL[[#Headers],[Custos Indiretos]])-2,0)*($G63-$H63)</f>
        <v>#NAME?</v>
      </c>
      <c r="BQ63" s="22" t="e">
        <f ca="1">VLOOKUP($A63,tabCustoUnit[],COLUMN(CUSTO_GLOBAL[[#Headers],[Lucro]])-2,0)*($G63-$H63)</f>
        <v>#NAME?</v>
      </c>
      <c r="BR63" s="26">
        <f>VLOOKUP($A63,tabCustoUnit[],COLUMN(CUSTO_GLOBAL[[#Headers],[COFINS]])-2,0)</f>
        <v>8.8629737609329504E-2</v>
      </c>
      <c r="BS63" s="26">
        <f>VLOOKUP($A63,tabCustoUnit[],COLUMN(CUSTO_GLOBAL[[#Headers],[PIS]])-2,0)</f>
        <v>1.9241982507288629E-2</v>
      </c>
      <c r="BT63" s="28">
        <f>VLOOKUP($A63,tabCustoUnit[],COLUMN(CUSTO_GLOBAL[[#Headers],[ISS]])-2,0)</f>
        <v>0.05</v>
      </c>
      <c r="BU63" s="26">
        <f>VLOOKUP($A63,tabCustoUnit[],COLUMN(CUSTO_GLOBAL[[#Headers],[ISS (Conversão Alíquota s/ fatura)]])-2,0)</f>
        <v>5.8309037900874633E-2</v>
      </c>
      <c r="BV63" s="26">
        <f>VLOOKUP($A63,tabCustoUnit[],COLUMN(CUSTO_GLOBAL[[#Headers],[Resumo de Alíquotas (PIS+CONFINS+ISS)]])-2,0)</f>
        <v>0.14250000000000002</v>
      </c>
      <c r="BW63" s="138">
        <f>VLOOKUP($A63,tabCustoUnit[],COLUMN(CUSTO_GLOBAL[[#Headers],[PIS + COFINS + ISS (Total Conversão  Alíquota s/ Fatura)]])-2,0)</f>
        <v>0.16618075801749277</v>
      </c>
      <c r="BX63" s="22" t="e">
        <f ca="1">VLOOKUP($A63,tabCustoUnit[],COLUMN(CUSTO_GLOBAL[[#Headers],[Valor dos Tributos (ISS, PIS, CONFINS)]])-2,0)*($G63-$H63)</f>
        <v>#NAME?</v>
      </c>
      <c r="BY63" s="22" t="e">
        <f ca="1">VLOOKUP($A63,tabCustoUnit[],COLUMN(CUSTO_GLOBAL[[#Headers],[MÓDULO 6 – CUSTOS INDIRETOS, TRIBUTOS E LUCRO]])-2,0)*($G63-$H63)</f>
        <v>#NAME?</v>
      </c>
      <c r="BZ63" s="22" t="e">
        <f ca="1">VLOOKUP($A63,tabCustoUnit[],COLUMN(CUSTO_GLOBAL[[#Headers],[CUSTO TOTAL MENSAL]])-2,0)*($G63-$H63)</f>
        <v>#NAME?</v>
      </c>
      <c r="CA63" s="22" t="e">
        <f ca="1">CUSTO_GLOBAL[[#This Row],[CUSTO TOTAL MENSAL]]*12</f>
        <v>#NAME?</v>
      </c>
      <c r="CB63" s="24">
        <f>VLOOKUP($A63,tabCustoUnit[],COLUMN(CUSTO_GLOBAL[[#Headers],[ANO DA CCT]])-2,0)</f>
        <v>45658</v>
      </c>
      <c r="CC63" s="25" t="str">
        <f>VLOOKUP($A63,tabCustoUnit[],COLUMN(CUSTO_GLOBAL[[#Headers],[Nº DE PEDIDO DA CCT]])-2,0)</f>
        <v>-</v>
      </c>
      <c r="CD63" s="25" t="str">
        <f>VLOOKUP($A63,tabCustoUnit[],COLUMN(CUSTO_GLOBAL[[#Headers],[TERMO ADITIVO ALTERAÇÃO DA CCT]])-2,0)</f>
        <v>-</v>
      </c>
    </row>
    <row r="64" spans="1:82">
      <c r="A64" s="20" t="s">
        <v>1440</v>
      </c>
      <c r="B64" t="s">
        <v>1103</v>
      </c>
      <c r="C64" t="s">
        <v>299</v>
      </c>
      <c r="D64" t="s">
        <v>1035</v>
      </c>
      <c r="E64" s="20" t="s">
        <v>1090</v>
      </c>
      <c r="F64" s="20" t="s">
        <v>120</v>
      </c>
      <c r="G64" s="20">
        <v>8</v>
      </c>
      <c r="H64" s="20">
        <v>0</v>
      </c>
      <c r="I64" s="21">
        <f>VLOOKUP($A64,tabCustoUnit[],COLUMN(CUSTO_GLOBAL[[#Headers],[Salário Base]])-2,0)*($G64-$H64)</f>
        <v>29390.425599999999</v>
      </c>
      <c r="J64" s="21">
        <f>VLOOKUP($A64,tabCustoUnit[],COLUMN(CUSTO_GLOBAL[[#Headers],[Adicional Periculosidade]])-2,0)*($G64-$H64)</f>
        <v>0</v>
      </c>
      <c r="K64" s="21">
        <f>VLOOKUP($A64,tabCustoUnit[],COLUMN(CUSTO_GLOBAL[[#Headers],[Adicional Insalubridade]])-2,0)*($G64-$H64)</f>
        <v>2428.8000000000002</v>
      </c>
      <c r="L64" s="21">
        <f>VLOOKUP($A64,tabCustoUnit[],COLUMN(CUSTO_GLOBAL[[#Headers],[Adicional Noturno]])-2,0)*($G64-$H64)</f>
        <v>0</v>
      </c>
      <c r="M64" s="21">
        <f>VLOOKUP($A64,tabCustoUnit[],COLUMN(CUSTO_GLOBAL[[#Headers],[Adicional Motorista II (Gratificação)]])-2,0)*($G64-$H64)</f>
        <v>0</v>
      </c>
      <c r="N64" s="21">
        <f>VLOOKUP($A64,tabCustoUnit[],COLUMN(CUSTO_GLOBAL[[#Headers],[Adicional de Sobreaviso]])-2,0)*($G64-$H64)</f>
        <v>0</v>
      </c>
      <c r="O64" s="21">
        <f>VLOOKUP($A64,tabCustoUnit[],COLUMN(CUSTO_GLOBAL[[#Headers],[Horas Extras TI]])-2,0)*($G64-$H64)</f>
        <v>0</v>
      </c>
      <c r="P64" s="21">
        <f>VLOOKUP($A64,tabCustoUnit[],COLUMN(CUSTO_GLOBAL[[#Headers],[Adicional de Acúmulo de função]])-2,0)*($G64-$H64)</f>
        <v>0</v>
      </c>
      <c r="Q64" s="21">
        <f>VLOOKUP($A64,tabCustoUnit[],COLUMN(CUSTO_GLOBAL[[#Headers],[MODULO 1 - REMUNERAÇÃO ]])-2,0)*($G64-$H64)</f>
        <v>31819.225599999998</v>
      </c>
      <c r="R64" s="21">
        <f>VLOOKUP($A64,tabCustoUnit[],COLUMN(CUSTO_GLOBAL[[#Headers],[INSS]])-2,0)*($G64-$H64)</f>
        <v>6363.84512</v>
      </c>
      <c r="S64" s="21">
        <f>VLOOKUP($A64,tabCustoUnit[],COLUMN(CUSTO_GLOBAL[[#Headers],[SESI OU SESC]])-2,0)*($G64-$H64)</f>
        <v>477.28838399999995</v>
      </c>
      <c r="T64" s="21">
        <f>VLOOKUP($A64,tabCustoUnit[],COLUMN(CUSTO_GLOBAL[[#Headers],[SENAI OU SENAC]])-2,0)*($G64-$H64)</f>
        <v>318.19225599999999</v>
      </c>
      <c r="U64" s="21">
        <f>VLOOKUP($A64,tabCustoUnit[],COLUMN(CUSTO_GLOBAL[[#Headers],[INCRA]])-2,0)*($G64-$H64)</f>
        <v>63.638451199999999</v>
      </c>
      <c r="V64" s="21">
        <f>VLOOKUP($A64,tabCustoUnit[],COLUMN(CUSTO_GLOBAL[[#Headers],[Salário Educação]])-2,0)*($G64-$H64)</f>
        <v>795.48063999999999</v>
      </c>
      <c r="W64" s="21">
        <f>VLOOKUP($A64,tabCustoUnit[],COLUMN(CUSTO_GLOBAL[[#Headers],[FGTS]])-2,0)*($G64-$H64)</f>
        <v>2545.5380479999999</v>
      </c>
      <c r="X64" s="21">
        <f>VLOOKUP($A64,tabCustoUnit[],COLUMN(CUSTO_GLOBAL[[#Headers],[RAT Ajustado]])-2,0)*($G64-$H64)</f>
        <v>1272.7690239999999</v>
      </c>
      <c r="Y64" s="21">
        <f>VLOOKUP($A64,tabCustoUnit[],COLUMN(CUSTO_GLOBAL[[#Headers],[SEBRAE]])-2,0)*($G64-$H64)</f>
        <v>190.9153536</v>
      </c>
      <c r="Z64" s="21">
        <f>VLOOKUP($A64,tabCustoUnit[],COLUMN(CUSTO_GLOBAL[[#Headers],[Submódulo 2.1]])-2,0)*($G64-$H64)</f>
        <v>12027.667276799999</v>
      </c>
      <c r="AA64" s="21">
        <f>VLOOKUP($A64,tabCustoUnit[],COLUMN(CUSTO_GLOBAL[[#Headers],[13º salário (titular)]])-2,0)*($G64-$H64)</f>
        <v>2651.6021333333329</v>
      </c>
      <c r="AB64" s="21">
        <f>VLOOKUP($A64,tabCustoUnit[],COLUMN(CUSTO_GLOBAL[[#Headers],[Férias e Adicional de Férias (titular)]])-2,0)*($G64-$H64)</f>
        <v>3535.4695111111105</v>
      </c>
      <c r="AC64" s="21">
        <f>VLOOKUP($A64,tabCustoUnit[],COLUMN(CUSTO_GLOBAL[[#Headers],[Incidência do Submódulo 2.1 sobre 13º Salário, Férias e Adicional de Férias]])-2,0)*($G64-$H64)</f>
        <v>2338.7130815999994</v>
      </c>
      <c r="AD64" s="21">
        <f>VLOOKUP($A64,tabCustoUnit[],COLUMN(CUSTO_GLOBAL[[#Headers],[Submódulo 2.2]])-2,0)*($G64-$H64)</f>
        <v>8525.7847260444432</v>
      </c>
      <c r="AE64" s="22" t="e">
        <f ca="1">VLOOKUP($A64,tabCustoUnit[],COLUMN(CUSTO_GLOBAL[[#Headers],[Vale - Transporte (Descontada parcela do empregado)]])-2,0)*($G64-$H64)</f>
        <v>#NAME?</v>
      </c>
      <c r="AF64" s="22">
        <f>VLOOKUP($A64,tabCustoUnit[],COLUMN(CUSTO_GLOBAL[[#Headers],[Vale - Alimentação (Descontada parcela do empregado)]])-2,0)*($G64-$H64)</f>
        <v>4656</v>
      </c>
      <c r="AG64" s="22">
        <f>VLOOKUP($A64,tabCustoUnit[],COLUMN(CUSTO_GLOBAL[[#Headers],[Cesta Básica]])-2,0)*($G64-$H64)</f>
        <v>0</v>
      </c>
      <c r="AH64" s="22">
        <f>VLOOKUP($A64,tabCustoUnit[],COLUMN(CUSTO_GLOBAL[[#Headers],[PAF]])-2,0)*($G64-$H64)</f>
        <v>767.2</v>
      </c>
      <c r="AI64" s="22">
        <f>VLOOKUP($A64,tabCustoUnit[],COLUMN(CUSTO_GLOBAL[[#Headers],[PQM]])-2,0)*($G64-$H64)</f>
        <v>0</v>
      </c>
      <c r="AJ64" s="22">
        <v>0</v>
      </c>
      <c r="AK64" s="22">
        <f>VLOOKUP($A64,tabCustoUnit[],COLUMN(CUSTO_GLOBAL[[#Headers],[Seguro de Vida]])-2,0)*($G64-$H64)</f>
        <v>26.88</v>
      </c>
      <c r="AL64" s="22">
        <f>VLOOKUP($A64,tabCustoUnit[],COLUMN(CUSTO_GLOBAL[[#Headers],[Despesas de Viagem]])-2,0)*($G64-$H64)</f>
        <v>1616.64</v>
      </c>
      <c r="AM64" s="22" t="e">
        <f ca="1">VLOOKUP($A64,tabCustoUnit[],COLUMN(CUSTO_GLOBAL[[#Headers],[Submódulo 2.3]])-2,0)*($G64-$H64)</f>
        <v>#NAME?</v>
      </c>
      <c r="AN64" s="22" t="e">
        <f ca="1">VLOOKUP($A64,tabCustoUnit[],COLUMN(CUSTO_GLOBAL[[#Headers],[MÓDULO 2 - Total Encargos e Benefícios mensais e diários]])-2,0)*($G64-$H64)</f>
        <v>#NAME?</v>
      </c>
      <c r="AO64" s="22">
        <f>VLOOKUP($A64,tabCustoUnit[],COLUMN(CUSTO_GLOBAL[[#Headers],[Aviso Prévio Indenizado (API) e Reflexo do Aviso Prévio Indenizado]])-2,0)*($G64-$H64)</f>
        <v>223.10899524197529</v>
      </c>
      <c r="AP64" s="22">
        <f>VLOOKUP($A64,tabCustoUnit[],COLUMN(CUSTO_GLOBAL[[#Headers],[Incidência do FGTS sobre API e Reflexo do API]])-2,0)*($G64-$H64)</f>
        <v>17.848719619358025</v>
      </c>
      <c r="AQ64" s="22">
        <f>VLOOKUP($A64,tabCustoUnit[],COLUMN(CUSTO_GLOBAL[[#Headers],[Multa Rescisória do FGTS sobre o Aviso Prévio Indenizado]])-2,0)*($G64-$H64)</f>
        <v>7.1394878477432107</v>
      </c>
      <c r="AR64" s="22">
        <f>VLOOKUP($A64,tabCustoUnit[],COLUMN(CUSTO_GLOBAL[[#Headers],[Aviso Prévio Trabalhado - APT]])-2,0)*($G64-$H64)</f>
        <v>111.36728960000001</v>
      </c>
      <c r="AS64" s="22">
        <f>VLOOKUP($A64,tabCustoUnit[],COLUMN(CUSTO_GLOBAL[[#Headers],[Incidência dos encargos do submódulo 2.1 sobre Aviso Prévio Trabalhado]])-2,0)*($G64-$H64)</f>
        <v>42.096835468800009</v>
      </c>
      <c r="AT64" s="22">
        <f>VLOOKUP($A64,tabCustoUnit[],COLUMN(CUSTO_GLOBAL[[#Headers],[Multa Rescisória do FGTS]])-2,0)*($G64-$H64)</f>
        <v>972.96120945777761</v>
      </c>
      <c r="AU64" s="22">
        <f>VLOOKUP($A64,tabCustoUnit[],COLUMN(CUSTO_GLOBAL[[#Headers],[Indenização Adicional (Art. 9º da Lei nº 7.238/84)]])-2,0)*($G64-$H64)</f>
        <v>26.516021333333335</v>
      </c>
      <c r="AV64" s="22">
        <f>VLOOKUP($A64,tabCustoUnit[],COLUMN(CUSTO_GLOBAL[[#Headers],[MÓDULO 3 – PROVISÃO PARA RESCISÃO]])-2,0)*($G64-$H64)</f>
        <v>1401.0385585689876</v>
      </c>
      <c r="AW64" s="22">
        <f>VLOOKUP($A64,tabCustoUnit[],COLUMN(CUSTO_GLOBAL[[#Headers],[Ausência por Doença]])-2,0)*($G64-$H64)</f>
        <v>268.69568284444438</v>
      </c>
      <c r="AX64" s="22">
        <f>VLOOKUP($A64,tabCustoUnit[],COLUMN(CUSTO_GLOBAL[[#Headers],[Ausências Legais]])-2,0)*($G64-$H64)</f>
        <v>64.522318577777767</v>
      </c>
      <c r="AY64" s="22">
        <f>VLOOKUP($A64,tabCustoUnit[],COLUMN(CUSTO_GLOBAL[[#Headers],[Licença Paternidade]])-2,0)*($G64-$H64)</f>
        <v>5.4357843733333331</v>
      </c>
      <c r="AZ64" s="22">
        <f>VLOOKUP($A64,tabCustoUnit[],COLUMN(CUSTO_GLOBAL[[#Headers],[Ausência por Acidente de Trabalho]])-2,0)*($G64-$H64)</f>
        <v>6.6290053333333336</v>
      </c>
      <c r="BA64" s="22">
        <f>VLOOKUP($A64,tabCustoUnit[],COLUMN(CUSTO_GLOBAL[[#Headers],[Férias, Adicional de Férias e 13º  com empregada em gozo de Licença Maternidade]])-2,0)*($G64-$H64)</f>
        <v>41.247144296296291</v>
      </c>
      <c r="BB64" s="22">
        <f>VLOOKUP($A64,tabCustoUnit[],COLUMN(CUSTO_GLOBAL[[#Headers],[Incidência do Submódulo 2.1 sobre Ausências Legais]])-2,0)*($G64-$H64)</f>
        <v>146.10831559072003</v>
      </c>
      <c r="BC64" s="22">
        <f>VLOOKUP($A64,tabCustoUnit[],COLUMN(CUSTO_GLOBAL[[#Headers],[Submódulo 4.1]])-2,0)*($G64-$H64)</f>
        <v>532.6382510159051</v>
      </c>
      <c r="BD64" s="22">
        <f>VLOOKUP($A64,tabCustoUnit[],COLUMN(CUSTO_GLOBAL[[#Headers],[Intervalo para Repouso ou Alimentação]])-2,0)*($G64-$H64)</f>
        <v>0</v>
      </c>
      <c r="BE64" s="22">
        <f>VLOOKUP($A64,tabCustoUnit[],COLUMN(CUSTO_GLOBAL[[#Headers],[Submódulo 4.2]])-2,0)*($G64-$H64)</f>
        <v>0</v>
      </c>
      <c r="BF64" s="22">
        <f>VLOOKUP($A64,tabCustoUnit[],COLUMN(CUSTO_GLOBAL[[#Headers],[Suspensão Temporária do Contrato de Trabalho]])-2,0)*($G64-$H64)</f>
        <v>0</v>
      </c>
      <c r="BG64" s="22">
        <f>VLOOKUP($A64,tabCustoUnit[],COLUMN(CUSTO_GLOBAL[[#Headers],[Submódulo 4.3]])-2,0)*($G64-$H64)</f>
        <v>0</v>
      </c>
      <c r="BH64" s="22">
        <f>VLOOKUP($A64,tabCustoUnit[],COLUMN(CUSTO_GLOBAL[[#Headers],[MÓDULO 4 – CUSTO DE REPOSIÇÃO DO PROFISSIONAL AUSENTE]])-2,0)*($G64-$H64)</f>
        <v>532.6382510159051</v>
      </c>
      <c r="BI64" s="22">
        <f>VLOOKUP($A64,tabCustoUnit[],COLUMN(CUSTO_GLOBAL[[#Headers],[Uniformes e EPIs]])-2,0)*($G64-$H64)</f>
        <v>2755.0667978203965</v>
      </c>
      <c r="BJ64" s="22">
        <f>VLOOKUP($A64,tabCustoUnit[],COLUMN(CUSTO_GLOBAL[[#Headers],[Materiais de Consumo]])-2,0)*($G64-$H64)</f>
        <v>0</v>
      </c>
      <c r="BK64" s="22">
        <f>VLOOKUP($A64,tabCustoUnit[],COLUMN(CUSTO_GLOBAL[[#Headers],[Máquinas e Equipamentos (depreciação)]])-2,0)*($G64-$H64)</f>
        <v>0</v>
      </c>
      <c r="BL64" s="22">
        <f>VLOOKUP($A64,tabCustoUnit[],COLUMN(CUSTO_GLOBAL[[#Headers],[Produtos de Limpeza e Materiais de Higiene Pessoal]])-2,0)*($G64-$H64)</f>
        <v>0</v>
      </c>
      <c r="BM64" s="22">
        <f>VLOOKUP($A64,tabCustoUnit[],COLUMN(CUSTO_GLOBAL[[#Headers],[Outros (especificar)]])-2,0)*($G64-$H64)</f>
        <v>0</v>
      </c>
      <c r="BN64" s="22">
        <f>VLOOKUP($A64,tabCustoUnit[],COLUMN(CUSTO_GLOBAL[[#Headers],[MÓDULO 5 – INSUMOS DIVERSOS]])-2,0)*($G64-$H64)</f>
        <v>2755.0667978203965</v>
      </c>
      <c r="BO64" s="22" t="e">
        <f ca="1">VLOOKUP($A64,tabCustoUnit[],COLUMN(CUSTO_GLOBAL[[#Headers],[TOTAL MÓDULOS 1+2+3+4+5]])-2,0)*($G64-$H64)</f>
        <v>#NAME?</v>
      </c>
      <c r="BP64" s="22" t="e">
        <f ca="1">VLOOKUP($A64,tabCustoUnit[],COLUMN(CUSTO_GLOBAL[[#Headers],[Custos Indiretos]])-2,0)*($G64-$H64)</f>
        <v>#NAME?</v>
      </c>
      <c r="BQ64" s="22" t="e">
        <f ca="1">VLOOKUP($A64,tabCustoUnit[],COLUMN(CUSTO_GLOBAL[[#Headers],[Lucro]])-2,0)*($G64-$H64)</f>
        <v>#NAME?</v>
      </c>
      <c r="BR64" s="26">
        <f>VLOOKUP($A64,tabCustoUnit[],COLUMN(CUSTO_GLOBAL[[#Headers],[COFINS]])-2,0)</f>
        <v>8.8629737609329504E-2</v>
      </c>
      <c r="BS64" s="26">
        <f>VLOOKUP($A64,tabCustoUnit[],COLUMN(CUSTO_GLOBAL[[#Headers],[PIS]])-2,0)</f>
        <v>1.9241982507288629E-2</v>
      </c>
      <c r="BT64" s="28">
        <f>VLOOKUP($A64,tabCustoUnit[],COLUMN(CUSTO_GLOBAL[[#Headers],[ISS]])-2,0)</f>
        <v>0.05</v>
      </c>
      <c r="BU64" s="26">
        <f>VLOOKUP($A64,tabCustoUnit[],COLUMN(CUSTO_GLOBAL[[#Headers],[ISS (Conversão Alíquota s/ fatura)]])-2,0)</f>
        <v>5.8309037900874633E-2</v>
      </c>
      <c r="BV64" s="26">
        <f>VLOOKUP($A64,tabCustoUnit[],COLUMN(CUSTO_GLOBAL[[#Headers],[Resumo de Alíquotas (PIS+CONFINS+ISS)]])-2,0)</f>
        <v>0.14250000000000002</v>
      </c>
      <c r="BW64" s="138">
        <f>VLOOKUP($A64,tabCustoUnit[],COLUMN(CUSTO_GLOBAL[[#Headers],[PIS + COFINS + ISS (Total Conversão  Alíquota s/ Fatura)]])-2,0)</f>
        <v>0.16618075801749277</v>
      </c>
      <c r="BX64" s="22" t="e">
        <f ca="1">VLOOKUP($A64,tabCustoUnit[],COLUMN(CUSTO_GLOBAL[[#Headers],[Valor dos Tributos (ISS, PIS, CONFINS)]])-2,0)*($G64-$H64)</f>
        <v>#NAME?</v>
      </c>
      <c r="BY64" s="22" t="e">
        <f ca="1">VLOOKUP($A64,tabCustoUnit[],COLUMN(CUSTO_GLOBAL[[#Headers],[MÓDULO 6 – CUSTOS INDIRETOS, TRIBUTOS E LUCRO]])-2,0)*($G64-$H64)</f>
        <v>#NAME?</v>
      </c>
      <c r="BZ64" s="22" t="e">
        <f ca="1">VLOOKUP($A64,tabCustoUnit[],COLUMN(CUSTO_GLOBAL[[#Headers],[CUSTO TOTAL MENSAL]])-2,0)*($G64-$H64)</f>
        <v>#NAME?</v>
      </c>
      <c r="CA64" s="22" t="e">
        <f ca="1">CUSTO_GLOBAL[[#This Row],[CUSTO TOTAL MENSAL]]*12</f>
        <v>#NAME?</v>
      </c>
      <c r="CB64" s="24">
        <f>VLOOKUP($A64,tabCustoUnit[],COLUMN(CUSTO_GLOBAL[[#Headers],[ANO DA CCT]])-2,0)</f>
        <v>45658</v>
      </c>
      <c r="CC64" s="25" t="str">
        <f>VLOOKUP($A64,tabCustoUnit[],COLUMN(CUSTO_GLOBAL[[#Headers],[Nº DE PEDIDO DA CCT]])-2,0)</f>
        <v>-</v>
      </c>
      <c r="CD64" s="25" t="str">
        <f>VLOOKUP($A64,tabCustoUnit[],COLUMN(CUSTO_GLOBAL[[#Headers],[TERMO ADITIVO ALTERAÇÃO DA CCT]])-2,0)</f>
        <v>-</v>
      </c>
    </row>
    <row r="65" spans="1:82">
      <c r="A65" s="20" t="s">
        <v>1441</v>
      </c>
      <c r="B65" t="s">
        <v>1103</v>
      </c>
      <c r="C65" t="s">
        <v>304</v>
      </c>
      <c r="D65" t="s">
        <v>1035</v>
      </c>
      <c r="E65" s="20" t="s">
        <v>1090</v>
      </c>
      <c r="F65" s="20" t="s">
        <v>120</v>
      </c>
      <c r="G65" s="20">
        <v>16</v>
      </c>
      <c r="H65" s="20">
        <v>0</v>
      </c>
      <c r="I65" s="21">
        <f>VLOOKUP($A65,tabCustoUnit[],COLUMN(CUSTO_GLOBAL[[#Headers],[Salário Base]])-2,0)*($G65-$H65)</f>
        <v>34156.856</v>
      </c>
      <c r="J65" s="21">
        <f>VLOOKUP($A65,tabCustoUnit[],COLUMN(CUSTO_GLOBAL[[#Headers],[Adicional Periculosidade]])-2,0)*($G65-$H65)</f>
        <v>0</v>
      </c>
      <c r="K65" s="21">
        <f>VLOOKUP($A65,tabCustoUnit[],COLUMN(CUSTO_GLOBAL[[#Headers],[Adicional Insalubridade]])-2,0)*($G65-$H65)</f>
        <v>0</v>
      </c>
      <c r="L65" s="21">
        <f>VLOOKUP($A65,tabCustoUnit[],COLUMN(CUSTO_GLOBAL[[#Headers],[Adicional Noturno]])-2,0)*($G65-$H65)</f>
        <v>0</v>
      </c>
      <c r="M65" s="21">
        <f>VLOOKUP($A65,tabCustoUnit[],COLUMN(CUSTO_GLOBAL[[#Headers],[Adicional Motorista II (Gratificação)]])-2,0)*($G65-$H65)</f>
        <v>0</v>
      </c>
      <c r="N65" s="21">
        <f>VLOOKUP($A65,tabCustoUnit[],COLUMN(CUSTO_GLOBAL[[#Headers],[Adicional de Sobreaviso]])-2,0)*($G65-$H65)</f>
        <v>0</v>
      </c>
      <c r="O65" s="21">
        <f>VLOOKUP($A65,tabCustoUnit[],COLUMN(CUSTO_GLOBAL[[#Headers],[Horas Extras TI]])-2,0)*($G65-$H65)</f>
        <v>0</v>
      </c>
      <c r="P65" s="21">
        <f>VLOOKUP($A65,tabCustoUnit[],COLUMN(CUSTO_GLOBAL[[#Headers],[Adicional de Acúmulo de função]])-2,0)*($G65-$H65)</f>
        <v>0</v>
      </c>
      <c r="Q65" s="21">
        <f>VLOOKUP($A65,tabCustoUnit[],COLUMN(CUSTO_GLOBAL[[#Headers],[MODULO 1 - REMUNERAÇÃO ]])-2,0)*($G65-$H65)</f>
        <v>34156.856</v>
      </c>
      <c r="R65" s="21">
        <f>VLOOKUP($A65,tabCustoUnit[],COLUMN(CUSTO_GLOBAL[[#Headers],[INSS]])-2,0)*($G65-$H65)</f>
        <v>6831.3712000000005</v>
      </c>
      <c r="S65" s="21">
        <f>VLOOKUP($A65,tabCustoUnit[],COLUMN(CUSTO_GLOBAL[[#Headers],[SESI OU SESC]])-2,0)*($G65-$H65)</f>
        <v>512.35284000000001</v>
      </c>
      <c r="T65" s="21">
        <f>VLOOKUP($A65,tabCustoUnit[],COLUMN(CUSTO_GLOBAL[[#Headers],[SENAI OU SENAC]])-2,0)*($G65-$H65)</f>
        <v>341.56855999999999</v>
      </c>
      <c r="U65" s="21">
        <f>VLOOKUP($A65,tabCustoUnit[],COLUMN(CUSTO_GLOBAL[[#Headers],[INCRA]])-2,0)*($G65-$H65)</f>
        <v>68.313711999999995</v>
      </c>
      <c r="V65" s="21">
        <f>VLOOKUP($A65,tabCustoUnit[],COLUMN(CUSTO_GLOBAL[[#Headers],[Salário Educação]])-2,0)*($G65-$H65)</f>
        <v>853.92140000000006</v>
      </c>
      <c r="W65" s="21">
        <f>VLOOKUP($A65,tabCustoUnit[],COLUMN(CUSTO_GLOBAL[[#Headers],[FGTS]])-2,0)*($G65-$H65)</f>
        <v>2732.5484799999999</v>
      </c>
      <c r="X65" s="21">
        <f>VLOOKUP($A65,tabCustoUnit[],COLUMN(CUSTO_GLOBAL[[#Headers],[RAT Ajustado]])-2,0)*($G65-$H65)</f>
        <v>1366.27424</v>
      </c>
      <c r="Y65" s="21">
        <f>VLOOKUP($A65,tabCustoUnit[],COLUMN(CUSTO_GLOBAL[[#Headers],[SEBRAE]])-2,0)*($G65-$H65)</f>
        <v>204.941136</v>
      </c>
      <c r="Z65" s="21">
        <f>VLOOKUP($A65,tabCustoUnit[],COLUMN(CUSTO_GLOBAL[[#Headers],[Submódulo 2.1]])-2,0)*($G65-$H65)</f>
        <v>12911.291568000001</v>
      </c>
      <c r="AA65" s="21">
        <f>VLOOKUP($A65,tabCustoUnit[],COLUMN(CUSTO_GLOBAL[[#Headers],[13º salário (titular)]])-2,0)*($G65-$H65)</f>
        <v>2846.4046666666663</v>
      </c>
      <c r="AB65" s="21">
        <f>VLOOKUP($A65,tabCustoUnit[],COLUMN(CUSTO_GLOBAL[[#Headers],[Férias e Adicional de Férias (titular)]])-2,0)*($G65-$H65)</f>
        <v>3795.2062222222221</v>
      </c>
      <c r="AC65" s="21">
        <f>VLOOKUP($A65,tabCustoUnit[],COLUMN(CUSTO_GLOBAL[[#Headers],[Incidência do Submódulo 2.1 sobre 13º Salário, Férias e Adicional de Férias]])-2,0)*($G65-$H65)</f>
        <v>2510.5289159999998</v>
      </c>
      <c r="AD65" s="21">
        <f>VLOOKUP($A65,tabCustoUnit[],COLUMN(CUSTO_GLOBAL[[#Headers],[Submódulo 2.2]])-2,0)*($G65-$H65)</f>
        <v>9152.1398048888877</v>
      </c>
      <c r="AE65" s="22" t="e">
        <f ca="1">VLOOKUP($A65,tabCustoUnit[],COLUMN(CUSTO_GLOBAL[[#Headers],[Vale - Transporte (Descontada parcela do empregado)]])-2,0)*($G65-$H65)</f>
        <v>#NAME?</v>
      </c>
      <c r="AF65" s="22">
        <f>VLOOKUP($A65,tabCustoUnit[],COLUMN(CUSTO_GLOBAL[[#Headers],[Vale - Alimentação (Descontada parcela do empregado)]])-2,0)*($G65-$H65)</f>
        <v>9312</v>
      </c>
      <c r="AG65" s="22">
        <f>VLOOKUP($A65,tabCustoUnit[],COLUMN(CUSTO_GLOBAL[[#Headers],[Cesta Básica]])-2,0)*($G65-$H65)</f>
        <v>0</v>
      </c>
      <c r="AH65" s="22">
        <f>VLOOKUP($A65,tabCustoUnit[],COLUMN(CUSTO_GLOBAL[[#Headers],[PAF]])-2,0)*($G65-$H65)</f>
        <v>1534.4</v>
      </c>
      <c r="AI65" s="22">
        <f>VLOOKUP($A65,tabCustoUnit[],COLUMN(CUSTO_GLOBAL[[#Headers],[PQM]])-2,0)*($G65-$H65)</f>
        <v>0</v>
      </c>
      <c r="AJ65" s="22">
        <v>0</v>
      </c>
      <c r="AK65" s="22">
        <f>VLOOKUP($A65,tabCustoUnit[],COLUMN(CUSTO_GLOBAL[[#Headers],[Seguro de Vida]])-2,0)*($G65-$H65)</f>
        <v>53.76</v>
      </c>
      <c r="AL65" s="22">
        <f>VLOOKUP($A65,tabCustoUnit[],COLUMN(CUSTO_GLOBAL[[#Headers],[Despesas de Viagem]])-2,0)*($G65-$H65)</f>
        <v>3233.28</v>
      </c>
      <c r="AM65" s="22" t="e">
        <f ca="1">VLOOKUP($A65,tabCustoUnit[],COLUMN(CUSTO_GLOBAL[[#Headers],[Submódulo 2.3]])-2,0)*($G65-$H65)</f>
        <v>#NAME?</v>
      </c>
      <c r="AN65" s="22" t="e">
        <f ca="1">VLOOKUP($A65,tabCustoUnit[],COLUMN(CUSTO_GLOBAL[[#Headers],[MÓDULO 2 - Total Encargos e Benefícios mensais e diários]])-2,0)*($G65-$H65)</f>
        <v>#NAME?</v>
      </c>
      <c r="AO65" s="22">
        <f>VLOOKUP($A65,tabCustoUnit[],COLUMN(CUSTO_GLOBAL[[#Headers],[Aviso Prévio Indenizado (API) e Reflexo do Aviso Prévio Indenizado]])-2,0)*($G65-$H65)</f>
        <v>239.49991488117283</v>
      </c>
      <c r="AP65" s="22">
        <f>VLOOKUP($A65,tabCustoUnit[],COLUMN(CUSTO_GLOBAL[[#Headers],[Incidência do FGTS sobre API e Reflexo do API]])-2,0)*($G65-$H65)</f>
        <v>19.159993190493829</v>
      </c>
      <c r="AQ65" s="22">
        <f>VLOOKUP($A65,tabCustoUnit[],COLUMN(CUSTO_GLOBAL[[#Headers],[Multa Rescisória do FGTS sobre o Aviso Prévio Indenizado]])-2,0)*($G65-$H65)</f>
        <v>7.6639972761975326</v>
      </c>
      <c r="AR65" s="22">
        <f>VLOOKUP($A65,tabCustoUnit[],COLUMN(CUSTO_GLOBAL[[#Headers],[Aviso Prévio Trabalhado - APT]])-2,0)*($G65-$H65)</f>
        <v>119.54899600000002</v>
      </c>
      <c r="AS65" s="22">
        <f>VLOOKUP($A65,tabCustoUnit[],COLUMN(CUSTO_GLOBAL[[#Headers],[Incidência dos encargos do submódulo 2.1 sobre Aviso Prévio Trabalhado]])-2,0)*($G65-$H65)</f>
        <v>45.189520488000014</v>
      </c>
      <c r="AT65" s="22">
        <f>VLOOKUP($A65,tabCustoUnit[],COLUMN(CUSTO_GLOBAL[[#Headers],[Multa Rescisória do FGTS]])-2,0)*($G65-$H65)</f>
        <v>1044.4407523555553</v>
      </c>
      <c r="AU65" s="22">
        <f>VLOOKUP($A65,tabCustoUnit[],COLUMN(CUSTO_GLOBAL[[#Headers],[Indenização Adicional (Art. 9º da Lei nº 7.238/84)]])-2,0)*($G65-$H65)</f>
        <v>28.464046666666668</v>
      </c>
      <c r="AV65" s="22">
        <f>VLOOKUP($A65,tabCustoUnit[],COLUMN(CUSTO_GLOBAL[[#Headers],[MÓDULO 3 – PROVISÃO PARA RESCISÃO]])-2,0)*($G65-$H65)</f>
        <v>1503.9672208580862</v>
      </c>
      <c r="AW65" s="22">
        <f>VLOOKUP($A65,tabCustoUnit[],COLUMN(CUSTO_GLOBAL[[#Headers],[Ausência por Doença]])-2,0)*($G65-$H65)</f>
        <v>288.43567288888886</v>
      </c>
      <c r="AX65" s="22">
        <f>VLOOKUP($A65,tabCustoUnit[],COLUMN(CUSTO_GLOBAL[[#Headers],[Ausências Legais]])-2,0)*($G65-$H65)</f>
        <v>69.262513555555557</v>
      </c>
      <c r="AY65" s="22">
        <f>VLOOKUP($A65,tabCustoUnit[],COLUMN(CUSTO_GLOBAL[[#Headers],[Licença Paternidade]])-2,0)*($G65-$H65)</f>
        <v>5.8351295666666667</v>
      </c>
      <c r="AZ65" s="22">
        <f>VLOOKUP($A65,tabCustoUnit[],COLUMN(CUSTO_GLOBAL[[#Headers],[Ausência por Acidente de Trabalho]])-2,0)*($G65-$H65)</f>
        <v>7.1160116666666671</v>
      </c>
      <c r="BA65" s="22">
        <f>VLOOKUP($A65,tabCustoUnit[],COLUMN(CUSTO_GLOBAL[[#Headers],[Férias, Adicional de Férias e 13º  com empregada em gozo de Licença Maternidade]])-2,0)*($G65-$H65)</f>
        <v>44.277405925925926</v>
      </c>
      <c r="BB65" s="22">
        <f>VLOOKUP($A65,tabCustoUnit[],COLUMN(CUSTO_GLOBAL[[#Headers],[Incidência do Submódulo 2.1 sobre Ausências Legais]])-2,0)*($G65-$H65)</f>
        <v>156.84230530220003</v>
      </c>
      <c r="BC65" s="22">
        <f>VLOOKUP($A65,tabCustoUnit[],COLUMN(CUSTO_GLOBAL[[#Headers],[Submódulo 4.1]])-2,0)*($G65-$H65)</f>
        <v>571.7690389059037</v>
      </c>
      <c r="BD65" s="22">
        <f>VLOOKUP($A65,tabCustoUnit[],COLUMN(CUSTO_GLOBAL[[#Headers],[Intervalo para Repouso ou Alimentação]])-2,0)*($G65-$H65)</f>
        <v>3781.6518964521465</v>
      </c>
      <c r="BE65" s="22">
        <f>VLOOKUP($A65,tabCustoUnit[],COLUMN(CUSTO_GLOBAL[[#Headers],[Submódulo 4.2]])-2,0)*($G65-$H65)</f>
        <v>3781.6518964521465</v>
      </c>
      <c r="BF65" s="22">
        <f>VLOOKUP($A65,tabCustoUnit[],COLUMN(CUSTO_GLOBAL[[#Headers],[Suspensão Temporária do Contrato de Trabalho]])-2,0)*($G65-$H65)</f>
        <v>0</v>
      </c>
      <c r="BG65" s="22">
        <f>VLOOKUP($A65,tabCustoUnit[],COLUMN(CUSTO_GLOBAL[[#Headers],[Submódulo 4.3]])-2,0)*($G65-$H65)</f>
        <v>0</v>
      </c>
      <c r="BH65" s="22">
        <f>VLOOKUP($A65,tabCustoUnit[],COLUMN(CUSTO_GLOBAL[[#Headers],[MÓDULO 4 – CUSTO DE REPOSIÇÃO DO PROFISSIONAL AUSENTE]])-2,0)*($G65-$H65)</f>
        <v>4353.42093535805</v>
      </c>
      <c r="BI65" s="22">
        <f>VLOOKUP($A65,tabCustoUnit[],COLUMN(CUSTO_GLOBAL[[#Headers],[Uniformes e EPIs]])-2,0)*($G65-$H65)</f>
        <v>906.28766340069433</v>
      </c>
      <c r="BJ65" s="22">
        <f>VLOOKUP($A65,tabCustoUnit[],COLUMN(CUSTO_GLOBAL[[#Headers],[Materiais de Consumo]])-2,0)*($G65-$H65)</f>
        <v>0</v>
      </c>
      <c r="BK65" s="22">
        <f>VLOOKUP($A65,tabCustoUnit[],COLUMN(CUSTO_GLOBAL[[#Headers],[Máquinas e Equipamentos (depreciação)]])-2,0)*($G65-$H65)</f>
        <v>0</v>
      </c>
      <c r="BL65" s="22">
        <f>VLOOKUP($A65,tabCustoUnit[],COLUMN(CUSTO_GLOBAL[[#Headers],[Produtos de Limpeza e Materiais de Higiene Pessoal]])-2,0)*($G65-$H65)</f>
        <v>0</v>
      </c>
      <c r="BM65" s="22">
        <f>VLOOKUP($A65,tabCustoUnit[],COLUMN(CUSTO_GLOBAL[[#Headers],[Outros (especificar)]])-2,0)*($G65-$H65)</f>
        <v>0</v>
      </c>
      <c r="BN65" s="22">
        <f>VLOOKUP($A65,tabCustoUnit[],COLUMN(CUSTO_GLOBAL[[#Headers],[MÓDULO 5 – INSUMOS DIVERSOS]])-2,0)*($G65-$H65)</f>
        <v>906.28766340069433</v>
      </c>
      <c r="BO65" s="22" t="e">
        <f ca="1">VLOOKUP($A65,tabCustoUnit[],COLUMN(CUSTO_GLOBAL[[#Headers],[TOTAL MÓDULOS 1+2+3+4+5]])-2,0)*($G65-$H65)</f>
        <v>#NAME?</v>
      </c>
      <c r="BP65" s="22" t="e">
        <f ca="1">VLOOKUP($A65,tabCustoUnit[],COLUMN(CUSTO_GLOBAL[[#Headers],[Custos Indiretos]])-2,0)*($G65-$H65)</f>
        <v>#NAME?</v>
      </c>
      <c r="BQ65" s="22" t="e">
        <f ca="1">VLOOKUP($A65,tabCustoUnit[],COLUMN(CUSTO_GLOBAL[[#Headers],[Lucro]])-2,0)*($G65-$H65)</f>
        <v>#NAME?</v>
      </c>
      <c r="BR65" s="26">
        <f>VLOOKUP($A65,tabCustoUnit[],COLUMN(CUSTO_GLOBAL[[#Headers],[COFINS]])-2,0)</f>
        <v>8.8629737609329504E-2</v>
      </c>
      <c r="BS65" s="26">
        <f>VLOOKUP($A65,tabCustoUnit[],COLUMN(CUSTO_GLOBAL[[#Headers],[PIS]])-2,0)</f>
        <v>1.9241982507288629E-2</v>
      </c>
      <c r="BT65" s="28">
        <f>VLOOKUP($A65,tabCustoUnit[],COLUMN(CUSTO_GLOBAL[[#Headers],[ISS]])-2,0)</f>
        <v>0.05</v>
      </c>
      <c r="BU65" s="26">
        <f>VLOOKUP($A65,tabCustoUnit[],COLUMN(CUSTO_GLOBAL[[#Headers],[ISS (Conversão Alíquota s/ fatura)]])-2,0)</f>
        <v>5.8309037900874633E-2</v>
      </c>
      <c r="BV65" s="26">
        <f>VLOOKUP($A65,tabCustoUnit[],COLUMN(CUSTO_GLOBAL[[#Headers],[Resumo de Alíquotas (PIS+CONFINS+ISS)]])-2,0)</f>
        <v>0.14250000000000002</v>
      </c>
      <c r="BW65" s="138">
        <f>VLOOKUP($A65,tabCustoUnit[],COLUMN(CUSTO_GLOBAL[[#Headers],[PIS + COFINS + ISS (Total Conversão  Alíquota s/ Fatura)]])-2,0)</f>
        <v>0.16618075801749277</v>
      </c>
      <c r="BX65" s="22" t="e">
        <f ca="1">VLOOKUP($A65,tabCustoUnit[],COLUMN(CUSTO_GLOBAL[[#Headers],[Valor dos Tributos (ISS, PIS, CONFINS)]])-2,0)*($G65-$H65)</f>
        <v>#NAME?</v>
      </c>
      <c r="BY65" s="22" t="e">
        <f ca="1">VLOOKUP($A65,tabCustoUnit[],COLUMN(CUSTO_GLOBAL[[#Headers],[MÓDULO 6 – CUSTOS INDIRETOS, TRIBUTOS E LUCRO]])-2,0)*($G65-$H65)</f>
        <v>#NAME?</v>
      </c>
      <c r="BZ65" s="22" t="e">
        <f ca="1">VLOOKUP($A65,tabCustoUnit[],COLUMN(CUSTO_GLOBAL[[#Headers],[CUSTO TOTAL MENSAL]])-2,0)*($G65-$H65)</f>
        <v>#NAME?</v>
      </c>
      <c r="CA65" s="22" t="e">
        <f ca="1">CUSTO_GLOBAL[[#This Row],[CUSTO TOTAL MENSAL]]*12</f>
        <v>#NAME?</v>
      </c>
      <c r="CB65" s="24">
        <f>VLOOKUP($A65,tabCustoUnit[],COLUMN(CUSTO_GLOBAL[[#Headers],[ANO DA CCT]])-2,0)</f>
        <v>45658</v>
      </c>
      <c r="CC65" s="25" t="str">
        <f>VLOOKUP($A65,tabCustoUnit[],COLUMN(CUSTO_GLOBAL[[#Headers],[Nº DE PEDIDO DA CCT]])-2,0)</f>
        <v>-</v>
      </c>
      <c r="CD65" s="25" t="str">
        <f>VLOOKUP($A65,tabCustoUnit[],COLUMN(CUSTO_GLOBAL[[#Headers],[TERMO ADITIVO ALTERAÇÃO DA CCT]])-2,0)</f>
        <v>-</v>
      </c>
    </row>
    <row r="66" spans="1:82">
      <c r="A66" s="20" t="s">
        <v>1442</v>
      </c>
      <c r="B66" t="s">
        <v>1103</v>
      </c>
      <c r="C66" t="s">
        <v>309</v>
      </c>
      <c r="D66" t="s">
        <v>1035</v>
      </c>
      <c r="E66" s="20" t="s">
        <v>1090</v>
      </c>
      <c r="F66" s="20" t="s">
        <v>120</v>
      </c>
      <c r="G66" s="20">
        <v>18</v>
      </c>
      <c r="H66" s="20">
        <v>0</v>
      </c>
      <c r="I66" s="21">
        <f>VLOOKUP($A66,tabCustoUnit[],COLUMN(CUSTO_GLOBAL[[#Headers],[Salário Base]])-2,0)*($G66-$H66)</f>
        <v>38426.463000000003</v>
      </c>
      <c r="J66" s="21">
        <f>VLOOKUP($A66,tabCustoUnit[],COLUMN(CUSTO_GLOBAL[[#Headers],[Adicional Periculosidade]])-2,0)*($G66-$H66)</f>
        <v>0</v>
      </c>
      <c r="K66" s="21">
        <f>VLOOKUP($A66,tabCustoUnit[],COLUMN(CUSTO_GLOBAL[[#Headers],[Adicional Insalubridade]])-2,0)*($G66-$H66)</f>
        <v>0</v>
      </c>
      <c r="L66" s="21">
        <f>VLOOKUP($A66,tabCustoUnit[],COLUMN(CUSTO_GLOBAL[[#Headers],[Adicional Noturno]])-2,0)*($G66-$H66)</f>
        <v>7742.9321999999993</v>
      </c>
      <c r="M66" s="21">
        <f>VLOOKUP($A66,tabCustoUnit[],COLUMN(CUSTO_GLOBAL[[#Headers],[Adicional Motorista II (Gratificação)]])-2,0)*($G66-$H66)</f>
        <v>0</v>
      </c>
      <c r="N66" s="21">
        <f>VLOOKUP($A66,tabCustoUnit[],COLUMN(CUSTO_GLOBAL[[#Headers],[Adicional de Sobreaviso]])-2,0)*($G66-$H66)</f>
        <v>0</v>
      </c>
      <c r="O66" s="21">
        <f>VLOOKUP($A66,tabCustoUnit[],COLUMN(CUSTO_GLOBAL[[#Headers],[Horas Extras TI]])-2,0)*($G66-$H66)</f>
        <v>0</v>
      </c>
      <c r="P66" s="21">
        <f>VLOOKUP($A66,tabCustoUnit[],COLUMN(CUSTO_GLOBAL[[#Headers],[Adicional de Acúmulo de função]])-2,0)*($G66-$H66)</f>
        <v>0</v>
      </c>
      <c r="Q66" s="21">
        <f>VLOOKUP($A66,tabCustoUnit[],COLUMN(CUSTO_GLOBAL[[#Headers],[MODULO 1 - REMUNERAÇÃO ]])-2,0)*($G66-$H66)</f>
        <v>46169.395199999999</v>
      </c>
      <c r="R66" s="21">
        <f>VLOOKUP($A66,tabCustoUnit[],COLUMN(CUSTO_GLOBAL[[#Headers],[INSS]])-2,0)*($G66-$H66)</f>
        <v>9233.8790399999998</v>
      </c>
      <c r="S66" s="21">
        <f>VLOOKUP($A66,tabCustoUnit[],COLUMN(CUSTO_GLOBAL[[#Headers],[SESI OU SESC]])-2,0)*($G66-$H66)</f>
        <v>692.54092799999989</v>
      </c>
      <c r="T66" s="21">
        <f>VLOOKUP($A66,tabCustoUnit[],COLUMN(CUSTO_GLOBAL[[#Headers],[SENAI OU SENAC]])-2,0)*($G66-$H66)</f>
        <v>461.69395199999997</v>
      </c>
      <c r="U66" s="21">
        <f>VLOOKUP($A66,tabCustoUnit[],COLUMN(CUSTO_GLOBAL[[#Headers],[INCRA]])-2,0)*($G66-$H66)</f>
        <v>92.338790399999993</v>
      </c>
      <c r="V66" s="21">
        <f>VLOOKUP($A66,tabCustoUnit[],COLUMN(CUSTO_GLOBAL[[#Headers],[Salário Educação]])-2,0)*($G66-$H66)</f>
        <v>1154.23488</v>
      </c>
      <c r="W66" s="21">
        <f>VLOOKUP($A66,tabCustoUnit[],COLUMN(CUSTO_GLOBAL[[#Headers],[FGTS]])-2,0)*($G66-$H66)</f>
        <v>3693.5516159999997</v>
      </c>
      <c r="X66" s="21">
        <f>VLOOKUP($A66,tabCustoUnit[],COLUMN(CUSTO_GLOBAL[[#Headers],[RAT Ajustado]])-2,0)*($G66-$H66)</f>
        <v>1846.7758079999999</v>
      </c>
      <c r="Y66" s="21">
        <f>VLOOKUP($A66,tabCustoUnit[],COLUMN(CUSTO_GLOBAL[[#Headers],[SEBRAE]])-2,0)*($G66-$H66)</f>
        <v>277.01637119999998</v>
      </c>
      <c r="Z66" s="21">
        <f>VLOOKUP($A66,tabCustoUnit[],COLUMN(CUSTO_GLOBAL[[#Headers],[Submódulo 2.1]])-2,0)*($G66-$H66)</f>
        <v>17452.031385600003</v>
      </c>
      <c r="AA66" s="21">
        <f>VLOOKUP($A66,tabCustoUnit[],COLUMN(CUSTO_GLOBAL[[#Headers],[13º salário (titular)]])-2,0)*($G66-$H66)</f>
        <v>3847.4495999999995</v>
      </c>
      <c r="AB66" s="21">
        <f>VLOOKUP($A66,tabCustoUnit[],COLUMN(CUSTO_GLOBAL[[#Headers],[Férias e Adicional de Férias (titular)]])-2,0)*($G66-$H66)</f>
        <v>5129.9327999999987</v>
      </c>
      <c r="AC66" s="21">
        <f>VLOOKUP($A66,tabCustoUnit[],COLUMN(CUSTO_GLOBAL[[#Headers],[Incidência do Submódulo 2.1 sobre 13º Salário, Férias e Adicional de Férias]])-2,0)*($G66-$H66)</f>
        <v>3393.4505472000001</v>
      </c>
      <c r="AD66" s="21">
        <f>VLOOKUP($A66,tabCustoUnit[],COLUMN(CUSTO_GLOBAL[[#Headers],[Submódulo 2.2]])-2,0)*($G66-$H66)</f>
        <v>12370.832947199999</v>
      </c>
      <c r="AE66" s="22" t="e">
        <f ca="1">VLOOKUP($A66,tabCustoUnit[],COLUMN(CUSTO_GLOBAL[[#Headers],[Vale - Transporte (Descontada parcela do empregado)]])-2,0)*($G66-$H66)</f>
        <v>#NAME?</v>
      </c>
      <c r="AF66" s="22">
        <f>VLOOKUP($A66,tabCustoUnit[],COLUMN(CUSTO_GLOBAL[[#Headers],[Vale - Alimentação (Descontada parcela do empregado)]])-2,0)*($G66-$H66)</f>
        <v>10476</v>
      </c>
      <c r="AG66" s="22">
        <f>VLOOKUP($A66,tabCustoUnit[],COLUMN(CUSTO_GLOBAL[[#Headers],[Cesta Básica]])-2,0)*($G66-$H66)</f>
        <v>0</v>
      </c>
      <c r="AH66" s="22">
        <f>VLOOKUP($A66,tabCustoUnit[],COLUMN(CUSTO_GLOBAL[[#Headers],[PAF]])-2,0)*($G66-$H66)</f>
        <v>1726.2</v>
      </c>
      <c r="AI66" s="22">
        <f>VLOOKUP($A66,tabCustoUnit[],COLUMN(CUSTO_GLOBAL[[#Headers],[PQM]])-2,0)*($G66-$H66)</f>
        <v>0</v>
      </c>
      <c r="AJ66" s="22">
        <v>0</v>
      </c>
      <c r="AK66" s="22">
        <f>VLOOKUP($A66,tabCustoUnit[],COLUMN(CUSTO_GLOBAL[[#Headers],[Seguro de Vida]])-2,0)*($G66-$H66)</f>
        <v>60.48</v>
      </c>
      <c r="AL66" s="22">
        <f>VLOOKUP($A66,tabCustoUnit[],COLUMN(CUSTO_GLOBAL[[#Headers],[Despesas de Viagem]])-2,0)*($G66-$H66)</f>
        <v>3637.44</v>
      </c>
      <c r="AM66" s="22" t="e">
        <f ca="1">VLOOKUP($A66,tabCustoUnit[],COLUMN(CUSTO_GLOBAL[[#Headers],[Submódulo 2.3]])-2,0)*($G66-$H66)</f>
        <v>#NAME?</v>
      </c>
      <c r="AN66" s="22" t="e">
        <f ca="1">VLOOKUP($A66,tabCustoUnit[],COLUMN(CUSTO_GLOBAL[[#Headers],[MÓDULO 2 - Total Encargos e Benefícios mensais e diários]])-2,0)*($G66-$H66)</f>
        <v>#NAME?</v>
      </c>
      <c r="AO66" s="22">
        <f>VLOOKUP($A66,tabCustoUnit[],COLUMN(CUSTO_GLOBAL[[#Headers],[Aviso Prévio Indenizado (API) e Reflexo do Aviso Prévio Indenizado]])-2,0)*($G66-$H66)</f>
        <v>323.72904053333332</v>
      </c>
      <c r="AP66" s="22">
        <f>VLOOKUP($A66,tabCustoUnit[],COLUMN(CUSTO_GLOBAL[[#Headers],[Incidência do FGTS sobre API e Reflexo do API]])-2,0)*($G66-$H66)</f>
        <v>25.898323242666667</v>
      </c>
      <c r="AQ66" s="22">
        <f>VLOOKUP($A66,tabCustoUnit[],COLUMN(CUSTO_GLOBAL[[#Headers],[Multa Rescisória do FGTS sobre o Aviso Prévio Indenizado]])-2,0)*($G66-$H66)</f>
        <v>10.359329297066667</v>
      </c>
      <c r="AR66" s="22">
        <f>VLOOKUP($A66,tabCustoUnit[],COLUMN(CUSTO_GLOBAL[[#Headers],[Aviso Prévio Trabalhado - APT]])-2,0)*($G66-$H66)</f>
        <v>161.59288319999999</v>
      </c>
      <c r="AS66" s="22">
        <f>VLOOKUP($A66,tabCustoUnit[],COLUMN(CUSTO_GLOBAL[[#Headers],[Incidência dos encargos do submódulo 2.1 sobre Aviso Prévio Trabalhado]])-2,0)*($G66-$H66)</f>
        <v>61.082109849600016</v>
      </c>
      <c r="AT66" s="22">
        <f>VLOOKUP($A66,tabCustoUnit[],COLUMN(CUSTO_GLOBAL[[#Headers],[Multa Rescisória do FGTS]])-2,0)*($G66-$H66)</f>
        <v>1411.7575065599999</v>
      </c>
      <c r="AU66" s="22">
        <f>VLOOKUP($A66,tabCustoUnit[],COLUMN(CUSTO_GLOBAL[[#Headers],[Indenização Adicional (Art. 9º da Lei nº 7.238/84)]])-2,0)*($G66-$H66)</f>
        <v>38.474495999999995</v>
      </c>
      <c r="AV66" s="22">
        <f>VLOOKUP($A66,tabCustoUnit[],COLUMN(CUSTO_GLOBAL[[#Headers],[MÓDULO 3 – PROVISÃO PARA RESCISÃO]])-2,0)*($G66-$H66)</f>
        <v>2032.8936886826664</v>
      </c>
      <c r="AW66" s="22">
        <f>VLOOKUP($A66,tabCustoUnit[],COLUMN(CUSTO_GLOBAL[[#Headers],[Ausência por Doença]])-2,0)*($G66-$H66)</f>
        <v>389.87489279999994</v>
      </c>
      <c r="AX66" s="22">
        <f>VLOOKUP($A66,tabCustoUnit[],COLUMN(CUSTO_GLOBAL[[#Headers],[Ausências Legais]])-2,0)*($G66-$H66)</f>
        <v>93.621273599999981</v>
      </c>
      <c r="AY66" s="22">
        <f>VLOOKUP($A66,tabCustoUnit[],COLUMN(CUSTO_GLOBAL[[#Headers],[Licença Paternidade]])-2,0)*($G66-$H66)</f>
        <v>7.8872716799999996</v>
      </c>
      <c r="AZ66" s="22">
        <f>VLOOKUP($A66,tabCustoUnit[],COLUMN(CUSTO_GLOBAL[[#Headers],[Ausência por Acidente de Trabalho]])-2,0)*($G66-$H66)</f>
        <v>9.6186239999999987</v>
      </c>
      <c r="BA66" s="22">
        <f>VLOOKUP($A66,tabCustoUnit[],COLUMN(CUSTO_GLOBAL[[#Headers],[Férias, Adicional de Férias e 13º  com empregada em gozo de Licença Maternidade]])-2,0)*($G66-$H66)</f>
        <v>59.849215999999998</v>
      </c>
      <c r="BB66" s="22">
        <f>VLOOKUP($A66,tabCustoUnit[],COLUMN(CUSTO_GLOBAL[[#Headers],[Incidência do Submódulo 2.1 sobre Ausências Legais]])-2,0)*($G66-$H66)</f>
        <v>212.00178311424003</v>
      </c>
      <c r="BC66" s="22">
        <f>VLOOKUP($A66,tabCustoUnit[],COLUMN(CUSTO_GLOBAL[[#Headers],[Submódulo 4.1]])-2,0)*($G66-$H66)</f>
        <v>772.8530611942399</v>
      </c>
      <c r="BD66" s="22">
        <f>VLOOKUP($A66,tabCustoUnit[],COLUMN(CUSTO_GLOBAL[[#Headers],[Intervalo para Repouso ou Alimentação]])-2,0)*($G66-$H66)</f>
        <v>5111.6115977856616</v>
      </c>
      <c r="BE66" s="22">
        <f>VLOOKUP($A66,tabCustoUnit[],COLUMN(CUSTO_GLOBAL[[#Headers],[Submódulo 4.2]])-2,0)*($G66-$H66)</f>
        <v>5111.6115977856616</v>
      </c>
      <c r="BF66" s="22">
        <f>VLOOKUP($A66,tabCustoUnit[],COLUMN(CUSTO_GLOBAL[[#Headers],[Suspensão Temporária do Contrato de Trabalho]])-2,0)*($G66-$H66)</f>
        <v>0</v>
      </c>
      <c r="BG66" s="22">
        <f>VLOOKUP($A66,tabCustoUnit[],COLUMN(CUSTO_GLOBAL[[#Headers],[Submódulo 4.3]])-2,0)*($G66-$H66)</f>
        <v>0</v>
      </c>
      <c r="BH66" s="22">
        <f>VLOOKUP($A66,tabCustoUnit[],COLUMN(CUSTO_GLOBAL[[#Headers],[MÓDULO 4 – CUSTO DE REPOSIÇÃO DO PROFISSIONAL AUSENTE]])-2,0)*($G66-$H66)</f>
        <v>5884.4646589799022</v>
      </c>
      <c r="BI66" s="22">
        <f>VLOOKUP($A66,tabCustoUnit[],COLUMN(CUSTO_GLOBAL[[#Headers],[Uniformes e EPIs]])-2,0)*($G66-$H66)</f>
        <v>1019.5736213257811</v>
      </c>
      <c r="BJ66" s="22">
        <f>VLOOKUP($A66,tabCustoUnit[],COLUMN(CUSTO_GLOBAL[[#Headers],[Materiais de Consumo]])-2,0)*($G66-$H66)</f>
        <v>0</v>
      </c>
      <c r="BK66" s="22">
        <f>VLOOKUP($A66,tabCustoUnit[],COLUMN(CUSTO_GLOBAL[[#Headers],[Máquinas e Equipamentos (depreciação)]])-2,0)*($G66-$H66)</f>
        <v>0</v>
      </c>
      <c r="BL66" s="22">
        <f>VLOOKUP($A66,tabCustoUnit[],COLUMN(CUSTO_GLOBAL[[#Headers],[Produtos de Limpeza e Materiais de Higiene Pessoal]])-2,0)*($G66-$H66)</f>
        <v>0</v>
      </c>
      <c r="BM66" s="22">
        <f>VLOOKUP($A66,tabCustoUnit[],COLUMN(CUSTO_GLOBAL[[#Headers],[Outros (especificar)]])-2,0)*($G66-$H66)</f>
        <v>0</v>
      </c>
      <c r="BN66" s="22">
        <f>VLOOKUP($A66,tabCustoUnit[],COLUMN(CUSTO_GLOBAL[[#Headers],[MÓDULO 5 – INSUMOS DIVERSOS]])-2,0)*($G66-$H66)</f>
        <v>1019.5736213257811</v>
      </c>
      <c r="BO66" s="22" t="e">
        <f ca="1">VLOOKUP($A66,tabCustoUnit[],COLUMN(CUSTO_GLOBAL[[#Headers],[TOTAL MÓDULOS 1+2+3+4+5]])-2,0)*($G66-$H66)</f>
        <v>#NAME?</v>
      </c>
      <c r="BP66" s="22" t="e">
        <f ca="1">VLOOKUP($A66,tabCustoUnit[],COLUMN(CUSTO_GLOBAL[[#Headers],[Custos Indiretos]])-2,0)*($G66-$H66)</f>
        <v>#NAME?</v>
      </c>
      <c r="BQ66" s="22" t="e">
        <f ca="1">VLOOKUP($A66,tabCustoUnit[],COLUMN(CUSTO_GLOBAL[[#Headers],[Lucro]])-2,0)*($G66-$H66)</f>
        <v>#NAME?</v>
      </c>
      <c r="BR66" s="26">
        <f>VLOOKUP($A66,tabCustoUnit[],COLUMN(CUSTO_GLOBAL[[#Headers],[COFINS]])-2,0)</f>
        <v>8.8629737609329504E-2</v>
      </c>
      <c r="BS66" s="26">
        <f>VLOOKUP($A66,tabCustoUnit[],COLUMN(CUSTO_GLOBAL[[#Headers],[PIS]])-2,0)</f>
        <v>1.9241982507288629E-2</v>
      </c>
      <c r="BT66" s="28">
        <f>VLOOKUP($A66,tabCustoUnit[],COLUMN(CUSTO_GLOBAL[[#Headers],[ISS]])-2,0)</f>
        <v>0.05</v>
      </c>
      <c r="BU66" s="26">
        <f>VLOOKUP($A66,tabCustoUnit[],COLUMN(CUSTO_GLOBAL[[#Headers],[ISS (Conversão Alíquota s/ fatura)]])-2,0)</f>
        <v>5.8309037900874633E-2</v>
      </c>
      <c r="BV66" s="26">
        <f>VLOOKUP($A66,tabCustoUnit[],COLUMN(CUSTO_GLOBAL[[#Headers],[Resumo de Alíquotas (PIS+CONFINS+ISS)]])-2,0)</f>
        <v>0.14250000000000002</v>
      </c>
      <c r="BW66" s="138">
        <f>VLOOKUP($A66,tabCustoUnit[],COLUMN(CUSTO_GLOBAL[[#Headers],[PIS + COFINS + ISS (Total Conversão  Alíquota s/ Fatura)]])-2,0)</f>
        <v>0.16618075801749277</v>
      </c>
      <c r="BX66" s="22" t="e">
        <f ca="1">VLOOKUP($A66,tabCustoUnit[],COLUMN(CUSTO_GLOBAL[[#Headers],[Valor dos Tributos (ISS, PIS, CONFINS)]])-2,0)*($G66-$H66)</f>
        <v>#NAME?</v>
      </c>
      <c r="BY66" s="22" t="e">
        <f ca="1">VLOOKUP($A66,tabCustoUnit[],COLUMN(CUSTO_GLOBAL[[#Headers],[MÓDULO 6 – CUSTOS INDIRETOS, TRIBUTOS E LUCRO]])-2,0)*($G66-$H66)</f>
        <v>#NAME?</v>
      </c>
      <c r="BZ66" s="22" t="e">
        <f ca="1">VLOOKUP($A66,tabCustoUnit[],COLUMN(CUSTO_GLOBAL[[#Headers],[CUSTO TOTAL MENSAL]])-2,0)*($G66-$H66)</f>
        <v>#NAME?</v>
      </c>
      <c r="CA66" s="22" t="e">
        <f ca="1">CUSTO_GLOBAL[[#This Row],[CUSTO TOTAL MENSAL]]*12</f>
        <v>#NAME?</v>
      </c>
      <c r="CB66" s="24">
        <f>VLOOKUP($A66,tabCustoUnit[],COLUMN(CUSTO_GLOBAL[[#Headers],[ANO DA CCT]])-2,0)</f>
        <v>45658</v>
      </c>
      <c r="CC66" s="25" t="str">
        <f>VLOOKUP($A66,tabCustoUnit[],COLUMN(CUSTO_GLOBAL[[#Headers],[Nº DE PEDIDO DA CCT]])-2,0)</f>
        <v>-</v>
      </c>
      <c r="CD66" s="25" t="str">
        <f>VLOOKUP($A66,tabCustoUnit[],COLUMN(CUSTO_GLOBAL[[#Headers],[TERMO ADITIVO ALTERAÇÃO DA CCT]])-2,0)</f>
        <v>-</v>
      </c>
    </row>
    <row r="67" spans="1:82">
      <c r="A67" s="20" t="s">
        <v>1443</v>
      </c>
      <c r="B67" t="s">
        <v>1103</v>
      </c>
      <c r="C67" t="s">
        <v>314</v>
      </c>
      <c r="D67" t="s">
        <v>1035</v>
      </c>
      <c r="E67" s="20" t="s">
        <v>1090</v>
      </c>
      <c r="F67" s="20" t="s">
        <v>120</v>
      </c>
      <c r="G67" s="20">
        <v>5</v>
      </c>
      <c r="H67" s="20">
        <v>0</v>
      </c>
      <c r="I67" s="21">
        <f>VLOOKUP($A67,tabCustoUnit[],COLUMN(CUSTO_GLOBAL[[#Headers],[Salário Base]])-2,0)*($G67-$H67)</f>
        <v>10674.0175</v>
      </c>
      <c r="J67" s="21">
        <f>VLOOKUP($A67,tabCustoUnit[],COLUMN(CUSTO_GLOBAL[[#Headers],[Adicional Periculosidade]])-2,0)*($G67-$H67)</f>
        <v>0</v>
      </c>
      <c r="K67" s="21">
        <f>VLOOKUP($A67,tabCustoUnit[],COLUMN(CUSTO_GLOBAL[[#Headers],[Adicional Insalubridade]])-2,0)*($G67-$H67)</f>
        <v>0</v>
      </c>
      <c r="L67" s="21">
        <f>VLOOKUP($A67,tabCustoUnit[],COLUMN(CUSTO_GLOBAL[[#Headers],[Adicional Noturno]])-2,0)*($G67-$H67)</f>
        <v>0</v>
      </c>
      <c r="M67" s="21">
        <f>VLOOKUP($A67,tabCustoUnit[],COLUMN(CUSTO_GLOBAL[[#Headers],[Adicional Motorista II (Gratificação)]])-2,0)*($G67-$H67)</f>
        <v>0</v>
      </c>
      <c r="N67" s="21">
        <f>VLOOKUP($A67,tabCustoUnit[],COLUMN(CUSTO_GLOBAL[[#Headers],[Adicional de Sobreaviso]])-2,0)*($G67-$H67)</f>
        <v>0</v>
      </c>
      <c r="O67" s="21">
        <f>VLOOKUP($A67,tabCustoUnit[],COLUMN(CUSTO_GLOBAL[[#Headers],[Horas Extras TI]])-2,0)*($G67-$H67)</f>
        <v>0</v>
      </c>
      <c r="P67" s="21">
        <f>VLOOKUP($A67,tabCustoUnit[],COLUMN(CUSTO_GLOBAL[[#Headers],[Adicional de Acúmulo de função]])-2,0)*($G67-$H67)</f>
        <v>0</v>
      </c>
      <c r="Q67" s="21">
        <f>VLOOKUP($A67,tabCustoUnit[],COLUMN(CUSTO_GLOBAL[[#Headers],[MODULO 1 - REMUNERAÇÃO ]])-2,0)*($G67-$H67)</f>
        <v>10674.0175</v>
      </c>
      <c r="R67" s="21">
        <f>VLOOKUP($A67,tabCustoUnit[],COLUMN(CUSTO_GLOBAL[[#Headers],[INSS]])-2,0)*($G67-$H67)</f>
        <v>2134.8035</v>
      </c>
      <c r="S67" s="21">
        <f>VLOOKUP($A67,tabCustoUnit[],COLUMN(CUSTO_GLOBAL[[#Headers],[SESI OU SESC]])-2,0)*($G67-$H67)</f>
        <v>160.1102625</v>
      </c>
      <c r="T67" s="21">
        <f>VLOOKUP($A67,tabCustoUnit[],COLUMN(CUSTO_GLOBAL[[#Headers],[SENAI OU SENAC]])-2,0)*($G67-$H67)</f>
        <v>106.74017499999999</v>
      </c>
      <c r="U67" s="21">
        <f>VLOOKUP($A67,tabCustoUnit[],COLUMN(CUSTO_GLOBAL[[#Headers],[INCRA]])-2,0)*($G67-$H67)</f>
        <v>21.348034999999999</v>
      </c>
      <c r="V67" s="21">
        <f>VLOOKUP($A67,tabCustoUnit[],COLUMN(CUSTO_GLOBAL[[#Headers],[Salário Educação]])-2,0)*($G67-$H67)</f>
        <v>266.8504375</v>
      </c>
      <c r="W67" s="21">
        <f>VLOOKUP($A67,tabCustoUnit[],COLUMN(CUSTO_GLOBAL[[#Headers],[FGTS]])-2,0)*($G67-$H67)</f>
        <v>853.92139999999995</v>
      </c>
      <c r="X67" s="21">
        <f>VLOOKUP($A67,tabCustoUnit[],COLUMN(CUSTO_GLOBAL[[#Headers],[RAT Ajustado]])-2,0)*($G67-$H67)</f>
        <v>426.96069999999997</v>
      </c>
      <c r="Y67" s="21">
        <f>VLOOKUP($A67,tabCustoUnit[],COLUMN(CUSTO_GLOBAL[[#Headers],[SEBRAE]])-2,0)*($G67-$H67)</f>
        <v>64.044105000000002</v>
      </c>
      <c r="Z67" s="21">
        <f>VLOOKUP($A67,tabCustoUnit[],COLUMN(CUSTO_GLOBAL[[#Headers],[Submódulo 2.1]])-2,0)*($G67-$H67)</f>
        <v>4034.7786150000002</v>
      </c>
      <c r="AA67" s="21">
        <f>VLOOKUP($A67,tabCustoUnit[],COLUMN(CUSTO_GLOBAL[[#Headers],[13º salário (titular)]])-2,0)*($G67-$H67)</f>
        <v>889.50145833333318</v>
      </c>
      <c r="AB67" s="21">
        <f>VLOOKUP($A67,tabCustoUnit[],COLUMN(CUSTO_GLOBAL[[#Headers],[Férias e Adicional de Férias (titular)]])-2,0)*($G67-$H67)</f>
        <v>1186.0019444444445</v>
      </c>
      <c r="AC67" s="21">
        <f>VLOOKUP($A67,tabCustoUnit[],COLUMN(CUSTO_GLOBAL[[#Headers],[Incidência do Submódulo 2.1 sobre 13º Salário, Férias e Adicional de Férias]])-2,0)*($G67-$H67)</f>
        <v>784.54028624999989</v>
      </c>
      <c r="AD67" s="21">
        <f>VLOOKUP($A67,tabCustoUnit[],COLUMN(CUSTO_GLOBAL[[#Headers],[Submódulo 2.2]])-2,0)*($G67-$H67)</f>
        <v>2860.0436890277774</v>
      </c>
      <c r="AE67" s="22" t="e">
        <f ca="1">VLOOKUP($A67,tabCustoUnit[],COLUMN(CUSTO_GLOBAL[[#Headers],[Vale - Transporte (Descontada parcela do empregado)]])-2,0)*($G67-$H67)</f>
        <v>#NAME?</v>
      </c>
      <c r="AF67" s="22">
        <f>VLOOKUP($A67,tabCustoUnit[],COLUMN(CUSTO_GLOBAL[[#Headers],[Vale - Alimentação (Descontada parcela do empregado)]])-2,0)*($G67-$H67)</f>
        <v>2910</v>
      </c>
      <c r="AG67" s="22">
        <f>VLOOKUP($A67,tabCustoUnit[],COLUMN(CUSTO_GLOBAL[[#Headers],[Cesta Básica]])-2,0)*($G67-$H67)</f>
        <v>0</v>
      </c>
      <c r="AH67" s="22">
        <f>VLOOKUP($A67,tabCustoUnit[],COLUMN(CUSTO_GLOBAL[[#Headers],[PAF]])-2,0)*($G67-$H67)</f>
        <v>479.5</v>
      </c>
      <c r="AI67" s="22">
        <f>VLOOKUP($A67,tabCustoUnit[],COLUMN(CUSTO_GLOBAL[[#Headers],[PQM]])-2,0)*($G67-$H67)</f>
        <v>0</v>
      </c>
      <c r="AJ67" s="22">
        <v>0</v>
      </c>
      <c r="AK67" s="22">
        <f>VLOOKUP($A67,tabCustoUnit[],COLUMN(CUSTO_GLOBAL[[#Headers],[Seguro de Vida]])-2,0)*($G67-$H67)</f>
        <v>16.8</v>
      </c>
      <c r="AL67" s="22">
        <f>VLOOKUP($A67,tabCustoUnit[],COLUMN(CUSTO_GLOBAL[[#Headers],[Despesas de Viagem]])-2,0)*($G67-$H67)</f>
        <v>1010.4000000000001</v>
      </c>
      <c r="AM67" s="22" t="e">
        <f ca="1">VLOOKUP($A67,tabCustoUnit[],COLUMN(CUSTO_GLOBAL[[#Headers],[Submódulo 2.3]])-2,0)*($G67-$H67)</f>
        <v>#NAME?</v>
      </c>
      <c r="AN67" s="22" t="e">
        <f ca="1">VLOOKUP($A67,tabCustoUnit[],COLUMN(CUSTO_GLOBAL[[#Headers],[MÓDULO 2 - Total Encargos e Benefícios mensais e diários]])-2,0)*($G67-$H67)</f>
        <v>#NAME?</v>
      </c>
      <c r="AO67" s="22">
        <f>VLOOKUP($A67,tabCustoUnit[],COLUMN(CUSTO_GLOBAL[[#Headers],[Aviso Prévio Indenizado (API) e Reflexo do Aviso Prévio Indenizado]])-2,0)*($G67-$H67)</f>
        <v>74.843723400366514</v>
      </c>
      <c r="AP67" s="22">
        <f>VLOOKUP($A67,tabCustoUnit[],COLUMN(CUSTO_GLOBAL[[#Headers],[Incidência do FGTS sobre API e Reflexo do API]])-2,0)*($G67-$H67)</f>
        <v>5.987497872029321</v>
      </c>
      <c r="AQ67" s="22">
        <f>VLOOKUP($A67,tabCustoUnit[],COLUMN(CUSTO_GLOBAL[[#Headers],[Multa Rescisória do FGTS sobre o Aviso Prévio Indenizado]])-2,0)*($G67-$H67)</f>
        <v>2.394999148811729</v>
      </c>
      <c r="AR67" s="22">
        <f>VLOOKUP($A67,tabCustoUnit[],COLUMN(CUSTO_GLOBAL[[#Headers],[Aviso Prévio Trabalhado - APT]])-2,0)*($G67-$H67)</f>
        <v>37.359061250000003</v>
      </c>
      <c r="AS67" s="22">
        <f>VLOOKUP($A67,tabCustoUnit[],COLUMN(CUSTO_GLOBAL[[#Headers],[Incidência dos encargos do submódulo 2.1 sobre Aviso Prévio Trabalhado]])-2,0)*($G67-$H67)</f>
        <v>14.121725152500005</v>
      </c>
      <c r="AT67" s="22">
        <f>VLOOKUP($A67,tabCustoUnit[],COLUMN(CUSTO_GLOBAL[[#Headers],[Multa Rescisória do FGTS]])-2,0)*($G67-$H67)</f>
        <v>326.38773511111106</v>
      </c>
      <c r="AU67" s="22">
        <f>VLOOKUP($A67,tabCustoUnit[],COLUMN(CUSTO_GLOBAL[[#Headers],[Indenização Adicional (Art. 9º da Lei nº 7.238/84)]])-2,0)*($G67-$H67)</f>
        <v>8.8950145833333334</v>
      </c>
      <c r="AV67" s="22">
        <f>VLOOKUP($A67,tabCustoUnit[],COLUMN(CUSTO_GLOBAL[[#Headers],[MÓDULO 3 – PROVISÃO PARA RESCISÃO]])-2,0)*($G67-$H67)</f>
        <v>469.98975651815192</v>
      </c>
      <c r="AW67" s="22">
        <f>VLOOKUP($A67,tabCustoUnit[],COLUMN(CUSTO_GLOBAL[[#Headers],[Ausência por Doença]])-2,0)*($G67-$H67)</f>
        <v>90.136147777777765</v>
      </c>
      <c r="AX67" s="22">
        <f>VLOOKUP($A67,tabCustoUnit[],COLUMN(CUSTO_GLOBAL[[#Headers],[Ausências Legais]])-2,0)*($G67-$H67)</f>
        <v>21.64453548611111</v>
      </c>
      <c r="AY67" s="22">
        <f>VLOOKUP($A67,tabCustoUnit[],COLUMN(CUSTO_GLOBAL[[#Headers],[Licença Paternidade]])-2,0)*($G67-$H67)</f>
        <v>1.8234779895833333</v>
      </c>
      <c r="AZ67" s="22">
        <f>VLOOKUP($A67,tabCustoUnit[],COLUMN(CUSTO_GLOBAL[[#Headers],[Ausência por Acidente de Trabalho]])-2,0)*($G67-$H67)</f>
        <v>2.2237536458333333</v>
      </c>
      <c r="BA67" s="22">
        <f>VLOOKUP($A67,tabCustoUnit[],COLUMN(CUSTO_GLOBAL[[#Headers],[Férias, Adicional de Férias e 13º  com empregada em gozo de Licença Maternidade]])-2,0)*($G67-$H67)</f>
        <v>13.836689351851852</v>
      </c>
      <c r="BB67" s="22">
        <f>VLOOKUP($A67,tabCustoUnit[],COLUMN(CUSTO_GLOBAL[[#Headers],[Incidência do Submódulo 2.1 sobre Ausências Legais]])-2,0)*($G67-$H67)</f>
        <v>49.013220406937506</v>
      </c>
      <c r="BC67" s="22">
        <f>VLOOKUP($A67,tabCustoUnit[],COLUMN(CUSTO_GLOBAL[[#Headers],[Submódulo 4.1]])-2,0)*($G67-$H67)</f>
        <v>178.67782465809489</v>
      </c>
      <c r="BD67" s="22">
        <f>VLOOKUP($A67,tabCustoUnit[],COLUMN(CUSTO_GLOBAL[[#Headers],[Intervalo para Repouso ou Alimentação]])-2,0)*($G67-$H67)</f>
        <v>1455.5478340449977</v>
      </c>
      <c r="BE67" s="22">
        <f>VLOOKUP($A67,tabCustoUnit[],COLUMN(CUSTO_GLOBAL[[#Headers],[Submódulo 4.2]])-2,0)*($G67-$H67)</f>
        <v>1455.5478340449977</v>
      </c>
      <c r="BF67" s="22">
        <f>VLOOKUP($A67,tabCustoUnit[],COLUMN(CUSTO_GLOBAL[[#Headers],[Suspensão Temporária do Contrato de Trabalho]])-2,0)*($G67-$H67)</f>
        <v>0</v>
      </c>
      <c r="BG67" s="22">
        <f>VLOOKUP($A67,tabCustoUnit[],COLUMN(CUSTO_GLOBAL[[#Headers],[Submódulo 4.3]])-2,0)*($G67-$H67)</f>
        <v>0</v>
      </c>
      <c r="BH67" s="22">
        <f>VLOOKUP($A67,tabCustoUnit[],COLUMN(CUSTO_GLOBAL[[#Headers],[MÓDULO 4 – CUSTO DE REPOSIÇÃO DO PROFISSIONAL AUSENTE]])-2,0)*($G67-$H67)</f>
        <v>1634.2256587030924</v>
      </c>
      <c r="BI67" s="22">
        <f>VLOOKUP($A67,tabCustoUnit[],COLUMN(CUSTO_GLOBAL[[#Headers],[Uniformes e EPIs]])-2,0)*($G67-$H67)</f>
        <v>283.21489481271698</v>
      </c>
      <c r="BJ67" s="22">
        <f>VLOOKUP($A67,tabCustoUnit[],COLUMN(CUSTO_GLOBAL[[#Headers],[Materiais de Consumo]])-2,0)*($G67-$H67)</f>
        <v>0</v>
      </c>
      <c r="BK67" s="22">
        <f>VLOOKUP($A67,tabCustoUnit[],COLUMN(CUSTO_GLOBAL[[#Headers],[Máquinas e Equipamentos (depreciação)]])-2,0)*($G67-$H67)</f>
        <v>0</v>
      </c>
      <c r="BL67" s="22">
        <f>VLOOKUP($A67,tabCustoUnit[],COLUMN(CUSTO_GLOBAL[[#Headers],[Produtos de Limpeza e Materiais de Higiene Pessoal]])-2,0)*($G67-$H67)</f>
        <v>0</v>
      </c>
      <c r="BM67" s="22">
        <f>VLOOKUP($A67,tabCustoUnit[],COLUMN(CUSTO_GLOBAL[[#Headers],[Outros (especificar)]])-2,0)*($G67-$H67)</f>
        <v>0</v>
      </c>
      <c r="BN67" s="22">
        <f>VLOOKUP($A67,tabCustoUnit[],COLUMN(CUSTO_GLOBAL[[#Headers],[MÓDULO 5 – INSUMOS DIVERSOS]])-2,0)*($G67-$H67)</f>
        <v>283.21489481271698</v>
      </c>
      <c r="BO67" s="22" t="e">
        <f ca="1">VLOOKUP($A67,tabCustoUnit[],COLUMN(CUSTO_GLOBAL[[#Headers],[TOTAL MÓDULOS 1+2+3+4+5]])-2,0)*($G67-$H67)</f>
        <v>#NAME?</v>
      </c>
      <c r="BP67" s="22" t="e">
        <f ca="1">VLOOKUP($A67,tabCustoUnit[],COLUMN(CUSTO_GLOBAL[[#Headers],[Custos Indiretos]])-2,0)*($G67-$H67)</f>
        <v>#NAME?</v>
      </c>
      <c r="BQ67" s="22" t="e">
        <f ca="1">VLOOKUP($A67,tabCustoUnit[],COLUMN(CUSTO_GLOBAL[[#Headers],[Lucro]])-2,0)*($G67-$H67)</f>
        <v>#NAME?</v>
      </c>
      <c r="BR67" s="26">
        <f>VLOOKUP($A67,tabCustoUnit[],COLUMN(CUSTO_GLOBAL[[#Headers],[COFINS]])-2,0)</f>
        <v>8.8629737609329504E-2</v>
      </c>
      <c r="BS67" s="26">
        <f>VLOOKUP($A67,tabCustoUnit[],COLUMN(CUSTO_GLOBAL[[#Headers],[PIS]])-2,0)</f>
        <v>1.9241982507288629E-2</v>
      </c>
      <c r="BT67" s="28">
        <f>VLOOKUP($A67,tabCustoUnit[],COLUMN(CUSTO_GLOBAL[[#Headers],[ISS]])-2,0)</f>
        <v>0.05</v>
      </c>
      <c r="BU67" s="26">
        <f>VLOOKUP($A67,tabCustoUnit[],COLUMN(CUSTO_GLOBAL[[#Headers],[ISS (Conversão Alíquota s/ fatura)]])-2,0)</f>
        <v>5.8309037900874633E-2</v>
      </c>
      <c r="BV67" s="26">
        <f>VLOOKUP($A67,tabCustoUnit[],COLUMN(CUSTO_GLOBAL[[#Headers],[Resumo de Alíquotas (PIS+CONFINS+ISS)]])-2,0)</f>
        <v>0.14250000000000002</v>
      </c>
      <c r="BW67" s="138">
        <f>VLOOKUP($A67,tabCustoUnit[],COLUMN(CUSTO_GLOBAL[[#Headers],[PIS + COFINS + ISS (Total Conversão  Alíquota s/ Fatura)]])-2,0)</f>
        <v>0.16618075801749277</v>
      </c>
      <c r="BX67" s="22" t="e">
        <f ca="1">VLOOKUP($A67,tabCustoUnit[],COLUMN(CUSTO_GLOBAL[[#Headers],[Valor dos Tributos (ISS, PIS, CONFINS)]])-2,0)*($G67-$H67)</f>
        <v>#NAME?</v>
      </c>
      <c r="BY67" s="22" t="e">
        <f ca="1">VLOOKUP($A67,tabCustoUnit[],COLUMN(CUSTO_GLOBAL[[#Headers],[MÓDULO 6 – CUSTOS INDIRETOS, TRIBUTOS E LUCRO]])-2,0)*($G67-$H67)</f>
        <v>#NAME?</v>
      </c>
      <c r="BZ67" s="22" t="e">
        <f ca="1">VLOOKUP($A67,tabCustoUnit[],COLUMN(CUSTO_GLOBAL[[#Headers],[CUSTO TOTAL MENSAL]])-2,0)*($G67-$H67)</f>
        <v>#NAME?</v>
      </c>
      <c r="CA67" s="22" t="e">
        <f ca="1">CUSTO_GLOBAL[[#This Row],[CUSTO TOTAL MENSAL]]*12</f>
        <v>#NAME?</v>
      </c>
      <c r="CB67" s="24">
        <f>VLOOKUP($A67,tabCustoUnit[],COLUMN(CUSTO_GLOBAL[[#Headers],[ANO DA CCT]])-2,0)</f>
        <v>45658</v>
      </c>
      <c r="CC67" s="25" t="str">
        <f>VLOOKUP($A67,tabCustoUnit[],COLUMN(CUSTO_GLOBAL[[#Headers],[Nº DE PEDIDO DA CCT]])-2,0)</f>
        <v>-</v>
      </c>
      <c r="CD67" s="25" t="str">
        <f>VLOOKUP($A67,tabCustoUnit[],COLUMN(CUSTO_GLOBAL[[#Headers],[TERMO ADITIVO ALTERAÇÃO DA CCT]])-2,0)</f>
        <v>-</v>
      </c>
    </row>
    <row r="68" spans="1:82">
      <c r="A68" s="20" t="s">
        <v>1444</v>
      </c>
      <c r="B68" t="s">
        <v>1103</v>
      </c>
      <c r="C68" t="s">
        <v>319</v>
      </c>
      <c r="D68" t="s">
        <v>1035</v>
      </c>
      <c r="E68" s="20" t="s">
        <v>1090</v>
      </c>
      <c r="F68" s="20" t="s">
        <v>120</v>
      </c>
      <c r="G68" s="20">
        <v>5</v>
      </c>
      <c r="H68" s="20">
        <v>0</v>
      </c>
      <c r="I68" s="21">
        <f>VLOOKUP($A68,tabCustoUnit[],COLUMN(CUSTO_GLOBAL[[#Headers],[Salário Base]])-2,0)*($G68-$H68)</f>
        <v>11581.148499999999</v>
      </c>
      <c r="J68" s="21">
        <f>VLOOKUP($A68,tabCustoUnit[],COLUMN(CUSTO_GLOBAL[[#Headers],[Adicional Periculosidade]])-2,0)*($G68-$H68)</f>
        <v>0</v>
      </c>
      <c r="K68" s="21">
        <f>VLOOKUP($A68,tabCustoUnit[],COLUMN(CUSTO_GLOBAL[[#Headers],[Adicional Insalubridade]])-2,0)*($G68-$H68)</f>
        <v>0</v>
      </c>
      <c r="L68" s="21">
        <f>VLOOKUP($A68,tabCustoUnit[],COLUMN(CUSTO_GLOBAL[[#Headers],[Adicional Noturno]])-2,0)*($G68-$H68)</f>
        <v>0</v>
      </c>
      <c r="M68" s="21">
        <f>VLOOKUP($A68,tabCustoUnit[],COLUMN(CUSTO_GLOBAL[[#Headers],[Adicional Motorista II (Gratificação)]])-2,0)*($G68-$H68)</f>
        <v>0</v>
      </c>
      <c r="N68" s="21">
        <f>VLOOKUP($A68,tabCustoUnit[],COLUMN(CUSTO_GLOBAL[[#Headers],[Adicional de Sobreaviso]])-2,0)*($G68-$H68)</f>
        <v>0</v>
      </c>
      <c r="O68" s="21">
        <f>VLOOKUP($A68,tabCustoUnit[],COLUMN(CUSTO_GLOBAL[[#Headers],[Horas Extras TI]])-2,0)*($G68-$H68)</f>
        <v>0</v>
      </c>
      <c r="P68" s="21">
        <f>VLOOKUP($A68,tabCustoUnit[],COLUMN(CUSTO_GLOBAL[[#Headers],[Adicional de Acúmulo de função]])-2,0)*($G68-$H68)</f>
        <v>0</v>
      </c>
      <c r="Q68" s="21">
        <f>VLOOKUP($A68,tabCustoUnit[],COLUMN(CUSTO_GLOBAL[[#Headers],[MODULO 1 - REMUNERAÇÃO ]])-2,0)*($G68-$H68)</f>
        <v>11581.148499999999</v>
      </c>
      <c r="R68" s="21">
        <f>VLOOKUP($A68,tabCustoUnit[],COLUMN(CUSTO_GLOBAL[[#Headers],[INSS]])-2,0)*($G68-$H68)</f>
        <v>2316.2296999999999</v>
      </c>
      <c r="S68" s="21">
        <f>VLOOKUP($A68,tabCustoUnit[],COLUMN(CUSTO_GLOBAL[[#Headers],[SESI OU SESC]])-2,0)*($G68-$H68)</f>
        <v>173.71722750000001</v>
      </c>
      <c r="T68" s="21">
        <f>VLOOKUP($A68,tabCustoUnit[],COLUMN(CUSTO_GLOBAL[[#Headers],[SENAI OU SENAC]])-2,0)*($G68-$H68)</f>
        <v>115.81148499999999</v>
      </c>
      <c r="U68" s="21">
        <f>VLOOKUP($A68,tabCustoUnit[],COLUMN(CUSTO_GLOBAL[[#Headers],[INCRA]])-2,0)*($G68-$H68)</f>
        <v>23.162297000000002</v>
      </c>
      <c r="V68" s="21">
        <f>VLOOKUP($A68,tabCustoUnit[],COLUMN(CUSTO_GLOBAL[[#Headers],[Salário Educação]])-2,0)*($G68-$H68)</f>
        <v>289.52871249999998</v>
      </c>
      <c r="W68" s="21">
        <f>VLOOKUP($A68,tabCustoUnit[],COLUMN(CUSTO_GLOBAL[[#Headers],[FGTS]])-2,0)*($G68-$H68)</f>
        <v>926.49187999999992</v>
      </c>
      <c r="X68" s="21">
        <f>VLOOKUP($A68,tabCustoUnit[],COLUMN(CUSTO_GLOBAL[[#Headers],[RAT Ajustado]])-2,0)*($G68-$H68)</f>
        <v>463.24593999999996</v>
      </c>
      <c r="Y68" s="21">
        <f>VLOOKUP($A68,tabCustoUnit[],COLUMN(CUSTO_GLOBAL[[#Headers],[SEBRAE]])-2,0)*($G68-$H68)</f>
        <v>69.486891</v>
      </c>
      <c r="Z68" s="21">
        <f>VLOOKUP($A68,tabCustoUnit[],COLUMN(CUSTO_GLOBAL[[#Headers],[Submódulo 2.1]])-2,0)*($G68-$H68)</f>
        <v>4377.6741329999995</v>
      </c>
      <c r="AA68" s="21">
        <f>VLOOKUP($A68,tabCustoUnit[],COLUMN(CUSTO_GLOBAL[[#Headers],[13º salário (titular)]])-2,0)*($G68-$H68)</f>
        <v>965.09570833333328</v>
      </c>
      <c r="AB68" s="21">
        <f>VLOOKUP($A68,tabCustoUnit[],COLUMN(CUSTO_GLOBAL[[#Headers],[Férias e Adicional de Férias (titular)]])-2,0)*($G68-$H68)</f>
        <v>1286.7942777777776</v>
      </c>
      <c r="AC68" s="21">
        <f>VLOOKUP($A68,tabCustoUnit[],COLUMN(CUSTO_GLOBAL[[#Headers],[Incidência do Submódulo 2.1 sobre 13º Salário, Férias e Adicional de Férias]])-2,0)*($G68-$H68)</f>
        <v>851.21441474999995</v>
      </c>
      <c r="AD68" s="21">
        <f>VLOOKUP($A68,tabCustoUnit[],COLUMN(CUSTO_GLOBAL[[#Headers],[Submódulo 2.2]])-2,0)*($G68-$H68)</f>
        <v>3103.1044008611111</v>
      </c>
      <c r="AE68" s="22" t="e">
        <f ca="1">VLOOKUP($A68,tabCustoUnit[],COLUMN(CUSTO_GLOBAL[[#Headers],[Vale - Transporte (Descontada parcela do empregado)]])-2,0)*($G68-$H68)</f>
        <v>#NAME?</v>
      </c>
      <c r="AF68" s="22">
        <f>VLOOKUP($A68,tabCustoUnit[],COLUMN(CUSTO_GLOBAL[[#Headers],[Vale - Alimentação (Descontada parcela do empregado)]])-2,0)*($G68-$H68)</f>
        <v>2910</v>
      </c>
      <c r="AG68" s="22">
        <f>VLOOKUP($A68,tabCustoUnit[],COLUMN(CUSTO_GLOBAL[[#Headers],[Cesta Básica]])-2,0)*($G68-$H68)</f>
        <v>0</v>
      </c>
      <c r="AH68" s="22">
        <f>VLOOKUP($A68,tabCustoUnit[],COLUMN(CUSTO_GLOBAL[[#Headers],[PAF]])-2,0)*($G68-$H68)</f>
        <v>479.5</v>
      </c>
      <c r="AI68" s="22">
        <f>VLOOKUP($A68,tabCustoUnit[],COLUMN(CUSTO_GLOBAL[[#Headers],[PQM]])-2,0)*($G68-$H68)</f>
        <v>0</v>
      </c>
      <c r="AJ68" s="22">
        <v>0</v>
      </c>
      <c r="AK68" s="22">
        <f>VLOOKUP($A68,tabCustoUnit[],COLUMN(CUSTO_GLOBAL[[#Headers],[Seguro de Vida]])-2,0)*($G68-$H68)</f>
        <v>16.8</v>
      </c>
      <c r="AL68" s="22">
        <f>VLOOKUP($A68,tabCustoUnit[],COLUMN(CUSTO_GLOBAL[[#Headers],[Despesas de Viagem]])-2,0)*($G68-$H68)</f>
        <v>1010.4000000000001</v>
      </c>
      <c r="AM68" s="22" t="e">
        <f ca="1">VLOOKUP($A68,tabCustoUnit[],COLUMN(CUSTO_GLOBAL[[#Headers],[Submódulo 2.3]])-2,0)*($G68-$H68)</f>
        <v>#NAME?</v>
      </c>
      <c r="AN68" s="22" t="e">
        <f ca="1">VLOOKUP($A68,tabCustoUnit[],COLUMN(CUSTO_GLOBAL[[#Headers],[MÓDULO 2 - Total Encargos e Benefícios mensais e diários]])-2,0)*($G68-$H68)</f>
        <v>#NAME?</v>
      </c>
      <c r="AO68" s="22">
        <f>VLOOKUP($A68,tabCustoUnit[],COLUMN(CUSTO_GLOBAL[[#Headers],[Aviso Prévio Indenizado (API) e Reflexo do Aviso Prévio Indenizado]])-2,0)*($G68-$H68)</f>
        <v>81.204314588445214</v>
      </c>
      <c r="AP68" s="22">
        <f>VLOOKUP($A68,tabCustoUnit[],COLUMN(CUSTO_GLOBAL[[#Headers],[Incidência do FGTS sobre API e Reflexo do API]])-2,0)*($G68-$H68)</f>
        <v>6.496345167075618</v>
      </c>
      <c r="AQ68" s="22">
        <f>VLOOKUP($A68,tabCustoUnit[],COLUMN(CUSTO_GLOBAL[[#Headers],[Multa Rescisória do FGTS sobre o Aviso Prévio Indenizado]])-2,0)*($G68-$H68)</f>
        <v>2.5985380668302471</v>
      </c>
      <c r="AR68" s="22">
        <f>VLOOKUP($A68,tabCustoUnit[],COLUMN(CUSTO_GLOBAL[[#Headers],[Aviso Prévio Trabalhado - APT]])-2,0)*($G68-$H68)</f>
        <v>40.534019750000006</v>
      </c>
      <c r="AS68" s="22">
        <f>VLOOKUP($A68,tabCustoUnit[],COLUMN(CUSTO_GLOBAL[[#Headers],[Incidência dos encargos do submódulo 2.1 sobre Aviso Prévio Trabalhado]])-2,0)*($G68-$H68)</f>
        <v>15.321859465500003</v>
      </c>
      <c r="AT68" s="22">
        <f>VLOOKUP($A68,tabCustoUnit[],COLUMN(CUSTO_GLOBAL[[#Headers],[Multa Rescisória do FGTS]])-2,0)*($G68-$H68)</f>
        <v>354.12578524444433</v>
      </c>
      <c r="AU68" s="22">
        <f>VLOOKUP($A68,tabCustoUnit[],COLUMN(CUSTO_GLOBAL[[#Headers],[Indenização Adicional (Art. 9º da Lei nº 7.238/84)]])-2,0)*($G68-$H68)</f>
        <v>9.6509570833333331</v>
      </c>
      <c r="AV68" s="22">
        <f>VLOOKUP($A68,tabCustoUnit[],COLUMN(CUSTO_GLOBAL[[#Headers],[MÓDULO 3 – PROVISÃO PARA RESCISÃO]])-2,0)*($G68-$H68)</f>
        <v>509.93181936562877</v>
      </c>
      <c r="AW68" s="22">
        <f>VLOOKUP($A68,tabCustoUnit[],COLUMN(CUSTO_GLOBAL[[#Headers],[Ausência por Doença]])-2,0)*($G68-$H68)</f>
        <v>97.796365111111086</v>
      </c>
      <c r="AX68" s="22">
        <f>VLOOKUP($A68,tabCustoUnit[],COLUMN(CUSTO_GLOBAL[[#Headers],[Ausências Legais]])-2,0)*($G68-$H68)</f>
        <v>23.483995569444438</v>
      </c>
      <c r="AY68" s="22">
        <f>VLOOKUP($A68,tabCustoUnit[],COLUMN(CUSTO_GLOBAL[[#Headers],[Licença Paternidade]])-2,0)*($G68-$H68)</f>
        <v>1.9784462020833331</v>
      </c>
      <c r="AZ68" s="22">
        <f>VLOOKUP($A68,tabCustoUnit[],COLUMN(CUSTO_GLOBAL[[#Headers],[Ausência por Acidente de Trabalho]])-2,0)*($G68-$H68)</f>
        <v>2.4127392708333333</v>
      </c>
      <c r="BA68" s="22">
        <f>VLOOKUP($A68,tabCustoUnit[],COLUMN(CUSTO_GLOBAL[[#Headers],[Férias, Adicional de Férias e 13º  com empregada em gozo de Licença Maternidade]])-2,0)*($G68-$H68)</f>
        <v>15.012599907407406</v>
      </c>
      <c r="BB68" s="22">
        <f>VLOOKUP($A68,tabCustoUnit[],COLUMN(CUSTO_GLOBAL[[#Headers],[Incidência do Submódulo 2.1 sobre Ausências Legais]])-2,0)*($G68-$H68)</f>
        <v>53.178607211012505</v>
      </c>
      <c r="BC68" s="22">
        <f>VLOOKUP($A68,tabCustoUnit[],COLUMN(CUSTO_GLOBAL[[#Headers],[Submódulo 4.1]])-2,0)*($G68-$H68)</f>
        <v>193.8627532718921</v>
      </c>
      <c r="BD68" s="22">
        <f>VLOOKUP($A68,tabCustoUnit[],COLUMN(CUSTO_GLOBAL[[#Headers],[Intervalo para Repouso ou Alimentação]])-2,0)*($G68-$H68)</f>
        <v>0</v>
      </c>
      <c r="BE68" s="22">
        <f>VLOOKUP($A68,tabCustoUnit[],COLUMN(CUSTO_GLOBAL[[#Headers],[Submódulo 4.2]])-2,0)*($G68-$H68)</f>
        <v>0</v>
      </c>
      <c r="BF68" s="22">
        <f>VLOOKUP($A68,tabCustoUnit[],COLUMN(CUSTO_GLOBAL[[#Headers],[Suspensão Temporária do Contrato de Trabalho]])-2,0)*($G68-$H68)</f>
        <v>0</v>
      </c>
      <c r="BG68" s="22">
        <f>VLOOKUP($A68,tabCustoUnit[],COLUMN(CUSTO_GLOBAL[[#Headers],[Submódulo 4.3]])-2,0)*($G68-$H68)</f>
        <v>0</v>
      </c>
      <c r="BH68" s="22">
        <f>VLOOKUP($A68,tabCustoUnit[],COLUMN(CUSTO_GLOBAL[[#Headers],[MÓDULO 4 – CUSTO DE REPOSIÇÃO DO PROFISSIONAL AUSENTE]])-2,0)*($G68-$H68)</f>
        <v>193.8627532718921</v>
      </c>
      <c r="BI68" s="22">
        <f>VLOOKUP($A68,tabCustoUnit[],COLUMN(CUSTO_GLOBAL[[#Headers],[Uniformes e EPIs]])-2,0)*($G68-$H68)</f>
        <v>283.21489481271698</v>
      </c>
      <c r="BJ68" s="22">
        <f>VLOOKUP($A68,tabCustoUnit[],COLUMN(CUSTO_GLOBAL[[#Headers],[Materiais de Consumo]])-2,0)*($G68-$H68)</f>
        <v>0</v>
      </c>
      <c r="BK68" s="22">
        <f>VLOOKUP($A68,tabCustoUnit[],COLUMN(CUSTO_GLOBAL[[#Headers],[Máquinas e Equipamentos (depreciação)]])-2,0)*($G68-$H68)</f>
        <v>0</v>
      </c>
      <c r="BL68" s="22">
        <f>VLOOKUP($A68,tabCustoUnit[],COLUMN(CUSTO_GLOBAL[[#Headers],[Produtos de Limpeza e Materiais de Higiene Pessoal]])-2,0)*($G68-$H68)</f>
        <v>0</v>
      </c>
      <c r="BM68" s="22">
        <f>VLOOKUP($A68,tabCustoUnit[],COLUMN(CUSTO_GLOBAL[[#Headers],[Outros (especificar)]])-2,0)*($G68-$H68)</f>
        <v>0</v>
      </c>
      <c r="BN68" s="22">
        <f>VLOOKUP($A68,tabCustoUnit[],COLUMN(CUSTO_GLOBAL[[#Headers],[MÓDULO 5 – INSUMOS DIVERSOS]])-2,0)*($G68-$H68)</f>
        <v>283.21489481271698</v>
      </c>
      <c r="BO68" s="22" t="e">
        <f ca="1">VLOOKUP($A68,tabCustoUnit[],COLUMN(CUSTO_GLOBAL[[#Headers],[TOTAL MÓDULOS 1+2+3+4+5]])-2,0)*($G68-$H68)</f>
        <v>#NAME?</v>
      </c>
      <c r="BP68" s="22" t="e">
        <f ca="1">VLOOKUP($A68,tabCustoUnit[],COLUMN(CUSTO_GLOBAL[[#Headers],[Custos Indiretos]])-2,0)*($G68-$H68)</f>
        <v>#NAME?</v>
      </c>
      <c r="BQ68" s="22" t="e">
        <f ca="1">VLOOKUP($A68,tabCustoUnit[],COLUMN(CUSTO_GLOBAL[[#Headers],[Lucro]])-2,0)*($G68-$H68)</f>
        <v>#NAME?</v>
      </c>
      <c r="BR68" s="26">
        <f>VLOOKUP($A68,tabCustoUnit[],COLUMN(CUSTO_GLOBAL[[#Headers],[COFINS]])-2,0)</f>
        <v>8.8629737609329504E-2</v>
      </c>
      <c r="BS68" s="26">
        <f>VLOOKUP($A68,tabCustoUnit[],COLUMN(CUSTO_GLOBAL[[#Headers],[PIS]])-2,0)</f>
        <v>1.9241982507288629E-2</v>
      </c>
      <c r="BT68" s="28">
        <f>VLOOKUP($A68,tabCustoUnit[],COLUMN(CUSTO_GLOBAL[[#Headers],[ISS]])-2,0)</f>
        <v>0.05</v>
      </c>
      <c r="BU68" s="26">
        <f>VLOOKUP($A68,tabCustoUnit[],COLUMN(CUSTO_GLOBAL[[#Headers],[ISS (Conversão Alíquota s/ fatura)]])-2,0)</f>
        <v>5.8309037900874633E-2</v>
      </c>
      <c r="BV68" s="26">
        <f>VLOOKUP($A68,tabCustoUnit[],COLUMN(CUSTO_GLOBAL[[#Headers],[Resumo de Alíquotas (PIS+CONFINS+ISS)]])-2,0)</f>
        <v>0.14250000000000002</v>
      </c>
      <c r="BW68" s="138">
        <f>VLOOKUP($A68,tabCustoUnit[],COLUMN(CUSTO_GLOBAL[[#Headers],[PIS + COFINS + ISS (Total Conversão  Alíquota s/ Fatura)]])-2,0)</f>
        <v>0.16618075801749277</v>
      </c>
      <c r="BX68" s="22" t="e">
        <f ca="1">VLOOKUP($A68,tabCustoUnit[],COLUMN(CUSTO_GLOBAL[[#Headers],[Valor dos Tributos (ISS, PIS, CONFINS)]])-2,0)*($G68-$H68)</f>
        <v>#NAME?</v>
      </c>
      <c r="BY68" s="22" t="e">
        <f ca="1">VLOOKUP($A68,tabCustoUnit[],COLUMN(CUSTO_GLOBAL[[#Headers],[MÓDULO 6 – CUSTOS INDIRETOS, TRIBUTOS E LUCRO]])-2,0)*($G68-$H68)</f>
        <v>#NAME?</v>
      </c>
      <c r="BZ68" s="22" t="e">
        <f ca="1">VLOOKUP($A68,tabCustoUnit[],COLUMN(CUSTO_GLOBAL[[#Headers],[CUSTO TOTAL MENSAL]])-2,0)*($G68-$H68)</f>
        <v>#NAME?</v>
      </c>
      <c r="CA68" s="22" t="e">
        <f ca="1">CUSTO_GLOBAL[[#This Row],[CUSTO TOTAL MENSAL]]*12</f>
        <v>#NAME?</v>
      </c>
      <c r="CB68" s="24">
        <f>VLOOKUP($A68,tabCustoUnit[],COLUMN(CUSTO_GLOBAL[[#Headers],[ANO DA CCT]])-2,0)</f>
        <v>45658</v>
      </c>
      <c r="CC68" s="25" t="str">
        <f>VLOOKUP($A68,tabCustoUnit[],COLUMN(CUSTO_GLOBAL[[#Headers],[Nº DE PEDIDO DA CCT]])-2,0)</f>
        <v>-</v>
      </c>
      <c r="CD68" s="25" t="str">
        <f>VLOOKUP($A68,tabCustoUnit[],COLUMN(CUSTO_GLOBAL[[#Headers],[TERMO ADITIVO ALTERAÇÃO DA CCT]])-2,0)</f>
        <v>-</v>
      </c>
    </row>
    <row r="69" spans="1:82">
      <c r="A69" s="20" t="s">
        <v>1445</v>
      </c>
      <c r="B69" t="s">
        <v>1103</v>
      </c>
      <c r="C69" t="s">
        <v>324</v>
      </c>
      <c r="D69" t="s">
        <v>1035</v>
      </c>
      <c r="E69" s="20" t="s">
        <v>1090</v>
      </c>
      <c r="F69" s="20" t="s">
        <v>120</v>
      </c>
      <c r="G69" s="20">
        <v>146</v>
      </c>
      <c r="H69" s="20">
        <v>0</v>
      </c>
      <c r="I69" s="21">
        <f>VLOOKUP($A69,tabCustoUnit[],COLUMN(CUSTO_GLOBAL[[#Headers],[Salário Base]])-2,0)*($G69-$H69)</f>
        <v>495981.06760000001</v>
      </c>
      <c r="J69" s="21">
        <f>VLOOKUP($A69,tabCustoUnit[],COLUMN(CUSTO_GLOBAL[[#Headers],[Adicional Periculosidade]])-2,0)*($G69-$H69)</f>
        <v>0</v>
      </c>
      <c r="K69" s="21">
        <f>VLOOKUP($A69,tabCustoUnit[],COLUMN(CUSTO_GLOBAL[[#Headers],[Adicional Insalubridade]])-2,0)*($G69-$H69)</f>
        <v>0</v>
      </c>
      <c r="L69" s="21">
        <f>VLOOKUP($A69,tabCustoUnit[],COLUMN(CUSTO_GLOBAL[[#Headers],[Adicional Noturno]])-2,0)*($G69-$H69)</f>
        <v>0</v>
      </c>
      <c r="M69" s="21">
        <f>VLOOKUP($A69,tabCustoUnit[],COLUMN(CUSTO_GLOBAL[[#Headers],[Adicional Motorista II (Gratificação)]])-2,0)*($G69-$H69)</f>
        <v>0</v>
      </c>
      <c r="N69" s="21">
        <f>VLOOKUP($A69,tabCustoUnit[],COLUMN(CUSTO_GLOBAL[[#Headers],[Adicional de Sobreaviso]])-2,0)*($G69-$H69)</f>
        <v>0</v>
      </c>
      <c r="O69" s="21">
        <f>VLOOKUP($A69,tabCustoUnit[],COLUMN(CUSTO_GLOBAL[[#Headers],[Horas Extras TI]])-2,0)*($G69-$H69)</f>
        <v>0</v>
      </c>
      <c r="P69" s="21">
        <f>VLOOKUP($A69,tabCustoUnit[],COLUMN(CUSTO_GLOBAL[[#Headers],[Adicional de Acúmulo de função]])-2,0)*($G69-$H69)</f>
        <v>0</v>
      </c>
      <c r="Q69" s="21">
        <f>VLOOKUP($A69,tabCustoUnit[],COLUMN(CUSTO_GLOBAL[[#Headers],[MODULO 1 - REMUNERAÇÃO ]])-2,0)*($G69-$H69)</f>
        <v>495981.06760000001</v>
      </c>
      <c r="R69" s="21">
        <f>VLOOKUP($A69,tabCustoUnit[],COLUMN(CUSTO_GLOBAL[[#Headers],[INSS]])-2,0)*($G69-$H69)</f>
        <v>99196.213520000019</v>
      </c>
      <c r="S69" s="21">
        <f>VLOOKUP($A69,tabCustoUnit[],COLUMN(CUSTO_GLOBAL[[#Headers],[SESI OU SESC]])-2,0)*($G69-$H69)</f>
        <v>7439.7160139999996</v>
      </c>
      <c r="T69" s="21">
        <f>VLOOKUP($A69,tabCustoUnit[],COLUMN(CUSTO_GLOBAL[[#Headers],[SENAI OU SENAC]])-2,0)*($G69-$H69)</f>
        <v>4959.8106760000001</v>
      </c>
      <c r="U69" s="21">
        <f>VLOOKUP($A69,tabCustoUnit[],COLUMN(CUSTO_GLOBAL[[#Headers],[INCRA]])-2,0)*($G69-$H69)</f>
        <v>991.96213520000003</v>
      </c>
      <c r="V69" s="21">
        <f>VLOOKUP($A69,tabCustoUnit[],COLUMN(CUSTO_GLOBAL[[#Headers],[Salário Educação]])-2,0)*($G69-$H69)</f>
        <v>12399.526690000002</v>
      </c>
      <c r="W69" s="21">
        <f>VLOOKUP($A69,tabCustoUnit[],COLUMN(CUSTO_GLOBAL[[#Headers],[FGTS]])-2,0)*($G69-$H69)</f>
        <v>39678.485408</v>
      </c>
      <c r="X69" s="21">
        <f>VLOOKUP($A69,tabCustoUnit[],COLUMN(CUSTO_GLOBAL[[#Headers],[RAT Ajustado]])-2,0)*($G69-$H69)</f>
        <v>19839.242704</v>
      </c>
      <c r="Y69" s="21">
        <f>VLOOKUP($A69,tabCustoUnit[],COLUMN(CUSTO_GLOBAL[[#Headers],[SEBRAE]])-2,0)*($G69-$H69)</f>
        <v>2975.8864055999998</v>
      </c>
      <c r="Z69" s="21">
        <f>VLOOKUP($A69,tabCustoUnit[],COLUMN(CUSTO_GLOBAL[[#Headers],[Submódulo 2.1]])-2,0)*($G69-$H69)</f>
        <v>187480.84355280001</v>
      </c>
      <c r="AA69" s="21">
        <f>VLOOKUP($A69,tabCustoUnit[],COLUMN(CUSTO_GLOBAL[[#Headers],[13º salário (titular)]])-2,0)*($G69-$H69)</f>
        <v>41331.755633333327</v>
      </c>
      <c r="AB69" s="21">
        <f>VLOOKUP($A69,tabCustoUnit[],COLUMN(CUSTO_GLOBAL[[#Headers],[Férias e Adicional de Férias (titular)]])-2,0)*($G69-$H69)</f>
        <v>55109.007511111107</v>
      </c>
      <c r="AC69" s="21">
        <f>VLOOKUP($A69,tabCustoUnit[],COLUMN(CUSTO_GLOBAL[[#Headers],[Incidência do Submódulo 2.1 sobre 13º Salário, Férias e Adicional de Férias]])-2,0)*($G69-$H69)</f>
        <v>36454.608468600003</v>
      </c>
      <c r="AD69" s="21">
        <f>VLOOKUP($A69,tabCustoUnit[],COLUMN(CUSTO_GLOBAL[[#Headers],[Submódulo 2.2]])-2,0)*($G69-$H69)</f>
        <v>132895.37161304444</v>
      </c>
      <c r="AE69" s="22" t="e">
        <f ca="1">VLOOKUP($A69,tabCustoUnit[],COLUMN(CUSTO_GLOBAL[[#Headers],[Vale - Transporte (Descontada parcela do empregado)]])-2,0)*($G69-$H69)</f>
        <v>#NAME?</v>
      </c>
      <c r="AF69" s="22">
        <f>VLOOKUP($A69,tabCustoUnit[],COLUMN(CUSTO_GLOBAL[[#Headers],[Vale - Alimentação (Descontada parcela do empregado)]])-2,0)*($G69-$H69)</f>
        <v>84972</v>
      </c>
      <c r="AG69" s="22">
        <f>VLOOKUP($A69,tabCustoUnit[],COLUMN(CUSTO_GLOBAL[[#Headers],[Cesta Básica]])-2,0)*($G69-$H69)</f>
        <v>0</v>
      </c>
      <c r="AH69" s="22">
        <f>VLOOKUP($A69,tabCustoUnit[],COLUMN(CUSTO_GLOBAL[[#Headers],[PAF]])-2,0)*($G69-$H69)</f>
        <v>14001.400000000001</v>
      </c>
      <c r="AI69" s="22">
        <f>VLOOKUP($A69,tabCustoUnit[],COLUMN(CUSTO_GLOBAL[[#Headers],[PQM]])-2,0)*($G69-$H69)</f>
        <v>0</v>
      </c>
      <c r="AJ69" s="22">
        <v>0</v>
      </c>
      <c r="AK69" s="22">
        <f>VLOOKUP($A69,tabCustoUnit[],COLUMN(CUSTO_GLOBAL[[#Headers],[Seguro de Vida]])-2,0)*($G69-$H69)</f>
        <v>490.56</v>
      </c>
      <c r="AL69" s="22">
        <f>VLOOKUP($A69,tabCustoUnit[],COLUMN(CUSTO_GLOBAL[[#Headers],[Despesas de Viagem]])-2,0)*($G69-$H69)</f>
        <v>29503.68</v>
      </c>
      <c r="AM69" s="22" t="e">
        <f ca="1">VLOOKUP($A69,tabCustoUnit[],COLUMN(CUSTO_GLOBAL[[#Headers],[Submódulo 2.3]])-2,0)*($G69-$H69)</f>
        <v>#NAME?</v>
      </c>
      <c r="AN69" s="22" t="e">
        <f ca="1">VLOOKUP($A69,tabCustoUnit[],COLUMN(CUSTO_GLOBAL[[#Headers],[MÓDULO 2 - Total Encargos e Benefícios mensais e diários]])-2,0)*($G69-$H69)</f>
        <v>#NAME?</v>
      </c>
      <c r="AO69" s="22">
        <f>VLOOKUP($A69,tabCustoUnit[],COLUMN(CUSTO_GLOBAL[[#Headers],[Aviso Prévio Indenizado (API) e Reflexo do Aviso Prévio Indenizado]])-2,0)*($G69-$H69)</f>
        <v>3477.703670176003</v>
      </c>
      <c r="AP69" s="22">
        <f>VLOOKUP($A69,tabCustoUnit[],COLUMN(CUSTO_GLOBAL[[#Headers],[Incidência do FGTS sobre API e Reflexo do API]])-2,0)*($G69-$H69)</f>
        <v>278.21629361408026</v>
      </c>
      <c r="AQ69" s="22">
        <f>VLOOKUP($A69,tabCustoUnit[],COLUMN(CUSTO_GLOBAL[[#Headers],[Multa Rescisória do FGTS sobre o Aviso Prévio Indenizado]])-2,0)*($G69-$H69)</f>
        <v>111.28651744563211</v>
      </c>
      <c r="AR69" s="22">
        <f>VLOOKUP($A69,tabCustoUnit[],COLUMN(CUSTO_GLOBAL[[#Headers],[Aviso Prévio Trabalhado - APT]])-2,0)*($G69-$H69)</f>
        <v>1735.9337366000002</v>
      </c>
      <c r="AS69" s="22">
        <f>VLOOKUP($A69,tabCustoUnit[],COLUMN(CUSTO_GLOBAL[[#Headers],[Incidência dos encargos do submódulo 2.1 sobre Aviso Prévio Trabalhado]])-2,0)*($G69-$H69)</f>
        <v>656.1829524348002</v>
      </c>
      <c r="AT69" s="22">
        <f>VLOOKUP($A69,tabCustoUnit[],COLUMN(CUSTO_GLOBAL[[#Headers],[Multa Rescisória do FGTS]])-2,0)*($G69-$H69)</f>
        <v>15165.998867057775</v>
      </c>
      <c r="AU69" s="22">
        <f>VLOOKUP($A69,tabCustoUnit[],COLUMN(CUSTO_GLOBAL[[#Headers],[Indenização Adicional (Art. 9º da Lei nº 7.238/84)]])-2,0)*($G69-$H69)</f>
        <v>413.31755633333336</v>
      </c>
      <c r="AV69" s="22">
        <f>VLOOKUP($A69,tabCustoUnit[],COLUMN(CUSTO_GLOBAL[[#Headers],[MÓDULO 3 – PROVISÃO PARA RESCISÃO]])-2,0)*($G69-$H69)</f>
        <v>21838.639593661625</v>
      </c>
      <c r="AW69" s="22">
        <f>VLOOKUP($A69,tabCustoUnit[],COLUMN(CUSTO_GLOBAL[[#Headers],[Ausência por Doença]])-2,0)*($G69-$H69)</f>
        <v>4188.2845708444438</v>
      </c>
      <c r="AX69" s="22">
        <f>VLOOKUP($A69,tabCustoUnit[],COLUMN(CUSTO_GLOBAL[[#Headers],[Ausências Legais]])-2,0)*($G69-$H69)</f>
        <v>1005.7393870777778</v>
      </c>
      <c r="AY69" s="22">
        <f>VLOOKUP($A69,tabCustoUnit[],COLUMN(CUSTO_GLOBAL[[#Headers],[Licença Paternidade]])-2,0)*($G69-$H69)</f>
        <v>84.730099048333329</v>
      </c>
      <c r="AZ69" s="22">
        <f>VLOOKUP($A69,tabCustoUnit[],COLUMN(CUSTO_GLOBAL[[#Headers],[Ausência por Acidente de Trabalho]])-2,0)*($G69-$H69)</f>
        <v>103.32938908333334</v>
      </c>
      <c r="BA69" s="22">
        <f>VLOOKUP($A69,tabCustoUnit[],COLUMN(CUSTO_GLOBAL[[#Headers],[Férias, Adicional de Férias e 13º  com empregada em gozo de Licença Maternidade]])-2,0)*($G69-$H69)</f>
        <v>642.93842096296294</v>
      </c>
      <c r="BB69" s="22">
        <f>VLOOKUP($A69,tabCustoUnit[],COLUMN(CUSTO_GLOBAL[[#Headers],[Incidência do Submódulo 2.1 sobre Ausências Legais]])-2,0)*($G69-$H69)</f>
        <v>2277.4582657323704</v>
      </c>
      <c r="BC69" s="22">
        <f>VLOOKUP($A69,tabCustoUnit[],COLUMN(CUSTO_GLOBAL[[#Headers],[Submódulo 4.1]])-2,0)*($G69-$H69)</f>
        <v>8302.4801327492223</v>
      </c>
      <c r="BD69" s="22">
        <f>VLOOKUP($A69,tabCustoUnit[],COLUMN(CUSTO_GLOBAL[[#Headers],[Intervalo para Repouso ou Alimentação]])-2,0)*($G69-$H69)</f>
        <v>0</v>
      </c>
      <c r="BE69" s="22">
        <f>VLOOKUP($A69,tabCustoUnit[],COLUMN(CUSTO_GLOBAL[[#Headers],[Submódulo 4.2]])-2,0)*($G69-$H69)</f>
        <v>0</v>
      </c>
      <c r="BF69" s="22">
        <f>VLOOKUP($A69,tabCustoUnit[],COLUMN(CUSTO_GLOBAL[[#Headers],[Suspensão Temporária do Contrato de Trabalho]])-2,0)*($G69-$H69)</f>
        <v>0</v>
      </c>
      <c r="BG69" s="22">
        <f>VLOOKUP($A69,tabCustoUnit[],COLUMN(CUSTO_GLOBAL[[#Headers],[Submódulo 4.3]])-2,0)*($G69-$H69)</f>
        <v>0</v>
      </c>
      <c r="BH69" s="22">
        <f>VLOOKUP($A69,tabCustoUnit[],COLUMN(CUSTO_GLOBAL[[#Headers],[MÓDULO 4 – CUSTO DE REPOSIÇÃO DO PROFISSIONAL AUSENTE]])-2,0)*($G69-$H69)</f>
        <v>8302.4801327492223</v>
      </c>
      <c r="BI69" s="22">
        <f>VLOOKUP($A69,tabCustoUnit[],COLUMN(CUSTO_GLOBAL[[#Headers],[Uniformes e EPIs]])-2,0)*($G69-$H69)</f>
        <v>8269.8749285313352</v>
      </c>
      <c r="BJ69" s="22">
        <f>VLOOKUP($A69,tabCustoUnit[],COLUMN(CUSTO_GLOBAL[[#Headers],[Materiais de Consumo]])-2,0)*($G69-$H69)</f>
        <v>0</v>
      </c>
      <c r="BK69" s="22">
        <f>VLOOKUP($A69,tabCustoUnit[],COLUMN(CUSTO_GLOBAL[[#Headers],[Máquinas e Equipamentos (depreciação)]])-2,0)*($G69-$H69)</f>
        <v>0</v>
      </c>
      <c r="BL69" s="22">
        <f>VLOOKUP($A69,tabCustoUnit[],COLUMN(CUSTO_GLOBAL[[#Headers],[Produtos de Limpeza e Materiais de Higiene Pessoal]])-2,0)*($G69-$H69)</f>
        <v>0</v>
      </c>
      <c r="BM69" s="22">
        <f>VLOOKUP($A69,tabCustoUnit[],COLUMN(CUSTO_GLOBAL[[#Headers],[Outros (especificar)]])-2,0)*($G69-$H69)</f>
        <v>0</v>
      </c>
      <c r="BN69" s="22">
        <f>VLOOKUP($A69,tabCustoUnit[],COLUMN(CUSTO_GLOBAL[[#Headers],[MÓDULO 5 – INSUMOS DIVERSOS]])-2,0)*($G69-$H69)</f>
        <v>8269.8749285313352</v>
      </c>
      <c r="BO69" s="22" t="e">
        <f ca="1">VLOOKUP($A69,tabCustoUnit[],COLUMN(CUSTO_GLOBAL[[#Headers],[TOTAL MÓDULOS 1+2+3+4+5]])-2,0)*($G69-$H69)</f>
        <v>#NAME?</v>
      </c>
      <c r="BP69" s="22" t="e">
        <f ca="1">VLOOKUP($A69,tabCustoUnit[],COLUMN(CUSTO_GLOBAL[[#Headers],[Custos Indiretos]])-2,0)*($G69-$H69)</f>
        <v>#NAME?</v>
      </c>
      <c r="BQ69" s="22" t="e">
        <f ca="1">VLOOKUP($A69,tabCustoUnit[],COLUMN(CUSTO_GLOBAL[[#Headers],[Lucro]])-2,0)*($G69-$H69)</f>
        <v>#NAME?</v>
      </c>
      <c r="BR69" s="26">
        <f>VLOOKUP($A69,tabCustoUnit[],COLUMN(CUSTO_GLOBAL[[#Headers],[COFINS]])-2,0)</f>
        <v>8.8629737609329504E-2</v>
      </c>
      <c r="BS69" s="26">
        <f>VLOOKUP($A69,tabCustoUnit[],COLUMN(CUSTO_GLOBAL[[#Headers],[PIS]])-2,0)</f>
        <v>1.9241982507288629E-2</v>
      </c>
      <c r="BT69" s="28">
        <f>VLOOKUP($A69,tabCustoUnit[],COLUMN(CUSTO_GLOBAL[[#Headers],[ISS]])-2,0)</f>
        <v>0.05</v>
      </c>
      <c r="BU69" s="26">
        <f>VLOOKUP($A69,tabCustoUnit[],COLUMN(CUSTO_GLOBAL[[#Headers],[ISS (Conversão Alíquota s/ fatura)]])-2,0)</f>
        <v>5.8309037900874633E-2</v>
      </c>
      <c r="BV69" s="26">
        <f>VLOOKUP($A69,tabCustoUnit[],COLUMN(CUSTO_GLOBAL[[#Headers],[Resumo de Alíquotas (PIS+CONFINS+ISS)]])-2,0)</f>
        <v>0.14250000000000002</v>
      </c>
      <c r="BW69" s="138">
        <f>VLOOKUP($A69,tabCustoUnit[],COLUMN(CUSTO_GLOBAL[[#Headers],[PIS + COFINS + ISS (Total Conversão  Alíquota s/ Fatura)]])-2,0)</f>
        <v>0.16618075801749277</v>
      </c>
      <c r="BX69" s="22" t="e">
        <f ca="1">VLOOKUP($A69,tabCustoUnit[],COLUMN(CUSTO_GLOBAL[[#Headers],[Valor dos Tributos (ISS, PIS, CONFINS)]])-2,0)*($G69-$H69)</f>
        <v>#NAME?</v>
      </c>
      <c r="BY69" s="22" t="e">
        <f ca="1">VLOOKUP($A69,tabCustoUnit[],COLUMN(CUSTO_GLOBAL[[#Headers],[MÓDULO 6 – CUSTOS INDIRETOS, TRIBUTOS E LUCRO]])-2,0)*($G69-$H69)</f>
        <v>#NAME?</v>
      </c>
      <c r="BZ69" s="22" t="e">
        <f ca="1">VLOOKUP($A69,tabCustoUnit[],COLUMN(CUSTO_GLOBAL[[#Headers],[CUSTO TOTAL MENSAL]])-2,0)*($G69-$H69)</f>
        <v>#NAME?</v>
      </c>
      <c r="CA69" s="22" t="e">
        <f ca="1">CUSTO_GLOBAL[[#This Row],[CUSTO TOTAL MENSAL]]*12</f>
        <v>#NAME?</v>
      </c>
      <c r="CB69" s="24">
        <f>VLOOKUP($A69,tabCustoUnit[],COLUMN(CUSTO_GLOBAL[[#Headers],[ANO DA CCT]])-2,0)</f>
        <v>45658</v>
      </c>
      <c r="CC69" s="25" t="str">
        <f>VLOOKUP($A69,tabCustoUnit[],COLUMN(CUSTO_GLOBAL[[#Headers],[Nº DE PEDIDO DA CCT]])-2,0)</f>
        <v>-</v>
      </c>
      <c r="CD69" s="25" t="str">
        <f>VLOOKUP($A69,tabCustoUnit[],COLUMN(CUSTO_GLOBAL[[#Headers],[TERMO ADITIVO ALTERAÇÃO DA CCT]])-2,0)</f>
        <v>-</v>
      </c>
    </row>
    <row r="70" spans="1:82">
      <c r="A70" s="20" t="s">
        <v>1550</v>
      </c>
      <c r="B70" t="s">
        <v>1103</v>
      </c>
      <c r="C70" t="s">
        <v>324</v>
      </c>
      <c r="D70" t="s">
        <v>1035</v>
      </c>
      <c r="E70" s="20" t="s">
        <v>1090</v>
      </c>
      <c r="F70" s="20" t="s">
        <v>135</v>
      </c>
      <c r="G70" s="20">
        <v>10</v>
      </c>
      <c r="H70" s="20">
        <v>0</v>
      </c>
      <c r="I70" s="21">
        <f>VLOOKUP($A70,tabCustoUnit[],COLUMN(CUSTO_GLOBAL[[#Headers],[Salário Base]])-2,0)*($G70-$H70)</f>
        <v>33971.305999999997</v>
      </c>
      <c r="J70" s="21">
        <f>VLOOKUP($A70,tabCustoUnit[],COLUMN(CUSTO_GLOBAL[[#Headers],[Adicional Periculosidade]])-2,0)*($G70-$H70)</f>
        <v>0</v>
      </c>
      <c r="K70" s="21">
        <f>VLOOKUP($A70,tabCustoUnit[],COLUMN(CUSTO_GLOBAL[[#Headers],[Adicional Insalubridade]])-2,0)*($G70-$H70)</f>
        <v>0</v>
      </c>
      <c r="L70" s="21">
        <f>VLOOKUP($A70,tabCustoUnit[],COLUMN(CUSTO_GLOBAL[[#Headers],[Adicional Noturno]])-2,0)*($G70-$H70)</f>
        <v>0</v>
      </c>
      <c r="M70" s="21">
        <f>VLOOKUP($A70,tabCustoUnit[],COLUMN(CUSTO_GLOBAL[[#Headers],[Adicional Motorista II (Gratificação)]])-2,0)*($G70-$H70)</f>
        <v>0</v>
      </c>
      <c r="N70" s="21">
        <f>VLOOKUP($A70,tabCustoUnit[],COLUMN(CUSTO_GLOBAL[[#Headers],[Adicional de Sobreaviso]])-2,0)*($G70-$H70)</f>
        <v>0</v>
      </c>
      <c r="O70" s="21">
        <f>VLOOKUP($A70,tabCustoUnit[],COLUMN(CUSTO_GLOBAL[[#Headers],[Horas Extras TI]])-2,0)*($G70-$H70)</f>
        <v>0</v>
      </c>
      <c r="P70" s="21">
        <f>VLOOKUP($A70,tabCustoUnit[],COLUMN(CUSTO_GLOBAL[[#Headers],[Adicional de Acúmulo de função]])-2,0)*($G70-$H70)</f>
        <v>0</v>
      </c>
      <c r="Q70" s="21">
        <f>VLOOKUP($A70,tabCustoUnit[],COLUMN(CUSTO_GLOBAL[[#Headers],[MODULO 1 - REMUNERAÇÃO ]])-2,0)*($G70-$H70)</f>
        <v>33971.305999999997</v>
      </c>
      <c r="R70" s="21">
        <f>VLOOKUP($A70,tabCustoUnit[],COLUMN(CUSTO_GLOBAL[[#Headers],[INSS]])-2,0)*($G70-$H70)</f>
        <v>6794.2612000000008</v>
      </c>
      <c r="S70" s="21">
        <f>VLOOKUP($A70,tabCustoUnit[],COLUMN(CUSTO_GLOBAL[[#Headers],[SESI OU SESC]])-2,0)*($G70-$H70)</f>
        <v>509.56958999999995</v>
      </c>
      <c r="T70" s="21">
        <f>VLOOKUP($A70,tabCustoUnit[],COLUMN(CUSTO_GLOBAL[[#Headers],[SENAI OU SENAC]])-2,0)*($G70-$H70)</f>
        <v>339.71305999999998</v>
      </c>
      <c r="U70" s="21">
        <f>VLOOKUP($A70,tabCustoUnit[],COLUMN(CUSTO_GLOBAL[[#Headers],[INCRA]])-2,0)*($G70-$H70)</f>
        <v>67.942611999999997</v>
      </c>
      <c r="V70" s="21">
        <f>VLOOKUP($A70,tabCustoUnit[],COLUMN(CUSTO_GLOBAL[[#Headers],[Salário Educação]])-2,0)*($G70-$H70)</f>
        <v>849.2826500000001</v>
      </c>
      <c r="W70" s="21">
        <f>VLOOKUP($A70,tabCustoUnit[],COLUMN(CUSTO_GLOBAL[[#Headers],[FGTS]])-2,0)*($G70-$H70)</f>
        <v>2717.7044799999999</v>
      </c>
      <c r="X70" s="21">
        <f>VLOOKUP($A70,tabCustoUnit[],COLUMN(CUSTO_GLOBAL[[#Headers],[RAT Ajustado]])-2,0)*($G70-$H70)</f>
        <v>1358.8522399999999</v>
      </c>
      <c r="Y70" s="21">
        <f>VLOOKUP($A70,tabCustoUnit[],COLUMN(CUSTO_GLOBAL[[#Headers],[SEBRAE]])-2,0)*($G70-$H70)</f>
        <v>203.82783599999999</v>
      </c>
      <c r="Z70" s="21">
        <f>VLOOKUP($A70,tabCustoUnit[],COLUMN(CUSTO_GLOBAL[[#Headers],[Submódulo 2.1]])-2,0)*($G70-$H70)</f>
        <v>12841.153668000003</v>
      </c>
      <c r="AA70" s="21">
        <f>VLOOKUP($A70,tabCustoUnit[],COLUMN(CUSTO_GLOBAL[[#Headers],[13º salário (titular)]])-2,0)*($G70-$H70)</f>
        <v>2830.9421666666663</v>
      </c>
      <c r="AB70" s="21">
        <f>VLOOKUP($A70,tabCustoUnit[],COLUMN(CUSTO_GLOBAL[[#Headers],[Férias e Adicional de Férias (titular)]])-2,0)*($G70-$H70)</f>
        <v>3774.5895555555553</v>
      </c>
      <c r="AC70" s="21">
        <f>VLOOKUP($A70,tabCustoUnit[],COLUMN(CUSTO_GLOBAL[[#Headers],[Incidência do Submódulo 2.1 sobre 13º Salário, Férias e Adicional de Férias]])-2,0)*($G70-$H70)</f>
        <v>2496.8909910000002</v>
      </c>
      <c r="AD70" s="21">
        <f>VLOOKUP($A70,tabCustoUnit[],COLUMN(CUSTO_GLOBAL[[#Headers],[Submódulo 2.2]])-2,0)*($G70-$H70)</f>
        <v>9102.4227132222222</v>
      </c>
      <c r="AE70" s="22" t="e">
        <f ca="1">VLOOKUP($A70,tabCustoUnit[],COLUMN(CUSTO_GLOBAL[[#Headers],[Vale - Transporte (Descontada parcela do empregado)]])-2,0)*($G70-$H70)</f>
        <v>#NAME?</v>
      </c>
      <c r="AF70" s="22">
        <f>VLOOKUP($A70,tabCustoUnit[],COLUMN(CUSTO_GLOBAL[[#Headers],[Vale - Alimentação (Descontada parcela do empregado)]])-2,0)*($G70-$H70)</f>
        <v>5820</v>
      </c>
      <c r="AG70" s="22">
        <f>VLOOKUP($A70,tabCustoUnit[],COLUMN(CUSTO_GLOBAL[[#Headers],[Cesta Básica]])-2,0)*($G70-$H70)</f>
        <v>0</v>
      </c>
      <c r="AH70" s="22">
        <f>VLOOKUP($A70,tabCustoUnit[],COLUMN(CUSTO_GLOBAL[[#Headers],[PAF]])-2,0)*($G70-$H70)</f>
        <v>959</v>
      </c>
      <c r="AI70" s="22">
        <f>VLOOKUP($A70,tabCustoUnit[],COLUMN(CUSTO_GLOBAL[[#Headers],[PQM]])-2,0)*($G70-$H70)</f>
        <v>0</v>
      </c>
      <c r="AJ70" s="22">
        <v>0</v>
      </c>
      <c r="AK70" s="22">
        <f>VLOOKUP($A70,tabCustoUnit[],COLUMN(CUSTO_GLOBAL[[#Headers],[Seguro de Vida]])-2,0)*($G70-$H70)</f>
        <v>33.6</v>
      </c>
      <c r="AL70" s="22">
        <f>VLOOKUP($A70,tabCustoUnit[],COLUMN(CUSTO_GLOBAL[[#Headers],[Despesas de Viagem]])-2,0)*($G70-$H70)</f>
        <v>2020.8000000000002</v>
      </c>
      <c r="AM70" s="22" t="e">
        <f ca="1">VLOOKUP($A70,tabCustoUnit[],COLUMN(CUSTO_GLOBAL[[#Headers],[Submódulo 2.3]])-2,0)*($G70-$H70)</f>
        <v>#NAME?</v>
      </c>
      <c r="AN70" s="22" t="e">
        <f ca="1">VLOOKUP($A70,tabCustoUnit[],COLUMN(CUSTO_GLOBAL[[#Headers],[MÓDULO 2 - Total Encargos e Benefícios mensais e diários]])-2,0)*($G70-$H70)</f>
        <v>#NAME?</v>
      </c>
      <c r="AO70" s="22">
        <f>VLOOKUP($A70,tabCustoUnit[],COLUMN(CUSTO_GLOBAL[[#Headers],[Aviso Prévio Indenizado (API) e Reflexo do Aviso Prévio Indenizado]])-2,0)*($G70-$H70)</f>
        <v>238.19888151890433</v>
      </c>
      <c r="AP70" s="22">
        <f>VLOOKUP($A70,tabCustoUnit[],COLUMN(CUSTO_GLOBAL[[#Headers],[Incidência do FGTS sobre API e Reflexo do API]])-2,0)*($G70-$H70)</f>
        <v>19.055910521512345</v>
      </c>
      <c r="AQ70" s="22">
        <f>VLOOKUP($A70,tabCustoUnit[],COLUMN(CUSTO_GLOBAL[[#Headers],[Multa Rescisória do FGTS sobre o Aviso Prévio Indenizado]])-2,0)*($G70-$H70)</f>
        <v>7.6223642086049388</v>
      </c>
      <c r="AR70" s="22">
        <f>VLOOKUP($A70,tabCustoUnit[],COLUMN(CUSTO_GLOBAL[[#Headers],[Aviso Prévio Trabalhado - APT]])-2,0)*($G70-$H70)</f>
        <v>118.89957100000002</v>
      </c>
      <c r="AS70" s="22">
        <f>VLOOKUP($A70,tabCustoUnit[],COLUMN(CUSTO_GLOBAL[[#Headers],[Incidência dos encargos do submódulo 2.1 sobre Aviso Prévio Trabalhado]])-2,0)*($G70-$H70)</f>
        <v>44.944037838000014</v>
      </c>
      <c r="AT70" s="22">
        <f>VLOOKUP($A70,tabCustoUnit[],COLUMN(CUSTO_GLOBAL[[#Headers],[Multa Rescisória do FGTS]])-2,0)*($G70-$H70)</f>
        <v>1038.7670456888886</v>
      </c>
      <c r="AU70" s="22">
        <f>VLOOKUP($A70,tabCustoUnit[],COLUMN(CUSTO_GLOBAL[[#Headers],[Indenização Adicional (Art. 9º da Lei nº 7.238/84)]])-2,0)*($G70-$H70)</f>
        <v>28.309421666666669</v>
      </c>
      <c r="AV70" s="22">
        <f>VLOOKUP($A70,tabCustoUnit[],COLUMN(CUSTO_GLOBAL[[#Headers],[MÓDULO 3 – PROVISÃO PARA RESCISÃO]])-2,0)*($G70-$H70)</f>
        <v>1495.7972324425771</v>
      </c>
      <c r="AW70" s="22">
        <f>VLOOKUP($A70,tabCustoUnit[],COLUMN(CUSTO_GLOBAL[[#Headers],[Ausência por Doença]])-2,0)*($G70-$H70)</f>
        <v>286.86880622222219</v>
      </c>
      <c r="AX70" s="22">
        <f>VLOOKUP($A70,tabCustoUnit[],COLUMN(CUSTO_GLOBAL[[#Headers],[Ausências Legais]])-2,0)*($G70-$H70)</f>
        <v>68.886259388888888</v>
      </c>
      <c r="AY70" s="22">
        <f>VLOOKUP($A70,tabCustoUnit[],COLUMN(CUSTO_GLOBAL[[#Headers],[Licença Paternidade]])-2,0)*($G70-$H70)</f>
        <v>5.8034314416666666</v>
      </c>
      <c r="AZ70" s="22">
        <f>VLOOKUP($A70,tabCustoUnit[],COLUMN(CUSTO_GLOBAL[[#Headers],[Ausência por Acidente de Trabalho]])-2,0)*($G70-$H70)</f>
        <v>7.0773554166666672</v>
      </c>
      <c r="BA70" s="22">
        <f>VLOOKUP($A70,tabCustoUnit[],COLUMN(CUSTO_GLOBAL[[#Headers],[Férias, Adicional de Férias e 13º  com empregada em gozo de Licença Maternidade]])-2,0)*($G70-$H70)</f>
        <v>44.036878148148148</v>
      </c>
      <c r="BB70" s="22">
        <f>VLOOKUP($A70,tabCustoUnit[],COLUMN(CUSTO_GLOBAL[[#Headers],[Incidência do Submódulo 2.1 sobre Ausências Legais]])-2,0)*($G70-$H70)</f>
        <v>155.99029217345003</v>
      </c>
      <c r="BC70" s="22">
        <f>VLOOKUP($A70,tabCustoUnit[],COLUMN(CUSTO_GLOBAL[[#Headers],[Submódulo 4.1]])-2,0)*($G70-$H70)</f>
        <v>568.66302279104264</v>
      </c>
      <c r="BD70" s="22">
        <f>VLOOKUP($A70,tabCustoUnit[],COLUMN(CUSTO_GLOBAL[[#Headers],[Intervalo para Repouso ou Alimentação]])-2,0)*($G70-$H70)</f>
        <v>0</v>
      </c>
      <c r="BE70" s="22">
        <f>VLOOKUP($A70,tabCustoUnit[],COLUMN(CUSTO_GLOBAL[[#Headers],[Submódulo 4.2]])-2,0)*($G70-$H70)</f>
        <v>0</v>
      </c>
      <c r="BF70" s="22">
        <f>VLOOKUP($A70,tabCustoUnit[],COLUMN(CUSTO_GLOBAL[[#Headers],[Suspensão Temporária do Contrato de Trabalho]])-2,0)*($G70-$H70)</f>
        <v>0</v>
      </c>
      <c r="BG70" s="22">
        <f>VLOOKUP($A70,tabCustoUnit[],COLUMN(CUSTO_GLOBAL[[#Headers],[Submódulo 4.3]])-2,0)*($G70-$H70)</f>
        <v>0</v>
      </c>
      <c r="BH70" s="22">
        <f>VLOOKUP($A70,tabCustoUnit[],COLUMN(CUSTO_GLOBAL[[#Headers],[MÓDULO 4 – CUSTO DE REPOSIÇÃO DO PROFISSIONAL AUSENTE]])-2,0)*($G70-$H70)</f>
        <v>568.66302279104264</v>
      </c>
      <c r="BI70" s="22">
        <f>VLOOKUP($A70,tabCustoUnit[],COLUMN(CUSTO_GLOBAL[[#Headers],[Uniformes e EPIs]])-2,0)*($G70-$H70)</f>
        <v>566.42978962543395</v>
      </c>
      <c r="BJ70" s="22">
        <f>VLOOKUP($A70,tabCustoUnit[],COLUMN(CUSTO_GLOBAL[[#Headers],[Materiais de Consumo]])-2,0)*($G70-$H70)</f>
        <v>0</v>
      </c>
      <c r="BK70" s="22">
        <f>VLOOKUP($A70,tabCustoUnit[],COLUMN(CUSTO_GLOBAL[[#Headers],[Máquinas e Equipamentos (depreciação)]])-2,0)*($G70-$H70)</f>
        <v>0</v>
      </c>
      <c r="BL70" s="22">
        <f>VLOOKUP($A70,tabCustoUnit[],COLUMN(CUSTO_GLOBAL[[#Headers],[Produtos de Limpeza e Materiais de Higiene Pessoal]])-2,0)*($G70-$H70)</f>
        <v>0</v>
      </c>
      <c r="BM70" s="22">
        <f>VLOOKUP($A70,tabCustoUnit[],COLUMN(CUSTO_GLOBAL[[#Headers],[Outros (especificar)]])-2,0)*($G70-$H70)</f>
        <v>0</v>
      </c>
      <c r="BN70" s="22">
        <f>VLOOKUP($A70,tabCustoUnit[],COLUMN(CUSTO_GLOBAL[[#Headers],[MÓDULO 5 – INSUMOS DIVERSOS]])-2,0)*($G70-$H70)</f>
        <v>566.42978962543395</v>
      </c>
      <c r="BO70" s="22" t="e">
        <f ca="1">VLOOKUP($A70,tabCustoUnit[],COLUMN(CUSTO_GLOBAL[[#Headers],[TOTAL MÓDULOS 1+2+3+4+5]])-2,0)*($G70-$H70)</f>
        <v>#NAME?</v>
      </c>
      <c r="BP70" s="22" t="e">
        <f ca="1">VLOOKUP($A70,tabCustoUnit[],COLUMN(CUSTO_GLOBAL[[#Headers],[Custos Indiretos]])-2,0)*($G70-$H70)</f>
        <v>#NAME?</v>
      </c>
      <c r="BQ70" s="22" t="e">
        <f ca="1">VLOOKUP($A70,tabCustoUnit[],COLUMN(CUSTO_GLOBAL[[#Headers],[Lucro]])-2,0)*($G70-$H70)</f>
        <v>#NAME?</v>
      </c>
      <c r="BR70" s="26">
        <f>VLOOKUP($A70,tabCustoUnit[],COLUMN(CUSTO_GLOBAL[[#Headers],[COFINS]])-2,0)</f>
        <v>8.8629737609329504E-2</v>
      </c>
      <c r="BS70" s="26">
        <f>VLOOKUP($A70,tabCustoUnit[],COLUMN(CUSTO_GLOBAL[[#Headers],[PIS]])-2,0)</f>
        <v>1.9241982507288629E-2</v>
      </c>
      <c r="BT70" s="28">
        <f>VLOOKUP($A70,tabCustoUnit[],COLUMN(CUSTO_GLOBAL[[#Headers],[ISS]])-2,0)</f>
        <v>0.05</v>
      </c>
      <c r="BU70" s="26">
        <f>VLOOKUP($A70,tabCustoUnit[],COLUMN(CUSTO_GLOBAL[[#Headers],[ISS (Conversão Alíquota s/ fatura)]])-2,0)</f>
        <v>5.8309037900874633E-2</v>
      </c>
      <c r="BV70" s="26">
        <f>VLOOKUP($A70,tabCustoUnit[],COLUMN(CUSTO_GLOBAL[[#Headers],[Resumo de Alíquotas (PIS+CONFINS+ISS)]])-2,0)</f>
        <v>0.14250000000000002</v>
      </c>
      <c r="BW70" s="138">
        <f>VLOOKUP($A70,tabCustoUnit[],COLUMN(CUSTO_GLOBAL[[#Headers],[PIS + COFINS + ISS (Total Conversão  Alíquota s/ Fatura)]])-2,0)</f>
        <v>0.16618075801749277</v>
      </c>
      <c r="BX70" s="22" t="e">
        <f ca="1">VLOOKUP($A70,tabCustoUnit[],COLUMN(CUSTO_GLOBAL[[#Headers],[Valor dos Tributos (ISS, PIS, CONFINS)]])-2,0)*($G70-$H70)</f>
        <v>#NAME?</v>
      </c>
      <c r="BY70" s="22" t="e">
        <f ca="1">VLOOKUP($A70,tabCustoUnit[],COLUMN(CUSTO_GLOBAL[[#Headers],[MÓDULO 6 – CUSTOS INDIRETOS, TRIBUTOS E LUCRO]])-2,0)*($G70-$H70)</f>
        <v>#NAME?</v>
      </c>
      <c r="BZ70" s="22" t="e">
        <f ca="1">VLOOKUP($A70,tabCustoUnit[],COLUMN(CUSTO_GLOBAL[[#Headers],[CUSTO TOTAL MENSAL]])-2,0)*($G70-$H70)</f>
        <v>#NAME?</v>
      </c>
      <c r="CA70" s="22" t="e">
        <f ca="1">CUSTO_GLOBAL[[#This Row],[CUSTO TOTAL MENSAL]]*12</f>
        <v>#NAME?</v>
      </c>
      <c r="CB70" s="24">
        <f>VLOOKUP($A70,tabCustoUnit[],COLUMN(CUSTO_GLOBAL[[#Headers],[ANO DA CCT]])-2,0)</f>
        <v>45658</v>
      </c>
      <c r="CC70" s="25" t="str">
        <f>VLOOKUP($A70,tabCustoUnit[],COLUMN(CUSTO_GLOBAL[[#Headers],[Nº DE PEDIDO DA CCT]])-2,0)</f>
        <v>-</v>
      </c>
      <c r="CD70" s="25" t="str">
        <f>VLOOKUP($A70,tabCustoUnit[],COLUMN(CUSTO_GLOBAL[[#Headers],[TERMO ADITIVO ALTERAÇÃO DA CCT]])-2,0)</f>
        <v>-</v>
      </c>
    </row>
    <row r="71" spans="1:82">
      <c r="A71" s="20" t="s">
        <v>1447</v>
      </c>
      <c r="B71" t="s">
        <v>1103</v>
      </c>
      <c r="C71" t="s">
        <v>329</v>
      </c>
      <c r="D71" t="s">
        <v>1035</v>
      </c>
      <c r="E71" s="20" t="s">
        <v>1090</v>
      </c>
      <c r="F71" s="20" t="s">
        <v>120</v>
      </c>
      <c r="G71" s="20">
        <v>4</v>
      </c>
      <c r="H71" s="20">
        <v>0</v>
      </c>
      <c r="I71" s="21">
        <f>VLOOKUP($A71,tabCustoUnit[],COLUMN(CUSTO_GLOBAL[[#Headers],[Salário Base]])-2,0)*($G71-$H71)</f>
        <v>17804.777600000001</v>
      </c>
      <c r="J71" s="21">
        <f>VLOOKUP($A71,tabCustoUnit[],COLUMN(CUSTO_GLOBAL[[#Headers],[Adicional Periculosidade]])-2,0)*($G71-$H71)</f>
        <v>0</v>
      </c>
      <c r="K71" s="21">
        <f>VLOOKUP($A71,tabCustoUnit[],COLUMN(CUSTO_GLOBAL[[#Headers],[Adicional Insalubridade]])-2,0)*($G71-$H71)</f>
        <v>0</v>
      </c>
      <c r="L71" s="21">
        <f>VLOOKUP($A71,tabCustoUnit[],COLUMN(CUSTO_GLOBAL[[#Headers],[Adicional Noturno]])-2,0)*($G71-$H71)</f>
        <v>0</v>
      </c>
      <c r="M71" s="21">
        <f>VLOOKUP($A71,tabCustoUnit[],COLUMN(CUSTO_GLOBAL[[#Headers],[Adicional Motorista II (Gratificação)]])-2,0)*($G71-$H71)</f>
        <v>0</v>
      </c>
      <c r="N71" s="21">
        <f>VLOOKUP($A71,tabCustoUnit[],COLUMN(CUSTO_GLOBAL[[#Headers],[Adicional de Sobreaviso]])-2,0)*($G71-$H71)</f>
        <v>0</v>
      </c>
      <c r="O71" s="21">
        <f>VLOOKUP($A71,tabCustoUnit[],COLUMN(CUSTO_GLOBAL[[#Headers],[Horas Extras TI]])-2,0)*($G71-$H71)</f>
        <v>0</v>
      </c>
      <c r="P71" s="21">
        <f>VLOOKUP($A71,tabCustoUnit[],COLUMN(CUSTO_GLOBAL[[#Headers],[Adicional de Acúmulo de função]])-2,0)*($G71-$H71)</f>
        <v>0</v>
      </c>
      <c r="Q71" s="21">
        <f>VLOOKUP($A71,tabCustoUnit[],COLUMN(CUSTO_GLOBAL[[#Headers],[MODULO 1 - REMUNERAÇÃO ]])-2,0)*($G71-$H71)</f>
        <v>17804.777600000001</v>
      </c>
      <c r="R71" s="21">
        <f>VLOOKUP($A71,tabCustoUnit[],COLUMN(CUSTO_GLOBAL[[#Headers],[INSS]])-2,0)*($G71-$H71)</f>
        <v>3560.9555200000004</v>
      </c>
      <c r="S71" s="21">
        <f>VLOOKUP($A71,tabCustoUnit[],COLUMN(CUSTO_GLOBAL[[#Headers],[SESI OU SESC]])-2,0)*($G71-$H71)</f>
        <v>267.071664</v>
      </c>
      <c r="T71" s="21">
        <f>VLOOKUP($A71,tabCustoUnit[],COLUMN(CUSTO_GLOBAL[[#Headers],[SENAI OU SENAC]])-2,0)*($G71-$H71)</f>
        <v>178.04777600000003</v>
      </c>
      <c r="U71" s="21">
        <f>VLOOKUP($A71,tabCustoUnit[],COLUMN(CUSTO_GLOBAL[[#Headers],[INCRA]])-2,0)*($G71-$H71)</f>
        <v>35.609555200000003</v>
      </c>
      <c r="V71" s="21">
        <f>VLOOKUP($A71,tabCustoUnit[],COLUMN(CUSTO_GLOBAL[[#Headers],[Salário Educação]])-2,0)*($G71-$H71)</f>
        <v>445.11944000000005</v>
      </c>
      <c r="W71" s="21">
        <f>VLOOKUP($A71,tabCustoUnit[],COLUMN(CUSTO_GLOBAL[[#Headers],[FGTS]])-2,0)*($G71-$H71)</f>
        <v>1424.3822080000002</v>
      </c>
      <c r="X71" s="21">
        <f>VLOOKUP($A71,tabCustoUnit[],COLUMN(CUSTO_GLOBAL[[#Headers],[RAT Ajustado]])-2,0)*($G71-$H71)</f>
        <v>712.19110400000011</v>
      </c>
      <c r="Y71" s="21">
        <f>VLOOKUP($A71,tabCustoUnit[],COLUMN(CUSTO_GLOBAL[[#Headers],[SEBRAE]])-2,0)*($G71-$H71)</f>
        <v>106.82866560000001</v>
      </c>
      <c r="Z71" s="21">
        <f>VLOOKUP($A71,tabCustoUnit[],COLUMN(CUSTO_GLOBAL[[#Headers],[Submódulo 2.1]])-2,0)*($G71-$H71)</f>
        <v>6730.2059328000014</v>
      </c>
      <c r="AA71" s="21">
        <f>VLOOKUP($A71,tabCustoUnit[],COLUMN(CUSTO_GLOBAL[[#Headers],[13º salário (titular)]])-2,0)*($G71-$H71)</f>
        <v>1483.7314666666666</v>
      </c>
      <c r="AB71" s="21">
        <f>VLOOKUP($A71,tabCustoUnit[],COLUMN(CUSTO_GLOBAL[[#Headers],[Férias e Adicional de Férias (titular)]])-2,0)*($G71-$H71)</f>
        <v>1978.3086222222223</v>
      </c>
      <c r="AC71" s="21">
        <f>VLOOKUP($A71,tabCustoUnit[],COLUMN(CUSTO_GLOBAL[[#Headers],[Incidência do Submódulo 2.1 sobre 13º Salário, Férias e Adicional de Férias]])-2,0)*($G71-$H71)</f>
        <v>1308.6511536000003</v>
      </c>
      <c r="AD71" s="21">
        <f>VLOOKUP($A71,tabCustoUnit[],COLUMN(CUSTO_GLOBAL[[#Headers],[Submódulo 2.2]])-2,0)*($G71-$H71)</f>
        <v>4770.6912424888887</v>
      </c>
      <c r="AE71" s="22" t="e">
        <f ca="1">VLOOKUP($A71,tabCustoUnit[],COLUMN(CUSTO_GLOBAL[[#Headers],[Vale - Transporte (Descontada parcela do empregado)]])-2,0)*($G71-$H71)</f>
        <v>#NAME?</v>
      </c>
      <c r="AF71" s="22">
        <f>VLOOKUP($A71,tabCustoUnit[],COLUMN(CUSTO_GLOBAL[[#Headers],[Vale - Alimentação (Descontada parcela do empregado)]])-2,0)*($G71-$H71)</f>
        <v>2328</v>
      </c>
      <c r="AG71" s="22">
        <f>VLOOKUP($A71,tabCustoUnit[],COLUMN(CUSTO_GLOBAL[[#Headers],[Cesta Básica]])-2,0)*($G71-$H71)</f>
        <v>0</v>
      </c>
      <c r="AH71" s="22">
        <f>VLOOKUP($A71,tabCustoUnit[],COLUMN(CUSTO_GLOBAL[[#Headers],[PAF]])-2,0)*($G71-$H71)</f>
        <v>383.6</v>
      </c>
      <c r="AI71" s="22">
        <f>VLOOKUP($A71,tabCustoUnit[],COLUMN(CUSTO_GLOBAL[[#Headers],[PQM]])-2,0)*($G71-$H71)</f>
        <v>0</v>
      </c>
      <c r="AJ71" s="22">
        <v>0</v>
      </c>
      <c r="AK71" s="22">
        <f>VLOOKUP($A71,tabCustoUnit[],COLUMN(CUSTO_GLOBAL[[#Headers],[Seguro de Vida]])-2,0)*($G71-$H71)</f>
        <v>13.44</v>
      </c>
      <c r="AL71" s="22">
        <f>VLOOKUP($A71,tabCustoUnit[],COLUMN(CUSTO_GLOBAL[[#Headers],[Despesas de Viagem]])-2,0)*($G71-$H71)</f>
        <v>808.32</v>
      </c>
      <c r="AM71" s="22" t="e">
        <f ca="1">VLOOKUP($A71,tabCustoUnit[],COLUMN(CUSTO_GLOBAL[[#Headers],[Submódulo 2.3]])-2,0)*($G71-$H71)</f>
        <v>#NAME?</v>
      </c>
      <c r="AN71" s="22" t="e">
        <f ca="1">VLOOKUP($A71,tabCustoUnit[],COLUMN(CUSTO_GLOBAL[[#Headers],[MÓDULO 2 - Total Encargos e Benefícios mensais e diários]])-2,0)*($G71-$H71)</f>
        <v>#NAME?</v>
      </c>
      <c r="AO71" s="22">
        <f>VLOOKUP($A71,tabCustoUnit[],COLUMN(CUSTO_GLOBAL[[#Headers],[Aviso Prévio Indenizado (API) e Reflexo do Aviso Prévio Indenizado]])-2,0)*($G71-$H71)</f>
        <v>124.84295157839507</v>
      </c>
      <c r="AP71" s="22">
        <f>VLOOKUP($A71,tabCustoUnit[],COLUMN(CUSTO_GLOBAL[[#Headers],[Incidência do FGTS sobre API e Reflexo do API]])-2,0)*($G71-$H71)</f>
        <v>9.9874361262716072</v>
      </c>
      <c r="AQ71" s="22">
        <f>VLOOKUP($A71,tabCustoUnit[],COLUMN(CUSTO_GLOBAL[[#Headers],[Multa Rescisória do FGTS sobre o Aviso Prévio Indenizado]])-2,0)*($G71-$H71)</f>
        <v>3.9949744505086429</v>
      </c>
      <c r="AR71" s="22">
        <f>VLOOKUP($A71,tabCustoUnit[],COLUMN(CUSTO_GLOBAL[[#Headers],[Aviso Prévio Trabalhado - APT]])-2,0)*($G71-$H71)</f>
        <v>62.316721600000015</v>
      </c>
      <c r="AS71" s="22">
        <f>VLOOKUP($A71,tabCustoUnit[],COLUMN(CUSTO_GLOBAL[[#Headers],[Incidência dos encargos do submódulo 2.1 sobre Aviso Prévio Trabalhado]])-2,0)*($G71-$H71)</f>
        <v>23.555720764800007</v>
      </c>
      <c r="AT71" s="22">
        <f>VLOOKUP($A71,tabCustoUnit[],COLUMN(CUSTO_GLOBAL[[#Headers],[Multa Rescisória do FGTS]])-2,0)*($G71-$H71)</f>
        <v>544.43053283555548</v>
      </c>
      <c r="AU71" s="22">
        <f>VLOOKUP($A71,tabCustoUnit[],COLUMN(CUSTO_GLOBAL[[#Headers],[Indenização Adicional (Art. 9º da Lei nº 7.238/84)]])-2,0)*($G71-$H71)</f>
        <v>14.83731466666667</v>
      </c>
      <c r="AV71" s="22">
        <f>VLOOKUP($A71,tabCustoUnit[],COLUMN(CUSTO_GLOBAL[[#Headers],[MÓDULO 3 – PROVISÃO PARA RESCISÃO]])-2,0)*($G71-$H71)</f>
        <v>783.96565202219756</v>
      </c>
      <c r="AW71" s="22">
        <f>VLOOKUP($A71,tabCustoUnit[],COLUMN(CUSTO_GLOBAL[[#Headers],[Ausência por Doença]])-2,0)*($G71-$H71)</f>
        <v>150.35145528888887</v>
      </c>
      <c r="AX71" s="22">
        <f>VLOOKUP($A71,tabCustoUnit[],COLUMN(CUSTO_GLOBAL[[#Headers],[Ausências Legais]])-2,0)*($G71-$H71)</f>
        <v>36.104132355555556</v>
      </c>
      <c r="AY71" s="22">
        <f>VLOOKUP($A71,tabCustoUnit[],COLUMN(CUSTO_GLOBAL[[#Headers],[Licença Paternidade]])-2,0)*($G71-$H71)</f>
        <v>3.0416495066666669</v>
      </c>
      <c r="AZ71" s="22">
        <f>VLOOKUP($A71,tabCustoUnit[],COLUMN(CUSTO_GLOBAL[[#Headers],[Ausência por Acidente de Trabalho]])-2,0)*($G71-$H71)</f>
        <v>3.7093286666666674</v>
      </c>
      <c r="BA71" s="22">
        <f>VLOOKUP($A71,tabCustoUnit[],COLUMN(CUSTO_GLOBAL[[#Headers],[Férias, Adicional de Férias e 13º  com empregada em gozo de Licença Maternidade]])-2,0)*($G71-$H71)</f>
        <v>23.080267259259259</v>
      </c>
      <c r="BB71" s="22">
        <f>VLOOKUP($A71,tabCustoUnit[],COLUMN(CUSTO_GLOBAL[[#Headers],[Incidência do Submódulo 2.1 sobre Ausências Legais]])-2,0)*($G71-$H71)</f>
        <v>81.756422903120026</v>
      </c>
      <c r="BC71" s="22">
        <f>VLOOKUP($A71,tabCustoUnit[],COLUMN(CUSTO_GLOBAL[[#Headers],[Submódulo 4.1]])-2,0)*($G71-$H71)</f>
        <v>298.04325598015703</v>
      </c>
      <c r="BD71" s="22">
        <f>VLOOKUP($A71,tabCustoUnit[],COLUMN(CUSTO_GLOBAL[[#Headers],[Intervalo para Repouso ou Alimentação]])-2,0)*($G71-$H71)</f>
        <v>0</v>
      </c>
      <c r="BE71" s="22">
        <f>VLOOKUP($A71,tabCustoUnit[],COLUMN(CUSTO_GLOBAL[[#Headers],[Submódulo 4.2]])-2,0)*($G71-$H71)</f>
        <v>0</v>
      </c>
      <c r="BF71" s="22">
        <f>VLOOKUP($A71,tabCustoUnit[],COLUMN(CUSTO_GLOBAL[[#Headers],[Suspensão Temporária do Contrato de Trabalho]])-2,0)*($G71-$H71)</f>
        <v>0</v>
      </c>
      <c r="BG71" s="22">
        <f>VLOOKUP($A71,tabCustoUnit[],COLUMN(CUSTO_GLOBAL[[#Headers],[Submódulo 4.3]])-2,0)*($G71-$H71)</f>
        <v>0</v>
      </c>
      <c r="BH71" s="22">
        <f>VLOOKUP($A71,tabCustoUnit[],COLUMN(CUSTO_GLOBAL[[#Headers],[MÓDULO 4 – CUSTO DE REPOSIÇÃO DO PROFISSIONAL AUSENTE]])-2,0)*($G71-$H71)</f>
        <v>298.04325598015703</v>
      </c>
      <c r="BI71" s="22">
        <f>VLOOKUP($A71,tabCustoUnit[],COLUMN(CUSTO_GLOBAL[[#Headers],[Uniformes e EPIs]])-2,0)*($G71-$H71)</f>
        <v>363.13871912815881</v>
      </c>
      <c r="BJ71" s="22">
        <f>VLOOKUP($A71,tabCustoUnit[],COLUMN(CUSTO_GLOBAL[[#Headers],[Materiais de Consumo]])-2,0)*($G71-$H71)</f>
        <v>0</v>
      </c>
      <c r="BK71" s="22">
        <f>VLOOKUP($A71,tabCustoUnit[],COLUMN(CUSTO_GLOBAL[[#Headers],[Máquinas e Equipamentos (depreciação)]])-2,0)*($G71-$H71)</f>
        <v>0</v>
      </c>
      <c r="BL71" s="22">
        <f>VLOOKUP($A71,tabCustoUnit[],COLUMN(CUSTO_GLOBAL[[#Headers],[Produtos de Limpeza e Materiais de Higiene Pessoal]])-2,0)*($G71-$H71)</f>
        <v>0</v>
      </c>
      <c r="BM71" s="22">
        <f>VLOOKUP($A71,tabCustoUnit[],COLUMN(CUSTO_GLOBAL[[#Headers],[Outros (especificar)]])-2,0)*($G71-$H71)</f>
        <v>0</v>
      </c>
      <c r="BN71" s="22">
        <f>VLOOKUP($A71,tabCustoUnit[],COLUMN(CUSTO_GLOBAL[[#Headers],[MÓDULO 5 – INSUMOS DIVERSOS]])-2,0)*($G71-$H71)</f>
        <v>363.13871912815881</v>
      </c>
      <c r="BO71" s="22" t="e">
        <f ca="1">VLOOKUP($A71,tabCustoUnit[],COLUMN(CUSTO_GLOBAL[[#Headers],[TOTAL MÓDULOS 1+2+3+4+5]])-2,0)*($G71-$H71)</f>
        <v>#NAME?</v>
      </c>
      <c r="BP71" s="22" t="e">
        <f ca="1">VLOOKUP($A71,tabCustoUnit[],COLUMN(CUSTO_GLOBAL[[#Headers],[Custos Indiretos]])-2,0)*($G71-$H71)</f>
        <v>#NAME?</v>
      </c>
      <c r="BQ71" s="22" t="e">
        <f ca="1">VLOOKUP($A71,tabCustoUnit[],COLUMN(CUSTO_GLOBAL[[#Headers],[Lucro]])-2,0)*($G71-$H71)</f>
        <v>#NAME?</v>
      </c>
      <c r="BR71" s="26">
        <f>VLOOKUP($A71,tabCustoUnit[],COLUMN(CUSTO_GLOBAL[[#Headers],[COFINS]])-2,0)</f>
        <v>8.8629737609329504E-2</v>
      </c>
      <c r="BS71" s="26">
        <f>VLOOKUP($A71,tabCustoUnit[],COLUMN(CUSTO_GLOBAL[[#Headers],[PIS]])-2,0)</f>
        <v>1.9241982507288629E-2</v>
      </c>
      <c r="BT71" s="28">
        <f>VLOOKUP($A71,tabCustoUnit[],COLUMN(CUSTO_GLOBAL[[#Headers],[ISS]])-2,0)</f>
        <v>0.05</v>
      </c>
      <c r="BU71" s="26">
        <f>VLOOKUP($A71,tabCustoUnit[],COLUMN(CUSTO_GLOBAL[[#Headers],[ISS (Conversão Alíquota s/ fatura)]])-2,0)</f>
        <v>5.8309037900874633E-2</v>
      </c>
      <c r="BV71" s="26">
        <f>VLOOKUP($A71,tabCustoUnit[],COLUMN(CUSTO_GLOBAL[[#Headers],[Resumo de Alíquotas (PIS+CONFINS+ISS)]])-2,0)</f>
        <v>0.14250000000000002</v>
      </c>
      <c r="BW71" s="138">
        <f>VLOOKUP($A71,tabCustoUnit[],COLUMN(CUSTO_GLOBAL[[#Headers],[PIS + COFINS + ISS (Total Conversão  Alíquota s/ Fatura)]])-2,0)</f>
        <v>0.16618075801749277</v>
      </c>
      <c r="BX71" s="22" t="e">
        <f ca="1">VLOOKUP($A71,tabCustoUnit[],COLUMN(CUSTO_GLOBAL[[#Headers],[Valor dos Tributos (ISS, PIS, CONFINS)]])-2,0)*($G71-$H71)</f>
        <v>#NAME?</v>
      </c>
      <c r="BY71" s="22" t="e">
        <f ca="1">VLOOKUP($A71,tabCustoUnit[],COLUMN(CUSTO_GLOBAL[[#Headers],[MÓDULO 6 – CUSTOS INDIRETOS, TRIBUTOS E LUCRO]])-2,0)*($G71-$H71)</f>
        <v>#NAME?</v>
      </c>
      <c r="BZ71" s="22" t="e">
        <f ca="1">VLOOKUP($A71,tabCustoUnit[],COLUMN(CUSTO_GLOBAL[[#Headers],[CUSTO TOTAL MENSAL]])-2,0)*($G71-$H71)</f>
        <v>#NAME?</v>
      </c>
      <c r="CA71" s="22" t="e">
        <f ca="1">CUSTO_GLOBAL[[#This Row],[CUSTO TOTAL MENSAL]]*12</f>
        <v>#NAME?</v>
      </c>
      <c r="CB71" s="24">
        <f>VLOOKUP($A71,tabCustoUnit[],COLUMN(CUSTO_GLOBAL[[#Headers],[ANO DA CCT]])-2,0)</f>
        <v>45658</v>
      </c>
      <c r="CC71" s="25" t="str">
        <f>VLOOKUP($A71,tabCustoUnit[],COLUMN(CUSTO_GLOBAL[[#Headers],[Nº DE PEDIDO DA CCT]])-2,0)</f>
        <v>-</v>
      </c>
      <c r="CD71" s="25" t="str">
        <f>VLOOKUP($A71,tabCustoUnit[],COLUMN(CUSTO_GLOBAL[[#Headers],[TERMO ADITIVO ALTERAÇÃO DA CCT]])-2,0)</f>
        <v>-</v>
      </c>
    </row>
    <row r="72" spans="1:82">
      <c r="A72" s="20" t="s">
        <v>1448</v>
      </c>
      <c r="B72" t="s">
        <v>1103</v>
      </c>
      <c r="C72" t="s">
        <v>334</v>
      </c>
      <c r="D72" t="s">
        <v>1035</v>
      </c>
      <c r="E72" s="20" t="s">
        <v>1090</v>
      </c>
      <c r="F72" s="20" t="s">
        <v>120</v>
      </c>
      <c r="G72" s="20">
        <v>4</v>
      </c>
      <c r="H72" s="20">
        <v>0</v>
      </c>
      <c r="I72" s="21">
        <f>VLOOKUP($A72,tabCustoUnit[],COLUMN(CUSTO_GLOBAL[[#Headers],[Salário Base]])-2,0)*($G72-$H72)</f>
        <v>17804.777600000001</v>
      </c>
      <c r="J72" s="21">
        <f>VLOOKUP($A72,tabCustoUnit[],COLUMN(CUSTO_GLOBAL[[#Headers],[Adicional Periculosidade]])-2,0)*($G72-$H72)</f>
        <v>0</v>
      </c>
      <c r="K72" s="21">
        <f>VLOOKUP($A72,tabCustoUnit[],COLUMN(CUSTO_GLOBAL[[#Headers],[Adicional Insalubridade]])-2,0)*($G72-$H72)</f>
        <v>0</v>
      </c>
      <c r="L72" s="21">
        <f>VLOOKUP($A72,tabCustoUnit[],COLUMN(CUSTO_GLOBAL[[#Headers],[Adicional Noturno]])-2,0)*($G72-$H72)</f>
        <v>0</v>
      </c>
      <c r="M72" s="21">
        <f>VLOOKUP($A72,tabCustoUnit[],COLUMN(CUSTO_GLOBAL[[#Headers],[Adicional Motorista II (Gratificação)]])-2,0)*($G72-$H72)</f>
        <v>0</v>
      </c>
      <c r="N72" s="21">
        <f>VLOOKUP($A72,tabCustoUnit[],COLUMN(CUSTO_GLOBAL[[#Headers],[Adicional de Sobreaviso]])-2,0)*($G72-$H72)</f>
        <v>0</v>
      </c>
      <c r="O72" s="21">
        <f>VLOOKUP($A72,tabCustoUnit[],COLUMN(CUSTO_GLOBAL[[#Headers],[Horas Extras TI]])-2,0)*($G72-$H72)</f>
        <v>0</v>
      </c>
      <c r="P72" s="21">
        <f>VLOOKUP($A72,tabCustoUnit[],COLUMN(CUSTO_GLOBAL[[#Headers],[Adicional de Acúmulo de função]])-2,0)*($G72-$H72)</f>
        <v>2136.5731999999998</v>
      </c>
      <c r="Q72" s="21">
        <f>VLOOKUP($A72,tabCustoUnit[],COLUMN(CUSTO_GLOBAL[[#Headers],[MODULO 1 - REMUNERAÇÃO ]])-2,0)*($G72-$H72)</f>
        <v>19941.3508</v>
      </c>
      <c r="R72" s="21">
        <f>VLOOKUP($A72,tabCustoUnit[],COLUMN(CUSTO_GLOBAL[[#Headers],[INSS]])-2,0)*($G72-$H72)</f>
        <v>3988.27016</v>
      </c>
      <c r="S72" s="21">
        <f>VLOOKUP($A72,tabCustoUnit[],COLUMN(CUSTO_GLOBAL[[#Headers],[SESI OU SESC]])-2,0)*($G72-$H72)</f>
        <v>299.12026199999997</v>
      </c>
      <c r="T72" s="21">
        <f>VLOOKUP($A72,tabCustoUnit[],COLUMN(CUSTO_GLOBAL[[#Headers],[SENAI OU SENAC]])-2,0)*($G72-$H72)</f>
        <v>199.41350800000001</v>
      </c>
      <c r="U72" s="21">
        <f>VLOOKUP($A72,tabCustoUnit[],COLUMN(CUSTO_GLOBAL[[#Headers],[INCRA]])-2,0)*($G72-$H72)</f>
        <v>39.882701600000004</v>
      </c>
      <c r="V72" s="21">
        <f>VLOOKUP($A72,tabCustoUnit[],COLUMN(CUSTO_GLOBAL[[#Headers],[Salário Educação]])-2,0)*($G72-$H72)</f>
        <v>498.53377</v>
      </c>
      <c r="W72" s="21">
        <f>VLOOKUP($A72,tabCustoUnit[],COLUMN(CUSTO_GLOBAL[[#Headers],[FGTS]])-2,0)*($G72-$H72)</f>
        <v>1595.3080640000001</v>
      </c>
      <c r="X72" s="21">
        <f>VLOOKUP($A72,tabCustoUnit[],COLUMN(CUSTO_GLOBAL[[#Headers],[RAT Ajustado]])-2,0)*($G72-$H72)</f>
        <v>797.65403200000003</v>
      </c>
      <c r="Y72" s="21">
        <f>VLOOKUP($A72,tabCustoUnit[],COLUMN(CUSTO_GLOBAL[[#Headers],[SEBRAE]])-2,0)*($G72-$H72)</f>
        <v>119.6481048</v>
      </c>
      <c r="Z72" s="21">
        <f>VLOOKUP($A72,tabCustoUnit[],COLUMN(CUSTO_GLOBAL[[#Headers],[Submódulo 2.1]])-2,0)*($G72-$H72)</f>
        <v>7537.8306023999994</v>
      </c>
      <c r="AA72" s="21">
        <f>VLOOKUP($A72,tabCustoUnit[],COLUMN(CUSTO_GLOBAL[[#Headers],[13º salário (titular)]])-2,0)*($G72-$H72)</f>
        <v>1661.7792333333332</v>
      </c>
      <c r="AB72" s="21">
        <f>VLOOKUP($A72,tabCustoUnit[],COLUMN(CUSTO_GLOBAL[[#Headers],[Férias e Adicional de Férias (titular)]])-2,0)*($G72-$H72)</f>
        <v>2215.7056444444443</v>
      </c>
      <c r="AC72" s="21">
        <f>VLOOKUP($A72,tabCustoUnit[],COLUMN(CUSTO_GLOBAL[[#Headers],[Incidência do Submódulo 2.1 sobre 13º Salário, Férias e Adicional de Férias]])-2,0)*($G72-$H72)</f>
        <v>1465.6892837999997</v>
      </c>
      <c r="AD72" s="21">
        <f>VLOOKUP($A72,tabCustoUnit[],COLUMN(CUSTO_GLOBAL[[#Headers],[Submódulo 2.2]])-2,0)*($G72-$H72)</f>
        <v>5343.1741615777773</v>
      </c>
      <c r="AE72" s="22" t="e">
        <f ca="1">VLOOKUP($A72,tabCustoUnit[],COLUMN(CUSTO_GLOBAL[[#Headers],[Vale - Transporte (Descontada parcela do empregado)]])-2,0)*($G72-$H72)</f>
        <v>#NAME?</v>
      </c>
      <c r="AF72" s="22">
        <f>VLOOKUP($A72,tabCustoUnit[],COLUMN(CUSTO_GLOBAL[[#Headers],[Vale - Alimentação (Descontada parcela do empregado)]])-2,0)*($G72-$H72)</f>
        <v>2328</v>
      </c>
      <c r="AG72" s="22">
        <f>VLOOKUP($A72,tabCustoUnit[],COLUMN(CUSTO_GLOBAL[[#Headers],[Cesta Básica]])-2,0)*($G72-$H72)</f>
        <v>0</v>
      </c>
      <c r="AH72" s="22">
        <f>VLOOKUP($A72,tabCustoUnit[],COLUMN(CUSTO_GLOBAL[[#Headers],[PAF]])-2,0)*($G72-$H72)</f>
        <v>383.6</v>
      </c>
      <c r="AI72" s="22">
        <f>VLOOKUP($A72,tabCustoUnit[],COLUMN(CUSTO_GLOBAL[[#Headers],[PQM]])-2,0)*($G72-$H72)</f>
        <v>0</v>
      </c>
      <c r="AJ72" s="22">
        <v>0</v>
      </c>
      <c r="AK72" s="22">
        <f>VLOOKUP($A72,tabCustoUnit[],COLUMN(CUSTO_GLOBAL[[#Headers],[Seguro de Vida]])-2,0)*($G72-$H72)</f>
        <v>13.44</v>
      </c>
      <c r="AL72" s="22">
        <f>VLOOKUP($A72,tabCustoUnit[],COLUMN(CUSTO_GLOBAL[[#Headers],[Despesas de Viagem]])-2,0)*($G72-$H72)</f>
        <v>808.32</v>
      </c>
      <c r="AM72" s="22" t="e">
        <f ca="1">VLOOKUP($A72,tabCustoUnit[],COLUMN(CUSTO_GLOBAL[[#Headers],[Submódulo 2.3]])-2,0)*($G72-$H72)</f>
        <v>#NAME?</v>
      </c>
      <c r="AN72" s="22" t="e">
        <f ca="1">VLOOKUP($A72,tabCustoUnit[],COLUMN(CUSTO_GLOBAL[[#Headers],[MÓDULO 2 - Total Encargos e Benefícios mensais e diários]])-2,0)*($G72-$H72)</f>
        <v>#NAME?</v>
      </c>
      <c r="AO72" s="22">
        <f>VLOOKUP($A72,tabCustoUnit[],COLUMN(CUSTO_GLOBAL[[#Headers],[Aviso Prévio Indenizado (API) e Reflexo do Aviso Prévio Indenizado]])-2,0)*($G72-$H72)</f>
        <v>139.82410498248456</v>
      </c>
      <c r="AP72" s="22">
        <f>VLOOKUP($A72,tabCustoUnit[],COLUMN(CUSTO_GLOBAL[[#Headers],[Incidência do FGTS sobre API e Reflexo do API]])-2,0)*($G72-$H72)</f>
        <v>11.185928398598767</v>
      </c>
      <c r="AQ72" s="22">
        <f>VLOOKUP($A72,tabCustoUnit[],COLUMN(CUSTO_GLOBAL[[#Headers],[Multa Rescisória do FGTS sobre o Aviso Prévio Indenizado]])-2,0)*($G72-$H72)</f>
        <v>4.4743713594395071</v>
      </c>
      <c r="AR72" s="22">
        <f>VLOOKUP($A72,tabCustoUnit[],COLUMN(CUSTO_GLOBAL[[#Headers],[Aviso Prévio Trabalhado - APT]])-2,0)*($G72-$H72)</f>
        <v>69.794727800000004</v>
      </c>
      <c r="AS72" s="22">
        <f>VLOOKUP($A72,tabCustoUnit[],COLUMN(CUSTO_GLOBAL[[#Headers],[Incidência dos encargos do submódulo 2.1 sobre Aviso Prévio Trabalhado]])-2,0)*($G72-$H72)</f>
        <v>26.38240710840001</v>
      </c>
      <c r="AT72" s="22">
        <f>VLOOKUP($A72,tabCustoUnit[],COLUMN(CUSTO_GLOBAL[[#Headers],[Multa Rescisória do FGTS]])-2,0)*($G72-$H72)</f>
        <v>609.76219335111102</v>
      </c>
      <c r="AU72" s="22">
        <f>VLOOKUP($A72,tabCustoUnit[],COLUMN(CUSTO_GLOBAL[[#Headers],[Indenização Adicional (Art. 9º da Lei nº 7.238/84)]])-2,0)*($G72-$H72)</f>
        <v>16.617792333333334</v>
      </c>
      <c r="AV72" s="22">
        <f>VLOOKUP($A72,tabCustoUnit[],COLUMN(CUSTO_GLOBAL[[#Headers],[MÓDULO 3 – PROVISÃO PARA RESCISÃO]])-2,0)*($G72-$H72)</f>
        <v>878.04152533336719</v>
      </c>
      <c r="AW72" s="22">
        <f>VLOOKUP($A72,tabCustoUnit[],COLUMN(CUSTO_GLOBAL[[#Headers],[Ausência por Doença]])-2,0)*($G72-$H72)</f>
        <v>168.39362897777775</v>
      </c>
      <c r="AX72" s="22">
        <f>VLOOKUP($A72,tabCustoUnit[],COLUMN(CUSTO_GLOBAL[[#Headers],[Ausências Legais]])-2,0)*($G72-$H72)</f>
        <v>40.436628011111111</v>
      </c>
      <c r="AY72" s="22">
        <f>VLOOKUP($A72,tabCustoUnit[],COLUMN(CUSTO_GLOBAL[[#Headers],[Licença Paternidade]])-2,0)*($G72-$H72)</f>
        <v>3.4066474283333332</v>
      </c>
      <c r="AZ72" s="22">
        <f>VLOOKUP($A72,tabCustoUnit[],COLUMN(CUSTO_GLOBAL[[#Headers],[Ausência por Acidente de Trabalho]])-2,0)*($G72-$H72)</f>
        <v>4.1544480833333335</v>
      </c>
      <c r="BA72" s="22">
        <f>VLOOKUP($A72,tabCustoUnit[],COLUMN(CUSTO_GLOBAL[[#Headers],[Férias, Adicional de Férias e 13º  com empregada em gozo de Licença Maternidade]])-2,0)*($G72-$H72)</f>
        <v>25.849899185185183</v>
      </c>
      <c r="BB72" s="22">
        <f>VLOOKUP($A72,tabCustoUnit[],COLUMN(CUSTO_GLOBAL[[#Headers],[Incidência do Submódulo 2.1 sobre Ausências Legais]])-2,0)*($G72-$H72)</f>
        <v>91.567193137210012</v>
      </c>
      <c r="BC72" s="22">
        <f>VLOOKUP($A72,tabCustoUnit[],COLUMN(CUSTO_GLOBAL[[#Headers],[Submódulo 4.1]])-2,0)*($G72-$H72)</f>
        <v>333.80844482295072</v>
      </c>
      <c r="BD72" s="22">
        <f>VLOOKUP($A72,tabCustoUnit[],COLUMN(CUSTO_GLOBAL[[#Headers],[Intervalo para Repouso ou Alimentação]])-2,0)*($G72-$H72)</f>
        <v>0</v>
      </c>
      <c r="BE72" s="22">
        <f>VLOOKUP($A72,tabCustoUnit[],COLUMN(CUSTO_GLOBAL[[#Headers],[Submódulo 4.2]])-2,0)*($G72-$H72)</f>
        <v>0</v>
      </c>
      <c r="BF72" s="22">
        <f>VLOOKUP($A72,tabCustoUnit[],COLUMN(CUSTO_GLOBAL[[#Headers],[Suspensão Temporária do Contrato de Trabalho]])-2,0)*($G72-$H72)</f>
        <v>0</v>
      </c>
      <c r="BG72" s="22">
        <f>VLOOKUP($A72,tabCustoUnit[],COLUMN(CUSTO_GLOBAL[[#Headers],[Submódulo 4.3]])-2,0)*($G72-$H72)</f>
        <v>0</v>
      </c>
      <c r="BH72" s="22">
        <f>VLOOKUP($A72,tabCustoUnit[],COLUMN(CUSTO_GLOBAL[[#Headers],[MÓDULO 4 – CUSTO DE REPOSIÇÃO DO PROFISSIONAL AUSENTE]])-2,0)*($G72-$H72)</f>
        <v>333.80844482295072</v>
      </c>
      <c r="BI72" s="22">
        <f>VLOOKUP($A72,tabCustoUnit[],COLUMN(CUSTO_GLOBAL[[#Headers],[Uniformes e EPIs]])-2,0)*($G72-$H72)</f>
        <v>363.13871912815881</v>
      </c>
      <c r="BJ72" s="22">
        <f>VLOOKUP($A72,tabCustoUnit[],COLUMN(CUSTO_GLOBAL[[#Headers],[Materiais de Consumo]])-2,0)*($G72-$H72)</f>
        <v>0</v>
      </c>
      <c r="BK72" s="22">
        <f>VLOOKUP($A72,tabCustoUnit[],COLUMN(CUSTO_GLOBAL[[#Headers],[Máquinas e Equipamentos (depreciação)]])-2,0)*($G72-$H72)</f>
        <v>0</v>
      </c>
      <c r="BL72" s="22">
        <f>VLOOKUP($A72,tabCustoUnit[],COLUMN(CUSTO_GLOBAL[[#Headers],[Produtos de Limpeza e Materiais de Higiene Pessoal]])-2,0)*($G72-$H72)</f>
        <v>0</v>
      </c>
      <c r="BM72" s="22">
        <f>VLOOKUP($A72,tabCustoUnit[],COLUMN(CUSTO_GLOBAL[[#Headers],[Outros (especificar)]])-2,0)*($G72-$H72)</f>
        <v>0</v>
      </c>
      <c r="BN72" s="22">
        <f>VLOOKUP($A72,tabCustoUnit[],COLUMN(CUSTO_GLOBAL[[#Headers],[MÓDULO 5 – INSUMOS DIVERSOS]])-2,0)*($G72-$H72)</f>
        <v>363.13871912815881</v>
      </c>
      <c r="BO72" s="22" t="e">
        <f ca="1">VLOOKUP($A72,tabCustoUnit[],COLUMN(CUSTO_GLOBAL[[#Headers],[TOTAL MÓDULOS 1+2+3+4+5]])-2,0)*($G72-$H72)</f>
        <v>#NAME?</v>
      </c>
      <c r="BP72" s="22" t="e">
        <f ca="1">VLOOKUP($A72,tabCustoUnit[],COLUMN(CUSTO_GLOBAL[[#Headers],[Custos Indiretos]])-2,0)*($G72-$H72)</f>
        <v>#NAME?</v>
      </c>
      <c r="BQ72" s="22" t="e">
        <f ca="1">VLOOKUP($A72,tabCustoUnit[],COLUMN(CUSTO_GLOBAL[[#Headers],[Lucro]])-2,0)*($G72-$H72)</f>
        <v>#NAME?</v>
      </c>
      <c r="BR72" s="26">
        <f>VLOOKUP($A72,tabCustoUnit[],COLUMN(CUSTO_GLOBAL[[#Headers],[COFINS]])-2,0)</f>
        <v>8.8629737609329504E-2</v>
      </c>
      <c r="BS72" s="26">
        <f>VLOOKUP($A72,tabCustoUnit[],COLUMN(CUSTO_GLOBAL[[#Headers],[PIS]])-2,0)</f>
        <v>1.9241982507288629E-2</v>
      </c>
      <c r="BT72" s="28">
        <f>VLOOKUP($A72,tabCustoUnit[],COLUMN(CUSTO_GLOBAL[[#Headers],[ISS]])-2,0)</f>
        <v>0.05</v>
      </c>
      <c r="BU72" s="26">
        <f>VLOOKUP($A72,tabCustoUnit[],COLUMN(CUSTO_GLOBAL[[#Headers],[ISS (Conversão Alíquota s/ fatura)]])-2,0)</f>
        <v>5.8309037900874633E-2</v>
      </c>
      <c r="BV72" s="26">
        <f>VLOOKUP($A72,tabCustoUnit[],COLUMN(CUSTO_GLOBAL[[#Headers],[Resumo de Alíquotas (PIS+CONFINS+ISS)]])-2,0)</f>
        <v>0.14250000000000002</v>
      </c>
      <c r="BW72" s="138">
        <f>VLOOKUP($A72,tabCustoUnit[],COLUMN(CUSTO_GLOBAL[[#Headers],[PIS + COFINS + ISS (Total Conversão  Alíquota s/ Fatura)]])-2,0)</f>
        <v>0.16618075801749277</v>
      </c>
      <c r="BX72" s="22" t="e">
        <f ca="1">VLOOKUP($A72,tabCustoUnit[],COLUMN(CUSTO_GLOBAL[[#Headers],[Valor dos Tributos (ISS, PIS, CONFINS)]])-2,0)*($G72-$H72)</f>
        <v>#NAME?</v>
      </c>
      <c r="BY72" s="22" t="e">
        <f ca="1">VLOOKUP($A72,tabCustoUnit[],COLUMN(CUSTO_GLOBAL[[#Headers],[MÓDULO 6 – CUSTOS INDIRETOS, TRIBUTOS E LUCRO]])-2,0)*($G72-$H72)</f>
        <v>#NAME?</v>
      </c>
      <c r="BZ72" s="22" t="e">
        <f ca="1">VLOOKUP($A72,tabCustoUnit[],COLUMN(CUSTO_GLOBAL[[#Headers],[CUSTO TOTAL MENSAL]])-2,0)*($G72-$H72)</f>
        <v>#NAME?</v>
      </c>
      <c r="CA72" s="22" t="e">
        <f ca="1">CUSTO_GLOBAL[[#This Row],[CUSTO TOTAL MENSAL]]*12</f>
        <v>#NAME?</v>
      </c>
      <c r="CB72" s="24">
        <f>VLOOKUP($A72,tabCustoUnit[],COLUMN(CUSTO_GLOBAL[[#Headers],[ANO DA CCT]])-2,0)</f>
        <v>45658</v>
      </c>
      <c r="CC72" s="25" t="str">
        <f>VLOOKUP($A72,tabCustoUnit[],COLUMN(CUSTO_GLOBAL[[#Headers],[Nº DE PEDIDO DA CCT]])-2,0)</f>
        <v>-</v>
      </c>
      <c r="CD72" s="25" t="str">
        <f>VLOOKUP($A72,tabCustoUnit[],COLUMN(CUSTO_GLOBAL[[#Headers],[TERMO ADITIVO ALTERAÇÃO DA CCT]])-2,0)</f>
        <v>-</v>
      </c>
    </row>
    <row r="73" spans="1:82">
      <c r="A73" s="20" t="s">
        <v>1438</v>
      </c>
      <c r="B73" t="s">
        <v>1103</v>
      </c>
      <c r="C73" t="s">
        <v>289</v>
      </c>
      <c r="D73" t="s">
        <v>1061</v>
      </c>
      <c r="E73" s="20" t="s">
        <v>1090</v>
      </c>
      <c r="F73" s="20" t="s">
        <v>120</v>
      </c>
      <c r="G73" s="20">
        <v>17</v>
      </c>
      <c r="H73" s="20">
        <v>0</v>
      </c>
      <c r="I73" s="21">
        <f>VLOOKUP($A73,tabCustoUnit[],COLUMN(CUSTO_GLOBAL[[#Headers],[Salário Base]])-2,0)*($G73-$H73)</f>
        <v>55689.62</v>
      </c>
      <c r="J73" s="21">
        <f>VLOOKUP($A73,tabCustoUnit[],COLUMN(CUSTO_GLOBAL[[#Headers],[Adicional Periculosidade]])-2,0)*($G73-$H73)</f>
        <v>0</v>
      </c>
      <c r="K73" s="21">
        <f>VLOOKUP($A73,tabCustoUnit[],COLUMN(CUSTO_GLOBAL[[#Headers],[Adicional Insalubridade]])-2,0)*($G73-$H73)</f>
        <v>0</v>
      </c>
      <c r="L73" s="21">
        <f>VLOOKUP($A73,tabCustoUnit[],COLUMN(CUSTO_GLOBAL[[#Headers],[Adicional Noturno]])-2,0)*($G73-$H73)</f>
        <v>0</v>
      </c>
      <c r="M73" s="21">
        <f>VLOOKUP($A73,tabCustoUnit[],COLUMN(CUSTO_GLOBAL[[#Headers],[Adicional Motorista II (Gratificação)]])-2,0)*($G73-$H73)</f>
        <v>0</v>
      </c>
      <c r="N73" s="21">
        <f>VLOOKUP($A73,tabCustoUnit[],COLUMN(CUSTO_GLOBAL[[#Headers],[Adicional de Sobreaviso]])-2,0)*($G73-$H73)</f>
        <v>0</v>
      </c>
      <c r="O73" s="21">
        <f>VLOOKUP($A73,tabCustoUnit[],COLUMN(CUSTO_GLOBAL[[#Headers],[Horas Extras TI]])-2,0)*($G73-$H73)</f>
        <v>0</v>
      </c>
      <c r="P73" s="21">
        <f>VLOOKUP($A73,tabCustoUnit[],COLUMN(CUSTO_GLOBAL[[#Headers],[Adicional de Acúmulo de função]])-2,0)*($G73-$H73)</f>
        <v>5568.9620000000004</v>
      </c>
      <c r="Q73" s="21">
        <f>VLOOKUP($A73,tabCustoUnit[],COLUMN(CUSTO_GLOBAL[[#Headers],[MODULO 1 - REMUNERAÇÃO ]])-2,0)*($G73-$H73)</f>
        <v>61258.581999999995</v>
      </c>
      <c r="R73" s="21">
        <f>VLOOKUP($A73,tabCustoUnit[],COLUMN(CUSTO_GLOBAL[[#Headers],[INSS]])-2,0)*($G73-$H73)</f>
        <v>12251.716400000001</v>
      </c>
      <c r="S73" s="21">
        <f>VLOOKUP($A73,tabCustoUnit[],COLUMN(CUSTO_GLOBAL[[#Headers],[SESI OU SESC]])-2,0)*($G73-$H73)</f>
        <v>918.8787299999999</v>
      </c>
      <c r="T73" s="21">
        <f>VLOOKUP($A73,tabCustoUnit[],COLUMN(CUSTO_GLOBAL[[#Headers],[SENAI OU SENAC]])-2,0)*($G73-$H73)</f>
        <v>612.58582000000001</v>
      </c>
      <c r="U73" s="21">
        <f>VLOOKUP($A73,tabCustoUnit[],COLUMN(CUSTO_GLOBAL[[#Headers],[INCRA]])-2,0)*($G73-$H73)</f>
        <v>122.51716399999999</v>
      </c>
      <c r="V73" s="21">
        <f>VLOOKUP($A73,tabCustoUnit[],COLUMN(CUSTO_GLOBAL[[#Headers],[Salário Educação]])-2,0)*($G73-$H73)</f>
        <v>1531.4645500000001</v>
      </c>
      <c r="W73" s="21">
        <f>VLOOKUP($A73,tabCustoUnit[],COLUMN(CUSTO_GLOBAL[[#Headers],[FGTS]])-2,0)*($G73-$H73)</f>
        <v>4900.6865600000001</v>
      </c>
      <c r="X73" s="21">
        <f>VLOOKUP($A73,tabCustoUnit[],COLUMN(CUSTO_GLOBAL[[#Headers],[RAT Ajustado]])-2,0)*($G73-$H73)</f>
        <v>2450.34328</v>
      </c>
      <c r="Y73" s="21">
        <f>VLOOKUP($A73,tabCustoUnit[],COLUMN(CUSTO_GLOBAL[[#Headers],[SEBRAE]])-2,0)*($G73-$H73)</f>
        <v>367.551492</v>
      </c>
      <c r="Z73" s="21">
        <f>VLOOKUP($A73,tabCustoUnit[],COLUMN(CUSTO_GLOBAL[[#Headers],[Submódulo 2.1]])-2,0)*($G73-$H73)</f>
        <v>23155.743996000005</v>
      </c>
      <c r="AA73" s="21">
        <f>VLOOKUP($A73,tabCustoUnit[],COLUMN(CUSTO_GLOBAL[[#Headers],[13º salário (titular)]])-2,0)*($G73-$H73)</f>
        <v>5104.8818333333329</v>
      </c>
      <c r="AB73" s="21">
        <f>VLOOKUP($A73,tabCustoUnit[],COLUMN(CUSTO_GLOBAL[[#Headers],[Férias e Adicional de Férias (titular)]])-2,0)*($G73-$H73)</f>
        <v>6806.5091111111105</v>
      </c>
      <c r="AC73" s="21">
        <f>VLOOKUP($A73,tabCustoUnit[],COLUMN(CUSTO_GLOBAL[[#Headers],[Incidência do Submódulo 2.1 sobre 13º Salário, Férias e Adicional de Férias]])-2,0)*($G73-$H73)</f>
        <v>4502.5057769999994</v>
      </c>
      <c r="AD73" s="21">
        <f>VLOOKUP($A73,tabCustoUnit[],COLUMN(CUSTO_GLOBAL[[#Headers],[Submódulo 2.2]])-2,0)*($G73-$H73)</f>
        <v>16413.896721444442</v>
      </c>
      <c r="AE73" s="22" t="e">
        <f ca="1">VLOOKUP($A73,tabCustoUnit[],COLUMN(CUSTO_GLOBAL[[#Headers],[Vale - Transporte (Descontada parcela do empregado)]])-2,0)*($G73-$H73)</f>
        <v>#NAME?</v>
      </c>
      <c r="AF73" s="22">
        <f>VLOOKUP($A73,tabCustoUnit[],COLUMN(CUSTO_GLOBAL[[#Headers],[Vale - Alimentação (Descontada parcela do empregado)]])-2,0)*($G73-$H73)</f>
        <v>9894</v>
      </c>
      <c r="AG73" s="22">
        <f>VLOOKUP($A73,tabCustoUnit[],COLUMN(CUSTO_GLOBAL[[#Headers],[Cesta Básica]])-2,0)*($G73-$H73)</f>
        <v>0</v>
      </c>
      <c r="AH73" s="22">
        <f>VLOOKUP($A73,tabCustoUnit[],COLUMN(CUSTO_GLOBAL[[#Headers],[PAF]])-2,0)*($G73-$H73)</f>
        <v>0</v>
      </c>
      <c r="AI73" s="22">
        <f>VLOOKUP($A73,tabCustoUnit[],COLUMN(CUSTO_GLOBAL[[#Headers],[PQM]])-2,0)*($G73-$H73)</f>
        <v>0</v>
      </c>
      <c r="AJ73" s="22">
        <v>0</v>
      </c>
      <c r="AK73" s="22">
        <f>VLOOKUP($A73,tabCustoUnit[],COLUMN(CUSTO_GLOBAL[[#Headers],[Seguro de Vida]])-2,0)*($G73-$H73)</f>
        <v>57.12</v>
      </c>
      <c r="AL73" s="22">
        <f>VLOOKUP($A73,tabCustoUnit[],COLUMN(CUSTO_GLOBAL[[#Headers],[Despesas de Viagem]])-2,0)*($G73-$H73)</f>
        <v>3435.36</v>
      </c>
      <c r="AM73" s="22" t="e">
        <f ca="1">VLOOKUP($A73,tabCustoUnit[],COLUMN(CUSTO_GLOBAL[[#Headers],[Submódulo 2.3]])-2,0)*($G73-$H73)</f>
        <v>#NAME?</v>
      </c>
      <c r="AN73" s="22" t="e">
        <f ca="1">VLOOKUP($A73,tabCustoUnit[],COLUMN(CUSTO_GLOBAL[[#Headers],[MÓDULO 2 - Total Encargos e Benefícios mensais e diários]])-2,0)*($G73-$H73)</f>
        <v>#NAME?</v>
      </c>
      <c r="AO73" s="22">
        <f>VLOOKUP($A73,tabCustoUnit[],COLUMN(CUSTO_GLOBAL[[#Headers],[Aviso Prévio Indenizado (API) e Reflexo do Aviso Prévio Indenizado]])-2,0)*($G73-$H73)</f>
        <v>429.53090222183641</v>
      </c>
      <c r="AP73" s="22">
        <f>VLOOKUP($A73,tabCustoUnit[],COLUMN(CUSTO_GLOBAL[[#Headers],[Incidência do FGTS sobre API e Reflexo do API]])-2,0)*($G73-$H73)</f>
        <v>34.362472177746916</v>
      </c>
      <c r="AQ73" s="22">
        <f>VLOOKUP($A73,tabCustoUnit[],COLUMN(CUSTO_GLOBAL[[#Headers],[Multa Rescisória do FGTS sobre o Aviso Prévio Indenizado]])-2,0)*($G73-$H73)</f>
        <v>13.744988871098768</v>
      </c>
      <c r="AR73" s="22">
        <f>VLOOKUP($A73,tabCustoUnit[],COLUMN(CUSTO_GLOBAL[[#Headers],[Aviso Prévio Trabalhado - APT]])-2,0)*($G73-$H73)</f>
        <v>214.40503700000002</v>
      </c>
      <c r="AS73" s="22">
        <f>VLOOKUP($A73,tabCustoUnit[],COLUMN(CUSTO_GLOBAL[[#Headers],[Incidência dos encargos do submódulo 2.1 sobre Aviso Prévio Trabalhado]])-2,0)*($G73-$H73)</f>
        <v>81.045103986000015</v>
      </c>
      <c r="AT73" s="22">
        <f>VLOOKUP($A73,tabCustoUnit[],COLUMN(CUSTO_GLOBAL[[#Headers],[Multa Rescisória do FGTS]])-2,0)*($G73-$H73)</f>
        <v>1873.1513073777774</v>
      </c>
      <c r="AU73" s="22">
        <f>VLOOKUP($A73,tabCustoUnit[],COLUMN(CUSTO_GLOBAL[[#Headers],[Indenização Adicional (Art. 9º da Lei nº 7.238/84)]])-2,0)*($G73-$H73)</f>
        <v>51.04881833333333</v>
      </c>
      <c r="AV73" s="22">
        <f>VLOOKUP($A73,tabCustoUnit[],COLUMN(CUSTO_GLOBAL[[#Headers],[MÓDULO 3 – PROVISÃO PARA RESCISÃO]])-2,0)*($G73-$H73)</f>
        <v>2697.288629967793</v>
      </c>
      <c r="AW73" s="22">
        <f>VLOOKUP($A73,tabCustoUnit[],COLUMN(CUSTO_GLOBAL[[#Headers],[Ausência por Doença]])-2,0)*($G73-$H73)</f>
        <v>517.29469244444442</v>
      </c>
      <c r="AX73" s="22">
        <f>VLOOKUP($A73,tabCustoUnit[],COLUMN(CUSTO_GLOBAL[[#Headers],[Ausências Legais]])-2,0)*($G73-$H73)</f>
        <v>124.21879127777777</v>
      </c>
      <c r="AY73" s="22">
        <f>VLOOKUP($A73,tabCustoUnit[],COLUMN(CUSTO_GLOBAL[[#Headers],[Licença Paternidade]])-2,0)*($G73-$H73)</f>
        <v>10.465007758333332</v>
      </c>
      <c r="AZ73" s="22">
        <f>VLOOKUP($A73,tabCustoUnit[],COLUMN(CUSTO_GLOBAL[[#Headers],[Ausência por Acidente de Trabalho]])-2,0)*($G73-$H73)</f>
        <v>12.762204583333332</v>
      </c>
      <c r="BA73" s="22">
        <f>VLOOKUP($A73,tabCustoUnit[],COLUMN(CUSTO_GLOBAL[[#Headers],[Férias, Adicional de Férias e 13º  com empregada em gozo de Licença Maternidade]])-2,0)*($G73-$H73)</f>
        <v>79.409272962962959</v>
      </c>
      <c r="BB73" s="22">
        <f>VLOOKUP($A73,tabCustoUnit[],COLUMN(CUSTO_GLOBAL[[#Headers],[Incidência do Submódulo 2.1 sobre Ausências Legais]])-2,0)*($G73-$H73)</f>
        <v>281.28868829215003</v>
      </c>
      <c r="BC73" s="22">
        <f>VLOOKUP($A73,tabCustoUnit[],COLUMN(CUSTO_GLOBAL[[#Headers],[Submódulo 4.1]])-2,0)*($G73-$H73)</f>
        <v>1025.4386573190018</v>
      </c>
      <c r="BD73" s="22">
        <f>VLOOKUP($A73,tabCustoUnit[],COLUMN(CUSTO_GLOBAL[[#Headers],[Intervalo para Repouso ou Alimentação]])-2,0)*($G73-$H73)</f>
        <v>0</v>
      </c>
      <c r="BE73" s="22">
        <f>VLOOKUP($A73,tabCustoUnit[],COLUMN(CUSTO_GLOBAL[[#Headers],[Submódulo 4.2]])-2,0)*($G73-$H73)</f>
        <v>0</v>
      </c>
      <c r="BF73" s="22">
        <f>VLOOKUP($A73,tabCustoUnit[],COLUMN(CUSTO_GLOBAL[[#Headers],[Suspensão Temporária do Contrato de Trabalho]])-2,0)*($G73-$H73)</f>
        <v>0</v>
      </c>
      <c r="BG73" s="22">
        <f>VLOOKUP($A73,tabCustoUnit[],COLUMN(CUSTO_GLOBAL[[#Headers],[Submódulo 4.3]])-2,0)*($G73-$H73)</f>
        <v>0</v>
      </c>
      <c r="BH73" s="22">
        <f>VLOOKUP($A73,tabCustoUnit[],COLUMN(CUSTO_GLOBAL[[#Headers],[MÓDULO 4 – CUSTO DE REPOSIÇÃO DO PROFISSIONAL AUSENTE]])-2,0)*($G73-$H73)</f>
        <v>1025.4386573190018</v>
      </c>
      <c r="BI73" s="22">
        <f>VLOOKUP($A73,tabCustoUnit[],COLUMN(CUSTO_GLOBAL[[#Headers],[Uniformes e EPIs]])-2,0)*($G73-$H73)</f>
        <v>2050.4810109409182</v>
      </c>
      <c r="BJ73" s="22">
        <f>VLOOKUP($A73,tabCustoUnit[],COLUMN(CUSTO_GLOBAL[[#Headers],[Materiais de Consumo]])-2,0)*($G73-$H73)</f>
        <v>0</v>
      </c>
      <c r="BK73" s="22">
        <f>VLOOKUP($A73,tabCustoUnit[],COLUMN(CUSTO_GLOBAL[[#Headers],[Máquinas e Equipamentos (depreciação)]])-2,0)*($G73-$H73)</f>
        <v>0</v>
      </c>
      <c r="BL73" s="22">
        <f>VLOOKUP($A73,tabCustoUnit[],COLUMN(CUSTO_GLOBAL[[#Headers],[Produtos de Limpeza e Materiais de Higiene Pessoal]])-2,0)*($G73-$H73)</f>
        <v>0</v>
      </c>
      <c r="BM73" s="22">
        <f>VLOOKUP($A73,tabCustoUnit[],COLUMN(CUSTO_GLOBAL[[#Headers],[Outros (especificar)]])-2,0)*($G73-$H73)</f>
        <v>0</v>
      </c>
      <c r="BN73" s="22">
        <f>VLOOKUP($A73,tabCustoUnit[],COLUMN(CUSTO_GLOBAL[[#Headers],[MÓDULO 5 – INSUMOS DIVERSOS]])-2,0)*($G73-$H73)</f>
        <v>2050.4810109409182</v>
      </c>
      <c r="BO73" s="22" t="e">
        <f ca="1">VLOOKUP($A73,tabCustoUnit[],COLUMN(CUSTO_GLOBAL[[#Headers],[TOTAL MÓDULOS 1+2+3+4+5]])-2,0)*($G73-$H73)</f>
        <v>#NAME?</v>
      </c>
      <c r="BP73" s="22" t="e">
        <f ca="1">VLOOKUP($A73,tabCustoUnit[],COLUMN(CUSTO_GLOBAL[[#Headers],[Custos Indiretos]])-2,0)*($G73-$H73)</f>
        <v>#NAME?</v>
      </c>
      <c r="BQ73" s="22" t="e">
        <f ca="1">VLOOKUP($A73,tabCustoUnit[],COLUMN(CUSTO_GLOBAL[[#Headers],[Lucro]])-2,0)*($G73-$H73)</f>
        <v>#NAME?</v>
      </c>
      <c r="BR73" s="26">
        <f>VLOOKUP($A73,tabCustoUnit[],COLUMN(CUSTO_GLOBAL[[#Headers],[COFINS]])-2,0)</f>
        <v>8.8629737609329504E-2</v>
      </c>
      <c r="BS73" s="26">
        <f>VLOOKUP($A73,tabCustoUnit[],COLUMN(CUSTO_GLOBAL[[#Headers],[PIS]])-2,0)</f>
        <v>1.9241982507288629E-2</v>
      </c>
      <c r="BT73" s="28">
        <f>VLOOKUP($A73,tabCustoUnit[],COLUMN(CUSTO_GLOBAL[[#Headers],[ISS]])-2,0)</f>
        <v>0.05</v>
      </c>
      <c r="BU73" s="26">
        <f>VLOOKUP($A73,tabCustoUnit[],COLUMN(CUSTO_GLOBAL[[#Headers],[ISS (Conversão Alíquota s/ fatura)]])-2,0)</f>
        <v>5.8309037900874633E-2</v>
      </c>
      <c r="BV73" s="26">
        <f>VLOOKUP($A73,tabCustoUnit[],COLUMN(CUSTO_GLOBAL[[#Headers],[Resumo de Alíquotas (PIS+CONFINS+ISS)]])-2,0)</f>
        <v>0.14250000000000002</v>
      </c>
      <c r="BW73" s="138">
        <f>VLOOKUP($A73,tabCustoUnit[],COLUMN(CUSTO_GLOBAL[[#Headers],[PIS + COFINS + ISS (Total Conversão  Alíquota s/ Fatura)]])-2,0)</f>
        <v>0.16618075801749277</v>
      </c>
      <c r="BX73" s="22" t="e">
        <f ca="1">VLOOKUP($A73,tabCustoUnit[],COLUMN(CUSTO_GLOBAL[[#Headers],[Valor dos Tributos (ISS, PIS, CONFINS)]])-2,0)*($G73-$H73)</f>
        <v>#NAME?</v>
      </c>
      <c r="BY73" s="22" t="e">
        <f ca="1">VLOOKUP($A73,tabCustoUnit[],COLUMN(CUSTO_GLOBAL[[#Headers],[MÓDULO 6 – CUSTOS INDIRETOS, TRIBUTOS E LUCRO]])-2,0)*($G73-$H73)</f>
        <v>#NAME?</v>
      </c>
      <c r="BZ73" s="22" t="e">
        <f ca="1">VLOOKUP($A73,tabCustoUnit[],COLUMN(CUSTO_GLOBAL[[#Headers],[CUSTO TOTAL MENSAL]])-2,0)*($G73-$H73)</f>
        <v>#NAME?</v>
      </c>
      <c r="CA73" s="22" t="e">
        <f ca="1">CUSTO_GLOBAL[[#This Row],[CUSTO TOTAL MENSAL]]*12</f>
        <v>#NAME?</v>
      </c>
      <c r="CB73" s="24">
        <f>VLOOKUP($A73,tabCustoUnit[],COLUMN(CUSTO_GLOBAL[[#Headers],[ANO DA CCT]])-2,0)</f>
        <v>45658</v>
      </c>
      <c r="CC73" s="25" t="str">
        <f>VLOOKUP($A73,tabCustoUnit[],COLUMN(CUSTO_GLOBAL[[#Headers],[Nº DE PEDIDO DA CCT]])-2,0)</f>
        <v>-</v>
      </c>
      <c r="CD73" s="25" t="str">
        <f>VLOOKUP($A73,tabCustoUnit[],COLUMN(CUSTO_GLOBAL[[#Headers],[TERMO ADITIVO ALTERAÇÃO DA CCT]])-2,0)</f>
        <v>-</v>
      </c>
    </row>
    <row r="74" spans="1:82">
      <c r="A74" s="20" t="s">
        <v>1449</v>
      </c>
      <c r="B74" t="s">
        <v>1103</v>
      </c>
      <c r="C74" t="s">
        <v>351</v>
      </c>
      <c r="D74" t="s">
        <v>1054</v>
      </c>
      <c r="E74" s="20" t="s">
        <v>1090</v>
      </c>
      <c r="F74" s="20" t="s">
        <v>120</v>
      </c>
      <c r="G74" s="20">
        <v>1</v>
      </c>
      <c r="H74" s="20">
        <v>0</v>
      </c>
      <c r="I74" s="21">
        <f>VLOOKUP($A74,tabCustoUnit[],COLUMN(CUSTO_GLOBAL[[#Headers],[Salário Base]])-2,0)*($G74-$H74)</f>
        <v>4673.5828000000001</v>
      </c>
      <c r="J74" s="21">
        <f>VLOOKUP($A74,tabCustoUnit[],COLUMN(CUSTO_GLOBAL[[#Headers],[Adicional Periculosidade]])-2,0)*($G74-$H74)</f>
        <v>0</v>
      </c>
      <c r="K74" s="21">
        <f>VLOOKUP($A74,tabCustoUnit[],COLUMN(CUSTO_GLOBAL[[#Headers],[Adicional Insalubridade]])-2,0)*($G74-$H74)</f>
        <v>0</v>
      </c>
      <c r="L74" s="21">
        <f>VLOOKUP($A74,tabCustoUnit[],COLUMN(CUSTO_GLOBAL[[#Headers],[Adicional Noturno]])-2,0)*($G74-$H74)</f>
        <v>0</v>
      </c>
      <c r="M74" s="21">
        <f>VLOOKUP($A74,tabCustoUnit[],COLUMN(CUSTO_GLOBAL[[#Headers],[Adicional Motorista II (Gratificação)]])-2,0)*($G74-$H74)</f>
        <v>0</v>
      </c>
      <c r="N74" s="21">
        <f>VLOOKUP($A74,tabCustoUnit[],COLUMN(CUSTO_GLOBAL[[#Headers],[Adicional de Sobreaviso]])-2,0)*($G74-$H74)</f>
        <v>0</v>
      </c>
      <c r="O74" s="21">
        <f>VLOOKUP($A74,tabCustoUnit[],COLUMN(CUSTO_GLOBAL[[#Headers],[Horas Extras TI]])-2,0)*($G74-$H74)</f>
        <v>0</v>
      </c>
      <c r="P74" s="21">
        <f>VLOOKUP($A74,tabCustoUnit[],COLUMN(CUSTO_GLOBAL[[#Headers],[Adicional de Acúmulo de função]])-2,0)*($G74-$H74)</f>
        <v>0</v>
      </c>
      <c r="Q74" s="21">
        <f>VLOOKUP($A74,tabCustoUnit[],COLUMN(CUSTO_GLOBAL[[#Headers],[MODULO 1 - REMUNERAÇÃO ]])-2,0)*($G74-$H74)</f>
        <v>4673.5828000000001</v>
      </c>
      <c r="R74" s="21">
        <f>VLOOKUP($A74,tabCustoUnit[],COLUMN(CUSTO_GLOBAL[[#Headers],[INSS]])-2,0)*($G74-$H74)</f>
        <v>934.71656000000007</v>
      </c>
      <c r="S74" s="21">
        <f>VLOOKUP($A74,tabCustoUnit[],COLUMN(CUSTO_GLOBAL[[#Headers],[SESI OU SESC]])-2,0)*($G74-$H74)</f>
        <v>70.103741999999997</v>
      </c>
      <c r="T74" s="21">
        <f>VLOOKUP($A74,tabCustoUnit[],COLUMN(CUSTO_GLOBAL[[#Headers],[SENAI OU SENAC]])-2,0)*($G74-$H74)</f>
        <v>46.735828000000005</v>
      </c>
      <c r="U74" s="21">
        <f>VLOOKUP($A74,tabCustoUnit[],COLUMN(CUSTO_GLOBAL[[#Headers],[INCRA]])-2,0)*($G74-$H74)</f>
        <v>9.3471656000000003</v>
      </c>
      <c r="V74" s="21">
        <f>VLOOKUP($A74,tabCustoUnit[],COLUMN(CUSTO_GLOBAL[[#Headers],[Salário Educação]])-2,0)*($G74-$H74)</f>
        <v>116.83957000000001</v>
      </c>
      <c r="W74" s="21">
        <f>VLOOKUP($A74,tabCustoUnit[],COLUMN(CUSTO_GLOBAL[[#Headers],[FGTS]])-2,0)*($G74-$H74)</f>
        <v>373.88662400000004</v>
      </c>
      <c r="X74" s="21">
        <f>VLOOKUP($A74,tabCustoUnit[],COLUMN(CUSTO_GLOBAL[[#Headers],[RAT Ajustado]])-2,0)*($G74-$H74)</f>
        <v>186.94331200000002</v>
      </c>
      <c r="Y74" s="21">
        <f>VLOOKUP($A74,tabCustoUnit[],COLUMN(CUSTO_GLOBAL[[#Headers],[SEBRAE]])-2,0)*($G74-$H74)</f>
        <v>28.041496800000001</v>
      </c>
      <c r="Z74" s="21">
        <f>VLOOKUP($A74,tabCustoUnit[],COLUMN(CUSTO_GLOBAL[[#Headers],[Submódulo 2.1]])-2,0)*($G74-$H74)</f>
        <v>1766.6142984000003</v>
      </c>
      <c r="AA74" s="21">
        <f>VLOOKUP($A74,tabCustoUnit[],COLUMN(CUSTO_GLOBAL[[#Headers],[13º salário (titular)]])-2,0)*($G74-$H74)</f>
        <v>389.46523333333334</v>
      </c>
      <c r="AB74" s="21">
        <f>VLOOKUP($A74,tabCustoUnit[],COLUMN(CUSTO_GLOBAL[[#Headers],[Férias e Adicional de Férias (titular)]])-2,0)*($G74-$H74)</f>
        <v>519.28697777777779</v>
      </c>
      <c r="AC74" s="21">
        <f>VLOOKUP($A74,tabCustoUnit[],COLUMN(CUSTO_GLOBAL[[#Headers],[Incidência do Submódulo 2.1 sobre 13º Salário, Férias e Adicional de Férias]])-2,0)*($G74-$H74)</f>
        <v>343.50833580000005</v>
      </c>
      <c r="AD74" s="21">
        <f>VLOOKUP($A74,tabCustoUnit[],COLUMN(CUSTO_GLOBAL[[#Headers],[Submódulo 2.2]])-2,0)*($G74-$H74)</f>
        <v>1252.2605469111113</v>
      </c>
      <c r="AE74" s="22" t="e">
        <f ca="1">VLOOKUP($A74,tabCustoUnit[],COLUMN(CUSTO_GLOBAL[[#Headers],[Vale - Transporte (Descontada parcela do empregado)]])-2,0)*($G74-$H74)</f>
        <v>#NAME?</v>
      </c>
      <c r="AF74" s="22">
        <f>VLOOKUP($A74,tabCustoUnit[],COLUMN(CUSTO_GLOBAL[[#Headers],[Vale - Alimentação (Descontada parcela do empregado)]])-2,0)*($G74-$H74)</f>
        <v>581.79999999999995</v>
      </c>
      <c r="AG74" s="22">
        <f>VLOOKUP($A74,tabCustoUnit[],COLUMN(CUSTO_GLOBAL[[#Headers],[Cesta Básica]])-2,0)*($G74-$H74)</f>
        <v>0</v>
      </c>
      <c r="AH74" s="22">
        <f>VLOOKUP($A74,tabCustoUnit[],COLUMN(CUSTO_GLOBAL[[#Headers],[PAF]])-2,0)*($G74-$H74)</f>
        <v>51.73</v>
      </c>
      <c r="AI74" s="22">
        <f>VLOOKUP($A74,tabCustoUnit[],COLUMN(CUSTO_GLOBAL[[#Headers],[PQM]])-2,0)*($G74-$H74)</f>
        <v>0</v>
      </c>
      <c r="AJ74" s="22">
        <v>0</v>
      </c>
      <c r="AK74" s="22">
        <f>VLOOKUP($A74,tabCustoUnit[],COLUMN(CUSTO_GLOBAL[[#Headers],[Seguro de Vida]])-2,0)*($G74-$H74)</f>
        <v>3.36</v>
      </c>
      <c r="AL74" s="22">
        <f>VLOOKUP($A74,tabCustoUnit[],COLUMN(CUSTO_GLOBAL[[#Headers],[Despesas de Viagem]])-2,0)*($G74-$H74)</f>
        <v>202.08</v>
      </c>
      <c r="AM74" s="22" t="e">
        <f ca="1">VLOOKUP($A74,tabCustoUnit[],COLUMN(CUSTO_GLOBAL[[#Headers],[Submódulo 2.3]])-2,0)*($G74-$H74)</f>
        <v>#NAME?</v>
      </c>
      <c r="AN74" s="22" t="e">
        <f ca="1">VLOOKUP($A74,tabCustoUnit[],COLUMN(CUSTO_GLOBAL[[#Headers],[MÓDULO 2 - Total Encargos e Benefícios mensais e diários]])-2,0)*($G74-$H74)</f>
        <v>#NAME?</v>
      </c>
      <c r="AO74" s="22">
        <f>VLOOKUP($A74,tabCustoUnit[],COLUMN(CUSTO_GLOBAL[[#Headers],[Aviso Prévio Indenizado (API) e Reflexo do Aviso Prévio Indenizado]])-2,0)*($G74-$H74)</f>
        <v>32.770073533410496</v>
      </c>
      <c r="AP74" s="22">
        <f>VLOOKUP($A74,tabCustoUnit[],COLUMN(CUSTO_GLOBAL[[#Headers],[Incidência do FGTS sobre API e Reflexo do API]])-2,0)*($G74-$H74)</f>
        <v>2.6216058826728399</v>
      </c>
      <c r="AQ74" s="22">
        <f>VLOOKUP($A74,tabCustoUnit[],COLUMN(CUSTO_GLOBAL[[#Headers],[Multa Rescisória do FGTS sobre o Aviso Prévio Indenizado]])-2,0)*($G74-$H74)</f>
        <v>1.048642353069136</v>
      </c>
      <c r="AR74" s="22">
        <f>VLOOKUP($A74,tabCustoUnit[],COLUMN(CUSTO_GLOBAL[[#Headers],[Aviso Prévio Trabalhado - APT]])-2,0)*($G74-$H74)</f>
        <v>16.357539800000001</v>
      </c>
      <c r="AS74" s="22">
        <f>VLOOKUP($A74,tabCustoUnit[],COLUMN(CUSTO_GLOBAL[[#Headers],[Incidência dos encargos do submódulo 2.1 sobre Aviso Prévio Trabalhado]])-2,0)*($G74-$H74)</f>
        <v>6.1831500444000023</v>
      </c>
      <c r="AT74" s="22">
        <f>VLOOKUP($A74,tabCustoUnit[],COLUMN(CUSTO_GLOBAL[[#Headers],[Multa Rescisória do FGTS]])-2,0)*($G74-$H74)</f>
        <v>142.90777628444442</v>
      </c>
      <c r="AU74" s="22">
        <f>VLOOKUP($A74,tabCustoUnit[],COLUMN(CUSTO_GLOBAL[[#Headers],[Indenização Adicional (Art. 9º da Lei nº 7.238/84)]])-2,0)*($G74-$H74)</f>
        <v>3.8946523333333336</v>
      </c>
      <c r="AV74" s="22">
        <f>VLOOKUP($A74,tabCustoUnit[],COLUMN(CUSTO_GLOBAL[[#Headers],[MÓDULO 3 – PROVISÃO PARA RESCISÃO]])-2,0)*($G74-$H74)</f>
        <v>205.78344023133025</v>
      </c>
      <c r="AW74" s="22">
        <f>VLOOKUP($A74,tabCustoUnit[],COLUMN(CUSTO_GLOBAL[[#Headers],[Ausência por Doença]])-2,0)*($G74-$H74)</f>
        <v>39.465810311111106</v>
      </c>
      <c r="AX74" s="22">
        <f>VLOOKUP($A74,tabCustoUnit[],COLUMN(CUSTO_GLOBAL[[#Headers],[Ausências Legais]])-2,0)*($G74-$H74)</f>
        <v>9.4769873444444439</v>
      </c>
      <c r="AY74" s="22">
        <f>VLOOKUP($A74,tabCustoUnit[],COLUMN(CUSTO_GLOBAL[[#Headers],[Licença Paternidade]])-2,0)*($G74-$H74)</f>
        <v>0.79840372833333328</v>
      </c>
      <c r="AZ74" s="22">
        <f>VLOOKUP($A74,tabCustoUnit[],COLUMN(CUSTO_GLOBAL[[#Headers],[Ausência por Acidente de Trabalho]])-2,0)*($G74-$H74)</f>
        <v>0.9736630833333334</v>
      </c>
      <c r="BA74" s="22">
        <f>VLOOKUP($A74,tabCustoUnit[],COLUMN(CUSTO_GLOBAL[[#Headers],[Férias, Adicional de Férias e 13º  com empregada em gozo de Licença Maternidade]])-2,0)*($G74-$H74)</f>
        <v>6.0583480740740745</v>
      </c>
      <c r="BB74" s="22">
        <f>VLOOKUP($A74,tabCustoUnit[],COLUMN(CUSTO_GLOBAL[[#Headers],[Incidência do Submódulo 2.1 sobre Ausências Legais]])-2,0)*($G74-$H74)</f>
        <v>21.460274340610002</v>
      </c>
      <c r="BC74" s="22">
        <f>VLOOKUP($A74,tabCustoUnit[],COLUMN(CUSTO_GLOBAL[[#Headers],[Submódulo 4.1]])-2,0)*($G74-$H74)</f>
        <v>78.233486881906302</v>
      </c>
      <c r="BD74" s="22">
        <f>VLOOKUP($A74,tabCustoUnit[],COLUMN(CUSTO_GLOBAL[[#Headers],[Intervalo para Repouso ou Alimentação]])-2,0)*($G74-$H74)</f>
        <v>0</v>
      </c>
      <c r="BE74" s="22">
        <f>VLOOKUP($A74,tabCustoUnit[],COLUMN(CUSTO_GLOBAL[[#Headers],[Submódulo 4.2]])-2,0)*($G74-$H74)</f>
        <v>0</v>
      </c>
      <c r="BF74" s="22">
        <f>VLOOKUP($A74,tabCustoUnit[],COLUMN(CUSTO_GLOBAL[[#Headers],[Suspensão Temporária do Contrato de Trabalho]])-2,0)*($G74-$H74)</f>
        <v>0</v>
      </c>
      <c r="BG74" s="22">
        <f>VLOOKUP($A74,tabCustoUnit[],COLUMN(CUSTO_GLOBAL[[#Headers],[Submódulo 4.3]])-2,0)*($G74-$H74)</f>
        <v>0</v>
      </c>
      <c r="BH74" s="22">
        <f>VLOOKUP($A74,tabCustoUnit[],COLUMN(CUSTO_GLOBAL[[#Headers],[MÓDULO 4 – CUSTO DE REPOSIÇÃO DO PROFISSIONAL AUSENTE]])-2,0)*($G74-$H74)</f>
        <v>78.233486881906302</v>
      </c>
      <c r="BI74" s="22">
        <f>VLOOKUP($A74,tabCustoUnit[],COLUMN(CUSTO_GLOBAL[[#Headers],[Uniformes e EPIs]])-2,0)*($G74-$H74)</f>
        <v>90.784679782039703</v>
      </c>
      <c r="BJ74" s="22">
        <f>VLOOKUP($A74,tabCustoUnit[],COLUMN(CUSTO_GLOBAL[[#Headers],[Materiais de Consumo]])-2,0)*($G74-$H74)</f>
        <v>0</v>
      </c>
      <c r="BK74" s="22">
        <f>VLOOKUP($A74,tabCustoUnit[],COLUMN(CUSTO_GLOBAL[[#Headers],[Máquinas e Equipamentos (depreciação)]])-2,0)*($G74-$H74)</f>
        <v>0</v>
      </c>
      <c r="BL74" s="22">
        <f>VLOOKUP($A74,tabCustoUnit[],COLUMN(CUSTO_GLOBAL[[#Headers],[Produtos de Limpeza e Materiais de Higiene Pessoal]])-2,0)*($G74-$H74)</f>
        <v>0</v>
      </c>
      <c r="BM74" s="22">
        <f>VLOOKUP($A74,tabCustoUnit[],COLUMN(CUSTO_GLOBAL[[#Headers],[Outros (especificar)]])-2,0)*($G74-$H74)</f>
        <v>0</v>
      </c>
      <c r="BN74" s="22">
        <f>VLOOKUP($A74,tabCustoUnit[],COLUMN(CUSTO_GLOBAL[[#Headers],[MÓDULO 5 – INSUMOS DIVERSOS]])-2,0)*($G74-$H74)</f>
        <v>90.784679782039703</v>
      </c>
      <c r="BO74" s="22" t="e">
        <f ca="1">VLOOKUP($A74,tabCustoUnit[],COLUMN(CUSTO_GLOBAL[[#Headers],[TOTAL MÓDULOS 1+2+3+4+5]])-2,0)*($G74-$H74)</f>
        <v>#NAME?</v>
      </c>
      <c r="BP74" s="22" t="e">
        <f ca="1">VLOOKUP($A74,tabCustoUnit[],COLUMN(CUSTO_GLOBAL[[#Headers],[Custos Indiretos]])-2,0)*($G74-$H74)</f>
        <v>#NAME?</v>
      </c>
      <c r="BQ74" s="22" t="e">
        <f ca="1">VLOOKUP($A74,tabCustoUnit[],COLUMN(CUSTO_GLOBAL[[#Headers],[Lucro]])-2,0)*($G74-$H74)</f>
        <v>#NAME?</v>
      </c>
      <c r="BR74" s="26">
        <f>VLOOKUP($A74,tabCustoUnit[],COLUMN(CUSTO_GLOBAL[[#Headers],[COFINS]])-2,0)</f>
        <v>8.8629737609329504E-2</v>
      </c>
      <c r="BS74" s="26">
        <f>VLOOKUP($A74,tabCustoUnit[],COLUMN(CUSTO_GLOBAL[[#Headers],[PIS]])-2,0)</f>
        <v>1.9241982507288629E-2</v>
      </c>
      <c r="BT74" s="28">
        <f>VLOOKUP($A74,tabCustoUnit[],COLUMN(CUSTO_GLOBAL[[#Headers],[ISS]])-2,0)</f>
        <v>0.05</v>
      </c>
      <c r="BU74" s="26">
        <f>VLOOKUP($A74,tabCustoUnit[],COLUMN(CUSTO_GLOBAL[[#Headers],[ISS (Conversão Alíquota s/ fatura)]])-2,0)</f>
        <v>5.8309037900874633E-2</v>
      </c>
      <c r="BV74" s="26">
        <f>VLOOKUP($A74,tabCustoUnit[],COLUMN(CUSTO_GLOBAL[[#Headers],[Resumo de Alíquotas (PIS+CONFINS+ISS)]])-2,0)</f>
        <v>0.14250000000000002</v>
      </c>
      <c r="BW74" s="138">
        <f>VLOOKUP($A74,tabCustoUnit[],COLUMN(CUSTO_GLOBAL[[#Headers],[PIS + COFINS + ISS (Total Conversão  Alíquota s/ Fatura)]])-2,0)</f>
        <v>0.16618075801749277</v>
      </c>
      <c r="BX74" s="22" t="e">
        <f ca="1">VLOOKUP($A74,tabCustoUnit[],COLUMN(CUSTO_GLOBAL[[#Headers],[Valor dos Tributos (ISS, PIS, CONFINS)]])-2,0)*($G74-$H74)</f>
        <v>#NAME?</v>
      </c>
      <c r="BY74" s="22" t="e">
        <f ca="1">VLOOKUP($A74,tabCustoUnit[],COLUMN(CUSTO_GLOBAL[[#Headers],[MÓDULO 6 – CUSTOS INDIRETOS, TRIBUTOS E LUCRO]])-2,0)*($G74-$H74)</f>
        <v>#NAME?</v>
      </c>
      <c r="BZ74" s="22" t="e">
        <f ca="1">VLOOKUP($A74,tabCustoUnit[],COLUMN(CUSTO_GLOBAL[[#Headers],[CUSTO TOTAL MENSAL]])-2,0)*($G74-$H74)</f>
        <v>#NAME?</v>
      </c>
      <c r="CA74" s="22" t="e">
        <f ca="1">CUSTO_GLOBAL[[#This Row],[CUSTO TOTAL MENSAL]]*12</f>
        <v>#NAME?</v>
      </c>
      <c r="CB74" s="24">
        <f>VLOOKUP($A74,tabCustoUnit[],COLUMN(CUSTO_GLOBAL[[#Headers],[ANO DA CCT]])-2,0)</f>
        <v>45658</v>
      </c>
      <c r="CC74" s="25" t="str">
        <f>VLOOKUP($A74,tabCustoUnit[],COLUMN(CUSTO_GLOBAL[[#Headers],[Nº DE PEDIDO DA CCT]])-2,0)</f>
        <v>-</v>
      </c>
      <c r="CD74" s="25" t="str">
        <f>VLOOKUP($A74,tabCustoUnit[],COLUMN(CUSTO_GLOBAL[[#Headers],[TERMO ADITIVO ALTERAÇÃO DA CCT]])-2,0)</f>
        <v>-</v>
      </c>
    </row>
    <row r="75" spans="1:82">
      <c r="A75" s="20" t="s">
        <v>1450</v>
      </c>
      <c r="B75" t="s">
        <v>1103</v>
      </c>
      <c r="C75" t="s">
        <v>356</v>
      </c>
      <c r="D75" t="s">
        <v>1054</v>
      </c>
      <c r="E75" s="20" t="s">
        <v>1090</v>
      </c>
      <c r="F75" s="20" t="s">
        <v>120</v>
      </c>
      <c r="G75" s="20">
        <v>2</v>
      </c>
      <c r="H75" s="20">
        <v>0</v>
      </c>
      <c r="I75" s="21">
        <f>VLOOKUP($A75,tabCustoUnit[],COLUMN(CUSTO_GLOBAL[[#Headers],[Salário Base]])-2,0)*($G75-$H75)</f>
        <v>10281.8848</v>
      </c>
      <c r="J75" s="21">
        <f>VLOOKUP($A75,tabCustoUnit[],COLUMN(CUSTO_GLOBAL[[#Headers],[Adicional Periculosidade]])-2,0)*($G75-$H75)</f>
        <v>0</v>
      </c>
      <c r="K75" s="21">
        <f>VLOOKUP($A75,tabCustoUnit[],COLUMN(CUSTO_GLOBAL[[#Headers],[Adicional Insalubridade]])-2,0)*($G75-$H75)</f>
        <v>0</v>
      </c>
      <c r="L75" s="21">
        <f>VLOOKUP($A75,tabCustoUnit[],COLUMN(CUSTO_GLOBAL[[#Headers],[Adicional Noturno]])-2,0)*($G75-$H75)</f>
        <v>0</v>
      </c>
      <c r="M75" s="21">
        <f>VLOOKUP($A75,tabCustoUnit[],COLUMN(CUSTO_GLOBAL[[#Headers],[Adicional Motorista II (Gratificação)]])-2,0)*($G75-$H75)</f>
        <v>0</v>
      </c>
      <c r="N75" s="21">
        <f>VLOOKUP($A75,tabCustoUnit[],COLUMN(CUSTO_GLOBAL[[#Headers],[Adicional de Sobreaviso]])-2,0)*($G75-$H75)</f>
        <v>0</v>
      </c>
      <c r="O75" s="21">
        <f>VLOOKUP($A75,tabCustoUnit[],COLUMN(CUSTO_GLOBAL[[#Headers],[Horas Extras TI]])-2,0)*($G75-$H75)</f>
        <v>0</v>
      </c>
      <c r="P75" s="21">
        <f>VLOOKUP($A75,tabCustoUnit[],COLUMN(CUSTO_GLOBAL[[#Headers],[Adicional de Acúmulo de função]])-2,0)*($G75-$H75)</f>
        <v>0</v>
      </c>
      <c r="Q75" s="21">
        <f>VLOOKUP($A75,tabCustoUnit[],COLUMN(CUSTO_GLOBAL[[#Headers],[MODULO 1 - REMUNERAÇÃO ]])-2,0)*($G75-$H75)</f>
        <v>10281.8848</v>
      </c>
      <c r="R75" s="21">
        <f>VLOOKUP($A75,tabCustoUnit[],COLUMN(CUSTO_GLOBAL[[#Headers],[INSS]])-2,0)*($G75-$H75)</f>
        <v>2056.3769600000001</v>
      </c>
      <c r="S75" s="21">
        <f>VLOOKUP($A75,tabCustoUnit[],COLUMN(CUSTO_GLOBAL[[#Headers],[SESI OU SESC]])-2,0)*($G75-$H75)</f>
        <v>154.228272</v>
      </c>
      <c r="T75" s="21">
        <f>VLOOKUP($A75,tabCustoUnit[],COLUMN(CUSTO_GLOBAL[[#Headers],[SENAI OU SENAC]])-2,0)*($G75-$H75)</f>
        <v>102.818848</v>
      </c>
      <c r="U75" s="21">
        <f>VLOOKUP($A75,tabCustoUnit[],COLUMN(CUSTO_GLOBAL[[#Headers],[INCRA]])-2,0)*($G75-$H75)</f>
        <v>20.563769600000001</v>
      </c>
      <c r="V75" s="21">
        <f>VLOOKUP($A75,tabCustoUnit[],COLUMN(CUSTO_GLOBAL[[#Headers],[Salário Educação]])-2,0)*($G75-$H75)</f>
        <v>257.04712000000001</v>
      </c>
      <c r="W75" s="21">
        <f>VLOOKUP($A75,tabCustoUnit[],COLUMN(CUSTO_GLOBAL[[#Headers],[FGTS]])-2,0)*($G75-$H75)</f>
        <v>822.55078400000002</v>
      </c>
      <c r="X75" s="21">
        <f>VLOOKUP($A75,tabCustoUnit[],COLUMN(CUSTO_GLOBAL[[#Headers],[RAT Ajustado]])-2,0)*($G75-$H75)</f>
        <v>411.27539200000001</v>
      </c>
      <c r="Y75" s="21">
        <f>VLOOKUP($A75,tabCustoUnit[],COLUMN(CUSTO_GLOBAL[[#Headers],[SEBRAE]])-2,0)*($G75-$H75)</f>
        <v>61.691308800000002</v>
      </c>
      <c r="Z75" s="21">
        <f>VLOOKUP($A75,tabCustoUnit[],COLUMN(CUSTO_GLOBAL[[#Headers],[Submódulo 2.1]])-2,0)*($G75-$H75)</f>
        <v>3886.5524544</v>
      </c>
      <c r="AA75" s="21">
        <f>VLOOKUP($A75,tabCustoUnit[],COLUMN(CUSTO_GLOBAL[[#Headers],[13º salário (titular)]])-2,0)*($G75-$H75)</f>
        <v>856.82373333333328</v>
      </c>
      <c r="AB75" s="21">
        <f>VLOOKUP($A75,tabCustoUnit[],COLUMN(CUSTO_GLOBAL[[#Headers],[Férias e Adicional de Férias (titular)]])-2,0)*($G75-$H75)</f>
        <v>1142.4316444444444</v>
      </c>
      <c r="AC75" s="21">
        <f>VLOOKUP($A75,tabCustoUnit[],COLUMN(CUSTO_GLOBAL[[#Headers],[Incidência do Submódulo 2.1 sobre 13º Salário, Férias e Adicional de Férias]])-2,0)*($G75-$H75)</f>
        <v>755.71853279999993</v>
      </c>
      <c r="AD75" s="21">
        <f>VLOOKUP($A75,tabCustoUnit[],COLUMN(CUSTO_GLOBAL[[#Headers],[Submódulo 2.2]])-2,0)*($G75-$H75)</f>
        <v>2754.9739105777776</v>
      </c>
      <c r="AE75" s="22" t="e">
        <f ca="1">VLOOKUP($A75,tabCustoUnit[],COLUMN(CUSTO_GLOBAL[[#Headers],[Vale - Transporte (Descontada parcela do empregado)]])-2,0)*($G75-$H75)</f>
        <v>#NAME?</v>
      </c>
      <c r="AF75" s="22">
        <f>VLOOKUP($A75,tabCustoUnit[],COLUMN(CUSTO_GLOBAL[[#Headers],[Vale - Alimentação (Descontada parcela do empregado)]])-2,0)*($G75-$H75)</f>
        <v>1163.5999999999999</v>
      </c>
      <c r="AG75" s="22">
        <f>VLOOKUP($A75,tabCustoUnit[],COLUMN(CUSTO_GLOBAL[[#Headers],[Cesta Básica]])-2,0)*($G75-$H75)</f>
        <v>0</v>
      </c>
      <c r="AH75" s="22">
        <f>VLOOKUP($A75,tabCustoUnit[],COLUMN(CUSTO_GLOBAL[[#Headers],[PAF]])-2,0)*($G75-$H75)</f>
        <v>103.46</v>
      </c>
      <c r="AI75" s="22">
        <f>VLOOKUP($A75,tabCustoUnit[],COLUMN(CUSTO_GLOBAL[[#Headers],[PQM]])-2,0)*($G75-$H75)</f>
        <v>0</v>
      </c>
      <c r="AJ75" s="22">
        <v>0</v>
      </c>
      <c r="AK75" s="22">
        <f>VLOOKUP($A75,tabCustoUnit[],COLUMN(CUSTO_GLOBAL[[#Headers],[Seguro de Vida]])-2,0)*($G75-$H75)</f>
        <v>6.72</v>
      </c>
      <c r="AL75" s="22">
        <f>VLOOKUP($A75,tabCustoUnit[],COLUMN(CUSTO_GLOBAL[[#Headers],[Despesas de Viagem]])-2,0)*($G75-$H75)</f>
        <v>404.16</v>
      </c>
      <c r="AM75" s="22" t="e">
        <f ca="1">VLOOKUP($A75,tabCustoUnit[],COLUMN(CUSTO_GLOBAL[[#Headers],[Submódulo 2.3]])-2,0)*($G75-$H75)</f>
        <v>#NAME?</v>
      </c>
      <c r="AN75" s="22" t="e">
        <f ca="1">VLOOKUP($A75,tabCustoUnit[],COLUMN(CUSTO_GLOBAL[[#Headers],[MÓDULO 2 - Total Encargos e Benefícios mensais e diários]])-2,0)*($G75-$H75)</f>
        <v>#NAME?</v>
      </c>
      <c r="AO75" s="22">
        <f>VLOOKUP($A75,tabCustoUnit[],COLUMN(CUSTO_GLOBAL[[#Headers],[Aviso Prévio Indenizado (API) e Reflexo do Aviso Prévio Indenizado]])-2,0)*($G75-$H75)</f>
        <v>72.094180284567898</v>
      </c>
      <c r="AP75" s="22">
        <f>VLOOKUP($A75,tabCustoUnit[],COLUMN(CUSTO_GLOBAL[[#Headers],[Incidência do FGTS sobre API e Reflexo do API]])-2,0)*($G75-$H75)</f>
        <v>5.7675344227654328</v>
      </c>
      <c r="AQ75" s="22">
        <f>VLOOKUP($A75,tabCustoUnit[],COLUMN(CUSTO_GLOBAL[[#Headers],[Multa Rescisória do FGTS sobre o Aviso Prévio Indenizado]])-2,0)*($G75-$H75)</f>
        <v>2.3070137691061734</v>
      </c>
      <c r="AR75" s="22">
        <f>VLOOKUP($A75,tabCustoUnit[],COLUMN(CUSTO_GLOBAL[[#Headers],[Aviso Prévio Trabalhado - APT]])-2,0)*($G75-$H75)</f>
        <v>35.986596800000008</v>
      </c>
      <c r="AS75" s="22">
        <f>VLOOKUP($A75,tabCustoUnit[],COLUMN(CUSTO_GLOBAL[[#Headers],[Incidência dos encargos do submódulo 2.1 sobre Aviso Prévio Trabalhado]])-2,0)*($G75-$H75)</f>
        <v>13.602933590400005</v>
      </c>
      <c r="AT75" s="22">
        <f>VLOOKUP($A75,tabCustoUnit[],COLUMN(CUSTO_GLOBAL[[#Headers],[Multa Rescisória do FGTS]])-2,0)*($G75-$H75)</f>
        <v>314.39718855111107</v>
      </c>
      <c r="AU75" s="22">
        <f>VLOOKUP($A75,tabCustoUnit[],COLUMN(CUSTO_GLOBAL[[#Headers],[Indenização Adicional (Art. 9º da Lei nº 7.238/84)]])-2,0)*($G75-$H75)</f>
        <v>8.5682373333333341</v>
      </c>
      <c r="AV75" s="22">
        <f>VLOOKUP($A75,tabCustoUnit[],COLUMN(CUSTO_GLOBAL[[#Headers],[MÓDULO 3 – PROVISÃO PARA RESCISÃO]])-2,0)*($G75-$H75)</f>
        <v>452.72368475128394</v>
      </c>
      <c r="AW75" s="22">
        <f>VLOOKUP($A75,tabCustoUnit[],COLUMN(CUSTO_GLOBAL[[#Headers],[Ausência por Doença]])-2,0)*($G75-$H75)</f>
        <v>86.824804977777774</v>
      </c>
      <c r="AX75" s="22">
        <f>VLOOKUP($A75,tabCustoUnit[],COLUMN(CUSTO_GLOBAL[[#Headers],[Ausências Legais]])-2,0)*($G75-$H75)</f>
        <v>20.849377511111108</v>
      </c>
      <c r="AY75" s="22">
        <f>VLOOKUP($A75,tabCustoUnit[],COLUMN(CUSTO_GLOBAL[[#Headers],[Licença Paternidade]])-2,0)*($G75-$H75)</f>
        <v>1.7564886533333333</v>
      </c>
      <c r="AZ75" s="22">
        <f>VLOOKUP($A75,tabCustoUnit[],COLUMN(CUSTO_GLOBAL[[#Headers],[Ausência por Acidente de Trabalho]])-2,0)*($G75-$H75)</f>
        <v>2.1420593333333335</v>
      </c>
      <c r="BA75" s="22">
        <f>VLOOKUP($A75,tabCustoUnit[],COLUMN(CUSTO_GLOBAL[[#Headers],[Férias, Adicional de Férias e 13º  com empregada em gozo de Licença Maternidade]])-2,0)*($G75-$H75)</f>
        <v>13.328369185185185</v>
      </c>
      <c r="BB75" s="22">
        <f>VLOOKUP($A75,tabCustoUnit[],COLUMN(CUSTO_GLOBAL[[#Headers],[Incidência do Submódulo 2.1 sobre Ausências Legais]])-2,0)*($G75-$H75)</f>
        <v>47.212615671760005</v>
      </c>
      <c r="BC75" s="22">
        <f>VLOOKUP($A75,tabCustoUnit[],COLUMN(CUSTO_GLOBAL[[#Headers],[Submódulo 4.1]])-2,0)*($G75-$H75)</f>
        <v>172.11371533250073</v>
      </c>
      <c r="BD75" s="22">
        <f>VLOOKUP($A75,tabCustoUnit[],COLUMN(CUSTO_GLOBAL[[#Headers],[Intervalo para Repouso ou Alimentação]])-2,0)*($G75-$H75)</f>
        <v>0</v>
      </c>
      <c r="BE75" s="22">
        <f>VLOOKUP($A75,tabCustoUnit[],COLUMN(CUSTO_GLOBAL[[#Headers],[Submódulo 4.2]])-2,0)*($G75-$H75)</f>
        <v>0</v>
      </c>
      <c r="BF75" s="22">
        <f>VLOOKUP($A75,tabCustoUnit[],COLUMN(CUSTO_GLOBAL[[#Headers],[Suspensão Temporária do Contrato de Trabalho]])-2,0)*($G75-$H75)</f>
        <v>0</v>
      </c>
      <c r="BG75" s="22">
        <f>VLOOKUP($A75,tabCustoUnit[],COLUMN(CUSTO_GLOBAL[[#Headers],[Submódulo 4.3]])-2,0)*($G75-$H75)</f>
        <v>0</v>
      </c>
      <c r="BH75" s="22">
        <f>VLOOKUP($A75,tabCustoUnit[],COLUMN(CUSTO_GLOBAL[[#Headers],[MÓDULO 4 – CUSTO DE REPOSIÇÃO DO PROFISSIONAL AUSENTE]])-2,0)*($G75-$H75)</f>
        <v>172.11371533250073</v>
      </c>
      <c r="BI75" s="22">
        <f>VLOOKUP($A75,tabCustoUnit[],COLUMN(CUSTO_GLOBAL[[#Headers],[Uniformes e EPIs]])-2,0)*($G75-$H75)</f>
        <v>181.56935956407941</v>
      </c>
      <c r="BJ75" s="22">
        <f>VLOOKUP($A75,tabCustoUnit[],COLUMN(CUSTO_GLOBAL[[#Headers],[Materiais de Consumo]])-2,0)*($G75-$H75)</f>
        <v>0</v>
      </c>
      <c r="BK75" s="22">
        <f>VLOOKUP($A75,tabCustoUnit[],COLUMN(CUSTO_GLOBAL[[#Headers],[Máquinas e Equipamentos (depreciação)]])-2,0)*($G75-$H75)</f>
        <v>0</v>
      </c>
      <c r="BL75" s="22">
        <f>VLOOKUP($A75,tabCustoUnit[],COLUMN(CUSTO_GLOBAL[[#Headers],[Produtos de Limpeza e Materiais de Higiene Pessoal]])-2,0)*($G75-$H75)</f>
        <v>0</v>
      </c>
      <c r="BM75" s="22">
        <f>VLOOKUP($A75,tabCustoUnit[],COLUMN(CUSTO_GLOBAL[[#Headers],[Outros (especificar)]])-2,0)*($G75-$H75)</f>
        <v>0</v>
      </c>
      <c r="BN75" s="22">
        <f>VLOOKUP($A75,tabCustoUnit[],COLUMN(CUSTO_GLOBAL[[#Headers],[MÓDULO 5 – INSUMOS DIVERSOS]])-2,0)*($G75-$H75)</f>
        <v>181.56935956407941</v>
      </c>
      <c r="BO75" s="22" t="e">
        <f ca="1">VLOOKUP($A75,tabCustoUnit[],COLUMN(CUSTO_GLOBAL[[#Headers],[TOTAL MÓDULOS 1+2+3+4+5]])-2,0)*($G75-$H75)</f>
        <v>#NAME?</v>
      </c>
      <c r="BP75" s="22" t="e">
        <f ca="1">VLOOKUP($A75,tabCustoUnit[],COLUMN(CUSTO_GLOBAL[[#Headers],[Custos Indiretos]])-2,0)*($G75-$H75)</f>
        <v>#NAME?</v>
      </c>
      <c r="BQ75" s="22" t="e">
        <f ca="1">VLOOKUP($A75,tabCustoUnit[],COLUMN(CUSTO_GLOBAL[[#Headers],[Lucro]])-2,0)*($G75-$H75)</f>
        <v>#NAME?</v>
      </c>
      <c r="BR75" s="26">
        <f>VLOOKUP($A75,tabCustoUnit[],COLUMN(CUSTO_GLOBAL[[#Headers],[COFINS]])-2,0)</f>
        <v>8.8629737609329504E-2</v>
      </c>
      <c r="BS75" s="26">
        <f>VLOOKUP($A75,tabCustoUnit[],COLUMN(CUSTO_GLOBAL[[#Headers],[PIS]])-2,0)</f>
        <v>1.9241982507288629E-2</v>
      </c>
      <c r="BT75" s="28">
        <f>VLOOKUP($A75,tabCustoUnit[],COLUMN(CUSTO_GLOBAL[[#Headers],[ISS]])-2,0)</f>
        <v>0.05</v>
      </c>
      <c r="BU75" s="26">
        <f>VLOOKUP($A75,tabCustoUnit[],COLUMN(CUSTO_GLOBAL[[#Headers],[ISS (Conversão Alíquota s/ fatura)]])-2,0)</f>
        <v>5.8309037900874633E-2</v>
      </c>
      <c r="BV75" s="26">
        <f>VLOOKUP($A75,tabCustoUnit[],COLUMN(CUSTO_GLOBAL[[#Headers],[Resumo de Alíquotas (PIS+CONFINS+ISS)]])-2,0)</f>
        <v>0.14250000000000002</v>
      </c>
      <c r="BW75" s="138">
        <f>VLOOKUP($A75,tabCustoUnit[],COLUMN(CUSTO_GLOBAL[[#Headers],[PIS + COFINS + ISS (Total Conversão  Alíquota s/ Fatura)]])-2,0)</f>
        <v>0.16618075801749277</v>
      </c>
      <c r="BX75" s="22" t="e">
        <f ca="1">VLOOKUP($A75,tabCustoUnit[],COLUMN(CUSTO_GLOBAL[[#Headers],[Valor dos Tributos (ISS, PIS, CONFINS)]])-2,0)*($G75-$H75)</f>
        <v>#NAME?</v>
      </c>
      <c r="BY75" s="22" t="e">
        <f ca="1">VLOOKUP($A75,tabCustoUnit[],COLUMN(CUSTO_GLOBAL[[#Headers],[MÓDULO 6 – CUSTOS INDIRETOS, TRIBUTOS E LUCRO]])-2,0)*($G75-$H75)</f>
        <v>#NAME?</v>
      </c>
      <c r="BZ75" s="22" t="e">
        <f ca="1">VLOOKUP($A75,tabCustoUnit[],COLUMN(CUSTO_GLOBAL[[#Headers],[CUSTO TOTAL MENSAL]])-2,0)*($G75-$H75)</f>
        <v>#NAME?</v>
      </c>
      <c r="CA75" s="22" t="e">
        <f ca="1">CUSTO_GLOBAL[[#This Row],[CUSTO TOTAL MENSAL]]*12</f>
        <v>#NAME?</v>
      </c>
      <c r="CB75" s="24">
        <f>VLOOKUP($A75,tabCustoUnit[],COLUMN(CUSTO_GLOBAL[[#Headers],[ANO DA CCT]])-2,0)</f>
        <v>45658</v>
      </c>
      <c r="CC75" s="25" t="str">
        <f>VLOOKUP($A75,tabCustoUnit[],COLUMN(CUSTO_GLOBAL[[#Headers],[Nº DE PEDIDO DA CCT]])-2,0)</f>
        <v>-</v>
      </c>
      <c r="CD75" s="25" t="str">
        <f>VLOOKUP($A75,tabCustoUnit[],COLUMN(CUSTO_GLOBAL[[#Headers],[TERMO ADITIVO ALTERAÇÃO DA CCT]])-2,0)</f>
        <v>-</v>
      </c>
    </row>
    <row r="76" spans="1:82">
      <c r="A76" s="20" t="s">
        <v>1451</v>
      </c>
      <c r="B76" t="s">
        <v>1103</v>
      </c>
      <c r="C76" t="s">
        <v>361</v>
      </c>
      <c r="D76" t="s">
        <v>1054</v>
      </c>
      <c r="E76" s="20" t="s">
        <v>1090</v>
      </c>
      <c r="F76" s="20" t="s">
        <v>120</v>
      </c>
      <c r="G76" s="20">
        <v>8</v>
      </c>
      <c r="H76" s="20">
        <v>0</v>
      </c>
      <c r="I76" s="21">
        <f>VLOOKUP($A76,tabCustoUnit[],COLUMN(CUSTO_GLOBAL[[#Headers],[Salário Base]])-2,0)*($G76-$H76)</f>
        <v>48601.706400000003</v>
      </c>
      <c r="J76" s="21">
        <f>VLOOKUP($A76,tabCustoUnit[],COLUMN(CUSTO_GLOBAL[[#Headers],[Adicional Periculosidade]])-2,0)*($G76-$H76)</f>
        <v>0</v>
      </c>
      <c r="K76" s="21">
        <f>VLOOKUP($A76,tabCustoUnit[],COLUMN(CUSTO_GLOBAL[[#Headers],[Adicional Insalubridade]])-2,0)*($G76-$H76)</f>
        <v>0</v>
      </c>
      <c r="L76" s="21">
        <f>VLOOKUP($A76,tabCustoUnit[],COLUMN(CUSTO_GLOBAL[[#Headers],[Adicional Noturno]])-2,0)*($G76-$H76)</f>
        <v>0</v>
      </c>
      <c r="M76" s="21">
        <f>VLOOKUP($A76,tabCustoUnit[],COLUMN(CUSTO_GLOBAL[[#Headers],[Adicional Motorista II (Gratificação)]])-2,0)*($G76-$H76)</f>
        <v>0</v>
      </c>
      <c r="N76" s="21">
        <f>VLOOKUP($A76,tabCustoUnit[],COLUMN(CUSTO_GLOBAL[[#Headers],[Adicional de Sobreaviso]])-2,0)*($G76-$H76)</f>
        <v>0</v>
      </c>
      <c r="O76" s="21">
        <f>VLOOKUP($A76,tabCustoUnit[],COLUMN(CUSTO_GLOBAL[[#Headers],[Horas Extras TI]])-2,0)*($G76-$H76)</f>
        <v>0</v>
      </c>
      <c r="P76" s="21">
        <f>VLOOKUP($A76,tabCustoUnit[],COLUMN(CUSTO_GLOBAL[[#Headers],[Adicional de Acúmulo de função]])-2,0)*($G76-$H76)</f>
        <v>0</v>
      </c>
      <c r="Q76" s="21">
        <f>VLOOKUP($A76,tabCustoUnit[],COLUMN(CUSTO_GLOBAL[[#Headers],[MODULO 1 - REMUNERAÇÃO ]])-2,0)*($G76-$H76)</f>
        <v>48601.706400000003</v>
      </c>
      <c r="R76" s="21">
        <f>VLOOKUP($A76,tabCustoUnit[],COLUMN(CUSTO_GLOBAL[[#Headers],[INSS]])-2,0)*($G76-$H76)</f>
        <v>9720.3412800000006</v>
      </c>
      <c r="S76" s="21">
        <f>VLOOKUP($A76,tabCustoUnit[],COLUMN(CUSTO_GLOBAL[[#Headers],[SESI OU SESC]])-2,0)*($G76-$H76)</f>
        <v>729.02559600000006</v>
      </c>
      <c r="T76" s="21">
        <f>VLOOKUP($A76,tabCustoUnit[],COLUMN(CUSTO_GLOBAL[[#Headers],[SENAI OU SENAC]])-2,0)*($G76-$H76)</f>
        <v>486.01706400000006</v>
      </c>
      <c r="U76" s="21">
        <f>VLOOKUP($A76,tabCustoUnit[],COLUMN(CUSTO_GLOBAL[[#Headers],[INCRA]])-2,0)*($G76-$H76)</f>
        <v>97.203412800000009</v>
      </c>
      <c r="V76" s="21">
        <f>VLOOKUP($A76,tabCustoUnit[],COLUMN(CUSTO_GLOBAL[[#Headers],[Salário Educação]])-2,0)*($G76-$H76)</f>
        <v>1215.0426600000001</v>
      </c>
      <c r="W76" s="21">
        <f>VLOOKUP($A76,tabCustoUnit[],COLUMN(CUSTO_GLOBAL[[#Headers],[FGTS]])-2,0)*($G76-$H76)</f>
        <v>3888.1365120000005</v>
      </c>
      <c r="X76" s="21">
        <f>VLOOKUP($A76,tabCustoUnit[],COLUMN(CUSTO_GLOBAL[[#Headers],[RAT Ajustado]])-2,0)*($G76-$H76)</f>
        <v>1944.0682560000002</v>
      </c>
      <c r="Y76" s="21">
        <f>VLOOKUP($A76,tabCustoUnit[],COLUMN(CUSTO_GLOBAL[[#Headers],[SEBRAE]])-2,0)*($G76-$H76)</f>
        <v>291.61023840000001</v>
      </c>
      <c r="Z76" s="21">
        <f>VLOOKUP($A76,tabCustoUnit[],COLUMN(CUSTO_GLOBAL[[#Headers],[Submódulo 2.1]])-2,0)*($G76-$H76)</f>
        <v>18371.4450192</v>
      </c>
      <c r="AA76" s="21">
        <f>VLOOKUP($A76,tabCustoUnit[],COLUMN(CUSTO_GLOBAL[[#Headers],[13º salário (titular)]])-2,0)*($G76-$H76)</f>
        <v>4050.1422000000002</v>
      </c>
      <c r="AB76" s="21">
        <f>VLOOKUP($A76,tabCustoUnit[],COLUMN(CUSTO_GLOBAL[[#Headers],[Férias e Adicional de Férias (titular)]])-2,0)*($G76-$H76)</f>
        <v>5400.1895999999997</v>
      </c>
      <c r="AC76" s="21">
        <f>VLOOKUP($A76,tabCustoUnit[],COLUMN(CUSTO_GLOBAL[[#Headers],[Incidência do Submódulo 2.1 sobre 13º Salário, Férias e Adicional de Férias]])-2,0)*($G76-$H76)</f>
        <v>3572.2254204000001</v>
      </c>
      <c r="AD76" s="21">
        <f>VLOOKUP($A76,tabCustoUnit[],COLUMN(CUSTO_GLOBAL[[#Headers],[Submódulo 2.2]])-2,0)*($G76-$H76)</f>
        <v>13022.5572204</v>
      </c>
      <c r="AE76" s="22" t="e">
        <f ca="1">VLOOKUP($A76,tabCustoUnit[],COLUMN(CUSTO_GLOBAL[[#Headers],[Vale - Transporte (Descontada parcela do empregado)]])-2,0)*($G76-$H76)</f>
        <v>#NAME?</v>
      </c>
      <c r="AF76" s="22">
        <f>VLOOKUP($A76,tabCustoUnit[],COLUMN(CUSTO_GLOBAL[[#Headers],[Vale - Alimentação (Descontada parcela do empregado)]])-2,0)*($G76-$H76)</f>
        <v>4654.3999999999996</v>
      </c>
      <c r="AG76" s="22">
        <f>VLOOKUP($A76,tabCustoUnit[],COLUMN(CUSTO_GLOBAL[[#Headers],[Cesta Básica]])-2,0)*($G76-$H76)</f>
        <v>0</v>
      </c>
      <c r="AH76" s="22">
        <f>VLOOKUP($A76,tabCustoUnit[],COLUMN(CUSTO_GLOBAL[[#Headers],[PAF]])-2,0)*($G76-$H76)</f>
        <v>413.84</v>
      </c>
      <c r="AI76" s="22">
        <f>VLOOKUP($A76,tabCustoUnit[],COLUMN(CUSTO_GLOBAL[[#Headers],[PQM]])-2,0)*($G76-$H76)</f>
        <v>0</v>
      </c>
      <c r="AJ76" s="22">
        <v>0</v>
      </c>
      <c r="AK76" s="22">
        <f>VLOOKUP($A76,tabCustoUnit[],COLUMN(CUSTO_GLOBAL[[#Headers],[Seguro de Vida]])-2,0)*($G76-$H76)</f>
        <v>26.88</v>
      </c>
      <c r="AL76" s="22">
        <f>VLOOKUP($A76,tabCustoUnit[],COLUMN(CUSTO_GLOBAL[[#Headers],[Despesas de Viagem]])-2,0)*($G76-$H76)</f>
        <v>1616.64</v>
      </c>
      <c r="AM76" s="22" t="e">
        <f ca="1">VLOOKUP($A76,tabCustoUnit[],COLUMN(CUSTO_GLOBAL[[#Headers],[Submódulo 2.3]])-2,0)*($G76-$H76)</f>
        <v>#NAME?</v>
      </c>
      <c r="AN76" s="22" t="e">
        <f ca="1">VLOOKUP($A76,tabCustoUnit[],COLUMN(CUSTO_GLOBAL[[#Headers],[MÓDULO 2 - Total Encargos e Benefícios mensais e diários]])-2,0)*($G76-$H76)</f>
        <v>#NAME?</v>
      </c>
      <c r="AO76" s="22">
        <f>VLOOKUP($A76,tabCustoUnit[],COLUMN(CUSTO_GLOBAL[[#Headers],[Aviso Prévio Indenizado (API) e Reflexo do Aviso Prévio Indenizado]])-2,0)*($G76-$H76)</f>
        <v>340.78383987916669</v>
      </c>
      <c r="AP76" s="22">
        <f>VLOOKUP($A76,tabCustoUnit[],COLUMN(CUSTO_GLOBAL[[#Headers],[Incidência do FGTS sobre API e Reflexo do API]])-2,0)*($G76-$H76)</f>
        <v>27.262707190333337</v>
      </c>
      <c r="AQ76" s="22">
        <f>VLOOKUP($A76,tabCustoUnit[],COLUMN(CUSTO_GLOBAL[[#Headers],[Multa Rescisória do FGTS sobre o Aviso Prévio Indenizado]])-2,0)*($G76-$H76)</f>
        <v>10.905082876133337</v>
      </c>
      <c r="AR76" s="22">
        <f>VLOOKUP($A76,tabCustoUnit[],COLUMN(CUSTO_GLOBAL[[#Headers],[Aviso Prévio Trabalhado - APT]])-2,0)*($G76-$H76)</f>
        <v>170.10597240000004</v>
      </c>
      <c r="AS76" s="22">
        <f>VLOOKUP($A76,tabCustoUnit[],COLUMN(CUSTO_GLOBAL[[#Headers],[Incidência dos encargos do submódulo 2.1 sobre Aviso Prévio Trabalhado]])-2,0)*($G76-$H76)</f>
        <v>64.300057567200028</v>
      </c>
      <c r="AT76" s="22">
        <f>VLOOKUP($A76,tabCustoUnit[],COLUMN(CUSTO_GLOBAL[[#Headers],[Multa Rescisória do FGTS]])-2,0)*($G76-$H76)</f>
        <v>1486.1321779199998</v>
      </c>
      <c r="AU76" s="22">
        <f>VLOOKUP($A76,tabCustoUnit[],COLUMN(CUSTO_GLOBAL[[#Headers],[Indenização Adicional (Art. 9º da Lei nº 7.238/84)]])-2,0)*($G76-$H76)</f>
        <v>40.501422000000005</v>
      </c>
      <c r="AV76" s="22">
        <f>VLOOKUP($A76,tabCustoUnit[],COLUMN(CUSTO_GLOBAL[[#Headers],[MÓDULO 3 – PROVISÃO PARA RESCISÃO]])-2,0)*($G76-$H76)</f>
        <v>2139.9912598328333</v>
      </c>
      <c r="AW76" s="22">
        <f>VLOOKUP($A76,tabCustoUnit[],COLUMN(CUSTO_GLOBAL[[#Headers],[Ausência por Doença]])-2,0)*($G76-$H76)</f>
        <v>410.4144096</v>
      </c>
      <c r="AX76" s="22">
        <f>VLOOKUP($A76,tabCustoUnit[],COLUMN(CUSTO_GLOBAL[[#Headers],[Ausências Legais]])-2,0)*($G76-$H76)</f>
        <v>98.553460200000004</v>
      </c>
      <c r="AY76" s="22">
        <f>VLOOKUP($A76,tabCustoUnit[],COLUMN(CUSTO_GLOBAL[[#Headers],[Licença Paternidade]])-2,0)*($G76-$H76)</f>
        <v>8.3027915100000005</v>
      </c>
      <c r="AZ76" s="22">
        <f>VLOOKUP($A76,tabCustoUnit[],COLUMN(CUSTO_GLOBAL[[#Headers],[Ausência por Acidente de Trabalho]])-2,0)*($G76-$H76)</f>
        <v>10.125355500000001</v>
      </c>
      <c r="BA76" s="22">
        <f>VLOOKUP($A76,tabCustoUnit[],COLUMN(CUSTO_GLOBAL[[#Headers],[Férias, Adicional de Férias e 13º  com empregada em gozo de Licença Maternidade]])-2,0)*($G76-$H76)</f>
        <v>63.002212</v>
      </c>
      <c r="BB76" s="22">
        <f>VLOOKUP($A76,tabCustoUnit[],COLUMN(CUSTO_GLOBAL[[#Headers],[Incidência do Submódulo 2.1 sobre Ausências Legais]])-2,0)*($G76-$H76)</f>
        <v>223.17053049018006</v>
      </c>
      <c r="BC76" s="22">
        <f>VLOOKUP($A76,tabCustoUnit[],COLUMN(CUSTO_GLOBAL[[#Headers],[Submódulo 4.1]])-2,0)*($G76-$H76)</f>
        <v>813.56875930018009</v>
      </c>
      <c r="BD76" s="22">
        <f>VLOOKUP($A76,tabCustoUnit[],COLUMN(CUSTO_GLOBAL[[#Headers],[Intervalo para Repouso ou Alimentação]])-2,0)*($G76-$H76)</f>
        <v>0</v>
      </c>
      <c r="BE76" s="22">
        <f>VLOOKUP($A76,tabCustoUnit[],COLUMN(CUSTO_GLOBAL[[#Headers],[Submódulo 4.2]])-2,0)*($G76-$H76)</f>
        <v>0</v>
      </c>
      <c r="BF76" s="22">
        <f>VLOOKUP($A76,tabCustoUnit[],COLUMN(CUSTO_GLOBAL[[#Headers],[Suspensão Temporária do Contrato de Trabalho]])-2,0)*($G76-$H76)</f>
        <v>0</v>
      </c>
      <c r="BG76" s="22">
        <f>VLOOKUP($A76,tabCustoUnit[],COLUMN(CUSTO_GLOBAL[[#Headers],[Submódulo 4.3]])-2,0)*($G76-$H76)</f>
        <v>0</v>
      </c>
      <c r="BH76" s="22">
        <f>VLOOKUP($A76,tabCustoUnit[],COLUMN(CUSTO_GLOBAL[[#Headers],[MÓDULO 4 – CUSTO DE REPOSIÇÃO DO PROFISSIONAL AUSENTE]])-2,0)*($G76-$H76)</f>
        <v>813.56875930018009</v>
      </c>
      <c r="BI76" s="22">
        <f>VLOOKUP($A76,tabCustoUnit[],COLUMN(CUSTO_GLOBAL[[#Headers],[Uniformes e EPIs]])-2,0)*($G76-$H76)</f>
        <v>726.27743825631762</v>
      </c>
      <c r="BJ76" s="22">
        <f>VLOOKUP($A76,tabCustoUnit[],COLUMN(CUSTO_GLOBAL[[#Headers],[Materiais de Consumo]])-2,0)*($G76-$H76)</f>
        <v>0</v>
      </c>
      <c r="BK76" s="22">
        <f>VLOOKUP($A76,tabCustoUnit[],COLUMN(CUSTO_GLOBAL[[#Headers],[Máquinas e Equipamentos (depreciação)]])-2,0)*($G76-$H76)</f>
        <v>0</v>
      </c>
      <c r="BL76" s="22">
        <f>VLOOKUP($A76,tabCustoUnit[],COLUMN(CUSTO_GLOBAL[[#Headers],[Produtos de Limpeza e Materiais de Higiene Pessoal]])-2,0)*($G76-$H76)</f>
        <v>0</v>
      </c>
      <c r="BM76" s="22">
        <f>VLOOKUP($A76,tabCustoUnit[],COLUMN(CUSTO_GLOBAL[[#Headers],[Outros (especificar)]])-2,0)*($G76-$H76)</f>
        <v>0</v>
      </c>
      <c r="BN76" s="22">
        <f>VLOOKUP($A76,tabCustoUnit[],COLUMN(CUSTO_GLOBAL[[#Headers],[MÓDULO 5 – INSUMOS DIVERSOS]])-2,0)*($G76-$H76)</f>
        <v>726.27743825631762</v>
      </c>
      <c r="BO76" s="22" t="e">
        <f ca="1">VLOOKUP($A76,tabCustoUnit[],COLUMN(CUSTO_GLOBAL[[#Headers],[TOTAL MÓDULOS 1+2+3+4+5]])-2,0)*($G76-$H76)</f>
        <v>#NAME?</v>
      </c>
      <c r="BP76" s="22" t="e">
        <f ca="1">VLOOKUP($A76,tabCustoUnit[],COLUMN(CUSTO_GLOBAL[[#Headers],[Custos Indiretos]])-2,0)*($G76-$H76)</f>
        <v>#NAME?</v>
      </c>
      <c r="BQ76" s="22" t="e">
        <f ca="1">VLOOKUP($A76,tabCustoUnit[],COLUMN(CUSTO_GLOBAL[[#Headers],[Lucro]])-2,0)*($G76-$H76)</f>
        <v>#NAME?</v>
      </c>
      <c r="BR76" s="26">
        <f>VLOOKUP($A76,tabCustoUnit[],COLUMN(CUSTO_GLOBAL[[#Headers],[COFINS]])-2,0)</f>
        <v>8.8629737609329504E-2</v>
      </c>
      <c r="BS76" s="26">
        <f>VLOOKUP($A76,tabCustoUnit[],COLUMN(CUSTO_GLOBAL[[#Headers],[PIS]])-2,0)</f>
        <v>1.9241982507288629E-2</v>
      </c>
      <c r="BT76" s="28">
        <f>VLOOKUP($A76,tabCustoUnit[],COLUMN(CUSTO_GLOBAL[[#Headers],[ISS]])-2,0)</f>
        <v>0.05</v>
      </c>
      <c r="BU76" s="26">
        <f>VLOOKUP($A76,tabCustoUnit[],COLUMN(CUSTO_GLOBAL[[#Headers],[ISS (Conversão Alíquota s/ fatura)]])-2,0)</f>
        <v>5.8309037900874633E-2</v>
      </c>
      <c r="BV76" s="26">
        <f>VLOOKUP($A76,tabCustoUnit[],COLUMN(CUSTO_GLOBAL[[#Headers],[Resumo de Alíquotas (PIS+CONFINS+ISS)]])-2,0)</f>
        <v>0.14250000000000002</v>
      </c>
      <c r="BW76" s="138">
        <f>VLOOKUP($A76,tabCustoUnit[],COLUMN(CUSTO_GLOBAL[[#Headers],[PIS + COFINS + ISS (Total Conversão  Alíquota s/ Fatura)]])-2,0)</f>
        <v>0.16618075801749277</v>
      </c>
      <c r="BX76" s="22" t="e">
        <f ca="1">VLOOKUP($A76,tabCustoUnit[],COLUMN(CUSTO_GLOBAL[[#Headers],[Valor dos Tributos (ISS, PIS, CONFINS)]])-2,0)*($G76-$H76)</f>
        <v>#NAME?</v>
      </c>
      <c r="BY76" s="22" t="e">
        <f ca="1">VLOOKUP($A76,tabCustoUnit[],COLUMN(CUSTO_GLOBAL[[#Headers],[MÓDULO 6 – CUSTOS INDIRETOS, TRIBUTOS E LUCRO]])-2,0)*($G76-$H76)</f>
        <v>#NAME?</v>
      </c>
      <c r="BZ76" s="22" t="e">
        <f ca="1">VLOOKUP($A76,tabCustoUnit[],COLUMN(CUSTO_GLOBAL[[#Headers],[CUSTO TOTAL MENSAL]])-2,0)*($G76-$H76)</f>
        <v>#NAME?</v>
      </c>
      <c r="CA76" s="22" t="e">
        <f ca="1">CUSTO_GLOBAL[[#This Row],[CUSTO TOTAL MENSAL]]*12</f>
        <v>#NAME?</v>
      </c>
      <c r="CB76" s="24">
        <f>VLOOKUP($A76,tabCustoUnit[],COLUMN(CUSTO_GLOBAL[[#Headers],[ANO DA CCT]])-2,0)</f>
        <v>45658</v>
      </c>
      <c r="CC76" s="25" t="str">
        <f>VLOOKUP($A76,tabCustoUnit[],COLUMN(CUSTO_GLOBAL[[#Headers],[Nº DE PEDIDO DA CCT]])-2,0)</f>
        <v>-</v>
      </c>
      <c r="CD76" s="25" t="str">
        <f>VLOOKUP($A76,tabCustoUnit[],COLUMN(CUSTO_GLOBAL[[#Headers],[TERMO ADITIVO ALTERAÇÃO DA CCT]])-2,0)</f>
        <v>-</v>
      </c>
    </row>
    <row r="77" spans="1:82">
      <c r="A77" s="20" t="s">
        <v>1452</v>
      </c>
      <c r="B77" t="s">
        <v>1103</v>
      </c>
      <c r="C77" t="s">
        <v>366</v>
      </c>
      <c r="D77" t="s">
        <v>1035</v>
      </c>
      <c r="E77" s="20" t="s">
        <v>1090</v>
      </c>
      <c r="F77" s="20" t="s">
        <v>120</v>
      </c>
      <c r="G77" s="20">
        <v>23</v>
      </c>
      <c r="H77" s="20">
        <v>0</v>
      </c>
      <c r="I77" s="21">
        <f>VLOOKUP($A77,tabCustoUnit[],COLUMN(CUSTO_GLOBAL[[#Headers],[Salário Base]])-2,0)*($G77-$H77)</f>
        <v>167969</v>
      </c>
      <c r="J77" s="21">
        <f>VLOOKUP($A77,tabCustoUnit[],COLUMN(CUSTO_GLOBAL[[#Headers],[Adicional Periculosidade]])-2,0)*($G77-$H77)</f>
        <v>0</v>
      </c>
      <c r="K77" s="21">
        <f>VLOOKUP($A77,tabCustoUnit[],COLUMN(CUSTO_GLOBAL[[#Headers],[Adicional Insalubridade]])-2,0)*($G77-$H77)</f>
        <v>0</v>
      </c>
      <c r="L77" s="21">
        <f>VLOOKUP($A77,tabCustoUnit[],COLUMN(CUSTO_GLOBAL[[#Headers],[Adicional Noturno]])-2,0)*($G77-$H77)</f>
        <v>0</v>
      </c>
      <c r="M77" s="21">
        <f>VLOOKUP($A77,tabCustoUnit[],COLUMN(CUSTO_GLOBAL[[#Headers],[Adicional Motorista II (Gratificação)]])-2,0)*($G77-$H77)</f>
        <v>0</v>
      </c>
      <c r="N77" s="21">
        <f>VLOOKUP($A77,tabCustoUnit[],COLUMN(CUSTO_GLOBAL[[#Headers],[Adicional de Sobreaviso]])-2,0)*($G77-$H77)</f>
        <v>0</v>
      </c>
      <c r="O77" s="21">
        <f>VLOOKUP($A77,tabCustoUnit[],COLUMN(CUSTO_GLOBAL[[#Headers],[Horas Extras TI]])-2,0)*($G77-$H77)</f>
        <v>0</v>
      </c>
      <c r="P77" s="21">
        <f>VLOOKUP($A77,tabCustoUnit[],COLUMN(CUSTO_GLOBAL[[#Headers],[Adicional de Acúmulo de função]])-2,0)*($G77-$H77)</f>
        <v>0</v>
      </c>
      <c r="Q77" s="21">
        <f>VLOOKUP($A77,tabCustoUnit[],COLUMN(CUSTO_GLOBAL[[#Headers],[MODULO 1 - REMUNERAÇÃO ]])-2,0)*($G77-$H77)</f>
        <v>167969</v>
      </c>
      <c r="R77" s="21">
        <f>VLOOKUP($A77,tabCustoUnit[],COLUMN(CUSTO_GLOBAL[[#Headers],[INSS]])-2,0)*($G77-$H77)</f>
        <v>33593.800000000003</v>
      </c>
      <c r="S77" s="21">
        <f>VLOOKUP($A77,tabCustoUnit[],COLUMN(CUSTO_GLOBAL[[#Headers],[SESI OU SESC]])-2,0)*($G77-$H77)</f>
        <v>2519.5349999999999</v>
      </c>
      <c r="T77" s="21">
        <f>VLOOKUP($A77,tabCustoUnit[],COLUMN(CUSTO_GLOBAL[[#Headers],[SENAI OU SENAC]])-2,0)*($G77-$H77)</f>
        <v>1679.69</v>
      </c>
      <c r="U77" s="21">
        <f>VLOOKUP($A77,tabCustoUnit[],COLUMN(CUSTO_GLOBAL[[#Headers],[INCRA]])-2,0)*($G77-$H77)</f>
        <v>335.93799999999999</v>
      </c>
      <c r="V77" s="21">
        <f>VLOOKUP($A77,tabCustoUnit[],COLUMN(CUSTO_GLOBAL[[#Headers],[Salário Educação]])-2,0)*($G77-$H77)</f>
        <v>4199.2250000000004</v>
      </c>
      <c r="W77" s="21">
        <f>VLOOKUP($A77,tabCustoUnit[],COLUMN(CUSTO_GLOBAL[[#Headers],[FGTS]])-2,0)*($G77-$H77)</f>
        <v>13437.52</v>
      </c>
      <c r="X77" s="21">
        <f>VLOOKUP($A77,tabCustoUnit[],COLUMN(CUSTO_GLOBAL[[#Headers],[RAT Ajustado]])-2,0)*($G77-$H77)</f>
        <v>6718.76</v>
      </c>
      <c r="Y77" s="21">
        <f>VLOOKUP($A77,tabCustoUnit[],COLUMN(CUSTO_GLOBAL[[#Headers],[SEBRAE]])-2,0)*($G77-$H77)</f>
        <v>1007.814</v>
      </c>
      <c r="Z77" s="21">
        <f>VLOOKUP($A77,tabCustoUnit[],COLUMN(CUSTO_GLOBAL[[#Headers],[Submódulo 2.1]])-2,0)*($G77-$H77)</f>
        <v>63492.282000000014</v>
      </c>
      <c r="AA77" s="21">
        <f>VLOOKUP($A77,tabCustoUnit[],COLUMN(CUSTO_GLOBAL[[#Headers],[13º salário (titular)]])-2,0)*($G77-$H77)</f>
        <v>13997.416666666664</v>
      </c>
      <c r="AB77" s="21">
        <f>VLOOKUP($A77,tabCustoUnit[],COLUMN(CUSTO_GLOBAL[[#Headers],[Férias e Adicional de Férias (titular)]])-2,0)*($G77-$H77)</f>
        <v>18663.222222222219</v>
      </c>
      <c r="AC77" s="21">
        <f>VLOOKUP($A77,tabCustoUnit[],COLUMN(CUSTO_GLOBAL[[#Headers],[Incidência do Submódulo 2.1 sobre 13º Salário, Férias e Adicional de Férias]])-2,0)*($G77-$H77)</f>
        <v>12345.7215</v>
      </c>
      <c r="AD77" s="21">
        <f>VLOOKUP($A77,tabCustoUnit[],COLUMN(CUSTO_GLOBAL[[#Headers],[Submódulo 2.2]])-2,0)*($G77-$H77)</f>
        <v>45006.360388888883</v>
      </c>
      <c r="AE77" s="22" t="e">
        <f ca="1">VLOOKUP($A77,tabCustoUnit[],COLUMN(CUSTO_GLOBAL[[#Headers],[Vale - Transporte (Descontada parcela do empregado)]])-2,0)*($G77-$H77)</f>
        <v>#NAME?</v>
      </c>
      <c r="AF77" s="22">
        <f>VLOOKUP($A77,tabCustoUnit[],COLUMN(CUSTO_GLOBAL[[#Headers],[Vale - Alimentação (Descontada parcela do empregado)]])-2,0)*($G77-$H77)</f>
        <v>13386</v>
      </c>
      <c r="AG77" s="22">
        <f>VLOOKUP($A77,tabCustoUnit[],COLUMN(CUSTO_GLOBAL[[#Headers],[Cesta Básica]])-2,0)*($G77-$H77)</f>
        <v>0</v>
      </c>
      <c r="AH77" s="22">
        <f>VLOOKUP($A77,tabCustoUnit[],COLUMN(CUSTO_GLOBAL[[#Headers],[PAF]])-2,0)*($G77-$H77)</f>
        <v>2205.7000000000003</v>
      </c>
      <c r="AI77" s="22">
        <f>VLOOKUP($A77,tabCustoUnit[],COLUMN(CUSTO_GLOBAL[[#Headers],[PQM]])-2,0)*($G77-$H77)</f>
        <v>0</v>
      </c>
      <c r="AJ77" s="22">
        <v>0</v>
      </c>
      <c r="AK77" s="22">
        <f>VLOOKUP($A77,tabCustoUnit[],COLUMN(CUSTO_GLOBAL[[#Headers],[Seguro de Vida]])-2,0)*($G77-$H77)</f>
        <v>77.28</v>
      </c>
      <c r="AL77" s="22">
        <f>VLOOKUP($A77,tabCustoUnit[],COLUMN(CUSTO_GLOBAL[[#Headers],[Despesas de Viagem]])-2,0)*($G77-$H77)</f>
        <v>4647.84</v>
      </c>
      <c r="AM77" s="22" t="e">
        <f ca="1">VLOOKUP($A77,tabCustoUnit[],COLUMN(CUSTO_GLOBAL[[#Headers],[Submódulo 2.3]])-2,0)*($G77-$H77)</f>
        <v>#NAME?</v>
      </c>
      <c r="AN77" s="22" t="e">
        <f ca="1">VLOOKUP($A77,tabCustoUnit[],COLUMN(CUSTO_GLOBAL[[#Headers],[MÓDULO 2 - Total Encargos e Benefícios mensais e diários]])-2,0)*($G77-$H77)</f>
        <v>#NAME?</v>
      </c>
      <c r="AO77" s="22">
        <f>VLOOKUP($A77,tabCustoUnit[],COLUMN(CUSTO_GLOBAL[[#Headers],[Aviso Prévio Indenizado (API) e Reflexo do Aviso Prévio Indenizado]])-2,0)*($G77-$H77)</f>
        <v>1177.7594870756172</v>
      </c>
      <c r="AP77" s="22">
        <f>VLOOKUP($A77,tabCustoUnit[],COLUMN(CUSTO_GLOBAL[[#Headers],[Incidência do FGTS sobre API e Reflexo do API]])-2,0)*($G77-$H77)</f>
        <v>94.220758966049388</v>
      </c>
      <c r="AQ77" s="22">
        <f>VLOOKUP($A77,tabCustoUnit[],COLUMN(CUSTO_GLOBAL[[#Headers],[Multa Rescisória do FGTS sobre o Aviso Prévio Indenizado]])-2,0)*($G77-$H77)</f>
        <v>37.688303586419757</v>
      </c>
      <c r="AR77" s="22">
        <f>VLOOKUP($A77,tabCustoUnit[],COLUMN(CUSTO_GLOBAL[[#Headers],[Aviso Prévio Trabalhado - APT]])-2,0)*($G77-$H77)</f>
        <v>587.89150000000006</v>
      </c>
      <c r="AS77" s="22">
        <f>VLOOKUP($A77,tabCustoUnit[],COLUMN(CUSTO_GLOBAL[[#Headers],[Incidência dos encargos do submódulo 2.1 sobre Aviso Prévio Trabalhado]])-2,0)*($G77-$H77)</f>
        <v>222.22298700000007</v>
      </c>
      <c r="AT77" s="22">
        <f>VLOOKUP($A77,tabCustoUnit[],COLUMN(CUSTO_GLOBAL[[#Headers],[Multa Rescisória do FGTS]])-2,0)*($G77-$H77)</f>
        <v>5136.1187555555553</v>
      </c>
      <c r="AU77" s="22">
        <f>VLOOKUP($A77,tabCustoUnit[],COLUMN(CUSTO_GLOBAL[[#Headers],[Indenização Adicional (Art. 9º da Lei nº 7.238/84)]])-2,0)*($G77-$H77)</f>
        <v>139.97416666666666</v>
      </c>
      <c r="AV77" s="22">
        <f>VLOOKUP($A77,tabCustoUnit[],COLUMN(CUSTO_GLOBAL[[#Headers],[MÓDULO 3 – PROVISÃO PARA RESCISÃO]])-2,0)*($G77-$H77)</f>
        <v>7395.8759588503071</v>
      </c>
      <c r="AW77" s="22">
        <f>VLOOKUP($A77,tabCustoUnit[],COLUMN(CUSTO_GLOBAL[[#Headers],[Ausência por Doença]])-2,0)*($G77-$H77)</f>
        <v>1418.4048888888888</v>
      </c>
      <c r="AX77" s="22">
        <f>VLOOKUP($A77,tabCustoUnit[],COLUMN(CUSTO_GLOBAL[[#Headers],[Ausências Legais]])-2,0)*($G77-$H77)</f>
        <v>340.60380555555554</v>
      </c>
      <c r="AY77" s="22">
        <f>VLOOKUP($A77,tabCustoUnit[],COLUMN(CUSTO_GLOBAL[[#Headers],[Licença Paternidade]])-2,0)*($G77-$H77)</f>
        <v>28.694704166666664</v>
      </c>
      <c r="AZ77" s="22">
        <f>VLOOKUP($A77,tabCustoUnit[],COLUMN(CUSTO_GLOBAL[[#Headers],[Ausência por Acidente de Trabalho]])-2,0)*($G77-$H77)</f>
        <v>34.993541666666665</v>
      </c>
      <c r="BA77" s="22">
        <f>VLOOKUP($A77,tabCustoUnit[],COLUMN(CUSTO_GLOBAL[[#Headers],[Férias, Adicional de Férias e 13º  com empregada em gozo de Licença Maternidade]])-2,0)*($G77-$H77)</f>
        <v>217.73759259259259</v>
      </c>
      <c r="BB77" s="22">
        <f>VLOOKUP($A77,tabCustoUnit[],COLUMN(CUSTO_GLOBAL[[#Headers],[Incidência do Submódulo 2.1 sobre Ausências Legais]])-2,0)*($G77-$H77)</f>
        <v>771.2842534250002</v>
      </c>
      <c r="BC77" s="22">
        <f>VLOOKUP($A77,tabCustoUnit[],COLUMN(CUSTO_GLOBAL[[#Headers],[Submódulo 4.1]])-2,0)*($G77-$H77)</f>
        <v>2811.7187862953706</v>
      </c>
      <c r="BD77" s="22">
        <f>VLOOKUP($A77,tabCustoUnit[],COLUMN(CUSTO_GLOBAL[[#Headers],[Intervalo para Repouso ou Alimentação]])-2,0)*($G77-$H77)</f>
        <v>0</v>
      </c>
      <c r="BE77" s="22">
        <f>VLOOKUP($A77,tabCustoUnit[],COLUMN(CUSTO_GLOBAL[[#Headers],[Submódulo 4.2]])-2,0)*($G77-$H77)</f>
        <v>0</v>
      </c>
      <c r="BF77" s="22">
        <f>VLOOKUP($A77,tabCustoUnit[],COLUMN(CUSTO_GLOBAL[[#Headers],[Suspensão Temporária do Contrato de Trabalho]])-2,0)*($G77-$H77)</f>
        <v>0</v>
      </c>
      <c r="BG77" s="22">
        <f>VLOOKUP($A77,tabCustoUnit[],COLUMN(CUSTO_GLOBAL[[#Headers],[Submódulo 4.3]])-2,0)*($G77-$H77)</f>
        <v>0</v>
      </c>
      <c r="BH77" s="22">
        <f>VLOOKUP($A77,tabCustoUnit[],COLUMN(CUSTO_GLOBAL[[#Headers],[MÓDULO 4 – CUSTO DE REPOSIÇÃO DO PROFISSIONAL AUSENTE]])-2,0)*($G77-$H77)</f>
        <v>2811.7187862953706</v>
      </c>
      <c r="BI77" s="22">
        <f>VLOOKUP($A77,tabCustoUnit[],COLUMN(CUSTO_GLOBAL[[#Headers],[Uniformes e EPIs]])-2,0)*($G77-$H77)</f>
        <v>4102.7134683202457</v>
      </c>
      <c r="BJ77" s="22">
        <f>VLOOKUP($A77,tabCustoUnit[],COLUMN(CUSTO_GLOBAL[[#Headers],[Materiais de Consumo]])-2,0)*($G77-$H77)</f>
        <v>0</v>
      </c>
      <c r="BK77" s="22">
        <f>VLOOKUP($A77,tabCustoUnit[],COLUMN(CUSTO_GLOBAL[[#Headers],[Máquinas e Equipamentos (depreciação)]])-2,0)*($G77-$H77)</f>
        <v>0</v>
      </c>
      <c r="BL77" s="22">
        <f>VLOOKUP($A77,tabCustoUnit[],COLUMN(CUSTO_GLOBAL[[#Headers],[Produtos de Limpeza e Materiais de Higiene Pessoal]])-2,0)*($G77-$H77)</f>
        <v>0</v>
      </c>
      <c r="BM77" s="22">
        <f>VLOOKUP($A77,tabCustoUnit[],COLUMN(CUSTO_GLOBAL[[#Headers],[Outros (especificar)]])-2,0)*($G77-$H77)</f>
        <v>0</v>
      </c>
      <c r="BN77" s="22">
        <f>VLOOKUP($A77,tabCustoUnit[],COLUMN(CUSTO_GLOBAL[[#Headers],[MÓDULO 5 – INSUMOS DIVERSOS]])-2,0)*($G77-$H77)</f>
        <v>4102.7134683202457</v>
      </c>
      <c r="BO77" s="22" t="e">
        <f ca="1">VLOOKUP($A77,tabCustoUnit[],COLUMN(CUSTO_GLOBAL[[#Headers],[TOTAL MÓDULOS 1+2+3+4+5]])-2,0)*($G77-$H77)</f>
        <v>#NAME?</v>
      </c>
      <c r="BP77" s="22" t="e">
        <f ca="1">VLOOKUP($A77,tabCustoUnit[],COLUMN(CUSTO_GLOBAL[[#Headers],[Custos Indiretos]])-2,0)*($G77-$H77)</f>
        <v>#NAME?</v>
      </c>
      <c r="BQ77" s="22" t="e">
        <f ca="1">VLOOKUP($A77,tabCustoUnit[],COLUMN(CUSTO_GLOBAL[[#Headers],[Lucro]])-2,0)*($G77-$H77)</f>
        <v>#NAME?</v>
      </c>
      <c r="BR77" s="26">
        <f>VLOOKUP($A77,tabCustoUnit[],COLUMN(CUSTO_GLOBAL[[#Headers],[COFINS]])-2,0)</f>
        <v>8.8629737609329504E-2</v>
      </c>
      <c r="BS77" s="26">
        <f>VLOOKUP($A77,tabCustoUnit[],COLUMN(CUSTO_GLOBAL[[#Headers],[PIS]])-2,0)</f>
        <v>1.9241982507288629E-2</v>
      </c>
      <c r="BT77" s="28">
        <f>VLOOKUP($A77,tabCustoUnit[],COLUMN(CUSTO_GLOBAL[[#Headers],[ISS]])-2,0)</f>
        <v>0.05</v>
      </c>
      <c r="BU77" s="26">
        <f>VLOOKUP($A77,tabCustoUnit[],COLUMN(CUSTO_GLOBAL[[#Headers],[ISS (Conversão Alíquota s/ fatura)]])-2,0)</f>
        <v>5.8309037900874633E-2</v>
      </c>
      <c r="BV77" s="26">
        <f>VLOOKUP($A77,tabCustoUnit[],COLUMN(CUSTO_GLOBAL[[#Headers],[Resumo de Alíquotas (PIS+CONFINS+ISS)]])-2,0)</f>
        <v>0.14250000000000002</v>
      </c>
      <c r="BW77" s="138">
        <f>VLOOKUP($A77,tabCustoUnit[],COLUMN(CUSTO_GLOBAL[[#Headers],[PIS + COFINS + ISS (Total Conversão  Alíquota s/ Fatura)]])-2,0)</f>
        <v>0.16618075801749277</v>
      </c>
      <c r="BX77" s="22" t="e">
        <f ca="1">VLOOKUP($A77,tabCustoUnit[],COLUMN(CUSTO_GLOBAL[[#Headers],[Valor dos Tributos (ISS, PIS, CONFINS)]])-2,0)*($G77-$H77)</f>
        <v>#NAME?</v>
      </c>
      <c r="BY77" s="22" t="e">
        <f ca="1">VLOOKUP($A77,tabCustoUnit[],COLUMN(CUSTO_GLOBAL[[#Headers],[MÓDULO 6 – CUSTOS INDIRETOS, TRIBUTOS E LUCRO]])-2,0)*($G77-$H77)</f>
        <v>#NAME?</v>
      </c>
      <c r="BZ77" s="22" t="e">
        <f ca="1">VLOOKUP($A77,tabCustoUnit[],COLUMN(CUSTO_GLOBAL[[#Headers],[CUSTO TOTAL MENSAL]])-2,0)*($G77-$H77)</f>
        <v>#NAME?</v>
      </c>
      <c r="CA77" s="22" t="e">
        <f ca="1">CUSTO_GLOBAL[[#This Row],[CUSTO TOTAL MENSAL]]*12</f>
        <v>#NAME?</v>
      </c>
      <c r="CB77" s="24">
        <f>VLOOKUP($A77,tabCustoUnit[],COLUMN(CUSTO_GLOBAL[[#Headers],[ANO DA CCT]])-2,0)</f>
        <v>45658</v>
      </c>
      <c r="CC77" s="25" t="str">
        <f>VLOOKUP($A77,tabCustoUnit[],COLUMN(CUSTO_GLOBAL[[#Headers],[Nº DE PEDIDO DA CCT]])-2,0)</f>
        <v>-</v>
      </c>
      <c r="CD77" s="25" t="str">
        <f>VLOOKUP($A77,tabCustoUnit[],COLUMN(CUSTO_GLOBAL[[#Headers],[TERMO ADITIVO ALTERAÇÃO DA CCT]])-2,0)</f>
        <v>-</v>
      </c>
    </row>
    <row r="78" spans="1:82">
      <c r="A78" s="20" t="s">
        <v>1453</v>
      </c>
      <c r="B78" t="s">
        <v>1103</v>
      </c>
      <c r="C78" t="s">
        <v>371</v>
      </c>
      <c r="D78" t="s">
        <v>1035</v>
      </c>
      <c r="E78" s="20" t="s">
        <v>1090</v>
      </c>
      <c r="F78" s="20" t="s">
        <v>120</v>
      </c>
      <c r="G78" s="20">
        <v>6</v>
      </c>
      <c r="H78" s="20">
        <v>0</v>
      </c>
      <c r="I78" s="21">
        <f>VLOOKUP($A78,tabCustoUnit[],COLUMN(CUSTO_GLOBAL[[#Headers],[Salário Base]])-2,0)*($G78-$H78)</f>
        <v>43818</v>
      </c>
      <c r="J78" s="21">
        <f>VLOOKUP($A78,tabCustoUnit[],COLUMN(CUSTO_GLOBAL[[#Headers],[Adicional Periculosidade]])-2,0)*($G78-$H78)</f>
        <v>0</v>
      </c>
      <c r="K78" s="21">
        <f>VLOOKUP($A78,tabCustoUnit[],COLUMN(CUSTO_GLOBAL[[#Headers],[Adicional Insalubridade]])-2,0)*($G78-$H78)</f>
        <v>0</v>
      </c>
      <c r="L78" s="21">
        <f>VLOOKUP($A78,tabCustoUnit[],COLUMN(CUSTO_GLOBAL[[#Headers],[Adicional Noturno]])-2,0)*($G78-$H78)</f>
        <v>0</v>
      </c>
      <c r="M78" s="21">
        <f>VLOOKUP($A78,tabCustoUnit[],COLUMN(CUSTO_GLOBAL[[#Headers],[Adicional Motorista II (Gratificação)]])-2,0)*($G78-$H78)</f>
        <v>0</v>
      </c>
      <c r="N78" s="21">
        <f>VLOOKUP($A78,tabCustoUnit[],COLUMN(CUSTO_GLOBAL[[#Headers],[Adicional de Sobreaviso]])-2,0)*($G78-$H78)</f>
        <v>0</v>
      </c>
      <c r="O78" s="21">
        <f>VLOOKUP($A78,tabCustoUnit[],COLUMN(CUSTO_GLOBAL[[#Headers],[Horas Extras TI]])-2,0)*($G78-$H78)</f>
        <v>0</v>
      </c>
      <c r="P78" s="21">
        <f>VLOOKUP($A78,tabCustoUnit[],COLUMN(CUSTO_GLOBAL[[#Headers],[Adicional de Acúmulo de função]])-2,0)*($G78-$H78)</f>
        <v>0</v>
      </c>
      <c r="Q78" s="21">
        <f>VLOOKUP($A78,tabCustoUnit[],COLUMN(CUSTO_GLOBAL[[#Headers],[MODULO 1 - REMUNERAÇÃO ]])-2,0)*($G78-$H78)</f>
        <v>43818</v>
      </c>
      <c r="R78" s="21">
        <f>VLOOKUP($A78,tabCustoUnit[],COLUMN(CUSTO_GLOBAL[[#Headers],[INSS]])-2,0)*($G78-$H78)</f>
        <v>8763.6</v>
      </c>
      <c r="S78" s="21">
        <f>VLOOKUP($A78,tabCustoUnit[],COLUMN(CUSTO_GLOBAL[[#Headers],[SESI OU SESC]])-2,0)*($G78-$H78)</f>
        <v>657.27</v>
      </c>
      <c r="T78" s="21">
        <f>VLOOKUP($A78,tabCustoUnit[],COLUMN(CUSTO_GLOBAL[[#Headers],[SENAI OU SENAC]])-2,0)*($G78-$H78)</f>
        <v>438.18</v>
      </c>
      <c r="U78" s="21">
        <f>VLOOKUP($A78,tabCustoUnit[],COLUMN(CUSTO_GLOBAL[[#Headers],[INCRA]])-2,0)*($G78-$H78)</f>
        <v>87.635999999999996</v>
      </c>
      <c r="V78" s="21">
        <f>VLOOKUP($A78,tabCustoUnit[],COLUMN(CUSTO_GLOBAL[[#Headers],[Salário Educação]])-2,0)*($G78-$H78)</f>
        <v>1095.45</v>
      </c>
      <c r="W78" s="21">
        <f>VLOOKUP($A78,tabCustoUnit[],COLUMN(CUSTO_GLOBAL[[#Headers],[FGTS]])-2,0)*($G78-$H78)</f>
        <v>3505.44</v>
      </c>
      <c r="X78" s="21">
        <f>VLOOKUP($A78,tabCustoUnit[],COLUMN(CUSTO_GLOBAL[[#Headers],[RAT Ajustado]])-2,0)*($G78-$H78)</f>
        <v>1752.72</v>
      </c>
      <c r="Y78" s="21">
        <f>VLOOKUP($A78,tabCustoUnit[],COLUMN(CUSTO_GLOBAL[[#Headers],[SEBRAE]])-2,0)*($G78-$H78)</f>
        <v>262.90800000000002</v>
      </c>
      <c r="Z78" s="21">
        <f>VLOOKUP($A78,tabCustoUnit[],COLUMN(CUSTO_GLOBAL[[#Headers],[Submódulo 2.1]])-2,0)*($G78-$H78)</f>
        <v>16563.204000000005</v>
      </c>
      <c r="AA78" s="21">
        <f>VLOOKUP($A78,tabCustoUnit[],COLUMN(CUSTO_GLOBAL[[#Headers],[13º salário (titular)]])-2,0)*($G78-$H78)</f>
        <v>3651.4999999999995</v>
      </c>
      <c r="AB78" s="21">
        <f>VLOOKUP($A78,tabCustoUnit[],COLUMN(CUSTO_GLOBAL[[#Headers],[Férias e Adicional de Férias (titular)]])-2,0)*($G78-$H78)</f>
        <v>4868.6666666666661</v>
      </c>
      <c r="AC78" s="21">
        <f>VLOOKUP($A78,tabCustoUnit[],COLUMN(CUSTO_GLOBAL[[#Headers],[Incidência do Submódulo 2.1 sobre 13º Salário, Férias e Adicional de Férias]])-2,0)*($G78-$H78)</f>
        <v>3220.6229999999996</v>
      </c>
      <c r="AD78" s="21">
        <f>VLOOKUP($A78,tabCustoUnit[],COLUMN(CUSTO_GLOBAL[[#Headers],[Submódulo 2.2]])-2,0)*($G78-$H78)</f>
        <v>11740.789666666664</v>
      </c>
      <c r="AE78" s="22" t="e">
        <f ca="1">VLOOKUP($A78,tabCustoUnit[],COLUMN(CUSTO_GLOBAL[[#Headers],[Vale - Transporte (Descontada parcela do empregado)]])-2,0)*($G78-$H78)</f>
        <v>#NAME?</v>
      </c>
      <c r="AF78" s="22">
        <f>VLOOKUP($A78,tabCustoUnit[],COLUMN(CUSTO_GLOBAL[[#Headers],[Vale - Alimentação (Descontada parcela do empregado)]])-2,0)*($G78-$H78)</f>
        <v>3492</v>
      </c>
      <c r="AG78" s="22">
        <f>VLOOKUP($A78,tabCustoUnit[],COLUMN(CUSTO_GLOBAL[[#Headers],[Cesta Básica]])-2,0)*($G78-$H78)</f>
        <v>0</v>
      </c>
      <c r="AH78" s="22">
        <f>VLOOKUP($A78,tabCustoUnit[],COLUMN(CUSTO_GLOBAL[[#Headers],[PAF]])-2,0)*($G78-$H78)</f>
        <v>575.40000000000009</v>
      </c>
      <c r="AI78" s="22">
        <f>VLOOKUP($A78,tabCustoUnit[],COLUMN(CUSTO_GLOBAL[[#Headers],[PQM]])-2,0)*($G78-$H78)</f>
        <v>0</v>
      </c>
      <c r="AJ78" s="22">
        <v>0</v>
      </c>
      <c r="AK78" s="22">
        <f>VLOOKUP($A78,tabCustoUnit[],COLUMN(CUSTO_GLOBAL[[#Headers],[Seguro de Vida]])-2,0)*($G78-$H78)</f>
        <v>20.16</v>
      </c>
      <c r="AL78" s="22">
        <f>VLOOKUP($A78,tabCustoUnit[],COLUMN(CUSTO_GLOBAL[[#Headers],[Despesas de Viagem]])-2,0)*($G78-$H78)</f>
        <v>1212.48</v>
      </c>
      <c r="AM78" s="22" t="e">
        <f ca="1">VLOOKUP($A78,tabCustoUnit[],COLUMN(CUSTO_GLOBAL[[#Headers],[Submódulo 2.3]])-2,0)*($G78-$H78)</f>
        <v>#NAME?</v>
      </c>
      <c r="AN78" s="22" t="e">
        <f ca="1">VLOOKUP($A78,tabCustoUnit[],COLUMN(CUSTO_GLOBAL[[#Headers],[MÓDULO 2 - Total Encargos e Benefícios mensais e diários]])-2,0)*($G78-$H78)</f>
        <v>#NAME?</v>
      </c>
      <c r="AO78" s="22">
        <f>VLOOKUP($A78,tabCustoUnit[],COLUMN(CUSTO_GLOBAL[[#Headers],[Aviso Prévio Indenizado (API) e Reflexo do Aviso Prévio Indenizado]])-2,0)*($G78-$H78)</f>
        <v>307.24160532407404</v>
      </c>
      <c r="AP78" s="22">
        <f>VLOOKUP($A78,tabCustoUnit[],COLUMN(CUSTO_GLOBAL[[#Headers],[Incidência do FGTS sobre API e Reflexo do API]])-2,0)*($G78-$H78)</f>
        <v>24.579328425925926</v>
      </c>
      <c r="AQ78" s="22">
        <f>VLOOKUP($A78,tabCustoUnit[],COLUMN(CUSTO_GLOBAL[[#Headers],[Multa Rescisória do FGTS sobre o Aviso Prévio Indenizado]])-2,0)*($G78-$H78)</f>
        <v>9.8317313703703721</v>
      </c>
      <c r="AR78" s="22">
        <f>VLOOKUP($A78,tabCustoUnit[],COLUMN(CUSTO_GLOBAL[[#Headers],[Aviso Prévio Trabalhado - APT]])-2,0)*($G78-$H78)</f>
        <v>153.36300000000003</v>
      </c>
      <c r="AS78" s="22">
        <f>VLOOKUP($A78,tabCustoUnit[],COLUMN(CUSTO_GLOBAL[[#Headers],[Incidência dos encargos do submódulo 2.1 sobre Aviso Prévio Trabalhado]])-2,0)*($G78-$H78)</f>
        <v>57.971214000000018</v>
      </c>
      <c r="AT78" s="22">
        <f>VLOOKUP($A78,tabCustoUnit[],COLUMN(CUSTO_GLOBAL[[#Headers],[Multa Rescisória do FGTS]])-2,0)*($G78-$H78)</f>
        <v>1339.8570666666665</v>
      </c>
      <c r="AU78" s="22">
        <f>VLOOKUP($A78,tabCustoUnit[],COLUMN(CUSTO_GLOBAL[[#Headers],[Indenização Adicional (Art. 9º da Lei nº 7.238/84)]])-2,0)*($G78-$H78)</f>
        <v>36.515000000000001</v>
      </c>
      <c r="AV78" s="22">
        <f>VLOOKUP($A78,tabCustoUnit[],COLUMN(CUSTO_GLOBAL[[#Headers],[MÓDULO 3 – PROVISÃO PARA RESCISÃO]])-2,0)*($G78-$H78)</f>
        <v>1929.3589457870366</v>
      </c>
      <c r="AW78" s="22">
        <f>VLOOKUP($A78,tabCustoUnit[],COLUMN(CUSTO_GLOBAL[[#Headers],[Ausência por Doença]])-2,0)*($G78-$H78)</f>
        <v>370.01866666666666</v>
      </c>
      <c r="AX78" s="22">
        <f>VLOOKUP($A78,tabCustoUnit[],COLUMN(CUSTO_GLOBAL[[#Headers],[Ausências Legais]])-2,0)*($G78-$H78)</f>
        <v>88.853166666666652</v>
      </c>
      <c r="AY78" s="22">
        <f>VLOOKUP($A78,tabCustoUnit[],COLUMN(CUSTO_GLOBAL[[#Headers],[Licença Paternidade]])-2,0)*($G78-$H78)</f>
        <v>7.485574999999999</v>
      </c>
      <c r="AZ78" s="22">
        <f>VLOOKUP($A78,tabCustoUnit[],COLUMN(CUSTO_GLOBAL[[#Headers],[Ausência por Acidente de Trabalho]])-2,0)*($G78-$H78)</f>
        <v>9.1287500000000001</v>
      </c>
      <c r="BA78" s="22">
        <f>VLOOKUP($A78,tabCustoUnit[],COLUMN(CUSTO_GLOBAL[[#Headers],[Férias, Adicional de Férias e 13º  com empregada em gozo de Licença Maternidade]])-2,0)*($G78-$H78)</f>
        <v>56.801111111111112</v>
      </c>
      <c r="BB78" s="22">
        <f>VLOOKUP($A78,tabCustoUnit[],COLUMN(CUSTO_GLOBAL[[#Headers],[Incidência do Submódulo 2.1 sobre Ausências Legais]])-2,0)*($G78-$H78)</f>
        <v>201.20458785000005</v>
      </c>
      <c r="BC78" s="22">
        <f>VLOOKUP($A78,tabCustoUnit[],COLUMN(CUSTO_GLOBAL[[#Headers],[Submódulo 4.1]])-2,0)*($G78-$H78)</f>
        <v>733.49185729444446</v>
      </c>
      <c r="BD78" s="22">
        <f>VLOOKUP($A78,tabCustoUnit[],COLUMN(CUSTO_GLOBAL[[#Headers],[Intervalo para Repouso ou Alimentação]])-2,0)*($G78-$H78)</f>
        <v>0</v>
      </c>
      <c r="BE78" s="22">
        <f>VLOOKUP($A78,tabCustoUnit[],COLUMN(CUSTO_GLOBAL[[#Headers],[Submódulo 4.2]])-2,0)*($G78-$H78)</f>
        <v>0</v>
      </c>
      <c r="BF78" s="22">
        <f>VLOOKUP($A78,tabCustoUnit[],COLUMN(CUSTO_GLOBAL[[#Headers],[Suspensão Temporária do Contrato de Trabalho]])-2,0)*($G78-$H78)</f>
        <v>0</v>
      </c>
      <c r="BG78" s="22">
        <f>VLOOKUP($A78,tabCustoUnit[],COLUMN(CUSTO_GLOBAL[[#Headers],[Submódulo 4.3]])-2,0)*($G78-$H78)</f>
        <v>0</v>
      </c>
      <c r="BH78" s="22">
        <f>VLOOKUP($A78,tabCustoUnit[],COLUMN(CUSTO_GLOBAL[[#Headers],[MÓDULO 4 – CUSTO DE REPOSIÇÃO DO PROFISSIONAL AUSENTE]])-2,0)*($G78-$H78)</f>
        <v>733.49185729444446</v>
      </c>
      <c r="BI78" s="22">
        <f>VLOOKUP($A78,tabCustoUnit[],COLUMN(CUSTO_GLOBAL[[#Headers],[Uniformes e EPIs]])-2,0)*($G78-$H78)</f>
        <v>1052.3230786922381</v>
      </c>
      <c r="BJ78" s="22">
        <f>VLOOKUP($A78,tabCustoUnit[],COLUMN(CUSTO_GLOBAL[[#Headers],[Materiais de Consumo]])-2,0)*($G78-$H78)</f>
        <v>0</v>
      </c>
      <c r="BK78" s="22">
        <f>VLOOKUP($A78,tabCustoUnit[],COLUMN(CUSTO_GLOBAL[[#Headers],[Máquinas e Equipamentos (depreciação)]])-2,0)*($G78-$H78)</f>
        <v>0</v>
      </c>
      <c r="BL78" s="22">
        <f>VLOOKUP($A78,tabCustoUnit[],COLUMN(CUSTO_GLOBAL[[#Headers],[Produtos de Limpeza e Materiais de Higiene Pessoal]])-2,0)*($G78-$H78)</f>
        <v>0</v>
      </c>
      <c r="BM78" s="22">
        <f>VLOOKUP($A78,tabCustoUnit[],COLUMN(CUSTO_GLOBAL[[#Headers],[Outros (especificar)]])-2,0)*($G78-$H78)</f>
        <v>0</v>
      </c>
      <c r="BN78" s="22">
        <f>VLOOKUP($A78,tabCustoUnit[],COLUMN(CUSTO_GLOBAL[[#Headers],[MÓDULO 5 – INSUMOS DIVERSOS]])-2,0)*($G78-$H78)</f>
        <v>1052.3230786922381</v>
      </c>
      <c r="BO78" s="22" t="e">
        <f ca="1">VLOOKUP($A78,tabCustoUnit[],COLUMN(CUSTO_GLOBAL[[#Headers],[TOTAL MÓDULOS 1+2+3+4+5]])-2,0)*($G78-$H78)</f>
        <v>#NAME?</v>
      </c>
      <c r="BP78" s="22" t="e">
        <f ca="1">VLOOKUP($A78,tabCustoUnit[],COLUMN(CUSTO_GLOBAL[[#Headers],[Custos Indiretos]])-2,0)*($G78-$H78)</f>
        <v>#NAME?</v>
      </c>
      <c r="BQ78" s="22" t="e">
        <f ca="1">VLOOKUP($A78,tabCustoUnit[],COLUMN(CUSTO_GLOBAL[[#Headers],[Lucro]])-2,0)*($G78-$H78)</f>
        <v>#NAME?</v>
      </c>
      <c r="BR78" s="26">
        <f>VLOOKUP($A78,tabCustoUnit[],COLUMN(CUSTO_GLOBAL[[#Headers],[COFINS]])-2,0)</f>
        <v>8.8629737609329504E-2</v>
      </c>
      <c r="BS78" s="26">
        <f>VLOOKUP($A78,tabCustoUnit[],COLUMN(CUSTO_GLOBAL[[#Headers],[PIS]])-2,0)</f>
        <v>1.9241982507288629E-2</v>
      </c>
      <c r="BT78" s="28">
        <f>VLOOKUP($A78,tabCustoUnit[],COLUMN(CUSTO_GLOBAL[[#Headers],[ISS]])-2,0)</f>
        <v>0.05</v>
      </c>
      <c r="BU78" s="26">
        <f>VLOOKUP($A78,tabCustoUnit[],COLUMN(CUSTO_GLOBAL[[#Headers],[ISS (Conversão Alíquota s/ fatura)]])-2,0)</f>
        <v>5.8309037900874633E-2</v>
      </c>
      <c r="BV78" s="26">
        <f>VLOOKUP($A78,tabCustoUnit[],COLUMN(CUSTO_GLOBAL[[#Headers],[Resumo de Alíquotas (PIS+CONFINS+ISS)]])-2,0)</f>
        <v>0.14250000000000002</v>
      </c>
      <c r="BW78" s="138">
        <f>VLOOKUP($A78,tabCustoUnit[],COLUMN(CUSTO_GLOBAL[[#Headers],[PIS + COFINS + ISS (Total Conversão  Alíquota s/ Fatura)]])-2,0)</f>
        <v>0.16618075801749277</v>
      </c>
      <c r="BX78" s="22" t="e">
        <f ca="1">VLOOKUP($A78,tabCustoUnit[],COLUMN(CUSTO_GLOBAL[[#Headers],[Valor dos Tributos (ISS, PIS, CONFINS)]])-2,0)*($G78-$H78)</f>
        <v>#NAME?</v>
      </c>
      <c r="BY78" s="22" t="e">
        <f ca="1">VLOOKUP($A78,tabCustoUnit[],COLUMN(CUSTO_GLOBAL[[#Headers],[MÓDULO 6 – CUSTOS INDIRETOS, TRIBUTOS E LUCRO]])-2,0)*($G78-$H78)</f>
        <v>#NAME?</v>
      </c>
      <c r="BZ78" s="22" t="e">
        <f ca="1">VLOOKUP($A78,tabCustoUnit[],COLUMN(CUSTO_GLOBAL[[#Headers],[CUSTO TOTAL MENSAL]])-2,0)*($G78-$H78)</f>
        <v>#NAME?</v>
      </c>
      <c r="CA78" s="22" t="e">
        <f ca="1">CUSTO_GLOBAL[[#This Row],[CUSTO TOTAL MENSAL]]*12</f>
        <v>#NAME?</v>
      </c>
      <c r="CB78" s="24">
        <f>VLOOKUP($A78,tabCustoUnit[],COLUMN(CUSTO_GLOBAL[[#Headers],[ANO DA CCT]])-2,0)</f>
        <v>45658</v>
      </c>
      <c r="CC78" s="25" t="str">
        <f>VLOOKUP($A78,tabCustoUnit[],COLUMN(CUSTO_GLOBAL[[#Headers],[Nº DE PEDIDO DA CCT]])-2,0)</f>
        <v>-</v>
      </c>
      <c r="CD78" s="25" t="str">
        <f>VLOOKUP($A78,tabCustoUnit[],COLUMN(CUSTO_GLOBAL[[#Headers],[TERMO ADITIVO ALTERAÇÃO DA CCT]])-2,0)</f>
        <v>-</v>
      </c>
    </row>
    <row r="79" spans="1:82">
      <c r="A79" s="20" t="s">
        <v>1454</v>
      </c>
      <c r="B79" t="s">
        <v>1103</v>
      </c>
      <c r="C79" t="s">
        <v>1369</v>
      </c>
      <c r="D79" t="s">
        <v>1035</v>
      </c>
      <c r="E79" s="20" t="s">
        <v>1090</v>
      </c>
      <c r="F79" s="20" t="s">
        <v>120</v>
      </c>
      <c r="G79" s="20">
        <v>2</v>
      </c>
      <c r="H79" s="20">
        <v>0</v>
      </c>
      <c r="I79" s="21">
        <f>VLOOKUP($A79,tabCustoUnit[],COLUMN(CUSTO_GLOBAL[[#Headers],[Salário Base]])-2,0)*($G79-$H79)</f>
        <v>9537.32</v>
      </c>
      <c r="J79" s="21">
        <f>VLOOKUP($A79,tabCustoUnit[],COLUMN(CUSTO_GLOBAL[[#Headers],[Adicional Periculosidade]])-2,0)*($G79-$H79)</f>
        <v>0</v>
      </c>
      <c r="K79" s="21">
        <f>VLOOKUP($A79,tabCustoUnit[],COLUMN(CUSTO_GLOBAL[[#Headers],[Adicional Insalubridade]])-2,0)*($G79-$H79)</f>
        <v>0</v>
      </c>
      <c r="L79" s="21">
        <f>VLOOKUP($A79,tabCustoUnit[],COLUMN(CUSTO_GLOBAL[[#Headers],[Adicional Noturno]])-2,0)*($G79-$H79)</f>
        <v>0</v>
      </c>
      <c r="M79" s="21">
        <f>VLOOKUP($A79,tabCustoUnit[],COLUMN(CUSTO_GLOBAL[[#Headers],[Adicional Motorista II (Gratificação)]])-2,0)*($G79-$H79)</f>
        <v>0</v>
      </c>
      <c r="N79" s="21">
        <f>VLOOKUP($A79,tabCustoUnit[],COLUMN(CUSTO_GLOBAL[[#Headers],[Adicional de Sobreaviso]])-2,0)*($G79-$H79)</f>
        <v>0</v>
      </c>
      <c r="O79" s="21">
        <f>VLOOKUP($A79,tabCustoUnit[],COLUMN(CUSTO_GLOBAL[[#Headers],[Horas Extras TI]])-2,0)*($G79-$H79)</f>
        <v>0</v>
      </c>
      <c r="P79" s="21">
        <f>VLOOKUP($A79,tabCustoUnit[],COLUMN(CUSTO_GLOBAL[[#Headers],[Adicional de Acúmulo de função]])-2,0)*($G79-$H79)</f>
        <v>0</v>
      </c>
      <c r="Q79" s="21">
        <f>VLOOKUP($A79,tabCustoUnit[],COLUMN(CUSTO_GLOBAL[[#Headers],[MODULO 1 - REMUNERAÇÃO ]])-2,0)*($G79-$H79)</f>
        <v>9537.32</v>
      </c>
      <c r="R79" s="21">
        <f>VLOOKUP($A79,tabCustoUnit[],COLUMN(CUSTO_GLOBAL[[#Headers],[INSS]])-2,0)*($G79-$H79)</f>
        <v>1907.4639999999999</v>
      </c>
      <c r="S79" s="21">
        <f>VLOOKUP($A79,tabCustoUnit[],COLUMN(CUSTO_GLOBAL[[#Headers],[SESI OU SESC]])-2,0)*($G79-$H79)</f>
        <v>143.0598</v>
      </c>
      <c r="T79" s="21">
        <f>VLOOKUP($A79,tabCustoUnit[],COLUMN(CUSTO_GLOBAL[[#Headers],[SENAI OU SENAC]])-2,0)*($G79-$H79)</f>
        <v>95.373199999999997</v>
      </c>
      <c r="U79" s="21">
        <f>VLOOKUP($A79,tabCustoUnit[],COLUMN(CUSTO_GLOBAL[[#Headers],[INCRA]])-2,0)*($G79-$H79)</f>
        <v>19.074639999999999</v>
      </c>
      <c r="V79" s="21">
        <f>VLOOKUP($A79,tabCustoUnit[],COLUMN(CUSTO_GLOBAL[[#Headers],[Salário Educação]])-2,0)*($G79-$H79)</f>
        <v>238.43299999999999</v>
      </c>
      <c r="W79" s="21">
        <f>VLOOKUP($A79,tabCustoUnit[],COLUMN(CUSTO_GLOBAL[[#Headers],[FGTS]])-2,0)*($G79-$H79)</f>
        <v>762.98559999999998</v>
      </c>
      <c r="X79" s="21">
        <f>VLOOKUP($A79,tabCustoUnit[],COLUMN(CUSTO_GLOBAL[[#Headers],[RAT Ajustado]])-2,0)*($G79-$H79)</f>
        <v>381.49279999999999</v>
      </c>
      <c r="Y79" s="21">
        <f>VLOOKUP($A79,tabCustoUnit[],COLUMN(CUSTO_GLOBAL[[#Headers],[SEBRAE]])-2,0)*($G79-$H79)</f>
        <v>57.22392</v>
      </c>
      <c r="Z79" s="21">
        <f>VLOOKUP($A79,tabCustoUnit[],COLUMN(CUSTO_GLOBAL[[#Headers],[Submódulo 2.1]])-2,0)*($G79-$H79)</f>
        <v>3605.1069599999996</v>
      </c>
      <c r="AA79" s="21">
        <f>VLOOKUP($A79,tabCustoUnit[],COLUMN(CUSTO_GLOBAL[[#Headers],[13º salário (titular)]])-2,0)*($G79-$H79)</f>
        <v>794.77666666666664</v>
      </c>
      <c r="AB79" s="21">
        <f>VLOOKUP($A79,tabCustoUnit[],COLUMN(CUSTO_GLOBAL[[#Headers],[Férias e Adicional de Férias (titular)]])-2,0)*($G79-$H79)</f>
        <v>1059.7022222222222</v>
      </c>
      <c r="AC79" s="21">
        <f>VLOOKUP($A79,tabCustoUnit[],COLUMN(CUSTO_GLOBAL[[#Headers],[Incidência do Submódulo 2.1 sobre 13º Salário, Férias e Adicional de Férias]])-2,0)*($G79-$H79)</f>
        <v>700.99301999999989</v>
      </c>
      <c r="AD79" s="21">
        <f>VLOOKUP($A79,tabCustoUnit[],COLUMN(CUSTO_GLOBAL[[#Headers],[Submódulo 2.2]])-2,0)*($G79-$H79)</f>
        <v>2555.4719088888887</v>
      </c>
      <c r="AE79" s="22" t="e">
        <f ca="1">VLOOKUP($A79,tabCustoUnit[],COLUMN(CUSTO_GLOBAL[[#Headers],[Vale - Transporte (Descontada parcela do empregado)]])-2,0)*($G79-$H79)</f>
        <v>#NAME?</v>
      </c>
      <c r="AF79" s="22">
        <f>VLOOKUP($A79,tabCustoUnit[],COLUMN(CUSTO_GLOBAL[[#Headers],[Vale - Alimentação (Descontada parcela do empregado)]])-2,0)*($G79-$H79)</f>
        <v>1164</v>
      </c>
      <c r="AG79" s="22">
        <f>VLOOKUP($A79,tabCustoUnit[],COLUMN(CUSTO_GLOBAL[[#Headers],[Cesta Básica]])-2,0)*($G79-$H79)</f>
        <v>0</v>
      </c>
      <c r="AH79" s="22">
        <f>VLOOKUP($A79,tabCustoUnit[],COLUMN(CUSTO_GLOBAL[[#Headers],[PAF]])-2,0)*($G79-$H79)</f>
        <v>191.8</v>
      </c>
      <c r="AI79" s="22">
        <f>VLOOKUP($A79,tabCustoUnit[],COLUMN(CUSTO_GLOBAL[[#Headers],[PQM]])-2,0)*($G79-$H79)</f>
        <v>0</v>
      </c>
      <c r="AJ79" s="22">
        <v>0</v>
      </c>
      <c r="AK79" s="22">
        <f>VLOOKUP($A79,tabCustoUnit[],COLUMN(CUSTO_GLOBAL[[#Headers],[Seguro de Vida]])-2,0)*($G79-$H79)</f>
        <v>6.72</v>
      </c>
      <c r="AL79" s="22">
        <f>VLOOKUP($A79,tabCustoUnit[],COLUMN(CUSTO_GLOBAL[[#Headers],[Despesas de Viagem]])-2,0)*($G79-$H79)</f>
        <v>404.16</v>
      </c>
      <c r="AM79" s="22" t="e">
        <f ca="1">VLOOKUP($A79,tabCustoUnit[],COLUMN(CUSTO_GLOBAL[[#Headers],[Submódulo 2.3]])-2,0)*($G79-$H79)</f>
        <v>#NAME?</v>
      </c>
      <c r="AN79" s="22" t="e">
        <f ca="1">VLOOKUP($A79,tabCustoUnit[],COLUMN(CUSTO_GLOBAL[[#Headers],[MÓDULO 2 - Total Encargos e Benefícios mensais e diários]])-2,0)*($G79-$H79)</f>
        <v>#NAME?</v>
      </c>
      <c r="AO79" s="22">
        <f>VLOOKUP($A79,tabCustoUnit[],COLUMN(CUSTO_GLOBAL[[#Headers],[Aviso Prévio Indenizado (API) e Reflexo do Aviso Prévio Indenizado]])-2,0)*($G79-$H79)</f>
        <v>66.873465408950622</v>
      </c>
      <c r="AP79" s="22">
        <f>VLOOKUP($A79,tabCustoUnit[],COLUMN(CUSTO_GLOBAL[[#Headers],[Incidência do FGTS sobre API e Reflexo do API]])-2,0)*($G79-$H79)</f>
        <v>5.3498772327160493</v>
      </c>
      <c r="AQ79" s="22">
        <f>VLOOKUP($A79,tabCustoUnit[],COLUMN(CUSTO_GLOBAL[[#Headers],[Multa Rescisória do FGTS sobre o Aviso Prévio Indenizado]])-2,0)*($G79-$H79)</f>
        <v>2.1399508930864202</v>
      </c>
      <c r="AR79" s="22">
        <f>VLOOKUP($A79,tabCustoUnit[],COLUMN(CUSTO_GLOBAL[[#Headers],[Aviso Prévio Trabalhado - APT]])-2,0)*($G79-$H79)</f>
        <v>33.38062</v>
      </c>
      <c r="AS79" s="22">
        <f>VLOOKUP($A79,tabCustoUnit[],COLUMN(CUSTO_GLOBAL[[#Headers],[Incidência dos encargos do submódulo 2.1 sobre Aviso Prévio Trabalhado]])-2,0)*($G79-$H79)</f>
        <v>12.617874360000004</v>
      </c>
      <c r="AT79" s="22">
        <f>VLOOKUP($A79,tabCustoUnit[],COLUMN(CUSTO_GLOBAL[[#Headers],[Multa Rescisória do FGTS]])-2,0)*($G79-$H79)</f>
        <v>291.6300515555555</v>
      </c>
      <c r="AU79" s="22">
        <f>VLOOKUP($A79,tabCustoUnit[],COLUMN(CUSTO_GLOBAL[[#Headers],[Indenização Adicional (Art. 9º da Lei nº 7.238/84)]])-2,0)*($G79-$H79)</f>
        <v>7.9477666666666673</v>
      </c>
      <c r="AV79" s="22">
        <f>VLOOKUP($A79,tabCustoUnit[],COLUMN(CUSTO_GLOBAL[[#Headers],[MÓDULO 3 – PROVISÃO PARA RESCISÃO]])-2,0)*($G79-$H79)</f>
        <v>419.93960611697526</v>
      </c>
      <c r="AW79" s="22">
        <f>VLOOKUP($A79,tabCustoUnit[],COLUMN(CUSTO_GLOBAL[[#Headers],[Ausência por Doença]])-2,0)*($G79-$H79)</f>
        <v>80.537368888888878</v>
      </c>
      <c r="AX79" s="22">
        <f>VLOOKUP($A79,tabCustoUnit[],COLUMN(CUSTO_GLOBAL[[#Headers],[Ausências Legais]])-2,0)*($G79-$H79)</f>
        <v>19.339565555555552</v>
      </c>
      <c r="AY79" s="22">
        <f>VLOOKUP($A79,tabCustoUnit[],COLUMN(CUSTO_GLOBAL[[#Headers],[Licença Paternidade]])-2,0)*($G79-$H79)</f>
        <v>1.6292921666666667</v>
      </c>
      <c r="AZ79" s="22">
        <f>VLOOKUP($A79,tabCustoUnit[],COLUMN(CUSTO_GLOBAL[[#Headers],[Ausência por Acidente de Trabalho]])-2,0)*($G79-$H79)</f>
        <v>1.9869416666666668</v>
      </c>
      <c r="BA79" s="22">
        <f>VLOOKUP($A79,tabCustoUnit[],COLUMN(CUSTO_GLOBAL[[#Headers],[Férias, Adicional de Férias e 13º  com empregada em gozo de Licença Maternidade]])-2,0)*($G79-$H79)</f>
        <v>12.363192592592592</v>
      </c>
      <c r="BB79" s="22">
        <f>VLOOKUP($A79,tabCustoUnit[],COLUMN(CUSTO_GLOBAL[[#Headers],[Incidência do Submódulo 2.1 sobre Ausências Legais]])-2,0)*($G79-$H79)</f>
        <v>43.793704409000007</v>
      </c>
      <c r="BC79" s="22">
        <f>VLOOKUP($A79,tabCustoUnit[],COLUMN(CUSTO_GLOBAL[[#Headers],[Submódulo 4.1]])-2,0)*($G79-$H79)</f>
        <v>159.65006527937038</v>
      </c>
      <c r="BD79" s="22">
        <f>VLOOKUP($A79,tabCustoUnit[],COLUMN(CUSTO_GLOBAL[[#Headers],[Intervalo para Repouso ou Alimentação]])-2,0)*($G79-$H79)</f>
        <v>1055.9175714285714</v>
      </c>
      <c r="BE79" s="22">
        <f>VLOOKUP($A79,tabCustoUnit[],COLUMN(CUSTO_GLOBAL[[#Headers],[Submódulo 4.2]])-2,0)*($G79-$H79)</f>
        <v>1055.9175714285714</v>
      </c>
      <c r="BF79" s="22">
        <f>VLOOKUP($A79,tabCustoUnit[],COLUMN(CUSTO_GLOBAL[[#Headers],[Suspensão Temporária do Contrato de Trabalho]])-2,0)*($G79-$H79)</f>
        <v>0</v>
      </c>
      <c r="BG79" s="22">
        <f>VLOOKUP($A79,tabCustoUnit[],COLUMN(CUSTO_GLOBAL[[#Headers],[Submódulo 4.3]])-2,0)*($G79-$H79)</f>
        <v>0</v>
      </c>
      <c r="BH79" s="22">
        <f>VLOOKUP($A79,tabCustoUnit[],COLUMN(CUSTO_GLOBAL[[#Headers],[MÓDULO 4 – CUSTO DE REPOSIÇÃO DO PROFISSIONAL AUSENTE]])-2,0)*($G79-$H79)</f>
        <v>1215.5676367079418</v>
      </c>
      <c r="BI79" s="22">
        <f>VLOOKUP($A79,tabCustoUnit[],COLUMN(CUSTO_GLOBAL[[#Headers],[Uniformes e EPIs]])-2,0)*($G79-$H79)</f>
        <v>181.56935956407941</v>
      </c>
      <c r="BJ79" s="22">
        <f>VLOOKUP($A79,tabCustoUnit[],COLUMN(CUSTO_GLOBAL[[#Headers],[Materiais de Consumo]])-2,0)*($G79-$H79)</f>
        <v>0</v>
      </c>
      <c r="BK79" s="22">
        <f>VLOOKUP($A79,tabCustoUnit[],COLUMN(CUSTO_GLOBAL[[#Headers],[Máquinas e Equipamentos (depreciação)]])-2,0)*($G79-$H79)</f>
        <v>0</v>
      </c>
      <c r="BL79" s="22">
        <f>VLOOKUP($A79,tabCustoUnit[],COLUMN(CUSTO_GLOBAL[[#Headers],[Produtos de Limpeza e Materiais de Higiene Pessoal]])-2,0)*($G79-$H79)</f>
        <v>0</v>
      </c>
      <c r="BM79" s="22">
        <f>VLOOKUP($A79,tabCustoUnit[],COLUMN(CUSTO_GLOBAL[[#Headers],[Outros (especificar)]])-2,0)*($G79-$H79)</f>
        <v>0</v>
      </c>
      <c r="BN79" s="22">
        <f>VLOOKUP($A79,tabCustoUnit[],COLUMN(CUSTO_GLOBAL[[#Headers],[MÓDULO 5 – INSUMOS DIVERSOS]])-2,0)*($G79-$H79)</f>
        <v>181.56935956407941</v>
      </c>
      <c r="BO79" s="22" t="e">
        <f ca="1">VLOOKUP($A79,tabCustoUnit[],COLUMN(CUSTO_GLOBAL[[#Headers],[TOTAL MÓDULOS 1+2+3+4+5]])-2,0)*($G79-$H79)</f>
        <v>#NAME?</v>
      </c>
      <c r="BP79" s="22" t="e">
        <f ca="1">VLOOKUP($A79,tabCustoUnit[],COLUMN(CUSTO_GLOBAL[[#Headers],[Custos Indiretos]])-2,0)*($G79-$H79)</f>
        <v>#NAME?</v>
      </c>
      <c r="BQ79" s="22" t="e">
        <f ca="1">VLOOKUP($A79,tabCustoUnit[],COLUMN(CUSTO_GLOBAL[[#Headers],[Lucro]])-2,0)*($G79-$H79)</f>
        <v>#NAME?</v>
      </c>
      <c r="BR79" s="26">
        <f>VLOOKUP($A79,tabCustoUnit[],COLUMN(CUSTO_GLOBAL[[#Headers],[COFINS]])-2,0)</f>
        <v>8.8629737609329504E-2</v>
      </c>
      <c r="BS79" s="26">
        <f>VLOOKUP($A79,tabCustoUnit[],COLUMN(CUSTO_GLOBAL[[#Headers],[PIS]])-2,0)</f>
        <v>1.9241982507288629E-2</v>
      </c>
      <c r="BT79" s="28">
        <f>VLOOKUP($A79,tabCustoUnit[],COLUMN(CUSTO_GLOBAL[[#Headers],[ISS]])-2,0)</f>
        <v>0.05</v>
      </c>
      <c r="BU79" s="26">
        <f>VLOOKUP($A79,tabCustoUnit[],COLUMN(CUSTO_GLOBAL[[#Headers],[ISS (Conversão Alíquota s/ fatura)]])-2,0)</f>
        <v>5.8309037900874633E-2</v>
      </c>
      <c r="BV79" s="26">
        <f>VLOOKUP($A79,tabCustoUnit[],COLUMN(CUSTO_GLOBAL[[#Headers],[Resumo de Alíquotas (PIS+CONFINS+ISS)]])-2,0)</f>
        <v>0.14250000000000002</v>
      </c>
      <c r="BW79" s="138">
        <f>VLOOKUP($A79,tabCustoUnit[],COLUMN(CUSTO_GLOBAL[[#Headers],[PIS + COFINS + ISS (Total Conversão  Alíquota s/ Fatura)]])-2,0)</f>
        <v>0.16618075801749277</v>
      </c>
      <c r="BX79" s="22" t="e">
        <f ca="1">VLOOKUP($A79,tabCustoUnit[],COLUMN(CUSTO_GLOBAL[[#Headers],[Valor dos Tributos (ISS, PIS, CONFINS)]])-2,0)*($G79-$H79)</f>
        <v>#NAME?</v>
      </c>
      <c r="BY79" s="22" t="e">
        <f ca="1">VLOOKUP($A79,tabCustoUnit[],COLUMN(CUSTO_GLOBAL[[#Headers],[MÓDULO 6 – CUSTOS INDIRETOS, TRIBUTOS E LUCRO]])-2,0)*($G79-$H79)</f>
        <v>#NAME?</v>
      </c>
      <c r="BZ79" s="22" t="e">
        <f ca="1">VLOOKUP($A79,tabCustoUnit[],COLUMN(CUSTO_GLOBAL[[#Headers],[CUSTO TOTAL MENSAL]])-2,0)*($G79-$H79)</f>
        <v>#NAME?</v>
      </c>
      <c r="CA79" s="22" t="e">
        <f ca="1">CUSTO_GLOBAL[[#This Row],[CUSTO TOTAL MENSAL]]*12</f>
        <v>#NAME?</v>
      </c>
      <c r="CB79" s="24">
        <f>VLOOKUP($A79,tabCustoUnit[],COLUMN(CUSTO_GLOBAL[[#Headers],[ANO DA CCT]])-2,0)</f>
        <v>45658</v>
      </c>
      <c r="CC79" s="25" t="str">
        <f>VLOOKUP($A79,tabCustoUnit[],COLUMN(CUSTO_GLOBAL[[#Headers],[Nº DE PEDIDO DA CCT]])-2,0)</f>
        <v>-</v>
      </c>
      <c r="CD79" s="25" t="str">
        <f>VLOOKUP($A79,tabCustoUnit[],COLUMN(CUSTO_GLOBAL[[#Headers],[TERMO ADITIVO ALTERAÇÃO DA CCT]])-2,0)</f>
        <v>-</v>
      </c>
    </row>
    <row r="80" spans="1:82">
      <c r="A80" s="20" t="s">
        <v>1455</v>
      </c>
      <c r="B80" t="s">
        <v>1103</v>
      </c>
      <c r="C80" t="s">
        <v>1523</v>
      </c>
      <c r="D80" t="s">
        <v>1035</v>
      </c>
      <c r="E80" s="20" t="s">
        <v>1090</v>
      </c>
      <c r="F80" s="20" t="s">
        <v>120</v>
      </c>
      <c r="G80" s="20">
        <v>2</v>
      </c>
      <c r="H80" s="20">
        <v>0</v>
      </c>
      <c r="I80" s="21">
        <f>VLOOKUP($A80,tabCustoUnit[],COLUMN(CUSTO_GLOBAL[[#Headers],[Salário Base]])-2,0)*($G80-$H80)</f>
        <v>9537.32</v>
      </c>
      <c r="J80" s="21">
        <f>VLOOKUP($A80,tabCustoUnit[],COLUMN(CUSTO_GLOBAL[[#Headers],[Adicional Periculosidade]])-2,0)*($G80-$H80)</f>
        <v>0</v>
      </c>
      <c r="K80" s="21">
        <f>VLOOKUP($A80,tabCustoUnit[],COLUMN(CUSTO_GLOBAL[[#Headers],[Adicional Insalubridade]])-2,0)*($G80-$H80)</f>
        <v>0</v>
      </c>
      <c r="L80" s="21">
        <f>VLOOKUP($A80,tabCustoUnit[],COLUMN(CUSTO_GLOBAL[[#Headers],[Adicional Noturno]])-2,0)*($G80-$H80)</f>
        <v>1921.77</v>
      </c>
      <c r="M80" s="21">
        <f>VLOOKUP($A80,tabCustoUnit[],COLUMN(CUSTO_GLOBAL[[#Headers],[Adicional Motorista II (Gratificação)]])-2,0)*($G80-$H80)</f>
        <v>0</v>
      </c>
      <c r="N80" s="21">
        <f>VLOOKUP($A80,tabCustoUnit[],COLUMN(CUSTO_GLOBAL[[#Headers],[Adicional de Sobreaviso]])-2,0)*($G80-$H80)</f>
        <v>0</v>
      </c>
      <c r="O80" s="21">
        <f>VLOOKUP($A80,tabCustoUnit[],COLUMN(CUSTO_GLOBAL[[#Headers],[Horas Extras TI]])-2,0)*($G80-$H80)</f>
        <v>0</v>
      </c>
      <c r="P80" s="21">
        <f>VLOOKUP($A80,tabCustoUnit[],COLUMN(CUSTO_GLOBAL[[#Headers],[Adicional de Acúmulo de função]])-2,0)*($G80-$H80)</f>
        <v>0</v>
      </c>
      <c r="Q80" s="21">
        <f>VLOOKUP($A80,tabCustoUnit[],COLUMN(CUSTO_GLOBAL[[#Headers],[MODULO 1 - REMUNERAÇÃO ]])-2,0)*($G80-$H80)</f>
        <v>11459.09</v>
      </c>
      <c r="R80" s="21">
        <f>VLOOKUP($A80,tabCustoUnit[],COLUMN(CUSTO_GLOBAL[[#Headers],[INSS]])-2,0)*($G80-$H80)</f>
        <v>2291.8180000000002</v>
      </c>
      <c r="S80" s="21">
        <f>VLOOKUP($A80,tabCustoUnit[],COLUMN(CUSTO_GLOBAL[[#Headers],[SESI OU SESC]])-2,0)*($G80-$H80)</f>
        <v>171.88634999999999</v>
      </c>
      <c r="T80" s="21">
        <f>VLOOKUP($A80,tabCustoUnit[],COLUMN(CUSTO_GLOBAL[[#Headers],[SENAI OU SENAC]])-2,0)*($G80-$H80)</f>
        <v>114.5909</v>
      </c>
      <c r="U80" s="21">
        <f>VLOOKUP($A80,tabCustoUnit[],COLUMN(CUSTO_GLOBAL[[#Headers],[INCRA]])-2,0)*($G80-$H80)</f>
        <v>22.91818</v>
      </c>
      <c r="V80" s="21">
        <f>VLOOKUP($A80,tabCustoUnit[],COLUMN(CUSTO_GLOBAL[[#Headers],[Salário Educação]])-2,0)*($G80-$H80)</f>
        <v>286.47725000000003</v>
      </c>
      <c r="W80" s="21">
        <f>VLOOKUP($A80,tabCustoUnit[],COLUMN(CUSTO_GLOBAL[[#Headers],[FGTS]])-2,0)*($G80-$H80)</f>
        <v>916.72720000000004</v>
      </c>
      <c r="X80" s="21">
        <f>VLOOKUP($A80,tabCustoUnit[],COLUMN(CUSTO_GLOBAL[[#Headers],[RAT Ajustado]])-2,0)*($G80-$H80)</f>
        <v>458.36360000000002</v>
      </c>
      <c r="Y80" s="21">
        <f>VLOOKUP($A80,tabCustoUnit[],COLUMN(CUSTO_GLOBAL[[#Headers],[SEBRAE]])-2,0)*($G80-$H80)</f>
        <v>68.754540000000006</v>
      </c>
      <c r="Z80" s="21">
        <f>VLOOKUP($A80,tabCustoUnit[],COLUMN(CUSTO_GLOBAL[[#Headers],[Submódulo 2.1]])-2,0)*($G80-$H80)</f>
        <v>4331.5360199999996</v>
      </c>
      <c r="AA80" s="21">
        <f>VLOOKUP($A80,tabCustoUnit[],COLUMN(CUSTO_GLOBAL[[#Headers],[13º salário (titular)]])-2,0)*($G80-$H80)</f>
        <v>954.92416666666668</v>
      </c>
      <c r="AB80" s="21">
        <f>VLOOKUP($A80,tabCustoUnit[],COLUMN(CUSTO_GLOBAL[[#Headers],[Férias e Adicional de Férias (titular)]])-2,0)*($G80-$H80)</f>
        <v>1273.2322222222222</v>
      </c>
      <c r="AC80" s="21">
        <f>VLOOKUP($A80,tabCustoUnit[],COLUMN(CUSTO_GLOBAL[[#Headers],[Incidência do Submódulo 2.1 sobre 13º Salário, Férias e Adicional de Férias]])-2,0)*($G80-$H80)</f>
        <v>842.24311499999976</v>
      </c>
      <c r="AD80" s="21">
        <f>VLOOKUP($A80,tabCustoUnit[],COLUMN(CUSTO_GLOBAL[[#Headers],[Submódulo 2.2]])-2,0)*($G80-$H80)</f>
        <v>3070.3995038888884</v>
      </c>
      <c r="AE80" s="22" t="e">
        <f ca="1">VLOOKUP($A80,tabCustoUnit[],COLUMN(CUSTO_GLOBAL[[#Headers],[Vale - Transporte (Descontada parcela do empregado)]])-2,0)*($G80-$H80)</f>
        <v>#NAME?</v>
      </c>
      <c r="AF80" s="22">
        <f>VLOOKUP($A80,tabCustoUnit[],COLUMN(CUSTO_GLOBAL[[#Headers],[Vale - Alimentação (Descontada parcela do empregado)]])-2,0)*($G80-$H80)</f>
        <v>1164</v>
      </c>
      <c r="AG80" s="22">
        <f>VLOOKUP($A80,tabCustoUnit[],COLUMN(CUSTO_GLOBAL[[#Headers],[Cesta Básica]])-2,0)*($G80-$H80)</f>
        <v>0</v>
      </c>
      <c r="AH80" s="22">
        <f>VLOOKUP($A80,tabCustoUnit[],COLUMN(CUSTO_GLOBAL[[#Headers],[PAF]])-2,0)*($G80-$H80)</f>
        <v>191.8</v>
      </c>
      <c r="AI80" s="22">
        <f>VLOOKUP($A80,tabCustoUnit[],COLUMN(CUSTO_GLOBAL[[#Headers],[PQM]])-2,0)*($G80-$H80)</f>
        <v>0</v>
      </c>
      <c r="AJ80" s="22">
        <v>0</v>
      </c>
      <c r="AK80" s="22">
        <f>VLOOKUP($A80,tabCustoUnit[],COLUMN(CUSTO_GLOBAL[[#Headers],[Seguro de Vida]])-2,0)*($G80-$H80)</f>
        <v>6.72</v>
      </c>
      <c r="AL80" s="22">
        <f>VLOOKUP($A80,tabCustoUnit[],COLUMN(CUSTO_GLOBAL[[#Headers],[Despesas de Viagem]])-2,0)*($G80-$H80)</f>
        <v>404.16</v>
      </c>
      <c r="AM80" s="22" t="e">
        <f ca="1">VLOOKUP($A80,tabCustoUnit[],COLUMN(CUSTO_GLOBAL[[#Headers],[Submódulo 2.3]])-2,0)*($G80-$H80)</f>
        <v>#NAME?</v>
      </c>
      <c r="AN80" s="22" t="e">
        <f ca="1">VLOOKUP($A80,tabCustoUnit[],COLUMN(CUSTO_GLOBAL[[#Headers],[MÓDULO 2 - Total Encargos e Benefícios mensais e diários]])-2,0)*($G80-$H80)</f>
        <v>#NAME?</v>
      </c>
      <c r="AO80" s="22">
        <f>VLOOKUP($A80,tabCustoUnit[],COLUMN(CUSTO_GLOBAL[[#Headers],[Aviso Prévio Indenizado (API) e Reflexo do Aviso Prévio Indenizado]])-2,0)*($G80-$H80)</f>
        <v>80.348468829089512</v>
      </c>
      <c r="AP80" s="22">
        <f>VLOOKUP($A80,tabCustoUnit[],COLUMN(CUSTO_GLOBAL[[#Headers],[Incidência do FGTS sobre API e Reflexo do API]])-2,0)*($G80-$H80)</f>
        <v>6.4278775063271612</v>
      </c>
      <c r="AQ80" s="22">
        <f>VLOOKUP($A80,tabCustoUnit[],COLUMN(CUSTO_GLOBAL[[#Headers],[Multa Rescisória do FGTS sobre o Aviso Prévio Indenizado]])-2,0)*($G80-$H80)</f>
        <v>2.5711510025308648</v>
      </c>
      <c r="AR80" s="22">
        <f>VLOOKUP($A80,tabCustoUnit[],COLUMN(CUSTO_GLOBAL[[#Headers],[Aviso Prévio Trabalhado - APT]])-2,0)*($G80-$H80)</f>
        <v>40.106815000000005</v>
      </c>
      <c r="AS80" s="22">
        <f>VLOOKUP($A80,tabCustoUnit[],COLUMN(CUSTO_GLOBAL[[#Headers],[Incidência dos encargos do submódulo 2.1 sobre Aviso Prévio Trabalhado]])-2,0)*($G80-$H80)</f>
        <v>15.160376070000005</v>
      </c>
      <c r="AT80" s="22">
        <f>VLOOKUP($A80,tabCustoUnit[],COLUMN(CUSTO_GLOBAL[[#Headers],[Multa Rescisória do FGTS]])-2,0)*($G80-$H80)</f>
        <v>350.39350755555552</v>
      </c>
      <c r="AU80" s="22">
        <f>VLOOKUP($A80,tabCustoUnit[],COLUMN(CUSTO_GLOBAL[[#Headers],[Indenização Adicional (Art. 9º da Lei nº 7.238/84)]])-2,0)*($G80-$H80)</f>
        <v>9.5492416666666671</v>
      </c>
      <c r="AV80" s="22">
        <f>VLOOKUP($A80,tabCustoUnit[],COLUMN(CUSTO_GLOBAL[[#Headers],[MÓDULO 3 – PROVISÃO PARA RESCISÃO]])-2,0)*($G80-$H80)</f>
        <v>504.55743763016977</v>
      </c>
      <c r="AW80" s="22">
        <f>VLOOKUP($A80,tabCustoUnit[],COLUMN(CUSTO_GLOBAL[[#Headers],[Ausência por Doença]])-2,0)*($G80-$H80)</f>
        <v>96.765648888888876</v>
      </c>
      <c r="AX80" s="22">
        <f>VLOOKUP($A80,tabCustoUnit[],COLUMN(CUSTO_GLOBAL[[#Headers],[Ausências Legais]])-2,0)*($G80-$H80)</f>
        <v>23.236488055555554</v>
      </c>
      <c r="AY80" s="22">
        <f>VLOOKUP($A80,tabCustoUnit[],COLUMN(CUSTO_GLOBAL[[#Headers],[Licença Paternidade]])-2,0)*($G80-$H80)</f>
        <v>1.9575945416666667</v>
      </c>
      <c r="AZ80" s="22">
        <f>VLOOKUP($A80,tabCustoUnit[],COLUMN(CUSTO_GLOBAL[[#Headers],[Ausência por Acidente de Trabalho]])-2,0)*($G80-$H80)</f>
        <v>2.3873104166666668</v>
      </c>
      <c r="BA80" s="22">
        <f>VLOOKUP($A80,tabCustoUnit[],COLUMN(CUSTO_GLOBAL[[#Headers],[Férias, Adicional de Férias e 13º  com empregada em gozo de Licença Maternidade]])-2,0)*($G80-$H80)</f>
        <v>14.854375925925925</v>
      </c>
      <c r="BB80" s="22">
        <f>VLOOKUP($A80,tabCustoUnit[],COLUMN(CUSTO_GLOBAL[[#Headers],[Incidência do Submódulo 2.1 sobre Ausências Legais]])-2,0)*($G80-$H80)</f>
        <v>52.61813593925001</v>
      </c>
      <c r="BC80" s="22">
        <f>VLOOKUP($A80,tabCustoUnit[],COLUMN(CUSTO_GLOBAL[[#Headers],[Submódulo 4.1]])-2,0)*($G80-$H80)</f>
        <v>191.81955376795369</v>
      </c>
      <c r="BD80" s="22">
        <f>VLOOKUP($A80,tabCustoUnit[],COLUMN(CUSTO_GLOBAL[[#Headers],[Intervalo para Repouso ou Alimentação]])-2,0)*($G80-$H80)</f>
        <v>1268.6849620714283</v>
      </c>
      <c r="BE80" s="22">
        <f>VLOOKUP($A80,tabCustoUnit[],COLUMN(CUSTO_GLOBAL[[#Headers],[Submódulo 4.2]])-2,0)*($G80-$H80)</f>
        <v>1268.6849620714283</v>
      </c>
      <c r="BF80" s="22">
        <f>VLOOKUP($A80,tabCustoUnit[],COLUMN(CUSTO_GLOBAL[[#Headers],[Suspensão Temporária do Contrato de Trabalho]])-2,0)*($G80-$H80)</f>
        <v>0</v>
      </c>
      <c r="BG80" s="22">
        <f>VLOOKUP($A80,tabCustoUnit[],COLUMN(CUSTO_GLOBAL[[#Headers],[Submódulo 4.3]])-2,0)*($G80-$H80)</f>
        <v>0</v>
      </c>
      <c r="BH80" s="22">
        <f>VLOOKUP($A80,tabCustoUnit[],COLUMN(CUSTO_GLOBAL[[#Headers],[MÓDULO 4 – CUSTO DE REPOSIÇÃO DO PROFISSIONAL AUSENTE]])-2,0)*($G80-$H80)</f>
        <v>1460.5045158393821</v>
      </c>
      <c r="BI80" s="22">
        <f>VLOOKUP($A80,tabCustoUnit[],COLUMN(CUSTO_GLOBAL[[#Headers],[Uniformes e EPIs]])-2,0)*($G80-$H80)</f>
        <v>181.56935956407941</v>
      </c>
      <c r="BJ80" s="22">
        <f>VLOOKUP($A80,tabCustoUnit[],COLUMN(CUSTO_GLOBAL[[#Headers],[Materiais de Consumo]])-2,0)*($G80-$H80)</f>
        <v>0</v>
      </c>
      <c r="BK80" s="22">
        <f>VLOOKUP($A80,tabCustoUnit[],COLUMN(CUSTO_GLOBAL[[#Headers],[Máquinas e Equipamentos (depreciação)]])-2,0)*($G80-$H80)</f>
        <v>0</v>
      </c>
      <c r="BL80" s="22">
        <f>VLOOKUP($A80,tabCustoUnit[],COLUMN(CUSTO_GLOBAL[[#Headers],[Produtos de Limpeza e Materiais de Higiene Pessoal]])-2,0)*($G80-$H80)</f>
        <v>0</v>
      </c>
      <c r="BM80" s="22">
        <f>VLOOKUP($A80,tabCustoUnit[],COLUMN(CUSTO_GLOBAL[[#Headers],[Outros (especificar)]])-2,0)*($G80-$H80)</f>
        <v>0</v>
      </c>
      <c r="BN80" s="22">
        <f>VLOOKUP($A80,tabCustoUnit[],COLUMN(CUSTO_GLOBAL[[#Headers],[MÓDULO 5 – INSUMOS DIVERSOS]])-2,0)*($G80-$H80)</f>
        <v>181.56935956407941</v>
      </c>
      <c r="BO80" s="22" t="e">
        <f ca="1">VLOOKUP($A80,tabCustoUnit[],COLUMN(CUSTO_GLOBAL[[#Headers],[TOTAL MÓDULOS 1+2+3+4+5]])-2,0)*($G80-$H80)</f>
        <v>#NAME?</v>
      </c>
      <c r="BP80" s="22" t="e">
        <f ca="1">VLOOKUP($A80,tabCustoUnit[],COLUMN(CUSTO_GLOBAL[[#Headers],[Custos Indiretos]])-2,0)*($G80-$H80)</f>
        <v>#NAME?</v>
      </c>
      <c r="BQ80" s="22" t="e">
        <f ca="1">VLOOKUP($A80,tabCustoUnit[],COLUMN(CUSTO_GLOBAL[[#Headers],[Lucro]])-2,0)*($G80-$H80)</f>
        <v>#NAME?</v>
      </c>
      <c r="BR80" s="26">
        <f>VLOOKUP($A80,tabCustoUnit[],COLUMN(CUSTO_GLOBAL[[#Headers],[COFINS]])-2,0)</f>
        <v>8.8629737609329504E-2</v>
      </c>
      <c r="BS80" s="26">
        <f>VLOOKUP($A80,tabCustoUnit[],COLUMN(CUSTO_GLOBAL[[#Headers],[PIS]])-2,0)</f>
        <v>1.9241982507288629E-2</v>
      </c>
      <c r="BT80" s="28">
        <f>VLOOKUP($A80,tabCustoUnit[],COLUMN(CUSTO_GLOBAL[[#Headers],[ISS]])-2,0)</f>
        <v>0.05</v>
      </c>
      <c r="BU80" s="26">
        <f>VLOOKUP($A80,tabCustoUnit[],COLUMN(CUSTO_GLOBAL[[#Headers],[ISS (Conversão Alíquota s/ fatura)]])-2,0)</f>
        <v>5.8309037900874633E-2</v>
      </c>
      <c r="BV80" s="26">
        <f>VLOOKUP($A80,tabCustoUnit[],COLUMN(CUSTO_GLOBAL[[#Headers],[Resumo de Alíquotas (PIS+CONFINS+ISS)]])-2,0)</f>
        <v>0.14250000000000002</v>
      </c>
      <c r="BW80" s="138">
        <f>VLOOKUP($A80,tabCustoUnit[],COLUMN(CUSTO_GLOBAL[[#Headers],[PIS + COFINS + ISS (Total Conversão  Alíquota s/ Fatura)]])-2,0)</f>
        <v>0.16618075801749277</v>
      </c>
      <c r="BX80" s="22" t="e">
        <f ca="1">VLOOKUP($A80,tabCustoUnit[],COLUMN(CUSTO_GLOBAL[[#Headers],[Valor dos Tributos (ISS, PIS, CONFINS)]])-2,0)*($G80-$H80)</f>
        <v>#NAME?</v>
      </c>
      <c r="BY80" s="22" t="e">
        <f ca="1">VLOOKUP($A80,tabCustoUnit[],COLUMN(CUSTO_GLOBAL[[#Headers],[MÓDULO 6 – CUSTOS INDIRETOS, TRIBUTOS E LUCRO]])-2,0)*($G80-$H80)</f>
        <v>#NAME?</v>
      </c>
      <c r="BZ80" s="22" t="e">
        <f ca="1">VLOOKUP($A80,tabCustoUnit[],COLUMN(CUSTO_GLOBAL[[#Headers],[CUSTO TOTAL MENSAL]])-2,0)*($G80-$H80)</f>
        <v>#NAME?</v>
      </c>
      <c r="CA80" s="22" t="e">
        <f ca="1">CUSTO_GLOBAL[[#This Row],[CUSTO TOTAL MENSAL]]*12</f>
        <v>#NAME?</v>
      </c>
      <c r="CB80" s="24">
        <f>VLOOKUP($A80,tabCustoUnit[],COLUMN(CUSTO_GLOBAL[[#Headers],[ANO DA CCT]])-2,0)</f>
        <v>45658</v>
      </c>
      <c r="CC80" s="25" t="str">
        <f>VLOOKUP($A80,tabCustoUnit[],COLUMN(CUSTO_GLOBAL[[#Headers],[Nº DE PEDIDO DA CCT]])-2,0)</f>
        <v>-</v>
      </c>
      <c r="CD80" s="25" t="str">
        <f>VLOOKUP($A80,tabCustoUnit[],COLUMN(CUSTO_GLOBAL[[#Headers],[TERMO ADITIVO ALTERAÇÃO DA CCT]])-2,0)</f>
        <v>-</v>
      </c>
    </row>
    <row r="81" spans="1:82">
      <c r="A81" s="20" t="s">
        <v>1456</v>
      </c>
      <c r="B81" t="s">
        <v>1103</v>
      </c>
      <c r="C81" t="s">
        <v>1370</v>
      </c>
      <c r="D81" t="s">
        <v>1035</v>
      </c>
      <c r="E81" s="20" t="s">
        <v>1090</v>
      </c>
      <c r="F81" s="20" t="s">
        <v>120</v>
      </c>
      <c r="G81" s="20">
        <v>30</v>
      </c>
      <c r="H81" s="20">
        <v>0</v>
      </c>
      <c r="I81" s="21">
        <f>VLOOKUP($A81,tabCustoUnit[],COLUMN(CUSTO_GLOBAL[[#Headers],[Salário Base]])-2,0)*($G81-$H81)</f>
        <v>143059.79999999999</v>
      </c>
      <c r="J81" s="21">
        <f>VLOOKUP($A81,tabCustoUnit[],COLUMN(CUSTO_GLOBAL[[#Headers],[Adicional Periculosidade]])-2,0)*($G81-$H81)</f>
        <v>0</v>
      </c>
      <c r="K81" s="21">
        <f>VLOOKUP($A81,tabCustoUnit[],COLUMN(CUSTO_GLOBAL[[#Headers],[Adicional Insalubridade]])-2,0)*($G81-$H81)</f>
        <v>0</v>
      </c>
      <c r="L81" s="21">
        <f>VLOOKUP($A81,tabCustoUnit[],COLUMN(CUSTO_GLOBAL[[#Headers],[Adicional Noturno]])-2,0)*($G81-$H81)</f>
        <v>0</v>
      </c>
      <c r="M81" s="21">
        <f>VLOOKUP($A81,tabCustoUnit[],COLUMN(CUSTO_GLOBAL[[#Headers],[Adicional Motorista II (Gratificação)]])-2,0)*($G81-$H81)</f>
        <v>0</v>
      </c>
      <c r="N81" s="21">
        <f>VLOOKUP($A81,tabCustoUnit[],COLUMN(CUSTO_GLOBAL[[#Headers],[Adicional de Sobreaviso]])-2,0)*($G81-$H81)</f>
        <v>0</v>
      </c>
      <c r="O81" s="21">
        <f>VLOOKUP($A81,tabCustoUnit[],COLUMN(CUSTO_GLOBAL[[#Headers],[Horas Extras TI]])-2,0)*($G81-$H81)</f>
        <v>0</v>
      </c>
      <c r="P81" s="21">
        <f>VLOOKUP($A81,tabCustoUnit[],COLUMN(CUSTO_GLOBAL[[#Headers],[Adicional de Acúmulo de função]])-2,0)*($G81-$H81)</f>
        <v>0</v>
      </c>
      <c r="Q81" s="21">
        <f>VLOOKUP($A81,tabCustoUnit[],COLUMN(CUSTO_GLOBAL[[#Headers],[MODULO 1 - REMUNERAÇÃO ]])-2,0)*($G81-$H81)</f>
        <v>143059.79999999999</v>
      </c>
      <c r="R81" s="21">
        <f>VLOOKUP($A81,tabCustoUnit[],COLUMN(CUSTO_GLOBAL[[#Headers],[INSS]])-2,0)*($G81-$H81)</f>
        <v>28611.96</v>
      </c>
      <c r="S81" s="21">
        <f>VLOOKUP($A81,tabCustoUnit[],COLUMN(CUSTO_GLOBAL[[#Headers],[SESI OU SESC]])-2,0)*($G81-$H81)</f>
        <v>2145.8969999999999</v>
      </c>
      <c r="T81" s="21">
        <f>VLOOKUP($A81,tabCustoUnit[],COLUMN(CUSTO_GLOBAL[[#Headers],[SENAI OU SENAC]])-2,0)*($G81-$H81)</f>
        <v>1430.598</v>
      </c>
      <c r="U81" s="21">
        <f>VLOOKUP($A81,tabCustoUnit[],COLUMN(CUSTO_GLOBAL[[#Headers],[INCRA]])-2,0)*($G81-$H81)</f>
        <v>286.11959999999999</v>
      </c>
      <c r="V81" s="21">
        <f>VLOOKUP($A81,tabCustoUnit[],COLUMN(CUSTO_GLOBAL[[#Headers],[Salário Educação]])-2,0)*($G81-$H81)</f>
        <v>3576.4949999999999</v>
      </c>
      <c r="W81" s="21">
        <f>VLOOKUP($A81,tabCustoUnit[],COLUMN(CUSTO_GLOBAL[[#Headers],[FGTS]])-2,0)*($G81-$H81)</f>
        <v>11444.784</v>
      </c>
      <c r="X81" s="21">
        <f>VLOOKUP($A81,tabCustoUnit[],COLUMN(CUSTO_GLOBAL[[#Headers],[RAT Ajustado]])-2,0)*($G81-$H81)</f>
        <v>5722.3919999999998</v>
      </c>
      <c r="Y81" s="21">
        <f>VLOOKUP($A81,tabCustoUnit[],COLUMN(CUSTO_GLOBAL[[#Headers],[SEBRAE]])-2,0)*($G81-$H81)</f>
        <v>858.35879999999997</v>
      </c>
      <c r="Z81" s="21">
        <f>VLOOKUP($A81,tabCustoUnit[],COLUMN(CUSTO_GLOBAL[[#Headers],[Submódulo 2.1]])-2,0)*($G81-$H81)</f>
        <v>54076.604399999997</v>
      </c>
      <c r="AA81" s="21">
        <f>VLOOKUP($A81,tabCustoUnit[],COLUMN(CUSTO_GLOBAL[[#Headers],[13º salário (titular)]])-2,0)*($G81-$H81)</f>
        <v>11921.65</v>
      </c>
      <c r="AB81" s="21">
        <f>VLOOKUP($A81,tabCustoUnit[],COLUMN(CUSTO_GLOBAL[[#Headers],[Férias e Adicional de Férias (titular)]])-2,0)*($G81-$H81)</f>
        <v>15895.533333333333</v>
      </c>
      <c r="AC81" s="21">
        <f>VLOOKUP($A81,tabCustoUnit[],COLUMN(CUSTO_GLOBAL[[#Headers],[Incidência do Submódulo 2.1 sobre 13º Salário, Férias e Adicional de Férias]])-2,0)*($G81-$H81)</f>
        <v>10514.895299999998</v>
      </c>
      <c r="AD81" s="21">
        <f>VLOOKUP($A81,tabCustoUnit[],COLUMN(CUSTO_GLOBAL[[#Headers],[Submódulo 2.2]])-2,0)*($G81-$H81)</f>
        <v>38332.078633333331</v>
      </c>
      <c r="AE81" s="22" t="e">
        <f ca="1">VLOOKUP($A81,tabCustoUnit[],COLUMN(CUSTO_GLOBAL[[#Headers],[Vale - Transporte (Descontada parcela do empregado)]])-2,0)*($G81-$H81)</f>
        <v>#NAME?</v>
      </c>
      <c r="AF81" s="22">
        <f>VLOOKUP($A81,tabCustoUnit[],COLUMN(CUSTO_GLOBAL[[#Headers],[Vale - Alimentação (Descontada parcela do empregado)]])-2,0)*($G81-$H81)</f>
        <v>17460</v>
      </c>
      <c r="AG81" s="22">
        <f>VLOOKUP($A81,tabCustoUnit[],COLUMN(CUSTO_GLOBAL[[#Headers],[Cesta Básica]])-2,0)*($G81-$H81)</f>
        <v>0</v>
      </c>
      <c r="AH81" s="22">
        <f>VLOOKUP($A81,tabCustoUnit[],COLUMN(CUSTO_GLOBAL[[#Headers],[PAF]])-2,0)*($G81-$H81)</f>
        <v>2877</v>
      </c>
      <c r="AI81" s="22">
        <f>VLOOKUP($A81,tabCustoUnit[],COLUMN(CUSTO_GLOBAL[[#Headers],[PQM]])-2,0)*($G81-$H81)</f>
        <v>0</v>
      </c>
      <c r="AJ81" s="22">
        <v>0</v>
      </c>
      <c r="AK81" s="22">
        <f>VLOOKUP($A81,tabCustoUnit[],COLUMN(CUSTO_GLOBAL[[#Headers],[Seguro de Vida]])-2,0)*($G81-$H81)</f>
        <v>100.8</v>
      </c>
      <c r="AL81" s="22">
        <f>VLOOKUP($A81,tabCustoUnit[],COLUMN(CUSTO_GLOBAL[[#Headers],[Despesas de Viagem]])-2,0)*($G81-$H81)</f>
        <v>6062.4000000000005</v>
      </c>
      <c r="AM81" s="22" t="e">
        <f ca="1">VLOOKUP($A81,tabCustoUnit[],COLUMN(CUSTO_GLOBAL[[#Headers],[Submódulo 2.3]])-2,0)*($G81-$H81)</f>
        <v>#NAME?</v>
      </c>
      <c r="AN81" s="22" t="e">
        <f ca="1">VLOOKUP($A81,tabCustoUnit[],COLUMN(CUSTO_GLOBAL[[#Headers],[MÓDULO 2 - Total Encargos e Benefícios mensais e diários]])-2,0)*($G81-$H81)</f>
        <v>#NAME?</v>
      </c>
      <c r="AO81" s="22">
        <f>VLOOKUP($A81,tabCustoUnit[],COLUMN(CUSTO_GLOBAL[[#Headers],[Aviso Prévio Indenizado (API) e Reflexo do Aviso Prévio Indenizado]])-2,0)*($G81-$H81)</f>
        <v>1003.1019811342593</v>
      </c>
      <c r="AP81" s="22">
        <f>VLOOKUP($A81,tabCustoUnit[],COLUMN(CUSTO_GLOBAL[[#Headers],[Incidência do FGTS sobre API e Reflexo do API]])-2,0)*($G81-$H81)</f>
        <v>80.248158490740735</v>
      </c>
      <c r="AQ81" s="22">
        <f>VLOOKUP($A81,tabCustoUnit[],COLUMN(CUSTO_GLOBAL[[#Headers],[Multa Rescisória do FGTS sobre o Aviso Prévio Indenizado]])-2,0)*($G81-$H81)</f>
        <v>32.099263396296301</v>
      </c>
      <c r="AR81" s="22">
        <f>VLOOKUP($A81,tabCustoUnit[],COLUMN(CUSTO_GLOBAL[[#Headers],[Aviso Prévio Trabalhado - APT]])-2,0)*($G81-$H81)</f>
        <v>500.70929999999998</v>
      </c>
      <c r="AS81" s="22">
        <f>VLOOKUP($A81,tabCustoUnit[],COLUMN(CUSTO_GLOBAL[[#Headers],[Incidência dos encargos do submódulo 2.1 sobre Aviso Prévio Trabalhado]])-2,0)*($G81-$H81)</f>
        <v>189.26811540000006</v>
      </c>
      <c r="AT81" s="22">
        <f>VLOOKUP($A81,tabCustoUnit[],COLUMN(CUSTO_GLOBAL[[#Headers],[Multa Rescisória do FGTS]])-2,0)*($G81-$H81)</f>
        <v>4374.4507733333321</v>
      </c>
      <c r="AU81" s="22">
        <f>VLOOKUP($A81,tabCustoUnit[],COLUMN(CUSTO_GLOBAL[[#Headers],[Indenização Adicional (Art. 9º da Lei nº 7.238/84)]])-2,0)*($G81-$H81)</f>
        <v>119.21650000000001</v>
      </c>
      <c r="AV81" s="22">
        <f>VLOOKUP($A81,tabCustoUnit[],COLUMN(CUSTO_GLOBAL[[#Headers],[MÓDULO 3 – PROVISÃO PARA RESCISÃO]])-2,0)*($G81-$H81)</f>
        <v>6299.0940917546286</v>
      </c>
      <c r="AW81" s="22">
        <f>VLOOKUP($A81,tabCustoUnit[],COLUMN(CUSTO_GLOBAL[[#Headers],[Ausência por Doença]])-2,0)*($G81-$H81)</f>
        <v>1208.0605333333331</v>
      </c>
      <c r="AX81" s="22">
        <f>VLOOKUP($A81,tabCustoUnit[],COLUMN(CUSTO_GLOBAL[[#Headers],[Ausências Legais]])-2,0)*($G81-$H81)</f>
        <v>290.09348333333327</v>
      </c>
      <c r="AY81" s="22">
        <f>VLOOKUP($A81,tabCustoUnit[],COLUMN(CUSTO_GLOBAL[[#Headers],[Licença Paternidade]])-2,0)*($G81-$H81)</f>
        <v>24.439382500000001</v>
      </c>
      <c r="AZ81" s="22">
        <f>VLOOKUP($A81,tabCustoUnit[],COLUMN(CUSTO_GLOBAL[[#Headers],[Ausência por Acidente de Trabalho]])-2,0)*($G81-$H81)</f>
        <v>29.804125000000003</v>
      </c>
      <c r="BA81" s="22">
        <f>VLOOKUP($A81,tabCustoUnit[],COLUMN(CUSTO_GLOBAL[[#Headers],[Férias, Adicional de Férias e 13º  com empregada em gozo de Licença Maternidade]])-2,0)*($G81-$H81)</f>
        <v>185.44788888888888</v>
      </c>
      <c r="BB81" s="22">
        <f>VLOOKUP($A81,tabCustoUnit[],COLUMN(CUSTO_GLOBAL[[#Headers],[Incidência do Submódulo 2.1 sobre Ausências Legais]])-2,0)*($G81-$H81)</f>
        <v>656.90556613500007</v>
      </c>
      <c r="BC81" s="22">
        <f>VLOOKUP($A81,tabCustoUnit[],COLUMN(CUSTO_GLOBAL[[#Headers],[Submódulo 4.1]])-2,0)*($G81-$H81)</f>
        <v>2394.7509791905559</v>
      </c>
      <c r="BD81" s="22">
        <f>VLOOKUP($A81,tabCustoUnit[],COLUMN(CUSTO_GLOBAL[[#Headers],[Intervalo para Repouso ou Alimentação]])-2,0)*($G81-$H81)</f>
        <v>0</v>
      </c>
      <c r="BE81" s="22">
        <f>VLOOKUP($A81,tabCustoUnit[],COLUMN(CUSTO_GLOBAL[[#Headers],[Submódulo 4.2]])-2,0)*($G81-$H81)</f>
        <v>0</v>
      </c>
      <c r="BF81" s="22">
        <f>VLOOKUP($A81,tabCustoUnit[],COLUMN(CUSTO_GLOBAL[[#Headers],[Suspensão Temporária do Contrato de Trabalho]])-2,0)*($G81-$H81)</f>
        <v>0</v>
      </c>
      <c r="BG81" s="22">
        <f>VLOOKUP($A81,tabCustoUnit[],COLUMN(CUSTO_GLOBAL[[#Headers],[Submódulo 4.3]])-2,0)*($G81-$H81)</f>
        <v>0</v>
      </c>
      <c r="BH81" s="22">
        <f>VLOOKUP($A81,tabCustoUnit[],COLUMN(CUSTO_GLOBAL[[#Headers],[MÓDULO 4 – CUSTO DE REPOSIÇÃO DO PROFISSIONAL AUSENTE]])-2,0)*($G81-$H81)</f>
        <v>2394.7509791905559</v>
      </c>
      <c r="BI81" s="22">
        <f>VLOOKUP($A81,tabCustoUnit[],COLUMN(CUSTO_GLOBAL[[#Headers],[Uniformes e EPIs]])-2,0)*($G81-$H81)</f>
        <v>2723.5403934611909</v>
      </c>
      <c r="BJ81" s="22">
        <f>VLOOKUP($A81,tabCustoUnit[],COLUMN(CUSTO_GLOBAL[[#Headers],[Materiais de Consumo]])-2,0)*($G81-$H81)</f>
        <v>0</v>
      </c>
      <c r="BK81" s="22">
        <f>VLOOKUP($A81,tabCustoUnit[],COLUMN(CUSTO_GLOBAL[[#Headers],[Máquinas e Equipamentos (depreciação)]])-2,0)*($G81-$H81)</f>
        <v>0</v>
      </c>
      <c r="BL81" s="22">
        <f>VLOOKUP($A81,tabCustoUnit[],COLUMN(CUSTO_GLOBAL[[#Headers],[Produtos de Limpeza e Materiais de Higiene Pessoal]])-2,0)*($G81-$H81)</f>
        <v>0</v>
      </c>
      <c r="BM81" s="22">
        <f>VLOOKUP($A81,tabCustoUnit[],COLUMN(CUSTO_GLOBAL[[#Headers],[Outros (especificar)]])-2,0)*($G81-$H81)</f>
        <v>0</v>
      </c>
      <c r="BN81" s="22">
        <f>VLOOKUP($A81,tabCustoUnit[],COLUMN(CUSTO_GLOBAL[[#Headers],[MÓDULO 5 – INSUMOS DIVERSOS]])-2,0)*($G81-$H81)</f>
        <v>2723.5403934611909</v>
      </c>
      <c r="BO81" s="22" t="e">
        <f ca="1">VLOOKUP($A81,tabCustoUnit[],COLUMN(CUSTO_GLOBAL[[#Headers],[TOTAL MÓDULOS 1+2+3+4+5]])-2,0)*($G81-$H81)</f>
        <v>#NAME?</v>
      </c>
      <c r="BP81" s="22" t="e">
        <f ca="1">VLOOKUP($A81,tabCustoUnit[],COLUMN(CUSTO_GLOBAL[[#Headers],[Custos Indiretos]])-2,0)*($G81-$H81)</f>
        <v>#NAME?</v>
      </c>
      <c r="BQ81" s="22" t="e">
        <f ca="1">VLOOKUP($A81,tabCustoUnit[],COLUMN(CUSTO_GLOBAL[[#Headers],[Lucro]])-2,0)*($G81-$H81)</f>
        <v>#NAME?</v>
      </c>
      <c r="BR81" s="26">
        <f>VLOOKUP($A81,tabCustoUnit[],COLUMN(CUSTO_GLOBAL[[#Headers],[COFINS]])-2,0)</f>
        <v>8.8629737609329504E-2</v>
      </c>
      <c r="BS81" s="26">
        <f>VLOOKUP($A81,tabCustoUnit[],COLUMN(CUSTO_GLOBAL[[#Headers],[PIS]])-2,0)</f>
        <v>1.9241982507288629E-2</v>
      </c>
      <c r="BT81" s="28">
        <f>VLOOKUP($A81,tabCustoUnit[],COLUMN(CUSTO_GLOBAL[[#Headers],[ISS]])-2,0)</f>
        <v>0.05</v>
      </c>
      <c r="BU81" s="26">
        <f>VLOOKUP($A81,tabCustoUnit[],COLUMN(CUSTO_GLOBAL[[#Headers],[ISS (Conversão Alíquota s/ fatura)]])-2,0)</f>
        <v>5.8309037900874633E-2</v>
      </c>
      <c r="BV81" s="26">
        <f>VLOOKUP($A81,tabCustoUnit[],COLUMN(CUSTO_GLOBAL[[#Headers],[Resumo de Alíquotas (PIS+CONFINS+ISS)]])-2,0)</f>
        <v>0.14250000000000002</v>
      </c>
      <c r="BW81" s="138">
        <f>VLOOKUP($A81,tabCustoUnit[],COLUMN(CUSTO_GLOBAL[[#Headers],[PIS + COFINS + ISS (Total Conversão  Alíquota s/ Fatura)]])-2,0)</f>
        <v>0.16618075801749277</v>
      </c>
      <c r="BX81" s="22" t="e">
        <f ca="1">VLOOKUP($A81,tabCustoUnit[],COLUMN(CUSTO_GLOBAL[[#Headers],[Valor dos Tributos (ISS, PIS, CONFINS)]])-2,0)*($G81-$H81)</f>
        <v>#NAME?</v>
      </c>
      <c r="BY81" s="22" t="e">
        <f ca="1">VLOOKUP($A81,tabCustoUnit[],COLUMN(CUSTO_GLOBAL[[#Headers],[MÓDULO 6 – CUSTOS INDIRETOS, TRIBUTOS E LUCRO]])-2,0)*($G81-$H81)</f>
        <v>#NAME?</v>
      </c>
      <c r="BZ81" s="22" t="e">
        <f ca="1">VLOOKUP($A81,tabCustoUnit[],COLUMN(CUSTO_GLOBAL[[#Headers],[CUSTO TOTAL MENSAL]])-2,0)*($G81-$H81)</f>
        <v>#NAME?</v>
      </c>
      <c r="CA81" s="22" t="e">
        <f ca="1">CUSTO_GLOBAL[[#This Row],[CUSTO TOTAL MENSAL]]*12</f>
        <v>#NAME?</v>
      </c>
      <c r="CB81" s="24">
        <f>VLOOKUP($A81,tabCustoUnit[],COLUMN(CUSTO_GLOBAL[[#Headers],[ANO DA CCT]])-2,0)</f>
        <v>45658</v>
      </c>
      <c r="CC81" s="25" t="str">
        <f>VLOOKUP($A81,tabCustoUnit[],COLUMN(CUSTO_GLOBAL[[#Headers],[Nº DE PEDIDO DA CCT]])-2,0)</f>
        <v>-</v>
      </c>
      <c r="CD81" s="25" t="str">
        <f>VLOOKUP($A81,tabCustoUnit[],COLUMN(CUSTO_GLOBAL[[#Headers],[TERMO ADITIVO ALTERAÇÃO DA CCT]])-2,0)</f>
        <v>-</v>
      </c>
    </row>
    <row r="82" spans="1:82">
      <c r="A82" s="20" t="s">
        <v>1457</v>
      </c>
      <c r="B82" t="s">
        <v>1103</v>
      </c>
      <c r="C82" t="s">
        <v>375</v>
      </c>
      <c r="D82" t="s">
        <v>1035</v>
      </c>
      <c r="E82" s="20" t="s">
        <v>1090</v>
      </c>
      <c r="F82" s="20" t="s">
        <v>120</v>
      </c>
      <c r="G82" s="20">
        <v>5</v>
      </c>
      <c r="H82" s="20">
        <v>0</v>
      </c>
      <c r="I82" s="21">
        <f>VLOOKUP($A82,tabCustoUnit[],COLUMN(CUSTO_GLOBAL[[#Headers],[Salário Base]])-2,0)*($G82-$H82)</f>
        <v>36515</v>
      </c>
      <c r="J82" s="21">
        <f>VLOOKUP($A82,tabCustoUnit[],COLUMN(CUSTO_GLOBAL[[#Headers],[Adicional Periculosidade]])-2,0)*($G82-$H82)</f>
        <v>0</v>
      </c>
      <c r="K82" s="21">
        <f>VLOOKUP($A82,tabCustoUnit[],COLUMN(CUSTO_GLOBAL[[#Headers],[Adicional Insalubridade]])-2,0)*($G82-$H82)</f>
        <v>0</v>
      </c>
      <c r="L82" s="21">
        <f>VLOOKUP($A82,tabCustoUnit[],COLUMN(CUSTO_GLOBAL[[#Headers],[Adicional Noturno]])-2,0)*($G82-$H82)</f>
        <v>0</v>
      </c>
      <c r="M82" s="21">
        <f>VLOOKUP($A82,tabCustoUnit[],COLUMN(CUSTO_GLOBAL[[#Headers],[Adicional Motorista II (Gratificação)]])-2,0)*($G82-$H82)</f>
        <v>0</v>
      </c>
      <c r="N82" s="21">
        <f>VLOOKUP($A82,tabCustoUnit[],COLUMN(CUSTO_GLOBAL[[#Headers],[Adicional de Sobreaviso]])-2,0)*($G82-$H82)</f>
        <v>0</v>
      </c>
      <c r="O82" s="21">
        <f>VLOOKUP($A82,tabCustoUnit[],COLUMN(CUSTO_GLOBAL[[#Headers],[Horas Extras TI]])-2,0)*($G82-$H82)</f>
        <v>0</v>
      </c>
      <c r="P82" s="21">
        <f>VLOOKUP($A82,tabCustoUnit[],COLUMN(CUSTO_GLOBAL[[#Headers],[Adicional de Acúmulo de função]])-2,0)*($G82-$H82)</f>
        <v>0</v>
      </c>
      <c r="Q82" s="21">
        <f>VLOOKUP($A82,tabCustoUnit[],COLUMN(CUSTO_GLOBAL[[#Headers],[MODULO 1 - REMUNERAÇÃO ]])-2,0)*($G82-$H82)</f>
        <v>36515</v>
      </c>
      <c r="R82" s="21">
        <f>VLOOKUP($A82,tabCustoUnit[],COLUMN(CUSTO_GLOBAL[[#Headers],[INSS]])-2,0)*($G82-$H82)</f>
        <v>7303.0000000000009</v>
      </c>
      <c r="S82" s="21">
        <f>VLOOKUP($A82,tabCustoUnit[],COLUMN(CUSTO_GLOBAL[[#Headers],[SESI OU SESC]])-2,0)*($G82-$H82)</f>
        <v>547.72500000000002</v>
      </c>
      <c r="T82" s="21">
        <f>VLOOKUP($A82,tabCustoUnit[],COLUMN(CUSTO_GLOBAL[[#Headers],[SENAI OU SENAC]])-2,0)*($G82-$H82)</f>
        <v>365.15</v>
      </c>
      <c r="U82" s="21">
        <f>VLOOKUP($A82,tabCustoUnit[],COLUMN(CUSTO_GLOBAL[[#Headers],[INCRA]])-2,0)*($G82-$H82)</f>
        <v>73.03</v>
      </c>
      <c r="V82" s="21">
        <f>VLOOKUP($A82,tabCustoUnit[],COLUMN(CUSTO_GLOBAL[[#Headers],[Salário Educação]])-2,0)*($G82-$H82)</f>
        <v>912.87500000000011</v>
      </c>
      <c r="W82" s="21">
        <f>VLOOKUP($A82,tabCustoUnit[],COLUMN(CUSTO_GLOBAL[[#Headers],[FGTS]])-2,0)*($G82-$H82)</f>
        <v>2921.2</v>
      </c>
      <c r="X82" s="21">
        <f>VLOOKUP($A82,tabCustoUnit[],COLUMN(CUSTO_GLOBAL[[#Headers],[RAT Ajustado]])-2,0)*($G82-$H82)</f>
        <v>1460.6</v>
      </c>
      <c r="Y82" s="21">
        <f>VLOOKUP($A82,tabCustoUnit[],COLUMN(CUSTO_GLOBAL[[#Headers],[SEBRAE]])-2,0)*($G82-$H82)</f>
        <v>219.08999999999997</v>
      </c>
      <c r="Z82" s="21">
        <f>VLOOKUP($A82,tabCustoUnit[],COLUMN(CUSTO_GLOBAL[[#Headers],[Submódulo 2.1]])-2,0)*($G82-$H82)</f>
        <v>13802.670000000002</v>
      </c>
      <c r="AA82" s="21">
        <f>VLOOKUP($A82,tabCustoUnit[],COLUMN(CUSTO_GLOBAL[[#Headers],[13º salário (titular)]])-2,0)*($G82-$H82)</f>
        <v>3042.9166666666661</v>
      </c>
      <c r="AB82" s="21">
        <f>VLOOKUP($A82,tabCustoUnit[],COLUMN(CUSTO_GLOBAL[[#Headers],[Férias e Adicional de Férias (titular)]])-2,0)*($G82-$H82)</f>
        <v>4057.2222222222217</v>
      </c>
      <c r="AC82" s="21">
        <f>VLOOKUP($A82,tabCustoUnit[],COLUMN(CUSTO_GLOBAL[[#Headers],[Incidência do Submódulo 2.1 sobre 13º Salário, Férias e Adicional de Férias]])-2,0)*($G82-$H82)</f>
        <v>2683.8525</v>
      </c>
      <c r="AD82" s="21">
        <f>VLOOKUP($A82,tabCustoUnit[],COLUMN(CUSTO_GLOBAL[[#Headers],[Submódulo 2.2]])-2,0)*($G82-$H82)</f>
        <v>9783.9913888888877</v>
      </c>
      <c r="AE82" s="22" t="e">
        <f ca="1">VLOOKUP($A82,tabCustoUnit[],COLUMN(CUSTO_GLOBAL[[#Headers],[Vale - Transporte (Descontada parcela do empregado)]])-2,0)*($G82-$H82)</f>
        <v>#NAME?</v>
      </c>
      <c r="AF82" s="22">
        <f>VLOOKUP($A82,tabCustoUnit[],COLUMN(CUSTO_GLOBAL[[#Headers],[Vale - Alimentação (Descontada parcela do empregado)]])-2,0)*($G82-$H82)</f>
        <v>2910</v>
      </c>
      <c r="AG82" s="22">
        <f>VLOOKUP($A82,tabCustoUnit[],COLUMN(CUSTO_GLOBAL[[#Headers],[Cesta Básica]])-2,0)*($G82-$H82)</f>
        <v>0</v>
      </c>
      <c r="AH82" s="22">
        <f>VLOOKUP($A82,tabCustoUnit[],COLUMN(CUSTO_GLOBAL[[#Headers],[PAF]])-2,0)*($G82-$H82)</f>
        <v>479.5</v>
      </c>
      <c r="AI82" s="22">
        <f>VLOOKUP($A82,tabCustoUnit[],COLUMN(CUSTO_GLOBAL[[#Headers],[PQM]])-2,0)*($G82-$H82)</f>
        <v>0</v>
      </c>
      <c r="AJ82" s="22">
        <v>0</v>
      </c>
      <c r="AK82" s="22">
        <f>VLOOKUP($A82,tabCustoUnit[],COLUMN(CUSTO_GLOBAL[[#Headers],[Seguro de Vida]])-2,0)*($G82-$H82)</f>
        <v>16.8</v>
      </c>
      <c r="AL82" s="22">
        <f>VLOOKUP($A82,tabCustoUnit[],COLUMN(CUSTO_GLOBAL[[#Headers],[Despesas de Viagem]])-2,0)*($G82-$H82)</f>
        <v>1010.4000000000001</v>
      </c>
      <c r="AM82" s="22" t="e">
        <f ca="1">VLOOKUP($A82,tabCustoUnit[],COLUMN(CUSTO_GLOBAL[[#Headers],[Submódulo 2.3]])-2,0)*($G82-$H82)</f>
        <v>#NAME?</v>
      </c>
      <c r="AN82" s="22" t="e">
        <f ca="1">VLOOKUP($A82,tabCustoUnit[],COLUMN(CUSTO_GLOBAL[[#Headers],[MÓDULO 2 - Total Encargos e Benefícios mensais e diários]])-2,0)*($G82-$H82)</f>
        <v>#NAME?</v>
      </c>
      <c r="AO82" s="22">
        <f>VLOOKUP($A82,tabCustoUnit[],COLUMN(CUSTO_GLOBAL[[#Headers],[Aviso Prévio Indenizado (API) e Reflexo do Aviso Prévio Indenizado]])-2,0)*($G82-$H82)</f>
        <v>256.03467110339506</v>
      </c>
      <c r="AP82" s="22">
        <f>VLOOKUP($A82,tabCustoUnit[],COLUMN(CUSTO_GLOBAL[[#Headers],[Incidência do FGTS sobre API e Reflexo do API]])-2,0)*($G82-$H82)</f>
        <v>20.482773688271607</v>
      </c>
      <c r="AQ82" s="22">
        <f>VLOOKUP($A82,tabCustoUnit[],COLUMN(CUSTO_GLOBAL[[#Headers],[Multa Rescisória do FGTS sobre o Aviso Prévio Indenizado]])-2,0)*($G82-$H82)</f>
        <v>8.1931094753086438</v>
      </c>
      <c r="AR82" s="22">
        <f>VLOOKUP($A82,tabCustoUnit[],COLUMN(CUSTO_GLOBAL[[#Headers],[Aviso Prévio Trabalhado - APT]])-2,0)*($G82-$H82)</f>
        <v>127.80250000000002</v>
      </c>
      <c r="AS82" s="22">
        <f>VLOOKUP($A82,tabCustoUnit[],COLUMN(CUSTO_GLOBAL[[#Headers],[Incidência dos encargos do submódulo 2.1 sobre Aviso Prévio Trabalhado]])-2,0)*($G82-$H82)</f>
        <v>48.309345000000015</v>
      </c>
      <c r="AT82" s="22">
        <f>VLOOKUP($A82,tabCustoUnit[],COLUMN(CUSTO_GLOBAL[[#Headers],[Multa Rescisória do FGTS]])-2,0)*($G82-$H82)</f>
        <v>1116.5475555555554</v>
      </c>
      <c r="AU82" s="22">
        <f>VLOOKUP($A82,tabCustoUnit[],COLUMN(CUSTO_GLOBAL[[#Headers],[Indenização Adicional (Art. 9º da Lei nº 7.238/84)]])-2,0)*($G82-$H82)</f>
        <v>30.429166666666667</v>
      </c>
      <c r="AV82" s="22">
        <f>VLOOKUP($A82,tabCustoUnit[],COLUMN(CUSTO_GLOBAL[[#Headers],[MÓDULO 3 – PROVISÃO PARA RESCISÃO]])-2,0)*($G82-$H82)</f>
        <v>1607.7991214891972</v>
      </c>
      <c r="AW82" s="22">
        <f>VLOOKUP($A82,tabCustoUnit[],COLUMN(CUSTO_GLOBAL[[#Headers],[Ausência por Doença]])-2,0)*($G82-$H82)</f>
        <v>308.34888888888889</v>
      </c>
      <c r="AX82" s="22">
        <f>VLOOKUP($A82,tabCustoUnit[],COLUMN(CUSTO_GLOBAL[[#Headers],[Ausências Legais]])-2,0)*($G82-$H82)</f>
        <v>74.044305555555553</v>
      </c>
      <c r="AY82" s="22">
        <f>VLOOKUP($A82,tabCustoUnit[],COLUMN(CUSTO_GLOBAL[[#Headers],[Licença Paternidade]])-2,0)*($G82-$H82)</f>
        <v>6.2379791666666664</v>
      </c>
      <c r="AZ82" s="22">
        <f>VLOOKUP($A82,tabCustoUnit[],COLUMN(CUSTO_GLOBAL[[#Headers],[Ausência por Acidente de Trabalho]])-2,0)*($G82-$H82)</f>
        <v>7.6072916666666668</v>
      </c>
      <c r="BA82" s="22">
        <f>VLOOKUP($A82,tabCustoUnit[],COLUMN(CUSTO_GLOBAL[[#Headers],[Férias, Adicional de Férias e 13º  com empregada em gozo de Licença Maternidade]])-2,0)*($G82-$H82)</f>
        <v>47.334259259259255</v>
      </c>
      <c r="BB82" s="22">
        <f>VLOOKUP($A82,tabCustoUnit[],COLUMN(CUSTO_GLOBAL[[#Headers],[Incidência do Submódulo 2.1 sobre Ausências Legais]])-2,0)*($G82-$H82)</f>
        <v>167.67048987500004</v>
      </c>
      <c r="BC82" s="22">
        <f>VLOOKUP($A82,tabCustoUnit[],COLUMN(CUSTO_GLOBAL[[#Headers],[Submódulo 4.1]])-2,0)*($G82-$H82)</f>
        <v>611.2432144120371</v>
      </c>
      <c r="BD82" s="22">
        <f>VLOOKUP($A82,tabCustoUnit[],COLUMN(CUSTO_GLOBAL[[#Headers],[Intervalo para Repouso ou Alimentação]])-2,0)*($G82-$H82)</f>
        <v>0</v>
      </c>
      <c r="BE82" s="22">
        <f>VLOOKUP($A82,tabCustoUnit[],COLUMN(CUSTO_GLOBAL[[#Headers],[Submódulo 4.2]])-2,0)*($G82-$H82)</f>
        <v>0</v>
      </c>
      <c r="BF82" s="22">
        <f>VLOOKUP($A82,tabCustoUnit[],COLUMN(CUSTO_GLOBAL[[#Headers],[Suspensão Temporária do Contrato de Trabalho]])-2,0)*($G82-$H82)</f>
        <v>0</v>
      </c>
      <c r="BG82" s="22">
        <f>VLOOKUP($A82,tabCustoUnit[],COLUMN(CUSTO_GLOBAL[[#Headers],[Submódulo 4.3]])-2,0)*($G82-$H82)</f>
        <v>0</v>
      </c>
      <c r="BH82" s="22">
        <f>VLOOKUP($A82,tabCustoUnit[],COLUMN(CUSTO_GLOBAL[[#Headers],[MÓDULO 4 – CUSTO DE REPOSIÇÃO DO PROFISSIONAL AUSENTE]])-2,0)*($G82-$H82)</f>
        <v>611.2432144120371</v>
      </c>
      <c r="BI82" s="22">
        <f>VLOOKUP($A82,tabCustoUnit[],COLUMN(CUSTO_GLOBAL[[#Headers],[Uniformes e EPIs]])-2,0)*($G82-$H82)</f>
        <v>876.93589891019826</v>
      </c>
      <c r="BJ82" s="22">
        <f>VLOOKUP($A82,tabCustoUnit[],COLUMN(CUSTO_GLOBAL[[#Headers],[Materiais de Consumo]])-2,0)*($G82-$H82)</f>
        <v>0</v>
      </c>
      <c r="BK82" s="22">
        <f>VLOOKUP($A82,tabCustoUnit[],COLUMN(CUSTO_GLOBAL[[#Headers],[Máquinas e Equipamentos (depreciação)]])-2,0)*($G82-$H82)</f>
        <v>0</v>
      </c>
      <c r="BL82" s="22">
        <f>VLOOKUP($A82,tabCustoUnit[],COLUMN(CUSTO_GLOBAL[[#Headers],[Produtos de Limpeza e Materiais de Higiene Pessoal]])-2,0)*($G82-$H82)</f>
        <v>0</v>
      </c>
      <c r="BM82" s="22">
        <f>VLOOKUP($A82,tabCustoUnit[],COLUMN(CUSTO_GLOBAL[[#Headers],[Outros (especificar)]])-2,0)*($G82-$H82)</f>
        <v>0</v>
      </c>
      <c r="BN82" s="22">
        <f>VLOOKUP($A82,tabCustoUnit[],COLUMN(CUSTO_GLOBAL[[#Headers],[MÓDULO 5 – INSUMOS DIVERSOS]])-2,0)*($G82-$H82)</f>
        <v>876.93589891019826</v>
      </c>
      <c r="BO82" s="22" t="e">
        <f ca="1">VLOOKUP($A82,tabCustoUnit[],COLUMN(CUSTO_GLOBAL[[#Headers],[TOTAL MÓDULOS 1+2+3+4+5]])-2,0)*($G82-$H82)</f>
        <v>#NAME?</v>
      </c>
      <c r="BP82" s="22" t="e">
        <f ca="1">VLOOKUP($A82,tabCustoUnit[],COLUMN(CUSTO_GLOBAL[[#Headers],[Custos Indiretos]])-2,0)*($G82-$H82)</f>
        <v>#NAME?</v>
      </c>
      <c r="BQ82" s="22" t="e">
        <f ca="1">VLOOKUP($A82,tabCustoUnit[],COLUMN(CUSTO_GLOBAL[[#Headers],[Lucro]])-2,0)*($G82-$H82)</f>
        <v>#NAME?</v>
      </c>
      <c r="BR82" s="26">
        <f>VLOOKUP($A82,tabCustoUnit[],COLUMN(CUSTO_GLOBAL[[#Headers],[COFINS]])-2,0)</f>
        <v>8.8629737609329504E-2</v>
      </c>
      <c r="BS82" s="26">
        <f>VLOOKUP($A82,tabCustoUnit[],COLUMN(CUSTO_GLOBAL[[#Headers],[PIS]])-2,0)</f>
        <v>1.9241982507288629E-2</v>
      </c>
      <c r="BT82" s="28">
        <f>VLOOKUP($A82,tabCustoUnit[],COLUMN(CUSTO_GLOBAL[[#Headers],[ISS]])-2,0)</f>
        <v>0.05</v>
      </c>
      <c r="BU82" s="26">
        <f>VLOOKUP($A82,tabCustoUnit[],COLUMN(CUSTO_GLOBAL[[#Headers],[ISS (Conversão Alíquota s/ fatura)]])-2,0)</f>
        <v>5.8309037900874633E-2</v>
      </c>
      <c r="BV82" s="26">
        <f>VLOOKUP($A82,tabCustoUnit[],COLUMN(CUSTO_GLOBAL[[#Headers],[Resumo de Alíquotas (PIS+CONFINS+ISS)]])-2,0)</f>
        <v>0.14250000000000002</v>
      </c>
      <c r="BW82" s="138">
        <f>VLOOKUP($A82,tabCustoUnit[],COLUMN(CUSTO_GLOBAL[[#Headers],[PIS + COFINS + ISS (Total Conversão  Alíquota s/ Fatura)]])-2,0)</f>
        <v>0.16618075801749277</v>
      </c>
      <c r="BX82" s="22" t="e">
        <f ca="1">VLOOKUP($A82,tabCustoUnit[],COLUMN(CUSTO_GLOBAL[[#Headers],[Valor dos Tributos (ISS, PIS, CONFINS)]])-2,0)*($G82-$H82)</f>
        <v>#NAME?</v>
      </c>
      <c r="BY82" s="22" t="e">
        <f ca="1">VLOOKUP($A82,tabCustoUnit[],COLUMN(CUSTO_GLOBAL[[#Headers],[MÓDULO 6 – CUSTOS INDIRETOS, TRIBUTOS E LUCRO]])-2,0)*($G82-$H82)</f>
        <v>#NAME?</v>
      </c>
      <c r="BZ82" s="22" t="e">
        <f ca="1">VLOOKUP($A82,tabCustoUnit[],COLUMN(CUSTO_GLOBAL[[#Headers],[CUSTO TOTAL MENSAL]])-2,0)*($G82-$H82)</f>
        <v>#NAME?</v>
      </c>
      <c r="CA82" s="22" t="e">
        <f ca="1">CUSTO_GLOBAL[[#This Row],[CUSTO TOTAL MENSAL]]*12</f>
        <v>#NAME?</v>
      </c>
      <c r="CB82" s="24">
        <f>VLOOKUP($A82,tabCustoUnit[],COLUMN(CUSTO_GLOBAL[[#Headers],[ANO DA CCT]])-2,0)</f>
        <v>45658</v>
      </c>
      <c r="CC82" s="25" t="str">
        <f>VLOOKUP($A82,tabCustoUnit[],COLUMN(CUSTO_GLOBAL[[#Headers],[Nº DE PEDIDO DA CCT]])-2,0)</f>
        <v>-</v>
      </c>
      <c r="CD82" s="25" t="str">
        <f>VLOOKUP($A82,tabCustoUnit[],COLUMN(CUSTO_GLOBAL[[#Headers],[TERMO ADITIVO ALTERAÇÃO DA CCT]])-2,0)</f>
        <v>-</v>
      </c>
    </row>
    <row r="83" spans="1:82">
      <c r="A83" s="20" t="s">
        <v>1458</v>
      </c>
      <c r="B83" t="s">
        <v>1103</v>
      </c>
      <c r="C83" t="s">
        <v>379</v>
      </c>
      <c r="D83" t="s">
        <v>1054</v>
      </c>
      <c r="E83" s="20" t="s">
        <v>1090</v>
      </c>
      <c r="F83" s="20" t="s">
        <v>120</v>
      </c>
      <c r="G83" s="20">
        <v>30</v>
      </c>
      <c r="H83" s="20">
        <v>0</v>
      </c>
      <c r="I83" s="21">
        <f>VLOOKUP($A83,tabCustoUnit[],COLUMN(CUSTO_GLOBAL[[#Headers],[Salário Base]])-2,0)*($G83-$H83)</f>
        <v>144138.6</v>
      </c>
      <c r="J83" s="21">
        <f>VLOOKUP($A83,tabCustoUnit[],COLUMN(CUSTO_GLOBAL[[#Headers],[Adicional Periculosidade]])-2,0)*($G83-$H83)</f>
        <v>0</v>
      </c>
      <c r="K83" s="21">
        <f>VLOOKUP($A83,tabCustoUnit[],COLUMN(CUSTO_GLOBAL[[#Headers],[Adicional Insalubridade]])-2,0)*($G83-$H83)</f>
        <v>0</v>
      </c>
      <c r="L83" s="21">
        <f>VLOOKUP($A83,tabCustoUnit[],COLUMN(CUSTO_GLOBAL[[#Headers],[Adicional Noturno]])-2,0)*($G83-$H83)</f>
        <v>0</v>
      </c>
      <c r="M83" s="21">
        <f>VLOOKUP($A83,tabCustoUnit[],COLUMN(CUSTO_GLOBAL[[#Headers],[Adicional Motorista II (Gratificação)]])-2,0)*($G83-$H83)</f>
        <v>0</v>
      </c>
      <c r="N83" s="21">
        <f>VLOOKUP($A83,tabCustoUnit[],COLUMN(CUSTO_GLOBAL[[#Headers],[Adicional de Sobreaviso]])-2,0)*($G83-$H83)</f>
        <v>0</v>
      </c>
      <c r="O83" s="21">
        <f>VLOOKUP($A83,tabCustoUnit[],COLUMN(CUSTO_GLOBAL[[#Headers],[Horas Extras TI]])-2,0)*($G83-$H83)</f>
        <v>8071.7609999999995</v>
      </c>
      <c r="P83" s="21">
        <f>VLOOKUP($A83,tabCustoUnit[],COLUMN(CUSTO_GLOBAL[[#Headers],[Adicional de Acúmulo de função]])-2,0)*($G83-$H83)</f>
        <v>0</v>
      </c>
      <c r="Q83" s="21">
        <f>VLOOKUP($A83,tabCustoUnit[],COLUMN(CUSTO_GLOBAL[[#Headers],[MODULO 1 - REMUNERAÇÃO ]])-2,0)*($G83-$H83)</f>
        <v>152210.36099999998</v>
      </c>
      <c r="R83" s="21">
        <f>VLOOKUP($A83,tabCustoUnit[],COLUMN(CUSTO_GLOBAL[[#Headers],[INSS]])-2,0)*($G83-$H83)</f>
        <v>30442.072199999999</v>
      </c>
      <c r="S83" s="21">
        <f>VLOOKUP($A83,tabCustoUnit[],COLUMN(CUSTO_GLOBAL[[#Headers],[SESI OU SESC]])-2,0)*($G83-$H83)</f>
        <v>2283.1554149999997</v>
      </c>
      <c r="T83" s="21">
        <f>VLOOKUP($A83,tabCustoUnit[],COLUMN(CUSTO_GLOBAL[[#Headers],[SENAI OU SENAC]])-2,0)*($G83-$H83)</f>
        <v>1522.1036099999997</v>
      </c>
      <c r="U83" s="21">
        <f>VLOOKUP($A83,tabCustoUnit[],COLUMN(CUSTO_GLOBAL[[#Headers],[INCRA]])-2,0)*($G83-$H83)</f>
        <v>304.42072199999996</v>
      </c>
      <c r="V83" s="21">
        <f>VLOOKUP($A83,tabCustoUnit[],COLUMN(CUSTO_GLOBAL[[#Headers],[Salário Educação]])-2,0)*($G83-$H83)</f>
        <v>3805.2590249999998</v>
      </c>
      <c r="W83" s="21">
        <f>VLOOKUP($A83,tabCustoUnit[],COLUMN(CUSTO_GLOBAL[[#Headers],[FGTS]])-2,0)*($G83-$H83)</f>
        <v>12176.828879999997</v>
      </c>
      <c r="X83" s="21">
        <f>VLOOKUP($A83,tabCustoUnit[],COLUMN(CUSTO_GLOBAL[[#Headers],[RAT Ajustado]])-2,0)*($G83-$H83)</f>
        <v>6088.4144399999986</v>
      </c>
      <c r="Y83" s="21">
        <f>VLOOKUP($A83,tabCustoUnit[],COLUMN(CUSTO_GLOBAL[[#Headers],[SEBRAE]])-2,0)*($G83-$H83)</f>
        <v>913.26216599999998</v>
      </c>
      <c r="Z83" s="21">
        <f>VLOOKUP($A83,tabCustoUnit[],COLUMN(CUSTO_GLOBAL[[#Headers],[Submódulo 2.1]])-2,0)*($G83-$H83)</f>
        <v>57535.516457999998</v>
      </c>
      <c r="AA83" s="21">
        <f>VLOOKUP($A83,tabCustoUnit[],COLUMN(CUSTO_GLOBAL[[#Headers],[13º salário (titular)]])-2,0)*($G83-$H83)</f>
        <v>12684.196749999997</v>
      </c>
      <c r="AB83" s="21">
        <f>VLOOKUP($A83,tabCustoUnit[],COLUMN(CUSTO_GLOBAL[[#Headers],[Férias e Adicional de Férias (titular)]])-2,0)*($G83-$H83)</f>
        <v>16912.262333333332</v>
      </c>
      <c r="AC83" s="21">
        <f>VLOOKUP($A83,tabCustoUnit[],COLUMN(CUSTO_GLOBAL[[#Headers],[Incidência do Submódulo 2.1 sobre 13º Salário, Férias e Adicional de Férias]])-2,0)*($G83-$H83)</f>
        <v>11187.461533499998</v>
      </c>
      <c r="AD83" s="21">
        <f>VLOOKUP($A83,tabCustoUnit[],COLUMN(CUSTO_GLOBAL[[#Headers],[Submódulo 2.2]])-2,0)*($G83-$H83)</f>
        <v>40783.920616833326</v>
      </c>
      <c r="AE83" s="22" t="e">
        <f ca="1">VLOOKUP($A83,tabCustoUnit[],COLUMN(CUSTO_GLOBAL[[#Headers],[Vale - Transporte (Descontada parcela do empregado)]])-2,0)*($G83-$H83)</f>
        <v>#NAME?</v>
      </c>
      <c r="AF83" s="22">
        <f>VLOOKUP($A83,tabCustoUnit[],COLUMN(CUSTO_GLOBAL[[#Headers],[Vale - Alimentação (Descontada parcela do empregado)]])-2,0)*($G83-$H83)</f>
        <v>17454</v>
      </c>
      <c r="AG83" s="22">
        <f>VLOOKUP($A83,tabCustoUnit[],COLUMN(CUSTO_GLOBAL[[#Headers],[Cesta Básica]])-2,0)*($G83-$H83)</f>
        <v>0</v>
      </c>
      <c r="AH83" s="22">
        <f>VLOOKUP($A83,tabCustoUnit[],COLUMN(CUSTO_GLOBAL[[#Headers],[PAF]])-2,0)*($G83-$H83)</f>
        <v>1551.8999999999999</v>
      </c>
      <c r="AI83" s="22">
        <f>VLOOKUP($A83,tabCustoUnit[],COLUMN(CUSTO_GLOBAL[[#Headers],[PQM]])-2,0)*($G83-$H83)</f>
        <v>0</v>
      </c>
      <c r="AJ83" s="22">
        <v>0</v>
      </c>
      <c r="AK83" s="22">
        <f>VLOOKUP($A83,tabCustoUnit[],COLUMN(CUSTO_GLOBAL[[#Headers],[Seguro de Vida]])-2,0)*($G83-$H83)</f>
        <v>100.8</v>
      </c>
      <c r="AL83" s="22">
        <f>VLOOKUP($A83,tabCustoUnit[],COLUMN(CUSTO_GLOBAL[[#Headers],[Despesas de Viagem]])-2,0)*($G83-$H83)</f>
        <v>6062.4000000000005</v>
      </c>
      <c r="AM83" s="22" t="e">
        <f ca="1">VLOOKUP($A83,tabCustoUnit[],COLUMN(CUSTO_GLOBAL[[#Headers],[Submódulo 2.3]])-2,0)*($G83-$H83)</f>
        <v>#NAME?</v>
      </c>
      <c r="AN83" s="22" t="e">
        <f ca="1">VLOOKUP($A83,tabCustoUnit[],COLUMN(CUSTO_GLOBAL[[#Headers],[MÓDULO 2 - Total Encargos e Benefícios mensais e diários]])-2,0)*($G83-$H83)</f>
        <v>#NAME?</v>
      </c>
      <c r="AO83" s="22">
        <f>VLOOKUP($A83,tabCustoUnit[],COLUMN(CUSTO_GLOBAL[[#Headers],[Aviso Prévio Indenizado (API) e Reflexo do Aviso Prévio Indenizado]])-2,0)*($G83-$H83)</f>
        <v>1067.2635825596064</v>
      </c>
      <c r="AP83" s="22">
        <f>VLOOKUP($A83,tabCustoUnit[],COLUMN(CUSTO_GLOBAL[[#Headers],[Incidência do FGTS sobre API e Reflexo do API]])-2,0)*($G83-$H83)</f>
        <v>85.381086604768512</v>
      </c>
      <c r="AQ83" s="22">
        <f>VLOOKUP($A83,tabCustoUnit[],COLUMN(CUSTO_GLOBAL[[#Headers],[Multa Rescisória do FGTS sobre o Aviso Prévio Indenizado]])-2,0)*($G83-$H83)</f>
        <v>34.152434641907405</v>
      </c>
      <c r="AR83" s="22">
        <f>VLOOKUP($A83,tabCustoUnit[],COLUMN(CUSTO_GLOBAL[[#Headers],[Aviso Prévio Trabalhado - APT]])-2,0)*($G83-$H83)</f>
        <v>532.73626349999995</v>
      </c>
      <c r="AS83" s="22">
        <f>VLOOKUP($A83,tabCustoUnit[],COLUMN(CUSTO_GLOBAL[[#Headers],[Incidência dos encargos do submódulo 2.1 sobre Aviso Prévio Trabalhado]])-2,0)*($G83-$H83)</f>
        <v>201.37430760300003</v>
      </c>
      <c r="AT83" s="22">
        <f>VLOOKUP($A83,tabCustoUnit[],COLUMN(CUSTO_GLOBAL[[#Headers],[Multa Rescisória do FGTS]])-2,0)*($G83-$H83)</f>
        <v>4654.2545941333319</v>
      </c>
      <c r="AU83" s="22">
        <f>VLOOKUP($A83,tabCustoUnit[],COLUMN(CUSTO_GLOBAL[[#Headers],[Indenização Adicional (Art. 9º da Lei nº 7.238/84)]])-2,0)*($G83-$H83)</f>
        <v>126.84196750000001</v>
      </c>
      <c r="AV83" s="22">
        <f>VLOOKUP($A83,tabCustoUnit[],COLUMN(CUSTO_GLOBAL[[#Headers],[MÓDULO 3 – PROVISÃO PARA RESCISÃO]])-2,0)*($G83-$H83)</f>
        <v>6702.0042365426143</v>
      </c>
      <c r="AW83" s="22">
        <f>VLOOKUP($A83,tabCustoUnit[],COLUMN(CUSTO_GLOBAL[[#Headers],[Ausência por Doença]])-2,0)*($G83-$H83)</f>
        <v>1285.3319373333331</v>
      </c>
      <c r="AX83" s="22">
        <f>VLOOKUP($A83,tabCustoUnit[],COLUMN(CUSTO_GLOBAL[[#Headers],[Ausências Legais]])-2,0)*($G83-$H83)</f>
        <v>308.64878758333327</v>
      </c>
      <c r="AY83" s="22">
        <f>VLOOKUP($A83,tabCustoUnit[],COLUMN(CUSTO_GLOBAL[[#Headers],[Licença Paternidade]])-2,0)*($G83-$H83)</f>
        <v>26.002603337499998</v>
      </c>
      <c r="AZ83" s="22">
        <f>VLOOKUP($A83,tabCustoUnit[],COLUMN(CUSTO_GLOBAL[[#Headers],[Ausência por Acidente de Trabalho]])-2,0)*($G83-$H83)</f>
        <v>31.710491875000002</v>
      </c>
      <c r="BA83" s="22">
        <f>VLOOKUP($A83,tabCustoUnit[],COLUMN(CUSTO_GLOBAL[[#Headers],[Férias, Adicional de Férias e 13º  com empregada em gozo de Licença Maternidade]])-2,0)*($G83-$H83)</f>
        <v>197.30972722222219</v>
      </c>
      <c r="BB83" s="22">
        <f>VLOOKUP($A83,tabCustoUnit[],COLUMN(CUSTO_GLOBAL[[#Headers],[Incidência do Submódulo 2.1 sobre Ausências Legais]])-2,0)*($G83-$H83)</f>
        <v>698.92334089882502</v>
      </c>
      <c r="BC83" s="22">
        <f>VLOOKUP($A83,tabCustoUnit[],COLUMN(CUSTO_GLOBAL[[#Headers],[Submódulo 4.1]])-2,0)*($G83-$H83)</f>
        <v>2547.9268882502133</v>
      </c>
      <c r="BD83" s="22">
        <f>VLOOKUP($A83,tabCustoUnit[],COLUMN(CUSTO_GLOBAL[[#Headers],[Intervalo para Repouso ou Alimentação]])-2,0)*($G83-$H83)</f>
        <v>0</v>
      </c>
      <c r="BE83" s="22">
        <f>VLOOKUP($A83,tabCustoUnit[],COLUMN(CUSTO_GLOBAL[[#Headers],[Submódulo 4.2]])-2,0)*($G83-$H83)</f>
        <v>0</v>
      </c>
      <c r="BF83" s="22">
        <f>VLOOKUP($A83,tabCustoUnit[],COLUMN(CUSTO_GLOBAL[[#Headers],[Suspensão Temporária do Contrato de Trabalho]])-2,0)*($G83-$H83)</f>
        <v>0</v>
      </c>
      <c r="BG83" s="22">
        <f>VLOOKUP($A83,tabCustoUnit[],COLUMN(CUSTO_GLOBAL[[#Headers],[Submódulo 4.3]])-2,0)*($G83-$H83)</f>
        <v>0</v>
      </c>
      <c r="BH83" s="22">
        <f>VLOOKUP($A83,tabCustoUnit[],COLUMN(CUSTO_GLOBAL[[#Headers],[MÓDULO 4 – CUSTO DE REPOSIÇÃO DO PROFISSIONAL AUSENTE]])-2,0)*($G83-$H83)</f>
        <v>2547.9268882502133</v>
      </c>
      <c r="BI83" s="22">
        <f>VLOOKUP($A83,tabCustoUnit[],COLUMN(CUSTO_GLOBAL[[#Headers],[Uniformes e EPIs]])-2,0)*($G83-$H83)</f>
        <v>2723.5403934611904</v>
      </c>
      <c r="BJ83" s="22">
        <f>VLOOKUP($A83,tabCustoUnit[],COLUMN(CUSTO_GLOBAL[[#Headers],[Materiais de Consumo]])-2,0)*($G83-$H83)</f>
        <v>0</v>
      </c>
      <c r="BK83" s="22">
        <f>VLOOKUP($A83,tabCustoUnit[],COLUMN(CUSTO_GLOBAL[[#Headers],[Máquinas e Equipamentos (depreciação)]])-2,0)*($G83-$H83)</f>
        <v>0</v>
      </c>
      <c r="BL83" s="22">
        <f>VLOOKUP($A83,tabCustoUnit[],COLUMN(CUSTO_GLOBAL[[#Headers],[Produtos de Limpeza e Materiais de Higiene Pessoal]])-2,0)*($G83-$H83)</f>
        <v>0</v>
      </c>
      <c r="BM83" s="22">
        <f>VLOOKUP($A83,tabCustoUnit[],COLUMN(CUSTO_GLOBAL[[#Headers],[Outros (especificar)]])-2,0)*($G83-$H83)</f>
        <v>0</v>
      </c>
      <c r="BN83" s="22">
        <f>VLOOKUP($A83,tabCustoUnit[],COLUMN(CUSTO_GLOBAL[[#Headers],[MÓDULO 5 – INSUMOS DIVERSOS]])-2,0)*($G83-$H83)</f>
        <v>2723.5403934611904</v>
      </c>
      <c r="BO83" s="22" t="e">
        <f ca="1">VLOOKUP($A83,tabCustoUnit[],COLUMN(CUSTO_GLOBAL[[#Headers],[TOTAL MÓDULOS 1+2+3+4+5]])-2,0)*($G83-$H83)</f>
        <v>#NAME?</v>
      </c>
      <c r="BP83" s="22" t="e">
        <f ca="1">VLOOKUP($A83,tabCustoUnit[],COLUMN(CUSTO_GLOBAL[[#Headers],[Custos Indiretos]])-2,0)*($G83-$H83)</f>
        <v>#NAME?</v>
      </c>
      <c r="BQ83" s="22" t="e">
        <f ca="1">VLOOKUP($A83,tabCustoUnit[],COLUMN(CUSTO_GLOBAL[[#Headers],[Lucro]])-2,0)*($G83-$H83)</f>
        <v>#NAME?</v>
      </c>
      <c r="BR83" s="26">
        <f>VLOOKUP($A83,tabCustoUnit[],COLUMN(CUSTO_GLOBAL[[#Headers],[COFINS]])-2,0)</f>
        <v>8.8629737609329504E-2</v>
      </c>
      <c r="BS83" s="26">
        <f>VLOOKUP($A83,tabCustoUnit[],COLUMN(CUSTO_GLOBAL[[#Headers],[PIS]])-2,0)</f>
        <v>1.9241982507288629E-2</v>
      </c>
      <c r="BT83" s="28">
        <f>VLOOKUP($A83,tabCustoUnit[],COLUMN(CUSTO_GLOBAL[[#Headers],[ISS]])-2,0)</f>
        <v>0.05</v>
      </c>
      <c r="BU83" s="26">
        <f>VLOOKUP($A83,tabCustoUnit[],COLUMN(CUSTO_GLOBAL[[#Headers],[ISS (Conversão Alíquota s/ fatura)]])-2,0)</f>
        <v>5.8309037900874633E-2</v>
      </c>
      <c r="BV83" s="26">
        <f>VLOOKUP($A83,tabCustoUnit[],COLUMN(CUSTO_GLOBAL[[#Headers],[Resumo de Alíquotas (PIS+CONFINS+ISS)]])-2,0)</f>
        <v>0.14250000000000002</v>
      </c>
      <c r="BW83" s="138">
        <f>VLOOKUP($A83,tabCustoUnit[],COLUMN(CUSTO_GLOBAL[[#Headers],[PIS + COFINS + ISS (Total Conversão  Alíquota s/ Fatura)]])-2,0)</f>
        <v>0.16618075801749277</v>
      </c>
      <c r="BX83" s="22" t="e">
        <f ca="1">VLOOKUP($A83,tabCustoUnit[],COLUMN(CUSTO_GLOBAL[[#Headers],[Valor dos Tributos (ISS, PIS, CONFINS)]])-2,0)*($G83-$H83)</f>
        <v>#NAME?</v>
      </c>
      <c r="BY83" s="22" t="e">
        <f ca="1">VLOOKUP($A83,tabCustoUnit[],COLUMN(CUSTO_GLOBAL[[#Headers],[MÓDULO 6 – CUSTOS INDIRETOS, TRIBUTOS E LUCRO]])-2,0)*($G83-$H83)</f>
        <v>#NAME?</v>
      </c>
      <c r="BZ83" s="22" t="e">
        <f ca="1">VLOOKUP($A83,tabCustoUnit[],COLUMN(CUSTO_GLOBAL[[#Headers],[CUSTO TOTAL MENSAL]])-2,0)*($G83-$H83)</f>
        <v>#NAME?</v>
      </c>
      <c r="CA83" s="22" t="e">
        <f ca="1">CUSTO_GLOBAL[[#This Row],[CUSTO TOTAL MENSAL]]*12</f>
        <v>#NAME?</v>
      </c>
      <c r="CB83" s="24">
        <f>VLOOKUP($A83,tabCustoUnit[],COLUMN(CUSTO_GLOBAL[[#Headers],[ANO DA CCT]])-2,0)</f>
        <v>45658</v>
      </c>
      <c r="CC83" s="25" t="str">
        <f>VLOOKUP($A83,tabCustoUnit[],COLUMN(CUSTO_GLOBAL[[#Headers],[Nº DE PEDIDO DA CCT]])-2,0)</f>
        <v>-</v>
      </c>
      <c r="CD83" s="25" t="str">
        <f>VLOOKUP($A83,tabCustoUnit[],COLUMN(CUSTO_GLOBAL[[#Headers],[TERMO ADITIVO ALTERAÇÃO DA CCT]])-2,0)</f>
        <v>-</v>
      </c>
    </row>
    <row r="84" spans="1:82">
      <c r="A84" s="20" t="s">
        <v>1551</v>
      </c>
      <c r="B84" t="s">
        <v>1103</v>
      </c>
      <c r="C84" t="s">
        <v>383</v>
      </c>
      <c r="D84" t="s">
        <v>1054</v>
      </c>
      <c r="E84" s="20" t="s">
        <v>1090</v>
      </c>
      <c r="F84" s="20" t="s">
        <v>120</v>
      </c>
      <c r="G84" s="20">
        <v>30</v>
      </c>
      <c r="H84" s="20">
        <v>0</v>
      </c>
      <c r="I84" s="21">
        <f>VLOOKUP($A84,tabCustoUnit[],COLUMN(CUSTO_GLOBAL[[#Headers],[Salário Base]])-2,0)*($G84-$H84)</f>
        <v>170333.1</v>
      </c>
      <c r="J84" s="21">
        <f>VLOOKUP($A84,tabCustoUnit[],COLUMN(CUSTO_GLOBAL[[#Headers],[Adicional Periculosidade]])-2,0)*($G84-$H84)</f>
        <v>0</v>
      </c>
      <c r="K84" s="21">
        <f>VLOOKUP($A84,tabCustoUnit[],COLUMN(CUSTO_GLOBAL[[#Headers],[Adicional Insalubridade]])-2,0)*($G84-$H84)</f>
        <v>0</v>
      </c>
      <c r="L84" s="21">
        <f>VLOOKUP($A84,tabCustoUnit[],COLUMN(CUSTO_GLOBAL[[#Headers],[Adicional Noturno]])-2,0)*($G84-$H84)</f>
        <v>0</v>
      </c>
      <c r="M84" s="21">
        <f>VLOOKUP($A84,tabCustoUnit[],COLUMN(CUSTO_GLOBAL[[#Headers],[Adicional Motorista II (Gratificação)]])-2,0)*($G84-$H84)</f>
        <v>0</v>
      </c>
      <c r="N84" s="21">
        <f>VLOOKUP($A84,tabCustoUnit[],COLUMN(CUSTO_GLOBAL[[#Headers],[Adicional de Sobreaviso]])-2,0)*($G84-$H84)</f>
        <v>0</v>
      </c>
      <c r="O84" s="21">
        <f>VLOOKUP($A84,tabCustoUnit[],COLUMN(CUSTO_GLOBAL[[#Headers],[Horas Extras TI]])-2,0)*($G84-$H84)</f>
        <v>9538.6530000000002</v>
      </c>
      <c r="P84" s="21">
        <f>VLOOKUP($A84,tabCustoUnit[],COLUMN(CUSTO_GLOBAL[[#Headers],[Adicional de Acúmulo de função]])-2,0)*($G84-$H84)</f>
        <v>0</v>
      </c>
      <c r="Q84" s="21">
        <f>VLOOKUP($A84,tabCustoUnit[],COLUMN(CUSTO_GLOBAL[[#Headers],[MODULO 1 - REMUNERAÇÃO ]])-2,0)*($G84-$H84)</f>
        <v>179871.75300000003</v>
      </c>
      <c r="R84" s="21">
        <f>VLOOKUP($A84,tabCustoUnit[],COLUMN(CUSTO_GLOBAL[[#Headers],[INSS]])-2,0)*($G84-$H84)</f>
        <v>35974.350600000005</v>
      </c>
      <c r="S84" s="21">
        <f>VLOOKUP($A84,tabCustoUnit[],COLUMN(CUSTO_GLOBAL[[#Headers],[SESI OU SESC]])-2,0)*($G84-$H84)</f>
        <v>2698.0762950000003</v>
      </c>
      <c r="T84" s="21">
        <f>VLOOKUP($A84,tabCustoUnit[],COLUMN(CUSTO_GLOBAL[[#Headers],[SENAI OU SENAC]])-2,0)*($G84-$H84)</f>
        <v>1798.7175300000001</v>
      </c>
      <c r="U84" s="21">
        <f>VLOOKUP($A84,tabCustoUnit[],COLUMN(CUSTO_GLOBAL[[#Headers],[INCRA]])-2,0)*($G84-$H84)</f>
        <v>359.74350600000002</v>
      </c>
      <c r="V84" s="21">
        <f>VLOOKUP($A84,tabCustoUnit[],COLUMN(CUSTO_GLOBAL[[#Headers],[Salário Educação]])-2,0)*($G84-$H84)</f>
        <v>4496.7938250000007</v>
      </c>
      <c r="W84" s="21">
        <f>VLOOKUP($A84,tabCustoUnit[],COLUMN(CUSTO_GLOBAL[[#Headers],[FGTS]])-2,0)*($G84-$H84)</f>
        <v>14389.740240000001</v>
      </c>
      <c r="X84" s="21">
        <f>VLOOKUP($A84,tabCustoUnit[],COLUMN(CUSTO_GLOBAL[[#Headers],[RAT Ajustado]])-2,0)*($G84-$H84)</f>
        <v>7194.8701200000005</v>
      </c>
      <c r="Y84" s="21">
        <f>VLOOKUP($A84,tabCustoUnit[],COLUMN(CUSTO_GLOBAL[[#Headers],[SEBRAE]])-2,0)*($G84-$H84)</f>
        <v>1079.2305180000001</v>
      </c>
      <c r="Z84" s="21">
        <f>VLOOKUP($A84,tabCustoUnit[],COLUMN(CUSTO_GLOBAL[[#Headers],[Submódulo 2.1]])-2,0)*($G84-$H84)</f>
        <v>67991.522634000008</v>
      </c>
      <c r="AA84" s="21">
        <f>VLOOKUP($A84,tabCustoUnit[],COLUMN(CUSTO_GLOBAL[[#Headers],[13º salário (titular)]])-2,0)*($G84-$H84)</f>
        <v>14989.312750000001</v>
      </c>
      <c r="AB84" s="21">
        <f>VLOOKUP($A84,tabCustoUnit[],COLUMN(CUSTO_GLOBAL[[#Headers],[Férias e Adicional de Férias (titular)]])-2,0)*($G84-$H84)</f>
        <v>19985.750333333337</v>
      </c>
      <c r="AC84" s="21">
        <f>VLOOKUP($A84,tabCustoUnit[],COLUMN(CUSTO_GLOBAL[[#Headers],[Incidência do Submódulo 2.1 sobre 13º Salário, Férias e Adicional de Férias]])-2,0)*($G84-$H84)</f>
        <v>13220.573845500001</v>
      </c>
      <c r="AD84" s="21">
        <f>VLOOKUP($A84,tabCustoUnit[],COLUMN(CUSTO_GLOBAL[[#Headers],[Submódulo 2.2]])-2,0)*($G84-$H84)</f>
        <v>48195.636928833337</v>
      </c>
      <c r="AE84" s="22" t="e">
        <f ca="1">VLOOKUP($A84,tabCustoUnit[],COLUMN(CUSTO_GLOBAL[[#Headers],[Vale - Transporte (Descontada parcela do empregado)]])-2,0)*($G84-$H84)</f>
        <v>#NAME?</v>
      </c>
      <c r="AF84" s="22">
        <f>VLOOKUP($A84,tabCustoUnit[],COLUMN(CUSTO_GLOBAL[[#Headers],[Vale - Alimentação (Descontada parcela do empregado)]])-2,0)*($G84-$H84)</f>
        <v>17454</v>
      </c>
      <c r="AG84" s="22">
        <f>VLOOKUP($A84,tabCustoUnit[],COLUMN(CUSTO_GLOBAL[[#Headers],[Cesta Básica]])-2,0)*($G84-$H84)</f>
        <v>0</v>
      </c>
      <c r="AH84" s="22">
        <f>VLOOKUP($A84,tabCustoUnit[],COLUMN(CUSTO_GLOBAL[[#Headers],[PAF]])-2,0)*($G84-$H84)</f>
        <v>1551.8999999999999</v>
      </c>
      <c r="AI84" s="22">
        <f>VLOOKUP($A84,tabCustoUnit[],COLUMN(CUSTO_GLOBAL[[#Headers],[PQM]])-2,0)*($G84-$H84)</f>
        <v>0</v>
      </c>
      <c r="AJ84" s="22">
        <v>0</v>
      </c>
      <c r="AK84" s="22">
        <f>VLOOKUP($A84,tabCustoUnit[],COLUMN(CUSTO_GLOBAL[[#Headers],[Seguro de Vida]])-2,0)*($G84-$H84)</f>
        <v>100.8</v>
      </c>
      <c r="AL84" s="22">
        <f>VLOOKUP($A84,tabCustoUnit[],COLUMN(CUSTO_GLOBAL[[#Headers],[Despesas de Viagem]])-2,0)*($G84-$H84)</f>
        <v>6062.4000000000005</v>
      </c>
      <c r="AM84" s="22" t="e">
        <f ca="1">VLOOKUP($A84,tabCustoUnit[],COLUMN(CUSTO_GLOBAL[[#Headers],[Submódulo 2.3]])-2,0)*($G84-$H84)</f>
        <v>#NAME?</v>
      </c>
      <c r="AN84" s="22" t="e">
        <f ca="1">VLOOKUP($A84,tabCustoUnit[],COLUMN(CUSTO_GLOBAL[[#Headers],[MÓDULO 2 - Total Encargos e Benefícios mensais e diários]])-2,0)*($G84-$H84)</f>
        <v>#NAME?</v>
      </c>
      <c r="AO84" s="22">
        <f>VLOOKUP($A84,tabCustoUnit[],COLUMN(CUSTO_GLOBAL[[#Headers],[Aviso Prévio Indenizado (API) e Reflexo do Aviso Prévio Indenizado]])-2,0)*($G84-$H84)</f>
        <v>1261.2188174762732</v>
      </c>
      <c r="AP84" s="22">
        <f>VLOOKUP($A84,tabCustoUnit[],COLUMN(CUSTO_GLOBAL[[#Headers],[Incidência do FGTS sobre API e Reflexo do API]])-2,0)*($G84-$H84)</f>
        <v>100.89750539810187</v>
      </c>
      <c r="AQ84" s="22">
        <f>VLOOKUP($A84,tabCustoUnit[],COLUMN(CUSTO_GLOBAL[[#Headers],[Multa Rescisória do FGTS sobre o Aviso Prévio Indenizado]])-2,0)*($G84-$H84)</f>
        <v>40.359002159240752</v>
      </c>
      <c r="AR84" s="22">
        <f>VLOOKUP($A84,tabCustoUnit[],COLUMN(CUSTO_GLOBAL[[#Headers],[Aviso Prévio Trabalhado - APT]])-2,0)*($G84-$H84)</f>
        <v>629.5511355000001</v>
      </c>
      <c r="AS84" s="22">
        <f>VLOOKUP($A84,tabCustoUnit[],COLUMN(CUSTO_GLOBAL[[#Headers],[Incidência dos encargos do submódulo 2.1 sobre Aviso Prévio Trabalhado]])-2,0)*($G84-$H84)</f>
        <v>237.97032921900009</v>
      </c>
      <c r="AT84" s="22">
        <f>VLOOKUP($A84,tabCustoUnit[],COLUMN(CUSTO_GLOBAL[[#Headers],[Multa Rescisória do FGTS]])-2,0)*($G84-$H84)</f>
        <v>5500.0784917333331</v>
      </c>
      <c r="AU84" s="22">
        <f>VLOOKUP($A84,tabCustoUnit[],COLUMN(CUSTO_GLOBAL[[#Headers],[Indenização Adicional (Art. 9º da Lei nº 7.238/84)]])-2,0)*($G84-$H84)</f>
        <v>149.89312750000002</v>
      </c>
      <c r="AV84" s="22">
        <f>VLOOKUP($A84,tabCustoUnit[],COLUMN(CUSTO_GLOBAL[[#Headers],[MÓDULO 3 – PROVISÃO PARA RESCISÃO]])-2,0)*($G84-$H84)</f>
        <v>7919.9684089859484</v>
      </c>
      <c r="AW84" s="22">
        <f>VLOOKUP($A84,tabCustoUnit[],COLUMN(CUSTO_GLOBAL[[#Headers],[Ausência por Doença]])-2,0)*($G84-$H84)</f>
        <v>1518.9170253333332</v>
      </c>
      <c r="AX84" s="22">
        <f>VLOOKUP($A84,tabCustoUnit[],COLUMN(CUSTO_GLOBAL[[#Headers],[Ausências Legais]])-2,0)*($G84-$H84)</f>
        <v>364.73994358333334</v>
      </c>
      <c r="AY84" s="22">
        <f>VLOOKUP($A84,tabCustoUnit[],COLUMN(CUSTO_GLOBAL[[#Headers],[Licença Paternidade]])-2,0)*($G84-$H84)</f>
        <v>30.728091137500002</v>
      </c>
      <c r="AZ84" s="22">
        <f>VLOOKUP($A84,tabCustoUnit[],COLUMN(CUSTO_GLOBAL[[#Headers],[Ausência por Acidente de Trabalho]])-2,0)*($G84-$H84)</f>
        <v>37.473281875000005</v>
      </c>
      <c r="BA84" s="22">
        <f>VLOOKUP($A84,tabCustoUnit[],COLUMN(CUSTO_GLOBAL[[#Headers],[Férias, Adicional de Férias e 13º  com empregada em gozo de Licença Maternidade]])-2,0)*($G84-$H84)</f>
        <v>233.16708722222225</v>
      </c>
      <c r="BB84" s="22">
        <f>VLOOKUP($A84,tabCustoUnit[],COLUMN(CUSTO_GLOBAL[[#Headers],[Incidência do Submódulo 2.1 sobre Ausências Legais]])-2,0)*($G84-$H84)</f>
        <v>825.93961221922518</v>
      </c>
      <c r="BC84" s="22">
        <f>VLOOKUP($A84,tabCustoUnit[],COLUMN(CUSTO_GLOBAL[[#Headers],[Submódulo 4.1]])-2,0)*($G84-$H84)</f>
        <v>3010.9650413706136</v>
      </c>
      <c r="BD84" s="22">
        <f>VLOOKUP($A84,tabCustoUnit[],COLUMN(CUSTO_GLOBAL[[#Headers],[Intervalo para Repouso ou Alimentação]])-2,0)*($G84-$H84)</f>
        <v>0</v>
      </c>
      <c r="BE84" s="22">
        <f>VLOOKUP($A84,tabCustoUnit[],COLUMN(CUSTO_GLOBAL[[#Headers],[Submódulo 4.2]])-2,0)*($G84-$H84)</f>
        <v>0</v>
      </c>
      <c r="BF84" s="22">
        <f>VLOOKUP($A84,tabCustoUnit[],COLUMN(CUSTO_GLOBAL[[#Headers],[Suspensão Temporária do Contrato de Trabalho]])-2,0)*($G84-$H84)</f>
        <v>0</v>
      </c>
      <c r="BG84" s="22">
        <f>VLOOKUP($A84,tabCustoUnit[],COLUMN(CUSTO_GLOBAL[[#Headers],[Submódulo 4.3]])-2,0)*($G84-$H84)</f>
        <v>0</v>
      </c>
      <c r="BH84" s="22">
        <f>VLOOKUP($A84,tabCustoUnit[],COLUMN(CUSTO_GLOBAL[[#Headers],[MÓDULO 4 – CUSTO DE REPOSIÇÃO DO PROFISSIONAL AUSENTE]])-2,0)*($G84-$H84)</f>
        <v>3010.9650413706136</v>
      </c>
      <c r="BI84" s="22">
        <f>VLOOKUP($A84,tabCustoUnit[],COLUMN(CUSTO_GLOBAL[[#Headers],[Uniformes e EPIs]])-2,0)*($G84-$H84)</f>
        <v>2723.5403934611904</v>
      </c>
      <c r="BJ84" s="22">
        <f>VLOOKUP($A84,tabCustoUnit[],COLUMN(CUSTO_GLOBAL[[#Headers],[Materiais de Consumo]])-2,0)*($G84-$H84)</f>
        <v>0</v>
      </c>
      <c r="BK84" s="22">
        <f>VLOOKUP($A84,tabCustoUnit[],COLUMN(CUSTO_GLOBAL[[#Headers],[Máquinas e Equipamentos (depreciação)]])-2,0)*($G84-$H84)</f>
        <v>0</v>
      </c>
      <c r="BL84" s="22">
        <f>VLOOKUP($A84,tabCustoUnit[],COLUMN(CUSTO_GLOBAL[[#Headers],[Produtos de Limpeza e Materiais de Higiene Pessoal]])-2,0)*($G84-$H84)</f>
        <v>0</v>
      </c>
      <c r="BM84" s="22">
        <f>VLOOKUP($A84,tabCustoUnit[],COLUMN(CUSTO_GLOBAL[[#Headers],[Outros (especificar)]])-2,0)*($G84-$H84)</f>
        <v>0</v>
      </c>
      <c r="BN84" s="22">
        <f>VLOOKUP($A84,tabCustoUnit[],COLUMN(CUSTO_GLOBAL[[#Headers],[MÓDULO 5 – INSUMOS DIVERSOS]])-2,0)*($G84-$H84)</f>
        <v>2723.5403934611904</v>
      </c>
      <c r="BO84" s="22" t="e">
        <f ca="1">VLOOKUP($A84,tabCustoUnit[],COLUMN(CUSTO_GLOBAL[[#Headers],[TOTAL MÓDULOS 1+2+3+4+5]])-2,0)*($G84-$H84)</f>
        <v>#NAME?</v>
      </c>
      <c r="BP84" s="22" t="e">
        <f ca="1">VLOOKUP($A84,tabCustoUnit[],COLUMN(CUSTO_GLOBAL[[#Headers],[Custos Indiretos]])-2,0)*($G84-$H84)</f>
        <v>#NAME?</v>
      </c>
      <c r="BQ84" s="22" t="e">
        <f ca="1">VLOOKUP($A84,tabCustoUnit[],COLUMN(CUSTO_GLOBAL[[#Headers],[Lucro]])-2,0)*($G84-$H84)</f>
        <v>#NAME?</v>
      </c>
      <c r="BR84" s="26">
        <f>VLOOKUP($A84,tabCustoUnit[],COLUMN(CUSTO_GLOBAL[[#Headers],[COFINS]])-2,0)</f>
        <v>8.8629737609329504E-2</v>
      </c>
      <c r="BS84" s="26">
        <f>VLOOKUP($A84,tabCustoUnit[],COLUMN(CUSTO_GLOBAL[[#Headers],[PIS]])-2,0)</f>
        <v>1.9241982507288629E-2</v>
      </c>
      <c r="BT84" s="28">
        <f>VLOOKUP($A84,tabCustoUnit[],COLUMN(CUSTO_GLOBAL[[#Headers],[ISS]])-2,0)</f>
        <v>0.05</v>
      </c>
      <c r="BU84" s="26">
        <f>VLOOKUP($A84,tabCustoUnit[],COLUMN(CUSTO_GLOBAL[[#Headers],[ISS (Conversão Alíquota s/ fatura)]])-2,0)</f>
        <v>5.8309037900874633E-2</v>
      </c>
      <c r="BV84" s="26">
        <f>VLOOKUP($A84,tabCustoUnit[],COLUMN(CUSTO_GLOBAL[[#Headers],[Resumo de Alíquotas (PIS+CONFINS+ISS)]])-2,0)</f>
        <v>0.14250000000000002</v>
      </c>
      <c r="BW84" s="138">
        <f>VLOOKUP($A84,tabCustoUnit[],COLUMN(CUSTO_GLOBAL[[#Headers],[PIS + COFINS + ISS (Total Conversão  Alíquota s/ Fatura)]])-2,0)</f>
        <v>0.16618075801749277</v>
      </c>
      <c r="BX84" s="22" t="e">
        <f ca="1">VLOOKUP($A84,tabCustoUnit[],COLUMN(CUSTO_GLOBAL[[#Headers],[Valor dos Tributos (ISS, PIS, CONFINS)]])-2,0)*($G84-$H84)</f>
        <v>#NAME?</v>
      </c>
      <c r="BY84" s="22" t="e">
        <f ca="1">VLOOKUP($A84,tabCustoUnit[],COLUMN(CUSTO_GLOBAL[[#Headers],[MÓDULO 6 – CUSTOS INDIRETOS, TRIBUTOS E LUCRO]])-2,0)*($G84-$H84)</f>
        <v>#NAME?</v>
      </c>
      <c r="BZ84" s="22" t="e">
        <f ca="1">VLOOKUP($A84,tabCustoUnit[],COLUMN(CUSTO_GLOBAL[[#Headers],[CUSTO TOTAL MENSAL]])-2,0)*($G84-$H84)</f>
        <v>#NAME?</v>
      </c>
      <c r="CA84" s="22" t="e">
        <f ca="1">CUSTO_GLOBAL[[#This Row],[CUSTO TOTAL MENSAL]]*12</f>
        <v>#NAME?</v>
      </c>
      <c r="CB84" s="24">
        <f>VLOOKUP($A84,tabCustoUnit[],COLUMN(CUSTO_GLOBAL[[#Headers],[ANO DA CCT]])-2,0)</f>
        <v>45658</v>
      </c>
      <c r="CC84" s="25" t="str">
        <f>VLOOKUP($A84,tabCustoUnit[],COLUMN(CUSTO_GLOBAL[[#Headers],[Nº DE PEDIDO DA CCT]])-2,0)</f>
        <v>-</v>
      </c>
      <c r="CD84" s="25" t="str">
        <f>VLOOKUP($A84,tabCustoUnit[],COLUMN(CUSTO_GLOBAL[[#Headers],[TERMO ADITIVO ALTERAÇÃO DA CCT]])-2,0)</f>
        <v>-</v>
      </c>
    </row>
    <row r="85" spans="1:82">
      <c r="A85" s="20" t="s">
        <v>1552</v>
      </c>
      <c r="B85" t="s">
        <v>1103</v>
      </c>
      <c r="C85" t="s">
        <v>387</v>
      </c>
      <c r="D85" t="s">
        <v>1054</v>
      </c>
      <c r="E85" s="20" t="s">
        <v>1090</v>
      </c>
      <c r="F85" s="20" t="s">
        <v>120</v>
      </c>
      <c r="G85" s="20">
        <v>24</v>
      </c>
      <c r="H85" s="20">
        <v>0</v>
      </c>
      <c r="I85" s="21">
        <f>VLOOKUP($A85,tabCustoUnit[],COLUMN(CUSTO_GLOBAL[[#Headers],[Salário Base]])-2,0)*($G85-$H85)</f>
        <v>164080.79999999999</v>
      </c>
      <c r="J85" s="21">
        <f>VLOOKUP($A85,tabCustoUnit[],COLUMN(CUSTO_GLOBAL[[#Headers],[Adicional Periculosidade]])-2,0)*($G85-$H85)</f>
        <v>0</v>
      </c>
      <c r="K85" s="21">
        <f>VLOOKUP($A85,tabCustoUnit[],COLUMN(CUSTO_GLOBAL[[#Headers],[Adicional Insalubridade]])-2,0)*($G85-$H85)</f>
        <v>0</v>
      </c>
      <c r="L85" s="21">
        <f>VLOOKUP($A85,tabCustoUnit[],COLUMN(CUSTO_GLOBAL[[#Headers],[Adicional Noturno]])-2,0)*($G85-$H85)</f>
        <v>0</v>
      </c>
      <c r="M85" s="21">
        <f>VLOOKUP($A85,tabCustoUnit[],COLUMN(CUSTO_GLOBAL[[#Headers],[Adicional Motorista II (Gratificação)]])-2,0)*($G85-$H85)</f>
        <v>0</v>
      </c>
      <c r="N85" s="21">
        <f>VLOOKUP($A85,tabCustoUnit[],COLUMN(CUSTO_GLOBAL[[#Headers],[Adicional de Sobreaviso]])-2,0)*($G85-$H85)</f>
        <v>0</v>
      </c>
      <c r="O85" s="21">
        <f>VLOOKUP($A85,tabCustoUnit[],COLUMN(CUSTO_GLOBAL[[#Headers],[Horas Extras TI]])-2,0)*($G85-$H85)</f>
        <v>9188.5248000000011</v>
      </c>
      <c r="P85" s="21">
        <f>VLOOKUP($A85,tabCustoUnit[],COLUMN(CUSTO_GLOBAL[[#Headers],[Adicional de Acúmulo de função]])-2,0)*($G85-$H85)</f>
        <v>0</v>
      </c>
      <c r="Q85" s="21">
        <f>VLOOKUP($A85,tabCustoUnit[],COLUMN(CUSTO_GLOBAL[[#Headers],[MODULO 1 - REMUNERAÇÃO ]])-2,0)*($G85-$H85)</f>
        <v>173269.3248</v>
      </c>
      <c r="R85" s="21">
        <f>VLOOKUP($A85,tabCustoUnit[],COLUMN(CUSTO_GLOBAL[[#Headers],[INSS]])-2,0)*($G85-$H85)</f>
        <v>34653.864959999999</v>
      </c>
      <c r="S85" s="21">
        <f>VLOOKUP($A85,tabCustoUnit[],COLUMN(CUSTO_GLOBAL[[#Headers],[SESI OU SESC]])-2,0)*($G85-$H85)</f>
        <v>2599.0398719999998</v>
      </c>
      <c r="T85" s="21">
        <f>VLOOKUP($A85,tabCustoUnit[],COLUMN(CUSTO_GLOBAL[[#Headers],[SENAI OU SENAC]])-2,0)*($G85-$H85)</f>
        <v>1732.693248</v>
      </c>
      <c r="U85" s="21">
        <f>VLOOKUP($A85,tabCustoUnit[],COLUMN(CUSTO_GLOBAL[[#Headers],[INCRA]])-2,0)*($G85-$H85)</f>
        <v>346.53864959999999</v>
      </c>
      <c r="V85" s="21">
        <f>VLOOKUP($A85,tabCustoUnit[],COLUMN(CUSTO_GLOBAL[[#Headers],[Salário Educação]])-2,0)*($G85-$H85)</f>
        <v>4331.7331199999999</v>
      </c>
      <c r="W85" s="21">
        <f>VLOOKUP($A85,tabCustoUnit[],COLUMN(CUSTO_GLOBAL[[#Headers],[FGTS]])-2,0)*($G85-$H85)</f>
        <v>13861.545984</v>
      </c>
      <c r="X85" s="21">
        <f>VLOOKUP($A85,tabCustoUnit[],COLUMN(CUSTO_GLOBAL[[#Headers],[RAT Ajustado]])-2,0)*($G85-$H85)</f>
        <v>6930.7729920000002</v>
      </c>
      <c r="Y85" s="21">
        <f>VLOOKUP($A85,tabCustoUnit[],COLUMN(CUSTO_GLOBAL[[#Headers],[SEBRAE]])-2,0)*($G85-$H85)</f>
        <v>1039.6159487999998</v>
      </c>
      <c r="Z85" s="21">
        <f>VLOOKUP($A85,tabCustoUnit[],COLUMN(CUSTO_GLOBAL[[#Headers],[Submódulo 2.1]])-2,0)*($G85-$H85)</f>
        <v>65495.8047744</v>
      </c>
      <c r="AA85" s="21">
        <f>VLOOKUP($A85,tabCustoUnit[],COLUMN(CUSTO_GLOBAL[[#Headers],[13º salário (titular)]])-2,0)*($G85-$H85)</f>
        <v>14439.1104</v>
      </c>
      <c r="AB85" s="21">
        <f>VLOOKUP($A85,tabCustoUnit[],COLUMN(CUSTO_GLOBAL[[#Headers],[Férias e Adicional de Férias (titular)]])-2,0)*($G85-$H85)</f>
        <v>19252.147199999999</v>
      </c>
      <c r="AC85" s="21">
        <f>VLOOKUP($A85,tabCustoUnit[],COLUMN(CUSTO_GLOBAL[[#Headers],[Incidência do Submódulo 2.1 sobre 13º Salário, Férias e Adicional de Férias]])-2,0)*($G85-$H85)</f>
        <v>12735.295372799999</v>
      </c>
      <c r="AD85" s="21">
        <f>VLOOKUP($A85,tabCustoUnit[],COLUMN(CUSTO_GLOBAL[[#Headers],[Submódulo 2.2]])-2,0)*($G85-$H85)</f>
        <v>46426.552972800004</v>
      </c>
      <c r="AE85" s="22" t="e">
        <f ca="1">VLOOKUP($A85,tabCustoUnit[],COLUMN(CUSTO_GLOBAL[[#Headers],[Vale - Transporte (Descontada parcela do empregado)]])-2,0)*($G85-$H85)</f>
        <v>#NAME?</v>
      </c>
      <c r="AF85" s="22">
        <f>VLOOKUP($A85,tabCustoUnit[],COLUMN(CUSTO_GLOBAL[[#Headers],[Vale - Alimentação (Descontada parcela do empregado)]])-2,0)*($G85-$H85)</f>
        <v>13963.199999999999</v>
      </c>
      <c r="AG85" s="22">
        <f>VLOOKUP($A85,tabCustoUnit[],COLUMN(CUSTO_GLOBAL[[#Headers],[Cesta Básica]])-2,0)*($G85-$H85)</f>
        <v>0</v>
      </c>
      <c r="AH85" s="22">
        <f>VLOOKUP($A85,tabCustoUnit[],COLUMN(CUSTO_GLOBAL[[#Headers],[PAF]])-2,0)*($G85-$H85)</f>
        <v>1241.52</v>
      </c>
      <c r="AI85" s="22">
        <f>VLOOKUP($A85,tabCustoUnit[],COLUMN(CUSTO_GLOBAL[[#Headers],[PQM]])-2,0)*($G85-$H85)</f>
        <v>0</v>
      </c>
      <c r="AJ85" s="22">
        <v>0</v>
      </c>
      <c r="AK85" s="22">
        <f>VLOOKUP($A85,tabCustoUnit[],COLUMN(CUSTO_GLOBAL[[#Headers],[Seguro de Vida]])-2,0)*($G85-$H85)</f>
        <v>80.64</v>
      </c>
      <c r="AL85" s="22">
        <f>VLOOKUP($A85,tabCustoUnit[],COLUMN(CUSTO_GLOBAL[[#Headers],[Despesas de Viagem]])-2,0)*($G85-$H85)</f>
        <v>4849.92</v>
      </c>
      <c r="AM85" s="22" t="e">
        <f ca="1">VLOOKUP($A85,tabCustoUnit[],COLUMN(CUSTO_GLOBAL[[#Headers],[Submódulo 2.3]])-2,0)*($G85-$H85)</f>
        <v>#NAME?</v>
      </c>
      <c r="AN85" s="22" t="e">
        <f ca="1">VLOOKUP($A85,tabCustoUnit[],COLUMN(CUSTO_GLOBAL[[#Headers],[MÓDULO 2 - Total Encargos e Benefícios mensais e diários]])-2,0)*($G85-$H85)</f>
        <v>#NAME?</v>
      </c>
      <c r="AO85" s="22">
        <f>VLOOKUP($A85,tabCustoUnit[],COLUMN(CUSTO_GLOBAL[[#Headers],[Aviso Prévio Indenizado (API) e Reflexo do Aviso Prévio Indenizado]])-2,0)*($G85-$H85)</f>
        <v>1214.9241294666667</v>
      </c>
      <c r="AP85" s="22">
        <f>VLOOKUP($A85,tabCustoUnit[],COLUMN(CUSTO_GLOBAL[[#Headers],[Incidência do FGTS sobre API e Reflexo do API]])-2,0)*($G85-$H85)</f>
        <v>97.193930357333329</v>
      </c>
      <c r="AQ85" s="22">
        <f>VLOOKUP($A85,tabCustoUnit[],COLUMN(CUSTO_GLOBAL[[#Headers],[Multa Rescisória do FGTS sobre o Aviso Prévio Indenizado]])-2,0)*($G85-$H85)</f>
        <v>38.877572142933339</v>
      </c>
      <c r="AR85" s="22">
        <f>VLOOKUP($A85,tabCustoUnit[],COLUMN(CUSTO_GLOBAL[[#Headers],[Aviso Prévio Trabalhado - APT]])-2,0)*($G85-$H85)</f>
        <v>606.44263680000006</v>
      </c>
      <c r="AS85" s="22">
        <f>VLOOKUP($A85,tabCustoUnit[],COLUMN(CUSTO_GLOBAL[[#Headers],[Incidência dos encargos do submódulo 2.1 sobre Aviso Prévio Trabalhado]])-2,0)*($G85-$H85)</f>
        <v>229.23531671040007</v>
      </c>
      <c r="AT85" s="22">
        <f>VLOOKUP($A85,tabCustoUnit[],COLUMN(CUSTO_GLOBAL[[#Headers],[Multa Rescisória do FGTS]])-2,0)*($G85-$H85)</f>
        <v>5298.1909094399998</v>
      </c>
      <c r="AU85" s="22">
        <f>VLOOKUP($A85,tabCustoUnit[],COLUMN(CUSTO_GLOBAL[[#Headers],[Indenização Adicional (Art. 9º da Lei nº 7.238/84)]])-2,0)*($G85-$H85)</f>
        <v>144.39110400000001</v>
      </c>
      <c r="AV85" s="22">
        <f>VLOOKUP($A85,tabCustoUnit[],COLUMN(CUSTO_GLOBAL[[#Headers],[MÓDULO 3 – PROVISÃO PARA RESCISÃO]])-2,0)*($G85-$H85)</f>
        <v>7629.2555989173334</v>
      </c>
      <c r="AW85" s="22">
        <f>VLOOKUP($A85,tabCustoUnit[],COLUMN(CUSTO_GLOBAL[[#Headers],[Ausência por Doença]])-2,0)*($G85-$H85)</f>
        <v>1463.1631871999998</v>
      </c>
      <c r="AX85" s="22">
        <f>VLOOKUP($A85,tabCustoUnit[],COLUMN(CUSTO_GLOBAL[[#Headers],[Ausências Legais]])-2,0)*($G85-$H85)</f>
        <v>351.35168639999995</v>
      </c>
      <c r="AY85" s="22">
        <f>VLOOKUP($A85,tabCustoUnit[],COLUMN(CUSTO_GLOBAL[[#Headers],[Licença Paternidade]])-2,0)*($G85-$H85)</f>
        <v>29.600176319999999</v>
      </c>
      <c r="AZ85" s="22">
        <f>VLOOKUP($A85,tabCustoUnit[],COLUMN(CUSTO_GLOBAL[[#Headers],[Ausência por Acidente de Trabalho]])-2,0)*($G85-$H85)</f>
        <v>36.097776000000003</v>
      </c>
      <c r="BA85" s="22">
        <f>VLOOKUP($A85,tabCustoUnit[],COLUMN(CUSTO_GLOBAL[[#Headers],[Férias, Adicional de Férias e 13º  com empregada em gozo de Licença Maternidade]])-2,0)*($G85-$H85)</f>
        <v>224.608384</v>
      </c>
      <c r="BB85" s="22">
        <f>VLOOKUP($A85,tabCustoUnit[],COLUMN(CUSTO_GLOBAL[[#Headers],[Incidência do Submódulo 2.1 sobre Ausências Legais]])-2,0)*($G85-$H85)</f>
        <v>795.6224173497601</v>
      </c>
      <c r="BC85" s="22">
        <f>VLOOKUP($A85,tabCustoUnit[],COLUMN(CUSTO_GLOBAL[[#Headers],[Submódulo 4.1]])-2,0)*($G85-$H85)</f>
        <v>2900.4436272697599</v>
      </c>
      <c r="BD85" s="22">
        <f>VLOOKUP($A85,tabCustoUnit[],COLUMN(CUSTO_GLOBAL[[#Headers],[Intervalo para Repouso ou Alimentação]])-2,0)*($G85-$H85)</f>
        <v>0</v>
      </c>
      <c r="BE85" s="22">
        <f>VLOOKUP($A85,tabCustoUnit[],COLUMN(CUSTO_GLOBAL[[#Headers],[Submódulo 4.2]])-2,0)*($G85-$H85)</f>
        <v>0</v>
      </c>
      <c r="BF85" s="22">
        <f>VLOOKUP($A85,tabCustoUnit[],COLUMN(CUSTO_GLOBAL[[#Headers],[Suspensão Temporária do Contrato de Trabalho]])-2,0)*($G85-$H85)</f>
        <v>0</v>
      </c>
      <c r="BG85" s="22">
        <f>VLOOKUP($A85,tabCustoUnit[],COLUMN(CUSTO_GLOBAL[[#Headers],[Submódulo 4.3]])-2,0)*($G85-$H85)</f>
        <v>0</v>
      </c>
      <c r="BH85" s="22">
        <f>VLOOKUP($A85,tabCustoUnit[],COLUMN(CUSTO_GLOBAL[[#Headers],[MÓDULO 4 – CUSTO DE REPOSIÇÃO DO PROFISSIONAL AUSENTE]])-2,0)*($G85-$H85)</f>
        <v>2900.4436272697599</v>
      </c>
      <c r="BI85" s="22">
        <f>VLOOKUP($A85,tabCustoUnit[],COLUMN(CUSTO_GLOBAL[[#Headers],[Uniformes e EPIs]])-2,0)*($G85-$H85)</f>
        <v>2178.832314768953</v>
      </c>
      <c r="BJ85" s="22">
        <f>VLOOKUP($A85,tabCustoUnit[],COLUMN(CUSTO_GLOBAL[[#Headers],[Materiais de Consumo]])-2,0)*($G85-$H85)</f>
        <v>0</v>
      </c>
      <c r="BK85" s="22">
        <f>VLOOKUP($A85,tabCustoUnit[],COLUMN(CUSTO_GLOBAL[[#Headers],[Máquinas e Equipamentos (depreciação)]])-2,0)*($G85-$H85)</f>
        <v>0</v>
      </c>
      <c r="BL85" s="22">
        <f>VLOOKUP($A85,tabCustoUnit[],COLUMN(CUSTO_GLOBAL[[#Headers],[Produtos de Limpeza e Materiais de Higiene Pessoal]])-2,0)*($G85-$H85)</f>
        <v>0</v>
      </c>
      <c r="BM85" s="22">
        <f>VLOOKUP($A85,tabCustoUnit[],COLUMN(CUSTO_GLOBAL[[#Headers],[Outros (especificar)]])-2,0)*($G85-$H85)</f>
        <v>0</v>
      </c>
      <c r="BN85" s="22">
        <f>VLOOKUP($A85,tabCustoUnit[],COLUMN(CUSTO_GLOBAL[[#Headers],[MÓDULO 5 – INSUMOS DIVERSOS]])-2,0)*($G85-$H85)</f>
        <v>2178.832314768953</v>
      </c>
      <c r="BO85" s="22" t="e">
        <f ca="1">VLOOKUP($A85,tabCustoUnit[],COLUMN(CUSTO_GLOBAL[[#Headers],[TOTAL MÓDULOS 1+2+3+4+5]])-2,0)*($G85-$H85)</f>
        <v>#NAME?</v>
      </c>
      <c r="BP85" s="22" t="e">
        <f ca="1">VLOOKUP($A85,tabCustoUnit[],COLUMN(CUSTO_GLOBAL[[#Headers],[Custos Indiretos]])-2,0)*($G85-$H85)</f>
        <v>#NAME?</v>
      </c>
      <c r="BQ85" s="22" t="e">
        <f ca="1">VLOOKUP($A85,tabCustoUnit[],COLUMN(CUSTO_GLOBAL[[#Headers],[Lucro]])-2,0)*($G85-$H85)</f>
        <v>#NAME?</v>
      </c>
      <c r="BR85" s="26">
        <f>VLOOKUP($A85,tabCustoUnit[],COLUMN(CUSTO_GLOBAL[[#Headers],[COFINS]])-2,0)</f>
        <v>8.8629737609329504E-2</v>
      </c>
      <c r="BS85" s="26">
        <f>VLOOKUP($A85,tabCustoUnit[],COLUMN(CUSTO_GLOBAL[[#Headers],[PIS]])-2,0)</f>
        <v>1.9241982507288629E-2</v>
      </c>
      <c r="BT85" s="28">
        <f>VLOOKUP($A85,tabCustoUnit[],COLUMN(CUSTO_GLOBAL[[#Headers],[ISS]])-2,0)</f>
        <v>0.05</v>
      </c>
      <c r="BU85" s="26">
        <f>VLOOKUP($A85,tabCustoUnit[],COLUMN(CUSTO_GLOBAL[[#Headers],[ISS (Conversão Alíquota s/ fatura)]])-2,0)</f>
        <v>5.8309037900874633E-2</v>
      </c>
      <c r="BV85" s="26">
        <f>VLOOKUP($A85,tabCustoUnit[],COLUMN(CUSTO_GLOBAL[[#Headers],[Resumo de Alíquotas (PIS+CONFINS+ISS)]])-2,0)</f>
        <v>0.14250000000000002</v>
      </c>
      <c r="BW85" s="138">
        <f>VLOOKUP($A85,tabCustoUnit[],COLUMN(CUSTO_GLOBAL[[#Headers],[PIS + COFINS + ISS (Total Conversão  Alíquota s/ Fatura)]])-2,0)</f>
        <v>0.16618075801749277</v>
      </c>
      <c r="BX85" s="22" t="e">
        <f ca="1">VLOOKUP($A85,tabCustoUnit[],COLUMN(CUSTO_GLOBAL[[#Headers],[Valor dos Tributos (ISS, PIS, CONFINS)]])-2,0)*($G85-$H85)</f>
        <v>#NAME?</v>
      </c>
      <c r="BY85" s="22" t="e">
        <f ca="1">VLOOKUP($A85,tabCustoUnit[],COLUMN(CUSTO_GLOBAL[[#Headers],[MÓDULO 6 – CUSTOS INDIRETOS, TRIBUTOS E LUCRO]])-2,0)*($G85-$H85)</f>
        <v>#NAME?</v>
      </c>
      <c r="BZ85" s="22" t="e">
        <f ca="1">VLOOKUP($A85,tabCustoUnit[],COLUMN(CUSTO_GLOBAL[[#Headers],[CUSTO TOTAL MENSAL]])-2,0)*($G85-$H85)</f>
        <v>#NAME?</v>
      </c>
      <c r="CA85" s="22" t="e">
        <f ca="1">CUSTO_GLOBAL[[#This Row],[CUSTO TOTAL MENSAL]]*12</f>
        <v>#NAME?</v>
      </c>
      <c r="CB85" s="24">
        <f>VLOOKUP($A85,tabCustoUnit[],COLUMN(CUSTO_GLOBAL[[#Headers],[ANO DA CCT]])-2,0)</f>
        <v>45658</v>
      </c>
      <c r="CC85" s="25" t="str">
        <f>VLOOKUP($A85,tabCustoUnit[],COLUMN(CUSTO_GLOBAL[[#Headers],[Nº DE PEDIDO DA CCT]])-2,0)</f>
        <v>-</v>
      </c>
      <c r="CD85" s="25" t="str">
        <f>VLOOKUP($A85,tabCustoUnit[],COLUMN(CUSTO_GLOBAL[[#Headers],[TERMO ADITIVO ALTERAÇÃO DA CCT]])-2,0)</f>
        <v>-</v>
      </c>
    </row>
    <row r="86" spans="1:82">
      <c r="A86" s="20" t="s">
        <v>1553</v>
      </c>
      <c r="B86" t="s">
        <v>1103</v>
      </c>
      <c r="C86" t="s">
        <v>394</v>
      </c>
      <c r="D86" t="s">
        <v>1063</v>
      </c>
      <c r="E86" s="20" t="s">
        <v>1090</v>
      </c>
      <c r="F86" s="20" t="s">
        <v>120</v>
      </c>
      <c r="G86" s="20">
        <v>3</v>
      </c>
      <c r="H86" s="20">
        <v>0</v>
      </c>
      <c r="I86" s="21">
        <f>VLOOKUP($A86,tabCustoUnit[],COLUMN(CUSTO_GLOBAL[[#Headers],[Salário Base]])-2,0)*($G86-$H86)</f>
        <v>7214.2019999999993</v>
      </c>
      <c r="J86" s="21">
        <f>VLOOKUP($A86,tabCustoUnit[],COLUMN(CUSTO_GLOBAL[[#Headers],[Adicional Periculosidade]])-2,0)*($G86-$H86)</f>
        <v>0</v>
      </c>
      <c r="K86" s="21">
        <f>VLOOKUP($A86,tabCustoUnit[],COLUMN(CUSTO_GLOBAL[[#Headers],[Adicional Insalubridade]])-2,0)*($G86-$H86)</f>
        <v>0</v>
      </c>
      <c r="L86" s="21">
        <f>VLOOKUP($A86,tabCustoUnit[],COLUMN(CUSTO_GLOBAL[[#Headers],[Adicional Noturno]])-2,0)*($G86-$H86)</f>
        <v>0</v>
      </c>
      <c r="M86" s="21">
        <f>VLOOKUP($A86,tabCustoUnit[],COLUMN(CUSTO_GLOBAL[[#Headers],[Adicional Motorista II (Gratificação)]])-2,0)*($G86-$H86)</f>
        <v>0</v>
      </c>
      <c r="N86" s="21">
        <f>VLOOKUP($A86,tabCustoUnit[],COLUMN(CUSTO_GLOBAL[[#Headers],[Adicional de Sobreaviso]])-2,0)*($G86-$H86)</f>
        <v>0</v>
      </c>
      <c r="O86" s="21">
        <f>VLOOKUP($A86,tabCustoUnit[],COLUMN(CUSTO_GLOBAL[[#Headers],[Horas Extras TI]])-2,0)*($G86-$H86)</f>
        <v>0</v>
      </c>
      <c r="P86" s="21">
        <f>VLOOKUP($A86,tabCustoUnit[],COLUMN(CUSTO_GLOBAL[[#Headers],[Adicional de Acúmulo de função]])-2,0)*($G86-$H86)</f>
        <v>0</v>
      </c>
      <c r="Q86" s="21">
        <f>VLOOKUP($A86,tabCustoUnit[],COLUMN(CUSTO_GLOBAL[[#Headers],[MODULO 1 - REMUNERAÇÃO ]])-2,0)*($G86-$H86)</f>
        <v>7214.2019999999993</v>
      </c>
      <c r="R86" s="21">
        <f>VLOOKUP($A86,tabCustoUnit[],COLUMN(CUSTO_GLOBAL[[#Headers],[INSS]])-2,0)*($G86-$H86)</f>
        <v>1442.8404</v>
      </c>
      <c r="S86" s="21">
        <f>VLOOKUP($A86,tabCustoUnit[],COLUMN(CUSTO_GLOBAL[[#Headers],[SESI OU SESC]])-2,0)*($G86-$H86)</f>
        <v>108.21302999999997</v>
      </c>
      <c r="T86" s="21">
        <f>VLOOKUP($A86,tabCustoUnit[],COLUMN(CUSTO_GLOBAL[[#Headers],[SENAI OU SENAC]])-2,0)*($G86-$H86)</f>
        <v>72.142020000000002</v>
      </c>
      <c r="U86" s="21">
        <f>VLOOKUP($A86,tabCustoUnit[],COLUMN(CUSTO_GLOBAL[[#Headers],[INCRA]])-2,0)*($G86-$H86)</f>
        <v>14.428404</v>
      </c>
      <c r="V86" s="21">
        <f>VLOOKUP($A86,tabCustoUnit[],COLUMN(CUSTO_GLOBAL[[#Headers],[Salário Educação]])-2,0)*($G86-$H86)</f>
        <v>180.35505000000001</v>
      </c>
      <c r="W86" s="21">
        <f>VLOOKUP($A86,tabCustoUnit[],COLUMN(CUSTO_GLOBAL[[#Headers],[FGTS]])-2,0)*($G86-$H86)</f>
        <v>577.13616000000002</v>
      </c>
      <c r="X86" s="21">
        <f>VLOOKUP($A86,tabCustoUnit[],COLUMN(CUSTO_GLOBAL[[#Headers],[RAT Ajustado]])-2,0)*($G86-$H86)</f>
        <v>288.56808000000001</v>
      </c>
      <c r="Y86" s="21">
        <f>VLOOKUP($A86,tabCustoUnit[],COLUMN(CUSTO_GLOBAL[[#Headers],[SEBRAE]])-2,0)*($G86-$H86)</f>
        <v>43.285212000000001</v>
      </c>
      <c r="Z86" s="21">
        <f>VLOOKUP($A86,tabCustoUnit[],COLUMN(CUSTO_GLOBAL[[#Headers],[Submódulo 2.1]])-2,0)*($G86-$H86)</f>
        <v>2726.9683559999999</v>
      </c>
      <c r="AA86" s="21">
        <f>VLOOKUP($A86,tabCustoUnit[],COLUMN(CUSTO_GLOBAL[[#Headers],[13º salário (titular)]])-2,0)*($G86-$H86)</f>
        <v>601.18349999999998</v>
      </c>
      <c r="AB86" s="21">
        <f>VLOOKUP($A86,tabCustoUnit[],COLUMN(CUSTO_GLOBAL[[#Headers],[Férias e Adicional de Férias (titular)]])-2,0)*($G86-$H86)</f>
        <v>801.57799999999997</v>
      </c>
      <c r="AC86" s="21">
        <f>VLOOKUP($A86,tabCustoUnit[],COLUMN(CUSTO_GLOBAL[[#Headers],[Incidência do Submódulo 2.1 sobre 13º Salário, Férias e Adicional de Férias]])-2,0)*($G86-$H86)</f>
        <v>530.24384699999996</v>
      </c>
      <c r="AD86" s="21">
        <f>VLOOKUP($A86,tabCustoUnit[],COLUMN(CUSTO_GLOBAL[[#Headers],[Submódulo 2.2]])-2,0)*($G86-$H86)</f>
        <v>1933.0053469999998</v>
      </c>
      <c r="AE86" s="22" t="e">
        <f ca="1">VLOOKUP($A86,tabCustoUnit[],COLUMN(CUSTO_GLOBAL[[#Headers],[Vale - Transporte (Descontada parcela do empregado)]])-2,0)*($G86-$H86)</f>
        <v>#NAME?</v>
      </c>
      <c r="AF86" s="22">
        <f>VLOOKUP($A86,tabCustoUnit[],COLUMN(CUSTO_GLOBAL[[#Headers],[Vale - Alimentação (Descontada parcela do empregado)]])-2,0)*($G86-$H86)</f>
        <v>1506</v>
      </c>
      <c r="AG86" s="22">
        <f>VLOOKUP($A86,tabCustoUnit[],COLUMN(CUSTO_GLOBAL[[#Headers],[Cesta Básica]])-2,0)*($G86-$H86)</f>
        <v>0</v>
      </c>
      <c r="AH86" s="22">
        <f>VLOOKUP($A86,tabCustoUnit[],COLUMN(CUSTO_GLOBAL[[#Headers],[PAF]])-2,0)*($G86-$H86)</f>
        <v>0</v>
      </c>
      <c r="AI86" s="22">
        <f>VLOOKUP($A86,tabCustoUnit[],COLUMN(CUSTO_GLOBAL[[#Headers],[PQM]])-2,0)*($G86-$H86)</f>
        <v>0</v>
      </c>
      <c r="AJ86" s="22">
        <v>0</v>
      </c>
      <c r="AK86" s="22">
        <f>VLOOKUP($A86,tabCustoUnit[],COLUMN(CUSTO_GLOBAL[[#Headers],[Seguro de Vida]])-2,0)*($G86-$H86)</f>
        <v>10.08</v>
      </c>
      <c r="AL86" s="22">
        <f>VLOOKUP($A86,tabCustoUnit[],COLUMN(CUSTO_GLOBAL[[#Headers],[Despesas de Viagem]])-2,0)*($G86-$H86)</f>
        <v>606.24</v>
      </c>
      <c r="AM86" s="22" t="e">
        <f ca="1">VLOOKUP($A86,tabCustoUnit[],COLUMN(CUSTO_GLOBAL[[#Headers],[Submódulo 2.3]])-2,0)*($G86-$H86)</f>
        <v>#NAME?</v>
      </c>
      <c r="AN86" s="22" t="e">
        <f ca="1">VLOOKUP($A86,tabCustoUnit[],COLUMN(CUSTO_GLOBAL[[#Headers],[MÓDULO 2 - Total Encargos e Benefícios mensais e diários]])-2,0)*($G86-$H86)</f>
        <v>#NAME?</v>
      </c>
      <c r="AO86" s="22">
        <f>VLOOKUP($A86,tabCustoUnit[],COLUMN(CUSTO_GLOBAL[[#Headers],[Aviso Prévio Indenizado (API) e Reflexo do Aviso Prévio Indenizado]])-2,0)*($G86-$H86)</f>
        <v>50.584303336805554</v>
      </c>
      <c r="AP86" s="22">
        <f>VLOOKUP($A86,tabCustoUnit[],COLUMN(CUSTO_GLOBAL[[#Headers],[Incidência do FGTS sobre API e Reflexo do API]])-2,0)*($G86-$H86)</f>
        <v>4.0467442669444447</v>
      </c>
      <c r="AQ86" s="22">
        <f>VLOOKUP($A86,tabCustoUnit[],COLUMN(CUSTO_GLOBAL[[#Headers],[Multa Rescisória do FGTS sobre o Aviso Prévio Indenizado]])-2,0)*($G86-$H86)</f>
        <v>1.6186977067777781</v>
      </c>
      <c r="AR86" s="22">
        <f>VLOOKUP($A86,tabCustoUnit[],COLUMN(CUSTO_GLOBAL[[#Headers],[Aviso Prévio Trabalhado - APT]])-2,0)*($G86-$H86)</f>
        <v>25.249707000000001</v>
      </c>
      <c r="AS86" s="22">
        <f>VLOOKUP($A86,tabCustoUnit[],COLUMN(CUSTO_GLOBAL[[#Headers],[Incidência dos encargos do submódulo 2.1 sobre Aviso Prévio Trabalhado]])-2,0)*($G86-$H86)</f>
        <v>9.5443892460000033</v>
      </c>
      <c r="AT86" s="22">
        <f>VLOOKUP($A86,tabCustoUnit[],COLUMN(CUSTO_GLOBAL[[#Headers],[Multa Rescisória do FGTS]])-2,0)*($G86-$H86)</f>
        <v>220.59426559999994</v>
      </c>
      <c r="AU86" s="22">
        <f>VLOOKUP($A86,tabCustoUnit[],COLUMN(CUSTO_GLOBAL[[#Headers],[Indenização Adicional (Art. 9º da Lei nº 7.238/84)]])-2,0)*($G86-$H86)</f>
        <v>6.0118349999999996</v>
      </c>
      <c r="AV86" s="22">
        <f>VLOOKUP($A86,tabCustoUnit[],COLUMN(CUSTO_GLOBAL[[#Headers],[MÓDULO 3 – PROVISÃO PARA RESCISÃO]])-2,0)*($G86-$H86)</f>
        <v>317.64994215652774</v>
      </c>
      <c r="AW86" s="22">
        <f>VLOOKUP($A86,tabCustoUnit[],COLUMN(CUSTO_GLOBAL[[#Headers],[Ausência por Doença]])-2,0)*($G86-$H86)</f>
        <v>60.919927999999999</v>
      </c>
      <c r="AX86" s="22">
        <f>VLOOKUP($A86,tabCustoUnit[],COLUMN(CUSTO_GLOBAL[[#Headers],[Ausências Legais]])-2,0)*($G86-$H86)</f>
        <v>14.628798499999998</v>
      </c>
      <c r="AY86" s="22">
        <f>VLOOKUP($A86,tabCustoUnit[],COLUMN(CUSTO_GLOBAL[[#Headers],[Licença Paternidade]])-2,0)*($G86-$H86)</f>
        <v>1.2324261750000001</v>
      </c>
      <c r="AZ86" s="22">
        <f>VLOOKUP($A86,tabCustoUnit[],COLUMN(CUSTO_GLOBAL[[#Headers],[Ausência por Acidente de Trabalho]])-2,0)*($G86-$H86)</f>
        <v>1.5029587499999999</v>
      </c>
      <c r="BA86" s="22">
        <f>VLOOKUP($A86,tabCustoUnit[],COLUMN(CUSTO_GLOBAL[[#Headers],[Férias, Adicional de Férias e 13º  com empregada em gozo de Licença Maternidade]])-2,0)*($G86-$H86)</f>
        <v>9.3517433333333333</v>
      </c>
      <c r="BB86" s="22">
        <f>VLOOKUP($A86,tabCustoUnit[],COLUMN(CUSTO_GLOBAL[[#Headers],[Incidência do Submódulo 2.1 sobre Ausências Legais]])-2,0)*($G86-$H86)</f>
        <v>33.12635309865</v>
      </c>
      <c r="BC86" s="22">
        <f>VLOOKUP($A86,tabCustoUnit[],COLUMN(CUSTO_GLOBAL[[#Headers],[Submódulo 4.1]])-2,0)*($G86-$H86)</f>
        <v>120.76220785698334</v>
      </c>
      <c r="BD86" s="22">
        <f>VLOOKUP($A86,tabCustoUnit[],COLUMN(CUSTO_GLOBAL[[#Headers],[Intervalo para Repouso ou Alimentação]])-2,0)*($G86-$H86)</f>
        <v>0</v>
      </c>
      <c r="BE86" s="22">
        <f>VLOOKUP($A86,tabCustoUnit[],COLUMN(CUSTO_GLOBAL[[#Headers],[Submódulo 4.2]])-2,0)*($G86-$H86)</f>
        <v>0</v>
      </c>
      <c r="BF86" s="22">
        <f>VLOOKUP($A86,tabCustoUnit[],COLUMN(CUSTO_GLOBAL[[#Headers],[Suspensão Temporária do Contrato de Trabalho]])-2,0)*($G86-$H86)</f>
        <v>0</v>
      </c>
      <c r="BG86" s="22">
        <f>VLOOKUP($A86,tabCustoUnit[],COLUMN(CUSTO_GLOBAL[[#Headers],[Submódulo 4.3]])-2,0)*($G86-$H86)</f>
        <v>0</v>
      </c>
      <c r="BH86" s="22">
        <f>VLOOKUP($A86,tabCustoUnit[],COLUMN(CUSTO_GLOBAL[[#Headers],[MÓDULO 4 – CUSTO DE REPOSIÇÃO DO PROFISSIONAL AUSENTE]])-2,0)*($G86-$H86)</f>
        <v>120.76220785698334</v>
      </c>
      <c r="BI86" s="22">
        <f>VLOOKUP($A86,tabCustoUnit[],COLUMN(CUSTO_GLOBAL[[#Headers],[Uniformes e EPIs]])-2,0)*($G86-$H86)</f>
        <v>127.82265164113775</v>
      </c>
      <c r="BJ86" s="22">
        <f>VLOOKUP($A86,tabCustoUnit[],COLUMN(CUSTO_GLOBAL[[#Headers],[Materiais de Consumo]])-2,0)*($G86-$H86)</f>
        <v>0</v>
      </c>
      <c r="BK86" s="22">
        <f>VLOOKUP($A86,tabCustoUnit[],COLUMN(CUSTO_GLOBAL[[#Headers],[Máquinas e Equipamentos (depreciação)]])-2,0)*($G86-$H86)</f>
        <v>0</v>
      </c>
      <c r="BL86" s="22">
        <f>VLOOKUP($A86,tabCustoUnit[],COLUMN(CUSTO_GLOBAL[[#Headers],[Produtos de Limpeza e Materiais de Higiene Pessoal]])-2,0)*($G86-$H86)</f>
        <v>0</v>
      </c>
      <c r="BM86" s="22">
        <f>VLOOKUP($A86,tabCustoUnit[],COLUMN(CUSTO_GLOBAL[[#Headers],[Outros (especificar)]])-2,0)*($G86-$H86)</f>
        <v>0</v>
      </c>
      <c r="BN86" s="22">
        <f>VLOOKUP($A86,tabCustoUnit[],COLUMN(CUSTO_GLOBAL[[#Headers],[MÓDULO 5 – INSUMOS DIVERSOS]])-2,0)*($G86-$H86)</f>
        <v>127.82265164113775</v>
      </c>
      <c r="BO86" s="22" t="e">
        <f ca="1">VLOOKUP($A86,tabCustoUnit[],COLUMN(CUSTO_GLOBAL[[#Headers],[TOTAL MÓDULOS 1+2+3+4+5]])-2,0)*($G86-$H86)</f>
        <v>#NAME?</v>
      </c>
      <c r="BP86" s="22" t="e">
        <f ca="1">VLOOKUP($A86,tabCustoUnit[],COLUMN(CUSTO_GLOBAL[[#Headers],[Custos Indiretos]])-2,0)*($G86-$H86)</f>
        <v>#NAME?</v>
      </c>
      <c r="BQ86" s="22" t="e">
        <f ca="1">VLOOKUP($A86,tabCustoUnit[],COLUMN(CUSTO_GLOBAL[[#Headers],[Lucro]])-2,0)*($G86-$H86)</f>
        <v>#NAME?</v>
      </c>
      <c r="BR86" s="26">
        <f>VLOOKUP($A86,tabCustoUnit[],COLUMN(CUSTO_GLOBAL[[#Headers],[COFINS]])-2,0)</f>
        <v>8.8629737609329504E-2</v>
      </c>
      <c r="BS86" s="26">
        <f>VLOOKUP($A86,tabCustoUnit[],COLUMN(CUSTO_GLOBAL[[#Headers],[PIS]])-2,0)</f>
        <v>1.9241982507288629E-2</v>
      </c>
      <c r="BT86" s="28">
        <f>VLOOKUP($A86,tabCustoUnit[],COLUMN(CUSTO_GLOBAL[[#Headers],[ISS]])-2,0)</f>
        <v>0.05</v>
      </c>
      <c r="BU86" s="26">
        <f>VLOOKUP($A86,tabCustoUnit[],COLUMN(CUSTO_GLOBAL[[#Headers],[ISS (Conversão Alíquota s/ fatura)]])-2,0)</f>
        <v>5.8309037900874633E-2</v>
      </c>
      <c r="BV86" s="26">
        <f>VLOOKUP($A86,tabCustoUnit[],COLUMN(CUSTO_GLOBAL[[#Headers],[Resumo de Alíquotas (PIS+CONFINS+ISS)]])-2,0)</f>
        <v>0.14250000000000002</v>
      </c>
      <c r="BW86" s="138">
        <f>VLOOKUP($A86,tabCustoUnit[],COLUMN(CUSTO_GLOBAL[[#Headers],[PIS + COFINS + ISS (Total Conversão  Alíquota s/ Fatura)]])-2,0)</f>
        <v>0.16618075801749277</v>
      </c>
      <c r="BX86" s="22" t="e">
        <f ca="1">VLOOKUP($A86,tabCustoUnit[],COLUMN(CUSTO_GLOBAL[[#Headers],[Valor dos Tributos (ISS, PIS, CONFINS)]])-2,0)*($G86-$H86)</f>
        <v>#NAME?</v>
      </c>
      <c r="BY86" s="22" t="e">
        <f ca="1">VLOOKUP($A86,tabCustoUnit[],COLUMN(CUSTO_GLOBAL[[#Headers],[MÓDULO 6 – CUSTOS INDIRETOS, TRIBUTOS E LUCRO]])-2,0)*($G86-$H86)</f>
        <v>#NAME?</v>
      </c>
      <c r="BZ86" s="22" t="e">
        <f ca="1">VLOOKUP($A86,tabCustoUnit[],COLUMN(CUSTO_GLOBAL[[#Headers],[CUSTO TOTAL MENSAL]])-2,0)*($G86-$H86)</f>
        <v>#NAME?</v>
      </c>
      <c r="CA86" s="22" t="e">
        <f ca="1">CUSTO_GLOBAL[[#This Row],[CUSTO TOTAL MENSAL]]*12</f>
        <v>#NAME?</v>
      </c>
      <c r="CB86" s="24">
        <f>VLOOKUP($A86,tabCustoUnit[],COLUMN(CUSTO_GLOBAL[[#Headers],[ANO DA CCT]])-2,0)</f>
        <v>45292</v>
      </c>
      <c r="CC86" s="25" t="str">
        <f>VLOOKUP($A86,tabCustoUnit[],COLUMN(CUSTO_GLOBAL[[#Headers],[Nº DE PEDIDO DA CCT]])-2,0)</f>
        <v>-</v>
      </c>
      <c r="CD86" s="25" t="str">
        <f>VLOOKUP($A86,tabCustoUnit[],COLUMN(CUSTO_GLOBAL[[#Headers],[TERMO ADITIVO ALTERAÇÃO DA CCT]])-2,0)</f>
        <v>-</v>
      </c>
    </row>
    <row r="87" spans="1:82">
      <c r="A87" s="20" t="s">
        <v>1459</v>
      </c>
      <c r="B87" t="s">
        <v>1104</v>
      </c>
      <c r="C87" t="s">
        <v>200</v>
      </c>
      <c r="D87" t="s">
        <v>1058</v>
      </c>
      <c r="E87" s="20" t="s">
        <v>1090</v>
      </c>
      <c r="F87" s="20" t="s">
        <v>120</v>
      </c>
      <c r="G87" s="20">
        <v>2</v>
      </c>
      <c r="H87" s="20">
        <v>0</v>
      </c>
      <c r="I87" s="21">
        <f>VLOOKUP($A87,tabCustoUnit[],COLUMN(CUSTO_GLOBAL[[#Headers],[Salário Base]])-2,0)*($G87-$H87)</f>
        <v>3298.2305999999999</v>
      </c>
      <c r="J87" s="21">
        <f>VLOOKUP($A87,tabCustoUnit[],COLUMN(CUSTO_GLOBAL[[#Headers],[Adicional Periculosidade]])-2,0)*($G87-$H87)</f>
        <v>0</v>
      </c>
      <c r="K87" s="21">
        <f>VLOOKUP($A87,tabCustoUnit[],COLUMN(CUSTO_GLOBAL[[#Headers],[Adicional Insalubridade]])-2,0)*($G87-$H87)</f>
        <v>0</v>
      </c>
      <c r="L87" s="21">
        <f>VLOOKUP($A87,tabCustoUnit[],COLUMN(CUSTO_GLOBAL[[#Headers],[Adicional Noturno]])-2,0)*($G87-$H87)</f>
        <v>0</v>
      </c>
      <c r="M87" s="21">
        <f>VLOOKUP($A87,tabCustoUnit[],COLUMN(CUSTO_GLOBAL[[#Headers],[Adicional Motorista II (Gratificação)]])-2,0)*($G87-$H87)</f>
        <v>0</v>
      </c>
      <c r="N87" s="21">
        <f>VLOOKUP($A87,tabCustoUnit[],COLUMN(CUSTO_GLOBAL[[#Headers],[Adicional de Sobreaviso]])-2,0)*($G87-$H87)</f>
        <v>0</v>
      </c>
      <c r="O87" s="21">
        <f>VLOOKUP($A87,tabCustoUnit[],COLUMN(CUSTO_GLOBAL[[#Headers],[Horas Extras TI]])-2,0)*($G87-$H87)</f>
        <v>0</v>
      </c>
      <c r="P87" s="21">
        <f>VLOOKUP($A87,tabCustoUnit[],COLUMN(CUSTO_GLOBAL[[#Headers],[Adicional de Acúmulo de função]])-2,0)*($G87-$H87)</f>
        <v>0</v>
      </c>
      <c r="Q87" s="21">
        <f>VLOOKUP($A87,tabCustoUnit[],COLUMN(CUSTO_GLOBAL[[#Headers],[MODULO 1 - REMUNERAÇÃO ]])-2,0)*($G87-$H87)</f>
        <v>3298.2305999999999</v>
      </c>
      <c r="R87" s="21">
        <f>VLOOKUP($A87,tabCustoUnit[],COLUMN(CUSTO_GLOBAL[[#Headers],[INSS]])-2,0)*($G87-$H87)</f>
        <v>659.64612</v>
      </c>
      <c r="S87" s="21">
        <f>VLOOKUP($A87,tabCustoUnit[],COLUMN(CUSTO_GLOBAL[[#Headers],[SESI OU SESC]])-2,0)*($G87-$H87)</f>
        <v>49.473458999999998</v>
      </c>
      <c r="T87" s="21">
        <f>VLOOKUP($A87,tabCustoUnit[],COLUMN(CUSTO_GLOBAL[[#Headers],[SENAI OU SENAC]])-2,0)*($G87-$H87)</f>
        <v>32.982306000000001</v>
      </c>
      <c r="U87" s="21">
        <f>VLOOKUP($A87,tabCustoUnit[],COLUMN(CUSTO_GLOBAL[[#Headers],[INCRA]])-2,0)*($G87-$H87)</f>
        <v>6.5964612000000002</v>
      </c>
      <c r="V87" s="21">
        <f>VLOOKUP($A87,tabCustoUnit[],COLUMN(CUSTO_GLOBAL[[#Headers],[Salário Educação]])-2,0)*($G87-$H87)</f>
        <v>82.455765</v>
      </c>
      <c r="W87" s="21">
        <f>VLOOKUP($A87,tabCustoUnit[],COLUMN(CUSTO_GLOBAL[[#Headers],[FGTS]])-2,0)*($G87-$H87)</f>
        <v>263.85844800000001</v>
      </c>
      <c r="X87" s="21">
        <f>VLOOKUP($A87,tabCustoUnit[],COLUMN(CUSTO_GLOBAL[[#Headers],[RAT Ajustado]])-2,0)*($G87-$H87)</f>
        <v>131.929224</v>
      </c>
      <c r="Y87" s="21">
        <f>VLOOKUP($A87,tabCustoUnit[],COLUMN(CUSTO_GLOBAL[[#Headers],[SEBRAE]])-2,0)*($G87-$H87)</f>
        <v>19.789383600000001</v>
      </c>
      <c r="Z87" s="21">
        <f>VLOOKUP($A87,tabCustoUnit[],COLUMN(CUSTO_GLOBAL[[#Headers],[Submódulo 2.1]])-2,0)*($G87-$H87)</f>
        <v>1246.7311668000002</v>
      </c>
      <c r="AA87" s="21">
        <f>VLOOKUP($A87,tabCustoUnit[],COLUMN(CUSTO_GLOBAL[[#Headers],[13º salário (titular)]])-2,0)*($G87-$H87)</f>
        <v>274.85254999999995</v>
      </c>
      <c r="AB87" s="21">
        <f>VLOOKUP($A87,tabCustoUnit[],COLUMN(CUSTO_GLOBAL[[#Headers],[Férias e Adicional de Férias (titular)]])-2,0)*($G87-$H87)</f>
        <v>366.47006666666664</v>
      </c>
      <c r="AC87" s="21">
        <f>VLOOKUP($A87,tabCustoUnit[],COLUMN(CUSTO_GLOBAL[[#Headers],[Incidência do Submódulo 2.1 sobre 13º Salário, Férias e Adicional de Férias]])-2,0)*($G87-$H87)</f>
        <v>242.4199491</v>
      </c>
      <c r="AD87" s="21">
        <f>VLOOKUP($A87,tabCustoUnit[],COLUMN(CUSTO_GLOBAL[[#Headers],[Submódulo 2.2]])-2,0)*($G87-$H87)</f>
        <v>883.74256576666653</v>
      </c>
      <c r="AE87" s="22" t="e">
        <f ca="1">VLOOKUP($A87,tabCustoUnit[],COLUMN(CUSTO_GLOBAL[[#Headers],[Vale - Transporte (Descontada parcela do empregado)]])-2,0)*($G87-$H87)</f>
        <v>#NAME?</v>
      </c>
      <c r="AF87" s="22">
        <f>VLOOKUP($A87,tabCustoUnit[],COLUMN(CUSTO_GLOBAL[[#Headers],[Vale - Alimentação (Descontada parcela do empregado)]])-2,0)*($G87-$H87)</f>
        <v>1164</v>
      </c>
      <c r="AG87" s="22">
        <f>VLOOKUP($A87,tabCustoUnit[],COLUMN(CUSTO_GLOBAL[[#Headers],[Cesta Básica]])-2,0)*($G87-$H87)</f>
        <v>0</v>
      </c>
      <c r="AH87" s="22">
        <f>VLOOKUP($A87,tabCustoUnit[],COLUMN(CUSTO_GLOBAL[[#Headers],[PAF]])-2,0)*($G87-$H87)</f>
        <v>154.5</v>
      </c>
      <c r="AI87" s="22">
        <f>VLOOKUP($A87,tabCustoUnit[],COLUMN(CUSTO_GLOBAL[[#Headers],[PQM]])-2,0)*($G87-$H87)</f>
        <v>0</v>
      </c>
      <c r="AJ87" s="22">
        <v>0</v>
      </c>
      <c r="AK87" s="22">
        <f>VLOOKUP($A87,tabCustoUnit[],COLUMN(CUSTO_GLOBAL[[#Headers],[Seguro de Vida]])-2,0)*($G87-$H87)</f>
        <v>6.72</v>
      </c>
      <c r="AL87" s="22">
        <f>VLOOKUP($A87,tabCustoUnit[],COLUMN(CUSTO_GLOBAL[[#Headers],[Despesas de Viagem]])-2,0)*($G87-$H87)</f>
        <v>0</v>
      </c>
      <c r="AM87" s="22" t="e">
        <f ca="1">VLOOKUP($A87,tabCustoUnit[],COLUMN(CUSTO_GLOBAL[[#Headers],[Submódulo 2.3]])-2,0)*($G87-$H87)</f>
        <v>#NAME?</v>
      </c>
      <c r="AN87" s="22" t="e">
        <f ca="1">VLOOKUP($A87,tabCustoUnit[],COLUMN(CUSTO_GLOBAL[[#Headers],[MÓDULO 2 - Total Encargos e Benefícios mensais e diários]])-2,0)*($G87-$H87)</f>
        <v>#NAME?</v>
      </c>
      <c r="AO87" s="22">
        <f>VLOOKUP($A87,tabCustoUnit[],COLUMN(CUSTO_GLOBAL[[#Headers],[Aviso Prévio Indenizado (API) e Reflexo do Aviso Prévio Indenizado]])-2,0)*($G87-$H87)</f>
        <v>23.126424398032405</v>
      </c>
      <c r="AP87" s="22">
        <f>VLOOKUP($A87,tabCustoUnit[],COLUMN(CUSTO_GLOBAL[[#Headers],[Incidência do FGTS sobre API e Reflexo do API]])-2,0)*($G87-$H87)</f>
        <v>1.8501139518425926</v>
      </c>
      <c r="AQ87" s="22">
        <f>VLOOKUP($A87,tabCustoUnit[],COLUMN(CUSTO_GLOBAL[[#Headers],[Multa Rescisória do FGTS sobre o Aviso Prévio Indenizado]])-2,0)*($G87-$H87)</f>
        <v>0.74004558073703719</v>
      </c>
      <c r="AR87" s="22">
        <f>VLOOKUP($A87,tabCustoUnit[],COLUMN(CUSTO_GLOBAL[[#Headers],[Aviso Prévio Trabalhado - APT]])-2,0)*($G87-$H87)</f>
        <v>11.5438071</v>
      </c>
      <c r="AS87" s="22">
        <f>VLOOKUP($A87,tabCustoUnit[],COLUMN(CUSTO_GLOBAL[[#Headers],[Incidência dos encargos do submódulo 2.1 sobre Aviso Prévio Trabalhado]])-2,0)*($G87-$H87)</f>
        <v>4.3635590838000011</v>
      </c>
      <c r="AT87" s="22">
        <f>VLOOKUP($A87,tabCustoUnit[],COLUMN(CUSTO_GLOBAL[[#Headers],[Multa Rescisória do FGTS]])-2,0)*($G87-$H87)</f>
        <v>100.85256234666664</v>
      </c>
      <c r="AU87" s="22">
        <f>VLOOKUP($A87,tabCustoUnit[],COLUMN(CUSTO_GLOBAL[[#Headers],[Indenização Adicional (Art. 9º da Lei nº 7.238/84)]])-2,0)*($G87-$H87)</f>
        <v>2.7485255</v>
      </c>
      <c r="AV87" s="22">
        <f>VLOOKUP($A87,tabCustoUnit[],COLUMN(CUSTO_GLOBAL[[#Headers],[MÓDULO 3 – PROVISÃO PARA RESCISÃO]])-2,0)*($G87-$H87)</f>
        <v>145.22503796107867</v>
      </c>
      <c r="AW87" s="22">
        <f>VLOOKUP($A87,tabCustoUnit[],COLUMN(CUSTO_GLOBAL[[#Headers],[Ausência por Doença]])-2,0)*($G87-$H87)</f>
        <v>27.851725066666663</v>
      </c>
      <c r="AX87" s="22">
        <f>VLOOKUP($A87,tabCustoUnit[],COLUMN(CUSTO_GLOBAL[[#Headers],[Ausências Legais]])-2,0)*($G87-$H87)</f>
        <v>6.6880787166666664</v>
      </c>
      <c r="AY87" s="22">
        <f>VLOOKUP($A87,tabCustoUnit[],COLUMN(CUSTO_GLOBAL[[#Headers],[Licença Paternidade]])-2,0)*($G87-$H87)</f>
        <v>0.56344772749999994</v>
      </c>
      <c r="AZ87" s="22">
        <f>VLOOKUP($A87,tabCustoUnit[],COLUMN(CUSTO_GLOBAL[[#Headers],[Ausência por Acidente de Trabalho]])-2,0)*($G87-$H87)</f>
        <v>0.68713137499999999</v>
      </c>
      <c r="BA87" s="22">
        <f>VLOOKUP($A87,tabCustoUnit[],COLUMN(CUSTO_GLOBAL[[#Headers],[Férias, Adicional de Férias e 13º  com empregada em gozo de Licença Maternidade]])-2,0)*($G87-$H87)</f>
        <v>4.275484111111111</v>
      </c>
      <c r="BB87" s="22">
        <f>VLOOKUP($A87,tabCustoUnit[],COLUMN(CUSTO_GLOBAL[[#Headers],[Incidência do Submódulo 2.1 sobre Ausências Legais]])-2,0)*($G87-$H87)</f>
        <v>15.144897724845002</v>
      </c>
      <c r="BC87" s="22">
        <f>VLOOKUP($A87,tabCustoUnit[],COLUMN(CUSTO_GLOBAL[[#Headers],[Submódulo 4.1]])-2,0)*($G87-$H87)</f>
        <v>55.210764721789438</v>
      </c>
      <c r="BD87" s="22">
        <f>VLOOKUP($A87,tabCustoUnit[],COLUMN(CUSTO_GLOBAL[[#Headers],[Intervalo para Repouso ou Alimentação]])-2,0)*($G87-$H87)</f>
        <v>0</v>
      </c>
      <c r="BE87" s="22">
        <f>VLOOKUP($A87,tabCustoUnit[],COLUMN(CUSTO_GLOBAL[[#Headers],[Submódulo 4.2]])-2,0)*($G87-$H87)</f>
        <v>0</v>
      </c>
      <c r="BF87" s="22">
        <f>VLOOKUP($A87,tabCustoUnit[],COLUMN(CUSTO_GLOBAL[[#Headers],[Suspensão Temporária do Contrato de Trabalho]])-2,0)*($G87-$H87)</f>
        <v>0</v>
      </c>
      <c r="BG87" s="22">
        <f>VLOOKUP($A87,tabCustoUnit[],COLUMN(CUSTO_GLOBAL[[#Headers],[Submódulo 4.3]])-2,0)*($G87-$H87)</f>
        <v>0</v>
      </c>
      <c r="BH87" s="22">
        <f>VLOOKUP($A87,tabCustoUnit[],COLUMN(CUSTO_GLOBAL[[#Headers],[MÓDULO 4 – CUSTO DE REPOSIÇÃO DO PROFISSIONAL AUSENTE]])-2,0)*($G87-$H87)</f>
        <v>55.210764721789438</v>
      </c>
      <c r="BI87" s="22">
        <f>VLOOKUP($A87,tabCustoUnit[],COLUMN(CUSTO_GLOBAL[[#Headers],[Uniformes e EPIs]])-2,0)*($G87-$H87)</f>
        <v>112.28342732397984</v>
      </c>
      <c r="BJ87" s="22">
        <f>VLOOKUP($A87,tabCustoUnit[],COLUMN(CUSTO_GLOBAL[[#Headers],[Materiais de Consumo]])-2,0)*($G87-$H87)</f>
        <v>0</v>
      </c>
      <c r="BK87" s="22">
        <f>VLOOKUP($A87,tabCustoUnit[],COLUMN(CUSTO_GLOBAL[[#Headers],[Máquinas e Equipamentos (depreciação)]])-2,0)*($G87-$H87)</f>
        <v>0</v>
      </c>
      <c r="BL87" s="22">
        <f>VLOOKUP($A87,tabCustoUnit[],COLUMN(CUSTO_GLOBAL[[#Headers],[Produtos de Limpeza e Materiais de Higiene Pessoal]])-2,0)*($G87-$H87)</f>
        <v>0</v>
      </c>
      <c r="BM87" s="22">
        <f>VLOOKUP($A87,tabCustoUnit[],COLUMN(CUSTO_GLOBAL[[#Headers],[Outros (especificar)]])-2,0)*($G87-$H87)</f>
        <v>0</v>
      </c>
      <c r="BN87" s="22">
        <f>VLOOKUP($A87,tabCustoUnit[],COLUMN(CUSTO_GLOBAL[[#Headers],[MÓDULO 5 – INSUMOS DIVERSOS]])-2,0)*($G87-$H87)</f>
        <v>112.28342732397984</v>
      </c>
      <c r="BO87" s="22" t="e">
        <f ca="1">VLOOKUP($A87,tabCustoUnit[],COLUMN(CUSTO_GLOBAL[[#Headers],[TOTAL MÓDULOS 1+2+3+4+5]])-2,0)*($G87-$H87)</f>
        <v>#NAME?</v>
      </c>
      <c r="BP87" s="22" t="e">
        <f ca="1">VLOOKUP($A87,tabCustoUnit[],COLUMN(CUSTO_GLOBAL[[#Headers],[Custos Indiretos]])-2,0)*($G87-$H87)</f>
        <v>#NAME?</v>
      </c>
      <c r="BQ87" s="22" t="e">
        <f ca="1">VLOOKUP($A87,tabCustoUnit[],COLUMN(CUSTO_GLOBAL[[#Headers],[Lucro]])-2,0)*($G87-$H87)</f>
        <v>#NAME?</v>
      </c>
      <c r="BR87" s="26">
        <f>VLOOKUP($A87,tabCustoUnit[],COLUMN(CUSTO_GLOBAL[[#Headers],[COFINS]])-2,0)</f>
        <v>8.7406555491661944E-2</v>
      </c>
      <c r="BS87" s="26">
        <f>VLOOKUP($A87,tabCustoUnit[],COLUMN(CUSTO_GLOBAL[[#Headers],[PIS]])-2,0)</f>
        <v>1.8976423231742381E-2</v>
      </c>
      <c r="BT87" s="28">
        <f>VLOOKUP($A87,tabCustoUnit[],COLUMN(CUSTO_GLOBAL[[#Headers],[ISS]])-2,0)</f>
        <v>3.7999999999999999E-2</v>
      </c>
      <c r="BU87" s="26">
        <f>VLOOKUP($A87,tabCustoUnit[],COLUMN(CUSTO_GLOBAL[[#Headers],[ISS (Conversão Alíquota s/ fatura)]])-2,0)</f>
        <v>4.370327774583093E-2</v>
      </c>
      <c r="BV87" s="26">
        <f>VLOOKUP($A87,tabCustoUnit[],COLUMN(CUSTO_GLOBAL[[#Headers],[Resumo de Alíquotas (PIS+CONFINS+ISS)]])-2,0)</f>
        <v>0.1305</v>
      </c>
      <c r="BW87" s="138">
        <f>VLOOKUP($A87,tabCustoUnit[],COLUMN(CUSTO_GLOBAL[[#Headers],[PIS + COFINS + ISS (Total Conversão  Alíquota s/ Fatura)]])-2,0)</f>
        <v>0.15008625646923526</v>
      </c>
      <c r="BX87" s="22" t="e">
        <f ca="1">VLOOKUP($A87,tabCustoUnit[],COLUMN(CUSTO_GLOBAL[[#Headers],[Valor dos Tributos (ISS, PIS, CONFINS)]])-2,0)*($G87-$H87)</f>
        <v>#NAME?</v>
      </c>
      <c r="BY87" s="22" t="e">
        <f ca="1">VLOOKUP($A87,tabCustoUnit[],COLUMN(CUSTO_GLOBAL[[#Headers],[MÓDULO 6 – CUSTOS INDIRETOS, TRIBUTOS E LUCRO]])-2,0)*($G87-$H87)</f>
        <v>#NAME?</v>
      </c>
      <c r="BZ87" s="22" t="e">
        <f ca="1">VLOOKUP($A87,tabCustoUnit[],COLUMN(CUSTO_GLOBAL[[#Headers],[CUSTO TOTAL MENSAL]])-2,0)*($G87-$H87)</f>
        <v>#NAME?</v>
      </c>
      <c r="CA87" s="22" t="e">
        <f ca="1">CUSTO_GLOBAL[[#This Row],[CUSTO TOTAL MENSAL]]*12</f>
        <v>#NAME?</v>
      </c>
      <c r="CB87" s="24">
        <f>VLOOKUP($A87,tabCustoUnit[],COLUMN(CUSTO_GLOBAL[[#Headers],[ANO DA CCT]])-2,0)</f>
        <v>45658</v>
      </c>
      <c r="CC87" s="25" t="str">
        <f>VLOOKUP($A87,tabCustoUnit[],COLUMN(CUSTO_GLOBAL[[#Headers],[Nº DE PEDIDO DA CCT]])-2,0)</f>
        <v>-</v>
      </c>
      <c r="CD87" s="25" t="str">
        <f>VLOOKUP($A87,tabCustoUnit[],COLUMN(CUSTO_GLOBAL[[#Headers],[TERMO ADITIVO ALTERAÇÃO DA CCT]])-2,0)</f>
        <v>-</v>
      </c>
    </row>
    <row r="88" spans="1:82">
      <c r="A88" s="20" t="s">
        <v>1460</v>
      </c>
      <c r="B88" t="s">
        <v>1104</v>
      </c>
      <c r="C88" t="s">
        <v>1371</v>
      </c>
      <c r="D88" t="s">
        <v>1058</v>
      </c>
      <c r="E88" s="20" t="s">
        <v>1090</v>
      </c>
      <c r="F88" s="20" t="s">
        <v>120</v>
      </c>
      <c r="G88" s="20">
        <v>1</v>
      </c>
      <c r="H88" s="20">
        <v>0</v>
      </c>
      <c r="I88" s="21">
        <f>VLOOKUP($A88,tabCustoUnit[],COLUMN(CUSTO_GLOBAL[[#Headers],[Salário Base]])-2,0)*($G88-$H88)</f>
        <v>6454.87</v>
      </c>
      <c r="J88" s="21">
        <f>VLOOKUP($A88,tabCustoUnit[],COLUMN(CUSTO_GLOBAL[[#Headers],[Adicional Periculosidade]])-2,0)*($G88-$H88)</f>
        <v>0</v>
      </c>
      <c r="K88" s="21">
        <f>VLOOKUP($A88,tabCustoUnit[],COLUMN(CUSTO_GLOBAL[[#Headers],[Adicional Insalubridade]])-2,0)*($G88-$H88)</f>
        <v>0</v>
      </c>
      <c r="L88" s="21">
        <f>VLOOKUP($A88,tabCustoUnit[],COLUMN(CUSTO_GLOBAL[[#Headers],[Adicional Noturno]])-2,0)*($G88-$H88)</f>
        <v>0</v>
      </c>
      <c r="M88" s="21">
        <f>VLOOKUP($A88,tabCustoUnit[],COLUMN(CUSTO_GLOBAL[[#Headers],[Adicional Motorista II (Gratificação)]])-2,0)*($G88-$H88)</f>
        <v>0</v>
      </c>
      <c r="N88" s="21">
        <f>VLOOKUP($A88,tabCustoUnit[],COLUMN(CUSTO_GLOBAL[[#Headers],[Adicional de Sobreaviso]])-2,0)*($G88-$H88)</f>
        <v>0</v>
      </c>
      <c r="O88" s="21">
        <f>VLOOKUP($A88,tabCustoUnit[],COLUMN(CUSTO_GLOBAL[[#Headers],[Horas Extras TI]])-2,0)*($G88-$H88)</f>
        <v>0</v>
      </c>
      <c r="P88" s="21">
        <f>VLOOKUP($A88,tabCustoUnit[],COLUMN(CUSTO_GLOBAL[[#Headers],[Adicional de Acúmulo de função]])-2,0)*($G88-$H88)</f>
        <v>0</v>
      </c>
      <c r="Q88" s="21">
        <f>VLOOKUP($A88,tabCustoUnit[],COLUMN(CUSTO_GLOBAL[[#Headers],[MODULO 1 - REMUNERAÇÃO ]])-2,0)*($G88-$H88)</f>
        <v>6454.87</v>
      </c>
      <c r="R88" s="21">
        <f>VLOOKUP($A88,tabCustoUnit[],COLUMN(CUSTO_GLOBAL[[#Headers],[INSS]])-2,0)*($G88-$H88)</f>
        <v>1290.9740000000002</v>
      </c>
      <c r="S88" s="21">
        <f>VLOOKUP($A88,tabCustoUnit[],COLUMN(CUSTO_GLOBAL[[#Headers],[SESI OU SESC]])-2,0)*($G88-$H88)</f>
        <v>96.823049999999995</v>
      </c>
      <c r="T88" s="21">
        <f>VLOOKUP($A88,tabCustoUnit[],COLUMN(CUSTO_GLOBAL[[#Headers],[SENAI OU SENAC]])-2,0)*($G88-$H88)</f>
        <v>64.548699999999997</v>
      </c>
      <c r="U88" s="21">
        <f>VLOOKUP($A88,tabCustoUnit[],COLUMN(CUSTO_GLOBAL[[#Headers],[INCRA]])-2,0)*($G88-$H88)</f>
        <v>12.909739999999999</v>
      </c>
      <c r="V88" s="21">
        <f>VLOOKUP($A88,tabCustoUnit[],COLUMN(CUSTO_GLOBAL[[#Headers],[Salário Educação]])-2,0)*($G88-$H88)</f>
        <v>161.37175000000002</v>
      </c>
      <c r="W88" s="21">
        <f>VLOOKUP($A88,tabCustoUnit[],COLUMN(CUSTO_GLOBAL[[#Headers],[FGTS]])-2,0)*($G88-$H88)</f>
        <v>516.38959999999997</v>
      </c>
      <c r="X88" s="21">
        <f>VLOOKUP($A88,tabCustoUnit[],COLUMN(CUSTO_GLOBAL[[#Headers],[RAT Ajustado]])-2,0)*($G88-$H88)</f>
        <v>258.19479999999999</v>
      </c>
      <c r="Y88" s="21">
        <f>VLOOKUP($A88,tabCustoUnit[],COLUMN(CUSTO_GLOBAL[[#Headers],[SEBRAE]])-2,0)*($G88-$H88)</f>
        <v>38.729219999999998</v>
      </c>
      <c r="Z88" s="21">
        <f>VLOOKUP($A88,tabCustoUnit[],COLUMN(CUSTO_GLOBAL[[#Headers],[Submódulo 2.1]])-2,0)*($G88-$H88)</f>
        <v>2439.9408600000006</v>
      </c>
      <c r="AA88" s="21">
        <f>VLOOKUP($A88,tabCustoUnit[],COLUMN(CUSTO_GLOBAL[[#Headers],[13º salário (titular)]])-2,0)*($G88-$H88)</f>
        <v>537.90583333333325</v>
      </c>
      <c r="AB88" s="21">
        <f>VLOOKUP($A88,tabCustoUnit[],COLUMN(CUSTO_GLOBAL[[#Headers],[Férias e Adicional de Férias (titular)]])-2,0)*($G88-$H88)</f>
        <v>717.20777777777778</v>
      </c>
      <c r="AC88" s="21">
        <f>VLOOKUP($A88,tabCustoUnit[],COLUMN(CUSTO_GLOBAL[[#Headers],[Incidência do Submódulo 2.1 sobre 13º Salário, Férias e Adicional de Férias]])-2,0)*($G88-$H88)</f>
        <v>474.43294500000007</v>
      </c>
      <c r="AD88" s="21">
        <f>VLOOKUP($A88,tabCustoUnit[],COLUMN(CUSTO_GLOBAL[[#Headers],[Submódulo 2.2]])-2,0)*($G88-$H88)</f>
        <v>1729.5465561111109</v>
      </c>
      <c r="AE88" s="22" t="e">
        <f ca="1">VLOOKUP($A88,tabCustoUnit[],COLUMN(CUSTO_GLOBAL[[#Headers],[Vale - Transporte (Descontada parcela do empregado)]])-2,0)*($G88-$H88)</f>
        <v>#NAME?</v>
      </c>
      <c r="AF88" s="22">
        <f>VLOOKUP($A88,tabCustoUnit[],COLUMN(CUSTO_GLOBAL[[#Headers],[Vale - Alimentação (Descontada parcela do empregado)]])-2,0)*($G88-$H88)</f>
        <v>582</v>
      </c>
      <c r="AG88" s="22">
        <f>VLOOKUP($A88,tabCustoUnit[],COLUMN(CUSTO_GLOBAL[[#Headers],[Cesta Básica]])-2,0)*($G88-$H88)</f>
        <v>0</v>
      </c>
      <c r="AH88" s="22">
        <f>VLOOKUP($A88,tabCustoUnit[],COLUMN(CUSTO_GLOBAL[[#Headers],[PAF]])-2,0)*($G88-$H88)</f>
        <v>77.25</v>
      </c>
      <c r="AI88" s="22">
        <f>VLOOKUP($A88,tabCustoUnit[],COLUMN(CUSTO_GLOBAL[[#Headers],[PQM]])-2,0)*($G88-$H88)</f>
        <v>0</v>
      </c>
      <c r="AJ88" s="22">
        <v>0</v>
      </c>
      <c r="AK88" s="22">
        <f>VLOOKUP($A88,tabCustoUnit[],COLUMN(CUSTO_GLOBAL[[#Headers],[Seguro de Vida]])-2,0)*($G88-$H88)</f>
        <v>3.36</v>
      </c>
      <c r="AL88" s="22">
        <f>VLOOKUP($A88,tabCustoUnit[],COLUMN(CUSTO_GLOBAL[[#Headers],[Despesas de Viagem]])-2,0)*($G88-$H88)</f>
        <v>0</v>
      </c>
      <c r="AM88" s="22" t="e">
        <f ca="1">VLOOKUP($A88,tabCustoUnit[],COLUMN(CUSTO_GLOBAL[[#Headers],[Submódulo 2.3]])-2,0)*($G88-$H88)</f>
        <v>#NAME?</v>
      </c>
      <c r="AN88" s="22" t="e">
        <f ca="1">VLOOKUP($A88,tabCustoUnit[],COLUMN(CUSTO_GLOBAL[[#Headers],[MÓDULO 2 - Total Encargos e Benefícios mensais e diários]])-2,0)*($G88-$H88)</f>
        <v>#NAME?</v>
      </c>
      <c r="AO88" s="22">
        <f>VLOOKUP($A88,tabCustoUnit[],COLUMN(CUSTO_GLOBAL[[#Headers],[Aviso Prévio Indenizado (API) e Reflexo do Aviso Prévio Indenizado]])-2,0)*($G88-$H88)</f>
        <v>45.260044295910497</v>
      </c>
      <c r="AP88" s="22">
        <f>VLOOKUP($A88,tabCustoUnit[],COLUMN(CUSTO_GLOBAL[[#Headers],[Incidência do FGTS sobre API e Reflexo do API]])-2,0)*($G88-$H88)</f>
        <v>3.6208035436728396</v>
      </c>
      <c r="AQ88" s="22">
        <f>VLOOKUP($A88,tabCustoUnit[],COLUMN(CUSTO_GLOBAL[[#Headers],[Multa Rescisória do FGTS sobre o Aviso Prévio Indenizado]])-2,0)*($G88-$H88)</f>
        <v>1.4483214174691361</v>
      </c>
      <c r="AR88" s="22">
        <f>VLOOKUP($A88,tabCustoUnit[],COLUMN(CUSTO_GLOBAL[[#Headers],[Aviso Prévio Trabalhado - APT]])-2,0)*($G88-$H88)</f>
        <v>22.592045000000002</v>
      </c>
      <c r="AS88" s="22">
        <f>VLOOKUP($A88,tabCustoUnit[],COLUMN(CUSTO_GLOBAL[[#Headers],[Incidência dos encargos do submódulo 2.1 sobre Aviso Prévio Trabalhado]])-2,0)*($G88-$H88)</f>
        <v>8.5397930100000021</v>
      </c>
      <c r="AT88" s="22">
        <f>VLOOKUP($A88,tabCustoUnit[],COLUMN(CUSTO_GLOBAL[[#Headers],[Multa Rescisória do FGTS]])-2,0)*($G88-$H88)</f>
        <v>197.37558044444441</v>
      </c>
      <c r="AU88" s="22">
        <f>VLOOKUP($A88,tabCustoUnit[],COLUMN(CUSTO_GLOBAL[[#Headers],[Indenização Adicional (Art. 9º da Lei nº 7.238/84)]])-2,0)*($G88-$H88)</f>
        <v>5.3790583333333339</v>
      </c>
      <c r="AV88" s="22">
        <f>VLOOKUP($A88,tabCustoUnit[],COLUMN(CUSTO_GLOBAL[[#Headers],[MÓDULO 3 – PROVISÃO PARA RESCISÃO]])-2,0)*($G88-$H88)</f>
        <v>284.21564604483024</v>
      </c>
      <c r="AW88" s="22">
        <f>VLOOKUP($A88,tabCustoUnit[],COLUMN(CUSTO_GLOBAL[[#Headers],[Ausência por Doença]])-2,0)*($G88-$H88)</f>
        <v>54.507791111111104</v>
      </c>
      <c r="AX88" s="22">
        <f>VLOOKUP($A88,tabCustoUnit[],COLUMN(CUSTO_GLOBAL[[#Headers],[Ausências Legais]])-2,0)*($G88-$H88)</f>
        <v>13.089041944444443</v>
      </c>
      <c r="AY88" s="22">
        <f>VLOOKUP($A88,tabCustoUnit[],COLUMN(CUSTO_GLOBAL[[#Headers],[Licença Paternidade]])-2,0)*($G88-$H88)</f>
        <v>1.1027069583333333</v>
      </c>
      <c r="AZ88" s="22">
        <f>VLOOKUP($A88,tabCustoUnit[],COLUMN(CUSTO_GLOBAL[[#Headers],[Ausência por Acidente de Trabalho]])-2,0)*($G88-$H88)</f>
        <v>1.3447645833333335</v>
      </c>
      <c r="BA88" s="22">
        <f>VLOOKUP($A88,tabCustoUnit[],COLUMN(CUSTO_GLOBAL[[#Headers],[Férias, Adicional de Férias e 13º  com empregada em gozo de Licença Maternidade]])-2,0)*($G88-$H88)</f>
        <v>8.3674240740740728</v>
      </c>
      <c r="BB88" s="22">
        <f>VLOOKUP($A88,tabCustoUnit[],COLUMN(CUSTO_GLOBAL[[#Headers],[Incidência do Submódulo 2.1 sobre Ausências Legais]])-2,0)*($G88-$H88)</f>
        <v>29.639633437750003</v>
      </c>
      <c r="BC88" s="22">
        <f>VLOOKUP($A88,tabCustoUnit[],COLUMN(CUSTO_GLOBAL[[#Headers],[Submódulo 4.1]])-2,0)*($G88-$H88)</f>
        <v>108.05136210904629</v>
      </c>
      <c r="BD88" s="22">
        <f>VLOOKUP($A88,tabCustoUnit[],COLUMN(CUSTO_GLOBAL[[#Headers],[Intervalo para Repouso ou Alimentação]])-2,0)*($G88-$H88)</f>
        <v>0</v>
      </c>
      <c r="BE88" s="22">
        <f>VLOOKUP($A88,tabCustoUnit[],COLUMN(CUSTO_GLOBAL[[#Headers],[Submódulo 4.2]])-2,0)*($G88-$H88)</f>
        <v>0</v>
      </c>
      <c r="BF88" s="22">
        <f>VLOOKUP($A88,tabCustoUnit[],COLUMN(CUSTO_GLOBAL[[#Headers],[Suspensão Temporária do Contrato de Trabalho]])-2,0)*($G88-$H88)</f>
        <v>0</v>
      </c>
      <c r="BG88" s="22">
        <f>VLOOKUP($A88,tabCustoUnit[],COLUMN(CUSTO_GLOBAL[[#Headers],[Submódulo 4.3]])-2,0)*($G88-$H88)</f>
        <v>0</v>
      </c>
      <c r="BH88" s="22">
        <f>VLOOKUP($A88,tabCustoUnit[],COLUMN(CUSTO_GLOBAL[[#Headers],[MÓDULO 4 – CUSTO DE REPOSIÇÃO DO PROFISSIONAL AUSENTE]])-2,0)*($G88-$H88)</f>
        <v>108.05136210904629</v>
      </c>
      <c r="BI88" s="22">
        <f>VLOOKUP($A88,tabCustoUnit[],COLUMN(CUSTO_GLOBAL[[#Headers],[Uniformes e EPIs]])-2,0)*($G88-$H88)</f>
        <v>90.784679782039703</v>
      </c>
      <c r="BJ88" s="22">
        <f>VLOOKUP($A88,tabCustoUnit[],COLUMN(CUSTO_GLOBAL[[#Headers],[Materiais de Consumo]])-2,0)*($G88-$H88)</f>
        <v>0</v>
      </c>
      <c r="BK88" s="22">
        <f>VLOOKUP($A88,tabCustoUnit[],COLUMN(CUSTO_GLOBAL[[#Headers],[Máquinas e Equipamentos (depreciação)]])-2,0)*($G88-$H88)</f>
        <v>0</v>
      </c>
      <c r="BL88" s="22">
        <f>VLOOKUP($A88,tabCustoUnit[],COLUMN(CUSTO_GLOBAL[[#Headers],[Produtos de Limpeza e Materiais de Higiene Pessoal]])-2,0)*($G88-$H88)</f>
        <v>0</v>
      </c>
      <c r="BM88" s="22">
        <f>VLOOKUP($A88,tabCustoUnit[],COLUMN(CUSTO_GLOBAL[[#Headers],[Outros (especificar)]])-2,0)*($G88-$H88)</f>
        <v>0</v>
      </c>
      <c r="BN88" s="22">
        <f>VLOOKUP($A88,tabCustoUnit[],COLUMN(CUSTO_GLOBAL[[#Headers],[MÓDULO 5 – INSUMOS DIVERSOS]])-2,0)*($G88-$H88)</f>
        <v>90.784679782039703</v>
      </c>
      <c r="BO88" s="22" t="e">
        <f ca="1">VLOOKUP($A88,tabCustoUnit[],COLUMN(CUSTO_GLOBAL[[#Headers],[TOTAL MÓDULOS 1+2+3+4+5]])-2,0)*($G88-$H88)</f>
        <v>#NAME?</v>
      </c>
      <c r="BP88" s="22" t="e">
        <f ca="1">VLOOKUP($A88,tabCustoUnit[],COLUMN(CUSTO_GLOBAL[[#Headers],[Custos Indiretos]])-2,0)*($G88-$H88)</f>
        <v>#NAME?</v>
      </c>
      <c r="BQ88" s="22" t="e">
        <f ca="1">VLOOKUP($A88,tabCustoUnit[],COLUMN(CUSTO_GLOBAL[[#Headers],[Lucro]])-2,0)*($G88-$H88)</f>
        <v>#NAME?</v>
      </c>
      <c r="BR88" s="26">
        <f>VLOOKUP($A88,tabCustoUnit[],COLUMN(CUSTO_GLOBAL[[#Headers],[COFINS]])-2,0)</f>
        <v>8.7406555491661944E-2</v>
      </c>
      <c r="BS88" s="26">
        <f>VLOOKUP($A88,tabCustoUnit[],COLUMN(CUSTO_GLOBAL[[#Headers],[PIS]])-2,0)</f>
        <v>1.8976423231742381E-2</v>
      </c>
      <c r="BT88" s="28">
        <f>VLOOKUP($A88,tabCustoUnit[],COLUMN(CUSTO_GLOBAL[[#Headers],[ISS]])-2,0)</f>
        <v>3.7999999999999999E-2</v>
      </c>
      <c r="BU88" s="26">
        <f>VLOOKUP($A88,tabCustoUnit[],COLUMN(CUSTO_GLOBAL[[#Headers],[ISS (Conversão Alíquota s/ fatura)]])-2,0)</f>
        <v>4.370327774583093E-2</v>
      </c>
      <c r="BV88" s="26">
        <f>VLOOKUP($A88,tabCustoUnit[],COLUMN(CUSTO_GLOBAL[[#Headers],[Resumo de Alíquotas (PIS+CONFINS+ISS)]])-2,0)</f>
        <v>0.1305</v>
      </c>
      <c r="BW88" s="138">
        <f>VLOOKUP($A88,tabCustoUnit[],COLUMN(CUSTO_GLOBAL[[#Headers],[PIS + COFINS + ISS (Total Conversão  Alíquota s/ Fatura)]])-2,0)</f>
        <v>0.15008625646923526</v>
      </c>
      <c r="BX88" s="22" t="e">
        <f ca="1">VLOOKUP($A88,tabCustoUnit[],COLUMN(CUSTO_GLOBAL[[#Headers],[Valor dos Tributos (ISS, PIS, CONFINS)]])-2,0)*($G88-$H88)</f>
        <v>#NAME?</v>
      </c>
      <c r="BY88" s="22" t="e">
        <f ca="1">VLOOKUP($A88,tabCustoUnit[],COLUMN(CUSTO_GLOBAL[[#Headers],[MÓDULO 6 – CUSTOS INDIRETOS, TRIBUTOS E LUCRO]])-2,0)*($G88-$H88)</f>
        <v>#NAME?</v>
      </c>
      <c r="BZ88" s="22" t="e">
        <f ca="1">VLOOKUP($A88,tabCustoUnit[],COLUMN(CUSTO_GLOBAL[[#Headers],[CUSTO TOTAL MENSAL]])-2,0)*($G88-$H88)</f>
        <v>#NAME?</v>
      </c>
      <c r="CA88" s="22" t="e">
        <f ca="1">CUSTO_GLOBAL[[#This Row],[CUSTO TOTAL MENSAL]]*12</f>
        <v>#NAME?</v>
      </c>
      <c r="CB88" s="24">
        <f>VLOOKUP($A88,tabCustoUnit[],COLUMN(CUSTO_GLOBAL[[#Headers],[ANO DA CCT]])-2,0)</f>
        <v>45658</v>
      </c>
      <c r="CC88" s="25" t="str">
        <f>VLOOKUP($A88,tabCustoUnit[],COLUMN(CUSTO_GLOBAL[[#Headers],[Nº DE PEDIDO DA CCT]])-2,0)</f>
        <v>-</v>
      </c>
      <c r="CD88" s="25" t="str">
        <f>VLOOKUP($A88,tabCustoUnit[],COLUMN(CUSTO_GLOBAL[[#Headers],[TERMO ADITIVO ALTERAÇÃO DA CCT]])-2,0)</f>
        <v>-</v>
      </c>
    </row>
    <row r="89" spans="1:82">
      <c r="A89" s="20" t="s">
        <v>1554</v>
      </c>
      <c r="B89" t="s">
        <v>1104</v>
      </c>
      <c r="C89" t="s">
        <v>274</v>
      </c>
      <c r="D89" t="s">
        <v>980</v>
      </c>
      <c r="E89" s="20" t="s">
        <v>1090</v>
      </c>
      <c r="F89" s="20" t="s">
        <v>120</v>
      </c>
      <c r="G89" s="20">
        <v>2</v>
      </c>
      <c r="H89" s="20">
        <v>0</v>
      </c>
      <c r="I89" s="21">
        <f>VLOOKUP($A89,tabCustoUnit[],COLUMN(CUSTO_GLOBAL[[#Headers],[Salário Base]])-2,0)*($G89-$H89)</f>
        <v>8682.0400000000009</v>
      </c>
      <c r="J89" s="21">
        <f>VLOOKUP($A89,tabCustoUnit[],COLUMN(CUSTO_GLOBAL[[#Headers],[Adicional Periculosidade]])-2,0)*($G89-$H89)</f>
        <v>0</v>
      </c>
      <c r="K89" s="21">
        <f>VLOOKUP($A89,tabCustoUnit[],COLUMN(CUSTO_GLOBAL[[#Headers],[Adicional Insalubridade]])-2,0)*($G89-$H89)</f>
        <v>0</v>
      </c>
      <c r="L89" s="21">
        <f>VLOOKUP($A89,tabCustoUnit[],COLUMN(CUSTO_GLOBAL[[#Headers],[Adicional Noturno]])-2,0)*($G89-$H89)</f>
        <v>0</v>
      </c>
      <c r="M89" s="21">
        <f>VLOOKUP($A89,tabCustoUnit[],COLUMN(CUSTO_GLOBAL[[#Headers],[Adicional Motorista II (Gratificação)]])-2,0)*($G89-$H89)</f>
        <v>0</v>
      </c>
      <c r="N89" s="21">
        <f>VLOOKUP($A89,tabCustoUnit[],COLUMN(CUSTO_GLOBAL[[#Headers],[Adicional de Sobreaviso]])-2,0)*($G89-$H89)</f>
        <v>0</v>
      </c>
      <c r="O89" s="21">
        <f>VLOOKUP($A89,tabCustoUnit[],COLUMN(CUSTO_GLOBAL[[#Headers],[Horas Extras TI]])-2,0)*($G89-$H89)</f>
        <v>0</v>
      </c>
      <c r="P89" s="21">
        <f>VLOOKUP($A89,tabCustoUnit[],COLUMN(CUSTO_GLOBAL[[#Headers],[Adicional de Acúmulo de função]])-2,0)*($G89-$H89)</f>
        <v>0</v>
      </c>
      <c r="Q89" s="21">
        <f>VLOOKUP($A89,tabCustoUnit[],COLUMN(CUSTO_GLOBAL[[#Headers],[MODULO 1 - REMUNERAÇÃO ]])-2,0)*($G89-$H89)</f>
        <v>8682.0400000000009</v>
      </c>
      <c r="R89" s="21">
        <f>VLOOKUP($A89,tabCustoUnit[],COLUMN(CUSTO_GLOBAL[[#Headers],[INSS]])-2,0)*($G89-$H89)</f>
        <v>1736.4080000000004</v>
      </c>
      <c r="S89" s="21">
        <f>VLOOKUP($A89,tabCustoUnit[],COLUMN(CUSTO_GLOBAL[[#Headers],[SESI OU SESC]])-2,0)*($G89-$H89)</f>
        <v>130.23060000000001</v>
      </c>
      <c r="T89" s="21">
        <f>VLOOKUP($A89,tabCustoUnit[],COLUMN(CUSTO_GLOBAL[[#Headers],[SENAI OU SENAC]])-2,0)*($G89-$H89)</f>
        <v>86.820400000000006</v>
      </c>
      <c r="U89" s="21">
        <f>VLOOKUP($A89,tabCustoUnit[],COLUMN(CUSTO_GLOBAL[[#Headers],[INCRA]])-2,0)*($G89-$H89)</f>
        <v>17.364080000000001</v>
      </c>
      <c r="V89" s="21">
        <f>VLOOKUP($A89,tabCustoUnit[],COLUMN(CUSTO_GLOBAL[[#Headers],[Salário Educação]])-2,0)*($G89-$H89)</f>
        <v>217.05100000000004</v>
      </c>
      <c r="W89" s="21">
        <f>VLOOKUP($A89,tabCustoUnit[],COLUMN(CUSTO_GLOBAL[[#Headers],[FGTS]])-2,0)*($G89-$H89)</f>
        <v>694.56320000000005</v>
      </c>
      <c r="X89" s="21">
        <f>VLOOKUP($A89,tabCustoUnit[],COLUMN(CUSTO_GLOBAL[[#Headers],[RAT Ajustado]])-2,0)*($G89-$H89)</f>
        <v>347.28160000000003</v>
      </c>
      <c r="Y89" s="21">
        <f>VLOOKUP($A89,tabCustoUnit[],COLUMN(CUSTO_GLOBAL[[#Headers],[SEBRAE]])-2,0)*($G89-$H89)</f>
        <v>52.092240000000004</v>
      </c>
      <c r="Z89" s="21">
        <f>VLOOKUP($A89,tabCustoUnit[],COLUMN(CUSTO_GLOBAL[[#Headers],[Submódulo 2.1]])-2,0)*($G89-$H89)</f>
        <v>3281.8111200000003</v>
      </c>
      <c r="AA89" s="21">
        <f>VLOOKUP($A89,tabCustoUnit[],COLUMN(CUSTO_GLOBAL[[#Headers],[13º salário (titular)]])-2,0)*($G89-$H89)</f>
        <v>723.50333333333333</v>
      </c>
      <c r="AB89" s="21">
        <f>VLOOKUP($A89,tabCustoUnit[],COLUMN(CUSTO_GLOBAL[[#Headers],[Férias e Adicional de Férias (titular)]])-2,0)*($G89-$H89)</f>
        <v>964.67111111111114</v>
      </c>
      <c r="AC89" s="21">
        <f>VLOOKUP($A89,tabCustoUnit[],COLUMN(CUSTO_GLOBAL[[#Headers],[Incidência do Submódulo 2.1 sobre 13º Salário, Férias e Adicional de Férias]])-2,0)*($G89-$H89)</f>
        <v>638.12993999999992</v>
      </c>
      <c r="AD89" s="21">
        <f>VLOOKUP($A89,tabCustoUnit[],COLUMN(CUSTO_GLOBAL[[#Headers],[Submódulo 2.2]])-2,0)*($G89-$H89)</f>
        <v>2326.3043844444442</v>
      </c>
      <c r="AE89" s="22" t="e">
        <f ca="1">VLOOKUP($A89,tabCustoUnit[],COLUMN(CUSTO_GLOBAL[[#Headers],[Vale - Transporte (Descontada parcela do empregado)]])-2,0)*($G89-$H89)</f>
        <v>#NAME?</v>
      </c>
      <c r="AF89" s="22">
        <f>VLOOKUP($A89,tabCustoUnit[],COLUMN(CUSTO_GLOBAL[[#Headers],[Vale - Alimentação (Descontada parcela do empregado)]])-2,0)*($G89-$H89)</f>
        <v>1156.8</v>
      </c>
      <c r="AG89" s="22">
        <f>VLOOKUP($A89,tabCustoUnit[],COLUMN(CUSTO_GLOBAL[[#Headers],[Cesta Básica]])-2,0)*($G89-$H89)</f>
        <v>0</v>
      </c>
      <c r="AH89" s="22">
        <f>VLOOKUP($A89,tabCustoUnit[],COLUMN(CUSTO_GLOBAL[[#Headers],[PAF]])-2,0)*($G89-$H89)</f>
        <v>45.04</v>
      </c>
      <c r="AI89" s="22">
        <f>VLOOKUP($A89,tabCustoUnit[],COLUMN(CUSTO_GLOBAL[[#Headers],[PQM]])-2,0)*($G89-$H89)</f>
        <v>0</v>
      </c>
      <c r="AJ89" s="22">
        <v>0</v>
      </c>
      <c r="AK89" s="22">
        <f>VLOOKUP($A89,tabCustoUnit[],COLUMN(CUSTO_GLOBAL[[#Headers],[Seguro de Vida]])-2,0)*($G89-$H89)</f>
        <v>6.72</v>
      </c>
      <c r="AL89" s="22">
        <f>VLOOKUP($A89,tabCustoUnit[],COLUMN(CUSTO_GLOBAL[[#Headers],[Despesas de Viagem]])-2,0)*($G89-$H89)</f>
        <v>1324.84</v>
      </c>
      <c r="AM89" s="22" t="e">
        <f ca="1">VLOOKUP($A89,tabCustoUnit[],COLUMN(CUSTO_GLOBAL[[#Headers],[Submódulo 2.3]])-2,0)*($G89-$H89)</f>
        <v>#NAME?</v>
      </c>
      <c r="AN89" s="22" t="e">
        <f ca="1">VLOOKUP($A89,tabCustoUnit[],COLUMN(CUSTO_GLOBAL[[#Headers],[MÓDULO 2 - Total Encargos e Benefícios mensais e diários]])-2,0)*($G89-$H89)</f>
        <v>#NAME?</v>
      </c>
      <c r="AO89" s="22">
        <f>VLOOKUP($A89,tabCustoUnit[],COLUMN(CUSTO_GLOBAL[[#Headers],[Aviso Prévio Indenizado (API) e Reflexo do Aviso Prévio Indenizado]])-2,0)*($G89-$H89)</f>
        <v>60.876441350308646</v>
      </c>
      <c r="AP89" s="22">
        <f>VLOOKUP($A89,tabCustoUnit[],COLUMN(CUSTO_GLOBAL[[#Headers],[Incidência do FGTS sobre API e Reflexo do API]])-2,0)*($G89-$H89)</f>
        <v>4.8701153080246922</v>
      </c>
      <c r="AQ89" s="22">
        <f>VLOOKUP($A89,tabCustoUnit[],COLUMN(CUSTO_GLOBAL[[#Headers],[Multa Rescisória do FGTS sobre o Aviso Prévio Indenizado]])-2,0)*($G89-$H89)</f>
        <v>1.9480461232098771</v>
      </c>
      <c r="AR89" s="22">
        <f>VLOOKUP($A89,tabCustoUnit[],COLUMN(CUSTO_GLOBAL[[#Headers],[Aviso Prévio Trabalhado - APT]])-2,0)*($G89-$H89)</f>
        <v>30.387140000000006</v>
      </c>
      <c r="AS89" s="22">
        <f>VLOOKUP($A89,tabCustoUnit[],COLUMN(CUSTO_GLOBAL[[#Headers],[Incidência dos encargos do submódulo 2.1 sobre Aviso Prévio Trabalhado]])-2,0)*($G89-$H89)</f>
        <v>11.486338920000005</v>
      </c>
      <c r="AT89" s="22">
        <f>VLOOKUP($A89,tabCustoUnit[],COLUMN(CUSTO_GLOBAL[[#Headers],[Multa Rescisória do FGTS]])-2,0)*($G89-$H89)</f>
        <v>265.47748977777775</v>
      </c>
      <c r="AU89" s="22">
        <f>VLOOKUP($A89,tabCustoUnit[],COLUMN(CUSTO_GLOBAL[[#Headers],[Indenização Adicional (Art. 9º da Lei nº 7.238/84)]])-2,0)*($G89-$H89)</f>
        <v>7.2350333333333348</v>
      </c>
      <c r="AV89" s="22">
        <f>VLOOKUP($A89,tabCustoUnit[],COLUMN(CUSTO_GLOBAL[[#Headers],[MÓDULO 3 – PROVISÃO PARA RESCISÃO]])-2,0)*($G89-$H89)</f>
        <v>382.2806048126543</v>
      </c>
      <c r="AW89" s="22">
        <f>VLOOKUP($A89,tabCustoUnit[],COLUMN(CUSTO_GLOBAL[[#Headers],[Ausência por Doença]])-2,0)*($G89-$H89)</f>
        <v>73.31500444444444</v>
      </c>
      <c r="AX89" s="22">
        <f>VLOOKUP($A89,tabCustoUnit[],COLUMN(CUSTO_GLOBAL[[#Headers],[Ausências Legais]])-2,0)*($G89-$H89)</f>
        <v>17.605247777777777</v>
      </c>
      <c r="AY89" s="22">
        <f>VLOOKUP($A89,tabCustoUnit[],COLUMN(CUSTO_GLOBAL[[#Headers],[Licença Paternidade]])-2,0)*($G89-$H89)</f>
        <v>1.4831818333333335</v>
      </c>
      <c r="AZ89" s="22">
        <f>VLOOKUP($A89,tabCustoUnit[],COLUMN(CUSTO_GLOBAL[[#Headers],[Ausência por Acidente de Trabalho]])-2,0)*($G89-$H89)</f>
        <v>1.8087583333333337</v>
      </c>
      <c r="BA89" s="22">
        <f>VLOOKUP($A89,tabCustoUnit[],COLUMN(CUSTO_GLOBAL[[#Headers],[Férias, Adicional de Férias e 13º  com empregada em gozo de Licença Maternidade]])-2,0)*($G89-$H89)</f>
        <v>11.254496296296297</v>
      </c>
      <c r="BB89" s="22">
        <f>VLOOKUP($A89,tabCustoUnit[],COLUMN(CUSTO_GLOBAL[[#Headers],[Incidência do Submódulo 2.1 sobre Ausências Legais]])-2,0)*($G89-$H89)</f>
        <v>39.866408323000009</v>
      </c>
      <c r="BC89" s="22">
        <f>VLOOKUP($A89,tabCustoUnit[],COLUMN(CUSTO_GLOBAL[[#Headers],[Submódulo 4.1]])-2,0)*($G89-$H89)</f>
        <v>145.33309700818518</v>
      </c>
      <c r="BD89" s="22">
        <f>VLOOKUP($A89,tabCustoUnit[],COLUMN(CUSTO_GLOBAL[[#Headers],[Intervalo para Repouso ou Alimentação]])-2,0)*($G89-$H89)</f>
        <v>0</v>
      </c>
      <c r="BE89" s="22">
        <f>VLOOKUP($A89,tabCustoUnit[],COLUMN(CUSTO_GLOBAL[[#Headers],[Submódulo 4.2]])-2,0)*($G89-$H89)</f>
        <v>0</v>
      </c>
      <c r="BF89" s="22">
        <f>VLOOKUP($A89,tabCustoUnit[],COLUMN(CUSTO_GLOBAL[[#Headers],[Suspensão Temporária do Contrato de Trabalho]])-2,0)*($G89-$H89)</f>
        <v>0</v>
      </c>
      <c r="BG89" s="22">
        <f>VLOOKUP($A89,tabCustoUnit[],COLUMN(CUSTO_GLOBAL[[#Headers],[Submódulo 4.3]])-2,0)*($G89-$H89)</f>
        <v>0</v>
      </c>
      <c r="BH89" s="22">
        <f>VLOOKUP($A89,tabCustoUnit[],COLUMN(CUSTO_GLOBAL[[#Headers],[MÓDULO 4 – CUSTO DE REPOSIÇÃO DO PROFISSIONAL AUSENTE]])-2,0)*($G89-$H89)</f>
        <v>145.33309700818518</v>
      </c>
      <c r="BI89" s="22">
        <f>VLOOKUP($A89,tabCustoUnit[],COLUMN(CUSTO_GLOBAL[[#Headers],[Uniformes e EPIs]])-2,0)*($G89-$H89)</f>
        <v>184.2015275431414</v>
      </c>
      <c r="BJ89" s="22">
        <f>VLOOKUP($A89,tabCustoUnit[],COLUMN(CUSTO_GLOBAL[[#Headers],[Materiais de Consumo]])-2,0)*($G89-$H89)</f>
        <v>0</v>
      </c>
      <c r="BK89" s="22">
        <f>VLOOKUP($A89,tabCustoUnit[],COLUMN(CUSTO_GLOBAL[[#Headers],[Máquinas e Equipamentos (depreciação)]])-2,0)*($G89-$H89)</f>
        <v>0</v>
      </c>
      <c r="BL89" s="22">
        <f>VLOOKUP($A89,tabCustoUnit[],COLUMN(CUSTO_GLOBAL[[#Headers],[Produtos de Limpeza e Materiais de Higiene Pessoal]])-2,0)*($G89-$H89)</f>
        <v>0</v>
      </c>
      <c r="BM89" s="22">
        <f>VLOOKUP($A89,tabCustoUnit[],COLUMN(CUSTO_GLOBAL[[#Headers],[Outros (especificar)]])-2,0)*($G89-$H89)</f>
        <v>0</v>
      </c>
      <c r="BN89" s="22">
        <f>VLOOKUP($A89,tabCustoUnit[],COLUMN(CUSTO_GLOBAL[[#Headers],[MÓDULO 5 – INSUMOS DIVERSOS]])-2,0)*($G89-$H89)</f>
        <v>184.2015275431414</v>
      </c>
      <c r="BO89" s="22" t="e">
        <f ca="1">VLOOKUP($A89,tabCustoUnit[],COLUMN(CUSTO_GLOBAL[[#Headers],[TOTAL MÓDULOS 1+2+3+4+5]])-2,0)*($G89-$H89)</f>
        <v>#NAME?</v>
      </c>
      <c r="BP89" s="22" t="e">
        <f ca="1">VLOOKUP($A89,tabCustoUnit[],COLUMN(CUSTO_GLOBAL[[#Headers],[Custos Indiretos]])-2,0)*($G89-$H89)</f>
        <v>#NAME?</v>
      </c>
      <c r="BQ89" s="22" t="e">
        <f ca="1">VLOOKUP($A89,tabCustoUnit[],COLUMN(CUSTO_GLOBAL[[#Headers],[Lucro]])-2,0)*($G89-$H89)</f>
        <v>#NAME?</v>
      </c>
      <c r="BR89" s="26">
        <f>VLOOKUP($A89,tabCustoUnit[],COLUMN(CUSTO_GLOBAL[[#Headers],[COFINS]])-2,0)</f>
        <v>8.7406555491661944E-2</v>
      </c>
      <c r="BS89" s="26">
        <f>VLOOKUP($A89,tabCustoUnit[],COLUMN(CUSTO_GLOBAL[[#Headers],[PIS]])-2,0)</f>
        <v>1.8976423231742381E-2</v>
      </c>
      <c r="BT89" s="28">
        <f>VLOOKUP($A89,tabCustoUnit[],COLUMN(CUSTO_GLOBAL[[#Headers],[ISS]])-2,0)</f>
        <v>3.7999999999999999E-2</v>
      </c>
      <c r="BU89" s="26">
        <f>VLOOKUP($A89,tabCustoUnit[],COLUMN(CUSTO_GLOBAL[[#Headers],[ISS (Conversão Alíquota s/ fatura)]])-2,0)</f>
        <v>4.370327774583093E-2</v>
      </c>
      <c r="BV89" s="26">
        <f>VLOOKUP($A89,tabCustoUnit[],COLUMN(CUSTO_GLOBAL[[#Headers],[Resumo de Alíquotas (PIS+CONFINS+ISS)]])-2,0)</f>
        <v>0.1305</v>
      </c>
      <c r="BW89" s="138">
        <f>VLOOKUP($A89,tabCustoUnit[],COLUMN(CUSTO_GLOBAL[[#Headers],[PIS + COFINS + ISS (Total Conversão  Alíquota s/ Fatura)]])-2,0)</f>
        <v>0.15008625646923526</v>
      </c>
      <c r="BX89" s="22" t="e">
        <f ca="1">VLOOKUP($A89,tabCustoUnit[],COLUMN(CUSTO_GLOBAL[[#Headers],[Valor dos Tributos (ISS, PIS, CONFINS)]])-2,0)*($G89-$H89)</f>
        <v>#NAME?</v>
      </c>
      <c r="BY89" s="22" t="e">
        <f ca="1">VLOOKUP($A89,tabCustoUnit[],COLUMN(CUSTO_GLOBAL[[#Headers],[MÓDULO 6 – CUSTOS INDIRETOS, TRIBUTOS E LUCRO]])-2,0)*($G89-$H89)</f>
        <v>#NAME?</v>
      </c>
      <c r="BZ89" s="22" t="e">
        <f ca="1">VLOOKUP($A89,tabCustoUnit[],COLUMN(CUSTO_GLOBAL[[#Headers],[CUSTO TOTAL MENSAL]])-2,0)*($G89-$H89)</f>
        <v>#NAME?</v>
      </c>
      <c r="CA89" s="22" t="e">
        <f ca="1">CUSTO_GLOBAL[[#This Row],[CUSTO TOTAL MENSAL]]*12</f>
        <v>#NAME?</v>
      </c>
      <c r="CB89" s="24">
        <f>VLOOKUP($A89,tabCustoUnit[],COLUMN(CUSTO_GLOBAL[[#Headers],[ANO DA CCT]])-2,0)</f>
        <v>45658</v>
      </c>
      <c r="CC89" s="25" t="str">
        <f>VLOOKUP($A89,tabCustoUnit[],COLUMN(CUSTO_GLOBAL[[#Headers],[Nº DE PEDIDO DA CCT]])-2,0)</f>
        <v>-</v>
      </c>
      <c r="CD89" s="25" t="str">
        <f>VLOOKUP($A89,tabCustoUnit[],COLUMN(CUSTO_GLOBAL[[#Headers],[TERMO ADITIVO ALTERAÇÃO DA CCT]])-2,0)</f>
        <v>-</v>
      </c>
    </row>
    <row r="90" spans="1:82">
      <c r="A90" s="20" t="s">
        <v>1555</v>
      </c>
      <c r="B90" t="s">
        <v>1104</v>
      </c>
      <c r="C90" t="s">
        <v>319</v>
      </c>
      <c r="D90" t="s">
        <v>1058</v>
      </c>
      <c r="E90" s="20" t="s">
        <v>1090</v>
      </c>
      <c r="F90" s="20" t="s">
        <v>120</v>
      </c>
      <c r="G90" s="20">
        <v>1</v>
      </c>
      <c r="H90" s="20">
        <v>0</v>
      </c>
      <c r="I90" s="21">
        <f>VLOOKUP($A90,tabCustoUnit[],COLUMN(CUSTO_GLOBAL[[#Headers],[Salário Base]])-2,0)*($G90-$H90)</f>
        <v>2316.2296999999999</v>
      </c>
      <c r="J90" s="21">
        <f>VLOOKUP($A90,tabCustoUnit[],COLUMN(CUSTO_GLOBAL[[#Headers],[Adicional Periculosidade]])-2,0)*($G90-$H90)</f>
        <v>0</v>
      </c>
      <c r="K90" s="21">
        <f>VLOOKUP($A90,tabCustoUnit[],COLUMN(CUSTO_GLOBAL[[#Headers],[Adicional Insalubridade]])-2,0)*($G90-$H90)</f>
        <v>0</v>
      </c>
      <c r="L90" s="21">
        <f>VLOOKUP($A90,tabCustoUnit[],COLUMN(CUSTO_GLOBAL[[#Headers],[Adicional Noturno]])-2,0)*($G90-$H90)</f>
        <v>0</v>
      </c>
      <c r="M90" s="21">
        <f>VLOOKUP($A90,tabCustoUnit[],COLUMN(CUSTO_GLOBAL[[#Headers],[Adicional Motorista II (Gratificação)]])-2,0)*($G90-$H90)</f>
        <v>0</v>
      </c>
      <c r="N90" s="21">
        <f>VLOOKUP($A90,tabCustoUnit[],COLUMN(CUSTO_GLOBAL[[#Headers],[Adicional de Sobreaviso]])-2,0)*($G90-$H90)</f>
        <v>0</v>
      </c>
      <c r="O90" s="21">
        <f>VLOOKUP($A90,tabCustoUnit[],COLUMN(CUSTO_GLOBAL[[#Headers],[Horas Extras TI]])-2,0)*($G90-$H90)</f>
        <v>0</v>
      </c>
      <c r="P90" s="21">
        <f>VLOOKUP($A90,tabCustoUnit[],COLUMN(CUSTO_GLOBAL[[#Headers],[Adicional de Acúmulo de função]])-2,0)*($G90-$H90)</f>
        <v>0</v>
      </c>
      <c r="Q90" s="21">
        <f>VLOOKUP($A90,tabCustoUnit[],COLUMN(CUSTO_GLOBAL[[#Headers],[MODULO 1 - REMUNERAÇÃO ]])-2,0)*($G90-$H90)</f>
        <v>2316.2296999999999</v>
      </c>
      <c r="R90" s="21">
        <f>VLOOKUP($A90,tabCustoUnit[],COLUMN(CUSTO_GLOBAL[[#Headers],[INSS]])-2,0)*($G90-$H90)</f>
        <v>463.24594000000002</v>
      </c>
      <c r="S90" s="21">
        <f>VLOOKUP($A90,tabCustoUnit[],COLUMN(CUSTO_GLOBAL[[#Headers],[SESI OU SESC]])-2,0)*($G90-$H90)</f>
        <v>34.7434455</v>
      </c>
      <c r="T90" s="21">
        <f>VLOOKUP($A90,tabCustoUnit[],COLUMN(CUSTO_GLOBAL[[#Headers],[SENAI OU SENAC]])-2,0)*($G90-$H90)</f>
        <v>23.162296999999999</v>
      </c>
      <c r="U90" s="21">
        <f>VLOOKUP($A90,tabCustoUnit[],COLUMN(CUSTO_GLOBAL[[#Headers],[INCRA]])-2,0)*($G90-$H90)</f>
        <v>4.6324594000000001</v>
      </c>
      <c r="V90" s="21">
        <f>VLOOKUP($A90,tabCustoUnit[],COLUMN(CUSTO_GLOBAL[[#Headers],[Salário Educação]])-2,0)*($G90-$H90)</f>
        <v>57.905742500000002</v>
      </c>
      <c r="W90" s="21">
        <f>VLOOKUP($A90,tabCustoUnit[],COLUMN(CUSTO_GLOBAL[[#Headers],[FGTS]])-2,0)*($G90-$H90)</f>
        <v>185.29837599999999</v>
      </c>
      <c r="X90" s="21">
        <f>VLOOKUP($A90,tabCustoUnit[],COLUMN(CUSTO_GLOBAL[[#Headers],[RAT Ajustado]])-2,0)*($G90-$H90)</f>
        <v>92.649187999999995</v>
      </c>
      <c r="Y90" s="21">
        <f>VLOOKUP($A90,tabCustoUnit[],COLUMN(CUSTO_GLOBAL[[#Headers],[SEBRAE]])-2,0)*($G90-$H90)</f>
        <v>13.8973782</v>
      </c>
      <c r="Z90" s="21">
        <f>VLOOKUP($A90,tabCustoUnit[],COLUMN(CUSTO_GLOBAL[[#Headers],[Submódulo 2.1]])-2,0)*($G90-$H90)</f>
        <v>875.53482659999997</v>
      </c>
      <c r="AA90" s="21">
        <f>VLOOKUP($A90,tabCustoUnit[],COLUMN(CUSTO_GLOBAL[[#Headers],[13º salário (titular)]])-2,0)*($G90-$H90)</f>
        <v>193.01914166666666</v>
      </c>
      <c r="AB90" s="21">
        <f>VLOOKUP($A90,tabCustoUnit[],COLUMN(CUSTO_GLOBAL[[#Headers],[Férias e Adicional de Férias (titular)]])-2,0)*($G90-$H90)</f>
        <v>257.35885555555552</v>
      </c>
      <c r="AC90" s="21">
        <f>VLOOKUP($A90,tabCustoUnit[],COLUMN(CUSTO_GLOBAL[[#Headers],[Incidência do Submódulo 2.1 sobre 13º Salário, Férias e Adicional de Férias]])-2,0)*($G90-$H90)</f>
        <v>170.24288294999999</v>
      </c>
      <c r="AD90" s="21">
        <f>VLOOKUP($A90,tabCustoUnit[],COLUMN(CUSTO_GLOBAL[[#Headers],[Submódulo 2.2]])-2,0)*($G90-$H90)</f>
        <v>620.6208801722222</v>
      </c>
      <c r="AE90" s="22" t="e">
        <f ca="1">VLOOKUP($A90,tabCustoUnit[],COLUMN(CUSTO_GLOBAL[[#Headers],[Vale - Transporte (Descontada parcela do empregado)]])-2,0)*($G90-$H90)</f>
        <v>#NAME?</v>
      </c>
      <c r="AF90" s="22">
        <f>VLOOKUP($A90,tabCustoUnit[],COLUMN(CUSTO_GLOBAL[[#Headers],[Vale - Alimentação (Descontada parcela do empregado)]])-2,0)*($G90-$H90)</f>
        <v>582</v>
      </c>
      <c r="AG90" s="22">
        <f>VLOOKUP($A90,tabCustoUnit[],COLUMN(CUSTO_GLOBAL[[#Headers],[Cesta Básica]])-2,0)*($G90-$H90)</f>
        <v>0</v>
      </c>
      <c r="AH90" s="22">
        <f>VLOOKUP($A90,tabCustoUnit[],COLUMN(CUSTO_GLOBAL[[#Headers],[PAF]])-2,0)*($G90-$H90)</f>
        <v>77.25</v>
      </c>
      <c r="AI90" s="22">
        <f>VLOOKUP($A90,tabCustoUnit[],COLUMN(CUSTO_GLOBAL[[#Headers],[PQM]])-2,0)*($G90-$H90)</f>
        <v>0</v>
      </c>
      <c r="AJ90" s="22">
        <v>0</v>
      </c>
      <c r="AK90" s="22">
        <f>VLOOKUP($A90,tabCustoUnit[],COLUMN(CUSTO_GLOBAL[[#Headers],[Seguro de Vida]])-2,0)*($G90-$H90)</f>
        <v>3.36</v>
      </c>
      <c r="AL90" s="22">
        <f>VLOOKUP($A90,tabCustoUnit[],COLUMN(CUSTO_GLOBAL[[#Headers],[Despesas de Viagem]])-2,0)*($G90-$H90)</f>
        <v>0</v>
      </c>
      <c r="AM90" s="22" t="e">
        <f ca="1">VLOOKUP($A90,tabCustoUnit[],COLUMN(CUSTO_GLOBAL[[#Headers],[Submódulo 2.3]])-2,0)*($G90-$H90)</f>
        <v>#NAME?</v>
      </c>
      <c r="AN90" s="22" t="e">
        <f ca="1">VLOOKUP($A90,tabCustoUnit[],COLUMN(CUSTO_GLOBAL[[#Headers],[MÓDULO 2 - Total Encargos e Benefícios mensais e diários]])-2,0)*($G90-$H90)</f>
        <v>#NAME?</v>
      </c>
      <c r="AO90" s="22">
        <f>VLOOKUP($A90,tabCustoUnit[],COLUMN(CUSTO_GLOBAL[[#Headers],[Aviso Prévio Indenizado (API) e Reflexo do Aviso Prévio Indenizado]])-2,0)*($G90-$H90)</f>
        <v>16.240862917689043</v>
      </c>
      <c r="AP90" s="22">
        <f>VLOOKUP($A90,tabCustoUnit[],COLUMN(CUSTO_GLOBAL[[#Headers],[Incidência do FGTS sobre API e Reflexo do API]])-2,0)*($G90-$H90)</f>
        <v>1.2992690334151236</v>
      </c>
      <c r="AQ90" s="22">
        <f>VLOOKUP($A90,tabCustoUnit[],COLUMN(CUSTO_GLOBAL[[#Headers],[Multa Rescisória do FGTS sobre o Aviso Prévio Indenizado]])-2,0)*($G90-$H90)</f>
        <v>0.51970761336604943</v>
      </c>
      <c r="AR90" s="22">
        <f>VLOOKUP($A90,tabCustoUnit[],COLUMN(CUSTO_GLOBAL[[#Headers],[Aviso Prévio Trabalhado - APT]])-2,0)*($G90-$H90)</f>
        <v>8.1068039500000015</v>
      </c>
      <c r="AS90" s="22">
        <f>VLOOKUP($A90,tabCustoUnit[],COLUMN(CUSTO_GLOBAL[[#Headers],[Incidência dos encargos do submódulo 2.1 sobre Aviso Prévio Trabalhado]])-2,0)*($G90-$H90)</f>
        <v>3.0643718931000006</v>
      </c>
      <c r="AT90" s="22">
        <f>VLOOKUP($A90,tabCustoUnit[],COLUMN(CUSTO_GLOBAL[[#Headers],[Multa Rescisória do FGTS]])-2,0)*($G90-$H90)</f>
        <v>70.825157048888869</v>
      </c>
      <c r="AU90" s="22">
        <f>VLOOKUP($A90,tabCustoUnit[],COLUMN(CUSTO_GLOBAL[[#Headers],[Indenização Adicional (Art. 9º da Lei nº 7.238/84)]])-2,0)*($G90-$H90)</f>
        <v>1.9301914166666667</v>
      </c>
      <c r="AV90" s="22">
        <f>VLOOKUP($A90,tabCustoUnit[],COLUMN(CUSTO_GLOBAL[[#Headers],[MÓDULO 3 – PROVISÃO PARA RESCISÃO]])-2,0)*($G90-$H90)</f>
        <v>101.98636387312575</v>
      </c>
      <c r="AW90" s="22">
        <f>VLOOKUP($A90,tabCustoUnit[],COLUMN(CUSTO_GLOBAL[[#Headers],[Ausência por Doença]])-2,0)*($G90-$H90)</f>
        <v>19.559273022222218</v>
      </c>
      <c r="AX90" s="22">
        <f>VLOOKUP($A90,tabCustoUnit[],COLUMN(CUSTO_GLOBAL[[#Headers],[Ausências Legais]])-2,0)*($G90-$H90)</f>
        <v>4.696799113888888</v>
      </c>
      <c r="AY90" s="22">
        <f>VLOOKUP($A90,tabCustoUnit[],COLUMN(CUSTO_GLOBAL[[#Headers],[Licença Paternidade]])-2,0)*($G90-$H90)</f>
        <v>0.39568924041666664</v>
      </c>
      <c r="AZ90" s="22">
        <f>VLOOKUP($A90,tabCustoUnit[],COLUMN(CUSTO_GLOBAL[[#Headers],[Ausência por Acidente de Trabalho]])-2,0)*($G90-$H90)</f>
        <v>0.48254785416666668</v>
      </c>
      <c r="BA90" s="22">
        <f>VLOOKUP($A90,tabCustoUnit[],COLUMN(CUSTO_GLOBAL[[#Headers],[Férias, Adicional de Férias e 13º  com empregada em gozo de Licença Maternidade]])-2,0)*($G90-$H90)</f>
        <v>3.0025199814814814</v>
      </c>
      <c r="BB90" s="22">
        <f>VLOOKUP($A90,tabCustoUnit[],COLUMN(CUSTO_GLOBAL[[#Headers],[Incidência do Submódulo 2.1 sobre Ausências Legais]])-2,0)*($G90-$H90)</f>
        <v>10.635721442202501</v>
      </c>
      <c r="BC90" s="22">
        <f>VLOOKUP($A90,tabCustoUnit[],COLUMN(CUSTO_GLOBAL[[#Headers],[Submódulo 4.1]])-2,0)*($G90-$H90)</f>
        <v>38.772550654378421</v>
      </c>
      <c r="BD90" s="22">
        <f>VLOOKUP($A90,tabCustoUnit[],COLUMN(CUSTO_GLOBAL[[#Headers],[Intervalo para Repouso ou Alimentação]])-2,0)*($G90-$H90)</f>
        <v>0</v>
      </c>
      <c r="BE90" s="22">
        <f>VLOOKUP($A90,tabCustoUnit[],COLUMN(CUSTO_GLOBAL[[#Headers],[Submódulo 4.2]])-2,0)*($G90-$H90)</f>
        <v>0</v>
      </c>
      <c r="BF90" s="22">
        <f>VLOOKUP($A90,tabCustoUnit[],COLUMN(CUSTO_GLOBAL[[#Headers],[Suspensão Temporária do Contrato de Trabalho]])-2,0)*($G90-$H90)</f>
        <v>0</v>
      </c>
      <c r="BG90" s="22">
        <f>VLOOKUP($A90,tabCustoUnit[],COLUMN(CUSTO_GLOBAL[[#Headers],[Submódulo 4.3]])-2,0)*($G90-$H90)</f>
        <v>0</v>
      </c>
      <c r="BH90" s="22">
        <f>VLOOKUP($A90,tabCustoUnit[],COLUMN(CUSTO_GLOBAL[[#Headers],[MÓDULO 4 – CUSTO DE REPOSIÇÃO DO PROFISSIONAL AUSENTE]])-2,0)*($G90-$H90)</f>
        <v>38.772550654378421</v>
      </c>
      <c r="BI90" s="22">
        <f>VLOOKUP($A90,tabCustoUnit[],COLUMN(CUSTO_GLOBAL[[#Headers],[Uniformes e EPIs]])-2,0)*($G90-$H90)</f>
        <v>56.642978962543395</v>
      </c>
      <c r="BJ90" s="22">
        <f>VLOOKUP($A90,tabCustoUnit[],COLUMN(CUSTO_GLOBAL[[#Headers],[Materiais de Consumo]])-2,0)*($G90-$H90)</f>
        <v>0</v>
      </c>
      <c r="BK90" s="22">
        <f>VLOOKUP($A90,tabCustoUnit[],COLUMN(CUSTO_GLOBAL[[#Headers],[Máquinas e Equipamentos (depreciação)]])-2,0)*($G90-$H90)</f>
        <v>0</v>
      </c>
      <c r="BL90" s="22">
        <f>VLOOKUP($A90,tabCustoUnit[],COLUMN(CUSTO_GLOBAL[[#Headers],[Produtos de Limpeza e Materiais de Higiene Pessoal]])-2,0)*($G90-$H90)</f>
        <v>0</v>
      </c>
      <c r="BM90" s="22">
        <f>VLOOKUP($A90,tabCustoUnit[],COLUMN(CUSTO_GLOBAL[[#Headers],[Outros (especificar)]])-2,0)*($G90-$H90)</f>
        <v>0</v>
      </c>
      <c r="BN90" s="22">
        <f>VLOOKUP($A90,tabCustoUnit[],COLUMN(CUSTO_GLOBAL[[#Headers],[MÓDULO 5 – INSUMOS DIVERSOS]])-2,0)*($G90-$H90)</f>
        <v>56.642978962543395</v>
      </c>
      <c r="BO90" s="22" t="e">
        <f ca="1">VLOOKUP($A90,tabCustoUnit[],COLUMN(CUSTO_GLOBAL[[#Headers],[TOTAL MÓDULOS 1+2+3+4+5]])-2,0)*($G90-$H90)</f>
        <v>#NAME?</v>
      </c>
      <c r="BP90" s="22" t="e">
        <f ca="1">VLOOKUP($A90,tabCustoUnit[],COLUMN(CUSTO_GLOBAL[[#Headers],[Custos Indiretos]])-2,0)*($G90-$H90)</f>
        <v>#NAME?</v>
      </c>
      <c r="BQ90" s="22" t="e">
        <f ca="1">VLOOKUP($A90,tabCustoUnit[],COLUMN(CUSTO_GLOBAL[[#Headers],[Lucro]])-2,0)*($G90-$H90)</f>
        <v>#NAME?</v>
      </c>
      <c r="BR90" s="26">
        <f>VLOOKUP($A90,tabCustoUnit[],COLUMN(CUSTO_GLOBAL[[#Headers],[COFINS]])-2,0)</f>
        <v>8.7406555491661944E-2</v>
      </c>
      <c r="BS90" s="26">
        <f>VLOOKUP($A90,tabCustoUnit[],COLUMN(CUSTO_GLOBAL[[#Headers],[PIS]])-2,0)</f>
        <v>1.8976423231742381E-2</v>
      </c>
      <c r="BT90" s="28">
        <f>VLOOKUP($A90,tabCustoUnit[],COLUMN(CUSTO_GLOBAL[[#Headers],[ISS]])-2,0)</f>
        <v>3.7999999999999999E-2</v>
      </c>
      <c r="BU90" s="26">
        <f>VLOOKUP($A90,tabCustoUnit[],COLUMN(CUSTO_GLOBAL[[#Headers],[ISS (Conversão Alíquota s/ fatura)]])-2,0)</f>
        <v>4.370327774583093E-2</v>
      </c>
      <c r="BV90" s="26">
        <f>VLOOKUP($A90,tabCustoUnit[],COLUMN(CUSTO_GLOBAL[[#Headers],[Resumo de Alíquotas (PIS+CONFINS+ISS)]])-2,0)</f>
        <v>0.1305</v>
      </c>
      <c r="BW90" s="138">
        <f>VLOOKUP($A90,tabCustoUnit[],COLUMN(CUSTO_GLOBAL[[#Headers],[PIS + COFINS + ISS (Total Conversão  Alíquota s/ Fatura)]])-2,0)</f>
        <v>0.15008625646923526</v>
      </c>
      <c r="BX90" s="22" t="e">
        <f ca="1">VLOOKUP($A90,tabCustoUnit[],COLUMN(CUSTO_GLOBAL[[#Headers],[Valor dos Tributos (ISS, PIS, CONFINS)]])-2,0)*($G90-$H90)</f>
        <v>#NAME?</v>
      </c>
      <c r="BY90" s="22" t="e">
        <f ca="1">VLOOKUP($A90,tabCustoUnit[],COLUMN(CUSTO_GLOBAL[[#Headers],[MÓDULO 6 – CUSTOS INDIRETOS, TRIBUTOS E LUCRO]])-2,0)*($G90-$H90)</f>
        <v>#NAME?</v>
      </c>
      <c r="BZ90" s="22" t="e">
        <f ca="1">VLOOKUP($A90,tabCustoUnit[],COLUMN(CUSTO_GLOBAL[[#Headers],[CUSTO TOTAL MENSAL]])-2,0)*($G90-$H90)</f>
        <v>#NAME?</v>
      </c>
      <c r="CA90" s="22" t="e">
        <f ca="1">CUSTO_GLOBAL[[#This Row],[CUSTO TOTAL MENSAL]]*12</f>
        <v>#NAME?</v>
      </c>
      <c r="CB90" s="24">
        <f>VLOOKUP($A90,tabCustoUnit[],COLUMN(CUSTO_GLOBAL[[#Headers],[ANO DA CCT]])-2,0)</f>
        <v>45658</v>
      </c>
      <c r="CC90" s="25" t="str">
        <f>VLOOKUP($A90,tabCustoUnit[],COLUMN(CUSTO_GLOBAL[[#Headers],[Nº DE PEDIDO DA CCT]])-2,0)</f>
        <v>-</v>
      </c>
      <c r="CD90" s="25" t="str">
        <f>VLOOKUP($A90,tabCustoUnit[],COLUMN(CUSTO_GLOBAL[[#Headers],[TERMO ADITIVO ALTERAÇÃO DA CCT]])-2,0)</f>
        <v>-</v>
      </c>
    </row>
    <row r="91" spans="1:82">
      <c r="A91" s="20" t="s">
        <v>1556</v>
      </c>
      <c r="B91" t="s">
        <v>1104</v>
      </c>
      <c r="C91" t="s">
        <v>324</v>
      </c>
      <c r="D91" t="s">
        <v>1058</v>
      </c>
      <c r="E91" s="20" t="s">
        <v>1090</v>
      </c>
      <c r="F91" s="20" t="s">
        <v>120</v>
      </c>
      <c r="G91" s="20">
        <v>1</v>
      </c>
      <c r="H91" s="20">
        <v>0</v>
      </c>
      <c r="I91" s="21">
        <f>VLOOKUP($A91,tabCustoUnit[],COLUMN(CUSTO_GLOBAL[[#Headers],[Salário Base]])-2,0)*($G91-$H91)</f>
        <v>3397.1306</v>
      </c>
      <c r="J91" s="21">
        <f>VLOOKUP($A91,tabCustoUnit[],COLUMN(CUSTO_GLOBAL[[#Headers],[Adicional Periculosidade]])-2,0)*($G91-$H91)</f>
        <v>0</v>
      </c>
      <c r="K91" s="21">
        <f>VLOOKUP($A91,tabCustoUnit[],COLUMN(CUSTO_GLOBAL[[#Headers],[Adicional Insalubridade]])-2,0)*($G91-$H91)</f>
        <v>0</v>
      </c>
      <c r="L91" s="21">
        <f>VLOOKUP($A91,tabCustoUnit[],COLUMN(CUSTO_GLOBAL[[#Headers],[Adicional Noturno]])-2,0)*($G91-$H91)</f>
        <v>0</v>
      </c>
      <c r="M91" s="21">
        <f>VLOOKUP($A91,tabCustoUnit[],COLUMN(CUSTO_GLOBAL[[#Headers],[Adicional Motorista II (Gratificação)]])-2,0)*($G91-$H91)</f>
        <v>0</v>
      </c>
      <c r="N91" s="21">
        <f>VLOOKUP($A91,tabCustoUnit[],COLUMN(CUSTO_GLOBAL[[#Headers],[Adicional de Sobreaviso]])-2,0)*($G91-$H91)</f>
        <v>0</v>
      </c>
      <c r="O91" s="21">
        <f>VLOOKUP($A91,tabCustoUnit[],COLUMN(CUSTO_GLOBAL[[#Headers],[Horas Extras TI]])-2,0)*($G91-$H91)</f>
        <v>0</v>
      </c>
      <c r="P91" s="21">
        <f>VLOOKUP($A91,tabCustoUnit[],COLUMN(CUSTO_GLOBAL[[#Headers],[Adicional de Acúmulo de função]])-2,0)*($G91-$H91)</f>
        <v>0</v>
      </c>
      <c r="Q91" s="21">
        <f>VLOOKUP($A91,tabCustoUnit[],COLUMN(CUSTO_GLOBAL[[#Headers],[MODULO 1 - REMUNERAÇÃO ]])-2,0)*($G91-$H91)</f>
        <v>3397.1306</v>
      </c>
      <c r="R91" s="21">
        <f>VLOOKUP($A91,tabCustoUnit[],COLUMN(CUSTO_GLOBAL[[#Headers],[INSS]])-2,0)*($G91-$H91)</f>
        <v>679.42612000000008</v>
      </c>
      <c r="S91" s="21">
        <f>VLOOKUP($A91,tabCustoUnit[],COLUMN(CUSTO_GLOBAL[[#Headers],[SESI OU SESC]])-2,0)*($G91-$H91)</f>
        <v>50.956958999999998</v>
      </c>
      <c r="T91" s="21">
        <f>VLOOKUP($A91,tabCustoUnit[],COLUMN(CUSTO_GLOBAL[[#Headers],[SENAI OU SENAC]])-2,0)*($G91-$H91)</f>
        <v>33.971305999999998</v>
      </c>
      <c r="U91" s="21">
        <f>VLOOKUP($A91,tabCustoUnit[],COLUMN(CUSTO_GLOBAL[[#Headers],[INCRA]])-2,0)*($G91-$H91)</f>
        <v>6.7942612000000002</v>
      </c>
      <c r="V91" s="21">
        <f>VLOOKUP($A91,tabCustoUnit[],COLUMN(CUSTO_GLOBAL[[#Headers],[Salário Educação]])-2,0)*($G91-$H91)</f>
        <v>84.92826500000001</v>
      </c>
      <c r="W91" s="21">
        <f>VLOOKUP($A91,tabCustoUnit[],COLUMN(CUSTO_GLOBAL[[#Headers],[FGTS]])-2,0)*($G91-$H91)</f>
        <v>271.77044799999999</v>
      </c>
      <c r="X91" s="21">
        <f>VLOOKUP($A91,tabCustoUnit[],COLUMN(CUSTO_GLOBAL[[#Headers],[RAT Ajustado]])-2,0)*($G91-$H91)</f>
        <v>135.88522399999999</v>
      </c>
      <c r="Y91" s="21">
        <f>VLOOKUP($A91,tabCustoUnit[],COLUMN(CUSTO_GLOBAL[[#Headers],[SEBRAE]])-2,0)*($G91-$H91)</f>
        <v>20.3827836</v>
      </c>
      <c r="Z91" s="21">
        <f>VLOOKUP($A91,tabCustoUnit[],COLUMN(CUSTO_GLOBAL[[#Headers],[Submódulo 2.1]])-2,0)*($G91-$H91)</f>
        <v>1284.1153668000002</v>
      </c>
      <c r="AA91" s="21">
        <f>VLOOKUP($A91,tabCustoUnit[],COLUMN(CUSTO_GLOBAL[[#Headers],[13º salário (titular)]])-2,0)*($G91-$H91)</f>
        <v>283.09421666666663</v>
      </c>
      <c r="AB91" s="21">
        <f>VLOOKUP($A91,tabCustoUnit[],COLUMN(CUSTO_GLOBAL[[#Headers],[Férias e Adicional de Férias (titular)]])-2,0)*($G91-$H91)</f>
        <v>377.45895555555552</v>
      </c>
      <c r="AC91" s="21">
        <f>VLOOKUP($A91,tabCustoUnit[],COLUMN(CUSTO_GLOBAL[[#Headers],[Incidência do Submódulo 2.1 sobre 13º Salário, Férias e Adicional de Férias]])-2,0)*($G91-$H91)</f>
        <v>249.68909910000002</v>
      </c>
      <c r="AD91" s="21">
        <f>VLOOKUP($A91,tabCustoUnit[],COLUMN(CUSTO_GLOBAL[[#Headers],[Submódulo 2.2]])-2,0)*($G91-$H91)</f>
        <v>910.24227132222222</v>
      </c>
      <c r="AE91" s="22" t="e">
        <f ca="1">VLOOKUP($A91,tabCustoUnit[],COLUMN(CUSTO_GLOBAL[[#Headers],[Vale - Transporte (Descontada parcela do empregado)]])-2,0)*($G91-$H91)</f>
        <v>#NAME?</v>
      </c>
      <c r="AF91" s="22">
        <f>VLOOKUP($A91,tabCustoUnit[],COLUMN(CUSTO_GLOBAL[[#Headers],[Vale - Alimentação (Descontada parcela do empregado)]])-2,0)*($G91-$H91)</f>
        <v>582</v>
      </c>
      <c r="AG91" s="22">
        <f>VLOOKUP($A91,tabCustoUnit[],COLUMN(CUSTO_GLOBAL[[#Headers],[Cesta Básica]])-2,0)*($G91-$H91)</f>
        <v>0</v>
      </c>
      <c r="AH91" s="22">
        <f>VLOOKUP($A91,tabCustoUnit[],COLUMN(CUSTO_GLOBAL[[#Headers],[PAF]])-2,0)*($G91-$H91)</f>
        <v>77.25</v>
      </c>
      <c r="AI91" s="22">
        <f>VLOOKUP($A91,tabCustoUnit[],COLUMN(CUSTO_GLOBAL[[#Headers],[PQM]])-2,0)*($G91-$H91)</f>
        <v>0</v>
      </c>
      <c r="AJ91" s="22">
        <v>0</v>
      </c>
      <c r="AK91" s="22">
        <f>VLOOKUP($A91,tabCustoUnit[],COLUMN(CUSTO_GLOBAL[[#Headers],[Seguro de Vida]])-2,0)*($G91-$H91)</f>
        <v>3.36</v>
      </c>
      <c r="AL91" s="22">
        <f>VLOOKUP($A91,tabCustoUnit[],COLUMN(CUSTO_GLOBAL[[#Headers],[Despesas de Viagem]])-2,0)*($G91-$H91)</f>
        <v>0</v>
      </c>
      <c r="AM91" s="22" t="e">
        <f ca="1">VLOOKUP($A91,tabCustoUnit[],COLUMN(CUSTO_GLOBAL[[#Headers],[Submódulo 2.3]])-2,0)*($G91-$H91)</f>
        <v>#NAME?</v>
      </c>
      <c r="AN91" s="22" t="e">
        <f ca="1">VLOOKUP($A91,tabCustoUnit[],COLUMN(CUSTO_GLOBAL[[#Headers],[MÓDULO 2 - Total Encargos e Benefícios mensais e diários]])-2,0)*($G91-$H91)</f>
        <v>#NAME?</v>
      </c>
      <c r="AO91" s="22">
        <f>VLOOKUP($A91,tabCustoUnit[],COLUMN(CUSTO_GLOBAL[[#Headers],[Aviso Prévio Indenizado (API) e Reflexo do Aviso Prévio Indenizado]])-2,0)*($G91-$H91)</f>
        <v>23.819888151890432</v>
      </c>
      <c r="AP91" s="22">
        <f>VLOOKUP($A91,tabCustoUnit[],COLUMN(CUSTO_GLOBAL[[#Headers],[Incidência do FGTS sobre API e Reflexo do API]])-2,0)*($G91-$H91)</f>
        <v>1.9055910521512347</v>
      </c>
      <c r="AQ91" s="22">
        <f>VLOOKUP($A91,tabCustoUnit[],COLUMN(CUSTO_GLOBAL[[#Headers],[Multa Rescisória do FGTS sobre o Aviso Prévio Indenizado]])-2,0)*($G91-$H91)</f>
        <v>0.76223642086049392</v>
      </c>
      <c r="AR91" s="22">
        <f>VLOOKUP($A91,tabCustoUnit[],COLUMN(CUSTO_GLOBAL[[#Headers],[Aviso Prévio Trabalhado - APT]])-2,0)*($G91-$H91)</f>
        <v>11.889957100000002</v>
      </c>
      <c r="AS91" s="22">
        <f>VLOOKUP($A91,tabCustoUnit[],COLUMN(CUSTO_GLOBAL[[#Headers],[Incidência dos encargos do submódulo 2.1 sobre Aviso Prévio Trabalhado]])-2,0)*($G91-$H91)</f>
        <v>4.4944037838000011</v>
      </c>
      <c r="AT91" s="22">
        <f>VLOOKUP($A91,tabCustoUnit[],COLUMN(CUSTO_GLOBAL[[#Headers],[Multa Rescisória do FGTS]])-2,0)*($G91-$H91)</f>
        <v>103.87670456888887</v>
      </c>
      <c r="AU91" s="22">
        <f>VLOOKUP($A91,tabCustoUnit[],COLUMN(CUSTO_GLOBAL[[#Headers],[Indenização Adicional (Art. 9º da Lei nº 7.238/84)]])-2,0)*($G91-$H91)</f>
        <v>2.830942166666667</v>
      </c>
      <c r="AV91" s="22">
        <f>VLOOKUP($A91,tabCustoUnit[],COLUMN(CUSTO_GLOBAL[[#Headers],[MÓDULO 3 – PROVISÃO PARA RESCISÃO]])-2,0)*($G91-$H91)</f>
        <v>149.57972324425771</v>
      </c>
      <c r="AW91" s="22">
        <f>VLOOKUP($A91,tabCustoUnit[],COLUMN(CUSTO_GLOBAL[[#Headers],[Ausência por Doença]])-2,0)*($G91-$H91)</f>
        <v>28.686880622222219</v>
      </c>
      <c r="AX91" s="22">
        <f>VLOOKUP($A91,tabCustoUnit[],COLUMN(CUSTO_GLOBAL[[#Headers],[Ausências Legais]])-2,0)*($G91-$H91)</f>
        <v>6.8886259388888886</v>
      </c>
      <c r="AY91" s="22">
        <f>VLOOKUP($A91,tabCustoUnit[],COLUMN(CUSTO_GLOBAL[[#Headers],[Licença Paternidade]])-2,0)*($G91-$H91)</f>
        <v>0.58034314416666666</v>
      </c>
      <c r="AZ91" s="22">
        <f>VLOOKUP($A91,tabCustoUnit[],COLUMN(CUSTO_GLOBAL[[#Headers],[Ausência por Acidente de Trabalho]])-2,0)*($G91-$H91)</f>
        <v>0.70773554166666675</v>
      </c>
      <c r="BA91" s="22">
        <f>VLOOKUP($A91,tabCustoUnit[],COLUMN(CUSTO_GLOBAL[[#Headers],[Férias, Adicional de Férias e 13º  com empregada em gozo de Licença Maternidade]])-2,0)*($G91-$H91)</f>
        <v>4.4036878148148144</v>
      </c>
      <c r="BB91" s="22">
        <f>VLOOKUP($A91,tabCustoUnit[],COLUMN(CUSTO_GLOBAL[[#Headers],[Incidência do Submódulo 2.1 sobre Ausências Legais]])-2,0)*($G91-$H91)</f>
        <v>15.599029217345002</v>
      </c>
      <c r="BC91" s="22">
        <f>VLOOKUP($A91,tabCustoUnit[],COLUMN(CUSTO_GLOBAL[[#Headers],[Submódulo 4.1]])-2,0)*($G91-$H91)</f>
        <v>56.866302279104261</v>
      </c>
      <c r="BD91" s="22">
        <f>VLOOKUP($A91,tabCustoUnit[],COLUMN(CUSTO_GLOBAL[[#Headers],[Intervalo para Repouso ou Alimentação]])-2,0)*($G91-$H91)</f>
        <v>0</v>
      </c>
      <c r="BE91" s="22">
        <f>VLOOKUP($A91,tabCustoUnit[],COLUMN(CUSTO_GLOBAL[[#Headers],[Submódulo 4.2]])-2,0)*($G91-$H91)</f>
        <v>0</v>
      </c>
      <c r="BF91" s="22">
        <f>VLOOKUP($A91,tabCustoUnit[],COLUMN(CUSTO_GLOBAL[[#Headers],[Suspensão Temporária do Contrato de Trabalho]])-2,0)*($G91-$H91)</f>
        <v>0</v>
      </c>
      <c r="BG91" s="22">
        <f>VLOOKUP($A91,tabCustoUnit[],COLUMN(CUSTO_GLOBAL[[#Headers],[Submódulo 4.3]])-2,0)*($G91-$H91)</f>
        <v>0</v>
      </c>
      <c r="BH91" s="22">
        <f>VLOOKUP($A91,tabCustoUnit[],COLUMN(CUSTO_GLOBAL[[#Headers],[MÓDULO 4 – CUSTO DE REPOSIÇÃO DO PROFISSIONAL AUSENTE]])-2,0)*($G91-$H91)</f>
        <v>56.866302279104261</v>
      </c>
      <c r="BI91" s="22">
        <f>VLOOKUP($A91,tabCustoUnit[],COLUMN(CUSTO_GLOBAL[[#Headers],[Uniformes e EPIs]])-2,0)*($G91-$H91)</f>
        <v>56.642978962543395</v>
      </c>
      <c r="BJ91" s="22">
        <f>VLOOKUP($A91,tabCustoUnit[],COLUMN(CUSTO_GLOBAL[[#Headers],[Materiais de Consumo]])-2,0)*($G91-$H91)</f>
        <v>0</v>
      </c>
      <c r="BK91" s="22">
        <f>VLOOKUP($A91,tabCustoUnit[],COLUMN(CUSTO_GLOBAL[[#Headers],[Máquinas e Equipamentos (depreciação)]])-2,0)*($G91-$H91)</f>
        <v>0</v>
      </c>
      <c r="BL91" s="22">
        <f>VLOOKUP($A91,tabCustoUnit[],COLUMN(CUSTO_GLOBAL[[#Headers],[Produtos de Limpeza e Materiais de Higiene Pessoal]])-2,0)*($G91-$H91)</f>
        <v>0</v>
      </c>
      <c r="BM91" s="22">
        <f>VLOOKUP($A91,tabCustoUnit[],COLUMN(CUSTO_GLOBAL[[#Headers],[Outros (especificar)]])-2,0)*($G91-$H91)</f>
        <v>0</v>
      </c>
      <c r="BN91" s="22">
        <f>VLOOKUP($A91,tabCustoUnit[],COLUMN(CUSTO_GLOBAL[[#Headers],[MÓDULO 5 – INSUMOS DIVERSOS]])-2,0)*($G91-$H91)</f>
        <v>56.642978962543395</v>
      </c>
      <c r="BO91" s="22" t="e">
        <f ca="1">VLOOKUP($A91,tabCustoUnit[],COLUMN(CUSTO_GLOBAL[[#Headers],[TOTAL MÓDULOS 1+2+3+4+5]])-2,0)*($G91-$H91)</f>
        <v>#NAME?</v>
      </c>
      <c r="BP91" s="22" t="e">
        <f ca="1">VLOOKUP($A91,tabCustoUnit[],COLUMN(CUSTO_GLOBAL[[#Headers],[Custos Indiretos]])-2,0)*($G91-$H91)</f>
        <v>#NAME?</v>
      </c>
      <c r="BQ91" s="22" t="e">
        <f ca="1">VLOOKUP($A91,tabCustoUnit[],COLUMN(CUSTO_GLOBAL[[#Headers],[Lucro]])-2,0)*($G91-$H91)</f>
        <v>#NAME?</v>
      </c>
      <c r="BR91" s="26">
        <f>VLOOKUP($A91,tabCustoUnit[],COLUMN(CUSTO_GLOBAL[[#Headers],[COFINS]])-2,0)</f>
        <v>8.7406555491661944E-2</v>
      </c>
      <c r="BS91" s="26">
        <f>VLOOKUP($A91,tabCustoUnit[],COLUMN(CUSTO_GLOBAL[[#Headers],[PIS]])-2,0)</f>
        <v>1.8976423231742381E-2</v>
      </c>
      <c r="BT91" s="28">
        <f>VLOOKUP($A91,tabCustoUnit[],COLUMN(CUSTO_GLOBAL[[#Headers],[ISS]])-2,0)</f>
        <v>3.7999999999999999E-2</v>
      </c>
      <c r="BU91" s="26">
        <f>VLOOKUP($A91,tabCustoUnit[],COLUMN(CUSTO_GLOBAL[[#Headers],[ISS (Conversão Alíquota s/ fatura)]])-2,0)</f>
        <v>4.370327774583093E-2</v>
      </c>
      <c r="BV91" s="26">
        <f>VLOOKUP($A91,tabCustoUnit[],COLUMN(CUSTO_GLOBAL[[#Headers],[Resumo de Alíquotas (PIS+CONFINS+ISS)]])-2,0)</f>
        <v>0.1305</v>
      </c>
      <c r="BW91" s="138">
        <f>VLOOKUP($A91,tabCustoUnit[],COLUMN(CUSTO_GLOBAL[[#Headers],[PIS + COFINS + ISS (Total Conversão  Alíquota s/ Fatura)]])-2,0)</f>
        <v>0.15008625646923526</v>
      </c>
      <c r="BX91" s="22" t="e">
        <f ca="1">VLOOKUP($A91,tabCustoUnit[],COLUMN(CUSTO_GLOBAL[[#Headers],[Valor dos Tributos (ISS, PIS, CONFINS)]])-2,0)*($G91-$H91)</f>
        <v>#NAME?</v>
      </c>
      <c r="BY91" s="22" t="e">
        <f ca="1">VLOOKUP($A91,tabCustoUnit[],COLUMN(CUSTO_GLOBAL[[#Headers],[MÓDULO 6 – CUSTOS INDIRETOS, TRIBUTOS E LUCRO]])-2,0)*($G91-$H91)</f>
        <v>#NAME?</v>
      </c>
      <c r="BZ91" s="22" t="e">
        <f ca="1">VLOOKUP($A91,tabCustoUnit[],COLUMN(CUSTO_GLOBAL[[#Headers],[CUSTO TOTAL MENSAL]])-2,0)*($G91-$H91)</f>
        <v>#NAME?</v>
      </c>
      <c r="CA91" s="22" t="e">
        <f ca="1">CUSTO_GLOBAL[[#This Row],[CUSTO TOTAL MENSAL]]*12</f>
        <v>#NAME?</v>
      </c>
      <c r="CB91" s="24">
        <f>VLOOKUP($A91,tabCustoUnit[],COLUMN(CUSTO_GLOBAL[[#Headers],[ANO DA CCT]])-2,0)</f>
        <v>45658</v>
      </c>
      <c r="CC91" s="25" t="str">
        <f>VLOOKUP($A91,tabCustoUnit[],COLUMN(CUSTO_GLOBAL[[#Headers],[Nº DE PEDIDO DA CCT]])-2,0)</f>
        <v>-</v>
      </c>
      <c r="CD91" s="25" t="str">
        <f>VLOOKUP($A91,tabCustoUnit[],COLUMN(CUSTO_GLOBAL[[#Headers],[TERMO ADITIVO ALTERAÇÃO DA CCT]])-2,0)</f>
        <v>-</v>
      </c>
    </row>
    <row r="92" spans="1:82">
      <c r="A92" s="20" t="s">
        <v>1557</v>
      </c>
      <c r="B92" t="s">
        <v>1104</v>
      </c>
      <c r="C92" t="s">
        <v>1370</v>
      </c>
      <c r="D92" t="s">
        <v>1058</v>
      </c>
      <c r="E92" s="20" t="s">
        <v>1090</v>
      </c>
      <c r="F92" s="20" t="s">
        <v>120</v>
      </c>
      <c r="G92" s="20">
        <v>3</v>
      </c>
      <c r="H92" s="20">
        <v>0</v>
      </c>
      <c r="I92" s="21">
        <f>VLOOKUP($A92,tabCustoUnit[],COLUMN(CUSTO_GLOBAL[[#Headers],[Salário Base]])-2,0)*($G92-$H92)</f>
        <v>14305.98</v>
      </c>
      <c r="J92" s="21">
        <f>VLOOKUP($A92,tabCustoUnit[],COLUMN(CUSTO_GLOBAL[[#Headers],[Adicional Periculosidade]])-2,0)*($G92-$H92)</f>
        <v>0</v>
      </c>
      <c r="K92" s="21">
        <f>VLOOKUP($A92,tabCustoUnit[],COLUMN(CUSTO_GLOBAL[[#Headers],[Adicional Insalubridade]])-2,0)*($G92-$H92)</f>
        <v>0</v>
      </c>
      <c r="L92" s="21">
        <f>VLOOKUP($A92,tabCustoUnit[],COLUMN(CUSTO_GLOBAL[[#Headers],[Adicional Noturno]])-2,0)*($G92-$H92)</f>
        <v>0</v>
      </c>
      <c r="M92" s="21">
        <f>VLOOKUP($A92,tabCustoUnit[],COLUMN(CUSTO_GLOBAL[[#Headers],[Adicional Motorista II (Gratificação)]])-2,0)*($G92-$H92)</f>
        <v>0</v>
      </c>
      <c r="N92" s="21">
        <f>VLOOKUP($A92,tabCustoUnit[],COLUMN(CUSTO_GLOBAL[[#Headers],[Adicional de Sobreaviso]])-2,0)*($G92-$H92)</f>
        <v>0</v>
      </c>
      <c r="O92" s="21">
        <f>VLOOKUP($A92,tabCustoUnit[],COLUMN(CUSTO_GLOBAL[[#Headers],[Horas Extras TI]])-2,0)*($G92-$H92)</f>
        <v>0</v>
      </c>
      <c r="P92" s="21">
        <f>VLOOKUP($A92,tabCustoUnit[],COLUMN(CUSTO_GLOBAL[[#Headers],[Adicional de Acúmulo de função]])-2,0)*($G92-$H92)</f>
        <v>0</v>
      </c>
      <c r="Q92" s="21">
        <f>VLOOKUP($A92,tabCustoUnit[],COLUMN(CUSTO_GLOBAL[[#Headers],[MODULO 1 - REMUNERAÇÃO ]])-2,0)*($G92-$H92)</f>
        <v>14305.98</v>
      </c>
      <c r="R92" s="21">
        <f>VLOOKUP($A92,tabCustoUnit[],COLUMN(CUSTO_GLOBAL[[#Headers],[INSS]])-2,0)*($G92-$H92)</f>
        <v>2861.1959999999999</v>
      </c>
      <c r="S92" s="21">
        <f>VLOOKUP($A92,tabCustoUnit[],COLUMN(CUSTO_GLOBAL[[#Headers],[SESI OU SESC]])-2,0)*($G92-$H92)</f>
        <v>214.58969999999999</v>
      </c>
      <c r="T92" s="21">
        <f>VLOOKUP($A92,tabCustoUnit[],COLUMN(CUSTO_GLOBAL[[#Headers],[SENAI OU SENAC]])-2,0)*($G92-$H92)</f>
        <v>143.0598</v>
      </c>
      <c r="U92" s="21">
        <f>VLOOKUP($A92,tabCustoUnit[],COLUMN(CUSTO_GLOBAL[[#Headers],[INCRA]])-2,0)*($G92-$H92)</f>
        <v>28.611959999999996</v>
      </c>
      <c r="V92" s="21">
        <f>VLOOKUP($A92,tabCustoUnit[],COLUMN(CUSTO_GLOBAL[[#Headers],[Salário Educação]])-2,0)*($G92-$H92)</f>
        <v>357.64949999999999</v>
      </c>
      <c r="W92" s="21">
        <f>VLOOKUP($A92,tabCustoUnit[],COLUMN(CUSTO_GLOBAL[[#Headers],[FGTS]])-2,0)*($G92-$H92)</f>
        <v>1144.4784</v>
      </c>
      <c r="X92" s="21">
        <f>VLOOKUP($A92,tabCustoUnit[],COLUMN(CUSTO_GLOBAL[[#Headers],[RAT Ajustado]])-2,0)*($G92-$H92)</f>
        <v>572.23919999999998</v>
      </c>
      <c r="Y92" s="21">
        <f>VLOOKUP($A92,tabCustoUnit[],COLUMN(CUSTO_GLOBAL[[#Headers],[SEBRAE]])-2,0)*($G92-$H92)</f>
        <v>85.835880000000003</v>
      </c>
      <c r="Z92" s="21">
        <f>VLOOKUP($A92,tabCustoUnit[],COLUMN(CUSTO_GLOBAL[[#Headers],[Submódulo 2.1]])-2,0)*($G92-$H92)</f>
        <v>5407.6604399999997</v>
      </c>
      <c r="AA92" s="21">
        <f>VLOOKUP($A92,tabCustoUnit[],COLUMN(CUSTO_GLOBAL[[#Headers],[13º salário (titular)]])-2,0)*($G92-$H92)</f>
        <v>1192.165</v>
      </c>
      <c r="AB92" s="21">
        <f>VLOOKUP($A92,tabCustoUnit[],COLUMN(CUSTO_GLOBAL[[#Headers],[Férias e Adicional de Férias (titular)]])-2,0)*($G92-$H92)</f>
        <v>1589.5533333333333</v>
      </c>
      <c r="AC92" s="21">
        <f>VLOOKUP($A92,tabCustoUnit[],COLUMN(CUSTO_GLOBAL[[#Headers],[Incidência do Submódulo 2.1 sobre 13º Salário, Férias e Adicional de Férias]])-2,0)*($G92-$H92)</f>
        <v>1051.4895299999998</v>
      </c>
      <c r="AD92" s="21">
        <f>VLOOKUP($A92,tabCustoUnit[],COLUMN(CUSTO_GLOBAL[[#Headers],[Submódulo 2.2]])-2,0)*($G92-$H92)</f>
        <v>3833.2078633333331</v>
      </c>
      <c r="AE92" s="22" t="e">
        <f ca="1">VLOOKUP($A92,tabCustoUnit[],COLUMN(CUSTO_GLOBAL[[#Headers],[Vale - Transporte (Descontada parcela do empregado)]])-2,0)*($G92-$H92)</f>
        <v>#NAME?</v>
      </c>
      <c r="AF92" s="22">
        <f>VLOOKUP($A92,tabCustoUnit[],COLUMN(CUSTO_GLOBAL[[#Headers],[Vale - Alimentação (Descontada parcela do empregado)]])-2,0)*($G92-$H92)</f>
        <v>1746</v>
      </c>
      <c r="AG92" s="22">
        <f>VLOOKUP($A92,tabCustoUnit[],COLUMN(CUSTO_GLOBAL[[#Headers],[Cesta Básica]])-2,0)*($G92-$H92)</f>
        <v>0</v>
      </c>
      <c r="AH92" s="22">
        <f>VLOOKUP($A92,tabCustoUnit[],COLUMN(CUSTO_GLOBAL[[#Headers],[PAF]])-2,0)*($G92-$H92)</f>
        <v>231.75</v>
      </c>
      <c r="AI92" s="22">
        <f>VLOOKUP($A92,tabCustoUnit[],COLUMN(CUSTO_GLOBAL[[#Headers],[PQM]])-2,0)*($G92-$H92)</f>
        <v>0</v>
      </c>
      <c r="AJ92" s="22">
        <v>0</v>
      </c>
      <c r="AK92" s="22">
        <f>VLOOKUP($A92,tabCustoUnit[],COLUMN(CUSTO_GLOBAL[[#Headers],[Seguro de Vida]])-2,0)*($G92-$H92)</f>
        <v>10.08</v>
      </c>
      <c r="AL92" s="22">
        <f>VLOOKUP($A92,tabCustoUnit[],COLUMN(CUSTO_GLOBAL[[#Headers],[Despesas de Viagem]])-2,0)*($G92-$H92)</f>
        <v>0</v>
      </c>
      <c r="AM92" s="22" t="e">
        <f ca="1">VLOOKUP($A92,tabCustoUnit[],COLUMN(CUSTO_GLOBAL[[#Headers],[Submódulo 2.3]])-2,0)*($G92-$H92)</f>
        <v>#NAME?</v>
      </c>
      <c r="AN92" s="22" t="e">
        <f ca="1">VLOOKUP($A92,tabCustoUnit[],COLUMN(CUSTO_GLOBAL[[#Headers],[MÓDULO 2 - Total Encargos e Benefícios mensais e diários]])-2,0)*($G92-$H92)</f>
        <v>#NAME?</v>
      </c>
      <c r="AO92" s="22">
        <f>VLOOKUP($A92,tabCustoUnit[],COLUMN(CUSTO_GLOBAL[[#Headers],[Aviso Prévio Indenizado (API) e Reflexo do Aviso Prévio Indenizado]])-2,0)*($G92-$H92)</f>
        <v>100.31019811342594</v>
      </c>
      <c r="AP92" s="22">
        <f>VLOOKUP($A92,tabCustoUnit[],COLUMN(CUSTO_GLOBAL[[#Headers],[Incidência do FGTS sobre API e Reflexo do API]])-2,0)*($G92-$H92)</f>
        <v>8.0248158490740735</v>
      </c>
      <c r="AQ92" s="22">
        <f>VLOOKUP($A92,tabCustoUnit[],COLUMN(CUSTO_GLOBAL[[#Headers],[Multa Rescisória do FGTS sobre o Aviso Prévio Indenizado]])-2,0)*($G92-$H92)</f>
        <v>3.2099263396296305</v>
      </c>
      <c r="AR92" s="22">
        <f>VLOOKUP($A92,tabCustoUnit[],COLUMN(CUSTO_GLOBAL[[#Headers],[Aviso Prévio Trabalhado - APT]])-2,0)*($G92-$H92)</f>
        <v>50.070930000000004</v>
      </c>
      <c r="AS92" s="22">
        <f>VLOOKUP($A92,tabCustoUnit[],COLUMN(CUSTO_GLOBAL[[#Headers],[Incidência dos encargos do submódulo 2.1 sobre Aviso Prévio Trabalhado]])-2,0)*($G92-$H92)</f>
        <v>18.926811540000006</v>
      </c>
      <c r="AT92" s="22">
        <f>VLOOKUP($A92,tabCustoUnit[],COLUMN(CUSTO_GLOBAL[[#Headers],[Multa Rescisória do FGTS]])-2,0)*($G92-$H92)</f>
        <v>437.44507733333324</v>
      </c>
      <c r="AU92" s="22">
        <f>VLOOKUP($A92,tabCustoUnit[],COLUMN(CUSTO_GLOBAL[[#Headers],[Indenização Adicional (Art. 9º da Lei nº 7.238/84)]])-2,0)*($G92-$H92)</f>
        <v>11.921650000000001</v>
      </c>
      <c r="AV92" s="22">
        <f>VLOOKUP($A92,tabCustoUnit[],COLUMN(CUSTO_GLOBAL[[#Headers],[MÓDULO 3 – PROVISÃO PARA RESCISÃO]])-2,0)*($G92-$H92)</f>
        <v>629.90940917546288</v>
      </c>
      <c r="AW92" s="22">
        <f>VLOOKUP($A92,tabCustoUnit[],COLUMN(CUSTO_GLOBAL[[#Headers],[Ausência por Doença]])-2,0)*($G92-$H92)</f>
        <v>120.80605333333332</v>
      </c>
      <c r="AX92" s="22">
        <f>VLOOKUP($A92,tabCustoUnit[],COLUMN(CUSTO_GLOBAL[[#Headers],[Ausências Legais]])-2,0)*($G92-$H92)</f>
        <v>29.009348333333328</v>
      </c>
      <c r="AY92" s="22">
        <f>VLOOKUP($A92,tabCustoUnit[],COLUMN(CUSTO_GLOBAL[[#Headers],[Licença Paternidade]])-2,0)*($G92-$H92)</f>
        <v>2.44393825</v>
      </c>
      <c r="AZ92" s="22">
        <f>VLOOKUP($A92,tabCustoUnit[],COLUMN(CUSTO_GLOBAL[[#Headers],[Ausência por Acidente de Trabalho]])-2,0)*($G92-$H92)</f>
        <v>2.9804125000000004</v>
      </c>
      <c r="BA92" s="22">
        <f>VLOOKUP($A92,tabCustoUnit[],COLUMN(CUSTO_GLOBAL[[#Headers],[Férias, Adicional de Férias e 13º  com empregada em gozo de Licença Maternidade]])-2,0)*($G92-$H92)</f>
        <v>18.544788888888888</v>
      </c>
      <c r="BB92" s="22">
        <f>VLOOKUP($A92,tabCustoUnit[],COLUMN(CUSTO_GLOBAL[[#Headers],[Incidência do Submódulo 2.1 sobre Ausências Legais]])-2,0)*($G92-$H92)</f>
        <v>65.690556613500007</v>
      </c>
      <c r="BC92" s="22">
        <f>VLOOKUP($A92,tabCustoUnit[],COLUMN(CUSTO_GLOBAL[[#Headers],[Submódulo 4.1]])-2,0)*($G92-$H92)</f>
        <v>239.47509791905557</v>
      </c>
      <c r="BD92" s="22">
        <f>VLOOKUP($A92,tabCustoUnit[],COLUMN(CUSTO_GLOBAL[[#Headers],[Intervalo para Repouso ou Alimentação]])-2,0)*($G92-$H92)</f>
        <v>0</v>
      </c>
      <c r="BE92" s="22">
        <f>VLOOKUP($A92,tabCustoUnit[],COLUMN(CUSTO_GLOBAL[[#Headers],[Submódulo 4.2]])-2,0)*($G92-$H92)</f>
        <v>0</v>
      </c>
      <c r="BF92" s="22">
        <f>VLOOKUP($A92,tabCustoUnit[],COLUMN(CUSTO_GLOBAL[[#Headers],[Suspensão Temporária do Contrato de Trabalho]])-2,0)*($G92-$H92)</f>
        <v>0</v>
      </c>
      <c r="BG92" s="22">
        <f>VLOOKUP($A92,tabCustoUnit[],COLUMN(CUSTO_GLOBAL[[#Headers],[Submódulo 4.3]])-2,0)*($G92-$H92)</f>
        <v>0</v>
      </c>
      <c r="BH92" s="22">
        <f>VLOOKUP($A92,tabCustoUnit[],COLUMN(CUSTO_GLOBAL[[#Headers],[MÓDULO 4 – CUSTO DE REPOSIÇÃO DO PROFISSIONAL AUSENTE]])-2,0)*($G92-$H92)</f>
        <v>239.47509791905557</v>
      </c>
      <c r="BI92" s="22">
        <f>VLOOKUP($A92,tabCustoUnit[],COLUMN(CUSTO_GLOBAL[[#Headers],[Uniformes e EPIs]])-2,0)*($G92-$H92)</f>
        <v>272.35403934611912</v>
      </c>
      <c r="BJ92" s="22">
        <f>VLOOKUP($A92,tabCustoUnit[],COLUMN(CUSTO_GLOBAL[[#Headers],[Materiais de Consumo]])-2,0)*($G92-$H92)</f>
        <v>0</v>
      </c>
      <c r="BK92" s="22">
        <f>VLOOKUP($A92,tabCustoUnit[],COLUMN(CUSTO_GLOBAL[[#Headers],[Máquinas e Equipamentos (depreciação)]])-2,0)*($G92-$H92)</f>
        <v>0</v>
      </c>
      <c r="BL92" s="22">
        <f>VLOOKUP($A92,tabCustoUnit[],COLUMN(CUSTO_GLOBAL[[#Headers],[Produtos de Limpeza e Materiais de Higiene Pessoal]])-2,0)*($G92-$H92)</f>
        <v>0</v>
      </c>
      <c r="BM92" s="22">
        <f>VLOOKUP($A92,tabCustoUnit[],COLUMN(CUSTO_GLOBAL[[#Headers],[Outros (especificar)]])-2,0)*($G92-$H92)</f>
        <v>0</v>
      </c>
      <c r="BN92" s="22">
        <f>VLOOKUP($A92,tabCustoUnit[],COLUMN(CUSTO_GLOBAL[[#Headers],[MÓDULO 5 – INSUMOS DIVERSOS]])-2,0)*($G92-$H92)</f>
        <v>272.35403934611912</v>
      </c>
      <c r="BO92" s="22" t="e">
        <f ca="1">VLOOKUP($A92,tabCustoUnit[],COLUMN(CUSTO_GLOBAL[[#Headers],[TOTAL MÓDULOS 1+2+3+4+5]])-2,0)*($G92-$H92)</f>
        <v>#NAME?</v>
      </c>
      <c r="BP92" s="22" t="e">
        <f ca="1">VLOOKUP($A92,tabCustoUnit[],COLUMN(CUSTO_GLOBAL[[#Headers],[Custos Indiretos]])-2,0)*($G92-$H92)</f>
        <v>#NAME?</v>
      </c>
      <c r="BQ92" s="22" t="e">
        <f ca="1">VLOOKUP($A92,tabCustoUnit[],COLUMN(CUSTO_GLOBAL[[#Headers],[Lucro]])-2,0)*($G92-$H92)</f>
        <v>#NAME?</v>
      </c>
      <c r="BR92" s="26">
        <f>VLOOKUP($A92,tabCustoUnit[],COLUMN(CUSTO_GLOBAL[[#Headers],[COFINS]])-2,0)</f>
        <v>8.7406555491661944E-2</v>
      </c>
      <c r="BS92" s="26">
        <f>VLOOKUP($A92,tabCustoUnit[],COLUMN(CUSTO_GLOBAL[[#Headers],[PIS]])-2,0)</f>
        <v>1.8976423231742381E-2</v>
      </c>
      <c r="BT92" s="28">
        <f>VLOOKUP($A92,tabCustoUnit[],COLUMN(CUSTO_GLOBAL[[#Headers],[ISS]])-2,0)</f>
        <v>3.7999999999999999E-2</v>
      </c>
      <c r="BU92" s="26">
        <f>VLOOKUP($A92,tabCustoUnit[],COLUMN(CUSTO_GLOBAL[[#Headers],[ISS (Conversão Alíquota s/ fatura)]])-2,0)</f>
        <v>4.370327774583093E-2</v>
      </c>
      <c r="BV92" s="26">
        <f>VLOOKUP($A92,tabCustoUnit[],COLUMN(CUSTO_GLOBAL[[#Headers],[Resumo de Alíquotas (PIS+CONFINS+ISS)]])-2,0)</f>
        <v>0.1305</v>
      </c>
      <c r="BW92" s="138">
        <f>VLOOKUP($A92,tabCustoUnit[],COLUMN(CUSTO_GLOBAL[[#Headers],[PIS + COFINS + ISS (Total Conversão  Alíquota s/ Fatura)]])-2,0)</f>
        <v>0.15008625646923526</v>
      </c>
      <c r="BX92" s="22" t="e">
        <f ca="1">VLOOKUP($A92,tabCustoUnit[],COLUMN(CUSTO_GLOBAL[[#Headers],[Valor dos Tributos (ISS, PIS, CONFINS)]])-2,0)*($G92-$H92)</f>
        <v>#NAME?</v>
      </c>
      <c r="BY92" s="22" t="e">
        <f ca="1">VLOOKUP($A92,tabCustoUnit[],COLUMN(CUSTO_GLOBAL[[#Headers],[MÓDULO 6 – CUSTOS INDIRETOS, TRIBUTOS E LUCRO]])-2,0)*($G92-$H92)</f>
        <v>#NAME?</v>
      </c>
      <c r="BZ92" s="22" t="e">
        <f ca="1">VLOOKUP($A92,tabCustoUnit[],COLUMN(CUSTO_GLOBAL[[#Headers],[CUSTO TOTAL MENSAL]])-2,0)*($G92-$H92)</f>
        <v>#NAME?</v>
      </c>
      <c r="CA92" s="22" t="e">
        <f ca="1">CUSTO_GLOBAL[[#This Row],[CUSTO TOTAL MENSAL]]*12</f>
        <v>#NAME?</v>
      </c>
      <c r="CB92" s="24">
        <f>VLOOKUP($A92,tabCustoUnit[],COLUMN(CUSTO_GLOBAL[[#Headers],[ANO DA CCT]])-2,0)</f>
        <v>45658</v>
      </c>
      <c r="CC92" s="25" t="str">
        <f>VLOOKUP($A92,tabCustoUnit[],COLUMN(CUSTO_GLOBAL[[#Headers],[Nº DE PEDIDO DA CCT]])-2,0)</f>
        <v>-</v>
      </c>
      <c r="CD92" s="25" t="str">
        <f>VLOOKUP($A92,tabCustoUnit[],COLUMN(CUSTO_GLOBAL[[#Headers],[TERMO ADITIVO ALTERAÇÃO DA CCT]])-2,0)</f>
        <v>-</v>
      </c>
    </row>
    <row r="93" spans="1:82">
      <c r="A93" s="20" t="s">
        <v>1461</v>
      </c>
      <c r="B93" t="s">
        <v>1105</v>
      </c>
      <c r="C93" t="s">
        <v>200</v>
      </c>
      <c r="D93" t="s">
        <v>961</v>
      </c>
      <c r="E93" s="20" t="s">
        <v>1090</v>
      </c>
      <c r="F93" s="20" t="s">
        <v>120</v>
      </c>
      <c r="G93" s="20">
        <v>1</v>
      </c>
      <c r="H93" s="20">
        <v>0</v>
      </c>
      <c r="I93" s="21">
        <f>VLOOKUP($A93,tabCustoUnit[],COLUMN(CUSTO_GLOBAL[[#Headers],[Salário Base]])-2,0)*($G93-$H93)</f>
        <v>1596.2737999999999</v>
      </c>
      <c r="J93" s="21">
        <f>VLOOKUP($A93,tabCustoUnit[],COLUMN(CUSTO_GLOBAL[[#Headers],[Adicional Periculosidade]])-2,0)*($G93-$H93)</f>
        <v>0</v>
      </c>
      <c r="K93" s="21">
        <f>VLOOKUP($A93,tabCustoUnit[],COLUMN(CUSTO_GLOBAL[[#Headers],[Adicional Insalubridade]])-2,0)*($G93-$H93)</f>
        <v>0</v>
      </c>
      <c r="L93" s="21">
        <f>VLOOKUP($A93,tabCustoUnit[],COLUMN(CUSTO_GLOBAL[[#Headers],[Adicional Noturno]])-2,0)*($G93-$H93)</f>
        <v>0</v>
      </c>
      <c r="M93" s="21">
        <f>VLOOKUP($A93,tabCustoUnit[],COLUMN(CUSTO_GLOBAL[[#Headers],[Adicional Motorista II (Gratificação)]])-2,0)*($G93-$H93)</f>
        <v>0</v>
      </c>
      <c r="N93" s="21">
        <f>VLOOKUP($A93,tabCustoUnit[],COLUMN(CUSTO_GLOBAL[[#Headers],[Adicional de Sobreaviso]])-2,0)*($G93-$H93)</f>
        <v>0</v>
      </c>
      <c r="O93" s="21">
        <f>VLOOKUP($A93,tabCustoUnit[],COLUMN(CUSTO_GLOBAL[[#Headers],[Horas Extras TI]])-2,0)*($G93-$H93)</f>
        <v>0</v>
      </c>
      <c r="P93" s="21">
        <f>VLOOKUP($A93,tabCustoUnit[],COLUMN(CUSTO_GLOBAL[[#Headers],[Adicional de Acúmulo de função]])-2,0)*($G93-$H93)</f>
        <v>0</v>
      </c>
      <c r="Q93" s="21">
        <f>VLOOKUP($A93,tabCustoUnit[],COLUMN(CUSTO_GLOBAL[[#Headers],[MODULO 1 - REMUNERAÇÃO ]])-2,0)*($G93-$H93)</f>
        <v>1596.2737999999999</v>
      </c>
      <c r="R93" s="21">
        <f>VLOOKUP($A93,tabCustoUnit[],COLUMN(CUSTO_GLOBAL[[#Headers],[INSS]])-2,0)*($G93-$H93)</f>
        <v>319.25476000000003</v>
      </c>
      <c r="S93" s="21">
        <f>VLOOKUP($A93,tabCustoUnit[],COLUMN(CUSTO_GLOBAL[[#Headers],[SESI OU SESC]])-2,0)*($G93-$H93)</f>
        <v>23.944106999999999</v>
      </c>
      <c r="T93" s="21">
        <f>VLOOKUP($A93,tabCustoUnit[],COLUMN(CUSTO_GLOBAL[[#Headers],[SENAI OU SENAC]])-2,0)*($G93-$H93)</f>
        <v>15.962738</v>
      </c>
      <c r="U93" s="21">
        <f>VLOOKUP($A93,tabCustoUnit[],COLUMN(CUSTO_GLOBAL[[#Headers],[INCRA]])-2,0)*($G93-$H93)</f>
        <v>3.1925476000000002</v>
      </c>
      <c r="V93" s="21">
        <f>VLOOKUP($A93,tabCustoUnit[],COLUMN(CUSTO_GLOBAL[[#Headers],[Salário Educação]])-2,0)*($G93-$H93)</f>
        <v>39.906845000000004</v>
      </c>
      <c r="W93" s="21">
        <f>VLOOKUP($A93,tabCustoUnit[],COLUMN(CUSTO_GLOBAL[[#Headers],[FGTS]])-2,0)*($G93-$H93)</f>
        <v>127.701904</v>
      </c>
      <c r="X93" s="21">
        <f>VLOOKUP($A93,tabCustoUnit[],COLUMN(CUSTO_GLOBAL[[#Headers],[RAT Ajustado]])-2,0)*($G93-$H93)</f>
        <v>63.850951999999999</v>
      </c>
      <c r="Y93" s="21">
        <f>VLOOKUP($A93,tabCustoUnit[],COLUMN(CUSTO_GLOBAL[[#Headers],[SEBRAE]])-2,0)*($G93-$H93)</f>
        <v>9.5776427999999996</v>
      </c>
      <c r="Z93" s="21">
        <f>VLOOKUP($A93,tabCustoUnit[],COLUMN(CUSTO_GLOBAL[[#Headers],[Submódulo 2.1]])-2,0)*($G93-$H93)</f>
        <v>603.39149640000005</v>
      </c>
      <c r="AA93" s="21">
        <f>VLOOKUP($A93,tabCustoUnit[],COLUMN(CUSTO_GLOBAL[[#Headers],[13º salário (titular)]])-2,0)*($G93-$H93)</f>
        <v>133.02281666666664</v>
      </c>
      <c r="AB93" s="21">
        <f>VLOOKUP($A93,tabCustoUnit[],COLUMN(CUSTO_GLOBAL[[#Headers],[Férias e Adicional de Férias (titular)]])-2,0)*($G93-$H93)</f>
        <v>177.36375555555554</v>
      </c>
      <c r="AC93" s="21">
        <f>VLOOKUP($A93,tabCustoUnit[],COLUMN(CUSTO_GLOBAL[[#Headers],[Incidência do Submódulo 2.1 sobre 13º Salário, Férias e Adicional de Férias]])-2,0)*($G93-$H93)</f>
        <v>117.3261243</v>
      </c>
      <c r="AD93" s="21">
        <f>VLOOKUP($A93,tabCustoUnit[],COLUMN(CUSTO_GLOBAL[[#Headers],[Submódulo 2.2]])-2,0)*($G93-$H93)</f>
        <v>427.71269652222219</v>
      </c>
      <c r="AE93" s="22" t="e">
        <f ca="1">VLOOKUP($A93,tabCustoUnit[],COLUMN(CUSTO_GLOBAL[[#Headers],[Vale - Transporte (Descontada parcela do empregado)]])-2,0)*($G93-$H93)</f>
        <v>#NAME?</v>
      </c>
      <c r="AF93" s="22">
        <f>VLOOKUP($A93,tabCustoUnit[],COLUMN(CUSTO_GLOBAL[[#Headers],[Vale - Alimentação (Descontada parcela do empregado)]])-2,0)*($G93-$H93)</f>
        <v>582</v>
      </c>
      <c r="AG93" s="22">
        <f>VLOOKUP($A93,tabCustoUnit[],COLUMN(CUSTO_GLOBAL[[#Headers],[Cesta Básica]])-2,0)*($G93-$H93)</f>
        <v>0</v>
      </c>
      <c r="AH93" s="22">
        <f>VLOOKUP($A93,tabCustoUnit[],COLUMN(CUSTO_GLOBAL[[#Headers],[PAF]])-2,0)*($G93-$H93)</f>
        <v>0</v>
      </c>
      <c r="AI93" s="22">
        <f>VLOOKUP($A93,tabCustoUnit[],COLUMN(CUSTO_GLOBAL[[#Headers],[PQM]])-2,0)*($G93-$H93)</f>
        <v>0</v>
      </c>
      <c r="AJ93" s="22">
        <v>0</v>
      </c>
      <c r="AK93" s="22">
        <f>VLOOKUP($A93,tabCustoUnit[],COLUMN(CUSTO_GLOBAL[[#Headers],[Seguro de Vida]])-2,0)*($G93-$H93)</f>
        <v>3.36</v>
      </c>
      <c r="AL93" s="22">
        <f>VLOOKUP($A93,tabCustoUnit[],COLUMN(CUSTO_GLOBAL[[#Headers],[Despesas de Viagem]])-2,0)*($G93-$H93)</f>
        <v>0</v>
      </c>
      <c r="AM93" s="22" t="e">
        <f ca="1">VLOOKUP($A93,tabCustoUnit[],COLUMN(CUSTO_GLOBAL[[#Headers],[Submódulo 2.3]])-2,0)*($G93-$H93)</f>
        <v>#NAME?</v>
      </c>
      <c r="AN93" s="22" t="e">
        <f ca="1">VLOOKUP($A93,tabCustoUnit[],COLUMN(CUSTO_GLOBAL[[#Headers],[MÓDULO 2 - Total Encargos e Benefícios mensais e diários]])-2,0)*($G93-$H93)</f>
        <v>#NAME?</v>
      </c>
      <c r="AO93" s="22">
        <f>VLOOKUP($A93,tabCustoUnit[],COLUMN(CUSTO_GLOBAL[[#Headers],[Aviso Prévio Indenizado (API) e Reflexo do Aviso Prévio Indenizado]])-2,0)*($G93-$H93)</f>
        <v>11.192699914390431</v>
      </c>
      <c r="AP93" s="22">
        <f>VLOOKUP($A93,tabCustoUnit[],COLUMN(CUSTO_GLOBAL[[#Headers],[Incidência do FGTS sobre API e Reflexo do API]])-2,0)*($G93-$H93)</f>
        <v>0.89541599315123466</v>
      </c>
      <c r="AQ93" s="22">
        <f>VLOOKUP($A93,tabCustoUnit[],COLUMN(CUSTO_GLOBAL[[#Headers],[Multa Rescisória do FGTS sobre o Aviso Prévio Indenizado]])-2,0)*($G93-$H93)</f>
        <v>0.35816639726049387</v>
      </c>
      <c r="AR93" s="22">
        <f>VLOOKUP($A93,tabCustoUnit[],COLUMN(CUSTO_GLOBAL[[#Headers],[Aviso Prévio Trabalhado - APT]])-2,0)*($G93-$H93)</f>
        <v>5.5869583000000009</v>
      </c>
      <c r="AS93" s="22">
        <f>VLOOKUP($A93,tabCustoUnit[],COLUMN(CUSTO_GLOBAL[[#Headers],[Incidência dos encargos do submódulo 2.1 sobre Aviso Prévio Trabalhado]])-2,0)*($G93-$H93)</f>
        <v>2.1118702374000007</v>
      </c>
      <c r="AT93" s="22">
        <f>VLOOKUP($A93,tabCustoUnit[],COLUMN(CUSTO_GLOBAL[[#Headers],[Multa Rescisória do FGTS]])-2,0)*($G93-$H93)</f>
        <v>48.810505528888882</v>
      </c>
      <c r="AU93" s="22">
        <f>VLOOKUP($A93,tabCustoUnit[],COLUMN(CUSTO_GLOBAL[[#Headers],[Indenização Adicional (Art. 9º da Lei nº 7.238/84)]])-2,0)*($G93-$H93)</f>
        <v>1.3302281666666667</v>
      </c>
      <c r="AV93" s="22">
        <f>VLOOKUP($A93,tabCustoUnit[],COLUMN(CUSTO_GLOBAL[[#Headers],[MÓDULO 3 – PROVISÃO PARA RESCISÃO]])-2,0)*($G93-$H93)</f>
        <v>70.285844537757711</v>
      </c>
      <c r="AW93" s="22">
        <f>VLOOKUP($A93,tabCustoUnit[],COLUMN(CUSTO_GLOBAL[[#Headers],[Ausência por Doença]])-2,0)*($G93-$H93)</f>
        <v>13.479645422222221</v>
      </c>
      <c r="AX93" s="22">
        <f>VLOOKUP($A93,tabCustoUnit[],COLUMN(CUSTO_GLOBAL[[#Headers],[Ausências Legais]])-2,0)*($G93-$H93)</f>
        <v>3.2368885388888886</v>
      </c>
      <c r="AY93" s="22">
        <f>VLOOKUP($A93,tabCustoUnit[],COLUMN(CUSTO_GLOBAL[[#Headers],[Licença Paternidade]])-2,0)*($G93-$H93)</f>
        <v>0.27269677416666666</v>
      </c>
      <c r="AZ93" s="22">
        <f>VLOOKUP($A93,tabCustoUnit[],COLUMN(CUSTO_GLOBAL[[#Headers],[Ausência por Acidente de Trabalho]])-2,0)*($G93-$H93)</f>
        <v>0.33255704166666666</v>
      </c>
      <c r="BA93" s="22">
        <f>VLOOKUP($A93,tabCustoUnit[],COLUMN(CUSTO_GLOBAL[[#Headers],[Férias, Adicional de Férias e 13º  com empregada em gozo de Licença Maternidade]])-2,0)*($G93-$H93)</f>
        <v>2.0692438148148145</v>
      </c>
      <c r="BB93" s="22">
        <f>VLOOKUP($A93,tabCustoUnit[],COLUMN(CUSTO_GLOBAL[[#Headers],[Incidência do Submódulo 2.1 sobre Ausências Legais]])-2,0)*($G93-$H93)</f>
        <v>7.3298099416850011</v>
      </c>
      <c r="BC93" s="22">
        <f>VLOOKUP($A93,tabCustoUnit[],COLUMN(CUSTO_GLOBAL[[#Headers],[Submódulo 4.1]])-2,0)*($G93-$H93)</f>
        <v>26.720841533444265</v>
      </c>
      <c r="BD93" s="22">
        <f>VLOOKUP($A93,tabCustoUnit[],COLUMN(CUSTO_GLOBAL[[#Headers],[Intervalo para Repouso ou Alimentação]])-2,0)*($G93-$H93)</f>
        <v>0</v>
      </c>
      <c r="BE93" s="22">
        <f>VLOOKUP($A93,tabCustoUnit[],COLUMN(CUSTO_GLOBAL[[#Headers],[Submódulo 4.2]])-2,0)*($G93-$H93)</f>
        <v>0</v>
      </c>
      <c r="BF93" s="22">
        <f>VLOOKUP($A93,tabCustoUnit[],COLUMN(CUSTO_GLOBAL[[#Headers],[Suspensão Temporária do Contrato de Trabalho]])-2,0)*($G93-$H93)</f>
        <v>0</v>
      </c>
      <c r="BG93" s="22">
        <f>VLOOKUP($A93,tabCustoUnit[],COLUMN(CUSTO_GLOBAL[[#Headers],[Submódulo 4.3]])-2,0)*($G93-$H93)</f>
        <v>0</v>
      </c>
      <c r="BH93" s="22">
        <f>VLOOKUP($A93,tabCustoUnit[],COLUMN(CUSTO_GLOBAL[[#Headers],[MÓDULO 4 – CUSTO DE REPOSIÇÃO DO PROFISSIONAL AUSENTE]])-2,0)*($G93-$H93)</f>
        <v>26.720841533444265</v>
      </c>
      <c r="BI93" s="22">
        <f>VLOOKUP($A93,tabCustoUnit[],COLUMN(CUSTO_GLOBAL[[#Headers],[Uniformes e EPIs]])-2,0)*($G93-$H93)</f>
        <v>56.141713661989918</v>
      </c>
      <c r="BJ93" s="22">
        <f>VLOOKUP($A93,tabCustoUnit[],COLUMN(CUSTO_GLOBAL[[#Headers],[Materiais de Consumo]])-2,0)*($G93-$H93)</f>
        <v>0</v>
      </c>
      <c r="BK93" s="22">
        <f>VLOOKUP($A93,tabCustoUnit[],COLUMN(CUSTO_GLOBAL[[#Headers],[Máquinas e Equipamentos (depreciação)]])-2,0)*($G93-$H93)</f>
        <v>0</v>
      </c>
      <c r="BL93" s="22">
        <f>VLOOKUP($A93,tabCustoUnit[],COLUMN(CUSTO_GLOBAL[[#Headers],[Produtos de Limpeza e Materiais de Higiene Pessoal]])-2,0)*($G93-$H93)</f>
        <v>0</v>
      </c>
      <c r="BM93" s="22">
        <f>VLOOKUP($A93,tabCustoUnit[],COLUMN(CUSTO_GLOBAL[[#Headers],[Outros (especificar)]])-2,0)*($G93-$H93)</f>
        <v>0</v>
      </c>
      <c r="BN93" s="22">
        <f>VLOOKUP($A93,tabCustoUnit[],COLUMN(CUSTO_GLOBAL[[#Headers],[MÓDULO 5 – INSUMOS DIVERSOS]])-2,0)*($G93-$H93)</f>
        <v>56.141713661989918</v>
      </c>
      <c r="BO93" s="22" t="e">
        <f ca="1">VLOOKUP($A93,tabCustoUnit[],COLUMN(CUSTO_GLOBAL[[#Headers],[TOTAL MÓDULOS 1+2+3+4+5]])-2,0)*($G93-$H93)</f>
        <v>#NAME?</v>
      </c>
      <c r="BP93" s="22" t="e">
        <f ca="1">VLOOKUP($A93,tabCustoUnit[],COLUMN(CUSTO_GLOBAL[[#Headers],[Custos Indiretos]])-2,0)*($G93-$H93)</f>
        <v>#NAME?</v>
      </c>
      <c r="BQ93" s="22" t="e">
        <f ca="1">VLOOKUP($A93,tabCustoUnit[],COLUMN(CUSTO_GLOBAL[[#Headers],[Lucro]])-2,0)*($G93-$H93)</f>
        <v>#NAME?</v>
      </c>
      <c r="BR93" s="26">
        <f>VLOOKUP($A93,tabCustoUnit[],COLUMN(CUSTO_GLOBAL[[#Headers],[COFINS]])-2,0)</f>
        <v>8.6609686609686695E-2</v>
      </c>
      <c r="BS93" s="26">
        <f>VLOOKUP($A93,tabCustoUnit[],COLUMN(CUSTO_GLOBAL[[#Headers],[PIS]])-2,0)</f>
        <v>1.880341880341882E-2</v>
      </c>
      <c r="BT93" s="28">
        <f>VLOOKUP($A93,tabCustoUnit[],COLUMN(CUSTO_GLOBAL[[#Headers],[ISS]])-2,0)</f>
        <v>0.03</v>
      </c>
      <c r="BU93" s="26">
        <f>VLOOKUP($A93,tabCustoUnit[],COLUMN(CUSTO_GLOBAL[[#Headers],[ISS (Conversão Alíquota s/ fatura)]])-2,0)</f>
        <v>3.4188034188034219E-2</v>
      </c>
      <c r="BV93" s="26">
        <f>VLOOKUP($A93,tabCustoUnit[],COLUMN(CUSTO_GLOBAL[[#Headers],[Resumo de Alíquotas (PIS+CONFINS+ISS)]])-2,0)</f>
        <v>0.1225</v>
      </c>
      <c r="BW93" s="138">
        <f>VLOOKUP($A93,tabCustoUnit[],COLUMN(CUSTO_GLOBAL[[#Headers],[PIS + COFINS + ISS (Total Conversão  Alíquota s/ Fatura)]])-2,0)</f>
        <v>0.13960113960113973</v>
      </c>
      <c r="BX93" s="22" t="e">
        <f ca="1">VLOOKUP($A93,tabCustoUnit[],COLUMN(CUSTO_GLOBAL[[#Headers],[Valor dos Tributos (ISS, PIS, CONFINS)]])-2,0)*($G93-$H93)</f>
        <v>#NAME?</v>
      </c>
      <c r="BY93" s="22" t="e">
        <f ca="1">VLOOKUP($A93,tabCustoUnit[],COLUMN(CUSTO_GLOBAL[[#Headers],[MÓDULO 6 – CUSTOS INDIRETOS, TRIBUTOS E LUCRO]])-2,0)*($G93-$H93)</f>
        <v>#NAME?</v>
      </c>
      <c r="BZ93" s="22" t="e">
        <f ca="1">VLOOKUP($A93,tabCustoUnit[],COLUMN(CUSTO_GLOBAL[[#Headers],[CUSTO TOTAL MENSAL]])-2,0)*($G93-$H93)</f>
        <v>#NAME?</v>
      </c>
      <c r="CA93" s="22" t="e">
        <f ca="1">CUSTO_GLOBAL[[#This Row],[CUSTO TOTAL MENSAL]]*12</f>
        <v>#NAME?</v>
      </c>
      <c r="CB93" s="24">
        <f>VLOOKUP($A93,tabCustoUnit[],COLUMN(CUSTO_GLOBAL[[#Headers],[ANO DA CCT]])-2,0)</f>
        <v>45658</v>
      </c>
      <c r="CC93" s="25" t="str">
        <f>VLOOKUP($A93,tabCustoUnit[],COLUMN(CUSTO_GLOBAL[[#Headers],[Nº DE PEDIDO DA CCT]])-2,0)</f>
        <v>-</v>
      </c>
      <c r="CD93" s="25" t="str">
        <f>VLOOKUP($A93,tabCustoUnit[],COLUMN(CUSTO_GLOBAL[[#Headers],[TERMO ADITIVO ALTERAÇÃO DA CCT]])-2,0)</f>
        <v>-</v>
      </c>
    </row>
    <row r="94" spans="1:82">
      <c r="A94" s="20" t="s">
        <v>1558</v>
      </c>
      <c r="B94" t="s">
        <v>1106</v>
      </c>
      <c r="C94" t="s">
        <v>324</v>
      </c>
      <c r="D94" t="s">
        <v>1048</v>
      </c>
      <c r="E94" s="20" t="s">
        <v>1090</v>
      </c>
      <c r="F94" s="20" t="s">
        <v>120</v>
      </c>
      <c r="G94" s="20">
        <v>1</v>
      </c>
      <c r="H94" s="20">
        <v>0</v>
      </c>
      <c r="I94" s="21">
        <f>VLOOKUP($A94,tabCustoUnit[],COLUMN(CUSTO_GLOBAL[[#Headers],[Salário Base]])-2,0)*($G94-$H94)</f>
        <v>3397.1306</v>
      </c>
      <c r="J94" s="21">
        <f>VLOOKUP($A94,tabCustoUnit[],COLUMN(CUSTO_GLOBAL[[#Headers],[Adicional Periculosidade]])-2,0)*($G94-$H94)</f>
        <v>0</v>
      </c>
      <c r="K94" s="21">
        <f>VLOOKUP($A94,tabCustoUnit[],COLUMN(CUSTO_GLOBAL[[#Headers],[Adicional Insalubridade]])-2,0)*($G94-$H94)</f>
        <v>0</v>
      </c>
      <c r="L94" s="21">
        <f>VLOOKUP($A94,tabCustoUnit[],COLUMN(CUSTO_GLOBAL[[#Headers],[Adicional Noturno]])-2,0)*($G94-$H94)</f>
        <v>0</v>
      </c>
      <c r="M94" s="21">
        <f>VLOOKUP($A94,tabCustoUnit[],COLUMN(CUSTO_GLOBAL[[#Headers],[Adicional Motorista II (Gratificação)]])-2,0)*($G94-$H94)</f>
        <v>0</v>
      </c>
      <c r="N94" s="21">
        <f>VLOOKUP($A94,tabCustoUnit[],COLUMN(CUSTO_GLOBAL[[#Headers],[Adicional de Sobreaviso]])-2,0)*($G94-$H94)</f>
        <v>0</v>
      </c>
      <c r="O94" s="21">
        <f>VLOOKUP($A94,tabCustoUnit[],COLUMN(CUSTO_GLOBAL[[#Headers],[Horas Extras TI]])-2,0)*($G94-$H94)</f>
        <v>0</v>
      </c>
      <c r="P94" s="21">
        <f>VLOOKUP($A94,tabCustoUnit[],COLUMN(CUSTO_GLOBAL[[#Headers],[Adicional de Acúmulo de função]])-2,0)*($G94-$H94)</f>
        <v>0</v>
      </c>
      <c r="Q94" s="21">
        <f>VLOOKUP($A94,tabCustoUnit[],COLUMN(CUSTO_GLOBAL[[#Headers],[MODULO 1 - REMUNERAÇÃO ]])-2,0)*($G94-$H94)</f>
        <v>3397.1306</v>
      </c>
      <c r="R94" s="21">
        <f>VLOOKUP($A94,tabCustoUnit[],COLUMN(CUSTO_GLOBAL[[#Headers],[INSS]])-2,0)*($G94-$H94)</f>
        <v>679.42612000000008</v>
      </c>
      <c r="S94" s="21">
        <f>VLOOKUP($A94,tabCustoUnit[],COLUMN(CUSTO_GLOBAL[[#Headers],[SESI OU SESC]])-2,0)*($G94-$H94)</f>
        <v>50.956958999999998</v>
      </c>
      <c r="T94" s="21">
        <f>VLOOKUP($A94,tabCustoUnit[],COLUMN(CUSTO_GLOBAL[[#Headers],[SENAI OU SENAC]])-2,0)*($G94-$H94)</f>
        <v>33.971305999999998</v>
      </c>
      <c r="U94" s="21">
        <f>VLOOKUP($A94,tabCustoUnit[],COLUMN(CUSTO_GLOBAL[[#Headers],[INCRA]])-2,0)*($G94-$H94)</f>
        <v>6.7942612000000002</v>
      </c>
      <c r="V94" s="21">
        <f>VLOOKUP($A94,tabCustoUnit[],COLUMN(CUSTO_GLOBAL[[#Headers],[Salário Educação]])-2,0)*($G94-$H94)</f>
        <v>84.92826500000001</v>
      </c>
      <c r="W94" s="21">
        <f>VLOOKUP($A94,tabCustoUnit[],COLUMN(CUSTO_GLOBAL[[#Headers],[FGTS]])-2,0)*($G94-$H94)</f>
        <v>271.77044799999999</v>
      </c>
      <c r="X94" s="21">
        <f>VLOOKUP($A94,tabCustoUnit[],COLUMN(CUSTO_GLOBAL[[#Headers],[RAT Ajustado]])-2,0)*($G94-$H94)</f>
        <v>135.88522399999999</v>
      </c>
      <c r="Y94" s="21">
        <f>VLOOKUP($A94,tabCustoUnit[],COLUMN(CUSTO_GLOBAL[[#Headers],[SEBRAE]])-2,0)*($G94-$H94)</f>
        <v>20.3827836</v>
      </c>
      <c r="Z94" s="21">
        <f>VLOOKUP($A94,tabCustoUnit[],COLUMN(CUSTO_GLOBAL[[#Headers],[Submódulo 2.1]])-2,0)*($G94-$H94)</f>
        <v>1284.1153668000002</v>
      </c>
      <c r="AA94" s="21">
        <f>VLOOKUP($A94,tabCustoUnit[],COLUMN(CUSTO_GLOBAL[[#Headers],[13º salário (titular)]])-2,0)*($G94-$H94)</f>
        <v>283.09421666666663</v>
      </c>
      <c r="AB94" s="21">
        <f>VLOOKUP($A94,tabCustoUnit[],COLUMN(CUSTO_GLOBAL[[#Headers],[Férias e Adicional de Férias (titular)]])-2,0)*($G94-$H94)</f>
        <v>377.45895555555552</v>
      </c>
      <c r="AC94" s="21">
        <f>VLOOKUP($A94,tabCustoUnit[],COLUMN(CUSTO_GLOBAL[[#Headers],[Incidência do Submódulo 2.1 sobre 13º Salário, Férias e Adicional de Férias]])-2,0)*($G94-$H94)</f>
        <v>249.68909910000002</v>
      </c>
      <c r="AD94" s="21">
        <f>VLOOKUP($A94,tabCustoUnit[],COLUMN(CUSTO_GLOBAL[[#Headers],[Submódulo 2.2]])-2,0)*($G94-$H94)</f>
        <v>910.24227132222222</v>
      </c>
      <c r="AE94" s="22" t="e">
        <f ca="1">VLOOKUP($A94,tabCustoUnit[],COLUMN(CUSTO_GLOBAL[[#Headers],[Vale - Transporte (Descontada parcela do empregado)]])-2,0)*($G94-$H94)</f>
        <v>#NAME?</v>
      </c>
      <c r="AF94" s="22">
        <f>VLOOKUP($A94,tabCustoUnit[],COLUMN(CUSTO_GLOBAL[[#Headers],[Vale - Alimentação (Descontada parcela do empregado)]])-2,0)*($G94-$H94)</f>
        <v>582</v>
      </c>
      <c r="AG94" s="22">
        <f>VLOOKUP($A94,tabCustoUnit[],COLUMN(CUSTO_GLOBAL[[#Headers],[Cesta Básica]])-2,0)*($G94-$H94)</f>
        <v>0</v>
      </c>
      <c r="AH94" s="22">
        <f>VLOOKUP($A94,tabCustoUnit[],COLUMN(CUSTO_GLOBAL[[#Headers],[PAF]])-2,0)*($G94-$H94)</f>
        <v>51.86</v>
      </c>
      <c r="AI94" s="22">
        <f>VLOOKUP($A94,tabCustoUnit[],COLUMN(CUSTO_GLOBAL[[#Headers],[PQM]])-2,0)*($G94-$H94)</f>
        <v>0</v>
      </c>
      <c r="AJ94" s="22">
        <v>0</v>
      </c>
      <c r="AK94" s="22">
        <f>VLOOKUP($A94,tabCustoUnit[],COLUMN(CUSTO_GLOBAL[[#Headers],[Seguro de Vida]])-2,0)*($G94-$H94)</f>
        <v>3.36</v>
      </c>
      <c r="AL94" s="22">
        <f>VLOOKUP($A94,tabCustoUnit[],COLUMN(CUSTO_GLOBAL[[#Headers],[Despesas de Viagem]])-2,0)*($G94-$H94)</f>
        <v>0</v>
      </c>
      <c r="AM94" s="22" t="e">
        <f ca="1">VLOOKUP($A94,tabCustoUnit[],COLUMN(CUSTO_GLOBAL[[#Headers],[Submódulo 2.3]])-2,0)*($G94-$H94)</f>
        <v>#NAME?</v>
      </c>
      <c r="AN94" s="22" t="e">
        <f ca="1">VLOOKUP($A94,tabCustoUnit[],COLUMN(CUSTO_GLOBAL[[#Headers],[MÓDULO 2 - Total Encargos e Benefícios mensais e diários]])-2,0)*($G94-$H94)</f>
        <v>#NAME?</v>
      </c>
      <c r="AO94" s="22">
        <f>VLOOKUP($A94,tabCustoUnit[],COLUMN(CUSTO_GLOBAL[[#Headers],[Aviso Prévio Indenizado (API) e Reflexo do Aviso Prévio Indenizado]])-2,0)*($G94-$H94)</f>
        <v>23.819888151890432</v>
      </c>
      <c r="AP94" s="22">
        <f>VLOOKUP($A94,tabCustoUnit[],COLUMN(CUSTO_GLOBAL[[#Headers],[Incidência do FGTS sobre API e Reflexo do API]])-2,0)*($G94-$H94)</f>
        <v>1.9055910521512347</v>
      </c>
      <c r="AQ94" s="22">
        <f>VLOOKUP($A94,tabCustoUnit[],COLUMN(CUSTO_GLOBAL[[#Headers],[Multa Rescisória do FGTS sobre o Aviso Prévio Indenizado]])-2,0)*($G94-$H94)</f>
        <v>0.76223642086049392</v>
      </c>
      <c r="AR94" s="22">
        <f>VLOOKUP($A94,tabCustoUnit[],COLUMN(CUSTO_GLOBAL[[#Headers],[Aviso Prévio Trabalhado - APT]])-2,0)*($G94-$H94)</f>
        <v>11.889957100000002</v>
      </c>
      <c r="AS94" s="22">
        <f>VLOOKUP($A94,tabCustoUnit[],COLUMN(CUSTO_GLOBAL[[#Headers],[Incidência dos encargos do submódulo 2.1 sobre Aviso Prévio Trabalhado]])-2,0)*($G94-$H94)</f>
        <v>4.4944037838000011</v>
      </c>
      <c r="AT94" s="22">
        <f>VLOOKUP($A94,tabCustoUnit[],COLUMN(CUSTO_GLOBAL[[#Headers],[Multa Rescisória do FGTS]])-2,0)*($G94-$H94)</f>
        <v>103.87670456888887</v>
      </c>
      <c r="AU94" s="22">
        <f>VLOOKUP($A94,tabCustoUnit[],COLUMN(CUSTO_GLOBAL[[#Headers],[Indenização Adicional (Art. 9º da Lei nº 7.238/84)]])-2,0)*($G94-$H94)</f>
        <v>2.830942166666667</v>
      </c>
      <c r="AV94" s="22">
        <f>VLOOKUP($A94,tabCustoUnit[],COLUMN(CUSTO_GLOBAL[[#Headers],[MÓDULO 3 – PROVISÃO PARA RESCISÃO]])-2,0)*($G94-$H94)</f>
        <v>149.57972324425771</v>
      </c>
      <c r="AW94" s="22">
        <f>VLOOKUP($A94,tabCustoUnit[],COLUMN(CUSTO_GLOBAL[[#Headers],[Ausência por Doença]])-2,0)*($G94-$H94)</f>
        <v>28.686880622222219</v>
      </c>
      <c r="AX94" s="22">
        <f>VLOOKUP($A94,tabCustoUnit[],COLUMN(CUSTO_GLOBAL[[#Headers],[Ausências Legais]])-2,0)*($G94-$H94)</f>
        <v>6.8886259388888886</v>
      </c>
      <c r="AY94" s="22">
        <f>VLOOKUP($A94,tabCustoUnit[],COLUMN(CUSTO_GLOBAL[[#Headers],[Licença Paternidade]])-2,0)*($G94-$H94)</f>
        <v>0.58034314416666666</v>
      </c>
      <c r="AZ94" s="22">
        <f>VLOOKUP($A94,tabCustoUnit[],COLUMN(CUSTO_GLOBAL[[#Headers],[Ausência por Acidente de Trabalho]])-2,0)*($G94-$H94)</f>
        <v>0.70773554166666675</v>
      </c>
      <c r="BA94" s="22">
        <f>VLOOKUP($A94,tabCustoUnit[],COLUMN(CUSTO_GLOBAL[[#Headers],[Férias, Adicional de Férias e 13º  com empregada em gozo de Licença Maternidade]])-2,0)*($G94-$H94)</f>
        <v>4.4036878148148144</v>
      </c>
      <c r="BB94" s="22">
        <f>VLOOKUP($A94,tabCustoUnit[],COLUMN(CUSTO_GLOBAL[[#Headers],[Incidência do Submódulo 2.1 sobre Ausências Legais]])-2,0)*($G94-$H94)</f>
        <v>15.599029217345002</v>
      </c>
      <c r="BC94" s="22">
        <f>VLOOKUP($A94,tabCustoUnit[],COLUMN(CUSTO_GLOBAL[[#Headers],[Submódulo 4.1]])-2,0)*($G94-$H94)</f>
        <v>56.866302279104261</v>
      </c>
      <c r="BD94" s="22">
        <f>VLOOKUP($A94,tabCustoUnit[],COLUMN(CUSTO_GLOBAL[[#Headers],[Intervalo para Repouso ou Alimentação]])-2,0)*($G94-$H94)</f>
        <v>0</v>
      </c>
      <c r="BE94" s="22">
        <f>VLOOKUP($A94,tabCustoUnit[],COLUMN(CUSTO_GLOBAL[[#Headers],[Submódulo 4.2]])-2,0)*($G94-$H94)</f>
        <v>0</v>
      </c>
      <c r="BF94" s="22">
        <f>VLOOKUP($A94,tabCustoUnit[],COLUMN(CUSTO_GLOBAL[[#Headers],[Suspensão Temporária do Contrato de Trabalho]])-2,0)*($G94-$H94)</f>
        <v>0</v>
      </c>
      <c r="BG94" s="22">
        <f>VLOOKUP($A94,tabCustoUnit[],COLUMN(CUSTO_GLOBAL[[#Headers],[Submódulo 4.3]])-2,0)*($G94-$H94)</f>
        <v>0</v>
      </c>
      <c r="BH94" s="22">
        <f>VLOOKUP($A94,tabCustoUnit[],COLUMN(CUSTO_GLOBAL[[#Headers],[MÓDULO 4 – CUSTO DE REPOSIÇÃO DO PROFISSIONAL AUSENTE]])-2,0)*($G94-$H94)</f>
        <v>56.866302279104261</v>
      </c>
      <c r="BI94" s="22">
        <f>VLOOKUP($A94,tabCustoUnit[],COLUMN(CUSTO_GLOBAL[[#Headers],[Uniformes e EPIs]])-2,0)*($G94-$H94)</f>
        <v>56.642978962543395</v>
      </c>
      <c r="BJ94" s="22">
        <f>VLOOKUP($A94,tabCustoUnit[],COLUMN(CUSTO_GLOBAL[[#Headers],[Materiais de Consumo]])-2,0)*($G94-$H94)</f>
        <v>0</v>
      </c>
      <c r="BK94" s="22">
        <f>VLOOKUP($A94,tabCustoUnit[],COLUMN(CUSTO_GLOBAL[[#Headers],[Máquinas e Equipamentos (depreciação)]])-2,0)*($G94-$H94)</f>
        <v>0</v>
      </c>
      <c r="BL94" s="22">
        <f>VLOOKUP($A94,tabCustoUnit[],COLUMN(CUSTO_GLOBAL[[#Headers],[Produtos de Limpeza e Materiais de Higiene Pessoal]])-2,0)*($G94-$H94)</f>
        <v>0</v>
      </c>
      <c r="BM94" s="22">
        <f>VLOOKUP($A94,tabCustoUnit[],COLUMN(CUSTO_GLOBAL[[#Headers],[Outros (especificar)]])-2,0)*($G94-$H94)</f>
        <v>0</v>
      </c>
      <c r="BN94" s="22">
        <f>VLOOKUP($A94,tabCustoUnit[],COLUMN(CUSTO_GLOBAL[[#Headers],[MÓDULO 5 – INSUMOS DIVERSOS]])-2,0)*($G94-$H94)</f>
        <v>56.642978962543395</v>
      </c>
      <c r="BO94" s="22" t="e">
        <f ca="1">VLOOKUP($A94,tabCustoUnit[],COLUMN(CUSTO_GLOBAL[[#Headers],[TOTAL MÓDULOS 1+2+3+4+5]])-2,0)*($G94-$H94)</f>
        <v>#NAME?</v>
      </c>
      <c r="BP94" s="22" t="e">
        <f ca="1">VLOOKUP($A94,tabCustoUnit[],COLUMN(CUSTO_GLOBAL[[#Headers],[Custos Indiretos]])-2,0)*($G94-$H94)</f>
        <v>#NAME?</v>
      </c>
      <c r="BQ94" s="22" t="e">
        <f ca="1">VLOOKUP($A94,tabCustoUnit[],COLUMN(CUSTO_GLOBAL[[#Headers],[Lucro]])-2,0)*($G94-$H94)</f>
        <v>#NAME?</v>
      </c>
      <c r="BR94" s="26">
        <f>VLOOKUP($A94,tabCustoUnit[],COLUMN(CUSTO_GLOBAL[[#Headers],[COFINS]])-2,0)</f>
        <v>8.6609686609686695E-2</v>
      </c>
      <c r="BS94" s="26">
        <f>VLOOKUP($A94,tabCustoUnit[],COLUMN(CUSTO_GLOBAL[[#Headers],[PIS]])-2,0)</f>
        <v>1.880341880341882E-2</v>
      </c>
      <c r="BT94" s="28">
        <f>VLOOKUP($A94,tabCustoUnit[],COLUMN(CUSTO_GLOBAL[[#Headers],[ISS]])-2,0)</f>
        <v>0.03</v>
      </c>
      <c r="BU94" s="26">
        <f>VLOOKUP($A94,tabCustoUnit[],COLUMN(CUSTO_GLOBAL[[#Headers],[ISS (Conversão Alíquota s/ fatura)]])-2,0)</f>
        <v>3.4188034188034219E-2</v>
      </c>
      <c r="BV94" s="26">
        <f>VLOOKUP($A94,tabCustoUnit[],COLUMN(CUSTO_GLOBAL[[#Headers],[Resumo de Alíquotas (PIS+CONFINS+ISS)]])-2,0)</f>
        <v>0.1225</v>
      </c>
      <c r="BW94" s="138">
        <f>VLOOKUP($A94,tabCustoUnit[],COLUMN(CUSTO_GLOBAL[[#Headers],[PIS + COFINS + ISS (Total Conversão  Alíquota s/ Fatura)]])-2,0)</f>
        <v>0.13960113960113973</v>
      </c>
      <c r="BX94" s="22" t="e">
        <f ca="1">VLOOKUP($A94,tabCustoUnit[],COLUMN(CUSTO_GLOBAL[[#Headers],[Valor dos Tributos (ISS, PIS, CONFINS)]])-2,0)*($G94-$H94)</f>
        <v>#NAME?</v>
      </c>
      <c r="BY94" s="22" t="e">
        <f ca="1">VLOOKUP($A94,tabCustoUnit[],COLUMN(CUSTO_GLOBAL[[#Headers],[MÓDULO 6 – CUSTOS INDIRETOS, TRIBUTOS E LUCRO]])-2,0)*($G94-$H94)</f>
        <v>#NAME?</v>
      </c>
      <c r="BZ94" s="22" t="e">
        <f ca="1">VLOOKUP($A94,tabCustoUnit[],COLUMN(CUSTO_GLOBAL[[#Headers],[CUSTO TOTAL MENSAL]])-2,0)*($G94-$H94)</f>
        <v>#NAME?</v>
      </c>
      <c r="CA94" s="22" t="e">
        <f ca="1">CUSTO_GLOBAL[[#This Row],[CUSTO TOTAL MENSAL]]*12</f>
        <v>#NAME?</v>
      </c>
      <c r="CB94" s="24">
        <f>VLOOKUP($A94,tabCustoUnit[],COLUMN(CUSTO_GLOBAL[[#Headers],[ANO DA CCT]])-2,0)</f>
        <v>45658</v>
      </c>
      <c r="CC94" s="25" t="str">
        <f>VLOOKUP($A94,tabCustoUnit[],COLUMN(CUSTO_GLOBAL[[#Headers],[Nº DE PEDIDO DA CCT]])-2,0)</f>
        <v>-</v>
      </c>
      <c r="CD94" s="25" t="str">
        <f>VLOOKUP($A94,tabCustoUnit[],COLUMN(CUSTO_GLOBAL[[#Headers],[TERMO ADITIVO ALTERAÇÃO DA CCT]])-2,0)</f>
        <v>-</v>
      </c>
    </row>
    <row r="95" spans="1:82">
      <c r="A95" s="20" t="s">
        <v>1559</v>
      </c>
      <c r="B95" t="s">
        <v>1107</v>
      </c>
      <c r="C95" t="s">
        <v>314</v>
      </c>
      <c r="D95" t="s">
        <v>918</v>
      </c>
      <c r="E95" s="20" t="s">
        <v>1090</v>
      </c>
      <c r="F95" s="20" t="s">
        <v>120</v>
      </c>
      <c r="G95" s="20">
        <v>1</v>
      </c>
      <c r="H95" s="20">
        <v>0</v>
      </c>
      <c r="I95" s="21">
        <f>VLOOKUP($A95,tabCustoUnit[],COLUMN(CUSTO_GLOBAL[[#Headers],[Salário Base]])-2,0)*($G95-$H95)</f>
        <v>1963.4110000000001</v>
      </c>
      <c r="J95" s="21">
        <f>VLOOKUP($A95,tabCustoUnit[],COLUMN(CUSTO_GLOBAL[[#Headers],[Adicional Periculosidade]])-2,0)*($G95-$H95)</f>
        <v>0</v>
      </c>
      <c r="K95" s="21">
        <f>VLOOKUP($A95,tabCustoUnit[],COLUMN(CUSTO_GLOBAL[[#Headers],[Adicional Insalubridade]])-2,0)*($G95-$H95)</f>
        <v>0</v>
      </c>
      <c r="L95" s="21">
        <f>VLOOKUP($A95,tabCustoUnit[],COLUMN(CUSTO_GLOBAL[[#Headers],[Adicional Noturno]])-2,0)*($G95-$H95)</f>
        <v>0</v>
      </c>
      <c r="M95" s="21">
        <f>VLOOKUP($A95,tabCustoUnit[],COLUMN(CUSTO_GLOBAL[[#Headers],[Adicional Motorista II (Gratificação)]])-2,0)*($G95-$H95)</f>
        <v>0</v>
      </c>
      <c r="N95" s="21">
        <f>VLOOKUP($A95,tabCustoUnit[],COLUMN(CUSTO_GLOBAL[[#Headers],[Adicional de Sobreaviso]])-2,0)*($G95-$H95)</f>
        <v>0</v>
      </c>
      <c r="O95" s="21">
        <f>VLOOKUP($A95,tabCustoUnit[],COLUMN(CUSTO_GLOBAL[[#Headers],[Horas Extras TI]])-2,0)*($G95-$H95)</f>
        <v>0</v>
      </c>
      <c r="P95" s="21">
        <f>VLOOKUP($A95,tabCustoUnit[],COLUMN(CUSTO_GLOBAL[[#Headers],[Adicional de Acúmulo de função]])-2,0)*($G95-$H95)</f>
        <v>0</v>
      </c>
      <c r="Q95" s="21">
        <f>VLOOKUP($A95,tabCustoUnit[],COLUMN(CUSTO_GLOBAL[[#Headers],[MODULO 1 - REMUNERAÇÃO ]])-2,0)*($G95-$H95)</f>
        <v>1963.4110000000001</v>
      </c>
      <c r="R95" s="21">
        <f>VLOOKUP($A95,tabCustoUnit[],COLUMN(CUSTO_GLOBAL[[#Headers],[INSS]])-2,0)*($G95-$H95)</f>
        <v>392.68220000000002</v>
      </c>
      <c r="S95" s="21">
        <f>VLOOKUP($A95,tabCustoUnit[],COLUMN(CUSTO_GLOBAL[[#Headers],[SESI OU SESC]])-2,0)*($G95-$H95)</f>
        <v>29.451165</v>
      </c>
      <c r="T95" s="21">
        <f>VLOOKUP($A95,tabCustoUnit[],COLUMN(CUSTO_GLOBAL[[#Headers],[SENAI OU SENAC]])-2,0)*($G95-$H95)</f>
        <v>19.63411</v>
      </c>
      <c r="U95" s="21">
        <f>VLOOKUP($A95,tabCustoUnit[],COLUMN(CUSTO_GLOBAL[[#Headers],[INCRA]])-2,0)*($G95-$H95)</f>
        <v>3.926822</v>
      </c>
      <c r="V95" s="21">
        <f>VLOOKUP($A95,tabCustoUnit[],COLUMN(CUSTO_GLOBAL[[#Headers],[Salário Educação]])-2,0)*($G95-$H95)</f>
        <v>49.085275000000003</v>
      </c>
      <c r="W95" s="21">
        <f>VLOOKUP($A95,tabCustoUnit[],COLUMN(CUSTO_GLOBAL[[#Headers],[FGTS]])-2,0)*($G95-$H95)</f>
        <v>157.07288</v>
      </c>
      <c r="X95" s="21">
        <f>VLOOKUP($A95,tabCustoUnit[],COLUMN(CUSTO_GLOBAL[[#Headers],[RAT Ajustado]])-2,0)*($G95-$H95)</f>
        <v>78.536439999999999</v>
      </c>
      <c r="Y95" s="21">
        <f>VLOOKUP($A95,tabCustoUnit[],COLUMN(CUSTO_GLOBAL[[#Headers],[SEBRAE]])-2,0)*($G95-$H95)</f>
        <v>11.780466000000001</v>
      </c>
      <c r="Z95" s="21">
        <f>VLOOKUP($A95,tabCustoUnit[],COLUMN(CUSTO_GLOBAL[[#Headers],[Submódulo 2.1]])-2,0)*($G95-$H95)</f>
        <v>742.1693580000001</v>
      </c>
      <c r="AA95" s="21">
        <f>VLOOKUP($A95,tabCustoUnit[],COLUMN(CUSTO_GLOBAL[[#Headers],[13º salário (titular)]])-2,0)*($G95-$H95)</f>
        <v>163.61758333333333</v>
      </c>
      <c r="AB95" s="21">
        <f>VLOOKUP($A95,tabCustoUnit[],COLUMN(CUSTO_GLOBAL[[#Headers],[Férias e Adicional de Férias (titular)]])-2,0)*($G95-$H95)</f>
        <v>218.15677777777776</v>
      </c>
      <c r="AC95" s="21">
        <f>VLOOKUP($A95,tabCustoUnit[],COLUMN(CUSTO_GLOBAL[[#Headers],[Incidência do Submódulo 2.1 sobre 13º Salário, Férias e Adicional de Férias]])-2,0)*($G95-$H95)</f>
        <v>144.3107085</v>
      </c>
      <c r="AD95" s="21">
        <f>VLOOKUP($A95,tabCustoUnit[],COLUMN(CUSTO_GLOBAL[[#Headers],[Submódulo 2.2]])-2,0)*($G95-$H95)</f>
        <v>526.08506961111107</v>
      </c>
      <c r="AE95" s="22" t="e">
        <f ca="1">VLOOKUP($A95,tabCustoUnit[],COLUMN(CUSTO_GLOBAL[[#Headers],[Vale - Transporte (Descontada parcela do empregado)]])-2,0)*($G95-$H95)</f>
        <v>#NAME?</v>
      </c>
      <c r="AF95" s="22">
        <f>VLOOKUP($A95,tabCustoUnit[],COLUMN(CUSTO_GLOBAL[[#Headers],[Vale - Alimentação (Descontada parcela do empregado)]])-2,0)*($G95-$H95)</f>
        <v>582</v>
      </c>
      <c r="AG95" s="22">
        <f>VLOOKUP($A95,tabCustoUnit[],COLUMN(CUSTO_GLOBAL[[#Headers],[Cesta Básica]])-2,0)*($G95-$H95)</f>
        <v>0</v>
      </c>
      <c r="AH95" s="22">
        <f>VLOOKUP($A95,tabCustoUnit[],COLUMN(CUSTO_GLOBAL[[#Headers],[PAF]])-2,0)*($G95-$H95)</f>
        <v>0</v>
      </c>
      <c r="AI95" s="22">
        <f>VLOOKUP($A95,tabCustoUnit[],COLUMN(CUSTO_GLOBAL[[#Headers],[PQM]])-2,0)*($G95-$H95)</f>
        <v>15.07</v>
      </c>
      <c r="AJ95" s="22">
        <v>0</v>
      </c>
      <c r="AK95" s="22">
        <f>VLOOKUP($A95,tabCustoUnit[],COLUMN(CUSTO_GLOBAL[[#Headers],[Seguro de Vida]])-2,0)*($G95-$H95)</f>
        <v>3.36</v>
      </c>
      <c r="AL95" s="22">
        <f>VLOOKUP($A95,tabCustoUnit[],COLUMN(CUSTO_GLOBAL[[#Headers],[Despesas de Viagem]])-2,0)*($G95-$H95)</f>
        <v>0</v>
      </c>
      <c r="AM95" s="22" t="e">
        <f ca="1">VLOOKUP($A95,tabCustoUnit[],COLUMN(CUSTO_GLOBAL[[#Headers],[Submódulo 2.3]])-2,0)*($G95-$H95)</f>
        <v>#NAME?</v>
      </c>
      <c r="AN95" s="22" t="e">
        <f ca="1">VLOOKUP($A95,tabCustoUnit[],COLUMN(CUSTO_GLOBAL[[#Headers],[MÓDULO 2 - Total Encargos e Benefícios mensais e diários]])-2,0)*($G95-$H95)</f>
        <v>#NAME?</v>
      </c>
      <c r="AO95" s="22">
        <f>VLOOKUP($A95,tabCustoUnit[],COLUMN(CUSTO_GLOBAL[[#Headers],[Aviso Prévio Indenizado (API) e Reflexo do Aviso Prévio Indenizado]])-2,0)*($G95-$H95)</f>
        <v>13.766980408757716</v>
      </c>
      <c r="AP95" s="22">
        <f>VLOOKUP($A95,tabCustoUnit[],COLUMN(CUSTO_GLOBAL[[#Headers],[Incidência do FGTS sobre API e Reflexo do API]])-2,0)*($G95-$H95)</f>
        <v>1.1013584327006174</v>
      </c>
      <c r="AQ95" s="22">
        <f>VLOOKUP($A95,tabCustoUnit[],COLUMN(CUSTO_GLOBAL[[#Headers],[Multa Rescisória do FGTS sobre o Aviso Prévio Indenizado]])-2,0)*($G95-$H95)</f>
        <v>0.44054337308024699</v>
      </c>
      <c r="AR95" s="22">
        <f>VLOOKUP($A95,tabCustoUnit[],COLUMN(CUSTO_GLOBAL[[#Headers],[Aviso Prévio Trabalhado - APT]])-2,0)*($G95-$H95)</f>
        <v>6.8719385000000015</v>
      </c>
      <c r="AS95" s="22">
        <f>VLOOKUP($A95,tabCustoUnit[],COLUMN(CUSTO_GLOBAL[[#Headers],[Incidência dos encargos do submódulo 2.1 sobre Aviso Prévio Trabalhado]])-2,0)*($G95-$H95)</f>
        <v>2.5975927530000007</v>
      </c>
      <c r="AT95" s="22">
        <f>VLOOKUP($A95,tabCustoUnit[],COLUMN(CUSTO_GLOBAL[[#Headers],[Multa Rescisória do FGTS]])-2,0)*($G95-$H95)</f>
        <v>60.03674524444444</v>
      </c>
      <c r="AU95" s="22">
        <f>VLOOKUP($A95,tabCustoUnit[],COLUMN(CUSTO_GLOBAL[[#Headers],[Indenização Adicional (Art. 9º da Lei nº 7.238/84)]])-2,0)*($G95-$H95)</f>
        <v>1.6361758333333334</v>
      </c>
      <c r="AV95" s="22">
        <f>VLOOKUP($A95,tabCustoUnit[],COLUMN(CUSTO_GLOBAL[[#Headers],[MÓDULO 3 – PROVISÃO PARA RESCISÃO]])-2,0)*($G95-$H95)</f>
        <v>86.451334545316371</v>
      </c>
      <c r="AW95" s="22">
        <f>VLOOKUP($A95,tabCustoUnit[],COLUMN(CUSTO_GLOBAL[[#Headers],[Ausência por Doença]])-2,0)*($G95-$H95)</f>
        <v>16.579915111111109</v>
      </c>
      <c r="AX95" s="22">
        <f>VLOOKUP($A95,tabCustoUnit[],COLUMN(CUSTO_GLOBAL[[#Headers],[Ausências Legais]])-2,0)*($G95-$H95)</f>
        <v>3.9813611944444443</v>
      </c>
      <c r="AY95" s="22">
        <f>VLOOKUP($A95,tabCustoUnit[],COLUMN(CUSTO_GLOBAL[[#Headers],[Licença Paternidade]])-2,0)*($G95-$H95)</f>
        <v>0.33541604583333334</v>
      </c>
      <c r="AZ95" s="22">
        <f>VLOOKUP($A95,tabCustoUnit[],COLUMN(CUSTO_GLOBAL[[#Headers],[Ausência por Acidente de Trabalho]])-2,0)*($G95-$H95)</f>
        <v>0.40904395833333335</v>
      </c>
      <c r="BA95" s="22">
        <f>VLOOKUP($A95,tabCustoUnit[],COLUMN(CUSTO_GLOBAL[[#Headers],[Férias, Adicional de Férias e 13º  com empregada em gozo de Licença Maternidade]])-2,0)*($G95-$H95)</f>
        <v>2.5451624074074073</v>
      </c>
      <c r="BB95" s="22">
        <f>VLOOKUP($A95,tabCustoUnit[],COLUMN(CUSTO_GLOBAL[[#Headers],[Incidência do Submódulo 2.1 sobre Ausências Legais]])-2,0)*($G95-$H95)</f>
        <v>9.0156397150750021</v>
      </c>
      <c r="BC95" s="22">
        <f>VLOOKUP($A95,tabCustoUnit[],COLUMN(CUSTO_GLOBAL[[#Headers],[Submódulo 4.1]])-2,0)*($G95-$H95)</f>
        <v>32.866538432204628</v>
      </c>
      <c r="BD95" s="22">
        <f>VLOOKUP($A95,tabCustoUnit[],COLUMN(CUSTO_GLOBAL[[#Headers],[Intervalo para Repouso ou Alimentação]])-2,0)*($G95-$H95)</f>
        <v>267.73786489195959</v>
      </c>
      <c r="BE95" s="22">
        <f>VLOOKUP($A95,tabCustoUnit[],COLUMN(CUSTO_GLOBAL[[#Headers],[Submódulo 4.2]])-2,0)*($G95-$H95)</f>
        <v>267.73786489195959</v>
      </c>
      <c r="BF95" s="22">
        <f>VLOOKUP($A95,tabCustoUnit[],COLUMN(CUSTO_GLOBAL[[#Headers],[Suspensão Temporária do Contrato de Trabalho]])-2,0)*($G95-$H95)</f>
        <v>0</v>
      </c>
      <c r="BG95" s="22">
        <f>VLOOKUP($A95,tabCustoUnit[],COLUMN(CUSTO_GLOBAL[[#Headers],[Submódulo 4.3]])-2,0)*($G95-$H95)</f>
        <v>0</v>
      </c>
      <c r="BH95" s="22">
        <f>VLOOKUP($A95,tabCustoUnit[],COLUMN(CUSTO_GLOBAL[[#Headers],[MÓDULO 4 – CUSTO DE REPOSIÇÃO DO PROFISSIONAL AUSENTE]])-2,0)*($G95-$H95)</f>
        <v>300.6044033241642</v>
      </c>
      <c r="BI95" s="22">
        <f>VLOOKUP($A95,tabCustoUnit[],COLUMN(CUSTO_GLOBAL[[#Headers],[Uniformes e EPIs]])-2,0)*($G95-$H95)</f>
        <v>56.642978962543395</v>
      </c>
      <c r="BJ95" s="22">
        <f>VLOOKUP($A95,tabCustoUnit[],COLUMN(CUSTO_GLOBAL[[#Headers],[Materiais de Consumo]])-2,0)*($G95-$H95)</f>
        <v>0</v>
      </c>
      <c r="BK95" s="22">
        <f>VLOOKUP($A95,tabCustoUnit[],COLUMN(CUSTO_GLOBAL[[#Headers],[Máquinas e Equipamentos (depreciação)]])-2,0)*($G95-$H95)</f>
        <v>0</v>
      </c>
      <c r="BL95" s="22">
        <f>VLOOKUP($A95,tabCustoUnit[],COLUMN(CUSTO_GLOBAL[[#Headers],[Produtos de Limpeza e Materiais de Higiene Pessoal]])-2,0)*($G95-$H95)</f>
        <v>0</v>
      </c>
      <c r="BM95" s="22">
        <f>VLOOKUP($A95,tabCustoUnit[],COLUMN(CUSTO_GLOBAL[[#Headers],[Outros (especificar)]])-2,0)*($G95-$H95)</f>
        <v>0</v>
      </c>
      <c r="BN95" s="22">
        <f>VLOOKUP($A95,tabCustoUnit[],COLUMN(CUSTO_GLOBAL[[#Headers],[MÓDULO 5 – INSUMOS DIVERSOS]])-2,0)*($G95-$H95)</f>
        <v>56.642978962543395</v>
      </c>
      <c r="BO95" s="22" t="e">
        <f ca="1">VLOOKUP($A95,tabCustoUnit[],COLUMN(CUSTO_GLOBAL[[#Headers],[TOTAL MÓDULOS 1+2+3+4+5]])-2,0)*($G95-$H95)</f>
        <v>#NAME?</v>
      </c>
      <c r="BP95" s="22" t="e">
        <f ca="1">VLOOKUP($A95,tabCustoUnit[],COLUMN(CUSTO_GLOBAL[[#Headers],[Custos Indiretos]])-2,0)*($G95-$H95)</f>
        <v>#NAME?</v>
      </c>
      <c r="BQ95" s="22" t="e">
        <f ca="1">VLOOKUP($A95,tabCustoUnit[],COLUMN(CUSTO_GLOBAL[[#Headers],[Lucro]])-2,0)*($G95-$H95)</f>
        <v>#NAME?</v>
      </c>
      <c r="BR95" s="26">
        <f>VLOOKUP($A95,tabCustoUnit[],COLUMN(CUSTO_GLOBAL[[#Headers],[COFINS]])-2,0)</f>
        <v>8.6609686609686695E-2</v>
      </c>
      <c r="BS95" s="26">
        <f>VLOOKUP($A95,tabCustoUnit[],COLUMN(CUSTO_GLOBAL[[#Headers],[PIS]])-2,0)</f>
        <v>1.880341880341882E-2</v>
      </c>
      <c r="BT95" s="28">
        <f>VLOOKUP($A95,tabCustoUnit[],COLUMN(CUSTO_GLOBAL[[#Headers],[ISS]])-2,0)</f>
        <v>0.03</v>
      </c>
      <c r="BU95" s="26">
        <f>VLOOKUP($A95,tabCustoUnit[],COLUMN(CUSTO_GLOBAL[[#Headers],[ISS (Conversão Alíquota s/ fatura)]])-2,0)</f>
        <v>3.4188034188034219E-2</v>
      </c>
      <c r="BV95" s="26">
        <f>VLOOKUP($A95,tabCustoUnit[],COLUMN(CUSTO_GLOBAL[[#Headers],[Resumo de Alíquotas (PIS+CONFINS+ISS)]])-2,0)</f>
        <v>0.1225</v>
      </c>
      <c r="BW95" s="138">
        <f>VLOOKUP($A95,tabCustoUnit[],COLUMN(CUSTO_GLOBAL[[#Headers],[PIS + COFINS + ISS (Total Conversão  Alíquota s/ Fatura)]])-2,0)</f>
        <v>0.13960113960113973</v>
      </c>
      <c r="BX95" s="22" t="e">
        <f ca="1">VLOOKUP($A95,tabCustoUnit[],COLUMN(CUSTO_GLOBAL[[#Headers],[Valor dos Tributos (ISS, PIS, CONFINS)]])-2,0)*($G95-$H95)</f>
        <v>#NAME?</v>
      </c>
      <c r="BY95" s="22" t="e">
        <f ca="1">VLOOKUP($A95,tabCustoUnit[],COLUMN(CUSTO_GLOBAL[[#Headers],[MÓDULO 6 – CUSTOS INDIRETOS, TRIBUTOS E LUCRO]])-2,0)*($G95-$H95)</f>
        <v>#NAME?</v>
      </c>
      <c r="BZ95" s="22" t="e">
        <f ca="1">VLOOKUP($A95,tabCustoUnit[],COLUMN(CUSTO_GLOBAL[[#Headers],[CUSTO TOTAL MENSAL]])-2,0)*($G95-$H95)</f>
        <v>#NAME?</v>
      </c>
      <c r="CA95" s="22" t="e">
        <f ca="1">CUSTO_GLOBAL[[#This Row],[CUSTO TOTAL MENSAL]]*12</f>
        <v>#NAME?</v>
      </c>
      <c r="CB95" s="24">
        <f>VLOOKUP($A95,tabCustoUnit[],COLUMN(CUSTO_GLOBAL[[#Headers],[ANO DA CCT]])-2,0)</f>
        <v>45658</v>
      </c>
      <c r="CC95" s="25" t="str">
        <f>VLOOKUP($A95,tabCustoUnit[],COLUMN(CUSTO_GLOBAL[[#Headers],[Nº DE PEDIDO DA CCT]])-2,0)</f>
        <v>-</v>
      </c>
      <c r="CD95" s="25" t="str">
        <f>VLOOKUP($A95,tabCustoUnit[],COLUMN(CUSTO_GLOBAL[[#Headers],[TERMO ADITIVO ALTERAÇÃO DA CCT]])-2,0)</f>
        <v>-</v>
      </c>
    </row>
    <row r="96" spans="1:82">
      <c r="A96" s="20" t="s">
        <v>1560</v>
      </c>
      <c r="B96" t="s">
        <v>1108</v>
      </c>
      <c r="C96" t="s">
        <v>324</v>
      </c>
      <c r="D96" t="s">
        <v>961</v>
      </c>
      <c r="E96" s="20" t="s">
        <v>1090</v>
      </c>
      <c r="F96" s="20" t="s">
        <v>120</v>
      </c>
      <c r="G96" s="20">
        <v>1</v>
      </c>
      <c r="H96" s="20">
        <v>0</v>
      </c>
      <c r="I96" s="21">
        <f>VLOOKUP($A96,tabCustoUnit[],COLUMN(CUSTO_GLOBAL[[#Headers],[Salário Base]])-2,0)*($G96-$H96)</f>
        <v>3397.1306</v>
      </c>
      <c r="J96" s="21">
        <f>VLOOKUP($A96,tabCustoUnit[],COLUMN(CUSTO_GLOBAL[[#Headers],[Adicional Periculosidade]])-2,0)*($G96-$H96)</f>
        <v>0</v>
      </c>
      <c r="K96" s="21">
        <f>VLOOKUP($A96,tabCustoUnit[],COLUMN(CUSTO_GLOBAL[[#Headers],[Adicional Insalubridade]])-2,0)*($G96-$H96)</f>
        <v>0</v>
      </c>
      <c r="L96" s="21">
        <f>VLOOKUP($A96,tabCustoUnit[],COLUMN(CUSTO_GLOBAL[[#Headers],[Adicional Noturno]])-2,0)*($G96-$H96)</f>
        <v>0</v>
      </c>
      <c r="M96" s="21">
        <f>VLOOKUP($A96,tabCustoUnit[],COLUMN(CUSTO_GLOBAL[[#Headers],[Adicional Motorista II (Gratificação)]])-2,0)*($G96-$H96)</f>
        <v>0</v>
      </c>
      <c r="N96" s="21">
        <f>VLOOKUP($A96,tabCustoUnit[],COLUMN(CUSTO_GLOBAL[[#Headers],[Adicional de Sobreaviso]])-2,0)*($G96-$H96)</f>
        <v>0</v>
      </c>
      <c r="O96" s="21">
        <f>VLOOKUP($A96,tabCustoUnit[],COLUMN(CUSTO_GLOBAL[[#Headers],[Horas Extras TI]])-2,0)*($G96-$H96)</f>
        <v>0</v>
      </c>
      <c r="P96" s="21">
        <f>VLOOKUP($A96,tabCustoUnit[],COLUMN(CUSTO_GLOBAL[[#Headers],[Adicional de Acúmulo de função]])-2,0)*($G96-$H96)</f>
        <v>0</v>
      </c>
      <c r="Q96" s="21">
        <f>VLOOKUP($A96,tabCustoUnit[],COLUMN(CUSTO_GLOBAL[[#Headers],[MODULO 1 - REMUNERAÇÃO ]])-2,0)*($G96-$H96)</f>
        <v>3397.1306</v>
      </c>
      <c r="R96" s="21">
        <f>VLOOKUP($A96,tabCustoUnit[],COLUMN(CUSTO_GLOBAL[[#Headers],[INSS]])-2,0)*($G96-$H96)</f>
        <v>679.42612000000008</v>
      </c>
      <c r="S96" s="21">
        <f>VLOOKUP($A96,tabCustoUnit[],COLUMN(CUSTO_GLOBAL[[#Headers],[SESI OU SESC]])-2,0)*($G96-$H96)</f>
        <v>50.956958999999998</v>
      </c>
      <c r="T96" s="21">
        <f>VLOOKUP($A96,tabCustoUnit[],COLUMN(CUSTO_GLOBAL[[#Headers],[SENAI OU SENAC]])-2,0)*($G96-$H96)</f>
        <v>33.971305999999998</v>
      </c>
      <c r="U96" s="21">
        <f>VLOOKUP($A96,tabCustoUnit[],COLUMN(CUSTO_GLOBAL[[#Headers],[INCRA]])-2,0)*($G96-$H96)</f>
        <v>6.7942612000000002</v>
      </c>
      <c r="V96" s="21">
        <f>VLOOKUP($A96,tabCustoUnit[],COLUMN(CUSTO_GLOBAL[[#Headers],[Salário Educação]])-2,0)*($G96-$H96)</f>
        <v>84.92826500000001</v>
      </c>
      <c r="W96" s="21">
        <f>VLOOKUP($A96,tabCustoUnit[],COLUMN(CUSTO_GLOBAL[[#Headers],[FGTS]])-2,0)*($G96-$H96)</f>
        <v>271.77044799999999</v>
      </c>
      <c r="X96" s="21">
        <f>VLOOKUP($A96,tabCustoUnit[],COLUMN(CUSTO_GLOBAL[[#Headers],[RAT Ajustado]])-2,0)*($G96-$H96)</f>
        <v>135.88522399999999</v>
      </c>
      <c r="Y96" s="21">
        <f>VLOOKUP($A96,tabCustoUnit[],COLUMN(CUSTO_GLOBAL[[#Headers],[SEBRAE]])-2,0)*($G96-$H96)</f>
        <v>20.3827836</v>
      </c>
      <c r="Z96" s="21">
        <f>VLOOKUP($A96,tabCustoUnit[],COLUMN(CUSTO_GLOBAL[[#Headers],[Submódulo 2.1]])-2,0)*($G96-$H96)</f>
        <v>1284.1153668000002</v>
      </c>
      <c r="AA96" s="21">
        <f>VLOOKUP($A96,tabCustoUnit[],COLUMN(CUSTO_GLOBAL[[#Headers],[13º salário (titular)]])-2,0)*($G96-$H96)</f>
        <v>283.09421666666663</v>
      </c>
      <c r="AB96" s="21">
        <f>VLOOKUP($A96,tabCustoUnit[],COLUMN(CUSTO_GLOBAL[[#Headers],[Férias e Adicional de Férias (titular)]])-2,0)*($G96-$H96)</f>
        <v>377.45895555555552</v>
      </c>
      <c r="AC96" s="21">
        <f>VLOOKUP($A96,tabCustoUnit[],COLUMN(CUSTO_GLOBAL[[#Headers],[Incidência do Submódulo 2.1 sobre 13º Salário, Férias e Adicional de Férias]])-2,0)*($G96-$H96)</f>
        <v>249.68909910000002</v>
      </c>
      <c r="AD96" s="21">
        <f>VLOOKUP($A96,tabCustoUnit[],COLUMN(CUSTO_GLOBAL[[#Headers],[Submódulo 2.2]])-2,0)*($G96-$H96)</f>
        <v>910.24227132222222</v>
      </c>
      <c r="AE96" s="22" t="e">
        <f ca="1">VLOOKUP($A96,tabCustoUnit[],COLUMN(CUSTO_GLOBAL[[#Headers],[Vale - Transporte (Descontada parcela do empregado)]])-2,0)*($G96-$H96)</f>
        <v>#NAME?</v>
      </c>
      <c r="AF96" s="22">
        <f>VLOOKUP($A96,tabCustoUnit[],COLUMN(CUSTO_GLOBAL[[#Headers],[Vale - Alimentação (Descontada parcela do empregado)]])-2,0)*($G96-$H96)</f>
        <v>582</v>
      </c>
      <c r="AG96" s="22">
        <f>VLOOKUP($A96,tabCustoUnit[],COLUMN(CUSTO_GLOBAL[[#Headers],[Cesta Básica]])-2,0)*($G96-$H96)</f>
        <v>0</v>
      </c>
      <c r="AH96" s="22">
        <f>VLOOKUP($A96,tabCustoUnit[],COLUMN(CUSTO_GLOBAL[[#Headers],[PAF]])-2,0)*($G96-$H96)</f>
        <v>0</v>
      </c>
      <c r="AI96" s="22">
        <f>VLOOKUP($A96,tabCustoUnit[],COLUMN(CUSTO_GLOBAL[[#Headers],[PQM]])-2,0)*($G96-$H96)</f>
        <v>0</v>
      </c>
      <c r="AJ96" s="22">
        <v>0</v>
      </c>
      <c r="AK96" s="22">
        <f>VLOOKUP($A96,tabCustoUnit[],COLUMN(CUSTO_GLOBAL[[#Headers],[Seguro de Vida]])-2,0)*($G96-$H96)</f>
        <v>3.36</v>
      </c>
      <c r="AL96" s="22">
        <f>VLOOKUP($A96,tabCustoUnit[],COLUMN(CUSTO_GLOBAL[[#Headers],[Despesas de Viagem]])-2,0)*($G96-$H96)</f>
        <v>0</v>
      </c>
      <c r="AM96" s="22" t="e">
        <f ca="1">VLOOKUP($A96,tabCustoUnit[],COLUMN(CUSTO_GLOBAL[[#Headers],[Submódulo 2.3]])-2,0)*($G96-$H96)</f>
        <v>#NAME?</v>
      </c>
      <c r="AN96" s="22" t="e">
        <f ca="1">VLOOKUP($A96,tabCustoUnit[],COLUMN(CUSTO_GLOBAL[[#Headers],[MÓDULO 2 - Total Encargos e Benefícios mensais e diários]])-2,0)*($G96-$H96)</f>
        <v>#NAME?</v>
      </c>
      <c r="AO96" s="22">
        <f>VLOOKUP($A96,tabCustoUnit[],COLUMN(CUSTO_GLOBAL[[#Headers],[Aviso Prévio Indenizado (API) e Reflexo do Aviso Prévio Indenizado]])-2,0)*($G96-$H96)</f>
        <v>23.819888151890432</v>
      </c>
      <c r="AP96" s="22">
        <f>VLOOKUP($A96,tabCustoUnit[],COLUMN(CUSTO_GLOBAL[[#Headers],[Incidência do FGTS sobre API e Reflexo do API]])-2,0)*($G96-$H96)</f>
        <v>1.9055910521512347</v>
      </c>
      <c r="AQ96" s="22">
        <f>VLOOKUP($A96,tabCustoUnit[],COLUMN(CUSTO_GLOBAL[[#Headers],[Multa Rescisória do FGTS sobre o Aviso Prévio Indenizado]])-2,0)*($G96-$H96)</f>
        <v>0.76223642086049392</v>
      </c>
      <c r="AR96" s="22">
        <f>VLOOKUP($A96,tabCustoUnit[],COLUMN(CUSTO_GLOBAL[[#Headers],[Aviso Prévio Trabalhado - APT]])-2,0)*($G96-$H96)</f>
        <v>11.889957100000002</v>
      </c>
      <c r="AS96" s="22">
        <f>VLOOKUP($A96,tabCustoUnit[],COLUMN(CUSTO_GLOBAL[[#Headers],[Incidência dos encargos do submódulo 2.1 sobre Aviso Prévio Trabalhado]])-2,0)*($G96-$H96)</f>
        <v>4.4944037838000011</v>
      </c>
      <c r="AT96" s="22">
        <f>VLOOKUP($A96,tabCustoUnit[],COLUMN(CUSTO_GLOBAL[[#Headers],[Multa Rescisória do FGTS]])-2,0)*($G96-$H96)</f>
        <v>103.87670456888887</v>
      </c>
      <c r="AU96" s="22">
        <f>VLOOKUP($A96,tabCustoUnit[],COLUMN(CUSTO_GLOBAL[[#Headers],[Indenização Adicional (Art. 9º da Lei nº 7.238/84)]])-2,0)*($G96-$H96)</f>
        <v>2.830942166666667</v>
      </c>
      <c r="AV96" s="22">
        <f>VLOOKUP($A96,tabCustoUnit[],COLUMN(CUSTO_GLOBAL[[#Headers],[MÓDULO 3 – PROVISÃO PARA RESCISÃO]])-2,0)*($G96-$H96)</f>
        <v>149.57972324425771</v>
      </c>
      <c r="AW96" s="22">
        <f>VLOOKUP($A96,tabCustoUnit[],COLUMN(CUSTO_GLOBAL[[#Headers],[Ausência por Doença]])-2,0)*($G96-$H96)</f>
        <v>28.686880622222219</v>
      </c>
      <c r="AX96" s="22">
        <f>VLOOKUP($A96,tabCustoUnit[],COLUMN(CUSTO_GLOBAL[[#Headers],[Ausências Legais]])-2,0)*($G96-$H96)</f>
        <v>6.8886259388888886</v>
      </c>
      <c r="AY96" s="22">
        <f>VLOOKUP($A96,tabCustoUnit[],COLUMN(CUSTO_GLOBAL[[#Headers],[Licença Paternidade]])-2,0)*($G96-$H96)</f>
        <v>0.58034314416666666</v>
      </c>
      <c r="AZ96" s="22">
        <f>VLOOKUP($A96,tabCustoUnit[],COLUMN(CUSTO_GLOBAL[[#Headers],[Ausência por Acidente de Trabalho]])-2,0)*($G96-$H96)</f>
        <v>0.70773554166666675</v>
      </c>
      <c r="BA96" s="22">
        <f>VLOOKUP($A96,tabCustoUnit[],COLUMN(CUSTO_GLOBAL[[#Headers],[Férias, Adicional de Férias e 13º  com empregada em gozo de Licença Maternidade]])-2,0)*($G96-$H96)</f>
        <v>4.4036878148148144</v>
      </c>
      <c r="BB96" s="22">
        <f>VLOOKUP($A96,tabCustoUnit[],COLUMN(CUSTO_GLOBAL[[#Headers],[Incidência do Submódulo 2.1 sobre Ausências Legais]])-2,0)*($G96-$H96)</f>
        <v>15.599029217345002</v>
      </c>
      <c r="BC96" s="22">
        <f>VLOOKUP($A96,tabCustoUnit[],COLUMN(CUSTO_GLOBAL[[#Headers],[Submódulo 4.1]])-2,0)*($G96-$H96)</f>
        <v>56.866302279104261</v>
      </c>
      <c r="BD96" s="22">
        <f>VLOOKUP($A96,tabCustoUnit[],COLUMN(CUSTO_GLOBAL[[#Headers],[Intervalo para Repouso ou Alimentação]])-2,0)*($G96-$H96)</f>
        <v>0</v>
      </c>
      <c r="BE96" s="22">
        <f>VLOOKUP($A96,tabCustoUnit[],COLUMN(CUSTO_GLOBAL[[#Headers],[Submódulo 4.2]])-2,0)*($G96-$H96)</f>
        <v>0</v>
      </c>
      <c r="BF96" s="22">
        <f>VLOOKUP($A96,tabCustoUnit[],COLUMN(CUSTO_GLOBAL[[#Headers],[Suspensão Temporária do Contrato de Trabalho]])-2,0)*($G96-$H96)</f>
        <v>0</v>
      </c>
      <c r="BG96" s="22">
        <f>VLOOKUP($A96,tabCustoUnit[],COLUMN(CUSTO_GLOBAL[[#Headers],[Submódulo 4.3]])-2,0)*($G96-$H96)</f>
        <v>0</v>
      </c>
      <c r="BH96" s="22">
        <f>VLOOKUP($A96,tabCustoUnit[],COLUMN(CUSTO_GLOBAL[[#Headers],[MÓDULO 4 – CUSTO DE REPOSIÇÃO DO PROFISSIONAL AUSENTE]])-2,0)*($G96-$H96)</f>
        <v>56.866302279104261</v>
      </c>
      <c r="BI96" s="22">
        <f>VLOOKUP($A96,tabCustoUnit[],COLUMN(CUSTO_GLOBAL[[#Headers],[Uniformes e EPIs]])-2,0)*($G96-$H96)</f>
        <v>56.642978962543395</v>
      </c>
      <c r="BJ96" s="22">
        <f>VLOOKUP($A96,tabCustoUnit[],COLUMN(CUSTO_GLOBAL[[#Headers],[Materiais de Consumo]])-2,0)*($G96-$H96)</f>
        <v>0</v>
      </c>
      <c r="BK96" s="22">
        <f>VLOOKUP($A96,tabCustoUnit[],COLUMN(CUSTO_GLOBAL[[#Headers],[Máquinas e Equipamentos (depreciação)]])-2,0)*($G96-$H96)</f>
        <v>0</v>
      </c>
      <c r="BL96" s="22">
        <f>VLOOKUP($A96,tabCustoUnit[],COLUMN(CUSTO_GLOBAL[[#Headers],[Produtos de Limpeza e Materiais de Higiene Pessoal]])-2,0)*($G96-$H96)</f>
        <v>0</v>
      </c>
      <c r="BM96" s="22">
        <f>VLOOKUP($A96,tabCustoUnit[],COLUMN(CUSTO_GLOBAL[[#Headers],[Outros (especificar)]])-2,0)*($G96-$H96)</f>
        <v>0</v>
      </c>
      <c r="BN96" s="22">
        <f>VLOOKUP($A96,tabCustoUnit[],COLUMN(CUSTO_GLOBAL[[#Headers],[MÓDULO 5 – INSUMOS DIVERSOS]])-2,0)*($G96-$H96)</f>
        <v>56.642978962543395</v>
      </c>
      <c r="BO96" s="22" t="e">
        <f ca="1">VLOOKUP($A96,tabCustoUnit[],COLUMN(CUSTO_GLOBAL[[#Headers],[TOTAL MÓDULOS 1+2+3+4+5]])-2,0)*($G96-$H96)</f>
        <v>#NAME?</v>
      </c>
      <c r="BP96" s="22" t="e">
        <f ca="1">VLOOKUP($A96,tabCustoUnit[],COLUMN(CUSTO_GLOBAL[[#Headers],[Custos Indiretos]])-2,0)*($G96-$H96)</f>
        <v>#NAME?</v>
      </c>
      <c r="BQ96" s="22" t="e">
        <f ca="1">VLOOKUP($A96,tabCustoUnit[],COLUMN(CUSTO_GLOBAL[[#Headers],[Lucro]])-2,0)*($G96-$H96)</f>
        <v>#NAME?</v>
      </c>
      <c r="BR96" s="26">
        <f>VLOOKUP($A96,tabCustoUnit[],COLUMN(CUSTO_GLOBAL[[#Headers],[COFINS]])-2,0)</f>
        <v>8.6609686609686695E-2</v>
      </c>
      <c r="BS96" s="26">
        <f>VLOOKUP($A96,tabCustoUnit[],COLUMN(CUSTO_GLOBAL[[#Headers],[PIS]])-2,0)</f>
        <v>1.880341880341882E-2</v>
      </c>
      <c r="BT96" s="28">
        <f>VLOOKUP($A96,tabCustoUnit[],COLUMN(CUSTO_GLOBAL[[#Headers],[ISS]])-2,0)</f>
        <v>0.03</v>
      </c>
      <c r="BU96" s="26">
        <f>VLOOKUP($A96,tabCustoUnit[],COLUMN(CUSTO_GLOBAL[[#Headers],[ISS (Conversão Alíquota s/ fatura)]])-2,0)</f>
        <v>3.4188034188034219E-2</v>
      </c>
      <c r="BV96" s="26">
        <f>VLOOKUP($A96,tabCustoUnit[],COLUMN(CUSTO_GLOBAL[[#Headers],[Resumo de Alíquotas (PIS+CONFINS+ISS)]])-2,0)</f>
        <v>0.1225</v>
      </c>
      <c r="BW96" s="138">
        <f>VLOOKUP($A96,tabCustoUnit[],COLUMN(CUSTO_GLOBAL[[#Headers],[PIS + COFINS + ISS (Total Conversão  Alíquota s/ Fatura)]])-2,0)</f>
        <v>0.13960113960113973</v>
      </c>
      <c r="BX96" s="22" t="e">
        <f ca="1">VLOOKUP($A96,tabCustoUnit[],COLUMN(CUSTO_GLOBAL[[#Headers],[Valor dos Tributos (ISS, PIS, CONFINS)]])-2,0)*($G96-$H96)</f>
        <v>#NAME?</v>
      </c>
      <c r="BY96" s="22" t="e">
        <f ca="1">VLOOKUP($A96,tabCustoUnit[],COLUMN(CUSTO_GLOBAL[[#Headers],[MÓDULO 6 – CUSTOS INDIRETOS, TRIBUTOS E LUCRO]])-2,0)*($G96-$H96)</f>
        <v>#NAME?</v>
      </c>
      <c r="BZ96" s="22" t="e">
        <f ca="1">VLOOKUP($A96,tabCustoUnit[],COLUMN(CUSTO_GLOBAL[[#Headers],[CUSTO TOTAL MENSAL]])-2,0)*($G96-$H96)</f>
        <v>#NAME?</v>
      </c>
      <c r="CA96" s="22" t="e">
        <f ca="1">CUSTO_GLOBAL[[#This Row],[CUSTO TOTAL MENSAL]]*12</f>
        <v>#NAME?</v>
      </c>
      <c r="CB96" s="24">
        <f>VLOOKUP($A96,tabCustoUnit[],COLUMN(CUSTO_GLOBAL[[#Headers],[ANO DA CCT]])-2,0)</f>
        <v>45658</v>
      </c>
      <c r="CC96" s="25" t="str">
        <f>VLOOKUP($A96,tabCustoUnit[],COLUMN(CUSTO_GLOBAL[[#Headers],[Nº DE PEDIDO DA CCT]])-2,0)</f>
        <v>-</v>
      </c>
      <c r="CD96" s="25" t="str">
        <f>VLOOKUP($A96,tabCustoUnit[],COLUMN(CUSTO_GLOBAL[[#Headers],[TERMO ADITIVO ALTERAÇÃO DA CCT]])-2,0)</f>
        <v>-</v>
      </c>
    </row>
    <row r="97" spans="1:82">
      <c r="A97" s="20" t="s">
        <v>1561</v>
      </c>
      <c r="B97" t="s">
        <v>1109</v>
      </c>
      <c r="C97" t="s">
        <v>314</v>
      </c>
      <c r="D97" t="s">
        <v>1048</v>
      </c>
      <c r="E97" s="20" t="s">
        <v>1090</v>
      </c>
      <c r="F97" s="20" t="s">
        <v>120</v>
      </c>
      <c r="G97" s="20">
        <v>1</v>
      </c>
      <c r="H97" s="20">
        <v>0</v>
      </c>
      <c r="I97" s="21">
        <f>VLOOKUP($A97,tabCustoUnit[],COLUMN(CUSTO_GLOBAL[[#Headers],[Salário Base]])-2,0)*($G97-$H97)</f>
        <v>1963.4110000000001</v>
      </c>
      <c r="J97" s="21">
        <f>VLOOKUP($A97,tabCustoUnit[],COLUMN(CUSTO_GLOBAL[[#Headers],[Adicional Periculosidade]])-2,0)*($G97-$H97)</f>
        <v>0</v>
      </c>
      <c r="K97" s="21">
        <f>VLOOKUP($A97,tabCustoUnit[],COLUMN(CUSTO_GLOBAL[[#Headers],[Adicional Insalubridade]])-2,0)*($G97-$H97)</f>
        <v>0</v>
      </c>
      <c r="L97" s="21">
        <f>VLOOKUP($A97,tabCustoUnit[],COLUMN(CUSTO_GLOBAL[[#Headers],[Adicional Noturno]])-2,0)*($G97-$H97)</f>
        <v>0</v>
      </c>
      <c r="M97" s="21">
        <f>VLOOKUP($A97,tabCustoUnit[],COLUMN(CUSTO_GLOBAL[[#Headers],[Adicional Motorista II (Gratificação)]])-2,0)*($G97-$H97)</f>
        <v>0</v>
      </c>
      <c r="N97" s="21">
        <f>VLOOKUP($A97,tabCustoUnit[],COLUMN(CUSTO_GLOBAL[[#Headers],[Adicional de Sobreaviso]])-2,0)*($G97-$H97)</f>
        <v>0</v>
      </c>
      <c r="O97" s="21">
        <f>VLOOKUP($A97,tabCustoUnit[],COLUMN(CUSTO_GLOBAL[[#Headers],[Horas Extras TI]])-2,0)*($G97-$H97)</f>
        <v>0</v>
      </c>
      <c r="P97" s="21">
        <f>VLOOKUP($A97,tabCustoUnit[],COLUMN(CUSTO_GLOBAL[[#Headers],[Adicional de Acúmulo de função]])-2,0)*($G97-$H97)</f>
        <v>0</v>
      </c>
      <c r="Q97" s="21">
        <f>VLOOKUP($A97,tabCustoUnit[],COLUMN(CUSTO_GLOBAL[[#Headers],[MODULO 1 - REMUNERAÇÃO ]])-2,0)*($G97-$H97)</f>
        <v>1963.4110000000001</v>
      </c>
      <c r="R97" s="21">
        <f>VLOOKUP($A97,tabCustoUnit[],COLUMN(CUSTO_GLOBAL[[#Headers],[INSS]])-2,0)*($G97-$H97)</f>
        <v>392.68220000000002</v>
      </c>
      <c r="S97" s="21">
        <f>VLOOKUP($A97,tabCustoUnit[],COLUMN(CUSTO_GLOBAL[[#Headers],[SESI OU SESC]])-2,0)*($G97-$H97)</f>
        <v>29.451165</v>
      </c>
      <c r="T97" s="21">
        <f>VLOOKUP($A97,tabCustoUnit[],COLUMN(CUSTO_GLOBAL[[#Headers],[SENAI OU SENAC]])-2,0)*($G97-$H97)</f>
        <v>19.63411</v>
      </c>
      <c r="U97" s="21">
        <f>VLOOKUP($A97,tabCustoUnit[],COLUMN(CUSTO_GLOBAL[[#Headers],[INCRA]])-2,0)*($G97-$H97)</f>
        <v>3.926822</v>
      </c>
      <c r="V97" s="21">
        <f>VLOOKUP($A97,tabCustoUnit[],COLUMN(CUSTO_GLOBAL[[#Headers],[Salário Educação]])-2,0)*($G97-$H97)</f>
        <v>49.085275000000003</v>
      </c>
      <c r="W97" s="21">
        <f>VLOOKUP($A97,tabCustoUnit[],COLUMN(CUSTO_GLOBAL[[#Headers],[FGTS]])-2,0)*($G97-$H97)</f>
        <v>157.07288</v>
      </c>
      <c r="X97" s="21">
        <f>VLOOKUP($A97,tabCustoUnit[],COLUMN(CUSTO_GLOBAL[[#Headers],[RAT Ajustado]])-2,0)*($G97-$H97)</f>
        <v>78.536439999999999</v>
      </c>
      <c r="Y97" s="21">
        <f>VLOOKUP($A97,tabCustoUnit[],COLUMN(CUSTO_GLOBAL[[#Headers],[SEBRAE]])-2,0)*($G97-$H97)</f>
        <v>11.780466000000001</v>
      </c>
      <c r="Z97" s="21">
        <f>VLOOKUP($A97,tabCustoUnit[],COLUMN(CUSTO_GLOBAL[[#Headers],[Submódulo 2.1]])-2,0)*($G97-$H97)</f>
        <v>742.1693580000001</v>
      </c>
      <c r="AA97" s="21">
        <f>VLOOKUP($A97,tabCustoUnit[],COLUMN(CUSTO_GLOBAL[[#Headers],[13º salário (titular)]])-2,0)*($G97-$H97)</f>
        <v>163.61758333333333</v>
      </c>
      <c r="AB97" s="21">
        <f>VLOOKUP($A97,tabCustoUnit[],COLUMN(CUSTO_GLOBAL[[#Headers],[Férias e Adicional de Férias (titular)]])-2,0)*($G97-$H97)</f>
        <v>218.15677777777776</v>
      </c>
      <c r="AC97" s="21">
        <f>VLOOKUP($A97,tabCustoUnit[],COLUMN(CUSTO_GLOBAL[[#Headers],[Incidência do Submódulo 2.1 sobre 13º Salário, Férias e Adicional de Férias]])-2,0)*($G97-$H97)</f>
        <v>144.3107085</v>
      </c>
      <c r="AD97" s="21">
        <f>VLOOKUP($A97,tabCustoUnit[],COLUMN(CUSTO_GLOBAL[[#Headers],[Submódulo 2.2]])-2,0)*($G97-$H97)</f>
        <v>526.08506961111107</v>
      </c>
      <c r="AE97" s="22" t="e">
        <f ca="1">VLOOKUP($A97,tabCustoUnit[],COLUMN(CUSTO_GLOBAL[[#Headers],[Vale - Transporte (Descontada parcela do empregado)]])-2,0)*($G97-$H97)</f>
        <v>#NAME?</v>
      </c>
      <c r="AF97" s="22">
        <f>VLOOKUP($A97,tabCustoUnit[],COLUMN(CUSTO_GLOBAL[[#Headers],[Vale - Alimentação (Descontada parcela do empregado)]])-2,0)*($G97-$H97)</f>
        <v>582</v>
      </c>
      <c r="AG97" s="22">
        <f>VLOOKUP($A97,tabCustoUnit[],COLUMN(CUSTO_GLOBAL[[#Headers],[Cesta Básica]])-2,0)*($G97-$H97)</f>
        <v>0</v>
      </c>
      <c r="AH97" s="22">
        <f>VLOOKUP($A97,tabCustoUnit[],COLUMN(CUSTO_GLOBAL[[#Headers],[PAF]])-2,0)*($G97-$H97)</f>
        <v>0</v>
      </c>
      <c r="AI97" s="22">
        <f>VLOOKUP($A97,tabCustoUnit[],COLUMN(CUSTO_GLOBAL[[#Headers],[PQM]])-2,0)*($G97-$H97)</f>
        <v>0</v>
      </c>
      <c r="AJ97" s="22">
        <v>0</v>
      </c>
      <c r="AK97" s="22">
        <f>VLOOKUP($A97,tabCustoUnit[],COLUMN(CUSTO_GLOBAL[[#Headers],[Seguro de Vida]])-2,0)*($G97-$H97)</f>
        <v>3.36</v>
      </c>
      <c r="AL97" s="22">
        <f>VLOOKUP($A97,tabCustoUnit[],COLUMN(CUSTO_GLOBAL[[#Headers],[Despesas de Viagem]])-2,0)*($G97-$H97)</f>
        <v>0</v>
      </c>
      <c r="AM97" s="22" t="e">
        <f ca="1">VLOOKUP($A97,tabCustoUnit[],COLUMN(CUSTO_GLOBAL[[#Headers],[Submódulo 2.3]])-2,0)*($G97-$H97)</f>
        <v>#NAME?</v>
      </c>
      <c r="AN97" s="22" t="e">
        <f ca="1">VLOOKUP($A97,tabCustoUnit[],COLUMN(CUSTO_GLOBAL[[#Headers],[MÓDULO 2 - Total Encargos e Benefícios mensais e diários]])-2,0)*($G97-$H97)</f>
        <v>#NAME?</v>
      </c>
      <c r="AO97" s="22">
        <f>VLOOKUP($A97,tabCustoUnit[],COLUMN(CUSTO_GLOBAL[[#Headers],[Aviso Prévio Indenizado (API) e Reflexo do Aviso Prévio Indenizado]])-2,0)*($G97-$H97)</f>
        <v>13.766980408757716</v>
      </c>
      <c r="AP97" s="22">
        <f>VLOOKUP($A97,tabCustoUnit[],COLUMN(CUSTO_GLOBAL[[#Headers],[Incidência do FGTS sobre API e Reflexo do API]])-2,0)*($G97-$H97)</f>
        <v>1.1013584327006174</v>
      </c>
      <c r="AQ97" s="22">
        <f>VLOOKUP($A97,tabCustoUnit[],COLUMN(CUSTO_GLOBAL[[#Headers],[Multa Rescisória do FGTS sobre o Aviso Prévio Indenizado]])-2,0)*($G97-$H97)</f>
        <v>0.44054337308024699</v>
      </c>
      <c r="AR97" s="22">
        <f>VLOOKUP($A97,tabCustoUnit[],COLUMN(CUSTO_GLOBAL[[#Headers],[Aviso Prévio Trabalhado - APT]])-2,0)*($G97-$H97)</f>
        <v>6.8719385000000015</v>
      </c>
      <c r="AS97" s="22">
        <f>VLOOKUP($A97,tabCustoUnit[],COLUMN(CUSTO_GLOBAL[[#Headers],[Incidência dos encargos do submódulo 2.1 sobre Aviso Prévio Trabalhado]])-2,0)*($G97-$H97)</f>
        <v>2.5975927530000007</v>
      </c>
      <c r="AT97" s="22">
        <f>VLOOKUP($A97,tabCustoUnit[],COLUMN(CUSTO_GLOBAL[[#Headers],[Multa Rescisória do FGTS]])-2,0)*($G97-$H97)</f>
        <v>60.03674524444444</v>
      </c>
      <c r="AU97" s="22">
        <f>VLOOKUP($A97,tabCustoUnit[],COLUMN(CUSTO_GLOBAL[[#Headers],[Indenização Adicional (Art. 9º da Lei nº 7.238/84)]])-2,0)*($G97-$H97)</f>
        <v>1.6361758333333334</v>
      </c>
      <c r="AV97" s="22">
        <f>VLOOKUP($A97,tabCustoUnit[],COLUMN(CUSTO_GLOBAL[[#Headers],[MÓDULO 3 – PROVISÃO PARA RESCISÃO]])-2,0)*($G97-$H97)</f>
        <v>86.451334545316371</v>
      </c>
      <c r="AW97" s="22">
        <f>VLOOKUP($A97,tabCustoUnit[],COLUMN(CUSTO_GLOBAL[[#Headers],[Ausência por Doença]])-2,0)*($G97-$H97)</f>
        <v>16.579915111111109</v>
      </c>
      <c r="AX97" s="22">
        <f>VLOOKUP($A97,tabCustoUnit[],COLUMN(CUSTO_GLOBAL[[#Headers],[Ausências Legais]])-2,0)*($G97-$H97)</f>
        <v>3.9813611944444443</v>
      </c>
      <c r="AY97" s="22">
        <f>VLOOKUP($A97,tabCustoUnit[],COLUMN(CUSTO_GLOBAL[[#Headers],[Licença Paternidade]])-2,0)*($G97-$H97)</f>
        <v>0.33541604583333334</v>
      </c>
      <c r="AZ97" s="22">
        <f>VLOOKUP($A97,tabCustoUnit[],COLUMN(CUSTO_GLOBAL[[#Headers],[Ausência por Acidente de Trabalho]])-2,0)*($G97-$H97)</f>
        <v>0.40904395833333335</v>
      </c>
      <c r="BA97" s="22">
        <f>VLOOKUP($A97,tabCustoUnit[],COLUMN(CUSTO_GLOBAL[[#Headers],[Férias, Adicional de Férias e 13º  com empregada em gozo de Licença Maternidade]])-2,0)*($G97-$H97)</f>
        <v>2.5451624074074073</v>
      </c>
      <c r="BB97" s="22">
        <f>VLOOKUP($A97,tabCustoUnit[],COLUMN(CUSTO_GLOBAL[[#Headers],[Incidência do Submódulo 2.1 sobre Ausências Legais]])-2,0)*($G97-$H97)</f>
        <v>9.0156397150750021</v>
      </c>
      <c r="BC97" s="22">
        <f>VLOOKUP($A97,tabCustoUnit[],COLUMN(CUSTO_GLOBAL[[#Headers],[Submódulo 4.1]])-2,0)*($G97-$H97)</f>
        <v>32.866538432204628</v>
      </c>
      <c r="BD97" s="22">
        <f>VLOOKUP($A97,tabCustoUnit[],COLUMN(CUSTO_GLOBAL[[#Headers],[Intervalo para Repouso ou Alimentação]])-2,0)*($G97-$H97)</f>
        <v>267.73786489195959</v>
      </c>
      <c r="BE97" s="22">
        <f>VLOOKUP($A97,tabCustoUnit[],COLUMN(CUSTO_GLOBAL[[#Headers],[Submódulo 4.2]])-2,0)*($G97-$H97)</f>
        <v>267.73786489195959</v>
      </c>
      <c r="BF97" s="22">
        <f>VLOOKUP($A97,tabCustoUnit[],COLUMN(CUSTO_GLOBAL[[#Headers],[Suspensão Temporária do Contrato de Trabalho]])-2,0)*($G97-$H97)</f>
        <v>0</v>
      </c>
      <c r="BG97" s="22">
        <f>VLOOKUP($A97,tabCustoUnit[],COLUMN(CUSTO_GLOBAL[[#Headers],[Submódulo 4.3]])-2,0)*($G97-$H97)</f>
        <v>0</v>
      </c>
      <c r="BH97" s="22">
        <f>VLOOKUP($A97,tabCustoUnit[],COLUMN(CUSTO_GLOBAL[[#Headers],[MÓDULO 4 – CUSTO DE REPOSIÇÃO DO PROFISSIONAL AUSENTE]])-2,0)*($G97-$H97)</f>
        <v>300.6044033241642</v>
      </c>
      <c r="BI97" s="22">
        <f>VLOOKUP($A97,tabCustoUnit[],COLUMN(CUSTO_GLOBAL[[#Headers],[Uniformes e EPIs]])-2,0)*($G97-$H97)</f>
        <v>56.642978962543395</v>
      </c>
      <c r="BJ97" s="22">
        <f>VLOOKUP($A97,tabCustoUnit[],COLUMN(CUSTO_GLOBAL[[#Headers],[Materiais de Consumo]])-2,0)*($G97-$H97)</f>
        <v>0</v>
      </c>
      <c r="BK97" s="22">
        <f>VLOOKUP($A97,tabCustoUnit[],COLUMN(CUSTO_GLOBAL[[#Headers],[Máquinas e Equipamentos (depreciação)]])-2,0)*($G97-$H97)</f>
        <v>0</v>
      </c>
      <c r="BL97" s="22">
        <f>VLOOKUP($A97,tabCustoUnit[],COLUMN(CUSTO_GLOBAL[[#Headers],[Produtos de Limpeza e Materiais de Higiene Pessoal]])-2,0)*($G97-$H97)</f>
        <v>0</v>
      </c>
      <c r="BM97" s="22">
        <f>VLOOKUP($A97,tabCustoUnit[],COLUMN(CUSTO_GLOBAL[[#Headers],[Outros (especificar)]])-2,0)*($G97-$H97)</f>
        <v>0</v>
      </c>
      <c r="BN97" s="22">
        <f>VLOOKUP($A97,tabCustoUnit[],COLUMN(CUSTO_GLOBAL[[#Headers],[MÓDULO 5 – INSUMOS DIVERSOS]])-2,0)*($G97-$H97)</f>
        <v>56.642978962543395</v>
      </c>
      <c r="BO97" s="22" t="e">
        <f ca="1">VLOOKUP($A97,tabCustoUnit[],COLUMN(CUSTO_GLOBAL[[#Headers],[TOTAL MÓDULOS 1+2+3+4+5]])-2,0)*($G97-$H97)</f>
        <v>#NAME?</v>
      </c>
      <c r="BP97" s="22" t="e">
        <f ca="1">VLOOKUP($A97,tabCustoUnit[],COLUMN(CUSTO_GLOBAL[[#Headers],[Custos Indiretos]])-2,0)*($G97-$H97)</f>
        <v>#NAME?</v>
      </c>
      <c r="BQ97" s="22" t="e">
        <f ca="1">VLOOKUP($A97,tabCustoUnit[],COLUMN(CUSTO_GLOBAL[[#Headers],[Lucro]])-2,0)*($G97-$H97)</f>
        <v>#NAME?</v>
      </c>
      <c r="BR97" s="26">
        <f>VLOOKUP($A97,tabCustoUnit[],COLUMN(CUSTO_GLOBAL[[#Headers],[COFINS]])-2,0)</f>
        <v>8.6609686609686695E-2</v>
      </c>
      <c r="BS97" s="26">
        <f>VLOOKUP($A97,tabCustoUnit[],COLUMN(CUSTO_GLOBAL[[#Headers],[PIS]])-2,0)</f>
        <v>1.880341880341882E-2</v>
      </c>
      <c r="BT97" s="28">
        <f>VLOOKUP($A97,tabCustoUnit[],COLUMN(CUSTO_GLOBAL[[#Headers],[ISS]])-2,0)</f>
        <v>0.03</v>
      </c>
      <c r="BU97" s="26">
        <f>VLOOKUP($A97,tabCustoUnit[],COLUMN(CUSTO_GLOBAL[[#Headers],[ISS (Conversão Alíquota s/ fatura)]])-2,0)</f>
        <v>3.4188034188034219E-2</v>
      </c>
      <c r="BV97" s="26">
        <f>VLOOKUP($A97,tabCustoUnit[],COLUMN(CUSTO_GLOBAL[[#Headers],[Resumo de Alíquotas (PIS+CONFINS+ISS)]])-2,0)</f>
        <v>0.1225</v>
      </c>
      <c r="BW97" s="138">
        <f>VLOOKUP($A97,tabCustoUnit[],COLUMN(CUSTO_GLOBAL[[#Headers],[PIS + COFINS + ISS (Total Conversão  Alíquota s/ Fatura)]])-2,0)</f>
        <v>0.13960113960113973</v>
      </c>
      <c r="BX97" s="22" t="e">
        <f ca="1">VLOOKUP($A97,tabCustoUnit[],COLUMN(CUSTO_GLOBAL[[#Headers],[Valor dos Tributos (ISS, PIS, CONFINS)]])-2,0)*($G97-$H97)</f>
        <v>#NAME?</v>
      </c>
      <c r="BY97" s="22" t="e">
        <f ca="1">VLOOKUP($A97,tabCustoUnit[],COLUMN(CUSTO_GLOBAL[[#Headers],[MÓDULO 6 – CUSTOS INDIRETOS, TRIBUTOS E LUCRO]])-2,0)*($G97-$H97)</f>
        <v>#NAME?</v>
      </c>
      <c r="BZ97" s="22" t="e">
        <f ca="1">VLOOKUP($A97,tabCustoUnit[],COLUMN(CUSTO_GLOBAL[[#Headers],[CUSTO TOTAL MENSAL]])-2,0)*($G97-$H97)</f>
        <v>#NAME?</v>
      </c>
      <c r="CA97" s="22" t="e">
        <f ca="1">CUSTO_GLOBAL[[#This Row],[CUSTO TOTAL MENSAL]]*12</f>
        <v>#NAME?</v>
      </c>
      <c r="CB97" s="24">
        <f>VLOOKUP($A97,tabCustoUnit[],COLUMN(CUSTO_GLOBAL[[#Headers],[ANO DA CCT]])-2,0)</f>
        <v>45658</v>
      </c>
      <c r="CC97" s="25" t="str">
        <f>VLOOKUP($A97,tabCustoUnit[],COLUMN(CUSTO_GLOBAL[[#Headers],[Nº DE PEDIDO DA CCT]])-2,0)</f>
        <v>-</v>
      </c>
      <c r="CD97" s="25" t="str">
        <f>VLOOKUP($A97,tabCustoUnit[],COLUMN(CUSTO_GLOBAL[[#Headers],[TERMO ADITIVO ALTERAÇÃO DA CCT]])-2,0)</f>
        <v>-</v>
      </c>
    </row>
    <row r="98" spans="1:82">
      <c r="A98" s="20" t="s">
        <v>1562</v>
      </c>
      <c r="B98" t="s">
        <v>1110</v>
      </c>
      <c r="C98" t="s">
        <v>324</v>
      </c>
      <c r="D98" t="s">
        <v>1058</v>
      </c>
      <c r="E98" s="20" t="s">
        <v>1090</v>
      </c>
      <c r="F98" s="20" t="s">
        <v>120</v>
      </c>
      <c r="G98" s="20">
        <v>1</v>
      </c>
      <c r="H98" s="20">
        <v>0</v>
      </c>
      <c r="I98" s="21">
        <f>VLOOKUP($A98,tabCustoUnit[],COLUMN(CUSTO_GLOBAL[[#Headers],[Salário Base]])-2,0)*($G98-$H98)</f>
        <v>3397.1306</v>
      </c>
      <c r="J98" s="21">
        <f>VLOOKUP($A98,tabCustoUnit[],COLUMN(CUSTO_GLOBAL[[#Headers],[Adicional Periculosidade]])-2,0)*($G98-$H98)</f>
        <v>0</v>
      </c>
      <c r="K98" s="21">
        <f>VLOOKUP($A98,tabCustoUnit[],COLUMN(CUSTO_GLOBAL[[#Headers],[Adicional Insalubridade]])-2,0)*($G98-$H98)</f>
        <v>0</v>
      </c>
      <c r="L98" s="21">
        <f>VLOOKUP($A98,tabCustoUnit[],COLUMN(CUSTO_GLOBAL[[#Headers],[Adicional Noturno]])-2,0)*($G98-$H98)</f>
        <v>0</v>
      </c>
      <c r="M98" s="21">
        <f>VLOOKUP($A98,tabCustoUnit[],COLUMN(CUSTO_GLOBAL[[#Headers],[Adicional Motorista II (Gratificação)]])-2,0)*($G98-$H98)</f>
        <v>0</v>
      </c>
      <c r="N98" s="21">
        <f>VLOOKUP($A98,tabCustoUnit[],COLUMN(CUSTO_GLOBAL[[#Headers],[Adicional de Sobreaviso]])-2,0)*($G98-$H98)</f>
        <v>0</v>
      </c>
      <c r="O98" s="21">
        <f>VLOOKUP($A98,tabCustoUnit[],COLUMN(CUSTO_GLOBAL[[#Headers],[Horas Extras TI]])-2,0)*($G98-$H98)</f>
        <v>0</v>
      </c>
      <c r="P98" s="21">
        <f>VLOOKUP($A98,tabCustoUnit[],COLUMN(CUSTO_GLOBAL[[#Headers],[Adicional de Acúmulo de função]])-2,0)*($G98-$H98)</f>
        <v>0</v>
      </c>
      <c r="Q98" s="21">
        <f>VLOOKUP($A98,tabCustoUnit[],COLUMN(CUSTO_GLOBAL[[#Headers],[MODULO 1 - REMUNERAÇÃO ]])-2,0)*($G98-$H98)</f>
        <v>3397.1306</v>
      </c>
      <c r="R98" s="21">
        <f>VLOOKUP($A98,tabCustoUnit[],COLUMN(CUSTO_GLOBAL[[#Headers],[INSS]])-2,0)*($G98-$H98)</f>
        <v>679.42612000000008</v>
      </c>
      <c r="S98" s="21">
        <f>VLOOKUP($A98,tabCustoUnit[],COLUMN(CUSTO_GLOBAL[[#Headers],[SESI OU SESC]])-2,0)*($G98-$H98)</f>
        <v>50.956958999999998</v>
      </c>
      <c r="T98" s="21">
        <f>VLOOKUP($A98,tabCustoUnit[],COLUMN(CUSTO_GLOBAL[[#Headers],[SENAI OU SENAC]])-2,0)*($G98-$H98)</f>
        <v>33.971305999999998</v>
      </c>
      <c r="U98" s="21">
        <f>VLOOKUP($A98,tabCustoUnit[],COLUMN(CUSTO_GLOBAL[[#Headers],[INCRA]])-2,0)*($G98-$H98)</f>
        <v>6.7942612000000002</v>
      </c>
      <c r="V98" s="21">
        <f>VLOOKUP($A98,tabCustoUnit[],COLUMN(CUSTO_GLOBAL[[#Headers],[Salário Educação]])-2,0)*($G98-$H98)</f>
        <v>84.92826500000001</v>
      </c>
      <c r="W98" s="21">
        <f>VLOOKUP($A98,tabCustoUnit[],COLUMN(CUSTO_GLOBAL[[#Headers],[FGTS]])-2,0)*($G98-$H98)</f>
        <v>271.77044799999999</v>
      </c>
      <c r="X98" s="21">
        <f>VLOOKUP($A98,tabCustoUnit[],COLUMN(CUSTO_GLOBAL[[#Headers],[RAT Ajustado]])-2,0)*($G98-$H98)</f>
        <v>135.88522399999999</v>
      </c>
      <c r="Y98" s="21">
        <f>VLOOKUP($A98,tabCustoUnit[],COLUMN(CUSTO_GLOBAL[[#Headers],[SEBRAE]])-2,0)*($G98-$H98)</f>
        <v>20.3827836</v>
      </c>
      <c r="Z98" s="21">
        <f>VLOOKUP($A98,tabCustoUnit[],COLUMN(CUSTO_GLOBAL[[#Headers],[Submódulo 2.1]])-2,0)*($G98-$H98)</f>
        <v>1284.1153668000002</v>
      </c>
      <c r="AA98" s="21">
        <f>VLOOKUP($A98,tabCustoUnit[],COLUMN(CUSTO_GLOBAL[[#Headers],[13º salário (titular)]])-2,0)*($G98-$H98)</f>
        <v>283.09421666666663</v>
      </c>
      <c r="AB98" s="21">
        <f>VLOOKUP($A98,tabCustoUnit[],COLUMN(CUSTO_GLOBAL[[#Headers],[Férias e Adicional de Férias (titular)]])-2,0)*($G98-$H98)</f>
        <v>377.45895555555552</v>
      </c>
      <c r="AC98" s="21">
        <f>VLOOKUP($A98,tabCustoUnit[],COLUMN(CUSTO_GLOBAL[[#Headers],[Incidência do Submódulo 2.1 sobre 13º Salário, Férias e Adicional de Férias]])-2,0)*($G98-$H98)</f>
        <v>249.68909910000002</v>
      </c>
      <c r="AD98" s="21">
        <f>VLOOKUP($A98,tabCustoUnit[],COLUMN(CUSTO_GLOBAL[[#Headers],[Submódulo 2.2]])-2,0)*($G98-$H98)</f>
        <v>910.24227132222222</v>
      </c>
      <c r="AE98" s="22" t="e">
        <f ca="1">VLOOKUP($A98,tabCustoUnit[],COLUMN(CUSTO_GLOBAL[[#Headers],[Vale - Transporte (Descontada parcela do empregado)]])-2,0)*($G98-$H98)</f>
        <v>#NAME?</v>
      </c>
      <c r="AF98" s="22">
        <f>VLOOKUP($A98,tabCustoUnit[],COLUMN(CUSTO_GLOBAL[[#Headers],[Vale - Alimentação (Descontada parcela do empregado)]])-2,0)*($G98-$H98)</f>
        <v>582</v>
      </c>
      <c r="AG98" s="22">
        <f>VLOOKUP($A98,tabCustoUnit[],COLUMN(CUSTO_GLOBAL[[#Headers],[Cesta Básica]])-2,0)*($G98-$H98)</f>
        <v>0</v>
      </c>
      <c r="AH98" s="22">
        <f>VLOOKUP($A98,tabCustoUnit[],COLUMN(CUSTO_GLOBAL[[#Headers],[PAF]])-2,0)*($G98-$H98)</f>
        <v>77.25</v>
      </c>
      <c r="AI98" s="22">
        <f>VLOOKUP($A98,tabCustoUnit[],COLUMN(CUSTO_GLOBAL[[#Headers],[PQM]])-2,0)*($G98-$H98)</f>
        <v>0</v>
      </c>
      <c r="AJ98" s="22">
        <v>0</v>
      </c>
      <c r="AK98" s="22">
        <f>VLOOKUP($A98,tabCustoUnit[],COLUMN(CUSTO_GLOBAL[[#Headers],[Seguro de Vida]])-2,0)*($G98-$H98)</f>
        <v>3.36</v>
      </c>
      <c r="AL98" s="22">
        <f>VLOOKUP($A98,tabCustoUnit[],COLUMN(CUSTO_GLOBAL[[#Headers],[Despesas de Viagem]])-2,0)*($G98-$H98)</f>
        <v>0</v>
      </c>
      <c r="AM98" s="22" t="e">
        <f ca="1">VLOOKUP($A98,tabCustoUnit[],COLUMN(CUSTO_GLOBAL[[#Headers],[Submódulo 2.3]])-2,0)*($G98-$H98)</f>
        <v>#NAME?</v>
      </c>
      <c r="AN98" s="22" t="e">
        <f ca="1">VLOOKUP($A98,tabCustoUnit[],COLUMN(CUSTO_GLOBAL[[#Headers],[MÓDULO 2 - Total Encargos e Benefícios mensais e diários]])-2,0)*($G98-$H98)</f>
        <v>#NAME?</v>
      </c>
      <c r="AO98" s="22">
        <f>VLOOKUP($A98,tabCustoUnit[],COLUMN(CUSTO_GLOBAL[[#Headers],[Aviso Prévio Indenizado (API) e Reflexo do Aviso Prévio Indenizado]])-2,0)*($G98-$H98)</f>
        <v>23.819888151890432</v>
      </c>
      <c r="AP98" s="22">
        <f>VLOOKUP($A98,tabCustoUnit[],COLUMN(CUSTO_GLOBAL[[#Headers],[Incidência do FGTS sobre API e Reflexo do API]])-2,0)*($G98-$H98)</f>
        <v>1.9055910521512347</v>
      </c>
      <c r="AQ98" s="22">
        <f>VLOOKUP($A98,tabCustoUnit[],COLUMN(CUSTO_GLOBAL[[#Headers],[Multa Rescisória do FGTS sobre o Aviso Prévio Indenizado]])-2,0)*($G98-$H98)</f>
        <v>0.76223642086049392</v>
      </c>
      <c r="AR98" s="22">
        <f>VLOOKUP($A98,tabCustoUnit[],COLUMN(CUSTO_GLOBAL[[#Headers],[Aviso Prévio Trabalhado - APT]])-2,0)*($G98-$H98)</f>
        <v>11.889957100000002</v>
      </c>
      <c r="AS98" s="22">
        <f>VLOOKUP($A98,tabCustoUnit[],COLUMN(CUSTO_GLOBAL[[#Headers],[Incidência dos encargos do submódulo 2.1 sobre Aviso Prévio Trabalhado]])-2,0)*($G98-$H98)</f>
        <v>4.4944037838000011</v>
      </c>
      <c r="AT98" s="22">
        <f>VLOOKUP($A98,tabCustoUnit[],COLUMN(CUSTO_GLOBAL[[#Headers],[Multa Rescisória do FGTS]])-2,0)*($G98-$H98)</f>
        <v>103.87670456888887</v>
      </c>
      <c r="AU98" s="22">
        <f>VLOOKUP($A98,tabCustoUnit[],COLUMN(CUSTO_GLOBAL[[#Headers],[Indenização Adicional (Art. 9º da Lei nº 7.238/84)]])-2,0)*($G98-$H98)</f>
        <v>2.830942166666667</v>
      </c>
      <c r="AV98" s="22">
        <f>VLOOKUP($A98,tabCustoUnit[],COLUMN(CUSTO_GLOBAL[[#Headers],[MÓDULO 3 – PROVISÃO PARA RESCISÃO]])-2,0)*($G98-$H98)</f>
        <v>149.57972324425771</v>
      </c>
      <c r="AW98" s="22">
        <f>VLOOKUP($A98,tabCustoUnit[],COLUMN(CUSTO_GLOBAL[[#Headers],[Ausência por Doença]])-2,0)*($G98-$H98)</f>
        <v>28.686880622222219</v>
      </c>
      <c r="AX98" s="22">
        <f>VLOOKUP($A98,tabCustoUnit[],COLUMN(CUSTO_GLOBAL[[#Headers],[Ausências Legais]])-2,0)*($G98-$H98)</f>
        <v>6.8886259388888886</v>
      </c>
      <c r="AY98" s="22">
        <f>VLOOKUP($A98,tabCustoUnit[],COLUMN(CUSTO_GLOBAL[[#Headers],[Licença Paternidade]])-2,0)*($G98-$H98)</f>
        <v>0.58034314416666666</v>
      </c>
      <c r="AZ98" s="22">
        <f>VLOOKUP($A98,tabCustoUnit[],COLUMN(CUSTO_GLOBAL[[#Headers],[Ausência por Acidente de Trabalho]])-2,0)*($G98-$H98)</f>
        <v>0.70773554166666675</v>
      </c>
      <c r="BA98" s="22">
        <f>VLOOKUP($A98,tabCustoUnit[],COLUMN(CUSTO_GLOBAL[[#Headers],[Férias, Adicional de Férias e 13º  com empregada em gozo de Licença Maternidade]])-2,0)*($G98-$H98)</f>
        <v>4.4036878148148144</v>
      </c>
      <c r="BB98" s="22">
        <f>VLOOKUP($A98,tabCustoUnit[],COLUMN(CUSTO_GLOBAL[[#Headers],[Incidência do Submódulo 2.1 sobre Ausências Legais]])-2,0)*($G98-$H98)</f>
        <v>15.599029217345002</v>
      </c>
      <c r="BC98" s="22">
        <f>VLOOKUP($A98,tabCustoUnit[],COLUMN(CUSTO_GLOBAL[[#Headers],[Submódulo 4.1]])-2,0)*($G98-$H98)</f>
        <v>56.866302279104261</v>
      </c>
      <c r="BD98" s="22">
        <f>VLOOKUP($A98,tabCustoUnit[],COLUMN(CUSTO_GLOBAL[[#Headers],[Intervalo para Repouso ou Alimentação]])-2,0)*($G98-$H98)</f>
        <v>0</v>
      </c>
      <c r="BE98" s="22">
        <f>VLOOKUP($A98,tabCustoUnit[],COLUMN(CUSTO_GLOBAL[[#Headers],[Submódulo 4.2]])-2,0)*($G98-$H98)</f>
        <v>0</v>
      </c>
      <c r="BF98" s="22">
        <f>VLOOKUP($A98,tabCustoUnit[],COLUMN(CUSTO_GLOBAL[[#Headers],[Suspensão Temporária do Contrato de Trabalho]])-2,0)*($G98-$H98)</f>
        <v>0</v>
      </c>
      <c r="BG98" s="22">
        <f>VLOOKUP($A98,tabCustoUnit[],COLUMN(CUSTO_GLOBAL[[#Headers],[Submódulo 4.3]])-2,0)*($G98-$H98)</f>
        <v>0</v>
      </c>
      <c r="BH98" s="22">
        <f>VLOOKUP($A98,tabCustoUnit[],COLUMN(CUSTO_GLOBAL[[#Headers],[MÓDULO 4 – CUSTO DE REPOSIÇÃO DO PROFISSIONAL AUSENTE]])-2,0)*($G98-$H98)</f>
        <v>56.866302279104261</v>
      </c>
      <c r="BI98" s="22">
        <f>VLOOKUP($A98,tabCustoUnit[],COLUMN(CUSTO_GLOBAL[[#Headers],[Uniformes e EPIs]])-2,0)*($G98-$H98)</f>
        <v>56.642978962543395</v>
      </c>
      <c r="BJ98" s="22">
        <f>VLOOKUP($A98,tabCustoUnit[],COLUMN(CUSTO_GLOBAL[[#Headers],[Materiais de Consumo]])-2,0)*($G98-$H98)</f>
        <v>0</v>
      </c>
      <c r="BK98" s="22">
        <f>VLOOKUP($A98,tabCustoUnit[],COLUMN(CUSTO_GLOBAL[[#Headers],[Máquinas e Equipamentos (depreciação)]])-2,0)*($G98-$H98)</f>
        <v>0</v>
      </c>
      <c r="BL98" s="22">
        <f>VLOOKUP($A98,tabCustoUnit[],COLUMN(CUSTO_GLOBAL[[#Headers],[Produtos de Limpeza e Materiais de Higiene Pessoal]])-2,0)*($G98-$H98)</f>
        <v>0</v>
      </c>
      <c r="BM98" s="22">
        <f>VLOOKUP($A98,tabCustoUnit[],COLUMN(CUSTO_GLOBAL[[#Headers],[Outros (especificar)]])-2,0)*($G98-$H98)</f>
        <v>0</v>
      </c>
      <c r="BN98" s="22">
        <f>VLOOKUP($A98,tabCustoUnit[],COLUMN(CUSTO_GLOBAL[[#Headers],[MÓDULO 5 – INSUMOS DIVERSOS]])-2,0)*($G98-$H98)</f>
        <v>56.642978962543395</v>
      </c>
      <c r="BO98" s="22" t="e">
        <f ca="1">VLOOKUP($A98,tabCustoUnit[],COLUMN(CUSTO_GLOBAL[[#Headers],[TOTAL MÓDULOS 1+2+3+4+5]])-2,0)*($G98-$H98)</f>
        <v>#NAME?</v>
      </c>
      <c r="BP98" s="22" t="e">
        <f ca="1">VLOOKUP($A98,tabCustoUnit[],COLUMN(CUSTO_GLOBAL[[#Headers],[Custos Indiretos]])-2,0)*($G98-$H98)</f>
        <v>#NAME?</v>
      </c>
      <c r="BQ98" s="22" t="e">
        <f ca="1">VLOOKUP($A98,tabCustoUnit[],COLUMN(CUSTO_GLOBAL[[#Headers],[Lucro]])-2,0)*($G98-$H98)</f>
        <v>#NAME?</v>
      </c>
      <c r="BR98" s="26">
        <f>VLOOKUP($A98,tabCustoUnit[],COLUMN(CUSTO_GLOBAL[[#Headers],[COFINS]])-2,0)</f>
        <v>8.8629737609329504E-2</v>
      </c>
      <c r="BS98" s="26">
        <f>VLOOKUP($A98,tabCustoUnit[],COLUMN(CUSTO_GLOBAL[[#Headers],[PIS]])-2,0)</f>
        <v>1.9241982507288629E-2</v>
      </c>
      <c r="BT98" s="28">
        <f>VLOOKUP($A98,tabCustoUnit[],COLUMN(CUSTO_GLOBAL[[#Headers],[ISS]])-2,0)</f>
        <v>0.05</v>
      </c>
      <c r="BU98" s="26">
        <f>VLOOKUP($A98,tabCustoUnit[],COLUMN(CUSTO_GLOBAL[[#Headers],[ISS (Conversão Alíquota s/ fatura)]])-2,0)</f>
        <v>5.8309037900874633E-2</v>
      </c>
      <c r="BV98" s="26">
        <f>VLOOKUP($A98,tabCustoUnit[],COLUMN(CUSTO_GLOBAL[[#Headers],[Resumo de Alíquotas (PIS+CONFINS+ISS)]])-2,0)</f>
        <v>0.14250000000000002</v>
      </c>
      <c r="BW98" s="138">
        <f>VLOOKUP($A98,tabCustoUnit[],COLUMN(CUSTO_GLOBAL[[#Headers],[PIS + COFINS + ISS (Total Conversão  Alíquota s/ Fatura)]])-2,0)</f>
        <v>0.16618075801749277</v>
      </c>
      <c r="BX98" s="22" t="e">
        <f ca="1">VLOOKUP($A98,tabCustoUnit[],COLUMN(CUSTO_GLOBAL[[#Headers],[Valor dos Tributos (ISS, PIS, CONFINS)]])-2,0)*($G98-$H98)</f>
        <v>#NAME?</v>
      </c>
      <c r="BY98" s="22" t="e">
        <f ca="1">VLOOKUP($A98,tabCustoUnit[],COLUMN(CUSTO_GLOBAL[[#Headers],[MÓDULO 6 – CUSTOS INDIRETOS, TRIBUTOS E LUCRO]])-2,0)*($G98-$H98)</f>
        <v>#NAME?</v>
      </c>
      <c r="BZ98" s="22" t="e">
        <f ca="1">VLOOKUP($A98,tabCustoUnit[],COLUMN(CUSTO_GLOBAL[[#Headers],[CUSTO TOTAL MENSAL]])-2,0)*($G98-$H98)</f>
        <v>#NAME?</v>
      </c>
      <c r="CA98" s="22" t="e">
        <f ca="1">CUSTO_GLOBAL[[#This Row],[CUSTO TOTAL MENSAL]]*12</f>
        <v>#NAME?</v>
      </c>
      <c r="CB98" s="24">
        <f>VLOOKUP($A98,tabCustoUnit[],COLUMN(CUSTO_GLOBAL[[#Headers],[ANO DA CCT]])-2,0)</f>
        <v>45658</v>
      </c>
      <c r="CC98" s="25" t="str">
        <f>VLOOKUP($A98,tabCustoUnit[],COLUMN(CUSTO_GLOBAL[[#Headers],[Nº DE PEDIDO DA CCT]])-2,0)</f>
        <v>-</v>
      </c>
      <c r="CD98" s="25" t="str">
        <f>VLOOKUP($A98,tabCustoUnit[],COLUMN(CUSTO_GLOBAL[[#Headers],[TERMO ADITIVO ALTERAÇÃO DA CCT]])-2,0)</f>
        <v>-</v>
      </c>
    </row>
    <row r="99" spans="1:82">
      <c r="A99" s="20" t="s">
        <v>1563</v>
      </c>
      <c r="B99" t="s">
        <v>1111</v>
      </c>
      <c r="C99" t="s">
        <v>314</v>
      </c>
      <c r="D99" t="s">
        <v>918</v>
      </c>
      <c r="E99" s="20" t="s">
        <v>1090</v>
      </c>
      <c r="F99" s="20" t="s">
        <v>120</v>
      </c>
      <c r="G99" s="20">
        <v>1</v>
      </c>
      <c r="H99" s="20">
        <v>0</v>
      </c>
      <c r="I99" s="21">
        <f>VLOOKUP($A99,tabCustoUnit[],COLUMN(CUSTO_GLOBAL[[#Headers],[Salário Base]])-2,0)*($G99-$H99)</f>
        <v>1963.4110000000001</v>
      </c>
      <c r="J99" s="21">
        <f>VLOOKUP($A99,tabCustoUnit[],COLUMN(CUSTO_GLOBAL[[#Headers],[Adicional Periculosidade]])-2,0)*($G99-$H99)</f>
        <v>0</v>
      </c>
      <c r="K99" s="21">
        <f>VLOOKUP($A99,tabCustoUnit[],COLUMN(CUSTO_GLOBAL[[#Headers],[Adicional Insalubridade]])-2,0)*($G99-$H99)</f>
        <v>0</v>
      </c>
      <c r="L99" s="21">
        <f>VLOOKUP($A99,tabCustoUnit[],COLUMN(CUSTO_GLOBAL[[#Headers],[Adicional Noturno]])-2,0)*($G99-$H99)</f>
        <v>0</v>
      </c>
      <c r="M99" s="21">
        <f>VLOOKUP($A99,tabCustoUnit[],COLUMN(CUSTO_GLOBAL[[#Headers],[Adicional Motorista II (Gratificação)]])-2,0)*($G99-$H99)</f>
        <v>0</v>
      </c>
      <c r="N99" s="21">
        <f>VLOOKUP($A99,tabCustoUnit[],COLUMN(CUSTO_GLOBAL[[#Headers],[Adicional de Sobreaviso]])-2,0)*($G99-$H99)</f>
        <v>0</v>
      </c>
      <c r="O99" s="21">
        <f>VLOOKUP($A99,tabCustoUnit[],COLUMN(CUSTO_GLOBAL[[#Headers],[Horas Extras TI]])-2,0)*($G99-$H99)</f>
        <v>0</v>
      </c>
      <c r="P99" s="21">
        <f>VLOOKUP($A99,tabCustoUnit[],COLUMN(CUSTO_GLOBAL[[#Headers],[Adicional de Acúmulo de função]])-2,0)*($G99-$H99)</f>
        <v>0</v>
      </c>
      <c r="Q99" s="21">
        <f>VLOOKUP($A99,tabCustoUnit[],COLUMN(CUSTO_GLOBAL[[#Headers],[MODULO 1 - REMUNERAÇÃO ]])-2,0)*($G99-$H99)</f>
        <v>1963.4110000000001</v>
      </c>
      <c r="R99" s="21">
        <f>VLOOKUP($A99,tabCustoUnit[],COLUMN(CUSTO_GLOBAL[[#Headers],[INSS]])-2,0)*($G99-$H99)</f>
        <v>392.68220000000002</v>
      </c>
      <c r="S99" s="21">
        <f>VLOOKUP($A99,tabCustoUnit[],COLUMN(CUSTO_GLOBAL[[#Headers],[SESI OU SESC]])-2,0)*($G99-$H99)</f>
        <v>29.451165</v>
      </c>
      <c r="T99" s="21">
        <f>VLOOKUP($A99,tabCustoUnit[],COLUMN(CUSTO_GLOBAL[[#Headers],[SENAI OU SENAC]])-2,0)*($G99-$H99)</f>
        <v>19.63411</v>
      </c>
      <c r="U99" s="21">
        <f>VLOOKUP($A99,tabCustoUnit[],COLUMN(CUSTO_GLOBAL[[#Headers],[INCRA]])-2,0)*($G99-$H99)</f>
        <v>3.926822</v>
      </c>
      <c r="V99" s="21">
        <f>VLOOKUP($A99,tabCustoUnit[],COLUMN(CUSTO_GLOBAL[[#Headers],[Salário Educação]])-2,0)*($G99-$H99)</f>
        <v>49.085275000000003</v>
      </c>
      <c r="W99" s="21">
        <f>VLOOKUP($A99,tabCustoUnit[],COLUMN(CUSTO_GLOBAL[[#Headers],[FGTS]])-2,0)*($G99-$H99)</f>
        <v>157.07288</v>
      </c>
      <c r="X99" s="21">
        <f>VLOOKUP($A99,tabCustoUnit[],COLUMN(CUSTO_GLOBAL[[#Headers],[RAT Ajustado]])-2,0)*($G99-$H99)</f>
        <v>78.536439999999999</v>
      </c>
      <c r="Y99" s="21">
        <f>VLOOKUP($A99,tabCustoUnit[],COLUMN(CUSTO_GLOBAL[[#Headers],[SEBRAE]])-2,0)*($G99-$H99)</f>
        <v>11.780466000000001</v>
      </c>
      <c r="Z99" s="21">
        <f>VLOOKUP($A99,tabCustoUnit[],COLUMN(CUSTO_GLOBAL[[#Headers],[Submódulo 2.1]])-2,0)*($G99-$H99)</f>
        <v>742.1693580000001</v>
      </c>
      <c r="AA99" s="21">
        <f>VLOOKUP($A99,tabCustoUnit[],COLUMN(CUSTO_GLOBAL[[#Headers],[13º salário (titular)]])-2,0)*($G99-$H99)</f>
        <v>163.61758333333333</v>
      </c>
      <c r="AB99" s="21">
        <f>VLOOKUP($A99,tabCustoUnit[],COLUMN(CUSTO_GLOBAL[[#Headers],[Férias e Adicional de Férias (titular)]])-2,0)*($G99-$H99)</f>
        <v>218.15677777777776</v>
      </c>
      <c r="AC99" s="21">
        <f>VLOOKUP($A99,tabCustoUnit[],COLUMN(CUSTO_GLOBAL[[#Headers],[Incidência do Submódulo 2.1 sobre 13º Salário, Férias e Adicional de Férias]])-2,0)*($G99-$H99)</f>
        <v>144.3107085</v>
      </c>
      <c r="AD99" s="21">
        <f>VLOOKUP($A99,tabCustoUnit[],COLUMN(CUSTO_GLOBAL[[#Headers],[Submódulo 2.2]])-2,0)*($G99-$H99)</f>
        <v>526.08506961111107</v>
      </c>
      <c r="AE99" s="22" t="e">
        <f ca="1">VLOOKUP($A99,tabCustoUnit[],COLUMN(CUSTO_GLOBAL[[#Headers],[Vale - Transporte (Descontada parcela do empregado)]])-2,0)*($G99-$H99)</f>
        <v>#NAME?</v>
      </c>
      <c r="AF99" s="22">
        <f>VLOOKUP($A99,tabCustoUnit[],COLUMN(CUSTO_GLOBAL[[#Headers],[Vale - Alimentação (Descontada parcela do empregado)]])-2,0)*($G99-$H99)</f>
        <v>582</v>
      </c>
      <c r="AG99" s="22">
        <f>VLOOKUP($A99,tabCustoUnit[],COLUMN(CUSTO_GLOBAL[[#Headers],[Cesta Básica]])-2,0)*($G99-$H99)</f>
        <v>0</v>
      </c>
      <c r="AH99" s="22">
        <f>VLOOKUP($A99,tabCustoUnit[],COLUMN(CUSTO_GLOBAL[[#Headers],[PAF]])-2,0)*($G99-$H99)</f>
        <v>0</v>
      </c>
      <c r="AI99" s="22">
        <f>VLOOKUP($A99,tabCustoUnit[],COLUMN(CUSTO_GLOBAL[[#Headers],[PQM]])-2,0)*($G99-$H99)</f>
        <v>15.07</v>
      </c>
      <c r="AJ99" s="22">
        <v>0</v>
      </c>
      <c r="AK99" s="22">
        <f>VLOOKUP($A99,tabCustoUnit[],COLUMN(CUSTO_GLOBAL[[#Headers],[Seguro de Vida]])-2,0)*($G99-$H99)</f>
        <v>3.36</v>
      </c>
      <c r="AL99" s="22">
        <f>VLOOKUP($A99,tabCustoUnit[],COLUMN(CUSTO_GLOBAL[[#Headers],[Despesas de Viagem]])-2,0)*($G99-$H99)</f>
        <v>0</v>
      </c>
      <c r="AM99" s="22" t="e">
        <f ca="1">VLOOKUP($A99,tabCustoUnit[],COLUMN(CUSTO_GLOBAL[[#Headers],[Submódulo 2.3]])-2,0)*($G99-$H99)</f>
        <v>#NAME?</v>
      </c>
      <c r="AN99" s="22" t="e">
        <f ca="1">VLOOKUP($A99,tabCustoUnit[],COLUMN(CUSTO_GLOBAL[[#Headers],[MÓDULO 2 - Total Encargos e Benefícios mensais e diários]])-2,0)*($G99-$H99)</f>
        <v>#NAME?</v>
      </c>
      <c r="AO99" s="22">
        <f>VLOOKUP($A99,tabCustoUnit[],COLUMN(CUSTO_GLOBAL[[#Headers],[Aviso Prévio Indenizado (API) e Reflexo do Aviso Prévio Indenizado]])-2,0)*($G99-$H99)</f>
        <v>13.766980408757716</v>
      </c>
      <c r="AP99" s="22">
        <f>VLOOKUP($A99,tabCustoUnit[],COLUMN(CUSTO_GLOBAL[[#Headers],[Incidência do FGTS sobre API e Reflexo do API]])-2,0)*($G99-$H99)</f>
        <v>1.1013584327006174</v>
      </c>
      <c r="AQ99" s="22">
        <f>VLOOKUP($A99,tabCustoUnit[],COLUMN(CUSTO_GLOBAL[[#Headers],[Multa Rescisória do FGTS sobre o Aviso Prévio Indenizado]])-2,0)*($G99-$H99)</f>
        <v>0.44054337308024699</v>
      </c>
      <c r="AR99" s="22">
        <f>VLOOKUP($A99,tabCustoUnit[],COLUMN(CUSTO_GLOBAL[[#Headers],[Aviso Prévio Trabalhado - APT]])-2,0)*($G99-$H99)</f>
        <v>6.8719385000000015</v>
      </c>
      <c r="AS99" s="22">
        <f>VLOOKUP($A99,tabCustoUnit[],COLUMN(CUSTO_GLOBAL[[#Headers],[Incidência dos encargos do submódulo 2.1 sobre Aviso Prévio Trabalhado]])-2,0)*($G99-$H99)</f>
        <v>2.5975927530000007</v>
      </c>
      <c r="AT99" s="22">
        <f>VLOOKUP($A99,tabCustoUnit[],COLUMN(CUSTO_GLOBAL[[#Headers],[Multa Rescisória do FGTS]])-2,0)*($G99-$H99)</f>
        <v>60.03674524444444</v>
      </c>
      <c r="AU99" s="22">
        <f>VLOOKUP($A99,tabCustoUnit[],COLUMN(CUSTO_GLOBAL[[#Headers],[Indenização Adicional (Art. 9º da Lei nº 7.238/84)]])-2,0)*($G99-$H99)</f>
        <v>1.6361758333333334</v>
      </c>
      <c r="AV99" s="22">
        <f>VLOOKUP($A99,tabCustoUnit[],COLUMN(CUSTO_GLOBAL[[#Headers],[MÓDULO 3 – PROVISÃO PARA RESCISÃO]])-2,0)*($G99-$H99)</f>
        <v>86.451334545316371</v>
      </c>
      <c r="AW99" s="22">
        <f>VLOOKUP($A99,tabCustoUnit[],COLUMN(CUSTO_GLOBAL[[#Headers],[Ausência por Doença]])-2,0)*($G99-$H99)</f>
        <v>16.579915111111109</v>
      </c>
      <c r="AX99" s="22">
        <f>VLOOKUP($A99,tabCustoUnit[],COLUMN(CUSTO_GLOBAL[[#Headers],[Ausências Legais]])-2,0)*($G99-$H99)</f>
        <v>3.9813611944444443</v>
      </c>
      <c r="AY99" s="22">
        <f>VLOOKUP($A99,tabCustoUnit[],COLUMN(CUSTO_GLOBAL[[#Headers],[Licença Paternidade]])-2,0)*($G99-$H99)</f>
        <v>0.33541604583333334</v>
      </c>
      <c r="AZ99" s="22">
        <f>VLOOKUP($A99,tabCustoUnit[],COLUMN(CUSTO_GLOBAL[[#Headers],[Ausência por Acidente de Trabalho]])-2,0)*($G99-$H99)</f>
        <v>0.40904395833333335</v>
      </c>
      <c r="BA99" s="22">
        <f>VLOOKUP($A99,tabCustoUnit[],COLUMN(CUSTO_GLOBAL[[#Headers],[Férias, Adicional de Férias e 13º  com empregada em gozo de Licença Maternidade]])-2,0)*($G99-$H99)</f>
        <v>2.5451624074074073</v>
      </c>
      <c r="BB99" s="22">
        <f>VLOOKUP($A99,tabCustoUnit[],COLUMN(CUSTO_GLOBAL[[#Headers],[Incidência do Submódulo 2.1 sobre Ausências Legais]])-2,0)*($G99-$H99)</f>
        <v>9.0156397150750021</v>
      </c>
      <c r="BC99" s="22">
        <f>VLOOKUP($A99,tabCustoUnit[],COLUMN(CUSTO_GLOBAL[[#Headers],[Submódulo 4.1]])-2,0)*($G99-$H99)</f>
        <v>32.866538432204628</v>
      </c>
      <c r="BD99" s="22">
        <f>VLOOKUP($A99,tabCustoUnit[],COLUMN(CUSTO_GLOBAL[[#Headers],[Intervalo para Repouso ou Alimentação]])-2,0)*($G99-$H99)</f>
        <v>267.73786489195959</v>
      </c>
      <c r="BE99" s="22">
        <f>VLOOKUP($A99,tabCustoUnit[],COLUMN(CUSTO_GLOBAL[[#Headers],[Submódulo 4.2]])-2,0)*($G99-$H99)</f>
        <v>267.73786489195959</v>
      </c>
      <c r="BF99" s="22">
        <f>VLOOKUP($A99,tabCustoUnit[],COLUMN(CUSTO_GLOBAL[[#Headers],[Suspensão Temporária do Contrato de Trabalho]])-2,0)*($G99-$H99)</f>
        <v>0</v>
      </c>
      <c r="BG99" s="22">
        <f>VLOOKUP($A99,tabCustoUnit[],COLUMN(CUSTO_GLOBAL[[#Headers],[Submódulo 4.3]])-2,0)*($G99-$H99)</f>
        <v>0</v>
      </c>
      <c r="BH99" s="22">
        <f>VLOOKUP($A99,tabCustoUnit[],COLUMN(CUSTO_GLOBAL[[#Headers],[MÓDULO 4 – CUSTO DE REPOSIÇÃO DO PROFISSIONAL AUSENTE]])-2,0)*($G99-$H99)</f>
        <v>300.6044033241642</v>
      </c>
      <c r="BI99" s="22">
        <f>VLOOKUP($A99,tabCustoUnit[],COLUMN(CUSTO_GLOBAL[[#Headers],[Uniformes e EPIs]])-2,0)*($G99-$H99)</f>
        <v>56.642978962543395</v>
      </c>
      <c r="BJ99" s="22">
        <f>VLOOKUP($A99,tabCustoUnit[],COLUMN(CUSTO_GLOBAL[[#Headers],[Materiais de Consumo]])-2,0)*($G99-$H99)</f>
        <v>0</v>
      </c>
      <c r="BK99" s="22">
        <f>VLOOKUP($A99,tabCustoUnit[],COLUMN(CUSTO_GLOBAL[[#Headers],[Máquinas e Equipamentos (depreciação)]])-2,0)*($G99-$H99)</f>
        <v>0</v>
      </c>
      <c r="BL99" s="22">
        <f>VLOOKUP($A99,tabCustoUnit[],COLUMN(CUSTO_GLOBAL[[#Headers],[Produtos de Limpeza e Materiais de Higiene Pessoal]])-2,0)*($G99-$H99)</f>
        <v>0</v>
      </c>
      <c r="BM99" s="22">
        <f>VLOOKUP($A99,tabCustoUnit[],COLUMN(CUSTO_GLOBAL[[#Headers],[Outros (especificar)]])-2,0)*($G99-$H99)</f>
        <v>0</v>
      </c>
      <c r="BN99" s="22">
        <f>VLOOKUP($A99,tabCustoUnit[],COLUMN(CUSTO_GLOBAL[[#Headers],[MÓDULO 5 – INSUMOS DIVERSOS]])-2,0)*($G99-$H99)</f>
        <v>56.642978962543395</v>
      </c>
      <c r="BO99" s="22" t="e">
        <f ca="1">VLOOKUP($A99,tabCustoUnit[],COLUMN(CUSTO_GLOBAL[[#Headers],[TOTAL MÓDULOS 1+2+3+4+5]])-2,0)*($G99-$H99)</f>
        <v>#NAME?</v>
      </c>
      <c r="BP99" s="22" t="e">
        <f ca="1">VLOOKUP($A99,tabCustoUnit[],COLUMN(CUSTO_GLOBAL[[#Headers],[Custos Indiretos]])-2,0)*($G99-$H99)</f>
        <v>#NAME?</v>
      </c>
      <c r="BQ99" s="22" t="e">
        <f ca="1">VLOOKUP($A99,tabCustoUnit[],COLUMN(CUSTO_GLOBAL[[#Headers],[Lucro]])-2,0)*($G99-$H99)</f>
        <v>#NAME?</v>
      </c>
      <c r="BR99" s="26">
        <f>VLOOKUP($A99,tabCustoUnit[],COLUMN(CUSTO_GLOBAL[[#Headers],[COFINS]])-2,0)</f>
        <v>8.5633802816901458E-2</v>
      </c>
      <c r="BS99" s="26">
        <f>VLOOKUP($A99,tabCustoUnit[],COLUMN(CUSTO_GLOBAL[[#Headers],[PIS]])-2,0)</f>
        <v>1.8591549295774657E-2</v>
      </c>
      <c r="BT99" s="28">
        <f>VLOOKUP($A99,tabCustoUnit[],COLUMN(CUSTO_GLOBAL[[#Headers],[ISS]])-2,0)</f>
        <v>0.02</v>
      </c>
      <c r="BU99" s="26">
        <f>VLOOKUP($A99,tabCustoUnit[],COLUMN(CUSTO_GLOBAL[[#Headers],[ISS (Conversão Alíquota s/ fatura)]])-2,0)</f>
        <v>2.2535211267605645E-2</v>
      </c>
      <c r="BV99" s="26">
        <f>VLOOKUP($A99,tabCustoUnit[],COLUMN(CUSTO_GLOBAL[[#Headers],[Resumo de Alíquotas (PIS+CONFINS+ISS)]])-2,0)</f>
        <v>0.1125</v>
      </c>
      <c r="BW99" s="138">
        <f>VLOOKUP($A99,tabCustoUnit[],COLUMN(CUSTO_GLOBAL[[#Headers],[PIS + COFINS + ISS (Total Conversão  Alíquota s/ Fatura)]])-2,0)</f>
        <v>0.12676056338028174</v>
      </c>
      <c r="BX99" s="22" t="e">
        <f ca="1">VLOOKUP($A99,tabCustoUnit[],COLUMN(CUSTO_GLOBAL[[#Headers],[Valor dos Tributos (ISS, PIS, CONFINS)]])-2,0)*($G99-$H99)</f>
        <v>#NAME?</v>
      </c>
      <c r="BY99" s="22" t="e">
        <f ca="1">VLOOKUP($A99,tabCustoUnit[],COLUMN(CUSTO_GLOBAL[[#Headers],[MÓDULO 6 – CUSTOS INDIRETOS, TRIBUTOS E LUCRO]])-2,0)*($G99-$H99)</f>
        <v>#NAME?</v>
      </c>
      <c r="BZ99" s="22" t="e">
        <f ca="1">VLOOKUP($A99,tabCustoUnit[],COLUMN(CUSTO_GLOBAL[[#Headers],[CUSTO TOTAL MENSAL]])-2,0)*($G99-$H99)</f>
        <v>#NAME?</v>
      </c>
      <c r="CA99" s="22" t="e">
        <f ca="1">CUSTO_GLOBAL[[#This Row],[CUSTO TOTAL MENSAL]]*12</f>
        <v>#NAME?</v>
      </c>
      <c r="CB99" s="24">
        <f>VLOOKUP($A99,tabCustoUnit[],COLUMN(CUSTO_GLOBAL[[#Headers],[ANO DA CCT]])-2,0)</f>
        <v>45658</v>
      </c>
      <c r="CC99" s="25" t="str">
        <f>VLOOKUP($A99,tabCustoUnit[],COLUMN(CUSTO_GLOBAL[[#Headers],[Nº DE PEDIDO DA CCT]])-2,0)</f>
        <v>-</v>
      </c>
      <c r="CD99" s="25" t="str">
        <f>VLOOKUP($A99,tabCustoUnit[],COLUMN(CUSTO_GLOBAL[[#Headers],[TERMO ADITIVO ALTERAÇÃO DA CCT]])-2,0)</f>
        <v>-</v>
      </c>
    </row>
    <row r="100" spans="1:82">
      <c r="A100" s="20" t="s">
        <v>1564</v>
      </c>
      <c r="B100" t="s">
        <v>1112</v>
      </c>
      <c r="C100" t="s">
        <v>324</v>
      </c>
      <c r="D100" t="s">
        <v>921</v>
      </c>
      <c r="E100" s="20" t="s">
        <v>1090</v>
      </c>
      <c r="F100" s="20" t="s">
        <v>120</v>
      </c>
      <c r="G100" s="20">
        <v>1</v>
      </c>
      <c r="H100" s="20">
        <v>0</v>
      </c>
      <c r="I100" s="21">
        <f>VLOOKUP($A100,tabCustoUnit[],COLUMN(CUSTO_GLOBAL[[#Headers],[Salário Base]])-2,0)*($G100-$H100)</f>
        <v>3397.1306</v>
      </c>
      <c r="J100" s="21">
        <f>VLOOKUP($A100,tabCustoUnit[],COLUMN(CUSTO_GLOBAL[[#Headers],[Adicional Periculosidade]])-2,0)*($G100-$H100)</f>
        <v>0</v>
      </c>
      <c r="K100" s="21">
        <f>VLOOKUP($A100,tabCustoUnit[],COLUMN(CUSTO_GLOBAL[[#Headers],[Adicional Insalubridade]])-2,0)*($G100-$H100)</f>
        <v>0</v>
      </c>
      <c r="L100" s="21">
        <f>VLOOKUP($A100,tabCustoUnit[],COLUMN(CUSTO_GLOBAL[[#Headers],[Adicional Noturno]])-2,0)*($G100-$H100)</f>
        <v>0</v>
      </c>
      <c r="M100" s="21">
        <f>VLOOKUP($A100,tabCustoUnit[],COLUMN(CUSTO_GLOBAL[[#Headers],[Adicional Motorista II (Gratificação)]])-2,0)*($G100-$H100)</f>
        <v>0</v>
      </c>
      <c r="N100" s="21">
        <f>VLOOKUP($A100,tabCustoUnit[],COLUMN(CUSTO_GLOBAL[[#Headers],[Adicional de Sobreaviso]])-2,0)*($G100-$H100)</f>
        <v>0</v>
      </c>
      <c r="O100" s="21">
        <f>VLOOKUP($A100,tabCustoUnit[],COLUMN(CUSTO_GLOBAL[[#Headers],[Horas Extras TI]])-2,0)*($G100-$H100)</f>
        <v>0</v>
      </c>
      <c r="P100" s="21">
        <f>VLOOKUP($A100,tabCustoUnit[],COLUMN(CUSTO_GLOBAL[[#Headers],[Adicional de Acúmulo de função]])-2,0)*($G100-$H100)</f>
        <v>0</v>
      </c>
      <c r="Q100" s="21">
        <f>VLOOKUP($A100,tabCustoUnit[],COLUMN(CUSTO_GLOBAL[[#Headers],[MODULO 1 - REMUNERAÇÃO ]])-2,0)*($G100-$H100)</f>
        <v>3397.1306</v>
      </c>
      <c r="R100" s="21">
        <f>VLOOKUP($A100,tabCustoUnit[],COLUMN(CUSTO_GLOBAL[[#Headers],[INSS]])-2,0)*($G100-$H100)</f>
        <v>679.42612000000008</v>
      </c>
      <c r="S100" s="21">
        <f>VLOOKUP($A100,tabCustoUnit[],COLUMN(CUSTO_GLOBAL[[#Headers],[SESI OU SESC]])-2,0)*($G100-$H100)</f>
        <v>50.956958999999998</v>
      </c>
      <c r="T100" s="21">
        <f>VLOOKUP($A100,tabCustoUnit[],COLUMN(CUSTO_GLOBAL[[#Headers],[SENAI OU SENAC]])-2,0)*($G100-$H100)</f>
        <v>33.971305999999998</v>
      </c>
      <c r="U100" s="21">
        <f>VLOOKUP($A100,tabCustoUnit[],COLUMN(CUSTO_GLOBAL[[#Headers],[INCRA]])-2,0)*($G100-$H100)</f>
        <v>6.7942612000000002</v>
      </c>
      <c r="V100" s="21">
        <f>VLOOKUP($A100,tabCustoUnit[],COLUMN(CUSTO_GLOBAL[[#Headers],[Salário Educação]])-2,0)*($G100-$H100)</f>
        <v>84.92826500000001</v>
      </c>
      <c r="W100" s="21">
        <f>VLOOKUP($A100,tabCustoUnit[],COLUMN(CUSTO_GLOBAL[[#Headers],[FGTS]])-2,0)*($G100-$H100)</f>
        <v>271.77044799999999</v>
      </c>
      <c r="X100" s="21">
        <f>VLOOKUP($A100,tabCustoUnit[],COLUMN(CUSTO_GLOBAL[[#Headers],[RAT Ajustado]])-2,0)*($G100-$H100)</f>
        <v>135.88522399999999</v>
      </c>
      <c r="Y100" s="21">
        <f>VLOOKUP($A100,tabCustoUnit[],COLUMN(CUSTO_GLOBAL[[#Headers],[SEBRAE]])-2,0)*($G100-$H100)</f>
        <v>20.3827836</v>
      </c>
      <c r="Z100" s="21">
        <f>VLOOKUP($A100,tabCustoUnit[],COLUMN(CUSTO_GLOBAL[[#Headers],[Submódulo 2.1]])-2,0)*($G100-$H100)</f>
        <v>1284.1153668000002</v>
      </c>
      <c r="AA100" s="21">
        <f>VLOOKUP($A100,tabCustoUnit[],COLUMN(CUSTO_GLOBAL[[#Headers],[13º salário (titular)]])-2,0)*($G100-$H100)</f>
        <v>283.09421666666663</v>
      </c>
      <c r="AB100" s="21">
        <f>VLOOKUP($A100,tabCustoUnit[],COLUMN(CUSTO_GLOBAL[[#Headers],[Férias e Adicional de Férias (titular)]])-2,0)*($G100-$H100)</f>
        <v>377.45895555555552</v>
      </c>
      <c r="AC100" s="21">
        <f>VLOOKUP($A100,tabCustoUnit[],COLUMN(CUSTO_GLOBAL[[#Headers],[Incidência do Submódulo 2.1 sobre 13º Salário, Férias e Adicional de Férias]])-2,0)*($G100-$H100)</f>
        <v>249.68909910000002</v>
      </c>
      <c r="AD100" s="21">
        <f>VLOOKUP($A100,tabCustoUnit[],COLUMN(CUSTO_GLOBAL[[#Headers],[Submódulo 2.2]])-2,0)*($G100-$H100)</f>
        <v>910.24227132222222</v>
      </c>
      <c r="AE100" s="22" t="e">
        <f ca="1">VLOOKUP($A100,tabCustoUnit[],COLUMN(CUSTO_GLOBAL[[#Headers],[Vale - Transporte (Descontada parcela do empregado)]])-2,0)*($G100-$H100)</f>
        <v>#NAME?</v>
      </c>
      <c r="AF100" s="22">
        <f>VLOOKUP($A100,tabCustoUnit[],COLUMN(CUSTO_GLOBAL[[#Headers],[Vale - Alimentação (Descontada parcela do empregado)]])-2,0)*($G100-$H100)</f>
        <v>582</v>
      </c>
      <c r="AG100" s="22">
        <f>VLOOKUP($A100,tabCustoUnit[],COLUMN(CUSTO_GLOBAL[[#Headers],[Cesta Básica]])-2,0)*($G100-$H100)</f>
        <v>0</v>
      </c>
      <c r="AH100" s="22">
        <f>VLOOKUP($A100,tabCustoUnit[],COLUMN(CUSTO_GLOBAL[[#Headers],[PAF]])-2,0)*($G100-$H100)</f>
        <v>0</v>
      </c>
      <c r="AI100" s="22">
        <f>VLOOKUP($A100,tabCustoUnit[],COLUMN(CUSTO_GLOBAL[[#Headers],[PQM]])-2,0)*($G100-$H100)</f>
        <v>15.07</v>
      </c>
      <c r="AJ100" s="22">
        <v>0</v>
      </c>
      <c r="AK100" s="22">
        <f>VLOOKUP($A100,tabCustoUnit[],COLUMN(CUSTO_GLOBAL[[#Headers],[Seguro de Vida]])-2,0)*($G100-$H100)</f>
        <v>3.36</v>
      </c>
      <c r="AL100" s="22">
        <f>VLOOKUP($A100,tabCustoUnit[],COLUMN(CUSTO_GLOBAL[[#Headers],[Despesas de Viagem]])-2,0)*($G100-$H100)</f>
        <v>0</v>
      </c>
      <c r="AM100" s="22" t="e">
        <f ca="1">VLOOKUP($A100,tabCustoUnit[],COLUMN(CUSTO_GLOBAL[[#Headers],[Submódulo 2.3]])-2,0)*($G100-$H100)</f>
        <v>#NAME?</v>
      </c>
      <c r="AN100" s="22" t="e">
        <f ca="1">VLOOKUP($A100,tabCustoUnit[],COLUMN(CUSTO_GLOBAL[[#Headers],[MÓDULO 2 - Total Encargos e Benefícios mensais e diários]])-2,0)*($G100-$H100)</f>
        <v>#NAME?</v>
      </c>
      <c r="AO100" s="22">
        <f>VLOOKUP($A100,tabCustoUnit[],COLUMN(CUSTO_GLOBAL[[#Headers],[Aviso Prévio Indenizado (API) e Reflexo do Aviso Prévio Indenizado]])-2,0)*($G100-$H100)</f>
        <v>23.819888151890432</v>
      </c>
      <c r="AP100" s="22">
        <f>VLOOKUP($A100,tabCustoUnit[],COLUMN(CUSTO_GLOBAL[[#Headers],[Incidência do FGTS sobre API e Reflexo do API]])-2,0)*($G100-$H100)</f>
        <v>1.9055910521512347</v>
      </c>
      <c r="AQ100" s="22">
        <f>VLOOKUP($A100,tabCustoUnit[],COLUMN(CUSTO_GLOBAL[[#Headers],[Multa Rescisória do FGTS sobre o Aviso Prévio Indenizado]])-2,0)*($G100-$H100)</f>
        <v>0.76223642086049392</v>
      </c>
      <c r="AR100" s="22">
        <f>VLOOKUP($A100,tabCustoUnit[],COLUMN(CUSTO_GLOBAL[[#Headers],[Aviso Prévio Trabalhado - APT]])-2,0)*($G100-$H100)</f>
        <v>11.889957100000002</v>
      </c>
      <c r="AS100" s="22">
        <f>VLOOKUP($A100,tabCustoUnit[],COLUMN(CUSTO_GLOBAL[[#Headers],[Incidência dos encargos do submódulo 2.1 sobre Aviso Prévio Trabalhado]])-2,0)*($G100-$H100)</f>
        <v>4.4944037838000011</v>
      </c>
      <c r="AT100" s="22">
        <f>VLOOKUP($A100,tabCustoUnit[],COLUMN(CUSTO_GLOBAL[[#Headers],[Multa Rescisória do FGTS]])-2,0)*($G100-$H100)</f>
        <v>103.87670456888887</v>
      </c>
      <c r="AU100" s="22">
        <f>VLOOKUP($A100,tabCustoUnit[],COLUMN(CUSTO_GLOBAL[[#Headers],[Indenização Adicional (Art. 9º da Lei nº 7.238/84)]])-2,0)*($G100-$H100)</f>
        <v>2.830942166666667</v>
      </c>
      <c r="AV100" s="22">
        <f>VLOOKUP($A100,tabCustoUnit[],COLUMN(CUSTO_GLOBAL[[#Headers],[MÓDULO 3 – PROVISÃO PARA RESCISÃO]])-2,0)*($G100-$H100)</f>
        <v>149.57972324425771</v>
      </c>
      <c r="AW100" s="22">
        <f>VLOOKUP($A100,tabCustoUnit[],COLUMN(CUSTO_GLOBAL[[#Headers],[Ausência por Doença]])-2,0)*($G100-$H100)</f>
        <v>28.686880622222219</v>
      </c>
      <c r="AX100" s="22">
        <f>VLOOKUP($A100,tabCustoUnit[],COLUMN(CUSTO_GLOBAL[[#Headers],[Ausências Legais]])-2,0)*($G100-$H100)</f>
        <v>6.8886259388888886</v>
      </c>
      <c r="AY100" s="22">
        <f>VLOOKUP($A100,tabCustoUnit[],COLUMN(CUSTO_GLOBAL[[#Headers],[Licença Paternidade]])-2,0)*($G100-$H100)</f>
        <v>0.58034314416666666</v>
      </c>
      <c r="AZ100" s="22">
        <f>VLOOKUP($A100,tabCustoUnit[],COLUMN(CUSTO_GLOBAL[[#Headers],[Ausência por Acidente de Trabalho]])-2,0)*($G100-$H100)</f>
        <v>0.70773554166666675</v>
      </c>
      <c r="BA100" s="22">
        <f>VLOOKUP($A100,tabCustoUnit[],COLUMN(CUSTO_GLOBAL[[#Headers],[Férias, Adicional de Férias e 13º  com empregada em gozo de Licença Maternidade]])-2,0)*($G100-$H100)</f>
        <v>4.4036878148148144</v>
      </c>
      <c r="BB100" s="22">
        <f>VLOOKUP($A100,tabCustoUnit[],COLUMN(CUSTO_GLOBAL[[#Headers],[Incidência do Submódulo 2.1 sobre Ausências Legais]])-2,0)*($G100-$H100)</f>
        <v>15.599029217345002</v>
      </c>
      <c r="BC100" s="22">
        <f>VLOOKUP($A100,tabCustoUnit[],COLUMN(CUSTO_GLOBAL[[#Headers],[Submódulo 4.1]])-2,0)*($G100-$H100)</f>
        <v>56.866302279104261</v>
      </c>
      <c r="BD100" s="22">
        <f>VLOOKUP($A100,tabCustoUnit[],COLUMN(CUSTO_GLOBAL[[#Headers],[Intervalo para Repouso ou Alimentação]])-2,0)*($G100-$H100)</f>
        <v>0</v>
      </c>
      <c r="BE100" s="22">
        <f>VLOOKUP($A100,tabCustoUnit[],COLUMN(CUSTO_GLOBAL[[#Headers],[Submódulo 4.2]])-2,0)*($G100-$H100)</f>
        <v>0</v>
      </c>
      <c r="BF100" s="22">
        <f>VLOOKUP($A100,tabCustoUnit[],COLUMN(CUSTO_GLOBAL[[#Headers],[Suspensão Temporária do Contrato de Trabalho]])-2,0)*($G100-$H100)</f>
        <v>0</v>
      </c>
      <c r="BG100" s="22">
        <f>VLOOKUP($A100,tabCustoUnit[],COLUMN(CUSTO_GLOBAL[[#Headers],[Submódulo 4.3]])-2,0)*($G100-$H100)</f>
        <v>0</v>
      </c>
      <c r="BH100" s="22">
        <f>VLOOKUP($A100,tabCustoUnit[],COLUMN(CUSTO_GLOBAL[[#Headers],[MÓDULO 4 – CUSTO DE REPOSIÇÃO DO PROFISSIONAL AUSENTE]])-2,0)*($G100-$H100)</f>
        <v>56.866302279104261</v>
      </c>
      <c r="BI100" s="22">
        <f>VLOOKUP($A100,tabCustoUnit[],COLUMN(CUSTO_GLOBAL[[#Headers],[Uniformes e EPIs]])-2,0)*($G100-$H100)</f>
        <v>56.642978962543395</v>
      </c>
      <c r="BJ100" s="22">
        <f>VLOOKUP($A100,tabCustoUnit[],COLUMN(CUSTO_GLOBAL[[#Headers],[Materiais de Consumo]])-2,0)*($G100-$H100)</f>
        <v>0</v>
      </c>
      <c r="BK100" s="22">
        <f>VLOOKUP($A100,tabCustoUnit[],COLUMN(CUSTO_GLOBAL[[#Headers],[Máquinas e Equipamentos (depreciação)]])-2,0)*($G100-$H100)</f>
        <v>0</v>
      </c>
      <c r="BL100" s="22">
        <f>VLOOKUP($A100,tabCustoUnit[],COLUMN(CUSTO_GLOBAL[[#Headers],[Produtos de Limpeza e Materiais de Higiene Pessoal]])-2,0)*($G100-$H100)</f>
        <v>0</v>
      </c>
      <c r="BM100" s="22">
        <f>VLOOKUP($A100,tabCustoUnit[],COLUMN(CUSTO_GLOBAL[[#Headers],[Outros (especificar)]])-2,0)*($G100-$H100)</f>
        <v>0</v>
      </c>
      <c r="BN100" s="22">
        <f>VLOOKUP($A100,tabCustoUnit[],COLUMN(CUSTO_GLOBAL[[#Headers],[MÓDULO 5 – INSUMOS DIVERSOS]])-2,0)*($G100-$H100)</f>
        <v>56.642978962543395</v>
      </c>
      <c r="BO100" s="22" t="e">
        <f ca="1">VLOOKUP($A100,tabCustoUnit[],COLUMN(CUSTO_GLOBAL[[#Headers],[TOTAL MÓDULOS 1+2+3+4+5]])-2,0)*($G100-$H100)</f>
        <v>#NAME?</v>
      </c>
      <c r="BP100" s="22" t="e">
        <f ca="1">VLOOKUP($A100,tabCustoUnit[],COLUMN(CUSTO_GLOBAL[[#Headers],[Custos Indiretos]])-2,0)*($G100-$H100)</f>
        <v>#NAME?</v>
      </c>
      <c r="BQ100" s="22" t="e">
        <f ca="1">VLOOKUP($A100,tabCustoUnit[],COLUMN(CUSTO_GLOBAL[[#Headers],[Lucro]])-2,0)*($G100-$H100)</f>
        <v>#NAME?</v>
      </c>
      <c r="BR100" s="26">
        <f>VLOOKUP($A100,tabCustoUnit[],COLUMN(CUSTO_GLOBAL[[#Headers],[COFINS]])-2,0)</f>
        <v>8.6609686609686695E-2</v>
      </c>
      <c r="BS100" s="26">
        <f>VLOOKUP($A100,tabCustoUnit[],COLUMN(CUSTO_GLOBAL[[#Headers],[PIS]])-2,0)</f>
        <v>1.880341880341882E-2</v>
      </c>
      <c r="BT100" s="28">
        <f>VLOOKUP($A100,tabCustoUnit[],COLUMN(CUSTO_GLOBAL[[#Headers],[ISS]])-2,0)</f>
        <v>0.03</v>
      </c>
      <c r="BU100" s="26">
        <f>VLOOKUP($A100,tabCustoUnit[],COLUMN(CUSTO_GLOBAL[[#Headers],[ISS (Conversão Alíquota s/ fatura)]])-2,0)</f>
        <v>3.4188034188034219E-2</v>
      </c>
      <c r="BV100" s="26">
        <f>VLOOKUP($A100,tabCustoUnit[],COLUMN(CUSTO_GLOBAL[[#Headers],[Resumo de Alíquotas (PIS+CONFINS+ISS)]])-2,0)</f>
        <v>0.1225</v>
      </c>
      <c r="BW100" s="138">
        <f>VLOOKUP($A100,tabCustoUnit[],COLUMN(CUSTO_GLOBAL[[#Headers],[PIS + COFINS + ISS (Total Conversão  Alíquota s/ Fatura)]])-2,0)</f>
        <v>0.13960113960113973</v>
      </c>
      <c r="BX100" s="22" t="e">
        <f ca="1">VLOOKUP($A100,tabCustoUnit[],COLUMN(CUSTO_GLOBAL[[#Headers],[Valor dos Tributos (ISS, PIS, CONFINS)]])-2,0)*($G100-$H100)</f>
        <v>#NAME?</v>
      </c>
      <c r="BY100" s="22" t="e">
        <f ca="1">VLOOKUP($A100,tabCustoUnit[],COLUMN(CUSTO_GLOBAL[[#Headers],[MÓDULO 6 – CUSTOS INDIRETOS, TRIBUTOS E LUCRO]])-2,0)*($G100-$H100)</f>
        <v>#NAME?</v>
      </c>
      <c r="BZ100" s="22" t="e">
        <f ca="1">VLOOKUP($A100,tabCustoUnit[],COLUMN(CUSTO_GLOBAL[[#Headers],[CUSTO TOTAL MENSAL]])-2,0)*($G100-$H100)</f>
        <v>#NAME?</v>
      </c>
      <c r="CA100" s="22" t="e">
        <f ca="1">CUSTO_GLOBAL[[#This Row],[CUSTO TOTAL MENSAL]]*12</f>
        <v>#NAME?</v>
      </c>
      <c r="CB100" s="24">
        <f>VLOOKUP($A100,tabCustoUnit[],COLUMN(CUSTO_GLOBAL[[#Headers],[ANO DA CCT]])-2,0)</f>
        <v>45658</v>
      </c>
      <c r="CC100" s="25" t="str">
        <f>VLOOKUP($A100,tabCustoUnit[],COLUMN(CUSTO_GLOBAL[[#Headers],[Nº DE PEDIDO DA CCT]])-2,0)</f>
        <v>-</v>
      </c>
      <c r="CD100" s="25" t="str">
        <f>VLOOKUP($A100,tabCustoUnit[],COLUMN(CUSTO_GLOBAL[[#Headers],[TERMO ADITIVO ALTERAÇÃO DA CCT]])-2,0)</f>
        <v>-</v>
      </c>
    </row>
    <row r="101" spans="1:82">
      <c r="A101" s="20" t="s">
        <v>1565</v>
      </c>
      <c r="B101" t="s">
        <v>1113</v>
      </c>
      <c r="C101" t="s">
        <v>314</v>
      </c>
      <c r="D101" t="s">
        <v>918</v>
      </c>
      <c r="E101" s="20" t="s">
        <v>1090</v>
      </c>
      <c r="F101" s="20" t="s">
        <v>120</v>
      </c>
      <c r="G101" s="20">
        <v>1</v>
      </c>
      <c r="H101" s="20">
        <v>0</v>
      </c>
      <c r="I101" s="21">
        <f>VLOOKUP($A101,tabCustoUnit[],COLUMN(CUSTO_GLOBAL[[#Headers],[Salário Base]])-2,0)*($G101-$H101)</f>
        <v>1963.4110000000001</v>
      </c>
      <c r="J101" s="21">
        <f>VLOOKUP($A101,tabCustoUnit[],COLUMN(CUSTO_GLOBAL[[#Headers],[Adicional Periculosidade]])-2,0)*($G101-$H101)</f>
        <v>0</v>
      </c>
      <c r="K101" s="21">
        <f>VLOOKUP($A101,tabCustoUnit[],COLUMN(CUSTO_GLOBAL[[#Headers],[Adicional Insalubridade]])-2,0)*($G101-$H101)</f>
        <v>0</v>
      </c>
      <c r="L101" s="21">
        <f>VLOOKUP($A101,tabCustoUnit[],COLUMN(CUSTO_GLOBAL[[#Headers],[Adicional Noturno]])-2,0)*($G101-$H101)</f>
        <v>0</v>
      </c>
      <c r="M101" s="21">
        <f>VLOOKUP($A101,tabCustoUnit[],COLUMN(CUSTO_GLOBAL[[#Headers],[Adicional Motorista II (Gratificação)]])-2,0)*($G101-$H101)</f>
        <v>0</v>
      </c>
      <c r="N101" s="21">
        <f>VLOOKUP($A101,tabCustoUnit[],COLUMN(CUSTO_GLOBAL[[#Headers],[Adicional de Sobreaviso]])-2,0)*($G101-$H101)</f>
        <v>0</v>
      </c>
      <c r="O101" s="21">
        <f>VLOOKUP($A101,tabCustoUnit[],COLUMN(CUSTO_GLOBAL[[#Headers],[Horas Extras TI]])-2,0)*($G101-$H101)</f>
        <v>0</v>
      </c>
      <c r="P101" s="21">
        <f>VLOOKUP($A101,tabCustoUnit[],COLUMN(CUSTO_GLOBAL[[#Headers],[Adicional de Acúmulo de função]])-2,0)*($G101-$H101)</f>
        <v>0</v>
      </c>
      <c r="Q101" s="21">
        <f>VLOOKUP($A101,tabCustoUnit[],COLUMN(CUSTO_GLOBAL[[#Headers],[MODULO 1 - REMUNERAÇÃO ]])-2,0)*($G101-$H101)</f>
        <v>1963.4110000000001</v>
      </c>
      <c r="R101" s="21">
        <f>VLOOKUP($A101,tabCustoUnit[],COLUMN(CUSTO_GLOBAL[[#Headers],[INSS]])-2,0)*($G101-$H101)</f>
        <v>392.68220000000002</v>
      </c>
      <c r="S101" s="21">
        <f>VLOOKUP($A101,tabCustoUnit[],COLUMN(CUSTO_GLOBAL[[#Headers],[SESI OU SESC]])-2,0)*($G101-$H101)</f>
        <v>29.451165</v>
      </c>
      <c r="T101" s="21">
        <f>VLOOKUP($A101,tabCustoUnit[],COLUMN(CUSTO_GLOBAL[[#Headers],[SENAI OU SENAC]])-2,0)*($G101-$H101)</f>
        <v>19.63411</v>
      </c>
      <c r="U101" s="21">
        <f>VLOOKUP($A101,tabCustoUnit[],COLUMN(CUSTO_GLOBAL[[#Headers],[INCRA]])-2,0)*($G101-$H101)</f>
        <v>3.926822</v>
      </c>
      <c r="V101" s="21">
        <f>VLOOKUP($A101,tabCustoUnit[],COLUMN(CUSTO_GLOBAL[[#Headers],[Salário Educação]])-2,0)*($G101-$H101)</f>
        <v>49.085275000000003</v>
      </c>
      <c r="W101" s="21">
        <f>VLOOKUP($A101,tabCustoUnit[],COLUMN(CUSTO_GLOBAL[[#Headers],[FGTS]])-2,0)*($G101-$H101)</f>
        <v>157.07288</v>
      </c>
      <c r="X101" s="21">
        <f>VLOOKUP($A101,tabCustoUnit[],COLUMN(CUSTO_GLOBAL[[#Headers],[RAT Ajustado]])-2,0)*($G101-$H101)</f>
        <v>78.536439999999999</v>
      </c>
      <c r="Y101" s="21">
        <f>VLOOKUP($A101,tabCustoUnit[],COLUMN(CUSTO_GLOBAL[[#Headers],[SEBRAE]])-2,0)*($G101-$H101)</f>
        <v>11.780466000000001</v>
      </c>
      <c r="Z101" s="21">
        <f>VLOOKUP($A101,tabCustoUnit[],COLUMN(CUSTO_GLOBAL[[#Headers],[Submódulo 2.1]])-2,0)*($G101-$H101)</f>
        <v>742.1693580000001</v>
      </c>
      <c r="AA101" s="21">
        <f>VLOOKUP($A101,tabCustoUnit[],COLUMN(CUSTO_GLOBAL[[#Headers],[13º salário (titular)]])-2,0)*($G101-$H101)</f>
        <v>163.61758333333333</v>
      </c>
      <c r="AB101" s="21">
        <f>VLOOKUP($A101,tabCustoUnit[],COLUMN(CUSTO_GLOBAL[[#Headers],[Férias e Adicional de Férias (titular)]])-2,0)*($G101-$H101)</f>
        <v>218.15677777777776</v>
      </c>
      <c r="AC101" s="21">
        <f>VLOOKUP($A101,tabCustoUnit[],COLUMN(CUSTO_GLOBAL[[#Headers],[Incidência do Submódulo 2.1 sobre 13º Salário, Férias e Adicional de Férias]])-2,0)*($G101-$H101)</f>
        <v>144.3107085</v>
      </c>
      <c r="AD101" s="21">
        <f>VLOOKUP($A101,tabCustoUnit[],COLUMN(CUSTO_GLOBAL[[#Headers],[Submódulo 2.2]])-2,0)*($G101-$H101)</f>
        <v>526.08506961111107</v>
      </c>
      <c r="AE101" s="22" t="e">
        <f ca="1">VLOOKUP($A101,tabCustoUnit[],COLUMN(CUSTO_GLOBAL[[#Headers],[Vale - Transporte (Descontada parcela do empregado)]])-2,0)*($G101-$H101)</f>
        <v>#NAME?</v>
      </c>
      <c r="AF101" s="22">
        <f>VLOOKUP($A101,tabCustoUnit[],COLUMN(CUSTO_GLOBAL[[#Headers],[Vale - Alimentação (Descontada parcela do empregado)]])-2,0)*($G101-$H101)</f>
        <v>582</v>
      </c>
      <c r="AG101" s="22">
        <f>VLOOKUP($A101,tabCustoUnit[],COLUMN(CUSTO_GLOBAL[[#Headers],[Cesta Básica]])-2,0)*($G101-$H101)</f>
        <v>0</v>
      </c>
      <c r="AH101" s="22">
        <f>VLOOKUP($A101,tabCustoUnit[],COLUMN(CUSTO_GLOBAL[[#Headers],[PAF]])-2,0)*($G101-$H101)</f>
        <v>0</v>
      </c>
      <c r="AI101" s="22">
        <f>VLOOKUP($A101,tabCustoUnit[],COLUMN(CUSTO_GLOBAL[[#Headers],[PQM]])-2,0)*($G101-$H101)</f>
        <v>15.07</v>
      </c>
      <c r="AJ101" s="22">
        <v>0</v>
      </c>
      <c r="AK101" s="22">
        <f>VLOOKUP($A101,tabCustoUnit[],COLUMN(CUSTO_GLOBAL[[#Headers],[Seguro de Vida]])-2,0)*($G101-$H101)</f>
        <v>3.36</v>
      </c>
      <c r="AL101" s="22">
        <f>VLOOKUP($A101,tabCustoUnit[],COLUMN(CUSTO_GLOBAL[[#Headers],[Despesas de Viagem]])-2,0)*($G101-$H101)</f>
        <v>0</v>
      </c>
      <c r="AM101" s="22" t="e">
        <f ca="1">VLOOKUP($A101,tabCustoUnit[],COLUMN(CUSTO_GLOBAL[[#Headers],[Submódulo 2.3]])-2,0)*($G101-$H101)</f>
        <v>#NAME?</v>
      </c>
      <c r="AN101" s="22" t="e">
        <f ca="1">VLOOKUP($A101,tabCustoUnit[],COLUMN(CUSTO_GLOBAL[[#Headers],[MÓDULO 2 - Total Encargos e Benefícios mensais e diários]])-2,0)*($G101-$H101)</f>
        <v>#NAME?</v>
      </c>
      <c r="AO101" s="22">
        <f>VLOOKUP($A101,tabCustoUnit[],COLUMN(CUSTO_GLOBAL[[#Headers],[Aviso Prévio Indenizado (API) e Reflexo do Aviso Prévio Indenizado]])-2,0)*($G101-$H101)</f>
        <v>13.766980408757716</v>
      </c>
      <c r="AP101" s="22">
        <f>VLOOKUP($A101,tabCustoUnit[],COLUMN(CUSTO_GLOBAL[[#Headers],[Incidência do FGTS sobre API e Reflexo do API]])-2,0)*($G101-$H101)</f>
        <v>1.1013584327006174</v>
      </c>
      <c r="AQ101" s="22">
        <f>VLOOKUP($A101,tabCustoUnit[],COLUMN(CUSTO_GLOBAL[[#Headers],[Multa Rescisória do FGTS sobre o Aviso Prévio Indenizado]])-2,0)*($G101-$H101)</f>
        <v>0.44054337308024699</v>
      </c>
      <c r="AR101" s="22">
        <f>VLOOKUP($A101,tabCustoUnit[],COLUMN(CUSTO_GLOBAL[[#Headers],[Aviso Prévio Trabalhado - APT]])-2,0)*($G101-$H101)</f>
        <v>6.8719385000000015</v>
      </c>
      <c r="AS101" s="22">
        <f>VLOOKUP($A101,tabCustoUnit[],COLUMN(CUSTO_GLOBAL[[#Headers],[Incidência dos encargos do submódulo 2.1 sobre Aviso Prévio Trabalhado]])-2,0)*($G101-$H101)</f>
        <v>2.5975927530000007</v>
      </c>
      <c r="AT101" s="22">
        <f>VLOOKUP($A101,tabCustoUnit[],COLUMN(CUSTO_GLOBAL[[#Headers],[Multa Rescisória do FGTS]])-2,0)*($G101-$H101)</f>
        <v>60.03674524444444</v>
      </c>
      <c r="AU101" s="22">
        <f>VLOOKUP($A101,tabCustoUnit[],COLUMN(CUSTO_GLOBAL[[#Headers],[Indenização Adicional (Art. 9º da Lei nº 7.238/84)]])-2,0)*($G101-$H101)</f>
        <v>1.6361758333333334</v>
      </c>
      <c r="AV101" s="22">
        <f>VLOOKUP($A101,tabCustoUnit[],COLUMN(CUSTO_GLOBAL[[#Headers],[MÓDULO 3 – PROVISÃO PARA RESCISÃO]])-2,0)*($G101-$H101)</f>
        <v>86.451334545316371</v>
      </c>
      <c r="AW101" s="22">
        <f>VLOOKUP($A101,tabCustoUnit[],COLUMN(CUSTO_GLOBAL[[#Headers],[Ausência por Doença]])-2,0)*($G101-$H101)</f>
        <v>16.579915111111109</v>
      </c>
      <c r="AX101" s="22">
        <f>VLOOKUP($A101,tabCustoUnit[],COLUMN(CUSTO_GLOBAL[[#Headers],[Ausências Legais]])-2,0)*($G101-$H101)</f>
        <v>3.9813611944444443</v>
      </c>
      <c r="AY101" s="22">
        <f>VLOOKUP($A101,tabCustoUnit[],COLUMN(CUSTO_GLOBAL[[#Headers],[Licença Paternidade]])-2,0)*($G101-$H101)</f>
        <v>0.33541604583333334</v>
      </c>
      <c r="AZ101" s="22">
        <f>VLOOKUP($A101,tabCustoUnit[],COLUMN(CUSTO_GLOBAL[[#Headers],[Ausência por Acidente de Trabalho]])-2,0)*($G101-$H101)</f>
        <v>0.40904395833333335</v>
      </c>
      <c r="BA101" s="22">
        <f>VLOOKUP($A101,tabCustoUnit[],COLUMN(CUSTO_GLOBAL[[#Headers],[Férias, Adicional de Férias e 13º  com empregada em gozo de Licença Maternidade]])-2,0)*($G101-$H101)</f>
        <v>2.5451624074074073</v>
      </c>
      <c r="BB101" s="22">
        <f>VLOOKUP($A101,tabCustoUnit[],COLUMN(CUSTO_GLOBAL[[#Headers],[Incidência do Submódulo 2.1 sobre Ausências Legais]])-2,0)*($G101-$H101)</f>
        <v>9.0156397150750021</v>
      </c>
      <c r="BC101" s="22">
        <f>VLOOKUP($A101,tabCustoUnit[],COLUMN(CUSTO_GLOBAL[[#Headers],[Submódulo 4.1]])-2,0)*($G101-$H101)</f>
        <v>32.866538432204628</v>
      </c>
      <c r="BD101" s="22">
        <f>VLOOKUP($A101,tabCustoUnit[],COLUMN(CUSTO_GLOBAL[[#Headers],[Intervalo para Repouso ou Alimentação]])-2,0)*($G101-$H101)</f>
        <v>267.73786489195959</v>
      </c>
      <c r="BE101" s="22">
        <f>VLOOKUP($A101,tabCustoUnit[],COLUMN(CUSTO_GLOBAL[[#Headers],[Submódulo 4.2]])-2,0)*($G101-$H101)</f>
        <v>267.73786489195959</v>
      </c>
      <c r="BF101" s="22">
        <f>VLOOKUP($A101,tabCustoUnit[],COLUMN(CUSTO_GLOBAL[[#Headers],[Suspensão Temporária do Contrato de Trabalho]])-2,0)*($G101-$H101)</f>
        <v>0</v>
      </c>
      <c r="BG101" s="22">
        <f>VLOOKUP($A101,tabCustoUnit[],COLUMN(CUSTO_GLOBAL[[#Headers],[Submódulo 4.3]])-2,0)*($G101-$H101)</f>
        <v>0</v>
      </c>
      <c r="BH101" s="22">
        <f>VLOOKUP($A101,tabCustoUnit[],COLUMN(CUSTO_GLOBAL[[#Headers],[MÓDULO 4 – CUSTO DE REPOSIÇÃO DO PROFISSIONAL AUSENTE]])-2,0)*($G101-$H101)</f>
        <v>300.6044033241642</v>
      </c>
      <c r="BI101" s="22">
        <f>VLOOKUP($A101,tabCustoUnit[],COLUMN(CUSTO_GLOBAL[[#Headers],[Uniformes e EPIs]])-2,0)*($G101-$H101)</f>
        <v>56.642978962543395</v>
      </c>
      <c r="BJ101" s="22">
        <f>VLOOKUP($A101,tabCustoUnit[],COLUMN(CUSTO_GLOBAL[[#Headers],[Materiais de Consumo]])-2,0)*($G101-$H101)</f>
        <v>0</v>
      </c>
      <c r="BK101" s="22">
        <f>VLOOKUP($A101,tabCustoUnit[],COLUMN(CUSTO_GLOBAL[[#Headers],[Máquinas e Equipamentos (depreciação)]])-2,0)*($G101-$H101)</f>
        <v>0</v>
      </c>
      <c r="BL101" s="22">
        <f>VLOOKUP($A101,tabCustoUnit[],COLUMN(CUSTO_GLOBAL[[#Headers],[Produtos de Limpeza e Materiais de Higiene Pessoal]])-2,0)*($G101-$H101)</f>
        <v>0</v>
      </c>
      <c r="BM101" s="22">
        <f>VLOOKUP($A101,tabCustoUnit[],COLUMN(CUSTO_GLOBAL[[#Headers],[Outros (especificar)]])-2,0)*($G101-$H101)</f>
        <v>0</v>
      </c>
      <c r="BN101" s="22">
        <f>VLOOKUP($A101,tabCustoUnit[],COLUMN(CUSTO_GLOBAL[[#Headers],[MÓDULO 5 – INSUMOS DIVERSOS]])-2,0)*($G101-$H101)</f>
        <v>56.642978962543395</v>
      </c>
      <c r="BO101" s="22" t="e">
        <f ca="1">VLOOKUP($A101,tabCustoUnit[],COLUMN(CUSTO_GLOBAL[[#Headers],[TOTAL MÓDULOS 1+2+3+4+5]])-2,0)*($G101-$H101)</f>
        <v>#NAME?</v>
      </c>
      <c r="BP101" s="22" t="e">
        <f ca="1">VLOOKUP($A101,tabCustoUnit[],COLUMN(CUSTO_GLOBAL[[#Headers],[Custos Indiretos]])-2,0)*($G101-$H101)</f>
        <v>#NAME?</v>
      </c>
      <c r="BQ101" s="22" t="e">
        <f ca="1">VLOOKUP($A101,tabCustoUnit[],COLUMN(CUSTO_GLOBAL[[#Headers],[Lucro]])-2,0)*($G101-$H101)</f>
        <v>#NAME?</v>
      </c>
      <c r="BR101" s="26">
        <f>VLOOKUP($A101,tabCustoUnit[],COLUMN(CUSTO_GLOBAL[[#Headers],[COFINS]])-2,0)</f>
        <v>8.5633802816901458E-2</v>
      </c>
      <c r="BS101" s="26">
        <f>VLOOKUP($A101,tabCustoUnit[],COLUMN(CUSTO_GLOBAL[[#Headers],[PIS]])-2,0)</f>
        <v>1.8591549295774657E-2</v>
      </c>
      <c r="BT101" s="28">
        <f>VLOOKUP($A101,tabCustoUnit[],COLUMN(CUSTO_GLOBAL[[#Headers],[ISS]])-2,0)</f>
        <v>0.02</v>
      </c>
      <c r="BU101" s="26">
        <f>VLOOKUP($A101,tabCustoUnit[],COLUMN(CUSTO_GLOBAL[[#Headers],[ISS (Conversão Alíquota s/ fatura)]])-2,0)</f>
        <v>2.2535211267605645E-2</v>
      </c>
      <c r="BV101" s="26">
        <f>VLOOKUP($A101,tabCustoUnit[],COLUMN(CUSTO_GLOBAL[[#Headers],[Resumo de Alíquotas (PIS+CONFINS+ISS)]])-2,0)</f>
        <v>0.1125</v>
      </c>
      <c r="BW101" s="138">
        <f>VLOOKUP($A101,tabCustoUnit[],COLUMN(CUSTO_GLOBAL[[#Headers],[PIS + COFINS + ISS (Total Conversão  Alíquota s/ Fatura)]])-2,0)</f>
        <v>0.12676056338028174</v>
      </c>
      <c r="BX101" s="22" t="e">
        <f ca="1">VLOOKUP($A101,tabCustoUnit[],COLUMN(CUSTO_GLOBAL[[#Headers],[Valor dos Tributos (ISS, PIS, CONFINS)]])-2,0)*($G101-$H101)</f>
        <v>#NAME?</v>
      </c>
      <c r="BY101" s="22" t="e">
        <f ca="1">VLOOKUP($A101,tabCustoUnit[],COLUMN(CUSTO_GLOBAL[[#Headers],[MÓDULO 6 – CUSTOS INDIRETOS, TRIBUTOS E LUCRO]])-2,0)*($G101-$H101)</f>
        <v>#NAME?</v>
      </c>
      <c r="BZ101" s="22" t="e">
        <f ca="1">VLOOKUP($A101,tabCustoUnit[],COLUMN(CUSTO_GLOBAL[[#Headers],[CUSTO TOTAL MENSAL]])-2,0)*($G101-$H101)</f>
        <v>#NAME?</v>
      </c>
      <c r="CA101" s="22" t="e">
        <f ca="1">CUSTO_GLOBAL[[#This Row],[CUSTO TOTAL MENSAL]]*12</f>
        <v>#NAME?</v>
      </c>
      <c r="CB101" s="24">
        <f>VLOOKUP($A101,tabCustoUnit[],COLUMN(CUSTO_GLOBAL[[#Headers],[ANO DA CCT]])-2,0)</f>
        <v>45658</v>
      </c>
      <c r="CC101" s="25" t="str">
        <f>VLOOKUP($A101,tabCustoUnit[],COLUMN(CUSTO_GLOBAL[[#Headers],[Nº DE PEDIDO DA CCT]])-2,0)</f>
        <v>-</v>
      </c>
      <c r="CD101" s="25" t="str">
        <f>VLOOKUP($A101,tabCustoUnit[],COLUMN(CUSTO_GLOBAL[[#Headers],[TERMO ADITIVO ALTERAÇÃO DA CCT]])-2,0)</f>
        <v>-</v>
      </c>
    </row>
    <row r="102" spans="1:82">
      <c r="A102" s="20" t="s">
        <v>1566</v>
      </c>
      <c r="B102" t="s">
        <v>1114</v>
      </c>
      <c r="C102" t="s">
        <v>314</v>
      </c>
      <c r="D102" t="s">
        <v>918</v>
      </c>
      <c r="E102" s="20" t="s">
        <v>1090</v>
      </c>
      <c r="F102" s="20" t="s">
        <v>120</v>
      </c>
      <c r="G102" s="20">
        <v>1</v>
      </c>
      <c r="H102" s="20">
        <v>0</v>
      </c>
      <c r="I102" s="21">
        <f>VLOOKUP($A102,tabCustoUnit[],COLUMN(CUSTO_GLOBAL[[#Headers],[Salário Base]])-2,0)*($G102-$H102)</f>
        <v>1963.4110000000001</v>
      </c>
      <c r="J102" s="21">
        <f>VLOOKUP($A102,tabCustoUnit[],COLUMN(CUSTO_GLOBAL[[#Headers],[Adicional Periculosidade]])-2,0)*($G102-$H102)</f>
        <v>0</v>
      </c>
      <c r="K102" s="21">
        <f>VLOOKUP($A102,tabCustoUnit[],COLUMN(CUSTO_GLOBAL[[#Headers],[Adicional Insalubridade]])-2,0)*($G102-$H102)</f>
        <v>0</v>
      </c>
      <c r="L102" s="21">
        <f>VLOOKUP($A102,tabCustoUnit[],COLUMN(CUSTO_GLOBAL[[#Headers],[Adicional Noturno]])-2,0)*($G102-$H102)</f>
        <v>0</v>
      </c>
      <c r="M102" s="21">
        <f>VLOOKUP($A102,tabCustoUnit[],COLUMN(CUSTO_GLOBAL[[#Headers],[Adicional Motorista II (Gratificação)]])-2,0)*($G102-$H102)</f>
        <v>0</v>
      </c>
      <c r="N102" s="21">
        <f>VLOOKUP($A102,tabCustoUnit[],COLUMN(CUSTO_GLOBAL[[#Headers],[Adicional de Sobreaviso]])-2,0)*($G102-$H102)</f>
        <v>0</v>
      </c>
      <c r="O102" s="21">
        <f>VLOOKUP($A102,tabCustoUnit[],COLUMN(CUSTO_GLOBAL[[#Headers],[Horas Extras TI]])-2,0)*($G102-$H102)</f>
        <v>0</v>
      </c>
      <c r="P102" s="21">
        <f>VLOOKUP($A102,tabCustoUnit[],COLUMN(CUSTO_GLOBAL[[#Headers],[Adicional de Acúmulo de função]])-2,0)*($G102-$H102)</f>
        <v>0</v>
      </c>
      <c r="Q102" s="21">
        <f>VLOOKUP($A102,tabCustoUnit[],COLUMN(CUSTO_GLOBAL[[#Headers],[MODULO 1 - REMUNERAÇÃO ]])-2,0)*($G102-$H102)</f>
        <v>1963.4110000000001</v>
      </c>
      <c r="R102" s="21">
        <f>VLOOKUP($A102,tabCustoUnit[],COLUMN(CUSTO_GLOBAL[[#Headers],[INSS]])-2,0)*($G102-$H102)</f>
        <v>392.68220000000002</v>
      </c>
      <c r="S102" s="21">
        <f>VLOOKUP($A102,tabCustoUnit[],COLUMN(CUSTO_GLOBAL[[#Headers],[SESI OU SESC]])-2,0)*($G102-$H102)</f>
        <v>29.451165</v>
      </c>
      <c r="T102" s="21">
        <f>VLOOKUP($A102,tabCustoUnit[],COLUMN(CUSTO_GLOBAL[[#Headers],[SENAI OU SENAC]])-2,0)*($G102-$H102)</f>
        <v>19.63411</v>
      </c>
      <c r="U102" s="21">
        <f>VLOOKUP($A102,tabCustoUnit[],COLUMN(CUSTO_GLOBAL[[#Headers],[INCRA]])-2,0)*($G102-$H102)</f>
        <v>3.926822</v>
      </c>
      <c r="V102" s="21">
        <f>VLOOKUP($A102,tabCustoUnit[],COLUMN(CUSTO_GLOBAL[[#Headers],[Salário Educação]])-2,0)*($G102-$H102)</f>
        <v>49.085275000000003</v>
      </c>
      <c r="W102" s="21">
        <f>VLOOKUP($A102,tabCustoUnit[],COLUMN(CUSTO_GLOBAL[[#Headers],[FGTS]])-2,0)*($G102-$H102)</f>
        <v>157.07288</v>
      </c>
      <c r="X102" s="21">
        <f>VLOOKUP($A102,tabCustoUnit[],COLUMN(CUSTO_GLOBAL[[#Headers],[RAT Ajustado]])-2,0)*($G102-$H102)</f>
        <v>78.536439999999999</v>
      </c>
      <c r="Y102" s="21">
        <f>VLOOKUP($A102,tabCustoUnit[],COLUMN(CUSTO_GLOBAL[[#Headers],[SEBRAE]])-2,0)*($G102-$H102)</f>
        <v>11.780466000000001</v>
      </c>
      <c r="Z102" s="21">
        <f>VLOOKUP($A102,tabCustoUnit[],COLUMN(CUSTO_GLOBAL[[#Headers],[Submódulo 2.1]])-2,0)*($G102-$H102)</f>
        <v>742.1693580000001</v>
      </c>
      <c r="AA102" s="21">
        <f>VLOOKUP($A102,tabCustoUnit[],COLUMN(CUSTO_GLOBAL[[#Headers],[13º salário (titular)]])-2,0)*($G102-$H102)</f>
        <v>163.61758333333333</v>
      </c>
      <c r="AB102" s="21">
        <f>VLOOKUP($A102,tabCustoUnit[],COLUMN(CUSTO_GLOBAL[[#Headers],[Férias e Adicional de Férias (titular)]])-2,0)*($G102-$H102)</f>
        <v>218.15677777777776</v>
      </c>
      <c r="AC102" s="21">
        <f>VLOOKUP($A102,tabCustoUnit[],COLUMN(CUSTO_GLOBAL[[#Headers],[Incidência do Submódulo 2.1 sobre 13º Salário, Férias e Adicional de Férias]])-2,0)*($G102-$H102)</f>
        <v>144.3107085</v>
      </c>
      <c r="AD102" s="21">
        <f>VLOOKUP($A102,tabCustoUnit[],COLUMN(CUSTO_GLOBAL[[#Headers],[Submódulo 2.2]])-2,0)*($G102-$H102)</f>
        <v>526.08506961111107</v>
      </c>
      <c r="AE102" s="22" t="e">
        <f ca="1">VLOOKUP($A102,tabCustoUnit[],COLUMN(CUSTO_GLOBAL[[#Headers],[Vale - Transporte (Descontada parcela do empregado)]])-2,0)*($G102-$H102)</f>
        <v>#NAME?</v>
      </c>
      <c r="AF102" s="22">
        <f>VLOOKUP($A102,tabCustoUnit[],COLUMN(CUSTO_GLOBAL[[#Headers],[Vale - Alimentação (Descontada parcela do empregado)]])-2,0)*($G102-$H102)</f>
        <v>582</v>
      </c>
      <c r="AG102" s="22">
        <f>VLOOKUP($A102,tabCustoUnit[],COLUMN(CUSTO_GLOBAL[[#Headers],[Cesta Básica]])-2,0)*($G102-$H102)</f>
        <v>0</v>
      </c>
      <c r="AH102" s="22">
        <f>VLOOKUP($A102,tabCustoUnit[],COLUMN(CUSTO_GLOBAL[[#Headers],[PAF]])-2,0)*($G102-$H102)</f>
        <v>0</v>
      </c>
      <c r="AI102" s="22">
        <f>VLOOKUP($A102,tabCustoUnit[],COLUMN(CUSTO_GLOBAL[[#Headers],[PQM]])-2,0)*($G102-$H102)</f>
        <v>15.07</v>
      </c>
      <c r="AJ102" s="22">
        <v>0</v>
      </c>
      <c r="AK102" s="22">
        <f>VLOOKUP($A102,tabCustoUnit[],COLUMN(CUSTO_GLOBAL[[#Headers],[Seguro de Vida]])-2,0)*($G102-$H102)</f>
        <v>3.36</v>
      </c>
      <c r="AL102" s="22">
        <f>VLOOKUP($A102,tabCustoUnit[],COLUMN(CUSTO_GLOBAL[[#Headers],[Despesas de Viagem]])-2,0)*($G102-$H102)</f>
        <v>0</v>
      </c>
      <c r="AM102" s="22" t="e">
        <f ca="1">VLOOKUP($A102,tabCustoUnit[],COLUMN(CUSTO_GLOBAL[[#Headers],[Submódulo 2.3]])-2,0)*($G102-$H102)</f>
        <v>#NAME?</v>
      </c>
      <c r="AN102" s="22" t="e">
        <f ca="1">VLOOKUP($A102,tabCustoUnit[],COLUMN(CUSTO_GLOBAL[[#Headers],[MÓDULO 2 - Total Encargos e Benefícios mensais e diários]])-2,0)*($G102-$H102)</f>
        <v>#NAME?</v>
      </c>
      <c r="AO102" s="22">
        <f>VLOOKUP($A102,tabCustoUnit[],COLUMN(CUSTO_GLOBAL[[#Headers],[Aviso Prévio Indenizado (API) e Reflexo do Aviso Prévio Indenizado]])-2,0)*($G102-$H102)</f>
        <v>13.766980408757716</v>
      </c>
      <c r="AP102" s="22">
        <f>VLOOKUP($A102,tabCustoUnit[],COLUMN(CUSTO_GLOBAL[[#Headers],[Incidência do FGTS sobre API e Reflexo do API]])-2,0)*($G102-$H102)</f>
        <v>1.1013584327006174</v>
      </c>
      <c r="AQ102" s="22">
        <f>VLOOKUP($A102,tabCustoUnit[],COLUMN(CUSTO_GLOBAL[[#Headers],[Multa Rescisória do FGTS sobre o Aviso Prévio Indenizado]])-2,0)*($G102-$H102)</f>
        <v>0.44054337308024699</v>
      </c>
      <c r="AR102" s="22">
        <f>VLOOKUP($A102,tabCustoUnit[],COLUMN(CUSTO_GLOBAL[[#Headers],[Aviso Prévio Trabalhado - APT]])-2,0)*($G102-$H102)</f>
        <v>6.8719385000000015</v>
      </c>
      <c r="AS102" s="22">
        <f>VLOOKUP($A102,tabCustoUnit[],COLUMN(CUSTO_GLOBAL[[#Headers],[Incidência dos encargos do submódulo 2.1 sobre Aviso Prévio Trabalhado]])-2,0)*($G102-$H102)</f>
        <v>2.5975927530000007</v>
      </c>
      <c r="AT102" s="22">
        <f>VLOOKUP($A102,tabCustoUnit[],COLUMN(CUSTO_GLOBAL[[#Headers],[Multa Rescisória do FGTS]])-2,0)*($G102-$H102)</f>
        <v>60.03674524444444</v>
      </c>
      <c r="AU102" s="22">
        <f>VLOOKUP($A102,tabCustoUnit[],COLUMN(CUSTO_GLOBAL[[#Headers],[Indenização Adicional (Art. 9º da Lei nº 7.238/84)]])-2,0)*($G102-$H102)</f>
        <v>1.6361758333333334</v>
      </c>
      <c r="AV102" s="22">
        <f>VLOOKUP($A102,tabCustoUnit[],COLUMN(CUSTO_GLOBAL[[#Headers],[MÓDULO 3 – PROVISÃO PARA RESCISÃO]])-2,0)*($G102-$H102)</f>
        <v>86.451334545316371</v>
      </c>
      <c r="AW102" s="22">
        <f>VLOOKUP($A102,tabCustoUnit[],COLUMN(CUSTO_GLOBAL[[#Headers],[Ausência por Doença]])-2,0)*($G102-$H102)</f>
        <v>16.579915111111109</v>
      </c>
      <c r="AX102" s="22">
        <f>VLOOKUP($A102,tabCustoUnit[],COLUMN(CUSTO_GLOBAL[[#Headers],[Ausências Legais]])-2,0)*($G102-$H102)</f>
        <v>3.9813611944444443</v>
      </c>
      <c r="AY102" s="22">
        <f>VLOOKUP($A102,tabCustoUnit[],COLUMN(CUSTO_GLOBAL[[#Headers],[Licença Paternidade]])-2,0)*($G102-$H102)</f>
        <v>0.33541604583333334</v>
      </c>
      <c r="AZ102" s="22">
        <f>VLOOKUP($A102,tabCustoUnit[],COLUMN(CUSTO_GLOBAL[[#Headers],[Ausência por Acidente de Trabalho]])-2,0)*($G102-$H102)</f>
        <v>0.40904395833333335</v>
      </c>
      <c r="BA102" s="22">
        <f>VLOOKUP($A102,tabCustoUnit[],COLUMN(CUSTO_GLOBAL[[#Headers],[Férias, Adicional de Férias e 13º  com empregada em gozo de Licença Maternidade]])-2,0)*($G102-$H102)</f>
        <v>2.5451624074074073</v>
      </c>
      <c r="BB102" s="22">
        <f>VLOOKUP($A102,tabCustoUnit[],COLUMN(CUSTO_GLOBAL[[#Headers],[Incidência do Submódulo 2.1 sobre Ausências Legais]])-2,0)*($G102-$H102)</f>
        <v>9.0156397150750021</v>
      </c>
      <c r="BC102" s="22">
        <f>VLOOKUP($A102,tabCustoUnit[],COLUMN(CUSTO_GLOBAL[[#Headers],[Submódulo 4.1]])-2,0)*($G102-$H102)</f>
        <v>32.866538432204628</v>
      </c>
      <c r="BD102" s="22">
        <f>VLOOKUP($A102,tabCustoUnit[],COLUMN(CUSTO_GLOBAL[[#Headers],[Intervalo para Repouso ou Alimentação]])-2,0)*($G102-$H102)</f>
        <v>267.73786489195959</v>
      </c>
      <c r="BE102" s="22">
        <f>VLOOKUP($A102,tabCustoUnit[],COLUMN(CUSTO_GLOBAL[[#Headers],[Submódulo 4.2]])-2,0)*($G102-$H102)</f>
        <v>267.73786489195959</v>
      </c>
      <c r="BF102" s="22">
        <f>VLOOKUP($A102,tabCustoUnit[],COLUMN(CUSTO_GLOBAL[[#Headers],[Suspensão Temporária do Contrato de Trabalho]])-2,0)*($G102-$H102)</f>
        <v>0</v>
      </c>
      <c r="BG102" s="22">
        <f>VLOOKUP($A102,tabCustoUnit[],COLUMN(CUSTO_GLOBAL[[#Headers],[Submódulo 4.3]])-2,0)*($G102-$H102)</f>
        <v>0</v>
      </c>
      <c r="BH102" s="22">
        <f>VLOOKUP($A102,tabCustoUnit[],COLUMN(CUSTO_GLOBAL[[#Headers],[MÓDULO 4 – CUSTO DE REPOSIÇÃO DO PROFISSIONAL AUSENTE]])-2,0)*($G102-$H102)</f>
        <v>300.6044033241642</v>
      </c>
      <c r="BI102" s="22">
        <f>VLOOKUP($A102,tabCustoUnit[],COLUMN(CUSTO_GLOBAL[[#Headers],[Uniformes e EPIs]])-2,0)*($G102-$H102)</f>
        <v>56.642978962543395</v>
      </c>
      <c r="BJ102" s="22">
        <f>VLOOKUP($A102,tabCustoUnit[],COLUMN(CUSTO_GLOBAL[[#Headers],[Materiais de Consumo]])-2,0)*($G102-$H102)</f>
        <v>0</v>
      </c>
      <c r="BK102" s="22">
        <f>VLOOKUP($A102,tabCustoUnit[],COLUMN(CUSTO_GLOBAL[[#Headers],[Máquinas e Equipamentos (depreciação)]])-2,0)*($G102-$H102)</f>
        <v>0</v>
      </c>
      <c r="BL102" s="22">
        <f>VLOOKUP($A102,tabCustoUnit[],COLUMN(CUSTO_GLOBAL[[#Headers],[Produtos de Limpeza e Materiais de Higiene Pessoal]])-2,0)*($G102-$H102)</f>
        <v>0</v>
      </c>
      <c r="BM102" s="22">
        <f>VLOOKUP($A102,tabCustoUnit[],COLUMN(CUSTO_GLOBAL[[#Headers],[Outros (especificar)]])-2,0)*($G102-$H102)</f>
        <v>0</v>
      </c>
      <c r="BN102" s="22">
        <f>VLOOKUP($A102,tabCustoUnit[],COLUMN(CUSTO_GLOBAL[[#Headers],[MÓDULO 5 – INSUMOS DIVERSOS]])-2,0)*($G102-$H102)</f>
        <v>56.642978962543395</v>
      </c>
      <c r="BO102" s="22" t="e">
        <f ca="1">VLOOKUP($A102,tabCustoUnit[],COLUMN(CUSTO_GLOBAL[[#Headers],[TOTAL MÓDULOS 1+2+3+4+5]])-2,0)*($G102-$H102)</f>
        <v>#NAME?</v>
      </c>
      <c r="BP102" s="22" t="e">
        <f ca="1">VLOOKUP($A102,tabCustoUnit[],COLUMN(CUSTO_GLOBAL[[#Headers],[Custos Indiretos]])-2,0)*($G102-$H102)</f>
        <v>#NAME?</v>
      </c>
      <c r="BQ102" s="22" t="e">
        <f ca="1">VLOOKUP($A102,tabCustoUnit[],COLUMN(CUSTO_GLOBAL[[#Headers],[Lucro]])-2,0)*($G102-$H102)</f>
        <v>#NAME?</v>
      </c>
      <c r="BR102" s="26">
        <f>VLOOKUP($A102,tabCustoUnit[],COLUMN(CUSTO_GLOBAL[[#Headers],[COFINS]])-2,0)</f>
        <v>8.5633802816901458E-2</v>
      </c>
      <c r="BS102" s="26">
        <f>VLOOKUP($A102,tabCustoUnit[],COLUMN(CUSTO_GLOBAL[[#Headers],[PIS]])-2,0)</f>
        <v>1.8591549295774657E-2</v>
      </c>
      <c r="BT102" s="28">
        <f>VLOOKUP($A102,tabCustoUnit[],COLUMN(CUSTO_GLOBAL[[#Headers],[ISS]])-2,0)</f>
        <v>0.02</v>
      </c>
      <c r="BU102" s="26">
        <f>VLOOKUP($A102,tabCustoUnit[],COLUMN(CUSTO_GLOBAL[[#Headers],[ISS (Conversão Alíquota s/ fatura)]])-2,0)</f>
        <v>2.2535211267605645E-2</v>
      </c>
      <c r="BV102" s="26">
        <f>VLOOKUP($A102,tabCustoUnit[],COLUMN(CUSTO_GLOBAL[[#Headers],[Resumo de Alíquotas (PIS+CONFINS+ISS)]])-2,0)</f>
        <v>0.1125</v>
      </c>
      <c r="BW102" s="138">
        <f>VLOOKUP($A102,tabCustoUnit[],COLUMN(CUSTO_GLOBAL[[#Headers],[PIS + COFINS + ISS (Total Conversão  Alíquota s/ Fatura)]])-2,0)</f>
        <v>0.12676056338028174</v>
      </c>
      <c r="BX102" s="22" t="e">
        <f ca="1">VLOOKUP($A102,tabCustoUnit[],COLUMN(CUSTO_GLOBAL[[#Headers],[Valor dos Tributos (ISS, PIS, CONFINS)]])-2,0)*($G102-$H102)</f>
        <v>#NAME?</v>
      </c>
      <c r="BY102" s="22" t="e">
        <f ca="1">VLOOKUP($A102,tabCustoUnit[],COLUMN(CUSTO_GLOBAL[[#Headers],[MÓDULO 6 – CUSTOS INDIRETOS, TRIBUTOS E LUCRO]])-2,0)*($G102-$H102)</f>
        <v>#NAME?</v>
      </c>
      <c r="BZ102" s="22" t="e">
        <f ca="1">VLOOKUP($A102,tabCustoUnit[],COLUMN(CUSTO_GLOBAL[[#Headers],[CUSTO TOTAL MENSAL]])-2,0)*($G102-$H102)</f>
        <v>#NAME?</v>
      </c>
      <c r="CA102" s="22" t="e">
        <f ca="1">CUSTO_GLOBAL[[#This Row],[CUSTO TOTAL MENSAL]]*12</f>
        <v>#NAME?</v>
      </c>
      <c r="CB102" s="24">
        <f>VLOOKUP($A102,tabCustoUnit[],COLUMN(CUSTO_GLOBAL[[#Headers],[ANO DA CCT]])-2,0)</f>
        <v>45658</v>
      </c>
      <c r="CC102" s="25" t="str">
        <f>VLOOKUP($A102,tabCustoUnit[],COLUMN(CUSTO_GLOBAL[[#Headers],[Nº DE PEDIDO DA CCT]])-2,0)</f>
        <v>-</v>
      </c>
      <c r="CD102" s="25" t="str">
        <f>VLOOKUP($A102,tabCustoUnit[],COLUMN(CUSTO_GLOBAL[[#Headers],[TERMO ADITIVO ALTERAÇÃO DA CCT]])-2,0)</f>
        <v>-</v>
      </c>
    </row>
    <row r="103" spans="1:82">
      <c r="A103" s="20" t="s">
        <v>1567</v>
      </c>
      <c r="B103" t="s">
        <v>1115</v>
      </c>
      <c r="C103" t="s">
        <v>274</v>
      </c>
      <c r="D103" t="s">
        <v>999</v>
      </c>
      <c r="E103" s="20" t="s">
        <v>1090</v>
      </c>
      <c r="F103" s="20" t="s">
        <v>135</v>
      </c>
      <c r="G103" s="20">
        <v>1</v>
      </c>
      <c r="H103" s="20">
        <v>0</v>
      </c>
      <c r="I103" s="21">
        <f>VLOOKUP($A103,tabCustoUnit[],COLUMN(CUSTO_GLOBAL[[#Headers],[Salário Base]])-2,0)*($G103-$H103)</f>
        <v>4599.5983999999999</v>
      </c>
      <c r="J103" s="21">
        <f>VLOOKUP($A103,tabCustoUnit[],COLUMN(CUSTO_GLOBAL[[#Headers],[Adicional Periculosidade]])-2,0)*($G103-$H103)</f>
        <v>0</v>
      </c>
      <c r="K103" s="21">
        <f>VLOOKUP($A103,tabCustoUnit[],COLUMN(CUSTO_GLOBAL[[#Headers],[Adicional Insalubridade]])-2,0)*($G103-$H103)</f>
        <v>0</v>
      </c>
      <c r="L103" s="21">
        <f>VLOOKUP($A103,tabCustoUnit[],COLUMN(CUSTO_GLOBAL[[#Headers],[Adicional Noturno]])-2,0)*($G103-$H103)</f>
        <v>0</v>
      </c>
      <c r="M103" s="21">
        <f>VLOOKUP($A103,tabCustoUnit[],COLUMN(CUSTO_GLOBAL[[#Headers],[Adicional Motorista II (Gratificação)]])-2,0)*($G103-$H103)</f>
        <v>0</v>
      </c>
      <c r="N103" s="21">
        <f>VLOOKUP($A103,tabCustoUnit[],COLUMN(CUSTO_GLOBAL[[#Headers],[Adicional de Sobreaviso]])-2,0)*($G103-$H103)</f>
        <v>0</v>
      </c>
      <c r="O103" s="21">
        <f>VLOOKUP($A103,tabCustoUnit[],COLUMN(CUSTO_GLOBAL[[#Headers],[Horas Extras TI]])-2,0)*($G103-$H103)</f>
        <v>0</v>
      </c>
      <c r="P103" s="21">
        <f>VLOOKUP($A103,tabCustoUnit[],COLUMN(CUSTO_GLOBAL[[#Headers],[Adicional de Acúmulo de função]])-2,0)*($G103-$H103)</f>
        <v>0</v>
      </c>
      <c r="Q103" s="21">
        <f>VLOOKUP($A103,tabCustoUnit[],COLUMN(CUSTO_GLOBAL[[#Headers],[MODULO 1 - REMUNERAÇÃO ]])-2,0)*($G103-$H103)</f>
        <v>4599.5983999999999</v>
      </c>
      <c r="R103" s="21">
        <f>VLOOKUP($A103,tabCustoUnit[],COLUMN(CUSTO_GLOBAL[[#Headers],[INSS]])-2,0)*($G103-$H103)</f>
        <v>919.91967999999997</v>
      </c>
      <c r="S103" s="21">
        <f>VLOOKUP($A103,tabCustoUnit[],COLUMN(CUSTO_GLOBAL[[#Headers],[SESI OU SESC]])-2,0)*($G103-$H103)</f>
        <v>68.993975999999989</v>
      </c>
      <c r="T103" s="21">
        <f>VLOOKUP($A103,tabCustoUnit[],COLUMN(CUSTO_GLOBAL[[#Headers],[SENAI OU SENAC]])-2,0)*($G103-$H103)</f>
        <v>45.995984</v>
      </c>
      <c r="U103" s="21">
        <f>VLOOKUP($A103,tabCustoUnit[],COLUMN(CUSTO_GLOBAL[[#Headers],[INCRA]])-2,0)*($G103-$H103)</f>
        <v>9.1991967999999993</v>
      </c>
      <c r="V103" s="21">
        <f>VLOOKUP($A103,tabCustoUnit[],COLUMN(CUSTO_GLOBAL[[#Headers],[Salário Educação]])-2,0)*($G103-$H103)</f>
        <v>114.98996</v>
      </c>
      <c r="W103" s="21">
        <f>VLOOKUP($A103,tabCustoUnit[],COLUMN(CUSTO_GLOBAL[[#Headers],[FGTS]])-2,0)*($G103-$H103)</f>
        <v>367.967872</v>
      </c>
      <c r="X103" s="21">
        <f>VLOOKUP($A103,tabCustoUnit[],COLUMN(CUSTO_GLOBAL[[#Headers],[RAT Ajustado]])-2,0)*($G103-$H103)</f>
        <v>183.983936</v>
      </c>
      <c r="Y103" s="21">
        <f>VLOOKUP($A103,tabCustoUnit[],COLUMN(CUSTO_GLOBAL[[#Headers],[SEBRAE]])-2,0)*($G103-$H103)</f>
        <v>27.597590400000001</v>
      </c>
      <c r="Z103" s="21">
        <f>VLOOKUP($A103,tabCustoUnit[],COLUMN(CUSTO_GLOBAL[[#Headers],[Submódulo 2.1]])-2,0)*($G103-$H103)</f>
        <v>1738.6481951999999</v>
      </c>
      <c r="AA103" s="21">
        <f>VLOOKUP($A103,tabCustoUnit[],COLUMN(CUSTO_GLOBAL[[#Headers],[13º salário (titular)]])-2,0)*($G103-$H103)</f>
        <v>383.29986666666662</v>
      </c>
      <c r="AB103" s="21">
        <f>VLOOKUP($A103,tabCustoUnit[],COLUMN(CUSTO_GLOBAL[[#Headers],[Férias e Adicional de Férias (titular)]])-2,0)*($G103-$H103)</f>
        <v>511.06648888888884</v>
      </c>
      <c r="AC103" s="21">
        <f>VLOOKUP($A103,tabCustoUnit[],COLUMN(CUSTO_GLOBAL[[#Headers],[Incidência do Submódulo 2.1 sobre 13º Salário, Férias e Adicional de Férias]])-2,0)*($G103-$H103)</f>
        <v>338.07048239999995</v>
      </c>
      <c r="AD103" s="21">
        <f>VLOOKUP($A103,tabCustoUnit[],COLUMN(CUSTO_GLOBAL[[#Headers],[Submódulo 2.2]])-2,0)*($G103-$H103)</f>
        <v>1232.4368379555553</v>
      </c>
      <c r="AE103" s="22" t="e">
        <f ca="1">VLOOKUP($A103,tabCustoUnit[],COLUMN(CUSTO_GLOBAL[[#Headers],[Vale - Transporte (Descontada parcela do empregado)]])-2,0)*($G103-$H103)</f>
        <v>#NAME?</v>
      </c>
      <c r="AF103" s="22">
        <f>VLOOKUP($A103,tabCustoUnit[],COLUMN(CUSTO_GLOBAL[[#Headers],[Vale - Alimentação (Descontada parcela do empregado)]])-2,0)*($G103-$H103)</f>
        <v>578.4</v>
      </c>
      <c r="AG103" s="22">
        <f>VLOOKUP($A103,tabCustoUnit[],COLUMN(CUSTO_GLOBAL[[#Headers],[Cesta Básica]])-2,0)*($G103-$H103)</f>
        <v>0</v>
      </c>
      <c r="AH103" s="22">
        <f>VLOOKUP($A103,tabCustoUnit[],COLUMN(CUSTO_GLOBAL[[#Headers],[PAF]])-2,0)*($G103-$H103)</f>
        <v>0</v>
      </c>
      <c r="AI103" s="22">
        <f>VLOOKUP($A103,tabCustoUnit[],COLUMN(CUSTO_GLOBAL[[#Headers],[PQM]])-2,0)*($G103-$H103)</f>
        <v>0</v>
      </c>
      <c r="AJ103" s="22">
        <v>0</v>
      </c>
      <c r="AK103" s="22">
        <f>VLOOKUP($A103,tabCustoUnit[],COLUMN(CUSTO_GLOBAL[[#Headers],[Seguro de Vida]])-2,0)*($G103-$H103)</f>
        <v>3.36</v>
      </c>
      <c r="AL103" s="22">
        <f>VLOOKUP($A103,tabCustoUnit[],COLUMN(CUSTO_GLOBAL[[#Headers],[Despesas de Viagem]])-2,0)*($G103-$H103)</f>
        <v>662.42</v>
      </c>
      <c r="AM103" s="22" t="e">
        <f ca="1">VLOOKUP($A103,tabCustoUnit[],COLUMN(CUSTO_GLOBAL[[#Headers],[Submódulo 2.3]])-2,0)*($G103-$H103)</f>
        <v>#NAME?</v>
      </c>
      <c r="AN103" s="22" t="e">
        <f ca="1">VLOOKUP($A103,tabCustoUnit[],COLUMN(CUSTO_GLOBAL[[#Headers],[MÓDULO 2 - Total Encargos e Benefícios mensais e diários]])-2,0)*($G103-$H103)</f>
        <v>#NAME?</v>
      </c>
      <c r="AO103" s="22">
        <f>VLOOKUP($A103,tabCustoUnit[],COLUMN(CUSTO_GLOBAL[[#Headers],[Aviso Prévio Indenizado (API) e Reflexo do Aviso Prévio Indenizado]])-2,0)*($G103-$H103)</f>
        <v>32.25131216080247</v>
      </c>
      <c r="AP103" s="22">
        <f>VLOOKUP($A103,tabCustoUnit[],COLUMN(CUSTO_GLOBAL[[#Headers],[Incidência do FGTS sobre API e Reflexo do API]])-2,0)*($G103-$H103)</f>
        <v>2.5801049728641976</v>
      </c>
      <c r="AQ103" s="22">
        <f>VLOOKUP($A103,tabCustoUnit[],COLUMN(CUSTO_GLOBAL[[#Headers],[Multa Rescisória do FGTS sobre o Aviso Prévio Indenizado]])-2,0)*($G103-$H103)</f>
        <v>1.0320419891456791</v>
      </c>
      <c r="AR103" s="22">
        <f>VLOOKUP($A103,tabCustoUnit[],COLUMN(CUSTO_GLOBAL[[#Headers],[Aviso Prévio Trabalhado - APT]])-2,0)*($G103-$H103)</f>
        <v>16.098594400000003</v>
      </c>
      <c r="AS103" s="22">
        <f>VLOOKUP($A103,tabCustoUnit[],COLUMN(CUSTO_GLOBAL[[#Headers],[Incidência dos encargos do submódulo 2.1 sobre Aviso Prévio Trabalhado]])-2,0)*($G103-$H103)</f>
        <v>6.0852686832000016</v>
      </c>
      <c r="AT103" s="22">
        <f>VLOOKUP($A103,tabCustoUnit[],COLUMN(CUSTO_GLOBAL[[#Headers],[Multa Rescisória do FGTS]])-2,0)*($G103-$H103)</f>
        <v>140.6454977422222</v>
      </c>
      <c r="AU103" s="22">
        <f>VLOOKUP($A103,tabCustoUnit[],COLUMN(CUSTO_GLOBAL[[#Headers],[Indenização Adicional (Art. 9º da Lei nº 7.238/84)]])-2,0)*($G103-$H103)</f>
        <v>3.8329986666666667</v>
      </c>
      <c r="AV103" s="22">
        <f>VLOOKUP($A103,tabCustoUnit[],COLUMN(CUSTO_GLOBAL[[#Headers],[MÓDULO 3 – PROVISÃO PARA RESCISÃO]])-2,0)*($G103-$H103)</f>
        <v>202.52581861490123</v>
      </c>
      <c r="AW103" s="22">
        <f>VLOOKUP($A103,tabCustoUnit[],COLUMN(CUSTO_GLOBAL[[#Headers],[Ausência por Doença]])-2,0)*($G103-$H103)</f>
        <v>38.841053155555549</v>
      </c>
      <c r="AX103" s="22">
        <f>VLOOKUP($A103,tabCustoUnit[],COLUMN(CUSTO_GLOBAL[[#Headers],[Ausências Legais]])-2,0)*($G103-$H103)</f>
        <v>9.3269634222222209</v>
      </c>
      <c r="AY103" s="22">
        <f>VLOOKUP($A103,tabCustoUnit[],COLUMN(CUSTO_GLOBAL[[#Headers],[Licença Paternidade]])-2,0)*($G103-$H103)</f>
        <v>0.78576472666666664</v>
      </c>
      <c r="AZ103" s="22">
        <f>VLOOKUP($A103,tabCustoUnit[],COLUMN(CUSTO_GLOBAL[[#Headers],[Ausência por Acidente de Trabalho]])-2,0)*($G103-$H103)</f>
        <v>0.95824966666666667</v>
      </c>
      <c r="BA103" s="22">
        <f>VLOOKUP($A103,tabCustoUnit[],COLUMN(CUSTO_GLOBAL[[#Headers],[Férias, Adicional de Férias e 13º  com empregada em gozo de Licença Maternidade]])-2,0)*($G103-$H103)</f>
        <v>5.9624423703703702</v>
      </c>
      <c r="BB103" s="22">
        <f>VLOOKUP($A103,tabCustoUnit[],COLUMN(CUSTO_GLOBAL[[#Headers],[Incidência do Submódulo 2.1 sobre Ausências Legais]])-2,0)*($G103-$H103)</f>
        <v>21.120550923080003</v>
      </c>
      <c r="BC103" s="22">
        <f>VLOOKUP($A103,tabCustoUnit[],COLUMN(CUSTO_GLOBAL[[#Headers],[Submódulo 4.1]])-2,0)*($G103-$H103)</f>
        <v>76.995024264561465</v>
      </c>
      <c r="BD103" s="22">
        <f>VLOOKUP($A103,tabCustoUnit[],COLUMN(CUSTO_GLOBAL[[#Headers],[Intervalo para Repouso ou Alimentação]])-2,0)*($G103-$H103)</f>
        <v>0</v>
      </c>
      <c r="BE103" s="22">
        <f>VLOOKUP($A103,tabCustoUnit[],COLUMN(CUSTO_GLOBAL[[#Headers],[Submódulo 4.2]])-2,0)*($G103-$H103)</f>
        <v>0</v>
      </c>
      <c r="BF103" s="22">
        <f>VLOOKUP($A103,tabCustoUnit[],COLUMN(CUSTO_GLOBAL[[#Headers],[Suspensão Temporária do Contrato de Trabalho]])-2,0)*($G103-$H103)</f>
        <v>0</v>
      </c>
      <c r="BG103" s="22">
        <f>VLOOKUP($A103,tabCustoUnit[],COLUMN(CUSTO_GLOBAL[[#Headers],[Submódulo 4.3]])-2,0)*($G103-$H103)</f>
        <v>0</v>
      </c>
      <c r="BH103" s="22">
        <f>VLOOKUP($A103,tabCustoUnit[],COLUMN(CUSTO_GLOBAL[[#Headers],[MÓDULO 4 – CUSTO DE REPOSIÇÃO DO PROFISSIONAL AUSENTE]])-2,0)*($G103-$H103)</f>
        <v>76.995024264561465</v>
      </c>
      <c r="BI103" s="22">
        <f>VLOOKUP($A103,tabCustoUnit[],COLUMN(CUSTO_GLOBAL[[#Headers],[Uniformes e EPIs]])-2,0)*($G103-$H103)</f>
        <v>92.100763771570698</v>
      </c>
      <c r="BJ103" s="22">
        <f>VLOOKUP($A103,tabCustoUnit[],COLUMN(CUSTO_GLOBAL[[#Headers],[Materiais de Consumo]])-2,0)*($G103-$H103)</f>
        <v>0</v>
      </c>
      <c r="BK103" s="22">
        <f>VLOOKUP($A103,tabCustoUnit[],COLUMN(CUSTO_GLOBAL[[#Headers],[Máquinas e Equipamentos (depreciação)]])-2,0)*($G103-$H103)</f>
        <v>0</v>
      </c>
      <c r="BL103" s="22">
        <f>VLOOKUP($A103,tabCustoUnit[],COLUMN(CUSTO_GLOBAL[[#Headers],[Produtos de Limpeza e Materiais de Higiene Pessoal]])-2,0)*($G103-$H103)</f>
        <v>0</v>
      </c>
      <c r="BM103" s="22">
        <f>VLOOKUP($A103,tabCustoUnit[],COLUMN(CUSTO_GLOBAL[[#Headers],[Outros (especificar)]])-2,0)*($G103-$H103)</f>
        <v>0</v>
      </c>
      <c r="BN103" s="22">
        <f>VLOOKUP($A103,tabCustoUnit[],COLUMN(CUSTO_GLOBAL[[#Headers],[MÓDULO 5 – INSUMOS DIVERSOS]])-2,0)*($G103-$H103)</f>
        <v>92.100763771570698</v>
      </c>
      <c r="BO103" s="22" t="e">
        <f ca="1">VLOOKUP($A103,tabCustoUnit[],COLUMN(CUSTO_GLOBAL[[#Headers],[TOTAL MÓDULOS 1+2+3+4+5]])-2,0)*($G103-$H103)</f>
        <v>#NAME?</v>
      </c>
      <c r="BP103" s="22" t="e">
        <f ca="1">VLOOKUP($A103,tabCustoUnit[],COLUMN(CUSTO_GLOBAL[[#Headers],[Custos Indiretos]])-2,0)*($G103-$H103)</f>
        <v>#NAME?</v>
      </c>
      <c r="BQ103" s="22" t="e">
        <f ca="1">VLOOKUP($A103,tabCustoUnit[],COLUMN(CUSTO_GLOBAL[[#Headers],[Lucro]])-2,0)*($G103-$H103)</f>
        <v>#NAME?</v>
      </c>
      <c r="BR103" s="26">
        <f>VLOOKUP($A103,tabCustoUnit[],COLUMN(CUSTO_GLOBAL[[#Headers],[COFINS]])-2,0)</f>
        <v>8.6609686609686695E-2</v>
      </c>
      <c r="BS103" s="26">
        <f>VLOOKUP($A103,tabCustoUnit[],COLUMN(CUSTO_GLOBAL[[#Headers],[PIS]])-2,0)</f>
        <v>1.880341880341882E-2</v>
      </c>
      <c r="BT103" s="28">
        <f>VLOOKUP($A103,tabCustoUnit[],COLUMN(CUSTO_GLOBAL[[#Headers],[ISS]])-2,0)</f>
        <v>0.03</v>
      </c>
      <c r="BU103" s="26">
        <f>VLOOKUP($A103,tabCustoUnit[],COLUMN(CUSTO_GLOBAL[[#Headers],[ISS (Conversão Alíquota s/ fatura)]])-2,0)</f>
        <v>3.4188034188034219E-2</v>
      </c>
      <c r="BV103" s="26">
        <f>VLOOKUP($A103,tabCustoUnit[],COLUMN(CUSTO_GLOBAL[[#Headers],[Resumo de Alíquotas (PIS+CONFINS+ISS)]])-2,0)</f>
        <v>0.1225</v>
      </c>
      <c r="BW103" s="138">
        <f>VLOOKUP($A103,tabCustoUnit[],COLUMN(CUSTO_GLOBAL[[#Headers],[PIS + COFINS + ISS (Total Conversão  Alíquota s/ Fatura)]])-2,0)</f>
        <v>0.13960113960113973</v>
      </c>
      <c r="BX103" s="22" t="e">
        <f ca="1">VLOOKUP($A103,tabCustoUnit[],COLUMN(CUSTO_GLOBAL[[#Headers],[Valor dos Tributos (ISS, PIS, CONFINS)]])-2,0)*($G103-$H103)</f>
        <v>#NAME?</v>
      </c>
      <c r="BY103" s="22" t="e">
        <f ca="1">VLOOKUP($A103,tabCustoUnit[],COLUMN(CUSTO_GLOBAL[[#Headers],[MÓDULO 6 – CUSTOS INDIRETOS, TRIBUTOS E LUCRO]])-2,0)*($G103-$H103)</f>
        <v>#NAME?</v>
      </c>
      <c r="BZ103" s="22" t="e">
        <f ca="1">VLOOKUP($A103,tabCustoUnit[],COLUMN(CUSTO_GLOBAL[[#Headers],[CUSTO TOTAL MENSAL]])-2,0)*($G103-$H103)</f>
        <v>#NAME?</v>
      </c>
      <c r="CA103" s="22" t="e">
        <f ca="1">CUSTO_GLOBAL[[#This Row],[CUSTO TOTAL MENSAL]]*12</f>
        <v>#NAME?</v>
      </c>
      <c r="CB103" s="24">
        <f>VLOOKUP($A103,tabCustoUnit[],COLUMN(CUSTO_GLOBAL[[#Headers],[ANO DA CCT]])-2,0)</f>
        <v>45658</v>
      </c>
      <c r="CC103" s="25" t="str">
        <f>VLOOKUP($A103,tabCustoUnit[],COLUMN(CUSTO_GLOBAL[[#Headers],[Nº DE PEDIDO DA CCT]])-2,0)</f>
        <v>-</v>
      </c>
      <c r="CD103" s="25" t="str">
        <f>VLOOKUP($A103,tabCustoUnit[],COLUMN(CUSTO_GLOBAL[[#Headers],[TERMO ADITIVO ALTERAÇÃO DA CCT]])-2,0)</f>
        <v>-</v>
      </c>
    </row>
    <row r="104" spans="1:82">
      <c r="A104" s="20" t="s">
        <v>1568</v>
      </c>
      <c r="B104" t="s">
        <v>1115</v>
      </c>
      <c r="C104" t="s">
        <v>319</v>
      </c>
      <c r="D104" t="s">
        <v>961</v>
      </c>
      <c r="E104" s="20" t="s">
        <v>1090</v>
      </c>
      <c r="F104" s="20" t="s">
        <v>120</v>
      </c>
      <c r="G104" s="20">
        <v>1</v>
      </c>
      <c r="H104" s="20">
        <v>0</v>
      </c>
      <c r="I104" s="21">
        <f>VLOOKUP($A104,tabCustoUnit[],COLUMN(CUSTO_GLOBAL[[#Headers],[Salário Base]])-2,0)*($G104-$H104)</f>
        <v>2316.2253000000001</v>
      </c>
      <c r="J104" s="21">
        <f>VLOOKUP($A104,tabCustoUnit[],COLUMN(CUSTO_GLOBAL[[#Headers],[Adicional Periculosidade]])-2,0)*($G104-$H104)</f>
        <v>0</v>
      </c>
      <c r="K104" s="21">
        <f>VLOOKUP($A104,tabCustoUnit[],COLUMN(CUSTO_GLOBAL[[#Headers],[Adicional Insalubridade]])-2,0)*($G104-$H104)</f>
        <v>0</v>
      </c>
      <c r="L104" s="21">
        <f>VLOOKUP($A104,tabCustoUnit[],COLUMN(CUSTO_GLOBAL[[#Headers],[Adicional Noturno]])-2,0)*($G104-$H104)</f>
        <v>0</v>
      </c>
      <c r="M104" s="21">
        <f>VLOOKUP($A104,tabCustoUnit[],COLUMN(CUSTO_GLOBAL[[#Headers],[Adicional Motorista II (Gratificação)]])-2,0)*($G104-$H104)</f>
        <v>0</v>
      </c>
      <c r="N104" s="21">
        <f>VLOOKUP($A104,tabCustoUnit[],COLUMN(CUSTO_GLOBAL[[#Headers],[Adicional de Sobreaviso]])-2,0)*($G104-$H104)</f>
        <v>0</v>
      </c>
      <c r="O104" s="21">
        <f>VLOOKUP($A104,tabCustoUnit[],COLUMN(CUSTO_GLOBAL[[#Headers],[Horas Extras TI]])-2,0)*($G104-$H104)</f>
        <v>0</v>
      </c>
      <c r="P104" s="21">
        <f>VLOOKUP($A104,tabCustoUnit[],COLUMN(CUSTO_GLOBAL[[#Headers],[Adicional de Acúmulo de função]])-2,0)*($G104-$H104)</f>
        <v>0</v>
      </c>
      <c r="Q104" s="21">
        <f>VLOOKUP($A104,tabCustoUnit[],COLUMN(CUSTO_GLOBAL[[#Headers],[MODULO 1 - REMUNERAÇÃO ]])-2,0)*($G104-$H104)</f>
        <v>2316.2253000000001</v>
      </c>
      <c r="R104" s="21">
        <f>VLOOKUP($A104,tabCustoUnit[],COLUMN(CUSTO_GLOBAL[[#Headers],[INSS]])-2,0)*($G104-$H104)</f>
        <v>463.24506000000002</v>
      </c>
      <c r="S104" s="21">
        <f>VLOOKUP($A104,tabCustoUnit[],COLUMN(CUSTO_GLOBAL[[#Headers],[SESI OU SESC]])-2,0)*($G104-$H104)</f>
        <v>34.743379499999996</v>
      </c>
      <c r="T104" s="21">
        <f>VLOOKUP($A104,tabCustoUnit[],COLUMN(CUSTO_GLOBAL[[#Headers],[SENAI OU SENAC]])-2,0)*($G104-$H104)</f>
        <v>23.162253</v>
      </c>
      <c r="U104" s="21">
        <f>VLOOKUP($A104,tabCustoUnit[],COLUMN(CUSTO_GLOBAL[[#Headers],[INCRA]])-2,0)*($G104-$H104)</f>
        <v>4.6324506000000003</v>
      </c>
      <c r="V104" s="21">
        <f>VLOOKUP($A104,tabCustoUnit[],COLUMN(CUSTO_GLOBAL[[#Headers],[Salário Educação]])-2,0)*($G104-$H104)</f>
        <v>57.905632500000003</v>
      </c>
      <c r="W104" s="21">
        <f>VLOOKUP($A104,tabCustoUnit[],COLUMN(CUSTO_GLOBAL[[#Headers],[FGTS]])-2,0)*($G104-$H104)</f>
        <v>185.298024</v>
      </c>
      <c r="X104" s="21">
        <f>VLOOKUP($A104,tabCustoUnit[],COLUMN(CUSTO_GLOBAL[[#Headers],[RAT Ajustado]])-2,0)*($G104-$H104)</f>
        <v>92.649011999999999</v>
      </c>
      <c r="Y104" s="21">
        <f>VLOOKUP($A104,tabCustoUnit[],COLUMN(CUSTO_GLOBAL[[#Headers],[SEBRAE]])-2,0)*($G104-$H104)</f>
        <v>13.897351800000001</v>
      </c>
      <c r="Z104" s="21">
        <f>VLOOKUP($A104,tabCustoUnit[],COLUMN(CUSTO_GLOBAL[[#Headers],[Submódulo 2.1]])-2,0)*($G104-$H104)</f>
        <v>875.53316340000003</v>
      </c>
      <c r="AA104" s="21">
        <f>VLOOKUP($A104,tabCustoUnit[],COLUMN(CUSTO_GLOBAL[[#Headers],[13º salário (titular)]])-2,0)*($G104-$H104)</f>
        <v>193.01877500000001</v>
      </c>
      <c r="AB104" s="21">
        <f>VLOOKUP($A104,tabCustoUnit[],COLUMN(CUSTO_GLOBAL[[#Headers],[Férias e Adicional de Férias (titular)]])-2,0)*($G104-$H104)</f>
        <v>257.35836666666665</v>
      </c>
      <c r="AC104" s="21">
        <f>VLOOKUP($A104,tabCustoUnit[],COLUMN(CUSTO_GLOBAL[[#Headers],[Incidência do Submódulo 2.1 sobre 13º Salário, Férias e Adicional de Férias]])-2,0)*($G104-$H104)</f>
        <v>170.24255955000001</v>
      </c>
      <c r="AD104" s="21">
        <f>VLOOKUP($A104,tabCustoUnit[],COLUMN(CUSTO_GLOBAL[[#Headers],[Submódulo 2.2]])-2,0)*($G104-$H104)</f>
        <v>620.61970121666673</v>
      </c>
      <c r="AE104" s="22" t="e">
        <f ca="1">VLOOKUP($A104,tabCustoUnit[],COLUMN(CUSTO_GLOBAL[[#Headers],[Vale - Transporte (Descontada parcela do empregado)]])-2,0)*($G104-$H104)</f>
        <v>#NAME?</v>
      </c>
      <c r="AF104" s="22">
        <f>VLOOKUP($A104,tabCustoUnit[],COLUMN(CUSTO_GLOBAL[[#Headers],[Vale - Alimentação (Descontada parcela do empregado)]])-2,0)*($G104-$H104)</f>
        <v>582</v>
      </c>
      <c r="AG104" s="22">
        <f>VLOOKUP($A104,tabCustoUnit[],COLUMN(CUSTO_GLOBAL[[#Headers],[Cesta Básica]])-2,0)*($G104-$H104)</f>
        <v>0</v>
      </c>
      <c r="AH104" s="22">
        <f>VLOOKUP($A104,tabCustoUnit[],COLUMN(CUSTO_GLOBAL[[#Headers],[PAF]])-2,0)*($G104-$H104)</f>
        <v>0</v>
      </c>
      <c r="AI104" s="22">
        <f>VLOOKUP($A104,tabCustoUnit[],COLUMN(CUSTO_GLOBAL[[#Headers],[PQM]])-2,0)*($G104-$H104)</f>
        <v>0</v>
      </c>
      <c r="AJ104" s="22">
        <v>0</v>
      </c>
      <c r="AK104" s="22">
        <f>VLOOKUP($A104,tabCustoUnit[],COLUMN(CUSTO_GLOBAL[[#Headers],[Seguro de Vida]])-2,0)*($G104-$H104)</f>
        <v>3.36</v>
      </c>
      <c r="AL104" s="22">
        <f>VLOOKUP($A104,tabCustoUnit[],COLUMN(CUSTO_GLOBAL[[#Headers],[Despesas de Viagem]])-2,0)*($G104-$H104)</f>
        <v>0</v>
      </c>
      <c r="AM104" s="22" t="e">
        <f ca="1">VLOOKUP($A104,tabCustoUnit[],COLUMN(CUSTO_GLOBAL[[#Headers],[Submódulo 2.3]])-2,0)*($G104-$H104)</f>
        <v>#NAME?</v>
      </c>
      <c r="AN104" s="22" t="e">
        <f ca="1">VLOOKUP($A104,tabCustoUnit[],COLUMN(CUSTO_GLOBAL[[#Headers],[MÓDULO 2 - Total Encargos e Benefícios mensais e diários]])-2,0)*($G104-$H104)</f>
        <v>#NAME?</v>
      </c>
      <c r="AO104" s="22">
        <f>VLOOKUP($A104,tabCustoUnit[],COLUMN(CUSTO_GLOBAL[[#Headers],[Aviso Prévio Indenizado (API) e Reflexo do Aviso Prévio Indenizado]])-2,0)*($G104-$H104)</f>
        <v>16.240832065914354</v>
      </c>
      <c r="AP104" s="22">
        <f>VLOOKUP($A104,tabCustoUnit[],COLUMN(CUSTO_GLOBAL[[#Headers],[Incidência do FGTS sobre API e Reflexo do API]])-2,0)*($G104-$H104)</f>
        <v>1.2992665652731483</v>
      </c>
      <c r="AQ104" s="22">
        <f>VLOOKUP($A104,tabCustoUnit[],COLUMN(CUSTO_GLOBAL[[#Headers],[Multa Rescisória do FGTS sobre o Aviso Prévio Indenizado]])-2,0)*($G104-$H104)</f>
        <v>0.51970662610925933</v>
      </c>
      <c r="AR104" s="22">
        <f>VLOOKUP($A104,tabCustoUnit[],COLUMN(CUSTO_GLOBAL[[#Headers],[Aviso Prévio Trabalhado - APT]])-2,0)*($G104-$H104)</f>
        <v>8.106788550000001</v>
      </c>
      <c r="AS104" s="22">
        <f>VLOOKUP($A104,tabCustoUnit[],COLUMN(CUSTO_GLOBAL[[#Headers],[Incidência dos encargos do submódulo 2.1 sobre Aviso Prévio Trabalhado]])-2,0)*($G104-$H104)</f>
        <v>3.0643660719000008</v>
      </c>
      <c r="AT104" s="22">
        <f>VLOOKUP($A104,tabCustoUnit[],COLUMN(CUSTO_GLOBAL[[#Headers],[Multa Rescisória do FGTS]])-2,0)*($G104-$H104)</f>
        <v>70.825022506666656</v>
      </c>
      <c r="AU104" s="22">
        <f>VLOOKUP($A104,tabCustoUnit[],COLUMN(CUSTO_GLOBAL[[#Headers],[Indenização Adicional (Art. 9º da Lei nº 7.238/84)]])-2,0)*($G104-$H104)</f>
        <v>1.9301877500000002</v>
      </c>
      <c r="AV104" s="22">
        <f>VLOOKUP($A104,tabCustoUnit[],COLUMN(CUSTO_GLOBAL[[#Headers],[MÓDULO 3 – PROVISÃO PARA RESCISÃO]])-2,0)*($G104-$H104)</f>
        <v>101.98617013586342</v>
      </c>
      <c r="AW104" s="22">
        <f>VLOOKUP($A104,tabCustoUnit[],COLUMN(CUSTO_GLOBAL[[#Headers],[Ausência por Doença]])-2,0)*($G104-$H104)</f>
        <v>19.559235866666665</v>
      </c>
      <c r="AX104" s="22">
        <f>VLOOKUP($A104,tabCustoUnit[],COLUMN(CUSTO_GLOBAL[[#Headers],[Ausências Legais]])-2,0)*($G104-$H104)</f>
        <v>4.6967901916666666</v>
      </c>
      <c r="AY104" s="22">
        <f>VLOOKUP($A104,tabCustoUnit[],COLUMN(CUSTO_GLOBAL[[#Headers],[Licença Paternidade]])-2,0)*($G104-$H104)</f>
        <v>0.39568848875000001</v>
      </c>
      <c r="AZ104" s="22">
        <f>VLOOKUP($A104,tabCustoUnit[],COLUMN(CUSTO_GLOBAL[[#Headers],[Ausência por Acidente de Trabalho]])-2,0)*($G104-$H104)</f>
        <v>0.48254693750000005</v>
      </c>
      <c r="BA104" s="22">
        <f>VLOOKUP($A104,tabCustoUnit[],COLUMN(CUSTO_GLOBAL[[#Headers],[Férias, Adicional de Férias e 13º  com empregada em gozo de Licença Maternidade]])-2,0)*($G104-$H104)</f>
        <v>3.0025142777777778</v>
      </c>
      <c r="BB104" s="22">
        <f>VLOOKUP($A104,tabCustoUnit[],COLUMN(CUSTO_GLOBAL[[#Headers],[Incidência do Submódulo 2.1 sobre Ausências Legais]])-2,0)*($G104-$H104)</f>
        <v>10.635701238172501</v>
      </c>
      <c r="BC104" s="22">
        <f>VLOOKUP($A104,tabCustoUnit[],COLUMN(CUSTO_GLOBAL[[#Headers],[Submódulo 4.1]])-2,0)*($G104-$H104)</f>
        <v>38.772477000533613</v>
      </c>
      <c r="BD104" s="22">
        <f>VLOOKUP($A104,tabCustoUnit[],COLUMN(CUSTO_GLOBAL[[#Headers],[Intervalo para Repouso ou Alimentação]])-2,0)*($G104-$H104)</f>
        <v>0</v>
      </c>
      <c r="BE104" s="22">
        <f>VLOOKUP($A104,tabCustoUnit[],COLUMN(CUSTO_GLOBAL[[#Headers],[Submódulo 4.2]])-2,0)*($G104-$H104)</f>
        <v>0</v>
      </c>
      <c r="BF104" s="22">
        <f>VLOOKUP($A104,tabCustoUnit[],COLUMN(CUSTO_GLOBAL[[#Headers],[Suspensão Temporária do Contrato de Trabalho]])-2,0)*($G104-$H104)</f>
        <v>0</v>
      </c>
      <c r="BG104" s="22">
        <f>VLOOKUP($A104,tabCustoUnit[],COLUMN(CUSTO_GLOBAL[[#Headers],[Submódulo 4.3]])-2,0)*($G104-$H104)</f>
        <v>0</v>
      </c>
      <c r="BH104" s="22">
        <f>VLOOKUP($A104,tabCustoUnit[],COLUMN(CUSTO_GLOBAL[[#Headers],[MÓDULO 4 – CUSTO DE REPOSIÇÃO DO PROFISSIONAL AUSENTE]])-2,0)*($G104-$H104)</f>
        <v>38.772477000533613</v>
      </c>
      <c r="BI104" s="22">
        <f>VLOOKUP($A104,tabCustoUnit[],COLUMN(CUSTO_GLOBAL[[#Headers],[Uniformes e EPIs]])-2,0)*($G104-$H104)</f>
        <v>56.642978962543395</v>
      </c>
      <c r="BJ104" s="22">
        <f>VLOOKUP($A104,tabCustoUnit[],COLUMN(CUSTO_GLOBAL[[#Headers],[Materiais de Consumo]])-2,0)*($G104-$H104)</f>
        <v>0</v>
      </c>
      <c r="BK104" s="22">
        <f>VLOOKUP($A104,tabCustoUnit[],COLUMN(CUSTO_GLOBAL[[#Headers],[Máquinas e Equipamentos (depreciação)]])-2,0)*($G104-$H104)</f>
        <v>0</v>
      </c>
      <c r="BL104" s="22">
        <f>VLOOKUP($A104,tabCustoUnit[],COLUMN(CUSTO_GLOBAL[[#Headers],[Produtos de Limpeza e Materiais de Higiene Pessoal]])-2,0)*($G104-$H104)</f>
        <v>0</v>
      </c>
      <c r="BM104" s="22">
        <f>VLOOKUP($A104,tabCustoUnit[],COLUMN(CUSTO_GLOBAL[[#Headers],[Outros (especificar)]])-2,0)*($G104-$H104)</f>
        <v>0</v>
      </c>
      <c r="BN104" s="22">
        <f>VLOOKUP($A104,tabCustoUnit[],COLUMN(CUSTO_GLOBAL[[#Headers],[MÓDULO 5 – INSUMOS DIVERSOS]])-2,0)*($G104-$H104)</f>
        <v>56.642978962543395</v>
      </c>
      <c r="BO104" s="22" t="e">
        <f ca="1">VLOOKUP($A104,tabCustoUnit[],COLUMN(CUSTO_GLOBAL[[#Headers],[TOTAL MÓDULOS 1+2+3+4+5]])-2,0)*($G104-$H104)</f>
        <v>#NAME?</v>
      </c>
      <c r="BP104" s="22" t="e">
        <f ca="1">VLOOKUP($A104,tabCustoUnit[],COLUMN(CUSTO_GLOBAL[[#Headers],[Custos Indiretos]])-2,0)*($G104-$H104)</f>
        <v>#NAME?</v>
      </c>
      <c r="BQ104" s="22" t="e">
        <f ca="1">VLOOKUP($A104,tabCustoUnit[],COLUMN(CUSTO_GLOBAL[[#Headers],[Lucro]])-2,0)*($G104-$H104)</f>
        <v>#NAME?</v>
      </c>
      <c r="BR104" s="26">
        <f>VLOOKUP($A104,tabCustoUnit[],COLUMN(CUSTO_GLOBAL[[#Headers],[COFINS]])-2,0)</f>
        <v>8.6609686609686695E-2</v>
      </c>
      <c r="BS104" s="26">
        <f>VLOOKUP($A104,tabCustoUnit[],COLUMN(CUSTO_GLOBAL[[#Headers],[PIS]])-2,0)</f>
        <v>1.880341880341882E-2</v>
      </c>
      <c r="BT104" s="28">
        <f>VLOOKUP($A104,tabCustoUnit[],COLUMN(CUSTO_GLOBAL[[#Headers],[ISS]])-2,0)</f>
        <v>0.03</v>
      </c>
      <c r="BU104" s="26">
        <f>VLOOKUP($A104,tabCustoUnit[],COLUMN(CUSTO_GLOBAL[[#Headers],[ISS (Conversão Alíquota s/ fatura)]])-2,0)</f>
        <v>3.4188034188034219E-2</v>
      </c>
      <c r="BV104" s="26">
        <f>VLOOKUP($A104,tabCustoUnit[],COLUMN(CUSTO_GLOBAL[[#Headers],[Resumo de Alíquotas (PIS+CONFINS+ISS)]])-2,0)</f>
        <v>0.1225</v>
      </c>
      <c r="BW104" s="138">
        <f>VLOOKUP($A104,tabCustoUnit[],COLUMN(CUSTO_GLOBAL[[#Headers],[PIS + COFINS + ISS (Total Conversão  Alíquota s/ Fatura)]])-2,0)</f>
        <v>0.13960113960113973</v>
      </c>
      <c r="BX104" s="22" t="e">
        <f ca="1">VLOOKUP($A104,tabCustoUnit[],COLUMN(CUSTO_GLOBAL[[#Headers],[Valor dos Tributos (ISS, PIS, CONFINS)]])-2,0)*($G104-$H104)</f>
        <v>#NAME?</v>
      </c>
      <c r="BY104" s="22" t="e">
        <f ca="1">VLOOKUP($A104,tabCustoUnit[],COLUMN(CUSTO_GLOBAL[[#Headers],[MÓDULO 6 – CUSTOS INDIRETOS, TRIBUTOS E LUCRO]])-2,0)*($G104-$H104)</f>
        <v>#NAME?</v>
      </c>
      <c r="BZ104" s="22" t="e">
        <f ca="1">VLOOKUP($A104,tabCustoUnit[],COLUMN(CUSTO_GLOBAL[[#Headers],[CUSTO TOTAL MENSAL]])-2,0)*($G104-$H104)</f>
        <v>#NAME?</v>
      </c>
      <c r="CA104" s="22" t="e">
        <f ca="1">CUSTO_GLOBAL[[#This Row],[CUSTO TOTAL MENSAL]]*12</f>
        <v>#NAME?</v>
      </c>
      <c r="CB104" s="24">
        <f>VLOOKUP($A104,tabCustoUnit[],COLUMN(CUSTO_GLOBAL[[#Headers],[ANO DA CCT]])-2,0)</f>
        <v>45658</v>
      </c>
      <c r="CC104" s="25" t="str">
        <f>VLOOKUP($A104,tabCustoUnit[],COLUMN(CUSTO_GLOBAL[[#Headers],[Nº DE PEDIDO DA CCT]])-2,0)</f>
        <v>-</v>
      </c>
      <c r="CD104" s="25" t="str">
        <f>VLOOKUP($A104,tabCustoUnit[],COLUMN(CUSTO_GLOBAL[[#Headers],[TERMO ADITIVO ALTERAÇÃO DA CCT]])-2,0)</f>
        <v>-</v>
      </c>
    </row>
    <row r="105" spans="1:82">
      <c r="A105" s="20" t="s">
        <v>1569</v>
      </c>
      <c r="B105" t="s">
        <v>1116</v>
      </c>
      <c r="C105" t="s">
        <v>319</v>
      </c>
      <c r="D105" t="s">
        <v>899</v>
      </c>
      <c r="E105" s="20" t="s">
        <v>1090</v>
      </c>
      <c r="F105" s="20" t="s">
        <v>120</v>
      </c>
      <c r="G105" s="20">
        <v>1</v>
      </c>
      <c r="H105" s="20">
        <v>0</v>
      </c>
      <c r="I105" s="21">
        <f>VLOOKUP($A105,tabCustoUnit[],COLUMN(CUSTO_GLOBAL[[#Headers],[Salário Base]])-2,0)*($G105-$H105)</f>
        <v>2316.2253000000001</v>
      </c>
      <c r="J105" s="21">
        <f>VLOOKUP($A105,tabCustoUnit[],COLUMN(CUSTO_GLOBAL[[#Headers],[Adicional Periculosidade]])-2,0)*($G105-$H105)</f>
        <v>0</v>
      </c>
      <c r="K105" s="21">
        <f>VLOOKUP($A105,tabCustoUnit[],COLUMN(CUSTO_GLOBAL[[#Headers],[Adicional Insalubridade]])-2,0)*($G105-$H105)</f>
        <v>0</v>
      </c>
      <c r="L105" s="21">
        <f>VLOOKUP($A105,tabCustoUnit[],COLUMN(CUSTO_GLOBAL[[#Headers],[Adicional Noturno]])-2,0)*($G105-$H105)</f>
        <v>0</v>
      </c>
      <c r="M105" s="21">
        <f>VLOOKUP($A105,tabCustoUnit[],COLUMN(CUSTO_GLOBAL[[#Headers],[Adicional Motorista II (Gratificação)]])-2,0)*($G105-$H105)</f>
        <v>0</v>
      </c>
      <c r="N105" s="21">
        <f>VLOOKUP($A105,tabCustoUnit[],COLUMN(CUSTO_GLOBAL[[#Headers],[Adicional de Sobreaviso]])-2,0)*($G105-$H105)</f>
        <v>0</v>
      </c>
      <c r="O105" s="21">
        <f>VLOOKUP($A105,tabCustoUnit[],COLUMN(CUSTO_GLOBAL[[#Headers],[Horas Extras TI]])-2,0)*($G105-$H105)</f>
        <v>0</v>
      </c>
      <c r="P105" s="21">
        <f>VLOOKUP($A105,tabCustoUnit[],COLUMN(CUSTO_GLOBAL[[#Headers],[Adicional de Acúmulo de função]])-2,0)*($G105-$H105)</f>
        <v>0</v>
      </c>
      <c r="Q105" s="21">
        <f>VLOOKUP($A105,tabCustoUnit[],COLUMN(CUSTO_GLOBAL[[#Headers],[MODULO 1 - REMUNERAÇÃO ]])-2,0)*($G105-$H105)</f>
        <v>2316.2253000000001</v>
      </c>
      <c r="R105" s="21">
        <f>VLOOKUP($A105,tabCustoUnit[],COLUMN(CUSTO_GLOBAL[[#Headers],[INSS]])-2,0)*($G105-$H105)</f>
        <v>463.24506000000002</v>
      </c>
      <c r="S105" s="21">
        <f>VLOOKUP($A105,tabCustoUnit[],COLUMN(CUSTO_GLOBAL[[#Headers],[SESI OU SESC]])-2,0)*($G105-$H105)</f>
        <v>34.743379499999996</v>
      </c>
      <c r="T105" s="21">
        <f>VLOOKUP($A105,tabCustoUnit[],COLUMN(CUSTO_GLOBAL[[#Headers],[SENAI OU SENAC]])-2,0)*($G105-$H105)</f>
        <v>23.162253</v>
      </c>
      <c r="U105" s="21">
        <f>VLOOKUP($A105,tabCustoUnit[],COLUMN(CUSTO_GLOBAL[[#Headers],[INCRA]])-2,0)*($G105-$H105)</f>
        <v>4.6324506000000003</v>
      </c>
      <c r="V105" s="21">
        <f>VLOOKUP($A105,tabCustoUnit[],COLUMN(CUSTO_GLOBAL[[#Headers],[Salário Educação]])-2,0)*($G105-$H105)</f>
        <v>57.905632500000003</v>
      </c>
      <c r="W105" s="21">
        <f>VLOOKUP($A105,tabCustoUnit[],COLUMN(CUSTO_GLOBAL[[#Headers],[FGTS]])-2,0)*($G105-$H105)</f>
        <v>185.298024</v>
      </c>
      <c r="X105" s="21">
        <f>VLOOKUP($A105,tabCustoUnit[],COLUMN(CUSTO_GLOBAL[[#Headers],[RAT Ajustado]])-2,0)*($G105-$H105)</f>
        <v>92.649011999999999</v>
      </c>
      <c r="Y105" s="21">
        <f>VLOOKUP($A105,tabCustoUnit[],COLUMN(CUSTO_GLOBAL[[#Headers],[SEBRAE]])-2,0)*($G105-$H105)</f>
        <v>13.897351800000001</v>
      </c>
      <c r="Z105" s="21">
        <f>VLOOKUP($A105,tabCustoUnit[],COLUMN(CUSTO_GLOBAL[[#Headers],[Submódulo 2.1]])-2,0)*($G105-$H105)</f>
        <v>875.53316340000003</v>
      </c>
      <c r="AA105" s="21">
        <f>VLOOKUP($A105,tabCustoUnit[],COLUMN(CUSTO_GLOBAL[[#Headers],[13º salário (titular)]])-2,0)*($G105-$H105)</f>
        <v>193.01877500000001</v>
      </c>
      <c r="AB105" s="21">
        <f>VLOOKUP($A105,tabCustoUnit[],COLUMN(CUSTO_GLOBAL[[#Headers],[Férias e Adicional de Férias (titular)]])-2,0)*($G105-$H105)</f>
        <v>257.35836666666665</v>
      </c>
      <c r="AC105" s="21">
        <f>VLOOKUP($A105,tabCustoUnit[],COLUMN(CUSTO_GLOBAL[[#Headers],[Incidência do Submódulo 2.1 sobre 13º Salário, Férias e Adicional de Férias]])-2,0)*($G105-$H105)</f>
        <v>170.24255955000001</v>
      </c>
      <c r="AD105" s="21">
        <f>VLOOKUP($A105,tabCustoUnit[],COLUMN(CUSTO_GLOBAL[[#Headers],[Submódulo 2.2]])-2,0)*($G105-$H105)</f>
        <v>620.61970121666673</v>
      </c>
      <c r="AE105" s="22" t="e">
        <f ca="1">VLOOKUP($A105,tabCustoUnit[],COLUMN(CUSTO_GLOBAL[[#Headers],[Vale - Transporte (Descontada parcela do empregado)]])-2,0)*($G105-$H105)</f>
        <v>#NAME?</v>
      </c>
      <c r="AF105" s="22">
        <f>VLOOKUP($A105,tabCustoUnit[],COLUMN(CUSTO_GLOBAL[[#Headers],[Vale - Alimentação (Descontada parcela do empregado)]])-2,0)*($G105-$H105)</f>
        <v>0</v>
      </c>
      <c r="AG105" s="22">
        <f>VLOOKUP($A105,tabCustoUnit[],COLUMN(CUSTO_GLOBAL[[#Headers],[Cesta Básica]])-2,0)*($G105-$H105)</f>
        <v>387.79</v>
      </c>
      <c r="AH105" s="22">
        <f>VLOOKUP($A105,tabCustoUnit[],COLUMN(CUSTO_GLOBAL[[#Headers],[PAF]])-2,0)*($G105-$H105)</f>
        <v>42.97</v>
      </c>
      <c r="AI105" s="22">
        <f>VLOOKUP($A105,tabCustoUnit[],COLUMN(CUSTO_GLOBAL[[#Headers],[PQM]])-2,0)*($G105-$H105)</f>
        <v>0</v>
      </c>
      <c r="AJ105" s="22">
        <v>0</v>
      </c>
      <c r="AK105" s="22">
        <f>VLOOKUP($A105,tabCustoUnit[],COLUMN(CUSTO_GLOBAL[[#Headers],[Seguro de Vida]])-2,0)*($G105-$H105)</f>
        <v>3.36</v>
      </c>
      <c r="AL105" s="22">
        <f>VLOOKUP($A105,tabCustoUnit[],COLUMN(CUSTO_GLOBAL[[#Headers],[Despesas de Viagem]])-2,0)*($G105-$H105)</f>
        <v>0</v>
      </c>
      <c r="AM105" s="22" t="e">
        <f ca="1">VLOOKUP($A105,tabCustoUnit[],COLUMN(CUSTO_GLOBAL[[#Headers],[Submódulo 2.3]])-2,0)*($G105-$H105)</f>
        <v>#NAME?</v>
      </c>
      <c r="AN105" s="22" t="e">
        <f ca="1">VLOOKUP($A105,tabCustoUnit[],COLUMN(CUSTO_GLOBAL[[#Headers],[MÓDULO 2 - Total Encargos e Benefícios mensais e diários]])-2,0)*($G105-$H105)</f>
        <v>#NAME?</v>
      </c>
      <c r="AO105" s="22">
        <f>VLOOKUP($A105,tabCustoUnit[],COLUMN(CUSTO_GLOBAL[[#Headers],[Aviso Prévio Indenizado (API) e Reflexo do Aviso Prévio Indenizado]])-2,0)*($G105-$H105)</f>
        <v>16.240832065914354</v>
      </c>
      <c r="AP105" s="22">
        <f>VLOOKUP($A105,tabCustoUnit[],COLUMN(CUSTO_GLOBAL[[#Headers],[Incidência do FGTS sobre API e Reflexo do API]])-2,0)*($G105-$H105)</f>
        <v>1.2992665652731483</v>
      </c>
      <c r="AQ105" s="22">
        <f>VLOOKUP($A105,tabCustoUnit[],COLUMN(CUSTO_GLOBAL[[#Headers],[Multa Rescisória do FGTS sobre o Aviso Prévio Indenizado]])-2,0)*($G105-$H105)</f>
        <v>0.51970662610925933</v>
      </c>
      <c r="AR105" s="22">
        <f>VLOOKUP($A105,tabCustoUnit[],COLUMN(CUSTO_GLOBAL[[#Headers],[Aviso Prévio Trabalhado - APT]])-2,0)*($G105-$H105)</f>
        <v>8.106788550000001</v>
      </c>
      <c r="AS105" s="22">
        <f>VLOOKUP($A105,tabCustoUnit[],COLUMN(CUSTO_GLOBAL[[#Headers],[Incidência dos encargos do submódulo 2.1 sobre Aviso Prévio Trabalhado]])-2,0)*($G105-$H105)</f>
        <v>3.0643660719000008</v>
      </c>
      <c r="AT105" s="22">
        <f>VLOOKUP($A105,tabCustoUnit[],COLUMN(CUSTO_GLOBAL[[#Headers],[Multa Rescisória do FGTS]])-2,0)*($G105-$H105)</f>
        <v>70.825022506666656</v>
      </c>
      <c r="AU105" s="22">
        <f>VLOOKUP($A105,tabCustoUnit[],COLUMN(CUSTO_GLOBAL[[#Headers],[Indenização Adicional (Art. 9º da Lei nº 7.238/84)]])-2,0)*($G105-$H105)</f>
        <v>1.9301877500000002</v>
      </c>
      <c r="AV105" s="22">
        <f>VLOOKUP($A105,tabCustoUnit[],COLUMN(CUSTO_GLOBAL[[#Headers],[MÓDULO 3 – PROVISÃO PARA RESCISÃO]])-2,0)*($G105-$H105)</f>
        <v>101.98617013586342</v>
      </c>
      <c r="AW105" s="22">
        <f>VLOOKUP($A105,tabCustoUnit[],COLUMN(CUSTO_GLOBAL[[#Headers],[Ausência por Doença]])-2,0)*($G105-$H105)</f>
        <v>19.559235866666665</v>
      </c>
      <c r="AX105" s="22">
        <f>VLOOKUP($A105,tabCustoUnit[],COLUMN(CUSTO_GLOBAL[[#Headers],[Ausências Legais]])-2,0)*($G105-$H105)</f>
        <v>4.6967901916666666</v>
      </c>
      <c r="AY105" s="22">
        <f>VLOOKUP($A105,tabCustoUnit[],COLUMN(CUSTO_GLOBAL[[#Headers],[Licença Paternidade]])-2,0)*($G105-$H105)</f>
        <v>0.39568848875000001</v>
      </c>
      <c r="AZ105" s="22">
        <f>VLOOKUP($A105,tabCustoUnit[],COLUMN(CUSTO_GLOBAL[[#Headers],[Ausência por Acidente de Trabalho]])-2,0)*($G105-$H105)</f>
        <v>0.48254693750000005</v>
      </c>
      <c r="BA105" s="22">
        <f>VLOOKUP($A105,tabCustoUnit[],COLUMN(CUSTO_GLOBAL[[#Headers],[Férias, Adicional de Férias e 13º  com empregada em gozo de Licença Maternidade]])-2,0)*($G105-$H105)</f>
        <v>3.0025142777777778</v>
      </c>
      <c r="BB105" s="22">
        <f>VLOOKUP($A105,tabCustoUnit[],COLUMN(CUSTO_GLOBAL[[#Headers],[Incidência do Submódulo 2.1 sobre Ausências Legais]])-2,0)*($G105-$H105)</f>
        <v>10.635701238172501</v>
      </c>
      <c r="BC105" s="22">
        <f>VLOOKUP($A105,tabCustoUnit[],COLUMN(CUSTO_GLOBAL[[#Headers],[Submódulo 4.1]])-2,0)*($G105-$H105)</f>
        <v>38.772477000533613</v>
      </c>
      <c r="BD105" s="22">
        <f>VLOOKUP($A105,tabCustoUnit[],COLUMN(CUSTO_GLOBAL[[#Headers],[Intervalo para Repouso ou Alimentação]])-2,0)*($G105-$H105)</f>
        <v>0</v>
      </c>
      <c r="BE105" s="22">
        <f>VLOOKUP($A105,tabCustoUnit[],COLUMN(CUSTO_GLOBAL[[#Headers],[Submódulo 4.2]])-2,0)*($G105-$H105)</f>
        <v>0</v>
      </c>
      <c r="BF105" s="22">
        <f>VLOOKUP($A105,tabCustoUnit[],COLUMN(CUSTO_GLOBAL[[#Headers],[Suspensão Temporária do Contrato de Trabalho]])-2,0)*($G105-$H105)</f>
        <v>0</v>
      </c>
      <c r="BG105" s="22">
        <f>VLOOKUP($A105,tabCustoUnit[],COLUMN(CUSTO_GLOBAL[[#Headers],[Submódulo 4.3]])-2,0)*($G105-$H105)</f>
        <v>0</v>
      </c>
      <c r="BH105" s="22">
        <f>VLOOKUP($A105,tabCustoUnit[],COLUMN(CUSTO_GLOBAL[[#Headers],[MÓDULO 4 – CUSTO DE REPOSIÇÃO DO PROFISSIONAL AUSENTE]])-2,0)*($G105-$H105)</f>
        <v>38.772477000533613</v>
      </c>
      <c r="BI105" s="22">
        <f>VLOOKUP($A105,tabCustoUnit[],COLUMN(CUSTO_GLOBAL[[#Headers],[Uniformes e EPIs]])-2,0)*($G105-$H105)</f>
        <v>56.642978962543395</v>
      </c>
      <c r="BJ105" s="22">
        <f>VLOOKUP($A105,tabCustoUnit[],COLUMN(CUSTO_GLOBAL[[#Headers],[Materiais de Consumo]])-2,0)*($G105-$H105)</f>
        <v>0</v>
      </c>
      <c r="BK105" s="22">
        <f>VLOOKUP($A105,tabCustoUnit[],COLUMN(CUSTO_GLOBAL[[#Headers],[Máquinas e Equipamentos (depreciação)]])-2,0)*($G105-$H105)</f>
        <v>0</v>
      </c>
      <c r="BL105" s="22">
        <f>VLOOKUP($A105,tabCustoUnit[],COLUMN(CUSTO_GLOBAL[[#Headers],[Produtos de Limpeza e Materiais de Higiene Pessoal]])-2,0)*($G105-$H105)</f>
        <v>0</v>
      </c>
      <c r="BM105" s="22">
        <f>VLOOKUP($A105,tabCustoUnit[],COLUMN(CUSTO_GLOBAL[[#Headers],[Outros (especificar)]])-2,0)*($G105-$H105)</f>
        <v>0</v>
      </c>
      <c r="BN105" s="22">
        <f>VLOOKUP($A105,tabCustoUnit[],COLUMN(CUSTO_GLOBAL[[#Headers],[MÓDULO 5 – INSUMOS DIVERSOS]])-2,0)*($G105-$H105)</f>
        <v>56.642978962543395</v>
      </c>
      <c r="BO105" s="22" t="e">
        <f ca="1">VLOOKUP($A105,tabCustoUnit[],COLUMN(CUSTO_GLOBAL[[#Headers],[TOTAL MÓDULOS 1+2+3+4+5]])-2,0)*($G105-$H105)</f>
        <v>#NAME?</v>
      </c>
      <c r="BP105" s="22" t="e">
        <f ca="1">VLOOKUP($A105,tabCustoUnit[],COLUMN(CUSTO_GLOBAL[[#Headers],[Custos Indiretos]])-2,0)*($G105-$H105)</f>
        <v>#NAME?</v>
      </c>
      <c r="BQ105" s="22" t="e">
        <f ca="1">VLOOKUP($A105,tabCustoUnit[],COLUMN(CUSTO_GLOBAL[[#Headers],[Lucro]])-2,0)*($G105-$H105)</f>
        <v>#NAME?</v>
      </c>
      <c r="BR105" s="26">
        <f>VLOOKUP($A105,tabCustoUnit[],COLUMN(CUSTO_GLOBAL[[#Headers],[COFINS]])-2,0)</f>
        <v>8.6609686609686695E-2</v>
      </c>
      <c r="BS105" s="26">
        <f>VLOOKUP($A105,tabCustoUnit[],COLUMN(CUSTO_GLOBAL[[#Headers],[PIS]])-2,0)</f>
        <v>1.880341880341882E-2</v>
      </c>
      <c r="BT105" s="28">
        <f>VLOOKUP($A105,tabCustoUnit[],COLUMN(CUSTO_GLOBAL[[#Headers],[ISS]])-2,0)</f>
        <v>0.03</v>
      </c>
      <c r="BU105" s="26">
        <f>VLOOKUP($A105,tabCustoUnit[],COLUMN(CUSTO_GLOBAL[[#Headers],[ISS (Conversão Alíquota s/ fatura)]])-2,0)</f>
        <v>3.4188034188034219E-2</v>
      </c>
      <c r="BV105" s="26">
        <f>VLOOKUP($A105,tabCustoUnit[],COLUMN(CUSTO_GLOBAL[[#Headers],[Resumo de Alíquotas (PIS+CONFINS+ISS)]])-2,0)</f>
        <v>0.1225</v>
      </c>
      <c r="BW105" s="138">
        <f>VLOOKUP($A105,tabCustoUnit[],COLUMN(CUSTO_GLOBAL[[#Headers],[PIS + COFINS + ISS (Total Conversão  Alíquota s/ Fatura)]])-2,0)</f>
        <v>0.13960113960113973</v>
      </c>
      <c r="BX105" s="22" t="e">
        <f ca="1">VLOOKUP($A105,tabCustoUnit[],COLUMN(CUSTO_GLOBAL[[#Headers],[Valor dos Tributos (ISS, PIS, CONFINS)]])-2,0)*($G105-$H105)</f>
        <v>#NAME?</v>
      </c>
      <c r="BY105" s="22" t="e">
        <f ca="1">VLOOKUP($A105,tabCustoUnit[],COLUMN(CUSTO_GLOBAL[[#Headers],[MÓDULO 6 – CUSTOS INDIRETOS, TRIBUTOS E LUCRO]])-2,0)*($G105-$H105)</f>
        <v>#NAME?</v>
      </c>
      <c r="BZ105" s="22" t="e">
        <f ca="1">VLOOKUP($A105,tabCustoUnit[],COLUMN(CUSTO_GLOBAL[[#Headers],[CUSTO TOTAL MENSAL]])-2,0)*($G105-$H105)</f>
        <v>#NAME?</v>
      </c>
      <c r="CA105" s="22" t="e">
        <f ca="1">CUSTO_GLOBAL[[#This Row],[CUSTO TOTAL MENSAL]]*12</f>
        <v>#NAME?</v>
      </c>
      <c r="CB105" s="24">
        <f>VLOOKUP($A105,tabCustoUnit[],COLUMN(CUSTO_GLOBAL[[#Headers],[ANO DA CCT]])-2,0)</f>
        <v>45658</v>
      </c>
      <c r="CC105" s="25" t="str">
        <f>VLOOKUP($A105,tabCustoUnit[],COLUMN(CUSTO_GLOBAL[[#Headers],[Nº DE PEDIDO DA CCT]])-2,0)</f>
        <v>-</v>
      </c>
      <c r="CD105" s="25" t="str">
        <f>VLOOKUP($A105,tabCustoUnit[],COLUMN(CUSTO_GLOBAL[[#Headers],[TERMO ADITIVO ALTERAÇÃO DA CCT]])-2,0)</f>
        <v>-</v>
      </c>
    </row>
    <row r="106" spans="1:82">
      <c r="A106" s="20" t="s">
        <v>1462</v>
      </c>
      <c r="B106" t="s">
        <v>1117</v>
      </c>
      <c r="C106" t="s">
        <v>200</v>
      </c>
      <c r="D106" t="s">
        <v>961</v>
      </c>
      <c r="E106" s="20" t="s">
        <v>1090</v>
      </c>
      <c r="F106" s="20" t="s">
        <v>120</v>
      </c>
      <c r="G106" s="20">
        <v>1</v>
      </c>
      <c r="H106" s="20">
        <v>0</v>
      </c>
      <c r="I106" s="21">
        <f>VLOOKUP($A106,tabCustoUnit[],COLUMN(CUSTO_GLOBAL[[#Headers],[Salário Base]])-2,0)*($G106-$H106)</f>
        <v>1596.2737999999999</v>
      </c>
      <c r="J106" s="21">
        <f>VLOOKUP($A106,tabCustoUnit[],COLUMN(CUSTO_GLOBAL[[#Headers],[Adicional Periculosidade]])-2,0)*($G106-$H106)</f>
        <v>0</v>
      </c>
      <c r="K106" s="21">
        <f>VLOOKUP($A106,tabCustoUnit[],COLUMN(CUSTO_GLOBAL[[#Headers],[Adicional Insalubridade]])-2,0)*($G106-$H106)</f>
        <v>0</v>
      </c>
      <c r="L106" s="21">
        <f>VLOOKUP($A106,tabCustoUnit[],COLUMN(CUSTO_GLOBAL[[#Headers],[Adicional Noturno]])-2,0)*($G106-$H106)</f>
        <v>0</v>
      </c>
      <c r="M106" s="21">
        <f>VLOOKUP($A106,tabCustoUnit[],COLUMN(CUSTO_GLOBAL[[#Headers],[Adicional Motorista II (Gratificação)]])-2,0)*($G106-$H106)</f>
        <v>0</v>
      </c>
      <c r="N106" s="21">
        <f>VLOOKUP($A106,tabCustoUnit[],COLUMN(CUSTO_GLOBAL[[#Headers],[Adicional de Sobreaviso]])-2,0)*($G106-$H106)</f>
        <v>0</v>
      </c>
      <c r="O106" s="21">
        <f>VLOOKUP($A106,tabCustoUnit[],COLUMN(CUSTO_GLOBAL[[#Headers],[Horas Extras TI]])-2,0)*($G106-$H106)</f>
        <v>0</v>
      </c>
      <c r="P106" s="21">
        <f>VLOOKUP($A106,tabCustoUnit[],COLUMN(CUSTO_GLOBAL[[#Headers],[Adicional de Acúmulo de função]])-2,0)*($G106-$H106)</f>
        <v>0</v>
      </c>
      <c r="Q106" s="21">
        <f>VLOOKUP($A106,tabCustoUnit[],COLUMN(CUSTO_GLOBAL[[#Headers],[MODULO 1 - REMUNERAÇÃO ]])-2,0)*($G106-$H106)</f>
        <v>1596.2737999999999</v>
      </c>
      <c r="R106" s="21">
        <f>VLOOKUP($A106,tabCustoUnit[],COLUMN(CUSTO_GLOBAL[[#Headers],[INSS]])-2,0)*($G106-$H106)</f>
        <v>319.25476000000003</v>
      </c>
      <c r="S106" s="21">
        <f>VLOOKUP($A106,tabCustoUnit[],COLUMN(CUSTO_GLOBAL[[#Headers],[SESI OU SESC]])-2,0)*($G106-$H106)</f>
        <v>23.944106999999999</v>
      </c>
      <c r="T106" s="21">
        <f>VLOOKUP($A106,tabCustoUnit[],COLUMN(CUSTO_GLOBAL[[#Headers],[SENAI OU SENAC]])-2,0)*($G106-$H106)</f>
        <v>15.962738</v>
      </c>
      <c r="U106" s="21">
        <f>VLOOKUP($A106,tabCustoUnit[],COLUMN(CUSTO_GLOBAL[[#Headers],[INCRA]])-2,0)*($G106-$H106)</f>
        <v>3.1925476000000002</v>
      </c>
      <c r="V106" s="21">
        <f>VLOOKUP($A106,tabCustoUnit[],COLUMN(CUSTO_GLOBAL[[#Headers],[Salário Educação]])-2,0)*($G106-$H106)</f>
        <v>39.906845000000004</v>
      </c>
      <c r="W106" s="21">
        <f>VLOOKUP($A106,tabCustoUnit[],COLUMN(CUSTO_GLOBAL[[#Headers],[FGTS]])-2,0)*($G106-$H106)</f>
        <v>127.701904</v>
      </c>
      <c r="X106" s="21">
        <f>VLOOKUP($A106,tabCustoUnit[],COLUMN(CUSTO_GLOBAL[[#Headers],[RAT Ajustado]])-2,0)*($G106-$H106)</f>
        <v>63.850951999999999</v>
      </c>
      <c r="Y106" s="21">
        <f>VLOOKUP($A106,tabCustoUnit[],COLUMN(CUSTO_GLOBAL[[#Headers],[SEBRAE]])-2,0)*($G106-$H106)</f>
        <v>9.5776427999999996</v>
      </c>
      <c r="Z106" s="21">
        <f>VLOOKUP($A106,tabCustoUnit[],COLUMN(CUSTO_GLOBAL[[#Headers],[Submódulo 2.1]])-2,0)*($G106-$H106)</f>
        <v>603.39149640000005</v>
      </c>
      <c r="AA106" s="21">
        <f>VLOOKUP($A106,tabCustoUnit[],COLUMN(CUSTO_GLOBAL[[#Headers],[13º salário (titular)]])-2,0)*($G106-$H106)</f>
        <v>133.02281666666664</v>
      </c>
      <c r="AB106" s="21">
        <f>VLOOKUP($A106,tabCustoUnit[],COLUMN(CUSTO_GLOBAL[[#Headers],[Férias e Adicional de Férias (titular)]])-2,0)*($G106-$H106)</f>
        <v>177.36375555555554</v>
      </c>
      <c r="AC106" s="21">
        <f>VLOOKUP($A106,tabCustoUnit[],COLUMN(CUSTO_GLOBAL[[#Headers],[Incidência do Submódulo 2.1 sobre 13º Salário, Férias e Adicional de Férias]])-2,0)*($G106-$H106)</f>
        <v>117.3261243</v>
      </c>
      <c r="AD106" s="21">
        <f>VLOOKUP($A106,tabCustoUnit[],COLUMN(CUSTO_GLOBAL[[#Headers],[Submódulo 2.2]])-2,0)*($G106-$H106)</f>
        <v>427.71269652222219</v>
      </c>
      <c r="AE106" s="22" t="e">
        <f ca="1">VLOOKUP($A106,tabCustoUnit[],COLUMN(CUSTO_GLOBAL[[#Headers],[Vale - Transporte (Descontada parcela do empregado)]])-2,0)*($G106-$H106)</f>
        <v>#NAME?</v>
      </c>
      <c r="AF106" s="22">
        <f>VLOOKUP($A106,tabCustoUnit[],COLUMN(CUSTO_GLOBAL[[#Headers],[Vale - Alimentação (Descontada parcela do empregado)]])-2,0)*($G106-$H106)</f>
        <v>582</v>
      </c>
      <c r="AG106" s="22">
        <f>VLOOKUP($A106,tabCustoUnit[],COLUMN(CUSTO_GLOBAL[[#Headers],[Cesta Básica]])-2,0)*($G106-$H106)</f>
        <v>0</v>
      </c>
      <c r="AH106" s="22">
        <f>VLOOKUP($A106,tabCustoUnit[],COLUMN(CUSTO_GLOBAL[[#Headers],[PAF]])-2,0)*($G106-$H106)</f>
        <v>0</v>
      </c>
      <c r="AI106" s="22">
        <f>VLOOKUP($A106,tabCustoUnit[],COLUMN(CUSTO_GLOBAL[[#Headers],[PQM]])-2,0)*($G106-$H106)</f>
        <v>0</v>
      </c>
      <c r="AJ106" s="22">
        <v>0</v>
      </c>
      <c r="AK106" s="22">
        <f>VLOOKUP($A106,tabCustoUnit[],COLUMN(CUSTO_GLOBAL[[#Headers],[Seguro de Vida]])-2,0)*($G106-$H106)</f>
        <v>3.36</v>
      </c>
      <c r="AL106" s="22">
        <f>VLOOKUP($A106,tabCustoUnit[],COLUMN(CUSTO_GLOBAL[[#Headers],[Despesas de Viagem]])-2,0)*($G106-$H106)</f>
        <v>0</v>
      </c>
      <c r="AM106" s="22" t="e">
        <f ca="1">VLOOKUP($A106,tabCustoUnit[],COLUMN(CUSTO_GLOBAL[[#Headers],[Submódulo 2.3]])-2,0)*($G106-$H106)</f>
        <v>#NAME?</v>
      </c>
      <c r="AN106" s="22" t="e">
        <f ca="1">VLOOKUP($A106,tabCustoUnit[],COLUMN(CUSTO_GLOBAL[[#Headers],[MÓDULO 2 - Total Encargos e Benefícios mensais e diários]])-2,0)*($G106-$H106)</f>
        <v>#NAME?</v>
      </c>
      <c r="AO106" s="22">
        <f>VLOOKUP($A106,tabCustoUnit[],COLUMN(CUSTO_GLOBAL[[#Headers],[Aviso Prévio Indenizado (API) e Reflexo do Aviso Prévio Indenizado]])-2,0)*($G106-$H106)</f>
        <v>11.192699914390431</v>
      </c>
      <c r="AP106" s="22">
        <f>VLOOKUP($A106,tabCustoUnit[],COLUMN(CUSTO_GLOBAL[[#Headers],[Incidência do FGTS sobre API e Reflexo do API]])-2,0)*($G106-$H106)</f>
        <v>0.89541599315123466</v>
      </c>
      <c r="AQ106" s="22">
        <f>VLOOKUP($A106,tabCustoUnit[],COLUMN(CUSTO_GLOBAL[[#Headers],[Multa Rescisória do FGTS sobre o Aviso Prévio Indenizado]])-2,0)*($G106-$H106)</f>
        <v>0.35816639726049387</v>
      </c>
      <c r="AR106" s="22">
        <f>VLOOKUP($A106,tabCustoUnit[],COLUMN(CUSTO_GLOBAL[[#Headers],[Aviso Prévio Trabalhado - APT]])-2,0)*($G106-$H106)</f>
        <v>5.5869583000000009</v>
      </c>
      <c r="AS106" s="22">
        <f>VLOOKUP($A106,tabCustoUnit[],COLUMN(CUSTO_GLOBAL[[#Headers],[Incidência dos encargos do submódulo 2.1 sobre Aviso Prévio Trabalhado]])-2,0)*($G106-$H106)</f>
        <v>2.1118702374000007</v>
      </c>
      <c r="AT106" s="22">
        <f>VLOOKUP($A106,tabCustoUnit[],COLUMN(CUSTO_GLOBAL[[#Headers],[Multa Rescisória do FGTS]])-2,0)*($G106-$H106)</f>
        <v>48.810505528888882</v>
      </c>
      <c r="AU106" s="22">
        <f>VLOOKUP($A106,tabCustoUnit[],COLUMN(CUSTO_GLOBAL[[#Headers],[Indenização Adicional (Art. 9º da Lei nº 7.238/84)]])-2,0)*($G106-$H106)</f>
        <v>1.3302281666666667</v>
      </c>
      <c r="AV106" s="22">
        <f>VLOOKUP($A106,tabCustoUnit[],COLUMN(CUSTO_GLOBAL[[#Headers],[MÓDULO 3 – PROVISÃO PARA RESCISÃO]])-2,0)*($G106-$H106)</f>
        <v>70.285844537757711</v>
      </c>
      <c r="AW106" s="22">
        <f>VLOOKUP($A106,tabCustoUnit[],COLUMN(CUSTO_GLOBAL[[#Headers],[Ausência por Doença]])-2,0)*($G106-$H106)</f>
        <v>13.479645422222221</v>
      </c>
      <c r="AX106" s="22">
        <f>VLOOKUP($A106,tabCustoUnit[],COLUMN(CUSTO_GLOBAL[[#Headers],[Ausências Legais]])-2,0)*($G106-$H106)</f>
        <v>3.2368885388888886</v>
      </c>
      <c r="AY106" s="22">
        <f>VLOOKUP($A106,tabCustoUnit[],COLUMN(CUSTO_GLOBAL[[#Headers],[Licença Paternidade]])-2,0)*($G106-$H106)</f>
        <v>0.27269677416666666</v>
      </c>
      <c r="AZ106" s="22">
        <f>VLOOKUP($A106,tabCustoUnit[],COLUMN(CUSTO_GLOBAL[[#Headers],[Ausência por Acidente de Trabalho]])-2,0)*($G106-$H106)</f>
        <v>0.33255704166666666</v>
      </c>
      <c r="BA106" s="22">
        <f>VLOOKUP($A106,tabCustoUnit[],COLUMN(CUSTO_GLOBAL[[#Headers],[Férias, Adicional de Férias e 13º  com empregada em gozo de Licença Maternidade]])-2,0)*($G106-$H106)</f>
        <v>2.0692438148148145</v>
      </c>
      <c r="BB106" s="22">
        <f>VLOOKUP($A106,tabCustoUnit[],COLUMN(CUSTO_GLOBAL[[#Headers],[Incidência do Submódulo 2.1 sobre Ausências Legais]])-2,0)*($G106-$H106)</f>
        <v>7.3298099416850011</v>
      </c>
      <c r="BC106" s="22">
        <f>VLOOKUP($A106,tabCustoUnit[],COLUMN(CUSTO_GLOBAL[[#Headers],[Submódulo 4.1]])-2,0)*($G106-$H106)</f>
        <v>26.720841533444265</v>
      </c>
      <c r="BD106" s="22">
        <f>VLOOKUP($A106,tabCustoUnit[],COLUMN(CUSTO_GLOBAL[[#Headers],[Intervalo para Repouso ou Alimentação]])-2,0)*($G106-$H106)</f>
        <v>0</v>
      </c>
      <c r="BE106" s="22">
        <f>VLOOKUP($A106,tabCustoUnit[],COLUMN(CUSTO_GLOBAL[[#Headers],[Submódulo 4.2]])-2,0)*($G106-$H106)</f>
        <v>0</v>
      </c>
      <c r="BF106" s="22">
        <f>VLOOKUP($A106,tabCustoUnit[],COLUMN(CUSTO_GLOBAL[[#Headers],[Suspensão Temporária do Contrato de Trabalho]])-2,0)*($G106-$H106)</f>
        <v>0</v>
      </c>
      <c r="BG106" s="22">
        <f>VLOOKUP($A106,tabCustoUnit[],COLUMN(CUSTO_GLOBAL[[#Headers],[Submódulo 4.3]])-2,0)*($G106-$H106)</f>
        <v>0</v>
      </c>
      <c r="BH106" s="22">
        <f>VLOOKUP($A106,tabCustoUnit[],COLUMN(CUSTO_GLOBAL[[#Headers],[MÓDULO 4 – CUSTO DE REPOSIÇÃO DO PROFISSIONAL AUSENTE]])-2,0)*($G106-$H106)</f>
        <v>26.720841533444265</v>
      </c>
      <c r="BI106" s="22">
        <f>VLOOKUP($A106,tabCustoUnit[],COLUMN(CUSTO_GLOBAL[[#Headers],[Uniformes e EPIs]])-2,0)*($G106-$H106)</f>
        <v>56.141713661989918</v>
      </c>
      <c r="BJ106" s="22">
        <f>VLOOKUP($A106,tabCustoUnit[],COLUMN(CUSTO_GLOBAL[[#Headers],[Materiais de Consumo]])-2,0)*($G106-$H106)</f>
        <v>0</v>
      </c>
      <c r="BK106" s="22">
        <f>VLOOKUP($A106,tabCustoUnit[],COLUMN(CUSTO_GLOBAL[[#Headers],[Máquinas e Equipamentos (depreciação)]])-2,0)*($G106-$H106)</f>
        <v>0</v>
      </c>
      <c r="BL106" s="22">
        <f>VLOOKUP($A106,tabCustoUnit[],COLUMN(CUSTO_GLOBAL[[#Headers],[Produtos de Limpeza e Materiais de Higiene Pessoal]])-2,0)*($G106-$H106)</f>
        <v>0</v>
      </c>
      <c r="BM106" s="22">
        <f>VLOOKUP($A106,tabCustoUnit[],COLUMN(CUSTO_GLOBAL[[#Headers],[Outros (especificar)]])-2,0)*($G106-$H106)</f>
        <v>0</v>
      </c>
      <c r="BN106" s="22">
        <f>VLOOKUP($A106,tabCustoUnit[],COLUMN(CUSTO_GLOBAL[[#Headers],[MÓDULO 5 – INSUMOS DIVERSOS]])-2,0)*($G106-$H106)</f>
        <v>56.141713661989918</v>
      </c>
      <c r="BO106" s="22" t="e">
        <f ca="1">VLOOKUP($A106,tabCustoUnit[],COLUMN(CUSTO_GLOBAL[[#Headers],[TOTAL MÓDULOS 1+2+3+4+5]])-2,0)*($G106-$H106)</f>
        <v>#NAME?</v>
      </c>
      <c r="BP106" s="22" t="e">
        <f ca="1">VLOOKUP($A106,tabCustoUnit[],COLUMN(CUSTO_GLOBAL[[#Headers],[Custos Indiretos]])-2,0)*($G106-$H106)</f>
        <v>#NAME?</v>
      </c>
      <c r="BQ106" s="22" t="e">
        <f ca="1">VLOOKUP($A106,tabCustoUnit[],COLUMN(CUSTO_GLOBAL[[#Headers],[Lucro]])-2,0)*($G106-$H106)</f>
        <v>#NAME?</v>
      </c>
      <c r="BR106" s="26">
        <f>VLOOKUP($A106,tabCustoUnit[],COLUMN(CUSTO_GLOBAL[[#Headers],[COFINS]])-2,0)</f>
        <v>8.6609686609686695E-2</v>
      </c>
      <c r="BS106" s="26">
        <f>VLOOKUP($A106,tabCustoUnit[],COLUMN(CUSTO_GLOBAL[[#Headers],[PIS]])-2,0)</f>
        <v>1.880341880341882E-2</v>
      </c>
      <c r="BT106" s="28">
        <f>VLOOKUP($A106,tabCustoUnit[],COLUMN(CUSTO_GLOBAL[[#Headers],[ISS]])-2,0)</f>
        <v>0.03</v>
      </c>
      <c r="BU106" s="26">
        <f>VLOOKUP($A106,tabCustoUnit[],COLUMN(CUSTO_GLOBAL[[#Headers],[ISS (Conversão Alíquota s/ fatura)]])-2,0)</f>
        <v>3.4188034188034219E-2</v>
      </c>
      <c r="BV106" s="26">
        <f>VLOOKUP($A106,tabCustoUnit[],COLUMN(CUSTO_GLOBAL[[#Headers],[Resumo de Alíquotas (PIS+CONFINS+ISS)]])-2,0)</f>
        <v>0.1225</v>
      </c>
      <c r="BW106" s="138">
        <f>VLOOKUP($A106,tabCustoUnit[],COLUMN(CUSTO_GLOBAL[[#Headers],[PIS + COFINS + ISS (Total Conversão  Alíquota s/ Fatura)]])-2,0)</f>
        <v>0.13960113960113973</v>
      </c>
      <c r="BX106" s="22" t="e">
        <f ca="1">VLOOKUP($A106,tabCustoUnit[],COLUMN(CUSTO_GLOBAL[[#Headers],[Valor dos Tributos (ISS, PIS, CONFINS)]])-2,0)*($G106-$H106)</f>
        <v>#NAME?</v>
      </c>
      <c r="BY106" s="22" t="e">
        <f ca="1">VLOOKUP($A106,tabCustoUnit[],COLUMN(CUSTO_GLOBAL[[#Headers],[MÓDULO 6 – CUSTOS INDIRETOS, TRIBUTOS E LUCRO]])-2,0)*($G106-$H106)</f>
        <v>#NAME?</v>
      </c>
      <c r="BZ106" s="22" t="e">
        <f ca="1">VLOOKUP($A106,tabCustoUnit[],COLUMN(CUSTO_GLOBAL[[#Headers],[CUSTO TOTAL MENSAL]])-2,0)*($G106-$H106)</f>
        <v>#NAME?</v>
      </c>
      <c r="CA106" s="22" t="e">
        <f ca="1">CUSTO_GLOBAL[[#This Row],[CUSTO TOTAL MENSAL]]*12</f>
        <v>#NAME?</v>
      </c>
      <c r="CB106" s="24">
        <f>VLOOKUP($A106,tabCustoUnit[],COLUMN(CUSTO_GLOBAL[[#Headers],[ANO DA CCT]])-2,0)</f>
        <v>45658</v>
      </c>
      <c r="CC106" s="25" t="str">
        <f>VLOOKUP($A106,tabCustoUnit[],COLUMN(CUSTO_GLOBAL[[#Headers],[Nº DE PEDIDO DA CCT]])-2,0)</f>
        <v>-</v>
      </c>
      <c r="CD106" s="25" t="str">
        <f>VLOOKUP($A106,tabCustoUnit[],COLUMN(CUSTO_GLOBAL[[#Headers],[TERMO ADITIVO ALTERAÇÃO DA CCT]])-2,0)</f>
        <v>-</v>
      </c>
    </row>
    <row r="107" spans="1:82">
      <c r="A107" s="20" t="s">
        <v>1463</v>
      </c>
      <c r="B107" t="s">
        <v>1118</v>
      </c>
      <c r="C107" t="s">
        <v>200</v>
      </c>
      <c r="D107" t="s">
        <v>899</v>
      </c>
      <c r="E107" s="20" t="s">
        <v>1090</v>
      </c>
      <c r="F107" s="20" t="s">
        <v>120</v>
      </c>
      <c r="G107" s="20">
        <v>1</v>
      </c>
      <c r="H107" s="20">
        <v>0</v>
      </c>
      <c r="I107" s="21">
        <f>VLOOKUP($A107,tabCustoUnit[],COLUMN(CUSTO_GLOBAL[[#Headers],[Salário Base]])-2,0)*($G107-$H107)</f>
        <v>1596.2737999999999</v>
      </c>
      <c r="J107" s="21">
        <f>VLOOKUP($A107,tabCustoUnit[],COLUMN(CUSTO_GLOBAL[[#Headers],[Adicional Periculosidade]])-2,0)*($G107-$H107)</f>
        <v>0</v>
      </c>
      <c r="K107" s="21">
        <f>VLOOKUP($A107,tabCustoUnit[],COLUMN(CUSTO_GLOBAL[[#Headers],[Adicional Insalubridade]])-2,0)*($G107-$H107)</f>
        <v>0</v>
      </c>
      <c r="L107" s="21">
        <f>VLOOKUP($A107,tabCustoUnit[],COLUMN(CUSTO_GLOBAL[[#Headers],[Adicional Noturno]])-2,0)*($G107-$H107)</f>
        <v>0</v>
      </c>
      <c r="M107" s="21">
        <f>VLOOKUP($A107,tabCustoUnit[],COLUMN(CUSTO_GLOBAL[[#Headers],[Adicional Motorista II (Gratificação)]])-2,0)*($G107-$H107)</f>
        <v>0</v>
      </c>
      <c r="N107" s="21">
        <f>VLOOKUP($A107,tabCustoUnit[],COLUMN(CUSTO_GLOBAL[[#Headers],[Adicional de Sobreaviso]])-2,0)*($G107-$H107)</f>
        <v>0</v>
      </c>
      <c r="O107" s="21">
        <f>VLOOKUP($A107,tabCustoUnit[],COLUMN(CUSTO_GLOBAL[[#Headers],[Horas Extras TI]])-2,0)*($G107-$H107)</f>
        <v>0</v>
      </c>
      <c r="P107" s="21">
        <f>VLOOKUP($A107,tabCustoUnit[],COLUMN(CUSTO_GLOBAL[[#Headers],[Adicional de Acúmulo de função]])-2,0)*($G107-$H107)</f>
        <v>0</v>
      </c>
      <c r="Q107" s="21">
        <f>VLOOKUP($A107,tabCustoUnit[],COLUMN(CUSTO_GLOBAL[[#Headers],[MODULO 1 - REMUNERAÇÃO ]])-2,0)*($G107-$H107)</f>
        <v>1596.2737999999999</v>
      </c>
      <c r="R107" s="21">
        <f>VLOOKUP($A107,tabCustoUnit[],COLUMN(CUSTO_GLOBAL[[#Headers],[INSS]])-2,0)*($G107-$H107)</f>
        <v>319.25476000000003</v>
      </c>
      <c r="S107" s="21">
        <f>VLOOKUP($A107,tabCustoUnit[],COLUMN(CUSTO_GLOBAL[[#Headers],[SESI OU SESC]])-2,0)*($G107-$H107)</f>
        <v>23.944106999999999</v>
      </c>
      <c r="T107" s="21">
        <f>VLOOKUP($A107,tabCustoUnit[],COLUMN(CUSTO_GLOBAL[[#Headers],[SENAI OU SENAC]])-2,0)*($G107-$H107)</f>
        <v>15.962738</v>
      </c>
      <c r="U107" s="21">
        <f>VLOOKUP($A107,tabCustoUnit[],COLUMN(CUSTO_GLOBAL[[#Headers],[INCRA]])-2,0)*($G107-$H107)</f>
        <v>3.1925476000000002</v>
      </c>
      <c r="V107" s="21">
        <f>VLOOKUP($A107,tabCustoUnit[],COLUMN(CUSTO_GLOBAL[[#Headers],[Salário Educação]])-2,0)*($G107-$H107)</f>
        <v>39.906845000000004</v>
      </c>
      <c r="W107" s="21">
        <f>VLOOKUP($A107,tabCustoUnit[],COLUMN(CUSTO_GLOBAL[[#Headers],[FGTS]])-2,0)*($G107-$H107)</f>
        <v>127.701904</v>
      </c>
      <c r="X107" s="21">
        <f>VLOOKUP($A107,tabCustoUnit[],COLUMN(CUSTO_GLOBAL[[#Headers],[RAT Ajustado]])-2,0)*($G107-$H107)</f>
        <v>63.850951999999999</v>
      </c>
      <c r="Y107" s="21">
        <f>VLOOKUP($A107,tabCustoUnit[],COLUMN(CUSTO_GLOBAL[[#Headers],[SEBRAE]])-2,0)*($G107-$H107)</f>
        <v>9.5776427999999996</v>
      </c>
      <c r="Z107" s="21">
        <f>VLOOKUP($A107,tabCustoUnit[],COLUMN(CUSTO_GLOBAL[[#Headers],[Submódulo 2.1]])-2,0)*($G107-$H107)</f>
        <v>603.39149640000005</v>
      </c>
      <c r="AA107" s="21">
        <f>VLOOKUP($A107,tabCustoUnit[],COLUMN(CUSTO_GLOBAL[[#Headers],[13º salário (titular)]])-2,0)*($G107-$H107)</f>
        <v>133.02281666666664</v>
      </c>
      <c r="AB107" s="21">
        <f>VLOOKUP($A107,tabCustoUnit[],COLUMN(CUSTO_GLOBAL[[#Headers],[Férias e Adicional de Férias (titular)]])-2,0)*($G107-$H107)</f>
        <v>177.36375555555554</v>
      </c>
      <c r="AC107" s="21">
        <f>VLOOKUP($A107,tabCustoUnit[],COLUMN(CUSTO_GLOBAL[[#Headers],[Incidência do Submódulo 2.1 sobre 13º Salário, Férias e Adicional de Férias]])-2,0)*($G107-$H107)</f>
        <v>117.3261243</v>
      </c>
      <c r="AD107" s="21">
        <f>VLOOKUP($A107,tabCustoUnit[],COLUMN(CUSTO_GLOBAL[[#Headers],[Submódulo 2.2]])-2,0)*($G107-$H107)</f>
        <v>427.71269652222219</v>
      </c>
      <c r="AE107" s="22" t="e">
        <f ca="1">VLOOKUP($A107,tabCustoUnit[],COLUMN(CUSTO_GLOBAL[[#Headers],[Vale - Transporte (Descontada parcela do empregado)]])-2,0)*($G107-$H107)</f>
        <v>#NAME?</v>
      </c>
      <c r="AF107" s="22">
        <f>VLOOKUP($A107,tabCustoUnit[],COLUMN(CUSTO_GLOBAL[[#Headers],[Vale - Alimentação (Descontada parcela do empregado)]])-2,0)*($G107-$H107)</f>
        <v>0</v>
      </c>
      <c r="AG107" s="22">
        <f>VLOOKUP($A107,tabCustoUnit[],COLUMN(CUSTO_GLOBAL[[#Headers],[Cesta Básica]])-2,0)*($G107-$H107)</f>
        <v>387.79</v>
      </c>
      <c r="AH107" s="22">
        <f>VLOOKUP($A107,tabCustoUnit[],COLUMN(CUSTO_GLOBAL[[#Headers],[PAF]])-2,0)*($G107-$H107)</f>
        <v>42.97</v>
      </c>
      <c r="AI107" s="22">
        <f>VLOOKUP($A107,tabCustoUnit[],COLUMN(CUSTO_GLOBAL[[#Headers],[PQM]])-2,0)*($G107-$H107)</f>
        <v>0</v>
      </c>
      <c r="AJ107" s="22">
        <v>0</v>
      </c>
      <c r="AK107" s="22">
        <f>VLOOKUP($A107,tabCustoUnit[],COLUMN(CUSTO_GLOBAL[[#Headers],[Seguro de Vida]])-2,0)*($G107-$H107)</f>
        <v>3.36</v>
      </c>
      <c r="AL107" s="22">
        <f>VLOOKUP($A107,tabCustoUnit[],COLUMN(CUSTO_GLOBAL[[#Headers],[Despesas de Viagem]])-2,0)*($G107-$H107)</f>
        <v>0</v>
      </c>
      <c r="AM107" s="22" t="e">
        <f ca="1">VLOOKUP($A107,tabCustoUnit[],COLUMN(CUSTO_GLOBAL[[#Headers],[Submódulo 2.3]])-2,0)*($G107-$H107)</f>
        <v>#NAME?</v>
      </c>
      <c r="AN107" s="22" t="e">
        <f ca="1">VLOOKUP($A107,tabCustoUnit[],COLUMN(CUSTO_GLOBAL[[#Headers],[MÓDULO 2 - Total Encargos e Benefícios mensais e diários]])-2,0)*($G107-$H107)</f>
        <v>#NAME?</v>
      </c>
      <c r="AO107" s="22">
        <f>VLOOKUP($A107,tabCustoUnit[],COLUMN(CUSTO_GLOBAL[[#Headers],[Aviso Prévio Indenizado (API) e Reflexo do Aviso Prévio Indenizado]])-2,0)*($G107-$H107)</f>
        <v>11.192699914390431</v>
      </c>
      <c r="AP107" s="22">
        <f>VLOOKUP($A107,tabCustoUnit[],COLUMN(CUSTO_GLOBAL[[#Headers],[Incidência do FGTS sobre API e Reflexo do API]])-2,0)*($G107-$H107)</f>
        <v>0.89541599315123466</v>
      </c>
      <c r="AQ107" s="22">
        <f>VLOOKUP($A107,tabCustoUnit[],COLUMN(CUSTO_GLOBAL[[#Headers],[Multa Rescisória do FGTS sobre o Aviso Prévio Indenizado]])-2,0)*($G107-$H107)</f>
        <v>0.35816639726049387</v>
      </c>
      <c r="AR107" s="22">
        <f>VLOOKUP($A107,tabCustoUnit[],COLUMN(CUSTO_GLOBAL[[#Headers],[Aviso Prévio Trabalhado - APT]])-2,0)*($G107-$H107)</f>
        <v>5.5869583000000009</v>
      </c>
      <c r="AS107" s="22">
        <f>VLOOKUP($A107,tabCustoUnit[],COLUMN(CUSTO_GLOBAL[[#Headers],[Incidência dos encargos do submódulo 2.1 sobre Aviso Prévio Trabalhado]])-2,0)*($G107-$H107)</f>
        <v>2.1118702374000007</v>
      </c>
      <c r="AT107" s="22">
        <f>VLOOKUP($A107,tabCustoUnit[],COLUMN(CUSTO_GLOBAL[[#Headers],[Multa Rescisória do FGTS]])-2,0)*($G107-$H107)</f>
        <v>48.810505528888882</v>
      </c>
      <c r="AU107" s="22">
        <f>VLOOKUP($A107,tabCustoUnit[],COLUMN(CUSTO_GLOBAL[[#Headers],[Indenização Adicional (Art. 9º da Lei nº 7.238/84)]])-2,0)*($G107-$H107)</f>
        <v>1.3302281666666667</v>
      </c>
      <c r="AV107" s="22">
        <f>VLOOKUP($A107,tabCustoUnit[],COLUMN(CUSTO_GLOBAL[[#Headers],[MÓDULO 3 – PROVISÃO PARA RESCISÃO]])-2,0)*($G107-$H107)</f>
        <v>70.285844537757711</v>
      </c>
      <c r="AW107" s="22">
        <f>VLOOKUP($A107,tabCustoUnit[],COLUMN(CUSTO_GLOBAL[[#Headers],[Ausência por Doença]])-2,0)*($G107-$H107)</f>
        <v>13.479645422222221</v>
      </c>
      <c r="AX107" s="22">
        <f>VLOOKUP($A107,tabCustoUnit[],COLUMN(CUSTO_GLOBAL[[#Headers],[Ausências Legais]])-2,0)*($G107-$H107)</f>
        <v>3.2368885388888886</v>
      </c>
      <c r="AY107" s="22">
        <f>VLOOKUP($A107,tabCustoUnit[],COLUMN(CUSTO_GLOBAL[[#Headers],[Licença Paternidade]])-2,0)*($G107-$H107)</f>
        <v>0.27269677416666666</v>
      </c>
      <c r="AZ107" s="22">
        <f>VLOOKUP($A107,tabCustoUnit[],COLUMN(CUSTO_GLOBAL[[#Headers],[Ausência por Acidente de Trabalho]])-2,0)*($G107-$H107)</f>
        <v>0.33255704166666666</v>
      </c>
      <c r="BA107" s="22">
        <f>VLOOKUP($A107,tabCustoUnit[],COLUMN(CUSTO_GLOBAL[[#Headers],[Férias, Adicional de Férias e 13º  com empregada em gozo de Licença Maternidade]])-2,0)*($G107-$H107)</f>
        <v>2.0692438148148145</v>
      </c>
      <c r="BB107" s="22">
        <f>VLOOKUP($A107,tabCustoUnit[],COLUMN(CUSTO_GLOBAL[[#Headers],[Incidência do Submódulo 2.1 sobre Ausências Legais]])-2,0)*($G107-$H107)</f>
        <v>7.3298099416850011</v>
      </c>
      <c r="BC107" s="22">
        <f>VLOOKUP($A107,tabCustoUnit[],COLUMN(CUSTO_GLOBAL[[#Headers],[Submódulo 4.1]])-2,0)*($G107-$H107)</f>
        <v>26.720841533444265</v>
      </c>
      <c r="BD107" s="22">
        <f>VLOOKUP($A107,tabCustoUnit[],COLUMN(CUSTO_GLOBAL[[#Headers],[Intervalo para Repouso ou Alimentação]])-2,0)*($G107-$H107)</f>
        <v>0</v>
      </c>
      <c r="BE107" s="22">
        <f>VLOOKUP($A107,tabCustoUnit[],COLUMN(CUSTO_GLOBAL[[#Headers],[Submódulo 4.2]])-2,0)*($G107-$H107)</f>
        <v>0</v>
      </c>
      <c r="BF107" s="22">
        <f>VLOOKUP($A107,tabCustoUnit[],COLUMN(CUSTO_GLOBAL[[#Headers],[Suspensão Temporária do Contrato de Trabalho]])-2,0)*($G107-$H107)</f>
        <v>0</v>
      </c>
      <c r="BG107" s="22">
        <f>VLOOKUP($A107,tabCustoUnit[],COLUMN(CUSTO_GLOBAL[[#Headers],[Submódulo 4.3]])-2,0)*($G107-$H107)</f>
        <v>0</v>
      </c>
      <c r="BH107" s="22">
        <f>VLOOKUP($A107,tabCustoUnit[],COLUMN(CUSTO_GLOBAL[[#Headers],[MÓDULO 4 – CUSTO DE REPOSIÇÃO DO PROFISSIONAL AUSENTE]])-2,0)*($G107-$H107)</f>
        <v>26.720841533444265</v>
      </c>
      <c r="BI107" s="22">
        <f>VLOOKUP($A107,tabCustoUnit[],COLUMN(CUSTO_GLOBAL[[#Headers],[Uniformes e EPIs]])-2,0)*($G107-$H107)</f>
        <v>56.141713661989918</v>
      </c>
      <c r="BJ107" s="22">
        <f>VLOOKUP($A107,tabCustoUnit[],COLUMN(CUSTO_GLOBAL[[#Headers],[Materiais de Consumo]])-2,0)*($G107-$H107)</f>
        <v>0</v>
      </c>
      <c r="BK107" s="22">
        <f>VLOOKUP($A107,tabCustoUnit[],COLUMN(CUSTO_GLOBAL[[#Headers],[Máquinas e Equipamentos (depreciação)]])-2,0)*($G107-$H107)</f>
        <v>0</v>
      </c>
      <c r="BL107" s="22">
        <f>VLOOKUP($A107,tabCustoUnit[],COLUMN(CUSTO_GLOBAL[[#Headers],[Produtos de Limpeza e Materiais de Higiene Pessoal]])-2,0)*($G107-$H107)</f>
        <v>0</v>
      </c>
      <c r="BM107" s="22">
        <f>VLOOKUP($A107,tabCustoUnit[],COLUMN(CUSTO_GLOBAL[[#Headers],[Outros (especificar)]])-2,0)*($G107-$H107)</f>
        <v>0</v>
      </c>
      <c r="BN107" s="22">
        <f>VLOOKUP($A107,tabCustoUnit[],COLUMN(CUSTO_GLOBAL[[#Headers],[MÓDULO 5 – INSUMOS DIVERSOS]])-2,0)*($G107-$H107)</f>
        <v>56.141713661989918</v>
      </c>
      <c r="BO107" s="22" t="e">
        <f ca="1">VLOOKUP($A107,tabCustoUnit[],COLUMN(CUSTO_GLOBAL[[#Headers],[TOTAL MÓDULOS 1+2+3+4+5]])-2,0)*($G107-$H107)</f>
        <v>#NAME?</v>
      </c>
      <c r="BP107" s="22" t="e">
        <f ca="1">VLOOKUP($A107,tabCustoUnit[],COLUMN(CUSTO_GLOBAL[[#Headers],[Custos Indiretos]])-2,0)*($G107-$H107)</f>
        <v>#NAME?</v>
      </c>
      <c r="BQ107" s="22" t="e">
        <f ca="1">VLOOKUP($A107,tabCustoUnit[],COLUMN(CUSTO_GLOBAL[[#Headers],[Lucro]])-2,0)*($G107-$H107)</f>
        <v>#NAME?</v>
      </c>
      <c r="BR107" s="26">
        <f>VLOOKUP($A107,tabCustoUnit[],COLUMN(CUSTO_GLOBAL[[#Headers],[COFINS]])-2,0)</f>
        <v>8.5633802816901458E-2</v>
      </c>
      <c r="BS107" s="26">
        <f>VLOOKUP($A107,tabCustoUnit[],COLUMN(CUSTO_GLOBAL[[#Headers],[PIS]])-2,0)</f>
        <v>1.8591549295774657E-2</v>
      </c>
      <c r="BT107" s="28">
        <f>VLOOKUP($A107,tabCustoUnit[],COLUMN(CUSTO_GLOBAL[[#Headers],[ISS]])-2,0)</f>
        <v>0.02</v>
      </c>
      <c r="BU107" s="26">
        <f>VLOOKUP($A107,tabCustoUnit[],COLUMN(CUSTO_GLOBAL[[#Headers],[ISS (Conversão Alíquota s/ fatura)]])-2,0)</f>
        <v>2.2535211267605645E-2</v>
      </c>
      <c r="BV107" s="26">
        <f>VLOOKUP($A107,tabCustoUnit[],COLUMN(CUSTO_GLOBAL[[#Headers],[Resumo de Alíquotas (PIS+CONFINS+ISS)]])-2,0)</f>
        <v>0.1125</v>
      </c>
      <c r="BW107" s="138">
        <f>VLOOKUP($A107,tabCustoUnit[],COLUMN(CUSTO_GLOBAL[[#Headers],[PIS + COFINS + ISS (Total Conversão  Alíquota s/ Fatura)]])-2,0)</f>
        <v>0.12676056338028174</v>
      </c>
      <c r="BX107" s="22" t="e">
        <f ca="1">VLOOKUP($A107,tabCustoUnit[],COLUMN(CUSTO_GLOBAL[[#Headers],[Valor dos Tributos (ISS, PIS, CONFINS)]])-2,0)*($G107-$H107)</f>
        <v>#NAME?</v>
      </c>
      <c r="BY107" s="22" t="e">
        <f ca="1">VLOOKUP($A107,tabCustoUnit[],COLUMN(CUSTO_GLOBAL[[#Headers],[MÓDULO 6 – CUSTOS INDIRETOS, TRIBUTOS E LUCRO]])-2,0)*($G107-$H107)</f>
        <v>#NAME?</v>
      </c>
      <c r="BZ107" s="22" t="e">
        <f ca="1">VLOOKUP($A107,tabCustoUnit[],COLUMN(CUSTO_GLOBAL[[#Headers],[CUSTO TOTAL MENSAL]])-2,0)*($G107-$H107)</f>
        <v>#NAME?</v>
      </c>
      <c r="CA107" s="22" t="e">
        <f ca="1">CUSTO_GLOBAL[[#This Row],[CUSTO TOTAL MENSAL]]*12</f>
        <v>#NAME?</v>
      </c>
      <c r="CB107" s="24">
        <f>VLOOKUP($A107,tabCustoUnit[],COLUMN(CUSTO_GLOBAL[[#Headers],[ANO DA CCT]])-2,0)</f>
        <v>45658</v>
      </c>
      <c r="CC107" s="25" t="str">
        <f>VLOOKUP($A107,tabCustoUnit[],COLUMN(CUSTO_GLOBAL[[#Headers],[Nº DE PEDIDO DA CCT]])-2,0)</f>
        <v>-</v>
      </c>
      <c r="CD107" s="25" t="str">
        <f>VLOOKUP($A107,tabCustoUnit[],COLUMN(CUSTO_GLOBAL[[#Headers],[TERMO ADITIVO ALTERAÇÃO DA CCT]])-2,0)</f>
        <v>-</v>
      </c>
    </row>
    <row r="108" spans="1:82">
      <c r="A108" s="20" t="s">
        <v>1570</v>
      </c>
      <c r="B108" t="s">
        <v>1119</v>
      </c>
      <c r="C108" t="s">
        <v>314</v>
      </c>
      <c r="D108" t="s">
        <v>961</v>
      </c>
      <c r="E108" s="20" t="s">
        <v>1090</v>
      </c>
      <c r="F108" s="20" t="s">
        <v>120</v>
      </c>
      <c r="G108" s="20">
        <v>1</v>
      </c>
      <c r="H108" s="20">
        <v>0</v>
      </c>
      <c r="I108" s="21">
        <f>VLOOKUP($A108,tabCustoUnit[],COLUMN(CUSTO_GLOBAL[[#Headers],[Salário Base]])-2,0)*($G108-$H108)</f>
        <v>1963.405</v>
      </c>
      <c r="J108" s="21">
        <f>VLOOKUP($A108,tabCustoUnit[],COLUMN(CUSTO_GLOBAL[[#Headers],[Adicional Periculosidade]])-2,0)*($G108-$H108)</f>
        <v>0</v>
      </c>
      <c r="K108" s="21">
        <f>VLOOKUP($A108,tabCustoUnit[],COLUMN(CUSTO_GLOBAL[[#Headers],[Adicional Insalubridade]])-2,0)*($G108-$H108)</f>
        <v>0</v>
      </c>
      <c r="L108" s="21">
        <f>VLOOKUP($A108,tabCustoUnit[],COLUMN(CUSTO_GLOBAL[[#Headers],[Adicional Noturno]])-2,0)*($G108-$H108)</f>
        <v>0</v>
      </c>
      <c r="M108" s="21">
        <f>VLOOKUP($A108,tabCustoUnit[],COLUMN(CUSTO_GLOBAL[[#Headers],[Adicional Motorista II (Gratificação)]])-2,0)*($G108-$H108)</f>
        <v>0</v>
      </c>
      <c r="N108" s="21">
        <f>VLOOKUP($A108,tabCustoUnit[],COLUMN(CUSTO_GLOBAL[[#Headers],[Adicional de Sobreaviso]])-2,0)*($G108-$H108)</f>
        <v>0</v>
      </c>
      <c r="O108" s="21">
        <f>VLOOKUP($A108,tabCustoUnit[],COLUMN(CUSTO_GLOBAL[[#Headers],[Horas Extras TI]])-2,0)*($G108-$H108)</f>
        <v>0</v>
      </c>
      <c r="P108" s="21">
        <f>VLOOKUP($A108,tabCustoUnit[],COLUMN(CUSTO_GLOBAL[[#Headers],[Adicional de Acúmulo de função]])-2,0)*($G108-$H108)</f>
        <v>0</v>
      </c>
      <c r="Q108" s="21">
        <f>VLOOKUP($A108,tabCustoUnit[],COLUMN(CUSTO_GLOBAL[[#Headers],[MODULO 1 - REMUNERAÇÃO ]])-2,0)*($G108-$H108)</f>
        <v>1963.405</v>
      </c>
      <c r="R108" s="21">
        <f>VLOOKUP($A108,tabCustoUnit[],COLUMN(CUSTO_GLOBAL[[#Headers],[INSS]])-2,0)*($G108-$H108)</f>
        <v>392.68100000000004</v>
      </c>
      <c r="S108" s="21">
        <f>VLOOKUP($A108,tabCustoUnit[],COLUMN(CUSTO_GLOBAL[[#Headers],[SESI OU SESC]])-2,0)*($G108-$H108)</f>
        <v>29.451074999999999</v>
      </c>
      <c r="T108" s="21">
        <f>VLOOKUP($A108,tabCustoUnit[],COLUMN(CUSTO_GLOBAL[[#Headers],[SENAI OU SENAC]])-2,0)*($G108-$H108)</f>
        <v>19.634049999999998</v>
      </c>
      <c r="U108" s="21">
        <f>VLOOKUP($A108,tabCustoUnit[],COLUMN(CUSTO_GLOBAL[[#Headers],[INCRA]])-2,0)*($G108-$H108)</f>
        <v>3.9268100000000001</v>
      </c>
      <c r="V108" s="21">
        <f>VLOOKUP($A108,tabCustoUnit[],COLUMN(CUSTO_GLOBAL[[#Headers],[Salário Educação]])-2,0)*($G108-$H108)</f>
        <v>49.085125000000005</v>
      </c>
      <c r="W108" s="21">
        <f>VLOOKUP($A108,tabCustoUnit[],COLUMN(CUSTO_GLOBAL[[#Headers],[FGTS]])-2,0)*($G108-$H108)</f>
        <v>157.07239999999999</v>
      </c>
      <c r="X108" s="21">
        <f>VLOOKUP($A108,tabCustoUnit[],COLUMN(CUSTO_GLOBAL[[#Headers],[RAT Ajustado]])-2,0)*($G108-$H108)</f>
        <v>78.536199999999994</v>
      </c>
      <c r="Y108" s="21">
        <f>VLOOKUP($A108,tabCustoUnit[],COLUMN(CUSTO_GLOBAL[[#Headers],[SEBRAE]])-2,0)*($G108-$H108)</f>
        <v>11.780430000000001</v>
      </c>
      <c r="Z108" s="21">
        <f>VLOOKUP($A108,tabCustoUnit[],COLUMN(CUSTO_GLOBAL[[#Headers],[Submódulo 2.1]])-2,0)*($G108-$H108)</f>
        <v>742.16709000000003</v>
      </c>
      <c r="AA108" s="21">
        <f>VLOOKUP($A108,tabCustoUnit[],COLUMN(CUSTO_GLOBAL[[#Headers],[13º salário (titular)]])-2,0)*($G108-$H108)</f>
        <v>163.61708333333331</v>
      </c>
      <c r="AB108" s="21">
        <f>VLOOKUP($A108,tabCustoUnit[],COLUMN(CUSTO_GLOBAL[[#Headers],[Férias e Adicional de Férias (titular)]])-2,0)*($G108-$H108)</f>
        <v>218.1561111111111</v>
      </c>
      <c r="AC108" s="21">
        <f>VLOOKUP($A108,tabCustoUnit[],COLUMN(CUSTO_GLOBAL[[#Headers],[Incidência do Submódulo 2.1 sobre 13º Salário, Férias e Adicional de Férias]])-2,0)*($G108-$H108)</f>
        <v>144.31026749999998</v>
      </c>
      <c r="AD108" s="21">
        <f>VLOOKUP($A108,tabCustoUnit[],COLUMN(CUSTO_GLOBAL[[#Headers],[Submódulo 2.2]])-2,0)*($G108-$H108)</f>
        <v>526.08346194444437</v>
      </c>
      <c r="AE108" s="22" t="e">
        <f ca="1">VLOOKUP($A108,tabCustoUnit[],COLUMN(CUSTO_GLOBAL[[#Headers],[Vale - Transporte (Descontada parcela do empregado)]])-2,0)*($G108-$H108)</f>
        <v>#NAME?</v>
      </c>
      <c r="AF108" s="22">
        <f>VLOOKUP($A108,tabCustoUnit[],COLUMN(CUSTO_GLOBAL[[#Headers],[Vale - Alimentação (Descontada parcela do empregado)]])-2,0)*($G108-$H108)</f>
        <v>582</v>
      </c>
      <c r="AG108" s="22">
        <f>VLOOKUP($A108,tabCustoUnit[],COLUMN(CUSTO_GLOBAL[[#Headers],[Cesta Básica]])-2,0)*($G108-$H108)</f>
        <v>0</v>
      </c>
      <c r="AH108" s="22">
        <f>VLOOKUP($A108,tabCustoUnit[],COLUMN(CUSTO_GLOBAL[[#Headers],[PAF]])-2,0)*($G108-$H108)</f>
        <v>0</v>
      </c>
      <c r="AI108" s="22">
        <f>VLOOKUP($A108,tabCustoUnit[],COLUMN(CUSTO_GLOBAL[[#Headers],[PQM]])-2,0)*($G108-$H108)</f>
        <v>0</v>
      </c>
      <c r="AJ108" s="22">
        <v>0</v>
      </c>
      <c r="AK108" s="22">
        <f>VLOOKUP($A108,tabCustoUnit[],COLUMN(CUSTO_GLOBAL[[#Headers],[Seguro de Vida]])-2,0)*($G108-$H108)</f>
        <v>3.36</v>
      </c>
      <c r="AL108" s="22">
        <f>VLOOKUP($A108,tabCustoUnit[],COLUMN(CUSTO_GLOBAL[[#Headers],[Despesas de Viagem]])-2,0)*($G108-$H108)</f>
        <v>0</v>
      </c>
      <c r="AM108" s="22" t="e">
        <f ca="1">VLOOKUP($A108,tabCustoUnit[],COLUMN(CUSTO_GLOBAL[[#Headers],[Submódulo 2.3]])-2,0)*($G108-$H108)</f>
        <v>#NAME?</v>
      </c>
      <c r="AN108" s="22" t="e">
        <f ca="1">VLOOKUP($A108,tabCustoUnit[],COLUMN(CUSTO_GLOBAL[[#Headers],[MÓDULO 2 - Total Encargos e Benefícios mensais e diários]])-2,0)*($G108-$H108)</f>
        <v>#NAME?</v>
      </c>
      <c r="AO108" s="22">
        <f>VLOOKUP($A108,tabCustoUnit[],COLUMN(CUSTO_GLOBAL[[#Headers],[Aviso Prévio Indenizado (API) e Reflexo do Aviso Prévio Indenizado]])-2,0)*($G108-$H108)</f>
        <v>13.766938338155864</v>
      </c>
      <c r="AP108" s="22">
        <f>VLOOKUP($A108,tabCustoUnit[],COLUMN(CUSTO_GLOBAL[[#Headers],[Incidência do FGTS sobre API e Reflexo do API]])-2,0)*($G108-$H108)</f>
        <v>1.1013550670524692</v>
      </c>
      <c r="AQ108" s="22">
        <f>VLOOKUP($A108,tabCustoUnit[],COLUMN(CUSTO_GLOBAL[[#Headers],[Multa Rescisória do FGTS sobre o Aviso Prévio Indenizado]])-2,0)*($G108-$H108)</f>
        <v>0.44054202682098775</v>
      </c>
      <c r="AR108" s="22">
        <f>VLOOKUP($A108,tabCustoUnit[],COLUMN(CUSTO_GLOBAL[[#Headers],[Aviso Prévio Trabalhado - APT]])-2,0)*($G108-$H108)</f>
        <v>6.8719175000000012</v>
      </c>
      <c r="AS108" s="22">
        <f>VLOOKUP($A108,tabCustoUnit[],COLUMN(CUSTO_GLOBAL[[#Headers],[Incidência dos encargos do submódulo 2.1 sobre Aviso Prévio Trabalhado]])-2,0)*($G108-$H108)</f>
        <v>2.5975848150000007</v>
      </c>
      <c r="AT108" s="22">
        <f>VLOOKUP($A108,tabCustoUnit[],COLUMN(CUSTO_GLOBAL[[#Headers],[Multa Rescisória do FGTS]])-2,0)*($G108-$H108)</f>
        <v>60.03656177777777</v>
      </c>
      <c r="AU108" s="22">
        <f>VLOOKUP($A108,tabCustoUnit[],COLUMN(CUSTO_GLOBAL[[#Headers],[Indenização Adicional (Art. 9º da Lei nº 7.238/84)]])-2,0)*($G108-$H108)</f>
        <v>1.6361708333333334</v>
      </c>
      <c r="AV108" s="22">
        <f>VLOOKUP($A108,tabCustoUnit[],COLUMN(CUSTO_GLOBAL[[#Headers],[MÓDULO 3 – PROVISÃO PARA RESCISÃO]])-2,0)*($G108-$H108)</f>
        <v>86.451070358140427</v>
      </c>
      <c r="AW108" s="22">
        <f>VLOOKUP($A108,tabCustoUnit[],COLUMN(CUSTO_GLOBAL[[#Headers],[Ausência por Doença]])-2,0)*($G108-$H108)</f>
        <v>16.579864444444443</v>
      </c>
      <c r="AX108" s="22">
        <f>VLOOKUP($A108,tabCustoUnit[],COLUMN(CUSTO_GLOBAL[[#Headers],[Ausências Legais]])-2,0)*($G108-$H108)</f>
        <v>3.9813490277777777</v>
      </c>
      <c r="AY108" s="22">
        <f>VLOOKUP($A108,tabCustoUnit[],COLUMN(CUSTO_GLOBAL[[#Headers],[Licença Paternidade]])-2,0)*($G108-$H108)</f>
        <v>0.3354150208333333</v>
      </c>
      <c r="AZ108" s="22">
        <f>VLOOKUP($A108,tabCustoUnit[],COLUMN(CUSTO_GLOBAL[[#Headers],[Ausência por Acidente de Trabalho]])-2,0)*($G108-$H108)</f>
        <v>0.40904270833333334</v>
      </c>
      <c r="BA108" s="22">
        <f>VLOOKUP($A108,tabCustoUnit[],COLUMN(CUSTO_GLOBAL[[#Headers],[Férias, Adicional de Férias e 13º  com empregada em gozo de Licença Maternidade]])-2,0)*($G108-$H108)</f>
        <v>2.5451546296296295</v>
      </c>
      <c r="BB108" s="22">
        <f>VLOOKUP($A108,tabCustoUnit[],COLUMN(CUSTO_GLOBAL[[#Headers],[Incidência do Submódulo 2.1 sobre Ausências Legais]])-2,0)*($G108-$H108)</f>
        <v>9.0156121641250007</v>
      </c>
      <c r="BC108" s="22">
        <f>VLOOKUP($A108,tabCustoUnit[],COLUMN(CUSTO_GLOBAL[[#Headers],[Submódulo 4.1]])-2,0)*($G108-$H108)</f>
        <v>32.866437995143521</v>
      </c>
      <c r="BD108" s="22">
        <f>VLOOKUP($A108,tabCustoUnit[],COLUMN(CUSTO_GLOBAL[[#Headers],[Intervalo para Repouso ou Alimentação]])-2,0)*($G108-$H108)</f>
        <v>267.73704981301341</v>
      </c>
      <c r="BE108" s="22">
        <f>VLOOKUP($A108,tabCustoUnit[],COLUMN(CUSTO_GLOBAL[[#Headers],[Submódulo 4.2]])-2,0)*($G108-$H108)</f>
        <v>267.73704981301341</v>
      </c>
      <c r="BF108" s="22">
        <f>VLOOKUP($A108,tabCustoUnit[],COLUMN(CUSTO_GLOBAL[[#Headers],[Suspensão Temporária do Contrato de Trabalho]])-2,0)*($G108-$H108)</f>
        <v>0</v>
      </c>
      <c r="BG108" s="22">
        <f>VLOOKUP($A108,tabCustoUnit[],COLUMN(CUSTO_GLOBAL[[#Headers],[Submódulo 4.3]])-2,0)*($G108-$H108)</f>
        <v>0</v>
      </c>
      <c r="BH108" s="22">
        <f>VLOOKUP($A108,tabCustoUnit[],COLUMN(CUSTO_GLOBAL[[#Headers],[MÓDULO 4 – CUSTO DE REPOSIÇÃO DO PROFISSIONAL AUSENTE]])-2,0)*($G108-$H108)</f>
        <v>300.60348780815696</v>
      </c>
      <c r="BI108" s="22">
        <f>VLOOKUP($A108,tabCustoUnit[],COLUMN(CUSTO_GLOBAL[[#Headers],[Uniformes e EPIs]])-2,0)*($G108-$H108)</f>
        <v>56.642978962543395</v>
      </c>
      <c r="BJ108" s="22">
        <f>VLOOKUP($A108,tabCustoUnit[],COLUMN(CUSTO_GLOBAL[[#Headers],[Materiais de Consumo]])-2,0)*($G108-$H108)</f>
        <v>0</v>
      </c>
      <c r="BK108" s="22">
        <f>VLOOKUP($A108,tabCustoUnit[],COLUMN(CUSTO_GLOBAL[[#Headers],[Máquinas e Equipamentos (depreciação)]])-2,0)*($G108-$H108)</f>
        <v>0</v>
      </c>
      <c r="BL108" s="22">
        <f>VLOOKUP($A108,tabCustoUnit[],COLUMN(CUSTO_GLOBAL[[#Headers],[Produtos de Limpeza e Materiais de Higiene Pessoal]])-2,0)*($G108-$H108)</f>
        <v>0</v>
      </c>
      <c r="BM108" s="22">
        <f>VLOOKUP($A108,tabCustoUnit[],COLUMN(CUSTO_GLOBAL[[#Headers],[Outros (especificar)]])-2,0)*($G108-$H108)</f>
        <v>0</v>
      </c>
      <c r="BN108" s="22">
        <f>VLOOKUP($A108,tabCustoUnit[],COLUMN(CUSTO_GLOBAL[[#Headers],[MÓDULO 5 – INSUMOS DIVERSOS]])-2,0)*($G108-$H108)</f>
        <v>56.642978962543395</v>
      </c>
      <c r="BO108" s="22" t="e">
        <f ca="1">VLOOKUP($A108,tabCustoUnit[],COLUMN(CUSTO_GLOBAL[[#Headers],[TOTAL MÓDULOS 1+2+3+4+5]])-2,0)*($G108-$H108)</f>
        <v>#NAME?</v>
      </c>
      <c r="BP108" s="22" t="e">
        <f ca="1">VLOOKUP($A108,tabCustoUnit[],COLUMN(CUSTO_GLOBAL[[#Headers],[Custos Indiretos]])-2,0)*($G108-$H108)</f>
        <v>#NAME?</v>
      </c>
      <c r="BQ108" s="22" t="e">
        <f ca="1">VLOOKUP($A108,tabCustoUnit[],COLUMN(CUSTO_GLOBAL[[#Headers],[Lucro]])-2,0)*($G108-$H108)</f>
        <v>#NAME?</v>
      </c>
      <c r="BR108" s="26">
        <f>VLOOKUP($A108,tabCustoUnit[],COLUMN(CUSTO_GLOBAL[[#Headers],[COFINS]])-2,0)</f>
        <v>8.6609686609686695E-2</v>
      </c>
      <c r="BS108" s="26">
        <f>VLOOKUP($A108,tabCustoUnit[],COLUMN(CUSTO_GLOBAL[[#Headers],[PIS]])-2,0)</f>
        <v>1.880341880341882E-2</v>
      </c>
      <c r="BT108" s="28">
        <f>VLOOKUP($A108,tabCustoUnit[],COLUMN(CUSTO_GLOBAL[[#Headers],[ISS]])-2,0)</f>
        <v>0.03</v>
      </c>
      <c r="BU108" s="26">
        <f>VLOOKUP($A108,tabCustoUnit[],COLUMN(CUSTO_GLOBAL[[#Headers],[ISS (Conversão Alíquota s/ fatura)]])-2,0)</f>
        <v>3.4188034188034219E-2</v>
      </c>
      <c r="BV108" s="26">
        <f>VLOOKUP($A108,tabCustoUnit[],COLUMN(CUSTO_GLOBAL[[#Headers],[Resumo de Alíquotas (PIS+CONFINS+ISS)]])-2,0)</f>
        <v>0.1225</v>
      </c>
      <c r="BW108" s="138">
        <f>VLOOKUP($A108,tabCustoUnit[],COLUMN(CUSTO_GLOBAL[[#Headers],[PIS + COFINS + ISS (Total Conversão  Alíquota s/ Fatura)]])-2,0)</f>
        <v>0.13960113960113973</v>
      </c>
      <c r="BX108" s="22" t="e">
        <f ca="1">VLOOKUP($A108,tabCustoUnit[],COLUMN(CUSTO_GLOBAL[[#Headers],[Valor dos Tributos (ISS, PIS, CONFINS)]])-2,0)*($G108-$H108)</f>
        <v>#NAME?</v>
      </c>
      <c r="BY108" s="22" t="e">
        <f ca="1">VLOOKUP($A108,tabCustoUnit[],COLUMN(CUSTO_GLOBAL[[#Headers],[MÓDULO 6 – CUSTOS INDIRETOS, TRIBUTOS E LUCRO]])-2,0)*($G108-$H108)</f>
        <v>#NAME?</v>
      </c>
      <c r="BZ108" s="22" t="e">
        <f ca="1">VLOOKUP($A108,tabCustoUnit[],COLUMN(CUSTO_GLOBAL[[#Headers],[CUSTO TOTAL MENSAL]])-2,0)*($G108-$H108)</f>
        <v>#NAME?</v>
      </c>
      <c r="CA108" s="22" t="e">
        <f ca="1">CUSTO_GLOBAL[[#This Row],[CUSTO TOTAL MENSAL]]*12</f>
        <v>#NAME?</v>
      </c>
      <c r="CB108" s="24">
        <f>VLOOKUP($A108,tabCustoUnit[],COLUMN(CUSTO_GLOBAL[[#Headers],[ANO DA CCT]])-2,0)</f>
        <v>45658</v>
      </c>
      <c r="CC108" s="25" t="str">
        <f>VLOOKUP($A108,tabCustoUnit[],COLUMN(CUSTO_GLOBAL[[#Headers],[Nº DE PEDIDO DA CCT]])-2,0)</f>
        <v>-</v>
      </c>
      <c r="CD108" s="25" t="str">
        <f>VLOOKUP($A108,tabCustoUnit[],COLUMN(CUSTO_GLOBAL[[#Headers],[TERMO ADITIVO ALTERAÇÃO DA CCT]])-2,0)</f>
        <v>-</v>
      </c>
    </row>
    <row r="109" spans="1:82">
      <c r="A109" s="20" t="s">
        <v>1464</v>
      </c>
      <c r="B109" t="s">
        <v>1120</v>
      </c>
      <c r="C109" t="s">
        <v>200</v>
      </c>
      <c r="D109" t="s">
        <v>965</v>
      </c>
      <c r="E109" s="20" t="s">
        <v>1090</v>
      </c>
      <c r="F109" s="20" t="s">
        <v>120</v>
      </c>
      <c r="G109" s="20">
        <v>1</v>
      </c>
      <c r="H109" s="20">
        <v>0</v>
      </c>
      <c r="I109" s="21">
        <f>VLOOKUP($A109,tabCustoUnit[],COLUMN(CUSTO_GLOBAL[[#Headers],[Salário Base]])-2,0)*($G109-$H109)</f>
        <v>1596.2737999999999</v>
      </c>
      <c r="J109" s="21">
        <f>VLOOKUP($A109,tabCustoUnit[],COLUMN(CUSTO_GLOBAL[[#Headers],[Adicional Periculosidade]])-2,0)*($G109-$H109)</f>
        <v>0</v>
      </c>
      <c r="K109" s="21">
        <f>VLOOKUP($A109,tabCustoUnit[],COLUMN(CUSTO_GLOBAL[[#Headers],[Adicional Insalubridade]])-2,0)*($G109-$H109)</f>
        <v>0</v>
      </c>
      <c r="L109" s="21">
        <f>VLOOKUP($A109,tabCustoUnit[],COLUMN(CUSTO_GLOBAL[[#Headers],[Adicional Noturno]])-2,0)*($G109-$H109)</f>
        <v>0</v>
      </c>
      <c r="M109" s="21">
        <f>VLOOKUP($A109,tabCustoUnit[],COLUMN(CUSTO_GLOBAL[[#Headers],[Adicional Motorista II (Gratificação)]])-2,0)*($G109-$H109)</f>
        <v>0</v>
      </c>
      <c r="N109" s="21">
        <f>VLOOKUP($A109,tabCustoUnit[],COLUMN(CUSTO_GLOBAL[[#Headers],[Adicional de Sobreaviso]])-2,0)*($G109-$H109)</f>
        <v>0</v>
      </c>
      <c r="O109" s="21">
        <f>VLOOKUP($A109,tabCustoUnit[],COLUMN(CUSTO_GLOBAL[[#Headers],[Horas Extras TI]])-2,0)*($G109-$H109)</f>
        <v>0</v>
      </c>
      <c r="P109" s="21">
        <f>VLOOKUP($A109,tabCustoUnit[],COLUMN(CUSTO_GLOBAL[[#Headers],[Adicional de Acúmulo de função]])-2,0)*($G109-$H109)</f>
        <v>0</v>
      </c>
      <c r="Q109" s="21">
        <f>VLOOKUP($A109,tabCustoUnit[],COLUMN(CUSTO_GLOBAL[[#Headers],[MODULO 1 - REMUNERAÇÃO ]])-2,0)*($G109-$H109)</f>
        <v>1596.2737999999999</v>
      </c>
      <c r="R109" s="21">
        <f>VLOOKUP($A109,tabCustoUnit[],COLUMN(CUSTO_GLOBAL[[#Headers],[INSS]])-2,0)*($G109-$H109)</f>
        <v>319.25476000000003</v>
      </c>
      <c r="S109" s="21">
        <f>VLOOKUP($A109,tabCustoUnit[],COLUMN(CUSTO_GLOBAL[[#Headers],[SESI OU SESC]])-2,0)*($G109-$H109)</f>
        <v>23.944106999999999</v>
      </c>
      <c r="T109" s="21">
        <f>VLOOKUP($A109,tabCustoUnit[],COLUMN(CUSTO_GLOBAL[[#Headers],[SENAI OU SENAC]])-2,0)*($G109-$H109)</f>
        <v>15.962738</v>
      </c>
      <c r="U109" s="21">
        <f>VLOOKUP($A109,tabCustoUnit[],COLUMN(CUSTO_GLOBAL[[#Headers],[INCRA]])-2,0)*($G109-$H109)</f>
        <v>3.1925476000000002</v>
      </c>
      <c r="V109" s="21">
        <f>VLOOKUP($A109,tabCustoUnit[],COLUMN(CUSTO_GLOBAL[[#Headers],[Salário Educação]])-2,0)*($G109-$H109)</f>
        <v>39.906845000000004</v>
      </c>
      <c r="W109" s="21">
        <f>VLOOKUP($A109,tabCustoUnit[],COLUMN(CUSTO_GLOBAL[[#Headers],[FGTS]])-2,0)*($G109-$H109)</f>
        <v>127.701904</v>
      </c>
      <c r="X109" s="21">
        <f>VLOOKUP($A109,tabCustoUnit[],COLUMN(CUSTO_GLOBAL[[#Headers],[RAT Ajustado]])-2,0)*($G109-$H109)</f>
        <v>63.850951999999999</v>
      </c>
      <c r="Y109" s="21">
        <f>VLOOKUP($A109,tabCustoUnit[],COLUMN(CUSTO_GLOBAL[[#Headers],[SEBRAE]])-2,0)*($G109-$H109)</f>
        <v>9.5776427999999996</v>
      </c>
      <c r="Z109" s="21">
        <f>VLOOKUP($A109,tabCustoUnit[],COLUMN(CUSTO_GLOBAL[[#Headers],[Submódulo 2.1]])-2,0)*($G109-$H109)</f>
        <v>603.39149640000005</v>
      </c>
      <c r="AA109" s="21">
        <f>VLOOKUP($A109,tabCustoUnit[],COLUMN(CUSTO_GLOBAL[[#Headers],[13º salário (titular)]])-2,0)*($G109-$H109)</f>
        <v>133.02281666666664</v>
      </c>
      <c r="AB109" s="21">
        <f>VLOOKUP($A109,tabCustoUnit[],COLUMN(CUSTO_GLOBAL[[#Headers],[Férias e Adicional de Férias (titular)]])-2,0)*($G109-$H109)</f>
        <v>177.36375555555554</v>
      </c>
      <c r="AC109" s="21">
        <f>VLOOKUP($A109,tabCustoUnit[],COLUMN(CUSTO_GLOBAL[[#Headers],[Incidência do Submódulo 2.1 sobre 13º Salário, Férias e Adicional de Férias]])-2,0)*($G109-$H109)</f>
        <v>117.3261243</v>
      </c>
      <c r="AD109" s="21">
        <f>VLOOKUP($A109,tabCustoUnit[],COLUMN(CUSTO_GLOBAL[[#Headers],[Submódulo 2.2]])-2,0)*($G109-$H109)</f>
        <v>427.71269652222219</v>
      </c>
      <c r="AE109" s="22" t="e">
        <f ca="1">VLOOKUP($A109,tabCustoUnit[],COLUMN(CUSTO_GLOBAL[[#Headers],[Vale - Transporte (Descontada parcela do empregado)]])-2,0)*($G109-$H109)</f>
        <v>#NAME?</v>
      </c>
      <c r="AF109" s="22">
        <f>VLOOKUP($A109,tabCustoUnit[],COLUMN(CUSTO_GLOBAL[[#Headers],[Vale - Alimentação (Descontada parcela do empregado)]])-2,0)*($G109-$H109)</f>
        <v>582</v>
      </c>
      <c r="AG109" s="22">
        <f>VLOOKUP($A109,tabCustoUnit[],COLUMN(CUSTO_GLOBAL[[#Headers],[Cesta Básica]])-2,0)*($G109-$H109)</f>
        <v>0</v>
      </c>
      <c r="AH109" s="22">
        <f>VLOOKUP($A109,tabCustoUnit[],COLUMN(CUSTO_GLOBAL[[#Headers],[PAF]])-2,0)*($G109-$H109)</f>
        <v>0</v>
      </c>
      <c r="AI109" s="22">
        <f>VLOOKUP($A109,tabCustoUnit[],COLUMN(CUSTO_GLOBAL[[#Headers],[PQM]])-2,0)*($G109-$H109)</f>
        <v>15.07</v>
      </c>
      <c r="AJ109" s="22">
        <v>0</v>
      </c>
      <c r="AK109" s="22">
        <f>VLOOKUP($A109,tabCustoUnit[],COLUMN(CUSTO_GLOBAL[[#Headers],[Seguro de Vida]])-2,0)*($G109-$H109)</f>
        <v>3.36</v>
      </c>
      <c r="AL109" s="22">
        <f>VLOOKUP($A109,tabCustoUnit[],COLUMN(CUSTO_GLOBAL[[#Headers],[Despesas de Viagem]])-2,0)*($G109-$H109)</f>
        <v>0</v>
      </c>
      <c r="AM109" s="22" t="e">
        <f ca="1">VLOOKUP($A109,tabCustoUnit[],COLUMN(CUSTO_GLOBAL[[#Headers],[Submódulo 2.3]])-2,0)*($G109-$H109)</f>
        <v>#NAME?</v>
      </c>
      <c r="AN109" s="22" t="e">
        <f ca="1">VLOOKUP($A109,tabCustoUnit[],COLUMN(CUSTO_GLOBAL[[#Headers],[MÓDULO 2 - Total Encargos e Benefícios mensais e diários]])-2,0)*($G109-$H109)</f>
        <v>#NAME?</v>
      </c>
      <c r="AO109" s="22">
        <f>VLOOKUP($A109,tabCustoUnit[],COLUMN(CUSTO_GLOBAL[[#Headers],[Aviso Prévio Indenizado (API) e Reflexo do Aviso Prévio Indenizado]])-2,0)*($G109-$H109)</f>
        <v>11.192699914390431</v>
      </c>
      <c r="AP109" s="22">
        <f>VLOOKUP($A109,tabCustoUnit[],COLUMN(CUSTO_GLOBAL[[#Headers],[Incidência do FGTS sobre API e Reflexo do API]])-2,0)*($G109-$H109)</f>
        <v>0.89541599315123466</v>
      </c>
      <c r="AQ109" s="22">
        <f>VLOOKUP($A109,tabCustoUnit[],COLUMN(CUSTO_GLOBAL[[#Headers],[Multa Rescisória do FGTS sobre o Aviso Prévio Indenizado]])-2,0)*($G109-$H109)</f>
        <v>0.35816639726049387</v>
      </c>
      <c r="AR109" s="22">
        <f>VLOOKUP($A109,tabCustoUnit[],COLUMN(CUSTO_GLOBAL[[#Headers],[Aviso Prévio Trabalhado - APT]])-2,0)*($G109-$H109)</f>
        <v>5.5869583000000009</v>
      </c>
      <c r="AS109" s="22">
        <f>VLOOKUP($A109,tabCustoUnit[],COLUMN(CUSTO_GLOBAL[[#Headers],[Incidência dos encargos do submódulo 2.1 sobre Aviso Prévio Trabalhado]])-2,0)*($G109-$H109)</f>
        <v>2.1118702374000007</v>
      </c>
      <c r="AT109" s="22">
        <f>VLOOKUP($A109,tabCustoUnit[],COLUMN(CUSTO_GLOBAL[[#Headers],[Multa Rescisória do FGTS]])-2,0)*($G109-$H109)</f>
        <v>48.810505528888882</v>
      </c>
      <c r="AU109" s="22">
        <f>VLOOKUP($A109,tabCustoUnit[],COLUMN(CUSTO_GLOBAL[[#Headers],[Indenização Adicional (Art. 9º da Lei nº 7.238/84)]])-2,0)*($G109-$H109)</f>
        <v>1.3302281666666667</v>
      </c>
      <c r="AV109" s="22">
        <f>VLOOKUP($A109,tabCustoUnit[],COLUMN(CUSTO_GLOBAL[[#Headers],[MÓDULO 3 – PROVISÃO PARA RESCISÃO]])-2,0)*($G109-$H109)</f>
        <v>70.285844537757711</v>
      </c>
      <c r="AW109" s="22">
        <f>VLOOKUP($A109,tabCustoUnit[],COLUMN(CUSTO_GLOBAL[[#Headers],[Ausência por Doença]])-2,0)*($G109-$H109)</f>
        <v>13.479645422222221</v>
      </c>
      <c r="AX109" s="22">
        <f>VLOOKUP($A109,tabCustoUnit[],COLUMN(CUSTO_GLOBAL[[#Headers],[Ausências Legais]])-2,0)*($G109-$H109)</f>
        <v>3.2368885388888886</v>
      </c>
      <c r="AY109" s="22">
        <f>VLOOKUP($A109,tabCustoUnit[],COLUMN(CUSTO_GLOBAL[[#Headers],[Licença Paternidade]])-2,0)*($G109-$H109)</f>
        <v>0.27269677416666666</v>
      </c>
      <c r="AZ109" s="22">
        <f>VLOOKUP($A109,tabCustoUnit[],COLUMN(CUSTO_GLOBAL[[#Headers],[Ausência por Acidente de Trabalho]])-2,0)*($G109-$H109)</f>
        <v>0.33255704166666666</v>
      </c>
      <c r="BA109" s="22">
        <f>VLOOKUP($A109,tabCustoUnit[],COLUMN(CUSTO_GLOBAL[[#Headers],[Férias, Adicional de Férias e 13º  com empregada em gozo de Licença Maternidade]])-2,0)*($G109-$H109)</f>
        <v>2.0692438148148145</v>
      </c>
      <c r="BB109" s="22">
        <f>VLOOKUP($A109,tabCustoUnit[],COLUMN(CUSTO_GLOBAL[[#Headers],[Incidência do Submódulo 2.1 sobre Ausências Legais]])-2,0)*($G109-$H109)</f>
        <v>7.3298099416850011</v>
      </c>
      <c r="BC109" s="22">
        <f>VLOOKUP($A109,tabCustoUnit[],COLUMN(CUSTO_GLOBAL[[#Headers],[Submódulo 4.1]])-2,0)*($G109-$H109)</f>
        <v>26.720841533444265</v>
      </c>
      <c r="BD109" s="22">
        <f>VLOOKUP($A109,tabCustoUnit[],COLUMN(CUSTO_GLOBAL[[#Headers],[Intervalo para Repouso ou Alimentação]])-2,0)*($G109-$H109)</f>
        <v>0</v>
      </c>
      <c r="BE109" s="22">
        <f>VLOOKUP($A109,tabCustoUnit[],COLUMN(CUSTO_GLOBAL[[#Headers],[Submódulo 4.2]])-2,0)*($G109-$H109)</f>
        <v>0</v>
      </c>
      <c r="BF109" s="22">
        <f>VLOOKUP($A109,tabCustoUnit[],COLUMN(CUSTO_GLOBAL[[#Headers],[Suspensão Temporária do Contrato de Trabalho]])-2,0)*($G109-$H109)</f>
        <v>0</v>
      </c>
      <c r="BG109" s="22">
        <f>VLOOKUP($A109,tabCustoUnit[],COLUMN(CUSTO_GLOBAL[[#Headers],[Submódulo 4.3]])-2,0)*($G109-$H109)</f>
        <v>0</v>
      </c>
      <c r="BH109" s="22">
        <f>VLOOKUP($A109,tabCustoUnit[],COLUMN(CUSTO_GLOBAL[[#Headers],[MÓDULO 4 – CUSTO DE REPOSIÇÃO DO PROFISSIONAL AUSENTE]])-2,0)*($G109-$H109)</f>
        <v>26.720841533444265</v>
      </c>
      <c r="BI109" s="22">
        <f>VLOOKUP($A109,tabCustoUnit[],COLUMN(CUSTO_GLOBAL[[#Headers],[Uniformes e EPIs]])-2,0)*($G109-$H109)</f>
        <v>56.141713661989918</v>
      </c>
      <c r="BJ109" s="22">
        <f>VLOOKUP($A109,tabCustoUnit[],COLUMN(CUSTO_GLOBAL[[#Headers],[Materiais de Consumo]])-2,0)*($G109-$H109)</f>
        <v>0</v>
      </c>
      <c r="BK109" s="22">
        <f>VLOOKUP($A109,tabCustoUnit[],COLUMN(CUSTO_GLOBAL[[#Headers],[Máquinas e Equipamentos (depreciação)]])-2,0)*($G109-$H109)</f>
        <v>0</v>
      </c>
      <c r="BL109" s="22">
        <f>VLOOKUP($A109,tabCustoUnit[],COLUMN(CUSTO_GLOBAL[[#Headers],[Produtos de Limpeza e Materiais de Higiene Pessoal]])-2,0)*($G109-$H109)</f>
        <v>0</v>
      </c>
      <c r="BM109" s="22">
        <f>VLOOKUP($A109,tabCustoUnit[],COLUMN(CUSTO_GLOBAL[[#Headers],[Outros (especificar)]])-2,0)*($G109-$H109)</f>
        <v>0</v>
      </c>
      <c r="BN109" s="22">
        <f>VLOOKUP($A109,tabCustoUnit[],COLUMN(CUSTO_GLOBAL[[#Headers],[MÓDULO 5 – INSUMOS DIVERSOS]])-2,0)*($G109-$H109)</f>
        <v>56.141713661989918</v>
      </c>
      <c r="BO109" s="22" t="e">
        <f ca="1">VLOOKUP($A109,tabCustoUnit[],COLUMN(CUSTO_GLOBAL[[#Headers],[TOTAL MÓDULOS 1+2+3+4+5]])-2,0)*($G109-$H109)</f>
        <v>#NAME?</v>
      </c>
      <c r="BP109" s="22" t="e">
        <f ca="1">VLOOKUP($A109,tabCustoUnit[],COLUMN(CUSTO_GLOBAL[[#Headers],[Custos Indiretos]])-2,0)*($G109-$H109)</f>
        <v>#NAME?</v>
      </c>
      <c r="BQ109" s="22" t="e">
        <f ca="1">VLOOKUP($A109,tabCustoUnit[],COLUMN(CUSTO_GLOBAL[[#Headers],[Lucro]])-2,0)*($G109-$H109)</f>
        <v>#NAME?</v>
      </c>
      <c r="BR109" s="26">
        <f>VLOOKUP($A109,tabCustoUnit[],COLUMN(CUSTO_GLOBAL[[#Headers],[COFINS]])-2,0)</f>
        <v>8.6609686609686695E-2</v>
      </c>
      <c r="BS109" s="26">
        <f>VLOOKUP($A109,tabCustoUnit[],COLUMN(CUSTO_GLOBAL[[#Headers],[PIS]])-2,0)</f>
        <v>1.880341880341882E-2</v>
      </c>
      <c r="BT109" s="28">
        <f>VLOOKUP($A109,tabCustoUnit[],COLUMN(CUSTO_GLOBAL[[#Headers],[ISS]])-2,0)</f>
        <v>0.03</v>
      </c>
      <c r="BU109" s="26">
        <f>VLOOKUP($A109,tabCustoUnit[],COLUMN(CUSTO_GLOBAL[[#Headers],[ISS (Conversão Alíquota s/ fatura)]])-2,0)</f>
        <v>3.4188034188034219E-2</v>
      </c>
      <c r="BV109" s="26">
        <f>VLOOKUP($A109,tabCustoUnit[],COLUMN(CUSTO_GLOBAL[[#Headers],[Resumo de Alíquotas (PIS+CONFINS+ISS)]])-2,0)</f>
        <v>0.1225</v>
      </c>
      <c r="BW109" s="138">
        <f>VLOOKUP($A109,tabCustoUnit[],COLUMN(CUSTO_GLOBAL[[#Headers],[PIS + COFINS + ISS (Total Conversão  Alíquota s/ Fatura)]])-2,0)</f>
        <v>0.13960113960113973</v>
      </c>
      <c r="BX109" s="22" t="e">
        <f ca="1">VLOOKUP($A109,tabCustoUnit[],COLUMN(CUSTO_GLOBAL[[#Headers],[Valor dos Tributos (ISS, PIS, CONFINS)]])-2,0)*($G109-$H109)</f>
        <v>#NAME?</v>
      </c>
      <c r="BY109" s="22" t="e">
        <f ca="1">VLOOKUP($A109,tabCustoUnit[],COLUMN(CUSTO_GLOBAL[[#Headers],[MÓDULO 6 – CUSTOS INDIRETOS, TRIBUTOS E LUCRO]])-2,0)*($G109-$H109)</f>
        <v>#NAME?</v>
      </c>
      <c r="BZ109" s="22" t="e">
        <f ca="1">VLOOKUP($A109,tabCustoUnit[],COLUMN(CUSTO_GLOBAL[[#Headers],[CUSTO TOTAL MENSAL]])-2,0)*($G109-$H109)</f>
        <v>#NAME?</v>
      </c>
      <c r="CA109" s="22" t="e">
        <f ca="1">CUSTO_GLOBAL[[#This Row],[CUSTO TOTAL MENSAL]]*12</f>
        <v>#NAME?</v>
      </c>
      <c r="CB109" s="24">
        <f>VLOOKUP($A109,tabCustoUnit[],COLUMN(CUSTO_GLOBAL[[#Headers],[ANO DA CCT]])-2,0)</f>
        <v>45658</v>
      </c>
      <c r="CC109" s="25" t="str">
        <f>VLOOKUP($A109,tabCustoUnit[],COLUMN(CUSTO_GLOBAL[[#Headers],[Nº DE PEDIDO DA CCT]])-2,0)</f>
        <v>-</v>
      </c>
      <c r="CD109" s="25" t="str">
        <f>VLOOKUP($A109,tabCustoUnit[],COLUMN(CUSTO_GLOBAL[[#Headers],[TERMO ADITIVO ALTERAÇÃO DA CCT]])-2,0)</f>
        <v>-</v>
      </c>
    </row>
    <row r="110" spans="1:82">
      <c r="A110" s="20" t="s">
        <v>1571</v>
      </c>
      <c r="B110" t="s">
        <v>1121</v>
      </c>
      <c r="C110" t="s">
        <v>319</v>
      </c>
      <c r="D110" t="s">
        <v>918</v>
      </c>
      <c r="E110" s="20" t="s">
        <v>1090</v>
      </c>
      <c r="F110" s="20" t="s">
        <v>120</v>
      </c>
      <c r="G110" s="20">
        <v>1</v>
      </c>
      <c r="H110" s="20">
        <v>0</v>
      </c>
      <c r="I110" s="21">
        <f>VLOOKUP($A110,tabCustoUnit[],COLUMN(CUSTO_GLOBAL[[#Headers],[Salário Base]])-2,0)*($G110-$H110)</f>
        <v>2316.2296999999999</v>
      </c>
      <c r="J110" s="21">
        <f>VLOOKUP($A110,tabCustoUnit[],COLUMN(CUSTO_GLOBAL[[#Headers],[Adicional Periculosidade]])-2,0)*($G110-$H110)</f>
        <v>0</v>
      </c>
      <c r="K110" s="21">
        <f>VLOOKUP($A110,tabCustoUnit[],COLUMN(CUSTO_GLOBAL[[#Headers],[Adicional Insalubridade]])-2,0)*($G110-$H110)</f>
        <v>0</v>
      </c>
      <c r="L110" s="21">
        <f>VLOOKUP($A110,tabCustoUnit[],COLUMN(CUSTO_GLOBAL[[#Headers],[Adicional Noturno]])-2,0)*($G110-$H110)</f>
        <v>0</v>
      </c>
      <c r="M110" s="21">
        <f>VLOOKUP($A110,tabCustoUnit[],COLUMN(CUSTO_GLOBAL[[#Headers],[Adicional Motorista II (Gratificação)]])-2,0)*($G110-$H110)</f>
        <v>0</v>
      </c>
      <c r="N110" s="21">
        <f>VLOOKUP($A110,tabCustoUnit[],COLUMN(CUSTO_GLOBAL[[#Headers],[Adicional de Sobreaviso]])-2,0)*($G110-$H110)</f>
        <v>0</v>
      </c>
      <c r="O110" s="21">
        <f>VLOOKUP($A110,tabCustoUnit[],COLUMN(CUSTO_GLOBAL[[#Headers],[Horas Extras TI]])-2,0)*($G110-$H110)</f>
        <v>0</v>
      </c>
      <c r="P110" s="21">
        <f>VLOOKUP($A110,tabCustoUnit[],COLUMN(CUSTO_GLOBAL[[#Headers],[Adicional de Acúmulo de função]])-2,0)*($G110-$H110)</f>
        <v>0</v>
      </c>
      <c r="Q110" s="21">
        <f>VLOOKUP($A110,tabCustoUnit[],COLUMN(CUSTO_GLOBAL[[#Headers],[MODULO 1 - REMUNERAÇÃO ]])-2,0)*($G110-$H110)</f>
        <v>2316.2296999999999</v>
      </c>
      <c r="R110" s="21">
        <f>VLOOKUP($A110,tabCustoUnit[],COLUMN(CUSTO_GLOBAL[[#Headers],[INSS]])-2,0)*($G110-$H110)</f>
        <v>463.24594000000002</v>
      </c>
      <c r="S110" s="21">
        <f>VLOOKUP($A110,tabCustoUnit[],COLUMN(CUSTO_GLOBAL[[#Headers],[SESI OU SESC]])-2,0)*($G110-$H110)</f>
        <v>34.7434455</v>
      </c>
      <c r="T110" s="21">
        <f>VLOOKUP($A110,tabCustoUnit[],COLUMN(CUSTO_GLOBAL[[#Headers],[SENAI OU SENAC]])-2,0)*($G110-$H110)</f>
        <v>23.162296999999999</v>
      </c>
      <c r="U110" s="21">
        <f>VLOOKUP($A110,tabCustoUnit[],COLUMN(CUSTO_GLOBAL[[#Headers],[INCRA]])-2,0)*($G110-$H110)</f>
        <v>4.6324594000000001</v>
      </c>
      <c r="V110" s="21">
        <f>VLOOKUP($A110,tabCustoUnit[],COLUMN(CUSTO_GLOBAL[[#Headers],[Salário Educação]])-2,0)*($G110-$H110)</f>
        <v>57.905742500000002</v>
      </c>
      <c r="W110" s="21">
        <f>VLOOKUP($A110,tabCustoUnit[],COLUMN(CUSTO_GLOBAL[[#Headers],[FGTS]])-2,0)*($G110-$H110)</f>
        <v>185.29837599999999</v>
      </c>
      <c r="X110" s="21">
        <f>VLOOKUP($A110,tabCustoUnit[],COLUMN(CUSTO_GLOBAL[[#Headers],[RAT Ajustado]])-2,0)*($G110-$H110)</f>
        <v>92.649187999999995</v>
      </c>
      <c r="Y110" s="21">
        <f>VLOOKUP($A110,tabCustoUnit[],COLUMN(CUSTO_GLOBAL[[#Headers],[SEBRAE]])-2,0)*($G110-$H110)</f>
        <v>13.8973782</v>
      </c>
      <c r="Z110" s="21">
        <f>VLOOKUP($A110,tabCustoUnit[],COLUMN(CUSTO_GLOBAL[[#Headers],[Submódulo 2.1]])-2,0)*($G110-$H110)</f>
        <v>875.53482659999997</v>
      </c>
      <c r="AA110" s="21">
        <f>VLOOKUP($A110,tabCustoUnit[],COLUMN(CUSTO_GLOBAL[[#Headers],[13º salário (titular)]])-2,0)*($G110-$H110)</f>
        <v>193.01914166666666</v>
      </c>
      <c r="AB110" s="21">
        <f>VLOOKUP($A110,tabCustoUnit[],COLUMN(CUSTO_GLOBAL[[#Headers],[Férias e Adicional de Férias (titular)]])-2,0)*($G110-$H110)</f>
        <v>257.35885555555552</v>
      </c>
      <c r="AC110" s="21">
        <f>VLOOKUP($A110,tabCustoUnit[],COLUMN(CUSTO_GLOBAL[[#Headers],[Incidência do Submódulo 2.1 sobre 13º Salário, Férias e Adicional de Férias]])-2,0)*($G110-$H110)</f>
        <v>170.24288294999999</v>
      </c>
      <c r="AD110" s="21">
        <f>VLOOKUP($A110,tabCustoUnit[],COLUMN(CUSTO_GLOBAL[[#Headers],[Submódulo 2.2]])-2,0)*($G110-$H110)</f>
        <v>620.6208801722222</v>
      </c>
      <c r="AE110" s="22" t="e">
        <f ca="1">VLOOKUP($A110,tabCustoUnit[],COLUMN(CUSTO_GLOBAL[[#Headers],[Vale - Transporte (Descontada parcela do empregado)]])-2,0)*($G110-$H110)</f>
        <v>#NAME?</v>
      </c>
      <c r="AF110" s="22">
        <f>VLOOKUP($A110,tabCustoUnit[],COLUMN(CUSTO_GLOBAL[[#Headers],[Vale - Alimentação (Descontada parcela do empregado)]])-2,0)*($G110-$H110)</f>
        <v>582</v>
      </c>
      <c r="AG110" s="22">
        <f>VLOOKUP($A110,tabCustoUnit[],COLUMN(CUSTO_GLOBAL[[#Headers],[Cesta Básica]])-2,0)*($G110-$H110)</f>
        <v>0</v>
      </c>
      <c r="AH110" s="22">
        <f>VLOOKUP($A110,tabCustoUnit[],COLUMN(CUSTO_GLOBAL[[#Headers],[PAF]])-2,0)*($G110-$H110)</f>
        <v>0</v>
      </c>
      <c r="AI110" s="22">
        <f>VLOOKUP($A110,tabCustoUnit[],COLUMN(CUSTO_GLOBAL[[#Headers],[PQM]])-2,0)*($G110-$H110)</f>
        <v>15.07</v>
      </c>
      <c r="AJ110" s="22">
        <v>0</v>
      </c>
      <c r="AK110" s="22">
        <f>VLOOKUP($A110,tabCustoUnit[],COLUMN(CUSTO_GLOBAL[[#Headers],[Seguro de Vida]])-2,0)*($G110-$H110)</f>
        <v>3.36</v>
      </c>
      <c r="AL110" s="22">
        <f>VLOOKUP($A110,tabCustoUnit[],COLUMN(CUSTO_GLOBAL[[#Headers],[Despesas de Viagem]])-2,0)*($G110-$H110)</f>
        <v>0</v>
      </c>
      <c r="AM110" s="22" t="e">
        <f ca="1">VLOOKUP($A110,tabCustoUnit[],COLUMN(CUSTO_GLOBAL[[#Headers],[Submódulo 2.3]])-2,0)*($G110-$H110)</f>
        <v>#NAME?</v>
      </c>
      <c r="AN110" s="22" t="e">
        <f ca="1">VLOOKUP($A110,tabCustoUnit[],COLUMN(CUSTO_GLOBAL[[#Headers],[MÓDULO 2 - Total Encargos e Benefícios mensais e diários]])-2,0)*($G110-$H110)</f>
        <v>#NAME?</v>
      </c>
      <c r="AO110" s="22">
        <f>VLOOKUP($A110,tabCustoUnit[],COLUMN(CUSTO_GLOBAL[[#Headers],[Aviso Prévio Indenizado (API) e Reflexo do Aviso Prévio Indenizado]])-2,0)*($G110-$H110)</f>
        <v>16.240862917689043</v>
      </c>
      <c r="AP110" s="22">
        <f>VLOOKUP($A110,tabCustoUnit[],COLUMN(CUSTO_GLOBAL[[#Headers],[Incidência do FGTS sobre API e Reflexo do API]])-2,0)*($G110-$H110)</f>
        <v>1.2992690334151236</v>
      </c>
      <c r="AQ110" s="22">
        <f>VLOOKUP($A110,tabCustoUnit[],COLUMN(CUSTO_GLOBAL[[#Headers],[Multa Rescisória do FGTS sobre o Aviso Prévio Indenizado]])-2,0)*($G110-$H110)</f>
        <v>0.51970761336604943</v>
      </c>
      <c r="AR110" s="22">
        <f>VLOOKUP($A110,tabCustoUnit[],COLUMN(CUSTO_GLOBAL[[#Headers],[Aviso Prévio Trabalhado - APT]])-2,0)*($G110-$H110)</f>
        <v>8.1068039500000015</v>
      </c>
      <c r="AS110" s="22">
        <f>VLOOKUP($A110,tabCustoUnit[],COLUMN(CUSTO_GLOBAL[[#Headers],[Incidência dos encargos do submódulo 2.1 sobre Aviso Prévio Trabalhado]])-2,0)*($G110-$H110)</f>
        <v>3.0643718931000006</v>
      </c>
      <c r="AT110" s="22">
        <f>VLOOKUP($A110,tabCustoUnit[],COLUMN(CUSTO_GLOBAL[[#Headers],[Multa Rescisória do FGTS]])-2,0)*($G110-$H110)</f>
        <v>70.825157048888869</v>
      </c>
      <c r="AU110" s="22">
        <f>VLOOKUP($A110,tabCustoUnit[],COLUMN(CUSTO_GLOBAL[[#Headers],[Indenização Adicional (Art. 9º da Lei nº 7.238/84)]])-2,0)*($G110-$H110)</f>
        <v>1.9301914166666667</v>
      </c>
      <c r="AV110" s="22">
        <f>VLOOKUP($A110,tabCustoUnit[],COLUMN(CUSTO_GLOBAL[[#Headers],[MÓDULO 3 – PROVISÃO PARA RESCISÃO]])-2,0)*($G110-$H110)</f>
        <v>101.98636387312575</v>
      </c>
      <c r="AW110" s="22">
        <f>VLOOKUP($A110,tabCustoUnit[],COLUMN(CUSTO_GLOBAL[[#Headers],[Ausência por Doença]])-2,0)*($G110-$H110)</f>
        <v>19.559273022222218</v>
      </c>
      <c r="AX110" s="22">
        <f>VLOOKUP($A110,tabCustoUnit[],COLUMN(CUSTO_GLOBAL[[#Headers],[Ausências Legais]])-2,0)*($G110-$H110)</f>
        <v>4.696799113888888</v>
      </c>
      <c r="AY110" s="22">
        <f>VLOOKUP($A110,tabCustoUnit[],COLUMN(CUSTO_GLOBAL[[#Headers],[Licença Paternidade]])-2,0)*($G110-$H110)</f>
        <v>0.39568924041666664</v>
      </c>
      <c r="AZ110" s="22">
        <f>VLOOKUP($A110,tabCustoUnit[],COLUMN(CUSTO_GLOBAL[[#Headers],[Ausência por Acidente de Trabalho]])-2,0)*($G110-$H110)</f>
        <v>0.48254785416666668</v>
      </c>
      <c r="BA110" s="22">
        <f>VLOOKUP($A110,tabCustoUnit[],COLUMN(CUSTO_GLOBAL[[#Headers],[Férias, Adicional de Férias e 13º  com empregada em gozo de Licença Maternidade]])-2,0)*($G110-$H110)</f>
        <v>3.0025199814814814</v>
      </c>
      <c r="BB110" s="22">
        <f>VLOOKUP($A110,tabCustoUnit[],COLUMN(CUSTO_GLOBAL[[#Headers],[Incidência do Submódulo 2.1 sobre Ausências Legais]])-2,0)*($G110-$H110)</f>
        <v>10.635721442202501</v>
      </c>
      <c r="BC110" s="22">
        <f>VLOOKUP($A110,tabCustoUnit[],COLUMN(CUSTO_GLOBAL[[#Headers],[Submódulo 4.1]])-2,0)*($G110-$H110)</f>
        <v>38.772550654378421</v>
      </c>
      <c r="BD110" s="22">
        <f>VLOOKUP($A110,tabCustoUnit[],COLUMN(CUSTO_GLOBAL[[#Headers],[Intervalo para Repouso ou Alimentação]])-2,0)*($G110-$H110)</f>
        <v>0</v>
      </c>
      <c r="BE110" s="22">
        <f>VLOOKUP($A110,tabCustoUnit[],COLUMN(CUSTO_GLOBAL[[#Headers],[Submódulo 4.2]])-2,0)*($G110-$H110)</f>
        <v>0</v>
      </c>
      <c r="BF110" s="22">
        <f>VLOOKUP($A110,tabCustoUnit[],COLUMN(CUSTO_GLOBAL[[#Headers],[Suspensão Temporária do Contrato de Trabalho]])-2,0)*($G110-$H110)</f>
        <v>0</v>
      </c>
      <c r="BG110" s="22">
        <f>VLOOKUP($A110,tabCustoUnit[],COLUMN(CUSTO_GLOBAL[[#Headers],[Submódulo 4.3]])-2,0)*($G110-$H110)</f>
        <v>0</v>
      </c>
      <c r="BH110" s="22">
        <f>VLOOKUP($A110,tabCustoUnit[],COLUMN(CUSTO_GLOBAL[[#Headers],[MÓDULO 4 – CUSTO DE REPOSIÇÃO DO PROFISSIONAL AUSENTE]])-2,0)*($G110-$H110)</f>
        <v>38.772550654378421</v>
      </c>
      <c r="BI110" s="22">
        <f>VLOOKUP($A110,tabCustoUnit[],COLUMN(CUSTO_GLOBAL[[#Headers],[Uniformes e EPIs]])-2,0)*($G110-$H110)</f>
        <v>56.642978962543395</v>
      </c>
      <c r="BJ110" s="22">
        <f>VLOOKUP($A110,tabCustoUnit[],COLUMN(CUSTO_GLOBAL[[#Headers],[Materiais de Consumo]])-2,0)*($G110-$H110)</f>
        <v>0</v>
      </c>
      <c r="BK110" s="22">
        <f>VLOOKUP($A110,tabCustoUnit[],COLUMN(CUSTO_GLOBAL[[#Headers],[Máquinas e Equipamentos (depreciação)]])-2,0)*($G110-$H110)</f>
        <v>0</v>
      </c>
      <c r="BL110" s="22">
        <f>VLOOKUP($A110,tabCustoUnit[],COLUMN(CUSTO_GLOBAL[[#Headers],[Produtos de Limpeza e Materiais de Higiene Pessoal]])-2,0)*($G110-$H110)</f>
        <v>0</v>
      </c>
      <c r="BM110" s="22">
        <f>VLOOKUP($A110,tabCustoUnit[],COLUMN(CUSTO_GLOBAL[[#Headers],[Outros (especificar)]])-2,0)*($G110-$H110)</f>
        <v>0</v>
      </c>
      <c r="BN110" s="22">
        <f>VLOOKUP($A110,tabCustoUnit[],COLUMN(CUSTO_GLOBAL[[#Headers],[MÓDULO 5 – INSUMOS DIVERSOS]])-2,0)*($G110-$H110)</f>
        <v>56.642978962543395</v>
      </c>
      <c r="BO110" s="22" t="e">
        <f ca="1">VLOOKUP($A110,tabCustoUnit[],COLUMN(CUSTO_GLOBAL[[#Headers],[TOTAL MÓDULOS 1+2+3+4+5]])-2,0)*($G110-$H110)</f>
        <v>#NAME?</v>
      </c>
      <c r="BP110" s="22" t="e">
        <f ca="1">VLOOKUP($A110,tabCustoUnit[],COLUMN(CUSTO_GLOBAL[[#Headers],[Custos Indiretos]])-2,0)*($G110-$H110)</f>
        <v>#NAME?</v>
      </c>
      <c r="BQ110" s="22" t="e">
        <f ca="1">VLOOKUP($A110,tabCustoUnit[],COLUMN(CUSTO_GLOBAL[[#Headers],[Lucro]])-2,0)*($G110-$H110)</f>
        <v>#NAME?</v>
      </c>
      <c r="BR110" s="26">
        <f>VLOOKUP($A110,tabCustoUnit[],COLUMN(CUSTO_GLOBAL[[#Headers],[COFINS]])-2,0)</f>
        <v>8.8629737609329504E-2</v>
      </c>
      <c r="BS110" s="26">
        <f>VLOOKUP($A110,tabCustoUnit[],COLUMN(CUSTO_GLOBAL[[#Headers],[PIS]])-2,0)</f>
        <v>1.9241982507288629E-2</v>
      </c>
      <c r="BT110" s="28">
        <f>VLOOKUP($A110,tabCustoUnit[],COLUMN(CUSTO_GLOBAL[[#Headers],[ISS]])-2,0)</f>
        <v>0.05</v>
      </c>
      <c r="BU110" s="26">
        <f>VLOOKUP($A110,tabCustoUnit[],COLUMN(CUSTO_GLOBAL[[#Headers],[ISS (Conversão Alíquota s/ fatura)]])-2,0)</f>
        <v>5.8309037900874633E-2</v>
      </c>
      <c r="BV110" s="26">
        <f>VLOOKUP($A110,tabCustoUnit[],COLUMN(CUSTO_GLOBAL[[#Headers],[Resumo de Alíquotas (PIS+CONFINS+ISS)]])-2,0)</f>
        <v>0.14250000000000002</v>
      </c>
      <c r="BW110" s="138">
        <f>VLOOKUP($A110,tabCustoUnit[],COLUMN(CUSTO_GLOBAL[[#Headers],[PIS + COFINS + ISS (Total Conversão  Alíquota s/ Fatura)]])-2,0)</f>
        <v>0.16618075801749277</v>
      </c>
      <c r="BX110" s="22" t="e">
        <f ca="1">VLOOKUP($A110,tabCustoUnit[],COLUMN(CUSTO_GLOBAL[[#Headers],[Valor dos Tributos (ISS, PIS, CONFINS)]])-2,0)*($G110-$H110)</f>
        <v>#NAME?</v>
      </c>
      <c r="BY110" s="22" t="e">
        <f ca="1">VLOOKUP($A110,tabCustoUnit[],COLUMN(CUSTO_GLOBAL[[#Headers],[MÓDULO 6 – CUSTOS INDIRETOS, TRIBUTOS E LUCRO]])-2,0)*($G110-$H110)</f>
        <v>#NAME?</v>
      </c>
      <c r="BZ110" s="22" t="e">
        <f ca="1">VLOOKUP($A110,tabCustoUnit[],COLUMN(CUSTO_GLOBAL[[#Headers],[CUSTO TOTAL MENSAL]])-2,0)*($G110-$H110)</f>
        <v>#NAME?</v>
      </c>
      <c r="CA110" s="22" t="e">
        <f ca="1">CUSTO_GLOBAL[[#This Row],[CUSTO TOTAL MENSAL]]*12</f>
        <v>#NAME?</v>
      </c>
      <c r="CB110" s="24">
        <f>VLOOKUP($A110,tabCustoUnit[],COLUMN(CUSTO_GLOBAL[[#Headers],[ANO DA CCT]])-2,0)</f>
        <v>45658</v>
      </c>
      <c r="CC110" s="25" t="str">
        <f>VLOOKUP($A110,tabCustoUnit[],COLUMN(CUSTO_GLOBAL[[#Headers],[Nº DE PEDIDO DA CCT]])-2,0)</f>
        <v>-</v>
      </c>
      <c r="CD110" s="25" t="str">
        <f>VLOOKUP($A110,tabCustoUnit[],COLUMN(CUSTO_GLOBAL[[#Headers],[TERMO ADITIVO ALTERAÇÃO DA CCT]])-2,0)</f>
        <v>-</v>
      </c>
    </row>
    <row r="111" spans="1:82">
      <c r="A111" s="20" t="s">
        <v>1465</v>
      </c>
      <c r="B111" t="s">
        <v>1122</v>
      </c>
      <c r="C111" t="s">
        <v>200</v>
      </c>
      <c r="D111" t="s">
        <v>954</v>
      </c>
      <c r="E111" s="20" t="s">
        <v>1090</v>
      </c>
      <c r="F111" s="20" t="s">
        <v>120</v>
      </c>
      <c r="G111" s="20">
        <v>1</v>
      </c>
      <c r="H111" s="20">
        <v>0</v>
      </c>
      <c r="I111" s="21">
        <f>VLOOKUP($A111,tabCustoUnit[],COLUMN(CUSTO_GLOBAL[[#Headers],[Salário Base]])-2,0)*($G111-$H111)</f>
        <v>1596.2737999999999</v>
      </c>
      <c r="J111" s="21">
        <f>VLOOKUP($A111,tabCustoUnit[],COLUMN(CUSTO_GLOBAL[[#Headers],[Adicional Periculosidade]])-2,0)*($G111-$H111)</f>
        <v>0</v>
      </c>
      <c r="K111" s="21">
        <f>VLOOKUP($A111,tabCustoUnit[],COLUMN(CUSTO_GLOBAL[[#Headers],[Adicional Insalubridade]])-2,0)*($G111-$H111)</f>
        <v>0</v>
      </c>
      <c r="L111" s="21">
        <f>VLOOKUP($A111,tabCustoUnit[],COLUMN(CUSTO_GLOBAL[[#Headers],[Adicional Noturno]])-2,0)*($G111-$H111)</f>
        <v>0</v>
      </c>
      <c r="M111" s="21">
        <f>VLOOKUP($A111,tabCustoUnit[],COLUMN(CUSTO_GLOBAL[[#Headers],[Adicional Motorista II (Gratificação)]])-2,0)*($G111-$H111)</f>
        <v>0</v>
      </c>
      <c r="N111" s="21">
        <f>VLOOKUP($A111,tabCustoUnit[],COLUMN(CUSTO_GLOBAL[[#Headers],[Adicional de Sobreaviso]])-2,0)*($G111-$H111)</f>
        <v>0</v>
      </c>
      <c r="O111" s="21">
        <f>VLOOKUP($A111,tabCustoUnit[],COLUMN(CUSTO_GLOBAL[[#Headers],[Horas Extras TI]])-2,0)*($G111-$H111)</f>
        <v>0</v>
      </c>
      <c r="P111" s="21">
        <f>VLOOKUP($A111,tabCustoUnit[],COLUMN(CUSTO_GLOBAL[[#Headers],[Adicional de Acúmulo de função]])-2,0)*($G111-$H111)</f>
        <v>0</v>
      </c>
      <c r="Q111" s="21">
        <f>VLOOKUP($A111,tabCustoUnit[],COLUMN(CUSTO_GLOBAL[[#Headers],[MODULO 1 - REMUNERAÇÃO ]])-2,0)*($G111-$H111)</f>
        <v>1596.2737999999999</v>
      </c>
      <c r="R111" s="21">
        <f>VLOOKUP($A111,tabCustoUnit[],COLUMN(CUSTO_GLOBAL[[#Headers],[INSS]])-2,0)*($G111-$H111)</f>
        <v>319.25476000000003</v>
      </c>
      <c r="S111" s="21">
        <f>VLOOKUP($A111,tabCustoUnit[],COLUMN(CUSTO_GLOBAL[[#Headers],[SESI OU SESC]])-2,0)*($G111-$H111)</f>
        <v>23.944106999999999</v>
      </c>
      <c r="T111" s="21">
        <f>VLOOKUP($A111,tabCustoUnit[],COLUMN(CUSTO_GLOBAL[[#Headers],[SENAI OU SENAC]])-2,0)*($G111-$H111)</f>
        <v>15.962738</v>
      </c>
      <c r="U111" s="21">
        <f>VLOOKUP($A111,tabCustoUnit[],COLUMN(CUSTO_GLOBAL[[#Headers],[INCRA]])-2,0)*($G111-$H111)</f>
        <v>3.1925476000000002</v>
      </c>
      <c r="V111" s="21">
        <f>VLOOKUP($A111,tabCustoUnit[],COLUMN(CUSTO_GLOBAL[[#Headers],[Salário Educação]])-2,0)*($G111-$H111)</f>
        <v>39.906845000000004</v>
      </c>
      <c r="W111" s="21">
        <f>VLOOKUP($A111,tabCustoUnit[],COLUMN(CUSTO_GLOBAL[[#Headers],[FGTS]])-2,0)*($G111-$H111)</f>
        <v>127.701904</v>
      </c>
      <c r="X111" s="21">
        <f>VLOOKUP($A111,tabCustoUnit[],COLUMN(CUSTO_GLOBAL[[#Headers],[RAT Ajustado]])-2,0)*($G111-$H111)</f>
        <v>63.850951999999999</v>
      </c>
      <c r="Y111" s="21">
        <f>VLOOKUP($A111,tabCustoUnit[],COLUMN(CUSTO_GLOBAL[[#Headers],[SEBRAE]])-2,0)*($G111-$H111)</f>
        <v>9.5776427999999996</v>
      </c>
      <c r="Z111" s="21">
        <f>VLOOKUP($A111,tabCustoUnit[],COLUMN(CUSTO_GLOBAL[[#Headers],[Submódulo 2.1]])-2,0)*($G111-$H111)</f>
        <v>603.39149640000005</v>
      </c>
      <c r="AA111" s="21">
        <f>VLOOKUP($A111,tabCustoUnit[],COLUMN(CUSTO_GLOBAL[[#Headers],[13º salário (titular)]])-2,0)*($G111-$H111)</f>
        <v>133.02281666666664</v>
      </c>
      <c r="AB111" s="21">
        <f>VLOOKUP($A111,tabCustoUnit[],COLUMN(CUSTO_GLOBAL[[#Headers],[Férias e Adicional de Férias (titular)]])-2,0)*($G111-$H111)</f>
        <v>177.36375555555554</v>
      </c>
      <c r="AC111" s="21">
        <f>VLOOKUP($A111,tabCustoUnit[],COLUMN(CUSTO_GLOBAL[[#Headers],[Incidência do Submódulo 2.1 sobre 13º Salário, Férias e Adicional de Férias]])-2,0)*($G111-$H111)</f>
        <v>117.3261243</v>
      </c>
      <c r="AD111" s="21">
        <f>VLOOKUP($A111,tabCustoUnit[],COLUMN(CUSTO_GLOBAL[[#Headers],[Submódulo 2.2]])-2,0)*($G111-$H111)</f>
        <v>427.71269652222219</v>
      </c>
      <c r="AE111" s="22" t="e">
        <f ca="1">VLOOKUP($A111,tabCustoUnit[],COLUMN(CUSTO_GLOBAL[[#Headers],[Vale - Transporte (Descontada parcela do empregado)]])-2,0)*($G111-$H111)</f>
        <v>#NAME?</v>
      </c>
      <c r="AF111" s="22">
        <f>VLOOKUP($A111,tabCustoUnit[],COLUMN(CUSTO_GLOBAL[[#Headers],[Vale - Alimentação (Descontada parcela do empregado)]])-2,0)*($G111-$H111)</f>
        <v>582</v>
      </c>
      <c r="AG111" s="22">
        <f>VLOOKUP($A111,tabCustoUnit[],COLUMN(CUSTO_GLOBAL[[#Headers],[Cesta Básica]])-2,0)*($G111-$H111)</f>
        <v>0</v>
      </c>
      <c r="AH111" s="22">
        <f>VLOOKUP($A111,tabCustoUnit[],COLUMN(CUSTO_GLOBAL[[#Headers],[PAF]])-2,0)*($G111-$H111)</f>
        <v>51.88</v>
      </c>
      <c r="AI111" s="22">
        <f>VLOOKUP($A111,tabCustoUnit[],COLUMN(CUSTO_GLOBAL[[#Headers],[PQM]])-2,0)*($G111-$H111)</f>
        <v>0</v>
      </c>
      <c r="AJ111" s="22">
        <v>0</v>
      </c>
      <c r="AK111" s="22">
        <f>VLOOKUP($A111,tabCustoUnit[],COLUMN(CUSTO_GLOBAL[[#Headers],[Seguro de Vida]])-2,0)*($G111-$H111)</f>
        <v>3.36</v>
      </c>
      <c r="AL111" s="22">
        <f>VLOOKUP($A111,tabCustoUnit[],COLUMN(CUSTO_GLOBAL[[#Headers],[Despesas de Viagem]])-2,0)*($G111-$H111)</f>
        <v>0</v>
      </c>
      <c r="AM111" s="22" t="e">
        <f ca="1">VLOOKUP($A111,tabCustoUnit[],COLUMN(CUSTO_GLOBAL[[#Headers],[Submódulo 2.3]])-2,0)*($G111-$H111)</f>
        <v>#NAME?</v>
      </c>
      <c r="AN111" s="22" t="e">
        <f ca="1">VLOOKUP($A111,tabCustoUnit[],COLUMN(CUSTO_GLOBAL[[#Headers],[MÓDULO 2 - Total Encargos e Benefícios mensais e diários]])-2,0)*($G111-$H111)</f>
        <v>#NAME?</v>
      </c>
      <c r="AO111" s="22">
        <f>VLOOKUP($A111,tabCustoUnit[],COLUMN(CUSTO_GLOBAL[[#Headers],[Aviso Prévio Indenizado (API) e Reflexo do Aviso Prévio Indenizado]])-2,0)*($G111-$H111)</f>
        <v>11.192699914390431</v>
      </c>
      <c r="AP111" s="22">
        <f>VLOOKUP($A111,tabCustoUnit[],COLUMN(CUSTO_GLOBAL[[#Headers],[Incidência do FGTS sobre API e Reflexo do API]])-2,0)*($G111-$H111)</f>
        <v>0.89541599315123466</v>
      </c>
      <c r="AQ111" s="22">
        <f>VLOOKUP($A111,tabCustoUnit[],COLUMN(CUSTO_GLOBAL[[#Headers],[Multa Rescisória do FGTS sobre o Aviso Prévio Indenizado]])-2,0)*($G111-$H111)</f>
        <v>0.35816639726049387</v>
      </c>
      <c r="AR111" s="22">
        <f>VLOOKUP($A111,tabCustoUnit[],COLUMN(CUSTO_GLOBAL[[#Headers],[Aviso Prévio Trabalhado - APT]])-2,0)*($G111-$H111)</f>
        <v>5.5869583000000009</v>
      </c>
      <c r="AS111" s="22">
        <f>VLOOKUP($A111,tabCustoUnit[],COLUMN(CUSTO_GLOBAL[[#Headers],[Incidência dos encargos do submódulo 2.1 sobre Aviso Prévio Trabalhado]])-2,0)*($G111-$H111)</f>
        <v>2.1118702374000007</v>
      </c>
      <c r="AT111" s="22">
        <f>VLOOKUP($A111,tabCustoUnit[],COLUMN(CUSTO_GLOBAL[[#Headers],[Multa Rescisória do FGTS]])-2,0)*($G111-$H111)</f>
        <v>48.810505528888882</v>
      </c>
      <c r="AU111" s="22">
        <f>VLOOKUP($A111,tabCustoUnit[],COLUMN(CUSTO_GLOBAL[[#Headers],[Indenização Adicional (Art. 9º da Lei nº 7.238/84)]])-2,0)*($G111-$H111)</f>
        <v>1.3302281666666667</v>
      </c>
      <c r="AV111" s="22">
        <f>VLOOKUP($A111,tabCustoUnit[],COLUMN(CUSTO_GLOBAL[[#Headers],[MÓDULO 3 – PROVISÃO PARA RESCISÃO]])-2,0)*($G111-$H111)</f>
        <v>70.285844537757711</v>
      </c>
      <c r="AW111" s="22">
        <f>VLOOKUP($A111,tabCustoUnit[],COLUMN(CUSTO_GLOBAL[[#Headers],[Ausência por Doença]])-2,0)*($G111-$H111)</f>
        <v>13.479645422222221</v>
      </c>
      <c r="AX111" s="22">
        <f>VLOOKUP($A111,tabCustoUnit[],COLUMN(CUSTO_GLOBAL[[#Headers],[Ausências Legais]])-2,0)*($G111-$H111)</f>
        <v>3.2368885388888886</v>
      </c>
      <c r="AY111" s="22">
        <f>VLOOKUP($A111,tabCustoUnit[],COLUMN(CUSTO_GLOBAL[[#Headers],[Licença Paternidade]])-2,0)*($G111-$H111)</f>
        <v>0.27269677416666666</v>
      </c>
      <c r="AZ111" s="22">
        <f>VLOOKUP($A111,tabCustoUnit[],COLUMN(CUSTO_GLOBAL[[#Headers],[Ausência por Acidente de Trabalho]])-2,0)*($G111-$H111)</f>
        <v>0.33255704166666666</v>
      </c>
      <c r="BA111" s="22">
        <f>VLOOKUP($A111,tabCustoUnit[],COLUMN(CUSTO_GLOBAL[[#Headers],[Férias, Adicional de Férias e 13º  com empregada em gozo de Licença Maternidade]])-2,0)*($G111-$H111)</f>
        <v>2.0692438148148145</v>
      </c>
      <c r="BB111" s="22">
        <f>VLOOKUP($A111,tabCustoUnit[],COLUMN(CUSTO_GLOBAL[[#Headers],[Incidência do Submódulo 2.1 sobre Ausências Legais]])-2,0)*($G111-$H111)</f>
        <v>7.3298099416850011</v>
      </c>
      <c r="BC111" s="22">
        <f>VLOOKUP($A111,tabCustoUnit[],COLUMN(CUSTO_GLOBAL[[#Headers],[Submódulo 4.1]])-2,0)*($G111-$H111)</f>
        <v>26.720841533444265</v>
      </c>
      <c r="BD111" s="22">
        <f>VLOOKUP($A111,tabCustoUnit[],COLUMN(CUSTO_GLOBAL[[#Headers],[Intervalo para Repouso ou Alimentação]])-2,0)*($G111-$H111)</f>
        <v>0</v>
      </c>
      <c r="BE111" s="22">
        <f>VLOOKUP($A111,tabCustoUnit[],COLUMN(CUSTO_GLOBAL[[#Headers],[Submódulo 4.2]])-2,0)*($G111-$H111)</f>
        <v>0</v>
      </c>
      <c r="BF111" s="22">
        <f>VLOOKUP($A111,tabCustoUnit[],COLUMN(CUSTO_GLOBAL[[#Headers],[Suspensão Temporária do Contrato de Trabalho]])-2,0)*($G111-$H111)</f>
        <v>0</v>
      </c>
      <c r="BG111" s="22">
        <f>VLOOKUP($A111,tabCustoUnit[],COLUMN(CUSTO_GLOBAL[[#Headers],[Submódulo 4.3]])-2,0)*($G111-$H111)</f>
        <v>0</v>
      </c>
      <c r="BH111" s="22">
        <f>VLOOKUP($A111,tabCustoUnit[],COLUMN(CUSTO_GLOBAL[[#Headers],[MÓDULO 4 – CUSTO DE REPOSIÇÃO DO PROFISSIONAL AUSENTE]])-2,0)*($G111-$H111)</f>
        <v>26.720841533444265</v>
      </c>
      <c r="BI111" s="22">
        <f>VLOOKUP($A111,tabCustoUnit[],COLUMN(CUSTO_GLOBAL[[#Headers],[Uniformes e EPIs]])-2,0)*($G111-$H111)</f>
        <v>56.141713661989918</v>
      </c>
      <c r="BJ111" s="22">
        <f>VLOOKUP($A111,tabCustoUnit[],COLUMN(CUSTO_GLOBAL[[#Headers],[Materiais de Consumo]])-2,0)*($G111-$H111)</f>
        <v>0</v>
      </c>
      <c r="BK111" s="22">
        <f>VLOOKUP($A111,tabCustoUnit[],COLUMN(CUSTO_GLOBAL[[#Headers],[Máquinas e Equipamentos (depreciação)]])-2,0)*($G111-$H111)</f>
        <v>0</v>
      </c>
      <c r="BL111" s="22">
        <f>VLOOKUP($A111,tabCustoUnit[],COLUMN(CUSTO_GLOBAL[[#Headers],[Produtos de Limpeza e Materiais de Higiene Pessoal]])-2,0)*($G111-$H111)</f>
        <v>0</v>
      </c>
      <c r="BM111" s="22">
        <f>VLOOKUP($A111,tabCustoUnit[],COLUMN(CUSTO_GLOBAL[[#Headers],[Outros (especificar)]])-2,0)*($G111-$H111)</f>
        <v>0</v>
      </c>
      <c r="BN111" s="22">
        <f>VLOOKUP($A111,tabCustoUnit[],COLUMN(CUSTO_GLOBAL[[#Headers],[MÓDULO 5 – INSUMOS DIVERSOS]])-2,0)*($G111-$H111)</f>
        <v>56.141713661989918</v>
      </c>
      <c r="BO111" s="22" t="e">
        <f ca="1">VLOOKUP($A111,tabCustoUnit[],COLUMN(CUSTO_GLOBAL[[#Headers],[TOTAL MÓDULOS 1+2+3+4+5]])-2,0)*($G111-$H111)</f>
        <v>#NAME?</v>
      </c>
      <c r="BP111" s="22" t="e">
        <f ca="1">VLOOKUP($A111,tabCustoUnit[],COLUMN(CUSTO_GLOBAL[[#Headers],[Custos Indiretos]])-2,0)*($G111-$H111)</f>
        <v>#NAME?</v>
      </c>
      <c r="BQ111" s="22" t="e">
        <f ca="1">VLOOKUP($A111,tabCustoUnit[],COLUMN(CUSTO_GLOBAL[[#Headers],[Lucro]])-2,0)*($G111-$H111)</f>
        <v>#NAME?</v>
      </c>
      <c r="BR111" s="26">
        <f>VLOOKUP($A111,tabCustoUnit[],COLUMN(CUSTO_GLOBAL[[#Headers],[COFINS]])-2,0)</f>
        <v>8.8629737609329504E-2</v>
      </c>
      <c r="BS111" s="26">
        <f>VLOOKUP($A111,tabCustoUnit[],COLUMN(CUSTO_GLOBAL[[#Headers],[PIS]])-2,0)</f>
        <v>1.9241982507288629E-2</v>
      </c>
      <c r="BT111" s="28">
        <f>VLOOKUP($A111,tabCustoUnit[],COLUMN(CUSTO_GLOBAL[[#Headers],[ISS]])-2,0)</f>
        <v>0.05</v>
      </c>
      <c r="BU111" s="26">
        <f>VLOOKUP($A111,tabCustoUnit[],COLUMN(CUSTO_GLOBAL[[#Headers],[ISS (Conversão Alíquota s/ fatura)]])-2,0)</f>
        <v>5.8309037900874633E-2</v>
      </c>
      <c r="BV111" s="26">
        <f>VLOOKUP($A111,tabCustoUnit[],COLUMN(CUSTO_GLOBAL[[#Headers],[Resumo de Alíquotas (PIS+CONFINS+ISS)]])-2,0)</f>
        <v>0.14250000000000002</v>
      </c>
      <c r="BW111" s="138">
        <f>VLOOKUP($A111,tabCustoUnit[],COLUMN(CUSTO_GLOBAL[[#Headers],[PIS + COFINS + ISS (Total Conversão  Alíquota s/ Fatura)]])-2,0)</f>
        <v>0.16618075801749277</v>
      </c>
      <c r="BX111" s="22" t="e">
        <f ca="1">VLOOKUP($A111,tabCustoUnit[],COLUMN(CUSTO_GLOBAL[[#Headers],[Valor dos Tributos (ISS, PIS, CONFINS)]])-2,0)*($G111-$H111)</f>
        <v>#NAME?</v>
      </c>
      <c r="BY111" s="22" t="e">
        <f ca="1">VLOOKUP($A111,tabCustoUnit[],COLUMN(CUSTO_GLOBAL[[#Headers],[MÓDULO 6 – CUSTOS INDIRETOS, TRIBUTOS E LUCRO]])-2,0)*($G111-$H111)</f>
        <v>#NAME?</v>
      </c>
      <c r="BZ111" s="22" t="e">
        <f ca="1">VLOOKUP($A111,tabCustoUnit[],COLUMN(CUSTO_GLOBAL[[#Headers],[CUSTO TOTAL MENSAL]])-2,0)*($G111-$H111)</f>
        <v>#NAME?</v>
      </c>
      <c r="CA111" s="22" t="e">
        <f ca="1">CUSTO_GLOBAL[[#This Row],[CUSTO TOTAL MENSAL]]*12</f>
        <v>#NAME?</v>
      </c>
      <c r="CB111" s="24">
        <f>VLOOKUP($A111,tabCustoUnit[],COLUMN(CUSTO_GLOBAL[[#Headers],[ANO DA CCT]])-2,0)</f>
        <v>45658</v>
      </c>
      <c r="CC111" s="25" t="str">
        <f>VLOOKUP($A111,tabCustoUnit[],COLUMN(CUSTO_GLOBAL[[#Headers],[Nº DE PEDIDO DA CCT]])-2,0)</f>
        <v>-</v>
      </c>
      <c r="CD111" s="25" t="str">
        <f>VLOOKUP($A111,tabCustoUnit[],COLUMN(CUSTO_GLOBAL[[#Headers],[TERMO ADITIVO ALTERAÇÃO DA CCT]])-2,0)</f>
        <v>-</v>
      </c>
    </row>
    <row r="112" spans="1:82">
      <c r="A112" s="20" t="s">
        <v>1572</v>
      </c>
      <c r="B112" t="s">
        <v>1122</v>
      </c>
      <c r="C112" t="s">
        <v>1367</v>
      </c>
      <c r="D112" t="s">
        <v>954</v>
      </c>
      <c r="E112" s="20" t="s">
        <v>1090</v>
      </c>
      <c r="F112" s="20" t="s">
        <v>120</v>
      </c>
      <c r="G112" s="20">
        <v>1</v>
      </c>
      <c r="H112" s="20">
        <v>0</v>
      </c>
      <c r="I112" s="21">
        <f>VLOOKUP($A112,tabCustoUnit[],COLUMN(CUSTO_GLOBAL[[#Headers],[Salário Base]])-2,0)*($G112-$H112)</f>
        <v>2087.4324000000001</v>
      </c>
      <c r="J112" s="21">
        <f>VLOOKUP($A112,tabCustoUnit[],COLUMN(CUSTO_GLOBAL[[#Headers],[Adicional Periculosidade]])-2,0)*($G112-$H112)</f>
        <v>0</v>
      </c>
      <c r="K112" s="21">
        <f>VLOOKUP($A112,tabCustoUnit[],COLUMN(CUSTO_GLOBAL[[#Headers],[Adicional Insalubridade]])-2,0)*($G112-$H112)</f>
        <v>303.60000000000002</v>
      </c>
      <c r="L112" s="21">
        <f>VLOOKUP($A112,tabCustoUnit[],COLUMN(CUSTO_GLOBAL[[#Headers],[Adicional Noturno]])-2,0)*($G112-$H112)</f>
        <v>0</v>
      </c>
      <c r="M112" s="21">
        <f>VLOOKUP($A112,tabCustoUnit[],COLUMN(CUSTO_GLOBAL[[#Headers],[Adicional Motorista II (Gratificação)]])-2,0)*($G112-$H112)</f>
        <v>0</v>
      </c>
      <c r="N112" s="21">
        <f>VLOOKUP($A112,tabCustoUnit[],COLUMN(CUSTO_GLOBAL[[#Headers],[Adicional de Sobreaviso]])-2,0)*($G112-$H112)</f>
        <v>0</v>
      </c>
      <c r="O112" s="21">
        <f>VLOOKUP($A112,tabCustoUnit[],COLUMN(CUSTO_GLOBAL[[#Headers],[Horas Extras TI]])-2,0)*($G112-$H112)</f>
        <v>0</v>
      </c>
      <c r="P112" s="21">
        <f>VLOOKUP($A112,tabCustoUnit[],COLUMN(CUSTO_GLOBAL[[#Headers],[Adicional de Acúmulo de função]])-2,0)*($G112-$H112)</f>
        <v>0</v>
      </c>
      <c r="Q112" s="21">
        <f>VLOOKUP($A112,tabCustoUnit[],COLUMN(CUSTO_GLOBAL[[#Headers],[MODULO 1 - REMUNERAÇÃO ]])-2,0)*($G112-$H112)</f>
        <v>2391.0324000000001</v>
      </c>
      <c r="R112" s="21">
        <f>VLOOKUP($A112,tabCustoUnit[],COLUMN(CUSTO_GLOBAL[[#Headers],[INSS]])-2,0)*($G112-$H112)</f>
        <v>478.20648000000006</v>
      </c>
      <c r="S112" s="21">
        <f>VLOOKUP($A112,tabCustoUnit[],COLUMN(CUSTO_GLOBAL[[#Headers],[SESI OU SESC]])-2,0)*($G112-$H112)</f>
        <v>35.865485999999997</v>
      </c>
      <c r="T112" s="21">
        <f>VLOOKUP($A112,tabCustoUnit[],COLUMN(CUSTO_GLOBAL[[#Headers],[SENAI OU SENAC]])-2,0)*($G112-$H112)</f>
        <v>23.910324000000003</v>
      </c>
      <c r="U112" s="21">
        <f>VLOOKUP($A112,tabCustoUnit[],COLUMN(CUSTO_GLOBAL[[#Headers],[INCRA]])-2,0)*($G112-$H112)</f>
        <v>4.7820648000000006</v>
      </c>
      <c r="V112" s="21">
        <f>VLOOKUP($A112,tabCustoUnit[],COLUMN(CUSTO_GLOBAL[[#Headers],[Salário Educação]])-2,0)*($G112-$H112)</f>
        <v>59.775810000000007</v>
      </c>
      <c r="W112" s="21">
        <f>VLOOKUP($A112,tabCustoUnit[],COLUMN(CUSTO_GLOBAL[[#Headers],[FGTS]])-2,0)*($G112-$H112)</f>
        <v>191.28259200000002</v>
      </c>
      <c r="X112" s="21">
        <f>VLOOKUP($A112,tabCustoUnit[],COLUMN(CUSTO_GLOBAL[[#Headers],[RAT Ajustado]])-2,0)*($G112-$H112)</f>
        <v>95.641296000000011</v>
      </c>
      <c r="Y112" s="21">
        <f>VLOOKUP($A112,tabCustoUnit[],COLUMN(CUSTO_GLOBAL[[#Headers],[SEBRAE]])-2,0)*($G112-$H112)</f>
        <v>14.3461944</v>
      </c>
      <c r="Z112" s="21">
        <f>VLOOKUP($A112,tabCustoUnit[],COLUMN(CUSTO_GLOBAL[[#Headers],[Submódulo 2.1]])-2,0)*($G112-$H112)</f>
        <v>903.81024720000005</v>
      </c>
      <c r="AA112" s="21">
        <f>VLOOKUP($A112,tabCustoUnit[],COLUMN(CUSTO_GLOBAL[[#Headers],[13º salário (titular)]])-2,0)*($G112-$H112)</f>
        <v>199.2527</v>
      </c>
      <c r="AB112" s="21">
        <f>VLOOKUP($A112,tabCustoUnit[],COLUMN(CUSTO_GLOBAL[[#Headers],[Férias e Adicional de Férias (titular)]])-2,0)*($G112-$H112)</f>
        <v>265.67026666666663</v>
      </c>
      <c r="AC112" s="21">
        <f>VLOOKUP($A112,tabCustoUnit[],COLUMN(CUSTO_GLOBAL[[#Headers],[Incidência do Submódulo 2.1 sobre 13º Salário, Férias e Adicional de Férias]])-2,0)*($G112-$H112)</f>
        <v>175.74088139999998</v>
      </c>
      <c r="AD112" s="21">
        <f>VLOOKUP($A112,tabCustoUnit[],COLUMN(CUSTO_GLOBAL[[#Headers],[Submódulo 2.2]])-2,0)*($G112-$H112)</f>
        <v>640.66384806666656</v>
      </c>
      <c r="AE112" s="22" t="e">
        <f ca="1">VLOOKUP($A112,tabCustoUnit[],COLUMN(CUSTO_GLOBAL[[#Headers],[Vale - Transporte (Descontada parcela do empregado)]])-2,0)*($G112-$H112)</f>
        <v>#NAME?</v>
      </c>
      <c r="AF112" s="22">
        <f>VLOOKUP($A112,tabCustoUnit[],COLUMN(CUSTO_GLOBAL[[#Headers],[Vale - Alimentação (Descontada parcela do empregado)]])-2,0)*($G112-$H112)</f>
        <v>582</v>
      </c>
      <c r="AG112" s="22">
        <f>VLOOKUP($A112,tabCustoUnit[],COLUMN(CUSTO_GLOBAL[[#Headers],[Cesta Básica]])-2,0)*($G112-$H112)</f>
        <v>0</v>
      </c>
      <c r="AH112" s="22">
        <f>VLOOKUP($A112,tabCustoUnit[],COLUMN(CUSTO_GLOBAL[[#Headers],[PAF]])-2,0)*($G112-$H112)</f>
        <v>51.88</v>
      </c>
      <c r="AI112" s="22">
        <f>VLOOKUP($A112,tabCustoUnit[],COLUMN(CUSTO_GLOBAL[[#Headers],[PQM]])-2,0)*($G112-$H112)</f>
        <v>0</v>
      </c>
      <c r="AJ112" s="22">
        <v>0</v>
      </c>
      <c r="AK112" s="22">
        <f>VLOOKUP($A112,tabCustoUnit[],COLUMN(CUSTO_GLOBAL[[#Headers],[Seguro de Vida]])-2,0)*($G112-$H112)</f>
        <v>3.36</v>
      </c>
      <c r="AL112" s="22">
        <f>VLOOKUP($A112,tabCustoUnit[],COLUMN(CUSTO_GLOBAL[[#Headers],[Despesas de Viagem]])-2,0)*($G112-$H112)</f>
        <v>0</v>
      </c>
      <c r="AM112" s="22" t="e">
        <f ca="1">VLOOKUP($A112,tabCustoUnit[],COLUMN(CUSTO_GLOBAL[[#Headers],[Submódulo 2.3]])-2,0)*($G112-$H112)</f>
        <v>#NAME?</v>
      </c>
      <c r="AN112" s="22" t="e">
        <f ca="1">VLOOKUP($A112,tabCustoUnit[],COLUMN(CUSTO_GLOBAL[[#Headers],[MÓDULO 2 - Total Encargos e Benefícios mensais e diários]])-2,0)*($G112-$H112)</f>
        <v>#NAME?</v>
      </c>
      <c r="AO112" s="22">
        <f>VLOOKUP($A112,tabCustoUnit[],COLUMN(CUSTO_GLOBAL[[#Headers],[Aviso Prévio Indenizado (API) e Reflexo do Aviso Prévio Indenizado]])-2,0)*($G112-$H112)</f>
        <v>16.765362019212965</v>
      </c>
      <c r="AP112" s="22">
        <f>VLOOKUP($A112,tabCustoUnit[],COLUMN(CUSTO_GLOBAL[[#Headers],[Incidência do FGTS sobre API e Reflexo do API]])-2,0)*($G112-$H112)</f>
        <v>1.3412289615370372</v>
      </c>
      <c r="AQ112" s="22">
        <f>VLOOKUP($A112,tabCustoUnit[],COLUMN(CUSTO_GLOBAL[[#Headers],[Multa Rescisória do FGTS sobre o Aviso Prévio Indenizado]])-2,0)*($G112-$H112)</f>
        <v>0.53649158461481494</v>
      </c>
      <c r="AR112" s="22">
        <f>VLOOKUP($A112,tabCustoUnit[],COLUMN(CUSTO_GLOBAL[[#Headers],[Aviso Prévio Trabalhado - APT]])-2,0)*($G112-$H112)</f>
        <v>8.368613400000001</v>
      </c>
      <c r="AS112" s="22">
        <f>VLOOKUP($A112,tabCustoUnit[],COLUMN(CUSTO_GLOBAL[[#Headers],[Incidência dos encargos do submódulo 2.1 sobre Aviso Prévio Trabalhado]])-2,0)*($G112-$H112)</f>
        <v>3.163335865200001</v>
      </c>
      <c r="AT112" s="22">
        <f>VLOOKUP($A112,tabCustoUnit[],COLUMN(CUSTO_GLOBAL[[#Headers],[Multa Rescisória do FGTS]])-2,0)*($G112-$H112)</f>
        <v>73.112457386666662</v>
      </c>
      <c r="AU112" s="22">
        <f>VLOOKUP($A112,tabCustoUnit[],COLUMN(CUSTO_GLOBAL[[#Headers],[Indenização Adicional (Art. 9º da Lei nº 7.238/84)]])-2,0)*($G112-$H112)</f>
        <v>1.9925270000000002</v>
      </c>
      <c r="AV112" s="22">
        <f>VLOOKUP($A112,tabCustoUnit[],COLUMN(CUSTO_GLOBAL[[#Headers],[MÓDULO 3 – PROVISÃO PARA RESCISÃO]])-2,0)*($G112-$H112)</f>
        <v>105.28001621723148</v>
      </c>
      <c r="AW112" s="22">
        <f>VLOOKUP($A112,tabCustoUnit[],COLUMN(CUSTO_GLOBAL[[#Headers],[Ausência por Doença]])-2,0)*($G112-$H112)</f>
        <v>20.190940266666665</v>
      </c>
      <c r="AX112" s="22">
        <f>VLOOKUP($A112,tabCustoUnit[],COLUMN(CUSTO_GLOBAL[[#Headers],[Ausências Legais]])-2,0)*($G112-$H112)</f>
        <v>4.8484823666666665</v>
      </c>
      <c r="AY112" s="22">
        <f>VLOOKUP($A112,tabCustoUnit[],COLUMN(CUSTO_GLOBAL[[#Headers],[Licença Paternidade]])-2,0)*($G112-$H112)</f>
        <v>0.40846803500000001</v>
      </c>
      <c r="AZ112" s="22">
        <f>VLOOKUP($A112,tabCustoUnit[],COLUMN(CUSTO_GLOBAL[[#Headers],[Ausência por Acidente de Trabalho]])-2,0)*($G112-$H112)</f>
        <v>0.49813175000000004</v>
      </c>
      <c r="BA112" s="22">
        <f>VLOOKUP($A112,tabCustoUnit[],COLUMN(CUSTO_GLOBAL[[#Headers],[Férias, Adicional de Férias e 13º  com empregada em gozo de Licença Maternidade]])-2,0)*($G112-$H112)</f>
        <v>3.0994864444444445</v>
      </c>
      <c r="BB112" s="22">
        <f>VLOOKUP($A112,tabCustoUnit[],COLUMN(CUSTO_GLOBAL[[#Headers],[Incidência do Submódulo 2.1 sobre Ausências Legais]])-2,0)*($G112-$H112)</f>
        <v>10.979202350130002</v>
      </c>
      <c r="BC112" s="22">
        <f>VLOOKUP($A112,tabCustoUnit[],COLUMN(CUSTO_GLOBAL[[#Headers],[Submódulo 4.1]])-2,0)*($G112-$H112)</f>
        <v>40.024711212907775</v>
      </c>
      <c r="BD112" s="22">
        <f>VLOOKUP($A112,tabCustoUnit[],COLUMN(CUSTO_GLOBAL[[#Headers],[Intervalo para Repouso ou Alimentação]])-2,0)*($G112-$H112)</f>
        <v>0</v>
      </c>
      <c r="BE112" s="22">
        <f>VLOOKUP($A112,tabCustoUnit[],COLUMN(CUSTO_GLOBAL[[#Headers],[Submódulo 4.2]])-2,0)*($G112-$H112)</f>
        <v>0</v>
      </c>
      <c r="BF112" s="22">
        <f>VLOOKUP($A112,tabCustoUnit[],COLUMN(CUSTO_GLOBAL[[#Headers],[Suspensão Temporária do Contrato de Trabalho]])-2,0)*($G112-$H112)</f>
        <v>0</v>
      </c>
      <c r="BG112" s="22">
        <f>VLOOKUP($A112,tabCustoUnit[],COLUMN(CUSTO_GLOBAL[[#Headers],[Submódulo 4.3]])-2,0)*($G112-$H112)</f>
        <v>0</v>
      </c>
      <c r="BH112" s="22">
        <f>VLOOKUP($A112,tabCustoUnit[],COLUMN(CUSTO_GLOBAL[[#Headers],[MÓDULO 4 – CUSTO DE REPOSIÇÃO DO PROFISSIONAL AUSENTE]])-2,0)*($G112-$H112)</f>
        <v>40.024711212907775</v>
      </c>
      <c r="BI112" s="22">
        <f>VLOOKUP($A112,tabCustoUnit[],COLUMN(CUSTO_GLOBAL[[#Headers],[Uniformes e EPIs]])-2,0)*($G112-$H112)</f>
        <v>253.83572732312174</v>
      </c>
      <c r="BJ112" s="22">
        <f>VLOOKUP($A112,tabCustoUnit[],COLUMN(CUSTO_GLOBAL[[#Headers],[Materiais de Consumo]])-2,0)*($G112-$H112)</f>
        <v>441.81099462365592</v>
      </c>
      <c r="BK112" s="22">
        <f>VLOOKUP($A112,tabCustoUnit[],COLUMN(CUSTO_GLOBAL[[#Headers],[Máquinas e Equipamentos (depreciação)]])-2,0)*($G112-$H112)</f>
        <v>113.11309677419354</v>
      </c>
      <c r="BL112" s="22">
        <f>VLOOKUP($A112,tabCustoUnit[],COLUMN(CUSTO_GLOBAL[[#Headers],[Produtos de Limpeza e Materiais de Higiene Pessoal]])-2,0)*($G112-$H112)</f>
        <v>0</v>
      </c>
      <c r="BM112" s="22">
        <f>VLOOKUP($A112,tabCustoUnit[],COLUMN(CUSTO_GLOBAL[[#Headers],[Outros (especificar)]])-2,0)*($G112-$H112)</f>
        <v>0</v>
      </c>
      <c r="BN112" s="22">
        <f>VLOOKUP($A112,tabCustoUnit[],COLUMN(CUSTO_GLOBAL[[#Headers],[MÓDULO 5 – INSUMOS DIVERSOS]])-2,0)*($G112-$H112)</f>
        <v>808.75981872097123</v>
      </c>
      <c r="BO112" s="22" t="e">
        <f ca="1">VLOOKUP($A112,tabCustoUnit[],COLUMN(CUSTO_GLOBAL[[#Headers],[TOTAL MÓDULOS 1+2+3+4+5]])-2,0)*($G112-$H112)</f>
        <v>#NAME?</v>
      </c>
      <c r="BP112" s="22" t="e">
        <f ca="1">VLOOKUP($A112,tabCustoUnit[],COLUMN(CUSTO_GLOBAL[[#Headers],[Custos Indiretos]])-2,0)*($G112-$H112)</f>
        <v>#NAME?</v>
      </c>
      <c r="BQ112" s="22" t="e">
        <f ca="1">VLOOKUP($A112,tabCustoUnit[],COLUMN(CUSTO_GLOBAL[[#Headers],[Lucro]])-2,0)*($G112-$H112)</f>
        <v>#NAME?</v>
      </c>
      <c r="BR112" s="26">
        <f>VLOOKUP($A112,tabCustoUnit[],COLUMN(CUSTO_GLOBAL[[#Headers],[COFINS]])-2,0)</f>
        <v>8.8629737609329504E-2</v>
      </c>
      <c r="BS112" s="26">
        <f>VLOOKUP($A112,tabCustoUnit[],COLUMN(CUSTO_GLOBAL[[#Headers],[PIS]])-2,0)</f>
        <v>1.9241982507288629E-2</v>
      </c>
      <c r="BT112" s="28">
        <f>VLOOKUP($A112,tabCustoUnit[],COLUMN(CUSTO_GLOBAL[[#Headers],[ISS]])-2,0)</f>
        <v>0.05</v>
      </c>
      <c r="BU112" s="26">
        <f>VLOOKUP($A112,tabCustoUnit[],COLUMN(CUSTO_GLOBAL[[#Headers],[ISS (Conversão Alíquota s/ fatura)]])-2,0)</f>
        <v>5.8309037900874633E-2</v>
      </c>
      <c r="BV112" s="26">
        <f>VLOOKUP($A112,tabCustoUnit[],COLUMN(CUSTO_GLOBAL[[#Headers],[Resumo de Alíquotas (PIS+CONFINS+ISS)]])-2,0)</f>
        <v>0.14250000000000002</v>
      </c>
      <c r="BW112" s="138">
        <f>VLOOKUP($A112,tabCustoUnit[],COLUMN(CUSTO_GLOBAL[[#Headers],[PIS + COFINS + ISS (Total Conversão  Alíquota s/ Fatura)]])-2,0)</f>
        <v>0.16618075801749277</v>
      </c>
      <c r="BX112" s="22" t="e">
        <f ca="1">VLOOKUP($A112,tabCustoUnit[],COLUMN(CUSTO_GLOBAL[[#Headers],[Valor dos Tributos (ISS, PIS, CONFINS)]])-2,0)*($G112-$H112)</f>
        <v>#NAME?</v>
      </c>
      <c r="BY112" s="22" t="e">
        <f ca="1">VLOOKUP($A112,tabCustoUnit[],COLUMN(CUSTO_GLOBAL[[#Headers],[MÓDULO 6 – CUSTOS INDIRETOS, TRIBUTOS E LUCRO]])-2,0)*($G112-$H112)</f>
        <v>#NAME?</v>
      </c>
      <c r="BZ112" s="22" t="e">
        <f ca="1">VLOOKUP($A112,tabCustoUnit[],COLUMN(CUSTO_GLOBAL[[#Headers],[CUSTO TOTAL MENSAL]])-2,0)*($G112-$H112)</f>
        <v>#NAME?</v>
      </c>
      <c r="CA112" s="22" t="e">
        <f ca="1">CUSTO_GLOBAL[[#This Row],[CUSTO TOTAL MENSAL]]*12</f>
        <v>#NAME?</v>
      </c>
      <c r="CB112" s="24">
        <f>VLOOKUP($A112,tabCustoUnit[],COLUMN(CUSTO_GLOBAL[[#Headers],[ANO DA CCT]])-2,0)</f>
        <v>45658</v>
      </c>
      <c r="CC112" s="25" t="str">
        <f>VLOOKUP($A112,tabCustoUnit[],COLUMN(CUSTO_GLOBAL[[#Headers],[Nº DE PEDIDO DA CCT]])-2,0)</f>
        <v>-</v>
      </c>
      <c r="CD112" s="25" t="str">
        <f>VLOOKUP($A112,tabCustoUnit[],COLUMN(CUSTO_GLOBAL[[#Headers],[TERMO ADITIVO ALTERAÇÃO DA CCT]])-2,0)</f>
        <v>-</v>
      </c>
    </row>
    <row r="113" spans="1:82">
      <c r="A113" s="20" t="s">
        <v>1573</v>
      </c>
      <c r="B113" t="s">
        <v>1122</v>
      </c>
      <c r="C113" t="s">
        <v>314</v>
      </c>
      <c r="D113" t="s">
        <v>954</v>
      </c>
      <c r="E113" s="20" t="s">
        <v>1090</v>
      </c>
      <c r="F113" s="20" t="s">
        <v>120</v>
      </c>
      <c r="G113" s="20">
        <v>1</v>
      </c>
      <c r="H113" s="20">
        <v>0</v>
      </c>
      <c r="I113" s="21">
        <f>VLOOKUP($A113,tabCustoUnit[],COLUMN(CUSTO_GLOBAL[[#Headers],[Salário Base]])-2,0)*($G113-$H113)</f>
        <v>1963.4110000000001</v>
      </c>
      <c r="J113" s="21">
        <f>VLOOKUP($A113,tabCustoUnit[],COLUMN(CUSTO_GLOBAL[[#Headers],[Adicional Periculosidade]])-2,0)*($G113-$H113)</f>
        <v>0</v>
      </c>
      <c r="K113" s="21">
        <f>VLOOKUP($A113,tabCustoUnit[],COLUMN(CUSTO_GLOBAL[[#Headers],[Adicional Insalubridade]])-2,0)*($G113-$H113)</f>
        <v>0</v>
      </c>
      <c r="L113" s="21">
        <f>VLOOKUP($A113,tabCustoUnit[],COLUMN(CUSTO_GLOBAL[[#Headers],[Adicional Noturno]])-2,0)*($G113-$H113)</f>
        <v>0</v>
      </c>
      <c r="M113" s="21">
        <f>VLOOKUP($A113,tabCustoUnit[],COLUMN(CUSTO_GLOBAL[[#Headers],[Adicional Motorista II (Gratificação)]])-2,0)*($G113-$H113)</f>
        <v>0</v>
      </c>
      <c r="N113" s="21">
        <f>VLOOKUP($A113,tabCustoUnit[],COLUMN(CUSTO_GLOBAL[[#Headers],[Adicional de Sobreaviso]])-2,0)*($G113-$H113)</f>
        <v>0</v>
      </c>
      <c r="O113" s="21">
        <f>VLOOKUP($A113,tabCustoUnit[],COLUMN(CUSTO_GLOBAL[[#Headers],[Horas Extras TI]])-2,0)*($G113-$H113)</f>
        <v>0</v>
      </c>
      <c r="P113" s="21">
        <f>VLOOKUP($A113,tabCustoUnit[],COLUMN(CUSTO_GLOBAL[[#Headers],[Adicional de Acúmulo de função]])-2,0)*($G113-$H113)</f>
        <v>0</v>
      </c>
      <c r="Q113" s="21">
        <f>VLOOKUP($A113,tabCustoUnit[],COLUMN(CUSTO_GLOBAL[[#Headers],[MODULO 1 - REMUNERAÇÃO ]])-2,0)*($G113-$H113)</f>
        <v>1963.4110000000001</v>
      </c>
      <c r="R113" s="21">
        <f>VLOOKUP($A113,tabCustoUnit[],COLUMN(CUSTO_GLOBAL[[#Headers],[INSS]])-2,0)*($G113-$H113)</f>
        <v>392.68220000000002</v>
      </c>
      <c r="S113" s="21">
        <f>VLOOKUP($A113,tabCustoUnit[],COLUMN(CUSTO_GLOBAL[[#Headers],[SESI OU SESC]])-2,0)*($G113-$H113)</f>
        <v>29.451165</v>
      </c>
      <c r="T113" s="21">
        <f>VLOOKUP($A113,tabCustoUnit[],COLUMN(CUSTO_GLOBAL[[#Headers],[SENAI OU SENAC]])-2,0)*($G113-$H113)</f>
        <v>19.63411</v>
      </c>
      <c r="U113" s="21">
        <f>VLOOKUP($A113,tabCustoUnit[],COLUMN(CUSTO_GLOBAL[[#Headers],[INCRA]])-2,0)*($G113-$H113)</f>
        <v>3.926822</v>
      </c>
      <c r="V113" s="21">
        <f>VLOOKUP($A113,tabCustoUnit[],COLUMN(CUSTO_GLOBAL[[#Headers],[Salário Educação]])-2,0)*($G113-$H113)</f>
        <v>49.085275000000003</v>
      </c>
      <c r="W113" s="21">
        <f>VLOOKUP($A113,tabCustoUnit[],COLUMN(CUSTO_GLOBAL[[#Headers],[FGTS]])-2,0)*($G113-$H113)</f>
        <v>157.07288</v>
      </c>
      <c r="X113" s="21">
        <f>VLOOKUP($A113,tabCustoUnit[],COLUMN(CUSTO_GLOBAL[[#Headers],[RAT Ajustado]])-2,0)*($G113-$H113)</f>
        <v>78.536439999999999</v>
      </c>
      <c r="Y113" s="21">
        <f>VLOOKUP($A113,tabCustoUnit[],COLUMN(CUSTO_GLOBAL[[#Headers],[SEBRAE]])-2,0)*($G113-$H113)</f>
        <v>11.780466000000001</v>
      </c>
      <c r="Z113" s="21">
        <f>VLOOKUP($A113,tabCustoUnit[],COLUMN(CUSTO_GLOBAL[[#Headers],[Submódulo 2.1]])-2,0)*($G113-$H113)</f>
        <v>742.1693580000001</v>
      </c>
      <c r="AA113" s="21">
        <f>VLOOKUP($A113,tabCustoUnit[],COLUMN(CUSTO_GLOBAL[[#Headers],[13º salário (titular)]])-2,0)*($G113-$H113)</f>
        <v>163.61758333333333</v>
      </c>
      <c r="AB113" s="21">
        <f>VLOOKUP($A113,tabCustoUnit[],COLUMN(CUSTO_GLOBAL[[#Headers],[Férias e Adicional de Férias (titular)]])-2,0)*($G113-$H113)</f>
        <v>218.15677777777776</v>
      </c>
      <c r="AC113" s="21">
        <f>VLOOKUP($A113,tabCustoUnit[],COLUMN(CUSTO_GLOBAL[[#Headers],[Incidência do Submódulo 2.1 sobre 13º Salário, Férias e Adicional de Férias]])-2,0)*($G113-$H113)</f>
        <v>144.3107085</v>
      </c>
      <c r="AD113" s="21">
        <f>VLOOKUP($A113,tabCustoUnit[],COLUMN(CUSTO_GLOBAL[[#Headers],[Submódulo 2.2]])-2,0)*($G113-$H113)</f>
        <v>526.08506961111107</v>
      </c>
      <c r="AE113" s="22" t="e">
        <f ca="1">VLOOKUP($A113,tabCustoUnit[],COLUMN(CUSTO_GLOBAL[[#Headers],[Vale - Transporte (Descontada parcela do empregado)]])-2,0)*($G113-$H113)</f>
        <v>#NAME?</v>
      </c>
      <c r="AF113" s="22">
        <f>VLOOKUP($A113,tabCustoUnit[],COLUMN(CUSTO_GLOBAL[[#Headers],[Vale - Alimentação (Descontada parcela do empregado)]])-2,0)*($G113-$H113)</f>
        <v>582</v>
      </c>
      <c r="AG113" s="22">
        <f>VLOOKUP($A113,tabCustoUnit[],COLUMN(CUSTO_GLOBAL[[#Headers],[Cesta Básica]])-2,0)*($G113-$H113)</f>
        <v>0</v>
      </c>
      <c r="AH113" s="22">
        <f>VLOOKUP($A113,tabCustoUnit[],COLUMN(CUSTO_GLOBAL[[#Headers],[PAF]])-2,0)*($G113-$H113)</f>
        <v>51.88</v>
      </c>
      <c r="AI113" s="22">
        <f>VLOOKUP($A113,tabCustoUnit[],COLUMN(CUSTO_GLOBAL[[#Headers],[PQM]])-2,0)*($G113-$H113)</f>
        <v>0</v>
      </c>
      <c r="AJ113" s="22">
        <v>0</v>
      </c>
      <c r="AK113" s="22">
        <f>VLOOKUP($A113,tabCustoUnit[],COLUMN(CUSTO_GLOBAL[[#Headers],[Seguro de Vida]])-2,0)*($G113-$H113)</f>
        <v>3.36</v>
      </c>
      <c r="AL113" s="22">
        <f>VLOOKUP($A113,tabCustoUnit[],COLUMN(CUSTO_GLOBAL[[#Headers],[Despesas de Viagem]])-2,0)*($G113-$H113)</f>
        <v>0</v>
      </c>
      <c r="AM113" s="22" t="e">
        <f ca="1">VLOOKUP($A113,tabCustoUnit[],COLUMN(CUSTO_GLOBAL[[#Headers],[Submódulo 2.3]])-2,0)*($G113-$H113)</f>
        <v>#NAME?</v>
      </c>
      <c r="AN113" s="22" t="e">
        <f ca="1">VLOOKUP($A113,tabCustoUnit[],COLUMN(CUSTO_GLOBAL[[#Headers],[MÓDULO 2 - Total Encargos e Benefícios mensais e diários]])-2,0)*($G113-$H113)</f>
        <v>#NAME?</v>
      </c>
      <c r="AO113" s="22">
        <f>VLOOKUP($A113,tabCustoUnit[],COLUMN(CUSTO_GLOBAL[[#Headers],[Aviso Prévio Indenizado (API) e Reflexo do Aviso Prévio Indenizado]])-2,0)*($G113-$H113)</f>
        <v>13.766980408757716</v>
      </c>
      <c r="AP113" s="22">
        <f>VLOOKUP($A113,tabCustoUnit[],COLUMN(CUSTO_GLOBAL[[#Headers],[Incidência do FGTS sobre API e Reflexo do API]])-2,0)*($G113-$H113)</f>
        <v>1.1013584327006174</v>
      </c>
      <c r="AQ113" s="22">
        <f>VLOOKUP($A113,tabCustoUnit[],COLUMN(CUSTO_GLOBAL[[#Headers],[Multa Rescisória do FGTS sobre o Aviso Prévio Indenizado]])-2,0)*($G113-$H113)</f>
        <v>0.44054337308024699</v>
      </c>
      <c r="AR113" s="22">
        <f>VLOOKUP($A113,tabCustoUnit[],COLUMN(CUSTO_GLOBAL[[#Headers],[Aviso Prévio Trabalhado - APT]])-2,0)*($G113-$H113)</f>
        <v>6.8719385000000015</v>
      </c>
      <c r="AS113" s="22">
        <f>VLOOKUP($A113,tabCustoUnit[],COLUMN(CUSTO_GLOBAL[[#Headers],[Incidência dos encargos do submódulo 2.1 sobre Aviso Prévio Trabalhado]])-2,0)*($G113-$H113)</f>
        <v>2.5975927530000007</v>
      </c>
      <c r="AT113" s="22">
        <f>VLOOKUP($A113,tabCustoUnit[],COLUMN(CUSTO_GLOBAL[[#Headers],[Multa Rescisória do FGTS]])-2,0)*($G113-$H113)</f>
        <v>60.03674524444444</v>
      </c>
      <c r="AU113" s="22">
        <f>VLOOKUP($A113,tabCustoUnit[],COLUMN(CUSTO_GLOBAL[[#Headers],[Indenização Adicional (Art. 9º da Lei nº 7.238/84)]])-2,0)*($G113-$H113)</f>
        <v>1.6361758333333334</v>
      </c>
      <c r="AV113" s="22">
        <f>VLOOKUP($A113,tabCustoUnit[],COLUMN(CUSTO_GLOBAL[[#Headers],[MÓDULO 3 – PROVISÃO PARA RESCISÃO]])-2,0)*($G113-$H113)</f>
        <v>86.451334545316371</v>
      </c>
      <c r="AW113" s="22">
        <f>VLOOKUP($A113,tabCustoUnit[],COLUMN(CUSTO_GLOBAL[[#Headers],[Ausência por Doença]])-2,0)*($G113-$H113)</f>
        <v>16.579915111111109</v>
      </c>
      <c r="AX113" s="22">
        <f>VLOOKUP($A113,tabCustoUnit[],COLUMN(CUSTO_GLOBAL[[#Headers],[Ausências Legais]])-2,0)*($G113-$H113)</f>
        <v>3.9813611944444443</v>
      </c>
      <c r="AY113" s="22">
        <f>VLOOKUP($A113,tabCustoUnit[],COLUMN(CUSTO_GLOBAL[[#Headers],[Licença Paternidade]])-2,0)*($G113-$H113)</f>
        <v>0.33541604583333334</v>
      </c>
      <c r="AZ113" s="22">
        <f>VLOOKUP($A113,tabCustoUnit[],COLUMN(CUSTO_GLOBAL[[#Headers],[Ausência por Acidente de Trabalho]])-2,0)*($G113-$H113)</f>
        <v>0.40904395833333335</v>
      </c>
      <c r="BA113" s="22">
        <f>VLOOKUP($A113,tabCustoUnit[],COLUMN(CUSTO_GLOBAL[[#Headers],[Férias, Adicional de Férias e 13º  com empregada em gozo de Licença Maternidade]])-2,0)*($G113-$H113)</f>
        <v>2.5451624074074073</v>
      </c>
      <c r="BB113" s="22">
        <f>VLOOKUP($A113,tabCustoUnit[],COLUMN(CUSTO_GLOBAL[[#Headers],[Incidência do Submódulo 2.1 sobre Ausências Legais]])-2,0)*($G113-$H113)</f>
        <v>9.0156397150750021</v>
      </c>
      <c r="BC113" s="22">
        <f>VLOOKUP($A113,tabCustoUnit[],COLUMN(CUSTO_GLOBAL[[#Headers],[Submódulo 4.1]])-2,0)*($G113-$H113)</f>
        <v>32.866538432204628</v>
      </c>
      <c r="BD113" s="22">
        <f>VLOOKUP($A113,tabCustoUnit[],COLUMN(CUSTO_GLOBAL[[#Headers],[Intervalo para Repouso ou Alimentação]])-2,0)*($G113-$H113)</f>
        <v>267.73786489195959</v>
      </c>
      <c r="BE113" s="22">
        <f>VLOOKUP($A113,tabCustoUnit[],COLUMN(CUSTO_GLOBAL[[#Headers],[Submódulo 4.2]])-2,0)*($G113-$H113)</f>
        <v>267.73786489195959</v>
      </c>
      <c r="BF113" s="22">
        <f>VLOOKUP($A113,tabCustoUnit[],COLUMN(CUSTO_GLOBAL[[#Headers],[Suspensão Temporária do Contrato de Trabalho]])-2,0)*($G113-$H113)</f>
        <v>0</v>
      </c>
      <c r="BG113" s="22">
        <f>VLOOKUP($A113,tabCustoUnit[],COLUMN(CUSTO_GLOBAL[[#Headers],[Submódulo 4.3]])-2,0)*($G113-$H113)</f>
        <v>0</v>
      </c>
      <c r="BH113" s="22">
        <f>VLOOKUP($A113,tabCustoUnit[],COLUMN(CUSTO_GLOBAL[[#Headers],[MÓDULO 4 – CUSTO DE REPOSIÇÃO DO PROFISSIONAL AUSENTE]])-2,0)*($G113-$H113)</f>
        <v>300.6044033241642</v>
      </c>
      <c r="BI113" s="22">
        <f>VLOOKUP($A113,tabCustoUnit[],COLUMN(CUSTO_GLOBAL[[#Headers],[Uniformes e EPIs]])-2,0)*($G113-$H113)</f>
        <v>56.642978962543395</v>
      </c>
      <c r="BJ113" s="22">
        <f>VLOOKUP($A113,tabCustoUnit[],COLUMN(CUSTO_GLOBAL[[#Headers],[Materiais de Consumo]])-2,0)*($G113-$H113)</f>
        <v>0</v>
      </c>
      <c r="BK113" s="22">
        <f>VLOOKUP($A113,tabCustoUnit[],COLUMN(CUSTO_GLOBAL[[#Headers],[Máquinas e Equipamentos (depreciação)]])-2,0)*($G113-$H113)</f>
        <v>0</v>
      </c>
      <c r="BL113" s="22">
        <f>VLOOKUP($A113,tabCustoUnit[],COLUMN(CUSTO_GLOBAL[[#Headers],[Produtos de Limpeza e Materiais de Higiene Pessoal]])-2,0)*($G113-$H113)</f>
        <v>0</v>
      </c>
      <c r="BM113" s="22">
        <f>VLOOKUP($A113,tabCustoUnit[],COLUMN(CUSTO_GLOBAL[[#Headers],[Outros (especificar)]])-2,0)*($G113-$H113)</f>
        <v>0</v>
      </c>
      <c r="BN113" s="22">
        <f>VLOOKUP($A113,tabCustoUnit[],COLUMN(CUSTO_GLOBAL[[#Headers],[MÓDULO 5 – INSUMOS DIVERSOS]])-2,0)*($G113-$H113)</f>
        <v>56.642978962543395</v>
      </c>
      <c r="BO113" s="22" t="e">
        <f ca="1">VLOOKUP($A113,tabCustoUnit[],COLUMN(CUSTO_GLOBAL[[#Headers],[TOTAL MÓDULOS 1+2+3+4+5]])-2,0)*($G113-$H113)</f>
        <v>#NAME?</v>
      </c>
      <c r="BP113" s="22" t="e">
        <f ca="1">VLOOKUP($A113,tabCustoUnit[],COLUMN(CUSTO_GLOBAL[[#Headers],[Custos Indiretos]])-2,0)*($G113-$H113)</f>
        <v>#NAME?</v>
      </c>
      <c r="BQ113" s="22" t="e">
        <f ca="1">VLOOKUP($A113,tabCustoUnit[],COLUMN(CUSTO_GLOBAL[[#Headers],[Lucro]])-2,0)*($G113-$H113)</f>
        <v>#NAME?</v>
      </c>
      <c r="BR113" s="26">
        <f>VLOOKUP($A113,tabCustoUnit[],COLUMN(CUSTO_GLOBAL[[#Headers],[COFINS]])-2,0)</f>
        <v>8.8629737609329504E-2</v>
      </c>
      <c r="BS113" s="26">
        <f>VLOOKUP($A113,tabCustoUnit[],COLUMN(CUSTO_GLOBAL[[#Headers],[PIS]])-2,0)</f>
        <v>1.9241982507288629E-2</v>
      </c>
      <c r="BT113" s="28">
        <f>VLOOKUP($A113,tabCustoUnit[],COLUMN(CUSTO_GLOBAL[[#Headers],[ISS]])-2,0)</f>
        <v>0.05</v>
      </c>
      <c r="BU113" s="26">
        <f>VLOOKUP($A113,tabCustoUnit[],COLUMN(CUSTO_GLOBAL[[#Headers],[ISS (Conversão Alíquota s/ fatura)]])-2,0)</f>
        <v>5.8309037900874633E-2</v>
      </c>
      <c r="BV113" s="26">
        <f>VLOOKUP($A113,tabCustoUnit[],COLUMN(CUSTO_GLOBAL[[#Headers],[Resumo de Alíquotas (PIS+CONFINS+ISS)]])-2,0)</f>
        <v>0.14250000000000002</v>
      </c>
      <c r="BW113" s="138">
        <f>VLOOKUP($A113,tabCustoUnit[],COLUMN(CUSTO_GLOBAL[[#Headers],[PIS + COFINS + ISS (Total Conversão  Alíquota s/ Fatura)]])-2,0)</f>
        <v>0.16618075801749277</v>
      </c>
      <c r="BX113" s="22" t="e">
        <f ca="1">VLOOKUP($A113,tabCustoUnit[],COLUMN(CUSTO_GLOBAL[[#Headers],[Valor dos Tributos (ISS, PIS, CONFINS)]])-2,0)*($G113-$H113)</f>
        <v>#NAME?</v>
      </c>
      <c r="BY113" s="22" t="e">
        <f ca="1">VLOOKUP($A113,tabCustoUnit[],COLUMN(CUSTO_GLOBAL[[#Headers],[MÓDULO 6 – CUSTOS INDIRETOS, TRIBUTOS E LUCRO]])-2,0)*($G113-$H113)</f>
        <v>#NAME?</v>
      </c>
      <c r="BZ113" s="22" t="e">
        <f ca="1">VLOOKUP($A113,tabCustoUnit[],COLUMN(CUSTO_GLOBAL[[#Headers],[CUSTO TOTAL MENSAL]])-2,0)*($G113-$H113)</f>
        <v>#NAME?</v>
      </c>
      <c r="CA113" s="22" t="e">
        <f ca="1">CUSTO_GLOBAL[[#This Row],[CUSTO TOTAL MENSAL]]*12</f>
        <v>#NAME?</v>
      </c>
      <c r="CB113" s="24">
        <f>VLOOKUP($A113,tabCustoUnit[],COLUMN(CUSTO_GLOBAL[[#Headers],[ANO DA CCT]])-2,0)</f>
        <v>45658</v>
      </c>
      <c r="CC113" s="25" t="str">
        <f>VLOOKUP($A113,tabCustoUnit[],COLUMN(CUSTO_GLOBAL[[#Headers],[Nº DE PEDIDO DA CCT]])-2,0)</f>
        <v>-</v>
      </c>
      <c r="CD113" s="25" t="str">
        <f>VLOOKUP($A113,tabCustoUnit[],COLUMN(CUSTO_GLOBAL[[#Headers],[TERMO ADITIVO ALTERAÇÃO DA CCT]])-2,0)</f>
        <v>-</v>
      </c>
    </row>
    <row r="114" spans="1:82">
      <c r="A114" s="20" t="s">
        <v>1466</v>
      </c>
      <c r="B114" t="s">
        <v>1123</v>
      </c>
      <c r="C114" t="s">
        <v>200</v>
      </c>
      <c r="D114" t="s">
        <v>1041</v>
      </c>
      <c r="E114" s="20" t="s">
        <v>1090</v>
      </c>
      <c r="F114" s="20" t="s">
        <v>120</v>
      </c>
      <c r="G114" s="20">
        <v>3</v>
      </c>
      <c r="H114" s="20">
        <v>0</v>
      </c>
      <c r="I114" s="21">
        <f>VLOOKUP($A114,tabCustoUnit[],COLUMN(CUSTO_GLOBAL[[#Headers],[Salário Base]])-2,0)*($G114-$H114)</f>
        <v>4788.8213999999998</v>
      </c>
      <c r="J114" s="21">
        <f>VLOOKUP($A114,tabCustoUnit[],COLUMN(CUSTO_GLOBAL[[#Headers],[Adicional Periculosidade]])-2,0)*($G114-$H114)</f>
        <v>0</v>
      </c>
      <c r="K114" s="21">
        <f>VLOOKUP($A114,tabCustoUnit[],COLUMN(CUSTO_GLOBAL[[#Headers],[Adicional Insalubridade]])-2,0)*($G114-$H114)</f>
        <v>0</v>
      </c>
      <c r="L114" s="21">
        <f>VLOOKUP($A114,tabCustoUnit[],COLUMN(CUSTO_GLOBAL[[#Headers],[Adicional Noturno]])-2,0)*($G114-$H114)</f>
        <v>0</v>
      </c>
      <c r="M114" s="21">
        <f>VLOOKUP($A114,tabCustoUnit[],COLUMN(CUSTO_GLOBAL[[#Headers],[Adicional Motorista II (Gratificação)]])-2,0)*($G114-$H114)</f>
        <v>0</v>
      </c>
      <c r="N114" s="21">
        <f>VLOOKUP($A114,tabCustoUnit[],COLUMN(CUSTO_GLOBAL[[#Headers],[Adicional de Sobreaviso]])-2,0)*($G114-$H114)</f>
        <v>0</v>
      </c>
      <c r="O114" s="21">
        <f>VLOOKUP($A114,tabCustoUnit[],COLUMN(CUSTO_GLOBAL[[#Headers],[Horas Extras TI]])-2,0)*($G114-$H114)</f>
        <v>0</v>
      </c>
      <c r="P114" s="21">
        <f>VLOOKUP($A114,tabCustoUnit[],COLUMN(CUSTO_GLOBAL[[#Headers],[Adicional de Acúmulo de função]])-2,0)*($G114-$H114)</f>
        <v>0</v>
      </c>
      <c r="Q114" s="21">
        <f>VLOOKUP($A114,tabCustoUnit[],COLUMN(CUSTO_GLOBAL[[#Headers],[MODULO 1 - REMUNERAÇÃO ]])-2,0)*($G114-$H114)</f>
        <v>4788.8213999999998</v>
      </c>
      <c r="R114" s="21">
        <f>VLOOKUP($A114,tabCustoUnit[],COLUMN(CUSTO_GLOBAL[[#Headers],[INSS]])-2,0)*($G114-$H114)</f>
        <v>957.7642800000001</v>
      </c>
      <c r="S114" s="21">
        <f>VLOOKUP($A114,tabCustoUnit[],COLUMN(CUSTO_GLOBAL[[#Headers],[SESI OU SESC]])-2,0)*($G114-$H114)</f>
        <v>71.832320999999993</v>
      </c>
      <c r="T114" s="21">
        <f>VLOOKUP($A114,tabCustoUnit[],COLUMN(CUSTO_GLOBAL[[#Headers],[SENAI OU SENAC]])-2,0)*($G114-$H114)</f>
        <v>47.888213999999998</v>
      </c>
      <c r="U114" s="21">
        <f>VLOOKUP($A114,tabCustoUnit[],COLUMN(CUSTO_GLOBAL[[#Headers],[INCRA]])-2,0)*($G114-$H114)</f>
        <v>9.5776427999999996</v>
      </c>
      <c r="V114" s="21">
        <f>VLOOKUP($A114,tabCustoUnit[],COLUMN(CUSTO_GLOBAL[[#Headers],[Salário Educação]])-2,0)*($G114-$H114)</f>
        <v>119.72053500000001</v>
      </c>
      <c r="W114" s="21">
        <f>VLOOKUP($A114,tabCustoUnit[],COLUMN(CUSTO_GLOBAL[[#Headers],[FGTS]])-2,0)*($G114-$H114)</f>
        <v>383.10571199999998</v>
      </c>
      <c r="X114" s="21">
        <f>VLOOKUP($A114,tabCustoUnit[],COLUMN(CUSTO_GLOBAL[[#Headers],[RAT Ajustado]])-2,0)*($G114-$H114)</f>
        <v>191.55285599999999</v>
      </c>
      <c r="Y114" s="21">
        <f>VLOOKUP($A114,tabCustoUnit[],COLUMN(CUSTO_GLOBAL[[#Headers],[SEBRAE]])-2,0)*($G114-$H114)</f>
        <v>28.732928399999999</v>
      </c>
      <c r="Z114" s="21">
        <f>VLOOKUP($A114,tabCustoUnit[],COLUMN(CUSTO_GLOBAL[[#Headers],[Submódulo 2.1]])-2,0)*($G114-$H114)</f>
        <v>1810.1744892000002</v>
      </c>
      <c r="AA114" s="21">
        <f>VLOOKUP($A114,tabCustoUnit[],COLUMN(CUSTO_GLOBAL[[#Headers],[13º salário (titular)]])-2,0)*($G114-$H114)</f>
        <v>399.06844999999993</v>
      </c>
      <c r="AB114" s="21">
        <f>VLOOKUP($A114,tabCustoUnit[],COLUMN(CUSTO_GLOBAL[[#Headers],[Férias e Adicional de Férias (titular)]])-2,0)*($G114-$H114)</f>
        <v>532.09126666666657</v>
      </c>
      <c r="AC114" s="21">
        <f>VLOOKUP($A114,tabCustoUnit[],COLUMN(CUSTO_GLOBAL[[#Headers],[Incidência do Submódulo 2.1 sobre 13º Salário, Férias e Adicional de Férias]])-2,0)*($G114-$H114)</f>
        <v>351.97837290000001</v>
      </c>
      <c r="AD114" s="21">
        <f>VLOOKUP($A114,tabCustoUnit[],COLUMN(CUSTO_GLOBAL[[#Headers],[Submódulo 2.2]])-2,0)*($G114-$H114)</f>
        <v>1283.1380895666666</v>
      </c>
      <c r="AE114" s="22" t="e">
        <f ca="1">VLOOKUP($A114,tabCustoUnit[],COLUMN(CUSTO_GLOBAL[[#Headers],[Vale - Transporte (Descontada parcela do empregado)]])-2,0)*($G114-$H114)</f>
        <v>#NAME?</v>
      </c>
      <c r="AF114" s="22">
        <f>VLOOKUP($A114,tabCustoUnit[],COLUMN(CUSTO_GLOBAL[[#Headers],[Vale - Alimentação (Descontada parcela do empregado)]])-2,0)*($G114-$H114)</f>
        <v>1746</v>
      </c>
      <c r="AG114" s="22">
        <f>VLOOKUP($A114,tabCustoUnit[],COLUMN(CUSTO_GLOBAL[[#Headers],[Cesta Básica]])-2,0)*($G114-$H114)</f>
        <v>0</v>
      </c>
      <c r="AH114" s="22">
        <f>VLOOKUP($A114,tabCustoUnit[],COLUMN(CUSTO_GLOBAL[[#Headers],[PAF]])-2,0)*($G114-$H114)</f>
        <v>155.57999999999998</v>
      </c>
      <c r="AI114" s="22">
        <f>VLOOKUP($A114,tabCustoUnit[],COLUMN(CUSTO_GLOBAL[[#Headers],[PQM]])-2,0)*($G114-$H114)</f>
        <v>0</v>
      </c>
      <c r="AJ114" s="22">
        <v>0</v>
      </c>
      <c r="AK114" s="22">
        <f>VLOOKUP($A114,tabCustoUnit[],COLUMN(CUSTO_GLOBAL[[#Headers],[Seguro de Vida]])-2,0)*($G114-$H114)</f>
        <v>10.08</v>
      </c>
      <c r="AL114" s="22">
        <f>VLOOKUP($A114,tabCustoUnit[],COLUMN(CUSTO_GLOBAL[[#Headers],[Despesas de Viagem]])-2,0)*($G114-$H114)</f>
        <v>0</v>
      </c>
      <c r="AM114" s="22" t="e">
        <f ca="1">VLOOKUP($A114,tabCustoUnit[],COLUMN(CUSTO_GLOBAL[[#Headers],[Submódulo 2.3]])-2,0)*($G114-$H114)</f>
        <v>#NAME?</v>
      </c>
      <c r="AN114" s="22" t="e">
        <f ca="1">VLOOKUP($A114,tabCustoUnit[],COLUMN(CUSTO_GLOBAL[[#Headers],[MÓDULO 2 - Total Encargos e Benefícios mensais e diários]])-2,0)*($G114-$H114)</f>
        <v>#NAME?</v>
      </c>
      <c r="AO114" s="22">
        <f>VLOOKUP($A114,tabCustoUnit[],COLUMN(CUSTO_GLOBAL[[#Headers],[Aviso Prévio Indenizado (API) e Reflexo do Aviso Prévio Indenizado]])-2,0)*($G114-$H114)</f>
        <v>33.578099743171293</v>
      </c>
      <c r="AP114" s="22">
        <f>VLOOKUP($A114,tabCustoUnit[],COLUMN(CUSTO_GLOBAL[[#Headers],[Incidência do FGTS sobre API e Reflexo do API]])-2,0)*($G114-$H114)</f>
        <v>2.6862479794537037</v>
      </c>
      <c r="AQ114" s="22">
        <f>VLOOKUP($A114,tabCustoUnit[],COLUMN(CUSTO_GLOBAL[[#Headers],[Multa Rescisória do FGTS sobre o Aviso Prévio Indenizado]])-2,0)*($G114-$H114)</f>
        <v>1.0744991917814817</v>
      </c>
      <c r="AR114" s="22">
        <f>VLOOKUP($A114,tabCustoUnit[],COLUMN(CUSTO_GLOBAL[[#Headers],[Aviso Prévio Trabalhado - APT]])-2,0)*($G114-$H114)</f>
        <v>16.760874900000005</v>
      </c>
      <c r="AS114" s="22">
        <f>VLOOKUP($A114,tabCustoUnit[],COLUMN(CUSTO_GLOBAL[[#Headers],[Incidência dos encargos do submódulo 2.1 sobre Aviso Prévio Trabalhado]])-2,0)*($G114-$H114)</f>
        <v>6.335610712200002</v>
      </c>
      <c r="AT114" s="22">
        <f>VLOOKUP($A114,tabCustoUnit[],COLUMN(CUSTO_GLOBAL[[#Headers],[Multa Rescisória do FGTS]])-2,0)*($G114-$H114)</f>
        <v>146.43151658666665</v>
      </c>
      <c r="AU114" s="22">
        <f>VLOOKUP($A114,tabCustoUnit[],COLUMN(CUSTO_GLOBAL[[#Headers],[Indenização Adicional (Art. 9º da Lei nº 7.238/84)]])-2,0)*($G114-$H114)</f>
        <v>3.9906845</v>
      </c>
      <c r="AV114" s="22">
        <f>VLOOKUP($A114,tabCustoUnit[],COLUMN(CUSTO_GLOBAL[[#Headers],[MÓDULO 3 – PROVISÃO PARA RESCISÃO]])-2,0)*($G114-$H114)</f>
        <v>210.85753361327312</v>
      </c>
      <c r="AW114" s="22">
        <f>VLOOKUP($A114,tabCustoUnit[],COLUMN(CUSTO_GLOBAL[[#Headers],[Ausência por Doença]])-2,0)*($G114-$H114)</f>
        <v>40.438936266666666</v>
      </c>
      <c r="AX114" s="22">
        <f>VLOOKUP($A114,tabCustoUnit[],COLUMN(CUSTO_GLOBAL[[#Headers],[Ausências Legais]])-2,0)*($G114-$H114)</f>
        <v>9.7106656166666667</v>
      </c>
      <c r="AY114" s="22">
        <f>VLOOKUP($A114,tabCustoUnit[],COLUMN(CUSTO_GLOBAL[[#Headers],[Licença Paternidade]])-2,0)*($G114-$H114)</f>
        <v>0.81809032250000002</v>
      </c>
      <c r="AZ114" s="22">
        <f>VLOOKUP($A114,tabCustoUnit[],COLUMN(CUSTO_GLOBAL[[#Headers],[Ausência por Acidente de Trabalho]])-2,0)*($G114-$H114)</f>
        <v>0.99767112499999999</v>
      </c>
      <c r="BA114" s="22">
        <f>VLOOKUP($A114,tabCustoUnit[],COLUMN(CUSTO_GLOBAL[[#Headers],[Férias, Adicional de Férias e 13º  com empregada em gozo de Licença Maternidade]])-2,0)*($G114-$H114)</f>
        <v>6.2077314444444429</v>
      </c>
      <c r="BB114" s="22">
        <f>VLOOKUP($A114,tabCustoUnit[],COLUMN(CUSTO_GLOBAL[[#Headers],[Incidência do Submódulo 2.1 sobre Ausências Legais]])-2,0)*($G114-$H114)</f>
        <v>21.989429825055005</v>
      </c>
      <c r="BC114" s="22">
        <f>VLOOKUP($A114,tabCustoUnit[],COLUMN(CUSTO_GLOBAL[[#Headers],[Submódulo 4.1]])-2,0)*($G114-$H114)</f>
        <v>80.162524600332802</v>
      </c>
      <c r="BD114" s="22">
        <f>VLOOKUP($A114,tabCustoUnit[],COLUMN(CUSTO_GLOBAL[[#Headers],[Intervalo para Repouso ou Alimentação]])-2,0)*($G114-$H114)</f>
        <v>0</v>
      </c>
      <c r="BE114" s="22">
        <f>VLOOKUP($A114,tabCustoUnit[],COLUMN(CUSTO_GLOBAL[[#Headers],[Submódulo 4.2]])-2,0)*($G114-$H114)</f>
        <v>0</v>
      </c>
      <c r="BF114" s="22">
        <f>VLOOKUP($A114,tabCustoUnit[],COLUMN(CUSTO_GLOBAL[[#Headers],[Suspensão Temporária do Contrato de Trabalho]])-2,0)*($G114-$H114)</f>
        <v>0</v>
      </c>
      <c r="BG114" s="22">
        <f>VLOOKUP($A114,tabCustoUnit[],COLUMN(CUSTO_GLOBAL[[#Headers],[Submódulo 4.3]])-2,0)*($G114-$H114)</f>
        <v>0</v>
      </c>
      <c r="BH114" s="22">
        <f>VLOOKUP($A114,tabCustoUnit[],COLUMN(CUSTO_GLOBAL[[#Headers],[MÓDULO 4 – CUSTO DE REPOSIÇÃO DO PROFISSIONAL AUSENTE]])-2,0)*($G114-$H114)</f>
        <v>80.162524600332802</v>
      </c>
      <c r="BI114" s="22">
        <f>VLOOKUP($A114,tabCustoUnit[],COLUMN(CUSTO_GLOBAL[[#Headers],[Uniformes e EPIs]])-2,0)*($G114-$H114)</f>
        <v>168.42514098596976</v>
      </c>
      <c r="BJ114" s="22">
        <f>VLOOKUP($A114,tabCustoUnit[],COLUMN(CUSTO_GLOBAL[[#Headers],[Materiais de Consumo]])-2,0)*($G114-$H114)</f>
        <v>0</v>
      </c>
      <c r="BK114" s="22">
        <f>VLOOKUP($A114,tabCustoUnit[],COLUMN(CUSTO_GLOBAL[[#Headers],[Máquinas e Equipamentos (depreciação)]])-2,0)*($G114-$H114)</f>
        <v>0</v>
      </c>
      <c r="BL114" s="22">
        <f>VLOOKUP($A114,tabCustoUnit[],COLUMN(CUSTO_GLOBAL[[#Headers],[Produtos de Limpeza e Materiais de Higiene Pessoal]])-2,0)*($G114-$H114)</f>
        <v>0</v>
      </c>
      <c r="BM114" s="22">
        <f>VLOOKUP($A114,tabCustoUnit[],COLUMN(CUSTO_GLOBAL[[#Headers],[Outros (especificar)]])-2,0)*($G114-$H114)</f>
        <v>0</v>
      </c>
      <c r="BN114" s="22">
        <f>VLOOKUP($A114,tabCustoUnit[],COLUMN(CUSTO_GLOBAL[[#Headers],[MÓDULO 5 – INSUMOS DIVERSOS]])-2,0)*($G114-$H114)</f>
        <v>168.42514098596976</v>
      </c>
      <c r="BO114" s="22" t="e">
        <f ca="1">VLOOKUP($A114,tabCustoUnit[],COLUMN(CUSTO_GLOBAL[[#Headers],[TOTAL MÓDULOS 1+2+3+4+5]])-2,0)*($G114-$H114)</f>
        <v>#NAME?</v>
      </c>
      <c r="BP114" s="22" t="e">
        <f ca="1">VLOOKUP($A114,tabCustoUnit[],COLUMN(CUSTO_GLOBAL[[#Headers],[Custos Indiretos]])-2,0)*($G114-$H114)</f>
        <v>#NAME?</v>
      </c>
      <c r="BQ114" s="22" t="e">
        <f ca="1">VLOOKUP($A114,tabCustoUnit[],COLUMN(CUSTO_GLOBAL[[#Headers],[Lucro]])-2,0)*($G114-$H114)</f>
        <v>#NAME?</v>
      </c>
      <c r="BR114" s="26">
        <f>VLOOKUP($A114,tabCustoUnit[],COLUMN(CUSTO_GLOBAL[[#Headers],[COFINS]])-2,0)</f>
        <v>8.6609686609686695E-2</v>
      </c>
      <c r="BS114" s="26">
        <f>VLOOKUP($A114,tabCustoUnit[],COLUMN(CUSTO_GLOBAL[[#Headers],[PIS]])-2,0)</f>
        <v>1.880341880341882E-2</v>
      </c>
      <c r="BT114" s="28">
        <f>VLOOKUP($A114,tabCustoUnit[],COLUMN(CUSTO_GLOBAL[[#Headers],[ISS]])-2,0)</f>
        <v>0.03</v>
      </c>
      <c r="BU114" s="26">
        <f>VLOOKUP($A114,tabCustoUnit[],COLUMN(CUSTO_GLOBAL[[#Headers],[ISS (Conversão Alíquota s/ fatura)]])-2,0)</f>
        <v>3.4188034188034219E-2</v>
      </c>
      <c r="BV114" s="26">
        <f>VLOOKUP($A114,tabCustoUnit[],COLUMN(CUSTO_GLOBAL[[#Headers],[Resumo de Alíquotas (PIS+CONFINS+ISS)]])-2,0)</f>
        <v>0.1225</v>
      </c>
      <c r="BW114" s="138">
        <f>VLOOKUP($A114,tabCustoUnit[],COLUMN(CUSTO_GLOBAL[[#Headers],[PIS + COFINS + ISS (Total Conversão  Alíquota s/ Fatura)]])-2,0)</f>
        <v>0.13960113960113973</v>
      </c>
      <c r="BX114" s="22" t="e">
        <f ca="1">VLOOKUP($A114,tabCustoUnit[],COLUMN(CUSTO_GLOBAL[[#Headers],[Valor dos Tributos (ISS, PIS, CONFINS)]])-2,0)*($G114-$H114)</f>
        <v>#NAME?</v>
      </c>
      <c r="BY114" s="22" t="e">
        <f ca="1">VLOOKUP($A114,tabCustoUnit[],COLUMN(CUSTO_GLOBAL[[#Headers],[MÓDULO 6 – CUSTOS INDIRETOS, TRIBUTOS E LUCRO]])-2,0)*($G114-$H114)</f>
        <v>#NAME?</v>
      </c>
      <c r="BZ114" s="22" t="e">
        <f ca="1">VLOOKUP($A114,tabCustoUnit[],COLUMN(CUSTO_GLOBAL[[#Headers],[CUSTO TOTAL MENSAL]])-2,0)*($G114-$H114)</f>
        <v>#NAME?</v>
      </c>
      <c r="CA114" s="22" t="e">
        <f ca="1">CUSTO_GLOBAL[[#This Row],[CUSTO TOTAL MENSAL]]*12</f>
        <v>#NAME?</v>
      </c>
      <c r="CB114" s="24">
        <f>VLOOKUP($A114,tabCustoUnit[],COLUMN(CUSTO_GLOBAL[[#Headers],[ANO DA CCT]])-2,0)</f>
        <v>45658</v>
      </c>
      <c r="CC114" s="25" t="str">
        <f>VLOOKUP($A114,tabCustoUnit[],COLUMN(CUSTO_GLOBAL[[#Headers],[Nº DE PEDIDO DA CCT]])-2,0)</f>
        <v>-</v>
      </c>
      <c r="CD114" s="25" t="str">
        <f>VLOOKUP($A114,tabCustoUnit[],COLUMN(CUSTO_GLOBAL[[#Headers],[TERMO ADITIVO ALTERAÇÃO DA CCT]])-2,0)</f>
        <v>-</v>
      </c>
    </row>
    <row r="115" spans="1:82">
      <c r="A115" s="20" t="s">
        <v>1574</v>
      </c>
      <c r="B115" t="s">
        <v>1123</v>
      </c>
      <c r="C115" t="s">
        <v>324</v>
      </c>
      <c r="D115" t="s">
        <v>1041</v>
      </c>
      <c r="E115" s="20" t="s">
        <v>1090</v>
      </c>
      <c r="F115" s="20" t="s">
        <v>120</v>
      </c>
      <c r="G115" s="20">
        <v>1</v>
      </c>
      <c r="H115" s="20">
        <v>0</v>
      </c>
      <c r="I115" s="21">
        <f>VLOOKUP($A115,tabCustoUnit[],COLUMN(CUSTO_GLOBAL[[#Headers],[Salário Base]])-2,0)*($G115-$H115)</f>
        <v>3397.1306</v>
      </c>
      <c r="J115" s="21">
        <f>VLOOKUP($A115,tabCustoUnit[],COLUMN(CUSTO_GLOBAL[[#Headers],[Adicional Periculosidade]])-2,0)*($G115-$H115)</f>
        <v>0</v>
      </c>
      <c r="K115" s="21">
        <f>VLOOKUP($A115,tabCustoUnit[],COLUMN(CUSTO_GLOBAL[[#Headers],[Adicional Insalubridade]])-2,0)*($G115-$H115)</f>
        <v>0</v>
      </c>
      <c r="L115" s="21">
        <f>VLOOKUP($A115,tabCustoUnit[],COLUMN(CUSTO_GLOBAL[[#Headers],[Adicional Noturno]])-2,0)*($G115-$H115)</f>
        <v>0</v>
      </c>
      <c r="M115" s="21">
        <f>VLOOKUP($A115,tabCustoUnit[],COLUMN(CUSTO_GLOBAL[[#Headers],[Adicional Motorista II (Gratificação)]])-2,0)*($G115-$H115)</f>
        <v>0</v>
      </c>
      <c r="N115" s="21">
        <f>VLOOKUP($A115,tabCustoUnit[],COLUMN(CUSTO_GLOBAL[[#Headers],[Adicional de Sobreaviso]])-2,0)*($G115-$H115)</f>
        <v>0</v>
      </c>
      <c r="O115" s="21">
        <f>VLOOKUP($A115,tabCustoUnit[],COLUMN(CUSTO_GLOBAL[[#Headers],[Horas Extras TI]])-2,0)*($G115-$H115)</f>
        <v>0</v>
      </c>
      <c r="P115" s="21">
        <f>VLOOKUP($A115,tabCustoUnit[],COLUMN(CUSTO_GLOBAL[[#Headers],[Adicional de Acúmulo de função]])-2,0)*($G115-$H115)</f>
        <v>0</v>
      </c>
      <c r="Q115" s="21">
        <f>VLOOKUP($A115,tabCustoUnit[],COLUMN(CUSTO_GLOBAL[[#Headers],[MODULO 1 - REMUNERAÇÃO ]])-2,0)*($G115-$H115)</f>
        <v>3397.1306</v>
      </c>
      <c r="R115" s="21">
        <f>VLOOKUP($A115,tabCustoUnit[],COLUMN(CUSTO_GLOBAL[[#Headers],[INSS]])-2,0)*($G115-$H115)</f>
        <v>679.42612000000008</v>
      </c>
      <c r="S115" s="21">
        <f>VLOOKUP($A115,tabCustoUnit[],COLUMN(CUSTO_GLOBAL[[#Headers],[SESI OU SESC]])-2,0)*($G115-$H115)</f>
        <v>50.956958999999998</v>
      </c>
      <c r="T115" s="21">
        <f>VLOOKUP($A115,tabCustoUnit[],COLUMN(CUSTO_GLOBAL[[#Headers],[SENAI OU SENAC]])-2,0)*($G115-$H115)</f>
        <v>33.971305999999998</v>
      </c>
      <c r="U115" s="21">
        <f>VLOOKUP($A115,tabCustoUnit[],COLUMN(CUSTO_GLOBAL[[#Headers],[INCRA]])-2,0)*($G115-$H115)</f>
        <v>6.7942612000000002</v>
      </c>
      <c r="V115" s="21">
        <f>VLOOKUP($A115,tabCustoUnit[],COLUMN(CUSTO_GLOBAL[[#Headers],[Salário Educação]])-2,0)*($G115-$H115)</f>
        <v>84.92826500000001</v>
      </c>
      <c r="W115" s="21">
        <f>VLOOKUP($A115,tabCustoUnit[],COLUMN(CUSTO_GLOBAL[[#Headers],[FGTS]])-2,0)*($G115-$H115)</f>
        <v>271.77044799999999</v>
      </c>
      <c r="X115" s="21">
        <f>VLOOKUP($A115,tabCustoUnit[],COLUMN(CUSTO_GLOBAL[[#Headers],[RAT Ajustado]])-2,0)*($G115-$H115)</f>
        <v>135.88522399999999</v>
      </c>
      <c r="Y115" s="21">
        <f>VLOOKUP($A115,tabCustoUnit[],COLUMN(CUSTO_GLOBAL[[#Headers],[SEBRAE]])-2,0)*($G115-$H115)</f>
        <v>20.3827836</v>
      </c>
      <c r="Z115" s="21">
        <f>VLOOKUP($A115,tabCustoUnit[],COLUMN(CUSTO_GLOBAL[[#Headers],[Submódulo 2.1]])-2,0)*($G115-$H115)</f>
        <v>1284.1153668000002</v>
      </c>
      <c r="AA115" s="21">
        <f>VLOOKUP($A115,tabCustoUnit[],COLUMN(CUSTO_GLOBAL[[#Headers],[13º salário (titular)]])-2,0)*($G115-$H115)</f>
        <v>283.09421666666663</v>
      </c>
      <c r="AB115" s="21">
        <f>VLOOKUP($A115,tabCustoUnit[],COLUMN(CUSTO_GLOBAL[[#Headers],[Férias e Adicional de Férias (titular)]])-2,0)*($G115-$H115)</f>
        <v>377.45895555555552</v>
      </c>
      <c r="AC115" s="21">
        <f>VLOOKUP($A115,tabCustoUnit[],COLUMN(CUSTO_GLOBAL[[#Headers],[Incidência do Submódulo 2.1 sobre 13º Salário, Férias e Adicional de Férias]])-2,0)*($G115-$H115)</f>
        <v>249.68909910000002</v>
      </c>
      <c r="AD115" s="21">
        <f>VLOOKUP($A115,tabCustoUnit[],COLUMN(CUSTO_GLOBAL[[#Headers],[Submódulo 2.2]])-2,0)*($G115-$H115)</f>
        <v>910.24227132222222</v>
      </c>
      <c r="AE115" s="22" t="e">
        <f ca="1">VLOOKUP($A115,tabCustoUnit[],COLUMN(CUSTO_GLOBAL[[#Headers],[Vale - Transporte (Descontada parcela do empregado)]])-2,0)*($G115-$H115)</f>
        <v>#NAME?</v>
      </c>
      <c r="AF115" s="22">
        <f>VLOOKUP($A115,tabCustoUnit[],COLUMN(CUSTO_GLOBAL[[#Headers],[Vale - Alimentação (Descontada parcela do empregado)]])-2,0)*($G115-$H115)</f>
        <v>582</v>
      </c>
      <c r="AG115" s="22">
        <f>VLOOKUP($A115,tabCustoUnit[],COLUMN(CUSTO_GLOBAL[[#Headers],[Cesta Básica]])-2,0)*($G115-$H115)</f>
        <v>0</v>
      </c>
      <c r="AH115" s="22">
        <f>VLOOKUP($A115,tabCustoUnit[],COLUMN(CUSTO_GLOBAL[[#Headers],[PAF]])-2,0)*($G115-$H115)</f>
        <v>51.86</v>
      </c>
      <c r="AI115" s="22">
        <f>VLOOKUP($A115,tabCustoUnit[],COLUMN(CUSTO_GLOBAL[[#Headers],[PQM]])-2,0)*($G115-$H115)</f>
        <v>0</v>
      </c>
      <c r="AJ115" s="22">
        <v>0</v>
      </c>
      <c r="AK115" s="22">
        <f>VLOOKUP($A115,tabCustoUnit[],COLUMN(CUSTO_GLOBAL[[#Headers],[Seguro de Vida]])-2,0)*($G115-$H115)</f>
        <v>3.36</v>
      </c>
      <c r="AL115" s="22">
        <f>VLOOKUP($A115,tabCustoUnit[],COLUMN(CUSTO_GLOBAL[[#Headers],[Despesas de Viagem]])-2,0)*($G115-$H115)</f>
        <v>0</v>
      </c>
      <c r="AM115" s="22" t="e">
        <f ca="1">VLOOKUP($A115,tabCustoUnit[],COLUMN(CUSTO_GLOBAL[[#Headers],[Submódulo 2.3]])-2,0)*($G115-$H115)</f>
        <v>#NAME?</v>
      </c>
      <c r="AN115" s="22" t="e">
        <f ca="1">VLOOKUP($A115,tabCustoUnit[],COLUMN(CUSTO_GLOBAL[[#Headers],[MÓDULO 2 - Total Encargos e Benefícios mensais e diários]])-2,0)*($G115-$H115)</f>
        <v>#NAME?</v>
      </c>
      <c r="AO115" s="22">
        <f>VLOOKUP($A115,tabCustoUnit[],COLUMN(CUSTO_GLOBAL[[#Headers],[Aviso Prévio Indenizado (API) e Reflexo do Aviso Prévio Indenizado]])-2,0)*($G115-$H115)</f>
        <v>23.819888151890432</v>
      </c>
      <c r="AP115" s="22">
        <f>VLOOKUP($A115,tabCustoUnit[],COLUMN(CUSTO_GLOBAL[[#Headers],[Incidência do FGTS sobre API e Reflexo do API]])-2,0)*($G115-$H115)</f>
        <v>1.9055910521512347</v>
      </c>
      <c r="AQ115" s="22">
        <f>VLOOKUP($A115,tabCustoUnit[],COLUMN(CUSTO_GLOBAL[[#Headers],[Multa Rescisória do FGTS sobre o Aviso Prévio Indenizado]])-2,0)*($G115-$H115)</f>
        <v>0.76223642086049392</v>
      </c>
      <c r="AR115" s="22">
        <f>VLOOKUP($A115,tabCustoUnit[],COLUMN(CUSTO_GLOBAL[[#Headers],[Aviso Prévio Trabalhado - APT]])-2,0)*($G115-$H115)</f>
        <v>11.889957100000002</v>
      </c>
      <c r="AS115" s="22">
        <f>VLOOKUP($A115,tabCustoUnit[],COLUMN(CUSTO_GLOBAL[[#Headers],[Incidência dos encargos do submódulo 2.1 sobre Aviso Prévio Trabalhado]])-2,0)*($G115-$H115)</f>
        <v>4.4944037838000011</v>
      </c>
      <c r="AT115" s="22">
        <f>VLOOKUP($A115,tabCustoUnit[],COLUMN(CUSTO_GLOBAL[[#Headers],[Multa Rescisória do FGTS]])-2,0)*($G115-$H115)</f>
        <v>103.87670456888887</v>
      </c>
      <c r="AU115" s="22">
        <f>VLOOKUP($A115,tabCustoUnit[],COLUMN(CUSTO_GLOBAL[[#Headers],[Indenização Adicional (Art. 9º da Lei nº 7.238/84)]])-2,0)*($G115-$H115)</f>
        <v>2.830942166666667</v>
      </c>
      <c r="AV115" s="22">
        <f>VLOOKUP($A115,tabCustoUnit[],COLUMN(CUSTO_GLOBAL[[#Headers],[MÓDULO 3 – PROVISÃO PARA RESCISÃO]])-2,0)*($G115-$H115)</f>
        <v>149.57972324425771</v>
      </c>
      <c r="AW115" s="22">
        <f>VLOOKUP($A115,tabCustoUnit[],COLUMN(CUSTO_GLOBAL[[#Headers],[Ausência por Doença]])-2,0)*($G115-$H115)</f>
        <v>28.686880622222219</v>
      </c>
      <c r="AX115" s="22">
        <f>VLOOKUP($A115,tabCustoUnit[],COLUMN(CUSTO_GLOBAL[[#Headers],[Ausências Legais]])-2,0)*($G115-$H115)</f>
        <v>6.8886259388888886</v>
      </c>
      <c r="AY115" s="22">
        <f>VLOOKUP($A115,tabCustoUnit[],COLUMN(CUSTO_GLOBAL[[#Headers],[Licença Paternidade]])-2,0)*($G115-$H115)</f>
        <v>0.58034314416666666</v>
      </c>
      <c r="AZ115" s="22">
        <f>VLOOKUP($A115,tabCustoUnit[],COLUMN(CUSTO_GLOBAL[[#Headers],[Ausência por Acidente de Trabalho]])-2,0)*($G115-$H115)</f>
        <v>0.70773554166666675</v>
      </c>
      <c r="BA115" s="22">
        <f>VLOOKUP($A115,tabCustoUnit[],COLUMN(CUSTO_GLOBAL[[#Headers],[Férias, Adicional de Férias e 13º  com empregada em gozo de Licença Maternidade]])-2,0)*($G115-$H115)</f>
        <v>4.4036878148148144</v>
      </c>
      <c r="BB115" s="22">
        <f>VLOOKUP($A115,tabCustoUnit[],COLUMN(CUSTO_GLOBAL[[#Headers],[Incidência do Submódulo 2.1 sobre Ausências Legais]])-2,0)*($G115-$H115)</f>
        <v>15.599029217345002</v>
      </c>
      <c r="BC115" s="22">
        <f>VLOOKUP($A115,tabCustoUnit[],COLUMN(CUSTO_GLOBAL[[#Headers],[Submódulo 4.1]])-2,0)*($G115-$H115)</f>
        <v>56.866302279104261</v>
      </c>
      <c r="BD115" s="22">
        <f>VLOOKUP($A115,tabCustoUnit[],COLUMN(CUSTO_GLOBAL[[#Headers],[Intervalo para Repouso ou Alimentação]])-2,0)*($G115-$H115)</f>
        <v>0</v>
      </c>
      <c r="BE115" s="22">
        <f>VLOOKUP($A115,tabCustoUnit[],COLUMN(CUSTO_GLOBAL[[#Headers],[Submódulo 4.2]])-2,0)*($G115-$H115)</f>
        <v>0</v>
      </c>
      <c r="BF115" s="22">
        <f>VLOOKUP($A115,tabCustoUnit[],COLUMN(CUSTO_GLOBAL[[#Headers],[Suspensão Temporária do Contrato de Trabalho]])-2,0)*($G115-$H115)</f>
        <v>0</v>
      </c>
      <c r="BG115" s="22">
        <f>VLOOKUP($A115,tabCustoUnit[],COLUMN(CUSTO_GLOBAL[[#Headers],[Submódulo 4.3]])-2,0)*($G115-$H115)</f>
        <v>0</v>
      </c>
      <c r="BH115" s="22">
        <f>VLOOKUP($A115,tabCustoUnit[],COLUMN(CUSTO_GLOBAL[[#Headers],[MÓDULO 4 – CUSTO DE REPOSIÇÃO DO PROFISSIONAL AUSENTE]])-2,0)*($G115-$H115)</f>
        <v>56.866302279104261</v>
      </c>
      <c r="BI115" s="22">
        <f>VLOOKUP($A115,tabCustoUnit[],COLUMN(CUSTO_GLOBAL[[#Headers],[Uniformes e EPIs]])-2,0)*($G115-$H115)</f>
        <v>56.642978962543395</v>
      </c>
      <c r="BJ115" s="22">
        <f>VLOOKUP($A115,tabCustoUnit[],COLUMN(CUSTO_GLOBAL[[#Headers],[Materiais de Consumo]])-2,0)*($G115-$H115)</f>
        <v>0</v>
      </c>
      <c r="BK115" s="22">
        <f>VLOOKUP($A115,tabCustoUnit[],COLUMN(CUSTO_GLOBAL[[#Headers],[Máquinas e Equipamentos (depreciação)]])-2,0)*($G115-$H115)</f>
        <v>0</v>
      </c>
      <c r="BL115" s="22">
        <f>VLOOKUP($A115,tabCustoUnit[],COLUMN(CUSTO_GLOBAL[[#Headers],[Produtos de Limpeza e Materiais de Higiene Pessoal]])-2,0)*($G115-$H115)</f>
        <v>0</v>
      </c>
      <c r="BM115" s="22">
        <f>VLOOKUP($A115,tabCustoUnit[],COLUMN(CUSTO_GLOBAL[[#Headers],[Outros (especificar)]])-2,0)*($G115-$H115)</f>
        <v>0</v>
      </c>
      <c r="BN115" s="22">
        <f>VLOOKUP($A115,tabCustoUnit[],COLUMN(CUSTO_GLOBAL[[#Headers],[MÓDULO 5 – INSUMOS DIVERSOS]])-2,0)*($G115-$H115)</f>
        <v>56.642978962543395</v>
      </c>
      <c r="BO115" s="22" t="e">
        <f ca="1">VLOOKUP($A115,tabCustoUnit[],COLUMN(CUSTO_GLOBAL[[#Headers],[TOTAL MÓDULOS 1+2+3+4+5]])-2,0)*($G115-$H115)</f>
        <v>#NAME?</v>
      </c>
      <c r="BP115" s="22" t="e">
        <f ca="1">VLOOKUP($A115,tabCustoUnit[],COLUMN(CUSTO_GLOBAL[[#Headers],[Custos Indiretos]])-2,0)*($G115-$H115)</f>
        <v>#NAME?</v>
      </c>
      <c r="BQ115" s="22" t="e">
        <f ca="1">VLOOKUP($A115,tabCustoUnit[],COLUMN(CUSTO_GLOBAL[[#Headers],[Lucro]])-2,0)*($G115-$H115)</f>
        <v>#NAME?</v>
      </c>
      <c r="BR115" s="26">
        <f>VLOOKUP($A115,tabCustoUnit[],COLUMN(CUSTO_GLOBAL[[#Headers],[COFINS]])-2,0)</f>
        <v>8.6609686609686695E-2</v>
      </c>
      <c r="BS115" s="26">
        <f>VLOOKUP($A115,tabCustoUnit[],COLUMN(CUSTO_GLOBAL[[#Headers],[PIS]])-2,0)</f>
        <v>1.880341880341882E-2</v>
      </c>
      <c r="BT115" s="28">
        <f>VLOOKUP($A115,tabCustoUnit[],COLUMN(CUSTO_GLOBAL[[#Headers],[ISS]])-2,0)</f>
        <v>0.03</v>
      </c>
      <c r="BU115" s="26">
        <f>VLOOKUP($A115,tabCustoUnit[],COLUMN(CUSTO_GLOBAL[[#Headers],[ISS (Conversão Alíquota s/ fatura)]])-2,0)</f>
        <v>3.4188034188034219E-2</v>
      </c>
      <c r="BV115" s="26">
        <f>VLOOKUP($A115,tabCustoUnit[],COLUMN(CUSTO_GLOBAL[[#Headers],[Resumo de Alíquotas (PIS+CONFINS+ISS)]])-2,0)</f>
        <v>0.1225</v>
      </c>
      <c r="BW115" s="138">
        <f>VLOOKUP($A115,tabCustoUnit[],COLUMN(CUSTO_GLOBAL[[#Headers],[PIS + COFINS + ISS (Total Conversão  Alíquota s/ Fatura)]])-2,0)</f>
        <v>0.13960113960113973</v>
      </c>
      <c r="BX115" s="22" t="e">
        <f ca="1">VLOOKUP($A115,tabCustoUnit[],COLUMN(CUSTO_GLOBAL[[#Headers],[Valor dos Tributos (ISS, PIS, CONFINS)]])-2,0)*($G115-$H115)</f>
        <v>#NAME?</v>
      </c>
      <c r="BY115" s="22" t="e">
        <f ca="1">VLOOKUP($A115,tabCustoUnit[],COLUMN(CUSTO_GLOBAL[[#Headers],[MÓDULO 6 – CUSTOS INDIRETOS, TRIBUTOS E LUCRO]])-2,0)*($G115-$H115)</f>
        <v>#NAME?</v>
      </c>
      <c r="BZ115" s="22" t="e">
        <f ca="1">VLOOKUP($A115,tabCustoUnit[],COLUMN(CUSTO_GLOBAL[[#Headers],[CUSTO TOTAL MENSAL]])-2,0)*($G115-$H115)</f>
        <v>#NAME?</v>
      </c>
      <c r="CA115" s="22" t="e">
        <f ca="1">CUSTO_GLOBAL[[#This Row],[CUSTO TOTAL MENSAL]]*12</f>
        <v>#NAME?</v>
      </c>
      <c r="CB115" s="24">
        <f>VLOOKUP($A115,tabCustoUnit[],COLUMN(CUSTO_GLOBAL[[#Headers],[ANO DA CCT]])-2,0)</f>
        <v>45658</v>
      </c>
      <c r="CC115" s="25" t="str">
        <f>VLOOKUP($A115,tabCustoUnit[],COLUMN(CUSTO_GLOBAL[[#Headers],[Nº DE PEDIDO DA CCT]])-2,0)</f>
        <v>-</v>
      </c>
      <c r="CD115" s="25" t="str">
        <f>VLOOKUP($A115,tabCustoUnit[],COLUMN(CUSTO_GLOBAL[[#Headers],[TERMO ADITIVO ALTERAÇÃO DA CCT]])-2,0)</f>
        <v>-</v>
      </c>
    </row>
    <row r="116" spans="1:82">
      <c r="A116" s="20" t="s">
        <v>1575</v>
      </c>
      <c r="B116" t="s">
        <v>1123</v>
      </c>
      <c r="C116" t="s">
        <v>274</v>
      </c>
      <c r="D116" t="s">
        <v>986</v>
      </c>
      <c r="E116" s="20" t="s">
        <v>1090</v>
      </c>
      <c r="F116" s="20" t="s">
        <v>120</v>
      </c>
      <c r="G116" s="20">
        <v>1</v>
      </c>
      <c r="H116" s="20">
        <v>0</v>
      </c>
      <c r="I116" s="21">
        <f>VLOOKUP($A116,tabCustoUnit[],COLUMN(CUSTO_GLOBAL[[#Headers],[Salário Base]])-2,0)*($G116-$H116)</f>
        <v>4599.5953</v>
      </c>
      <c r="J116" s="21">
        <f>VLOOKUP($A116,tabCustoUnit[],COLUMN(CUSTO_GLOBAL[[#Headers],[Adicional Periculosidade]])-2,0)*($G116-$H116)</f>
        <v>0</v>
      </c>
      <c r="K116" s="21">
        <f>VLOOKUP($A116,tabCustoUnit[],COLUMN(CUSTO_GLOBAL[[#Headers],[Adicional Insalubridade]])-2,0)*($G116-$H116)</f>
        <v>0</v>
      </c>
      <c r="L116" s="21">
        <f>VLOOKUP($A116,tabCustoUnit[],COLUMN(CUSTO_GLOBAL[[#Headers],[Adicional Noturno]])-2,0)*($G116-$H116)</f>
        <v>0</v>
      </c>
      <c r="M116" s="21">
        <f>VLOOKUP($A116,tabCustoUnit[],COLUMN(CUSTO_GLOBAL[[#Headers],[Adicional Motorista II (Gratificação)]])-2,0)*($G116-$H116)</f>
        <v>0</v>
      </c>
      <c r="N116" s="21">
        <f>VLOOKUP($A116,tabCustoUnit[],COLUMN(CUSTO_GLOBAL[[#Headers],[Adicional de Sobreaviso]])-2,0)*($G116-$H116)</f>
        <v>0</v>
      </c>
      <c r="O116" s="21">
        <f>VLOOKUP($A116,tabCustoUnit[],COLUMN(CUSTO_GLOBAL[[#Headers],[Horas Extras TI]])-2,0)*($G116-$H116)</f>
        <v>0</v>
      </c>
      <c r="P116" s="21">
        <f>VLOOKUP($A116,tabCustoUnit[],COLUMN(CUSTO_GLOBAL[[#Headers],[Adicional de Acúmulo de função]])-2,0)*($G116-$H116)</f>
        <v>0</v>
      </c>
      <c r="Q116" s="21">
        <f>VLOOKUP($A116,tabCustoUnit[],COLUMN(CUSTO_GLOBAL[[#Headers],[MODULO 1 - REMUNERAÇÃO ]])-2,0)*($G116-$H116)</f>
        <v>4599.5953</v>
      </c>
      <c r="R116" s="21">
        <f>VLOOKUP($A116,tabCustoUnit[],COLUMN(CUSTO_GLOBAL[[#Headers],[INSS]])-2,0)*($G116-$H116)</f>
        <v>919.91906000000006</v>
      </c>
      <c r="S116" s="21">
        <f>VLOOKUP($A116,tabCustoUnit[],COLUMN(CUSTO_GLOBAL[[#Headers],[SESI OU SESC]])-2,0)*($G116-$H116)</f>
        <v>68.993929499999993</v>
      </c>
      <c r="T116" s="21">
        <f>VLOOKUP($A116,tabCustoUnit[],COLUMN(CUSTO_GLOBAL[[#Headers],[SENAI OU SENAC]])-2,0)*($G116-$H116)</f>
        <v>45.995953</v>
      </c>
      <c r="U116" s="21">
        <f>VLOOKUP($A116,tabCustoUnit[],COLUMN(CUSTO_GLOBAL[[#Headers],[INCRA]])-2,0)*($G116-$H116)</f>
        <v>9.1991905999999997</v>
      </c>
      <c r="V116" s="21">
        <f>VLOOKUP($A116,tabCustoUnit[],COLUMN(CUSTO_GLOBAL[[#Headers],[Salário Educação]])-2,0)*($G116-$H116)</f>
        <v>114.98988250000001</v>
      </c>
      <c r="W116" s="21">
        <f>VLOOKUP($A116,tabCustoUnit[],COLUMN(CUSTO_GLOBAL[[#Headers],[FGTS]])-2,0)*($G116-$H116)</f>
        <v>367.967624</v>
      </c>
      <c r="X116" s="21">
        <f>VLOOKUP($A116,tabCustoUnit[],COLUMN(CUSTO_GLOBAL[[#Headers],[RAT Ajustado]])-2,0)*($G116-$H116)</f>
        <v>183.983812</v>
      </c>
      <c r="Y116" s="21">
        <f>VLOOKUP($A116,tabCustoUnit[],COLUMN(CUSTO_GLOBAL[[#Headers],[SEBRAE]])-2,0)*($G116-$H116)</f>
        <v>27.597571800000001</v>
      </c>
      <c r="Z116" s="21">
        <f>VLOOKUP($A116,tabCustoUnit[],COLUMN(CUSTO_GLOBAL[[#Headers],[Submódulo 2.1]])-2,0)*($G116-$H116)</f>
        <v>1738.6470234000003</v>
      </c>
      <c r="AA116" s="21">
        <f>VLOOKUP($A116,tabCustoUnit[],COLUMN(CUSTO_GLOBAL[[#Headers],[13º salário (titular)]])-2,0)*($G116-$H116)</f>
        <v>383.29960833333331</v>
      </c>
      <c r="AB116" s="21">
        <f>VLOOKUP($A116,tabCustoUnit[],COLUMN(CUSTO_GLOBAL[[#Headers],[Férias e Adicional de Férias (titular)]])-2,0)*($G116-$H116)</f>
        <v>511.06614444444443</v>
      </c>
      <c r="AC116" s="21">
        <f>VLOOKUP($A116,tabCustoUnit[],COLUMN(CUSTO_GLOBAL[[#Headers],[Incidência do Submódulo 2.1 sobre 13º Salário, Férias e Adicional de Férias]])-2,0)*($G116-$H116)</f>
        <v>338.07025455000002</v>
      </c>
      <c r="AD116" s="21">
        <f>VLOOKUP($A116,tabCustoUnit[],COLUMN(CUSTO_GLOBAL[[#Headers],[Submódulo 2.2]])-2,0)*($G116-$H116)</f>
        <v>1232.4360073277778</v>
      </c>
      <c r="AE116" s="22" t="e">
        <f ca="1">VLOOKUP($A116,tabCustoUnit[],COLUMN(CUSTO_GLOBAL[[#Headers],[Vale - Transporte (Descontada parcela do empregado)]])-2,0)*($G116-$H116)</f>
        <v>#NAME?</v>
      </c>
      <c r="AF116" s="22">
        <f>VLOOKUP($A116,tabCustoUnit[],COLUMN(CUSTO_GLOBAL[[#Headers],[Vale - Alimentação (Descontada parcela do empregado)]])-2,0)*($G116-$H116)</f>
        <v>578.4</v>
      </c>
      <c r="AG116" s="22">
        <f>VLOOKUP($A116,tabCustoUnit[],COLUMN(CUSTO_GLOBAL[[#Headers],[Cesta Básica]])-2,0)*($G116-$H116)</f>
        <v>0</v>
      </c>
      <c r="AH116" s="22">
        <f>VLOOKUP($A116,tabCustoUnit[],COLUMN(CUSTO_GLOBAL[[#Headers],[PAF]])-2,0)*($G116-$H116)</f>
        <v>0</v>
      </c>
      <c r="AI116" s="22">
        <f>VLOOKUP($A116,tabCustoUnit[],COLUMN(CUSTO_GLOBAL[[#Headers],[PQM]])-2,0)*($G116-$H116)</f>
        <v>0</v>
      </c>
      <c r="AJ116" s="22">
        <v>0</v>
      </c>
      <c r="AK116" s="22">
        <f>VLOOKUP($A116,tabCustoUnit[],COLUMN(CUSTO_GLOBAL[[#Headers],[Seguro de Vida]])-2,0)*($G116-$H116)</f>
        <v>3.36</v>
      </c>
      <c r="AL116" s="22">
        <f>VLOOKUP($A116,tabCustoUnit[],COLUMN(CUSTO_GLOBAL[[#Headers],[Despesas de Viagem]])-2,0)*($G116-$H116)</f>
        <v>662.42</v>
      </c>
      <c r="AM116" s="22" t="e">
        <f ca="1">VLOOKUP($A116,tabCustoUnit[],COLUMN(CUSTO_GLOBAL[[#Headers],[Submódulo 2.3]])-2,0)*($G116-$H116)</f>
        <v>#NAME?</v>
      </c>
      <c r="AN116" s="22" t="e">
        <f ca="1">VLOOKUP($A116,tabCustoUnit[],COLUMN(CUSTO_GLOBAL[[#Headers],[MÓDULO 2 - Total Encargos e Benefícios mensais e diários]])-2,0)*($G116-$H116)</f>
        <v>#NAME?</v>
      </c>
      <c r="AO116" s="22">
        <f>VLOOKUP($A116,tabCustoUnit[],COLUMN(CUSTO_GLOBAL[[#Headers],[Aviso Prévio Indenizado (API) e Reflexo do Aviso Prévio Indenizado]])-2,0)*($G116-$H116)</f>
        <v>32.251290424324843</v>
      </c>
      <c r="AP116" s="22">
        <f>VLOOKUP($A116,tabCustoUnit[],COLUMN(CUSTO_GLOBAL[[#Headers],[Incidência do FGTS sobre API e Reflexo do API]])-2,0)*($G116-$H116)</f>
        <v>2.5801032339459877</v>
      </c>
      <c r="AQ116" s="22">
        <f>VLOOKUP($A116,tabCustoUnit[],COLUMN(CUSTO_GLOBAL[[#Headers],[Multa Rescisória do FGTS sobre o Aviso Prévio Indenizado]])-2,0)*($G116-$H116)</f>
        <v>1.0320412935783951</v>
      </c>
      <c r="AR116" s="22">
        <f>VLOOKUP($A116,tabCustoUnit[],COLUMN(CUSTO_GLOBAL[[#Headers],[Aviso Prévio Trabalhado - APT]])-2,0)*($G116-$H116)</f>
        <v>16.098583550000001</v>
      </c>
      <c r="AS116" s="22">
        <f>VLOOKUP($A116,tabCustoUnit[],COLUMN(CUSTO_GLOBAL[[#Headers],[Incidência dos encargos do submódulo 2.1 sobre Aviso Prévio Trabalhado]])-2,0)*($G116-$H116)</f>
        <v>6.0852645819000015</v>
      </c>
      <c r="AT116" s="22">
        <f>VLOOKUP($A116,tabCustoUnit[],COLUMN(CUSTO_GLOBAL[[#Headers],[Multa Rescisória do FGTS]])-2,0)*($G116-$H116)</f>
        <v>140.64540295111109</v>
      </c>
      <c r="AU116" s="22">
        <f>VLOOKUP($A116,tabCustoUnit[],COLUMN(CUSTO_GLOBAL[[#Headers],[Indenização Adicional (Art. 9º da Lei nº 7.238/84)]])-2,0)*($G116-$H116)</f>
        <v>3.8329960833333336</v>
      </c>
      <c r="AV116" s="22">
        <f>VLOOKUP($A116,tabCustoUnit[],COLUMN(CUSTO_GLOBAL[[#Headers],[MÓDULO 3 – PROVISÃO PARA RESCISÃO]])-2,0)*($G116-$H116)</f>
        <v>202.52568211819366</v>
      </c>
      <c r="AW116" s="22">
        <f>VLOOKUP($A116,tabCustoUnit[],COLUMN(CUSTO_GLOBAL[[#Headers],[Ausência por Doença]])-2,0)*($G116-$H116)</f>
        <v>38.841026977777773</v>
      </c>
      <c r="AX116" s="22">
        <f>VLOOKUP($A116,tabCustoUnit[],COLUMN(CUSTO_GLOBAL[[#Headers],[Ausências Legais]])-2,0)*($G116-$H116)</f>
        <v>9.3269571361111101</v>
      </c>
      <c r="AY116" s="22">
        <f>VLOOKUP($A116,tabCustoUnit[],COLUMN(CUSTO_GLOBAL[[#Headers],[Licença Paternidade]])-2,0)*($G116-$H116)</f>
        <v>0.78576419708333334</v>
      </c>
      <c r="AZ116" s="22">
        <f>VLOOKUP($A116,tabCustoUnit[],COLUMN(CUSTO_GLOBAL[[#Headers],[Ausência por Acidente de Trabalho]])-2,0)*($G116-$H116)</f>
        <v>0.95824902083333341</v>
      </c>
      <c r="BA116" s="22">
        <f>VLOOKUP($A116,tabCustoUnit[],COLUMN(CUSTO_GLOBAL[[#Headers],[Férias, Adicional de Férias e 13º  com empregada em gozo de Licença Maternidade]])-2,0)*($G116-$H116)</f>
        <v>5.9624383518518513</v>
      </c>
      <c r="BB116" s="22">
        <f>VLOOKUP($A116,tabCustoUnit[],COLUMN(CUSTO_GLOBAL[[#Headers],[Incidência do Submódulo 2.1 sobre Ausências Legais]])-2,0)*($G116-$H116)</f>
        <v>21.120536688422504</v>
      </c>
      <c r="BC116" s="22">
        <f>VLOOKUP($A116,tabCustoUnit[],COLUMN(CUSTO_GLOBAL[[#Headers],[Submódulo 4.1]])-2,0)*($G116-$H116)</f>
        <v>76.9949723720799</v>
      </c>
      <c r="BD116" s="22">
        <f>VLOOKUP($A116,tabCustoUnit[],COLUMN(CUSTO_GLOBAL[[#Headers],[Intervalo para Repouso ou Alimentação]])-2,0)*($G116-$H116)</f>
        <v>0</v>
      </c>
      <c r="BE116" s="22">
        <f>VLOOKUP($A116,tabCustoUnit[],COLUMN(CUSTO_GLOBAL[[#Headers],[Submódulo 4.2]])-2,0)*($G116-$H116)</f>
        <v>0</v>
      </c>
      <c r="BF116" s="22">
        <f>VLOOKUP($A116,tabCustoUnit[],COLUMN(CUSTO_GLOBAL[[#Headers],[Suspensão Temporária do Contrato de Trabalho]])-2,0)*($G116-$H116)</f>
        <v>0</v>
      </c>
      <c r="BG116" s="22">
        <f>VLOOKUP($A116,tabCustoUnit[],COLUMN(CUSTO_GLOBAL[[#Headers],[Submódulo 4.3]])-2,0)*($G116-$H116)</f>
        <v>0</v>
      </c>
      <c r="BH116" s="22">
        <f>VLOOKUP($A116,tabCustoUnit[],COLUMN(CUSTO_GLOBAL[[#Headers],[MÓDULO 4 – CUSTO DE REPOSIÇÃO DO PROFISSIONAL AUSENTE]])-2,0)*($G116-$H116)</f>
        <v>76.9949723720799</v>
      </c>
      <c r="BI116" s="22">
        <f>VLOOKUP($A116,tabCustoUnit[],COLUMN(CUSTO_GLOBAL[[#Headers],[Uniformes e EPIs]])-2,0)*($G116-$H116)</f>
        <v>92.100763771570698</v>
      </c>
      <c r="BJ116" s="22">
        <f>VLOOKUP($A116,tabCustoUnit[],COLUMN(CUSTO_GLOBAL[[#Headers],[Materiais de Consumo]])-2,0)*($G116-$H116)</f>
        <v>0</v>
      </c>
      <c r="BK116" s="22">
        <f>VLOOKUP($A116,tabCustoUnit[],COLUMN(CUSTO_GLOBAL[[#Headers],[Máquinas e Equipamentos (depreciação)]])-2,0)*($G116-$H116)</f>
        <v>0</v>
      </c>
      <c r="BL116" s="22">
        <f>VLOOKUP($A116,tabCustoUnit[],COLUMN(CUSTO_GLOBAL[[#Headers],[Produtos de Limpeza e Materiais de Higiene Pessoal]])-2,0)*($G116-$H116)</f>
        <v>0</v>
      </c>
      <c r="BM116" s="22">
        <f>VLOOKUP($A116,tabCustoUnit[],COLUMN(CUSTO_GLOBAL[[#Headers],[Outros (especificar)]])-2,0)*($G116-$H116)</f>
        <v>0</v>
      </c>
      <c r="BN116" s="22">
        <f>VLOOKUP($A116,tabCustoUnit[],COLUMN(CUSTO_GLOBAL[[#Headers],[MÓDULO 5 – INSUMOS DIVERSOS]])-2,0)*($G116-$H116)</f>
        <v>92.100763771570698</v>
      </c>
      <c r="BO116" s="22" t="e">
        <f ca="1">VLOOKUP($A116,tabCustoUnit[],COLUMN(CUSTO_GLOBAL[[#Headers],[TOTAL MÓDULOS 1+2+3+4+5]])-2,0)*($G116-$H116)</f>
        <v>#NAME?</v>
      </c>
      <c r="BP116" s="22" t="e">
        <f ca="1">VLOOKUP($A116,tabCustoUnit[],COLUMN(CUSTO_GLOBAL[[#Headers],[Custos Indiretos]])-2,0)*($G116-$H116)</f>
        <v>#NAME?</v>
      </c>
      <c r="BQ116" s="22" t="e">
        <f ca="1">VLOOKUP($A116,tabCustoUnit[],COLUMN(CUSTO_GLOBAL[[#Headers],[Lucro]])-2,0)*($G116-$H116)</f>
        <v>#NAME?</v>
      </c>
      <c r="BR116" s="26">
        <f>VLOOKUP($A116,tabCustoUnit[],COLUMN(CUSTO_GLOBAL[[#Headers],[COFINS]])-2,0)</f>
        <v>8.6609686609686695E-2</v>
      </c>
      <c r="BS116" s="26">
        <f>VLOOKUP($A116,tabCustoUnit[],COLUMN(CUSTO_GLOBAL[[#Headers],[PIS]])-2,0)</f>
        <v>1.880341880341882E-2</v>
      </c>
      <c r="BT116" s="28">
        <f>VLOOKUP($A116,tabCustoUnit[],COLUMN(CUSTO_GLOBAL[[#Headers],[ISS]])-2,0)</f>
        <v>0.03</v>
      </c>
      <c r="BU116" s="26">
        <f>VLOOKUP($A116,tabCustoUnit[],COLUMN(CUSTO_GLOBAL[[#Headers],[ISS (Conversão Alíquota s/ fatura)]])-2,0)</f>
        <v>3.4188034188034219E-2</v>
      </c>
      <c r="BV116" s="26">
        <f>VLOOKUP($A116,tabCustoUnit[],COLUMN(CUSTO_GLOBAL[[#Headers],[Resumo de Alíquotas (PIS+CONFINS+ISS)]])-2,0)</f>
        <v>0.1225</v>
      </c>
      <c r="BW116" s="138">
        <f>VLOOKUP($A116,tabCustoUnit[],COLUMN(CUSTO_GLOBAL[[#Headers],[PIS + COFINS + ISS (Total Conversão  Alíquota s/ Fatura)]])-2,0)</f>
        <v>0.13960113960113973</v>
      </c>
      <c r="BX116" s="22" t="e">
        <f ca="1">VLOOKUP($A116,tabCustoUnit[],COLUMN(CUSTO_GLOBAL[[#Headers],[Valor dos Tributos (ISS, PIS, CONFINS)]])-2,0)*($G116-$H116)</f>
        <v>#NAME?</v>
      </c>
      <c r="BY116" s="22" t="e">
        <f ca="1">VLOOKUP($A116,tabCustoUnit[],COLUMN(CUSTO_GLOBAL[[#Headers],[MÓDULO 6 – CUSTOS INDIRETOS, TRIBUTOS E LUCRO]])-2,0)*($G116-$H116)</f>
        <v>#NAME?</v>
      </c>
      <c r="BZ116" s="22" t="e">
        <f ca="1">VLOOKUP($A116,tabCustoUnit[],COLUMN(CUSTO_GLOBAL[[#Headers],[CUSTO TOTAL MENSAL]])-2,0)*($G116-$H116)</f>
        <v>#NAME?</v>
      </c>
      <c r="CA116" s="22" t="e">
        <f ca="1">CUSTO_GLOBAL[[#This Row],[CUSTO TOTAL MENSAL]]*12</f>
        <v>#NAME?</v>
      </c>
      <c r="CB116" s="24">
        <f>VLOOKUP($A116,tabCustoUnit[],COLUMN(CUSTO_GLOBAL[[#Headers],[ANO DA CCT]])-2,0)</f>
        <v>45658</v>
      </c>
      <c r="CC116" s="25" t="str">
        <f>VLOOKUP($A116,tabCustoUnit[],COLUMN(CUSTO_GLOBAL[[#Headers],[Nº DE PEDIDO DA CCT]])-2,0)</f>
        <v>-</v>
      </c>
      <c r="CD116" s="25" t="str">
        <f>VLOOKUP($A116,tabCustoUnit[],COLUMN(CUSTO_GLOBAL[[#Headers],[TERMO ADITIVO ALTERAÇÃO DA CCT]])-2,0)</f>
        <v>-</v>
      </c>
    </row>
    <row r="117" spans="1:82">
      <c r="A117" s="20" t="s">
        <v>1576</v>
      </c>
      <c r="B117" t="s">
        <v>1124</v>
      </c>
      <c r="C117" t="s">
        <v>319</v>
      </c>
      <c r="D117" t="s">
        <v>961</v>
      </c>
      <c r="E117" s="20" t="s">
        <v>1090</v>
      </c>
      <c r="F117" s="20" t="s">
        <v>120</v>
      </c>
      <c r="G117" s="20">
        <v>1</v>
      </c>
      <c r="H117" s="20">
        <v>0</v>
      </c>
      <c r="I117" s="21">
        <f>VLOOKUP($A117,tabCustoUnit[],COLUMN(CUSTO_GLOBAL[[#Headers],[Salário Base]])-2,0)*($G117-$H117)</f>
        <v>2316.2253000000001</v>
      </c>
      <c r="J117" s="21">
        <f>VLOOKUP($A117,tabCustoUnit[],COLUMN(CUSTO_GLOBAL[[#Headers],[Adicional Periculosidade]])-2,0)*($G117-$H117)</f>
        <v>0</v>
      </c>
      <c r="K117" s="21">
        <f>VLOOKUP($A117,tabCustoUnit[],COLUMN(CUSTO_GLOBAL[[#Headers],[Adicional Insalubridade]])-2,0)*($G117-$H117)</f>
        <v>0</v>
      </c>
      <c r="L117" s="21">
        <f>VLOOKUP($A117,tabCustoUnit[],COLUMN(CUSTO_GLOBAL[[#Headers],[Adicional Noturno]])-2,0)*($G117-$H117)</f>
        <v>0</v>
      </c>
      <c r="M117" s="21">
        <f>VLOOKUP($A117,tabCustoUnit[],COLUMN(CUSTO_GLOBAL[[#Headers],[Adicional Motorista II (Gratificação)]])-2,0)*($G117-$H117)</f>
        <v>0</v>
      </c>
      <c r="N117" s="21">
        <f>VLOOKUP($A117,tabCustoUnit[],COLUMN(CUSTO_GLOBAL[[#Headers],[Adicional de Sobreaviso]])-2,0)*($G117-$H117)</f>
        <v>0</v>
      </c>
      <c r="O117" s="21">
        <f>VLOOKUP($A117,tabCustoUnit[],COLUMN(CUSTO_GLOBAL[[#Headers],[Horas Extras TI]])-2,0)*($G117-$H117)</f>
        <v>0</v>
      </c>
      <c r="P117" s="21">
        <f>VLOOKUP($A117,tabCustoUnit[],COLUMN(CUSTO_GLOBAL[[#Headers],[Adicional de Acúmulo de função]])-2,0)*($G117-$H117)</f>
        <v>0</v>
      </c>
      <c r="Q117" s="21">
        <f>VLOOKUP($A117,tabCustoUnit[],COLUMN(CUSTO_GLOBAL[[#Headers],[MODULO 1 - REMUNERAÇÃO ]])-2,0)*($G117-$H117)</f>
        <v>2316.2253000000001</v>
      </c>
      <c r="R117" s="21">
        <f>VLOOKUP($A117,tabCustoUnit[],COLUMN(CUSTO_GLOBAL[[#Headers],[INSS]])-2,0)*($G117-$H117)</f>
        <v>463.24506000000002</v>
      </c>
      <c r="S117" s="21">
        <f>VLOOKUP($A117,tabCustoUnit[],COLUMN(CUSTO_GLOBAL[[#Headers],[SESI OU SESC]])-2,0)*($G117-$H117)</f>
        <v>34.743379499999996</v>
      </c>
      <c r="T117" s="21">
        <f>VLOOKUP($A117,tabCustoUnit[],COLUMN(CUSTO_GLOBAL[[#Headers],[SENAI OU SENAC]])-2,0)*($G117-$H117)</f>
        <v>23.162253</v>
      </c>
      <c r="U117" s="21">
        <f>VLOOKUP($A117,tabCustoUnit[],COLUMN(CUSTO_GLOBAL[[#Headers],[INCRA]])-2,0)*($G117-$H117)</f>
        <v>4.6324506000000003</v>
      </c>
      <c r="V117" s="21">
        <f>VLOOKUP($A117,tabCustoUnit[],COLUMN(CUSTO_GLOBAL[[#Headers],[Salário Educação]])-2,0)*($G117-$H117)</f>
        <v>57.905632500000003</v>
      </c>
      <c r="W117" s="21">
        <f>VLOOKUP($A117,tabCustoUnit[],COLUMN(CUSTO_GLOBAL[[#Headers],[FGTS]])-2,0)*($G117-$H117)</f>
        <v>185.298024</v>
      </c>
      <c r="X117" s="21">
        <f>VLOOKUP($A117,tabCustoUnit[],COLUMN(CUSTO_GLOBAL[[#Headers],[RAT Ajustado]])-2,0)*($G117-$H117)</f>
        <v>92.649011999999999</v>
      </c>
      <c r="Y117" s="21">
        <f>VLOOKUP($A117,tabCustoUnit[],COLUMN(CUSTO_GLOBAL[[#Headers],[SEBRAE]])-2,0)*($G117-$H117)</f>
        <v>13.897351800000001</v>
      </c>
      <c r="Z117" s="21">
        <f>VLOOKUP($A117,tabCustoUnit[],COLUMN(CUSTO_GLOBAL[[#Headers],[Submódulo 2.1]])-2,0)*($G117-$H117)</f>
        <v>875.53316340000003</v>
      </c>
      <c r="AA117" s="21">
        <f>VLOOKUP($A117,tabCustoUnit[],COLUMN(CUSTO_GLOBAL[[#Headers],[13º salário (titular)]])-2,0)*($G117-$H117)</f>
        <v>193.01877500000001</v>
      </c>
      <c r="AB117" s="21">
        <f>VLOOKUP($A117,tabCustoUnit[],COLUMN(CUSTO_GLOBAL[[#Headers],[Férias e Adicional de Férias (titular)]])-2,0)*($G117-$H117)</f>
        <v>257.35836666666665</v>
      </c>
      <c r="AC117" s="21">
        <f>VLOOKUP($A117,tabCustoUnit[],COLUMN(CUSTO_GLOBAL[[#Headers],[Incidência do Submódulo 2.1 sobre 13º Salário, Férias e Adicional de Férias]])-2,0)*($G117-$H117)</f>
        <v>170.24255955000001</v>
      </c>
      <c r="AD117" s="21">
        <f>VLOOKUP($A117,tabCustoUnit[],COLUMN(CUSTO_GLOBAL[[#Headers],[Submódulo 2.2]])-2,0)*($G117-$H117)</f>
        <v>620.61970121666673</v>
      </c>
      <c r="AE117" s="22" t="e">
        <f ca="1">VLOOKUP($A117,tabCustoUnit[],COLUMN(CUSTO_GLOBAL[[#Headers],[Vale - Transporte (Descontada parcela do empregado)]])-2,0)*($G117-$H117)</f>
        <v>#NAME?</v>
      </c>
      <c r="AF117" s="22">
        <f>VLOOKUP($A117,tabCustoUnit[],COLUMN(CUSTO_GLOBAL[[#Headers],[Vale - Alimentação (Descontada parcela do empregado)]])-2,0)*($G117-$H117)</f>
        <v>582</v>
      </c>
      <c r="AG117" s="22">
        <f>VLOOKUP($A117,tabCustoUnit[],COLUMN(CUSTO_GLOBAL[[#Headers],[Cesta Básica]])-2,0)*($G117-$H117)</f>
        <v>0</v>
      </c>
      <c r="AH117" s="22">
        <f>VLOOKUP($A117,tabCustoUnit[],COLUMN(CUSTO_GLOBAL[[#Headers],[PAF]])-2,0)*($G117-$H117)</f>
        <v>0</v>
      </c>
      <c r="AI117" s="22">
        <f>VLOOKUP($A117,tabCustoUnit[],COLUMN(CUSTO_GLOBAL[[#Headers],[PQM]])-2,0)*($G117-$H117)</f>
        <v>0</v>
      </c>
      <c r="AJ117" s="22">
        <v>0</v>
      </c>
      <c r="AK117" s="22">
        <f>VLOOKUP($A117,tabCustoUnit[],COLUMN(CUSTO_GLOBAL[[#Headers],[Seguro de Vida]])-2,0)*($G117-$H117)</f>
        <v>3.36</v>
      </c>
      <c r="AL117" s="22">
        <f>VLOOKUP($A117,tabCustoUnit[],COLUMN(CUSTO_GLOBAL[[#Headers],[Despesas de Viagem]])-2,0)*($G117-$H117)</f>
        <v>0</v>
      </c>
      <c r="AM117" s="22" t="e">
        <f ca="1">VLOOKUP($A117,tabCustoUnit[],COLUMN(CUSTO_GLOBAL[[#Headers],[Submódulo 2.3]])-2,0)*($G117-$H117)</f>
        <v>#NAME?</v>
      </c>
      <c r="AN117" s="22" t="e">
        <f ca="1">VLOOKUP($A117,tabCustoUnit[],COLUMN(CUSTO_GLOBAL[[#Headers],[MÓDULO 2 - Total Encargos e Benefícios mensais e diários]])-2,0)*($G117-$H117)</f>
        <v>#NAME?</v>
      </c>
      <c r="AO117" s="22">
        <f>VLOOKUP($A117,tabCustoUnit[],COLUMN(CUSTO_GLOBAL[[#Headers],[Aviso Prévio Indenizado (API) e Reflexo do Aviso Prévio Indenizado]])-2,0)*($G117-$H117)</f>
        <v>16.240832065914354</v>
      </c>
      <c r="AP117" s="22">
        <f>VLOOKUP($A117,tabCustoUnit[],COLUMN(CUSTO_GLOBAL[[#Headers],[Incidência do FGTS sobre API e Reflexo do API]])-2,0)*($G117-$H117)</f>
        <v>1.2992665652731483</v>
      </c>
      <c r="AQ117" s="22">
        <f>VLOOKUP($A117,tabCustoUnit[],COLUMN(CUSTO_GLOBAL[[#Headers],[Multa Rescisória do FGTS sobre o Aviso Prévio Indenizado]])-2,0)*($G117-$H117)</f>
        <v>0.51970662610925933</v>
      </c>
      <c r="AR117" s="22">
        <f>VLOOKUP($A117,tabCustoUnit[],COLUMN(CUSTO_GLOBAL[[#Headers],[Aviso Prévio Trabalhado - APT]])-2,0)*($G117-$H117)</f>
        <v>8.106788550000001</v>
      </c>
      <c r="AS117" s="22">
        <f>VLOOKUP($A117,tabCustoUnit[],COLUMN(CUSTO_GLOBAL[[#Headers],[Incidência dos encargos do submódulo 2.1 sobre Aviso Prévio Trabalhado]])-2,0)*($G117-$H117)</f>
        <v>3.0643660719000008</v>
      </c>
      <c r="AT117" s="22">
        <f>VLOOKUP($A117,tabCustoUnit[],COLUMN(CUSTO_GLOBAL[[#Headers],[Multa Rescisória do FGTS]])-2,0)*($G117-$H117)</f>
        <v>70.825022506666656</v>
      </c>
      <c r="AU117" s="22">
        <f>VLOOKUP($A117,tabCustoUnit[],COLUMN(CUSTO_GLOBAL[[#Headers],[Indenização Adicional (Art. 9º da Lei nº 7.238/84)]])-2,0)*($G117-$H117)</f>
        <v>1.9301877500000002</v>
      </c>
      <c r="AV117" s="22">
        <f>VLOOKUP($A117,tabCustoUnit[],COLUMN(CUSTO_GLOBAL[[#Headers],[MÓDULO 3 – PROVISÃO PARA RESCISÃO]])-2,0)*($G117-$H117)</f>
        <v>101.98617013586342</v>
      </c>
      <c r="AW117" s="22">
        <f>VLOOKUP($A117,tabCustoUnit[],COLUMN(CUSTO_GLOBAL[[#Headers],[Ausência por Doença]])-2,0)*($G117-$H117)</f>
        <v>19.559235866666665</v>
      </c>
      <c r="AX117" s="22">
        <f>VLOOKUP($A117,tabCustoUnit[],COLUMN(CUSTO_GLOBAL[[#Headers],[Ausências Legais]])-2,0)*($G117-$H117)</f>
        <v>4.6967901916666666</v>
      </c>
      <c r="AY117" s="22">
        <f>VLOOKUP($A117,tabCustoUnit[],COLUMN(CUSTO_GLOBAL[[#Headers],[Licença Paternidade]])-2,0)*($G117-$H117)</f>
        <v>0.39568848875000001</v>
      </c>
      <c r="AZ117" s="22">
        <f>VLOOKUP($A117,tabCustoUnit[],COLUMN(CUSTO_GLOBAL[[#Headers],[Ausência por Acidente de Trabalho]])-2,0)*($G117-$H117)</f>
        <v>0.48254693750000005</v>
      </c>
      <c r="BA117" s="22">
        <f>VLOOKUP($A117,tabCustoUnit[],COLUMN(CUSTO_GLOBAL[[#Headers],[Férias, Adicional de Férias e 13º  com empregada em gozo de Licença Maternidade]])-2,0)*($G117-$H117)</f>
        <v>3.0025142777777778</v>
      </c>
      <c r="BB117" s="22">
        <f>VLOOKUP($A117,tabCustoUnit[],COLUMN(CUSTO_GLOBAL[[#Headers],[Incidência do Submódulo 2.1 sobre Ausências Legais]])-2,0)*($G117-$H117)</f>
        <v>10.635701238172501</v>
      </c>
      <c r="BC117" s="22">
        <f>VLOOKUP($A117,tabCustoUnit[],COLUMN(CUSTO_GLOBAL[[#Headers],[Submódulo 4.1]])-2,0)*($G117-$H117)</f>
        <v>38.772477000533613</v>
      </c>
      <c r="BD117" s="22">
        <f>VLOOKUP($A117,tabCustoUnit[],COLUMN(CUSTO_GLOBAL[[#Headers],[Intervalo para Repouso ou Alimentação]])-2,0)*($G117-$H117)</f>
        <v>0</v>
      </c>
      <c r="BE117" s="22">
        <f>VLOOKUP($A117,tabCustoUnit[],COLUMN(CUSTO_GLOBAL[[#Headers],[Submódulo 4.2]])-2,0)*($G117-$H117)</f>
        <v>0</v>
      </c>
      <c r="BF117" s="22">
        <f>VLOOKUP($A117,tabCustoUnit[],COLUMN(CUSTO_GLOBAL[[#Headers],[Suspensão Temporária do Contrato de Trabalho]])-2,0)*($G117-$H117)</f>
        <v>0</v>
      </c>
      <c r="BG117" s="22">
        <f>VLOOKUP($A117,tabCustoUnit[],COLUMN(CUSTO_GLOBAL[[#Headers],[Submódulo 4.3]])-2,0)*($G117-$H117)</f>
        <v>0</v>
      </c>
      <c r="BH117" s="22">
        <f>VLOOKUP($A117,tabCustoUnit[],COLUMN(CUSTO_GLOBAL[[#Headers],[MÓDULO 4 – CUSTO DE REPOSIÇÃO DO PROFISSIONAL AUSENTE]])-2,0)*($G117-$H117)</f>
        <v>38.772477000533613</v>
      </c>
      <c r="BI117" s="22">
        <f>VLOOKUP($A117,tabCustoUnit[],COLUMN(CUSTO_GLOBAL[[#Headers],[Uniformes e EPIs]])-2,0)*($G117-$H117)</f>
        <v>56.642978962543395</v>
      </c>
      <c r="BJ117" s="22">
        <f>VLOOKUP($A117,tabCustoUnit[],COLUMN(CUSTO_GLOBAL[[#Headers],[Materiais de Consumo]])-2,0)*($G117-$H117)</f>
        <v>0</v>
      </c>
      <c r="BK117" s="22">
        <f>VLOOKUP($A117,tabCustoUnit[],COLUMN(CUSTO_GLOBAL[[#Headers],[Máquinas e Equipamentos (depreciação)]])-2,0)*($G117-$H117)</f>
        <v>0</v>
      </c>
      <c r="BL117" s="22">
        <f>VLOOKUP($A117,tabCustoUnit[],COLUMN(CUSTO_GLOBAL[[#Headers],[Produtos de Limpeza e Materiais de Higiene Pessoal]])-2,0)*($G117-$H117)</f>
        <v>0</v>
      </c>
      <c r="BM117" s="22">
        <f>VLOOKUP($A117,tabCustoUnit[],COLUMN(CUSTO_GLOBAL[[#Headers],[Outros (especificar)]])-2,0)*($G117-$H117)</f>
        <v>0</v>
      </c>
      <c r="BN117" s="22">
        <f>VLOOKUP($A117,tabCustoUnit[],COLUMN(CUSTO_GLOBAL[[#Headers],[MÓDULO 5 – INSUMOS DIVERSOS]])-2,0)*($G117-$H117)</f>
        <v>56.642978962543395</v>
      </c>
      <c r="BO117" s="22" t="e">
        <f ca="1">VLOOKUP($A117,tabCustoUnit[],COLUMN(CUSTO_GLOBAL[[#Headers],[TOTAL MÓDULOS 1+2+3+4+5]])-2,0)*($G117-$H117)</f>
        <v>#NAME?</v>
      </c>
      <c r="BP117" s="22" t="e">
        <f ca="1">VLOOKUP($A117,tabCustoUnit[],COLUMN(CUSTO_GLOBAL[[#Headers],[Custos Indiretos]])-2,0)*($G117-$H117)</f>
        <v>#NAME?</v>
      </c>
      <c r="BQ117" s="22" t="e">
        <f ca="1">VLOOKUP($A117,tabCustoUnit[],COLUMN(CUSTO_GLOBAL[[#Headers],[Lucro]])-2,0)*($G117-$H117)</f>
        <v>#NAME?</v>
      </c>
      <c r="BR117" s="26">
        <f>VLOOKUP($A117,tabCustoUnit[],COLUMN(CUSTO_GLOBAL[[#Headers],[COFINS]])-2,0)</f>
        <v>8.5633802816901458E-2</v>
      </c>
      <c r="BS117" s="26">
        <f>VLOOKUP($A117,tabCustoUnit[],COLUMN(CUSTO_GLOBAL[[#Headers],[PIS]])-2,0)</f>
        <v>1.8591549295774657E-2</v>
      </c>
      <c r="BT117" s="28">
        <f>VLOOKUP($A117,tabCustoUnit[],COLUMN(CUSTO_GLOBAL[[#Headers],[ISS]])-2,0)</f>
        <v>0.02</v>
      </c>
      <c r="BU117" s="26">
        <f>VLOOKUP($A117,tabCustoUnit[],COLUMN(CUSTO_GLOBAL[[#Headers],[ISS (Conversão Alíquota s/ fatura)]])-2,0)</f>
        <v>2.2535211267605645E-2</v>
      </c>
      <c r="BV117" s="26">
        <f>VLOOKUP($A117,tabCustoUnit[],COLUMN(CUSTO_GLOBAL[[#Headers],[Resumo de Alíquotas (PIS+CONFINS+ISS)]])-2,0)</f>
        <v>0.1125</v>
      </c>
      <c r="BW117" s="138">
        <f>VLOOKUP($A117,tabCustoUnit[],COLUMN(CUSTO_GLOBAL[[#Headers],[PIS + COFINS + ISS (Total Conversão  Alíquota s/ Fatura)]])-2,0)</f>
        <v>0.12676056338028174</v>
      </c>
      <c r="BX117" s="22" t="e">
        <f ca="1">VLOOKUP($A117,tabCustoUnit[],COLUMN(CUSTO_GLOBAL[[#Headers],[Valor dos Tributos (ISS, PIS, CONFINS)]])-2,0)*($G117-$H117)</f>
        <v>#NAME?</v>
      </c>
      <c r="BY117" s="22" t="e">
        <f ca="1">VLOOKUP($A117,tabCustoUnit[],COLUMN(CUSTO_GLOBAL[[#Headers],[MÓDULO 6 – CUSTOS INDIRETOS, TRIBUTOS E LUCRO]])-2,0)*($G117-$H117)</f>
        <v>#NAME?</v>
      </c>
      <c r="BZ117" s="22" t="e">
        <f ca="1">VLOOKUP($A117,tabCustoUnit[],COLUMN(CUSTO_GLOBAL[[#Headers],[CUSTO TOTAL MENSAL]])-2,0)*($G117-$H117)</f>
        <v>#NAME?</v>
      </c>
      <c r="CA117" s="22" t="e">
        <f ca="1">CUSTO_GLOBAL[[#This Row],[CUSTO TOTAL MENSAL]]*12</f>
        <v>#NAME?</v>
      </c>
      <c r="CB117" s="24">
        <f>VLOOKUP($A117,tabCustoUnit[],COLUMN(CUSTO_GLOBAL[[#Headers],[ANO DA CCT]])-2,0)</f>
        <v>45658</v>
      </c>
      <c r="CC117" s="25" t="str">
        <f>VLOOKUP($A117,tabCustoUnit[],COLUMN(CUSTO_GLOBAL[[#Headers],[Nº DE PEDIDO DA CCT]])-2,0)</f>
        <v>-</v>
      </c>
      <c r="CD117" s="25" t="str">
        <f>VLOOKUP($A117,tabCustoUnit[],COLUMN(CUSTO_GLOBAL[[#Headers],[TERMO ADITIVO ALTERAÇÃO DA CCT]])-2,0)</f>
        <v>-</v>
      </c>
    </row>
    <row r="118" spans="1:82">
      <c r="A118" s="20" t="s">
        <v>1467</v>
      </c>
      <c r="B118" t="s">
        <v>905</v>
      </c>
      <c r="C118" t="s">
        <v>1367</v>
      </c>
      <c r="D118" t="s">
        <v>905</v>
      </c>
      <c r="E118" s="20" t="s">
        <v>1090</v>
      </c>
      <c r="F118" s="20" t="s">
        <v>120</v>
      </c>
      <c r="G118" s="20">
        <v>1</v>
      </c>
      <c r="H118" s="20">
        <v>0</v>
      </c>
      <c r="I118" s="21">
        <f>VLOOKUP($A118,tabCustoUnit[],COLUMN(CUSTO_GLOBAL[[#Headers],[Salário Base]])-2,0)*($G118-$H118)</f>
        <v>2087.4324000000001</v>
      </c>
      <c r="J118" s="21">
        <f>VLOOKUP($A118,tabCustoUnit[],COLUMN(CUSTO_GLOBAL[[#Headers],[Adicional Periculosidade]])-2,0)*($G118-$H118)</f>
        <v>0</v>
      </c>
      <c r="K118" s="21">
        <f>VLOOKUP($A118,tabCustoUnit[],COLUMN(CUSTO_GLOBAL[[#Headers],[Adicional Insalubridade]])-2,0)*($G118-$H118)</f>
        <v>303.60000000000002</v>
      </c>
      <c r="L118" s="21">
        <f>VLOOKUP($A118,tabCustoUnit[],COLUMN(CUSTO_GLOBAL[[#Headers],[Adicional Noturno]])-2,0)*($G118-$H118)</f>
        <v>0</v>
      </c>
      <c r="M118" s="21">
        <f>VLOOKUP($A118,tabCustoUnit[],COLUMN(CUSTO_GLOBAL[[#Headers],[Adicional Motorista II (Gratificação)]])-2,0)*($G118-$H118)</f>
        <v>0</v>
      </c>
      <c r="N118" s="21">
        <f>VLOOKUP($A118,tabCustoUnit[],COLUMN(CUSTO_GLOBAL[[#Headers],[Adicional de Sobreaviso]])-2,0)*($G118-$H118)</f>
        <v>0</v>
      </c>
      <c r="O118" s="21">
        <f>VLOOKUP($A118,tabCustoUnit[],COLUMN(CUSTO_GLOBAL[[#Headers],[Horas Extras TI]])-2,0)*($G118-$H118)</f>
        <v>0</v>
      </c>
      <c r="P118" s="21">
        <f>VLOOKUP($A118,tabCustoUnit[],COLUMN(CUSTO_GLOBAL[[#Headers],[Adicional de Acúmulo de função]])-2,0)*($G118-$H118)</f>
        <v>0</v>
      </c>
      <c r="Q118" s="21">
        <f>VLOOKUP($A118,tabCustoUnit[],COLUMN(CUSTO_GLOBAL[[#Headers],[MODULO 1 - REMUNERAÇÃO ]])-2,0)*($G118-$H118)</f>
        <v>2391.0324000000001</v>
      </c>
      <c r="R118" s="21">
        <f>VLOOKUP($A118,tabCustoUnit[],COLUMN(CUSTO_GLOBAL[[#Headers],[INSS]])-2,0)*($G118-$H118)</f>
        <v>478.20648000000006</v>
      </c>
      <c r="S118" s="21">
        <f>VLOOKUP($A118,tabCustoUnit[],COLUMN(CUSTO_GLOBAL[[#Headers],[SESI OU SESC]])-2,0)*($G118-$H118)</f>
        <v>35.865485999999997</v>
      </c>
      <c r="T118" s="21">
        <f>VLOOKUP($A118,tabCustoUnit[],COLUMN(CUSTO_GLOBAL[[#Headers],[SENAI OU SENAC]])-2,0)*($G118-$H118)</f>
        <v>23.910324000000003</v>
      </c>
      <c r="U118" s="21">
        <f>VLOOKUP($A118,tabCustoUnit[],COLUMN(CUSTO_GLOBAL[[#Headers],[INCRA]])-2,0)*($G118-$H118)</f>
        <v>4.7820648000000006</v>
      </c>
      <c r="V118" s="21">
        <f>VLOOKUP($A118,tabCustoUnit[],COLUMN(CUSTO_GLOBAL[[#Headers],[Salário Educação]])-2,0)*($G118-$H118)</f>
        <v>59.775810000000007</v>
      </c>
      <c r="W118" s="21">
        <f>VLOOKUP($A118,tabCustoUnit[],COLUMN(CUSTO_GLOBAL[[#Headers],[FGTS]])-2,0)*($G118-$H118)</f>
        <v>191.28259200000002</v>
      </c>
      <c r="X118" s="21">
        <f>VLOOKUP($A118,tabCustoUnit[],COLUMN(CUSTO_GLOBAL[[#Headers],[RAT Ajustado]])-2,0)*($G118-$H118)</f>
        <v>95.641296000000011</v>
      </c>
      <c r="Y118" s="21">
        <f>VLOOKUP($A118,tabCustoUnit[],COLUMN(CUSTO_GLOBAL[[#Headers],[SEBRAE]])-2,0)*($G118-$H118)</f>
        <v>14.3461944</v>
      </c>
      <c r="Z118" s="21">
        <f>VLOOKUP($A118,tabCustoUnit[],COLUMN(CUSTO_GLOBAL[[#Headers],[Submódulo 2.1]])-2,0)*($G118-$H118)</f>
        <v>903.81024720000005</v>
      </c>
      <c r="AA118" s="21">
        <f>VLOOKUP($A118,tabCustoUnit[],COLUMN(CUSTO_GLOBAL[[#Headers],[13º salário (titular)]])-2,0)*($G118-$H118)</f>
        <v>199.2527</v>
      </c>
      <c r="AB118" s="21">
        <f>VLOOKUP($A118,tabCustoUnit[],COLUMN(CUSTO_GLOBAL[[#Headers],[Férias e Adicional de Férias (titular)]])-2,0)*($G118-$H118)</f>
        <v>265.67026666666663</v>
      </c>
      <c r="AC118" s="21">
        <f>VLOOKUP($A118,tabCustoUnit[],COLUMN(CUSTO_GLOBAL[[#Headers],[Incidência do Submódulo 2.1 sobre 13º Salário, Férias e Adicional de Férias]])-2,0)*($G118-$H118)</f>
        <v>175.74088139999998</v>
      </c>
      <c r="AD118" s="21">
        <f>VLOOKUP($A118,tabCustoUnit[],COLUMN(CUSTO_GLOBAL[[#Headers],[Submódulo 2.2]])-2,0)*($G118-$H118)</f>
        <v>640.66384806666656</v>
      </c>
      <c r="AE118" s="22" t="e">
        <f ca="1">VLOOKUP($A118,tabCustoUnit[],COLUMN(CUSTO_GLOBAL[[#Headers],[Vale - Transporte (Descontada parcela do empregado)]])-2,0)*($G118-$H118)</f>
        <v>#NAME?</v>
      </c>
      <c r="AF118" s="22">
        <f>VLOOKUP($A118,tabCustoUnit[],COLUMN(CUSTO_GLOBAL[[#Headers],[Vale - Alimentação (Descontada parcela do empregado)]])-2,0)*($G118-$H118)</f>
        <v>582</v>
      </c>
      <c r="AG118" s="22">
        <f>VLOOKUP($A118,tabCustoUnit[],COLUMN(CUSTO_GLOBAL[[#Headers],[Cesta Básica]])-2,0)*($G118-$H118)</f>
        <v>0</v>
      </c>
      <c r="AH118" s="22">
        <f>VLOOKUP($A118,tabCustoUnit[],COLUMN(CUSTO_GLOBAL[[#Headers],[PAF]])-2,0)*($G118-$H118)</f>
        <v>57.07</v>
      </c>
      <c r="AI118" s="22">
        <f>VLOOKUP($A118,tabCustoUnit[],COLUMN(CUSTO_GLOBAL[[#Headers],[PQM]])-2,0)*($G118-$H118)</f>
        <v>0</v>
      </c>
      <c r="AJ118" s="22">
        <v>0</v>
      </c>
      <c r="AK118" s="22">
        <f>VLOOKUP($A118,tabCustoUnit[],COLUMN(CUSTO_GLOBAL[[#Headers],[Seguro de Vida]])-2,0)*($G118-$H118)</f>
        <v>3.36</v>
      </c>
      <c r="AL118" s="22">
        <f>VLOOKUP($A118,tabCustoUnit[],COLUMN(CUSTO_GLOBAL[[#Headers],[Despesas de Viagem]])-2,0)*($G118-$H118)</f>
        <v>0</v>
      </c>
      <c r="AM118" s="22" t="e">
        <f ca="1">VLOOKUP($A118,tabCustoUnit[],COLUMN(CUSTO_GLOBAL[[#Headers],[Submódulo 2.3]])-2,0)*($G118-$H118)</f>
        <v>#NAME?</v>
      </c>
      <c r="AN118" s="22" t="e">
        <f ca="1">VLOOKUP($A118,tabCustoUnit[],COLUMN(CUSTO_GLOBAL[[#Headers],[MÓDULO 2 - Total Encargos e Benefícios mensais e diários]])-2,0)*($G118-$H118)</f>
        <v>#NAME?</v>
      </c>
      <c r="AO118" s="22">
        <f>VLOOKUP($A118,tabCustoUnit[],COLUMN(CUSTO_GLOBAL[[#Headers],[Aviso Prévio Indenizado (API) e Reflexo do Aviso Prévio Indenizado]])-2,0)*($G118-$H118)</f>
        <v>16.765362019212965</v>
      </c>
      <c r="AP118" s="22">
        <f>VLOOKUP($A118,tabCustoUnit[],COLUMN(CUSTO_GLOBAL[[#Headers],[Incidência do FGTS sobre API e Reflexo do API]])-2,0)*($G118-$H118)</f>
        <v>1.3412289615370372</v>
      </c>
      <c r="AQ118" s="22">
        <f>VLOOKUP($A118,tabCustoUnit[],COLUMN(CUSTO_GLOBAL[[#Headers],[Multa Rescisória do FGTS sobre o Aviso Prévio Indenizado]])-2,0)*($G118-$H118)</f>
        <v>0.53649158461481494</v>
      </c>
      <c r="AR118" s="22">
        <f>VLOOKUP($A118,tabCustoUnit[],COLUMN(CUSTO_GLOBAL[[#Headers],[Aviso Prévio Trabalhado - APT]])-2,0)*($G118-$H118)</f>
        <v>8.368613400000001</v>
      </c>
      <c r="AS118" s="22">
        <f>VLOOKUP($A118,tabCustoUnit[],COLUMN(CUSTO_GLOBAL[[#Headers],[Incidência dos encargos do submódulo 2.1 sobre Aviso Prévio Trabalhado]])-2,0)*($G118-$H118)</f>
        <v>3.163335865200001</v>
      </c>
      <c r="AT118" s="22">
        <f>VLOOKUP($A118,tabCustoUnit[],COLUMN(CUSTO_GLOBAL[[#Headers],[Multa Rescisória do FGTS]])-2,0)*($G118-$H118)</f>
        <v>73.112457386666662</v>
      </c>
      <c r="AU118" s="22">
        <f>VLOOKUP($A118,tabCustoUnit[],COLUMN(CUSTO_GLOBAL[[#Headers],[Indenização Adicional (Art. 9º da Lei nº 7.238/84)]])-2,0)*($G118-$H118)</f>
        <v>1.9925270000000002</v>
      </c>
      <c r="AV118" s="22">
        <f>VLOOKUP($A118,tabCustoUnit[],COLUMN(CUSTO_GLOBAL[[#Headers],[MÓDULO 3 – PROVISÃO PARA RESCISÃO]])-2,0)*($G118-$H118)</f>
        <v>105.28001621723148</v>
      </c>
      <c r="AW118" s="22">
        <f>VLOOKUP($A118,tabCustoUnit[],COLUMN(CUSTO_GLOBAL[[#Headers],[Ausência por Doença]])-2,0)*($G118-$H118)</f>
        <v>20.190940266666665</v>
      </c>
      <c r="AX118" s="22">
        <f>VLOOKUP($A118,tabCustoUnit[],COLUMN(CUSTO_GLOBAL[[#Headers],[Ausências Legais]])-2,0)*($G118-$H118)</f>
        <v>4.8484823666666665</v>
      </c>
      <c r="AY118" s="22">
        <f>VLOOKUP($A118,tabCustoUnit[],COLUMN(CUSTO_GLOBAL[[#Headers],[Licença Paternidade]])-2,0)*($G118-$H118)</f>
        <v>0.40846803500000001</v>
      </c>
      <c r="AZ118" s="22">
        <f>VLOOKUP($A118,tabCustoUnit[],COLUMN(CUSTO_GLOBAL[[#Headers],[Ausência por Acidente de Trabalho]])-2,0)*($G118-$H118)</f>
        <v>0.49813175000000004</v>
      </c>
      <c r="BA118" s="22">
        <f>VLOOKUP($A118,tabCustoUnit[],COLUMN(CUSTO_GLOBAL[[#Headers],[Férias, Adicional de Férias e 13º  com empregada em gozo de Licença Maternidade]])-2,0)*($G118-$H118)</f>
        <v>3.0994864444444445</v>
      </c>
      <c r="BB118" s="22">
        <f>VLOOKUP($A118,tabCustoUnit[],COLUMN(CUSTO_GLOBAL[[#Headers],[Incidência do Submódulo 2.1 sobre Ausências Legais]])-2,0)*($G118-$H118)</f>
        <v>10.979202350130002</v>
      </c>
      <c r="BC118" s="22">
        <f>VLOOKUP($A118,tabCustoUnit[],COLUMN(CUSTO_GLOBAL[[#Headers],[Submódulo 4.1]])-2,0)*($G118-$H118)</f>
        <v>40.024711212907775</v>
      </c>
      <c r="BD118" s="22">
        <f>VLOOKUP($A118,tabCustoUnit[],COLUMN(CUSTO_GLOBAL[[#Headers],[Intervalo para Repouso ou Alimentação]])-2,0)*($G118-$H118)</f>
        <v>0</v>
      </c>
      <c r="BE118" s="22">
        <f>VLOOKUP($A118,tabCustoUnit[],COLUMN(CUSTO_GLOBAL[[#Headers],[Submódulo 4.2]])-2,0)*($G118-$H118)</f>
        <v>0</v>
      </c>
      <c r="BF118" s="22">
        <f>VLOOKUP($A118,tabCustoUnit[],COLUMN(CUSTO_GLOBAL[[#Headers],[Suspensão Temporária do Contrato de Trabalho]])-2,0)*($G118-$H118)</f>
        <v>0</v>
      </c>
      <c r="BG118" s="22">
        <f>VLOOKUP($A118,tabCustoUnit[],COLUMN(CUSTO_GLOBAL[[#Headers],[Submódulo 4.3]])-2,0)*($G118-$H118)</f>
        <v>0</v>
      </c>
      <c r="BH118" s="22">
        <f>VLOOKUP($A118,tabCustoUnit[],COLUMN(CUSTO_GLOBAL[[#Headers],[MÓDULO 4 – CUSTO DE REPOSIÇÃO DO PROFISSIONAL AUSENTE]])-2,0)*($G118-$H118)</f>
        <v>40.024711212907775</v>
      </c>
      <c r="BI118" s="22">
        <f>VLOOKUP($A118,tabCustoUnit[],COLUMN(CUSTO_GLOBAL[[#Headers],[Uniformes e EPIs]])-2,0)*($G118-$H118)</f>
        <v>253.83572732312174</v>
      </c>
      <c r="BJ118" s="22">
        <f>VLOOKUP($A118,tabCustoUnit[],COLUMN(CUSTO_GLOBAL[[#Headers],[Materiais de Consumo]])-2,0)*($G118-$H118)</f>
        <v>441.81099462365592</v>
      </c>
      <c r="BK118" s="22">
        <f>VLOOKUP($A118,tabCustoUnit[],COLUMN(CUSTO_GLOBAL[[#Headers],[Máquinas e Equipamentos (depreciação)]])-2,0)*($G118-$H118)</f>
        <v>113.11309677419354</v>
      </c>
      <c r="BL118" s="22">
        <f>VLOOKUP($A118,tabCustoUnit[],COLUMN(CUSTO_GLOBAL[[#Headers],[Produtos de Limpeza e Materiais de Higiene Pessoal]])-2,0)*($G118-$H118)</f>
        <v>0</v>
      </c>
      <c r="BM118" s="22">
        <f>VLOOKUP($A118,tabCustoUnit[],COLUMN(CUSTO_GLOBAL[[#Headers],[Outros (especificar)]])-2,0)*($G118-$H118)</f>
        <v>0</v>
      </c>
      <c r="BN118" s="22">
        <f>VLOOKUP($A118,tabCustoUnit[],COLUMN(CUSTO_GLOBAL[[#Headers],[MÓDULO 5 – INSUMOS DIVERSOS]])-2,0)*($G118-$H118)</f>
        <v>808.75981872097123</v>
      </c>
      <c r="BO118" s="22" t="e">
        <f ca="1">VLOOKUP($A118,tabCustoUnit[],COLUMN(CUSTO_GLOBAL[[#Headers],[TOTAL MÓDULOS 1+2+3+4+5]])-2,0)*($G118-$H118)</f>
        <v>#NAME?</v>
      </c>
      <c r="BP118" s="22" t="e">
        <f ca="1">VLOOKUP($A118,tabCustoUnit[],COLUMN(CUSTO_GLOBAL[[#Headers],[Custos Indiretos]])-2,0)*($G118-$H118)</f>
        <v>#NAME?</v>
      </c>
      <c r="BQ118" s="22" t="e">
        <f ca="1">VLOOKUP($A118,tabCustoUnit[],COLUMN(CUSTO_GLOBAL[[#Headers],[Lucro]])-2,0)*($G118-$H118)</f>
        <v>#NAME?</v>
      </c>
      <c r="BR118" s="26">
        <f>VLOOKUP($A118,tabCustoUnit[],COLUMN(CUSTO_GLOBAL[[#Headers],[COFINS]])-2,0)</f>
        <v>8.8629737609329504E-2</v>
      </c>
      <c r="BS118" s="26">
        <f>VLOOKUP($A118,tabCustoUnit[],COLUMN(CUSTO_GLOBAL[[#Headers],[PIS]])-2,0)</f>
        <v>1.9241982507288629E-2</v>
      </c>
      <c r="BT118" s="28">
        <f>VLOOKUP($A118,tabCustoUnit[],COLUMN(CUSTO_GLOBAL[[#Headers],[ISS]])-2,0)</f>
        <v>0.05</v>
      </c>
      <c r="BU118" s="26">
        <f>VLOOKUP($A118,tabCustoUnit[],COLUMN(CUSTO_GLOBAL[[#Headers],[ISS (Conversão Alíquota s/ fatura)]])-2,0)</f>
        <v>5.8309037900874633E-2</v>
      </c>
      <c r="BV118" s="26">
        <f>VLOOKUP($A118,tabCustoUnit[],COLUMN(CUSTO_GLOBAL[[#Headers],[Resumo de Alíquotas (PIS+CONFINS+ISS)]])-2,0)</f>
        <v>0.14250000000000002</v>
      </c>
      <c r="BW118" s="138">
        <f>VLOOKUP($A118,tabCustoUnit[],COLUMN(CUSTO_GLOBAL[[#Headers],[PIS + COFINS + ISS (Total Conversão  Alíquota s/ Fatura)]])-2,0)</f>
        <v>0.16618075801749277</v>
      </c>
      <c r="BX118" s="22" t="e">
        <f ca="1">VLOOKUP($A118,tabCustoUnit[],COLUMN(CUSTO_GLOBAL[[#Headers],[Valor dos Tributos (ISS, PIS, CONFINS)]])-2,0)*($G118-$H118)</f>
        <v>#NAME?</v>
      </c>
      <c r="BY118" s="22" t="e">
        <f ca="1">VLOOKUP($A118,tabCustoUnit[],COLUMN(CUSTO_GLOBAL[[#Headers],[MÓDULO 6 – CUSTOS INDIRETOS, TRIBUTOS E LUCRO]])-2,0)*($G118-$H118)</f>
        <v>#NAME?</v>
      </c>
      <c r="BZ118" s="22" t="e">
        <f ca="1">VLOOKUP($A118,tabCustoUnit[],COLUMN(CUSTO_GLOBAL[[#Headers],[CUSTO TOTAL MENSAL]])-2,0)*($G118-$H118)</f>
        <v>#NAME?</v>
      </c>
      <c r="CA118" s="22" t="e">
        <f ca="1">CUSTO_GLOBAL[[#This Row],[CUSTO TOTAL MENSAL]]*12</f>
        <v>#NAME?</v>
      </c>
      <c r="CB118" s="24">
        <f>VLOOKUP($A118,tabCustoUnit[],COLUMN(CUSTO_GLOBAL[[#Headers],[ANO DA CCT]])-2,0)</f>
        <v>45658</v>
      </c>
      <c r="CC118" s="25" t="str">
        <f>VLOOKUP($A118,tabCustoUnit[],COLUMN(CUSTO_GLOBAL[[#Headers],[Nº DE PEDIDO DA CCT]])-2,0)</f>
        <v>-</v>
      </c>
      <c r="CD118" s="25" t="str">
        <f>VLOOKUP($A118,tabCustoUnit[],COLUMN(CUSTO_GLOBAL[[#Headers],[TERMO ADITIVO ALTERAÇÃO DA CCT]])-2,0)</f>
        <v>-</v>
      </c>
    </row>
    <row r="119" spans="1:82">
      <c r="A119" s="20" t="s">
        <v>1577</v>
      </c>
      <c r="B119" t="s">
        <v>905</v>
      </c>
      <c r="C119" t="s">
        <v>1368</v>
      </c>
      <c r="D119" t="s">
        <v>905</v>
      </c>
      <c r="E119" s="20" t="s">
        <v>1090</v>
      </c>
      <c r="F119" s="20" t="s">
        <v>120</v>
      </c>
      <c r="G119" s="20">
        <v>1</v>
      </c>
      <c r="H119" s="20">
        <v>0</v>
      </c>
      <c r="I119" s="21">
        <f>VLOOKUP($A119,tabCustoUnit[],COLUMN(CUSTO_GLOBAL[[#Headers],[Salário Base]])-2,0)*($G119-$H119)</f>
        <v>2296.1756999999998</v>
      </c>
      <c r="J119" s="21">
        <f>VLOOKUP($A119,tabCustoUnit[],COLUMN(CUSTO_GLOBAL[[#Headers],[Adicional Periculosidade]])-2,0)*($G119-$H119)</f>
        <v>0</v>
      </c>
      <c r="K119" s="21">
        <f>VLOOKUP($A119,tabCustoUnit[],COLUMN(CUSTO_GLOBAL[[#Headers],[Adicional Insalubridade]])-2,0)*($G119-$H119)</f>
        <v>303.60000000000002</v>
      </c>
      <c r="L119" s="21">
        <f>VLOOKUP($A119,tabCustoUnit[],COLUMN(CUSTO_GLOBAL[[#Headers],[Adicional Noturno]])-2,0)*($G119-$H119)</f>
        <v>0</v>
      </c>
      <c r="M119" s="21">
        <f>VLOOKUP($A119,tabCustoUnit[],COLUMN(CUSTO_GLOBAL[[#Headers],[Adicional Motorista II (Gratificação)]])-2,0)*($G119-$H119)</f>
        <v>0</v>
      </c>
      <c r="N119" s="21">
        <f>VLOOKUP($A119,tabCustoUnit[],COLUMN(CUSTO_GLOBAL[[#Headers],[Adicional de Sobreaviso]])-2,0)*($G119-$H119)</f>
        <v>0</v>
      </c>
      <c r="O119" s="21">
        <f>VLOOKUP($A119,tabCustoUnit[],COLUMN(CUSTO_GLOBAL[[#Headers],[Horas Extras TI]])-2,0)*($G119-$H119)</f>
        <v>0</v>
      </c>
      <c r="P119" s="21">
        <f>VLOOKUP($A119,tabCustoUnit[],COLUMN(CUSTO_GLOBAL[[#Headers],[Adicional de Acúmulo de função]])-2,0)*($G119-$H119)</f>
        <v>0</v>
      </c>
      <c r="Q119" s="21">
        <f>VLOOKUP($A119,tabCustoUnit[],COLUMN(CUSTO_GLOBAL[[#Headers],[MODULO 1 - REMUNERAÇÃO ]])-2,0)*($G119-$H119)</f>
        <v>2599.7756999999997</v>
      </c>
      <c r="R119" s="21">
        <f>VLOOKUP($A119,tabCustoUnit[],COLUMN(CUSTO_GLOBAL[[#Headers],[INSS]])-2,0)*($G119-$H119)</f>
        <v>519.95513999999991</v>
      </c>
      <c r="S119" s="21">
        <f>VLOOKUP($A119,tabCustoUnit[],COLUMN(CUSTO_GLOBAL[[#Headers],[SESI OU SESC]])-2,0)*($G119-$H119)</f>
        <v>38.996635499999996</v>
      </c>
      <c r="T119" s="21">
        <f>VLOOKUP($A119,tabCustoUnit[],COLUMN(CUSTO_GLOBAL[[#Headers],[SENAI OU SENAC]])-2,0)*($G119-$H119)</f>
        <v>25.997756999999996</v>
      </c>
      <c r="U119" s="21">
        <f>VLOOKUP($A119,tabCustoUnit[],COLUMN(CUSTO_GLOBAL[[#Headers],[INCRA]])-2,0)*($G119-$H119)</f>
        <v>5.1995513999999998</v>
      </c>
      <c r="V119" s="21">
        <f>VLOOKUP($A119,tabCustoUnit[],COLUMN(CUSTO_GLOBAL[[#Headers],[Salário Educação]])-2,0)*($G119-$H119)</f>
        <v>64.994392499999989</v>
      </c>
      <c r="W119" s="21">
        <f>VLOOKUP($A119,tabCustoUnit[],COLUMN(CUSTO_GLOBAL[[#Headers],[FGTS]])-2,0)*($G119-$H119)</f>
        <v>207.98205599999997</v>
      </c>
      <c r="X119" s="21">
        <f>VLOOKUP($A119,tabCustoUnit[],COLUMN(CUSTO_GLOBAL[[#Headers],[RAT Ajustado]])-2,0)*($G119-$H119)</f>
        <v>103.99102799999999</v>
      </c>
      <c r="Y119" s="21">
        <f>VLOOKUP($A119,tabCustoUnit[],COLUMN(CUSTO_GLOBAL[[#Headers],[SEBRAE]])-2,0)*($G119-$H119)</f>
        <v>15.598654199999999</v>
      </c>
      <c r="Z119" s="21">
        <f>VLOOKUP($A119,tabCustoUnit[],COLUMN(CUSTO_GLOBAL[[#Headers],[Submódulo 2.1]])-2,0)*($G119-$H119)</f>
        <v>982.71521459999985</v>
      </c>
      <c r="AA119" s="21">
        <f>VLOOKUP($A119,tabCustoUnit[],COLUMN(CUSTO_GLOBAL[[#Headers],[13º salário (titular)]])-2,0)*($G119-$H119)</f>
        <v>216.64797499999997</v>
      </c>
      <c r="AB119" s="21">
        <f>VLOOKUP($A119,tabCustoUnit[],COLUMN(CUSTO_GLOBAL[[#Headers],[Férias e Adicional de Férias (titular)]])-2,0)*($G119-$H119)</f>
        <v>288.86396666666661</v>
      </c>
      <c r="AC119" s="21">
        <f>VLOOKUP($A119,tabCustoUnit[],COLUMN(CUSTO_GLOBAL[[#Headers],[Incidência do Submódulo 2.1 sobre 13º Salário, Férias e Adicional de Férias]])-2,0)*($G119-$H119)</f>
        <v>191.08351394999997</v>
      </c>
      <c r="AD119" s="21">
        <f>VLOOKUP($A119,tabCustoUnit[],COLUMN(CUSTO_GLOBAL[[#Headers],[Submódulo 2.2]])-2,0)*($G119-$H119)</f>
        <v>696.59545561666653</v>
      </c>
      <c r="AE119" s="22" t="e">
        <f ca="1">VLOOKUP($A119,tabCustoUnit[],COLUMN(CUSTO_GLOBAL[[#Headers],[Vale - Transporte (Descontada parcela do empregado)]])-2,0)*($G119-$H119)</f>
        <v>#NAME?</v>
      </c>
      <c r="AF119" s="22">
        <f>VLOOKUP($A119,tabCustoUnit[],COLUMN(CUSTO_GLOBAL[[#Headers],[Vale - Alimentação (Descontada parcela do empregado)]])-2,0)*($G119-$H119)</f>
        <v>582</v>
      </c>
      <c r="AG119" s="22">
        <f>VLOOKUP($A119,tabCustoUnit[],COLUMN(CUSTO_GLOBAL[[#Headers],[Cesta Básica]])-2,0)*($G119-$H119)</f>
        <v>0</v>
      </c>
      <c r="AH119" s="22">
        <f>VLOOKUP($A119,tabCustoUnit[],COLUMN(CUSTO_GLOBAL[[#Headers],[PAF]])-2,0)*($G119-$H119)</f>
        <v>57.07</v>
      </c>
      <c r="AI119" s="22">
        <f>VLOOKUP($A119,tabCustoUnit[],COLUMN(CUSTO_GLOBAL[[#Headers],[PQM]])-2,0)*($G119-$H119)</f>
        <v>0</v>
      </c>
      <c r="AJ119" s="22">
        <v>0</v>
      </c>
      <c r="AK119" s="22">
        <f>VLOOKUP($A119,tabCustoUnit[],COLUMN(CUSTO_GLOBAL[[#Headers],[Seguro de Vida]])-2,0)*($G119-$H119)</f>
        <v>3.36</v>
      </c>
      <c r="AL119" s="22">
        <f>VLOOKUP($A119,tabCustoUnit[],COLUMN(CUSTO_GLOBAL[[#Headers],[Despesas de Viagem]])-2,0)*($G119-$H119)</f>
        <v>0</v>
      </c>
      <c r="AM119" s="22" t="e">
        <f ca="1">VLOOKUP($A119,tabCustoUnit[],COLUMN(CUSTO_GLOBAL[[#Headers],[Submódulo 2.3]])-2,0)*($G119-$H119)</f>
        <v>#NAME?</v>
      </c>
      <c r="AN119" s="22" t="e">
        <f ca="1">VLOOKUP($A119,tabCustoUnit[],COLUMN(CUSTO_GLOBAL[[#Headers],[MÓDULO 2 - Total Encargos e Benefícios mensais e diários]])-2,0)*($G119-$H119)</f>
        <v>#NAME?</v>
      </c>
      <c r="AO119" s="22">
        <f>VLOOKUP($A119,tabCustoUnit[],COLUMN(CUSTO_GLOBAL[[#Headers],[Aviso Prévio Indenizado (API) e Reflexo do Aviso Prévio Indenizado]])-2,0)*($G119-$H119)</f>
        <v>18.229021396469907</v>
      </c>
      <c r="AP119" s="22">
        <f>VLOOKUP($A119,tabCustoUnit[],COLUMN(CUSTO_GLOBAL[[#Headers],[Incidência do FGTS sobre API e Reflexo do API]])-2,0)*($G119-$H119)</f>
        <v>1.4583217117175926</v>
      </c>
      <c r="AQ119" s="22">
        <f>VLOOKUP($A119,tabCustoUnit[],COLUMN(CUSTO_GLOBAL[[#Headers],[Multa Rescisória do FGTS sobre o Aviso Prévio Indenizado]])-2,0)*($G119-$H119)</f>
        <v>0.58332868468703702</v>
      </c>
      <c r="AR119" s="22">
        <f>VLOOKUP($A119,tabCustoUnit[],COLUMN(CUSTO_GLOBAL[[#Headers],[Aviso Prévio Trabalhado - APT]])-2,0)*($G119-$H119)</f>
        <v>9.0992149500000004</v>
      </c>
      <c r="AS119" s="22">
        <f>VLOOKUP($A119,tabCustoUnit[],COLUMN(CUSTO_GLOBAL[[#Headers],[Incidência dos encargos do submódulo 2.1 sobre Aviso Prévio Trabalhado]])-2,0)*($G119-$H119)</f>
        <v>3.4395032511000005</v>
      </c>
      <c r="AT119" s="22">
        <f>VLOOKUP($A119,tabCustoUnit[],COLUMN(CUSTO_GLOBAL[[#Headers],[Multa Rescisória do FGTS]])-2,0)*($G119-$H119)</f>
        <v>79.495363626666645</v>
      </c>
      <c r="AU119" s="22">
        <f>VLOOKUP($A119,tabCustoUnit[],COLUMN(CUSTO_GLOBAL[[#Headers],[Indenização Adicional (Art. 9º da Lei nº 7.238/84)]])-2,0)*($G119-$H119)</f>
        <v>2.1664797499999997</v>
      </c>
      <c r="AV119" s="22">
        <f>VLOOKUP($A119,tabCustoUnit[],COLUMN(CUSTO_GLOBAL[[#Headers],[MÓDULO 3 – PROVISÃO PARA RESCISÃO]])-2,0)*($G119-$H119)</f>
        <v>114.47123337064117</v>
      </c>
      <c r="AW119" s="22">
        <f>VLOOKUP($A119,tabCustoUnit[],COLUMN(CUSTO_GLOBAL[[#Headers],[Ausência por Doença]])-2,0)*($G119-$H119)</f>
        <v>21.953661466666663</v>
      </c>
      <c r="AX119" s="22">
        <f>VLOOKUP($A119,tabCustoUnit[],COLUMN(CUSTO_GLOBAL[[#Headers],[Ausências Legais]])-2,0)*($G119-$H119)</f>
        <v>5.2717673916666659</v>
      </c>
      <c r="AY119" s="22">
        <f>VLOOKUP($A119,tabCustoUnit[],COLUMN(CUSTO_GLOBAL[[#Headers],[Licença Paternidade]])-2,0)*($G119-$H119)</f>
        <v>0.44412834874999996</v>
      </c>
      <c r="AZ119" s="22">
        <f>VLOOKUP($A119,tabCustoUnit[],COLUMN(CUSTO_GLOBAL[[#Headers],[Ausência por Acidente de Trabalho]])-2,0)*($G119-$H119)</f>
        <v>0.54161993749999993</v>
      </c>
      <c r="BA119" s="22">
        <f>VLOOKUP($A119,tabCustoUnit[],COLUMN(CUSTO_GLOBAL[[#Headers],[Férias, Adicional de Férias e 13º  com empregada em gozo de Licença Maternidade]])-2,0)*($G119-$H119)</f>
        <v>3.3700796111111107</v>
      </c>
      <c r="BB119" s="22">
        <f>VLOOKUP($A119,tabCustoUnit[],COLUMN(CUSTO_GLOBAL[[#Headers],[Incidência do Submódulo 2.1 sobre Ausências Legais]])-2,0)*($G119-$H119)</f>
        <v>11.9377150536525</v>
      </c>
      <c r="BC119" s="22">
        <f>VLOOKUP($A119,tabCustoUnit[],COLUMN(CUSTO_GLOBAL[[#Headers],[Submódulo 4.1]])-2,0)*($G119-$H119)</f>
        <v>43.518971809346937</v>
      </c>
      <c r="BD119" s="22">
        <f>VLOOKUP($A119,tabCustoUnit[],COLUMN(CUSTO_GLOBAL[[#Headers],[Intervalo para Repouso ou Alimentação]])-2,0)*($G119-$H119)</f>
        <v>0</v>
      </c>
      <c r="BE119" s="22">
        <f>VLOOKUP($A119,tabCustoUnit[],COLUMN(CUSTO_GLOBAL[[#Headers],[Submódulo 4.2]])-2,0)*($G119-$H119)</f>
        <v>0</v>
      </c>
      <c r="BF119" s="22">
        <f>VLOOKUP($A119,tabCustoUnit[],COLUMN(CUSTO_GLOBAL[[#Headers],[Suspensão Temporária do Contrato de Trabalho]])-2,0)*($G119-$H119)</f>
        <v>0</v>
      </c>
      <c r="BG119" s="22">
        <f>VLOOKUP($A119,tabCustoUnit[],COLUMN(CUSTO_GLOBAL[[#Headers],[Submódulo 4.3]])-2,0)*($G119-$H119)</f>
        <v>0</v>
      </c>
      <c r="BH119" s="22">
        <f>VLOOKUP($A119,tabCustoUnit[],COLUMN(CUSTO_GLOBAL[[#Headers],[MÓDULO 4 – CUSTO DE REPOSIÇÃO DO PROFISSIONAL AUSENTE]])-2,0)*($G119-$H119)</f>
        <v>43.518971809346937</v>
      </c>
      <c r="BI119" s="22">
        <f>VLOOKUP($A119,tabCustoUnit[],COLUMN(CUSTO_GLOBAL[[#Headers],[Uniformes e EPIs]])-2,0)*($G119-$H119)</f>
        <v>196.62072732312174</v>
      </c>
      <c r="BJ119" s="22">
        <f>VLOOKUP($A119,tabCustoUnit[],COLUMN(CUSTO_GLOBAL[[#Headers],[Materiais de Consumo]])-2,0)*($G119-$H119)</f>
        <v>441.81099462365592</v>
      </c>
      <c r="BK119" s="22">
        <f>VLOOKUP($A119,tabCustoUnit[],COLUMN(CUSTO_GLOBAL[[#Headers],[Máquinas e Equipamentos (depreciação)]])-2,0)*($G119-$H119)</f>
        <v>113.11309677419354</v>
      </c>
      <c r="BL119" s="22">
        <f>VLOOKUP($A119,tabCustoUnit[],COLUMN(CUSTO_GLOBAL[[#Headers],[Produtos de Limpeza e Materiais de Higiene Pessoal]])-2,0)*($G119-$H119)</f>
        <v>0</v>
      </c>
      <c r="BM119" s="22">
        <f>VLOOKUP($A119,tabCustoUnit[],COLUMN(CUSTO_GLOBAL[[#Headers],[Outros (especificar)]])-2,0)*($G119-$H119)</f>
        <v>0</v>
      </c>
      <c r="BN119" s="22">
        <f>VLOOKUP($A119,tabCustoUnit[],COLUMN(CUSTO_GLOBAL[[#Headers],[MÓDULO 5 – INSUMOS DIVERSOS]])-2,0)*($G119-$H119)</f>
        <v>751.54481872097119</v>
      </c>
      <c r="BO119" s="22" t="e">
        <f ca="1">VLOOKUP($A119,tabCustoUnit[],COLUMN(CUSTO_GLOBAL[[#Headers],[TOTAL MÓDULOS 1+2+3+4+5]])-2,0)*($G119-$H119)</f>
        <v>#NAME?</v>
      </c>
      <c r="BP119" s="22" t="e">
        <f ca="1">VLOOKUP($A119,tabCustoUnit[],COLUMN(CUSTO_GLOBAL[[#Headers],[Custos Indiretos]])-2,0)*($G119-$H119)</f>
        <v>#NAME?</v>
      </c>
      <c r="BQ119" s="22" t="e">
        <f ca="1">VLOOKUP($A119,tabCustoUnit[],COLUMN(CUSTO_GLOBAL[[#Headers],[Lucro]])-2,0)*($G119-$H119)</f>
        <v>#NAME?</v>
      </c>
      <c r="BR119" s="26">
        <f>VLOOKUP($A119,tabCustoUnit[],COLUMN(CUSTO_GLOBAL[[#Headers],[COFINS]])-2,0)</f>
        <v>8.8629737609329504E-2</v>
      </c>
      <c r="BS119" s="26">
        <f>VLOOKUP($A119,tabCustoUnit[],COLUMN(CUSTO_GLOBAL[[#Headers],[PIS]])-2,0)</f>
        <v>1.9241982507288629E-2</v>
      </c>
      <c r="BT119" s="28">
        <f>VLOOKUP($A119,tabCustoUnit[],COLUMN(CUSTO_GLOBAL[[#Headers],[ISS]])-2,0)</f>
        <v>0.05</v>
      </c>
      <c r="BU119" s="26">
        <f>VLOOKUP($A119,tabCustoUnit[],COLUMN(CUSTO_GLOBAL[[#Headers],[ISS (Conversão Alíquota s/ fatura)]])-2,0)</f>
        <v>5.8309037900874633E-2</v>
      </c>
      <c r="BV119" s="26">
        <f>VLOOKUP($A119,tabCustoUnit[],COLUMN(CUSTO_GLOBAL[[#Headers],[Resumo de Alíquotas (PIS+CONFINS+ISS)]])-2,0)</f>
        <v>0.14250000000000002</v>
      </c>
      <c r="BW119" s="138">
        <f>VLOOKUP($A119,tabCustoUnit[],COLUMN(CUSTO_GLOBAL[[#Headers],[PIS + COFINS + ISS (Total Conversão  Alíquota s/ Fatura)]])-2,0)</f>
        <v>0.16618075801749277</v>
      </c>
      <c r="BX119" s="22" t="e">
        <f ca="1">VLOOKUP($A119,tabCustoUnit[],COLUMN(CUSTO_GLOBAL[[#Headers],[Valor dos Tributos (ISS, PIS, CONFINS)]])-2,0)*($G119-$H119)</f>
        <v>#NAME?</v>
      </c>
      <c r="BY119" s="22" t="e">
        <f ca="1">VLOOKUP($A119,tabCustoUnit[],COLUMN(CUSTO_GLOBAL[[#Headers],[MÓDULO 6 – CUSTOS INDIRETOS, TRIBUTOS E LUCRO]])-2,0)*($G119-$H119)</f>
        <v>#NAME?</v>
      </c>
      <c r="BZ119" s="22" t="e">
        <f ca="1">VLOOKUP($A119,tabCustoUnit[],COLUMN(CUSTO_GLOBAL[[#Headers],[CUSTO TOTAL MENSAL]])-2,0)*($G119-$H119)</f>
        <v>#NAME?</v>
      </c>
      <c r="CA119" s="22" t="e">
        <f ca="1">CUSTO_GLOBAL[[#This Row],[CUSTO TOTAL MENSAL]]*12</f>
        <v>#NAME?</v>
      </c>
      <c r="CB119" s="24">
        <f>VLOOKUP($A119,tabCustoUnit[],COLUMN(CUSTO_GLOBAL[[#Headers],[ANO DA CCT]])-2,0)</f>
        <v>45658</v>
      </c>
      <c r="CC119" s="25" t="str">
        <f>VLOOKUP($A119,tabCustoUnit[],COLUMN(CUSTO_GLOBAL[[#Headers],[Nº DE PEDIDO DA CCT]])-2,0)</f>
        <v>-</v>
      </c>
      <c r="CD119" s="25" t="str">
        <f>VLOOKUP($A119,tabCustoUnit[],COLUMN(CUSTO_GLOBAL[[#Headers],[TERMO ADITIVO ALTERAÇÃO DA CCT]])-2,0)</f>
        <v>-</v>
      </c>
    </row>
    <row r="120" spans="1:82">
      <c r="A120" s="20" t="s">
        <v>1578</v>
      </c>
      <c r="B120" t="s">
        <v>905</v>
      </c>
      <c r="C120" t="s">
        <v>324</v>
      </c>
      <c r="D120" t="s">
        <v>905</v>
      </c>
      <c r="E120" s="20" t="s">
        <v>1090</v>
      </c>
      <c r="F120" s="20" t="s">
        <v>120</v>
      </c>
      <c r="G120" s="20">
        <v>1</v>
      </c>
      <c r="H120" s="20">
        <v>0</v>
      </c>
      <c r="I120" s="21">
        <f>VLOOKUP($A120,tabCustoUnit[],COLUMN(CUSTO_GLOBAL[[#Headers],[Salário Base]])-2,0)*($G120-$H120)</f>
        <v>3397.1306</v>
      </c>
      <c r="J120" s="21">
        <f>VLOOKUP($A120,tabCustoUnit[],COLUMN(CUSTO_GLOBAL[[#Headers],[Adicional Periculosidade]])-2,0)*($G120-$H120)</f>
        <v>0</v>
      </c>
      <c r="K120" s="21">
        <f>VLOOKUP($A120,tabCustoUnit[],COLUMN(CUSTO_GLOBAL[[#Headers],[Adicional Insalubridade]])-2,0)*($G120-$H120)</f>
        <v>0</v>
      </c>
      <c r="L120" s="21">
        <f>VLOOKUP($A120,tabCustoUnit[],COLUMN(CUSTO_GLOBAL[[#Headers],[Adicional Noturno]])-2,0)*($G120-$H120)</f>
        <v>0</v>
      </c>
      <c r="M120" s="21">
        <f>VLOOKUP($A120,tabCustoUnit[],COLUMN(CUSTO_GLOBAL[[#Headers],[Adicional Motorista II (Gratificação)]])-2,0)*($G120-$H120)</f>
        <v>0</v>
      </c>
      <c r="N120" s="21">
        <f>VLOOKUP($A120,tabCustoUnit[],COLUMN(CUSTO_GLOBAL[[#Headers],[Adicional de Sobreaviso]])-2,0)*($G120-$H120)</f>
        <v>0</v>
      </c>
      <c r="O120" s="21">
        <f>VLOOKUP($A120,tabCustoUnit[],COLUMN(CUSTO_GLOBAL[[#Headers],[Horas Extras TI]])-2,0)*($G120-$H120)</f>
        <v>0</v>
      </c>
      <c r="P120" s="21">
        <f>VLOOKUP($A120,tabCustoUnit[],COLUMN(CUSTO_GLOBAL[[#Headers],[Adicional de Acúmulo de função]])-2,0)*($G120-$H120)</f>
        <v>0</v>
      </c>
      <c r="Q120" s="21">
        <f>VLOOKUP($A120,tabCustoUnit[],COLUMN(CUSTO_GLOBAL[[#Headers],[MODULO 1 - REMUNERAÇÃO ]])-2,0)*($G120-$H120)</f>
        <v>3397.1306</v>
      </c>
      <c r="R120" s="21">
        <f>VLOOKUP($A120,tabCustoUnit[],COLUMN(CUSTO_GLOBAL[[#Headers],[INSS]])-2,0)*($G120-$H120)</f>
        <v>679.42612000000008</v>
      </c>
      <c r="S120" s="21">
        <f>VLOOKUP($A120,tabCustoUnit[],COLUMN(CUSTO_GLOBAL[[#Headers],[SESI OU SESC]])-2,0)*($G120-$H120)</f>
        <v>50.956958999999998</v>
      </c>
      <c r="T120" s="21">
        <f>VLOOKUP($A120,tabCustoUnit[],COLUMN(CUSTO_GLOBAL[[#Headers],[SENAI OU SENAC]])-2,0)*($G120-$H120)</f>
        <v>33.971305999999998</v>
      </c>
      <c r="U120" s="21">
        <f>VLOOKUP($A120,tabCustoUnit[],COLUMN(CUSTO_GLOBAL[[#Headers],[INCRA]])-2,0)*($G120-$H120)</f>
        <v>6.7942612000000002</v>
      </c>
      <c r="V120" s="21">
        <f>VLOOKUP($A120,tabCustoUnit[],COLUMN(CUSTO_GLOBAL[[#Headers],[Salário Educação]])-2,0)*($G120-$H120)</f>
        <v>84.92826500000001</v>
      </c>
      <c r="W120" s="21">
        <f>VLOOKUP($A120,tabCustoUnit[],COLUMN(CUSTO_GLOBAL[[#Headers],[FGTS]])-2,0)*($G120-$H120)</f>
        <v>271.77044799999999</v>
      </c>
      <c r="X120" s="21">
        <f>VLOOKUP($A120,tabCustoUnit[],COLUMN(CUSTO_GLOBAL[[#Headers],[RAT Ajustado]])-2,0)*($G120-$H120)</f>
        <v>135.88522399999999</v>
      </c>
      <c r="Y120" s="21">
        <f>VLOOKUP($A120,tabCustoUnit[],COLUMN(CUSTO_GLOBAL[[#Headers],[SEBRAE]])-2,0)*($G120-$H120)</f>
        <v>20.3827836</v>
      </c>
      <c r="Z120" s="21">
        <f>VLOOKUP($A120,tabCustoUnit[],COLUMN(CUSTO_GLOBAL[[#Headers],[Submódulo 2.1]])-2,0)*($G120-$H120)</f>
        <v>1284.1153668000002</v>
      </c>
      <c r="AA120" s="21">
        <f>VLOOKUP($A120,tabCustoUnit[],COLUMN(CUSTO_GLOBAL[[#Headers],[13º salário (titular)]])-2,0)*($G120-$H120)</f>
        <v>283.09421666666663</v>
      </c>
      <c r="AB120" s="21">
        <f>VLOOKUP($A120,tabCustoUnit[],COLUMN(CUSTO_GLOBAL[[#Headers],[Férias e Adicional de Férias (titular)]])-2,0)*($G120-$H120)</f>
        <v>377.45895555555552</v>
      </c>
      <c r="AC120" s="21">
        <f>VLOOKUP($A120,tabCustoUnit[],COLUMN(CUSTO_GLOBAL[[#Headers],[Incidência do Submódulo 2.1 sobre 13º Salário, Férias e Adicional de Férias]])-2,0)*($G120-$H120)</f>
        <v>249.68909910000002</v>
      </c>
      <c r="AD120" s="21">
        <f>VLOOKUP($A120,tabCustoUnit[],COLUMN(CUSTO_GLOBAL[[#Headers],[Submódulo 2.2]])-2,0)*($G120-$H120)</f>
        <v>910.24227132222222</v>
      </c>
      <c r="AE120" s="22" t="e">
        <f ca="1">VLOOKUP($A120,tabCustoUnit[],COLUMN(CUSTO_GLOBAL[[#Headers],[Vale - Transporte (Descontada parcela do empregado)]])-2,0)*($G120-$H120)</f>
        <v>#NAME?</v>
      </c>
      <c r="AF120" s="22">
        <f>VLOOKUP($A120,tabCustoUnit[],COLUMN(CUSTO_GLOBAL[[#Headers],[Vale - Alimentação (Descontada parcela do empregado)]])-2,0)*($G120-$H120)</f>
        <v>582</v>
      </c>
      <c r="AG120" s="22">
        <f>VLOOKUP($A120,tabCustoUnit[],COLUMN(CUSTO_GLOBAL[[#Headers],[Cesta Básica]])-2,0)*($G120-$H120)</f>
        <v>0</v>
      </c>
      <c r="AH120" s="22">
        <f>VLOOKUP($A120,tabCustoUnit[],COLUMN(CUSTO_GLOBAL[[#Headers],[PAF]])-2,0)*($G120-$H120)</f>
        <v>57.07</v>
      </c>
      <c r="AI120" s="22">
        <f>VLOOKUP($A120,tabCustoUnit[],COLUMN(CUSTO_GLOBAL[[#Headers],[PQM]])-2,0)*($G120-$H120)</f>
        <v>0</v>
      </c>
      <c r="AJ120" s="22">
        <v>0</v>
      </c>
      <c r="AK120" s="22">
        <f>VLOOKUP($A120,tabCustoUnit[],COLUMN(CUSTO_GLOBAL[[#Headers],[Seguro de Vida]])-2,0)*($G120-$H120)</f>
        <v>3.36</v>
      </c>
      <c r="AL120" s="22">
        <f>VLOOKUP($A120,tabCustoUnit[],COLUMN(CUSTO_GLOBAL[[#Headers],[Despesas de Viagem]])-2,0)*($G120-$H120)</f>
        <v>0</v>
      </c>
      <c r="AM120" s="22" t="e">
        <f ca="1">VLOOKUP($A120,tabCustoUnit[],COLUMN(CUSTO_GLOBAL[[#Headers],[Submódulo 2.3]])-2,0)*($G120-$H120)</f>
        <v>#NAME?</v>
      </c>
      <c r="AN120" s="22" t="e">
        <f ca="1">VLOOKUP($A120,tabCustoUnit[],COLUMN(CUSTO_GLOBAL[[#Headers],[MÓDULO 2 - Total Encargos e Benefícios mensais e diários]])-2,0)*($G120-$H120)</f>
        <v>#NAME?</v>
      </c>
      <c r="AO120" s="22">
        <f>VLOOKUP($A120,tabCustoUnit[],COLUMN(CUSTO_GLOBAL[[#Headers],[Aviso Prévio Indenizado (API) e Reflexo do Aviso Prévio Indenizado]])-2,0)*($G120-$H120)</f>
        <v>23.819888151890432</v>
      </c>
      <c r="AP120" s="22">
        <f>VLOOKUP($A120,tabCustoUnit[],COLUMN(CUSTO_GLOBAL[[#Headers],[Incidência do FGTS sobre API e Reflexo do API]])-2,0)*($G120-$H120)</f>
        <v>1.9055910521512347</v>
      </c>
      <c r="AQ120" s="22">
        <f>VLOOKUP($A120,tabCustoUnit[],COLUMN(CUSTO_GLOBAL[[#Headers],[Multa Rescisória do FGTS sobre o Aviso Prévio Indenizado]])-2,0)*($G120-$H120)</f>
        <v>0.76223642086049392</v>
      </c>
      <c r="AR120" s="22">
        <f>VLOOKUP($A120,tabCustoUnit[],COLUMN(CUSTO_GLOBAL[[#Headers],[Aviso Prévio Trabalhado - APT]])-2,0)*($G120-$H120)</f>
        <v>11.889957100000002</v>
      </c>
      <c r="AS120" s="22">
        <f>VLOOKUP($A120,tabCustoUnit[],COLUMN(CUSTO_GLOBAL[[#Headers],[Incidência dos encargos do submódulo 2.1 sobre Aviso Prévio Trabalhado]])-2,0)*($G120-$H120)</f>
        <v>4.4944037838000011</v>
      </c>
      <c r="AT120" s="22">
        <f>VLOOKUP($A120,tabCustoUnit[],COLUMN(CUSTO_GLOBAL[[#Headers],[Multa Rescisória do FGTS]])-2,0)*($G120-$H120)</f>
        <v>103.87670456888887</v>
      </c>
      <c r="AU120" s="22">
        <f>VLOOKUP($A120,tabCustoUnit[],COLUMN(CUSTO_GLOBAL[[#Headers],[Indenização Adicional (Art. 9º da Lei nº 7.238/84)]])-2,0)*($G120-$H120)</f>
        <v>2.830942166666667</v>
      </c>
      <c r="AV120" s="22">
        <f>VLOOKUP($A120,tabCustoUnit[],COLUMN(CUSTO_GLOBAL[[#Headers],[MÓDULO 3 – PROVISÃO PARA RESCISÃO]])-2,0)*($G120-$H120)</f>
        <v>149.57972324425771</v>
      </c>
      <c r="AW120" s="22">
        <f>VLOOKUP($A120,tabCustoUnit[],COLUMN(CUSTO_GLOBAL[[#Headers],[Ausência por Doença]])-2,0)*($G120-$H120)</f>
        <v>28.686880622222219</v>
      </c>
      <c r="AX120" s="22">
        <f>VLOOKUP($A120,tabCustoUnit[],COLUMN(CUSTO_GLOBAL[[#Headers],[Ausências Legais]])-2,0)*($G120-$H120)</f>
        <v>6.8886259388888886</v>
      </c>
      <c r="AY120" s="22">
        <f>VLOOKUP($A120,tabCustoUnit[],COLUMN(CUSTO_GLOBAL[[#Headers],[Licença Paternidade]])-2,0)*($G120-$H120)</f>
        <v>0.58034314416666666</v>
      </c>
      <c r="AZ120" s="22">
        <f>VLOOKUP($A120,tabCustoUnit[],COLUMN(CUSTO_GLOBAL[[#Headers],[Ausência por Acidente de Trabalho]])-2,0)*($G120-$H120)</f>
        <v>0.70773554166666675</v>
      </c>
      <c r="BA120" s="22">
        <f>VLOOKUP($A120,tabCustoUnit[],COLUMN(CUSTO_GLOBAL[[#Headers],[Férias, Adicional de Férias e 13º  com empregada em gozo de Licença Maternidade]])-2,0)*($G120-$H120)</f>
        <v>4.4036878148148144</v>
      </c>
      <c r="BB120" s="22">
        <f>VLOOKUP($A120,tabCustoUnit[],COLUMN(CUSTO_GLOBAL[[#Headers],[Incidência do Submódulo 2.1 sobre Ausências Legais]])-2,0)*($G120-$H120)</f>
        <v>15.599029217345002</v>
      </c>
      <c r="BC120" s="22">
        <f>VLOOKUP($A120,tabCustoUnit[],COLUMN(CUSTO_GLOBAL[[#Headers],[Submódulo 4.1]])-2,0)*($G120-$H120)</f>
        <v>56.866302279104261</v>
      </c>
      <c r="BD120" s="22">
        <f>VLOOKUP($A120,tabCustoUnit[],COLUMN(CUSTO_GLOBAL[[#Headers],[Intervalo para Repouso ou Alimentação]])-2,0)*($G120-$H120)</f>
        <v>0</v>
      </c>
      <c r="BE120" s="22">
        <f>VLOOKUP($A120,tabCustoUnit[],COLUMN(CUSTO_GLOBAL[[#Headers],[Submódulo 4.2]])-2,0)*($G120-$H120)</f>
        <v>0</v>
      </c>
      <c r="BF120" s="22">
        <f>VLOOKUP($A120,tabCustoUnit[],COLUMN(CUSTO_GLOBAL[[#Headers],[Suspensão Temporária do Contrato de Trabalho]])-2,0)*($G120-$H120)</f>
        <v>0</v>
      </c>
      <c r="BG120" s="22">
        <f>VLOOKUP($A120,tabCustoUnit[],COLUMN(CUSTO_GLOBAL[[#Headers],[Submódulo 4.3]])-2,0)*($G120-$H120)</f>
        <v>0</v>
      </c>
      <c r="BH120" s="22">
        <f>VLOOKUP($A120,tabCustoUnit[],COLUMN(CUSTO_GLOBAL[[#Headers],[MÓDULO 4 – CUSTO DE REPOSIÇÃO DO PROFISSIONAL AUSENTE]])-2,0)*($G120-$H120)</f>
        <v>56.866302279104261</v>
      </c>
      <c r="BI120" s="22">
        <f>VLOOKUP($A120,tabCustoUnit[],COLUMN(CUSTO_GLOBAL[[#Headers],[Uniformes e EPIs]])-2,0)*($G120-$H120)</f>
        <v>56.642978962543395</v>
      </c>
      <c r="BJ120" s="22">
        <f>VLOOKUP($A120,tabCustoUnit[],COLUMN(CUSTO_GLOBAL[[#Headers],[Materiais de Consumo]])-2,0)*($G120-$H120)</f>
        <v>0</v>
      </c>
      <c r="BK120" s="22">
        <f>VLOOKUP($A120,tabCustoUnit[],COLUMN(CUSTO_GLOBAL[[#Headers],[Máquinas e Equipamentos (depreciação)]])-2,0)*($G120-$H120)</f>
        <v>0</v>
      </c>
      <c r="BL120" s="22">
        <f>VLOOKUP($A120,tabCustoUnit[],COLUMN(CUSTO_GLOBAL[[#Headers],[Produtos de Limpeza e Materiais de Higiene Pessoal]])-2,0)*($G120-$H120)</f>
        <v>0</v>
      </c>
      <c r="BM120" s="22">
        <f>VLOOKUP($A120,tabCustoUnit[],COLUMN(CUSTO_GLOBAL[[#Headers],[Outros (especificar)]])-2,0)*($G120-$H120)</f>
        <v>0</v>
      </c>
      <c r="BN120" s="22">
        <f>VLOOKUP($A120,tabCustoUnit[],COLUMN(CUSTO_GLOBAL[[#Headers],[MÓDULO 5 – INSUMOS DIVERSOS]])-2,0)*($G120-$H120)</f>
        <v>56.642978962543395</v>
      </c>
      <c r="BO120" s="22" t="e">
        <f ca="1">VLOOKUP($A120,tabCustoUnit[],COLUMN(CUSTO_GLOBAL[[#Headers],[TOTAL MÓDULOS 1+2+3+4+5]])-2,0)*($G120-$H120)</f>
        <v>#NAME?</v>
      </c>
      <c r="BP120" s="22" t="e">
        <f ca="1">VLOOKUP($A120,tabCustoUnit[],COLUMN(CUSTO_GLOBAL[[#Headers],[Custos Indiretos]])-2,0)*($G120-$H120)</f>
        <v>#NAME?</v>
      </c>
      <c r="BQ120" s="22" t="e">
        <f ca="1">VLOOKUP($A120,tabCustoUnit[],COLUMN(CUSTO_GLOBAL[[#Headers],[Lucro]])-2,0)*($G120-$H120)</f>
        <v>#NAME?</v>
      </c>
      <c r="BR120" s="26">
        <f>VLOOKUP($A120,tabCustoUnit[],COLUMN(CUSTO_GLOBAL[[#Headers],[COFINS]])-2,0)</f>
        <v>8.8629737609329504E-2</v>
      </c>
      <c r="BS120" s="26">
        <f>VLOOKUP($A120,tabCustoUnit[],COLUMN(CUSTO_GLOBAL[[#Headers],[PIS]])-2,0)</f>
        <v>1.9241982507288629E-2</v>
      </c>
      <c r="BT120" s="28">
        <f>VLOOKUP($A120,tabCustoUnit[],COLUMN(CUSTO_GLOBAL[[#Headers],[ISS]])-2,0)</f>
        <v>0.05</v>
      </c>
      <c r="BU120" s="26">
        <f>VLOOKUP($A120,tabCustoUnit[],COLUMN(CUSTO_GLOBAL[[#Headers],[ISS (Conversão Alíquota s/ fatura)]])-2,0)</f>
        <v>5.8309037900874633E-2</v>
      </c>
      <c r="BV120" s="26">
        <f>VLOOKUP($A120,tabCustoUnit[],COLUMN(CUSTO_GLOBAL[[#Headers],[Resumo de Alíquotas (PIS+CONFINS+ISS)]])-2,0)</f>
        <v>0.14250000000000002</v>
      </c>
      <c r="BW120" s="138">
        <f>VLOOKUP($A120,tabCustoUnit[],COLUMN(CUSTO_GLOBAL[[#Headers],[PIS + COFINS + ISS (Total Conversão  Alíquota s/ Fatura)]])-2,0)</f>
        <v>0.16618075801749277</v>
      </c>
      <c r="BX120" s="22" t="e">
        <f ca="1">VLOOKUP($A120,tabCustoUnit[],COLUMN(CUSTO_GLOBAL[[#Headers],[Valor dos Tributos (ISS, PIS, CONFINS)]])-2,0)*($G120-$H120)</f>
        <v>#NAME?</v>
      </c>
      <c r="BY120" s="22" t="e">
        <f ca="1">VLOOKUP($A120,tabCustoUnit[],COLUMN(CUSTO_GLOBAL[[#Headers],[MÓDULO 6 – CUSTOS INDIRETOS, TRIBUTOS E LUCRO]])-2,0)*($G120-$H120)</f>
        <v>#NAME?</v>
      </c>
      <c r="BZ120" s="22" t="e">
        <f ca="1">VLOOKUP($A120,tabCustoUnit[],COLUMN(CUSTO_GLOBAL[[#Headers],[CUSTO TOTAL MENSAL]])-2,0)*($G120-$H120)</f>
        <v>#NAME?</v>
      </c>
      <c r="CA120" s="22" t="e">
        <f ca="1">CUSTO_GLOBAL[[#This Row],[CUSTO TOTAL MENSAL]]*12</f>
        <v>#NAME?</v>
      </c>
      <c r="CB120" s="24">
        <f>VLOOKUP($A120,tabCustoUnit[],COLUMN(CUSTO_GLOBAL[[#Headers],[ANO DA CCT]])-2,0)</f>
        <v>45658</v>
      </c>
      <c r="CC120" s="25" t="str">
        <f>VLOOKUP($A120,tabCustoUnit[],COLUMN(CUSTO_GLOBAL[[#Headers],[Nº DE PEDIDO DA CCT]])-2,0)</f>
        <v>-</v>
      </c>
      <c r="CD120" s="25" t="str">
        <f>VLOOKUP($A120,tabCustoUnit[],COLUMN(CUSTO_GLOBAL[[#Headers],[TERMO ADITIVO ALTERAÇÃO DA CCT]])-2,0)</f>
        <v>-</v>
      </c>
    </row>
    <row r="121" spans="1:82">
      <c r="A121" s="20" t="s">
        <v>1579</v>
      </c>
      <c r="B121" t="s">
        <v>1125</v>
      </c>
      <c r="C121" t="s">
        <v>309</v>
      </c>
      <c r="D121" t="s">
        <v>957</v>
      </c>
      <c r="E121" s="20" t="s">
        <v>1090</v>
      </c>
      <c r="F121" s="20" t="s">
        <v>120</v>
      </c>
      <c r="G121" s="20">
        <v>2</v>
      </c>
      <c r="H121" s="20">
        <v>0</v>
      </c>
      <c r="I121" s="21">
        <f>VLOOKUP($A121,tabCustoUnit[],COLUMN(CUSTO_GLOBAL[[#Headers],[Salário Base]])-2,0)*($G121-$H121)</f>
        <v>3926.8220000000001</v>
      </c>
      <c r="J121" s="21">
        <f>VLOOKUP($A121,tabCustoUnit[],COLUMN(CUSTO_GLOBAL[[#Headers],[Adicional Periculosidade]])-2,0)*($G121-$H121)</f>
        <v>0</v>
      </c>
      <c r="K121" s="21">
        <f>VLOOKUP($A121,tabCustoUnit[],COLUMN(CUSTO_GLOBAL[[#Headers],[Adicional Insalubridade]])-2,0)*($G121-$H121)</f>
        <v>0</v>
      </c>
      <c r="L121" s="21">
        <f>VLOOKUP($A121,tabCustoUnit[],COLUMN(CUSTO_GLOBAL[[#Headers],[Adicional Noturno]])-2,0)*($G121-$H121)</f>
        <v>791.25459999999998</v>
      </c>
      <c r="M121" s="21">
        <f>VLOOKUP($A121,tabCustoUnit[],COLUMN(CUSTO_GLOBAL[[#Headers],[Adicional Motorista II (Gratificação)]])-2,0)*($G121-$H121)</f>
        <v>0</v>
      </c>
      <c r="N121" s="21">
        <f>VLOOKUP($A121,tabCustoUnit[],COLUMN(CUSTO_GLOBAL[[#Headers],[Adicional de Sobreaviso]])-2,0)*($G121-$H121)</f>
        <v>0</v>
      </c>
      <c r="O121" s="21">
        <f>VLOOKUP($A121,tabCustoUnit[],COLUMN(CUSTO_GLOBAL[[#Headers],[Horas Extras TI]])-2,0)*($G121-$H121)</f>
        <v>0</v>
      </c>
      <c r="P121" s="21">
        <f>VLOOKUP($A121,tabCustoUnit[],COLUMN(CUSTO_GLOBAL[[#Headers],[Adicional de Acúmulo de função]])-2,0)*($G121-$H121)</f>
        <v>0</v>
      </c>
      <c r="Q121" s="21">
        <f>VLOOKUP($A121,tabCustoUnit[],COLUMN(CUSTO_GLOBAL[[#Headers],[MODULO 1 - REMUNERAÇÃO ]])-2,0)*($G121-$H121)</f>
        <v>4718.0766000000003</v>
      </c>
      <c r="R121" s="21">
        <f>VLOOKUP($A121,tabCustoUnit[],COLUMN(CUSTO_GLOBAL[[#Headers],[INSS]])-2,0)*($G121-$H121)</f>
        <v>943.61532000000011</v>
      </c>
      <c r="S121" s="21">
        <f>VLOOKUP($A121,tabCustoUnit[],COLUMN(CUSTO_GLOBAL[[#Headers],[SESI OU SESC]])-2,0)*($G121-$H121)</f>
        <v>70.771149000000008</v>
      </c>
      <c r="T121" s="21">
        <f>VLOOKUP($A121,tabCustoUnit[],COLUMN(CUSTO_GLOBAL[[#Headers],[SENAI OU SENAC]])-2,0)*($G121-$H121)</f>
        <v>47.180766000000006</v>
      </c>
      <c r="U121" s="21">
        <f>VLOOKUP($A121,tabCustoUnit[],COLUMN(CUSTO_GLOBAL[[#Headers],[INCRA]])-2,0)*($G121-$H121)</f>
        <v>9.4361532000000015</v>
      </c>
      <c r="V121" s="21">
        <f>VLOOKUP($A121,tabCustoUnit[],COLUMN(CUSTO_GLOBAL[[#Headers],[Salário Educação]])-2,0)*($G121-$H121)</f>
        <v>117.95191500000001</v>
      </c>
      <c r="W121" s="21">
        <f>VLOOKUP($A121,tabCustoUnit[],COLUMN(CUSTO_GLOBAL[[#Headers],[FGTS]])-2,0)*($G121-$H121)</f>
        <v>377.44612800000004</v>
      </c>
      <c r="X121" s="21">
        <f>VLOOKUP($A121,tabCustoUnit[],COLUMN(CUSTO_GLOBAL[[#Headers],[RAT Ajustado]])-2,0)*($G121-$H121)</f>
        <v>188.72306400000002</v>
      </c>
      <c r="Y121" s="21">
        <f>VLOOKUP($A121,tabCustoUnit[],COLUMN(CUSTO_GLOBAL[[#Headers],[SEBRAE]])-2,0)*($G121-$H121)</f>
        <v>28.308459600000003</v>
      </c>
      <c r="Z121" s="21">
        <f>VLOOKUP($A121,tabCustoUnit[],COLUMN(CUSTO_GLOBAL[[#Headers],[Submódulo 2.1]])-2,0)*($G121-$H121)</f>
        <v>1783.4329548000005</v>
      </c>
      <c r="AA121" s="21">
        <f>VLOOKUP($A121,tabCustoUnit[],COLUMN(CUSTO_GLOBAL[[#Headers],[13º salário (titular)]])-2,0)*($G121-$H121)</f>
        <v>393.17304999999999</v>
      </c>
      <c r="AB121" s="21">
        <f>VLOOKUP($A121,tabCustoUnit[],COLUMN(CUSTO_GLOBAL[[#Headers],[Férias e Adicional de Férias (titular)]])-2,0)*($G121-$H121)</f>
        <v>524.23073333333332</v>
      </c>
      <c r="AC121" s="21">
        <f>VLOOKUP($A121,tabCustoUnit[],COLUMN(CUSTO_GLOBAL[[#Headers],[Incidência do Submódulo 2.1 sobre 13º Salário, Férias e Adicional de Férias]])-2,0)*($G121-$H121)</f>
        <v>346.77863010000004</v>
      </c>
      <c r="AD121" s="21">
        <f>VLOOKUP($A121,tabCustoUnit[],COLUMN(CUSTO_GLOBAL[[#Headers],[Submódulo 2.2]])-2,0)*($G121-$H121)</f>
        <v>1264.1824134333333</v>
      </c>
      <c r="AE121" s="22" t="e">
        <f ca="1">VLOOKUP($A121,tabCustoUnit[],COLUMN(CUSTO_GLOBAL[[#Headers],[Vale - Transporte (Descontada parcela do empregado)]])-2,0)*($G121-$H121)</f>
        <v>#NAME?</v>
      </c>
      <c r="AF121" s="22">
        <f>VLOOKUP($A121,tabCustoUnit[],COLUMN(CUSTO_GLOBAL[[#Headers],[Vale - Alimentação (Descontada parcela do empregado)]])-2,0)*($G121-$H121)</f>
        <v>1164</v>
      </c>
      <c r="AG121" s="22">
        <f>VLOOKUP($A121,tabCustoUnit[],COLUMN(CUSTO_GLOBAL[[#Headers],[Cesta Básica]])-2,0)*($G121-$H121)</f>
        <v>0</v>
      </c>
      <c r="AH121" s="22">
        <f>VLOOKUP($A121,tabCustoUnit[],COLUMN(CUSTO_GLOBAL[[#Headers],[PAF]])-2,0)*($G121-$H121)</f>
        <v>103.74</v>
      </c>
      <c r="AI121" s="22">
        <f>VLOOKUP($A121,tabCustoUnit[],COLUMN(CUSTO_GLOBAL[[#Headers],[PQM]])-2,0)*($G121-$H121)</f>
        <v>0</v>
      </c>
      <c r="AJ121" s="22">
        <v>0</v>
      </c>
      <c r="AK121" s="22">
        <f>VLOOKUP($A121,tabCustoUnit[],COLUMN(CUSTO_GLOBAL[[#Headers],[Seguro de Vida]])-2,0)*($G121-$H121)</f>
        <v>6.72</v>
      </c>
      <c r="AL121" s="22">
        <f>VLOOKUP($A121,tabCustoUnit[],COLUMN(CUSTO_GLOBAL[[#Headers],[Despesas de Viagem]])-2,0)*($G121-$H121)</f>
        <v>0</v>
      </c>
      <c r="AM121" s="22" t="e">
        <f ca="1">VLOOKUP($A121,tabCustoUnit[],COLUMN(CUSTO_GLOBAL[[#Headers],[Submódulo 2.3]])-2,0)*($G121-$H121)</f>
        <v>#NAME?</v>
      </c>
      <c r="AN121" s="22" t="e">
        <f ca="1">VLOOKUP($A121,tabCustoUnit[],COLUMN(CUSTO_GLOBAL[[#Headers],[MÓDULO 2 - Total Encargos e Benefícios mensais e diários]])-2,0)*($G121-$H121)</f>
        <v>#NAME?</v>
      </c>
      <c r="AO121" s="22">
        <f>VLOOKUP($A121,tabCustoUnit[],COLUMN(CUSTO_GLOBAL[[#Headers],[Aviso Prévio Indenizado (API) e Reflexo do Aviso Prévio Indenizado]])-2,0)*($G121-$H121)</f>
        <v>33.082053690856483</v>
      </c>
      <c r="AP121" s="22">
        <f>VLOOKUP($A121,tabCustoUnit[],COLUMN(CUSTO_GLOBAL[[#Headers],[Incidência do FGTS sobre API e Reflexo do API]])-2,0)*($G121-$H121)</f>
        <v>2.6465642952685191</v>
      </c>
      <c r="AQ121" s="22">
        <f>VLOOKUP($A121,tabCustoUnit[],COLUMN(CUSTO_GLOBAL[[#Headers],[Multa Rescisória do FGTS sobre o Aviso Prévio Indenizado]])-2,0)*($G121-$H121)</f>
        <v>1.0586257181074077</v>
      </c>
      <c r="AR121" s="22">
        <f>VLOOKUP($A121,tabCustoUnit[],COLUMN(CUSTO_GLOBAL[[#Headers],[Aviso Prévio Trabalhado - APT]])-2,0)*($G121-$H121)</f>
        <v>16.513268100000005</v>
      </c>
      <c r="AS121" s="22">
        <f>VLOOKUP($A121,tabCustoUnit[],COLUMN(CUSTO_GLOBAL[[#Headers],[Incidência dos encargos do submódulo 2.1 sobre Aviso Prévio Trabalhado]])-2,0)*($G121-$H121)</f>
        <v>6.2420153418000019</v>
      </c>
      <c r="AT121" s="22">
        <f>VLOOKUP($A121,tabCustoUnit[],COLUMN(CUSTO_GLOBAL[[#Headers],[Multa Rescisória do FGTS]])-2,0)*($G121-$H121)</f>
        <v>144.26829781333333</v>
      </c>
      <c r="AU121" s="22">
        <f>VLOOKUP($A121,tabCustoUnit[],COLUMN(CUSTO_GLOBAL[[#Headers],[Indenização Adicional (Art. 9º da Lei nº 7.238/84)]])-2,0)*($G121-$H121)</f>
        <v>3.9317305000000005</v>
      </c>
      <c r="AV121" s="22">
        <f>VLOOKUP($A121,tabCustoUnit[],COLUMN(CUSTO_GLOBAL[[#Headers],[MÓDULO 3 – PROVISÃO PARA RESCISÃO]])-2,0)*($G121-$H121)</f>
        <v>207.74255545936575</v>
      </c>
      <c r="AW121" s="22">
        <f>VLOOKUP($A121,tabCustoUnit[],COLUMN(CUSTO_GLOBAL[[#Headers],[Ausência por Doença]])-2,0)*($G121-$H121)</f>
        <v>39.84153573333333</v>
      </c>
      <c r="AX121" s="22">
        <f>VLOOKUP($A121,tabCustoUnit[],COLUMN(CUSTO_GLOBAL[[#Headers],[Ausências Legais]])-2,0)*($G121-$H121)</f>
        <v>9.5672108833333329</v>
      </c>
      <c r="AY121" s="22">
        <f>VLOOKUP($A121,tabCustoUnit[],COLUMN(CUSTO_GLOBAL[[#Headers],[Licença Paternidade]])-2,0)*($G121-$H121)</f>
        <v>0.80600475250000003</v>
      </c>
      <c r="AZ121" s="22">
        <f>VLOOKUP($A121,tabCustoUnit[],COLUMN(CUSTO_GLOBAL[[#Headers],[Ausência por Acidente de Trabalho]])-2,0)*($G121-$H121)</f>
        <v>0.98293262500000012</v>
      </c>
      <c r="BA121" s="22">
        <f>VLOOKUP($A121,tabCustoUnit[],COLUMN(CUSTO_GLOBAL[[#Headers],[Férias, Adicional de Férias e 13º  com empregada em gozo de Licença Maternidade]])-2,0)*($G121-$H121)</f>
        <v>6.1160252222222224</v>
      </c>
      <c r="BB121" s="22">
        <f>VLOOKUP($A121,tabCustoUnit[],COLUMN(CUSTO_GLOBAL[[#Headers],[Incidência do Submódulo 2.1 sobre Ausências Legais]])-2,0)*($G121-$H121)</f>
        <v>21.664582083795004</v>
      </c>
      <c r="BC121" s="22">
        <f>VLOOKUP($A121,tabCustoUnit[],COLUMN(CUSTO_GLOBAL[[#Headers],[Submódulo 4.1]])-2,0)*($G121-$H121)</f>
        <v>78.978291300183884</v>
      </c>
      <c r="BD121" s="22">
        <f>VLOOKUP($A121,tabCustoUnit[],COLUMN(CUSTO_GLOBAL[[#Headers],[Intervalo para Repouso ou Alimentação]])-2,0)*($G121-$H121)</f>
        <v>522.35848681753384</v>
      </c>
      <c r="BE121" s="22">
        <f>VLOOKUP($A121,tabCustoUnit[],COLUMN(CUSTO_GLOBAL[[#Headers],[Submódulo 4.2]])-2,0)*($G121-$H121)</f>
        <v>522.35848681753384</v>
      </c>
      <c r="BF121" s="22">
        <f>VLOOKUP($A121,tabCustoUnit[],COLUMN(CUSTO_GLOBAL[[#Headers],[Suspensão Temporária do Contrato de Trabalho]])-2,0)*($G121-$H121)</f>
        <v>0</v>
      </c>
      <c r="BG121" s="22">
        <f>VLOOKUP($A121,tabCustoUnit[],COLUMN(CUSTO_GLOBAL[[#Headers],[Submódulo 4.3]])-2,0)*($G121-$H121)</f>
        <v>0</v>
      </c>
      <c r="BH121" s="22">
        <f>VLOOKUP($A121,tabCustoUnit[],COLUMN(CUSTO_GLOBAL[[#Headers],[MÓDULO 4 – CUSTO DE REPOSIÇÃO DO PROFISSIONAL AUSENTE]])-2,0)*($G121-$H121)</f>
        <v>601.3367781177177</v>
      </c>
      <c r="BI121" s="22">
        <f>VLOOKUP($A121,tabCustoUnit[],COLUMN(CUSTO_GLOBAL[[#Headers],[Uniformes e EPIs]])-2,0)*($G121-$H121)</f>
        <v>113.28595792508679</v>
      </c>
      <c r="BJ121" s="22">
        <f>VLOOKUP($A121,tabCustoUnit[],COLUMN(CUSTO_GLOBAL[[#Headers],[Materiais de Consumo]])-2,0)*($G121-$H121)</f>
        <v>0</v>
      </c>
      <c r="BK121" s="22">
        <f>VLOOKUP($A121,tabCustoUnit[],COLUMN(CUSTO_GLOBAL[[#Headers],[Máquinas e Equipamentos (depreciação)]])-2,0)*($G121-$H121)</f>
        <v>0</v>
      </c>
      <c r="BL121" s="22">
        <f>VLOOKUP($A121,tabCustoUnit[],COLUMN(CUSTO_GLOBAL[[#Headers],[Produtos de Limpeza e Materiais de Higiene Pessoal]])-2,0)*($G121-$H121)</f>
        <v>0</v>
      </c>
      <c r="BM121" s="22">
        <f>VLOOKUP($A121,tabCustoUnit[],COLUMN(CUSTO_GLOBAL[[#Headers],[Outros (especificar)]])-2,0)*($G121-$H121)</f>
        <v>0</v>
      </c>
      <c r="BN121" s="22">
        <f>VLOOKUP($A121,tabCustoUnit[],COLUMN(CUSTO_GLOBAL[[#Headers],[MÓDULO 5 – INSUMOS DIVERSOS]])-2,0)*($G121-$H121)</f>
        <v>113.28595792508679</v>
      </c>
      <c r="BO121" s="22" t="e">
        <f ca="1">VLOOKUP($A121,tabCustoUnit[],COLUMN(CUSTO_GLOBAL[[#Headers],[TOTAL MÓDULOS 1+2+3+4+5]])-2,0)*($G121-$H121)</f>
        <v>#NAME?</v>
      </c>
      <c r="BP121" s="22" t="e">
        <f ca="1">VLOOKUP($A121,tabCustoUnit[],COLUMN(CUSTO_GLOBAL[[#Headers],[Custos Indiretos]])-2,0)*($G121-$H121)</f>
        <v>#NAME?</v>
      </c>
      <c r="BQ121" s="22" t="e">
        <f ca="1">VLOOKUP($A121,tabCustoUnit[],COLUMN(CUSTO_GLOBAL[[#Headers],[Lucro]])-2,0)*($G121-$H121)</f>
        <v>#NAME?</v>
      </c>
      <c r="BR121" s="26">
        <f>VLOOKUP($A121,tabCustoUnit[],COLUMN(CUSTO_GLOBAL[[#Headers],[COFINS]])-2,0)</f>
        <v>8.5633802816901458E-2</v>
      </c>
      <c r="BS121" s="26">
        <f>VLOOKUP($A121,tabCustoUnit[],COLUMN(CUSTO_GLOBAL[[#Headers],[PIS]])-2,0)</f>
        <v>1.8591549295774657E-2</v>
      </c>
      <c r="BT121" s="28">
        <f>VLOOKUP($A121,tabCustoUnit[],COLUMN(CUSTO_GLOBAL[[#Headers],[ISS]])-2,0)</f>
        <v>0.02</v>
      </c>
      <c r="BU121" s="26">
        <f>VLOOKUP($A121,tabCustoUnit[],COLUMN(CUSTO_GLOBAL[[#Headers],[ISS (Conversão Alíquota s/ fatura)]])-2,0)</f>
        <v>2.2535211267605645E-2</v>
      </c>
      <c r="BV121" s="26">
        <f>VLOOKUP($A121,tabCustoUnit[],COLUMN(CUSTO_GLOBAL[[#Headers],[Resumo de Alíquotas (PIS+CONFINS+ISS)]])-2,0)</f>
        <v>0.1125</v>
      </c>
      <c r="BW121" s="138">
        <f>VLOOKUP($A121,tabCustoUnit[],COLUMN(CUSTO_GLOBAL[[#Headers],[PIS + COFINS + ISS (Total Conversão  Alíquota s/ Fatura)]])-2,0)</f>
        <v>0.12676056338028174</v>
      </c>
      <c r="BX121" s="22" t="e">
        <f ca="1">VLOOKUP($A121,tabCustoUnit[],COLUMN(CUSTO_GLOBAL[[#Headers],[Valor dos Tributos (ISS, PIS, CONFINS)]])-2,0)*($G121-$H121)</f>
        <v>#NAME?</v>
      </c>
      <c r="BY121" s="22" t="e">
        <f ca="1">VLOOKUP($A121,tabCustoUnit[],COLUMN(CUSTO_GLOBAL[[#Headers],[MÓDULO 6 – CUSTOS INDIRETOS, TRIBUTOS E LUCRO]])-2,0)*($G121-$H121)</f>
        <v>#NAME?</v>
      </c>
      <c r="BZ121" s="22" t="e">
        <f ca="1">VLOOKUP($A121,tabCustoUnit[],COLUMN(CUSTO_GLOBAL[[#Headers],[CUSTO TOTAL MENSAL]])-2,0)*($G121-$H121)</f>
        <v>#NAME?</v>
      </c>
      <c r="CA121" s="22" t="e">
        <f ca="1">CUSTO_GLOBAL[[#This Row],[CUSTO TOTAL MENSAL]]*12</f>
        <v>#NAME?</v>
      </c>
      <c r="CB121" s="24">
        <f>VLOOKUP($A121,tabCustoUnit[],COLUMN(CUSTO_GLOBAL[[#Headers],[ANO DA CCT]])-2,0)</f>
        <v>45658</v>
      </c>
      <c r="CC121" s="25" t="str">
        <f>VLOOKUP($A121,tabCustoUnit[],COLUMN(CUSTO_GLOBAL[[#Headers],[Nº DE PEDIDO DA CCT]])-2,0)</f>
        <v>-</v>
      </c>
      <c r="CD121" s="25" t="str">
        <f>VLOOKUP($A121,tabCustoUnit[],COLUMN(CUSTO_GLOBAL[[#Headers],[TERMO ADITIVO ALTERAÇÃO DA CCT]])-2,0)</f>
        <v>-</v>
      </c>
    </row>
    <row r="122" spans="1:82">
      <c r="A122" s="20" t="s">
        <v>1580</v>
      </c>
      <c r="B122" t="s">
        <v>1125</v>
      </c>
      <c r="C122" t="s">
        <v>314</v>
      </c>
      <c r="D122" t="s">
        <v>957</v>
      </c>
      <c r="E122" s="20" t="s">
        <v>1090</v>
      </c>
      <c r="F122" s="20" t="s">
        <v>120</v>
      </c>
      <c r="G122" s="20">
        <v>1</v>
      </c>
      <c r="H122" s="20">
        <v>0</v>
      </c>
      <c r="I122" s="21">
        <f>VLOOKUP($A122,tabCustoUnit[],COLUMN(CUSTO_GLOBAL[[#Headers],[Salário Base]])-2,0)*($G122-$H122)</f>
        <v>1963.4110000000001</v>
      </c>
      <c r="J122" s="21">
        <f>VLOOKUP($A122,tabCustoUnit[],COLUMN(CUSTO_GLOBAL[[#Headers],[Adicional Periculosidade]])-2,0)*($G122-$H122)</f>
        <v>0</v>
      </c>
      <c r="K122" s="21">
        <f>VLOOKUP($A122,tabCustoUnit[],COLUMN(CUSTO_GLOBAL[[#Headers],[Adicional Insalubridade]])-2,0)*($G122-$H122)</f>
        <v>0</v>
      </c>
      <c r="L122" s="21">
        <f>VLOOKUP($A122,tabCustoUnit[],COLUMN(CUSTO_GLOBAL[[#Headers],[Adicional Noturno]])-2,0)*($G122-$H122)</f>
        <v>0</v>
      </c>
      <c r="M122" s="21">
        <f>VLOOKUP($A122,tabCustoUnit[],COLUMN(CUSTO_GLOBAL[[#Headers],[Adicional Motorista II (Gratificação)]])-2,0)*($G122-$H122)</f>
        <v>0</v>
      </c>
      <c r="N122" s="21">
        <f>VLOOKUP($A122,tabCustoUnit[],COLUMN(CUSTO_GLOBAL[[#Headers],[Adicional de Sobreaviso]])-2,0)*($G122-$H122)</f>
        <v>0</v>
      </c>
      <c r="O122" s="21">
        <f>VLOOKUP($A122,tabCustoUnit[],COLUMN(CUSTO_GLOBAL[[#Headers],[Horas Extras TI]])-2,0)*($G122-$H122)</f>
        <v>0</v>
      </c>
      <c r="P122" s="21">
        <f>VLOOKUP($A122,tabCustoUnit[],COLUMN(CUSTO_GLOBAL[[#Headers],[Adicional de Acúmulo de função]])-2,0)*($G122-$H122)</f>
        <v>0</v>
      </c>
      <c r="Q122" s="21">
        <f>VLOOKUP($A122,tabCustoUnit[],COLUMN(CUSTO_GLOBAL[[#Headers],[MODULO 1 - REMUNERAÇÃO ]])-2,0)*($G122-$H122)</f>
        <v>1963.4110000000001</v>
      </c>
      <c r="R122" s="21">
        <f>VLOOKUP($A122,tabCustoUnit[],COLUMN(CUSTO_GLOBAL[[#Headers],[INSS]])-2,0)*($G122-$H122)</f>
        <v>392.68220000000002</v>
      </c>
      <c r="S122" s="21">
        <f>VLOOKUP($A122,tabCustoUnit[],COLUMN(CUSTO_GLOBAL[[#Headers],[SESI OU SESC]])-2,0)*($G122-$H122)</f>
        <v>29.451165</v>
      </c>
      <c r="T122" s="21">
        <f>VLOOKUP($A122,tabCustoUnit[],COLUMN(CUSTO_GLOBAL[[#Headers],[SENAI OU SENAC]])-2,0)*($G122-$H122)</f>
        <v>19.63411</v>
      </c>
      <c r="U122" s="21">
        <f>VLOOKUP($A122,tabCustoUnit[],COLUMN(CUSTO_GLOBAL[[#Headers],[INCRA]])-2,0)*($G122-$H122)</f>
        <v>3.926822</v>
      </c>
      <c r="V122" s="21">
        <f>VLOOKUP($A122,tabCustoUnit[],COLUMN(CUSTO_GLOBAL[[#Headers],[Salário Educação]])-2,0)*($G122-$H122)</f>
        <v>49.085275000000003</v>
      </c>
      <c r="W122" s="21">
        <f>VLOOKUP($A122,tabCustoUnit[],COLUMN(CUSTO_GLOBAL[[#Headers],[FGTS]])-2,0)*($G122-$H122)</f>
        <v>157.07288</v>
      </c>
      <c r="X122" s="21">
        <f>VLOOKUP($A122,tabCustoUnit[],COLUMN(CUSTO_GLOBAL[[#Headers],[RAT Ajustado]])-2,0)*($G122-$H122)</f>
        <v>78.536439999999999</v>
      </c>
      <c r="Y122" s="21">
        <f>VLOOKUP($A122,tabCustoUnit[],COLUMN(CUSTO_GLOBAL[[#Headers],[SEBRAE]])-2,0)*($G122-$H122)</f>
        <v>11.780466000000001</v>
      </c>
      <c r="Z122" s="21">
        <f>VLOOKUP($A122,tabCustoUnit[],COLUMN(CUSTO_GLOBAL[[#Headers],[Submódulo 2.1]])-2,0)*($G122-$H122)</f>
        <v>742.1693580000001</v>
      </c>
      <c r="AA122" s="21">
        <f>VLOOKUP($A122,tabCustoUnit[],COLUMN(CUSTO_GLOBAL[[#Headers],[13º salário (titular)]])-2,0)*($G122-$H122)</f>
        <v>163.61758333333333</v>
      </c>
      <c r="AB122" s="21">
        <f>VLOOKUP($A122,tabCustoUnit[],COLUMN(CUSTO_GLOBAL[[#Headers],[Férias e Adicional de Férias (titular)]])-2,0)*($G122-$H122)</f>
        <v>218.15677777777776</v>
      </c>
      <c r="AC122" s="21">
        <f>VLOOKUP($A122,tabCustoUnit[],COLUMN(CUSTO_GLOBAL[[#Headers],[Incidência do Submódulo 2.1 sobre 13º Salário, Férias e Adicional de Férias]])-2,0)*($G122-$H122)</f>
        <v>144.3107085</v>
      </c>
      <c r="AD122" s="21">
        <f>VLOOKUP($A122,tabCustoUnit[],COLUMN(CUSTO_GLOBAL[[#Headers],[Submódulo 2.2]])-2,0)*($G122-$H122)</f>
        <v>526.08506961111107</v>
      </c>
      <c r="AE122" s="22" t="e">
        <f ca="1">VLOOKUP($A122,tabCustoUnit[],COLUMN(CUSTO_GLOBAL[[#Headers],[Vale - Transporte (Descontada parcela do empregado)]])-2,0)*($G122-$H122)</f>
        <v>#NAME?</v>
      </c>
      <c r="AF122" s="22">
        <f>VLOOKUP($A122,tabCustoUnit[],COLUMN(CUSTO_GLOBAL[[#Headers],[Vale - Alimentação (Descontada parcela do empregado)]])-2,0)*($G122-$H122)</f>
        <v>582</v>
      </c>
      <c r="AG122" s="22">
        <f>VLOOKUP($A122,tabCustoUnit[],COLUMN(CUSTO_GLOBAL[[#Headers],[Cesta Básica]])-2,0)*($G122-$H122)</f>
        <v>0</v>
      </c>
      <c r="AH122" s="22">
        <f>VLOOKUP($A122,tabCustoUnit[],COLUMN(CUSTO_GLOBAL[[#Headers],[PAF]])-2,0)*($G122-$H122)</f>
        <v>51.87</v>
      </c>
      <c r="AI122" s="22">
        <f>VLOOKUP($A122,tabCustoUnit[],COLUMN(CUSTO_GLOBAL[[#Headers],[PQM]])-2,0)*($G122-$H122)</f>
        <v>0</v>
      </c>
      <c r="AJ122" s="22">
        <v>0</v>
      </c>
      <c r="AK122" s="22">
        <f>VLOOKUP($A122,tabCustoUnit[],COLUMN(CUSTO_GLOBAL[[#Headers],[Seguro de Vida]])-2,0)*($G122-$H122)</f>
        <v>3.36</v>
      </c>
      <c r="AL122" s="22">
        <f>VLOOKUP($A122,tabCustoUnit[],COLUMN(CUSTO_GLOBAL[[#Headers],[Despesas de Viagem]])-2,0)*($G122-$H122)</f>
        <v>0</v>
      </c>
      <c r="AM122" s="22" t="e">
        <f ca="1">VLOOKUP($A122,tabCustoUnit[],COLUMN(CUSTO_GLOBAL[[#Headers],[Submódulo 2.3]])-2,0)*($G122-$H122)</f>
        <v>#NAME?</v>
      </c>
      <c r="AN122" s="22" t="e">
        <f ca="1">VLOOKUP($A122,tabCustoUnit[],COLUMN(CUSTO_GLOBAL[[#Headers],[MÓDULO 2 - Total Encargos e Benefícios mensais e diários]])-2,0)*($G122-$H122)</f>
        <v>#NAME?</v>
      </c>
      <c r="AO122" s="22">
        <f>VLOOKUP($A122,tabCustoUnit[],COLUMN(CUSTO_GLOBAL[[#Headers],[Aviso Prévio Indenizado (API) e Reflexo do Aviso Prévio Indenizado]])-2,0)*($G122-$H122)</f>
        <v>13.766980408757716</v>
      </c>
      <c r="AP122" s="22">
        <f>VLOOKUP($A122,tabCustoUnit[],COLUMN(CUSTO_GLOBAL[[#Headers],[Incidência do FGTS sobre API e Reflexo do API]])-2,0)*($G122-$H122)</f>
        <v>1.1013584327006174</v>
      </c>
      <c r="AQ122" s="22">
        <f>VLOOKUP($A122,tabCustoUnit[],COLUMN(CUSTO_GLOBAL[[#Headers],[Multa Rescisória do FGTS sobre o Aviso Prévio Indenizado]])-2,0)*($G122-$H122)</f>
        <v>0.44054337308024699</v>
      </c>
      <c r="AR122" s="22">
        <f>VLOOKUP($A122,tabCustoUnit[],COLUMN(CUSTO_GLOBAL[[#Headers],[Aviso Prévio Trabalhado - APT]])-2,0)*($G122-$H122)</f>
        <v>6.8719385000000015</v>
      </c>
      <c r="AS122" s="22">
        <f>VLOOKUP($A122,tabCustoUnit[],COLUMN(CUSTO_GLOBAL[[#Headers],[Incidência dos encargos do submódulo 2.1 sobre Aviso Prévio Trabalhado]])-2,0)*($G122-$H122)</f>
        <v>2.5975927530000007</v>
      </c>
      <c r="AT122" s="22">
        <f>VLOOKUP($A122,tabCustoUnit[],COLUMN(CUSTO_GLOBAL[[#Headers],[Multa Rescisória do FGTS]])-2,0)*($G122-$H122)</f>
        <v>60.03674524444444</v>
      </c>
      <c r="AU122" s="22">
        <f>VLOOKUP($A122,tabCustoUnit[],COLUMN(CUSTO_GLOBAL[[#Headers],[Indenização Adicional (Art. 9º da Lei nº 7.238/84)]])-2,0)*($G122-$H122)</f>
        <v>1.6361758333333334</v>
      </c>
      <c r="AV122" s="22">
        <f>VLOOKUP($A122,tabCustoUnit[],COLUMN(CUSTO_GLOBAL[[#Headers],[MÓDULO 3 – PROVISÃO PARA RESCISÃO]])-2,0)*($G122-$H122)</f>
        <v>86.451334545316371</v>
      </c>
      <c r="AW122" s="22">
        <f>VLOOKUP($A122,tabCustoUnit[],COLUMN(CUSTO_GLOBAL[[#Headers],[Ausência por Doença]])-2,0)*($G122-$H122)</f>
        <v>16.579915111111109</v>
      </c>
      <c r="AX122" s="22">
        <f>VLOOKUP($A122,tabCustoUnit[],COLUMN(CUSTO_GLOBAL[[#Headers],[Ausências Legais]])-2,0)*($G122-$H122)</f>
        <v>3.9813611944444443</v>
      </c>
      <c r="AY122" s="22">
        <f>VLOOKUP($A122,tabCustoUnit[],COLUMN(CUSTO_GLOBAL[[#Headers],[Licença Paternidade]])-2,0)*($G122-$H122)</f>
        <v>0.33541604583333334</v>
      </c>
      <c r="AZ122" s="22">
        <f>VLOOKUP($A122,tabCustoUnit[],COLUMN(CUSTO_GLOBAL[[#Headers],[Ausência por Acidente de Trabalho]])-2,0)*($G122-$H122)</f>
        <v>0.40904395833333335</v>
      </c>
      <c r="BA122" s="22">
        <f>VLOOKUP($A122,tabCustoUnit[],COLUMN(CUSTO_GLOBAL[[#Headers],[Férias, Adicional de Férias e 13º  com empregada em gozo de Licença Maternidade]])-2,0)*($G122-$H122)</f>
        <v>2.5451624074074073</v>
      </c>
      <c r="BB122" s="22">
        <f>VLOOKUP($A122,tabCustoUnit[],COLUMN(CUSTO_GLOBAL[[#Headers],[Incidência do Submódulo 2.1 sobre Ausências Legais]])-2,0)*($G122-$H122)</f>
        <v>9.0156397150750021</v>
      </c>
      <c r="BC122" s="22">
        <f>VLOOKUP($A122,tabCustoUnit[],COLUMN(CUSTO_GLOBAL[[#Headers],[Submódulo 4.1]])-2,0)*($G122-$H122)</f>
        <v>32.866538432204628</v>
      </c>
      <c r="BD122" s="22">
        <f>VLOOKUP($A122,tabCustoUnit[],COLUMN(CUSTO_GLOBAL[[#Headers],[Intervalo para Repouso ou Alimentação]])-2,0)*($G122-$H122)</f>
        <v>267.73786489195959</v>
      </c>
      <c r="BE122" s="22">
        <f>VLOOKUP($A122,tabCustoUnit[],COLUMN(CUSTO_GLOBAL[[#Headers],[Submódulo 4.2]])-2,0)*($G122-$H122)</f>
        <v>267.73786489195959</v>
      </c>
      <c r="BF122" s="22">
        <f>VLOOKUP($A122,tabCustoUnit[],COLUMN(CUSTO_GLOBAL[[#Headers],[Suspensão Temporária do Contrato de Trabalho]])-2,0)*($G122-$H122)</f>
        <v>0</v>
      </c>
      <c r="BG122" s="22">
        <f>VLOOKUP($A122,tabCustoUnit[],COLUMN(CUSTO_GLOBAL[[#Headers],[Submódulo 4.3]])-2,0)*($G122-$H122)</f>
        <v>0</v>
      </c>
      <c r="BH122" s="22">
        <f>VLOOKUP($A122,tabCustoUnit[],COLUMN(CUSTO_GLOBAL[[#Headers],[MÓDULO 4 – CUSTO DE REPOSIÇÃO DO PROFISSIONAL AUSENTE]])-2,0)*($G122-$H122)</f>
        <v>300.6044033241642</v>
      </c>
      <c r="BI122" s="22">
        <f>VLOOKUP($A122,tabCustoUnit[],COLUMN(CUSTO_GLOBAL[[#Headers],[Uniformes e EPIs]])-2,0)*($G122-$H122)</f>
        <v>56.642978962543395</v>
      </c>
      <c r="BJ122" s="22">
        <f>VLOOKUP($A122,tabCustoUnit[],COLUMN(CUSTO_GLOBAL[[#Headers],[Materiais de Consumo]])-2,0)*($G122-$H122)</f>
        <v>0</v>
      </c>
      <c r="BK122" s="22">
        <f>VLOOKUP($A122,tabCustoUnit[],COLUMN(CUSTO_GLOBAL[[#Headers],[Máquinas e Equipamentos (depreciação)]])-2,0)*($G122-$H122)</f>
        <v>0</v>
      </c>
      <c r="BL122" s="22">
        <f>VLOOKUP($A122,tabCustoUnit[],COLUMN(CUSTO_GLOBAL[[#Headers],[Produtos de Limpeza e Materiais de Higiene Pessoal]])-2,0)*($G122-$H122)</f>
        <v>0</v>
      </c>
      <c r="BM122" s="22">
        <f>VLOOKUP($A122,tabCustoUnit[],COLUMN(CUSTO_GLOBAL[[#Headers],[Outros (especificar)]])-2,0)*($G122-$H122)</f>
        <v>0</v>
      </c>
      <c r="BN122" s="22">
        <f>VLOOKUP($A122,tabCustoUnit[],COLUMN(CUSTO_GLOBAL[[#Headers],[MÓDULO 5 – INSUMOS DIVERSOS]])-2,0)*($G122-$H122)</f>
        <v>56.642978962543395</v>
      </c>
      <c r="BO122" s="22" t="e">
        <f ca="1">VLOOKUP($A122,tabCustoUnit[],COLUMN(CUSTO_GLOBAL[[#Headers],[TOTAL MÓDULOS 1+2+3+4+5]])-2,0)*($G122-$H122)</f>
        <v>#NAME?</v>
      </c>
      <c r="BP122" s="22" t="e">
        <f ca="1">VLOOKUP($A122,tabCustoUnit[],COLUMN(CUSTO_GLOBAL[[#Headers],[Custos Indiretos]])-2,0)*($G122-$H122)</f>
        <v>#NAME?</v>
      </c>
      <c r="BQ122" s="22" t="e">
        <f ca="1">VLOOKUP($A122,tabCustoUnit[],COLUMN(CUSTO_GLOBAL[[#Headers],[Lucro]])-2,0)*($G122-$H122)</f>
        <v>#NAME?</v>
      </c>
      <c r="BR122" s="26">
        <f>VLOOKUP($A122,tabCustoUnit[],COLUMN(CUSTO_GLOBAL[[#Headers],[COFINS]])-2,0)</f>
        <v>8.5633802816901458E-2</v>
      </c>
      <c r="BS122" s="26">
        <f>VLOOKUP($A122,tabCustoUnit[],COLUMN(CUSTO_GLOBAL[[#Headers],[PIS]])-2,0)</f>
        <v>1.8591549295774657E-2</v>
      </c>
      <c r="BT122" s="28">
        <f>VLOOKUP($A122,tabCustoUnit[],COLUMN(CUSTO_GLOBAL[[#Headers],[ISS]])-2,0)</f>
        <v>0.02</v>
      </c>
      <c r="BU122" s="26">
        <f>VLOOKUP($A122,tabCustoUnit[],COLUMN(CUSTO_GLOBAL[[#Headers],[ISS (Conversão Alíquota s/ fatura)]])-2,0)</f>
        <v>2.2535211267605645E-2</v>
      </c>
      <c r="BV122" s="26">
        <f>VLOOKUP($A122,tabCustoUnit[],COLUMN(CUSTO_GLOBAL[[#Headers],[Resumo de Alíquotas (PIS+CONFINS+ISS)]])-2,0)</f>
        <v>0.1125</v>
      </c>
      <c r="BW122" s="138">
        <f>VLOOKUP($A122,tabCustoUnit[],COLUMN(CUSTO_GLOBAL[[#Headers],[PIS + COFINS + ISS (Total Conversão  Alíquota s/ Fatura)]])-2,0)</f>
        <v>0.12676056338028174</v>
      </c>
      <c r="BX122" s="22" t="e">
        <f ca="1">VLOOKUP($A122,tabCustoUnit[],COLUMN(CUSTO_GLOBAL[[#Headers],[Valor dos Tributos (ISS, PIS, CONFINS)]])-2,0)*($G122-$H122)</f>
        <v>#NAME?</v>
      </c>
      <c r="BY122" s="22" t="e">
        <f ca="1">VLOOKUP($A122,tabCustoUnit[],COLUMN(CUSTO_GLOBAL[[#Headers],[MÓDULO 6 – CUSTOS INDIRETOS, TRIBUTOS E LUCRO]])-2,0)*($G122-$H122)</f>
        <v>#NAME?</v>
      </c>
      <c r="BZ122" s="22" t="e">
        <f ca="1">VLOOKUP($A122,tabCustoUnit[],COLUMN(CUSTO_GLOBAL[[#Headers],[CUSTO TOTAL MENSAL]])-2,0)*($G122-$H122)</f>
        <v>#NAME?</v>
      </c>
      <c r="CA122" s="22" t="e">
        <f ca="1">CUSTO_GLOBAL[[#This Row],[CUSTO TOTAL MENSAL]]*12</f>
        <v>#NAME?</v>
      </c>
      <c r="CB122" s="24">
        <f>VLOOKUP($A122,tabCustoUnit[],COLUMN(CUSTO_GLOBAL[[#Headers],[ANO DA CCT]])-2,0)</f>
        <v>45658</v>
      </c>
      <c r="CC122" s="25" t="str">
        <f>VLOOKUP($A122,tabCustoUnit[],COLUMN(CUSTO_GLOBAL[[#Headers],[Nº DE PEDIDO DA CCT]])-2,0)</f>
        <v>-</v>
      </c>
      <c r="CD122" s="25" t="str">
        <f>VLOOKUP($A122,tabCustoUnit[],COLUMN(CUSTO_GLOBAL[[#Headers],[TERMO ADITIVO ALTERAÇÃO DA CCT]])-2,0)</f>
        <v>-</v>
      </c>
    </row>
    <row r="123" spans="1:82">
      <c r="A123" s="20" t="s">
        <v>1468</v>
      </c>
      <c r="B123" t="s">
        <v>1126</v>
      </c>
      <c r="C123" t="s">
        <v>200</v>
      </c>
      <c r="D123" t="s">
        <v>957</v>
      </c>
      <c r="E123" s="20" t="s">
        <v>1090</v>
      </c>
      <c r="F123" s="20" t="s">
        <v>120</v>
      </c>
      <c r="G123" s="20">
        <v>1</v>
      </c>
      <c r="H123" s="20">
        <v>0</v>
      </c>
      <c r="I123" s="21">
        <f>VLOOKUP($A123,tabCustoUnit[],COLUMN(CUSTO_GLOBAL[[#Headers],[Salário Base]])-2,0)*($G123-$H123)</f>
        <v>1596.2737999999999</v>
      </c>
      <c r="J123" s="21">
        <f>VLOOKUP($A123,tabCustoUnit[],COLUMN(CUSTO_GLOBAL[[#Headers],[Adicional Periculosidade]])-2,0)*($G123-$H123)</f>
        <v>0</v>
      </c>
      <c r="K123" s="21">
        <f>VLOOKUP($A123,tabCustoUnit[],COLUMN(CUSTO_GLOBAL[[#Headers],[Adicional Insalubridade]])-2,0)*($G123-$H123)</f>
        <v>0</v>
      </c>
      <c r="L123" s="21">
        <f>VLOOKUP($A123,tabCustoUnit[],COLUMN(CUSTO_GLOBAL[[#Headers],[Adicional Noturno]])-2,0)*($G123-$H123)</f>
        <v>0</v>
      </c>
      <c r="M123" s="21">
        <f>VLOOKUP($A123,tabCustoUnit[],COLUMN(CUSTO_GLOBAL[[#Headers],[Adicional Motorista II (Gratificação)]])-2,0)*($G123-$H123)</f>
        <v>0</v>
      </c>
      <c r="N123" s="21">
        <f>VLOOKUP($A123,tabCustoUnit[],COLUMN(CUSTO_GLOBAL[[#Headers],[Adicional de Sobreaviso]])-2,0)*($G123-$H123)</f>
        <v>0</v>
      </c>
      <c r="O123" s="21">
        <f>VLOOKUP($A123,tabCustoUnit[],COLUMN(CUSTO_GLOBAL[[#Headers],[Horas Extras TI]])-2,0)*($G123-$H123)</f>
        <v>0</v>
      </c>
      <c r="P123" s="21">
        <f>VLOOKUP($A123,tabCustoUnit[],COLUMN(CUSTO_GLOBAL[[#Headers],[Adicional de Acúmulo de função]])-2,0)*($G123-$H123)</f>
        <v>0</v>
      </c>
      <c r="Q123" s="21">
        <f>VLOOKUP($A123,tabCustoUnit[],COLUMN(CUSTO_GLOBAL[[#Headers],[MODULO 1 - REMUNERAÇÃO ]])-2,0)*($G123-$H123)</f>
        <v>1596.2737999999999</v>
      </c>
      <c r="R123" s="21">
        <f>VLOOKUP($A123,tabCustoUnit[],COLUMN(CUSTO_GLOBAL[[#Headers],[INSS]])-2,0)*($G123-$H123)</f>
        <v>319.25476000000003</v>
      </c>
      <c r="S123" s="21">
        <f>VLOOKUP($A123,tabCustoUnit[],COLUMN(CUSTO_GLOBAL[[#Headers],[SESI OU SESC]])-2,0)*($G123-$H123)</f>
        <v>23.944106999999999</v>
      </c>
      <c r="T123" s="21">
        <f>VLOOKUP($A123,tabCustoUnit[],COLUMN(CUSTO_GLOBAL[[#Headers],[SENAI OU SENAC]])-2,0)*($G123-$H123)</f>
        <v>15.962738</v>
      </c>
      <c r="U123" s="21">
        <f>VLOOKUP($A123,tabCustoUnit[],COLUMN(CUSTO_GLOBAL[[#Headers],[INCRA]])-2,0)*($G123-$H123)</f>
        <v>3.1925476000000002</v>
      </c>
      <c r="V123" s="21">
        <f>VLOOKUP($A123,tabCustoUnit[],COLUMN(CUSTO_GLOBAL[[#Headers],[Salário Educação]])-2,0)*($G123-$H123)</f>
        <v>39.906845000000004</v>
      </c>
      <c r="W123" s="21">
        <f>VLOOKUP($A123,tabCustoUnit[],COLUMN(CUSTO_GLOBAL[[#Headers],[FGTS]])-2,0)*($G123-$H123)</f>
        <v>127.701904</v>
      </c>
      <c r="X123" s="21">
        <f>VLOOKUP($A123,tabCustoUnit[],COLUMN(CUSTO_GLOBAL[[#Headers],[RAT Ajustado]])-2,0)*($G123-$H123)</f>
        <v>63.850951999999999</v>
      </c>
      <c r="Y123" s="21">
        <f>VLOOKUP($A123,tabCustoUnit[],COLUMN(CUSTO_GLOBAL[[#Headers],[SEBRAE]])-2,0)*($G123-$H123)</f>
        <v>9.5776427999999996</v>
      </c>
      <c r="Z123" s="21">
        <f>VLOOKUP($A123,tabCustoUnit[],COLUMN(CUSTO_GLOBAL[[#Headers],[Submódulo 2.1]])-2,0)*($G123-$H123)</f>
        <v>603.39149640000005</v>
      </c>
      <c r="AA123" s="21">
        <f>VLOOKUP($A123,tabCustoUnit[],COLUMN(CUSTO_GLOBAL[[#Headers],[13º salário (titular)]])-2,0)*($G123-$H123)</f>
        <v>133.02281666666664</v>
      </c>
      <c r="AB123" s="21">
        <f>VLOOKUP($A123,tabCustoUnit[],COLUMN(CUSTO_GLOBAL[[#Headers],[Férias e Adicional de Férias (titular)]])-2,0)*($G123-$H123)</f>
        <v>177.36375555555554</v>
      </c>
      <c r="AC123" s="21">
        <f>VLOOKUP($A123,tabCustoUnit[],COLUMN(CUSTO_GLOBAL[[#Headers],[Incidência do Submódulo 2.1 sobre 13º Salário, Férias e Adicional de Férias]])-2,0)*($G123-$H123)</f>
        <v>117.3261243</v>
      </c>
      <c r="AD123" s="21">
        <f>VLOOKUP($A123,tabCustoUnit[],COLUMN(CUSTO_GLOBAL[[#Headers],[Submódulo 2.2]])-2,0)*($G123-$H123)</f>
        <v>427.71269652222219</v>
      </c>
      <c r="AE123" s="22" t="e">
        <f ca="1">VLOOKUP($A123,tabCustoUnit[],COLUMN(CUSTO_GLOBAL[[#Headers],[Vale - Transporte (Descontada parcela do empregado)]])-2,0)*($G123-$H123)</f>
        <v>#NAME?</v>
      </c>
      <c r="AF123" s="22">
        <f>VLOOKUP($A123,tabCustoUnit[],COLUMN(CUSTO_GLOBAL[[#Headers],[Vale - Alimentação (Descontada parcela do empregado)]])-2,0)*($G123-$H123)</f>
        <v>582</v>
      </c>
      <c r="AG123" s="22">
        <f>VLOOKUP($A123,tabCustoUnit[],COLUMN(CUSTO_GLOBAL[[#Headers],[Cesta Básica]])-2,0)*($G123-$H123)</f>
        <v>0</v>
      </c>
      <c r="AH123" s="22">
        <f>VLOOKUP($A123,tabCustoUnit[],COLUMN(CUSTO_GLOBAL[[#Headers],[PAF]])-2,0)*($G123-$H123)</f>
        <v>0</v>
      </c>
      <c r="AI123" s="22">
        <f>VLOOKUP($A123,tabCustoUnit[],COLUMN(CUSTO_GLOBAL[[#Headers],[PQM]])-2,0)*($G123-$H123)</f>
        <v>0</v>
      </c>
      <c r="AJ123" s="22">
        <v>0</v>
      </c>
      <c r="AK123" s="22">
        <f>VLOOKUP($A123,tabCustoUnit[],COLUMN(CUSTO_GLOBAL[[#Headers],[Seguro de Vida]])-2,0)*($G123-$H123)</f>
        <v>3.36</v>
      </c>
      <c r="AL123" s="22">
        <f>VLOOKUP($A123,tabCustoUnit[],COLUMN(CUSTO_GLOBAL[[#Headers],[Despesas de Viagem]])-2,0)*($G123-$H123)</f>
        <v>0</v>
      </c>
      <c r="AM123" s="22" t="e">
        <f ca="1">VLOOKUP($A123,tabCustoUnit[],COLUMN(CUSTO_GLOBAL[[#Headers],[Submódulo 2.3]])-2,0)*($G123-$H123)</f>
        <v>#NAME?</v>
      </c>
      <c r="AN123" s="22" t="e">
        <f ca="1">VLOOKUP($A123,tabCustoUnit[],COLUMN(CUSTO_GLOBAL[[#Headers],[MÓDULO 2 - Total Encargos e Benefícios mensais e diários]])-2,0)*($G123-$H123)</f>
        <v>#NAME?</v>
      </c>
      <c r="AO123" s="22">
        <f>VLOOKUP($A123,tabCustoUnit[],COLUMN(CUSTO_GLOBAL[[#Headers],[Aviso Prévio Indenizado (API) e Reflexo do Aviso Prévio Indenizado]])-2,0)*($G123-$H123)</f>
        <v>11.192699914390431</v>
      </c>
      <c r="AP123" s="22">
        <f>VLOOKUP($A123,tabCustoUnit[],COLUMN(CUSTO_GLOBAL[[#Headers],[Incidência do FGTS sobre API e Reflexo do API]])-2,0)*($G123-$H123)</f>
        <v>0.89541599315123466</v>
      </c>
      <c r="AQ123" s="22">
        <f>VLOOKUP($A123,tabCustoUnit[],COLUMN(CUSTO_GLOBAL[[#Headers],[Multa Rescisória do FGTS sobre o Aviso Prévio Indenizado]])-2,0)*($G123-$H123)</f>
        <v>0.35816639726049387</v>
      </c>
      <c r="AR123" s="22">
        <f>VLOOKUP($A123,tabCustoUnit[],COLUMN(CUSTO_GLOBAL[[#Headers],[Aviso Prévio Trabalhado - APT]])-2,0)*($G123-$H123)</f>
        <v>5.5869583000000009</v>
      </c>
      <c r="AS123" s="22">
        <f>VLOOKUP($A123,tabCustoUnit[],COLUMN(CUSTO_GLOBAL[[#Headers],[Incidência dos encargos do submódulo 2.1 sobre Aviso Prévio Trabalhado]])-2,0)*($G123-$H123)</f>
        <v>2.1118702374000007</v>
      </c>
      <c r="AT123" s="22">
        <f>VLOOKUP($A123,tabCustoUnit[],COLUMN(CUSTO_GLOBAL[[#Headers],[Multa Rescisória do FGTS]])-2,0)*($G123-$H123)</f>
        <v>48.810505528888882</v>
      </c>
      <c r="AU123" s="22">
        <f>VLOOKUP($A123,tabCustoUnit[],COLUMN(CUSTO_GLOBAL[[#Headers],[Indenização Adicional (Art. 9º da Lei nº 7.238/84)]])-2,0)*($G123-$H123)</f>
        <v>1.3302281666666667</v>
      </c>
      <c r="AV123" s="22">
        <f>VLOOKUP($A123,tabCustoUnit[],COLUMN(CUSTO_GLOBAL[[#Headers],[MÓDULO 3 – PROVISÃO PARA RESCISÃO]])-2,0)*($G123-$H123)</f>
        <v>70.285844537757711</v>
      </c>
      <c r="AW123" s="22">
        <f>VLOOKUP($A123,tabCustoUnit[],COLUMN(CUSTO_GLOBAL[[#Headers],[Ausência por Doença]])-2,0)*($G123-$H123)</f>
        <v>13.479645422222221</v>
      </c>
      <c r="AX123" s="22">
        <f>VLOOKUP($A123,tabCustoUnit[],COLUMN(CUSTO_GLOBAL[[#Headers],[Ausências Legais]])-2,0)*($G123-$H123)</f>
        <v>3.2368885388888886</v>
      </c>
      <c r="AY123" s="22">
        <f>VLOOKUP($A123,tabCustoUnit[],COLUMN(CUSTO_GLOBAL[[#Headers],[Licença Paternidade]])-2,0)*($G123-$H123)</f>
        <v>0.27269677416666666</v>
      </c>
      <c r="AZ123" s="22">
        <f>VLOOKUP($A123,tabCustoUnit[],COLUMN(CUSTO_GLOBAL[[#Headers],[Ausência por Acidente de Trabalho]])-2,0)*($G123-$H123)</f>
        <v>0.33255704166666666</v>
      </c>
      <c r="BA123" s="22">
        <f>VLOOKUP($A123,tabCustoUnit[],COLUMN(CUSTO_GLOBAL[[#Headers],[Férias, Adicional de Férias e 13º  com empregada em gozo de Licença Maternidade]])-2,0)*($G123-$H123)</f>
        <v>2.0692438148148145</v>
      </c>
      <c r="BB123" s="22">
        <f>VLOOKUP($A123,tabCustoUnit[],COLUMN(CUSTO_GLOBAL[[#Headers],[Incidência do Submódulo 2.1 sobre Ausências Legais]])-2,0)*($G123-$H123)</f>
        <v>7.3298099416850011</v>
      </c>
      <c r="BC123" s="22">
        <f>VLOOKUP($A123,tabCustoUnit[],COLUMN(CUSTO_GLOBAL[[#Headers],[Submódulo 4.1]])-2,0)*($G123-$H123)</f>
        <v>26.720841533444265</v>
      </c>
      <c r="BD123" s="22">
        <f>VLOOKUP($A123,tabCustoUnit[],COLUMN(CUSTO_GLOBAL[[#Headers],[Intervalo para Repouso ou Alimentação]])-2,0)*($G123-$H123)</f>
        <v>0</v>
      </c>
      <c r="BE123" s="22">
        <f>VLOOKUP($A123,tabCustoUnit[],COLUMN(CUSTO_GLOBAL[[#Headers],[Submódulo 4.2]])-2,0)*($G123-$H123)</f>
        <v>0</v>
      </c>
      <c r="BF123" s="22">
        <f>VLOOKUP($A123,tabCustoUnit[],COLUMN(CUSTO_GLOBAL[[#Headers],[Suspensão Temporária do Contrato de Trabalho]])-2,0)*($G123-$H123)</f>
        <v>0</v>
      </c>
      <c r="BG123" s="22">
        <f>VLOOKUP($A123,tabCustoUnit[],COLUMN(CUSTO_GLOBAL[[#Headers],[Submódulo 4.3]])-2,0)*($G123-$H123)</f>
        <v>0</v>
      </c>
      <c r="BH123" s="22">
        <f>VLOOKUP($A123,tabCustoUnit[],COLUMN(CUSTO_GLOBAL[[#Headers],[MÓDULO 4 – CUSTO DE REPOSIÇÃO DO PROFISSIONAL AUSENTE]])-2,0)*($G123-$H123)</f>
        <v>26.720841533444265</v>
      </c>
      <c r="BI123" s="22">
        <f>VLOOKUP($A123,tabCustoUnit[],COLUMN(CUSTO_GLOBAL[[#Headers],[Uniformes e EPIs]])-2,0)*($G123-$H123)</f>
        <v>56.141713661989918</v>
      </c>
      <c r="BJ123" s="22">
        <f>VLOOKUP($A123,tabCustoUnit[],COLUMN(CUSTO_GLOBAL[[#Headers],[Materiais de Consumo]])-2,0)*($G123-$H123)</f>
        <v>0</v>
      </c>
      <c r="BK123" s="22">
        <f>VLOOKUP($A123,tabCustoUnit[],COLUMN(CUSTO_GLOBAL[[#Headers],[Máquinas e Equipamentos (depreciação)]])-2,0)*($G123-$H123)</f>
        <v>0</v>
      </c>
      <c r="BL123" s="22">
        <f>VLOOKUP($A123,tabCustoUnit[],COLUMN(CUSTO_GLOBAL[[#Headers],[Produtos de Limpeza e Materiais de Higiene Pessoal]])-2,0)*($G123-$H123)</f>
        <v>0</v>
      </c>
      <c r="BM123" s="22">
        <f>VLOOKUP($A123,tabCustoUnit[],COLUMN(CUSTO_GLOBAL[[#Headers],[Outros (especificar)]])-2,0)*($G123-$H123)</f>
        <v>0</v>
      </c>
      <c r="BN123" s="22">
        <f>VLOOKUP($A123,tabCustoUnit[],COLUMN(CUSTO_GLOBAL[[#Headers],[MÓDULO 5 – INSUMOS DIVERSOS]])-2,0)*($G123-$H123)</f>
        <v>56.141713661989918</v>
      </c>
      <c r="BO123" s="22" t="e">
        <f ca="1">VLOOKUP($A123,tabCustoUnit[],COLUMN(CUSTO_GLOBAL[[#Headers],[TOTAL MÓDULOS 1+2+3+4+5]])-2,0)*($G123-$H123)</f>
        <v>#NAME?</v>
      </c>
      <c r="BP123" s="22" t="e">
        <f ca="1">VLOOKUP($A123,tabCustoUnit[],COLUMN(CUSTO_GLOBAL[[#Headers],[Custos Indiretos]])-2,0)*($G123-$H123)</f>
        <v>#NAME?</v>
      </c>
      <c r="BQ123" s="22" t="e">
        <f ca="1">VLOOKUP($A123,tabCustoUnit[],COLUMN(CUSTO_GLOBAL[[#Headers],[Lucro]])-2,0)*($G123-$H123)</f>
        <v>#NAME?</v>
      </c>
      <c r="BR123" s="26">
        <f>VLOOKUP($A123,tabCustoUnit[],COLUMN(CUSTO_GLOBAL[[#Headers],[COFINS]])-2,0)</f>
        <v>8.7608069164265154E-2</v>
      </c>
      <c r="BS123" s="26">
        <f>VLOOKUP($A123,tabCustoUnit[],COLUMN(CUSTO_GLOBAL[[#Headers],[PIS]])-2,0)</f>
        <v>1.9020172910662814E-2</v>
      </c>
      <c r="BT123" s="28">
        <f>VLOOKUP($A123,tabCustoUnit[],COLUMN(CUSTO_GLOBAL[[#Headers],[ISS]])-2,0)</f>
        <v>0.04</v>
      </c>
      <c r="BU123" s="26">
        <f>VLOOKUP($A123,tabCustoUnit[],COLUMN(CUSTO_GLOBAL[[#Headers],[ISS (Conversão Alíquota s/ fatura)]])-2,0)</f>
        <v>4.6109510086455294E-2</v>
      </c>
      <c r="BV123" s="26">
        <f>VLOOKUP($A123,tabCustoUnit[],COLUMN(CUSTO_GLOBAL[[#Headers],[Resumo de Alíquotas (PIS+CONFINS+ISS)]])-2,0)</f>
        <v>0.13250000000000001</v>
      </c>
      <c r="BW123" s="138">
        <f>VLOOKUP($A123,tabCustoUnit[],COLUMN(CUSTO_GLOBAL[[#Headers],[PIS + COFINS + ISS (Total Conversão  Alíquota s/ Fatura)]])-2,0)</f>
        <v>0.15273775216138324</v>
      </c>
      <c r="BX123" s="22" t="e">
        <f ca="1">VLOOKUP($A123,tabCustoUnit[],COLUMN(CUSTO_GLOBAL[[#Headers],[Valor dos Tributos (ISS, PIS, CONFINS)]])-2,0)*($G123-$H123)</f>
        <v>#NAME?</v>
      </c>
      <c r="BY123" s="22" t="e">
        <f ca="1">VLOOKUP($A123,tabCustoUnit[],COLUMN(CUSTO_GLOBAL[[#Headers],[MÓDULO 6 – CUSTOS INDIRETOS, TRIBUTOS E LUCRO]])-2,0)*($G123-$H123)</f>
        <v>#NAME?</v>
      </c>
      <c r="BZ123" s="22" t="e">
        <f ca="1">VLOOKUP($A123,tabCustoUnit[],COLUMN(CUSTO_GLOBAL[[#Headers],[CUSTO TOTAL MENSAL]])-2,0)*($G123-$H123)</f>
        <v>#NAME?</v>
      </c>
      <c r="CA123" s="22" t="e">
        <f ca="1">CUSTO_GLOBAL[[#This Row],[CUSTO TOTAL MENSAL]]*12</f>
        <v>#NAME?</v>
      </c>
      <c r="CB123" s="24">
        <f>VLOOKUP($A123,tabCustoUnit[],COLUMN(CUSTO_GLOBAL[[#Headers],[ANO DA CCT]])-2,0)</f>
        <v>45658</v>
      </c>
      <c r="CC123" s="25" t="str">
        <f>VLOOKUP($A123,tabCustoUnit[],COLUMN(CUSTO_GLOBAL[[#Headers],[Nº DE PEDIDO DA CCT]])-2,0)</f>
        <v>-</v>
      </c>
      <c r="CD123" s="25" t="str">
        <f>VLOOKUP($A123,tabCustoUnit[],COLUMN(CUSTO_GLOBAL[[#Headers],[TERMO ADITIVO ALTERAÇÃO DA CCT]])-2,0)</f>
        <v>-</v>
      </c>
    </row>
    <row r="124" spans="1:82">
      <c r="A124" s="20" t="s">
        <v>1581</v>
      </c>
      <c r="B124" t="s">
        <v>1126</v>
      </c>
      <c r="C124" t="s">
        <v>274</v>
      </c>
      <c r="D124" t="s">
        <v>982</v>
      </c>
      <c r="E124" s="20" t="s">
        <v>1090</v>
      </c>
      <c r="F124" s="20" t="s">
        <v>120</v>
      </c>
      <c r="G124" s="20">
        <v>1</v>
      </c>
      <c r="H124" s="20">
        <v>0</v>
      </c>
      <c r="I124" s="21">
        <f>VLOOKUP($A124,tabCustoUnit[],COLUMN(CUSTO_GLOBAL[[#Headers],[Salário Base]])-2,0)*($G124-$H124)</f>
        <v>4558.0709999999999</v>
      </c>
      <c r="J124" s="21">
        <f>VLOOKUP($A124,tabCustoUnit[],COLUMN(CUSTO_GLOBAL[[#Headers],[Adicional Periculosidade]])-2,0)*($G124-$H124)</f>
        <v>0</v>
      </c>
      <c r="K124" s="21">
        <f>VLOOKUP($A124,tabCustoUnit[],COLUMN(CUSTO_GLOBAL[[#Headers],[Adicional Insalubridade]])-2,0)*($G124-$H124)</f>
        <v>0</v>
      </c>
      <c r="L124" s="21">
        <f>VLOOKUP($A124,tabCustoUnit[],COLUMN(CUSTO_GLOBAL[[#Headers],[Adicional Noturno]])-2,0)*($G124-$H124)</f>
        <v>0</v>
      </c>
      <c r="M124" s="21">
        <f>VLOOKUP($A124,tabCustoUnit[],COLUMN(CUSTO_GLOBAL[[#Headers],[Adicional Motorista II (Gratificação)]])-2,0)*($G124-$H124)</f>
        <v>0</v>
      </c>
      <c r="N124" s="21">
        <f>VLOOKUP($A124,tabCustoUnit[],COLUMN(CUSTO_GLOBAL[[#Headers],[Adicional de Sobreaviso]])-2,0)*($G124-$H124)</f>
        <v>0</v>
      </c>
      <c r="O124" s="21">
        <f>VLOOKUP($A124,tabCustoUnit[],COLUMN(CUSTO_GLOBAL[[#Headers],[Horas Extras TI]])-2,0)*($G124-$H124)</f>
        <v>0</v>
      </c>
      <c r="P124" s="21">
        <f>VLOOKUP($A124,tabCustoUnit[],COLUMN(CUSTO_GLOBAL[[#Headers],[Adicional de Acúmulo de função]])-2,0)*($G124-$H124)</f>
        <v>0</v>
      </c>
      <c r="Q124" s="21">
        <f>VLOOKUP($A124,tabCustoUnit[],COLUMN(CUSTO_GLOBAL[[#Headers],[MODULO 1 - REMUNERAÇÃO ]])-2,0)*($G124-$H124)</f>
        <v>4558.0709999999999</v>
      </c>
      <c r="R124" s="21">
        <f>VLOOKUP($A124,tabCustoUnit[],COLUMN(CUSTO_GLOBAL[[#Headers],[INSS]])-2,0)*($G124-$H124)</f>
        <v>911.61419999999998</v>
      </c>
      <c r="S124" s="21">
        <f>VLOOKUP($A124,tabCustoUnit[],COLUMN(CUSTO_GLOBAL[[#Headers],[SESI OU SESC]])-2,0)*($G124-$H124)</f>
        <v>68.371065000000002</v>
      </c>
      <c r="T124" s="21">
        <f>VLOOKUP($A124,tabCustoUnit[],COLUMN(CUSTO_GLOBAL[[#Headers],[SENAI OU SENAC]])-2,0)*($G124-$H124)</f>
        <v>45.580710000000003</v>
      </c>
      <c r="U124" s="21">
        <f>VLOOKUP($A124,tabCustoUnit[],COLUMN(CUSTO_GLOBAL[[#Headers],[INCRA]])-2,0)*($G124-$H124)</f>
        <v>9.116142</v>
      </c>
      <c r="V124" s="21">
        <f>VLOOKUP($A124,tabCustoUnit[],COLUMN(CUSTO_GLOBAL[[#Headers],[Salário Educação]])-2,0)*($G124-$H124)</f>
        <v>113.951775</v>
      </c>
      <c r="W124" s="21">
        <f>VLOOKUP($A124,tabCustoUnit[],COLUMN(CUSTO_GLOBAL[[#Headers],[FGTS]])-2,0)*($G124-$H124)</f>
        <v>364.64568000000003</v>
      </c>
      <c r="X124" s="21">
        <f>VLOOKUP($A124,tabCustoUnit[],COLUMN(CUSTO_GLOBAL[[#Headers],[RAT Ajustado]])-2,0)*($G124-$H124)</f>
        <v>182.32284000000001</v>
      </c>
      <c r="Y124" s="21">
        <f>VLOOKUP($A124,tabCustoUnit[],COLUMN(CUSTO_GLOBAL[[#Headers],[SEBRAE]])-2,0)*($G124-$H124)</f>
        <v>27.348426</v>
      </c>
      <c r="Z124" s="21">
        <f>VLOOKUP($A124,tabCustoUnit[],COLUMN(CUSTO_GLOBAL[[#Headers],[Submódulo 2.1]])-2,0)*($G124-$H124)</f>
        <v>1722.9508380000002</v>
      </c>
      <c r="AA124" s="21">
        <f>VLOOKUP($A124,tabCustoUnit[],COLUMN(CUSTO_GLOBAL[[#Headers],[13º salário (titular)]])-2,0)*($G124-$H124)</f>
        <v>379.83924999999999</v>
      </c>
      <c r="AB124" s="21">
        <f>VLOOKUP($A124,tabCustoUnit[],COLUMN(CUSTO_GLOBAL[[#Headers],[Férias e Adicional de Férias (titular)]])-2,0)*($G124-$H124)</f>
        <v>506.45233333333329</v>
      </c>
      <c r="AC124" s="21">
        <f>VLOOKUP($A124,tabCustoUnit[],COLUMN(CUSTO_GLOBAL[[#Headers],[Incidência do Submódulo 2.1 sobre 13º Salário, Férias e Adicional de Férias]])-2,0)*($G124-$H124)</f>
        <v>335.01821850000005</v>
      </c>
      <c r="AD124" s="21">
        <f>VLOOKUP($A124,tabCustoUnit[],COLUMN(CUSTO_GLOBAL[[#Headers],[Submódulo 2.2]])-2,0)*($G124-$H124)</f>
        <v>1221.3098018333333</v>
      </c>
      <c r="AE124" s="22" t="e">
        <f ca="1">VLOOKUP($A124,tabCustoUnit[],COLUMN(CUSTO_GLOBAL[[#Headers],[Vale - Transporte (Descontada parcela do empregado)]])-2,0)*($G124-$H124)</f>
        <v>#NAME?</v>
      </c>
      <c r="AF124" s="22">
        <f>VLOOKUP($A124,tabCustoUnit[],COLUMN(CUSTO_GLOBAL[[#Headers],[Vale - Alimentação (Descontada parcela do empregado)]])-2,0)*($G124-$H124)</f>
        <v>578.4</v>
      </c>
      <c r="AG124" s="22">
        <f>VLOOKUP($A124,tabCustoUnit[],COLUMN(CUSTO_GLOBAL[[#Headers],[Cesta Básica]])-2,0)*($G124-$H124)</f>
        <v>0</v>
      </c>
      <c r="AH124" s="22">
        <f>VLOOKUP($A124,tabCustoUnit[],COLUMN(CUSTO_GLOBAL[[#Headers],[PAF]])-2,0)*($G124-$H124)</f>
        <v>22.52</v>
      </c>
      <c r="AI124" s="22">
        <f>VLOOKUP($A124,tabCustoUnit[],COLUMN(CUSTO_GLOBAL[[#Headers],[PQM]])-2,0)*($G124-$H124)</f>
        <v>0</v>
      </c>
      <c r="AJ124" s="22">
        <v>0</v>
      </c>
      <c r="AK124" s="22">
        <f>VLOOKUP($A124,tabCustoUnit[],COLUMN(CUSTO_GLOBAL[[#Headers],[Seguro de Vida]])-2,0)*($G124-$H124)</f>
        <v>3.36</v>
      </c>
      <c r="AL124" s="22">
        <f>VLOOKUP($A124,tabCustoUnit[],COLUMN(CUSTO_GLOBAL[[#Headers],[Despesas de Viagem]])-2,0)*($G124-$H124)</f>
        <v>662.42</v>
      </c>
      <c r="AM124" s="22" t="e">
        <f ca="1">VLOOKUP($A124,tabCustoUnit[],COLUMN(CUSTO_GLOBAL[[#Headers],[Submódulo 2.3]])-2,0)*($G124-$H124)</f>
        <v>#NAME?</v>
      </c>
      <c r="AN124" s="22" t="e">
        <f ca="1">VLOOKUP($A124,tabCustoUnit[],COLUMN(CUSTO_GLOBAL[[#Headers],[MÓDULO 2 - Total Encargos e Benefícios mensais e diários]])-2,0)*($G124-$H124)</f>
        <v>#NAME?</v>
      </c>
      <c r="AO124" s="22">
        <f>VLOOKUP($A124,tabCustoUnit[],COLUMN(CUSTO_GLOBAL[[#Headers],[Aviso Prévio Indenizado (API) e Reflexo do Aviso Prévio Indenizado]])-2,0)*($G124-$H124)</f>
        <v>31.960131708912037</v>
      </c>
      <c r="AP124" s="22">
        <f>VLOOKUP($A124,tabCustoUnit[],COLUMN(CUSTO_GLOBAL[[#Headers],[Incidência do FGTS sobre API e Reflexo do API]])-2,0)*($G124-$H124)</f>
        <v>2.556810536712963</v>
      </c>
      <c r="AQ124" s="22">
        <f>VLOOKUP($A124,tabCustoUnit[],COLUMN(CUSTO_GLOBAL[[#Headers],[Multa Rescisória do FGTS sobre o Aviso Prévio Indenizado]])-2,0)*($G124-$H124)</f>
        <v>1.0227242146851854</v>
      </c>
      <c r="AR124" s="22">
        <f>VLOOKUP($A124,tabCustoUnit[],COLUMN(CUSTO_GLOBAL[[#Headers],[Aviso Prévio Trabalhado - APT]])-2,0)*($G124-$H124)</f>
        <v>15.953248500000003</v>
      </c>
      <c r="AS124" s="22">
        <f>VLOOKUP($A124,tabCustoUnit[],COLUMN(CUSTO_GLOBAL[[#Headers],[Incidência dos encargos do submódulo 2.1 sobre Aviso Prévio Trabalhado]])-2,0)*($G124-$H124)</f>
        <v>6.0303279330000015</v>
      </c>
      <c r="AT124" s="22">
        <f>VLOOKUP($A124,tabCustoUnit[],COLUMN(CUSTO_GLOBAL[[#Headers],[Multa Rescisória do FGTS]])-2,0)*($G124-$H124)</f>
        <v>139.3756821333333</v>
      </c>
      <c r="AU124" s="22">
        <f>VLOOKUP($A124,tabCustoUnit[],COLUMN(CUSTO_GLOBAL[[#Headers],[Indenização Adicional (Art. 9º da Lei nº 7.238/84)]])-2,0)*($G124-$H124)</f>
        <v>3.7983925000000003</v>
      </c>
      <c r="AV124" s="22">
        <f>VLOOKUP($A124,tabCustoUnit[],COLUMN(CUSTO_GLOBAL[[#Headers],[MÓDULO 3 – PROVISÃO PARA RESCISÃO]])-2,0)*($G124-$H124)</f>
        <v>200.6973175266435</v>
      </c>
      <c r="AW124" s="22">
        <f>VLOOKUP($A124,tabCustoUnit[],COLUMN(CUSTO_GLOBAL[[#Headers],[Ausência por Doença]])-2,0)*($G124-$H124)</f>
        <v>38.490377333333328</v>
      </c>
      <c r="AX124" s="22">
        <f>VLOOKUP($A124,tabCustoUnit[],COLUMN(CUSTO_GLOBAL[[#Headers],[Ausências Legais]])-2,0)*($G124-$H124)</f>
        <v>9.2427550833333321</v>
      </c>
      <c r="AY124" s="22">
        <f>VLOOKUP($A124,tabCustoUnit[],COLUMN(CUSTO_GLOBAL[[#Headers],[Licença Paternidade]])-2,0)*($G124-$H124)</f>
        <v>0.77867046249999994</v>
      </c>
      <c r="AZ124" s="22">
        <f>VLOOKUP($A124,tabCustoUnit[],COLUMN(CUSTO_GLOBAL[[#Headers],[Ausência por Acidente de Trabalho]])-2,0)*($G124-$H124)</f>
        <v>0.94959812500000007</v>
      </c>
      <c r="BA124" s="22">
        <f>VLOOKUP($A124,tabCustoUnit[],COLUMN(CUSTO_GLOBAL[[#Headers],[Férias, Adicional de Férias e 13º  com empregada em gozo de Licença Maternidade]])-2,0)*($G124-$H124)</f>
        <v>5.9086105555555557</v>
      </c>
      <c r="BB124" s="22">
        <f>VLOOKUP($A124,tabCustoUnit[],COLUMN(CUSTO_GLOBAL[[#Headers],[Incidência do Submódulo 2.1 sobre Ausências Legais]])-2,0)*($G124-$H124)</f>
        <v>20.929864369575004</v>
      </c>
      <c r="BC124" s="22">
        <f>VLOOKUP($A124,tabCustoUnit[],COLUMN(CUSTO_GLOBAL[[#Headers],[Submódulo 4.1]])-2,0)*($G124-$H124)</f>
        <v>76.29987592929723</v>
      </c>
      <c r="BD124" s="22">
        <f>VLOOKUP($A124,tabCustoUnit[],COLUMN(CUSTO_GLOBAL[[#Headers],[Intervalo para Repouso ou Alimentação]])-2,0)*($G124-$H124)</f>
        <v>0</v>
      </c>
      <c r="BE124" s="22">
        <f>VLOOKUP($A124,tabCustoUnit[],COLUMN(CUSTO_GLOBAL[[#Headers],[Submódulo 4.2]])-2,0)*($G124-$H124)</f>
        <v>0</v>
      </c>
      <c r="BF124" s="22">
        <f>VLOOKUP($A124,tabCustoUnit[],COLUMN(CUSTO_GLOBAL[[#Headers],[Suspensão Temporária do Contrato de Trabalho]])-2,0)*($G124-$H124)</f>
        <v>0</v>
      </c>
      <c r="BG124" s="22">
        <f>VLOOKUP($A124,tabCustoUnit[],COLUMN(CUSTO_GLOBAL[[#Headers],[Submódulo 4.3]])-2,0)*($G124-$H124)</f>
        <v>0</v>
      </c>
      <c r="BH124" s="22">
        <f>VLOOKUP($A124,tabCustoUnit[],COLUMN(CUSTO_GLOBAL[[#Headers],[MÓDULO 4 – CUSTO DE REPOSIÇÃO DO PROFISSIONAL AUSENTE]])-2,0)*($G124-$H124)</f>
        <v>76.29987592929723</v>
      </c>
      <c r="BI124" s="22">
        <f>VLOOKUP($A124,tabCustoUnit[],COLUMN(CUSTO_GLOBAL[[#Headers],[Uniformes e EPIs]])-2,0)*($G124-$H124)</f>
        <v>92.100763771570698</v>
      </c>
      <c r="BJ124" s="22">
        <f>VLOOKUP($A124,tabCustoUnit[],COLUMN(CUSTO_GLOBAL[[#Headers],[Materiais de Consumo]])-2,0)*($G124-$H124)</f>
        <v>0</v>
      </c>
      <c r="BK124" s="22">
        <f>VLOOKUP($A124,tabCustoUnit[],COLUMN(CUSTO_GLOBAL[[#Headers],[Máquinas e Equipamentos (depreciação)]])-2,0)*($G124-$H124)</f>
        <v>0</v>
      </c>
      <c r="BL124" s="22">
        <f>VLOOKUP($A124,tabCustoUnit[],COLUMN(CUSTO_GLOBAL[[#Headers],[Produtos de Limpeza e Materiais de Higiene Pessoal]])-2,0)*($G124-$H124)</f>
        <v>0</v>
      </c>
      <c r="BM124" s="22">
        <f>VLOOKUP($A124,tabCustoUnit[],COLUMN(CUSTO_GLOBAL[[#Headers],[Outros (especificar)]])-2,0)*($G124-$H124)</f>
        <v>0</v>
      </c>
      <c r="BN124" s="22">
        <f>VLOOKUP($A124,tabCustoUnit[],COLUMN(CUSTO_GLOBAL[[#Headers],[MÓDULO 5 – INSUMOS DIVERSOS]])-2,0)*($G124-$H124)</f>
        <v>92.100763771570698</v>
      </c>
      <c r="BO124" s="22" t="e">
        <f ca="1">VLOOKUP($A124,tabCustoUnit[],COLUMN(CUSTO_GLOBAL[[#Headers],[TOTAL MÓDULOS 1+2+3+4+5]])-2,0)*($G124-$H124)</f>
        <v>#NAME?</v>
      </c>
      <c r="BP124" s="22" t="e">
        <f ca="1">VLOOKUP($A124,tabCustoUnit[],COLUMN(CUSTO_GLOBAL[[#Headers],[Custos Indiretos]])-2,0)*($G124-$H124)</f>
        <v>#NAME?</v>
      </c>
      <c r="BQ124" s="22" t="e">
        <f ca="1">VLOOKUP($A124,tabCustoUnit[],COLUMN(CUSTO_GLOBAL[[#Headers],[Lucro]])-2,0)*($G124-$H124)</f>
        <v>#NAME?</v>
      </c>
      <c r="BR124" s="26">
        <f>VLOOKUP($A124,tabCustoUnit[],COLUMN(CUSTO_GLOBAL[[#Headers],[COFINS]])-2,0)</f>
        <v>8.7608069164265154E-2</v>
      </c>
      <c r="BS124" s="26">
        <f>VLOOKUP($A124,tabCustoUnit[],COLUMN(CUSTO_GLOBAL[[#Headers],[PIS]])-2,0)</f>
        <v>1.9020172910662814E-2</v>
      </c>
      <c r="BT124" s="28">
        <f>VLOOKUP($A124,tabCustoUnit[],COLUMN(CUSTO_GLOBAL[[#Headers],[ISS]])-2,0)</f>
        <v>0.04</v>
      </c>
      <c r="BU124" s="26">
        <f>VLOOKUP($A124,tabCustoUnit[],COLUMN(CUSTO_GLOBAL[[#Headers],[ISS (Conversão Alíquota s/ fatura)]])-2,0)</f>
        <v>4.6109510086455294E-2</v>
      </c>
      <c r="BV124" s="26">
        <f>VLOOKUP($A124,tabCustoUnit[],COLUMN(CUSTO_GLOBAL[[#Headers],[Resumo de Alíquotas (PIS+CONFINS+ISS)]])-2,0)</f>
        <v>0.13250000000000001</v>
      </c>
      <c r="BW124" s="138">
        <f>VLOOKUP($A124,tabCustoUnit[],COLUMN(CUSTO_GLOBAL[[#Headers],[PIS + COFINS + ISS (Total Conversão  Alíquota s/ Fatura)]])-2,0)</f>
        <v>0.15273775216138324</v>
      </c>
      <c r="BX124" s="22" t="e">
        <f ca="1">VLOOKUP($A124,tabCustoUnit[],COLUMN(CUSTO_GLOBAL[[#Headers],[Valor dos Tributos (ISS, PIS, CONFINS)]])-2,0)*($G124-$H124)</f>
        <v>#NAME?</v>
      </c>
      <c r="BY124" s="22" t="e">
        <f ca="1">VLOOKUP($A124,tabCustoUnit[],COLUMN(CUSTO_GLOBAL[[#Headers],[MÓDULO 6 – CUSTOS INDIRETOS, TRIBUTOS E LUCRO]])-2,0)*($G124-$H124)</f>
        <v>#NAME?</v>
      </c>
      <c r="BZ124" s="22" t="e">
        <f ca="1">VLOOKUP($A124,tabCustoUnit[],COLUMN(CUSTO_GLOBAL[[#Headers],[CUSTO TOTAL MENSAL]])-2,0)*($G124-$H124)</f>
        <v>#NAME?</v>
      </c>
      <c r="CA124" s="22" t="e">
        <f ca="1">CUSTO_GLOBAL[[#This Row],[CUSTO TOTAL MENSAL]]*12</f>
        <v>#NAME?</v>
      </c>
      <c r="CB124" s="24">
        <f>VLOOKUP($A124,tabCustoUnit[],COLUMN(CUSTO_GLOBAL[[#Headers],[ANO DA CCT]])-2,0)</f>
        <v>45658</v>
      </c>
      <c r="CC124" s="25" t="str">
        <f>VLOOKUP($A124,tabCustoUnit[],COLUMN(CUSTO_GLOBAL[[#Headers],[Nº DE PEDIDO DA CCT]])-2,0)</f>
        <v>-</v>
      </c>
      <c r="CD124" s="25" t="str">
        <f>VLOOKUP($A124,tabCustoUnit[],COLUMN(CUSTO_GLOBAL[[#Headers],[TERMO ADITIVO ALTERAÇÃO DA CCT]])-2,0)</f>
        <v>-</v>
      </c>
    </row>
    <row r="125" spans="1:82">
      <c r="A125" s="20" t="s">
        <v>1469</v>
      </c>
      <c r="B125" t="s">
        <v>1126</v>
      </c>
      <c r="C125" t="s">
        <v>314</v>
      </c>
      <c r="D125" t="s">
        <v>957</v>
      </c>
      <c r="E125" s="20" t="s">
        <v>1090</v>
      </c>
      <c r="F125" s="20" t="s">
        <v>120</v>
      </c>
      <c r="G125" s="20">
        <v>1</v>
      </c>
      <c r="H125" s="20">
        <v>0</v>
      </c>
      <c r="I125" s="21">
        <f>VLOOKUP($A125,tabCustoUnit[],COLUMN(CUSTO_GLOBAL[[#Headers],[Salário Base]])-2,0)*($G125-$H125)</f>
        <v>1963.4110000000001</v>
      </c>
      <c r="J125" s="21">
        <f>VLOOKUP($A125,tabCustoUnit[],COLUMN(CUSTO_GLOBAL[[#Headers],[Adicional Periculosidade]])-2,0)*($G125-$H125)</f>
        <v>0</v>
      </c>
      <c r="K125" s="21">
        <f>VLOOKUP($A125,tabCustoUnit[],COLUMN(CUSTO_GLOBAL[[#Headers],[Adicional Insalubridade]])-2,0)*($G125-$H125)</f>
        <v>0</v>
      </c>
      <c r="L125" s="21">
        <f>VLOOKUP($A125,tabCustoUnit[],COLUMN(CUSTO_GLOBAL[[#Headers],[Adicional Noturno]])-2,0)*($G125-$H125)</f>
        <v>0</v>
      </c>
      <c r="M125" s="21">
        <f>VLOOKUP($A125,tabCustoUnit[],COLUMN(CUSTO_GLOBAL[[#Headers],[Adicional Motorista II (Gratificação)]])-2,0)*($G125-$H125)</f>
        <v>0</v>
      </c>
      <c r="N125" s="21">
        <f>VLOOKUP($A125,tabCustoUnit[],COLUMN(CUSTO_GLOBAL[[#Headers],[Adicional de Sobreaviso]])-2,0)*($G125-$H125)</f>
        <v>0</v>
      </c>
      <c r="O125" s="21">
        <f>VLOOKUP($A125,tabCustoUnit[],COLUMN(CUSTO_GLOBAL[[#Headers],[Horas Extras TI]])-2,0)*($G125-$H125)</f>
        <v>0</v>
      </c>
      <c r="P125" s="21">
        <f>VLOOKUP($A125,tabCustoUnit[],COLUMN(CUSTO_GLOBAL[[#Headers],[Adicional de Acúmulo de função]])-2,0)*($G125-$H125)</f>
        <v>0</v>
      </c>
      <c r="Q125" s="21">
        <f>VLOOKUP($A125,tabCustoUnit[],COLUMN(CUSTO_GLOBAL[[#Headers],[MODULO 1 - REMUNERAÇÃO ]])-2,0)*($G125-$H125)</f>
        <v>1963.4110000000001</v>
      </c>
      <c r="R125" s="21">
        <f>VLOOKUP($A125,tabCustoUnit[],COLUMN(CUSTO_GLOBAL[[#Headers],[INSS]])-2,0)*($G125-$H125)</f>
        <v>392.68220000000002</v>
      </c>
      <c r="S125" s="21">
        <f>VLOOKUP($A125,tabCustoUnit[],COLUMN(CUSTO_GLOBAL[[#Headers],[SESI OU SESC]])-2,0)*($G125-$H125)</f>
        <v>29.451165</v>
      </c>
      <c r="T125" s="21">
        <f>VLOOKUP($A125,tabCustoUnit[],COLUMN(CUSTO_GLOBAL[[#Headers],[SENAI OU SENAC]])-2,0)*($G125-$H125)</f>
        <v>19.63411</v>
      </c>
      <c r="U125" s="21">
        <f>VLOOKUP($A125,tabCustoUnit[],COLUMN(CUSTO_GLOBAL[[#Headers],[INCRA]])-2,0)*($G125-$H125)</f>
        <v>3.926822</v>
      </c>
      <c r="V125" s="21">
        <f>VLOOKUP($A125,tabCustoUnit[],COLUMN(CUSTO_GLOBAL[[#Headers],[Salário Educação]])-2,0)*($G125-$H125)</f>
        <v>49.085275000000003</v>
      </c>
      <c r="W125" s="21">
        <f>VLOOKUP($A125,tabCustoUnit[],COLUMN(CUSTO_GLOBAL[[#Headers],[FGTS]])-2,0)*($G125-$H125)</f>
        <v>157.07288</v>
      </c>
      <c r="X125" s="21">
        <f>VLOOKUP($A125,tabCustoUnit[],COLUMN(CUSTO_GLOBAL[[#Headers],[RAT Ajustado]])-2,0)*($G125-$H125)</f>
        <v>78.536439999999999</v>
      </c>
      <c r="Y125" s="21">
        <f>VLOOKUP($A125,tabCustoUnit[],COLUMN(CUSTO_GLOBAL[[#Headers],[SEBRAE]])-2,0)*($G125-$H125)</f>
        <v>11.780466000000001</v>
      </c>
      <c r="Z125" s="21">
        <f>VLOOKUP($A125,tabCustoUnit[],COLUMN(CUSTO_GLOBAL[[#Headers],[Submódulo 2.1]])-2,0)*($G125-$H125)</f>
        <v>742.1693580000001</v>
      </c>
      <c r="AA125" s="21">
        <f>VLOOKUP($A125,tabCustoUnit[],COLUMN(CUSTO_GLOBAL[[#Headers],[13º salário (titular)]])-2,0)*($G125-$H125)</f>
        <v>163.61758333333333</v>
      </c>
      <c r="AB125" s="21">
        <f>VLOOKUP($A125,tabCustoUnit[],COLUMN(CUSTO_GLOBAL[[#Headers],[Férias e Adicional de Férias (titular)]])-2,0)*($G125-$H125)</f>
        <v>218.15677777777776</v>
      </c>
      <c r="AC125" s="21">
        <f>VLOOKUP($A125,tabCustoUnit[],COLUMN(CUSTO_GLOBAL[[#Headers],[Incidência do Submódulo 2.1 sobre 13º Salário, Férias e Adicional de Férias]])-2,0)*($G125-$H125)</f>
        <v>144.3107085</v>
      </c>
      <c r="AD125" s="21">
        <f>VLOOKUP($A125,tabCustoUnit[],COLUMN(CUSTO_GLOBAL[[#Headers],[Submódulo 2.2]])-2,0)*($G125-$H125)</f>
        <v>526.08506961111107</v>
      </c>
      <c r="AE125" s="22" t="e">
        <f ca="1">VLOOKUP($A125,tabCustoUnit[],COLUMN(CUSTO_GLOBAL[[#Headers],[Vale - Transporte (Descontada parcela do empregado)]])-2,0)*($G125-$H125)</f>
        <v>#NAME?</v>
      </c>
      <c r="AF125" s="22">
        <f>VLOOKUP($A125,tabCustoUnit[],COLUMN(CUSTO_GLOBAL[[#Headers],[Vale - Alimentação (Descontada parcela do empregado)]])-2,0)*($G125-$H125)</f>
        <v>582</v>
      </c>
      <c r="AG125" s="22">
        <f>VLOOKUP($A125,tabCustoUnit[],COLUMN(CUSTO_GLOBAL[[#Headers],[Cesta Básica]])-2,0)*($G125-$H125)</f>
        <v>0</v>
      </c>
      <c r="AH125" s="22">
        <f>VLOOKUP($A125,tabCustoUnit[],COLUMN(CUSTO_GLOBAL[[#Headers],[PAF]])-2,0)*($G125-$H125)</f>
        <v>0</v>
      </c>
      <c r="AI125" s="22">
        <f>VLOOKUP($A125,tabCustoUnit[],COLUMN(CUSTO_GLOBAL[[#Headers],[PQM]])-2,0)*($G125-$H125)</f>
        <v>0</v>
      </c>
      <c r="AJ125" s="22">
        <v>0</v>
      </c>
      <c r="AK125" s="22">
        <f>VLOOKUP($A125,tabCustoUnit[],COLUMN(CUSTO_GLOBAL[[#Headers],[Seguro de Vida]])-2,0)*($G125-$H125)</f>
        <v>3.36</v>
      </c>
      <c r="AL125" s="22">
        <f>VLOOKUP($A125,tabCustoUnit[],COLUMN(CUSTO_GLOBAL[[#Headers],[Despesas de Viagem]])-2,0)*($G125-$H125)</f>
        <v>0</v>
      </c>
      <c r="AM125" s="22" t="e">
        <f ca="1">VLOOKUP($A125,tabCustoUnit[],COLUMN(CUSTO_GLOBAL[[#Headers],[Submódulo 2.3]])-2,0)*($G125-$H125)</f>
        <v>#NAME?</v>
      </c>
      <c r="AN125" s="22" t="e">
        <f ca="1">VLOOKUP($A125,tabCustoUnit[],COLUMN(CUSTO_GLOBAL[[#Headers],[MÓDULO 2 - Total Encargos e Benefícios mensais e diários]])-2,0)*($G125-$H125)</f>
        <v>#NAME?</v>
      </c>
      <c r="AO125" s="22">
        <f>VLOOKUP($A125,tabCustoUnit[],COLUMN(CUSTO_GLOBAL[[#Headers],[Aviso Prévio Indenizado (API) e Reflexo do Aviso Prévio Indenizado]])-2,0)*($G125-$H125)</f>
        <v>13.766980408757716</v>
      </c>
      <c r="AP125" s="22">
        <f>VLOOKUP($A125,tabCustoUnit[],COLUMN(CUSTO_GLOBAL[[#Headers],[Incidência do FGTS sobre API e Reflexo do API]])-2,0)*($G125-$H125)</f>
        <v>1.1013584327006174</v>
      </c>
      <c r="AQ125" s="22">
        <f>VLOOKUP($A125,tabCustoUnit[],COLUMN(CUSTO_GLOBAL[[#Headers],[Multa Rescisória do FGTS sobre o Aviso Prévio Indenizado]])-2,0)*($G125-$H125)</f>
        <v>0.44054337308024699</v>
      </c>
      <c r="AR125" s="22">
        <f>VLOOKUP($A125,tabCustoUnit[],COLUMN(CUSTO_GLOBAL[[#Headers],[Aviso Prévio Trabalhado - APT]])-2,0)*($G125-$H125)</f>
        <v>6.8719385000000015</v>
      </c>
      <c r="AS125" s="22">
        <f>VLOOKUP($A125,tabCustoUnit[],COLUMN(CUSTO_GLOBAL[[#Headers],[Incidência dos encargos do submódulo 2.1 sobre Aviso Prévio Trabalhado]])-2,0)*($G125-$H125)</f>
        <v>2.5975927530000007</v>
      </c>
      <c r="AT125" s="22">
        <f>VLOOKUP($A125,tabCustoUnit[],COLUMN(CUSTO_GLOBAL[[#Headers],[Multa Rescisória do FGTS]])-2,0)*($G125-$H125)</f>
        <v>60.03674524444444</v>
      </c>
      <c r="AU125" s="22">
        <f>VLOOKUP($A125,tabCustoUnit[],COLUMN(CUSTO_GLOBAL[[#Headers],[Indenização Adicional (Art. 9º da Lei nº 7.238/84)]])-2,0)*($G125-$H125)</f>
        <v>1.6361758333333334</v>
      </c>
      <c r="AV125" s="22">
        <f>VLOOKUP($A125,tabCustoUnit[],COLUMN(CUSTO_GLOBAL[[#Headers],[MÓDULO 3 – PROVISÃO PARA RESCISÃO]])-2,0)*($G125-$H125)</f>
        <v>86.451334545316371</v>
      </c>
      <c r="AW125" s="22">
        <f>VLOOKUP($A125,tabCustoUnit[],COLUMN(CUSTO_GLOBAL[[#Headers],[Ausência por Doença]])-2,0)*($G125-$H125)</f>
        <v>16.579915111111109</v>
      </c>
      <c r="AX125" s="22">
        <f>VLOOKUP($A125,tabCustoUnit[],COLUMN(CUSTO_GLOBAL[[#Headers],[Ausências Legais]])-2,0)*($G125-$H125)</f>
        <v>3.9813611944444443</v>
      </c>
      <c r="AY125" s="22">
        <f>VLOOKUP($A125,tabCustoUnit[],COLUMN(CUSTO_GLOBAL[[#Headers],[Licença Paternidade]])-2,0)*($G125-$H125)</f>
        <v>0.33541604583333334</v>
      </c>
      <c r="AZ125" s="22">
        <f>VLOOKUP($A125,tabCustoUnit[],COLUMN(CUSTO_GLOBAL[[#Headers],[Ausência por Acidente de Trabalho]])-2,0)*($G125-$H125)</f>
        <v>0.40904395833333335</v>
      </c>
      <c r="BA125" s="22">
        <f>VLOOKUP($A125,tabCustoUnit[],COLUMN(CUSTO_GLOBAL[[#Headers],[Férias, Adicional de Férias e 13º  com empregada em gozo de Licença Maternidade]])-2,0)*($G125-$H125)</f>
        <v>2.5451624074074073</v>
      </c>
      <c r="BB125" s="22">
        <f>VLOOKUP($A125,tabCustoUnit[],COLUMN(CUSTO_GLOBAL[[#Headers],[Incidência do Submódulo 2.1 sobre Ausências Legais]])-2,0)*($G125-$H125)</f>
        <v>9.0156397150750021</v>
      </c>
      <c r="BC125" s="22">
        <f>VLOOKUP($A125,tabCustoUnit[],COLUMN(CUSTO_GLOBAL[[#Headers],[Submódulo 4.1]])-2,0)*($G125-$H125)</f>
        <v>32.866538432204628</v>
      </c>
      <c r="BD125" s="22">
        <f>VLOOKUP($A125,tabCustoUnit[],COLUMN(CUSTO_GLOBAL[[#Headers],[Intervalo para Repouso ou Alimentação]])-2,0)*($G125-$H125)</f>
        <v>267.73786489195959</v>
      </c>
      <c r="BE125" s="22">
        <f>VLOOKUP($A125,tabCustoUnit[],COLUMN(CUSTO_GLOBAL[[#Headers],[Submódulo 4.2]])-2,0)*($G125-$H125)</f>
        <v>267.73786489195959</v>
      </c>
      <c r="BF125" s="22">
        <f>VLOOKUP($A125,tabCustoUnit[],COLUMN(CUSTO_GLOBAL[[#Headers],[Suspensão Temporária do Contrato de Trabalho]])-2,0)*($G125-$H125)</f>
        <v>0</v>
      </c>
      <c r="BG125" s="22">
        <f>VLOOKUP($A125,tabCustoUnit[],COLUMN(CUSTO_GLOBAL[[#Headers],[Submódulo 4.3]])-2,0)*($G125-$H125)</f>
        <v>0</v>
      </c>
      <c r="BH125" s="22">
        <f>VLOOKUP($A125,tabCustoUnit[],COLUMN(CUSTO_GLOBAL[[#Headers],[MÓDULO 4 – CUSTO DE REPOSIÇÃO DO PROFISSIONAL AUSENTE]])-2,0)*($G125-$H125)</f>
        <v>300.6044033241642</v>
      </c>
      <c r="BI125" s="22">
        <f>VLOOKUP($A125,tabCustoUnit[],COLUMN(CUSTO_GLOBAL[[#Headers],[Uniformes e EPIs]])-2,0)*($G125-$H125)</f>
        <v>56.642978962543395</v>
      </c>
      <c r="BJ125" s="22">
        <f>VLOOKUP($A125,tabCustoUnit[],COLUMN(CUSTO_GLOBAL[[#Headers],[Materiais de Consumo]])-2,0)*($G125-$H125)</f>
        <v>0</v>
      </c>
      <c r="BK125" s="22">
        <f>VLOOKUP($A125,tabCustoUnit[],COLUMN(CUSTO_GLOBAL[[#Headers],[Máquinas e Equipamentos (depreciação)]])-2,0)*($G125-$H125)</f>
        <v>0</v>
      </c>
      <c r="BL125" s="22">
        <f>VLOOKUP($A125,tabCustoUnit[],COLUMN(CUSTO_GLOBAL[[#Headers],[Produtos de Limpeza e Materiais de Higiene Pessoal]])-2,0)*($G125-$H125)</f>
        <v>0</v>
      </c>
      <c r="BM125" s="22">
        <f>VLOOKUP($A125,tabCustoUnit[],COLUMN(CUSTO_GLOBAL[[#Headers],[Outros (especificar)]])-2,0)*($G125-$H125)</f>
        <v>0</v>
      </c>
      <c r="BN125" s="22">
        <f>VLOOKUP($A125,tabCustoUnit[],COLUMN(CUSTO_GLOBAL[[#Headers],[MÓDULO 5 – INSUMOS DIVERSOS]])-2,0)*($G125-$H125)</f>
        <v>56.642978962543395</v>
      </c>
      <c r="BO125" s="22" t="e">
        <f ca="1">VLOOKUP($A125,tabCustoUnit[],COLUMN(CUSTO_GLOBAL[[#Headers],[TOTAL MÓDULOS 1+2+3+4+5]])-2,0)*($G125-$H125)</f>
        <v>#NAME?</v>
      </c>
      <c r="BP125" s="22" t="e">
        <f ca="1">VLOOKUP($A125,tabCustoUnit[],COLUMN(CUSTO_GLOBAL[[#Headers],[Custos Indiretos]])-2,0)*($G125-$H125)</f>
        <v>#NAME?</v>
      </c>
      <c r="BQ125" s="22" t="e">
        <f ca="1">VLOOKUP($A125,tabCustoUnit[],COLUMN(CUSTO_GLOBAL[[#Headers],[Lucro]])-2,0)*($G125-$H125)</f>
        <v>#NAME?</v>
      </c>
      <c r="BR125" s="26">
        <f>VLOOKUP($A125,tabCustoUnit[],COLUMN(CUSTO_GLOBAL[[#Headers],[COFINS]])-2,0)</f>
        <v>8.7608069164265154E-2</v>
      </c>
      <c r="BS125" s="26">
        <f>VLOOKUP($A125,tabCustoUnit[],COLUMN(CUSTO_GLOBAL[[#Headers],[PIS]])-2,0)</f>
        <v>1.9020172910662814E-2</v>
      </c>
      <c r="BT125" s="28">
        <f>VLOOKUP($A125,tabCustoUnit[],COLUMN(CUSTO_GLOBAL[[#Headers],[ISS]])-2,0)</f>
        <v>0.04</v>
      </c>
      <c r="BU125" s="26">
        <f>VLOOKUP($A125,tabCustoUnit[],COLUMN(CUSTO_GLOBAL[[#Headers],[ISS (Conversão Alíquota s/ fatura)]])-2,0)</f>
        <v>4.6109510086455294E-2</v>
      </c>
      <c r="BV125" s="26">
        <f>VLOOKUP($A125,tabCustoUnit[],COLUMN(CUSTO_GLOBAL[[#Headers],[Resumo de Alíquotas (PIS+CONFINS+ISS)]])-2,0)</f>
        <v>0.13250000000000001</v>
      </c>
      <c r="BW125" s="138">
        <f>VLOOKUP($A125,tabCustoUnit[],COLUMN(CUSTO_GLOBAL[[#Headers],[PIS + COFINS + ISS (Total Conversão  Alíquota s/ Fatura)]])-2,0)</f>
        <v>0.15273775216138324</v>
      </c>
      <c r="BX125" s="22" t="e">
        <f ca="1">VLOOKUP($A125,tabCustoUnit[],COLUMN(CUSTO_GLOBAL[[#Headers],[Valor dos Tributos (ISS, PIS, CONFINS)]])-2,0)*($G125-$H125)</f>
        <v>#NAME?</v>
      </c>
      <c r="BY125" s="22" t="e">
        <f ca="1">VLOOKUP($A125,tabCustoUnit[],COLUMN(CUSTO_GLOBAL[[#Headers],[MÓDULO 6 – CUSTOS INDIRETOS, TRIBUTOS E LUCRO]])-2,0)*($G125-$H125)</f>
        <v>#NAME?</v>
      </c>
      <c r="BZ125" s="22" t="e">
        <f ca="1">VLOOKUP($A125,tabCustoUnit[],COLUMN(CUSTO_GLOBAL[[#Headers],[CUSTO TOTAL MENSAL]])-2,0)*($G125-$H125)</f>
        <v>#NAME?</v>
      </c>
      <c r="CA125" s="22" t="e">
        <f ca="1">CUSTO_GLOBAL[[#This Row],[CUSTO TOTAL MENSAL]]*12</f>
        <v>#NAME?</v>
      </c>
      <c r="CB125" s="24">
        <f>VLOOKUP($A125,tabCustoUnit[],COLUMN(CUSTO_GLOBAL[[#Headers],[ANO DA CCT]])-2,0)</f>
        <v>45658</v>
      </c>
      <c r="CC125" s="25" t="str">
        <f>VLOOKUP($A125,tabCustoUnit[],COLUMN(CUSTO_GLOBAL[[#Headers],[Nº DE PEDIDO DA CCT]])-2,0)</f>
        <v>-</v>
      </c>
      <c r="CD125" s="25" t="str">
        <f>VLOOKUP($A125,tabCustoUnit[],COLUMN(CUSTO_GLOBAL[[#Headers],[TERMO ADITIVO ALTERAÇÃO DA CCT]])-2,0)</f>
        <v>-</v>
      </c>
    </row>
    <row r="126" spans="1:82">
      <c r="A126" s="20" t="s">
        <v>1582</v>
      </c>
      <c r="B126" t="s">
        <v>1126</v>
      </c>
      <c r="C126" t="s">
        <v>324</v>
      </c>
      <c r="D126" t="s">
        <v>957</v>
      </c>
      <c r="E126" s="20" t="s">
        <v>1090</v>
      </c>
      <c r="F126" s="20" t="s">
        <v>120</v>
      </c>
      <c r="G126" s="20">
        <v>1</v>
      </c>
      <c r="H126" s="20">
        <v>0</v>
      </c>
      <c r="I126" s="21">
        <f>VLOOKUP($A126,tabCustoUnit[],COLUMN(CUSTO_GLOBAL[[#Headers],[Salário Base]])-2,0)*($G126-$H126)</f>
        <v>3397.1306</v>
      </c>
      <c r="J126" s="21">
        <f>VLOOKUP($A126,tabCustoUnit[],COLUMN(CUSTO_GLOBAL[[#Headers],[Adicional Periculosidade]])-2,0)*($G126-$H126)</f>
        <v>0</v>
      </c>
      <c r="K126" s="21">
        <f>VLOOKUP($A126,tabCustoUnit[],COLUMN(CUSTO_GLOBAL[[#Headers],[Adicional Insalubridade]])-2,0)*($G126-$H126)</f>
        <v>0</v>
      </c>
      <c r="L126" s="21">
        <f>VLOOKUP($A126,tabCustoUnit[],COLUMN(CUSTO_GLOBAL[[#Headers],[Adicional Noturno]])-2,0)*($G126-$H126)</f>
        <v>0</v>
      </c>
      <c r="M126" s="21">
        <f>VLOOKUP($A126,tabCustoUnit[],COLUMN(CUSTO_GLOBAL[[#Headers],[Adicional Motorista II (Gratificação)]])-2,0)*($G126-$H126)</f>
        <v>0</v>
      </c>
      <c r="N126" s="21">
        <f>VLOOKUP($A126,tabCustoUnit[],COLUMN(CUSTO_GLOBAL[[#Headers],[Adicional de Sobreaviso]])-2,0)*($G126-$H126)</f>
        <v>0</v>
      </c>
      <c r="O126" s="21">
        <f>VLOOKUP($A126,tabCustoUnit[],COLUMN(CUSTO_GLOBAL[[#Headers],[Horas Extras TI]])-2,0)*($G126-$H126)</f>
        <v>0</v>
      </c>
      <c r="P126" s="21">
        <f>VLOOKUP($A126,tabCustoUnit[],COLUMN(CUSTO_GLOBAL[[#Headers],[Adicional de Acúmulo de função]])-2,0)*($G126-$H126)</f>
        <v>0</v>
      </c>
      <c r="Q126" s="21">
        <f>VLOOKUP($A126,tabCustoUnit[],COLUMN(CUSTO_GLOBAL[[#Headers],[MODULO 1 - REMUNERAÇÃO ]])-2,0)*($G126-$H126)</f>
        <v>3397.1306</v>
      </c>
      <c r="R126" s="21">
        <f>VLOOKUP($A126,tabCustoUnit[],COLUMN(CUSTO_GLOBAL[[#Headers],[INSS]])-2,0)*($G126-$H126)</f>
        <v>679.42612000000008</v>
      </c>
      <c r="S126" s="21">
        <f>VLOOKUP($A126,tabCustoUnit[],COLUMN(CUSTO_GLOBAL[[#Headers],[SESI OU SESC]])-2,0)*($G126-$H126)</f>
        <v>50.956958999999998</v>
      </c>
      <c r="T126" s="21">
        <f>VLOOKUP($A126,tabCustoUnit[],COLUMN(CUSTO_GLOBAL[[#Headers],[SENAI OU SENAC]])-2,0)*($G126-$H126)</f>
        <v>33.971305999999998</v>
      </c>
      <c r="U126" s="21">
        <f>VLOOKUP($A126,tabCustoUnit[],COLUMN(CUSTO_GLOBAL[[#Headers],[INCRA]])-2,0)*($G126-$H126)</f>
        <v>6.7942612000000002</v>
      </c>
      <c r="V126" s="21">
        <f>VLOOKUP($A126,tabCustoUnit[],COLUMN(CUSTO_GLOBAL[[#Headers],[Salário Educação]])-2,0)*($G126-$H126)</f>
        <v>84.92826500000001</v>
      </c>
      <c r="W126" s="21">
        <f>VLOOKUP($A126,tabCustoUnit[],COLUMN(CUSTO_GLOBAL[[#Headers],[FGTS]])-2,0)*($G126-$H126)</f>
        <v>271.77044799999999</v>
      </c>
      <c r="X126" s="21">
        <f>VLOOKUP($A126,tabCustoUnit[],COLUMN(CUSTO_GLOBAL[[#Headers],[RAT Ajustado]])-2,0)*($G126-$H126)</f>
        <v>135.88522399999999</v>
      </c>
      <c r="Y126" s="21">
        <f>VLOOKUP($A126,tabCustoUnit[],COLUMN(CUSTO_GLOBAL[[#Headers],[SEBRAE]])-2,0)*($G126-$H126)</f>
        <v>20.3827836</v>
      </c>
      <c r="Z126" s="21">
        <f>VLOOKUP($A126,tabCustoUnit[],COLUMN(CUSTO_GLOBAL[[#Headers],[Submódulo 2.1]])-2,0)*($G126-$H126)</f>
        <v>1284.1153668000002</v>
      </c>
      <c r="AA126" s="21">
        <f>VLOOKUP($A126,tabCustoUnit[],COLUMN(CUSTO_GLOBAL[[#Headers],[13º salário (titular)]])-2,0)*($G126-$H126)</f>
        <v>283.09421666666663</v>
      </c>
      <c r="AB126" s="21">
        <f>VLOOKUP($A126,tabCustoUnit[],COLUMN(CUSTO_GLOBAL[[#Headers],[Férias e Adicional de Férias (titular)]])-2,0)*($G126-$H126)</f>
        <v>377.45895555555552</v>
      </c>
      <c r="AC126" s="21">
        <f>VLOOKUP($A126,tabCustoUnit[],COLUMN(CUSTO_GLOBAL[[#Headers],[Incidência do Submódulo 2.1 sobre 13º Salário, Férias e Adicional de Férias]])-2,0)*($G126-$H126)</f>
        <v>249.68909910000002</v>
      </c>
      <c r="AD126" s="21">
        <f>VLOOKUP($A126,tabCustoUnit[],COLUMN(CUSTO_GLOBAL[[#Headers],[Submódulo 2.2]])-2,0)*($G126-$H126)</f>
        <v>910.24227132222222</v>
      </c>
      <c r="AE126" s="22" t="e">
        <f ca="1">VLOOKUP($A126,tabCustoUnit[],COLUMN(CUSTO_GLOBAL[[#Headers],[Vale - Transporte (Descontada parcela do empregado)]])-2,0)*($G126-$H126)</f>
        <v>#NAME?</v>
      </c>
      <c r="AF126" s="22">
        <f>VLOOKUP($A126,tabCustoUnit[],COLUMN(CUSTO_GLOBAL[[#Headers],[Vale - Alimentação (Descontada parcela do empregado)]])-2,0)*($G126-$H126)</f>
        <v>582</v>
      </c>
      <c r="AG126" s="22">
        <f>VLOOKUP($A126,tabCustoUnit[],COLUMN(CUSTO_GLOBAL[[#Headers],[Cesta Básica]])-2,0)*($G126-$H126)</f>
        <v>0</v>
      </c>
      <c r="AH126" s="22">
        <f>VLOOKUP($A126,tabCustoUnit[],COLUMN(CUSTO_GLOBAL[[#Headers],[PAF]])-2,0)*($G126-$H126)</f>
        <v>0</v>
      </c>
      <c r="AI126" s="22">
        <f>VLOOKUP($A126,tabCustoUnit[],COLUMN(CUSTO_GLOBAL[[#Headers],[PQM]])-2,0)*($G126-$H126)</f>
        <v>0</v>
      </c>
      <c r="AJ126" s="22">
        <v>0</v>
      </c>
      <c r="AK126" s="22">
        <f>VLOOKUP($A126,tabCustoUnit[],COLUMN(CUSTO_GLOBAL[[#Headers],[Seguro de Vida]])-2,0)*($G126-$H126)</f>
        <v>3.36</v>
      </c>
      <c r="AL126" s="22">
        <f>VLOOKUP($A126,tabCustoUnit[],COLUMN(CUSTO_GLOBAL[[#Headers],[Despesas de Viagem]])-2,0)*($G126-$H126)</f>
        <v>0</v>
      </c>
      <c r="AM126" s="22" t="e">
        <f ca="1">VLOOKUP($A126,tabCustoUnit[],COLUMN(CUSTO_GLOBAL[[#Headers],[Submódulo 2.3]])-2,0)*($G126-$H126)</f>
        <v>#NAME?</v>
      </c>
      <c r="AN126" s="22" t="e">
        <f ca="1">VLOOKUP($A126,tabCustoUnit[],COLUMN(CUSTO_GLOBAL[[#Headers],[MÓDULO 2 - Total Encargos e Benefícios mensais e diários]])-2,0)*($G126-$H126)</f>
        <v>#NAME?</v>
      </c>
      <c r="AO126" s="22">
        <f>VLOOKUP($A126,tabCustoUnit[],COLUMN(CUSTO_GLOBAL[[#Headers],[Aviso Prévio Indenizado (API) e Reflexo do Aviso Prévio Indenizado]])-2,0)*($G126-$H126)</f>
        <v>23.819888151890432</v>
      </c>
      <c r="AP126" s="22">
        <f>VLOOKUP($A126,tabCustoUnit[],COLUMN(CUSTO_GLOBAL[[#Headers],[Incidência do FGTS sobre API e Reflexo do API]])-2,0)*($G126-$H126)</f>
        <v>1.9055910521512347</v>
      </c>
      <c r="AQ126" s="22">
        <f>VLOOKUP($A126,tabCustoUnit[],COLUMN(CUSTO_GLOBAL[[#Headers],[Multa Rescisória do FGTS sobre o Aviso Prévio Indenizado]])-2,0)*($G126-$H126)</f>
        <v>0.76223642086049392</v>
      </c>
      <c r="AR126" s="22">
        <f>VLOOKUP($A126,tabCustoUnit[],COLUMN(CUSTO_GLOBAL[[#Headers],[Aviso Prévio Trabalhado - APT]])-2,0)*($G126-$H126)</f>
        <v>11.889957100000002</v>
      </c>
      <c r="AS126" s="22">
        <f>VLOOKUP($A126,tabCustoUnit[],COLUMN(CUSTO_GLOBAL[[#Headers],[Incidência dos encargos do submódulo 2.1 sobre Aviso Prévio Trabalhado]])-2,0)*($G126-$H126)</f>
        <v>4.4944037838000011</v>
      </c>
      <c r="AT126" s="22">
        <f>VLOOKUP($A126,tabCustoUnit[],COLUMN(CUSTO_GLOBAL[[#Headers],[Multa Rescisória do FGTS]])-2,0)*($G126-$H126)</f>
        <v>103.87670456888887</v>
      </c>
      <c r="AU126" s="22">
        <f>VLOOKUP($A126,tabCustoUnit[],COLUMN(CUSTO_GLOBAL[[#Headers],[Indenização Adicional (Art. 9º da Lei nº 7.238/84)]])-2,0)*($G126-$H126)</f>
        <v>2.830942166666667</v>
      </c>
      <c r="AV126" s="22">
        <f>VLOOKUP($A126,tabCustoUnit[],COLUMN(CUSTO_GLOBAL[[#Headers],[MÓDULO 3 – PROVISÃO PARA RESCISÃO]])-2,0)*($G126-$H126)</f>
        <v>149.57972324425771</v>
      </c>
      <c r="AW126" s="22">
        <f>VLOOKUP($A126,tabCustoUnit[],COLUMN(CUSTO_GLOBAL[[#Headers],[Ausência por Doença]])-2,0)*($G126-$H126)</f>
        <v>28.686880622222219</v>
      </c>
      <c r="AX126" s="22">
        <f>VLOOKUP($A126,tabCustoUnit[],COLUMN(CUSTO_GLOBAL[[#Headers],[Ausências Legais]])-2,0)*($G126-$H126)</f>
        <v>6.8886259388888886</v>
      </c>
      <c r="AY126" s="22">
        <f>VLOOKUP($A126,tabCustoUnit[],COLUMN(CUSTO_GLOBAL[[#Headers],[Licença Paternidade]])-2,0)*($G126-$H126)</f>
        <v>0.58034314416666666</v>
      </c>
      <c r="AZ126" s="22">
        <f>VLOOKUP($A126,tabCustoUnit[],COLUMN(CUSTO_GLOBAL[[#Headers],[Ausência por Acidente de Trabalho]])-2,0)*($G126-$H126)</f>
        <v>0.70773554166666675</v>
      </c>
      <c r="BA126" s="22">
        <f>VLOOKUP($A126,tabCustoUnit[],COLUMN(CUSTO_GLOBAL[[#Headers],[Férias, Adicional de Férias e 13º  com empregada em gozo de Licença Maternidade]])-2,0)*($G126-$H126)</f>
        <v>4.4036878148148144</v>
      </c>
      <c r="BB126" s="22">
        <f>VLOOKUP($A126,tabCustoUnit[],COLUMN(CUSTO_GLOBAL[[#Headers],[Incidência do Submódulo 2.1 sobre Ausências Legais]])-2,0)*($G126-$H126)</f>
        <v>15.599029217345002</v>
      </c>
      <c r="BC126" s="22">
        <f>VLOOKUP($A126,tabCustoUnit[],COLUMN(CUSTO_GLOBAL[[#Headers],[Submódulo 4.1]])-2,0)*($G126-$H126)</f>
        <v>56.866302279104261</v>
      </c>
      <c r="BD126" s="22">
        <f>VLOOKUP($A126,tabCustoUnit[],COLUMN(CUSTO_GLOBAL[[#Headers],[Intervalo para Repouso ou Alimentação]])-2,0)*($G126-$H126)</f>
        <v>0</v>
      </c>
      <c r="BE126" s="22">
        <f>VLOOKUP($A126,tabCustoUnit[],COLUMN(CUSTO_GLOBAL[[#Headers],[Submódulo 4.2]])-2,0)*($G126-$H126)</f>
        <v>0</v>
      </c>
      <c r="BF126" s="22">
        <f>VLOOKUP($A126,tabCustoUnit[],COLUMN(CUSTO_GLOBAL[[#Headers],[Suspensão Temporária do Contrato de Trabalho]])-2,0)*($G126-$H126)</f>
        <v>0</v>
      </c>
      <c r="BG126" s="22">
        <f>VLOOKUP($A126,tabCustoUnit[],COLUMN(CUSTO_GLOBAL[[#Headers],[Submódulo 4.3]])-2,0)*($G126-$H126)</f>
        <v>0</v>
      </c>
      <c r="BH126" s="22">
        <f>VLOOKUP($A126,tabCustoUnit[],COLUMN(CUSTO_GLOBAL[[#Headers],[MÓDULO 4 – CUSTO DE REPOSIÇÃO DO PROFISSIONAL AUSENTE]])-2,0)*($G126-$H126)</f>
        <v>56.866302279104261</v>
      </c>
      <c r="BI126" s="22">
        <f>VLOOKUP($A126,tabCustoUnit[],COLUMN(CUSTO_GLOBAL[[#Headers],[Uniformes e EPIs]])-2,0)*($G126-$H126)</f>
        <v>56.642978962543395</v>
      </c>
      <c r="BJ126" s="22">
        <f>VLOOKUP($A126,tabCustoUnit[],COLUMN(CUSTO_GLOBAL[[#Headers],[Materiais de Consumo]])-2,0)*($G126-$H126)</f>
        <v>0</v>
      </c>
      <c r="BK126" s="22">
        <f>VLOOKUP($A126,tabCustoUnit[],COLUMN(CUSTO_GLOBAL[[#Headers],[Máquinas e Equipamentos (depreciação)]])-2,0)*($G126-$H126)</f>
        <v>0</v>
      </c>
      <c r="BL126" s="22">
        <f>VLOOKUP($A126,tabCustoUnit[],COLUMN(CUSTO_GLOBAL[[#Headers],[Produtos de Limpeza e Materiais de Higiene Pessoal]])-2,0)*($G126-$H126)</f>
        <v>0</v>
      </c>
      <c r="BM126" s="22">
        <f>VLOOKUP($A126,tabCustoUnit[],COLUMN(CUSTO_GLOBAL[[#Headers],[Outros (especificar)]])-2,0)*($G126-$H126)</f>
        <v>0</v>
      </c>
      <c r="BN126" s="22">
        <f>VLOOKUP($A126,tabCustoUnit[],COLUMN(CUSTO_GLOBAL[[#Headers],[MÓDULO 5 – INSUMOS DIVERSOS]])-2,0)*($G126-$H126)</f>
        <v>56.642978962543395</v>
      </c>
      <c r="BO126" s="22" t="e">
        <f ca="1">VLOOKUP($A126,tabCustoUnit[],COLUMN(CUSTO_GLOBAL[[#Headers],[TOTAL MÓDULOS 1+2+3+4+5]])-2,0)*($G126-$H126)</f>
        <v>#NAME?</v>
      </c>
      <c r="BP126" s="22" t="e">
        <f ca="1">VLOOKUP($A126,tabCustoUnit[],COLUMN(CUSTO_GLOBAL[[#Headers],[Custos Indiretos]])-2,0)*($G126-$H126)</f>
        <v>#NAME?</v>
      </c>
      <c r="BQ126" s="22" t="e">
        <f ca="1">VLOOKUP($A126,tabCustoUnit[],COLUMN(CUSTO_GLOBAL[[#Headers],[Lucro]])-2,0)*($G126-$H126)</f>
        <v>#NAME?</v>
      </c>
      <c r="BR126" s="26">
        <f>VLOOKUP($A126,tabCustoUnit[],COLUMN(CUSTO_GLOBAL[[#Headers],[COFINS]])-2,0)</f>
        <v>8.7608069164265154E-2</v>
      </c>
      <c r="BS126" s="26">
        <f>VLOOKUP($A126,tabCustoUnit[],COLUMN(CUSTO_GLOBAL[[#Headers],[PIS]])-2,0)</f>
        <v>1.9020172910662814E-2</v>
      </c>
      <c r="BT126" s="28">
        <f>VLOOKUP($A126,tabCustoUnit[],COLUMN(CUSTO_GLOBAL[[#Headers],[ISS]])-2,0)</f>
        <v>0.04</v>
      </c>
      <c r="BU126" s="26">
        <f>VLOOKUP($A126,tabCustoUnit[],COLUMN(CUSTO_GLOBAL[[#Headers],[ISS (Conversão Alíquota s/ fatura)]])-2,0)</f>
        <v>4.6109510086455294E-2</v>
      </c>
      <c r="BV126" s="26">
        <f>VLOOKUP($A126,tabCustoUnit[],COLUMN(CUSTO_GLOBAL[[#Headers],[Resumo de Alíquotas (PIS+CONFINS+ISS)]])-2,0)</f>
        <v>0.13250000000000001</v>
      </c>
      <c r="BW126" s="138">
        <f>VLOOKUP($A126,tabCustoUnit[],COLUMN(CUSTO_GLOBAL[[#Headers],[PIS + COFINS + ISS (Total Conversão  Alíquota s/ Fatura)]])-2,0)</f>
        <v>0.15273775216138324</v>
      </c>
      <c r="BX126" s="22" t="e">
        <f ca="1">VLOOKUP($A126,tabCustoUnit[],COLUMN(CUSTO_GLOBAL[[#Headers],[Valor dos Tributos (ISS, PIS, CONFINS)]])-2,0)*($G126-$H126)</f>
        <v>#NAME?</v>
      </c>
      <c r="BY126" s="22" t="e">
        <f ca="1">VLOOKUP($A126,tabCustoUnit[],COLUMN(CUSTO_GLOBAL[[#Headers],[MÓDULO 6 – CUSTOS INDIRETOS, TRIBUTOS E LUCRO]])-2,0)*($G126-$H126)</f>
        <v>#NAME?</v>
      </c>
      <c r="BZ126" s="22" t="e">
        <f ca="1">VLOOKUP($A126,tabCustoUnit[],COLUMN(CUSTO_GLOBAL[[#Headers],[CUSTO TOTAL MENSAL]])-2,0)*($G126-$H126)</f>
        <v>#NAME?</v>
      </c>
      <c r="CA126" s="22" t="e">
        <f ca="1">CUSTO_GLOBAL[[#This Row],[CUSTO TOTAL MENSAL]]*12</f>
        <v>#NAME?</v>
      </c>
      <c r="CB126" s="24">
        <f>VLOOKUP($A126,tabCustoUnit[],COLUMN(CUSTO_GLOBAL[[#Headers],[ANO DA CCT]])-2,0)</f>
        <v>45658</v>
      </c>
      <c r="CC126" s="25" t="str">
        <f>VLOOKUP($A126,tabCustoUnit[],COLUMN(CUSTO_GLOBAL[[#Headers],[Nº DE PEDIDO DA CCT]])-2,0)</f>
        <v>-</v>
      </c>
      <c r="CD126" s="25" t="str">
        <f>VLOOKUP($A126,tabCustoUnit[],COLUMN(CUSTO_GLOBAL[[#Headers],[TERMO ADITIVO ALTERAÇÃO DA CCT]])-2,0)</f>
        <v>-</v>
      </c>
    </row>
    <row r="127" spans="1:82">
      <c r="A127" s="20" t="s">
        <v>1583</v>
      </c>
      <c r="B127" t="s">
        <v>1127</v>
      </c>
      <c r="C127" t="s">
        <v>314</v>
      </c>
      <c r="D127" t="s">
        <v>918</v>
      </c>
      <c r="E127" s="20" t="s">
        <v>1090</v>
      </c>
      <c r="F127" s="20" t="s">
        <v>120</v>
      </c>
      <c r="G127" s="20">
        <v>1</v>
      </c>
      <c r="H127" s="20">
        <v>0</v>
      </c>
      <c r="I127" s="21">
        <f>VLOOKUP($A127,tabCustoUnit[],COLUMN(CUSTO_GLOBAL[[#Headers],[Salário Base]])-2,0)*($G127-$H127)</f>
        <v>1963.4110000000001</v>
      </c>
      <c r="J127" s="21">
        <f>VLOOKUP($A127,tabCustoUnit[],COLUMN(CUSTO_GLOBAL[[#Headers],[Adicional Periculosidade]])-2,0)*($G127-$H127)</f>
        <v>0</v>
      </c>
      <c r="K127" s="21">
        <f>VLOOKUP($A127,tabCustoUnit[],COLUMN(CUSTO_GLOBAL[[#Headers],[Adicional Insalubridade]])-2,0)*($G127-$H127)</f>
        <v>0</v>
      </c>
      <c r="L127" s="21">
        <f>VLOOKUP($A127,tabCustoUnit[],COLUMN(CUSTO_GLOBAL[[#Headers],[Adicional Noturno]])-2,0)*($G127-$H127)</f>
        <v>0</v>
      </c>
      <c r="M127" s="21">
        <f>VLOOKUP($A127,tabCustoUnit[],COLUMN(CUSTO_GLOBAL[[#Headers],[Adicional Motorista II (Gratificação)]])-2,0)*($G127-$H127)</f>
        <v>0</v>
      </c>
      <c r="N127" s="21">
        <f>VLOOKUP($A127,tabCustoUnit[],COLUMN(CUSTO_GLOBAL[[#Headers],[Adicional de Sobreaviso]])-2,0)*($G127-$H127)</f>
        <v>0</v>
      </c>
      <c r="O127" s="21">
        <f>VLOOKUP($A127,tabCustoUnit[],COLUMN(CUSTO_GLOBAL[[#Headers],[Horas Extras TI]])-2,0)*($G127-$H127)</f>
        <v>0</v>
      </c>
      <c r="P127" s="21">
        <f>VLOOKUP($A127,tabCustoUnit[],COLUMN(CUSTO_GLOBAL[[#Headers],[Adicional de Acúmulo de função]])-2,0)*($G127-$H127)</f>
        <v>0</v>
      </c>
      <c r="Q127" s="21">
        <f>VLOOKUP($A127,tabCustoUnit[],COLUMN(CUSTO_GLOBAL[[#Headers],[MODULO 1 - REMUNERAÇÃO ]])-2,0)*($G127-$H127)</f>
        <v>1963.4110000000001</v>
      </c>
      <c r="R127" s="21">
        <f>VLOOKUP($A127,tabCustoUnit[],COLUMN(CUSTO_GLOBAL[[#Headers],[INSS]])-2,0)*($G127-$H127)</f>
        <v>392.68220000000002</v>
      </c>
      <c r="S127" s="21">
        <f>VLOOKUP($A127,tabCustoUnit[],COLUMN(CUSTO_GLOBAL[[#Headers],[SESI OU SESC]])-2,0)*($G127-$H127)</f>
        <v>29.451165</v>
      </c>
      <c r="T127" s="21">
        <f>VLOOKUP($A127,tabCustoUnit[],COLUMN(CUSTO_GLOBAL[[#Headers],[SENAI OU SENAC]])-2,0)*($G127-$H127)</f>
        <v>19.63411</v>
      </c>
      <c r="U127" s="21">
        <f>VLOOKUP($A127,tabCustoUnit[],COLUMN(CUSTO_GLOBAL[[#Headers],[INCRA]])-2,0)*($G127-$H127)</f>
        <v>3.926822</v>
      </c>
      <c r="V127" s="21">
        <f>VLOOKUP($A127,tabCustoUnit[],COLUMN(CUSTO_GLOBAL[[#Headers],[Salário Educação]])-2,0)*($G127-$H127)</f>
        <v>49.085275000000003</v>
      </c>
      <c r="W127" s="21">
        <f>VLOOKUP($A127,tabCustoUnit[],COLUMN(CUSTO_GLOBAL[[#Headers],[FGTS]])-2,0)*($G127-$H127)</f>
        <v>157.07288</v>
      </c>
      <c r="X127" s="21">
        <f>VLOOKUP($A127,tabCustoUnit[],COLUMN(CUSTO_GLOBAL[[#Headers],[RAT Ajustado]])-2,0)*($G127-$H127)</f>
        <v>78.536439999999999</v>
      </c>
      <c r="Y127" s="21">
        <f>VLOOKUP($A127,tabCustoUnit[],COLUMN(CUSTO_GLOBAL[[#Headers],[SEBRAE]])-2,0)*($G127-$H127)</f>
        <v>11.780466000000001</v>
      </c>
      <c r="Z127" s="21">
        <f>VLOOKUP($A127,tabCustoUnit[],COLUMN(CUSTO_GLOBAL[[#Headers],[Submódulo 2.1]])-2,0)*($G127-$H127)</f>
        <v>742.1693580000001</v>
      </c>
      <c r="AA127" s="21">
        <f>VLOOKUP($A127,tabCustoUnit[],COLUMN(CUSTO_GLOBAL[[#Headers],[13º salário (titular)]])-2,0)*($G127-$H127)</f>
        <v>163.61758333333333</v>
      </c>
      <c r="AB127" s="21">
        <f>VLOOKUP($A127,tabCustoUnit[],COLUMN(CUSTO_GLOBAL[[#Headers],[Férias e Adicional de Férias (titular)]])-2,0)*($G127-$H127)</f>
        <v>218.15677777777776</v>
      </c>
      <c r="AC127" s="21">
        <f>VLOOKUP($A127,tabCustoUnit[],COLUMN(CUSTO_GLOBAL[[#Headers],[Incidência do Submódulo 2.1 sobre 13º Salário, Férias e Adicional de Férias]])-2,0)*($G127-$H127)</f>
        <v>144.3107085</v>
      </c>
      <c r="AD127" s="21">
        <f>VLOOKUP($A127,tabCustoUnit[],COLUMN(CUSTO_GLOBAL[[#Headers],[Submódulo 2.2]])-2,0)*($G127-$H127)</f>
        <v>526.08506961111107</v>
      </c>
      <c r="AE127" s="22" t="e">
        <f ca="1">VLOOKUP($A127,tabCustoUnit[],COLUMN(CUSTO_GLOBAL[[#Headers],[Vale - Transporte (Descontada parcela do empregado)]])-2,0)*($G127-$H127)</f>
        <v>#NAME?</v>
      </c>
      <c r="AF127" s="22">
        <f>VLOOKUP($A127,tabCustoUnit[],COLUMN(CUSTO_GLOBAL[[#Headers],[Vale - Alimentação (Descontada parcela do empregado)]])-2,0)*($G127-$H127)</f>
        <v>582</v>
      </c>
      <c r="AG127" s="22">
        <f>VLOOKUP($A127,tabCustoUnit[],COLUMN(CUSTO_GLOBAL[[#Headers],[Cesta Básica]])-2,0)*($G127-$H127)</f>
        <v>0</v>
      </c>
      <c r="AH127" s="22">
        <f>VLOOKUP($A127,tabCustoUnit[],COLUMN(CUSTO_GLOBAL[[#Headers],[PAF]])-2,0)*($G127-$H127)</f>
        <v>0</v>
      </c>
      <c r="AI127" s="22">
        <f>VLOOKUP($A127,tabCustoUnit[],COLUMN(CUSTO_GLOBAL[[#Headers],[PQM]])-2,0)*($G127-$H127)</f>
        <v>15.07</v>
      </c>
      <c r="AJ127" s="22">
        <v>0</v>
      </c>
      <c r="AK127" s="22">
        <f>VLOOKUP($A127,tabCustoUnit[],COLUMN(CUSTO_GLOBAL[[#Headers],[Seguro de Vida]])-2,0)*($G127-$H127)</f>
        <v>3.36</v>
      </c>
      <c r="AL127" s="22">
        <f>VLOOKUP($A127,tabCustoUnit[],COLUMN(CUSTO_GLOBAL[[#Headers],[Despesas de Viagem]])-2,0)*($G127-$H127)</f>
        <v>0</v>
      </c>
      <c r="AM127" s="22" t="e">
        <f ca="1">VLOOKUP($A127,tabCustoUnit[],COLUMN(CUSTO_GLOBAL[[#Headers],[Submódulo 2.3]])-2,0)*($G127-$H127)</f>
        <v>#NAME?</v>
      </c>
      <c r="AN127" s="22" t="e">
        <f ca="1">VLOOKUP($A127,tabCustoUnit[],COLUMN(CUSTO_GLOBAL[[#Headers],[MÓDULO 2 - Total Encargos e Benefícios mensais e diários]])-2,0)*($G127-$H127)</f>
        <v>#NAME?</v>
      </c>
      <c r="AO127" s="22">
        <f>VLOOKUP($A127,tabCustoUnit[],COLUMN(CUSTO_GLOBAL[[#Headers],[Aviso Prévio Indenizado (API) e Reflexo do Aviso Prévio Indenizado]])-2,0)*($G127-$H127)</f>
        <v>13.766980408757716</v>
      </c>
      <c r="AP127" s="22">
        <f>VLOOKUP($A127,tabCustoUnit[],COLUMN(CUSTO_GLOBAL[[#Headers],[Incidência do FGTS sobre API e Reflexo do API]])-2,0)*($G127-$H127)</f>
        <v>1.1013584327006174</v>
      </c>
      <c r="AQ127" s="22">
        <f>VLOOKUP($A127,tabCustoUnit[],COLUMN(CUSTO_GLOBAL[[#Headers],[Multa Rescisória do FGTS sobre o Aviso Prévio Indenizado]])-2,0)*($G127-$H127)</f>
        <v>0.44054337308024699</v>
      </c>
      <c r="AR127" s="22">
        <f>VLOOKUP($A127,tabCustoUnit[],COLUMN(CUSTO_GLOBAL[[#Headers],[Aviso Prévio Trabalhado - APT]])-2,0)*($G127-$H127)</f>
        <v>6.8719385000000015</v>
      </c>
      <c r="AS127" s="22">
        <f>VLOOKUP($A127,tabCustoUnit[],COLUMN(CUSTO_GLOBAL[[#Headers],[Incidência dos encargos do submódulo 2.1 sobre Aviso Prévio Trabalhado]])-2,0)*($G127-$H127)</f>
        <v>2.5975927530000007</v>
      </c>
      <c r="AT127" s="22">
        <f>VLOOKUP($A127,tabCustoUnit[],COLUMN(CUSTO_GLOBAL[[#Headers],[Multa Rescisória do FGTS]])-2,0)*($G127-$H127)</f>
        <v>60.03674524444444</v>
      </c>
      <c r="AU127" s="22">
        <f>VLOOKUP($A127,tabCustoUnit[],COLUMN(CUSTO_GLOBAL[[#Headers],[Indenização Adicional (Art. 9º da Lei nº 7.238/84)]])-2,0)*($G127-$H127)</f>
        <v>1.6361758333333334</v>
      </c>
      <c r="AV127" s="22">
        <f>VLOOKUP($A127,tabCustoUnit[],COLUMN(CUSTO_GLOBAL[[#Headers],[MÓDULO 3 – PROVISÃO PARA RESCISÃO]])-2,0)*($G127-$H127)</f>
        <v>86.451334545316371</v>
      </c>
      <c r="AW127" s="22">
        <f>VLOOKUP($A127,tabCustoUnit[],COLUMN(CUSTO_GLOBAL[[#Headers],[Ausência por Doença]])-2,0)*($G127-$H127)</f>
        <v>16.579915111111109</v>
      </c>
      <c r="AX127" s="22">
        <f>VLOOKUP($A127,tabCustoUnit[],COLUMN(CUSTO_GLOBAL[[#Headers],[Ausências Legais]])-2,0)*($G127-$H127)</f>
        <v>3.9813611944444443</v>
      </c>
      <c r="AY127" s="22">
        <f>VLOOKUP($A127,tabCustoUnit[],COLUMN(CUSTO_GLOBAL[[#Headers],[Licença Paternidade]])-2,0)*($G127-$H127)</f>
        <v>0.33541604583333334</v>
      </c>
      <c r="AZ127" s="22">
        <f>VLOOKUP($A127,tabCustoUnit[],COLUMN(CUSTO_GLOBAL[[#Headers],[Ausência por Acidente de Trabalho]])-2,0)*($G127-$H127)</f>
        <v>0.40904395833333335</v>
      </c>
      <c r="BA127" s="22">
        <f>VLOOKUP($A127,tabCustoUnit[],COLUMN(CUSTO_GLOBAL[[#Headers],[Férias, Adicional de Férias e 13º  com empregada em gozo de Licença Maternidade]])-2,0)*($G127-$H127)</f>
        <v>2.5451624074074073</v>
      </c>
      <c r="BB127" s="22">
        <f>VLOOKUP($A127,tabCustoUnit[],COLUMN(CUSTO_GLOBAL[[#Headers],[Incidência do Submódulo 2.1 sobre Ausências Legais]])-2,0)*($G127-$H127)</f>
        <v>9.0156397150750021</v>
      </c>
      <c r="BC127" s="22">
        <f>VLOOKUP($A127,tabCustoUnit[],COLUMN(CUSTO_GLOBAL[[#Headers],[Submódulo 4.1]])-2,0)*($G127-$H127)</f>
        <v>32.866538432204628</v>
      </c>
      <c r="BD127" s="22">
        <f>VLOOKUP($A127,tabCustoUnit[],COLUMN(CUSTO_GLOBAL[[#Headers],[Intervalo para Repouso ou Alimentação]])-2,0)*($G127-$H127)</f>
        <v>267.73786489195959</v>
      </c>
      <c r="BE127" s="22">
        <f>VLOOKUP($A127,tabCustoUnit[],COLUMN(CUSTO_GLOBAL[[#Headers],[Submódulo 4.2]])-2,0)*($G127-$H127)</f>
        <v>267.73786489195959</v>
      </c>
      <c r="BF127" s="22">
        <f>VLOOKUP($A127,tabCustoUnit[],COLUMN(CUSTO_GLOBAL[[#Headers],[Suspensão Temporária do Contrato de Trabalho]])-2,0)*($G127-$H127)</f>
        <v>0</v>
      </c>
      <c r="BG127" s="22">
        <f>VLOOKUP($A127,tabCustoUnit[],COLUMN(CUSTO_GLOBAL[[#Headers],[Submódulo 4.3]])-2,0)*($G127-$H127)</f>
        <v>0</v>
      </c>
      <c r="BH127" s="22">
        <f>VLOOKUP($A127,tabCustoUnit[],COLUMN(CUSTO_GLOBAL[[#Headers],[MÓDULO 4 – CUSTO DE REPOSIÇÃO DO PROFISSIONAL AUSENTE]])-2,0)*($G127-$H127)</f>
        <v>300.6044033241642</v>
      </c>
      <c r="BI127" s="22">
        <f>VLOOKUP($A127,tabCustoUnit[],COLUMN(CUSTO_GLOBAL[[#Headers],[Uniformes e EPIs]])-2,0)*($G127-$H127)</f>
        <v>56.642978962543395</v>
      </c>
      <c r="BJ127" s="22">
        <f>VLOOKUP($A127,tabCustoUnit[],COLUMN(CUSTO_GLOBAL[[#Headers],[Materiais de Consumo]])-2,0)*($G127-$H127)</f>
        <v>0</v>
      </c>
      <c r="BK127" s="22">
        <f>VLOOKUP($A127,tabCustoUnit[],COLUMN(CUSTO_GLOBAL[[#Headers],[Máquinas e Equipamentos (depreciação)]])-2,0)*($G127-$H127)</f>
        <v>0</v>
      </c>
      <c r="BL127" s="22">
        <f>VLOOKUP($A127,tabCustoUnit[],COLUMN(CUSTO_GLOBAL[[#Headers],[Produtos de Limpeza e Materiais de Higiene Pessoal]])-2,0)*($G127-$H127)</f>
        <v>0</v>
      </c>
      <c r="BM127" s="22">
        <f>VLOOKUP($A127,tabCustoUnit[],COLUMN(CUSTO_GLOBAL[[#Headers],[Outros (especificar)]])-2,0)*($G127-$H127)</f>
        <v>0</v>
      </c>
      <c r="BN127" s="22">
        <f>VLOOKUP($A127,tabCustoUnit[],COLUMN(CUSTO_GLOBAL[[#Headers],[MÓDULO 5 – INSUMOS DIVERSOS]])-2,0)*($G127-$H127)</f>
        <v>56.642978962543395</v>
      </c>
      <c r="BO127" s="22" t="e">
        <f ca="1">VLOOKUP($A127,tabCustoUnit[],COLUMN(CUSTO_GLOBAL[[#Headers],[TOTAL MÓDULOS 1+2+3+4+5]])-2,0)*($G127-$H127)</f>
        <v>#NAME?</v>
      </c>
      <c r="BP127" s="22" t="e">
        <f ca="1">VLOOKUP($A127,tabCustoUnit[],COLUMN(CUSTO_GLOBAL[[#Headers],[Custos Indiretos]])-2,0)*($G127-$H127)</f>
        <v>#NAME?</v>
      </c>
      <c r="BQ127" s="22" t="e">
        <f ca="1">VLOOKUP($A127,tabCustoUnit[],COLUMN(CUSTO_GLOBAL[[#Headers],[Lucro]])-2,0)*($G127-$H127)</f>
        <v>#NAME?</v>
      </c>
      <c r="BR127" s="26">
        <f>VLOOKUP($A127,tabCustoUnit[],COLUMN(CUSTO_GLOBAL[[#Headers],[COFINS]])-2,0)</f>
        <v>8.6609686609686695E-2</v>
      </c>
      <c r="BS127" s="26">
        <f>VLOOKUP($A127,tabCustoUnit[],COLUMN(CUSTO_GLOBAL[[#Headers],[PIS]])-2,0)</f>
        <v>1.880341880341882E-2</v>
      </c>
      <c r="BT127" s="28">
        <f>VLOOKUP($A127,tabCustoUnit[],COLUMN(CUSTO_GLOBAL[[#Headers],[ISS]])-2,0)</f>
        <v>0.03</v>
      </c>
      <c r="BU127" s="26">
        <f>VLOOKUP($A127,tabCustoUnit[],COLUMN(CUSTO_GLOBAL[[#Headers],[ISS (Conversão Alíquota s/ fatura)]])-2,0)</f>
        <v>3.4188034188034219E-2</v>
      </c>
      <c r="BV127" s="26">
        <f>VLOOKUP($A127,tabCustoUnit[],COLUMN(CUSTO_GLOBAL[[#Headers],[Resumo de Alíquotas (PIS+CONFINS+ISS)]])-2,0)</f>
        <v>0.1225</v>
      </c>
      <c r="BW127" s="138">
        <f>VLOOKUP($A127,tabCustoUnit[],COLUMN(CUSTO_GLOBAL[[#Headers],[PIS + COFINS + ISS (Total Conversão  Alíquota s/ Fatura)]])-2,0)</f>
        <v>0.13960113960113973</v>
      </c>
      <c r="BX127" s="22" t="e">
        <f ca="1">VLOOKUP($A127,tabCustoUnit[],COLUMN(CUSTO_GLOBAL[[#Headers],[Valor dos Tributos (ISS, PIS, CONFINS)]])-2,0)*($G127-$H127)</f>
        <v>#NAME?</v>
      </c>
      <c r="BY127" s="22" t="e">
        <f ca="1">VLOOKUP($A127,tabCustoUnit[],COLUMN(CUSTO_GLOBAL[[#Headers],[MÓDULO 6 – CUSTOS INDIRETOS, TRIBUTOS E LUCRO]])-2,0)*($G127-$H127)</f>
        <v>#NAME?</v>
      </c>
      <c r="BZ127" s="22" t="e">
        <f ca="1">VLOOKUP($A127,tabCustoUnit[],COLUMN(CUSTO_GLOBAL[[#Headers],[CUSTO TOTAL MENSAL]])-2,0)*($G127-$H127)</f>
        <v>#NAME?</v>
      </c>
      <c r="CA127" s="22" t="e">
        <f ca="1">CUSTO_GLOBAL[[#This Row],[CUSTO TOTAL MENSAL]]*12</f>
        <v>#NAME?</v>
      </c>
      <c r="CB127" s="24">
        <f>VLOOKUP($A127,tabCustoUnit[],COLUMN(CUSTO_GLOBAL[[#Headers],[ANO DA CCT]])-2,0)</f>
        <v>45658</v>
      </c>
      <c r="CC127" s="25" t="str">
        <f>VLOOKUP($A127,tabCustoUnit[],COLUMN(CUSTO_GLOBAL[[#Headers],[Nº DE PEDIDO DA CCT]])-2,0)</f>
        <v>-</v>
      </c>
      <c r="CD127" s="25" t="str">
        <f>VLOOKUP($A127,tabCustoUnit[],COLUMN(CUSTO_GLOBAL[[#Headers],[TERMO ADITIVO ALTERAÇÃO DA CCT]])-2,0)</f>
        <v>-</v>
      </c>
    </row>
    <row r="128" spans="1:82">
      <c r="A128" s="20" t="s">
        <v>1584</v>
      </c>
      <c r="B128" t="s">
        <v>1128</v>
      </c>
      <c r="C128" t="s">
        <v>1371</v>
      </c>
      <c r="D128" t="s">
        <v>1058</v>
      </c>
      <c r="E128" s="20" t="s">
        <v>1090</v>
      </c>
      <c r="F128" s="20" t="s">
        <v>120</v>
      </c>
      <c r="G128" s="20">
        <v>1</v>
      </c>
      <c r="H128" s="20">
        <v>0</v>
      </c>
      <c r="I128" s="21">
        <f>VLOOKUP($A128,tabCustoUnit[],COLUMN(CUSTO_GLOBAL[[#Headers],[Salário Base]])-2,0)*($G128-$H128)</f>
        <v>6454.87</v>
      </c>
      <c r="J128" s="21">
        <f>VLOOKUP($A128,tabCustoUnit[],COLUMN(CUSTO_GLOBAL[[#Headers],[Adicional Periculosidade]])-2,0)*($G128-$H128)</f>
        <v>0</v>
      </c>
      <c r="K128" s="21">
        <f>VLOOKUP($A128,tabCustoUnit[],COLUMN(CUSTO_GLOBAL[[#Headers],[Adicional Insalubridade]])-2,0)*($G128-$H128)</f>
        <v>0</v>
      </c>
      <c r="L128" s="21">
        <f>VLOOKUP($A128,tabCustoUnit[],COLUMN(CUSTO_GLOBAL[[#Headers],[Adicional Noturno]])-2,0)*($G128-$H128)</f>
        <v>0</v>
      </c>
      <c r="M128" s="21">
        <f>VLOOKUP($A128,tabCustoUnit[],COLUMN(CUSTO_GLOBAL[[#Headers],[Adicional Motorista II (Gratificação)]])-2,0)*($G128-$H128)</f>
        <v>0</v>
      </c>
      <c r="N128" s="21">
        <f>VLOOKUP($A128,tabCustoUnit[],COLUMN(CUSTO_GLOBAL[[#Headers],[Adicional de Sobreaviso]])-2,0)*($G128-$H128)</f>
        <v>0</v>
      </c>
      <c r="O128" s="21">
        <f>VLOOKUP($A128,tabCustoUnit[],COLUMN(CUSTO_GLOBAL[[#Headers],[Horas Extras TI]])-2,0)*($G128-$H128)</f>
        <v>0</v>
      </c>
      <c r="P128" s="21">
        <f>VLOOKUP($A128,tabCustoUnit[],COLUMN(CUSTO_GLOBAL[[#Headers],[Adicional de Acúmulo de função]])-2,0)*($G128-$H128)</f>
        <v>0</v>
      </c>
      <c r="Q128" s="21">
        <f>VLOOKUP($A128,tabCustoUnit[],COLUMN(CUSTO_GLOBAL[[#Headers],[MODULO 1 - REMUNERAÇÃO ]])-2,0)*($G128-$H128)</f>
        <v>6454.87</v>
      </c>
      <c r="R128" s="21">
        <f>VLOOKUP($A128,tabCustoUnit[],COLUMN(CUSTO_GLOBAL[[#Headers],[INSS]])-2,0)*($G128-$H128)</f>
        <v>1290.9740000000002</v>
      </c>
      <c r="S128" s="21">
        <f>VLOOKUP($A128,tabCustoUnit[],COLUMN(CUSTO_GLOBAL[[#Headers],[SESI OU SESC]])-2,0)*($G128-$H128)</f>
        <v>96.823049999999995</v>
      </c>
      <c r="T128" s="21">
        <f>VLOOKUP($A128,tabCustoUnit[],COLUMN(CUSTO_GLOBAL[[#Headers],[SENAI OU SENAC]])-2,0)*($G128-$H128)</f>
        <v>64.548699999999997</v>
      </c>
      <c r="U128" s="21">
        <f>VLOOKUP($A128,tabCustoUnit[],COLUMN(CUSTO_GLOBAL[[#Headers],[INCRA]])-2,0)*($G128-$H128)</f>
        <v>12.909739999999999</v>
      </c>
      <c r="V128" s="21">
        <f>VLOOKUP($A128,tabCustoUnit[],COLUMN(CUSTO_GLOBAL[[#Headers],[Salário Educação]])-2,0)*($G128-$H128)</f>
        <v>161.37175000000002</v>
      </c>
      <c r="W128" s="21">
        <f>VLOOKUP($A128,tabCustoUnit[],COLUMN(CUSTO_GLOBAL[[#Headers],[FGTS]])-2,0)*($G128-$H128)</f>
        <v>516.38959999999997</v>
      </c>
      <c r="X128" s="21">
        <f>VLOOKUP($A128,tabCustoUnit[],COLUMN(CUSTO_GLOBAL[[#Headers],[RAT Ajustado]])-2,0)*($G128-$H128)</f>
        <v>258.19479999999999</v>
      </c>
      <c r="Y128" s="21">
        <f>VLOOKUP($A128,tabCustoUnit[],COLUMN(CUSTO_GLOBAL[[#Headers],[SEBRAE]])-2,0)*($G128-$H128)</f>
        <v>38.729219999999998</v>
      </c>
      <c r="Z128" s="21">
        <f>VLOOKUP($A128,tabCustoUnit[],COLUMN(CUSTO_GLOBAL[[#Headers],[Submódulo 2.1]])-2,0)*($G128-$H128)</f>
        <v>2439.9408600000006</v>
      </c>
      <c r="AA128" s="21">
        <f>VLOOKUP($A128,tabCustoUnit[],COLUMN(CUSTO_GLOBAL[[#Headers],[13º salário (titular)]])-2,0)*($G128-$H128)</f>
        <v>537.90583333333325</v>
      </c>
      <c r="AB128" s="21">
        <f>VLOOKUP($A128,tabCustoUnit[],COLUMN(CUSTO_GLOBAL[[#Headers],[Férias e Adicional de Férias (titular)]])-2,0)*($G128-$H128)</f>
        <v>717.20777777777778</v>
      </c>
      <c r="AC128" s="21">
        <f>VLOOKUP($A128,tabCustoUnit[],COLUMN(CUSTO_GLOBAL[[#Headers],[Incidência do Submódulo 2.1 sobre 13º Salário, Férias e Adicional de Férias]])-2,0)*($G128-$H128)</f>
        <v>474.43294500000007</v>
      </c>
      <c r="AD128" s="21">
        <f>VLOOKUP($A128,tabCustoUnit[],COLUMN(CUSTO_GLOBAL[[#Headers],[Submódulo 2.2]])-2,0)*($G128-$H128)</f>
        <v>1729.5465561111109</v>
      </c>
      <c r="AE128" s="22" t="e">
        <f ca="1">VLOOKUP($A128,tabCustoUnit[],COLUMN(CUSTO_GLOBAL[[#Headers],[Vale - Transporte (Descontada parcela do empregado)]])-2,0)*($G128-$H128)</f>
        <v>#NAME?</v>
      </c>
      <c r="AF128" s="22">
        <f>VLOOKUP($A128,tabCustoUnit[],COLUMN(CUSTO_GLOBAL[[#Headers],[Vale - Alimentação (Descontada parcela do empregado)]])-2,0)*($G128-$H128)</f>
        <v>582</v>
      </c>
      <c r="AG128" s="22">
        <f>VLOOKUP($A128,tabCustoUnit[],COLUMN(CUSTO_GLOBAL[[#Headers],[Cesta Básica]])-2,0)*($G128-$H128)</f>
        <v>0</v>
      </c>
      <c r="AH128" s="22">
        <f>VLOOKUP($A128,tabCustoUnit[],COLUMN(CUSTO_GLOBAL[[#Headers],[PAF]])-2,0)*($G128-$H128)</f>
        <v>77.25</v>
      </c>
      <c r="AI128" s="22">
        <f>VLOOKUP($A128,tabCustoUnit[],COLUMN(CUSTO_GLOBAL[[#Headers],[PQM]])-2,0)*($G128-$H128)</f>
        <v>0</v>
      </c>
      <c r="AJ128" s="22">
        <v>0</v>
      </c>
      <c r="AK128" s="22">
        <f>VLOOKUP($A128,tabCustoUnit[],COLUMN(CUSTO_GLOBAL[[#Headers],[Seguro de Vida]])-2,0)*($G128-$H128)</f>
        <v>3.36</v>
      </c>
      <c r="AL128" s="22">
        <f>VLOOKUP($A128,tabCustoUnit[],COLUMN(CUSTO_GLOBAL[[#Headers],[Despesas de Viagem]])-2,0)*($G128-$H128)</f>
        <v>0</v>
      </c>
      <c r="AM128" s="22" t="e">
        <f ca="1">VLOOKUP($A128,tabCustoUnit[],COLUMN(CUSTO_GLOBAL[[#Headers],[Submódulo 2.3]])-2,0)*($G128-$H128)</f>
        <v>#NAME?</v>
      </c>
      <c r="AN128" s="22" t="e">
        <f ca="1">VLOOKUP($A128,tabCustoUnit[],COLUMN(CUSTO_GLOBAL[[#Headers],[MÓDULO 2 - Total Encargos e Benefícios mensais e diários]])-2,0)*($G128-$H128)</f>
        <v>#NAME?</v>
      </c>
      <c r="AO128" s="22">
        <f>VLOOKUP($A128,tabCustoUnit[],COLUMN(CUSTO_GLOBAL[[#Headers],[Aviso Prévio Indenizado (API) e Reflexo do Aviso Prévio Indenizado]])-2,0)*($G128-$H128)</f>
        <v>45.260044295910497</v>
      </c>
      <c r="AP128" s="22">
        <f>VLOOKUP($A128,tabCustoUnit[],COLUMN(CUSTO_GLOBAL[[#Headers],[Incidência do FGTS sobre API e Reflexo do API]])-2,0)*($G128-$H128)</f>
        <v>3.6208035436728396</v>
      </c>
      <c r="AQ128" s="22">
        <f>VLOOKUP($A128,tabCustoUnit[],COLUMN(CUSTO_GLOBAL[[#Headers],[Multa Rescisória do FGTS sobre o Aviso Prévio Indenizado]])-2,0)*($G128-$H128)</f>
        <v>1.4483214174691361</v>
      </c>
      <c r="AR128" s="22">
        <f>VLOOKUP($A128,tabCustoUnit[],COLUMN(CUSTO_GLOBAL[[#Headers],[Aviso Prévio Trabalhado - APT]])-2,0)*($G128-$H128)</f>
        <v>22.592045000000002</v>
      </c>
      <c r="AS128" s="22">
        <f>VLOOKUP($A128,tabCustoUnit[],COLUMN(CUSTO_GLOBAL[[#Headers],[Incidência dos encargos do submódulo 2.1 sobre Aviso Prévio Trabalhado]])-2,0)*($G128-$H128)</f>
        <v>8.5397930100000021</v>
      </c>
      <c r="AT128" s="22">
        <f>VLOOKUP($A128,tabCustoUnit[],COLUMN(CUSTO_GLOBAL[[#Headers],[Multa Rescisória do FGTS]])-2,0)*($G128-$H128)</f>
        <v>197.37558044444441</v>
      </c>
      <c r="AU128" s="22">
        <f>VLOOKUP($A128,tabCustoUnit[],COLUMN(CUSTO_GLOBAL[[#Headers],[Indenização Adicional (Art. 9º da Lei nº 7.238/84)]])-2,0)*($G128-$H128)</f>
        <v>5.3790583333333339</v>
      </c>
      <c r="AV128" s="22">
        <f>VLOOKUP($A128,tabCustoUnit[],COLUMN(CUSTO_GLOBAL[[#Headers],[MÓDULO 3 – PROVISÃO PARA RESCISÃO]])-2,0)*($G128-$H128)</f>
        <v>284.21564604483024</v>
      </c>
      <c r="AW128" s="22">
        <f>VLOOKUP($A128,tabCustoUnit[],COLUMN(CUSTO_GLOBAL[[#Headers],[Ausência por Doença]])-2,0)*($G128-$H128)</f>
        <v>54.507791111111104</v>
      </c>
      <c r="AX128" s="22">
        <f>VLOOKUP($A128,tabCustoUnit[],COLUMN(CUSTO_GLOBAL[[#Headers],[Ausências Legais]])-2,0)*($G128-$H128)</f>
        <v>13.089041944444443</v>
      </c>
      <c r="AY128" s="22">
        <f>VLOOKUP($A128,tabCustoUnit[],COLUMN(CUSTO_GLOBAL[[#Headers],[Licença Paternidade]])-2,0)*($G128-$H128)</f>
        <v>1.1027069583333333</v>
      </c>
      <c r="AZ128" s="22">
        <f>VLOOKUP($A128,tabCustoUnit[],COLUMN(CUSTO_GLOBAL[[#Headers],[Ausência por Acidente de Trabalho]])-2,0)*($G128-$H128)</f>
        <v>1.3447645833333335</v>
      </c>
      <c r="BA128" s="22">
        <f>VLOOKUP($A128,tabCustoUnit[],COLUMN(CUSTO_GLOBAL[[#Headers],[Férias, Adicional de Férias e 13º  com empregada em gozo de Licença Maternidade]])-2,0)*($G128-$H128)</f>
        <v>8.3674240740740728</v>
      </c>
      <c r="BB128" s="22">
        <f>VLOOKUP($A128,tabCustoUnit[],COLUMN(CUSTO_GLOBAL[[#Headers],[Incidência do Submódulo 2.1 sobre Ausências Legais]])-2,0)*($G128-$H128)</f>
        <v>29.639633437750003</v>
      </c>
      <c r="BC128" s="22">
        <f>VLOOKUP($A128,tabCustoUnit[],COLUMN(CUSTO_GLOBAL[[#Headers],[Submódulo 4.1]])-2,0)*($G128-$H128)</f>
        <v>108.05136210904629</v>
      </c>
      <c r="BD128" s="22">
        <f>VLOOKUP($A128,tabCustoUnit[],COLUMN(CUSTO_GLOBAL[[#Headers],[Intervalo para Repouso ou Alimentação]])-2,0)*($G128-$H128)</f>
        <v>0</v>
      </c>
      <c r="BE128" s="22">
        <f>VLOOKUP($A128,tabCustoUnit[],COLUMN(CUSTO_GLOBAL[[#Headers],[Submódulo 4.2]])-2,0)*($G128-$H128)</f>
        <v>0</v>
      </c>
      <c r="BF128" s="22">
        <f>VLOOKUP($A128,tabCustoUnit[],COLUMN(CUSTO_GLOBAL[[#Headers],[Suspensão Temporária do Contrato de Trabalho]])-2,0)*($G128-$H128)</f>
        <v>0</v>
      </c>
      <c r="BG128" s="22">
        <f>VLOOKUP($A128,tabCustoUnit[],COLUMN(CUSTO_GLOBAL[[#Headers],[Submódulo 4.3]])-2,0)*($G128-$H128)</f>
        <v>0</v>
      </c>
      <c r="BH128" s="22">
        <f>VLOOKUP($A128,tabCustoUnit[],COLUMN(CUSTO_GLOBAL[[#Headers],[MÓDULO 4 – CUSTO DE REPOSIÇÃO DO PROFISSIONAL AUSENTE]])-2,0)*($G128-$H128)</f>
        <v>108.05136210904629</v>
      </c>
      <c r="BI128" s="22">
        <f>VLOOKUP($A128,tabCustoUnit[],COLUMN(CUSTO_GLOBAL[[#Headers],[Uniformes e EPIs]])-2,0)*($G128-$H128)</f>
        <v>90.784679782039703</v>
      </c>
      <c r="BJ128" s="22">
        <f>VLOOKUP($A128,tabCustoUnit[],COLUMN(CUSTO_GLOBAL[[#Headers],[Materiais de Consumo]])-2,0)*($G128-$H128)</f>
        <v>0</v>
      </c>
      <c r="BK128" s="22">
        <f>VLOOKUP($A128,tabCustoUnit[],COLUMN(CUSTO_GLOBAL[[#Headers],[Máquinas e Equipamentos (depreciação)]])-2,0)*($G128-$H128)</f>
        <v>0</v>
      </c>
      <c r="BL128" s="22">
        <f>VLOOKUP($A128,tabCustoUnit[],COLUMN(CUSTO_GLOBAL[[#Headers],[Produtos de Limpeza e Materiais de Higiene Pessoal]])-2,0)*($G128-$H128)</f>
        <v>0</v>
      </c>
      <c r="BM128" s="22">
        <f>VLOOKUP($A128,tabCustoUnit[],COLUMN(CUSTO_GLOBAL[[#Headers],[Outros (especificar)]])-2,0)*($G128-$H128)</f>
        <v>0</v>
      </c>
      <c r="BN128" s="22">
        <f>VLOOKUP($A128,tabCustoUnit[],COLUMN(CUSTO_GLOBAL[[#Headers],[MÓDULO 5 – INSUMOS DIVERSOS]])-2,0)*($G128-$H128)</f>
        <v>90.784679782039703</v>
      </c>
      <c r="BO128" s="22" t="e">
        <f ca="1">VLOOKUP($A128,tabCustoUnit[],COLUMN(CUSTO_GLOBAL[[#Headers],[TOTAL MÓDULOS 1+2+3+4+5]])-2,0)*($G128-$H128)</f>
        <v>#NAME?</v>
      </c>
      <c r="BP128" s="22" t="e">
        <f ca="1">VLOOKUP($A128,tabCustoUnit[],COLUMN(CUSTO_GLOBAL[[#Headers],[Custos Indiretos]])-2,0)*($G128-$H128)</f>
        <v>#NAME?</v>
      </c>
      <c r="BQ128" s="22" t="e">
        <f ca="1">VLOOKUP($A128,tabCustoUnit[],COLUMN(CUSTO_GLOBAL[[#Headers],[Lucro]])-2,0)*($G128-$H128)</f>
        <v>#NAME?</v>
      </c>
      <c r="BR128" s="26">
        <f>VLOOKUP($A128,tabCustoUnit[],COLUMN(CUSTO_GLOBAL[[#Headers],[COFINS]])-2,0)</f>
        <v>8.6609686609686695E-2</v>
      </c>
      <c r="BS128" s="26">
        <f>VLOOKUP($A128,tabCustoUnit[],COLUMN(CUSTO_GLOBAL[[#Headers],[PIS]])-2,0)</f>
        <v>1.880341880341882E-2</v>
      </c>
      <c r="BT128" s="28">
        <f>VLOOKUP($A128,tabCustoUnit[],COLUMN(CUSTO_GLOBAL[[#Headers],[ISS]])-2,0)</f>
        <v>0.03</v>
      </c>
      <c r="BU128" s="26">
        <f>VLOOKUP($A128,tabCustoUnit[],COLUMN(CUSTO_GLOBAL[[#Headers],[ISS (Conversão Alíquota s/ fatura)]])-2,0)</f>
        <v>3.4188034188034219E-2</v>
      </c>
      <c r="BV128" s="26">
        <f>VLOOKUP($A128,tabCustoUnit[],COLUMN(CUSTO_GLOBAL[[#Headers],[Resumo de Alíquotas (PIS+CONFINS+ISS)]])-2,0)</f>
        <v>0.1225</v>
      </c>
      <c r="BW128" s="138">
        <f>VLOOKUP($A128,tabCustoUnit[],COLUMN(CUSTO_GLOBAL[[#Headers],[PIS + COFINS + ISS (Total Conversão  Alíquota s/ Fatura)]])-2,0)</f>
        <v>0.13960113960113973</v>
      </c>
      <c r="BX128" s="22" t="e">
        <f ca="1">VLOOKUP($A128,tabCustoUnit[],COLUMN(CUSTO_GLOBAL[[#Headers],[Valor dos Tributos (ISS, PIS, CONFINS)]])-2,0)*($G128-$H128)</f>
        <v>#NAME?</v>
      </c>
      <c r="BY128" s="22" t="e">
        <f ca="1">VLOOKUP($A128,tabCustoUnit[],COLUMN(CUSTO_GLOBAL[[#Headers],[MÓDULO 6 – CUSTOS INDIRETOS, TRIBUTOS E LUCRO]])-2,0)*($G128-$H128)</f>
        <v>#NAME?</v>
      </c>
      <c r="BZ128" s="22" t="e">
        <f ca="1">VLOOKUP($A128,tabCustoUnit[],COLUMN(CUSTO_GLOBAL[[#Headers],[CUSTO TOTAL MENSAL]])-2,0)*($G128-$H128)</f>
        <v>#NAME?</v>
      </c>
      <c r="CA128" s="22" t="e">
        <f ca="1">CUSTO_GLOBAL[[#This Row],[CUSTO TOTAL MENSAL]]*12</f>
        <v>#NAME?</v>
      </c>
      <c r="CB128" s="24">
        <f>VLOOKUP($A128,tabCustoUnit[],COLUMN(CUSTO_GLOBAL[[#Headers],[ANO DA CCT]])-2,0)</f>
        <v>45658</v>
      </c>
      <c r="CC128" s="25" t="str">
        <f>VLOOKUP($A128,tabCustoUnit[],COLUMN(CUSTO_GLOBAL[[#Headers],[Nº DE PEDIDO DA CCT]])-2,0)</f>
        <v>-</v>
      </c>
      <c r="CD128" s="25" t="str">
        <f>VLOOKUP($A128,tabCustoUnit[],COLUMN(CUSTO_GLOBAL[[#Headers],[TERMO ADITIVO ALTERAÇÃO DA CCT]])-2,0)</f>
        <v>-</v>
      </c>
    </row>
    <row r="129" spans="1:82">
      <c r="A129" s="20" t="s">
        <v>1470</v>
      </c>
      <c r="B129" t="s">
        <v>1128</v>
      </c>
      <c r="C129" t="s">
        <v>205</v>
      </c>
      <c r="D129" t="s">
        <v>1058</v>
      </c>
      <c r="E129" s="20" t="s">
        <v>1090</v>
      </c>
      <c r="F129" s="20" t="s">
        <v>120</v>
      </c>
      <c r="G129" s="20">
        <v>1</v>
      </c>
      <c r="H129" s="20">
        <v>0</v>
      </c>
      <c r="I129" s="21">
        <f>VLOOKUP($A129,tabCustoUnit[],COLUMN(CUSTO_GLOBAL[[#Headers],[Salário Base]])-2,0)*($G129-$H129)</f>
        <v>1649.1152999999999</v>
      </c>
      <c r="J129" s="21">
        <f>VLOOKUP($A129,tabCustoUnit[],COLUMN(CUSTO_GLOBAL[[#Headers],[Adicional Periculosidade]])-2,0)*($G129-$H129)</f>
        <v>0</v>
      </c>
      <c r="K129" s="21">
        <f>VLOOKUP($A129,tabCustoUnit[],COLUMN(CUSTO_GLOBAL[[#Headers],[Adicional Insalubridade]])-2,0)*($G129-$H129)</f>
        <v>0</v>
      </c>
      <c r="L129" s="21">
        <f>VLOOKUP($A129,tabCustoUnit[],COLUMN(CUSTO_GLOBAL[[#Headers],[Adicional Noturno]])-2,0)*($G129-$H129)</f>
        <v>0</v>
      </c>
      <c r="M129" s="21">
        <f>VLOOKUP($A129,tabCustoUnit[],COLUMN(CUSTO_GLOBAL[[#Headers],[Adicional Motorista II (Gratificação)]])-2,0)*($G129-$H129)</f>
        <v>0</v>
      </c>
      <c r="N129" s="21">
        <f>VLOOKUP($A129,tabCustoUnit[],COLUMN(CUSTO_GLOBAL[[#Headers],[Adicional de Sobreaviso]])-2,0)*($G129-$H129)</f>
        <v>0</v>
      </c>
      <c r="O129" s="21">
        <f>VLOOKUP($A129,tabCustoUnit[],COLUMN(CUSTO_GLOBAL[[#Headers],[Horas Extras TI]])-2,0)*($G129-$H129)</f>
        <v>0</v>
      </c>
      <c r="P129" s="21">
        <f>VLOOKUP($A129,tabCustoUnit[],COLUMN(CUSTO_GLOBAL[[#Headers],[Adicional de Acúmulo de função]])-2,0)*($G129-$H129)</f>
        <v>0</v>
      </c>
      <c r="Q129" s="21">
        <f>VLOOKUP($A129,tabCustoUnit[],COLUMN(CUSTO_GLOBAL[[#Headers],[MODULO 1 - REMUNERAÇÃO ]])-2,0)*($G129-$H129)</f>
        <v>1649.1152999999999</v>
      </c>
      <c r="R129" s="21">
        <f>VLOOKUP($A129,tabCustoUnit[],COLUMN(CUSTO_GLOBAL[[#Headers],[INSS]])-2,0)*($G129-$H129)</f>
        <v>329.82306</v>
      </c>
      <c r="S129" s="21">
        <f>VLOOKUP($A129,tabCustoUnit[],COLUMN(CUSTO_GLOBAL[[#Headers],[SESI OU SESC]])-2,0)*($G129-$H129)</f>
        <v>24.736729499999999</v>
      </c>
      <c r="T129" s="21">
        <f>VLOOKUP($A129,tabCustoUnit[],COLUMN(CUSTO_GLOBAL[[#Headers],[SENAI OU SENAC]])-2,0)*($G129-$H129)</f>
        <v>16.491153000000001</v>
      </c>
      <c r="U129" s="21">
        <f>VLOOKUP($A129,tabCustoUnit[],COLUMN(CUSTO_GLOBAL[[#Headers],[INCRA]])-2,0)*($G129-$H129)</f>
        <v>3.2982306000000001</v>
      </c>
      <c r="V129" s="21">
        <f>VLOOKUP($A129,tabCustoUnit[],COLUMN(CUSTO_GLOBAL[[#Headers],[Salário Educação]])-2,0)*($G129-$H129)</f>
        <v>41.2278825</v>
      </c>
      <c r="W129" s="21">
        <f>VLOOKUP($A129,tabCustoUnit[],COLUMN(CUSTO_GLOBAL[[#Headers],[FGTS]])-2,0)*($G129-$H129)</f>
        <v>131.929224</v>
      </c>
      <c r="X129" s="21">
        <f>VLOOKUP($A129,tabCustoUnit[],COLUMN(CUSTO_GLOBAL[[#Headers],[RAT Ajustado]])-2,0)*($G129-$H129)</f>
        <v>65.964612000000002</v>
      </c>
      <c r="Y129" s="21">
        <f>VLOOKUP($A129,tabCustoUnit[],COLUMN(CUSTO_GLOBAL[[#Headers],[SEBRAE]])-2,0)*($G129-$H129)</f>
        <v>9.8946918000000004</v>
      </c>
      <c r="Z129" s="21">
        <f>VLOOKUP($A129,tabCustoUnit[],COLUMN(CUSTO_GLOBAL[[#Headers],[Submódulo 2.1]])-2,0)*($G129-$H129)</f>
        <v>623.36558340000011</v>
      </c>
      <c r="AA129" s="21">
        <f>VLOOKUP($A129,tabCustoUnit[],COLUMN(CUSTO_GLOBAL[[#Headers],[13º salário (titular)]])-2,0)*($G129-$H129)</f>
        <v>137.42627499999998</v>
      </c>
      <c r="AB129" s="21">
        <f>VLOOKUP($A129,tabCustoUnit[],COLUMN(CUSTO_GLOBAL[[#Headers],[Férias e Adicional de Férias (titular)]])-2,0)*($G129-$H129)</f>
        <v>183.23503333333332</v>
      </c>
      <c r="AC129" s="21">
        <f>VLOOKUP($A129,tabCustoUnit[],COLUMN(CUSTO_GLOBAL[[#Headers],[Incidência do Submódulo 2.1 sobre 13º Salário, Férias e Adicional de Férias]])-2,0)*($G129-$H129)</f>
        <v>121.20997455</v>
      </c>
      <c r="AD129" s="21">
        <f>VLOOKUP($A129,tabCustoUnit[],COLUMN(CUSTO_GLOBAL[[#Headers],[Submódulo 2.2]])-2,0)*($G129-$H129)</f>
        <v>441.87128288333327</v>
      </c>
      <c r="AE129" s="22" t="e">
        <f ca="1">VLOOKUP($A129,tabCustoUnit[],COLUMN(CUSTO_GLOBAL[[#Headers],[Vale - Transporte (Descontada parcela do empregado)]])-2,0)*($G129-$H129)</f>
        <v>#NAME?</v>
      </c>
      <c r="AF129" s="22">
        <f>VLOOKUP($A129,tabCustoUnit[],COLUMN(CUSTO_GLOBAL[[#Headers],[Vale - Alimentação (Descontada parcela do empregado)]])-2,0)*($G129-$H129)</f>
        <v>582</v>
      </c>
      <c r="AG129" s="22">
        <f>VLOOKUP($A129,tabCustoUnit[],COLUMN(CUSTO_GLOBAL[[#Headers],[Cesta Básica]])-2,0)*($G129-$H129)</f>
        <v>0</v>
      </c>
      <c r="AH129" s="22">
        <f>VLOOKUP($A129,tabCustoUnit[],COLUMN(CUSTO_GLOBAL[[#Headers],[PAF]])-2,0)*($G129-$H129)</f>
        <v>77.25</v>
      </c>
      <c r="AI129" s="22">
        <f>VLOOKUP($A129,tabCustoUnit[],COLUMN(CUSTO_GLOBAL[[#Headers],[PQM]])-2,0)*($G129-$H129)</f>
        <v>0</v>
      </c>
      <c r="AJ129" s="22">
        <v>0</v>
      </c>
      <c r="AK129" s="22">
        <f>VLOOKUP($A129,tabCustoUnit[],COLUMN(CUSTO_GLOBAL[[#Headers],[Seguro de Vida]])-2,0)*($G129-$H129)</f>
        <v>3.36</v>
      </c>
      <c r="AL129" s="22">
        <f>VLOOKUP($A129,tabCustoUnit[],COLUMN(CUSTO_GLOBAL[[#Headers],[Despesas de Viagem]])-2,0)*($G129-$H129)</f>
        <v>0</v>
      </c>
      <c r="AM129" s="22" t="e">
        <f ca="1">VLOOKUP($A129,tabCustoUnit[],COLUMN(CUSTO_GLOBAL[[#Headers],[Submódulo 2.3]])-2,0)*($G129-$H129)</f>
        <v>#NAME?</v>
      </c>
      <c r="AN129" s="22" t="e">
        <f ca="1">VLOOKUP($A129,tabCustoUnit[],COLUMN(CUSTO_GLOBAL[[#Headers],[MÓDULO 2 - Total Encargos e Benefícios mensais e diários]])-2,0)*($G129-$H129)</f>
        <v>#NAME?</v>
      </c>
      <c r="AO129" s="22">
        <f>VLOOKUP($A129,tabCustoUnit[],COLUMN(CUSTO_GLOBAL[[#Headers],[Aviso Prévio Indenizado (API) e Reflexo do Aviso Prévio Indenizado]])-2,0)*($G129-$H129)</f>
        <v>11.563212199016203</v>
      </c>
      <c r="AP129" s="22">
        <f>VLOOKUP($A129,tabCustoUnit[],COLUMN(CUSTO_GLOBAL[[#Headers],[Incidência do FGTS sobre API e Reflexo do API]])-2,0)*($G129-$H129)</f>
        <v>0.92505697592129632</v>
      </c>
      <c r="AQ129" s="22">
        <f>VLOOKUP($A129,tabCustoUnit[],COLUMN(CUSTO_GLOBAL[[#Headers],[Multa Rescisória do FGTS sobre o Aviso Prévio Indenizado]])-2,0)*($G129-$H129)</f>
        <v>0.37002279036851859</v>
      </c>
      <c r="AR129" s="22">
        <f>VLOOKUP($A129,tabCustoUnit[],COLUMN(CUSTO_GLOBAL[[#Headers],[Aviso Prévio Trabalhado - APT]])-2,0)*($G129-$H129)</f>
        <v>5.7719035500000002</v>
      </c>
      <c r="AS129" s="22">
        <f>VLOOKUP($A129,tabCustoUnit[],COLUMN(CUSTO_GLOBAL[[#Headers],[Incidência dos encargos do submódulo 2.1 sobre Aviso Prévio Trabalhado]])-2,0)*($G129-$H129)</f>
        <v>2.1817795419000006</v>
      </c>
      <c r="AT129" s="22">
        <f>VLOOKUP($A129,tabCustoUnit[],COLUMN(CUSTO_GLOBAL[[#Headers],[Multa Rescisória do FGTS]])-2,0)*($G129-$H129)</f>
        <v>50.426281173333322</v>
      </c>
      <c r="AU129" s="22">
        <f>VLOOKUP($A129,tabCustoUnit[],COLUMN(CUSTO_GLOBAL[[#Headers],[Indenização Adicional (Art. 9º da Lei nº 7.238/84)]])-2,0)*($G129-$H129)</f>
        <v>1.37426275</v>
      </c>
      <c r="AV129" s="22">
        <f>VLOOKUP($A129,tabCustoUnit[],COLUMN(CUSTO_GLOBAL[[#Headers],[MÓDULO 3 – PROVISÃO PARA RESCISÃO]])-2,0)*($G129-$H129)</f>
        <v>72.612518980539335</v>
      </c>
      <c r="AW129" s="22">
        <f>VLOOKUP($A129,tabCustoUnit[],COLUMN(CUSTO_GLOBAL[[#Headers],[Ausência por Doença]])-2,0)*($G129-$H129)</f>
        <v>13.925862533333332</v>
      </c>
      <c r="AX129" s="22">
        <f>VLOOKUP($A129,tabCustoUnit[],COLUMN(CUSTO_GLOBAL[[#Headers],[Ausências Legais]])-2,0)*($G129-$H129)</f>
        <v>3.3440393583333332</v>
      </c>
      <c r="AY129" s="22">
        <f>VLOOKUP($A129,tabCustoUnit[],COLUMN(CUSTO_GLOBAL[[#Headers],[Licença Paternidade]])-2,0)*($G129-$H129)</f>
        <v>0.28172386374999997</v>
      </c>
      <c r="AZ129" s="22">
        <f>VLOOKUP($A129,tabCustoUnit[],COLUMN(CUSTO_GLOBAL[[#Headers],[Ausência por Acidente de Trabalho]])-2,0)*($G129-$H129)</f>
        <v>0.34356568749999999</v>
      </c>
      <c r="BA129" s="22">
        <f>VLOOKUP($A129,tabCustoUnit[],COLUMN(CUSTO_GLOBAL[[#Headers],[Férias, Adicional de Férias e 13º  com empregada em gozo de Licença Maternidade]])-2,0)*($G129-$H129)</f>
        <v>2.1377420555555555</v>
      </c>
      <c r="BB129" s="22">
        <f>VLOOKUP($A129,tabCustoUnit[],COLUMN(CUSTO_GLOBAL[[#Headers],[Incidência do Submódulo 2.1 sobre Ausências Legais]])-2,0)*($G129-$H129)</f>
        <v>7.572448862422501</v>
      </c>
      <c r="BC129" s="22">
        <f>VLOOKUP($A129,tabCustoUnit[],COLUMN(CUSTO_GLOBAL[[#Headers],[Submódulo 4.1]])-2,0)*($G129-$H129)</f>
        <v>27.605382360894719</v>
      </c>
      <c r="BD129" s="22">
        <f>VLOOKUP($A129,tabCustoUnit[],COLUMN(CUSTO_GLOBAL[[#Headers],[Intervalo para Repouso ou Alimentação]])-2,0)*($G129-$H129)</f>
        <v>0</v>
      </c>
      <c r="BE129" s="22">
        <f>VLOOKUP($A129,tabCustoUnit[],COLUMN(CUSTO_GLOBAL[[#Headers],[Submódulo 4.2]])-2,0)*($G129-$H129)</f>
        <v>0</v>
      </c>
      <c r="BF129" s="22">
        <f>VLOOKUP($A129,tabCustoUnit[],COLUMN(CUSTO_GLOBAL[[#Headers],[Suspensão Temporária do Contrato de Trabalho]])-2,0)*($G129-$H129)</f>
        <v>0</v>
      </c>
      <c r="BG129" s="22">
        <f>VLOOKUP($A129,tabCustoUnit[],COLUMN(CUSTO_GLOBAL[[#Headers],[Submódulo 4.3]])-2,0)*($G129-$H129)</f>
        <v>0</v>
      </c>
      <c r="BH129" s="22">
        <f>VLOOKUP($A129,tabCustoUnit[],COLUMN(CUSTO_GLOBAL[[#Headers],[MÓDULO 4 – CUSTO DE REPOSIÇÃO DO PROFISSIONAL AUSENTE]])-2,0)*($G129-$H129)</f>
        <v>27.605382360894719</v>
      </c>
      <c r="BI129" s="22">
        <f>VLOOKUP($A129,tabCustoUnit[],COLUMN(CUSTO_GLOBAL[[#Headers],[Uniformes e EPIs]])-2,0)*($G129-$H129)</f>
        <v>107.69869344317156</v>
      </c>
      <c r="BJ129" s="22">
        <f>VLOOKUP($A129,tabCustoUnit[],COLUMN(CUSTO_GLOBAL[[#Headers],[Materiais de Consumo]])-2,0)*($G129-$H129)</f>
        <v>0</v>
      </c>
      <c r="BK129" s="22">
        <f>VLOOKUP($A129,tabCustoUnit[],COLUMN(CUSTO_GLOBAL[[#Headers],[Máquinas e Equipamentos (depreciação)]])-2,0)*($G129-$H129)</f>
        <v>0</v>
      </c>
      <c r="BL129" s="22">
        <f>VLOOKUP($A129,tabCustoUnit[],COLUMN(CUSTO_GLOBAL[[#Headers],[Produtos de Limpeza e Materiais de Higiene Pessoal]])-2,0)*($G129-$H129)</f>
        <v>0</v>
      </c>
      <c r="BM129" s="22">
        <f>VLOOKUP($A129,tabCustoUnit[],COLUMN(CUSTO_GLOBAL[[#Headers],[Outros (especificar)]])-2,0)*($G129-$H129)</f>
        <v>0</v>
      </c>
      <c r="BN129" s="22">
        <f>VLOOKUP($A129,tabCustoUnit[],COLUMN(CUSTO_GLOBAL[[#Headers],[MÓDULO 5 – INSUMOS DIVERSOS]])-2,0)*($G129-$H129)</f>
        <v>107.69869344317156</v>
      </c>
      <c r="BO129" s="22" t="e">
        <f ca="1">VLOOKUP($A129,tabCustoUnit[],COLUMN(CUSTO_GLOBAL[[#Headers],[TOTAL MÓDULOS 1+2+3+4+5]])-2,0)*($G129-$H129)</f>
        <v>#NAME?</v>
      </c>
      <c r="BP129" s="22" t="e">
        <f ca="1">VLOOKUP($A129,tabCustoUnit[],COLUMN(CUSTO_GLOBAL[[#Headers],[Custos Indiretos]])-2,0)*($G129-$H129)</f>
        <v>#NAME?</v>
      </c>
      <c r="BQ129" s="22" t="e">
        <f ca="1">VLOOKUP($A129,tabCustoUnit[],COLUMN(CUSTO_GLOBAL[[#Headers],[Lucro]])-2,0)*($G129-$H129)</f>
        <v>#NAME?</v>
      </c>
      <c r="BR129" s="26">
        <f>VLOOKUP($A129,tabCustoUnit[],COLUMN(CUSTO_GLOBAL[[#Headers],[COFINS]])-2,0)</f>
        <v>8.6609686609686695E-2</v>
      </c>
      <c r="BS129" s="26">
        <f>VLOOKUP($A129,tabCustoUnit[],COLUMN(CUSTO_GLOBAL[[#Headers],[PIS]])-2,0)</f>
        <v>1.880341880341882E-2</v>
      </c>
      <c r="BT129" s="28">
        <f>VLOOKUP($A129,tabCustoUnit[],COLUMN(CUSTO_GLOBAL[[#Headers],[ISS]])-2,0)</f>
        <v>0.03</v>
      </c>
      <c r="BU129" s="26">
        <f>VLOOKUP($A129,tabCustoUnit[],COLUMN(CUSTO_GLOBAL[[#Headers],[ISS (Conversão Alíquota s/ fatura)]])-2,0)</f>
        <v>3.4188034188034219E-2</v>
      </c>
      <c r="BV129" s="26">
        <f>VLOOKUP($A129,tabCustoUnit[],COLUMN(CUSTO_GLOBAL[[#Headers],[Resumo de Alíquotas (PIS+CONFINS+ISS)]])-2,0)</f>
        <v>0.1225</v>
      </c>
      <c r="BW129" s="138">
        <f>VLOOKUP($A129,tabCustoUnit[],COLUMN(CUSTO_GLOBAL[[#Headers],[PIS + COFINS + ISS (Total Conversão  Alíquota s/ Fatura)]])-2,0)</f>
        <v>0.13960113960113973</v>
      </c>
      <c r="BX129" s="22" t="e">
        <f ca="1">VLOOKUP($A129,tabCustoUnit[],COLUMN(CUSTO_GLOBAL[[#Headers],[Valor dos Tributos (ISS, PIS, CONFINS)]])-2,0)*($G129-$H129)</f>
        <v>#NAME?</v>
      </c>
      <c r="BY129" s="22" t="e">
        <f ca="1">VLOOKUP($A129,tabCustoUnit[],COLUMN(CUSTO_GLOBAL[[#Headers],[MÓDULO 6 – CUSTOS INDIRETOS, TRIBUTOS E LUCRO]])-2,0)*($G129-$H129)</f>
        <v>#NAME?</v>
      </c>
      <c r="BZ129" s="22" t="e">
        <f ca="1">VLOOKUP($A129,tabCustoUnit[],COLUMN(CUSTO_GLOBAL[[#Headers],[CUSTO TOTAL MENSAL]])-2,0)*($G129-$H129)</f>
        <v>#NAME?</v>
      </c>
      <c r="CA129" s="22" t="e">
        <f ca="1">CUSTO_GLOBAL[[#This Row],[CUSTO TOTAL MENSAL]]*12</f>
        <v>#NAME?</v>
      </c>
      <c r="CB129" s="24">
        <f>VLOOKUP($A129,tabCustoUnit[],COLUMN(CUSTO_GLOBAL[[#Headers],[ANO DA CCT]])-2,0)</f>
        <v>45658</v>
      </c>
      <c r="CC129" s="25" t="str">
        <f>VLOOKUP($A129,tabCustoUnit[],COLUMN(CUSTO_GLOBAL[[#Headers],[Nº DE PEDIDO DA CCT]])-2,0)</f>
        <v>-</v>
      </c>
      <c r="CD129" s="25" t="str">
        <f>VLOOKUP($A129,tabCustoUnit[],COLUMN(CUSTO_GLOBAL[[#Headers],[TERMO ADITIVO ALTERAÇÃO DA CCT]])-2,0)</f>
        <v>-</v>
      </c>
    </row>
    <row r="130" spans="1:82">
      <c r="A130" s="20" t="s">
        <v>1585</v>
      </c>
      <c r="B130" t="s">
        <v>1128</v>
      </c>
      <c r="C130" t="s">
        <v>274</v>
      </c>
      <c r="D130" t="s">
        <v>984</v>
      </c>
      <c r="E130" s="20" t="s">
        <v>1090</v>
      </c>
      <c r="F130" s="20" t="s">
        <v>120</v>
      </c>
      <c r="G130" s="20">
        <v>3</v>
      </c>
      <c r="H130" s="20">
        <v>0</v>
      </c>
      <c r="I130" s="21">
        <f>VLOOKUP($A130,tabCustoUnit[],COLUMN(CUSTO_GLOBAL[[#Headers],[Salário Base]])-2,0)*($G130-$H130)</f>
        <v>13141.700699999999</v>
      </c>
      <c r="J130" s="21">
        <f>VLOOKUP($A130,tabCustoUnit[],COLUMN(CUSTO_GLOBAL[[#Headers],[Adicional Periculosidade]])-2,0)*($G130-$H130)</f>
        <v>0</v>
      </c>
      <c r="K130" s="21">
        <f>VLOOKUP($A130,tabCustoUnit[],COLUMN(CUSTO_GLOBAL[[#Headers],[Adicional Insalubridade]])-2,0)*($G130-$H130)</f>
        <v>0</v>
      </c>
      <c r="L130" s="21">
        <f>VLOOKUP($A130,tabCustoUnit[],COLUMN(CUSTO_GLOBAL[[#Headers],[Adicional Noturno]])-2,0)*($G130-$H130)</f>
        <v>0</v>
      </c>
      <c r="M130" s="21">
        <f>VLOOKUP($A130,tabCustoUnit[],COLUMN(CUSTO_GLOBAL[[#Headers],[Adicional Motorista II (Gratificação)]])-2,0)*($G130-$H130)</f>
        <v>0</v>
      </c>
      <c r="N130" s="21">
        <f>VLOOKUP($A130,tabCustoUnit[],COLUMN(CUSTO_GLOBAL[[#Headers],[Adicional de Sobreaviso]])-2,0)*($G130-$H130)</f>
        <v>0</v>
      </c>
      <c r="O130" s="21">
        <f>VLOOKUP($A130,tabCustoUnit[],COLUMN(CUSTO_GLOBAL[[#Headers],[Horas Extras TI]])-2,0)*($G130-$H130)</f>
        <v>0</v>
      </c>
      <c r="P130" s="21">
        <f>VLOOKUP($A130,tabCustoUnit[],COLUMN(CUSTO_GLOBAL[[#Headers],[Adicional de Acúmulo de função]])-2,0)*($G130-$H130)</f>
        <v>0</v>
      </c>
      <c r="Q130" s="21">
        <f>VLOOKUP($A130,tabCustoUnit[],COLUMN(CUSTO_GLOBAL[[#Headers],[MODULO 1 - REMUNERAÇÃO ]])-2,0)*($G130-$H130)</f>
        <v>13141.700699999999</v>
      </c>
      <c r="R130" s="21">
        <f>VLOOKUP($A130,tabCustoUnit[],COLUMN(CUSTO_GLOBAL[[#Headers],[INSS]])-2,0)*($G130-$H130)</f>
        <v>2628.3401400000002</v>
      </c>
      <c r="S130" s="21">
        <f>VLOOKUP($A130,tabCustoUnit[],COLUMN(CUSTO_GLOBAL[[#Headers],[SESI OU SESC]])-2,0)*($G130-$H130)</f>
        <v>197.12551049999996</v>
      </c>
      <c r="T130" s="21">
        <f>VLOOKUP($A130,tabCustoUnit[],COLUMN(CUSTO_GLOBAL[[#Headers],[SENAI OU SENAC]])-2,0)*($G130-$H130)</f>
        <v>131.41700700000001</v>
      </c>
      <c r="U130" s="21">
        <f>VLOOKUP($A130,tabCustoUnit[],COLUMN(CUSTO_GLOBAL[[#Headers],[INCRA]])-2,0)*($G130-$H130)</f>
        <v>26.283401399999999</v>
      </c>
      <c r="V130" s="21">
        <f>VLOOKUP($A130,tabCustoUnit[],COLUMN(CUSTO_GLOBAL[[#Headers],[Salário Educação]])-2,0)*($G130-$H130)</f>
        <v>328.54251750000003</v>
      </c>
      <c r="W130" s="21">
        <f>VLOOKUP($A130,tabCustoUnit[],COLUMN(CUSTO_GLOBAL[[#Headers],[FGTS]])-2,0)*($G130-$H130)</f>
        <v>1051.3360560000001</v>
      </c>
      <c r="X130" s="21">
        <f>VLOOKUP($A130,tabCustoUnit[],COLUMN(CUSTO_GLOBAL[[#Headers],[RAT Ajustado]])-2,0)*($G130-$H130)</f>
        <v>525.66802800000005</v>
      </c>
      <c r="Y130" s="21">
        <f>VLOOKUP($A130,tabCustoUnit[],COLUMN(CUSTO_GLOBAL[[#Headers],[SEBRAE]])-2,0)*($G130-$H130)</f>
        <v>78.850204199999993</v>
      </c>
      <c r="Z130" s="21">
        <f>VLOOKUP($A130,tabCustoUnit[],COLUMN(CUSTO_GLOBAL[[#Headers],[Submódulo 2.1]])-2,0)*($G130-$H130)</f>
        <v>4967.5628646000005</v>
      </c>
      <c r="AA130" s="21">
        <f>VLOOKUP($A130,tabCustoUnit[],COLUMN(CUSTO_GLOBAL[[#Headers],[13º salário (titular)]])-2,0)*($G130-$H130)</f>
        <v>1095.141725</v>
      </c>
      <c r="AB130" s="21">
        <f>VLOOKUP($A130,tabCustoUnit[],COLUMN(CUSTO_GLOBAL[[#Headers],[Férias e Adicional de Férias (titular)]])-2,0)*($G130-$H130)</f>
        <v>1460.1889666666666</v>
      </c>
      <c r="AC130" s="21">
        <f>VLOOKUP($A130,tabCustoUnit[],COLUMN(CUSTO_GLOBAL[[#Headers],[Incidência do Submódulo 2.1 sobre 13º Salário, Férias e Adicional de Férias]])-2,0)*($G130-$H130)</f>
        <v>965.91500145000009</v>
      </c>
      <c r="AD130" s="21">
        <f>VLOOKUP($A130,tabCustoUnit[],COLUMN(CUSTO_GLOBAL[[#Headers],[Submódulo 2.2]])-2,0)*($G130-$H130)</f>
        <v>3521.2456931166662</v>
      </c>
      <c r="AE130" s="22" t="e">
        <f ca="1">VLOOKUP($A130,tabCustoUnit[],COLUMN(CUSTO_GLOBAL[[#Headers],[Vale - Transporte (Descontada parcela do empregado)]])-2,0)*($G130-$H130)</f>
        <v>#NAME?</v>
      </c>
      <c r="AF130" s="22">
        <f>VLOOKUP($A130,tabCustoUnit[],COLUMN(CUSTO_GLOBAL[[#Headers],[Vale - Alimentação (Descontada parcela do empregado)]])-2,0)*($G130-$H130)</f>
        <v>1735.1999999999998</v>
      </c>
      <c r="AG130" s="22">
        <f>VLOOKUP($A130,tabCustoUnit[],COLUMN(CUSTO_GLOBAL[[#Headers],[Cesta Básica]])-2,0)*($G130-$H130)</f>
        <v>0</v>
      </c>
      <c r="AH130" s="22">
        <f>VLOOKUP($A130,tabCustoUnit[],COLUMN(CUSTO_GLOBAL[[#Headers],[PAF]])-2,0)*($G130-$H130)</f>
        <v>0</v>
      </c>
      <c r="AI130" s="22">
        <f>VLOOKUP($A130,tabCustoUnit[],COLUMN(CUSTO_GLOBAL[[#Headers],[PQM]])-2,0)*($G130-$H130)</f>
        <v>0</v>
      </c>
      <c r="AJ130" s="22">
        <v>0</v>
      </c>
      <c r="AK130" s="22">
        <f>VLOOKUP($A130,tabCustoUnit[],COLUMN(CUSTO_GLOBAL[[#Headers],[Seguro de Vida]])-2,0)*($G130-$H130)</f>
        <v>10.08</v>
      </c>
      <c r="AL130" s="22">
        <f>VLOOKUP($A130,tabCustoUnit[],COLUMN(CUSTO_GLOBAL[[#Headers],[Despesas de Viagem]])-2,0)*($G130-$H130)</f>
        <v>1987.2599999999998</v>
      </c>
      <c r="AM130" s="22" t="e">
        <f ca="1">VLOOKUP($A130,tabCustoUnit[],COLUMN(CUSTO_GLOBAL[[#Headers],[Submódulo 2.3]])-2,0)*($G130-$H130)</f>
        <v>#NAME?</v>
      </c>
      <c r="AN130" s="22" t="e">
        <f ca="1">VLOOKUP($A130,tabCustoUnit[],COLUMN(CUSTO_GLOBAL[[#Headers],[MÓDULO 2 - Total Encargos e Benefícios mensais e diários]])-2,0)*($G130-$H130)</f>
        <v>#NAME?</v>
      </c>
      <c r="AO130" s="22">
        <f>VLOOKUP($A130,tabCustoUnit[],COLUMN(CUSTO_GLOBAL[[#Headers],[Aviso Prévio Indenizado (API) e Reflexo do Aviso Prévio Indenizado]])-2,0)*($G130-$H130)</f>
        <v>92.146542967650461</v>
      </c>
      <c r="AP130" s="22">
        <f>VLOOKUP($A130,tabCustoUnit[],COLUMN(CUSTO_GLOBAL[[#Headers],[Incidência do FGTS sobre API e Reflexo do API]])-2,0)*($G130-$H130)</f>
        <v>7.3717234374120384</v>
      </c>
      <c r="AQ130" s="22">
        <f>VLOOKUP($A130,tabCustoUnit[],COLUMN(CUSTO_GLOBAL[[#Headers],[Multa Rescisória do FGTS sobre o Aviso Prévio Indenizado]])-2,0)*($G130-$H130)</f>
        <v>2.9486893749648155</v>
      </c>
      <c r="AR130" s="22">
        <f>VLOOKUP($A130,tabCustoUnit[],COLUMN(CUSTO_GLOBAL[[#Headers],[Aviso Prévio Trabalhado - APT]])-2,0)*($G130-$H130)</f>
        <v>45.995952450000004</v>
      </c>
      <c r="AS130" s="22">
        <f>VLOOKUP($A130,tabCustoUnit[],COLUMN(CUSTO_GLOBAL[[#Headers],[Incidência dos encargos do submódulo 2.1 sobre Aviso Prévio Trabalhado]])-2,0)*($G130-$H130)</f>
        <v>17.386470026100007</v>
      </c>
      <c r="AT130" s="22">
        <f>VLOOKUP($A130,tabCustoUnit[],COLUMN(CUSTO_GLOBAL[[#Headers],[Multa Rescisória do FGTS]])-2,0)*($G130-$H130)</f>
        <v>401.84400362666656</v>
      </c>
      <c r="AU130" s="22">
        <f>VLOOKUP($A130,tabCustoUnit[],COLUMN(CUSTO_GLOBAL[[#Headers],[Indenização Adicional (Art. 9º da Lei nº 7.238/84)]])-2,0)*($G130-$H130)</f>
        <v>10.95141725</v>
      </c>
      <c r="AV130" s="22">
        <f>VLOOKUP($A130,tabCustoUnit[],COLUMN(CUSTO_GLOBAL[[#Headers],[MÓDULO 3 – PROVISÃO PARA RESCISÃO]])-2,0)*($G130-$H130)</f>
        <v>578.64479913279388</v>
      </c>
      <c r="AW130" s="22">
        <f>VLOOKUP($A130,tabCustoUnit[],COLUMN(CUSTO_GLOBAL[[#Headers],[Ausência por Doença]])-2,0)*($G130-$H130)</f>
        <v>110.97436146666666</v>
      </c>
      <c r="AX130" s="22">
        <f>VLOOKUP($A130,tabCustoUnit[],COLUMN(CUSTO_GLOBAL[[#Headers],[Ausências Legais]])-2,0)*($G130-$H130)</f>
        <v>26.648448641666661</v>
      </c>
      <c r="AY130" s="22">
        <f>VLOOKUP($A130,tabCustoUnit[],COLUMN(CUSTO_GLOBAL[[#Headers],[Licença Paternidade]])-2,0)*($G130-$H130)</f>
        <v>2.2450405362499999</v>
      </c>
      <c r="AZ130" s="22">
        <f>VLOOKUP($A130,tabCustoUnit[],COLUMN(CUSTO_GLOBAL[[#Headers],[Ausência por Acidente de Trabalho]])-2,0)*($G130-$H130)</f>
        <v>2.7378543125000001</v>
      </c>
      <c r="BA130" s="22">
        <f>VLOOKUP($A130,tabCustoUnit[],COLUMN(CUSTO_GLOBAL[[#Headers],[Férias, Adicional de Férias e 13º  com empregada em gozo de Licença Maternidade]])-2,0)*($G130-$H130)</f>
        <v>17.035537944444442</v>
      </c>
      <c r="BB130" s="22">
        <f>VLOOKUP($A130,tabCustoUnit[],COLUMN(CUSTO_GLOBAL[[#Headers],[Incidência do Submódulo 2.1 sobre Ausências Legais]])-2,0)*($G130-$H130)</f>
        <v>60.344389816777507</v>
      </c>
      <c r="BC130" s="22">
        <f>VLOOKUP($A130,tabCustoUnit[],COLUMN(CUSTO_GLOBAL[[#Headers],[Submódulo 4.1]])-2,0)*($G130-$H130)</f>
        <v>219.98563271830531</v>
      </c>
      <c r="BD130" s="22">
        <f>VLOOKUP($A130,tabCustoUnit[],COLUMN(CUSTO_GLOBAL[[#Headers],[Intervalo para Repouso ou Alimentação]])-2,0)*($G130-$H130)</f>
        <v>0</v>
      </c>
      <c r="BE130" s="22">
        <f>VLOOKUP($A130,tabCustoUnit[],COLUMN(CUSTO_GLOBAL[[#Headers],[Submódulo 4.2]])-2,0)*($G130-$H130)</f>
        <v>0</v>
      </c>
      <c r="BF130" s="22">
        <f>VLOOKUP($A130,tabCustoUnit[],COLUMN(CUSTO_GLOBAL[[#Headers],[Suspensão Temporária do Contrato de Trabalho]])-2,0)*($G130-$H130)</f>
        <v>0</v>
      </c>
      <c r="BG130" s="22">
        <f>VLOOKUP($A130,tabCustoUnit[],COLUMN(CUSTO_GLOBAL[[#Headers],[Submódulo 4.3]])-2,0)*($G130-$H130)</f>
        <v>0</v>
      </c>
      <c r="BH130" s="22">
        <f>VLOOKUP($A130,tabCustoUnit[],COLUMN(CUSTO_GLOBAL[[#Headers],[MÓDULO 4 – CUSTO DE REPOSIÇÃO DO PROFISSIONAL AUSENTE]])-2,0)*($G130-$H130)</f>
        <v>219.98563271830531</v>
      </c>
      <c r="BI130" s="22">
        <f>VLOOKUP($A130,tabCustoUnit[],COLUMN(CUSTO_GLOBAL[[#Headers],[Uniformes e EPIs]])-2,0)*($G130-$H130)</f>
        <v>276.30229131471208</v>
      </c>
      <c r="BJ130" s="22">
        <f>VLOOKUP($A130,tabCustoUnit[],COLUMN(CUSTO_GLOBAL[[#Headers],[Materiais de Consumo]])-2,0)*($G130-$H130)</f>
        <v>0</v>
      </c>
      <c r="BK130" s="22">
        <f>VLOOKUP($A130,tabCustoUnit[],COLUMN(CUSTO_GLOBAL[[#Headers],[Máquinas e Equipamentos (depreciação)]])-2,0)*($G130-$H130)</f>
        <v>0</v>
      </c>
      <c r="BL130" s="22">
        <f>VLOOKUP($A130,tabCustoUnit[],COLUMN(CUSTO_GLOBAL[[#Headers],[Produtos de Limpeza e Materiais de Higiene Pessoal]])-2,0)*($G130-$H130)</f>
        <v>0</v>
      </c>
      <c r="BM130" s="22">
        <f>VLOOKUP($A130,tabCustoUnit[],COLUMN(CUSTO_GLOBAL[[#Headers],[Outros (especificar)]])-2,0)*($G130-$H130)</f>
        <v>0</v>
      </c>
      <c r="BN130" s="22">
        <f>VLOOKUP($A130,tabCustoUnit[],COLUMN(CUSTO_GLOBAL[[#Headers],[MÓDULO 5 – INSUMOS DIVERSOS]])-2,0)*($G130-$H130)</f>
        <v>276.30229131471208</v>
      </c>
      <c r="BO130" s="22" t="e">
        <f ca="1">VLOOKUP($A130,tabCustoUnit[],COLUMN(CUSTO_GLOBAL[[#Headers],[TOTAL MÓDULOS 1+2+3+4+5]])-2,0)*($G130-$H130)</f>
        <v>#NAME?</v>
      </c>
      <c r="BP130" s="22" t="e">
        <f ca="1">VLOOKUP($A130,tabCustoUnit[],COLUMN(CUSTO_GLOBAL[[#Headers],[Custos Indiretos]])-2,0)*($G130-$H130)</f>
        <v>#NAME?</v>
      </c>
      <c r="BQ130" s="22" t="e">
        <f ca="1">VLOOKUP($A130,tabCustoUnit[],COLUMN(CUSTO_GLOBAL[[#Headers],[Lucro]])-2,0)*($G130-$H130)</f>
        <v>#NAME?</v>
      </c>
      <c r="BR130" s="26">
        <f>VLOOKUP($A130,tabCustoUnit[],COLUMN(CUSTO_GLOBAL[[#Headers],[COFINS]])-2,0)</f>
        <v>8.6609686609686695E-2</v>
      </c>
      <c r="BS130" s="26">
        <f>VLOOKUP($A130,tabCustoUnit[],COLUMN(CUSTO_GLOBAL[[#Headers],[PIS]])-2,0)</f>
        <v>1.880341880341882E-2</v>
      </c>
      <c r="BT130" s="28">
        <f>VLOOKUP($A130,tabCustoUnit[],COLUMN(CUSTO_GLOBAL[[#Headers],[ISS]])-2,0)</f>
        <v>0.03</v>
      </c>
      <c r="BU130" s="26">
        <f>VLOOKUP($A130,tabCustoUnit[],COLUMN(CUSTO_GLOBAL[[#Headers],[ISS (Conversão Alíquota s/ fatura)]])-2,0)</f>
        <v>3.4188034188034219E-2</v>
      </c>
      <c r="BV130" s="26">
        <f>VLOOKUP($A130,tabCustoUnit[],COLUMN(CUSTO_GLOBAL[[#Headers],[Resumo de Alíquotas (PIS+CONFINS+ISS)]])-2,0)</f>
        <v>0.1225</v>
      </c>
      <c r="BW130" s="138">
        <f>VLOOKUP($A130,tabCustoUnit[],COLUMN(CUSTO_GLOBAL[[#Headers],[PIS + COFINS + ISS (Total Conversão  Alíquota s/ Fatura)]])-2,0)</f>
        <v>0.13960113960113973</v>
      </c>
      <c r="BX130" s="22" t="e">
        <f ca="1">VLOOKUP($A130,tabCustoUnit[],COLUMN(CUSTO_GLOBAL[[#Headers],[Valor dos Tributos (ISS, PIS, CONFINS)]])-2,0)*($G130-$H130)</f>
        <v>#NAME?</v>
      </c>
      <c r="BY130" s="22" t="e">
        <f ca="1">VLOOKUP($A130,tabCustoUnit[],COLUMN(CUSTO_GLOBAL[[#Headers],[MÓDULO 6 – CUSTOS INDIRETOS, TRIBUTOS E LUCRO]])-2,0)*($G130-$H130)</f>
        <v>#NAME?</v>
      </c>
      <c r="BZ130" s="22" t="e">
        <f ca="1">VLOOKUP($A130,tabCustoUnit[],COLUMN(CUSTO_GLOBAL[[#Headers],[CUSTO TOTAL MENSAL]])-2,0)*($G130-$H130)</f>
        <v>#NAME?</v>
      </c>
      <c r="CA130" s="22" t="e">
        <f ca="1">CUSTO_GLOBAL[[#This Row],[CUSTO TOTAL MENSAL]]*12</f>
        <v>#NAME?</v>
      </c>
      <c r="CB130" s="24">
        <f>VLOOKUP($A130,tabCustoUnit[],COLUMN(CUSTO_GLOBAL[[#Headers],[ANO DA CCT]])-2,0)</f>
        <v>45658</v>
      </c>
      <c r="CC130" s="25" t="str">
        <f>VLOOKUP($A130,tabCustoUnit[],COLUMN(CUSTO_GLOBAL[[#Headers],[Nº DE PEDIDO DA CCT]])-2,0)</f>
        <v>-</v>
      </c>
      <c r="CD130" s="25" t="str">
        <f>VLOOKUP($A130,tabCustoUnit[],COLUMN(CUSTO_GLOBAL[[#Headers],[TERMO ADITIVO ALTERAÇÃO DA CCT]])-2,0)</f>
        <v>-</v>
      </c>
    </row>
    <row r="131" spans="1:82">
      <c r="A131" s="20" t="s">
        <v>1586</v>
      </c>
      <c r="B131" t="s">
        <v>1128</v>
      </c>
      <c r="C131" t="s">
        <v>274</v>
      </c>
      <c r="D131" t="s">
        <v>984</v>
      </c>
      <c r="E131" s="20" t="s">
        <v>1090</v>
      </c>
      <c r="F131" s="20" t="s">
        <v>135</v>
      </c>
      <c r="G131" s="20">
        <v>1</v>
      </c>
      <c r="H131" s="20">
        <v>0</v>
      </c>
      <c r="I131" s="21">
        <f>VLOOKUP($A131,tabCustoUnit[],COLUMN(CUSTO_GLOBAL[[#Headers],[Salário Base]])-2,0)*($G131-$H131)</f>
        <v>4380.5668999999998</v>
      </c>
      <c r="J131" s="21">
        <f>VLOOKUP($A131,tabCustoUnit[],COLUMN(CUSTO_GLOBAL[[#Headers],[Adicional Periculosidade]])-2,0)*($G131-$H131)</f>
        <v>0</v>
      </c>
      <c r="K131" s="21">
        <f>VLOOKUP($A131,tabCustoUnit[],COLUMN(CUSTO_GLOBAL[[#Headers],[Adicional Insalubridade]])-2,0)*($G131-$H131)</f>
        <v>0</v>
      </c>
      <c r="L131" s="21">
        <f>VLOOKUP($A131,tabCustoUnit[],COLUMN(CUSTO_GLOBAL[[#Headers],[Adicional Noturno]])-2,0)*($G131-$H131)</f>
        <v>0</v>
      </c>
      <c r="M131" s="21">
        <f>VLOOKUP($A131,tabCustoUnit[],COLUMN(CUSTO_GLOBAL[[#Headers],[Adicional Motorista II (Gratificação)]])-2,0)*($G131-$H131)</f>
        <v>0</v>
      </c>
      <c r="N131" s="21">
        <f>VLOOKUP($A131,tabCustoUnit[],COLUMN(CUSTO_GLOBAL[[#Headers],[Adicional de Sobreaviso]])-2,0)*($G131-$H131)</f>
        <v>0</v>
      </c>
      <c r="O131" s="21">
        <f>VLOOKUP($A131,tabCustoUnit[],COLUMN(CUSTO_GLOBAL[[#Headers],[Horas Extras TI]])-2,0)*($G131-$H131)</f>
        <v>0</v>
      </c>
      <c r="P131" s="21">
        <f>VLOOKUP($A131,tabCustoUnit[],COLUMN(CUSTO_GLOBAL[[#Headers],[Adicional de Acúmulo de função]])-2,0)*($G131-$H131)</f>
        <v>0</v>
      </c>
      <c r="Q131" s="21">
        <f>VLOOKUP($A131,tabCustoUnit[],COLUMN(CUSTO_GLOBAL[[#Headers],[MODULO 1 - REMUNERAÇÃO ]])-2,0)*($G131-$H131)</f>
        <v>4380.5668999999998</v>
      </c>
      <c r="R131" s="21">
        <f>VLOOKUP($A131,tabCustoUnit[],COLUMN(CUSTO_GLOBAL[[#Headers],[INSS]])-2,0)*($G131-$H131)</f>
        <v>876.11338000000001</v>
      </c>
      <c r="S131" s="21">
        <f>VLOOKUP($A131,tabCustoUnit[],COLUMN(CUSTO_GLOBAL[[#Headers],[SESI OU SESC]])-2,0)*($G131-$H131)</f>
        <v>65.708503499999992</v>
      </c>
      <c r="T131" s="21">
        <f>VLOOKUP($A131,tabCustoUnit[],COLUMN(CUSTO_GLOBAL[[#Headers],[SENAI OU SENAC]])-2,0)*($G131-$H131)</f>
        <v>43.805669000000002</v>
      </c>
      <c r="U131" s="21">
        <f>VLOOKUP($A131,tabCustoUnit[],COLUMN(CUSTO_GLOBAL[[#Headers],[INCRA]])-2,0)*($G131-$H131)</f>
        <v>8.7611337999999996</v>
      </c>
      <c r="V131" s="21">
        <f>VLOOKUP($A131,tabCustoUnit[],COLUMN(CUSTO_GLOBAL[[#Headers],[Salário Educação]])-2,0)*($G131-$H131)</f>
        <v>109.5141725</v>
      </c>
      <c r="W131" s="21">
        <f>VLOOKUP($A131,tabCustoUnit[],COLUMN(CUSTO_GLOBAL[[#Headers],[FGTS]])-2,0)*($G131-$H131)</f>
        <v>350.44535200000001</v>
      </c>
      <c r="X131" s="21">
        <f>VLOOKUP($A131,tabCustoUnit[],COLUMN(CUSTO_GLOBAL[[#Headers],[RAT Ajustado]])-2,0)*($G131-$H131)</f>
        <v>175.22267600000001</v>
      </c>
      <c r="Y131" s="21">
        <f>VLOOKUP($A131,tabCustoUnit[],COLUMN(CUSTO_GLOBAL[[#Headers],[SEBRAE]])-2,0)*($G131-$H131)</f>
        <v>26.283401399999999</v>
      </c>
      <c r="Z131" s="21">
        <f>VLOOKUP($A131,tabCustoUnit[],COLUMN(CUSTO_GLOBAL[[#Headers],[Submódulo 2.1]])-2,0)*($G131-$H131)</f>
        <v>1655.8542882000002</v>
      </c>
      <c r="AA131" s="21">
        <f>VLOOKUP($A131,tabCustoUnit[],COLUMN(CUSTO_GLOBAL[[#Headers],[13º salário (titular)]])-2,0)*($G131-$H131)</f>
        <v>365.04724166666665</v>
      </c>
      <c r="AB131" s="21">
        <f>VLOOKUP($A131,tabCustoUnit[],COLUMN(CUSTO_GLOBAL[[#Headers],[Férias e Adicional de Férias (titular)]])-2,0)*($G131-$H131)</f>
        <v>486.7296555555555</v>
      </c>
      <c r="AC131" s="21">
        <f>VLOOKUP($A131,tabCustoUnit[],COLUMN(CUSTO_GLOBAL[[#Headers],[Incidência do Submódulo 2.1 sobre 13º Salário, Férias e Adicional de Férias]])-2,0)*($G131-$H131)</f>
        <v>321.97166715000003</v>
      </c>
      <c r="AD131" s="21">
        <f>VLOOKUP($A131,tabCustoUnit[],COLUMN(CUSTO_GLOBAL[[#Headers],[Submódulo 2.2]])-2,0)*($G131-$H131)</f>
        <v>1173.7485643722221</v>
      </c>
      <c r="AE131" s="22" t="e">
        <f ca="1">VLOOKUP($A131,tabCustoUnit[],COLUMN(CUSTO_GLOBAL[[#Headers],[Vale - Transporte (Descontada parcela do empregado)]])-2,0)*($G131-$H131)</f>
        <v>#NAME?</v>
      </c>
      <c r="AF131" s="22">
        <f>VLOOKUP($A131,tabCustoUnit[],COLUMN(CUSTO_GLOBAL[[#Headers],[Vale - Alimentação (Descontada parcela do empregado)]])-2,0)*($G131-$H131)</f>
        <v>578.4</v>
      </c>
      <c r="AG131" s="22">
        <f>VLOOKUP($A131,tabCustoUnit[],COLUMN(CUSTO_GLOBAL[[#Headers],[Cesta Básica]])-2,0)*($G131-$H131)</f>
        <v>0</v>
      </c>
      <c r="AH131" s="22">
        <f>VLOOKUP($A131,tabCustoUnit[],COLUMN(CUSTO_GLOBAL[[#Headers],[PAF]])-2,0)*($G131-$H131)</f>
        <v>0</v>
      </c>
      <c r="AI131" s="22">
        <f>VLOOKUP($A131,tabCustoUnit[],COLUMN(CUSTO_GLOBAL[[#Headers],[PQM]])-2,0)*($G131-$H131)</f>
        <v>0</v>
      </c>
      <c r="AJ131" s="22">
        <v>0</v>
      </c>
      <c r="AK131" s="22">
        <f>VLOOKUP($A131,tabCustoUnit[],COLUMN(CUSTO_GLOBAL[[#Headers],[Seguro de Vida]])-2,0)*($G131-$H131)</f>
        <v>3.36</v>
      </c>
      <c r="AL131" s="22">
        <f>VLOOKUP($A131,tabCustoUnit[],COLUMN(CUSTO_GLOBAL[[#Headers],[Despesas de Viagem]])-2,0)*($G131-$H131)</f>
        <v>662.42</v>
      </c>
      <c r="AM131" s="22" t="e">
        <f ca="1">VLOOKUP($A131,tabCustoUnit[],COLUMN(CUSTO_GLOBAL[[#Headers],[Submódulo 2.3]])-2,0)*($G131-$H131)</f>
        <v>#NAME?</v>
      </c>
      <c r="AN131" s="22" t="e">
        <f ca="1">VLOOKUP($A131,tabCustoUnit[],COLUMN(CUSTO_GLOBAL[[#Headers],[MÓDULO 2 - Total Encargos e Benefícios mensais e diários]])-2,0)*($G131-$H131)</f>
        <v>#NAME?</v>
      </c>
      <c r="AO131" s="22">
        <f>VLOOKUP($A131,tabCustoUnit[],COLUMN(CUSTO_GLOBAL[[#Headers],[Aviso Prévio Indenizado (API) e Reflexo do Aviso Prévio Indenizado]])-2,0)*($G131-$H131)</f>
        <v>30.715514322550153</v>
      </c>
      <c r="AP131" s="22">
        <f>VLOOKUP($A131,tabCustoUnit[],COLUMN(CUSTO_GLOBAL[[#Headers],[Incidência do FGTS sobre API e Reflexo do API]])-2,0)*($G131-$H131)</f>
        <v>2.4572411458040126</v>
      </c>
      <c r="AQ131" s="22">
        <f>VLOOKUP($A131,tabCustoUnit[],COLUMN(CUSTO_GLOBAL[[#Headers],[Multa Rescisória do FGTS sobre o Aviso Prévio Indenizado]])-2,0)*($G131-$H131)</f>
        <v>0.9828964583216051</v>
      </c>
      <c r="AR131" s="22">
        <f>VLOOKUP($A131,tabCustoUnit[],COLUMN(CUSTO_GLOBAL[[#Headers],[Aviso Prévio Trabalhado - APT]])-2,0)*($G131-$H131)</f>
        <v>15.331984150000002</v>
      </c>
      <c r="AS131" s="22">
        <f>VLOOKUP($A131,tabCustoUnit[],COLUMN(CUSTO_GLOBAL[[#Headers],[Incidência dos encargos do submódulo 2.1 sobre Aviso Prévio Trabalhado]])-2,0)*($G131-$H131)</f>
        <v>5.7954900087000016</v>
      </c>
      <c r="AT131" s="22">
        <f>VLOOKUP($A131,tabCustoUnit[],COLUMN(CUSTO_GLOBAL[[#Headers],[Multa Rescisória do FGTS]])-2,0)*($G131-$H131)</f>
        <v>133.94800120888885</v>
      </c>
      <c r="AU131" s="22">
        <f>VLOOKUP($A131,tabCustoUnit[],COLUMN(CUSTO_GLOBAL[[#Headers],[Indenização Adicional (Art. 9º da Lei nº 7.238/84)]])-2,0)*($G131-$H131)</f>
        <v>3.6504724166666667</v>
      </c>
      <c r="AV131" s="22">
        <f>VLOOKUP($A131,tabCustoUnit[],COLUMN(CUSTO_GLOBAL[[#Headers],[MÓDULO 3 – PROVISÃO PARA RESCISÃO]])-2,0)*($G131-$H131)</f>
        <v>192.88159971093131</v>
      </c>
      <c r="AW131" s="22">
        <f>VLOOKUP($A131,tabCustoUnit[],COLUMN(CUSTO_GLOBAL[[#Headers],[Ausência por Doença]])-2,0)*($G131-$H131)</f>
        <v>36.991453822222219</v>
      </c>
      <c r="AX131" s="22">
        <f>VLOOKUP($A131,tabCustoUnit[],COLUMN(CUSTO_GLOBAL[[#Headers],[Ausências Legais]])-2,0)*($G131-$H131)</f>
        <v>8.8828162138888871</v>
      </c>
      <c r="AY131" s="22">
        <f>VLOOKUP($A131,tabCustoUnit[],COLUMN(CUSTO_GLOBAL[[#Headers],[Licença Paternidade]])-2,0)*($G131-$H131)</f>
        <v>0.74834684541666663</v>
      </c>
      <c r="AZ131" s="22">
        <f>VLOOKUP($A131,tabCustoUnit[],COLUMN(CUSTO_GLOBAL[[#Headers],[Ausência por Acidente de Trabalho]])-2,0)*($G131-$H131)</f>
        <v>0.91261810416666667</v>
      </c>
      <c r="BA131" s="22">
        <f>VLOOKUP($A131,tabCustoUnit[],COLUMN(CUSTO_GLOBAL[[#Headers],[Férias, Adicional de Férias e 13º  com empregada em gozo de Licença Maternidade]])-2,0)*($G131-$H131)</f>
        <v>5.678512648148148</v>
      </c>
      <c r="BB131" s="22">
        <f>VLOOKUP($A131,tabCustoUnit[],COLUMN(CUSTO_GLOBAL[[#Headers],[Incidência do Submódulo 2.1 sobre Ausências Legais]])-2,0)*($G131-$H131)</f>
        <v>20.114796605592502</v>
      </c>
      <c r="BC131" s="22">
        <f>VLOOKUP($A131,tabCustoUnit[],COLUMN(CUSTO_GLOBAL[[#Headers],[Submódulo 4.1]])-2,0)*($G131-$H131)</f>
        <v>73.328544239435104</v>
      </c>
      <c r="BD131" s="22">
        <f>VLOOKUP($A131,tabCustoUnit[],COLUMN(CUSTO_GLOBAL[[#Headers],[Intervalo para Repouso ou Alimentação]])-2,0)*($G131-$H131)</f>
        <v>0</v>
      </c>
      <c r="BE131" s="22">
        <f>VLOOKUP($A131,tabCustoUnit[],COLUMN(CUSTO_GLOBAL[[#Headers],[Submódulo 4.2]])-2,0)*($G131-$H131)</f>
        <v>0</v>
      </c>
      <c r="BF131" s="22">
        <f>VLOOKUP($A131,tabCustoUnit[],COLUMN(CUSTO_GLOBAL[[#Headers],[Suspensão Temporária do Contrato de Trabalho]])-2,0)*($G131-$H131)</f>
        <v>0</v>
      </c>
      <c r="BG131" s="22">
        <f>VLOOKUP($A131,tabCustoUnit[],COLUMN(CUSTO_GLOBAL[[#Headers],[Submódulo 4.3]])-2,0)*($G131-$H131)</f>
        <v>0</v>
      </c>
      <c r="BH131" s="22">
        <f>VLOOKUP($A131,tabCustoUnit[],COLUMN(CUSTO_GLOBAL[[#Headers],[MÓDULO 4 – CUSTO DE REPOSIÇÃO DO PROFISSIONAL AUSENTE]])-2,0)*($G131-$H131)</f>
        <v>73.328544239435104</v>
      </c>
      <c r="BI131" s="22">
        <f>VLOOKUP($A131,tabCustoUnit[],COLUMN(CUSTO_GLOBAL[[#Headers],[Uniformes e EPIs]])-2,0)*($G131-$H131)</f>
        <v>92.100763771570698</v>
      </c>
      <c r="BJ131" s="22">
        <f>VLOOKUP($A131,tabCustoUnit[],COLUMN(CUSTO_GLOBAL[[#Headers],[Materiais de Consumo]])-2,0)*($G131-$H131)</f>
        <v>0</v>
      </c>
      <c r="BK131" s="22">
        <f>VLOOKUP($A131,tabCustoUnit[],COLUMN(CUSTO_GLOBAL[[#Headers],[Máquinas e Equipamentos (depreciação)]])-2,0)*($G131-$H131)</f>
        <v>0</v>
      </c>
      <c r="BL131" s="22">
        <f>VLOOKUP($A131,tabCustoUnit[],COLUMN(CUSTO_GLOBAL[[#Headers],[Produtos de Limpeza e Materiais de Higiene Pessoal]])-2,0)*($G131-$H131)</f>
        <v>0</v>
      </c>
      <c r="BM131" s="22">
        <f>VLOOKUP($A131,tabCustoUnit[],COLUMN(CUSTO_GLOBAL[[#Headers],[Outros (especificar)]])-2,0)*($G131-$H131)</f>
        <v>0</v>
      </c>
      <c r="BN131" s="22">
        <f>VLOOKUP($A131,tabCustoUnit[],COLUMN(CUSTO_GLOBAL[[#Headers],[MÓDULO 5 – INSUMOS DIVERSOS]])-2,0)*($G131-$H131)</f>
        <v>92.100763771570698</v>
      </c>
      <c r="BO131" s="22" t="e">
        <f ca="1">VLOOKUP($A131,tabCustoUnit[],COLUMN(CUSTO_GLOBAL[[#Headers],[TOTAL MÓDULOS 1+2+3+4+5]])-2,0)*($G131-$H131)</f>
        <v>#NAME?</v>
      </c>
      <c r="BP131" s="22" t="e">
        <f ca="1">VLOOKUP($A131,tabCustoUnit[],COLUMN(CUSTO_GLOBAL[[#Headers],[Custos Indiretos]])-2,0)*($G131-$H131)</f>
        <v>#NAME?</v>
      </c>
      <c r="BQ131" s="22" t="e">
        <f ca="1">VLOOKUP($A131,tabCustoUnit[],COLUMN(CUSTO_GLOBAL[[#Headers],[Lucro]])-2,0)*($G131-$H131)</f>
        <v>#NAME?</v>
      </c>
      <c r="BR131" s="26">
        <f>VLOOKUP($A131,tabCustoUnit[],COLUMN(CUSTO_GLOBAL[[#Headers],[COFINS]])-2,0)</f>
        <v>8.6609686609686695E-2</v>
      </c>
      <c r="BS131" s="26">
        <f>VLOOKUP($A131,tabCustoUnit[],COLUMN(CUSTO_GLOBAL[[#Headers],[PIS]])-2,0)</f>
        <v>1.880341880341882E-2</v>
      </c>
      <c r="BT131" s="28">
        <f>VLOOKUP($A131,tabCustoUnit[],COLUMN(CUSTO_GLOBAL[[#Headers],[ISS]])-2,0)</f>
        <v>0.03</v>
      </c>
      <c r="BU131" s="26">
        <f>VLOOKUP($A131,tabCustoUnit[],COLUMN(CUSTO_GLOBAL[[#Headers],[ISS (Conversão Alíquota s/ fatura)]])-2,0)</f>
        <v>3.4188034188034219E-2</v>
      </c>
      <c r="BV131" s="26">
        <f>VLOOKUP($A131,tabCustoUnit[],COLUMN(CUSTO_GLOBAL[[#Headers],[Resumo de Alíquotas (PIS+CONFINS+ISS)]])-2,0)</f>
        <v>0.1225</v>
      </c>
      <c r="BW131" s="138">
        <f>VLOOKUP($A131,tabCustoUnit[],COLUMN(CUSTO_GLOBAL[[#Headers],[PIS + COFINS + ISS (Total Conversão  Alíquota s/ Fatura)]])-2,0)</f>
        <v>0.13960113960113973</v>
      </c>
      <c r="BX131" s="22" t="e">
        <f ca="1">VLOOKUP($A131,tabCustoUnit[],COLUMN(CUSTO_GLOBAL[[#Headers],[Valor dos Tributos (ISS, PIS, CONFINS)]])-2,0)*($G131-$H131)</f>
        <v>#NAME?</v>
      </c>
      <c r="BY131" s="22" t="e">
        <f ca="1">VLOOKUP($A131,tabCustoUnit[],COLUMN(CUSTO_GLOBAL[[#Headers],[MÓDULO 6 – CUSTOS INDIRETOS, TRIBUTOS E LUCRO]])-2,0)*($G131-$H131)</f>
        <v>#NAME?</v>
      </c>
      <c r="BZ131" s="22" t="e">
        <f ca="1">VLOOKUP($A131,tabCustoUnit[],COLUMN(CUSTO_GLOBAL[[#Headers],[CUSTO TOTAL MENSAL]])-2,0)*($G131-$H131)</f>
        <v>#NAME?</v>
      </c>
      <c r="CA131" s="22" t="e">
        <f ca="1">CUSTO_GLOBAL[[#This Row],[CUSTO TOTAL MENSAL]]*12</f>
        <v>#NAME?</v>
      </c>
      <c r="CB131" s="24">
        <f>VLOOKUP($A131,tabCustoUnit[],COLUMN(CUSTO_GLOBAL[[#Headers],[ANO DA CCT]])-2,0)</f>
        <v>45658</v>
      </c>
      <c r="CC131" s="25" t="str">
        <f>VLOOKUP($A131,tabCustoUnit[],COLUMN(CUSTO_GLOBAL[[#Headers],[Nº DE PEDIDO DA CCT]])-2,0)</f>
        <v>-</v>
      </c>
      <c r="CD131" s="25" t="str">
        <f>VLOOKUP($A131,tabCustoUnit[],COLUMN(CUSTO_GLOBAL[[#Headers],[TERMO ADITIVO ALTERAÇÃO DA CCT]])-2,0)</f>
        <v>-</v>
      </c>
    </row>
    <row r="132" spans="1:82">
      <c r="A132" s="20" t="s">
        <v>1587</v>
      </c>
      <c r="B132" t="s">
        <v>1128</v>
      </c>
      <c r="C132" t="s">
        <v>324</v>
      </c>
      <c r="D132" t="s">
        <v>1058</v>
      </c>
      <c r="E132" s="20" t="s">
        <v>1090</v>
      </c>
      <c r="F132" s="20" t="s">
        <v>120</v>
      </c>
      <c r="G132" s="20">
        <v>3</v>
      </c>
      <c r="H132" s="20">
        <v>0</v>
      </c>
      <c r="I132" s="21">
        <f>VLOOKUP($A132,tabCustoUnit[],COLUMN(CUSTO_GLOBAL[[#Headers],[Salário Base]])-2,0)*($G132-$H132)</f>
        <v>10191.391799999999</v>
      </c>
      <c r="J132" s="21">
        <f>VLOOKUP($A132,tabCustoUnit[],COLUMN(CUSTO_GLOBAL[[#Headers],[Adicional Periculosidade]])-2,0)*($G132-$H132)</f>
        <v>0</v>
      </c>
      <c r="K132" s="21">
        <f>VLOOKUP($A132,tabCustoUnit[],COLUMN(CUSTO_GLOBAL[[#Headers],[Adicional Insalubridade]])-2,0)*($G132-$H132)</f>
        <v>0</v>
      </c>
      <c r="L132" s="21">
        <f>VLOOKUP($A132,tabCustoUnit[],COLUMN(CUSTO_GLOBAL[[#Headers],[Adicional Noturno]])-2,0)*($G132-$H132)</f>
        <v>0</v>
      </c>
      <c r="M132" s="21">
        <f>VLOOKUP($A132,tabCustoUnit[],COLUMN(CUSTO_GLOBAL[[#Headers],[Adicional Motorista II (Gratificação)]])-2,0)*($G132-$H132)</f>
        <v>0</v>
      </c>
      <c r="N132" s="21">
        <f>VLOOKUP($A132,tabCustoUnit[],COLUMN(CUSTO_GLOBAL[[#Headers],[Adicional de Sobreaviso]])-2,0)*($G132-$H132)</f>
        <v>0</v>
      </c>
      <c r="O132" s="21">
        <f>VLOOKUP($A132,tabCustoUnit[],COLUMN(CUSTO_GLOBAL[[#Headers],[Horas Extras TI]])-2,0)*($G132-$H132)</f>
        <v>0</v>
      </c>
      <c r="P132" s="21">
        <f>VLOOKUP($A132,tabCustoUnit[],COLUMN(CUSTO_GLOBAL[[#Headers],[Adicional de Acúmulo de função]])-2,0)*($G132-$H132)</f>
        <v>0</v>
      </c>
      <c r="Q132" s="21">
        <f>VLOOKUP($A132,tabCustoUnit[],COLUMN(CUSTO_GLOBAL[[#Headers],[MODULO 1 - REMUNERAÇÃO ]])-2,0)*($G132-$H132)</f>
        <v>10191.391799999999</v>
      </c>
      <c r="R132" s="21">
        <f>VLOOKUP($A132,tabCustoUnit[],COLUMN(CUSTO_GLOBAL[[#Headers],[INSS]])-2,0)*($G132-$H132)</f>
        <v>2038.2783600000002</v>
      </c>
      <c r="S132" s="21">
        <f>VLOOKUP($A132,tabCustoUnit[],COLUMN(CUSTO_GLOBAL[[#Headers],[SESI OU SESC]])-2,0)*($G132-$H132)</f>
        <v>152.87087700000001</v>
      </c>
      <c r="T132" s="21">
        <f>VLOOKUP($A132,tabCustoUnit[],COLUMN(CUSTO_GLOBAL[[#Headers],[SENAI OU SENAC]])-2,0)*($G132-$H132)</f>
        <v>101.913918</v>
      </c>
      <c r="U132" s="21">
        <f>VLOOKUP($A132,tabCustoUnit[],COLUMN(CUSTO_GLOBAL[[#Headers],[INCRA]])-2,0)*($G132-$H132)</f>
        <v>20.3827836</v>
      </c>
      <c r="V132" s="21">
        <f>VLOOKUP($A132,tabCustoUnit[],COLUMN(CUSTO_GLOBAL[[#Headers],[Salário Educação]])-2,0)*($G132-$H132)</f>
        <v>254.78479500000003</v>
      </c>
      <c r="W132" s="21">
        <f>VLOOKUP($A132,tabCustoUnit[],COLUMN(CUSTO_GLOBAL[[#Headers],[FGTS]])-2,0)*($G132-$H132)</f>
        <v>815.31134399999996</v>
      </c>
      <c r="X132" s="21">
        <f>VLOOKUP($A132,tabCustoUnit[],COLUMN(CUSTO_GLOBAL[[#Headers],[RAT Ajustado]])-2,0)*($G132-$H132)</f>
        <v>407.65567199999998</v>
      </c>
      <c r="Y132" s="21">
        <f>VLOOKUP($A132,tabCustoUnit[],COLUMN(CUSTO_GLOBAL[[#Headers],[SEBRAE]])-2,0)*($G132-$H132)</f>
        <v>61.148350800000003</v>
      </c>
      <c r="Z132" s="21">
        <f>VLOOKUP($A132,tabCustoUnit[],COLUMN(CUSTO_GLOBAL[[#Headers],[Submódulo 2.1]])-2,0)*($G132-$H132)</f>
        <v>3852.3461004000005</v>
      </c>
      <c r="AA132" s="21">
        <f>VLOOKUP($A132,tabCustoUnit[],COLUMN(CUSTO_GLOBAL[[#Headers],[13º salário (titular)]])-2,0)*($G132-$H132)</f>
        <v>849.28264999999988</v>
      </c>
      <c r="AB132" s="21">
        <f>VLOOKUP($A132,tabCustoUnit[],COLUMN(CUSTO_GLOBAL[[#Headers],[Férias e Adicional de Férias (titular)]])-2,0)*($G132-$H132)</f>
        <v>1132.3768666666665</v>
      </c>
      <c r="AC132" s="21">
        <f>VLOOKUP($A132,tabCustoUnit[],COLUMN(CUSTO_GLOBAL[[#Headers],[Incidência do Submódulo 2.1 sobre 13º Salário, Férias e Adicional de Férias]])-2,0)*($G132-$H132)</f>
        <v>749.06729730000006</v>
      </c>
      <c r="AD132" s="21">
        <f>VLOOKUP($A132,tabCustoUnit[],COLUMN(CUSTO_GLOBAL[[#Headers],[Submódulo 2.2]])-2,0)*($G132-$H132)</f>
        <v>2730.7268139666667</v>
      </c>
      <c r="AE132" s="22" t="e">
        <f ca="1">VLOOKUP($A132,tabCustoUnit[],COLUMN(CUSTO_GLOBAL[[#Headers],[Vale - Transporte (Descontada parcela do empregado)]])-2,0)*($G132-$H132)</f>
        <v>#NAME?</v>
      </c>
      <c r="AF132" s="22">
        <f>VLOOKUP($A132,tabCustoUnit[],COLUMN(CUSTO_GLOBAL[[#Headers],[Vale - Alimentação (Descontada parcela do empregado)]])-2,0)*($G132-$H132)</f>
        <v>1746</v>
      </c>
      <c r="AG132" s="22">
        <f>VLOOKUP($A132,tabCustoUnit[],COLUMN(CUSTO_GLOBAL[[#Headers],[Cesta Básica]])-2,0)*($G132-$H132)</f>
        <v>0</v>
      </c>
      <c r="AH132" s="22">
        <f>VLOOKUP($A132,tabCustoUnit[],COLUMN(CUSTO_GLOBAL[[#Headers],[PAF]])-2,0)*($G132-$H132)</f>
        <v>231.75</v>
      </c>
      <c r="AI132" s="22">
        <f>VLOOKUP($A132,tabCustoUnit[],COLUMN(CUSTO_GLOBAL[[#Headers],[PQM]])-2,0)*($G132-$H132)</f>
        <v>0</v>
      </c>
      <c r="AJ132" s="22">
        <v>0</v>
      </c>
      <c r="AK132" s="22">
        <f>VLOOKUP($A132,tabCustoUnit[],COLUMN(CUSTO_GLOBAL[[#Headers],[Seguro de Vida]])-2,0)*($G132-$H132)</f>
        <v>10.08</v>
      </c>
      <c r="AL132" s="22">
        <f>VLOOKUP($A132,tabCustoUnit[],COLUMN(CUSTO_GLOBAL[[#Headers],[Despesas de Viagem]])-2,0)*($G132-$H132)</f>
        <v>0</v>
      </c>
      <c r="AM132" s="22" t="e">
        <f ca="1">VLOOKUP($A132,tabCustoUnit[],COLUMN(CUSTO_GLOBAL[[#Headers],[Submódulo 2.3]])-2,0)*($G132-$H132)</f>
        <v>#NAME?</v>
      </c>
      <c r="AN132" s="22" t="e">
        <f ca="1">VLOOKUP($A132,tabCustoUnit[],COLUMN(CUSTO_GLOBAL[[#Headers],[MÓDULO 2 - Total Encargos e Benefícios mensais e diários]])-2,0)*($G132-$H132)</f>
        <v>#NAME?</v>
      </c>
      <c r="AO132" s="22">
        <f>VLOOKUP($A132,tabCustoUnit[],COLUMN(CUSTO_GLOBAL[[#Headers],[Aviso Prévio Indenizado (API) e Reflexo do Aviso Prévio Indenizado]])-2,0)*($G132-$H132)</f>
        <v>71.459664455671287</v>
      </c>
      <c r="AP132" s="22">
        <f>VLOOKUP($A132,tabCustoUnit[],COLUMN(CUSTO_GLOBAL[[#Headers],[Incidência do FGTS sobre API e Reflexo do API]])-2,0)*($G132-$H132)</f>
        <v>5.7167731564537041</v>
      </c>
      <c r="AQ132" s="22">
        <f>VLOOKUP($A132,tabCustoUnit[],COLUMN(CUSTO_GLOBAL[[#Headers],[Multa Rescisória do FGTS sobre o Aviso Prévio Indenizado]])-2,0)*($G132-$H132)</f>
        <v>2.286709262581482</v>
      </c>
      <c r="AR132" s="22">
        <f>VLOOKUP($A132,tabCustoUnit[],COLUMN(CUSTO_GLOBAL[[#Headers],[Aviso Prévio Trabalhado - APT]])-2,0)*($G132-$H132)</f>
        <v>35.669871300000004</v>
      </c>
      <c r="AS132" s="22">
        <f>VLOOKUP($A132,tabCustoUnit[],COLUMN(CUSTO_GLOBAL[[#Headers],[Incidência dos encargos do submódulo 2.1 sobre Aviso Prévio Trabalhado]])-2,0)*($G132-$H132)</f>
        <v>13.483211351400003</v>
      </c>
      <c r="AT132" s="22">
        <f>VLOOKUP($A132,tabCustoUnit[],COLUMN(CUSTO_GLOBAL[[#Headers],[Multa Rescisória do FGTS]])-2,0)*($G132-$H132)</f>
        <v>311.63011370666663</v>
      </c>
      <c r="AU132" s="22">
        <f>VLOOKUP($A132,tabCustoUnit[],COLUMN(CUSTO_GLOBAL[[#Headers],[Indenização Adicional (Art. 9º da Lei nº 7.238/84)]])-2,0)*($G132-$H132)</f>
        <v>8.4928265000000014</v>
      </c>
      <c r="AV132" s="22">
        <f>VLOOKUP($A132,tabCustoUnit[],COLUMN(CUSTO_GLOBAL[[#Headers],[MÓDULO 3 – PROVISÃO PARA RESCISÃO]])-2,0)*($G132-$H132)</f>
        <v>448.73916973277312</v>
      </c>
      <c r="AW132" s="22">
        <f>VLOOKUP($A132,tabCustoUnit[],COLUMN(CUSTO_GLOBAL[[#Headers],[Ausência por Doença]])-2,0)*($G132-$H132)</f>
        <v>86.060641866666657</v>
      </c>
      <c r="AX132" s="22">
        <f>VLOOKUP($A132,tabCustoUnit[],COLUMN(CUSTO_GLOBAL[[#Headers],[Ausências Legais]])-2,0)*($G132-$H132)</f>
        <v>20.665877816666665</v>
      </c>
      <c r="AY132" s="22">
        <f>VLOOKUP($A132,tabCustoUnit[],COLUMN(CUSTO_GLOBAL[[#Headers],[Licença Paternidade]])-2,0)*($G132-$H132)</f>
        <v>1.7410294325</v>
      </c>
      <c r="AZ132" s="22">
        <f>VLOOKUP($A132,tabCustoUnit[],COLUMN(CUSTO_GLOBAL[[#Headers],[Ausência por Acidente de Trabalho]])-2,0)*($G132-$H132)</f>
        <v>2.1232066250000003</v>
      </c>
      <c r="BA132" s="22">
        <f>VLOOKUP($A132,tabCustoUnit[],COLUMN(CUSTO_GLOBAL[[#Headers],[Férias, Adicional de Férias e 13º  com empregada em gozo de Licença Maternidade]])-2,0)*($G132-$H132)</f>
        <v>13.211063444444443</v>
      </c>
      <c r="BB132" s="22">
        <f>VLOOKUP($A132,tabCustoUnit[],COLUMN(CUSTO_GLOBAL[[#Headers],[Incidência do Submódulo 2.1 sobre Ausências Legais]])-2,0)*($G132-$H132)</f>
        <v>46.797087652035003</v>
      </c>
      <c r="BC132" s="22">
        <f>VLOOKUP($A132,tabCustoUnit[],COLUMN(CUSTO_GLOBAL[[#Headers],[Submódulo 4.1]])-2,0)*($G132-$H132)</f>
        <v>170.59890683731277</v>
      </c>
      <c r="BD132" s="22">
        <f>VLOOKUP($A132,tabCustoUnit[],COLUMN(CUSTO_GLOBAL[[#Headers],[Intervalo para Repouso ou Alimentação]])-2,0)*($G132-$H132)</f>
        <v>0</v>
      </c>
      <c r="BE132" s="22">
        <f>VLOOKUP($A132,tabCustoUnit[],COLUMN(CUSTO_GLOBAL[[#Headers],[Submódulo 4.2]])-2,0)*($G132-$H132)</f>
        <v>0</v>
      </c>
      <c r="BF132" s="22">
        <f>VLOOKUP($A132,tabCustoUnit[],COLUMN(CUSTO_GLOBAL[[#Headers],[Suspensão Temporária do Contrato de Trabalho]])-2,0)*($G132-$H132)</f>
        <v>0</v>
      </c>
      <c r="BG132" s="22">
        <f>VLOOKUP($A132,tabCustoUnit[],COLUMN(CUSTO_GLOBAL[[#Headers],[Submódulo 4.3]])-2,0)*($G132-$H132)</f>
        <v>0</v>
      </c>
      <c r="BH132" s="22">
        <f>VLOOKUP($A132,tabCustoUnit[],COLUMN(CUSTO_GLOBAL[[#Headers],[MÓDULO 4 – CUSTO DE REPOSIÇÃO DO PROFISSIONAL AUSENTE]])-2,0)*($G132-$H132)</f>
        <v>170.59890683731277</v>
      </c>
      <c r="BI132" s="22">
        <f>VLOOKUP($A132,tabCustoUnit[],COLUMN(CUSTO_GLOBAL[[#Headers],[Uniformes e EPIs]])-2,0)*($G132-$H132)</f>
        <v>169.92893688763019</v>
      </c>
      <c r="BJ132" s="22">
        <f>VLOOKUP($A132,tabCustoUnit[],COLUMN(CUSTO_GLOBAL[[#Headers],[Materiais de Consumo]])-2,0)*($G132-$H132)</f>
        <v>0</v>
      </c>
      <c r="BK132" s="22">
        <f>VLOOKUP($A132,tabCustoUnit[],COLUMN(CUSTO_GLOBAL[[#Headers],[Máquinas e Equipamentos (depreciação)]])-2,0)*($G132-$H132)</f>
        <v>0</v>
      </c>
      <c r="BL132" s="22">
        <f>VLOOKUP($A132,tabCustoUnit[],COLUMN(CUSTO_GLOBAL[[#Headers],[Produtos de Limpeza e Materiais de Higiene Pessoal]])-2,0)*($G132-$H132)</f>
        <v>0</v>
      </c>
      <c r="BM132" s="22">
        <f>VLOOKUP($A132,tabCustoUnit[],COLUMN(CUSTO_GLOBAL[[#Headers],[Outros (especificar)]])-2,0)*($G132-$H132)</f>
        <v>0</v>
      </c>
      <c r="BN132" s="22">
        <f>VLOOKUP($A132,tabCustoUnit[],COLUMN(CUSTO_GLOBAL[[#Headers],[MÓDULO 5 – INSUMOS DIVERSOS]])-2,0)*($G132-$H132)</f>
        <v>169.92893688763019</v>
      </c>
      <c r="BO132" s="22" t="e">
        <f ca="1">VLOOKUP($A132,tabCustoUnit[],COLUMN(CUSTO_GLOBAL[[#Headers],[TOTAL MÓDULOS 1+2+3+4+5]])-2,0)*($G132-$H132)</f>
        <v>#NAME?</v>
      </c>
      <c r="BP132" s="22" t="e">
        <f ca="1">VLOOKUP($A132,tabCustoUnit[],COLUMN(CUSTO_GLOBAL[[#Headers],[Custos Indiretos]])-2,0)*($G132-$H132)</f>
        <v>#NAME?</v>
      </c>
      <c r="BQ132" s="22" t="e">
        <f ca="1">VLOOKUP($A132,tabCustoUnit[],COLUMN(CUSTO_GLOBAL[[#Headers],[Lucro]])-2,0)*($G132-$H132)</f>
        <v>#NAME?</v>
      </c>
      <c r="BR132" s="26">
        <f>VLOOKUP($A132,tabCustoUnit[],COLUMN(CUSTO_GLOBAL[[#Headers],[COFINS]])-2,0)</f>
        <v>8.6609686609686695E-2</v>
      </c>
      <c r="BS132" s="26">
        <f>VLOOKUP($A132,tabCustoUnit[],COLUMN(CUSTO_GLOBAL[[#Headers],[PIS]])-2,0)</f>
        <v>1.880341880341882E-2</v>
      </c>
      <c r="BT132" s="28">
        <f>VLOOKUP($A132,tabCustoUnit[],COLUMN(CUSTO_GLOBAL[[#Headers],[ISS]])-2,0)</f>
        <v>0.03</v>
      </c>
      <c r="BU132" s="26">
        <f>VLOOKUP($A132,tabCustoUnit[],COLUMN(CUSTO_GLOBAL[[#Headers],[ISS (Conversão Alíquota s/ fatura)]])-2,0)</f>
        <v>3.4188034188034219E-2</v>
      </c>
      <c r="BV132" s="26">
        <f>VLOOKUP($A132,tabCustoUnit[],COLUMN(CUSTO_GLOBAL[[#Headers],[Resumo de Alíquotas (PIS+CONFINS+ISS)]])-2,0)</f>
        <v>0.1225</v>
      </c>
      <c r="BW132" s="138">
        <f>VLOOKUP($A132,tabCustoUnit[],COLUMN(CUSTO_GLOBAL[[#Headers],[PIS + COFINS + ISS (Total Conversão  Alíquota s/ Fatura)]])-2,0)</f>
        <v>0.13960113960113973</v>
      </c>
      <c r="BX132" s="22" t="e">
        <f ca="1">VLOOKUP($A132,tabCustoUnit[],COLUMN(CUSTO_GLOBAL[[#Headers],[Valor dos Tributos (ISS, PIS, CONFINS)]])-2,0)*($G132-$H132)</f>
        <v>#NAME?</v>
      </c>
      <c r="BY132" s="22" t="e">
        <f ca="1">VLOOKUP($A132,tabCustoUnit[],COLUMN(CUSTO_GLOBAL[[#Headers],[MÓDULO 6 – CUSTOS INDIRETOS, TRIBUTOS E LUCRO]])-2,0)*($G132-$H132)</f>
        <v>#NAME?</v>
      </c>
      <c r="BZ132" s="22" t="e">
        <f ca="1">VLOOKUP($A132,tabCustoUnit[],COLUMN(CUSTO_GLOBAL[[#Headers],[CUSTO TOTAL MENSAL]])-2,0)*($G132-$H132)</f>
        <v>#NAME?</v>
      </c>
      <c r="CA132" s="22" t="e">
        <f ca="1">CUSTO_GLOBAL[[#This Row],[CUSTO TOTAL MENSAL]]*12</f>
        <v>#NAME?</v>
      </c>
      <c r="CB132" s="24">
        <f>VLOOKUP($A132,tabCustoUnit[],COLUMN(CUSTO_GLOBAL[[#Headers],[ANO DA CCT]])-2,0)</f>
        <v>45658</v>
      </c>
      <c r="CC132" s="25" t="str">
        <f>VLOOKUP($A132,tabCustoUnit[],COLUMN(CUSTO_GLOBAL[[#Headers],[Nº DE PEDIDO DA CCT]])-2,0)</f>
        <v>-</v>
      </c>
      <c r="CD132" s="25" t="str">
        <f>VLOOKUP($A132,tabCustoUnit[],COLUMN(CUSTO_GLOBAL[[#Headers],[TERMO ADITIVO ALTERAÇÃO DA CCT]])-2,0)</f>
        <v>-</v>
      </c>
    </row>
    <row r="133" spans="1:82">
      <c r="A133" s="20" t="s">
        <v>1588</v>
      </c>
      <c r="B133" t="s">
        <v>1128</v>
      </c>
      <c r="C133" t="s">
        <v>1370</v>
      </c>
      <c r="D133" t="s">
        <v>1058</v>
      </c>
      <c r="E133" s="20" t="s">
        <v>1090</v>
      </c>
      <c r="F133" s="20" t="s">
        <v>120</v>
      </c>
      <c r="G133" s="20">
        <v>1</v>
      </c>
      <c r="H133" s="20">
        <v>0</v>
      </c>
      <c r="I133" s="21">
        <f>VLOOKUP($A133,tabCustoUnit[],COLUMN(CUSTO_GLOBAL[[#Headers],[Salário Base]])-2,0)*($G133-$H133)</f>
        <v>4768.66</v>
      </c>
      <c r="J133" s="21">
        <f>VLOOKUP($A133,tabCustoUnit[],COLUMN(CUSTO_GLOBAL[[#Headers],[Adicional Periculosidade]])-2,0)*($G133-$H133)</f>
        <v>0</v>
      </c>
      <c r="K133" s="21">
        <f>VLOOKUP($A133,tabCustoUnit[],COLUMN(CUSTO_GLOBAL[[#Headers],[Adicional Insalubridade]])-2,0)*($G133-$H133)</f>
        <v>0</v>
      </c>
      <c r="L133" s="21">
        <f>VLOOKUP($A133,tabCustoUnit[],COLUMN(CUSTO_GLOBAL[[#Headers],[Adicional Noturno]])-2,0)*($G133-$H133)</f>
        <v>0</v>
      </c>
      <c r="M133" s="21">
        <f>VLOOKUP($A133,tabCustoUnit[],COLUMN(CUSTO_GLOBAL[[#Headers],[Adicional Motorista II (Gratificação)]])-2,0)*($G133-$H133)</f>
        <v>0</v>
      </c>
      <c r="N133" s="21">
        <f>VLOOKUP($A133,tabCustoUnit[],COLUMN(CUSTO_GLOBAL[[#Headers],[Adicional de Sobreaviso]])-2,0)*($G133-$H133)</f>
        <v>0</v>
      </c>
      <c r="O133" s="21">
        <f>VLOOKUP($A133,tabCustoUnit[],COLUMN(CUSTO_GLOBAL[[#Headers],[Horas Extras TI]])-2,0)*($G133-$H133)</f>
        <v>0</v>
      </c>
      <c r="P133" s="21">
        <f>VLOOKUP($A133,tabCustoUnit[],COLUMN(CUSTO_GLOBAL[[#Headers],[Adicional de Acúmulo de função]])-2,0)*($G133-$H133)</f>
        <v>0</v>
      </c>
      <c r="Q133" s="21">
        <f>VLOOKUP($A133,tabCustoUnit[],COLUMN(CUSTO_GLOBAL[[#Headers],[MODULO 1 - REMUNERAÇÃO ]])-2,0)*($G133-$H133)</f>
        <v>4768.66</v>
      </c>
      <c r="R133" s="21">
        <f>VLOOKUP($A133,tabCustoUnit[],COLUMN(CUSTO_GLOBAL[[#Headers],[INSS]])-2,0)*($G133-$H133)</f>
        <v>953.73199999999997</v>
      </c>
      <c r="S133" s="21">
        <f>VLOOKUP($A133,tabCustoUnit[],COLUMN(CUSTO_GLOBAL[[#Headers],[SESI OU SESC]])-2,0)*($G133-$H133)</f>
        <v>71.529899999999998</v>
      </c>
      <c r="T133" s="21">
        <f>VLOOKUP($A133,tabCustoUnit[],COLUMN(CUSTO_GLOBAL[[#Headers],[SENAI OU SENAC]])-2,0)*($G133-$H133)</f>
        <v>47.686599999999999</v>
      </c>
      <c r="U133" s="21">
        <f>VLOOKUP($A133,tabCustoUnit[],COLUMN(CUSTO_GLOBAL[[#Headers],[INCRA]])-2,0)*($G133-$H133)</f>
        <v>9.5373199999999994</v>
      </c>
      <c r="V133" s="21">
        <f>VLOOKUP($A133,tabCustoUnit[],COLUMN(CUSTO_GLOBAL[[#Headers],[Salário Educação]])-2,0)*($G133-$H133)</f>
        <v>119.2165</v>
      </c>
      <c r="W133" s="21">
        <f>VLOOKUP($A133,tabCustoUnit[],COLUMN(CUSTO_GLOBAL[[#Headers],[FGTS]])-2,0)*($G133-$H133)</f>
        <v>381.49279999999999</v>
      </c>
      <c r="X133" s="21">
        <f>VLOOKUP($A133,tabCustoUnit[],COLUMN(CUSTO_GLOBAL[[#Headers],[RAT Ajustado]])-2,0)*($G133-$H133)</f>
        <v>190.74639999999999</v>
      </c>
      <c r="Y133" s="21">
        <f>VLOOKUP($A133,tabCustoUnit[],COLUMN(CUSTO_GLOBAL[[#Headers],[SEBRAE]])-2,0)*($G133-$H133)</f>
        <v>28.61196</v>
      </c>
      <c r="Z133" s="21">
        <f>VLOOKUP($A133,tabCustoUnit[],COLUMN(CUSTO_GLOBAL[[#Headers],[Submódulo 2.1]])-2,0)*($G133-$H133)</f>
        <v>1802.5534799999998</v>
      </c>
      <c r="AA133" s="21">
        <f>VLOOKUP($A133,tabCustoUnit[],COLUMN(CUSTO_GLOBAL[[#Headers],[13º salário (titular)]])-2,0)*($G133-$H133)</f>
        <v>397.38833333333332</v>
      </c>
      <c r="AB133" s="21">
        <f>VLOOKUP($A133,tabCustoUnit[],COLUMN(CUSTO_GLOBAL[[#Headers],[Férias e Adicional de Férias (titular)]])-2,0)*($G133-$H133)</f>
        <v>529.85111111111109</v>
      </c>
      <c r="AC133" s="21">
        <f>VLOOKUP($A133,tabCustoUnit[],COLUMN(CUSTO_GLOBAL[[#Headers],[Incidência do Submódulo 2.1 sobre 13º Salário, Férias e Adicional de Férias]])-2,0)*($G133-$H133)</f>
        <v>350.49650999999994</v>
      </c>
      <c r="AD133" s="21">
        <f>VLOOKUP($A133,tabCustoUnit[],COLUMN(CUSTO_GLOBAL[[#Headers],[Submódulo 2.2]])-2,0)*($G133-$H133)</f>
        <v>1277.7359544444444</v>
      </c>
      <c r="AE133" s="22" t="e">
        <f ca="1">VLOOKUP($A133,tabCustoUnit[],COLUMN(CUSTO_GLOBAL[[#Headers],[Vale - Transporte (Descontada parcela do empregado)]])-2,0)*($G133-$H133)</f>
        <v>#NAME?</v>
      </c>
      <c r="AF133" s="22">
        <f>VLOOKUP($A133,tabCustoUnit[],COLUMN(CUSTO_GLOBAL[[#Headers],[Vale - Alimentação (Descontada parcela do empregado)]])-2,0)*($G133-$H133)</f>
        <v>582</v>
      </c>
      <c r="AG133" s="22">
        <f>VLOOKUP($A133,tabCustoUnit[],COLUMN(CUSTO_GLOBAL[[#Headers],[Cesta Básica]])-2,0)*($G133-$H133)</f>
        <v>0</v>
      </c>
      <c r="AH133" s="22">
        <f>VLOOKUP($A133,tabCustoUnit[],COLUMN(CUSTO_GLOBAL[[#Headers],[PAF]])-2,0)*($G133-$H133)</f>
        <v>77.25</v>
      </c>
      <c r="AI133" s="22">
        <f>VLOOKUP($A133,tabCustoUnit[],COLUMN(CUSTO_GLOBAL[[#Headers],[PQM]])-2,0)*($G133-$H133)</f>
        <v>0</v>
      </c>
      <c r="AJ133" s="22">
        <v>0</v>
      </c>
      <c r="AK133" s="22">
        <f>VLOOKUP($A133,tabCustoUnit[],COLUMN(CUSTO_GLOBAL[[#Headers],[Seguro de Vida]])-2,0)*($G133-$H133)</f>
        <v>3.36</v>
      </c>
      <c r="AL133" s="22">
        <f>VLOOKUP($A133,tabCustoUnit[],COLUMN(CUSTO_GLOBAL[[#Headers],[Despesas de Viagem]])-2,0)*($G133-$H133)</f>
        <v>0</v>
      </c>
      <c r="AM133" s="22" t="e">
        <f ca="1">VLOOKUP($A133,tabCustoUnit[],COLUMN(CUSTO_GLOBAL[[#Headers],[Submódulo 2.3]])-2,0)*($G133-$H133)</f>
        <v>#NAME?</v>
      </c>
      <c r="AN133" s="22" t="e">
        <f ca="1">VLOOKUP($A133,tabCustoUnit[],COLUMN(CUSTO_GLOBAL[[#Headers],[MÓDULO 2 - Total Encargos e Benefícios mensais e diários]])-2,0)*($G133-$H133)</f>
        <v>#NAME?</v>
      </c>
      <c r="AO133" s="22">
        <f>VLOOKUP($A133,tabCustoUnit[],COLUMN(CUSTO_GLOBAL[[#Headers],[Aviso Prévio Indenizado (API) e Reflexo do Aviso Prévio Indenizado]])-2,0)*($G133-$H133)</f>
        <v>33.436732704475311</v>
      </c>
      <c r="AP133" s="22">
        <f>VLOOKUP($A133,tabCustoUnit[],COLUMN(CUSTO_GLOBAL[[#Headers],[Incidência do FGTS sobre API e Reflexo do API]])-2,0)*($G133-$H133)</f>
        <v>2.6749386163580247</v>
      </c>
      <c r="AQ133" s="22">
        <f>VLOOKUP($A133,tabCustoUnit[],COLUMN(CUSTO_GLOBAL[[#Headers],[Multa Rescisória do FGTS sobre o Aviso Prévio Indenizado]])-2,0)*($G133-$H133)</f>
        <v>1.0699754465432101</v>
      </c>
      <c r="AR133" s="22">
        <f>VLOOKUP($A133,tabCustoUnit[],COLUMN(CUSTO_GLOBAL[[#Headers],[Aviso Prévio Trabalhado - APT]])-2,0)*($G133-$H133)</f>
        <v>16.69031</v>
      </c>
      <c r="AS133" s="22">
        <f>VLOOKUP($A133,tabCustoUnit[],COLUMN(CUSTO_GLOBAL[[#Headers],[Incidência dos encargos do submódulo 2.1 sobre Aviso Prévio Trabalhado]])-2,0)*($G133-$H133)</f>
        <v>6.3089371800000018</v>
      </c>
      <c r="AT133" s="22">
        <f>VLOOKUP($A133,tabCustoUnit[],COLUMN(CUSTO_GLOBAL[[#Headers],[Multa Rescisória do FGTS]])-2,0)*($G133-$H133)</f>
        <v>145.81502577777775</v>
      </c>
      <c r="AU133" s="22">
        <f>VLOOKUP($A133,tabCustoUnit[],COLUMN(CUSTO_GLOBAL[[#Headers],[Indenização Adicional (Art. 9º da Lei nº 7.238/84)]])-2,0)*($G133-$H133)</f>
        <v>3.9738833333333337</v>
      </c>
      <c r="AV133" s="22">
        <f>VLOOKUP($A133,tabCustoUnit[],COLUMN(CUSTO_GLOBAL[[#Headers],[MÓDULO 3 – PROVISÃO PARA RESCISÃO]])-2,0)*($G133-$H133)</f>
        <v>209.96980305848763</v>
      </c>
      <c r="AW133" s="22">
        <f>VLOOKUP($A133,tabCustoUnit[],COLUMN(CUSTO_GLOBAL[[#Headers],[Ausência por Doença]])-2,0)*($G133-$H133)</f>
        <v>40.268684444444439</v>
      </c>
      <c r="AX133" s="22">
        <f>VLOOKUP($A133,tabCustoUnit[],COLUMN(CUSTO_GLOBAL[[#Headers],[Ausências Legais]])-2,0)*($G133-$H133)</f>
        <v>9.6697827777777761</v>
      </c>
      <c r="AY133" s="22">
        <f>VLOOKUP($A133,tabCustoUnit[],COLUMN(CUSTO_GLOBAL[[#Headers],[Licença Paternidade]])-2,0)*($G133-$H133)</f>
        <v>0.81464608333333333</v>
      </c>
      <c r="AZ133" s="22">
        <f>VLOOKUP($A133,tabCustoUnit[],COLUMN(CUSTO_GLOBAL[[#Headers],[Ausência por Acidente de Trabalho]])-2,0)*($G133-$H133)</f>
        <v>0.99347083333333341</v>
      </c>
      <c r="BA133" s="22">
        <f>VLOOKUP($A133,tabCustoUnit[],COLUMN(CUSTO_GLOBAL[[#Headers],[Férias, Adicional de Férias e 13º  com empregada em gozo de Licença Maternidade]])-2,0)*($G133-$H133)</f>
        <v>6.1815962962962958</v>
      </c>
      <c r="BB133" s="22">
        <f>VLOOKUP($A133,tabCustoUnit[],COLUMN(CUSTO_GLOBAL[[#Headers],[Incidência do Submódulo 2.1 sobre Ausências Legais]])-2,0)*($G133-$H133)</f>
        <v>21.896852204500004</v>
      </c>
      <c r="BC133" s="22">
        <f>VLOOKUP($A133,tabCustoUnit[],COLUMN(CUSTO_GLOBAL[[#Headers],[Submódulo 4.1]])-2,0)*($G133-$H133)</f>
        <v>79.82503263968519</v>
      </c>
      <c r="BD133" s="22">
        <f>VLOOKUP($A133,tabCustoUnit[],COLUMN(CUSTO_GLOBAL[[#Headers],[Intervalo para Repouso ou Alimentação]])-2,0)*($G133-$H133)</f>
        <v>0</v>
      </c>
      <c r="BE133" s="22">
        <f>VLOOKUP($A133,tabCustoUnit[],COLUMN(CUSTO_GLOBAL[[#Headers],[Submódulo 4.2]])-2,0)*($G133-$H133)</f>
        <v>0</v>
      </c>
      <c r="BF133" s="22">
        <f>VLOOKUP($A133,tabCustoUnit[],COLUMN(CUSTO_GLOBAL[[#Headers],[Suspensão Temporária do Contrato de Trabalho]])-2,0)*($G133-$H133)</f>
        <v>0</v>
      </c>
      <c r="BG133" s="22">
        <f>VLOOKUP($A133,tabCustoUnit[],COLUMN(CUSTO_GLOBAL[[#Headers],[Submódulo 4.3]])-2,0)*($G133-$H133)</f>
        <v>0</v>
      </c>
      <c r="BH133" s="22">
        <f>VLOOKUP($A133,tabCustoUnit[],COLUMN(CUSTO_GLOBAL[[#Headers],[MÓDULO 4 – CUSTO DE REPOSIÇÃO DO PROFISSIONAL AUSENTE]])-2,0)*($G133-$H133)</f>
        <v>79.82503263968519</v>
      </c>
      <c r="BI133" s="22">
        <f>VLOOKUP($A133,tabCustoUnit[],COLUMN(CUSTO_GLOBAL[[#Headers],[Uniformes e EPIs]])-2,0)*($G133-$H133)</f>
        <v>90.784679782039703</v>
      </c>
      <c r="BJ133" s="22">
        <f>VLOOKUP($A133,tabCustoUnit[],COLUMN(CUSTO_GLOBAL[[#Headers],[Materiais de Consumo]])-2,0)*($G133-$H133)</f>
        <v>0</v>
      </c>
      <c r="BK133" s="22">
        <f>VLOOKUP($A133,tabCustoUnit[],COLUMN(CUSTO_GLOBAL[[#Headers],[Máquinas e Equipamentos (depreciação)]])-2,0)*($G133-$H133)</f>
        <v>0</v>
      </c>
      <c r="BL133" s="22">
        <f>VLOOKUP($A133,tabCustoUnit[],COLUMN(CUSTO_GLOBAL[[#Headers],[Produtos de Limpeza e Materiais de Higiene Pessoal]])-2,0)*($G133-$H133)</f>
        <v>0</v>
      </c>
      <c r="BM133" s="22">
        <f>VLOOKUP($A133,tabCustoUnit[],COLUMN(CUSTO_GLOBAL[[#Headers],[Outros (especificar)]])-2,0)*($G133-$H133)</f>
        <v>0</v>
      </c>
      <c r="BN133" s="22">
        <f>VLOOKUP($A133,tabCustoUnit[],COLUMN(CUSTO_GLOBAL[[#Headers],[MÓDULO 5 – INSUMOS DIVERSOS]])-2,0)*($G133-$H133)</f>
        <v>90.784679782039703</v>
      </c>
      <c r="BO133" s="22" t="e">
        <f ca="1">VLOOKUP($A133,tabCustoUnit[],COLUMN(CUSTO_GLOBAL[[#Headers],[TOTAL MÓDULOS 1+2+3+4+5]])-2,0)*($G133-$H133)</f>
        <v>#NAME?</v>
      </c>
      <c r="BP133" s="22" t="e">
        <f ca="1">VLOOKUP($A133,tabCustoUnit[],COLUMN(CUSTO_GLOBAL[[#Headers],[Custos Indiretos]])-2,0)*($G133-$H133)</f>
        <v>#NAME?</v>
      </c>
      <c r="BQ133" s="22" t="e">
        <f ca="1">VLOOKUP($A133,tabCustoUnit[],COLUMN(CUSTO_GLOBAL[[#Headers],[Lucro]])-2,0)*($G133-$H133)</f>
        <v>#NAME?</v>
      </c>
      <c r="BR133" s="26">
        <f>VLOOKUP($A133,tabCustoUnit[],COLUMN(CUSTO_GLOBAL[[#Headers],[COFINS]])-2,0)</f>
        <v>8.6609686609686695E-2</v>
      </c>
      <c r="BS133" s="26">
        <f>VLOOKUP($A133,tabCustoUnit[],COLUMN(CUSTO_GLOBAL[[#Headers],[PIS]])-2,0)</f>
        <v>1.880341880341882E-2</v>
      </c>
      <c r="BT133" s="28">
        <f>VLOOKUP($A133,tabCustoUnit[],COLUMN(CUSTO_GLOBAL[[#Headers],[ISS]])-2,0)</f>
        <v>0.03</v>
      </c>
      <c r="BU133" s="26">
        <f>VLOOKUP($A133,tabCustoUnit[],COLUMN(CUSTO_GLOBAL[[#Headers],[ISS (Conversão Alíquota s/ fatura)]])-2,0)</f>
        <v>3.4188034188034219E-2</v>
      </c>
      <c r="BV133" s="26">
        <f>VLOOKUP($A133,tabCustoUnit[],COLUMN(CUSTO_GLOBAL[[#Headers],[Resumo de Alíquotas (PIS+CONFINS+ISS)]])-2,0)</f>
        <v>0.1225</v>
      </c>
      <c r="BW133" s="138">
        <f>VLOOKUP($A133,tabCustoUnit[],COLUMN(CUSTO_GLOBAL[[#Headers],[PIS + COFINS + ISS (Total Conversão  Alíquota s/ Fatura)]])-2,0)</f>
        <v>0.13960113960113973</v>
      </c>
      <c r="BX133" s="22" t="e">
        <f ca="1">VLOOKUP($A133,tabCustoUnit[],COLUMN(CUSTO_GLOBAL[[#Headers],[Valor dos Tributos (ISS, PIS, CONFINS)]])-2,0)*($G133-$H133)</f>
        <v>#NAME?</v>
      </c>
      <c r="BY133" s="22" t="e">
        <f ca="1">VLOOKUP($A133,tabCustoUnit[],COLUMN(CUSTO_GLOBAL[[#Headers],[MÓDULO 6 – CUSTOS INDIRETOS, TRIBUTOS E LUCRO]])-2,0)*($G133-$H133)</f>
        <v>#NAME?</v>
      </c>
      <c r="BZ133" s="22" t="e">
        <f ca="1">VLOOKUP($A133,tabCustoUnit[],COLUMN(CUSTO_GLOBAL[[#Headers],[CUSTO TOTAL MENSAL]])-2,0)*($G133-$H133)</f>
        <v>#NAME?</v>
      </c>
      <c r="CA133" s="22" t="e">
        <f ca="1">CUSTO_GLOBAL[[#This Row],[CUSTO TOTAL MENSAL]]*12</f>
        <v>#NAME?</v>
      </c>
      <c r="CB133" s="24">
        <f>VLOOKUP($A133,tabCustoUnit[],COLUMN(CUSTO_GLOBAL[[#Headers],[ANO DA CCT]])-2,0)</f>
        <v>45658</v>
      </c>
      <c r="CC133" s="25" t="str">
        <f>VLOOKUP($A133,tabCustoUnit[],COLUMN(CUSTO_GLOBAL[[#Headers],[Nº DE PEDIDO DA CCT]])-2,0)</f>
        <v>-</v>
      </c>
      <c r="CD133" s="25" t="str">
        <f>VLOOKUP($A133,tabCustoUnit[],COLUMN(CUSTO_GLOBAL[[#Headers],[TERMO ADITIVO ALTERAÇÃO DA CCT]])-2,0)</f>
        <v>-</v>
      </c>
    </row>
    <row r="134" spans="1:82">
      <c r="A134" s="20" t="s">
        <v>1589</v>
      </c>
      <c r="B134" t="s">
        <v>1129</v>
      </c>
      <c r="C134" t="s">
        <v>314</v>
      </c>
      <c r="D134" t="s">
        <v>1048</v>
      </c>
      <c r="E134" s="20" t="s">
        <v>1090</v>
      </c>
      <c r="F134" s="20" t="s">
        <v>120</v>
      </c>
      <c r="G134" s="20">
        <v>1</v>
      </c>
      <c r="H134" s="20">
        <v>0</v>
      </c>
      <c r="I134" s="21">
        <f>VLOOKUP($A134,tabCustoUnit[],COLUMN(CUSTO_GLOBAL[[#Headers],[Salário Base]])-2,0)*($G134-$H134)</f>
        <v>1963.4110000000001</v>
      </c>
      <c r="J134" s="21">
        <f>VLOOKUP($A134,tabCustoUnit[],COLUMN(CUSTO_GLOBAL[[#Headers],[Adicional Periculosidade]])-2,0)*($G134-$H134)</f>
        <v>0</v>
      </c>
      <c r="K134" s="21">
        <f>VLOOKUP($A134,tabCustoUnit[],COLUMN(CUSTO_GLOBAL[[#Headers],[Adicional Insalubridade]])-2,0)*($G134-$H134)</f>
        <v>0</v>
      </c>
      <c r="L134" s="21">
        <f>VLOOKUP($A134,tabCustoUnit[],COLUMN(CUSTO_GLOBAL[[#Headers],[Adicional Noturno]])-2,0)*($G134-$H134)</f>
        <v>0</v>
      </c>
      <c r="M134" s="21">
        <f>VLOOKUP($A134,tabCustoUnit[],COLUMN(CUSTO_GLOBAL[[#Headers],[Adicional Motorista II (Gratificação)]])-2,0)*($G134-$H134)</f>
        <v>0</v>
      </c>
      <c r="N134" s="21">
        <f>VLOOKUP($A134,tabCustoUnit[],COLUMN(CUSTO_GLOBAL[[#Headers],[Adicional de Sobreaviso]])-2,0)*($G134-$H134)</f>
        <v>0</v>
      </c>
      <c r="O134" s="21">
        <f>VLOOKUP($A134,tabCustoUnit[],COLUMN(CUSTO_GLOBAL[[#Headers],[Horas Extras TI]])-2,0)*($G134-$H134)</f>
        <v>0</v>
      </c>
      <c r="P134" s="21">
        <f>VLOOKUP($A134,tabCustoUnit[],COLUMN(CUSTO_GLOBAL[[#Headers],[Adicional de Acúmulo de função]])-2,0)*($G134-$H134)</f>
        <v>0</v>
      </c>
      <c r="Q134" s="21">
        <f>VLOOKUP($A134,tabCustoUnit[],COLUMN(CUSTO_GLOBAL[[#Headers],[MODULO 1 - REMUNERAÇÃO ]])-2,0)*($G134-$H134)</f>
        <v>1963.4110000000001</v>
      </c>
      <c r="R134" s="21">
        <f>VLOOKUP($A134,tabCustoUnit[],COLUMN(CUSTO_GLOBAL[[#Headers],[INSS]])-2,0)*($G134-$H134)</f>
        <v>392.68220000000002</v>
      </c>
      <c r="S134" s="21">
        <f>VLOOKUP($A134,tabCustoUnit[],COLUMN(CUSTO_GLOBAL[[#Headers],[SESI OU SESC]])-2,0)*($G134-$H134)</f>
        <v>29.451165</v>
      </c>
      <c r="T134" s="21">
        <f>VLOOKUP($A134,tabCustoUnit[],COLUMN(CUSTO_GLOBAL[[#Headers],[SENAI OU SENAC]])-2,0)*($G134-$H134)</f>
        <v>19.63411</v>
      </c>
      <c r="U134" s="21">
        <f>VLOOKUP($A134,tabCustoUnit[],COLUMN(CUSTO_GLOBAL[[#Headers],[INCRA]])-2,0)*($G134-$H134)</f>
        <v>3.926822</v>
      </c>
      <c r="V134" s="21">
        <f>VLOOKUP($A134,tabCustoUnit[],COLUMN(CUSTO_GLOBAL[[#Headers],[Salário Educação]])-2,0)*($G134-$H134)</f>
        <v>49.085275000000003</v>
      </c>
      <c r="W134" s="21">
        <f>VLOOKUP($A134,tabCustoUnit[],COLUMN(CUSTO_GLOBAL[[#Headers],[FGTS]])-2,0)*($G134-$H134)</f>
        <v>157.07288</v>
      </c>
      <c r="X134" s="21">
        <f>VLOOKUP($A134,tabCustoUnit[],COLUMN(CUSTO_GLOBAL[[#Headers],[RAT Ajustado]])-2,0)*($G134-$H134)</f>
        <v>78.536439999999999</v>
      </c>
      <c r="Y134" s="21">
        <f>VLOOKUP($A134,tabCustoUnit[],COLUMN(CUSTO_GLOBAL[[#Headers],[SEBRAE]])-2,0)*($G134-$H134)</f>
        <v>11.780466000000001</v>
      </c>
      <c r="Z134" s="21">
        <f>VLOOKUP($A134,tabCustoUnit[],COLUMN(CUSTO_GLOBAL[[#Headers],[Submódulo 2.1]])-2,0)*($G134-$H134)</f>
        <v>742.1693580000001</v>
      </c>
      <c r="AA134" s="21">
        <f>VLOOKUP($A134,tabCustoUnit[],COLUMN(CUSTO_GLOBAL[[#Headers],[13º salário (titular)]])-2,0)*($G134-$H134)</f>
        <v>163.61758333333333</v>
      </c>
      <c r="AB134" s="21">
        <f>VLOOKUP($A134,tabCustoUnit[],COLUMN(CUSTO_GLOBAL[[#Headers],[Férias e Adicional de Férias (titular)]])-2,0)*($G134-$H134)</f>
        <v>218.15677777777776</v>
      </c>
      <c r="AC134" s="21">
        <f>VLOOKUP($A134,tabCustoUnit[],COLUMN(CUSTO_GLOBAL[[#Headers],[Incidência do Submódulo 2.1 sobre 13º Salário, Férias e Adicional de Férias]])-2,0)*($G134-$H134)</f>
        <v>144.3107085</v>
      </c>
      <c r="AD134" s="21">
        <f>VLOOKUP($A134,tabCustoUnit[],COLUMN(CUSTO_GLOBAL[[#Headers],[Submódulo 2.2]])-2,0)*($G134-$H134)</f>
        <v>526.08506961111107</v>
      </c>
      <c r="AE134" s="22" t="e">
        <f ca="1">VLOOKUP($A134,tabCustoUnit[],COLUMN(CUSTO_GLOBAL[[#Headers],[Vale - Transporte (Descontada parcela do empregado)]])-2,0)*($G134-$H134)</f>
        <v>#NAME?</v>
      </c>
      <c r="AF134" s="22">
        <f>VLOOKUP($A134,tabCustoUnit[],COLUMN(CUSTO_GLOBAL[[#Headers],[Vale - Alimentação (Descontada parcela do empregado)]])-2,0)*($G134-$H134)</f>
        <v>582</v>
      </c>
      <c r="AG134" s="22">
        <f>VLOOKUP($A134,tabCustoUnit[],COLUMN(CUSTO_GLOBAL[[#Headers],[Cesta Básica]])-2,0)*($G134-$H134)</f>
        <v>0</v>
      </c>
      <c r="AH134" s="22">
        <f>VLOOKUP($A134,tabCustoUnit[],COLUMN(CUSTO_GLOBAL[[#Headers],[PAF]])-2,0)*($G134-$H134)</f>
        <v>0</v>
      </c>
      <c r="AI134" s="22">
        <f>VLOOKUP($A134,tabCustoUnit[],COLUMN(CUSTO_GLOBAL[[#Headers],[PQM]])-2,0)*($G134-$H134)</f>
        <v>0</v>
      </c>
      <c r="AJ134" s="22">
        <v>0</v>
      </c>
      <c r="AK134" s="22">
        <f>VLOOKUP($A134,tabCustoUnit[],COLUMN(CUSTO_GLOBAL[[#Headers],[Seguro de Vida]])-2,0)*($G134-$H134)</f>
        <v>3.36</v>
      </c>
      <c r="AL134" s="22">
        <f>VLOOKUP($A134,tabCustoUnit[],COLUMN(CUSTO_GLOBAL[[#Headers],[Despesas de Viagem]])-2,0)*($G134-$H134)</f>
        <v>0</v>
      </c>
      <c r="AM134" s="22" t="e">
        <f ca="1">VLOOKUP($A134,tabCustoUnit[],COLUMN(CUSTO_GLOBAL[[#Headers],[Submódulo 2.3]])-2,0)*($G134-$H134)</f>
        <v>#NAME?</v>
      </c>
      <c r="AN134" s="22" t="e">
        <f ca="1">VLOOKUP($A134,tabCustoUnit[],COLUMN(CUSTO_GLOBAL[[#Headers],[MÓDULO 2 - Total Encargos e Benefícios mensais e diários]])-2,0)*($G134-$H134)</f>
        <v>#NAME?</v>
      </c>
      <c r="AO134" s="22">
        <f>VLOOKUP($A134,tabCustoUnit[],COLUMN(CUSTO_GLOBAL[[#Headers],[Aviso Prévio Indenizado (API) e Reflexo do Aviso Prévio Indenizado]])-2,0)*($G134-$H134)</f>
        <v>13.766980408757716</v>
      </c>
      <c r="AP134" s="22">
        <f>VLOOKUP($A134,tabCustoUnit[],COLUMN(CUSTO_GLOBAL[[#Headers],[Incidência do FGTS sobre API e Reflexo do API]])-2,0)*($G134-$H134)</f>
        <v>1.1013584327006174</v>
      </c>
      <c r="AQ134" s="22">
        <f>VLOOKUP($A134,tabCustoUnit[],COLUMN(CUSTO_GLOBAL[[#Headers],[Multa Rescisória do FGTS sobre o Aviso Prévio Indenizado]])-2,0)*($G134-$H134)</f>
        <v>0.44054337308024699</v>
      </c>
      <c r="AR134" s="22">
        <f>VLOOKUP($A134,tabCustoUnit[],COLUMN(CUSTO_GLOBAL[[#Headers],[Aviso Prévio Trabalhado - APT]])-2,0)*($G134-$H134)</f>
        <v>6.8719385000000015</v>
      </c>
      <c r="AS134" s="22">
        <f>VLOOKUP($A134,tabCustoUnit[],COLUMN(CUSTO_GLOBAL[[#Headers],[Incidência dos encargos do submódulo 2.1 sobre Aviso Prévio Trabalhado]])-2,0)*($G134-$H134)</f>
        <v>2.5975927530000007</v>
      </c>
      <c r="AT134" s="22">
        <f>VLOOKUP($A134,tabCustoUnit[],COLUMN(CUSTO_GLOBAL[[#Headers],[Multa Rescisória do FGTS]])-2,0)*($G134-$H134)</f>
        <v>60.03674524444444</v>
      </c>
      <c r="AU134" s="22">
        <f>VLOOKUP($A134,tabCustoUnit[],COLUMN(CUSTO_GLOBAL[[#Headers],[Indenização Adicional (Art. 9º da Lei nº 7.238/84)]])-2,0)*($G134-$H134)</f>
        <v>1.6361758333333334</v>
      </c>
      <c r="AV134" s="22">
        <f>VLOOKUP($A134,tabCustoUnit[],COLUMN(CUSTO_GLOBAL[[#Headers],[MÓDULO 3 – PROVISÃO PARA RESCISÃO]])-2,0)*($G134-$H134)</f>
        <v>86.451334545316371</v>
      </c>
      <c r="AW134" s="22">
        <f>VLOOKUP($A134,tabCustoUnit[],COLUMN(CUSTO_GLOBAL[[#Headers],[Ausência por Doença]])-2,0)*($G134-$H134)</f>
        <v>16.579915111111109</v>
      </c>
      <c r="AX134" s="22">
        <f>VLOOKUP($A134,tabCustoUnit[],COLUMN(CUSTO_GLOBAL[[#Headers],[Ausências Legais]])-2,0)*($G134-$H134)</f>
        <v>3.9813611944444443</v>
      </c>
      <c r="AY134" s="22">
        <f>VLOOKUP($A134,tabCustoUnit[],COLUMN(CUSTO_GLOBAL[[#Headers],[Licença Paternidade]])-2,0)*($G134-$H134)</f>
        <v>0.33541604583333334</v>
      </c>
      <c r="AZ134" s="22">
        <f>VLOOKUP($A134,tabCustoUnit[],COLUMN(CUSTO_GLOBAL[[#Headers],[Ausência por Acidente de Trabalho]])-2,0)*($G134-$H134)</f>
        <v>0.40904395833333335</v>
      </c>
      <c r="BA134" s="22">
        <f>VLOOKUP($A134,tabCustoUnit[],COLUMN(CUSTO_GLOBAL[[#Headers],[Férias, Adicional de Férias e 13º  com empregada em gozo de Licença Maternidade]])-2,0)*($G134-$H134)</f>
        <v>2.5451624074074073</v>
      </c>
      <c r="BB134" s="22">
        <f>VLOOKUP($A134,tabCustoUnit[],COLUMN(CUSTO_GLOBAL[[#Headers],[Incidência do Submódulo 2.1 sobre Ausências Legais]])-2,0)*($G134-$H134)</f>
        <v>9.0156397150750021</v>
      </c>
      <c r="BC134" s="22">
        <f>VLOOKUP($A134,tabCustoUnit[],COLUMN(CUSTO_GLOBAL[[#Headers],[Submódulo 4.1]])-2,0)*($G134-$H134)</f>
        <v>32.866538432204628</v>
      </c>
      <c r="BD134" s="22">
        <f>VLOOKUP($A134,tabCustoUnit[],COLUMN(CUSTO_GLOBAL[[#Headers],[Intervalo para Repouso ou Alimentação]])-2,0)*($G134-$H134)</f>
        <v>267.73786489195959</v>
      </c>
      <c r="BE134" s="22">
        <f>VLOOKUP($A134,tabCustoUnit[],COLUMN(CUSTO_GLOBAL[[#Headers],[Submódulo 4.2]])-2,0)*($G134-$H134)</f>
        <v>267.73786489195959</v>
      </c>
      <c r="BF134" s="22">
        <f>VLOOKUP($A134,tabCustoUnit[],COLUMN(CUSTO_GLOBAL[[#Headers],[Suspensão Temporária do Contrato de Trabalho]])-2,0)*($G134-$H134)</f>
        <v>0</v>
      </c>
      <c r="BG134" s="22">
        <f>VLOOKUP($A134,tabCustoUnit[],COLUMN(CUSTO_GLOBAL[[#Headers],[Submódulo 4.3]])-2,0)*($G134-$H134)</f>
        <v>0</v>
      </c>
      <c r="BH134" s="22">
        <f>VLOOKUP($A134,tabCustoUnit[],COLUMN(CUSTO_GLOBAL[[#Headers],[MÓDULO 4 – CUSTO DE REPOSIÇÃO DO PROFISSIONAL AUSENTE]])-2,0)*($G134-$H134)</f>
        <v>300.6044033241642</v>
      </c>
      <c r="BI134" s="22">
        <f>VLOOKUP($A134,tabCustoUnit[],COLUMN(CUSTO_GLOBAL[[#Headers],[Uniformes e EPIs]])-2,0)*($G134-$H134)</f>
        <v>56.642978962543395</v>
      </c>
      <c r="BJ134" s="22">
        <f>VLOOKUP($A134,tabCustoUnit[],COLUMN(CUSTO_GLOBAL[[#Headers],[Materiais de Consumo]])-2,0)*($G134-$H134)</f>
        <v>0</v>
      </c>
      <c r="BK134" s="22">
        <f>VLOOKUP($A134,tabCustoUnit[],COLUMN(CUSTO_GLOBAL[[#Headers],[Máquinas e Equipamentos (depreciação)]])-2,0)*($G134-$H134)</f>
        <v>0</v>
      </c>
      <c r="BL134" s="22">
        <f>VLOOKUP($A134,tabCustoUnit[],COLUMN(CUSTO_GLOBAL[[#Headers],[Produtos de Limpeza e Materiais de Higiene Pessoal]])-2,0)*($G134-$H134)</f>
        <v>0</v>
      </c>
      <c r="BM134" s="22">
        <f>VLOOKUP($A134,tabCustoUnit[],COLUMN(CUSTO_GLOBAL[[#Headers],[Outros (especificar)]])-2,0)*($G134-$H134)</f>
        <v>0</v>
      </c>
      <c r="BN134" s="22">
        <f>VLOOKUP($A134,tabCustoUnit[],COLUMN(CUSTO_GLOBAL[[#Headers],[MÓDULO 5 – INSUMOS DIVERSOS]])-2,0)*($G134-$H134)</f>
        <v>56.642978962543395</v>
      </c>
      <c r="BO134" s="22" t="e">
        <f ca="1">VLOOKUP($A134,tabCustoUnit[],COLUMN(CUSTO_GLOBAL[[#Headers],[TOTAL MÓDULOS 1+2+3+4+5]])-2,0)*($G134-$H134)</f>
        <v>#NAME?</v>
      </c>
      <c r="BP134" s="22" t="e">
        <f ca="1">VLOOKUP($A134,tabCustoUnit[],COLUMN(CUSTO_GLOBAL[[#Headers],[Custos Indiretos]])-2,0)*($G134-$H134)</f>
        <v>#NAME?</v>
      </c>
      <c r="BQ134" s="22" t="e">
        <f ca="1">VLOOKUP($A134,tabCustoUnit[],COLUMN(CUSTO_GLOBAL[[#Headers],[Lucro]])-2,0)*($G134-$H134)</f>
        <v>#NAME?</v>
      </c>
      <c r="BR134" s="26">
        <f>VLOOKUP($A134,tabCustoUnit[],COLUMN(CUSTO_GLOBAL[[#Headers],[COFINS]])-2,0)</f>
        <v>8.6609686609686695E-2</v>
      </c>
      <c r="BS134" s="26">
        <f>VLOOKUP($A134,tabCustoUnit[],COLUMN(CUSTO_GLOBAL[[#Headers],[PIS]])-2,0)</f>
        <v>1.880341880341882E-2</v>
      </c>
      <c r="BT134" s="28">
        <f>VLOOKUP($A134,tabCustoUnit[],COLUMN(CUSTO_GLOBAL[[#Headers],[ISS]])-2,0)</f>
        <v>0.03</v>
      </c>
      <c r="BU134" s="26">
        <f>VLOOKUP($A134,tabCustoUnit[],COLUMN(CUSTO_GLOBAL[[#Headers],[ISS (Conversão Alíquota s/ fatura)]])-2,0)</f>
        <v>3.4188034188034219E-2</v>
      </c>
      <c r="BV134" s="26">
        <f>VLOOKUP($A134,tabCustoUnit[],COLUMN(CUSTO_GLOBAL[[#Headers],[Resumo de Alíquotas (PIS+CONFINS+ISS)]])-2,0)</f>
        <v>0.1225</v>
      </c>
      <c r="BW134" s="138">
        <f>VLOOKUP($A134,tabCustoUnit[],COLUMN(CUSTO_GLOBAL[[#Headers],[PIS + COFINS + ISS (Total Conversão  Alíquota s/ Fatura)]])-2,0)</f>
        <v>0.13960113960113973</v>
      </c>
      <c r="BX134" s="22" t="e">
        <f ca="1">VLOOKUP($A134,tabCustoUnit[],COLUMN(CUSTO_GLOBAL[[#Headers],[Valor dos Tributos (ISS, PIS, CONFINS)]])-2,0)*($G134-$H134)</f>
        <v>#NAME?</v>
      </c>
      <c r="BY134" s="22" t="e">
        <f ca="1">VLOOKUP($A134,tabCustoUnit[],COLUMN(CUSTO_GLOBAL[[#Headers],[MÓDULO 6 – CUSTOS INDIRETOS, TRIBUTOS E LUCRO]])-2,0)*($G134-$H134)</f>
        <v>#NAME?</v>
      </c>
      <c r="BZ134" s="22" t="e">
        <f ca="1">VLOOKUP($A134,tabCustoUnit[],COLUMN(CUSTO_GLOBAL[[#Headers],[CUSTO TOTAL MENSAL]])-2,0)*($G134-$H134)</f>
        <v>#NAME?</v>
      </c>
      <c r="CA134" s="22" t="e">
        <f ca="1">CUSTO_GLOBAL[[#This Row],[CUSTO TOTAL MENSAL]]*12</f>
        <v>#NAME?</v>
      </c>
      <c r="CB134" s="24">
        <f>VLOOKUP($A134,tabCustoUnit[],COLUMN(CUSTO_GLOBAL[[#Headers],[ANO DA CCT]])-2,0)</f>
        <v>45658</v>
      </c>
      <c r="CC134" s="25" t="str">
        <f>VLOOKUP($A134,tabCustoUnit[],COLUMN(CUSTO_GLOBAL[[#Headers],[Nº DE PEDIDO DA CCT]])-2,0)</f>
        <v>-</v>
      </c>
      <c r="CD134" s="25" t="str">
        <f>VLOOKUP($A134,tabCustoUnit[],COLUMN(CUSTO_GLOBAL[[#Headers],[TERMO ADITIVO ALTERAÇÃO DA CCT]])-2,0)</f>
        <v>-</v>
      </c>
    </row>
    <row r="135" spans="1:82">
      <c r="A135" s="20" t="s">
        <v>1590</v>
      </c>
      <c r="B135" t="s">
        <v>1130</v>
      </c>
      <c r="C135" t="s">
        <v>319</v>
      </c>
      <c r="D135" t="s">
        <v>899</v>
      </c>
      <c r="E135" s="20" t="s">
        <v>1090</v>
      </c>
      <c r="F135" s="20" t="s">
        <v>120</v>
      </c>
      <c r="G135" s="20">
        <v>1</v>
      </c>
      <c r="H135" s="20">
        <v>0</v>
      </c>
      <c r="I135" s="21">
        <f>VLOOKUP($A135,tabCustoUnit[],COLUMN(CUSTO_GLOBAL[[#Headers],[Salário Base]])-2,0)*($G135-$H135)</f>
        <v>2316.2253000000001</v>
      </c>
      <c r="J135" s="21">
        <f>VLOOKUP($A135,tabCustoUnit[],COLUMN(CUSTO_GLOBAL[[#Headers],[Adicional Periculosidade]])-2,0)*($G135-$H135)</f>
        <v>0</v>
      </c>
      <c r="K135" s="21">
        <f>VLOOKUP($A135,tabCustoUnit[],COLUMN(CUSTO_GLOBAL[[#Headers],[Adicional Insalubridade]])-2,0)*($G135-$H135)</f>
        <v>0</v>
      </c>
      <c r="L135" s="21">
        <f>VLOOKUP($A135,tabCustoUnit[],COLUMN(CUSTO_GLOBAL[[#Headers],[Adicional Noturno]])-2,0)*($G135-$H135)</f>
        <v>0</v>
      </c>
      <c r="M135" s="21">
        <f>VLOOKUP($A135,tabCustoUnit[],COLUMN(CUSTO_GLOBAL[[#Headers],[Adicional Motorista II (Gratificação)]])-2,0)*($G135-$H135)</f>
        <v>0</v>
      </c>
      <c r="N135" s="21">
        <f>VLOOKUP($A135,tabCustoUnit[],COLUMN(CUSTO_GLOBAL[[#Headers],[Adicional de Sobreaviso]])-2,0)*($G135-$H135)</f>
        <v>0</v>
      </c>
      <c r="O135" s="21">
        <f>VLOOKUP($A135,tabCustoUnit[],COLUMN(CUSTO_GLOBAL[[#Headers],[Horas Extras TI]])-2,0)*($G135-$H135)</f>
        <v>0</v>
      </c>
      <c r="P135" s="21">
        <f>VLOOKUP($A135,tabCustoUnit[],COLUMN(CUSTO_GLOBAL[[#Headers],[Adicional de Acúmulo de função]])-2,0)*($G135-$H135)</f>
        <v>0</v>
      </c>
      <c r="Q135" s="21">
        <f>VLOOKUP($A135,tabCustoUnit[],COLUMN(CUSTO_GLOBAL[[#Headers],[MODULO 1 - REMUNERAÇÃO ]])-2,0)*($G135-$H135)</f>
        <v>2316.2253000000001</v>
      </c>
      <c r="R135" s="21">
        <f>VLOOKUP($A135,tabCustoUnit[],COLUMN(CUSTO_GLOBAL[[#Headers],[INSS]])-2,0)*($G135-$H135)</f>
        <v>463.24506000000002</v>
      </c>
      <c r="S135" s="21">
        <f>VLOOKUP($A135,tabCustoUnit[],COLUMN(CUSTO_GLOBAL[[#Headers],[SESI OU SESC]])-2,0)*($G135-$H135)</f>
        <v>34.743379499999996</v>
      </c>
      <c r="T135" s="21">
        <f>VLOOKUP($A135,tabCustoUnit[],COLUMN(CUSTO_GLOBAL[[#Headers],[SENAI OU SENAC]])-2,0)*($G135-$H135)</f>
        <v>23.162253</v>
      </c>
      <c r="U135" s="21">
        <f>VLOOKUP($A135,tabCustoUnit[],COLUMN(CUSTO_GLOBAL[[#Headers],[INCRA]])-2,0)*($G135-$H135)</f>
        <v>4.6324506000000003</v>
      </c>
      <c r="V135" s="21">
        <f>VLOOKUP($A135,tabCustoUnit[],COLUMN(CUSTO_GLOBAL[[#Headers],[Salário Educação]])-2,0)*($G135-$H135)</f>
        <v>57.905632500000003</v>
      </c>
      <c r="W135" s="21">
        <f>VLOOKUP($A135,tabCustoUnit[],COLUMN(CUSTO_GLOBAL[[#Headers],[FGTS]])-2,0)*($G135-$H135)</f>
        <v>185.298024</v>
      </c>
      <c r="X135" s="21">
        <f>VLOOKUP($A135,tabCustoUnit[],COLUMN(CUSTO_GLOBAL[[#Headers],[RAT Ajustado]])-2,0)*($G135-$H135)</f>
        <v>92.649011999999999</v>
      </c>
      <c r="Y135" s="21">
        <f>VLOOKUP($A135,tabCustoUnit[],COLUMN(CUSTO_GLOBAL[[#Headers],[SEBRAE]])-2,0)*($G135-$H135)</f>
        <v>13.897351800000001</v>
      </c>
      <c r="Z135" s="21">
        <f>VLOOKUP($A135,tabCustoUnit[],COLUMN(CUSTO_GLOBAL[[#Headers],[Submódulo 2.1]])-2,0)*($G135-$H135)</f>
        <v>875.53316340000003</v>
      </c>
      <c r="AA135" s="21">
        <f>VLOOKUP($A135,tabCustoUnit[],COLUMN(CUSTO_GLOBAL[[#Headers],[13º salário (titular)]])-2,0)*($G135-$H135)</f>
        <v>193.01877500000001</v>
      </c>
      <c r="AB135" s="21">
        <f>VLOOKUP($A135,tabCustoUnit[],COLUMN(CUSTO_GLOBAL[[#Headers],[Férias e Adicional de Férias (titular)]])-2,0)*($G135-$H135)</f>
        <v>257.35836666666665</v>
      </c>
      <c r="AC135" s="21">
        <f>VLOOKUP($A135,tabCustoUnit[],COLUMN(CUSTO_GLOBAL[[#Headers],[Incidência do Submódulo 2.1 sobre 13º Salário, Férias e Adicional de Férias]])-2,0)*($G135-$H135)</f>
        <v>170.24255955000001</v>
      </c>
      <c r="AD135" s="21">
        <f>VLOOKUP($A135,tabCustoUnit[],COLUMN(CUSTO_GLOBAL[[#Headers],[Submódulo 2.2]])-2,0)*($G135-$H135)</f>
        <v>620.61970121666673</v>
      </c>
      <c r="AE135" s="22" t="e">
        <f ca="1">VLOOKUP($A135,tabCustoUnit[],COLUMN(CUSTO_GLOBAL[[#Headers],[Vale - Transporte (Descontada parcela do empregado)]])-2,0)*($G135-$H135)</f>
        <v>#NAME?</v>
      </c>
      <c r="AF135" s="22">
        <f>VLOOKUP($A135,tabCustoUnit[],COLUMN(CUSTO_GLOBAL[[#Headers],[Vale - Alimentação (Descontada parcela do empregado)]])-2,0)*($G135-$H135)</f>
        <v>0</v>
      </c>
      <c r="AG135" s="22">
        <f>VLOOKUP($A135,tabCustoUnit[],COLUMN(CUSTO_GLOBAL[[#Headers],[Cesta Básica]])-2,0)*($G135-$H135)</f>
        <v>387.79</v>
      </c>
      <c r="AH135" s="22">
        <f>VLOOKUP($A135,tabCustoUnit[],COLUMN(CUSTO_GLOBAL[[#Headers],[PAF]])-2,0)*($G135-$H135)</f>
        <v>42.97</v>
      </c>
      <c r="AI135" s="22">
        <f>VLOOKUP($A135,tabCustoUnit[],COLUMN(CUSTO_GLOBAL[[#Headers],[PQM]])-2,0)*($G135-$H135)</f>
        <v>0</v>
      </c>
      <c r="AJ135" s="22">
        <v>0</v>
      </c>
      <c r="AK135" s="22">
        <f>VLOOKUP($A135,tabCustoUnit[],COLUMN(CUSTO_GLOBAL[[#Headers],[Seguro de Vida]])-2,0)*($G135-$H135)</f>
        <v>3.36</v>
      </c>
      <c r="AL135" s="22">
        <f>VLOOKUP($A135,tabCustoUnit[],COLUMN(CUSTO_GLOBAL[[#Headers],[Despesas de Viagem]])-2,0)*($G135-$H135)</f>
        <v>0</v>
      </c>
      <c r="AM135" s="22" t="e">
        <f ca="1">VLOOKUP($A135,tabCustoUnit[],COLUMN(CUSTO_GLOBAL[[#Headers],[Submódulo 2.3]])-2,0)*($G135-$H135)</f>
        <v>#NAME?</v>
      </c>
      <c r="AN135" s="22" t="e">
        <f ca="1">VLOOKUP($A135,tabCustoUnit[],COLUMN(CUSTO_GLOBAL[[#Headers],[MÓDULO 2 - Total Encargos e Benefícios mensais e diários]])-2,0)*($G135-$H135)</f>
        <v>#NAME?</v>
      </c>
      <c r="AO135" s="22">
        <f>VLOOKUP($A135,tabCustoUnit[],COLUMN(CUSTO_GLOBAL[[#Headers],[Aviso Prévio Indenizado (API) e Reflexo do Aviso Prévio Indenizado]])-2,0)*($G135-$H135)</f>
        <v>16.240832065914354</v>
      </c>
      <c r="AP135" s="22">
        <f>VLOOKUP($A135,tabCustoUnit[],COLUMN(CUSTO_GLOBAL[[#Headers],[Incidência do FGTS sobre API e Reflexo do API]])-2,0)*($G135-$H135)</f>
        <v>1.2992665652731483</v>
      </c>
      <c r="AQ135" s="22">
        <f>VLOOKUP($A135,tabCustoUnit[],COLUMN(CUSTO_GLOBAL[[#Headers],[Multa Rescisória do FGTS sobre o Aviso Prévio Indenizado]])-2,0)*($G135-$H135)</f>
        <v>0.51970662610925933</v>
      </c>
      <c r="AR135" s="22">
        <f>VLOOKUP($A135,tabCustoUnit[],COLUMN(CUSTO_GLOBAL[[#Headers],[Aviso Prévio Trabalhado - APT]])-2,0)*($G135-$H135)</f>
        <v>8.106788550000001</v>
      </c>
      <c r="AS135" s="22">
        <f>VLOOKUP($A135,tabCustoUnit[],COLUMN(CUSTO_GLOBAL[[#Headers],[Incidência dos encargos do submódulo 2.1 sobre Aviso Prévio Trabalhado]])-2,0)*($G135-$H135)</f>
        <v>3.0643660719000008</v>
      </c>
      <c r="AT135" s="22">
        <f>VLOOKUP($A135,tabCustoUnit[],COLUMN(CUSTO_GLOBAL[[#Headers],[Multa Rescisória do FGTS]])-2,0)*($G135-$H135)</f>
        <v>70.825022506666656</v>
      </c>
      <c r="AU135" s="22">
        <f>VLOOKUP($A135,tabCustoUnit[],COLUMN(CUSTO_GLOBAL[[#Headers],[Indenização Adicional (Art. 9º da Lei nº 7.238/84)]])-2,0)*($G135-$H135)</f>
        <v>1.9301877500000002</v>
      </c>
      <c r="AV135" s="22">
        <f>VLOOKUP($A135,tabCustoUnit[],COLUMN(CUSTO_GLOBAL[[#Headers],[MÓDULO 3 – PROVISÃO PARA RESCISÃO]])-2,0)*($G135-$H135)</f>
        <v>101.98617013586342</v>
      </c>
      <c r="AW135" s="22">
        <f>VLOOKUP($A135,tabCustoUnit[],COLUMN(CUSTO_GLOBAL[[#Headers],[Ausência por Doença]])-2,0)*($G135-$H135)</f>
        <v>19.559235866666665</v>
      </c>
      <c r="AX135" s="22">
        <f>VLOOKUP($A135,tabCustoUnit[],COLUMN(CUSTO_GLOBAL[[#Headers],[Ausências Legais]])-2,0)*($G135-$H135)</f>
        <v>4.6967901916666666</v>
      </c>
      <c r="AY135" s="22">
        <f>VLOOKUP($A135,tabCustoUnit[],COLUMN(CUSTO_GLOBAL[[#Headers],[Licença Paternidade]])-2,0)*($G135-$H135)</f>
        <v>0.39568848875000001</v>
      </c>
      <c r="AZ135" s="22">
        <f>VLOOKUP($A135,tabCustoUnit[],COLUMN(CUSTO_GLOBAL[[#Headers],[Ausência por Acidente de Trabalho]])-2,0)*($G135-$H135)</f>
        <v>0.48254693750000005</v>
      </c>
      <c r="BA135" s="22">
        <f>VLOOKUP($A135,tabCustoUnit[],COLUMN(CUSTO_GLOBAL[[#Headers],[Férias, Adicional de Férias e 13º  com empregada em gozo de Licença Maternidade]])-2,0)*($G135-$H135)</f>
        <v>3.0025142777777778</v>
      </c>
      <c r="BB135" s="22">
        <f>VLOOKUP($A135,tabCustoUnit[],COLUMN(CUSTO_GLOBAL[[#Headers],[Incidência do Submódulo 2.1 sobre Ausências Legais]])-2,0)*($G135-$H135)</f>
        <v>10.635701238172501</v>
      </c>
      <c r="BC135" s="22">
        <f>VLOOKUP($A135,tabCustoUnit[],COLUMN(CUSTO_GLOBAL[[#Headers],[Submódulo 4.1]])-2,0)*($G135-$H135)</f>
        <v>38.772477000533613</v>
      </c>
      <c r="BD135" s="22">
        <f>VLOOKUP($A135,tabCustoUnit[],COLUMN(CUSTO_GLOBAL[[#Headers],[Intervalo para Repouso ou Alimentação]])-2,0)*($G135-$H135)</f>
        <v>0</v>
      </c>
      <c r="BE135" s="22">
        <f>VLOOKUP($A135,tabCustoUnit[],COLUMN(CUSTO_GLOBAL[[#Headers],[Submódulo 4.2]])-2,0)*($G135-$H135)</f>
        <v>0</v>
      </c>
      <c r="BF135" s="22">
        <f>VLOOKUP($A135,tabCustoUnit[],COLUMN(CUSTO_GLOBAL[[#Headers],[Suspensão Temporária do Contrato de Trabalho]])-2,0)*($G135-$H135)</f>
        <v>0</v>
      </c>
      <c r="BG135" s="22">
        <f>VLOOKUP($A135,tabCustoUnit[],COLUMN(CUSTO_GLOBAL[[#Headers],[Submódulo 4.3]])-2,0)*($G135-$H135)</f>
        <v>0</v>
      </c>
      <c r="BH135" s="22">
        <f>VLOOKUP($A135,tabCustoUnit[],COLUMN(CUSTO_GLOBAL[[#Headers],[MÓDULO 4 – CUSTO DE REPOSIÇÃO DO PROFISSIONAL AUSENTE]])-2,0)*($G135-$H135)</f>
        <v>38.772477000533613</v>
      </c>
      <c r="BI135" s="22">
        <f>VLOOKUP($A135,tabCustoUnit[],COLUMN(CUSTO_GLOBAL[[#Headers],[Uniformes e EPIs]])-2,0)*($G135-$H135)</f>
        <v>56.642978962543395</v>
      </c>
      <c r="BJ135" s="22">
        <f>VLOOKUP($A135,tabCustoUnit[],COLUMN(CUSTO_GLOBAL[[#Headers],[Materiais de Consumo]])-2,0)*($G135-$H135)</f>
        <v>0</v>
      </c>
      <c r="BK135" s="22">
        <f>VLOOKUP($A135,tabCustoUnit[],COLUMN(CUSTO_GLOBAL[[#Headers],[Máquinas e Equipamentos (depreciação)]])-2,0)*($G135-$H135)</f>
        <v>0</v>
      </c>
      <c r="BL135" s="22">
        <f>VLOOKUP($A135,tabCustoUnit[],COLUMN(CUSTO_GLOBAL[[#Headers],[Produtos de Limpeza e Materiais de Higiene Pessoal]])-2,0)*($G135-$H135)</f>
        <v>0</v>
      </c>
      <c r="BM135" s="22">
        <f>VLOOKUP($A135,tabCustoUnit[],COLUMN(CUSTO_GLOBAL[[#Headers],[Outros (especificar)]])-2,0)*($G135-$H135)</f>
        <v>0</v>
      </c>
      <c r="BN135" s="22">
        <f>VLOOKUP($A135,tabCustoUnit[],COLUMN(CUSTO_GLOBAL[[#Headers],[MÓDULO 5 – INSUMOS DIVERSOS]])-2,0)*($G135-$H135)</f>
        <v>56.642978962543395</v>
      </c>
      <c r="BO135" s="22" t="e">
        <f ca="1">VLOOKUP($A135,tabCustoUnit[],COLUMN(CUSTO_GLOBAL[[#Headers],[TOTAL MÓDULOS 1+2+3+4+5]])-2,0)*($G135-$H135)</f>
        <v>#NAME?</v>
      </c>
      <c r="BP135" s="22" t="e">
        <f ca="1">VLOOKUP($A135,tabCustoUnit[],COLUMN(CUSTO_GLOBAL[[#Headers],[Custos Indiretos]])-2,0)*($G135-$H135)</f>
        <v>#NAME?</v>
      </c>
      <c r="BQ135" s="22" t="e">
        <f ca="1">VLOOKUP($A135,tabCustoUnit[],COLUMN(CUSTO_GLOBAL[[#Headers],[Lucro]])-2,0)*($G135-$H135)</f>
        <v>#NAME?</v>
      </c>
      <c r="BR135" s="26">
        <f>VLOOKUP($A135,tabCustoUnit[],COLUMN(CUSTO_GLOBAL[[#Headers],[COFINS]])-2,0)</f>
        <v>8.6609686609686695E-2</v>
      </c>
      <c r="BS135" s="26">
        <f>VLOOKUP($A135,tabCustoUnit[],COLUMN(CUSTO_GLOBAL[[#Headers],[PIS]])-2,0)</f>
        <v>1.880341880341882E-2</v>
      </c>
      <c r="BT135" s="28">
        <f>VLOOKUP($A135,tabCustoUnit[],COLUMN(CUSTO_GLOBAL[[#Headers],[ISS]])-2,0)</f>
        <v>0.03</v>
      </c>
      <c r="BU135" s="26">
        <f>VLOOKUP($A135,tabCustoUnit[],COLUMN(CUSTO_GLOBAL[[#Headers],[ISS (Conversão Alíquota s/ fatura)]])-2,0)</f>
        <v>3.4188034188034219E-2</v>
      </c>
      <c r="BV135" s="26">
        <f>VLOOKUP($A135,tabCustoUnit[],COLUMN(CUSTO_GLOBAL[[#Headers],[Resumo de Alíquotas (PIS+CONFINS+ISS)]])-2,0)</f>
        <v>0.1225</v>
      </c>
      <c r="BW135" s="138">
        <f>VLOOKUP($A135,tabCustoUnit[],COLUMN(CUSTO_GLOBAL[[#Headers],[PIS + COFINS + ISS (Total Conversão  Alíquota s/ Fatura)]])-2,0)</f>
        <v>0.13960113960113973</v>
      </c>
      <c r="BX135" s="22" t="e">
        <f ca="1">VLOOKUP($A135,tabCustoUnit[],COLUMN(CUSTO_GLOBAL[[#Headers],[Valor dos Tributos (ISS, PIS, CONFINS)]])-2,0)*($G135-$H135)</f>
        <v>#NAME?</v>
      </c>
      <c r="BY135" s="22" t="e">
        <f ca="1">VLOOKUP($A135,tabCustoUnit[],COLUMN(CUSTO_GLOBAL[[#Headers],[MÓDULO 6 – CUSTOS INDIRETOS, TRIBUTOS E LUCRO]])-2,0)*($G135-$H135)</f>
        <v>#NAME?</v>
      </c>
      <c r="BZ135" s="22" t="e">
        <f ca="1">VLOOKUP($A135,tabCustoUnit[],COLUMN(CUSTO_GLOBAL[[#Headers],[CUSTO TOTAL MENSAL]])-2,0)*($G135-$H135)</f>
        <v>#NAME?</v>
      </c>
      <c r="CA135" s="22" t="e">
        <f ca="1">CUSTO_GLOBAL[[#This Row],[CUSTO TOTAL MENSAL]]*12</f>
        <v>#NAME?</v>
      </c>
      <c r="CB135" s="24">
        <f>VLOOKUP($A135,tabCustoUnit[],COLUMN(CUSTO_GLOBAL[[#Headers],[ANO DA CCT]])-2,0)</f>
        <v>45658</v>
      </c>
      <c r="CC135" s="25" t="str">
        <f>VLOOKUP($A135,tabCustoUnit[],COLUMN(CUSTO_GLOBAL[[#Headers],[Nº DE PEDIDO DA CCT]])-2,0)</f>
        <v>-</v>
      </c>
      <c r="CD135" s="25" t="str">
        <f>VLOOKUP($A135,tabCustoUnit[],COLUMN(CUSTO_GLOBAL[[#Headers],[TERMO ADITIVO ALTERAÇÃO DA CCT]])-2,0)</f>
        <v>-</v>
      </c>
    </row>
    <row r="136" spans="1:82">
      <c r="A136" s="20" t="s">
        <v>1471</v>
      </c>
      <c r="B136" t="s">
        <v>1131</v>
      </c>
      <c r="C136" t="s">
        <v>200</v>
      </c>
      <c r="D136" t="s">
        <v>1041</v>
      </c>
      <c r="E136" s="20" t="s">
        <v>1090</v>
      </c>
      <c r="F136" s="20" t="s">
        <v>120</v>
      </c>
      <c r="G136" s="20">
        <v>1</v>
      </c>
      <c r="H136" s="20">
        <v>0</v>
      </c>
      <c r="I136" s="21">
        <f>VLOOKUP($A136,tabCustoUnit[],COLUMN(CUSTO_GLOBAL[[#Headers],[Salário Base]])-2,0)*($G136-$H136)</f>
        <v>1596.2737999999999</v>
      </c>
      <c r="J136" s="21">
        <f>VLOOKUP($A136,tabCustoUnit[],COLUMN(CUSTO_GLOBAL[[#Headers],[Adicional Periculosidade]])-2,0)*($G136-$H136)</f>
        <v>0</v>
      </c>
      <c r="K136" s="21">
        <f>VLOOKUP($A136,tabCustoUnit[],COLUMN(CUSTO_GLOBAL[[#Headers],[Adicional Insalubridade]])-2,0)*($G136-$H136)</f>
        <v>0</v>
      </c>
      <c r="L136" s="21">
        <f>VLOOKUP($A136,tabCustoUnit[],COLUMN(CUSTO_GLOBAL[[#Headers],[Adicional Noturno]])-2,0)*($G136-$H136)</f>
        <v>0</v>
      </c>
      <c r="M136" s="21">
        <f>VLOOKUP($A136,tabCustoUnit[],COLUMN(CUSTO_GLOBAL[[#Headers],[Adicional Motorista II (Gratificação)]])-2,0)*($G136-$H136)</f>
        <v>0</v>
      </c>
      <c r="N136" s="21">
        <f>VLOOKUP($A136,tabCustoUnit[],COLUMN(CUSTO_GLOBAL[[#Headers],[Adicional de Sobreaviso]])-2,0)*($G136-$H136)</f>
        <v>0</v>
      </c>
      <c r="O136" s="21">
        <f>VLOOKUP($A136,tabCustoUnit[],COLUMN(CUSTO_GLOBAL[[#Headers],[Horas Extras TI]])-2,0)*($G136-$H136)</f>
        <v>0</v>
      </c>
      <c r="P136" s="21">
        <f>VLOOKUP($A136,tabCustoUnit[],COLUMN(CUSTO_GLOBAL[[#Headers],[Adicional de Acúmulo de função]])-2,0)*($G136-$H136)</f>
        <v>0</v>
      </c>
      <c r="Q136" s="21">
        <f>VLOOKUP($A136,tabCustoUnit[],COLUMN(CUSTO_GLOBAL[[#Headers],[MODULO 1 - REMUNERAÇÃO ]])-2,0)*($G136-$H136)</f>
        <v>1596.2737999999999</v>
      </c>
      <c r="R136" s="21">
        <f>VLOOKUP($A136,tabCustoUnit[],COLUMN(CUSTO_GLOBAL[[#Headers],[INSS]])-2,0)*($G136-$H136)</f>
        <v>319.25476000000003</v>
      </c>
      <c r="S136" s="21">
        <f>VLOOKUP($A136,tabCustoUnit[],COLUMN(CUSTO_GLOBAL[[#Headers],[SESI OU SESC]])-2,0)*($G136-$H136)</f>
        <v>23.944106999999999</v>
      </c>
      <c r="T136" s="21">
        <f>VLOOKUP($A136,tabCustoUnit[],COLUMN(CUSTO_GLOBAL[[#Headers],[SENAI OU SENAC]])-2,0)*($G136-$H136)</f>
        <v>15.962738</v>
      </c>
      <c r="U136" s="21">
        <f>VLOOKUP($A136,tabCustoUnit[],COLUMN(CUSTO_GLOBAL[[#Headers],[INCRA]])-2,0)*($G136-$H136)</f>
        <v>3.1925476000000002</v>
      </c>
      <c r="V136" s="21">
        <f>VLOOKUP($A136,tabCustoUnit[],COLUMN(CUSTO_GLOBAL[[#Headers],[Salário Educação]])-2,0)*($G136-$H136)</f>
        <v>39.906845000000004</v>
      </c>
      <c r="W136" s="21">
        <f>VLOOKUP($A136,tabCustoUnit[],COLUMN(CUSTO_GLOBAL[[#Headers],[FGTS]])-2,0)*($G136-$H136)</f>
        <v>127.701904</v>
      </c>
      <c r="X136" s="21">
        <f>VLOOKUP($A136,tabCustoUnit[],COLUMN(CUSTO_GLOBAL[[#Headers],[RAT Ajustado]])-2,0)*($G136-$H136)</f>
        <v>63.850951999999999</v>
      </c>
      <c r="Y136" s="21">
        <f>VLOOKUP($A136,tabCustoUnit[],COLUMN(CUSTO_GLOBAL[[#Headers],[SEBRAE]])-2,0)*($G136-$H136)</f>
        <v>9.5776427999999996</v>
      </c>
      <c r="Z136" s="21">
        <f>VLOOKUP($A136,tabCustoUnit[],COLUMN(CUSTO_GLOBAL[[#Headers],[Submódulo 2.1]])-2,0)*($G136-$H136)</f>
        <v>603.39149640000005</v>
      </c>
      <c r="AA136" s="21">
        <f>VLOOKUP($A136,tabCustoUnit[],COLUMN(CUSTO_GLOBAL[[#Headers],[13º salário (titular)]])-2,0)*($G136-$H136)</f>
        <v>133.02281666666664</v>
      </c>
      <c r="AB136" s="21">
        <f>VLOOKUP($A136,tabCustoUnit[],COLUMN(CUSTO_GLOBAL[[#Headers],[Férias e Adicional de Férias (titular)]])-2,0)*($G136-$H136)</f>
        <v>177.36375555555554</v>
      </c>
      <c r="AC136" s="21">
        <f>VLOOKUP($A136,tabCustoUnit[],COLUMN(CUSTO_GLOBAL[[#Headers],[Incidência do Submódulo 2.1 sobre 13º Salário, Férias e Adicional de Férias]])-2,0)*($G136-$H136)</f>
        <v>117.3261243</v>
      </c>
      <c r="AD136" s="21">
        <f>VLOOKUP($A136,tabCustoUnit[],COLUMN(CUSTO_GLOBAL[[#Headers],[Submódulo 2.2]])-2,0)*($G136-$H136)</f>
        <v>427.71269652222219</v>
      </c>
      <c r="AE136" s="22" t="e">
        <f ca="1">VLOOKUP($A136,tabCustoUnit[],COLUMN(CUSTO_GLOBAL[[#Headers],[Vale - Transporte (Descontada parcela do empregado)]])-2,0)*($G136-$H136)</f>
        <v>#NAME?</v>
      </c>
      <c r="AF136" s="22">
        <f>VLOOKUP($A136,tabCustoUnit[],COLUMN(CUSTO_GLOBAL[[#Headers],[Vale - Alimentação (Descontada parcela do empregado)]])-2,0)*($G136-$H136)</f>
        <v>582</v>
      </c>
      <c r="AG136" s="22">
        <f>VLOOKUP($A136,tabCustoUnit[],COLUMN(CUSTO_GLOBAL[[#Headers],[Cesta Básica]])-2,0)*($G136-$H136)</f>
        <v>0</v>
      </c>
      <c r="AH136" s="22">
        <f>VLOOKUP($A136,tabCustoUnit[],COLUMN(CUSTO_GLOBAL[[#Headers],[PAF]])-2,0)*($G136-$H136)</f>
        <v>51.86</v>
      </c>
      <c r="AI136" s="22">
        <f>VLOOKUP($A136,tabCustoUnit[],COLUMN(CUSTO_GLOBAL[[#Headers],[PQM]])-2,0)*($G136-$H136)</f>
        <v>0</v>
      </c>
      <c r="AJ136" s="22">
        <v>0</v>
      </c>
      <c r="AK136" s="22">
        <f>VLOOKUP($A136,tabCustoUnit[],COLUMN(CUSTO_GLOBAL[[#Headers],[Seguro de Vida]])-2,0)*($G136-$H136)</f>
        <v>3.36</v>
      </c>
      <c r="AL136" s="22">
        <f>VLOOKUP($A136,tabCustoUnit[],COLUMN(CUSTO_GLOBAL[[#Headers],[Despesas de Viagem]])-2,0)*($G136-$H136)</f>
        <v>0</v>
      </c>
      <c r="AM136" s="22" t="e">
        <f ca="1">VLOOKUP($A136,tabCustoUnit[],COLUMN(CUSTO_GLOBAL[[#Headers],[Submódulo 2.3]])-2,0)*($G136-$H136)</f>
        <v>#NAME?</v>
      </c>
      <c r="AN136" s="22" t="e">
        <f ca="1">VLOOKUP($A136,tabCustoUnit[],COLUMN(CUSTO_GLOBAL[[#Headers],[MÓDULO 2 - Total Encargos e Benefícios mensais e diários]])-2,0)*($G136-$H136)</f>
        <v>#NAME?</v>
      </c>
      <c r="AO136" s="22">
        <f>VLOOKUP($A136,tabCustoUnit[],COLUMN(CUSTO_GLOBAL[[#Headers],[Aviso Prévio Indenizado (API) e Reflexo do Aviso Prévio Indenizado]])-2,0)*($G136-$H136)</f>
        <v>11.192699914390431</v>
      </c>
      <c r="AP136" s="22">
        <f>VLOOKUP($A136,tabCustoUnit[],COLUMN(CUSTO_GLOBAL[[#Headers],[Incidência do FGTS sobre API e Reflexo do API]])-2,0)*($G136-$H136)</f>
        <v>0.89541599315123466</v>
      </c>
      <c r="AQ136" s="22">
        <f>VLOOKUP($A136,tabCustoUnit[],COLUMN(CUSTO_GLOBAL[[#Headers],[Multa Rescisória do FGTS sobre o Aviso Prévio Indenizado]])-2,0)*($G136-$H136)</f>
        <v>0.35816639726049387</v>
      </c>
      <c r="AR136" s="22">
        <f>VLOOKUP($A136,tabCustoUnit[],COLUMN(CUSTO_GLOBAL[[#Headers],[Aviso Prévio Trabalhado - APT]])-2,0)*($G136-$H136)</f>
        <v>5.5869583000000009</v>
      </c>
      <c r="AS136" s="22">
        <f>VLOOKUP($A136,tabCustoUnit[],COLUMN(CUSTO_GLOBAL[[#Headers],[Incidência dos encargos do submódulo 2.1 sobre Aviso Prévio Trabalhado]])-2,0)*($G136-$H136)</f>
        <v>2.1118702374000007</v>
      </c>
      <c r="AT136" s="22">
        <f>VLOOKUP($A136,tabCustoUnit[],COLUMN(CUSTO_GLOBAL[[#Headers],[Multa Rescisória do FGTS]])-2,0)*($G136-$H136)</f>
        <v>48.810505528888882</v>
      </c>
      <c r="AU136" s="22">
        <f>VLOOKUP($A136,tabCustoUnit[],COLUMN(CUSTO_GLOBAL[[#Headers],[Indenização Adicional (Art. 9º da Lei nº 7.238/84)]])-2,0)*($G136-$H136)</f>
        <v>1.3302281666666667</v>
      </c>
      <c r="AV136" s="22">
        <f>VLOOKUP($A136,tabCustoUnit[],COLUMN(CUSTO_GLOBAL[[#Headers],[MÓDULO 3 – PROVISÃO PARA RESCISÃO]])-2,0)*($G136-$H136)</f>
        <v>70.285844537757711</v>
      </c>
      <c r="AW136" s="22">
        <f>VLOOKUP($A136,tabCustoUnit[],COLUMN(CUSTO_GLOBAL[[#Headers],[Ausência por Doença]])-2,0)*($G136-$H136)</f>
        <v>13.479645422222221</v>
      </c>
      <c r="AX136" s="22">
        <f>VLOOKUP($A136,tabCustoUnit[],COLUMN(CUSTO_GLOBAL[[#Headers],[Ausências Legais]])-2,0)*($G136-$H136)</f>
        <v>3.2368885388888886</v>
      </c>
      <c r="AY136" s="22">
        <f>VLOOKUP($A136,tabCustoUnit[],COLUMN(CUSTO_GLOBAL[[#Headers],[Licença Paternidade]])-2,0)*($G136-$H136)</f>
        <v>0.27269677416666666</v>
      </c>
      <c r="AZ136" s="22">
        <f>VLOOKUP($A136,tabCustoUnit[],COLUMN(CUSTO_GLOBAL[[#Headers],[Ausência por Acidente de Trabalho]])-2,0)*($G136-$H136)</f>
        <v>0.33255704166666666</v>
      </c>
      <c r="BA136" s="22">
        <f>VLOOKUP($A136,tabCustoUnit[],COLUMN(CUSTO_GLOBAL[[#Headers],[Férias, Adicional de Férias e 13º  com empregada em gozo de Licença Maternidade]])-2,0)*($G136-$H136)</f>
        <v>2.0692438148148145</v>
      </c>
      <c r="BB136" s="22">
        <f>VLOOKUP($A136,tabCustoUnit[],COLUMN(CUSTO_GLOBAL[[#Headers],[Incidência do Submódulo 2.1 sobre Ausências Legais]])-2,0)*($G136-$H136)</f>
        <v>7.3298099416850011</v>
      </c>
      <c r="BC136" s="22">
        <f>VLOOKUP($A136,tabCustoUnit[],COLUMN(CUSTO_GLOBAL[[#Headers],[Submódulo 4.1]])-2,0)*($G136-$H136)</f>
        <v>26.720841533444265</v>
      </c>
      <c r="BD136" s="22">
        <f>VLOOKUP($A136,tabCustoUnit[],COLUMN(CUSTO_GLOBAL[[#Headers],[Intervalo para Repouso ou Alimentação]])-2,0)*($G136-$H136)</f>
        <v>0</v>
      </c>
      <c r="BE136" s="22">
        <f>VLOOKUP($A136,tabCustoUnit[],COLUMN(CUSTO_GLOBAL[[#Headers],[Submódulo 4.2]])-2,0)*($G136-$H136)</f>
        <v>0</v>
      </c>
      <c r="BF136" s="22">
        <f>VLOOKUP($A136,tabCustoUnit[],COLUMN(CUSTO_GLOBAL[[#Headers],[Suspensão Temporária do Contrato de Trabalho]])-2,0)*($G136-$H136)</f>
        <v>0</v>
      </c>
      <c r="BG136" s="22">
        <f>VLOOKUP($A136,tabCustoUnit[],COLUMN(CUSTO_GLOBAL[[#Headers],[Submódulo 4.3]])-2,0)*($G136-$H136)</f>
        <v>0</v>
      </c>
      <c r="BH136" s="22">
        <f>VLOOKUP($A136,tabCustoUnit[],COLUMN(CUSTO_GLOBAL[[#Headers],[MÓDULO 4 – CUSTO DE REPOSIÇÃO DO PROFISSIONAL AUSENTE]])-2,0)*($G136-$H136)</f>
        <v>26.720841533444265</v>
      </c>
      <c r="BI136" s="22">
        <f>VLOOKUP($A136,tabCustoUnit[],COLUMN(CUSTO_GLOBAL[[#Headers],[Uniformes e EPIs]])-2,0)*($G136-$H136)</f>
        <v>56.141713661989918</v>
      </c>
      <c r="BJ136" s="22">
        <f>VLOOKUP($A136,tabCustoUnit[],COLUMN(CUSTO_GLOBAL[[#Headers],[Materiais de Consumo]])-2,0)*($G136-$H136)</f>
        <v>0</v>
      </c>
      <c r="BK136" s="22">
        <f>VLOOKUP($A136,tabCustoUnit[],COLUMN(CUSTO_GLOBAL[[#Headers],[Máquinas e Equipamentos (depreciação)]])-2,0)*($G136-$H136)</f>
        <v>0</v>
      </c>
      <c r="BL136" s="22">
        <f>VLOOKUP($A136,tabCustoUnit[],COLUMN(CUSTO_GLOBAL[[#Headers],[Produtos de Limpeza e Materiais de Higiene Pessoal]])-2,0)*($G136-$H136)</f>
        <v>0</v>
      </c>
      <c r="BM136" s="22">
        <f>VLOOKUP($A136,tabCustoUnit[],COLUMN(CUSTO_GLOBAL[[#Headers],[Outros (especificar)]])-2,0)*($G136-$H136)</f>
        <v>0</v>
      </c>
      <c r="BN136" s="22">
        <f>VLOOKUP($A136,tabCustoUnit[],COLUMN(CUSTO_GLOBAL[[#Headers],[MÓDULO 5 – INSUMOS DIVERSOS]])-2,0)*($G136-$H136)</f>
        <v>56.141713661989918</v>
      </c>
      <c r="BO136" s="22" t="e">
        <f ca="1">VLOOKUP($A136,tabCustoUnit[],COLUMN(CUSTO_GLOBAL[[#Headers],[TOTAL MÓDULOS 1+2+3+4+5]])-2,0)*($G136-$H136)</f>
        <v>#NAME?</v>
      </c>
      <c r="BP136" s="22" t="e">
        <f ca="1">VLOOKUP($A136,tabCustoUnit[],COLUMN(CUSTO_GLOBAL[[#Headers],[Custos Indiretos]])-2,0)*($G136-$H136)</f>
        <v>#NAME?</v>
      </c>
      <c r="BQ136" s="22" t="e">
        <f ca="1">VLOOKUP($A136,tabCustoUnit[],COLUMN(CUSTO_GLOBAL[[#Headers],[Lucro]])-2,0)*($G136-$H136)</f>
        <v>#NAME?</v>
      </c>
      <c r="BR136" s="26">
        <f>VLOOKUP($A136,tabCustoUnit[],COLUMN(CUSTO_GLOBAL[[#Headers],[COFINS]])-2,0)</f>
        <v>8.8629737609329504E-2</v>
      </c>
      <c r="BS136" s="26">
        <f>VLOOKUP($A136,tabCustoUnit[],COLUMN(CUSTO_GLOBAL[[#Headers],[PIS]])-2,0)</f>
        <v>1.9241982507288629E-2</v>
      </c>
      <c r="BT136" s="28">
        <f>VLOOKUP($A136,tabCustoUnit[],COLUMN(CUSTO_GLOBAL[[#Headers],[ISS]])-2,0)</f>
        <v>0.05</v>
      </c>
      <c r="BU136" s="26">
        <f>VLOOKUP($A136,tabCustoUnit[],COLUMN(CUSTO_GLOBAL[[#Headers],[ISS (Conversão Alíquota s/ fatura)]])-2,0)</f>
        <v>5.8309037900874633E-2</v>
      </c>
      <c r="BV136" s="26">
        <f>VLOOKUP($A136,tabCustoUnit[],COLUMN(CUSTO_GLOBAL[[#Headers],[Resumo de Alíquotas (PIS+CONFINS+ISS)]])-2,0)</f>
        <v>0.14250000000000002</v>
      </c>
      <c r="BW136" s="138">
        <f>VLOOKUP($A136,tabCustoUnit[],COLUMN(CUSTO_GLOBAL[[#Headers],[PIS + COFINS + ISS (Total Conversão  Alíquota s/ Fatura)]])-2,0)</f>
        <v>0.16618075801749277</v>
      </c>
      <c r="BX136" s="22" t="e">
        <f ca="1">VLOOKUP($A136,tabCustoUnit[],COLUMN(CUSTO_GLOBAL[[#Headers],[Valor dos Tributos (ISS, PIS, CONFINS)]])-2,0)*($G136-$H136)</f>
        <v>#NAME?</v>
      </c>
      <c r="BY136" s="22" t="e">
        <f ca="1">VLOOKUP($A136,tabCustoUnit[],COLUMN(CUSTO_GLOBAL[[#Headers],[MÓDULO 6 – CUSTOS INDIRETOS, TRIBUTOS E LUCRO]])-2,0)*($G136-$H136)</f>
        <v>#NAME?</v>
      </c>
      <c r="BZ136" s="22" t="e">
        <f ca="1">VLOOKUP($A136,tabCustoUnit[],COLUMN(CUSTO_GLOBAL[[#Headers],[CUSTO TOTAL MENSAL]])-2,0)*($G136-$H136)</f>
        <v>#NAME?</v>
      </c>
      <c r="CA136" s="22" t="e">
        <f ca="1">CUSTO_GLOBAL[[#This Row],[CUSTO TOTAL MENSAL]]*12</f>
        <v>#NAME?</v>
      </c>
      <c r="CB136" s="24">
        <f>VLOOKUP($A136,tabCustoUnit[],COLUMN(CUSTO_GLOBAL[[#Headers],[ANO DA CCT]])-2,0)</f>
        <v>45658</v>
      </c>
      <c r="CC136" s="25" t="str">
        <f>VLOOKUP($A136,tabCustoUnit[],COLUMN(CUSTO_GLOBAL[[#Headers],[Nº DE PEDIDO DA CCT]])-2,0)</f>
        <v>-</v>
      </c>
      <c r="CD136" s="25" t="str">
        <f>VLOOKUP($A136,tabCustoUnit[],COLUMN(CUSTO_GLOBAL[[#Headers],[TERMO ADITIVO ALTERAÇÃO DA CCT]])-2,0)</f>
        <v>-</v>
      </c>
    </row>
    <row r="137" spans="1:82">
      <c r="A137" s="20" t="s">
        <v>1591</v>
      </c>
      <c r="B137" t="s">
        <v>1131</v>
      </c>
      <c r="C137" t="s">
        <v>324</v>
      </c>
      <c r="D137" t="s">
        <v>1041</v>
      </c>
      <c r="E137" s="20" t="s">
        <v>1090</v>
      </c>
      <c r="F137" s="20" t="s">
        <v>120</v>
      </c>
      <c r="G137" s="20">
        <v>1</v>
      </c>
      <c r="H137" s="20">
        <v>0</v>
      </c>
      <c r="I137" s="21">
        <f>VLOOKUP($A137,tabCustoUnit[],COLUMN(CUSTO_GLOBAL[[#Headers],[Salário Base]])-2,0)*($G137-$H137)</f>
        <v>3397.1306</v>
      </c>
      <c r="J137" s="21">
        <f>VLOOKUP($A137,tabCustoUnit[],COLUMN(CUSTO_GLOBAL[[#Headers],[Adicional Periculosidade]])-2,0)*($G137-$H137)</f>
        <v>0</v>
      </c>
      <c r="K137" s="21">
        <f>VLOOKUP($A137,tabCustoUnit[],COLUMN(CUSTO_GLOBAL[[#Headers],[Adicional Insalubridade]])-2,0)*($G137-$H137)</f>
        <v>0</v>
      </c>
      <c r="L137" s="21">
        <f>VLOOKUP($A137,tabCustoUnit[],COLUMN(CUSTO_GLOBAL[[#Headers],[Adicional Noturno]])-2,0)*($G137-$H137)</f>
        <v>0</v>
      </c>
      <c r="M137" s="21">
        <f>VLOOKUP($A137,tabCustoUnit[],COLUMN(CUSTO_GLOBAL[[#Headers],[Adicional Motorista II (Gratificação)]])-2,0)*($G137-$H137)</f>
        <v>0</v>
      </c>
      <c r="N137" s="21">
        <f>VLOOKUP($A137,tabCustoUnit[],COLUMN(CUSTO_GLOBAL[[#Headers],[Adicional de Sobreaviso]])-2,0)*($G137-$H137)</f>
        <v>0</v>
      </c>
      <c r="O137" s="21">
        <f>VLOOKUP($A137,tabCustoUnit[],COLUMN(CUSTO_GLOBAL[[#Headers],[Horas Extras TI]])-2,0)*($G137-$H137)</f>
        <v>0</v>
      </c>
      <c r="P137" s="21">
        <f>VLOOKUP($A137,tabCustoUnit[],COLUMN(CUSTO_GLOBAL[[#Headers],[Adicional de Acúmulo de função]])-2,0)*($G137-$H137)</f>
        <v>0</v>
      </c>
      <c r="Q137" s="21">
        <f>VLOOKUP($A137,tabCustoUnit[],COLUMN(CUSTO_GLOBAL[[#Headers],[MODULO 1 - REMUNERAÇÃO ]])-2,0)*($G137-$H137)</f>
        <v>3397.1306</v>
      </c>
      <c r="R137" s="21">
        <f>VLOOKUP($A137,tabCustoUnit[],COLUMN(CUSTO_GLOBAL[[#Headers],[INSS]])-2,0)*($G137-$H137)</f>
        <v>679.42612000000008</v>
      </c>
      <c r="S137" s="21">
        <f>VLOOKUP($A137,tabCustoUnit[],COLUMN(CUSTO_GLOBAL[[#Headers],[SESI OU SESC]])-2,0)*($G137-$H137)</f>
        <v>50.956958999999998</v>
      </c>
      <c r="T137" s="21">
        <f>VLOOKUP($A137,tabCustoUnit[],COLUMN(CUSTO_GLOBAL[[#Headers],[SENAI OU SENAC]])-2,0)*($G137-$H137)</f>
        <v>33.971305999999998</v>
      </c>
      <c r="U137" s="21">
        <f>VLOOKUP($A137,tabCustoUnit[],COLUMN(CUSTO_GLOBAL[[#Headers],[INCRA]])-2,0)*($G137-$H137)</f>
        <v>6.7942612000000002</v>
      </c>
      <c r="V137" s="21">
        <f>VLOOKUP($A137,tabCustoUnit[],COLUMN(CUSTO_GLOBAL[[#Headers],[Salário Educação]])-2,0)*($G137-$H137)</f>
        <v>84.92826500000001</v>
      </c>
      <c r="W137" s="21">
        <f>VLOOKUP($A137,tabCustoUnit[],COLUMN(CUSTO_GLOBAL[[#Headers],[FGTS]])-2,0)*($G137-$H137)</f>
        <v>271.77044799999999</v>
      </c>
      <c r="X137" s="21">
        <f>VLOOKUP($A137,tabCustoUnit[],COLUMN(CUSTO_GLOBAL[[#Headers],[RAT Ajustado]])-2,0)*($G137-$H137)</f>
        <v>135.88522399999999</v>
      </c>
      <c r="Y137" s="21">
        <f>VLOOKUP($A137,tabCustoUnit[],COLUMN(CUSTO_GLOBAL[[#Headers],[SEBRAE]])-2,0)*($G137-$H137)</f>
        <v>20.3827836</v>
      </c>
      <c r="Z137" s="21">
        <f>VLOOKUP($A137,tabCustoUnit[],COLUMN(CUSTO_GLOBAL[[#Headers],[Submódulo 2.1]])-2,0)*($G137-$H137)</f>
        <v>1284.1153668000002</v>
      </c>
      <c r="AA137" s="21">
        <f>VLOOKUP($A137,tabCustoUnit[],COLUMN(CUSTO_GLOBAL[[#Headers],[13º salário (titular)]])-2,0)*($G137-$H137)</f>
        <v>283.09421666666663</v>
      </c>
      <c r="AB137" s="21">
        <f>VLOOKUP($A137,tabCustoUnit[],COLUMN(CUSTO_GLOBAL[[#Headers],[Férias e Adicional de Férias (titular)]])-2,0)*($G137-$H137)</f>
        <v>377.45895555555552</v>
      </c>
      <c r="AC137" s="21">
        <f>VLOOKUP($A137,tabCustoUnit[],COLUMN(CUSTO_GLOBAL[[#Headers],[Incidência do Submódulo 2.1 sobre 13º Salário, Férias e Adicional de Férias]])-2,0)*($G137-$H137)</f>
        <v>249.68909910000002</v>
      </c>
      <c r="AD137" s="21">
        <f>VLOOKUP($A137,tabCustoUnit[],COLUMN(CUSTO_GLOBAL[[#Headers],[Submódulo 2.2]])-2,0)*($G137-$H137)</f>
        <v>910.24227132222222</v>
      </c>
      <c r="AE137" s="22" t="e">
        <f ca="1">VLOOKUP($A137,tabCustoUnit[],COLUMN(CUSTO_GLOBAL[[#Headers],[Vale - Transporte (Descontada parcela do empregado)]])-2,0)*($G137-$H137)</f>
        <v>#NAME?</v>
      </c>
      <c r="AF137" s="22">
        <f>VLOOKUP($A137,tabCustoUnit[],COLUMN(CUSTO_GLOBAL[[#Headers],[Vale - Alimentação (Descontada parcela do empregado)]])-2,0)*($G137-$H137)</f>
        <v>582</v>
      </c>
      <c r="AG137" s="22">
        <f>VLOOKUP($A137,tabCustoUnit[],COLUMN(CUSTO_GLOBAL[[#Headers],[Cesta Básica]])-2,0)*($G137-$H137)</f>
        <v>0</v>
      </c>
      <c r="AH137" s="22">
        <f>VLOOKUP($A137,tabCustoUnit[],COLUMN(CUSTO_GLOBAL[[#Headers],[PAF]])-2,0)*($G137-$H137)</f>
        <v>51.86</v>
      </c>
      <c r="AI137" s="22">
        <f>VLOOKUP($A137,tabCustoUnit[],COLUMN(CUSTO_GLOBAL[[#Headers],[PQM]])-2,0)*($G137-$H137)</f>
        <v>0</v>
      </c>
      <c r="AJ137" s="22">
        <v>0</v>
      </c>
      <c r="AK137" s="22">
        <f>VLOOKUP($A137,tabCustoUnit[],COLUMN(CUSTO_GLOBAL[[#Headers],[Seguro de Vida]])-2,0)*($G137-$H137)</f>
        <v>3.36</v>
      </c>
      <c r="AL137" s="22">
        <f>VLOOKUP($A137,tabCustoUnit[],COLUMN(CUSTO_GLOBAL[[#Headers],[Despesas de Viagem]])-2,0)*($G137-$H137)</f>
        <v>0</v>
      </c>
      <c r="AM137" s="22" t="e">
        <f ca="1">VLOOKUP($A137,tabCustoUnit[],COLUMN(CUSTO_GLOBAL[[#Headers],[Submódulo 2.3]])-2,0)*($G137-$H137)</f>
        <v>#NAME?</v>
      </c>
      <c r="AN137" s="22" t="e">
        <f ca="1">VLOOKUP($A137,tabCustoUnit[],COLUMN(CUSTO_GLOBAL[[#Headers],[MÓDULO 2 - Total Encargos e Benefícios mensais e diários]])-2,0)*($G137-$H137)</f>
        <v>#NAME?</v>
      </c>
      <c r="AO137" s="22">
        <f>VLOOKUP($A137,tabCustoUnit[],COLUMN(CUSTO_GLOBAL[[#Headers],[Aviso Prévio Indenizado (API) e Reflexo do Aviso Prévio Indenizado]])-2,0)*($G137-$H137)</f>
        <v>23.819888151890432</v>
      </c>
      <c r="AP137" s="22">
        <f>VLOOKUP($A137,tabCustoUnit[],COLUMN(CUSTO_GLOBAL[[#Headers],[Incidência do FGTS sobre API e Reflexo do API]])-2,0)*($G137-$H137)</f>
        <v>1.9055910521512347</v>
      </c>
      <c r="AQ137" s="22">
        <f>VLOOKUP($A137,tabCustoUnit[],COLUMN(CUSTO_GLOBAL[[#Headers],[Multa Rescisória do FGTS sobre o Aviso Prévio Indenizado]])-2,0)*($G137-$H137)</f>
        <v>0.76223642086049392</v>
      </c>
      <c r="AR137" s="22">
        <f>VLOOKUP($A137,tabCustoUnit[],COLUMN(CUSTO_GLOBAL[[#Headers],[Aviso Prévio Trabalhado - APT]])-2,0)*($G137-$H137)</f>
        <v>11.889957100000002</v>
      </c>
      <c r="AS137" s="22">
        <f>VLOOKUP($A137,tabCustoUnit[],COLUMN(CUSTO_GLOBAL[[#Headers],[Incidência dos encargos do submódulo 2.1 sobre Aviso Prévio Trabalhado]])-2,0)*($G137-$H137)</f>
        <v>4.4944037838000011</v>
      </c>
      <c r="AT137" s="22">
        <f>VLOOKUP($A137,tabCustoUnit[],COLUMN(CUSTO_GLOBAL[[#Headers],[Multa Rescisória do FGTS]])-2,0)*($G137-$H137)</f>
        <v>103.87670456888887</v>
      </c>
      <c r="AU137" s="22">
        <f>VLOOKUP($A137,tabCustoUnit[],COLUMN(CUSTO_GLOBAL[[#Headers],[Indenização Adicional (Art. 9º da Lei nº 7.238/84)]])-2,0)*($G137-$H137)</f>
        <v>2.830942166666667</v>
      </c>
      <c r="AV137" s="22">
        <f>VLOOKUP($A137,tabCustoUnit[],COLUMN(CUSTO_GLOBAL[[#Headers],[MÓDULO 3 – PROVISÃO PARA RESCISÃO]])-2,0)*($G137-$H137)</f>
        <v>149.57972324425771</v>
      </c>
      <c r="AW137" s="22">
        <f>VLOOKUP($A137,tabCustoUnit[],COLUMN(CUSTO_GLOBAL[[#Headers],[Ausência por Doença]])-2,0)*($G137-$H137)</f>
        <v>28.686880622222219</v>
      </c>
      <c r="AX137" s="22">
        <f>VLOOKUP($A137,tabCustoUnit[],COLUMN(CUSTO_GLOBAL[[#Headers],[Ausências Legais]])-2,0)*($G137-$H137)</f>
        <v>6.8886259388888886</v>
      </c>
      <c r="AY137" s="22">
        <f>VLOOKUP($A137,tabCustoUnit[],COLUMN(CUSTO_GLOBAL[[#Headers],[Licença Paternidade]])-2,0)*($G137-$H137)</f>
        <v>0.58034314416666666</v>
      </c>
      <c r="AZ137" s="22">
        <f>VLOOKUP($A137,tabCustoUnit[],COLUMN(CUSTO_GLOBAL[[#Headers],[Ausência por Acidente de Trabalho]])-2,0)*($G137-$H137)</f>
        <v>0.70773554166666675</v>
      </c>
      <c r="BA137" s="22">
        <f>VLOOKUP($A137,tabCustoUnit[],COLUMN(CUSTO_GLOBAL[[#Headers],[Férias, Adicional de Férias e 13º  com empregada em gozo de Licença Maternidade]])-2,0)*($G137-$H137)</f>
        <v>4.4036878148148144</v>
      </c>
      <c r="BB137" s="22">
        <f>VLOOKUP($A137,tabCustoUnit[],COLUMN(CUSTO_GLOBAL[[#Headers],[Incidência do Submódulo 2.1 sobre Ausências Legais]])-2,0)*($G137-$H137)</f>
        <v>15.599029217345002</v>
      </c>
      <c r="BC137" s="22">
        <f>VLOOKUP($A137,tabCustoUnit[],COLUMN(CUSTO_GLOBAL[[#Headers],[Submódulo 4.1]])-2,0)*($G137-$H137)</f>
        <v>56.866302279104261</v>
      </c>
      <c r="BD137" s="22">
        <f>VLOOKUP($A137,tabCustoUnit[],COLUMN(CUSTO_GLOBAL[[#Headers],[Intervalo para Repouso ou Alimentação]])-2,0)*($G137-$H137)</f>
        <v>0</v>
      </c>
      <c r="BE137" s="22">
        <f>VLOOKUP($A137,tabCustoUnit[],COLUMN(CUSTO_GLOBAL[[#Headers],[Submódulo 4.2]])-2,0)*($G137-$H137)</f>
        <v>0</v>
      </c>
      <c r="BF137" s="22">
        <f>VLOOKUP($A137,tabCustoUnit[],COLUMN(CUSTO_GLOBAL[[#Headers],[Suspensão Temporária do Contrato de Trabalho]])-2,0)*($G137-$H137)</f>
        <v>0</v>
      </c>
      <c r="BG137" s="22">
        <f>VLOOKUP($A137,tabCustoUnit[],COLUMN(CUSTO_GLOBAL[[#Headers],[Submódulo 4.3]])-2,0)*($G137-$H137)</f>
        <v>0</v>
      </c>
      <c r="BH137" s="22">
        <f>VLOOKUP($A137,tabCustoUnit[],COLUMN(CUSTO_GLOBAL[[#Headers],[MÓDULO 4 – CUSTO DE REPOSIÇÃO DO PROFISSIONAL AUSENTE]])-2,0)*($G137-$H137)</f>
        <v>56.866302279104261</v>
      </c>
      <c r="BI137" s="22">
        <f>VLOOKUP($A137,tabCustoUnit[],COLUMN(CUSTO_GLOBAL[[#Headers],[Uniformes e EPIs]])-2,0)*($G137-$H137)</f>
        <v>56.642978962543395</v>
      </c>
      <c r="BJ137" s="22">
        <f>VLOOKUP($A137,tabCustoUnit[],COLUMN(CUSTO_GLOBAL[[#Headers],[Materiais de Consumo]])-2,0)*($G137-$H137)</f>
        <v>0</v>
      </c>
      <c r="BK137" s="22">
        <f>VLOOKUP($A137,tabCustoUnit[],COLUMN(CUSTO_GLOBAL[[#Headers],[Máquinas e Equipamentos (depreciação)]])-2,0)*($G137-$H137)</f>
        <v>0</v>
      </c>
      <c r="BL137" s="22">
        <f>VLOOKUP($A137,tabCustoUnit[],COLUMN(CUSTO_GLOBAL[[#Headers],[Produtos de Limpeza e Materiais de Higiene Pessoal]])-2,0)*($G137-$H137)</f>
        <v>0</v>
      </c>
      <c r="BM137" s="22">
        <f>VLOOKUP($A137,tabCustoUnit[],COLUMN(CUSTO_GLOBAL[[#Headers],[Outros (especificar)]])-2,0)*($G137-$H137)</f>
        <v>0</v>
      </c>
      <c r="BN137" s="22">
        <f>VLOOKUP($A137,tabCustoUnit[],COLUMN(CUSTO_GLOBAL[[#Headers],[MÓDULO 5 – INSUMOS DIVERSOS]])-2,0)*($G137-$H137)</f>
        <v>56.642978962543395</v>
      </c>
      <c r="BO137" s="22" t="e">
        <f ca="1">VLOOKUP($A137,tabCustoUnit[],COLUMN(CUSTO_GLOBAL[[#Headers],[TOTAL MÓDULOS 1+2+3+4+5]])-2,0)*($G137-$H137)</f>
        <v>#NAME?</v>
      </c>
      <c r="BP137" s="22" t="e">
        <f ca="1">VLOOKUP($A137,tabCustoUnit[],COLUMN(CUSTO_GLOBAL[[#Headers],[Custos Indiretos]])-2,0)*($G137-$H137)</f>
        <v>#NAME?</v>
      </c>
      <c r="BQ137" s="22" t="e">
        <f ca="1">VLOOKUP($A137,tabCustoUnit[],COLUMN(CUSTO_GLOBAL[[#Headers],[Lucro]])-2,0)*($G137-$H137)</f>
        <v>#NAME?</v>
      </c>
      <c r="BR137" s="26">
        <f>VLOOKUP($A137,tabCustoUnit[],COLUMN(CUSTO_GLOBAL[[#Headers],[COFINS]])-2,0)</f>
        <v>8.8629737609329504E-2</v>
      </c>
      <c r="BS137" s="26">
        <f>VLOOKUP($A137,tabCustoUnit[],COLUMN(CUSTO_GLOBAL[[#Headers],[PIS]])-2,0)</f>
        <v>1.9241982507288629E-2</v>
      </c>
      <c r="BT137" s="28">
        <f>VLOOKUP($A137,tabCustoUnit[],COLUMN(CUSTO_GLOBAL[[#Headers],[ISS]])-2,0)</f>
        <v>0.05</v>
      </c>
      <c r="BU137" s="26">
        <f>VLOOKUP($A137,tabCustoUnit[],COLUMN(CUSTO_GLOBAL[[#Headers],[ISS (Conversão Alíquota s/ fatura)]])-2,0)</f>
        <v>5.8309037900874633E-2</v>
      </c>
      <c r="BV137" s="26">
        <f>VLOOKUP($A137,tabCustoUnit[],COLUMN(CUSTO_GLOBAL[[#Headers],[Resumo de Alíquotas (PIS+CONFINS+ISS)]])-2,0)</f>
        <v>0.14250000000000002</v>
      </c>
      <c r="BW137" s="138">
        <f>VLOOKUP($A137,tabCustoUnit[],COLUMN(CUSTO_GLOBAL[[#Headers],[PIS + COFINS + ISS (Total Conversão  Alíquota s/ Fatura)]])-2,0)</f>
        <v>0.16618075801749277</v>
      </c>
      <c r="BX137" s="22" t="e">
        <f ca="1">VLOOKUP($A137,tabCustoUnit[],COLUMN(CUSTO_GLOBAL[[#Headers],[Valor dos Tributos (ISS, PIS, CONFINS)]])-2,0)*($G137-$H137)</f>
        <v>#NAME?</v>
      </c>
      <c r="BY137" s="22" t="e">
        <f ca="1">VLOOKUP($A137,tabCustoUnit[],COLUMN(CUSTO_GLOBAL[[#Headers],[MÓDULO 6 – CUSTOS INDIRETOS, TRIBUTOS E LUCRO]])-2,0)*($G137-$H137)</f>
        <v>#NAME?</v>
      </c>
      <c r="BZ137" s="22" t="e">
        <f ca="1">VLOOKUP($A137,tabCustoUnit[],COLUMN(CUSTO_GLOBAL[[#Headers],[CUSTO TOTAL MENSAL]])-2,0)*($G137-$H137)</f>
        <v>#NAME?</v>
      </c>
      <c r="CA137" s="22" t="e">
        <f ca="1">CUSTO_GLOBAL[[#This Row],[CUSTO TOTAL MENSAL]]*12</f>
        <v>#NAME?</v>
      </c>
      <c r="CB137" s="24">
        <f>VLOOKUP($A137,tabCustoUnit[],COLUMN(CUSTO_GLOBAL[[#Headers],[ANO DA CCT]])-2,0)</f>
        <v>45658</v>
      </c>
      <c r="CC137" s="25" t="str">
        <f>VLOOKUP($A137,tabCustoUnit[],COLUMN(CUSTO_GLOBAL[[#Headers],[Nº DE PEDIDO DA CCT]])-2,0)</f>
        <v>-</v>
      </c>
      <c r="CD137" s="25" t="str">
        <f>VLOOKUP($A137,tabCustoUnit[],COLUMN(CUSTO_GLOBAL[[#Headers],[TERMO ADITIVO ALTERAÇÃO DA CCT]])-2,0)</f>
        <v>-</v>
      </c>
    </row>
    <row r="138" spans="1:82">
      <c r="A138" s="20" t="s">
        <v>1592</v>
      </c>
      <c r="B138" t="s">
        <v>911</v>
      </c>
      <c r="C138" t="s">
        <v>324</v>
      </c>
      <c r="D138" t="s">
        <v>911</v>
      </c>
      <c r="E138" s="20" t="s">
        <v>1090</v>
      </c>
      <c r="F138" s="20" t="s">
        <v>120</v>
      </c>
      <c r="G138" s="20">
        <v>1</v>
      </c>
      <c r="H138" s="20">
        <v>0</v>
      </c>
      <c r="I138" s="21">
        <f>VLOOKUP($A138,tabCustoUnit[],COLUMN(CUSTO_GLOBAL[[#Headers],[Salário Base]])-2,0)*($G138-$H138)</f>
        <v>3397.1306</v>
      </c>
      <c r="J138" s="21">
        <f>VLOOKUP($A138,tabCustoUnit[],COLUMN(CUSTO_GLOBAL[[#Headers],[Adicional Periculosidade]])-2,0)*($G138-$H138)</f>
        <v>0</v>
      </c>
      <c r="K138" s="21">
        <f>VLOOKUP($A138,tabCustoUnit[],COLUMN(CUSTO_GLOBAL[[#Headers],[Adicional Insalubridade]])-2,0)*($G138-$H138)</f>
        <v>0</v>
      </c>
      <c r="L138" s="21">
        <f>VLOOKUP($A138,tabCustoUnit[],COLUMN(CUSTO_GLOBAL[[#Headers],[Adicional Noturno]])-2,0)*($G138-$H138)</f>
        <v>0</v>
      </c>
      <c r="M138" s="21">
        <f>VLOOKUP($A138,tabCustoUnit[],COLUMN(CUSTO_GLOBAL[[#Headers],[Adicional Motorista II (Gratificação)]])-2,0)*($G138-$H138)</f>
        <v>0</v>
      </c>
      <c r="N138" s="21">
        <f>VLOOKUP($A138,tabCustoUnit[],COLUMN(CUSTO_GLOBAL[[#Headers],[Adicional de Sobreaviso]])-2,0)*($G138-$H138)</f>
        <v>0</v>
      </c>
      <c r="O138" s="21">
        <f>VLOOKUP($A138,tabCustoUnit[],COLUMN(CUSTO_GLOBAL[[#Headers],[Horas Extras TI]])-2,0)*($G138-$H138)</f>
        <v>0</v>
      </c>
      <c r="P138" s="21">
        <f>VLOOKUP($A138,tabCustoUnit[],COLUMN(CUSTO_GLOBAL[[#Headers],[Adicional de Acúmulo de função]])-2,0)*($G138-$H138)</f>
        <v>0</v>
      </c>
      <c r="Q138" s="21">
        <f>VLOOKUP($A138,tabCustoUnit[],COLUMN(CUSTO_GLOBAL[[#Headers],[MODULO 1 - REMUNERAÇÃO ]])-2,0)*($G138-$H138)</f>
        <v>3397.1306</v>
      </c>
      <c r="R138" s="21">
        <f>VLOOKUP($A138,tabCustoUnit[],COLUMN(CUSTO_GLOBAL[[#Headers],[INSS]])-2,0)*($G138-$H138)</f>
        <v>679.42612000000008</v>
      </c>
      <c r="S138" s="21">
        <f>VLOOKUP($A138,tabCustoUnit[],COLUMN(CUSTO_GLOBAL[[#Headers],[SESI OU SESC]])-2,0)*($G138-$H138)</f>
        <v>50.956958999999998</v>
      </c>
      <c r="T138" s="21">
        <f>VLOOKUP($A138,tabCustoUnit[],COLUMN(CUSTO_GLOBAL[[#Headers],[SENAI OU SENAC]])-2,0)*($G138-$H138)</f>
        <v>33.971305999999998</v>
      </c>
      <c r="U138" s="21">
        <f>VLOOKUP($A138,tabCustoUnit[],COLUMN(CUSTO_GLOBAL[[#Headers],[INCRA]])-2,0)*($G138-$H138)</f>
        <v>6.7942612000000002</v>
      </c>
      <c r="V138" s="21">
        <f>VLOOKUP($A138,tabCustoUnit[],COLUMN(CUSTO_GLOBAL[[#Headers],[Salário Educação]])-2,0)*($G138-$H138)</f>
        <v>84.92826500000001</v>
      </c>
      <c r="W138" s="21">
        <f>VLOOKUP($A138,tabCustoUnit[],COLUMN(CUSTO_GLOBAL[[#Headers],[FGTS]])-2,0)*($G138-$H138)</f>
        <v>271.77044799999999</v>
      </c>
      <c r="X138" s="21">
        <f>VLOOKUP($A138,tabCustoUnit[],COLUMN(CUSTO_GLOBAL[[#Headers],[RAT Ajustado]])-2,0)*($G138-$H138)</f>
        <v>135.88522399999999</v>
      </c>
      <c r="Y138" s="21">
        <f>VLOOKUP($A138,tabCustoUnit[],COLUMN(CUSTO_GLOBAL[[#Headers],[SEBRAE]])-2,0)*($G138-$H138)</f>
        <v>20.3827836</v>
      </c>
      <c r="Z138" s="21">
        <f>VLOOKUP($A138,tabCustoUnit[],COLUMN(CUSTO_GLOBAL[[#Headers],[Submódulo 2.1]])-2,0)*($G138-$H138)</f>
        <v>1284.1153668000002</v>
      </c>
      <c r="AA138" s="21">
        <f>VLOOKUP($A138,tabCustoUnit[],COLUMN(CUSTO_GLOBAL[[#Headers],[13º salário (titular)]])-2,0)*($G138-$H138)</f>
        <v>283.09421666666663</v>
      </c>
      <c r="AB138" s="21">
        <f>VLOOKUP($A138,tabCustoUnit[],COLUMN(CUSTO_GLOBAL[[#Headers],[Férias e Adicional de Férias (titular)]])-2,0)*($G138-$H138)</f>
        <v>377.45895555555552</v>
      </c>
      <c r="AC138" s="21">
        <f>VLOOKUP($A138,tabCustoUnit[],COLUMN(CUSTO_GLOBAL[[#Headers],[Incidência do Submódulo 2.1 sobre 13º Salário, Férias e Adicional de Férias]])-2,0)*($G138-$H138)</f>
        <v>249.68909910000002</v>
      </c>
      <c r="AD138" s="21">
        <f>VLOOKUP($A138,tabCustoUnit[],COLUMN(CUSTO_GLOBAL[[#Headers],[Submódulo 2.2]])-2,0)*($G138-$H138)</f>
        <v>910.24227132222222</v>
      </c>
      <c r="AE138" s="22" t="e">
        <f ca="1">VLOOKUP($A138,tabCustoUnit[],COLUMN(CUSTO_GLOBAL[[#Headers],[Vale - Transporte (Descontada parcela do empregado)]])-2,0)*($G138-$H138)</f>
        <v>#NAME?</v>
      </c>
      <c r="AF138" s="22">
        <f>VLOOKUP($A138,tabCustoUnit[],COLUMN(CUSTO_GLOBAL[[#Headers],[Vale - Alimentação (Descontada parcela do empregado)]])-2,0)*($G138-$H138)</f>
        <v>582</v>
      </c>
      <c r="AG138" s="22">
        <f>VLOOKUP($A138,tabCustoUnit[],COLUMN(CUSTO_GLOBAL[[#Headers],[Cesta Básica]])-2,0)*($G138-$H138)</f>
        <v>0</v>
      </c>
      <c r="AH138" s="22">
        <f>VLOOKUP($A138,tabCustoUnit[],COLUMN(CUSTO_GLOBAL[[#Headers],[PAF]])-2,0)*($G138-$H138)</f>
        <v>51.74</v>
      </c>
      <c r="AI138" s="22">
        <f>VLOOKUP($A138,tabCustoUnit[],COLUMN(CUSTO_GLOBAL[[#Headers],[PQM]])-2,0)*($G138-$H138)</f>
        <v>0</v>
      </c>
      <c r="AJ138" s="22">
        <v>0</v>
      </c>
      <c r="AK138" s="22">
        <f>VLOOKUP($A138,tabCustoUnit[],COLUMN(CUSTO_GLOBAL[[#Headers],[Seguro de Vida]])-2,0)*($G138-$H138)</f>
        <v>3.36</v>
      </c>
      <c r="AL138" s="22">
        <f>VLOOKUP($A138,tabCustoUnit[],COLUMN(CUSTO_GLOBAL[[#Headers],[Despesas de Viagem]])-2,0)*($G138-$H138)</f>
        <v>0</v>
      </c>
      <c r="AM138" s="22" t="e">
        <f ca="1">VLOOKUP($A138,tabCustoUnit[],COLUMN(CUSTO_GLOBAL[[#Headers],[Submódulo 2.3]])-2,0)*($G138-$H138)</f>
        <v>#NAME?</v>
      </c>
      <c r="AN138" s="22" t="e">
        <f ca="1">VLOOKUP($A138,tabCustoUnit[],COLUMN(CUSTO_GLOBAL[[#Headers],[MÓDULO 2 - Total Encargos e Benefícios mensais e diários]])-2,0)*($G138-$H138)</f>
        <v>#NAME?</v>
      </c>
      <c r="AO138" s="22">
        <f>VLOOKUP($A138,tabCustoUnit[],COLUMN(CUSTO_GLOBAL[[#Headers],[Aviso Prévio Indenizado (API) e Reflexo do Aviso Prévio Indenizado]])-2,0)*($G138-$H138)</f>
        <v>23.819888151890432</v>
      </c>
      <c r="AP138" s="22">
        <f>VLOOKUP($A138,tabCustoUnit[],COLUMN(CUSTO_GLOBAL[[#Headers],[Incidência do FGTS sobre API e Reflexo do API]])-2,0)*($G138-$H138)</f>
        <v>1.9055910521512347</v>
      </c>
      <c r="AQ138" s="22">
        <f>VLOOKUP($A138,tabCustoUnit[],COLUMN(CUSTO_GLOBAL[[#Headers],[Multa Rescisória do FGTS sobre o Aviso Prévio Indenizado]])-2,0)*($G138-$H138)</f>
        <v>0.76223642086049392</v>
      </c>
      <c r="AR138" s="22">
        <f>VLOOKUP($A138,tabCustoUnit[],COLUMN(CUSTO_GLOBAL[[#Headers],[Aviso Prévio Trabalhado - APT]])-2,0)*($G138-$H138)</f>
        <v>11.889957100000002</v>
      </c>
      <c r="AS138" s="22">
        <f>VLOOKUP($A138,tabCustoUnit[],COLUMN(CUSTO_GLOBAL[[#Headers],[Incidência dos encargos do submódulo 2.1 sobre Aviso Prévio Trabalhado]])-2,0)*($G138-$H138)</f>
        <v>4.4944037838000011</v>
      </c>
      <c r="AT138" s="22">
        <f>VLOOKUP($A138,tabCustoUnit[],COLUMN(CUSTO_GLOBAL[[#Headers],[Multa Rescisória do FGTS]])-2,0)*($G138-$H138)</f>
        <v>103.87670456888887</v>
      </c>
      <c r="AU138" s="22">
        <f>VLOOKUP($A138,tabCustoUnit[],COLUMN(CUSTO_GLOBAL[[#Headers],[Indenização Adicional (Art. 9º da Lei nº 7.238/84)]])-2,0)*($G138-$H138)</f>
        <v>2.830942166666667</v>
      </c>
      <c r="AV138" s="22">
        <f>VLOOKUP($A138,tabCustoUnit[],COLUMN(CUSTO_GLOBAL[[#Headers],[MÓDULO 3 – PROVISÃO PARA RESCISÃO]])-2,0)*($G138-$H138)</f>
        <v>149.57972324425771</v>
      </c>
      <c r="AW138" s="22">
        <f>VLOOKUP($A138,tabCustoUnit[],COLUMN(CUSTO_GLOBAL[[#Headers],[Ausência por Doença]])-2,0)*($G138-$H138)</f>
        <v>28.686880622222219</v>
      </c>
      <c r="AX138" s="22">
        <f>VLOOKUP($A138,tabCustoUnit[],COLUMN(CUSTO_GLOBAL[[#Headers],[Ausências Legais]])-2,0)*($G138-$H138)</f>
        <v>6.8886259388888886</v>
      </c>
      <c r="AY138" s="22">
        <f>VLOOKUP($A138,tabCustoUnit[],COLUMN(CUSTO_GLOBAL[[#Headers],[Licença Paternidade]])-2,0)*($G138-$H138)</f>
        <v>0.58034314416666666</v>
      </c>
      <c r="AZ138" s="22">
        <f>VLOOKUP($A138,tabCustoUnit[],COLUMN(CUSTO_GLOBAL[[#Headers],[Ausência por Acidente de Trabalho]])-2,0)*($G138-$H138)</f>
        <v>0.70773554166666675</v>
      </c>
      <c r="BA138" s="22">
        <f>VLOOKUP($A138,tabCustoUnit[],COLUMN(CUSTO_GLOBAL[[#Headers],[Férias, Adicional de Férias e 13º  com empregada em gozo de Licença Maternidade]])-2,0)*($G138-$H138)</f>
        <v>4.4036878148148144</v>
      </c>
      <c r="BB138" s="22">
        <f>VLOOKUP($A138,tabCustoUnit[],COLUMN(CUSTO_GLOBAL[[#Headers],[Incidência do Submódulo 2.1 sobre Ausências Legais]])-2,0)*($G138-$H138)</f>
        <v>15.599029217345002</v>
      </c>
      <c r="BC138" s="22">
        <f>VLOOKUP($A138,tabCustoUnit[],COLUMN(CUSTO_GLOBAL[[#Headers],[Submódulo 4.1]])-2,0)*($G138-$H138)</f>
        <v>56.866302279104261</v>
      </c>
      <c r="BD138" s="22">
        <f>VLOOKUP($A138,tabCustoUnit[],COLUMN(CUSTO_GLOBAL[[#Headers],[Intervalo para Repouso ou Alimentação]])-2,0)*($G138-$H138)</f>
        <v>0</v>
      </c>
      <c r="BE138" s="22">
        <f>VLOOKUP($A138,tabCustoUnit[],COLUMN(CUSTO_GLOBAL[[#Headers],[Submódulo 4.2]])-2,0)*($G138-$H138)</f>
        <v>0</v>
      </c>
      <c r="BF138" s="22">
        <f>VLOOKUP($A138,tabCustoUnit[],COLUMN(CUSTO_GLOBAL[[#Headers],[Suspensão Temporária do Contrato de Trabalho]])-2,0)*($G138-$H138)</f>
        <v>0</v>
      </c>
      <c r="BG138" s="22">
        <f>VLOOKUP($A138,tabCustoUnit[],COLUMN(CUSTO_GLOBAL[[#Headers],[Submódulo 4.3]])-2,0)*($G138-$H138)</f>
        <v>0</v>
      </c>
      <c r="BH138" s="22">
        <f>VLOOKUP($A138,tabCustoUnit[],COLUMN(CUSTO_GLOBAL[[#Headers],[MÓDULO 4 – CUSTO DE REPOSIÇÃO DO PROFISSIONAL AUSENTE]])-2,0)*($G138-$H138)</f>
        <v>56.866302279104261</v>
      </c>
      <c r="BI138" s="22">
        <f>VLOOKUP($A138,tabCustoUnit[],COLUMN(CUSTO_GLOBAL[[#Headers],[Uniformes e EPIs]])-2,0)*($G138-$H138)</f>
        <v>56.642978962543395</v>
      </c>
      <c r="BJ138" s="22">
        <f>VLOOKUP($A138,tabCustoUnit[],COLUMN(CUSTO_GLOBAL[[#Headers],[Materiais de Consumo]])-2,0)*($G138-$H138)</f>
        <v>0</v>
      </c>
      <c r="BK138" s="22">
        <f>VLOOKUP($A138,tabCustoUnit[],COLUMN(CUSTO_GLOBAL[[#Headers],[Máquinas e Equipamentos (depreciação)]])-2,0)*($G138-$H138)</f>
        <v>0</v>
      </c>
      <c r="BL138" s="22">
        <f>VLOOKUP($A138,tabCustoUnit[],COLUMN(CUSTO_GLOBAL[[#Headers],[Produtos de Limpeza e Materiais de Higiene Pessoal]])-2,0)*($G138-$H138)</f>
        <v>0</v>
      </c>
      <c r="BM138" s="22">
        <f>VLOOKUP($A138,tabCustoUnit[],COLUMN(CUSTO_GLOBAL[[#Headers],[Outros (especificar)]])-2,0)*($G138-$H138)</f>
        <v>0</v>
      </c>
      <c r="BN138" s="22">
        <f>VLOOKUP($A138,tabCustoUnit[],COLUMN(CUSTO_GLOBAL[[#Headers],[MÓDULO 5 – INSUMOS DIVERSOS]])-2,0)*($G138-$H138)</f>
        <v>56.642978962543395</v>
      </c>
      <c r="BO138" s="22" t="e">
        <f ca="1">VLOOKUP($A138,tabCustoUnit[],COLUMN(CUSTO_GLOBAL[[#Headers],[TOTAL MÓDULOS 1+2+3+4+5]])-2,0)*($G138-$H138)</f>
        <v>#NAME?</v>
      </c>
      <c r="BP138" s="22" t="e">
        <f ca="1">VLOOKUP($A138,tabCustoUnit[],COLUMN(CUSTO_GLOBAL[[#Headers],[Custos Indiretos]])-2,0)*($G138-$H138)</f>
        <v>#NAME?</v>
      </c>
      <c r="BQ138" s="22" t="e">
        <f ca="1">VLOOKUP($A138,tabCustoUnit[],COLUMN(CUSTO_GLOBAL[[#Headers],[Lucro]])-2,0)*($G138-$H138)</f>
        <v>#NAME?</v>
      </c>
      <c r="BR138" s="26">
        <f>VLOOKUP($A138,tabCustoUnit[],COLUMN(CUSTO_GLOBAL[[#Headers],[COFINS]])-2,0)</f>
        <v>8.6609686609686695E-2</v>
      </c>
      <c r="BS138" s="26">
        <f>VLOOKUP($A138,tabCustoUnit[],COLUMN(CUSTO_GLOBAL[[#Headers],[PIS]])-2,0)</f>
        <v>1.880341880341882E-2</v>
      </c>
      <c r="BT138" s="28">
        <f>VLOOKUP($A138,tabCustoUnit[],COLUMN(CUSTO_GLOBAL[[#Headers],[ISS]])-2,0)</f>
        <v>0.03</v>
      </c>
      <c r="BU138" s="26">
        <f>VLOOKUP($A138,tabCustoUnit[],COLUMN(CUSTO_GLOBAL[[#Headers],[ISS (Conversão Alíquota s/ fatura)]])-2,0)</f>
        <v>3.4188034188034219E-2</v>
      </c>
      <c r="BV138" s="26">
        <f>VLOOKUP($A138,tabCustoUnit[],COLUMN(CUSTO_GLOBAL[[#Headers],[Resumo de Alíquotas (PIS+CONFINS+ISS)]])-2,0)</f>
        <v>0.1225</v>
      </c>
      <c r="BW138" s="138">
        <f>VLOOKUP($A138,tabCustoUnit[],COLUMN(CUSTO_GLOBAL[[#Headers],[PIS + COFINS + ISS (Total Conversão  Alíquota s/ Fatura)]])-2,0)</f>
        <v>0.13960113960113973</v>
      </c>
      <c r="BX138" s="22" t="e">
        <f ca="1">VLOOKUP($A138,tabCustoUnit[],COLUMN(CUSTO_GLOBAL[[#Headers],[Valor dos Tributos (ISS, PIS, CONFINS)]])-2,0)*($G138-$H138)</f>
        <v>#NAME?</v>
      </c>
      <c r="BY138" s="22" t="e">
        <f ca="1">VLOOKUP($A138,tabCustoUnit[],COLUMN(CUSTO_GLOBAL[[#Headers],[MÓDULO 6 – CUSTOS INDIRETOS, TRIBUTOS E LUCRO]])-2,0)*($G138-$H138)</f>
        <v>#NAME?</v>
      </c>
      <c r="BZ138" s="22" t="e">
        <f ca="1">VLOOKUP($A138,tabCustoUnit[],COLUMN(CUSTO_GLOBAL[[#Headers],[CUSTO TOTAL MENSAL]])-2,0)*($G138-$H138)</f>
        <v>#NAME?</v>
      </c>
      <c r="CA138" s="22" t="e">
        <f ca="1">CUSTO_GLOBAL[[#This Row],[CUSTO TOTAL MENSAL]]*12</f>
        <v>#NAME?</v>
      </c>
      <c r="CB138" s="24">
        <f>VLOOKUP($A138,tabCustoUnit[],COLUMN(CUSTO_GLOBAL[[#Headers],[ANO DA CCT]])-2,0)</f>
        <v>45658</v>
      </c>
      <c r="CC138" s="25" t="str">
        <f>VLOOKUP($A138,tabCustoUnit[],COLUMN(CUSTO_GLOBAL[[#Headers],[Nº DE PEDIDO DA CCT]])-2,0)</f>
        <v>-</v>
      </c>
      <c r="CD138" s="25" t="str">
        <f>VLOOKUP($A138,tabCustoUnit[],COLUMN(CUSTO_GLOBAL[[#Headers],[TERMO ADITIVO ALTERAÇÃO DA CCT]])-2,0)</f>
        <v>-</v>
      </c>
    </row>
    <row r="139" spans="1:82">
      <c r="A139" s="20" t="s">
        <v>1593</v>
      </c>
      <c r="B139" t="s">
        <v>1132</v>
      </c>
      <c r="C139" t="s">
        <v>274</v>
      </c>
      <c r="D139" t="s">
        <v>988</v>
      </c>
      <c r="E139" s="20" t="s">
        <v>1090</v>
      </c>
      <c r="F139" s="20" t="s">
        <v>120</v>
      </c>
      <c r="G139" s="20">
        <v>1</v>
      </c>
      <c r="H139" s="20">
        <v>0</v>
      </c>
      <c r="I139" s="21">
        <f>VLOOKUP($A139,tabCustoUnit[],COLUMN(CUSTO_GLOBAL[[#Headers],[Salário Base]])-2,0)*($G139-$H139)</f>
        <v>4380.5668999999998</v>
      </c>
      <c r="J139" s="21">
        <f>VLOOKUP($A139,tabCustoUnit[],COLUMN(CUSTO_GLOBAL[[#Headers],[Adicional Periculosidade]])-2,0)*($G139-$H139)</f>
        <v>0</v>
      </c>
      <c r="K139" s="21">
        <f>VLOOKUP($A139,tabCustoUnit[],COLUMN(CUSTO_GLOBAL[[#Headers],[Adicional Insalubridade]])-2,0)*($G139-$H139)</f>
        <v>0</v>
      </c>
      <c r="L139" s="21">
        <f>VLOOKUP($A139,tabCustoUnit[],COLUMN(CUSTO_GLOBAL[[#Headers],[Adicional Noturno]])-2,0)*($G139-$H139)</f>
        <v>0</v>
      </c>
      <c r="M139" s="21">
        <f>VLOOKUP($A139,tabCustoUnit[],COLUMN(CUSTO_GLOBAL[[#Headers],[Adicional Motorista II (Gratificação)]])-2,0)*($G139-$H139)</f>
        <v>0</v>
      </c>
      <c r="N139" s="21">
        <f>VLOOKUP($A139,tabCustoUnit[],COLUMN(CUSTO_GLOBAL[[#Headers],[Adicional de Sobreaviso]])-2,0)*($G139-$H139)</f>
        <v>0</v>
      </c>
      <c r="O139" s="21">
        <f>VLOOKUP($A139,tabCustoUnit[],COLUMN(CUSTO_GLOBAL[[#Headers],[Horas Extras TI]])-2,0)*($G139-$H139)</f>
        <v>0</v>
      </c>
      <c r="P139" s="21">
        <f>VLOOKUP($A139,tabCustoUnit[],COLUMN(CUSTO_GLOBAL[[#Headers],[Adicional de Acúmulo de função]])-2,0)*($G139-$H139)</f>
        <v>0</v>
      </c>
      <c r="Q139" s="21">
        <f>VLOOKUP($A139,tabCustoUnit[],COLUMN(CUSTO_GLOBAL[[#Headers],[MODULO 1 - REMUNERAÇÃO ]])-2,0)*($G139-$H139)</f>
        <v>4380.5668999999998</v>
      </c>
      <c r="R139" s="21">
        <f>VLOOKUP($A139,tabCustoUnit[],COLUMN(CUSTO_GLOBAL[[#Headers],[INSS]])-2,0)*($G139-$H139)</f>
        <v>876.11338000000001</v>
      </c>
      <c r="S139" s="21">
        <f>VLOOKUP($A139,tabCustoUnit[],COLUMN(CUSTO_GLOBAL[[#Headers],[SESI OU SESC]])-2,0)*($G139-$H139)</f>
        <v>65.708503499999992</v>
      </c>
      <c r="T139" s="21">
        <f>VLOOKUP($A139,tabCustoUnit[],COLUMN(CUSTO_GLOBAL[[#Headers],[SENAI OU SENAC]])-2,0)*($G139-$H139)</f>
        <v>43.805669000000002</v>
      </c>
      <c r="U139" s="21">
        <f>VLOOKUP($A139,tabCustoUnit[],COLUMN(CUSTO_GLOBAL[[#Headers],[INCRA]])-2,0)*($G139-$H139)</f>
        <v>8.7611337999999996</v>
      </c>
      <c r="V139" s="21">
        <f>VLOOKUP($A139,tabCustoUnit[],COLUMN(CUSTO_GLOBAL[[#Headers],[Salário Educação]])-2,0)*($G139-$H139)</f>
        <v>109.5141725</v>
      </c>
      <c r="W139" s="21">
        <f>VLOOKUP($A139,tabCustoUnit[],COLUMN(CUSTO_GLOBAL[[#Headers],[FGTS]])-2,0)*($G139-$H139)</f>
        <v>350.44535200000001</v>
      </c>
      <c r="X139" s="21">
        <f>VLOOKUP($A139,tabCustoUnit[],COLUMN(CUSTO_GLOBAL[[#Headers],[RAT Ajustado]])-2,0)*($G139-$H139)</f>
        <v>175.22267600000001</v>
      </c>
      <c r="Y139" s="21">
        <f>VLOOKUP($A139,tabCustoUnit[],COLUMN(CUSTO_GLOBAL[[#Headers],[SEBRAE]])-2,0)*($G139-$H139)</f>
        <v>26.283401399999999</v>
      </c>
      <c r="Z139" s="21">
        <f>VLOOKUP($A139,tabCustoUnit[],COLUMN(CUSTO_GLOBAL[[#Headers],[Submódulo 2.1]])-2,0)*($G139-$H139)</f>
        <v>1655.8542882000002</v>
      </c>
      <c r="AA139" s="21">
        <f>VLOOKUP($A139,tabCustoUnit[],COLUMN(CUSTO_GLOBAL[[#Headers],[13º salário (titular)]])-2,0)*($G139-$H139)</f>
        <v>365.04724166666665</v>
      </c>
      <c r="AB139" s="21">
        <f>VLOOKUP($A139,tabCustoUnit[],COLUMN(CUSTO_GLOBAL[[#Headers],[Férias e Adicional de Férias (titular)]])-2,0)*($G139-$H139)</f>
        <v>486.7296555555555</v>
      </c>
      <c r="AC139" s="21">
        <f>VLOOKUP($A139,tabCustoUnit[],COLUMN(CUSTO_GLOBAL[[#Headers],[Incidência do Submódulo 2.1 sobre 13º Salário, Férias e Adicional de Férias]])-2,0)*($G139-$H139)</f>
        <v>321.97166715000003</v>
      </c>
      <c r="AD139" s="21">
        <f>VLOOKUP($A139,tabCustoUnit[],COLUMN(CUSTO_GLOBAL[[#Headers],[Submódulo 2.2]])-2,0)*($G139-$H139)</f>
        <v>1173.7485643722221</v>
      </c>
      <c r="AE139" s="22" t="e">
        <f ca="1">VLOOKUP($A139,tabCustoUnit[],COLUMN(CUSTO_GLOBAL[[#Headers],[Vale - Transporte (Descontada parcela do empregado)]])-2,0)*($G139-$H139)</f>
        <v>#NAME?</v>
      </c>
      <c r="AF139" s="22">
        <f>VLOOKUP($A139,tabCustoUnit[],COLUMN(CUSTO_GLOBAL[[#Headers],[Vale - Alimentação (Descontada parcela do empregado)]])-2,0)*($G139-$H139)</f>
        <v>578.4</v>
      </c>
      <c r="AG139" s="22">
        <f>VLOOKUP($A139,tabCustoUnit[],COLUMN(CUSTO_GLOBAL[[#Headers],[Cesta Básica]])-2,0)*($G139-$H139)</f>
        <v>0</v>
      </c>
      <c r="AH139" s="22">
        <f>VLOOKUP($A139,tabCustoUnit[],COLUMN(CUSTO_GLOBAL[[#Headers],[PAF]])-2,0)*($G139-$H139)</f>
        <v>0</v>
      </c>
      <c r="AI139" s="22">
        <f>VLOOKUP($A139,tabCustoUnit[],COLUMN(CUSTO_GLOBAL[[#Headers],[PQM]])-2,0)*($G139-$H139)</f>
        <v>0</v>
      </c>
      <c r="AJ139" s="22">
        <v>0</v>
      </c>
      <c r="AK139" s="22">
        <f>VLOOKUP($A139,tabCustoUnit[],COLUMN(CUSTO_GLOBAL[[#Headers],[Seguro de Vida]])-2,0)*($G139-$H139)</f>
        <v>3.36</v>
      </c>
      <c r="AL139" s="22">
        <f>VLOOKUP($A139,tabCustoUnit[],COLUMN(CUSTO_GLOBAL[[#Headers],[Despesas de Viagem]])-2,0)*($G139-$H139)</f>
        <v>662.42</v>
      </c>
      <c r="AM139" s="22" t="e">
        <f ca="1">VLOOKUP($A139,tabCustoUnit[],COLUMN(CUSTO_GLOBAL[[#Headers],[Submódulo 2.3]])-2,0)*($G139-$H139)</f>
        <v>#NAME?</v>
      </c>
      <c r="AN139" s="22" t="e">
        <f ca="1">VLOOKUP($A139,tabCustoUnit[],COLUMN(CUSTO_GLOBAL[[#Headers],[MÓDULO 2 - Total Encargos e Benefícios mensais e diários]])-2,0)*($G139-$H139)</f>
        <v>#NAME?</v>
      </c>
      <c r="AO139" s="22">
        <f>VLOOKUP($A139,tabCustoUnit[],COLUMN(CUSTO_GLOBAL[[#Headers],[Aviso Prévio Indenizado (API) e Reflexo do Aviso Prévio Indenizado]])-2,0)*($G139-$H139)</f>
        <v>30.715514322550153</v>
      </c>
      <c r="AP139" s="22">
        <f>VLOOKUP($A139,tabCustoUnit[],COLUMN(CUSTO_GLOBAL[[#Headers],[Incidência do FGTS sobre API e Reflexo do API]])-2,0)*($G139-$H139)</f>
        <v>2.4572411458040126</v>
      </c>
      <c r="AQ139" s="22">
        <f>VLOOKUP($A139,tabCustoUnit[],COLUMN(CUSTO_GLOBAL[[#Headers],[Multa Rescisória do FGTS sobre o Aviso Prévio Indenizado]])-2,0)*($G139-$H139)</f>
        <v>0.9828964583216051</v>
      </c>
      <c r="AR139" s="22">
        <f>VLOOKUP($A139,tabCustoUnit[],COLUMN(CUSTO_GLOBAL[[#Headers],[Aviso Prévio Trabalhado - APT]])-2,0)*($G139-$H139)</f>
        <v>15.331984150000002</v>
      </c>
      <c r="AS139" s="22">
        <f>VLOOKUP($A139,tabCustoUnit[],COLUMN(CUSTO_GLOBAL[[#Headers],[Incidência dos encargos do submódulo 2.1 sobre Aviso Prévio Trabalhado]])-2,0)*($G139-$H139)</f>
        <v>5.7954900087000016</v>
      </c>
      <c r="AT139" s="22">
        <f>VLOOKUP($A139,tabCustoUnit[],COLUMN(CUSTO_GLOBAL[[#Headers],[Multa Rescisória do FGTS]])-2,0)*($G139-$H139)</f>
        <v>133.94800120888885</v>
      </c>
      <c r="AU139" s="22">
        <f>VLOOKUP($A139,tabCustoUnit[],COLUMN(CUSTO_GLOBAL[[#Headers],[Indenização Adicional (Art. 9º da Lei nº 7.238/84)]])-2,0)*($G139-$H139)</f>
        <v>3.6504724166666667</v>
      </c>
      <c r="AV139" s="22">
        <f>VLOOKUP($A139,tabCustoUnit[],COLUMN(CUSTO_GLOBAL[[#Headers],[MÓDULO 3 – PROVISÃO PARA RESCISÃO]])-2,0)*($G139-$H139)</f>
        <v>192.88159971093131</v>
      </c>
      <c r="AW139" s="22">
        <f>VLOOKUP($A139,tabCustoUnit[],COLUMN(CUSTO_GLOBAL[[#Headers],[Ausência por Doença]])-2,0)*($G139-$H139)</f>
        <v>36.991453822222219</v>
      </c>
      <c r="AX139" s="22">
        <f>VLOOKUP($A139,tabCustoUnit[],COLUMN(CUSTO_GLOBAL[[#Headers],[Ausências Legais]])-2,0)*($G139-$H139)</f>
        <v>8.8828162138888871</v>
      </c>
      <c r="AY139" s="22">
        <f>VLOOKUP($A139,tabCustoUnit[],COLUMN(CUSTO_GLOBAL[[#Headers],[Licença Paternidade]])-2,0)*($G139-$H139)</f>
        <v>0.74834684541666663</v>
      </c>
      <c r="AZ139" s="22">
        <f>VLOOKUP($A139,tabCustoUnit[],COLUMN(CUSTO_GLOBAL[[#Headers],[Ausência por Acidente de Trabalho]])-2,0)*($G139-$H139)</f>
        <v>0.91261810416666667</v>
      </c>
      <c r="BA139" s="22">
        <f>VLOOKUP($A139,tabCustoUnit[],COLUMN(CUSTO_GLOBAL[[#Headers],[Férias, Adicional de Férias e 13º  com empregada em gozo de Licença Maternidade]])-2,0)*($G139-$H139)</f>
        <v>5.678512648148148</v>
      </c>
      <c r="BB139" s="22">
        <f>VLOOKUP($A139,tabCustoUnit[],COLUMN(CUSTO_GLOBAL[[#Headers],[Incidência do Submódulo 2.1 sobre Ausências Legais]])-2,0)*($G139-$H139)</f>
        <v>20.114796605592502</v>
      </c>
      <c r="BC139" s="22">
        <f>VLOOKUP($A139,tabCustoUnit[],COLUMN(CUSTO_GLOBAL[[#Headers],[Submódulo 4.1]])-2,0)*($G139-$H139)</f>
        <v>73.328544239435104</v>
      </c>
      <c r="BD139" s="22">
        <f>VLOOKUP($A139,tabCustoUnit[],COLUMN(CUSTO_GLOBAL[[#Headers],[Intervalo para Repouso ou Alimentação]])-2,0)*($G139-$H139)</f>
        <v>0</v>
      </c>
      <c r="BE139" s="22">
        <f>VLOOKUP($A139,tabCustoUnit[],COLUMN(CUSTO_GLOBAL[[#Headers],[Submódulo 4.2]])-2,0)*($G139-$H139)</f>
        <v>0</v>
      </c>
      <c r="BF139" s="22">
        <f>VLOOKUP($A139,tabCustoUnit[],COLUMN(CUSTO_GLOBAL[[#Headers],[Suspensão Temporária do Contrato de Trabalho]])-2,0)*($G139-$H139)</f>
        <v>0</v>
      </c>
      <c r="BG139" s="22">
        <f>VLOOKUP($A139,tabCustoUnit[],COLUMN(CUSTO_GLOBAL[[#Headers],[Submódulo 4.3]])-2,0)*($G139-$H139)</f>
        <v>0</v>
      </c>
      <c r="BH139" s="22">
        <f>VLOOKUP($A139,tabCustoUnit[],COLUMN(CUSTO_GLOBAL[[#Headers],[MÓDULO 4 – CUSTO DE REPOSIÇÃO DO PROFISSIONAL AUSENTE]])-2,0)*($G139-$H139)</f>
        <v>73.328544239435104</v>
      </c>
      <c r="BI139" s="22">
        <f>VLOOKUP($A139,tabCustoUnit[],COLUMN(CUSTO_GLOBAL[[#Headers],[Uniformes e EPIs]])-2,0)*($G139-$H139)</f>
        <v>92.100763771570698</v>
      </c>
      <c r="BJ139" s="22">
        <f>VLOOKUP($A139,tabCustoUnit[],COLUMN(CUSTO_GLOBAL[[#Headers],[Materiais de Consumo]])-2,0)*($G139-$H139)</f>
        <v>0</v>
      </c>
      <c r="BK139" s="22">
        <f>VLOOKUP($A139,tabCustoUnit[],COLUMN(CUSTO_GLOBAL[[#Headers],[Máquinas e Equipamentos (depreciação)]])-2,0)*($G139-$H139)</f>
        <v>0</v>
      </c>
      <c r="BL139" s="22">
        <f>VLOOKUP($A139,tabCustoUnit[],COLUMN(CUSTO_GLOBAL[[#Headers],[Produtos de Limpeza e Materiais de Higiene Pessoal]])-2,0)*($G139-$H139)</f>
        <v>0</v>
      </c>
      <c r="BM139" s="22">
        <f>VLOOKUP($A139,tabCustoUnit[],COLUMN(CUSTO_GLOBAL[[#Headers],[Outros (especificar)]])-2,0)*($G139-$H139)</f>
        <v>0</v>
      </c>
      <c r="BN139" s="22">
        <f>VLOOKUP($A139,tabCustoUnit[],COLUMN(CUSTO_GLOBAL[[#Headers],[MÓDULO 5 – INSUMOS DIVERSOS]])-2,0)*($G139-$H139)</f>
        <v>92.100763771570698</v>
      </c>
      <c r="BO139" s="22" t="e">
        <f ca="1">VLOOKUP($A139,tabCustoUnit[],COLUMN(CUSTO_GLOBAL[[#Headers],[TOTAL MÓDULOS 1+2+3+4+5]])-2,0)*($G139-$H139)</f>
        <v>#NAME?</v>
      </c>
      <c r="BP139" s="22" t="e">
        <f ca="1">VLOOKUP($A139,tabCustoUnit[],COLUMN(CUSTO_GLOBAL[[#Headers],[Custos Indiretos]])-2,0)*($G139-$H139)</f>
        <v>#NAME?</v>
      </c>
      <c r="BQ139" s="22" t="e">
        <f ca="1">VLOOKUP($A139,tabCustoUnit[],COLUMN(CUSTO_GLOBAL[[#Headers],[Lucro]])-2,0)*($G139-$H139)</f>
        <v>#NAME?</v>
      </c>
      <c r="BR139" s="26">
        <f>VLOOKUP($A139,tabCustoUnit[],COLUMN(CUSTO_GLOBAL[[#Headers],[COFINS]])-2,0)</f>
        <v>8.8629737609329504E-2</v>
      </c>
      <c r="BS139" s="26">
        <f>VLOOKUP($A139,tabCustoUnit[],COLUMN(CUSTO_GLOBAL[[#Headers],[PIS]])-2,0)</f>
        <v>1.9241982507288629E-2</v>
      </c>
      <c r="BT139" s="28">
        <f>VLOOKUP($A139,tabCustoUnit[],COLUMN(CUSTO_GLOBAL[[#Headers],[ISS]])-2,0)</f>
        <v>0.05</v>
      </c>
      <c r="BU139" s="26">
        <f>VLOOKUP($A139,tabCustoUnit[],COLUMN(CUSTO_GLOBAL[[#Headers],[ISS (Conversão Alíquota s/ fatura)]])-2,0)</f>
        <v>5.8309037900874633E-2</v>
      </c>
      <c r="BV139" s="26">
        <f>VLOOKUP($A139,tabCustoUnit[],COLUMN(CUSTO_GLOBAL[[#Headers],[Resumo de Alíquotas (PIS+CONFINS+ISS)]])-2,0)</f>
        <v>0.14250000000000002</v>
      </c>
      <c r="BW139" s="138">
        <f>VLOOKUP($A139,tabCustoUnit[],COLUMN(CUSTO_GLOBAL[[#Headers],[PIS + COFINS + ISS (Total Conversão  Alíquota s/ Fatura)]])-2,0)</f>
        <v>0.16618075801749277</v>
      </c>
      <c r="BX139" s="22" t="e">
        <f ca="1">VLOOKUP($A139,tabCustoUnit[],COLUMN(CUSTO_GLOBAL[[#Headers],[Valor dos Tributos (ISS, PIS, CONFINS)]])-2,0)*($G139-$H139)</f>
        <v>#NAME?</v>
      </c>
      <c r="BY139" s="22" t="e">
        <f ca="1">VLOOKUP($A139,tabCustoUnit[],COLUMN(CUSTO_GLOBAL[[#Headers],[MÓDULO 6 – CUSTOS INDIRETOS, TRIBUTOS E LUCRO]])-2,0)*($G139-$H139)</f>
        <v>#NAME?</v>
      </c>
      <c r="BZ139" s="22" t="e">
        <f ca="1">VLOOKUP($A139,tabCustoUnit[],COLUMN(CUSTO_GLOBAL[[#Headers],[CUSTO TOTAL MENSAL]])-2,0)*($G139-$H139)</f>
        <v>#NAME?</v>
      </c>
      <c r="CA139" s="22" t="e">
        <f ca="1">CUSTO_GLOBAL[[#This Row],[CUSTO TOTAL MENSAL]]*12</f>
        <v>#NAME?</v>
      </c>
      <c r="CB139" s="24">
        <f>VLOOKUP($A139,tabCustoUnit[],COLUMN(CUSTO_GLOBAL[[#Headers],[ANO DA CCT]])-2,0)</f>
        <v>45658</v>
      </c>
      <c r="CC139" s="25" t="str">
        <f>VLOOKUP($A139,tabCustoUnit[],COLUMN(CUSTO_GLOBAL[[#Headers],[Nº DE PEDIDO DA CCT]])-2,0)</f>
        <v>-</v>
      </c>
      <c r="CD139" s="25" t="str">
        <f>VLOOKUP($A139,tabCustoUnit[],COLUMN(CUSTO_GLOBAL[[#Headers],[TERMO ADITIVO ALTERAÇÃO DA CCT]])-2,0)</f>
        <v>-</v>
      </c>
    </row>
    <row r="140" spans="1:82">
      <c r="A140" s="20" t="s">
        <v>1594</v>
      </c>
      <c r="B140" t="s">
        <v>1132</v>
      </c>
      <c r="C140" t="s">
        <v>304</v>
      </c>
      <c r="D140" t="s">
        <v>911</v>
      </c>
      <c r="E140" s="20" t="s">
        <v>1090</v>
      </c>
      <c r="F140" s="20" t="s">
        <v>120</v>
      </c>
      <c r="G140" s="20">
        <v>2</v>
      </c>
      <c r="H140" s="20">
        <v>0</v>
      </c>
      <c r="I140" s="21">
        <f>VLOOKUP($A140,tabCustoUnit[],COLUMN(CUSTO_GLOBAL[[#Headers],[Salário Base]])-2,0)*($G140-$H140)</f>
        <v>3926.8220000000001</v>
      </c>
      <c r="J140" s="21">
        <f>VLOOKUP($A140,tabCustoUnit[],COLUMN(CUSTO_GLOBAL[[#Headers],[Adicional Periculosidade]])-2,0)*($G140-$H140)</f>
        <v>0</v>
      </c>
      <c r="K140" s="21">
        <f>VLOOKUP($A140,tabCustoUnit[],COLUMN(CUSTO_GLOBAL[[#Headers],[Adicional Insalubridade]])-2,0)*($G140-$H140)</f>
        <v>0</v>
      </c>
      <c r="L140" s="21">
        <f>VLOOKUP($A140,tabCustoUnit[],COLUMN(CUSTO_GLOBAL[[#Headers],[Adicional Noturno]])-2,0)*($G140-$H140)</f>
        <v>0</v>
      </c>
      <c r="M140" s="21">
        <f>VLOOKUP($A140,tabCustoUnit[],COLUMN(CUSTO_GLOBAL[[#Headers],[Adicional Motorista II (Gratificação)]])-2,0)*($G140-$H140)</f>
        <v>0</v>
      </c>
      <c r="N140" s="21">
        <f>VLOOKUP($A140,tabCustoUnit[],COLUMN(CUSTO_GLOBAL[[#Headers],[Adicional de Sobreaviso]])-2,0)*($G140-$H140)</f>
        <v>0</v>
      </c>
      <c r="O140" s="21">
        <f>VLOOKUP($A140,tabCustoUnit[],COLUMN(CUSTO_GLOBAL[[#Headers],[Horas Extras TI]])-2,0)*($G140-$H140)</f>
        <v>0</v>
      </c>
      <c r="P140" s="21">
        <f>VLOOKUP($A140,tabCustoUnit[],COLUMN(CUSTO_GLOBAL[[#Headers],[Adicional de Acúmulo de função]])-2,0)*($G140-$H140)</f>
        <v>0</v>
      </c>
      <c r="Q140" s="21">
        <f>VLOOKUP($A140,tabCustoUnit[],COLUMN(CUSTO_GLOBAL[[#Headers],[MODULO 1 - REMUNERAÇÃO ]])-2,0)*($G140-$H140)</f>
        <v>3926.8220000000001</v>
      </c>
      <c r="R140" s="21">
        <f>VLOOKUP($A140,tabCustoUnit[],COLUMN(CUSTO_GLOBAL[[#Headers],[INSS]])-2,0)*($G140-$H140)</f>
        <v>785.36440000000005</v>
      </c>
      <c r="S140" s="21">
        <f>VLOOKUP($A140,tabCustoUnit[],COLUMN(CUSTO_GLOBAL[[#Headers],[SESI OU SESC]])-2,0)*($G140-$H140)</f>
        <v>58.902329999999999</v>
      </c>
      <c r="T140" s="21">
        <f>VLOOKUP($A140,tabCustoUnit[],COLUMN(CUSTO_GLOBAL[[#Headers],[SENAI OU SENAC]])-2,0)*($G140-$H140)</f>
        <v>39.268219999999999</v>
      </c>
      <c r="U140" s="21">
        <f>VLOOKUP($A140,tabCustoUnit[],COLUMN(CUSTO_GLOBAL[[#Headers],[INCRA]])-2,0)*($G140-$H140)</f>
        <v>7.8536440000000001</v>
      </c>
      <c r="V140" s="21">
        <f>VLOOKUP($A140,tabCustoUnit[],COLUMN(CUSTO_GLOBAL[[#Headers],[Salário Educação]])-2,0)*($G140-$H140)</f>
        <v>98.170550000000006</v>
      </c>
      <c r="W140" s="21">
        <f>VLOOKUP($A140,tabCustoUnit[],COLUMN(CUSTO_GLOBAL[[#Headers],[FGTS]])-2,0)*($G140-$H140)</f>
        <v>314.14576</v>
      </c>
      <c r="X140" s="21">
        <f>VLOOKUP($A140,tabCustoUnit[],COLUMN(CUSTO_GLOBAL[[#Headers],[RAT Ajustado]])-2,0)*($G140-$H140)</f>
        <v>157.07288</v>
      </c>
      <c r="Y140" s="21">
        <f>VLOOKUP($A140,tabCustoUnit[],COLUMN(CUSTO_GLOBAL[[#Headers],[SEBRAE]])-2,0)*($G140-$H140)</f>
        <v>23.560932000000001</v>
      </c>
      <c r="Z140" s="21">
        <f>VLOOKUP($A140,tabCustoUnit[],COLUMN(CUSTO_GLOBAL[[#Headers],[Submódulo 2.1]])-2,0)*($G140-$H140)</f>
        <v>1484.3387160000002</v>
      </c>
      <c r="AA140" s="21">
        <f>VLOOKUP($A140,tabCustoUnit[],COLUMN(CUSTO_GLOBAL[[#Headers],[13º salário (titular)]])-2,0)*($G140-$H140)</f>
        <v>327.23516666666666</v>
      </c>
      <c r="AB140" s="21">
        <f>VLOOKUP($A140,tabCustoUnit[],COLUMN(CUSTO_GLOBAL[[#Headers],[Férias e Adicional de Férias (titular)]])-2,0)*($G140-$H140)</f>
        <v>436.31355555555552</v>
      </c>
      <c r="AC140" s="21">
        <f>VLOOKUP($A140,tabCustoUnit[],COLUMN(CUSTO_GLOBAL[[#Headers],[Incidência do Submódulo 2.1 sobre 13º Salário, Férias e Adicional de Férias]])-2,0)*($G140-$H140)</f>
        <v>288.62141700000001</v>
      </c>
      <c r="AD140" s="21">
        <f>VLOOKUP($A140,tabCustoUnit[],COLUMN(CUSTO_GLOBAL[[#Headers],[Submódulo 2.2]])-2,0)*($G140-$H140)</f>
        <v>1052.1701392222221</v>
      </c>
      <c r="AE140" s="22" t="e">
        <f ca="1">VLOOKUP($A140,tabCustoUnit[],COLUMN(CUSTO_GLOBAL[[#Headers],[Vale - Transporte (Descontada parcela do empregado)]])-2,0)*($G140-$H140)</f>
        <v>#NAME?</v>
      </c>
      <c r="AF140" s="22">
        <f>VLOOKUP($A140,tabCustoUnit[],COLUMN(CUSTO_GLOBAL[[#Headers],[Vale - Alimentação (Descontada parcela do empregado)]])-2,0)*($G140-$H140)</f>
        <v>1164</v>
      </c>
      <c r="AG140" s="22">
        <f>VLOOKUP($A140,tabCustoUnit[],COLUMN(CUSTO_GLOBAL[[#Headers],[Cesta Básica]])-2,0)*($G140-$H140)</f>
        <v>0</v>
      </c>
      <c r="AH140" s="22">
        <f>VLOOKUP($A140,tabCustoUnit[],COLUMN(CUSTO_GLOBAL[[#Headers],[PAF]])-2,0)*($G140-$H140)</f>
        <v>103.48</v>
      </c>
      <c r="AI140" s="22">
        <f>VLOOKUP($A140,tabCustoUnit[],COLUMN(CUSTO_GLOBAL[[#Headers],[PQM]])-2,0)*($G140-$H140)</f>
        <v>0</v>
      </c>
      <c r="AJ140" s="22">
        <v>0</v>
      </c>
      <c r="AK140" s="22">
        <f>VLOOKUP($A140,tabCustoUnit[],COLUMN(CUSTO_GLOBAL[[#Headers],[Seguro de Vida]])-2,0)*($G140-$H140)</f>
        <v>6.72</v>
      </c>
      <c r="AL140" s="22">
        <f>VLOOKUP($A140,tabCustoUnit[],COLUMN(CUSTO_GLOBAL[[#Headers],[Despesas de Viagem]])-2,0)*($G140-$H140)</f>
        <v>0</v>
      </c>
      <c r="AM140" s="22" t="e">
        <f ca="1">VLOOKUP($A140,tabCustoUnit[],COLUMN(CUSTO_GLOBAL[[#Headers],[Submódulo 2.3]])-2,0)*($G140-$H140)</f>
        <v>#NAME?</v>
      </c>
      <c r="AN140" s="22" t="e">
        <f ca="1">VLOOKUP($A140,tabCustoUnit[],COLUMN(CUSTO_GLOBAL[[#Headers],[MÓDULO 2 - Total Encargos e Benefícios mensais e diários]])-2,0)*($G140-$H140)</f>
        <v>#NAME?</v>
      </c>
      <c r="AO140" s="22">
        <f>VLOOKUP($A140,tabCustoUnit[],COLUMN(CUSTO_GLOBAL[[#Headers],[Aviso Prévio Indenizado (API) e Reflexo do Aviso Prévio Indenizado]])-2,0)*($G140-$H140)</f>
        <v>27.533960817515432</v>
      </c>
      <c r="AP140" s="22">
        <f>VLOOKUP($A140,tabCustoUnit[],COLUMN(CUSTO_GLOBAL[[#Headers],[Incidência do FGTS sobre API e Reflexo do API]])-2,0)*($G140-$H140)</f>
        <v>2.2027168654012348</v>
      </c>
      <c r="AQ140" s="22">
        <f>VLOOKUP($A140,tabCustoUnit[],COLUMN(CUSTO_GLOBAL[[#Headers],[Multa Rescisória do FGTS sobre o Aviso Prévio Indenizado]])-2,0)*($G140-$H140)</f>
        <v>0.88108674616049398</v>
      </c>
      <c r="AR140" s="22">
        <f>VLOOKUP($A140,tabCustoUnit[],COLUMN(CUSTO_GLOBAL[[#Headers],[Aviso Prévio Trabalhado - APT]])-2,0)*($G140-$H140)</f>
        <v>13.743877000000003</v>
      </c>
      <c r="AS140" s="22">
        <f>VLOOKUP($A140,tabCustoUnit[],COLUMN(CUSTO_GLOBAL[[#Headers],[Incidência dos encargos do submódulo 2.1 sobre Aviso Prévio Trabalhado]])-2,0)*($G140-$H140)</f>
        <v>5.1951855060000014</v>
      </c>
      <c r="AT140" s="22">
        <f>VLOOKUP($A140,tabCustoUnit[],COLUMN(CUSTO_GLOBAL[[#Headers],[Multa Rescisória do FGTS]])-2,0)*($G140-$H140)</f>
        <v>120.07349048888888</v>
      </c>
      <c r="AU140" s="22">
        <f>VLOOKUP($A140,tabCustoUnit[],COLUMN(CUSTO_GLOBAL[[#Headers],[Indenização Adicional (Art. 9º da Lei nº 7.238/84)]])-2,0)*($G140-$H140)</f>
        <v>3.2723516666666668</v>
      </c>
      <c r="AV140" s="22">
        <f>VLOOKUP($A140,tabCustoUnit[],COLUMN(CUSTO_GLOBAL[[#Headers],[MÓDULO 3 – PROVISÃO PARA RESCISÃO]])-2,0)*($G140-$H140)</f>
        <v>172.90266909063274</v>
      </c>
      <c r="AW140" s="22">
        <f>VLOOKUP($A140,tabCustoUnit[],COLUMN(CUSTO_GLOBAL[[#Headers],[Ausência por Doença]])-2,0)*($G140-$H140)</f>
        <v>33.159830222222219</v>
      </c>
      <c r="AX140" s="22">
        <f>VLOOKUP($A140,tabCustoUnit[],COLUMN(CUSTO_GLOBAL[[#Headers],[Ausências Legais]])-2,0)*($G140-$H140)</f>
        <v>7.9627223888888885</v>
      </c>
      <c r="AY140" s="22">
        <f>VLOOKUP($A140,tabCustoUnit[],COLUMN(CUSTO_GLOBAL[[#Headers],[Licença Paternidade]])-2,0)*($G140-$H140)</f>
        <v>0.67083209166666669</v>
      </c>
      <c r="AZ140" s="22">
        <f>VLOOKUP($A140,tabCustoUnit[],COLUMN(CUSTO_GLOBAL[[#Headers],[Ausência por Acidente de Trabalho]])-2,0)*($G140-$H140)</f>
        <v>0.81808791666666669</v>
      </c>
      <c r="BA140" s="22">
        <f>VLOOKUP($A140,tabCustoUnit[],COLUMN(CUSTO_GLOBAL[[#Headers],[Férias, Adicional de Férias e 13º  com empregada em gozo de Licença Maternidade]])-2,0)*($G140-$H140)</f>
        <v>5.0903248148148146</v>
      </c>
      <c r="BB140" s="22">
        <f>VLOOKUP($A140,tabCustoUnit[],COLUMN(CUSTO_GLOBAL[[#Headers],[Incidência do Submódulo 2.1 sobre Ausências Legais]])-2,0)*($G140-$H140)</f>
        <v>18.031279430150004</v>
      </c>
      <c r="BC140" s="22">
        <f>VLOOKUP($A140,tabCustoUnit[],COLUMN(CUSTO_GLOBAL[[#Headers],[Submódulo 4.1]])-2,0)*($G140-$H140)</f>
        <v>65.733076864409256</v>
      </c>
      <c r="BD140" s="22">
        <f>VLOOKUP($A140,tabCustoUnit[],COLUMN(CUSTO_GLOBAL[[#Headers],[Intervalo para Repouso ou Alimentação]])-2,0)*($G140-$H140)</f>
        <v>434.75529489599154</v>
      </c>
      <c r="BE140" s="22">
        <f>VLOOKUP($A140,tabCustoUnit[],COLUMN(CUSTO_GLOBAL[[#Headers],[Submódulo 4.2]])-2,0)*($G140-$H140)</f>
        <v>434.75529489599154</v>
      </c>
      <c r="BF140" s="22">
        <f>VLOOKUP($A140,tabCustoUnit[],COLUMN(CUSTO_GLOBAL[[#Headers],[Suspensão Temporária do Contrato de Trabalho]])-2,0)*($G140-$H140)</f>
        <v>0</v>
      </c>
      <c r="BG140" s="22">
        <f>VLOOKUP($A140,tabCustoUnit[],COLUMN(CUSTO_GLOBAL[[#Headers],[Submódulo 4.3]])-2,0)*($G140-$H140)</f>
        <v>0</v>
      </c>
      <c r="BH140" s="22">
        <f>VLOOKUP($A140,tabCustoUnit[],COLUMN(CUSTO_GLOBAL[[#Headers],[MÓDULO 4 – CUSTO DE REPOSIÇÃO DO PROFISSIONAL AUSENTE]])-2,0)*($G140-$H140)</f>
        <v>500.48837176040081</v>
      </c>
      <c r="BI140" s="22">
        <f>VLOOKUP($A140,tabCustoUnit[],COLUMN(CUSTO_GLOBAL[[#Headers],[Uniformes e EPIs]])-2,0)*($G140-$H140)</f>
        <v>113.28595792508679</v>
      </c>
      <c r="BJ140" s="22">
        <f>VLOOKUP($A140,tabCustoUnit[],COLUMN(CUSTO_GLOBAL[[#Headers],[Materiais de Consumo]])-2,0)*($G140-$H140)</f>
        <v>0</v>
      </c>
      <c r="BK140" s="22">
        <f>VLOOKUP($A140,tabCustoUnit[],COLUMN(CUSTO_GLOBAL[[#Headers],[Máquinas e Equipamentos (depreciação)]])-2,0)*($G140-$H140)</f>
        <v>0</v>
      </c>
      <c r="BL140" s="22">
        <f>VLOOKUP($A140,tabCustoUnit[],COLUMN(CUSTO_GLOBAL[[#Headers],[Produtos de Limpeza e Materiais de Higiene Pessoal]])-2,0)*($G140-$H140)</f>
        <v>0</v>
      </c>
      <c r="BM140" s="22">
        <f>VLOOKUP($A140,tabCustoUnit[],COLUMN(CUSTO_GLOBAL[[#Headers],[Outros (especificar)]])-2,0)*($G140-$H140)</f>
        <v>0</v>
      </c>
      <c r="BN140" s="22">
        <f>VLOOKUP($A140,tabCustoUnit[],COLUMN(CUSTO_GLOBAL[[#Headers],[MÓDULO 5 – INSUMOS DIVERSOS]])-2,0)*($G140-$H140)</f>
        <v>113.28595792508679</v>
      </c>
      <c r="BO140" s="22" t="e">
        <f ca="1">VLOOKUP($A140,tabCustoUnit[],COLUMN(CUSTO_GLOBAL[[#Headers],[TOTAL MÓDULOS 1+2+3+4+5]])-2,0)*($G140-$H140)</f>
        <v>#NAME?</v>
      </c>
      <c r="BP140" s="22" t="e">
        <f ca="1">VLOOKUP($A140,tabCustoUnit[],COLUMN(CUSTO_GLOBAL[[#Headers],[Custos Indiretos]])-2,0)*($G140-$H140)</f>
        <v>#NAME?</v>
      </c>
      <c r="BQ140" s="22" t="e">
        <f ca="1">VLOOKUP($A140,tabCustoUnit[],COLUMN(CUSTO_GLOBAL[[#Headers],[Lucro]])-2,0)*($G140-$H140)</f>
        <v>#NAME?</v>
      </c>
      <c r="BR140" s="26">
        <f>VLOOKUP($A140,tabCustoUnit[],COLUMN(CUSTO_GLOBAL[[#Headers],[COFINS]])-2,0)</f>
        <v>8.8629737609329504E-2</v>
      </c>
      <c r="BS140" s="26">
        <f>VLOOKUP($A140,tabCustoUnit[],COLUMN(CUSTO_GLOBAL[[#Headers],[PIS]])-2,0)</f>
        <v>1.9241982507288629E-2</v>
      </c>
      <c r="BT140" s="28">
        <f>VLOOKUP($A140,tabCustoUnit[],COLUMN(CUSTO_GLOBAL[[#Headers],[ISS]])-2,0)</f>
        <v>0.05</v>
      </c>
      <c r="BU140" s="26">
        <f>VLOOKUP($A140,tabCustoUnit[],COLUMN(CUSTO_GLOBAL[[#Headers],[ISS (Conversão Alíquota s/ fatura)]])-2,0)</f>
        <v>5.8309037900874633E-2</v>
      </c>
      <c r="BV140" s="26">
        <f>VLOOKUP($A140,tabCustoUnit[],COLUMN(CUSTO_GLOBAL[[#Headers],[Resumo de Alíquotas (PIS+CONFINS+ISS)]])-2,0)</f>
        <v>0.14250000000000002</v>
      </c>
      <c r="BW140" s="138">
        <f>VLOOKUP($A140,tabCustoUnit[],COLUMN(CUSTO_GLOBAL[[#Headers],[PIS + COFINS + ISS (Total Conversão  Alíquota s/ Fatura)]])-2,0)</f>
        <v>0.16618075801749277</v>
      </c>
      <c r="BX140" s="22" t="e">
        <f ca="1">VLOOKUP($A140,tabCustoUnit[],COLUMN(CUSTO_GLOBAL[[#Headers],[Valor dos Tributos (ISS, PIS, CONFINS)]])-2,0)*($G140-$H140)</f>
        <v>#NAME?</v>
      </c>
      <c r="BY140" s="22" t="e">
        <f ca="1">VLOOKUP($A140,tabCustoUnit[],COLUMN(CUSTO_GLOBAL[[#Headers],[MÓDULO 6 – CUSTOS INDIRETOS, TRIBUTOS E LUCRO]])-2,0)*($G140-$H140)</f>
        <v>#NAME?</v>
      </c>
      <c r="BZ140" s="22" t="e">
        <f ca="1">VLOOKUP($A140,tabCustoUnit[],COLUMN(CUSTO_GLOBAL[[#Headers],[CUSTO TOTAL MENSAL]])-2,0)*($G140-$H140)</f>
        <v>#NAME?</v>
      </c>
      <c r="CA140" s="22" t="e">
        <f ca="1">CUSTO_GLOBAL[[#This Row],[CUSTO TOTAL MENSAL]]*12</f>
        <v>#NAME?</v>
      </c>
      <c r="CB140" s="24">
        <f>VLOOKUP($A140,tabCustoUnit[],COLUMN(CUSTO_GLOBAL[[#Headers],[ANO DA CCT]])-2,0)</f>
        <v>45658</v>
      </c>
      <c r="CC140" s="25" t="str">
        <f>VLOOKUP($A140,tabCustoUnit[],COLUMN(CUSTO_GLOBAL[[#Headers],[Nº DE PEDIDO DA CCT]])-2,0)</f>
        <v>-</v>
      </c>
      <c r="CD140" s="25" t="str">
        <f>VLOOKUP($A140,tabCustoUnit[],COLUMN(CUSTO_GLOBAL[[#Headers],[TERMO ADITIVO ALTERAÇÃO DA CCT]])-2,0)</f>
        <v>-</v>
      </c>
    </row>
    <row r="141" spans="1:82">
      <c r="A141" s="20" t="s">
        <v>1595</v>
      </c>
      <c r="B141" t="s">
        <v>1132</v>
      </c>
      <c r="C141" t="s">
        <v>324</v>
      </c>
      <c r="D141" t="s">
        <v>911</v>
      </c>
      <c r="E141" s="20" t="s">
        <v>1090</v>
      </c>
      <c r="F141" s="20" t="s">
        <v>120</v>
      </c>
      <c r="G141" s="20">
        <v>1</v>
      </c>
      <c r="H141" s="20">
        <v>0</v>
      </c>
      <c r="I141" s="21">
        <f>VLOOKUP($A141,tabCustoUnit[],COLUMN(CUSTO_GLOBAL[[#Headers],[Salário Base]])-2,0)*($G141-$H141)</f>
        <v>3397.1306</v>
      </c>
      <c r="J141" s="21">
        <f>VLOOKUP($A141,tabCustoUnit[],COLUMN(CUSTO_GLOBAL[[#Headers],[Adicional Periculosidade]])-2,0)*($G141-$H141)</f>
        <v>0</v>
      </c>
      <c r="K141" s="21">
        <f>VLOOKUP($A141,tabCustoUnit[],COLUMN(CUSTO_GLOBAL[[#Headers],[Adicional Insalubridade]])-2,0)*($G141-$H141)</f>
        <v>0</v>
      </c>
      <c r="L141" s="21">
        <f>VLOOKUP($A141,tabCustoUnit[],COLUMN(CUSTO_GLOBAL[[#Headers],[Adicional Noturno]])-2,0)*($G141-$H141)</f>
        <v>0</v>
      </c>
      <c r="M141" s="21">
        <f>VLOOKUP($A141,tabCustoUnit[],COLUMN(CUSTO_GLOBAL[[#Headers],[Adicional Motorista II (Gratificação)]])-2,0)*($G141-$H141)</f>
        <v>0</v>
      </c>
      <c r="N141" s="21">
        <f>VLOOKUP($A141,tabCustoUnit[],COLUMN(CUSTO_GLOBAL[[#Headers],[Adicional de Sobreaviso]])-2,0)*($G141-$H141)</f>
        <v>0</v>
      </c>
      <c r="O141" s="21">
        <f>VLOOKUP($A141,tabCustoUnit[],COLUMN(CUSTO_GLOBAL[[#Headers],[Horas Extras TI]])-2,0)*($G141-$H141)</f>
        <v>0</v>
      </c>
      <c r="P141" s="21">
        <f>VLOOKUP($A141,tabCustoUnit[],COLUMN(CUSTO_GLOBAL[[#Headers],[Adicional de Acúmulo de função]])-2,0)*($G141-$H141)</f>
        <v>0</v>
      </c>
      <c r="Q141" s="21">
        <f>VLOOKUP($A141,tabCustoUnit[],COLUMN(CUSTO_GLOBAL[[#Headers],[MODULO 1 - REMUNERAÇÃO ]])-2,0)*($G141-$H141)</f>
        <v>3397.1306</v>
      </c>
      <c r="R141" s="21">
        <f>VLOOKUP($A141,tabCustoUnit[],COLUMN(CUSTO_GLOBAL[[#Headers],[INSS]])-2,0)*($G141-$H141)</f>
        <v>679.42612000000008</v>
      </c>
      <c r="S141" s="21">
        <f>VLOOKUP($A141,tabCustoUnit[],COLUMN(CUSTO_GLOBAL[[#Headers],[SESI OU SESC]])-2,0)*($G141-$H141)</f>
        <v>50.956958999999998</v>
      </c>
      <c r="T141" s="21">
        <f>VLOOKUP($A141,tabCustoUnit[],COLUMN(CUSTO_GLOBAL[[#Headers],[SENAI OU SENAC]])-2,0)*($G141-$H141)</f>
        <v>33.971305999999998</v>
      </c>
      <c r="U141" s="21">
        <f>VLOOKUP($A141,tabCustoUnit[],COLUMN(CUSTO_GLOBAL[[#Headers],[INCRA]])-2,0)*($G141-$H141)</f>
        <v>6.7942612000000002</v>
      </c>
      <c r="V141" s="21">
        <f>VLOOKUP($A141,tabCustoUnit[],COLUMN(CUSTO_GLOBAL[[#Headers],[Salário Educação]])-2,0)*($G141-$H141)</f>
        <v>84.92826500000001</v>
      </c>
      <c r="W141" s="21">
        <f>VLOOKUP($A141,tabCustoUnit[],COLUMN(CUSTO_GLOBAL[[#Headers],[FGTS]])-2,0)*($G141-$H141)</f>
        <v>271.77044799999999</v>
      </c>
      <c r="X141" s="21">
        <f>VLOOKUP($A141,tabCustoUnit[],COLUMN(CUSTO_GLOBAL[[#Headers],[RAT Ajustado]])-2,0)*($G141-$H141)</f>
        <v>135.88522399999999</v>
      </c>
      <c r="Y141" s="21">
        <f>VLOOKUP($A141,tabCustoUnit[],COLUMN(CUSTO_GLOBAL[[#Headers],[SEBRAE]])-2,0)*($G141-$H141)</f>
        <v>20.3827836</v>
      </c>
      <c r="Z141" s="21">
        <f>VLOOKUP($A141,tabCustoUnit[],COLUMN(CUSTO_GLOBAL[[#Headers],[Submódulo 2.1]])-2,0)*($G141-$H141)</f>
        <v>1284.1153668000002</v>
      </c>
      <c r="AA141" s="21">
        <f>VLOOKUP($A141,tabCustoUnit[],COLUMN(CUSTO_GLOBAL[[#Headers],[13º salário (titular)]])-2,0)*($G141-$H141)</f>
        <v>283.09421666666663</v>
      </c>
      <c r="AB141" s="21">
        <f>VLOOKUP($A141,tabCustoUnit[],COLUMN(CUSTO_GLOBAL[[#Headers],[Férias e Adicional de Férias (titular)]])-2,0)*($G141-$H141)</f>
        <v>377.45895555555552</v>
      </c>
      <c r="AC141" s="21">
        <f>VLOOKUP($A141,tabCustoUnit[],COLUMN(CUSTO_GLOBAL[[#Headers],[Incidência do Submódulo 2.1 sobre 13º Salário, Férias e Adicional de Férias]])-2,0)*($G141-$H141)</f>
        <v>249.68909910000002</v>
      </c>
      <c r="AD141" s="21">
        <f>VLOOKUP($A141,tabCustoUnit[],COLUMN(CUSTO_GLOBAL[[#Headers],[Submódulo 2.2]])-2,0)*($G141-$H141)</f>
        <v>910.24227132222222</v>
      </c>
      <c r="AE141" s="22" t="e">
        <f ca="1">VLOOKUP($A141,tabCustoUnit[],COLUMN(CUSTO_GLOBAL[[#Headers],[Vale - Transporte (Descontada parcela do empregado)]])-2,0)*($G141-$H141)</f>
        <v>#NAME?</v>
      </c>
      <c r="AF141" s="22">
        <f>VLOOKUP($A141,tabCustoUnit[],COLUMN(CUSTO_GLOBAL[[#Headers],[Vale - Alimentação (Descontada parcela do empregado)]])-2,0)*($G141-$H141)</f>
        <v>582</v>
      </c>
      <c r="AG141" s="22">
        <f>VLOOKUP($A141,tabCustoUnit[],COLUMN(CUSTO_GLOBAL[[#Headers],[Cesta Básica]])-2,0)*($G141-$H141)</f>
        <v>0</v>
      </c>
      <c r="AH141" s="22">
        <f>VLOOKUP($A141,tabCustoUnit[],COLUMN(CUSTO_GLOBAL[[#Headers],[PAF]])-2,0)*($G141-$H141)</f>
        <v>51.74</v>
      </c>
      <c r="AI141" s="22">
        <f>VLOOKUP($A141,tabCustoUnit[],COLUMN(CUSTO_GLOBAL[[#Headers],[PQM]])-2,0)*($G141-$H141)</f>
        <v>0</v>
      </c>
      <c r="AJ141" s="22">
        <v>0</v>
      </c>
      <c r="AK141" s="22">
        <f>VLOOKUP($A141,tabCustoUnit[],COLUMN(CUSTO_GLOBAL[[#Headers],[Seguro de Vida]])-2,0)*($G141-$H141)</f>
        <v>3.36</v>
      </c>
      <c r="AL141" s="22">
        <f>VLOOKUP($A141,tabCustoUnit[],COLUMN(CUSTO_GLOBAL[[#Headers],[Despesas de Viagem]])-2,0)*($G141-$H141)</f>
        <v>0</v>
      </c>
      <c r="AM141" s="22" t="e">
        <f ca="1">VLOOKUP($A141,tabCustoUnit[],COLUMN(CUSTO_GLOBAL[[#Headers],[Submódulo 2.3]])-2,0)*($G141-$H141)</f>
        <v>#NAME?</v>
      </c>
      <c r="AN141" s="22" t="e">
        <f ca="1">VLOOKUP($A141,tabCustoUnit[],COLUMN(CUSTO_GLOBAL[[#Headers],[MÓDULO 2 - Total Encargos e Benefícios mensais e diários]])-2,0)*($G141-$H141)</f>
        <v>#NAME?</v>
      </c>
      <c r="AO141" s="22">
        <f>VLOOKUP($A141,tabCustoUnit[],COLUMN(CUSTO_GLOBAL[[#Headers],[Aviso Prévio Indenizado (API) e Reflexo do Aviso Prévio Indenizado]])-2,0)*($G141-$H141)</f>
        <v>23.819888151890432</v>
      </c>
      <c r="AP141" s="22">
        <f>VLOOKUP($A141,tabCustoUnit[],COLUMN(CUSTO_GLOBAL[[#Headers],[Incidência do FGTS sobre API e Reflexo do API]])-2,0)*($G141-$H141)</f>
        <v>1.9055910521512347</v>
      </c>
      <c r="AQ141" s="22">
        <f>VLOOKUP($A141,tabCustoUnit[],COLUMN(CUSTO_GLOBAL[[#Headers],[Multa Rescisória do FGTS sobre o Aviso Prévio Indenizado]])-2,0)*($G141-$H141)</f>
        <v>0.76223642086049392</v>
      </c>
      <c r="AR141" s="22">
        <f>VLOOKUP($A141,tabCustoUnit[],COLUMN(CUSTO_GLOBAL[[#Headers],[Aviso Prévio Trabalhado - APT]])-2,0)*($G141-$H141)</f>
        <v>11.889957100000002</v>
      </c>
      <c r="AS141" s="22">
        <f>VLOOKUP($A141,tabCustoUnit[],COLUMN(CUSTO_GLOBAL[[#Headers],[Incidência dos encargos do submódulo 2.1 sobre Aviso Prévio Trabalhado]])-2,0)*($G141-$H141)</f>
        <v>4.4944037838000011</v>
      </c>
      <c r="AT141" s="22">
        <f>VLOOKUP($A141,tabCustoUnit[],COLUMN(CUSTO_GLOBAL[[#Headers],[Multa Rescisória do FGTS]])-2,0)*($G141-$H141)</f>
        <v>103.87670456888887</v>
      </c>
      <c r="AU141" s="22">
        <f>VLOOKUP($A141,tabCustoUnit[],COLUMN(CUSTO_GLOBAL[[#Headers],[Indenização Adicional (Art. 9º da Lei nº 7.238/84)]])-2,0)*($G141-$H141)</f>
        <v>2.830942166666667</v>
      </c>
      <c r="AV141" s="22">
        <f>VLOOKUP($A141,tabCustoUnit[],COLUMN(CUSTO_GLOBAL[[#Headers],[MÓDULO 3 – PROVISÃO PARA RESCISÃO]])-2,0)*($G141-$H141)</f>
        <v>149.57972324425771</v>
      </c>
      <c r="AW141" s="22">
        <f>VLOOKUP($A141,tabCustoUnit[],COLUMN(CUSTO_GLOBAL[[#Headers],[Ausência por Doença]])-2,0)*($G141-$H141)</f>
        <v>28.686880622222219</v>
      </c>
      <c r="AX141" s="22">
        <f>VLOOKUP($A141,tabCustoUnit[],COLUMN(CUSTO_GLOBAL[[#Headers],[Ausências Legais]])-2,0)*($G141-$H141)</f>
        <v>6.8886259388888886</v>
      </c>
      <c r="AY141" s="22">
        <f>VLOOKUP($A141,tabCustoUnit[],COLUMN(CUSTO_GLOBAL[[#Headers],[Licença Paternidade]])-2,0)*($G141-$H141)</f>
        <v>0.58034314416666666</v>
      </c>
      <c r="AZ141" s="22">
        <f>VLOOKUP($A141,tabCustoUnit[],COLUMN(CUSTO_GLOBAL[[#Headers],[Ausência por Acidente de Trabalho]])-2,0)*($G141-$H141)</f>
        <v>0.70773554166666675</v>
      </c>
      <c r="BA141" s="22">
        <f>VLOOKUP($A141,tabCustoUnit[],COLUMN(CUSTO_GLOBAL[[#Headers],[Férias, Adicional de Férias e 13º  com empregada em gozo de Licença Maternidade]])-2,0)*($G141-$H141)</f>
        <v>4.4036878148148144</v>
      </c>
      <c r="BB141" s="22">
        <f>VLOOKUP($A141,tabCustoUnit[],COLUMN(CUSTO_GLOBAL[[#Headers],[Incidência do Submódulo 2.1 sobre Ausências Legais]])-2,0)*($G141-$H141)</f>
        <v>15.599029217345002</v>
      </c>
      <c r="BC141" s="22">
        <f>VLOOKUP($A141,tabCustoUnit[],COLUMN(CUSTO_GLOBAL[[#Headers],[Submódulo 4.1]])-2,0)*($G141-$H141)</f>
        <v>56.866302279104261</v>
      </c>
      <c r="BD141" s="22">
        <f>VLOOKUP($A141,tabCustoUnit[],COLUMN(CUSTO_GLOBAL[[#Headers],[Intervalo para Repouso ou Alimentação]])-2,0)*($G141-$H141)</f>
        <v>0</v>
      </c>
      <c r="BE141" s="22">
        <f>VLOOKUP($A141,tabCustoUnit[],COLUMN(CUSTO_GLOBAL[[#Headers],[Submódulo 4.2]])-2,0)*($G141-$H141)</f>
        <v>0</v>
      </c>
      <c r="BF141" s="22">
        <f>VLOOKUP($A141,tabCustoUnit[],COLUMN(CUSTO_GLOBAL[[#Headers],[Suspensão Temporária do Contrato de Trabalho]])-2,0)*($G141-$H141)</f>
        <v>0</v>
      </c>
      <c r="BG141" s="22">
        <f>VLOOKUP($A141,tabCustoUnit[],COLUMN(CUSTO_GLOBAL[[#Headers],[Submódulo 4.3]])-2,0)*($G141-$H141)</f>
        <v>0</v>
      </c>
      <c r="BH141" s="22">
        <f>VLOOKUP($A141,tabCustoUnit[],COLUMN(CUSTO_GLOBAL[[#Headers],[MÓDULO 4 – CUSTO DE REPOSIÇÃO DO PROFISSIONAL AUSENTE]])-2,0)*($G141-$H141)</f>
        <v>56.866302279104261</v>
      </c>
      <c r="BI141" s="22">
        <f>VLOOKUP($A141,tabCustoUnit[],COLUMN(CUSTO_GLOBAL[[#Headers],[Uniformes e EPIs]])-2,0)*($G141-$H141)</f>
        <v>56.642978962543395</v>
      </c>
      <c r="BJ141" s="22">
        <f>VLOOKUP($A141,tabCustoUnit[],COLUMN(CUSTO_GLOBAL[[#Headers],[Materiais de Consumo]])-2,0)*($G141-$H141)</f>
        <v>0</v>
      </c>
      <c r="BK141" s="22">
        <f>VLOOKUP($A141,tabCustoUnit[],COLUMN(CUSTO_GLOBAL[[#Headers],[Máquinas e Equipamentos (depreciação)]])-2,0)*($G141-$H141)</f>
        <v>0</v>
      </c>
      <c r="BL141" s="22">
        <f>VLOOKUP($A141,tabCustoUnit[],COLUMN(CUSTO_GLOBAL[[#Headers],[Produtos de Limpeza e Materiais de Higiene Pessoal]])-2,0)*($G141-$H141)</f>
        <v>0</v>
      </c>
      <c r="BM141" s="22">
        <f>VLOOKUP($A141,tabCustoUnit[],COLUMN(CUSTO_GLOBAL[[#Headers],[Outros (especificar)]])-2,0)*($G141-$H141)</f>
        <v>0</v>
      </c>
      <c r="BN141" s="22">
        <f>VLOOKUP($A141,tabCustoUnit[],COLUMN(CUSTO_GLOBAL[[#Headers],[MÓDULO 5 – INSUMOS DIVERSOS]])-2,0)*($G141-$H141)</f>
        <v>56.642978962543395</v>
      </c>
      <c r="BO141" s="22" t="e">
        <f ca="1">VLOOKUP($A141,tabCustoUnit[],COLUMN(CUSTO_GLOBAL[[#Headers],[TOTAL MÓDULOS 1+2+3+4+5]])-2,0)*($G141-$H141)</f>
        <v>#NAME?</v>
      </c>
      <c r="BP141" s="22" t="e">
        <f ca="1">VLOOKUP($A141,tabCustoUnit[],COLUMN(CUSTO_GLOBAL[[#Headers],[Custos Indiretos]])-2,0)*($G141-$H141)</f>
        <v>#NAME?</v>
      </c>
      <c r="BQ141" s="22" t="e">
        <f ca="1">VLOOKUP($A141,tabCustoUnit[],COLUMN(CUSTO_GLOBAL[[#Headers],[Lucro]])-2,0)*($G141-$H141)</f>
        <v>#NAME?</v>
      </c>
      <c r="BR141" s="26">
        <f>VLOOKUP($A141,tabCustoUnit[],COLUMN(CUSTO_GLOBAL[[#Headers],[COFINS]])-2,0)</f>
        <v>8.8629737609329504E-2</v>
      </c>
      <c r="BS141" s="26">
        <f>VLOOKUP($A141,tabCustoUnit[],COLUMN(CUSTO_GLOBAL[[#Headers],[PIS]])-2,0)</f>
        <v>1.9241982507288629E-2</v>
      </c>
      <c r="BT141" s="28">
        <f>VLOOKUP($A141,tabCustoUnit[],COLUMN(CUSTO_GLOBAL[[#Headers],[ISS]])-2,0)</f>
        <v>0.05</v>
      </c>
      <c r="BU141" s="26">
        <f>VLOOKUP($A141,tabCustoUnit[],COLUMN(CUSTO_GLOBAL[[#Headers],[ISS (Conversão Alíquota s/ fatura)]])-2,0)</f>
        <v>5.8309037900874633E-2</v>
      </c>
      <c r="BV141" s="26">
        <f>VLOOKUP($A141,tabCustoUnit[],COLUMN(CUSTO_GLOBAL[[#Headers],[Resumo de Alíquotas (PIS+CONFINS+ISS)]])-2,0)</f>
        <v>0.14250000000000002</v>
      </c>
      <c r="BW141" s="138">
        <f>VLOOKUP($A141,tabCustoUnit[],COLUMN(CUSTO_GLOBAL[[#Headers],[PIS + COFINS + ISS (Total Conversão  Alíquota s/ Fatura)]])-2,0)</f>
        <v>0.16618075801749277</v>
      </c>
      <c r="BX141" s="22" t="e">
        <f ca="1">VLOOKUP($A141,tabCustoUnit[],COLUMN(CUSTO_GLOBAL[[#Headers],[Valor dos Tributos (ISS, PIS, CONFINS)]])-2,0)*($G141-$H141)</f>
        <v>#NAME?</v>
      </c>
      <c r="BY141" s="22" t="e">
        <f ca="1">VLOOKUP($A141,tabCustoUnit[],COLUMN(CUSTO_GLOBAL[[#Headers],[MÓDULO 6 – CUSTOS INDIRETOS, TRIBUTOS E LUCRO]])-2,0)*($G141-$H141)</f>
        <v>#NAME?</v>
      </c>
      <c r="BZ141" s="22" t="e">
        <f ca="1">VLOOKUP($A141,tabCustoUnit[],COLUMN(CUSTO_GLOBAL[[#Headers],[CUSTO TOTAL MENSAL]])-2,0)*($G141-$H141)</f>
        <v>#NAME?</v>
      </c>
      <c r="CA141" s="22" t="e">
        <f ca="1">CUSTO_GLOBAL[[#This Row],[CUSTO TOTAL MENSAL]]*12</f>
        <v>#NAME?</v>
      </c>
      <c r="CB141" s="24">
        <f>VLOOKUP($A141,tabCustoUnit[],COLUMN(CUSTO_GLOBAL[[#Headers],[ANO DA CCT]])-2,0)</f>
        <v>45658</v>
      </c>
      <c r="CC141" s="25" t="str">
        <f>VLOOKUP($A141,tabCustoUnit[],COLUMN(CUSTO_GLOBAL[[#Headers],[Nº DE PEDIDO DA CCT]])-2,0)</f>
        <v>-</v>
      </c>
      <c r="CD141" s="25" t="str">
        <f>VLOOKUP($A141,tabCustoUnit[],COLUMN(CUSTO_GLOBAL[[#Headers],[TERMO ADITIVO ALTERAÇÃO DA CCT]])-2,0)</f>
        <v>-</v>
      </c>
    </row>
    <row r="142" spans="1:82">
      <c r="A142" s="20" t="s">
        <v>1596</v>
      </c>
      <c r="B142" t="s">
        <v>1133</v>
      </c>
      <c r="C142" t="s">
        <v>1366</v>
      </c>
      <c r="D142" t="s">
        <v>1041</v>
      </c>
      <c r="E142" s="20" t="s">
        <v>1090</v>
      </c>
      <c r="F142" s="20" t="s">
        <v>120</v>
      </c>
      <c r="G142" s="20">
        <v>1</v>
      </c>
      <c r="H142" s="20">
        <v>0</v>
      </c>
      <c r="I142" s="21">
        <f>VLOOKUP($A142,tabCustoUnit[],COLUMN(CUSTO_GLOBAL[[#Headers],[Salário Base]])-2,0)*($G142-$H142)</f>
        <v>1043.7162000000001</v>
      </c>
      <c r="J142" s="21">
        <f>VLOOKUP($A142,tabCustoUnit[],COLUMN(CUSTO_GLOBAL[[#Headers],[Adicional Periculosidade]])-2,0)*($G142-$H142)</f>
        <v>0</v>
      </c>
      <c r="K142" s="21">
        <f>VLOOKUP($A142,tabCustoUnit[],COLUMN(CUSTO_GLOBAL[[#Headers],[Adicional Insalubridade]])-2,0)*($G142-$H142)</f>
        <v>303.60000000000002</v>
      </c>
      <c r="L142" s="21">
        <f>VLOOKUP($A142,tabCustoUnit[],COLUMN(CUSTO_GLOBAL[[#Headers],[Adicional Noturno]])-2,0)*($G142-$H142)</f>
        <v>0</v>
      </c>
      <c r="M142" s="21">
        <f>VLOOKUP($A142,tabCustoUnit[],COLUMN(CUSTO_GLOBAL[[#Headers],[Adicional Motorista II (Gratificação)]])-2,0)*($G142-$H142)</f>
        <v>0</v>
      </c>
      <c r="N142" s="21">
        <f>VLOOKUP($A142,tabCustoUnit[],COLUMN(CUSTO_GLOBAL[[#Headers],[Adicional de Sobreaviso]])-2,0)*($G142-$H142)</f>
        <v>0</v>
      </c>
      <c r="O142" s="21">
        <f>VLOOKUP($A142,tabCustoUnit[],COLUMN(CUSTO_GLOBAL[[#Headers],[Horas Extras TI]])-2,0)*($G142-$H142)</f>
        <v>0</v>
      </c>
      <c r="P142" s="21">
        <f>VLOOKUP($A142,tabCustoUnit[],COLUMN(CUSTO_GLOBAL[[#Headers],[Adicional de Acúmulo de função]])-2,0)*($G142-$H142)</f>
        <v>0</v>
      </c>
      <c r="Q142" s="21">
        <f>VLOOKUP($A142,tabCustoUnit[],COLUMN(CUSTO_GLOBAL[[#Headers],[MODULO 1 - REMUNERAÇÃO ]])-2,0)*($G142-$H142)</f>
        <v>1347.3162000000002</v>
      </c>
      <c r="R142" s="21">
        <f>VLOOKUP($A142,tabCustoUnit[],COLUMN(CUSTO_GLOBAL[[#Headers],[INSS]])-2,0)*($G142-$H142)</f>
        <v>269.46324000000004</v>
      </c>
      <c r="S142" s="21">
        <f>VLOOKUP($A142,tabCustoUnit[],COLUMN(CUSTO_GLOBAL[[#Headers],[SESI OU SESC]])-2,0)*($G142-$H142)</f>
        <v>20.209743000000003</v>
      </c>
      <c r="T142" s="21">
        <f>VLOOKUP($A142,tabCustoUnit[],COLUMN(CUSTO_GLOBAL[[#Headers],[SENAI OU SENAC]])-2,0)*($G142-$H142)</f>
        <v>13.473162000000002</v>
      </c>
      <c r="U142" s="21">
        <f>VLOOKUP($A142,tabCustoUnit[],COLUMN(CUSTO_GLOBAL[[#Headers],[INCRA]])-2,0)*($G142-$H142)</f>
        <v>2.6946324000000006</v>
      </c>
      <c r="V142" s="21">
        <f>VLOOKUP($A142,tabCustoUnit[],COLUMN(CUSTO_GLOBAL[[#Headers],[Salário Educação]])-2,0)*($G142-$H142)</f>
        <v>33.682905000000005</v>
      </c>
      <c r="W142" s="21">
        <f>VLOOKUP($A142,tabCustoUnit[],COLUMN(CUSTO_GLOBAL[[#Headers],[FGTS]])-2,0)*($G142-$H142)</f>
        <v>107.78529600000002</v>
      </c>
      <c r="X142" s="21">
        <f>VLOOKUP($A142,tabCustoUnit[],COLUMN(CUSTO_GLOBAL[[#Headers],[RAT Ajustado]])-2,0)*($G142-$H142)</f>
        <v>53.892648000000008</v>
      </c>
      <c r="Y142" s="21">
        <f>VLOOKUP($A142,tabCustoUnit[],COLUMN(CUSTO_GLOBAL[[#Headers],[SEBRAE]])-2,0)*($G142-$H142)</f>
        <v>8.0838972000000009</v>
      </c>
      <c r="Z142" s="21">
        <f>VLOOKUP($A142,tabCustoUnit[],COLUMN(CUSTO_GLOBAL[[#Headers],[Submódulo 2.1]])-2,0)*($G142-$H142)</f>
        <v>509.28552360000009</v>
      </c>
      <c r="AA142" s="21">
        <f>VLOOKUP($A142,tabCustoUnit[],COLUMN(CUSTO_GLOBAL[[#Headers],[13º salário (titular)]])-2,0)*($G142-$H142)</f>
        <v>112.27635000000001</v>
      </c>
      <c r="AB142" s="21">
        <f>VLOOKUP($A142,tabCustoUnit[],COLUMN(CUSTO_GLOBAL[[#Headers],[Férias e Adicional de Férias (titular)]])-2,0)*($G142-$H142)</f>
        <v>149.70180000000002</v>
      </c>
      <c r="AC142" s="21">
        <f>VLOOKUP($A142,tabCustoUnit[],COLUMN(CUSTO_GLOBAL[[#Headers],[Incidência do Submódulo 2.1 sobre 13º Salário, Férias e Adicional de Férias]])-2,0)*($G142-$H142)</f>
        <v>99.02774070000001</v>
      </c>
      <c r="AD142" s="21">
        <f>VLOOKUP($A142,tabCustoUnit[],COLUMN(CUSTO_GLOBAL[[#Headers],[Submódulo 2.2]])-2,0)*($G142-$H142)</f>
        <v>361.00589070000001</v>
      </c>
      <c r="AE142" s="22" t="e">
        <f ca="1">VLOOKUP($A142,tabCustoUnit[],COLUMN(CUSTO_GLOBAL[[#Headers],[Vale - Transporte (Descontada parcela do empregado)]])-2,0)*($G142-$H142)</f>
        <v>#NAME?</v>
      </c>
      <c r="AF142" s="22">
        <f>VLOOKUP($A142,tabCustoUnit[],COLUMN(CUSTO_GLOBAL[[#Headers],[Vale - Alimentação (Descontada parcela do empregado)]])-2,0)*($G142-$H142)</f>
        <v>582</v>
      </c>
      <c r="AG142" s="22">
        <f>VLOOKUP($A142,tabCustoUnit[],COLUMN(CUSTO_GLOBAL[[#Headers],[Cesta Básica]])-2,0)*($G142-$H142)</f>
        <v>0</v>
      </c>
      <c r="AH142" s="22">
        <f>VLOOKUP($A142,tabCustoUnit[],COLUMN(CUSTO_GLOBAL[[#Headers],[PAF]])-2,0)*($G142-$H142)</f>
        <v>0</v>
      </c>
      <c r="AI142" s="22">
        <f>VLOOKUP($A142,tabCustoUnit[],COLUMN(CUSTO_GLOBAL[[#Headers],[PQM]])-2,0)*($G142-$H142)</f>
        <v>0</v>
      </c>
      <c r="AJ142" s="22">
        <v>0</v>
      </c>
      <c r="AK142" s="22">
        <f>VLOOKUP($A142,tabCustoUnit[],COLUMN(CUSTO_GLOBAL[[#Headers],[Seguro de Vida]])-2,0)*($G142-$H142)</f>
        <v>3.36</v>
      </c>
      <c r="AL142" s="22">
        <f>VLOOKUP($A142,tabCustoUnit[],COLUMN(CUSTO_GLOBAL[[#Headers],[Despesas de Viagem]])-2,0)*($G142-$H142)</f>
        <v>0</v>
      </c>
      <c r="AM142" s="22" t="e">
        <f ca="1">VLOOKUP($A142,tabCustoUnit[],COLUMN(CUSTO_GLOBAL[[#Headers],[Submódulo 2.3]])-2,0)*($G142-$H142)</f>
        <v>#NAME?</v>
      </c>
      <c r="AN142" s="22" t="e">
        <f ca="1">VLOOKUP($A142,tabCustoUnit[],COLUMN(CUSTO_GLOBAL[[#Headers],[MÓDULO 2 - Total Encargos e Benefícios mensais e diários]])-2,0)*($G142-$H142)</f>
        <v>#NAME?</v>
      </c>
      <c r="AO142" s="22">
        <f>VLOOKUP($A142,tabCustoUnit[],COLUMN(CUSTO_GLOBAL[[#Headers],[Aviso Prévio Indenizado (API) e Reflexo do Aviso Prévio Indenizado]])-2,0)*($G142-$H142)</f>
        <v>9.4470672364583343</v>
      </c>
      <c r="AP142" s="22">
        <f>VLOOKUP($A142,tabCustoUnit[],COLUMN(CUSTO_GLOBAL[[#Headers],[Incidência do FGTS sobre API e Reflexo do API]])-2,0)*($G142-$H142)</f>
        <v>0.75576537891666684</v>
      </c>
      <c r="AQ142" s="22">
        <f>VLOOKUP($A142,tabCustoUnit[],COLUMN(CUSTO_GLOBAL[[#Headers],[Multa Rescisória do FGTS sobre o Aviso Prévio Indenizado]])-2,0)*($G142-$H142)</f>
        <v>0.30230615156666679</v>
      </c>
      <c r="AR142" s="22">
        <f>VLOOKUP($A142,tabCustoUnit[],COLUMN(CUSTO_GLOBAL[[#Headers],[Aviso Prévio Trabalhado - APT]])-2,0)*($G142-$H142)</f>
        <v>4.7156067000000013</v>
      </c>
      <c r="AS142" s="22">
        <f>VLOOKUP($A142,tabCustoUnit[],COLUMN(CUSTO_GLOBAL[[#Headers],[Incidência dos encargos do submódulo 2.1 sobre Aviso Prévio Trabalhado]])-2,0)*($G142-$H142)</f>
        <v>1.7824993326000007</v>
      </c>
      <c r="AT142" s="22">
        <f>VLOOKUP($A142,tabCustoUnit[],COLUMN(CUSTO_GLOBAL[[#Headers],[Multa Rescisória do FGTS]])-2,0)*($G142-$H142)</f>
        <v>41.197935360000002</v>
      </c>
      <c r="AU142" s="22">
        <f>VLOOKUP($A142,tabCustoUnit[],COLUMN(CUSTO_GLOBAL[[#Headers],[Indenização Adicional (Art. 9º da Lei nº 7.238/84)]])-2,0)*($G142-$H142)</f>
        <v>1.1227635000000002</v>
      </c>
      <c r="AV142" s="22">
        <f>VLOOKUP($A142,tabCustoUnit[],COLUMN(CUSTO_GLOBAL[[#Headers],[MÓDULO 3 – PROVISÃO PARA RESCISÃO]])-2,0)*($G142-$H142)</f>
        <v>59.323943659541669</v>
      </c>
      <c r="AW142" s="22">
        <f>VLOOKUP($A142,tabCustoUnit[],COLUMN(CUSTO_GLOBAL[[#Headers],[Ausência por Doença]])-2,0)*($G142-$H142)</f>
        <v>11.3773368</v>
      </c>
      <c r="AX142" s="22">
        <f>VLOOKUP($A142,tabCustoUnit[],COLUMN(CUSTO_GLOBAL[[#Headers],[Ausências Legais]])-2,0)*($G142-$H142)</f>
        <v>2.7320578500000003</v>
      </c>
      <c r="AY142" s="22">
        <f>VLOOKUP($A142,tabCustoUnit[],COLUMN(CUSTO_GLOBAL[[#Headers],[Licença Paternidade]])-2,0)*($G142-$H142)</f>
        <v>0.23016651750000003</v>
      </c>
      <c r="AZ142" s="22">
        <f>VLOOKUP($A142,tabCustoUnit[],COLUMN(CUSTO_GLOBAL[[#Headers],[Ausência por Acidente de Trabalho]])-2,0)*($G142-$H142)</f>
        <v>0.28069087500000006</v>
      </c>
      <c r="BA142" s="22">
        <f>VLOOKUP($A142,tabCustoUnit[],COLUMN(CUSTO_GLOBAL[[#Headers],[Férias, Adicional de Férias e 13º  com empregada em gozo de Licença Maternidade]])-2,0)*($G142-$H142)</f>
        <v>1.7465210000000002</v>
      </c>
      <c r="BB142" s="22">
        <f>VLOOKUP($A142,tabCustoUnit[],COLUMN(CUSTO_GLOBAL[[#Headers],[Incidência do Submódulo 2.1 sobre Ausências Legais]])-2,0)*($G142-$H142)</f>
        <v>6.1866402100650024</v>
      </c>
      <c r="BC142" s="22">
        <f>VLOOKUP($A142,tabCustoUnit[],COLUMN(CUSTO_GLOBAL[[#Headers],[Submódulo 4.1]])-2,0)*($G142-$H142)</f>
        <v>22.553413252565001</v>
      </c>
      <c r="BD142" s="22">
        <f>VLOOKUP($A142,tabCustoUnit[],COLUMN(CUSTO_GLOBAL[[#Headers],[Intervalo para Repouso ou Alimentação]])-2,0)*($G142-$H142)</f>
        <v>0</v>
      </c>
      <c r="BE142" s="22">
        <f>VLOOKUP($A142,tabCustoUnit[],COLUMN(CUSTO_GLOBAL[[#Headers],[Submódulo 4.2]])-2,0)*($G142-$H142)</f>
        <v>0</v>
      </c>
      <c r="BF142" s="22">
        <f>VLOOKUP($A142,tabCustoUnit[],COLUMN(CUSTO_GLOBAL[[#Headers],[Suspensão Temporária do Contrato de Trabalho]])-2,0)*($G142-$H142)</f>
        <v>0</v>
      </c>
      <c r="BG142" s="22">
        <f>VLOOKUP($A142,tabCustoUnit[],COLUMN(CUSTO_GLOBAL[[#Headers],[Submódulo 4.3]])-2,0)*($G142-$H142)</f>
        <v>0</v>
      </c>
      <c r="BH142" s="22">
        <f>VLOOKUP($A142,tabCustoUnit[],COLUMN(CUSTO_GLOBAL[[#Headers],[MÓDULO 4 – CUSTO DE REPOSIÇÃO DO PROFISSIONAL AUSENTE]])-2,0)*($G142-$H142)</f>
        <v>22.553413252565001</v>
      </c>
      <c r="BI142" s="22">
        <f>VLOOKUP($A142,tabCustoUnit[],COLUMN(CUSTO_GLOBAL[[#Headers],[Uniformes e EPIs]])-2,0)*($G142-$H142)</f>
        <v>196.62072732312174</v>
      </c>
      <c r="BJ142" s="22">
        <f>VLOOKUP($A142,tabCustoUnit[],COLUMN(CUSTO_GLOBAL[[#Headers],[Materiais de Consumo]])-2,0)*($G142-$H142)</f>
        <v>441.81099462365592</v>
      </c>
      <c r="BK142" s="22">
        <f>VLOOKUP($A142,tabCustoUnit[],COLUMN(CUSTO_GLOBAL[[#Headers],[Máquinas e Equipamentos (depreciação)]])-2,0)*($G142-$H142)</f>
        <v>113.11309677419354</v>
      </c>
      <c r="BL142" s="22">
        <f>VLOOKUP($A142,tabCustoUnit[],COLUMN(CUSTO_GLOBAL[[#Headers],[Produtos de Limpeza e Materiais de Higiene Pessoal]])-2,0)*($G142-$H142)</f>
        <v>0</v>
      </c>
      <c r="BM142" s="22">
        <f>VLOOKUP($A142,tabCustoUnit[],COLUMN(CUSTO_GLOBAL[[#Headers],[Outros (especificar)]])-2,0)*($G142-$H142)</f>
        <v>0</v>
      </c>
      <c r="BN142" s="22">
        <f>VLOOKUP($A142,tabCustoUnit[],COLUMN(CUSTO_GLOBAL[[#Headers],[MÓDULO 5 – INSUMOS DIVERSOS]])-2,0)*($G142-$H142)</f>
        <v>751.54481872097119</v>
      </c>
      <c r="BO142" s="22" t="e">
        <f ca="1">VLOOKUP($A142,tabCustoUnit[],COLUMN(CUSTO_GLOBAL[[#Headers],[TOTAL MÓDULOS 1+2+3+4+5]])-2,0)*($G142-$H142)</f>
        <v>#NAME?</v>
      </c>
      <c r="BP142" s="22" t="e">
        <f ca="1">VLOOKUP($A142,tabCustoUnit[],COLUMN(CUSTO_GLOBAL[[#Headers],[Custos Indiretos]])-2,0)*($G142-$H142)</f>
        <v>#NAME?</v>
      </c>
      <c r="BQ142" s="22" t="e">
        <f ca="1">VLOOKUP($A142,tabCustoUnit[],COLUMN(CUSTO_GLOBAL[[#Headers],[Lucro]])-2,0)*($G142-$H142)</f>
        <v>#NAME?</v>
      </c>
      <c r="BR142" s="26">
        <f>VLOOKUP($A142,tabCustoUnit[],COLUMN(CUSTO_GLOBAL[[#Headers],[COFINS]])-2,0)</f>
        <v>8.6609686609686695E-2</v>
      </c>
      <c r="BS142" s="26">
        <f>VLOOKUP($A142,tabCustoUnit[],COLUMN(CUSTO_GLOBAL[[#Headers],[PIS]])-2,0)</f>
        <v>1.880341880341882E-2</v>
      </c>
      <c r="BT142" s="28">
        <f>VLOOKUP($A142,tabCustoUnit[],COLUMN(CUSTO_GLOBAL[[#Headers],[ISS]])-2,0)</f>
        <v>0.03</v>
      </c>
      <c r="BU142" s="26">
        <f>VLOOKUP($A142,tabCustoUnit[],COLUMN(CUSTO_GLOBAL[[#Headers],[ISS (Conversão Alíquota s/ fatura)]])-2,0)</f>
        <v>3.4188034188034219E-2</v>
      </c>
      <c r="BV142" s="26">
        <f>VLOOKUP($A142,tabCustoUnit[],COLUMN(CUSTO_GLOBAL[[#Headers],[Resumo de Alíquotas (PIS+CONFINS+ISS)]])-2,0)</f>
        <v>0.1225</v>
      </c>
      <c r="BW142" s="138">
        <f>VLOOKUP($A142,tabCustoUnit[],COLUMN(CUSTO_GLOBAL[[#Headers],[PIS + COFINS + ISS (Total Conversão  Alíquota s/ Fatura)]])-2,0)</f>
        <v>0.13960113960113973</v>
      </c>
      <c r="BX142" s="22" t="e">
        <f ca="1">VLOOKUP($A142,tabCustoUnit[],COLUMN(CUSTO_GLOBAL[[#Headers],[Valor dos Tributos (ISS, PIS, CONFINS)]])-2,0)*($G142-$H142)</f>
        <v>#NAME?</v>
      </c>
      <c r="BY142" s="22" t="e">
        <f ca="1">VLOOKUP($A142,tabCustoUnit[],COLUMN(CUSTO_GLOBAL[[#Headers],[MÓDULO 6 – CUSTOS INDIRETOS, TRIBUTOS E LUCRO]])-2,0)*($G142-$H142)</f>
        <v>#NAME?</v>
      </c>
      <c r="BZ142" s="22" t="e">
        <f ca="1">VLOOKUP($A142,tabCustoUnit[],COLUMN(CUSTO_GLOBAL[[#Headers],[CUSTO TOTAL MENSAL]])-2,0)*($G142-$H142)</f>
        <v>#NAME?</v>
      </c>
      <c r="CA142" s="22" t="e">
        <f ca="1">CUSTO_GLOBAL[[#This Row],[CUSTO TOTAL MENSAL]]*12</f>
        <v>#NAME?</v>
      </c>
      <c r="CB142" s="24">
        <f>VLOOKUP($A142,tabCustoUnit[],COLUMN(CUSTO_GLOBAL[[#Headers],[ANO DA CCT]])-2,0)</f>
        <v>45658</v>
      </c>
      <c r="CC142" s="25" t="str">
        <f>VLOOKUP($A142,tabCustoUnit[],COLUMN(CUSTO_GLOBAL[[#Headers],[Nº DE PEDIDO DA CCT]])-2,0)</f>
        <v>-</v>
      </c>
      <c r="CD142" s="25" t="str">
        <f>VLOOKUP($A142,tabCustoUnit[],COLUMN(CUSTO_GLOBAL[[#Headers],[TERMO ADITIVO ALTERAÇÃO DA CCT]])-2,0)</f>
        <v>-</v>
      </c>
    </row>
    <row r="143" spans="1:82">
      <c r="A143" s="20" t="s">
        <v>1597</v>
      </c>
      <c r="B143" t="s">
        <v>1133</v>
      </c>
      <c r="C143" t="s">
        <v>1368</v>
      </c>
      <c r="D143" t="s">
        <v>1041</v>
      </c>
      <c r="E143" s="20" t="s">
        <v>1090</v>
      </c>
      <c r="F143" s="20" t="s">
        <v>120</v>
      </c>
      <c r="G143" s="20">
        <v>1</v>
      </c>
      <c r="H143" s="20">
        <v>0</v>
      </c>
      <c r="I143" s="21">
        <f>VLOOKUP($A143,tabCustoUnit[],COLUMN(CUSTO_GLOBAL[[#Headers],[Salário Base]])-2,0)*($G143-$H143)</f>
        <v>2296.1756999999998</v>
      </c>
      <c r="J143" s="21">
        <f>VLOOKUP($A143,tabCustoUnit[],COLUMN(CUSTO_GLOBAL[[#Headers],[Adicional Periculosidade]])-2,0)*($G143-$H143)</f>
        <v>0</v>
      </c>
      <c r="K143" s="21">
        <f>VLOOKUP($A143,tabCustoUnit[],COLUMN(CUSTO_GLOBAL[[#Headers],[Adicional Insalubridade]])-2,0)*($G143-$H143)</f>
        <v>303.60000000000002</v>
      </c>
      <c r="L143" s="21">
        <f>VLOOKUP($A143,tabCustoUnit[],COLUMN(CUSTO_GLOBAL[[#Headers],[Adicional Noturno]])-2,0)*($G143-$H143)</f>
        <v>0</v>
      </c>
      <c r="M143" s="21">
        <f>VLOOKUP($A143,tabCustoUnit[],COLUMN(CUSTO_GLOBAL[[#Headers],[Adicional Motorista II (Gratificação)]])-2,0)*($G143-$H143)</f>
        <v>0</v>
      </c>
      <c r="N143" s="21">
        <f>VLOOKUP($A143,tabCustoUnit[],COLUMN(CUSTO_GLOBAL[[#Headers],[Adicional de Sobreaviso]])-2,0)*($G143-$H143)</f>
        <v>0</v>
      </c>
      <c r="O143" s="21">
        <f>VLOOKUP($A143,tabCustoUnit[],COLUMN(CUSTO_GLOBAL[[#Headers],[Horas Extras TI]])-2,0)*($G143-$H143)</f>
        <v>0</v>
      </c>
      <c r="P143" s="21">
        <f>VLOOKUP($A143,tabCustoUnit[],COLUMN(CUSTO_GLOBAL[[#Headers],[Adicional de Acúmulo de função]])-2,0)*($G143-$H143)</f>
        <v>0</v>
      </c>
      <c r="Q143" s="21">
        <f>VLOOKUP($A143,tabCustoUnit[],COLUMN(CUSTO_GLOBAL[[#Headers],[MODULO 1 - REMUNERAÇÃO ]])-2,0)*($G143-$H143)</f>
        <v>2599.7756999999997</v>
      </c>
      <c r="R143" s="21">
        <f>VLOOKUP($A143,tabCustoUnit[],COLUMN(CUSTO_GLOBAL[[#Headers],[INSS]])-2,0)*($G143-$H143)</f>
        <v>519.95513999999991</v>
      </c>
      <c r="S143" s="21">
        <f>VLOOKUP($A143,tabCustoUnit[],COLUMN(CUSTO_GLOBAL[[#Headers],[SESI OU SESC]])-2,0)*($G143-$H143)</f>
        <v>38.996635499999996</v>
      </c>
      <c r="T143" s="21">
        <f>VLOOKUP($A143,tabCustoUnit[],COLUMN(CUSTO_GLOBAL[[#Headers],[SENAI OU SENAC]])-2,0)*($G143-$H143)</f>
        <v>25.997756999999996</v>
      </c>
      <c r="U143" s="21">
        <f>VLOOKUP($A143,tabCustoUnit[],COLUMN(CUSTO_GLOBAL[[#Headers],[INCRA]])-2,0)*($G143-$H143)</f>
        <v>5.1995513999999998</v>
      </c>
      <c r="V143" s="21">
        <f>VLOOKUP($A143,tabCustoUnit[],COLUMN(CUSTO_GLOBAL[[#Headers],[Salário Educação]])-2,0)*($G143-$H143)</f>
        <v>64.994392499999989</v>
      </c>
      <c r="W143" s="21">
        <f>VLOOKUP($A143,tabCustoUnit[],COLUMN(CUSTO_GLOBAL[[#Headers],[FGTS]])-2,0)*($G143-$H143)</f>
        <v>207.98205599999997</v>
      </c>
      <c r="X143" s="21">
        <f>VLOOKUP($A143,tabCustoUnit[],COLUMN(CUSTO_GLOBAL[[#Headers],[RAT Ajustado]])-2,0)*($G143-$H143)</f>
        <v>103.99102799999999</v>
      </c>
      <c r="Y143" s="21">
        <f>VLOOKUP($A143,tabCustoUnit[],COLUMN(CUSTO_GLOBAL[[#Headers],[SEBRAE]])-2,0)*($G143-$H143)</f>
        <v>15.598654199999999</v>
      </c>
      <c r="Z143" s="21">
        <f>VLOOKUP($A143,tabCustoUnit[],COLUMN(CUSTO_GLOBAL[[#Headers],[Submódulo 2.1]])-2,0)*($G143-$H143)</f>
        <v>982.71521459999985</v>
      </c>
      <c r="AA143" s="21">
        <f>VLOOKUP($A143,tabCustoUnit[],COLUMN(CUSTO_GLOBAL[[#Headers],[13º salário (titular)]])-2,0)*($G143-$H143)</f>
        <v>216.64797499999997</v>
      </c>
      <c r="AB143" s="21">
        <f>VLOOKUP($A143,tabCustoUnit[],COLUMN(CUSTO_GLOBAL[[#Headers],[Férias e Adicional de Férias (titular)]])-2,0)*($G143-$H143)</f>
        <v>288.86396666666661</v>
      </c>
      <c r="AC143" s="21">
        <f>VLOOKUP($A143,tabCustoUnit[],COLUMN(CUSTO_GLOBAL[[#Headers],[Incidência do Submódulo 2.1 sobre 13º Salário, Férias e Adicional de Férias]])-2,0)*($G143-$H143)</f>
        <v>191.08351394999997</v>
      </c>
      <c r="AD143" s="21">
        <f>VLOOKUP($A143,tabCustoUnit[],COLUMN(CUSTO_GLOBAL[[#Headers],[Submódulo 2.2]])-2,0)*($G143-$H143)</f>
        <v>696.59545561666653</v>
      </c>
      <c r="AE143" s="22" t="e">
        <f ca="1">VLOOKUP($A143,tabCustoUnit[],COLUMN(CUSTO_GLOBAL[[#Headers],[Vale - Transporte (Descontada parcela do empregado)]])-2,0)*($G143-$H143)</f>
        <v>#NAME?</v>
      </c>
      <c r="AF143" s="22">
        <f>VLOOKUP($A143,tabCustoUnit[],COLUMN(CUSTO_GLOBAL[[#Headers],[Vale - Alimentação (Descontada parcela do empregado)]])-2,0)*($G143-$H143)</f>
        <v>582</v>
      </c>
      <c r="AG143" s="22">
        <f>VLOOKUP($A143,tabCustoUnit[],COLUMN(CUSTO_GLOBAL[[#Headers],[Cesta Básica]])-2,0)*($G143-$H143)</f>
        <v>0</v>
      </c>
      <c r="AH143" s="22">
        <f>VLOOKUP($A143,tabCustoUnit[],COLUMN(CUSTO_GLOBAL[[#Headers],[PAF]])-2,0)*($G143-$H143)</f>
        <v>0</v>
      </c>
      <c r="AI143" s="22">
        <f>VLOOKUP($A143,tabCustoUnit[],COLUMN(CUSTO_GLOBAL[[#Headers],[PQM]])-2,0)*($G143-$H143)</f>
        <v>0</v>
      </c>
      <c r="AJ143" s="22">
        <v>0</v>
      </c>
      <c r="AK143" s="22">
        <f>VLOOKUP($A143,tabCustoUnit[],COLUMN(CUSTO_GLOBAL[[#Headers],[Seguro de Vida]])-2,0)*($G143-$H143)</f>
        <v>3.36</v>
      </c>
      <c r="AL143" s="22">
        <f>VLOOKUP($A143,tabCustoUnit[],COLUMN(CUSTO_GLOBAL[[#Headers],[Despesas de Viagem]])-2,0)*($G143-$H143)</f>
        <v>0</v>
      </c>
      <c r="AM143" s="22" t="e">
        <f ca="1">VLOOKUP($A143,tabCustoUnit[],COLUMN(CUSTO_GLOBAL[[#Headers],[Submódulo 2.3]])-2,0)*($G143-$H143)</f>
        <v>#NAME?</v>
      </c>
      <c r="AN143" s="22" t="e">
        <f ca="1">VLOOKUP($A143,tabCustoUnit[],COLUMN(CUSTO_GLOBAL[[#Headers],[MÓDULO 2 - Total Encargos e Benefícios mensais e diários]])-2,0)*($G143-$H143)</f>
        <v>#NAME?</v>
      </c>
      <c r="AO143" s="22">
        <f>VLOOKUP($A143,tabCustoUnit[],COLUMN(CUSTO_GLOBAL[[#Headers],[Aviso Prévio Indenizado (API) e Reflexo do Aviso Prévio Indenizado]])-2,0)*($G143-$H143)</f>
        <v>18.229021396469907</v>
      </c>
      <c r="AP143" s="22">
        <f>VLOOKUP($A143,tabCustoUnit[],COLUMN(CUSTO_GLOBAL[[#Headers],[Incidência do FGTS sobre API e Reflexo do API]])-2,0)*($G143-$H143)</f>
        <v>1.4583217117175926</v>
      </c>
      <c r="AQ143" s="22">
        <f>VLOOKUP($A143,tabCustoUnit[],COLUMN(CUSTO_GLOBAL[[#Headers],[Multa Rescisória do FGTS sobre o Aviso Prévio Indenizado]])-2,0)*($G143-$H143)</f>
        <v>0.58332868468703702</v>
      </c>
      <c r="AR143" s="22">
        <f>VLOOKUP($A143,tabCustoUnit[],COLUMN(CUSTO_GLOBAL[[#Headers],[Aviso Prévio Trabalhado - APT]])-2,0)*($G143-$H143)</f>
        <v>9.0992149500000004</v>
      </c>
      <c r="AS143" s="22">
        <f>VLOOKUP($A143,tabCustoUnit[],COLUMN(CUSTO_GLOBAL[[#Headers],[Incidência dos encargos do submódulo 2.1 sobre Aviso Prévio Trabalhado]])-2,0)*($G143-$H143)</f>
        <v>3.4395032511000005</v>
      </c>
      <c r="AT143" s="22">
        <f>VLOOKUP($A143,tabCustoUnit[],COLUMN(CUSTO_GLOBAL[[#Headers],[Multa Rescisória do FGTS]])-2,0)*($G143-$H143)</f>
        <v>79.495363626666645</v>
      </c>
      <c r="AU143" s="22">
        <f>VLOOKUP($A143,tabCustoUnit[],COLUMN(CUSTO_GLOBAL[[#Headers],[Indenização Adicional (Art. 9º da Lei nº 7.238/84)]])-2,0)*($G143-$H143)</f>
        <v>2.1664797499999997</v>
      </c>
      <c r="AV143" s="22">
        <f>VLOOKUP($A143,tabCustoUnit[],COLUMN(CUSTO_GLOBAL[[#Headers],[MÓDULO 3 – PROVISÃO PARA RESCISÃO]])-2,0)*($G143-$H143)</f>
        <v>114.47123337064117</v>
      </c>
      <c r="AW143" s="22">
        <f>VLOOKUP($A143,tabCustoUnit[],COLUMN(CUSTO_GLOBAL[[#Headers],[Ausência por Doença]])-2,0)*($G143-$H143)</f>
        <v>21.953661466666663</v>
      </c>
      <c r="AX143" s="22">
        <f>VLOOKUP($A143,tabCustoUnit[],COLUMN(CUSTO_GLOBAL[[#Headers],[Ausências Legais]])-2,0)*($G143-$H143)</f>
        <v>5.2717673916666659</v>
      </c>
      <c r="AY143" s="22">
        <f>VLOOKUP($A143,tabCustoUnit[],COLUMN(CUSTO_GLOBAL[[#Headers],[Licença Paternidade]])-2,0)*($G143-$H143)</f>
        <v>0.44412834874999996</v>
      </c>
      <c r="AZ143" s="22">
        <f>VLOOKUP($A143,tabCustoUnit[],COLUMN(CUSTO_GLOBAL[[#Headers],[Ausência por Acidente de Trabalho]])-2,0)*($G143-$H143)</f>
        <v>0.54161993749999993</v>
      </c>
      <c r="BA143" s="22">
        <f>VLOOKUP($A143,tabCustoUnit[],COLUMN(CUSTO_GLOBAL[[#Headers],[Férias, Adicional de Férias e 13º  com empregada em gozo de Licença Maternidade]])-2,0)*($G143-$H143)</f>
        <v>3.3700796111111107</v>
      </c>
      <c r="BB143" s="22">
        <f>VLOOKUP($A143,tabCustoUnit[],COLUMN(CUSTO_GLOBAL[[#Headers],[Incidência do Submódulo 2.1 sobre Ausências Legais]])-2,0)*($G143-$H143)</f>
        <v>11.9377150536525</v>
      </c>
      <c r="BC143" s="22">
        <f>VLOOKUP($A143,tabCustoUnit[],COLUMN(CUSTO_GLOBAL[[#Headers],[Submódulo 4.1]])-2,0)*($G143-$H143)</f>
        <v>43.518971809346937</v>
      </c>
      <c r="BD143" s="22">
        <f>VLOOKUP($A143,tabCustoUnit[],COLUMN(CUSTO_GLOBAL[[#Headers],[Intervalo para Repouso ou Alimentação]])-2,0)*($G143-$H143)</f>
        <v>0</v>
      </c>
      <c r="BE143" s="22">
        <f>VLOOKUP($A143,tabCustoUnit[],COLUMN(CUSTO_GLOBAL[[#Headers],[Submódulo 4.2]])-2,0)*($G143-$H143)</f>
        <v>0</v>
      </c>
      <c r="BF143" s="22">
        <f>VLOOKUP($A143,tabCustoUnit[],COLUMN(CUSTO_GLOBAL[[#Headers],[Suspensão Temporária do Contrato de Trabalho]])-2,0)*($G143-$H143)</f>
        <v>0</v>
      </c>
      <c r="BG143" s="22">
        <f>VLOOKUP($A143,tabCustoUnit[],COLUMN(CUSTO_GLOBAL[[#Headers],[Submódulo 4.3]])-2,0)*($G143-$H143)</f>
        <v>0</v>
      </c>
      <c r="BH143" s="22">
        <f>VLOOKUP($A143,tabCustoUnit[],COLUMN(CUSTO_GLOBAL[[#Headers],[MÓDULO 4 – CUSTO DE REPOSIÇÃO DO PROFISSIONAL AUSENTE]])-2,0)*($G143-$H143)</f>
        <v>43.518971809346937</v>
      </c>
      <c r="BI143" s="22">
        <f>VLOOKUP($A143,tabCustoUnit[],COLUMN(CUSTO_GLOBAL[[#Headers],[Uniformes e EPIs]])-2,0)*($G143-$H143)</f>
        <v>196.62072732312174</v>
      </c>
      <c r="BJ143" s="22">
        <f>VLOOKUP($A143,tabCustoUnit[],COLUMN(CUSTO_GLOBAL[[#Headers],[Materiais de Consumo]])-2,0)*($G143-$H143)</f>
        <v>441.81099462365592</v>
      </c>
      <c r="BK143" s="22">
        <f>VLOOKUP($A143,tabCustoUnit[],COLUMN(CUSTO_GLOBAL[[#Headers],[Máquinas e Equipamentos (depreciação)]])-2,0)*($G143-$H143)</f>
        <v>113.11309677419354</v>
      </c>
      <c r="BL143" s="22">
        <f>VLOOKUP($A143,tabCustoUnit[],COLUMN(CUSTO_GLOBAL[[#Headers],[Produtos de Limpeza e Materiais de Higiene Pessoal]])-2,0)*($G143-$H143)</f>
        <v>0</v>
      </c>
      <c r="BM143" s="22">
        <f>VLOOKUP($A143,tabCustoUnit[],COLUMN(CUSTO_GLOBAL[[#Headers],[Outros (especificar)]])-2,0)*($G143-$H143)</f>
        <v>0</v>
      </c>
      <c r="BN143" s="22">
        <f>VLOOKUP($A143,tabCustoUnit[],COLUMN(CUSTO_GLOBAL[[#Headers],[MÓDULO 5 – INSUMOS DIVERSOS]])-2,0)*($G143-$H143)</f>
        <v>751.54481872097119</v>
      </c>
      <c r="BO143" s="22" t="e">
        <f ca="1">VLOOKUP($A143,tabCustoUnit[],COLUMN(CUSTO_GLOBAL[[#Headers],[TOTAL MÓDULOS 1+2+3+4+5]])-2,0)*($G143-$H143)</f>
        <v>#NAME?</v>
      </c>
      <c r="BP143" s="22" t="e">
        <f ca="1">VLOOKUP($A143,tabCustoUnit[],COLUMN(CUSTO_GLOBAL[[#Headers],[Custos Indiretos]])-2,0)*($G143-$H143)</f>
        <v>#NAME?</v>
      </c>
      <c r="BQ143" s="22" t="e">
        <f ca="1">VLOOKUP($A143,tabCustoUnit[],COLUMN(CUSTO_GLOBAL[[#Headers],[Lucro]])-2,0)*($G143-$H143)</f>
        <v>#NAME?</v>
      </c>
      <c r="BR143" s="26">
        <f>VLOOKUP($A143,tabCustoUnit[],COLUMN(CUSTO_GLOBAL[[#Headers],[COFINS]])-2,0)</f>
        <v>8.6609686609686695E-2</v>
      </c>
      <c r="BS143" s="26">
        <f>VLOOKUP($A143,tabCustoUnit[],COLUMN(CUSTO_GLOBAL[[#Headers],[PIS]])-2,0)</f>
        <v>1.880341880341882E-2</v>
      </c>
      <c r="BT143" s="28">
        <f>VLOOKUP($A143,tabCustoUnit[],COLUMN(CUSTO_GLOBAL[[#Headers],[ISS]])-2,0)</f>
        <v>0.03</v>
      </c>
      <c r="BU143" s="26">
        <f>VLOOKUP($A143,tabCustoUnit[],COLUMN(CUSTO_GLOBAL[[#Headers],[ISS (Conversão Alíquota s/ fatura)]])-2,0)</f>
        <v>3.4188034188034219E-2</v>
      </c>
      <c r="BV143" s="26">
        <f>VLOOKUP($A143,tabCustoUnit[],COLUMN(CUSTO_GLOBAL[[#Headers],[Resumo de Alíquotas (PIS+CONFINS+ISS)]])-2,0)</f>
        <v>0.1225</v>
      </c>
      <c r="BW143" s="138">
        <f>VLOOKUP($A143,tabCustoUnit[],COLUMN(CUSTO_GLOBAL[[#Headers],[PIS + COFINS + ISS (Total Conversão  Alíquota s/ Fatura)]])-2,0)</f>
        <v>0.13960113960113973</v>
      </c>
      <c r="BX143" s="22" t="e">
        <f ca="1">VLOOKUP($A143,tabCustoUnit[],COLUMN(CUSTO_GLOBAL[[#Headers],[Valor dos Tributos (ISS, PIS, CONFINS)]])-2,0)*($G143-$H143)</f>
        <v>#NAME?</v>
      </c>
      <c r="BY143" s="22" t="e">
        <f ca="1">VLOOKUP($A143,tabCustoUnit[],COLUMN(CUSTO_GLOBAL[[#Headers],[MÓDULO 6 – CUSTOS INDIRETOS, TRIBUTOS E LUCRO]])-2,0)*($G143-$H143)</f>
        <v>#NAME?</v>
      </c>
      <c r="BZ143" s="22" t="e">
        <f ca="1">VLOOKUP($A143,tabCustoUnit[],COLUMN(CUSTO_GLOBAL[[#Headers],[CUSTO TOTAL MENSAL]])-2,0)*($G143-$H143)</f>
        <v>#NAME?</v>
      </c>
      <c r="CA143" s="22" t="e">
        <f ca="1">CUSTO_GLOBAL[[#This Row],[CUSTO TOTAL MENSAL]]*12</f>
        <v>#NAME?</v>
      </c>
      <c r="CB143" s="24">
        <f>VLOOKUP($A143,tabCustoUnit[],COLUMN(CUSTO_GLOBAL[[#Headers],[ANO DA CCT]])-2,0)</f>
        <v>45658</v>
      </c>
      <c r="CC143" s="25" t="str">
        <f>VLOOKUP($A143,tabCustoUnit[],COLUMN(CUSTO_GLOBAL[[#Headers],[Nº DE PEDIDO DA CCT]])-2,0)</f>
        <v>-</v>
      </c>
      <c r="CD143" s="25" t="str">
        <f>VLOOKUP($A143,tabCustoUnit[],COLUMN(CUSTO_GLOBAL[[#Headers],[TERMO ADITIVO ALTERAÇÃO DA CCT]])-2,0)</f>
        <v>-</v>
      </c>
    </row>
    <row r="144" spans="1:82">
      <c r="A144" s="20" t="s">
        <v>1598</v>
      </c>
      <c r="B144" t="s">
        <v>1133</v>
      </c>
      <c r="C144" t="s">
        <v>314</v>
      </c>
      <c r="D144" t="s">
        <v>1041</v>
      </c>
      <c r="E144" s="20" t="s">
        <v>1090</v>
      </c>
      <c r="F144" s="20" t="s">
        <v>120</v>
      </c>
      <c r="G144" s="20">
        <v>1</v>
      </c>
      <c r="H144" s="20">
        <v>0</v>
      </c>
      <c r="I144" s="21">
        <f>VLOOKUP($A144,tabCustoUnit[],COLUMN(CUSTO_GLOBAL[[#Headers],[Salário Base]])-2,0)*($G144-$H144)</f>
        <v>1963.4110000000001</v>
      </c>
      <c r="J144" s="21">
        <f>VLOOKUP($A144,tabCustoUnit[],COLUMN(CUSTO_GLOBAL[[#Headers],[Adicional Periculosidade]])-2,0)*($G144-$H144)</f>
        <v>0</v>
      </c>
      <c r="K144" s="21">
        <f>VLOOKUP($A144,tabCustoUnit[],COLUMN(CUSTO_GLOBAL[[#Headers],[Adicional Insalubridade]])-2,0)*($G144-$H144)</f>
        <v>0</v>
      </c>
      <c r="L144" s="21">
        <f>VLOOKUP($A144,tabCustoUnit[],COLUMN(CUSTO_GLOBAL[[#Headers],[Adicional Noturno]])-2,0)*($G144-$H144)</f>
        <v>0</v>
      </c>
      <c r="M144" s="21">
        <f>VLOOKUP($A144,tabCustoUnit[],COLUMN(CUSTO_GLOBAL[[#Headers],[Adicional Motorista II (Gratificação)]])-2,0)*($G144-$H144)</f>
        <v>0</v>
      </c>
      <c r="N144" s="21">
        <f>VLOOKUP($A144,tabCustoUnit[],COLUMN(CUSTO_GLOBAL[[#Headers],[Adicional de Sobreaviso]])-2,0)*($G144-$H144)</f>
        <v>0</v>
      </c>
      <c r="O144" s="21">
        <f>VLOOKUP($A144,tabCustoUnit[],COLUMN(CUSTO_GLOBAL[[#Headers],[Horas Extras TI]])-2,0)*($G144-$H144)</f>
        <v>0</v>
      </c>
      <c r="P144" s="21">
        <f>VLOOKUP($A144,tabCustoUnit[],COLUMN(CUSTO_GLOBAL[[#Headers],[Adicional de Acúmulo de função]])-2,0)*($G144-$H144)</f>
        <v>0</v>
      </c>
      <c r="Q144" s="21">
        <f>VLOOKUP($A144,tabCustoUnit[],COLUMN(CUSTO_GLOBAL[[#Headers],[MODULO 1 - REMUNERAÇÃO ]])-2,0)*($G144-$H144)</f>
        <v>1963.4110000000001</v>
      </c>
      <c r="R144" s="21">
        <f>VLOOKUP($A144,tabCustoUnit[],COLUMN(CUSTO_GLOBAL[[#Headers],[INSS]])-2,0)*($G144-$H144)</f>
        <v>392.68220000000002</v>
      </c>
      <c r="S144" s="21">
        <f>VLOOKUP($A144,tabCustoUnit[],COLUMN(CUSTO_GLOBAL[[#Headers],[SESI OU SESC]])-2,0)*($G144-$H144)</f>
        <v>29.451165</v>
      </c>
      <c r="T144" s="21">
        <f>VLOOKUP($A144,tabCustoUnit[],COLUMN(CUSTO_GLOBAL[[#Headers],[SENAI OU SENAC]])-2,0)*($G144-$H144)</f>
        <v>19.63411</v>
      </c>
      <c r="U144" s="21">
        <f>VLOOKUP($A144,tabCustoUnit[],COLUMN(CUSTO_GLOBAL[[#Headers],[INCRA]])-2,0)*($G144-$H144)</f>
        <v>3.926822</v>
      </c>
      <c r="V144" s="21">
        <f>VLOOKUP($A144,tabCustoUnit[],COLUMN(CUSTO_GLOBAL[[#Headers],[Salário Educação]])-2,0)*($G144-$H144)</f>
        <v>49.085275000000003</v>
      </c>
      <c r="W144" s="21">
        <f>VLOOKUP($A144,tabCustoUnit[],COLUMN(CUSTO_GLOBAL[[#Headers],[FGTS]])-2,0)*($G144-$H144)</f>
        <v>157.07288</v>
      </c>
      <c r="X144" s="21">
        <f>VLOOKUP($A144,tabCustoUnit[],COLUMN(CUSTO_GLOBAL[[#Headers],[RAT Ajustado]])-2,0)*($G144-$H144)</f>
        <v>78.536439999999999</v>
      </c>
      <c r="Y144" s="21">
        <f>VLOOKUP($A144,tabCustoUnit[],COLUMN(CUSTO_GLOBAL[[#Headers],[SEBRAE]])-2,0)*($G144-$H144)</f>
        <v>11.780466000000001</v>
      </c>
      <c r="Z144" s="21">
        <f>VLOOKUP($A144,tabCustoUnit[],COLUMN(CUSTO_GLOBAL[[#Headers],[Submódulo 2.1]])-2,0)*($G144-$H144)</f>
        <v>742.1693580000001</v>
      </c>
      <c r="AA144" s="21">
        <f>VLOOKUP($A144,tabCustoUnit[],COLUMN(CUSTO_GLOBAL[[#Headers],[13º salário (titular)]])-2,0)*($G144-$H144)</f>
        <v>163.61758333333333</v>
      </c>
      <c r="AB144" s="21">
        <f>VLOOKUP($A144,tabCustoUnit[],COLUMN(CUSTO_GLOBAL[[#Headers],[Férias e Adicional de Férias (titular)]])-2,0)*($G144-$H144)</f>
        <v>218.15677777777776</v>
      </c>
      <c r="AC144" s="21">
        <f>VLOOKUP($A144,tabCustoUnit[],COLUMN(CUSTO_GLOBAL[[#Headers],[Incidência do Submódulo 2.1 sobre 13º Salário, Férias e Adicional de Férias]])-2,0)*($G144-$H144)</f>
        <v>144.3107085</v>
      </c>
      <c r="AD144" s="21">
        <f>VLOOKUP($A144,tabCustoUnit[],COLUMN(CUSTO_GLOBAL[[#Headers],[Submódulo 2.2]])-2,0)*($G144-$H144)</f>
        <v>526.08506961111107</v>
      </c>
      <c r="AE144" s="22" t="e">
        <f ca="1">VLOOKUP($A144,tabCustoUnit[],COLUMN(CUSTO_GLOBAL[[#Headers],[Vale - Transporte (Descontada parcela do empregado)]])-2,0)*($G144-$H144)</f>
        <v>#NAME?</v>
      </c>
      <c r="AF144" s="22">
        <f>VLOOKUP($A144,tabCustoUnit[],COLUMN(CUSTO_GLOBAL[[#Headers],[Vale - Alimentação (Descontada parcela do empregado)]])-2,0)*($G144-$H144)</f>
        <v>582</v>
      </c>
      <c r="AG144" s="22">
        <f>VLOOKUP($A144,tabCustoUnit[],COLUMN(CUSTO_GLOBAL[[#Headers],[Cesta Básica]])-2,0)*($G144-$H144)</f>
        <v>0</v>
      </c>
      <c r="AH144" s="22">
        <f>VLOOKUP($A144,tabCustoUnit[],COLUMN(CUSTO_GLOBAL[[#Headers],[PAF]])-2,0)*($G144-$H144)</f>
        <v>0</v>
      </c>
      <c r="AI144" s="22">
        <f>VLOOKUP($A144,tabCustoUnit[],COLUMN(CUSTO_GLOBAL[[#Headers],[PQM]])-2,0)*($G144-$H144)</f>
        <v>0</v>
      </c>
      <c r="AJ144" s="22">
        <v>0</v>
      </c>
      <c r="AK144" s="22">
        <f>VLOOKUP($A144,tabCustoUnit[],COLUMN(CUSTO_GLOBAL[[#Headers],[Seguro de Vida]])-2,0)*($G144-$H144)</f>
        <v>3.36</v>
      </c>
      <c r="AL144" s="22">
        <f>VLOOKUP($A144,tabCustoUnit[],COLUMN(CUSTO_GLOBAL[[#Headers],[Despesas de Viagem]])-2,0)*($G144-$H144)</f>
        <v>0</v>
      </c>
      <c r="AM144" s="22" t="e">
        <f ca="1">VLOOKUP($A144,tabCustoUnit[],COLUMN(CUSTO_GLOBAL[[#Headers],[Submódulo 2.3]])-2,0)*($G144-$H144)</f>
        <v>#NAME?</v>
      </c>
      <c r="AN144" s="22" t="e">
        <f ca="1">VLOOKUP($A144,tabCustoUnit[],COLUMN(CUSTO_GLOBAL[[#Headers],[MÓDULO 2 - Total Encargos e Benefícios mensais e diários]])-2,0)*($G144-$H144)</f>
        <v>#NAME?</v>
      </c>
      <c r="AO144" s="22">
        <f>VLOOKUP($A144,tabCustoUnit[],COLUMN(CUSTO_GLOBAL[[#Headers],[Aviso Prévio Indenizado (API) e Reflexo do Aviso Prévio Indenizado]])-2,0)*($G144-$H144)</f>
        <v>13.766980408757716</v>
      </c>
      <c r="AP144" s="22">
        <f>VLOOKUP($A144,tabCustoUnit[],COLUMN(CUSTO_GLOBAL[[#Headers],[Incidência do FGTS sobre API e Reflexo do API]])-2,0)*($G144-$H144)</f>
        <v>1.1013584327006174</v>
      </c>
      <c r="AQ144" s="22">
        <f>VLOOKUP($A144,tabCustoUnit[],COLUMN(CUSTO_GLOBAL[[#Headers],[Multa Rescisória do FGTS sobre o Aviso Prévio Indenizado]])-2,0)*($G144-$H144)</f>
        <v>0.44054337308024699</v>
      </c>
      <c r="AR144" s="22">
        <f>VLOOKUP($A144,tabCustoUnit[],COLUMN(CUSTO_GLOBAL[[#Headers],[Aviso Prévio Trabalhado - APT]])-2,0)*($G144-$H144)</f>
        <v>6.8719385000000015</v>
      </c>
      <c r="AS144" s="22">
        <f>VLOOKUP($A144,tabCustoUnit[],COLUMN(CUSTO_GLOBAL[[#Headers],[Incidência dos encargos do submódulo 2.1 sobre Aviso Prévio Trabalhado]])-2,0)*($G144-$H144)</f>
        <v>2.5975927530000007</v>
      </c>
      <c r="AT144" s="22">
        <f>VLOOKUP($A144,tabCustoUnit[],COLUMN(CUSTO_GLOBAL[[#Headers],[Multa Rescisória do FGTS]])-2,0)*($G144-$H144)</f>
        <v>60.03674524444444</v>
      </c>
      <c r="AU144" s="22">
        <f>VLOOKUP($A144,tabCustoUnit[],COLUMN(CUSTO_GLOBAL[[#Headers],[Indenização Adicional (Art. 9º da Lei nº 7.238/84)]])-2,0)*($G144-$H144)</f>
        <v>1.6361758333333334</v>
      </c>
      <c r="AV144" s="22">
        <f>VLOOKUP($A144,tabCustoUnit[],COLUMN(CUSTO_GLOBAL[[#Headers],[MÓDULO 3 – PROVISÃO PARA RESCISÃO]])-2,0)*($G144-$H144)</f>
        <v>86.451334545316371</v>
      </c>
      <c r="AW144" s="22">
        <f>VLOOKUP($A144,tabCustoUnit[],COLUMN(CUSTO_GLOBAL[[#Headers],[Ausência por Doença]])-2,0)*($G144-$H144)</f>
        <v>16.579915111111109</v>
      </c>
      <c r="AX144" s="22">
        <f>VLOOKUP($A144,tabCustoUnit[],COLUMN(CUSTO_GLOBAL[[#Headers],[Ausências Legais]])-2,0)*($G144-$H144)</f>
        <v>3.9813611944444443</v>
      </c>
      <c r="AY144" s="22">
        <f>VLOOKUP($A144,tabCustoUnit[],COLUMN(CUSTO_GLOBAL[[#Headers],[Licença Paternidade]])-2,0)*($G144-$H144)</f>
        <v>0.33541604583333334</v>
      </c>
      <c r="AZ144" s="22">
        <f>VLOOKUP($A144,tabCustoUnit[],COLUMN(CUSTO_GLOBAL[[#Headers],[Ausência por Acidente de Trabalho]])-2,0)*($G144-$H144)</f>
        <v>0.40904395833333335</v>
      </c>
      <c r="BA144" s="22">
        <f>VLOOKUP($A144,tabCustoUnit[],COLUMN(CUSTO_GLOBAL[[#Headers],[Férias, Adicional de Férias e 13º  com empregada em gozo de Licença Maternidade]])-2,0)*($G144-$H144)</f>
        <v>2.5451624074074073</v>
      </c>
      <c r="BB144" s="22">
        <f>VLOOKUP($A144,tabCustoUnit[],COLUMN(CUSTO_GLOBAL[[#Headers],[Incidência do Submódulo 2.1 sobre Ausências Legais]])-2,0)*($G144-$H144)</f>
        <v>9.0156397150750021</v>
      </c>
      <c r="BC144" s="22">
        <f>VLOOKUP($A144,tabCustoUnit[],COLUMN(CUSTO_GLOBAL[[#Headers],[Submódulo 4.1]])-2,0)*($G144-$H144)</f>
        <v>32.866538432204628</v>
      </c>
      <c r="BD144" s="22">
        <f>VLOOKUP($A144,tabCustoUnit[],COLUMN(CUSTO_GLOBAL[[#Headers],[Intervalo para Repouso ou Alimentação]])-2,0)*($G144-$H144)</f>
        <v>267.73786489195959</v>
      </c>
      <c r="BE144" s="22">
        <f>VLOOKUP($A144,tabCustoUnit[],COLUMN(CUSTO_GLOBAL[[#Headers],[Submódulo 4.2]])-2,0)*($G144-$H144)</f>
        <v>267.73786489195959</v>
      </c>
      <c r="BF144" s="22">
        <f>VLOOKUP($A144,tabCustoUnit[],COLUMN(CUSTO_GLOBAL[[#Headers],[Suspensão Temporária do Contrato de Trabalho]])-2,0)*($G144-$H144)</f>
        <v>0</v>
      </c>
      <c r="BG144" s="22">
        <f>VLOOKUP($A144,tabCustoUnit[],COLUMN(CUSTO_GLOBAL[[#Headers],[Submódulo 4.3]])-2,0)*($G144-$H144)</f>
        <v>0</v>
      </c>
      <c r="BH144" s="22">
        <f>VLOOKUP($A144,tabCustoUnit[],COLUMN(CUSTO_GLOBAL[[#Headers],[MÓDULO 4 – CUSTO DE REPOSIÇÃO DO PROFISSIONAL AUSENTE]])-2,0)*($G144-$H144)</f>
        <v>300.6044033241642</v>
      </c>
      <c r="BI144" s="22">
        <f>VLOOKUP($A144,tabCustoUnit[],COLUMN(CUSTO_GLOBAL[[#Headers],[Uniformes e EPIs]])-2,0)*($G144-$H144)</f>
        <v>56.642978962543395</v>
      </c>
      <c r="BJ144" s="22">
        <f>VLOOKUP($A144,tabCustoUnit[],COLUMN(CUSTO_GLOBAL[[#Headers],[Materiais de Consumo]])-2,0)*($G144-$H144)</f>
        <v>0</v>
      </c>
      <c r="BK144" s="22">
        <f>VLOOKUP($A144,tabCustoUnit[],COLUMN(CUSTO_GLOBAL[[#Headers],[Máquinas e Equipamentos (depreciação)]])-2,0)*($G144-$H144)</f>
        <v>0</v>
      </c>
      <c r="BL144" s="22">
        <f>VLOOKUP($A144,tabCustoUnit[],COLUMN(CUSTO_GLOBAL[[#Headers],[Produtos de Limpeza e Materiais de Higiene Pessoal]])-2,0)*($G144-$H144)</f>
        <v>0</v>
      </c>
      <c r="BM144" s="22">
        <f>VLOOKUP($A144,tabCustoUnit[],COLUMN(CUSTO_GLOBAL[[#Headers],[Outros (especificar)]])-2,0)*($G144-$H144)</f>
        <v>0</v>
      </c>
      <c r="BN144" s="22">
        <f>VLOOKUP($A144,tabCustoUnit[],COLUMN(CUSTO_GLOBAL[[#Headers],[MÓDULO 5 – INSUMOS DIVERSOS]])-2,0)*($G144-$H144)</f>
        <v>56.642978962543395</v>
      </c>
      <c r="BO144" s="22" t="e">
        <f ca="1">VLOOKUP($A144,tabCustoUnit[],COLUMN(CUSTO_GLOBAL[[#Headers],[TOTAL MÓDULOS 1+2+3+4+5]])-2,0)*($G144-$H144)</f>
        <v>#NAME?</v>
      </c>
      <c r="BP144" s="22" t="e">
        <f ca="1">VLOOKUP($A144,tabCustoUnit[],COLUMN(CUSTO_GLOBAL[[#Headers],[Custos Indiretos]])-2,0)*($G144-$H144)</f>
        <v>#NAME?</v>
      </c>
      <c r="BQ144" s="22" t="e">
        <f ca="1">VLOOKUP($A144,tabCustoUnit[],COLUMN(CUSTO_GLOBAL[[#Headers],[Lucro]])-2,0)*($G144-$H144)</f>
        <v>#NAME?</v>
      </c>
      <c r="BR144" s="26">
        <f>VLOOKUP($A144,tabCustoUnit[],COLUMN(CUSTO_GLOBAL[[#Headers],[COFINS]])-2,0)</f>
        <v>8.6609686609686695E-2</v>
      </c>
      <c r="BS144" s="26">
        <f>VLOOKUP($A144,tabCustoUnit[],COLUMN(CUSTO_GLOBAL[[#Headers],[PIS]])-2,0)</f>
        <v>1.880341880341882E-2</v>
      </c>
      <c r="BT144" s="28">
        <f>VLOOKUP($A144,tabCustoUnit[],COLUMN(CUSTO_GLOBAL[[#Headers],[ISS]])-2,0)</f>
        <v>0.03</v>
      </c>
      <c r="BU144" s="26">
        <f>VLOOKUP($A144,tabCustoUnit[],COLUMN(CUSTO_GLOBAL[[#Headers],[ISS (Conversão Alíquota s/ fatura)]])-2,0)</f>
        <v>3.4188034188034219E-2</v>
      </c>
      <c r="BV144" s="26">
        <f>VLOOKUP($A144,tabCustoUnit[],COLUMN(CUSTO_GLOBAL[[#Headers],[Resumo de Alíquotas (PIS+CONFINS+ISS)]])-2,0)</f>
        <v>0.1225</v>
      </c>
      <c r="BW144" s="138">
        <f>VLOOKUP($A144,tabCustoUnit[],COLUMN(CUSTO_GLOBAL[[#Headers],[PIS + COFINS + ISS (Total Conversão  Alíquota s/ Fatura)]])-2,0)</f>
        <v>0.13960113960113973</v>
      </c>
      <c r="BX144" s="22" t="e">
        <f ca="1">VLOOKUP($A144,tabCustoUnit[],COLUMN(CUSTO_GLOBAL[[#Headers],[Valor dos Tributos (ISS, PIS, CONFINS)]])-2,0)*($G144-$H144)</f>
        <v>#NAME?</v>
      </c>
      <c r="BY144" s="22" t="e">
        <f ca="1">VLOOKUP($A144,tabCustoUnit[],COLUMN(CUSTO_GLOBAL[[#Headers],[MÓDULO 6 – CUSTOS INDIRETOS, TRIBUTOS E LUCRO]])-2,0)*($G144-$H144)</f>
        <v>#NAME?</v>
      </c>
      <c r="BZ144" s="22" t="e">
        <f ca="1">VLOOKUP($A144,tabCustoUnit[],COLUMN(CUSTO_GLOBAL[[#Headers],[CUSTO TOTAL MENSAL]])-2,0)*($G144-$H144)</f>
        <v>#NAME?</v>
      </c>
      <c r="CA144" s="22" t="e">
        <f ca="1">CUSTO_GLOBAL[[#This Row],[CUSTO TOTAL MENSAL]]*12</f>
        <v>#NAME?</v>
      </c>
      <c r="CB144" s="24">
        <f>VLOOKUP($A144,tabCustoUnit[],COLUMN(CUSTO_GLOBAL[[#Headers],[ANO DA CCT]])-2,0)</f>
        <v>45658</v>
      </c>
      <c r="CC144" s="25" t="str">
        <f>VLOOKUP($A144,tabCustoUnit[],COLUMN(CUSTO_GLOBAL[[#Headers],[Nº DE PEDIDO DA CCT]])-2,0)</f>
        <v>-</v>
      </c>
      <c r="CD144" s="25" t="str">
        <f>VLOOKUP($A144,tabCustoUnit[],COLUMN(CUSTO_GLOBAL[[#Headers],[TERMO ADITIVO ALTERAÇÃO DA CCT]])-2,0)</f>
        <v>-</v>
      </c>
    </row>
    <row r="145" spans="1:82">
      <c r="A145" s="20" t="s">
        <v>1599</v>
      </c>
      <c r="B145" t="s">
        <v>915</v>
      </c>
      <c r="C145" t="s">
        <v>274</v>
      </c>
      <c r="D145" t="s">
        <v>990</v>
      </c>
      <c r="E145" s="20" t="s">
        <v>1090</v>
      </c>
      <c r="F145" s="20" t="s">
        <v>120</v>
      </c>
      <c r="G145" s="20">
        <v>2</v>
      </c>
      <c r="H145" s="20">
        <v>0</v>
      </c>
      <c r="I145" s="21">
        <f>VLOOKUP($A145,tabCustoUnit[],COLUMN(CUSTO_GLOBAL[[#Headers],[Salário Base]])-2,0)*($G145-$H145)</f>
        <v>8761.1337999999996</v>
      </c>
      <c r="J145" s="21">
        <f>VLOOKUP($A145,tabCustoUnit[],COLUMN(CUSTO_GLOBAL[[#Headers],[Adicional Periculosidade]])-2,0)*($G145-$H145)</f>
        <v>0</v>
      </c>
      <c r="K145" s="21">
        <f>VLOOKUP($A145,tabCustoUnit[],COLUMN(CUSTO_GLOBAL[[#Headers],[Adicional Insalubridade]])-2,0)*($G145-$H145)</f>
        <v>0</v>
      </c>
      <c r="L145" s="21">
        <f>VLOOKUP($A145,tabCustoUnit[],COLUMN(CUSTO_GLOBAL[[#Headers],[Adicional Noturno]])-2,0)*($G145-$H145)</f>
        <v>0</v>
      </c>
      <c r="M145" s="21">
        <f>VLOOKUP($A145,tabCustoUnit[],COLUMN(CUSTO_GLOBAL[[#Headers],[Adicional Motorista II (Gratificação)]])-2,0)*($G145-$H145)</f>
        <v>0</v>
      </c>
      <c r="N145" s="21">
        <f>VLOOKUP($A145,tabCustoUnit[],COLUMN(CUSTO_GLOBAL[[#Headers],[Adicional de Sobreaviso]])-2,0)*($G145-$H145)</f>
        <v>0</v>
      </c>
      <c r="O145" s="21">
        <f>VLOOKUP($A145,tabCustoUnit[],COLUMN(CUSTO_GLOBAL[[#Headers],[Horas Extras TI]])-2,0)*($G145-$H145)</f>
        <v>0</v>
      </c>
      <c r="P145" s="21">
        <f>VLOOKUP($A145,tabCustoUnit[],COLUMN(CUSTO_GLOBAL[[#Headers],[Adicional de Acúmulo de função]])-2,0)*($G145-$H145)</f>
        <v>0</v>
      </c>
      <c r="Q145" s="21">
        <f>VLOOKUP($A145,tabCustoUnit[],COLUMN(CUSTO_GLOBAL[[#Headers],[MODULO 1 - REMUNERAÇÃO ]])-2,0)*($G145-$H145)</f>
        <v>8761.1337999999996</v>
      </c>
      <c r="R145" s="21">
        <f>VLOOKUP($A145,tabCustoUnit[],COLUMN(CUSTO_GLOBAL[[#Headers],[INSS]])-2,0)*($G145-$H145)</f>
        <v>1752.22676</v>
      </c>
      <c r="S145" s="21">
        <f>VLOOKUP($A145,tabCustoUnit[],COLUMN(CUSTO_GLOBAL[[#Headers],[SESI OU SESC]])-2,0)*($G145-$H145)</f>
        <v>131.41700699999998</v>
      </c>
      <c r="T145" s="21">
        <f>VLOOKUP($A145,tabCustoUnit[],COLUMN(CUSTO_GLOBAL[[#Headers],[SENAI OU SENAC]])-2,0)*($G145-$H145)</f>
        <v>87.611338000000003</v>
      </c>
      <c r="U145" s="21">
        <f>VLOOKUP($A145,tabCustoUnit[],COLUMN(CUSTO_GLOBAL[[#Headers],[INCRA]])-2,0)*($G145-$H145)</f>
        <v>17.522267599999999</v>
      </c>
      <c r="V145" s="21">
        <f>VLOOKUP($A145,tabCustoUnit[],COLUMN(CUSTO_GLOBAL[[#Headers],[Salário Educação]])-2,0)*($G145-$H145)</f>
        <v>219.028345</v>
      </c>
      <c r="W145" s="21">
        <f>VLOOKUP($A145,tabCustoUnit[],COLUMN(CUSTO_GLOBAL[[#Headers],[FGTS]])-2,0)*($G145-$H145)</f>
        <v>700.89070400000003</v>
      </c>
      <c r="X145" s="21">
        <f>VLOOKUP($A145,tabCustoUnit[],COLUMN(CUSTO_GLOBAL[[#Headers],[RAT Ajustado]])-2,0)*($G145-$H145)</f>
        <v>350.44535200000001</v>
      </c>
      <c r="Y145" s="21">
        <f>VLOOKUP($A145,tabCustoUnit[],COLUMN(CUSTO_GLOBAL[[#Headers],[SEBRAE]])-2,0)*($G145-$H145)</f>
        <v>52.566802799999998</v>
      </c>
      <c r="Z145" s="21">
        <f>VLOOKUP($A145,tabCustoUnit[],COLUMN(CUSTO_GLOBAL[[#Headers],[Submódulo 2.1]])-2,0)*($G145-$H145)</f>
        <v>3311.7085764000003</v>
      </c>
      <c r="AA145" s="21">
        <f>VLOOKUP($A145,tabCustoUnit[],COLUMN(CUSTO_GLOBAL[[#Headers],[13º salário (titular)]])-2,0)*($G145-$H145)</f>
        <v>730.0944833333333</v>
      </c>
      <c r="AB145" s="21">
        <f>VLOOKUP($A145,tabCustoUnit[],COLUMN(CUSTO_GLOBAL[[#Headers],[Férias e Adicional de Férias (titular)]])-2,0)*($G145-$H145)</f>
        <v>973.45931111111099</v>
      </c>
      <c r="AC145" s="21">
        <f>VLOOKUP($A145,tabCustoUnit[],COLUMN(CUSTO_GLOBAL[[#Headers],[Incidência do Submódulo 2.1 sobre 13º Salário, Férias e Adicional de Férias]])-2,0)*($G145-$H145)</f>
        <v>643.94333430000006</v>
      </c>
      <c r="AD145" s="21">
        <f>VLOOKUP($A145,tabCustoUnit[],COLUMN(CUSTO_GLOBAL[[#Headers],[Submódulo 2.2]])-2,0)*($G145-$H145)</f>
        <v>2347.4971287444441</v>
      </c>
      <c r="AE145" s="22" t="e">
        <f ca="1">VLOOKUP($A145,tabCustoUnit[],COLUMN(CUSTO_GLOBAL[[#Headers],[Vale - Transporte (Descontada parcela do empregado)]])-2,0)*($G145-$H145)</f>
        <v>#NAME?</v>
      </c>
      <c r="AF145" s="22">
        <f>VLOOKUP($A145,tabCustoUnit[],COLUMN(CUSTO_GLOBAL[[#Headers],[Vale - Alimentação (Descontada parcela do empregado)]])-2,0)*($G145-$H145)</f>
        <v>1156.8</v>
      </c>
      <c r="AG145" s="22">
        <f>VLOOKUP($A145,tabCustoUnit[],COLUMN(CUSTO_GLOBAL[[#Headers],[Cesta Básica]])-2,0)*($G145-$H145)</f>
        <v>0</v>
      </c>
      <c r="AH145" s="22">
        <f>VLOOKUP($A145,tabCustoUnit[],COLUMN(CUSTO_GLOBAL[[#Headers],[PAF]])-2,0)*($G145-$H145)</f>
        <v>0</v>
      </c>
      <c r="AI145" s="22">
        <f>VLOOKUP($A145,tabCustoUnit[],COLUMN(CUSTO_GLOBAL[[#Headers],[PQM]])-2,0)*($G145-$H145)</f>
        <v>0</v>
      </c>
      <c r="AJ145" s="22">
        <v>0</v>
      </c>
      <c r="AK145" s="22">
        <f>VLOOKUP($A145,tabCustoUnit[],COLUMN(CUSTO_GLOBAL[[#Headers],[Seguro de Vida]])-2,0)*($G145-$H145)</f>
        <v>6.72</v>
      </c>
      <c r="AL145" s="22">
        <f>VLOOKUP($A145,tabCustoUnit[],COLUMN(CUSTO_GLOBAL[[#Headers],[Despesas de Viagem]])-2,0)*($G145-$H145)</f>
        <v>1324.84</v>
      </c>
      <c r="AM145" s="22" t="e">
        <f ca="1">VLOOKUP($A145,tabCustoUnit[],COLUMN(CUSTO_GLOBAL[[#Headers],[Submódulo 2.3]])-2,0)*($G145-$H145)</f>
        <v>#NAME?</v>
      </c>
      <c r="AN145" s="22" t="e">
        <f ca="1">VLOOKUP($A145,tabCustoUnit[],COLUMN(CUSTO_GLOBAL[[#Headers],[MÓDULO 2 - Total Encargos e Benefícios mensais e diários]])-2,0)*($G145-$H145)</f>
        <v>#NAME?</v>
      </c>
      <c r="AO145" s="22">
        <f>VLOOKUP($A145,tabCustoUnit[],COLUMN(CUSTO_GLOBAL[[#Headers],[Aviso Prévio Indenizado (API) e Reflexo do Aviso Prévio Indenizado]])-2,0)*($G145-$H145)</f>
        <v>61.431028645100305</v>
      </c>
      <c r="AP145" s="22">
        <f>VLOOKUP($A145,tabCustoUnit[],COLUMN(CUSTO_GLOBAL[[#Headers],[Incidência do FGTS sobre API e Reflexo do API]])-2,0)*($G145-$H145)</f>
        <v>4.9144822916080253</v>
      </c>
      <c r="AQ145" s="22">
        <f>VLOOKUP($A145,tabCustoUnit[],COLUMN(CUSTO_GLOBAL[[#Headers],[Multa Rescisória do FGTS sobre o Aviso Prévio Indenizado]])-2,0)*($G145-$H145)</f>
        <v>1.9657929166432102</v>
      </c>
      <c r="AR145" s="22">
        <f>VLOOKUP($A145,tabCustoUnit[],COLUMN(CUSTO_GLOBAL[[#Headers],[Aviso Prévio Trabalhado - APT]])-2,0)*($G145-$H145)</f>
        <v>30.663968300000004</v>
      </c>
      <c r="AS145" s="22">
        <f>VLOOKUP($A145,tabCustoUnit[],COLUMN(CUSTO_GLOBAL[[#Headers],[Incidência dos encargos do submódulo 2.1 sobre Aviso Prévio Trabalhado]])-2,0)*($G145-$H145)</f>
        <v>11.590980017400003</v>
      </c>
      <c r="AT145" s="22">
        <f>VLOOKUP($A145,tabCustoUnit[],COLUMN(CUSTO_GLOBAL[[#Headers],[Multa Rescisória do FGTS]])-2,0)*($G145-$H145)</f>
        <v>267.89600241777771</v>
      </c>
      <c r="AU145" s="22">
        <f>VLOOKUP($A145,tabCustoUnit[],COLUMN(CUSTO_GLOBAL[[#Headers],[Indenização Adicional (Art. 9º da Lei nº 7.238/84)]])-2,0)*($G145-$H145)</f>
        <v>7.3009448333333333</v>
      </c>
      <c r="AV145" s="22">
        <f>VLOOKUP($A145,tabCustoUnit[],COLUMN(CUSTO_GLOBAL[[#Headers],[MÓDULO 3 – PROVISÃO PARA RESCISÃO]])-2,0)*($G145-$H145)</f>
        <v>385.76319942186262</v>
      </c>
      <c r="AW145" s="22">
        <f>VLOOKUP($A145,tabCustoUnit[],COLUMN(CUSTO_GLOBAL[[#Headers],[Ausência por Doença]])-2,0)*($G145-$H145)</f>
        <v>73.982907644444438</v>
      </c>
      <c r="AX145" s="22">
        <f>VLOOKUP($A145,tabCustoUnit[],COLUMN(CUSTO_GLOBAL[[#Headers],[Ausências Legais]])-2,0)*($G145-$H145)</f>
        <v>17.765632427777774</v>
      </c>
      <c r="AY145" s="22">
        <f>VLOOKUP($A145,tabCustoUnit[],COLUMN(CUSTO_GLOBAL[[#Headers],[Licença Paternidade]])-2,0)*($G145-$H145)</f>
        <v>1.4966936908333333</v>
      </c>
      <c r="AZ145" s="22">
        <f>VLOOKUP($A145,tabCustoUnit[],COLUMN(CUSTO_GLOBAL[[#Headers],[Ausência por Acidente de Trabalho]])-2,0)*($G145-$H145)</f>
        <v>1.8252362083333333</v>
      </c>
      <c r="BA145" s="22">
        <f>VLOOKUP($A145,tabCustoUnit[],COLUMN(CUSTO_GLOBAL[[#Headers],[Férias, Adicional de Férias e 13º  com empregada em gozo de Licença Maternidade]])-2,0)*($G145-$H145)</f>
        <v>11.357025296296296</v>
      </c>
      <c r="BB145" s="22">
        <f>VLOOKUP($A145,tabCustoUnit[],COLUMN(CUSTO_GLOBAL[[#Headers],[Incidência do Submódulo 2.1 sobre Ausências Legais]])-2,0)*($G145-$H145)</f>
        <v>40.229593211185005</v>
      </c>
      <c r="BC145" s="22">
        <f>VLOOKUP($A145,tabCustoUnit[],COLUMN(CUSTO_GLOBAL[[#Headers],[Submódulo 4.1]])-2,0)*($G145-$H145)</f>
        <v>146.65708847887021</v>
      </c>
      <c r="BD145" s="22">
        <f>VLOOKUP($A145,tabCustoUnit[],COLUMN(CUSTO_GLOBAL[[#Headers],[Intervalo para Repouso ou Alimentação]])-2,0)*($G145-$H145)</f>
        <v>0</v>
      </c>
      <c r="BE145" s="22">
        <f>VLOOKUP($A145,tabCustoUnit[],COLUMN(CUSTO_GLOBAL[[#Headers],[Submódulo 4.2]])-2,0)*($G145-$H145)</f>
        <v>0</v>
      </c>
      <c r="BF145" s="22">
        <f>VLOOKUP($A145,tabCustoUnit[],COLUMN(CUSTO_GLOBAL[[#Headers],[Suspensão Temporária do Contrato de Trabalho]])-2,0)*($G145-$H145)</f>
        <v>0</v>
      </c>
      <c r="BG145" s="22">
        <f>VLOOKUP($A145,tabCustoUnit[],COLUMN(CUSTO_GLOBAL[[#Headers],[Submódulo 4.3]])-2,0)*($G145-$H145)</f>
        <v>0</v>
      </c>
      <c r="BH145" s="22">
        <f>VLOOKUP($A145,tabCustoUnit[],COLUMN(CUSTO_GLOBAL[[#Headers],[MÓDULO 4 – CUSTO DE REPOSIÇÃO DO PROFISSIONAL AUSENTE]])-2,0)*($G145-$H145)</f>
        <v>146.65708847887021</v>
      </c>
      <c r="BI145" s="22">
        <f>VLOOKUP($A145,tabCustoUnit[],COLUMN(CUSTO_GLOBAL[[#Headers],[Uniformes e EPIs]])-2,0)*($G145-$H145)</f>
        <v>184.2015275431414</v>
      </c>
      <c r="BJ145" s="22">
        <f>VLOOKUP($A145,tabCustoUnit[],COLUMN(CUSTO_GLOBAL[[#Headers],[Materiais de Consumo]])-2,0)*($G145-$H145)</f>
        <v>0</v>
      </c>
      <c r="BK145" s="22">
        <f>VLOOKUP($A145,tabCustoUnit[],COLUMN(CUSTO_GLOBAL[[#Headers],[Máquinas e Equipamentos (depreciação)]])-2,0)*($G145-$H145)</f>
        <v>0</v>
      </c>
      <c r="BL145" s="22">
        <f>VLOOKUP($A145,tabCustoUnit[],COLUMN(CUSTO_GLOBAL[[#Headers],[Produtos de Limpeza e Materiais de Higiene Pessoal]])-2,0)*($G145-$H145)</f>
        <v>0</v>
      </c>
      <c r="BM145" s="22">
        <f>VLOOKUP($A145,tabCustoUnit[],COLUMN(CUSTO_GLOBAL[[#Headers],[Outros (especificar)]])-2,0)*($G145-$H145)</f>
        <v>0</v>
      </c>
      <c r="BN145" s="22">
        <f>VLOOKUP($A145,tabCustoUnit[],COLUMN(CUSTO_GLOBAL[[#Headers],[MÓDULO 5 – INSUMOS DIVERSOS]])-2,0)*($G145-$H145)</f>
        <v>184.2015275431414</v>
      </c>
      <c r="BO145" s="22" t="e">
        <f ca="1">VLOOKUP($A145,tabCustoUnit[],COLUMN(CUSTO_GLOBAL[[#Headers],[TOTAL MÓDULOS 1+2+3+4+5]])-2,0)*($G145-$H145)</f>
        <v>#NAME?</v>
      </c>
      <c r="BP145" s="22" t="e">
        <f ca="1">VLOOKUP($A145,tabCustoUnit[],COLUMN(CUSTO_GLOBAL[[#Headers],[Custos Indiretos]])-2,0)*($G145-$H145)</f>
        <v>#NAME?</v>
      </c>
      <c r="BQ145" s="22" t="e">
        <f ca="1">VLOOKUP($A145,tabCustoUnit[],COLUMN(CUSTO_GLOBAL[[#Headers],[Lucro]])-2,0)*($G145-$H145)</f>
        <v>#NAME?</v>
      </c>
      <c r="BR145" s="26">
        <f>VLOOKUP($A145,tabCustoUnit[],COLUMN(CUSTO_GLOBAL[[#Headers],[COFINS]])-2,0)</f>
        <v>8.5633802816901458E-2</v>
      </c>
      <c r="BS145" s="26">
        <f>VLOOKUP($A145,tabCustoUnit[],COLUMN(CUSTO_GLOBAL[[#Headers],[PIS]])-2,0)</f>
        <v>1.8591549295774657E-2</v>
      </c>
      <c r="BT145" s="28">
        <f>VLOOKUP($A145,tabCustoUnit[],COLUMN(CUSTO_GLOBAL[[#Headers],[ISS]])-2,0)</f>
        <v>0.02</v>
      </c>
      <c r="BU145" s="26">
        <f>VLOOKUP($A145,tabCustoUnit[],COLUMN(CUSTO_GLOBAL[[#Headers],[ISS (Conversão Alíquota s/ fatura)]])-2,0)</f>
        <v>2.2535211267605645E-2</v>
      </c>
      <c r="BV145" s="26">
        <f>VLOOKUP($A145,tabCustoUnit[],COLUMN(CUSTO_GLOBAL[[#Headers],[Resumo de Alíquotas (PIS+CONFINS+ISS)]])-2,0)</f>
        <v>0.1125</v>
      </c>
      <c r="BW145" s="138">
        <f>VLOOKUP($A145,tabCustoUnit[],COLUMN(CUSTO_GLOBAL[[#Headers],[PIS + COFINS + ISS (Total Conversão  Alíquota s/ Fatura)]])-2,0)</f>
        <v>0.12676056338028174</v>
      </c>
      <c r="BX145" s="22" t="e">
        <f ca="1">VLOOKUP($A145,tabCustoUnit[],COLUMN(CUSTO_GLOBAL[[#Headers],[Valor dos Tributos (ISS, PIS, CONFINS)]])-2,0)*($G145-$H145)</f>
        <v>#NAME?</v>
      </c>
      <c r="BY145" s="22" t="e">
        <f ca="1">VLOOKUP($A145,tabCustoUnit[],COLUMN(CUSTO_GLOBAL[[#Headers],[MÓDULO 6 – CUSTOS INDIRETOS, TRIBUTOS E LUCRO]])-2,0)*($G145-$H145)</f>
        <v>#NAME?</v>
      </c>
      <c r="BZ145" s="22" t="e">
        <f ca="1">VLOOKUP($A145,tabCustoUnit[],COLUMN(CUSTO_GLOBAL[[#Headers],[CUSTO TOTAL MENSAL]])-2,0)*($G145-$H145)</f>
        <v>#NAME?</v>
      </c>
      <c r="CA145" s="22" t="e">
        <f ca="1">CUSTO_GLOBAL[[#This Row],[CUSTO TOTAL MENSAL]]*12</f>
        <v>#NAME?</v>
      </c>
      <c r="CB145" s="24">
        <f>VLOOKUP($A145,tabCustoUnit[],COLUMN(CUSTO_GLOBAL[[#Headers],[ANO DA CCT]])-2,0)</f>
        <v>45658</v>
      </c>
      <c r="CC145" s="25" t="str">
        <f>VLOOKUP($A145,tabCustoUnit[],COLUMN(CUSTO_GLOBAL[[#Headers],[Nº DE PEDIDO DA CCT]])-2,0)</f>
        <v>-</v>
      </c>
      <c r="CD145" s="25" t="str">
        <f>VLOOKUP($A145,tabCustoUnit[],COLUMN(CUSTO_GLOBAL[[#Headers],[TERMO ADITIVO ALTERAÇÃO DA CCT]])-2,0)</f>
        <v>-</v>
      </c>
    </row>
    <row r="146" spans="1:82">
      <c r="A146" s="20" t="s">
        <v>1600</v>
      </c>
      <c r="B146" t="s">
        <v>915</v>
      </c>
      <c r="C146" t="s">
        <v>274</v>
      </c>
      <c r="D146" t="s">
        <v>990</v>
      </c>
      <c r="E146" s="20" t="s">
        <v>1090</v>
      </c>
      <c r="F146" s="20" t="s">
        <v>135</v>
      </c>
      <c r="G146" s="20">
        <v>1</v>
      </c>
      <c r="H146" s="20">
        <v>0</v>
      </c>
      <c r="I146" s="21">
        <f>VLOOKUP($A146,tabCustoUnit[],COLUMN(CUSTO_GLOBAL[[#Headers],[Salário Base]])-2,0)*($G146-$H146)</f>
        <v>4380.5668999999998</v>
      </c>
      <c r="J146" s="21">
        <f>VLOOKUP($A146,tabCustoUnit[],COLUMN(CUSTO_GLOBAL[[#Headers],[Adicional Periculosidade]])-2,0)*($G146-$H146)</f>
        <v>0</v>
      </c>
      <c r="K146" s="21">
        <f>VLOOKUP($A146,tabCustoUnit[],COLUMN(CUSTO_GLOBAL[[#Headers],[Adicional Insalubridade]])-2,0)*($G146-$H146)</f>
        <v>0</v>
      </c>
      <c r="L146" s="21">
        <f>VLOOKUP($A146,tabCustoUnit[],COLUMN(CUSTO_GLOBAL[[#Headers],[Adicional Noturno]])-2,0)*($G146-$H146)</f>
        <v>0</v>
      </c>
      <c r="M146" s="21">
        <f>VLOOKUP($A146,tabCustoUnit[],COLUMN(CUSTO_GLOBAL[[#Headers],[Adicional Motorista II (Gratificação)]])-2,0)*($G146-$H146)</f>
        <v>0</v>
      </c>
      <c r="N146" s="21">
        <f>VLOOKUP($A146,tabCustoUnit[],COLUMN(CUSTO_GLOBAL[[#Headers],[Adicional de Sobreaviso]])-2,0)*($G146-$H146)</f>
        <v>0</v>
      </c>
      <c r="O146" s="21">
        <f>VLOOKUP($A146,tabCustoUnit[],COLUMN(CUSTO_GLOBAL[[#Headers],[Horas Extras TI]])-2,0)*($G146-$H146)</f>
        <v>0</v>
      </c>
      <c r="P146" s="21">
        <f>VLOOKUP($A146,tabCustoUnit[],COLUMN(CUSTO_GLOBAL[[#Headers],[Adicional de Acúmulo de função]])-2,0)*($G146-$H146)</f>
        <v>0</v>
      </c>
      <c r="Q146" s="21">
        <f>VLOOKUP($A146,tabCustoUnit[],COLUMN(CUSTO_GLOBAL[[#Headers],[MODULO 1 - REMUNERAÇÃO ]])-2,0)*($G146-$H146)</f>
        <v>4380.5668999999998</v>
      </c>
      <c r="R146" s="21">
        <f>VLOOKUP($A146,tabCustoUnit[],COLUMN(CUSTO_GLOBAL[[#Headers],[INSS]])-2,0)*($G146-$H146)</f>
        <v>876.11338000000001</v>
      </c>
      <c r="S146" s="21">
        <f>VLOOKUP($A146,tabCustoUnit[],COLUMN(CUSTO_GLOBAL[[#Headers],[SESI OU SESC]])-2,0)*($G146-$H146)</f>
        <v>65.708503499999992</v>
      </c>
      <c r="T146" s="21">
        <f>VLOOKUP($A146,tabCustoUnit[],COLUMN(CUSTO_GLOBAL[[#Headers],[SENAI OU SENAC]])-2,0)*($G146-$H146)</f>
        <v>43.805669000000002</v>
      </c>
      <c r="U146" s="21">
        <f>VLOOKUP($A146,tabCustoUnit[],COLUMN(CUSTO_GLOBAL[[#Headers],[INCRA]])-2,0)*($G146-$H146)</f>
        <v>8.7611337999999996</v>
      </c>
      <c r="V146" s="21">
        <f>VLOOKUP($A146,tabCustoUnit[],COLUMN(CUSTO_GLOBAL[[#Headers],[Salário Educação]])-2,0)*($G146-$H146)</f>
        <v>109.5141725</v>
      </c>
      <c r="W146" s="21">
        <f>VLOOKUP($A146,tabCustoUnit[],COLUMN(CUSTO_GLOBAL[[#Headers],[FGTS]])-2,0)*($G146-$H146)</f>
        <v>350.44535200000001</v>
      </c>
      <c r="X146" s="21">
        <f>VLOOKUP($A146,tabCustoUnit[],COLUMN(CUSTO_GLOBAL[[#Headers],[RAT Ajustado]])-2,0)*($G146-$H146)</f>
        <v>175.22267600000001</v>
      </c>
      <c r="Y146" s="21">
        <f>VLOOKUP($A146,tabCustoUnit[],COLUMN(CUSTO_GLOBAL[[#Headers],[SEBRAE]])-2,0)*($G146-$H146)</f>
        <v>26.283401399999999</v>
      </c>
      <c r="Z146" s="21">
        <f>VLOOKUP($A146,tabCustoUnit[],COLUMN(CUSTO_GLOBAL[[#Headers],[Submódulo 2.1]])-2,0)*($G146-$H146)</f>
        <v>1655.8542882000002</v>
      </c>
      <c r="AA146" s="21">
        <f>VLOOKUP($A146,tabCustoUnit[],COLUMN(CUSTO_GLOBAL[[#Headers],[13º salário (titular)]])-2,0)*($G146-$H146)</f>
        <v>365.04724166666665</v>
      </c>
      <c r="AB146" s="21">
        <f>VLOOKUP($A146,tabCustoUnit[],COLUMN(CUSTO_GLOBAL[[#Headers],[Férias e Adicional de Férias (titular)]])-2,0)*($G146-$H146)</f>
        <v>486.7296555555555</v>
      </c>
      <c r="AC146" s="21">
        <f>VLOOKUP($A146,tabCustoUnit[],COLUMN(CUSTO_GLOBAL[[#Headers],[Incidência do Submódulo 2.1 sobre 13º Salário, Férias e Adicional de Férias]])-2,0)*($G146-$H146)</f>
        <v>321.97166715000003</v>
      </c>
      <c r="AD146" s="21">
        <f>VLOOKUP($A146,tabCustoUnit[],COLUMN(CUSTO_GLOBAL[[#Headers],[Submódulo 2.2]])-2,0)*($G146-$H146)</f>
        <v>1173.7485643722221</v>
      </c>
      <c r="AE146" s="22" t="e">
        <f ca="1">VLOOKUP($A146,tabCustoUnit[],COLUMN(CUSTO_GLOBAL[[#Headers],[Vale - Transporte (Descontada parcela do empregado)]])-2,0)*($G146-$H146)</f>
        <v>#NAME?</v>
      </c>
      <c r="AF146" s="22">
        <f>VLOOKUP($A146,tabCustoUnit[],COLUMN(CUSTO_GLOBAL[[#Headers],[Vale - Alimentação (Descontada parcela do empregado)]])-2,0)*($G146-$H146)</f>
        <v>578.4</v>
      </c>
      <c r="AG146" s="22">
        <f>VLOOKUP($A146,tabCustoUnit[],COLUMN(CUSTO_GLOBAL[[#Headers],[Cesta Básica]])-2,0)*($G146-$H146)</f>
        <v>0</v>
      </c>
      <c r="AH146" s="22">
        <f>VLOOKUP($A146,tabCustoUnit[],COLUMN(CUSTO_GLOBAL[[#Headers],[PAF]])-2,0)*($G146-$H146)</f>
        <v>0</v>
      </c>
      <c r="AI146" s="22">
        <f>VLOOKUP($A146,tabCustoUnit[],COLUMN(CUSTO_GLOBAL[[#Headers],[PQM]])-2,0)*($G146-$H146)</f>
        <v>0</v>
      </c>
      <c r="AJ146" s="22">
        <v>0</v>
      </c>
      <c r="AK146" s="22">
        <f>VLOOKUP($A146,tabCustoUnit[],COLUMN(CUSTO_GLOBAL[[#Headers],[Seguro de Vida]])-2,0)*($G146-$H146)</f>
        <v>3.36</v>
      </c>
      <c r="AL146" s="22">
        <f>VLOOKUP($A146,tabCustoUnit[],COLUMN(CUSTO_GLOBAL[[#Headers],[Despesas de Viagem]])-2,0)*($G146-$H146)</f>
        <v>662.42</v>
      </c>
      <c r="AM146" s="22" t="e">
        <f ca="1">VLOOKUP($A146,tabCustoUnit[],COLUMN(CUSTO_GLOBAL[[#Headers],[Submódulo 2.3]])-2,0)*($G146-$H146)</f>
        <v>#NAME?</v>
      </c>
      <c r="AN146" s="22" t="e">
        <f ca="1">VLOOKUP($A146,tabCustoUnit[],COLUMN(CUSTO_GLOBAL[[#Headers],[MÓDULO 2 - Total Encargos e Benefícios mensais e diários]])-2,0)*($G146-$H146)</f>
        <v>#NAME?</v>
      </c>
      <c r="AO146" s="22">
        <f>VLOOKUP($A146,tabCustoUnit[],COLUMN(CUSTO_GLOBAL[[#Headers],[Aviso Prévio Indenizado (API) e Reflexo do Aviso Prévio Indenizado]])-2,0)*($G146-$H146)</f>
        <v>30.715514322550153</v>
      </c>
      <c r="AP146" s="22">
        <f>VLOOKUP($A146,tabCustoUnit[],COLUMN(CUSTO_GLOBAL[[#Headers],[Incidência do FGTS sobre API e Reflexo do API]])-2,0)*($G146-$H146)</f>
        <v>2.4572411458040126</v>
      </c>
      <c r="AQ146" s="22">
        <f>VLOOKUP($A146,tabCustoUnit[],COLUMN(CUSTO_GLOBAL[[#Headers],[Multa Rescisória do FGTS sobre o Aviso Prévio Indenizado]])-2,0)*($G146-$H146)</f>
        <v>0.9828964583216051</v>
      </c>
      <c r="AR146" s="22">
        <f>VLOOKUP($A146,tabCustoUnit[],COLUMN(CUSTO_GLOBAL[[#Headers],[Aviso Prévio Trabalhado - APT]])-2,0)*($G146-$H146)</f>
        <v>15.331984150000002</v>
      </c>
      <c r="AS146" s="22">
        <f>VLOOKUP($A146,tabCustoUnit[],COLUMN(CUSTO_GLOBAL[[#Headers],[Incidência dos encargos do submódulo 2.1 sobre Aviso Prévio Trabalhado]])-2,0)*($G146-$H146)</f>
        <v>5.7954900087000016</v>
      </c>
      <c r="AT146" s="22">
        <f>VLOOKUP($A146,tabCustoUnit[],COLUMN(CUSTO_GLOBAL[[#Headers],[Multa Rescisória do FGTS]])-2,0)*($G146-$H146)</f>
        <v>133.94800120888885</v>
      </c>
      <c r="AU146" s="22">
        <f>VLOOKUP($A146,tabCustoUnit[],COLUMN(CUSTO_GLOBAL[[#Headers],[Indenização Adicional (Art. 9º da Lei nº 7.238/84)]])-2,0)*($G146-$H146)</f>
        <v>3.6504724166666667</v>
      </c>
      <c r="AV146" s="22">
        <f>VLOOKUP($A146,tabCustoUnit[],COLUMN(CUSTO_GLOBAL[[#Headers],[MÓDULO 3 – PROVISÃO PARA RESCISÃO]])-2,0)*($G146-$H146)</f>
        <v>192.88159971093131</v>
      </c>
      <c r="AW146" s="22">
        <f>VLOOKUP($A146,tabCustoUnit[],COLUMN(CUSTO_GLOBAL[[#Headers],[Ausência por Doença]])-2,0)*($G146-$H146)</f>
        <v>36.991453822222219</v>
      </c>
      <c r="AX146" s="22">
        <f>VLOOKUP($A146,tabCustoUnit[],COLUMN(CUSTO_GLOBAL[[#Headers],[Ausências Legais]])-2,0)*($G146-$H146)</f>
        <v>8.8828162138888871</v>
      </c>
      <c r="AY146" s="22">
        <f>VLOOKUP($A146,tabCustoUnit[],COLUMN(CUSTO_GLOBAL[[#Headers],[Licença Paternidade]])-2,0)*($G146-$H146)</f>
        <v>0.74834684541666663</v>
      </c>
      <c r="AZ146" s="22">
        <f>VLOOKUP($A146,tabCustoUnit[],COLUMN(CUSTO_GLOBAL[[#Headers],[Ausência por Acidente de Trabalho]])-2,0)*($G146-$H146)</f>
        <v>0.91261810416666667</v>
      </c>
      <c r="BA146" s="22">
        <f>VLOOKUP($A146,tabCustoUnit[],COLUMN(CUSTO_GLOBAL[[#Headers],[Férias, Adicional de Férias e 13º  com empregada em gozo de Licença Maternidade]])-2,0)*($G146-$H146)</f>
        <v>5.678512648148148</v>
      </c>
      <c r="BB146" s="22">
        <f>VLOOKUP($A146,tabCustoUnit[],COLUMN(CUSTO_GLOBAL[[#Headers],[Incidência do Submódulo 2.1 sobre Ausências Legais]])-2,0)*($G146-$H146)</f>
        <v>20.114796605592502</v>
      </c>
      <c r="BC146" s="22">
        <f>VLOOKUP($A146,tabCustoUnit[],COLUMN(CUSTO_GLOBAL[[#Headers],[Submódulo 4.1]])-2,0)*($G146-$H146)</f>
        <v>73.328544239435104</v>
      </c>
      <c r="BD146" s="22">
        <f>VLOOKUP($A146,tabCustoUnit[],COLUMN(CUSTO_GLOBAL[[#Headers],[Intervalo para Repouso ou Alimentação]])-2,0)*($G146-$H146)</f>
        <v>0</v>
      </c>
      <c r="BE146" s="22">
        <f>VLOOKUP($A146,tabCustoUnit[],COLUMN(CUSTO_GLOBAL[[#Headers],[Submódulo 4.2]])-2,0)*($G146-$H146)</f>
        <v>0</v>
      </c>
      <c r="BF146" s="22">
        <f>VLOOKUP($A146,tabCustoUnit[],COLUMN(CUSTO_GLOBAL[[#Headers],[Suspensão Temporária do Contrato de Trabalho]])-2,0)*($G146-$H146)</f>
        <v>0</v>
      </c>
      <c r="BG146" s="22">
        <f>VLOOKUP($A146,tabCustoUnit[],COLUMN(CUSTO_GLOBAL[[#Headers],[Submódulo 4.3]])-2,0)*($G146-$H146)</f>
        <v>0</v>
      </c>
      <c r="BH146" s="22">
        <f>VLOOKUP($A146,tabCustoUnit[],COLUMN(CUSTO_GLOBAL[[#Headers],[MÓDULO 4 – CUSTO DE REPOSIÇÃO DO PROFISSIONAL AUSENTE]])-2,0)*($G146-$H146)</f>
        <v>73.328544239435104</v>
      </c>
      <c r="BI146" s="22">
        <f>VLOOKUP($A146,tabCustoUnit[],COLUMN(CUSTO_GLOBAL[[#Headers],[Uniformes e EPIs]])-2,0)*($G146-$H146)</f>
        <v>92.100763771570698</v>
      </c>
      <c r="BJ146" s="22">
        <f>VLOOKUP($A146,tabCustoUnit[],COLUMN(CUSTO_GLOBAL[[#Headers],[Materiais de Consumo]])-2,0)*($G146-$H146)</f>
        <v>0</v>
      </c>
      <c r="BK146" s="22">
        <f>VLOOKUP($A146,tabCustoUnit[],COLUMN(CUSTO_GLOBAL[[#Headers],[Máquinas e Equipamentos (depreciação)]])-2,0)*($G146-$H146)</f>
        <v>0</v>
      </c>
      <c r="BL146" s="22">
        <f>VLOOKUP($A146,tabCustoUnit[],COLUMN(CUSTO_GLOBAL[[#Headers],[Produtos de Limpeza e Materiais de Higiene Pessoal]])-2,0)*($G146-$H146)</f>
        <v>0</v>
      </c>
      <c r="BM146" s="22">
        <f>VLOOKUP($A146,tabCustoUnit[],COLUMN(CUSTO_GLOBAL[[#Headers],[Outros (especificar)]])-2,0)*($G146-$H146)</f>
        <v>0</v>
      </c>
      <c r="BN146" s="22">
        <f>VLOOKUP($A146,tabCustoUnit[],COLUMN(CUSTO_GLOBAL[[#Headers],[MÓDULO 5 – INSUMOS DIVERSOS]])-2,0)*($G146-$H146)</f>
        <v>92.100763771570698</v>
      </c>
      <c r="BO146" s="22" t="e">
        <f ca="1">VLOOKUP($A146,tabCustoUnit[],COLUMN(CUSTO_GLOBAL[[#Headers],[TOTAL MÓDULOS 1+2+3+4+5]])-2,0)*($G146-$H146)</f>
        <v>#NAME?</v>
      </c>
      <c r="BP146" s="22" t="e">
        <f ca="1">VLOOKUP($A146,tabCustoUnit[],COLUMN(CUSTO_GLOBAL[[#Headers],[Custos Indiretos]])-2,0)*($G146-$H146)</f>
        <v>#NAME?</v>
      </c>
      <c r="BQ146" s="22" t="e">
        <f ca="1">VLOOKUP($A146,tabCustoUnit[],COLUMN(CUSTO_GLOBAL[[#Headers],[Lucro]])-2,0)*($G146-$H146)</f>
        <v>#NAME?</v>
      </c>
      <c r="BR146" s="26">
        <f>VLOOKUP($A146,tabCustoUnit[],COLUMN(CUSTO_GLOBAL[[#Headers],[COFINS]])-2,0)</f>
        <v>8.5633802816901458E-2</v>
      </c>
      <c r="BS146" s="26">
        <f>VLOOKUP($A146,tabCustoUnit[],COLUMN(CUSTO_GLOBAL[[#Headers],[PIS]])-2,0)</f>
        <v>1.8591549295774657E-2</v>
      </c>
      <c r="BT146" s="28">
        <f>VLOOKUP($A146,tabCustoUnit[],COLUMN(CUSTO_GLOBAL[[#Headers],[ISS]])-2,0)</f>
        <v>0.02</v>
      </c>
      <c r="BU146" s="26">
        <f>VLOOKUP($A146,tabCustoUnit[],COLUMN(CUSTO_GLOBAL[[#Headers],[ISS (Conversão Alíquota s/ fatura)]])-2,0)</f>
        <v>2.2535211267605645E-2</v>
      </c>
      <c r="BV146" s="26">
        <f>VLOOKUP($A146,tabCustoUnit[],COLUMN(CUSTO_GLOBAL[[#Headers],[Resumo de Alíquotas (PIS+CONFINS+ISS)]])-2,0)</f>
        <v>0.1125</v>
      </c>
      <c r="BW146" s="138">
        <f>VLOOKUP($A146,tabCustoUnit[],COLUMN(CUSTO_GLOBAL[[#Headers],[PIS + COFINS + ISS (Total Conversão  Alíquota s/ Fatura)]])-2,0)</f>
        <v>0.12676056338028174</v>
      </c>
      <c r="BX146" s="22" t="e">
        <f ca="1">VLOOKUP($A146,tabCustoUnit[],COLUMN(CUSTO_GLOBAL[[#Headers],[Valor dos Tributos (ISS, PIS, CONFINS)]])-2,0)*($G146-$H146)</f>
        <v>#NAME?</v>
      </c>
      <c r="BY146" s="22" t="e">
        <f ca="1">VLOOKUP($A146,tabCustoUnit[],COLUMN(CUSTO_GLOBAL[[#Headers],[MÓDULO 6 – CUSTOS INDIRETOS, TRIBUTOS E LUCRO]])-2,0)*($G146-$H146)</f>
        <v>#NAME?</v>
      </c>
      <c r="BZ146" s="22" t="e">
        <f ca="1">VLOOKUP($A146,tabCustoUnit[],COLUMN(CUSTO_GLOBAL[[#Headers],[CUSTO TOTAL MENSAL]])-2,0)*($G146-$H146)</f>
        <v>#NAME?</v>
      </c>
      <c r="CA146" s="22" t="e">
        <f ca="1">CUSTO_GLOBAL[[#This Row],[CUSTO TOTAL MENSAL]]*12</f>
        <v>#NAME?</v>
      </c>
      <c r="CB146" s="24">
        <f>VLOOKUP($A146,tabCustoUnit[],COLUMN(CUSTO_GLOBAL[[#Headers],[ANO DA CCT]])-2,0)</f>
        <v>45658</v>
      </c>
      <c r="CC146" s="25" t="str">
        <f>VLOOKUP($A146,tabCustoUnit[],COLUMN(CUSTO_GLOBAL[[#Headers],[Nº DE PEDIDO DA CCT]])-2,0)</f>
        <v>-</v>
      </c>
      <c r="CD146" s="25" t="str">
        <f>VLOOKUP($A146,tabCustoUnit[],COLUMN(CUSTO_GLOBAL[[#Headers],[TERMO ADITIVO ALTERAÇÃO DA CCT]])-2,0)</f>
        <v>-</v>
      </c>
    </row>
    <row r="147" spans="1:82">
      <c r="A147" s="20" t="s">
        <v>1601</v>
      </c>
      <c r="B147" t="s">
        <v>915</v>
      </c>
      <c r="C147" t="s">
        <v>319</v>
      </c>
      <c r="D147" t="s">
        <v>915</v>
      </c>
      <c r="E147" s="20" t="s">
        <v>1090</v>
      </c>
      <c r="F147" s="20" t="s">
        <v>120</v>
      </c>
      <c r="G147" s="20">
        <v>1</v>
      </c>
      <c r="H147" s="20">
        <v>0</v>
      </c>
      <c r="I147" s="21">
        <f>VLOOKUP($A147,tabCustoUnit[],COLUMN(CUSTO_GLOBAL[[#Headers],[Salário Base]])-2,0)*($G147-$H147)</f>
        <v>2316.2253000000001</v>
      </c>
      <c r="J147" s="21">
        <f>VLOOKUP($A147,tabCustoUnit[],COLUMN(CUSTO_GLOBAL[[#Headers],[Adicional Periculosidade]])-2,0)*($G147-$H147)</f>
        <v>0</v>
      </c>
      <c r="K147" s="21">
        <f>VLOOKUP($A147,tabCustoUnit[],COLUMN(CUSTO_GLOBAL[[#Headers],[Adicional Insalubridade]])-2,0)*($G147-$H147)</f>
        <v>0</v>
      </c>
      <c r="L147" s="21">
        <f>VLOOKUP($A147,tabCustoUnit[],COLUMN(CUSTO_GLOBAL[[#Headers],[Adicional Noturno]])-2,0)*($G147-$H147)</f>
        <v>0</v>
      </c>
      <c r="M147" s="21">
        <f>VLOOKUP($A147,tabCustoUnit[],COLUMN(CUSTO_GLOBAL[[#Headers],[Adicional Motorista II (Gratificação)]])-2,0)*($G147-$H147)</f>
        <v>0</v>
      </c>
      <c r="N147" s="21">
        <f>VLOOKUP($A147,tabCustoUnit[],COLUMN(CUSTO_GLOBAL[[#Headers],[Adicional de Sobreaviso]])-2,0)*($G147-$H147)</f>
        <v>0</v>
      </c>
      <c r="O147" s="21">
        <f>VLOOKUP($A147,tabCustoUnit[],COLUMN(CUSTO_GLOBAL[[#Headers],[Horas Extras TI]])-2,0)*($G147-$H147)</f>
        <v>0</v>
      </c>
      <c r="P147" s="21">
        <f>VLOOKUP($A147,tabCustoUnit[],COLUMN(CUSTO_GLOBAL[[#Headers],[Adicional de Acúmulo de função]])-2,0)*($G147-$H147)</f>
        <v>0</v>
      </c>
      <c r="Q147" s="21">
        <f>VLOOKUP($A147,tabCustoUnit[],COLUMN(CUSTO_GLOBAL[[#Headers],[MODULO 1 - REMUNERAÇÃO ]])-2,0)*($G147-$H147)</f>
        <v>2316.2253000000001</v>
      </c>
      <c r="R147" s="21">
        <f>VLOOKUP($A147,tabCustoUnit[],COLUMN(CUSTO_GLOBAL[[#Headers],[INSS]])-2,0)*($G147-$H147)</f>
        <v>463.24506000000002</v>
      </c>
      <c r="S147" s="21">
        <f>VLOOKUP($A147,tabCustoUnit[],COLUMN(CUSTO_GLOBAL[[#Headers],[SESI OU SESC]])-2,0)*($G147-$H147)</f>
        <v>34.743379499999996</v>
      </c>
      <c r="T147" s="21">
        <f>VLOOKUP($A147,tabCustoUnit[],COLUMN(CUSTO_GLOBAL[[#Headers],[SENAI OU SENAC]])-2,0)*($G147-$H147)</f>
        <v>23.162253</v>
      </c>
      <c r="U147" s="21">
        <f>VLOOKUP($A147,tabCustoUnit[],COLUMN(CUSTO_GLOBAL[[#Headers],[INCRA]])-2,0)*($G147-$H147)</f>
        <v>4.6324506000000003</v>
      </c>
      <c r="V147" s="21">
        <f>VLOOKUP($A147,tabCustoUnit[],COLUMN(CUSTO_GLOBAL[[#Headers],[Salário Educação]])-2,0)*($G147-$H147)</f>
        <v>57.905632500000003</v>
      </c>
      <c r="W147" s="21">
        <f>VLOOKUP($A147,tabCustoUnit[],COLUMN(CUSTO_GLOBAL[[#Headers],[FGTS]])-2,0)*($G147-$H147)</f>
        <v>185.298024</v>
      </c>
      <c r="X147" s="21">
        <f>VLOOKUP($A147,tabCustoUnit[],COLUMN(CUSTO_GLOBAL[[#Headers],[RAT Ajustado]])-2,0)*($G147-$H147)</f>
        <v>92.649011999999999</v>
      </c>
      <c r="Y147" s="21">
        <f>VLOOKUP($A147,tabCustoUnit[],COLUMN(CUSTO_GLOBAL[[#Headers],[SEBRAE]])-2,0)*($G147-$H147)</f>
        <v>13.897351800000001</v>
      </c>
      <c r="Z147" s="21">
        <f>VLOOKUP($A147,tabCustoUnit[],COLUMN(CUSTO_GLOBAL[[#Headers],[Submódulo 2.1]])-2,0)*($G147-$H147)</f>
        <v>875.53316340000003</v>
      </c>
      <c r="AA147" s="21">
        <f>VLOOKUP($A147,tabCustoUnit[],COLUMN(CUSTO_GLOBAL[[#Headers],[13º salário (titular)]])-2,0)*($G147-$H147)</f>
        <v>193.01877500000001</v>
      </c>
      <c r="AB147" s="21">
        <f>VLOOKUP($A147,tabCustoUnit[],COLUMN(CUSTO_GLOBAL[[#Headers],[Férias e Adicional de Férias (titular)]])-2,0)*($G147-$H147)</f>
        <v>257.35836666666665</v>
      </c>
      <c r="AC147" s="21">
        <f>VLOOKUP($A147,tabCustoUnit[],COLUMN(CUSTO_GLOBAL[[#Headers],[Incidência do Submódulo 2.1 sobre 13º Salário, Férias e Adicional de Férias]])-2,0)*($G147-$H147)</f>
        <v>170.24255955000001</v>
      </c>
      <c r="AD147" s="21">
        <f>VLOOKUP($A147,tabCustoUnit[],COLUMN(CUSTO_GLOBAL[[#Headers],[Submódulo 2.2]])-2,0)*($G147-$H147)</f>
        <v>620.61970121666673</v>
      </c>
      <c r="AE147" s="22" t="e">
        <f ca="1">VLOOKUP($A147,tabCustoUnit[],COLUMN(CUSTO_GLOBAL[[#Headers],[Vale - Transporte (Descontada parcela do empregado)]])-2,0)*($G147-$H147)</f>
        <v>#NAME?</v>
      </c>
      <c r="AF147" s="22">
        <f>VLOOKUP($A147,tabCustoUnit[],COLUMN(CUSTO_GLOBAL[[#Headers],[Vale - Alimentação (Descontada parcela do empregado)]])-2,0)*($G147-$H147)</f>
        <v>582</v>
      </c>
      <c r="AG147" s="22">
        <f>VLOOKUP($A147,tabCustoUnit[],COLUMN(CUSTO_GLOBAL[[#Headers],[Cesta Básica]])-2,0)*($G147-$H147)</f>
        <v>0</v>
      </c>
      <c r="AH147" s="22">
        <f>VLOOKUP($A147,tabCustoUnit[],COLUMN(CUSTO_GLOBAL[[#Headers],[PAF]])-2,0)*($G147-$H147)</f>
        <v>51.88</v>
      </c>
      <c r="AI147" s="22">
        <f>VLOOKUP($A147,tabCustoUnit[],COLUMN(CUSTO_GLOBAL[[#Headers],[PQM]])-2,0)*($G147-$H147)</f>
        <v>0</v>
      </c>
      <c r="AJ147" s="22">
        <v>0</v>
      </c>
      <c r="AK147" s="22">
        <f>VLOOKUP($A147,tabCustoUnit[],COLUMN(CUSTO_GLOBAL[[#Headers],[Seguro de Vida]])-2,0)*($G147-$H147)</f>
        <v>3.36</v>
      </c>
      <c r="AL147" s="22">
        <f>VLOOKUP($A147,tabCustoUnit[],COLUMN(CUSTO_GLOBAL[[#Headers],[Despesas de Viagem]])-2,0)*($G147-$H147)</f>
        <v>0</v>
      </c>
      <c r="AM147" s="22" t="e">
        <f ca="1">VLOOKUP($A147,tabCustoUnit[],COLUMN(CUSTO_GLOBAL[[#Headers],[Submódulo 2.3]])-2,0)*($G147-$H147)</f>
        <v>#NAME?</v>
      </c>
      <c r="AN147" s="22" t="e">
        <f ca="1">VLOOKUP($A147,tabCustoUnit[],COLUMN(CUSTO_GLOBAL[[#Headers],[MÓDULO 2 - Total Encargos e Benefícios mensais e diários]])-2,0)*($G147-$H147)</f>
        <v>#NAME?</v>
      </c>
      <c r="AO147" s="22">
        <f>VLOOKUP($A147,tabCustoUnit[],COLUMN(CUSTO_GLOBAL[[#Headers],[Aviso Prévio Indenizado (API) e Reflexo do Aviso Prévio Indenizado]])-2,0)*($G147-$H147)</f>
        <v>16.240832065914354</v>
      </c>
      <c r="AP147" s="22">
        <f>VLOOKUP($A147,tabCustoUnit[],COLUMN(CUSTO_GLOBAL[[#Headers],[Incidência do FGTS sobre API e Reflexo do API]])-2,0)*($G147-$H147)</f>
        <v>1.2992665652731483</v>
      </c>
      <c r="AQ147" s="22">
        <f>VLOOKUP($A147,tabCustoUnit[],COLUMN(CUSTO_GLOBAL[[#Headers],[Multa Rescisória do FGTS sobre o Aviso Prévio Indenizado]])-2,0)*($G147-$H147)</f>
        <v>0.51970662610925933</v>
      </c>
      <c r="AR147" s="22">
        <f>VLOOKUP($A147,tabCustoUnit[],COLUMN(CUSTO_GLOBAL[[#Headers],[Aviso Prévio Trabalhado - APT]])-2,0)*($G147-$H147)</f>
        <v>8.106788550000001</v>
      </c>
      <c r="AS147" s="22">
        <f>VLOOKUP($A147,tabCustoUnit[],COLUMN(CUSTO_GLOBAL[[#Headers],[Incidência dos encargos do submódulo 2.1 sobre Aviso Prévio Trabalhado]])-2,0)*($G147-$H147)</f>
        <v>3.0643660719000008</v>
      </c>
      <c r="AT147" s="22">
        <f>VLOOKUP($A147,tabCustoUnit[],COLUMN(CUSTO_GLOBAL[[#Headers],[Multa Rescisória do FGTS]])-2,0)*($G147-$H147)</f>
        <v>70.825022506666656</v>
      </c>
      <c r="AU147" s="22">
        <f>VLOOKUP($A147,tabCustoUnit[],COLUMN(CUSTO_GLOBAL[[#Headers],[Indenização Adicional (Art. 9º da Lei nº 7.238/84)]])-2,0)*($G147-$H147)</f>
        <v>1.9301877500000002</v>
      </c>
      <c r="AV147" s="22">
        <f>VLOOKUP($A147,tabCustoUnit[],COLUMN(CUSTO_GLOBAL[[#Headers],[MÓDULO 3 – PROVISÃO PARA RESCISÃO]])-2,0)*($G147-$H147)</f>
        <v>101.98617013586342</v>
      </c>
      <c r="AW147" s="22">
        <f>VLOOKUP($A147,tabCustoUnit[],COLUMN(CUSTO_GLOBAL[[#Headers],[Ausência por Doença]])-2,0)*($G147-$H147)</f>
        <v>19.559235866666665</v>
      </c>
      <c r="AX147" s="22">
        <f>VLOOKUP($A147,tabCustoUnit[],COLUMN(CUSTO_GLOBAL[[#Headers],[Ausências Legais]])-2,0)*($G147-$H147)</f>
        <v>4.6967901916666666</v>
      </c>
      <c r="AY147" s="22">
        <f>VLOOKUP($A147,tabCustoUnit[],COLUMN(CUSTO_GLOBAL[[#Headers],[Licença Paternidade]])-2,0)*($G147-$H147)</f>
        <v>0.39568848875000001</v>
      </c>
      <c r="AZ147" s="22">
        <f>VLOOKUP($A147,tabCustoUnit[],COLUMN(CUSTO_GLOBAL[[#Headers],[Ausência por Acidente de Trabalho]])-2,0)*($G147-$H147)</f>
        <v>0.48254693750000005</v>
      </c>
      <c r="BA147" s="22">
        <f>VLOOKUP($A147,tabCustoUnit[],COLUMN(CUSTO_GLOBAL[[#Headers],[Férias, Adicional de Férias e 13º  com empregada em gozo de Licença Maternidade]])-2,0)*($G147-$H147)</f>
        <v>3.0025142777777778</v>
      </c>
      <c r="BB147" s="22">
        <f>VLOOKUP($A147,tabCustoUnit[],COLUMN(CUSTO_GLOBAL[[#Headers],[Incidência do Submódulo 2.1 sobre Ausências Legais]])-2,0)*($G147-$H147)</f>
        <v>10.635701238172501</v>
      </c>
      <c r="BC147" s="22">
        <f>VLOOKUP($A147,tabCustoUnit[],COLUMN(CUSTO_GLOBAL[[#Headers],[Submódulo 4.1]])-2,0)*($G147-$H147)</f>
        <v>38.772477000533613</v>
      </c>
      <c r="BD147" s="22">
        <f>VLOOKUP($A147,tabCustoUnit[],COLUMN(CUSTO_GLOBAL[[#Headers],[Intervalo para Repouso ou Alimentação]])-2,0)*($G147-$H147)</f>
        <v>0</v>
      </c>
      <c r="BE147" s="22">
        <f>VLOOKUP($A147,tabCustoUnit[],COLUMN(CUSTO_GLOBAL[[#Headers],[Submódulo 4.2]])-2,0)*($G147-$H147)</f>
        <v>0</v>
      </c>
      <c r="BF147" s="22">
        <f>VLOOKUP($A147,tabCustoUnit[],COLUMN(CUSTO_GLOBAL[[#Headers],[Suspensão Temporária do Contrato de Trabalho]])-2,0)*($G147-$H147)</f>
        <v>0</v>
      </c>
      <c r="BG147" s="22">
        <f>VLOOKUP($A147,tabCustoUnit[],COLUMN(CUSTO_GLOBAL[[#Headers],[Submódulo 4.3]])-2,0)*($G147-$H147)</f>
        <v>0</v>
      </c>
      <c r="BH147" s="22">
        <f>VLOOKUP($A147,tabCustoUnit[],COLUMN(CUSTO_GLOBAL[[#Headers],[MÓDULO 4 – CUSTO DE REPOSIÇÃO DO PROFISSIONAL AUSENTE]])-2,0)*($G147-$H147)</f>
        <v>38.772477000533613</v>
      </c>
      <c r="BI147" s="22">
        <f>VLOOKUP($A147,tabCustoUnit[],COLUMN(CUSTO_GLOBAL[[#Headers],[Uniformes e EPIs]])-2,0)*($G147-$H147)</f>
        <v>56.642978962543395</v>
      </c>
      <c r="BJ147" s="22">
        <f>VLOOKUP($A147,tabCustoUnit[],COLUMN(CUSTO_GLOBAL[[#Headers],[Materiais de Consumo]])-2,0)*($G147-$H147)</f>
        <v>0</v>
      </c>
      <c r="BK147" s="22">
        <f>VLOOKUP($A147,tabCustoUnit[],COLUMN(CUSTO_GLOBAL[[#Headers],[Máquinas e Equipamentos (depreciação)]])-2,0)*($G147-$H147)</f>
        <v>0</v>
      </c>
      <c r="BL147" s="22">
        <f>VLOOKUP($A147,tabCustoUnit[],COLUMN(CUSTO_GLOBAL[[#Headers],[Produtos de Limpeza e Materiais de Higiene Pessoal]])-2,0)*($G147-$H147)</f>
        <v>0</v>
      </c>
      <c r="BM147" s="22">
        <f>VLOOKUP($A147,tabCustoUnit[],COLUMN(CUSTO_GLOBAL[[#Headers],[Outros (especificar)]])-2,0)*($G147-$H147)</f>
        <v>0</v>
      </c>
      <c r="BN147" s="22">
        <f>VLOOKUP($A147,tabCustoUnit[],COLUMN(CUSTO_GLOBAL[[#Headers],[MÓDULO 5 – INSUMOS DIVERSOS]])-2,0)*($G147-$H147)</f>
        <v>56.642978962543395</v>
      </c>
      <c r="BO147" s="22" t="e">
        <f ca="1">VLOOKUP($A147,tabCustoUnit[],COLUMN(CUSTO_GLOBAL[[#Headers],[TOTAL MÓDULOS 1+2+3+4+5]])-2,0)*($G147-$H147)</f>
        <v>#NAME?</v>
      </c>
      <c r="BP147" s="22" t="e">
        <f ca="1">VLOOKUP($A147,tabCustoUnit[],COLUMN(CUSTO_GLOBAL[[#Headers],[Custos Indiretos]])-2,0)*($G147-$H147)</f>
        <v>#NAME?</v>
      </c>
      <c r="BQ147" s="22" t="e">
        <f ca="1">VLOOKUP($A147,tabCustoUnit[],COLUMN(CUSTO_GLOBAL[[#Headers],[Lucro]])-2,0)*($G147-$H147)</f>
        <v>#NAME?</v>
      </c>
      <c r="BR147" s="26">
        <f>VLOOKUP($A147,tabCustoUnit[],COLUMN(CUSTO_GLOBAL[[#Headers],[COFINS]])-2,0)</f>
        <v>8.5633802816901458E-2</v>
      </c>
      <c r="BS147" s="26">
        <f>VLOOKUP($A147,tabCustoUnit[],COLUMN(CUSTO_GLOBAL[[#Headers],[PIS]])-2,0)</f>
        <v>1.8591549295774657E-2</v>
      </c>
      <c r="BT147" s="28">
        <f>VLOOKUP($A147,tabCustoUnit[],COLUMN(CUSTO_GLOBAL[[#Headers],[ISS]])-2,0)</f>
        <v>0.02</v>
      </c>
      <c r="BU147" s="26">
        <f>VLOOKUP($A147,tabCustoUnit[],COLUMN(CUSTO_GLOBAL[[#Headers],[ISS (Conversão Alíquota s/ fatura)]])-2,0)</f>
        <v>2.2535211267605645E-2</v>
      </c>
      <c r="BV147" s="26">
        <f>VLOOKUP($A147,tabCustoUnit[],COLUMN(CUSTO_GLOBAL[[#Headers],[Resumo de Alíquotas (PIS+CONFINS+ISS)]])-2,0)</f>
        <v>0.1125</v>
      </c>
      <c r="BW147" s="138">
        <f>VLOOKUP($A147,tabCustoUnit[],COLUMN(CUSTO_GLOBAL[[#Headers],[PIS + COFINS + ISS (Total Conversão  Alíquota s/ Fatura)]])-2,0)</f>
        <v>0.12676056338028174</v>
      </c>
      <c r="BX147" s="22" t="e">
        <f ca="1">VLOOKUP($A147,tabCustoUnit[],COLUMN(CUSTO_GLOBAL[[#Headers],[Valor dos Tributos (ISS, PIS, CONFINS)]])-2,0)*($G147-$H147)</f>
        <v>#NAME?</v>
      </c>
      <c r="BY147" s="22" t="e">
        <f ca="1">VLOOKUP($A147,tabCustoUnit[],COLUMN(CUSTO_GLOBAL[[#Headers],[MÓDULO 6 – CUSTOS INDIRETOS, TRIBUTOS E LUCRO]])-2,0)*($G147-$H147)</f>
        <v>#NAME?</v>
      </c>
      <c r="BZ147" s="22" t="e">
        <f ca="1">VLOOKUP($A147,tabCustoUnit[],COLUMN(CUSTO_GLOBAL[[#Headers],[CUSTO TOTAL MENSAL]])-2,0)*($G147-$H147)</f>
        <v>#NAME?</v>
      </c>
      <c r="CA147" s="22" t="e">
        <f ca="1">CUSTO_GLOBAL[[#This Row],[CUSTO TOTAL MENSAL]]*12</f>
        <v>#NAME?</v>
      </c>
      <c r="CB147" s="24">
        <f>VLOOKUP($A147,tabCustoUnit[],COLUMN(CUSTO_GLOBAL[[#Headers],[ANO DA CCT]])-2,0)</f>
        <v>45658</v>
      </c>
      <c r="CC147" s="25" t="str">
        <f>VLOOKUP($A147,tabCustoUnit[],COLUMN(CUSTO_GLOBAL[[#Headers],[Nº DE PEDIDO DA CCT]])-2,0)</f>
        <v>-</v>
      </c>
      <c r="CD147" s="25" t="str">
        <f>VLOOKUP($A147,tabCustoUnit[],COLUMN(CUSTO_GLOBAL[[#Headers],[TERMO ADITIVO ALTERAÇÃO DA CCT]])-2,0)</f>
        <v>-</v>
      </c>
    </row>
    <row r="148" spans="1:82">
      <c r="A148" s="20" t="s">
        <v>1602</v>
      </c>
      <c r="B148" t="s">
        <v>915</v>
      </c>
      <c r="C148" t="s">
        <v>324</v>
      </c>
      <c r="D148" t="s">
        <v>915</v>
      </c>
      <c r="E148" s="20" t="s">
        <v>1090</v>
      </c>
      <c r="F148" s="20" t="s">
        <v>120</v>
      </c>
      <c r="G148" s="20">
        <v>1</v>
      </c>
      <c r="H148" s="20">
        <v>0</v>
      </c>
      <c r="I148" s="21">
        <f>VLOOKUP($A148,tabCustoUnit[],COLUMN(CUSTO_GLOBAL[[#Headers],[Salário Base]])-2,0)*($G148-$H148)</f>
        <v>3397.1305000000002</v>
      </c>
      <c r="J148" s="21">
        <f>VLOOKUP($A148,tabCustoUnit[],COLUMN(CUSTO_GLOBAL[[#Headers],[Adicional Periculosidade]])-2,0)*($G148-$H148)</f>
        <v>0</v>
      </c>
      <c r="K148" s="21">
        <f>VLOOKUP($A148,tabCustoUnit[],COLUMN(CUSTO_GLOBAL[[#Headers],[Adicional Insalubridade]])-2,0)*($G148-$H148)</f>
        <v>0</v>
      </c>
      <c r="L148" s="21">
        <f>VLOOKUP($A148,tabCustoUnit[],COLUMN(CUSTO_GLOBAL[[#Headers],[Adicional Noturno]])-2,0)*($G148-$H148)</f>
        <v>0</v>
      </c>
      <c r="M148" s="21">
        <f>VLOOKUP($A148,tabCustoUnit[],COLUMN(CUSTO_GLOBAL[[#Headers],[Adicional Motorista II (Gratificação)]])-2,0)*($G148-$H148)</f>
        <v>0</v>
      </c>
      <c r="N148" s="21">
        <f>VLOOKUP($A148,tabCustoUnit[],COLUMN(CUSTO_GLOBAL[[#Headers],[Adicional de Sobreaviso]])-2,0)*($G148-$H148)</f>
        <v>0</v>
      </c>
      <c r="O148" s="21">
        <f>VLOOKUP($A148,tabCustoUnit[],COLUMN(CUSTO_GLOBAL[[#Headers],[Horas Extras TI]])-2,0)*($G148-$H148)</f>
        <v>0</v>
      </c>
      <c r="P148" s="21">
        <f>VLOOKUP($A148,tabCustoUnit[],COLUMN(CUSTO_GLOBAL[[#Headers],[Adicional de Acúmulo de função]])-2,0)*($G148-$H148)</f>
        <v>0</v>
      </c>
      <c r="Q148" s="21">
        <f>VLOOKUP($A148,tabCustoUnit[],COLUMN(CUSTO_GLOBAL[[#Headers],[MODULO 1 - REMUNERAÇÃO ]])-2,0)*($G148-$H148)</f>
        <v>3397.1305000000002</v>
      </c>
      <c r="R148" s="21">
        <f>VLOOKUP($A148,tabCustoUnit[],COLUMN(CUSTO_GLOBAL[[#Headers],[INSS]])-2,0)*($G148-$H148)</f>
        <v>679.42610000000013</v>
      </c>
      <c r="S148" s="21">
        <f>VLOOKUP($A148,tabCustoUnit[],COLUMN(CUSTO_GLOBAL[[#Headers],[SESI OU SESC]])-2,0)*($G148-$H148)</f>
        <v>50.956957500000001</v>
      </c>
      <c r="T148" s="21">
        <f>VLOOKUP($A148,tabCustoUnit[],COLUMN(CUSTO_GLOBAL[[#Headers],[SENAI OU SENAC]])-2,0)*($G148-$H148)</f>
        <v>33.971305000000001</v>
      </c>
      <c r="U148" s="21">
        <f>VLOOKUP($A148,tabCustoUnit[],COLUMN(CUSTO_GLOBAL[[#Headers],[INCRA]])-2,0)*($G148-$H148)</f>
        <v>6.7942610000000005</v>
      </c>
      <c r="V148" s="21">
        <f>VLOOKUP($A148,tabCustoUnit[],COLUMN(CUSTO_GLOBAL[[#Headers],[Salário Educação]])-2,0)*($G148-$H148)</f>
        <v>84.928262500000017</v>
      </c>
      <c r="W148" s="21">
        <f>VLOOKUP($A148,tabCustoUnit[],COLUMN(CUSTO_GLOBAL[[#Headers],[FGTS]])-2,0)*($G148-$H148)</f>
        <v>271.77044000000001</v>
      </c>
      <c r="X148" s="21">
        <f>VLOOKUP($A148,tabCustoUnit[],COLUMN(CUSTO_GLOBAL[[#Headers],[RAT Ajustado]])-2,0)*($G148-$H148)</f>
        <v>135.88522</v>
      </c>
      <c r="Y148" s="21">
        <f>VLOOKUP($A148,tabCustoUnit[],COLUMN(CUSTO_GLOBAL[[#Headers],[SEBRAE]])-2,0)*($G148-$H148)</f>
        <v>20.382783000000003</v>
      </c>
      <c r="Z148" s="21">
        <f>VLOOKUP($A148,tabCustoUnit[],COLUMN(CUSTO_GLOBAL[[#Headers],[Submódulo 2.1]])-2,0)*($G148-$H148)</f>
        <v>1284.1153290000002</v>
      </c>
      <c r="AA148" s="21">
        <f>VLOOKUP($A148,tabCustoUnit[],COLUMN(CUSTO_GLOBAL[[#Headers],[13º salário (titular)]])-2,0)*($G148-$H148)</f>
        <v>283.09420833333331</v>
      </c>
      <c r="AB148" s="21">
        <f>VLOOKUP($A148,tabCustoUnit[],COLUMN(CUSTO_GLOBAL[[#Headers],[Férias e Adicional de Férias (titular)]])-2,0)*($G148-$H148)</f>
        <v>377.45894444444446</v>
      </c>
      <c r="AC148" s="21">
        <f>VLOOKUP($A148,tabCustoUnit[],COLUMN(CUSTO_GLOBAL[[#Headers],[Incidência do Submódulo 2.1 sobre 13º Salário, Férias e Adicional de Férias]])-2,0)*($G148-$H148)</f>
        <v>249.68909175000005</v>
      </c>
      <c r="AD148" s="21">
        <f>VLOOKUP($A148,tabCustoUnit[],COLUMN(CUSTO_GLOBAL[[#Headers],[Submódulo 2.2]])-2,0)*($G148-$H148)</f>
        <v>910.24224452777776</v>
      </c>
      <c r="AE148" s="22" t="e">
        <f ca="1">VLOOKUP($A148,tabCustoUnit[],COLUMN(CUSTO_GLOBAL[[#Headers],[Vale - Transporte (Descontada parcela do empregado)]])-2,0)*($G148-$H148)</f>
        <v>#NAME?</v>
      </c>
      <c r="AF148" s="22">
        <f>VLOOKUP($A148,tabCustoUnit[],COLUMN(CUSTO_GLOBAL[[#Headers],[Vale - Alimentação (Descontada parcela do empregado)]])-2,0)*($G148-$H148)</f>
        <v>582</v>
      </c>
      <c r="AG148" s="22">
        <f>VLOOKUP($A148,tabCustoUnit[],COLUMN(CUSTO_GLOBAL[[#Headers],[Cesta Básica]])-2,0)*($G148-$H148)</f>
        <v>0</v>
      </c>
      <c r="AH148" s="22">
        <f>VLOOKUP($A148,tabCustoUnit[],COLUMN(CUSTO_GLOBAL[[#Headers],[PAF]])-2,0)*($G148-$H148)</f>
        <v>51.88</v>
      </c>
      <c r="AI148" s="22">
        <f>VLOOKUP($A148,tabCustoUnit[],COLUMN(CUSTO_GLOBAL[[#Headers],[PQM]])-2,0)*($G148-$H148)</f>
        <v>0</v>
      </c>
      <c r="AJ148" s="22">
        <v>0</v>
      </c>
      <c r="AK148" s="22">
        <f>VLOOKUP($A148,tabCustoUnit[],COLUMN(CUSTO_GLOBAL[[#Headers],[Seguro de Vida]])-2,0)*($G148-$H148)</f>
        <v>3.36</v>
      </c>
      <c r="AL148" s="22">
        <f>VLOOKUP($A148,tabCustoUnit[],COLUMN(CUSTO_GLOBAL[[#Headers],[Despesas de Viagem]])-2,0)*($G148-$H148)</f>
        <v>0</v>
      </c>
      <c r="AM148" s="22" t="e">
        <f ca="1">VLOOKUP($A148,tabCustoUnit[],COLUMN(CUSTO_GLOBAL[[#Headers],[Submódulo 2.3]])-2,0)*($G148-$H148)</f>
        <v>#NAME?</v>
      </c>
      <c r="AN148" s="22" t="e">
        <f ca="1">VLOOKUP($A148,tabCustoUnit[],COLUMN(CUSTO_GLOBAL[[#Headers],[MÓDULO 2 - Total Encargos e Benefícios mensais e diários]])-2,0)*($G148-$H148)</f>
        <v>#NAME?</v>
      </c>
      <c r="AO148" s="22">
        <f>VLOOKUP($A148,tabCustoUnit[],COLUMN(CUSTO_GLOBAL[[#Headers],[Aviso Prévio Indenizado (API) e Reflexo do Aviso Prévio Indenizado]])-2,0)*($G148-$H148)</f>
        <v>23.819887450713736</v>
      </c>
      <c r="AP148" s="22">
        <f>VLOOKUP($A148,tabCustoUnit[],COLUMN(CUSTO_GLOBAL[[#Headers],[Incidência do FGTS sobre API e Reflexo do API]])-2,0)*($G148-$H148)</f>
        <v>1.9055909960570991</v>
      </c>
      <c r="AQ148" s="22">
        <f>VLOOKUP($A148,tabCustoUnit[],COLUMN(CUSTO_GLOBAL[[#Headers],[Multa Rescisória do FGTS sobre o Aviso Prévio Indenizado]])-2,0)*($G148-$H148)</f>
        <v>0.76223639842283974</v>
      </c>
      <c r="AR148" s="22">
        <f>VLOOKUP($A148,tabCustoUnit[],COLUMN(CUSTO_GLOBAL[[#Headers],[Aviso Prévio Trabalhado - APT]])-2,0)*($G148-$H148)</f>
        <v>11.889956750000003</v>
      </c>
      <c r="AS148" s="22">
        <f>VLOOKUP($A148,tabCustoUnit[],COLUMN(CUSTO_GLOBAL[[#Headers],[Incidência dos encargos do submódulo 2.1 sobre Aviso Prévio Trabalhado]])-2,0)*($G148-$H148)</f>
        <v>4.4944036515000017</v>
      </c>
      <c r="AT148" s="22">
        <f>VLOOKUP($A148,tabCustoUnit[],COLUMN(CUSTO_GLOBAL[[#Headers],[Multa Rescisória do FGTS]])-2,0)*($G148-$H148)</f>
        <v>103.87670151111111</v>
      </c>
      <c r="AU148" s="22">
        <f>VLOOKUP($A148,tabCustoUnit[],COLUMN(CUSTO_GLOBAL[[#Headers],[Indenização Adicional (Art. 9º da Lei nº 7.238/84)]])-2,0)*($G148-$H148)</f>
        <v>2.8309420833333339</v>
      </c>
      <c r="AV148" s="22">
        <f>VLOOKUP($A148,tabCustoUnit[],COLUMN(CUSTO_GLOBAL[[#Headers],[MÓDULO 3 – PROVISÃO PARA RESCISÃO]])-2,0)*($G148-$H148)</f>
        <v>149.57971884113812</v>
      </c>
      <c r="AW148" s="22">
        <f>VLOOKUP($A148,tabCustoUnit[],COLUMN(CUSTO_GLOBAL[[#Headers],[Ausência por Doença]])-2,0)*($G148-$H148)</f>
        <v>28.686879777777776</v>
      </c>
      <c r="AX148" s="22">
        <f>VLOOKUP($A148,tabCustoUnit[],COLUMN(CUSTO_GLOBAL[[#Headers],[Ausências Legais]])-2,0)*($G148-$H148)</f>
        <v>6.888625736111111</v>
      </c>
      <c r="AY148" s="22">
        <f>VLOOKUP($A148,tabCustoUnit[],COLUMN(CUSTO_GLOBAL[[#Headers],[Licença Paternidade]])-2,0)*($G148-$H148)</f>
        <v>0.58034312708333335</v>
      </c>
      <c r="AZ148" s="22">
        <f>VLOOKUP($A148,tabCustoUnit[],COLUMN(CUSTO_GLOBAL[[#Headers],[Ausência por Acidente de Trabalho]])-2,0)*($G148-$H148)</f>
        <v>0.70773552083333346</v>
      </c>
      <c r="BA148" s="22">
        <f>VLOOKUP($A148,tabCustoUnit[],COLUMN(CUSTO_GLOBAL[[#Headers],[Férias, Adicional de Férias e 13º  com empregada em gozo de Licença Maternidade]])-2,0)*($G148-$H148)</f>
        <v>4.4036876851851856</v>
      </c>
      <c r="BB148" s="22">
        <f>VLOOKUP($A148,tabCustoUnit[],COLUMN(CUSTO_GLOBAL[[#Headers],[Incidência do Submódulo 2.1 sobre Ausências Legais]])-2,0)*($G148-$H148)</f>
        <v>15.599028758162504</v>
      </c>
      <c r="BC148" s="22">
        <f>VLOOKUP($A148,tabCustoUnit[],COLUMN(CUSTO_GLOBAL[[#Headers],[Submódulo 4.1]])-2,0)*($G148-$H148)</f>
        <v>56.866300605153235</v>
      </c>
      <c r="BD148" s="22">
        <f>VLOOKUP($A148,tabCustoUnit[],COLUMN(CUSTO_GLOBAL[[#Headers],[Intervalo para Repouso ou Alimentação]])-2,0)*($G148-$H148)</f>
        <v>0</v>
      </c>
      <c r="BE148" s="22">
        <f>VLOOKUP($A148,tabCustoUnit[],COLUMN(CUSTO_GLOBAL[[#Headers],[Submódulo 4.2]])-2,0)*($G148-$H148)</f>
        <v>0</v>
      </c>
      <c r="BF148" s="22">
        <f>VLOOKUP($A148,tabCustoUnit[],COLUMN(CUSTO_GLOBAL[[#Headers],[Suspensão Temporária do Contrato de Trabalho]])-2,0)*($G148-$H148)</f>
        <v>0</v>
      </c>
      <c r="BG148" s="22">
        <f>VLOOKUP($A148,tabCustoUnit[],COLUMN(CUSTO_GLOBAL[[#Headers],[Submódulo 4.3]])-2,0)*($G148-$H148)</f>
        <v>0</v>
      </c>
      <c r="BH148" s="22">
        <f>VLOOKUP($A148,tabCustoUnit[],COLUMN(CUSTO_GLOBAL[[#Headers],[MÓDULO 4 – CUSTO DE REPOSIÇÃO DO PROFISSIONAL AUSENTE]])-2,0)*($G148-$H148)</f>
        <v>56.866300605153235</v>
      </c>
      <c r="BI148" s="22">
        <f>VLOOKUP($A148,tabCustoUnit[],COLUMN(CUSTO_GLOBAL[[#Headers],[Uniformes e EPIs]])-2,0)*($G148-$H148)</f>
        <v>56.642978962543395</v>
      </c>
      <c r="BJ148" s="22">
        <f>VLOOKUP($A148,tabCustoUnit[],COLUMN(CUSTO_GLOBAL[[#Headers],[Materiais de Consumo]])-2,0)*($G148-$H148)</f>
        <v>0</v>
      </c>
      <c r="BK148" s="22">
        <f>VLOOKUP($A148,tabCustoUnit[],COLUMN(CUSTO_GLOBAL[[#Headers],[Máquinas e Equipamentos (depreciação)]])-2,0)*($G148-$H148)</f>
        <v>0</v>
      </c>
      <c r="BL148" s="22">
        <f>VLOOKUP($A148,tabCustoUnit[],COLUMN(CUSTO_GLOBAL[[#Headers],[Produtos de Limpeza e Materiais de Higiene Pessoal]])-2,0)*($G148-$H148)</f>
        <v>0</v>
      </c>
      <c r="BM148" s="22">
        <f>VLOOKUP($A148,tabCustoUnit[],COLUMN(CUSTO_GLOBAL[[#Headers],[Outros (especificar)]])-2,0)*($G148-$H148)</f>
        <v>0</v>
      </c>
      <c r="BN148" s="22">
        <f>VLOOKUP($A148,tabCustoUnit[],COLUMN(CUSTO_GLOBAL[[#Headers],[MÓDULO 5 – INSUMOS DIVERSOS]])-2,0)*($G148-$H148)</f>
        <v>56.642978962543395</v>
      </c>
      <c r="BO148" s="22" t="e">
        <f ca="1">VLOOKUP($A148,tabCustoUnit[],COLUMN(CUSTO_GLOBAL[[#Headers],[TOTAL MÓDULOS 1+2+3+4+5]])-2,0)*($G148-$H148)</f>
        <v>#NAME?</v>
      </c>
      <c r="BP148" s="22" t="e">
        <f ca="1">VLOOKUP($A148,tabCustoUnit[],COLUMN(CUSTO_GLOBAL[[#Headers],[Custos Indiretos]])-2,0)*($G148-$H148)</f>
        <v>#NAME?</v>
      </c>
      <c r="BQ148" s="22" t="e">
        <f ca="1">VLOOKUP($A148,tabCustoUnit[],COLUMN(CUSTO_GLOBAL[[#Headers],[Lucro]])-2,0)*($G148-$H148)</f>
        <v>#NAME?</v>
      </c>
      <c r="BR148" s="26">
        <f>VLOOKUP($A148,tabCustoUnit[],COLUMN(CUSTO_GLOBAL[[#Headers],[COFINS]])-2,0)</f>
        <v>8.5633802816901458E-2</v>
      </c>
      <c r="BS148" s="26">
        <f>VLOOKUP($A148,tabCustoUnit[],COLUMN(CUSTO_GLOBAL[[#Headers],[PIS]])-2,0)</f>
        <v>1.8591549295774657E-2</v>
      </c>
      <c r="BT148" s="28">
        <f>VLOOKUP($A148,tabCustoUnit[],COLUMN(CUSTO_GLOBAL[[#Headers],[ISS]])-2,0)</f>
        <v>0.02</v>
      </c>
      <c r="BU148" s="26">
        <f>VLOOKUP($A148,tabCustoUnit[],COLUMN(CUSTO_GLOBAL[[#Headers],[ISS (Conversão Alíquota s/ fatura)]])-2,0)</f>
        <v>2.2535211267605645E-2</v>
      </c>
      <c r="BV148" s="26">
        <f>VLOOKUP($A148,tabCustoUnit[],COLUMN(CUSTO_GLOBAL[[#Headers],[Resumo de Alíquotas (PIS+CONFINS+ISS)]])-2,0)</f>
        <v>0.1125</v>
      </c>
      <c r="BW148" s="138">
        <f>VLOOKUP($A148,tabCustoUnit[],COLUMN(CUSTO_GLOBAL[[#Headers],[PIS + COFINS + ISS (Total Conversão  Alíquota s/ Fatura)]])-2,0)</f>
        <v>0.12676056338028174</v>
      </c>
      <c r="BX148" s="22" t="e">
        <f ca="1">VLOOKUP($A148,tabCustoUnit[],COLUMN(CUSTO_GLOBAL[[#Headers],[Valor dos Tributos (ISS, PIS, CONFINS)]])-2,0)*($G148-$H148)</f>
        <v>#NAME?</v>
      </c>
      <c r="BY148" s="22" t="e">
        <f ca="1">VLOOKUP($A148,tabCustoUnit[],COLUMN(CUSTO_GLOBAL[[#Headers],[MÓDULO 6 – CUSTOS INDIRETOS, TRIBUTOS E LUCRO]])-2,0)*($G148-$H148)</f>
        <v>#NAME?</v>
      </c>
      <c r="BZ148" s="22" t="e">
        <f ca="1">VLOOKUP($A148,tabCustoUnit[],COLUMN(CUSTO_GLOBAL[[#Headers],[CUSTO TOTAL MENSAL]])-2,0)*($G148-$H148)</f>
        <v>#NAME?</v>
      </c>
      <c r="CA148" s="22" t="e">
        <f ca="1">CUSTO_GLOBAL[[#This Row],[CUSTO TOTAL MENSAL]]*12</f>
        <v>#NAME?</v>
      </c>
      <c r="CB148" s="24">
        <f>VLOOKUP($A148,tabCustoUnit[],COLUMN(CUSTO_GLOBAL[[#Headers],[ANO DA CCT]])-2,0)</f>
        <v>45658</v>
      </c>
      <c r="CC148" s="25" t="str">
        <f>VLOOKUP($A148,tabCustoUnit[],COLUMN(CUSTO_GLOBAL[[#Headers],[Nº DE PEDIDO DA CCT]])-2,0)</f>
        <v>-</v>
      </c>
      <c r="CD148" s="25" t="str">
        <f>VLOOKUP($A148,tabCustoUnit[],COLUMN(CUSTO_GLOBAL[[#Headers],[TERMO ADITIVO ALTERAÇÃO DA CCT]])-2,0)</f>
        <v>-</v>
      </c>
    </row>
    <row r="149" spans="1:82">
      <c r="A149" s="20" t="s">
        <v>1603</v>
      </c>
      <c r="B149" t="s">
        <v>1134</v>
      </c>
      <c r="C149" t="s">
        <v>314</v>
      </c>
      <c r="D149" t="s">
        <v>961</v>
      </c>
      <c r="E149" s="20" t="s">
        <v>1090</v>
      </c>
      <c r="F149" s="20" t="s">
        <v>120</v>
      </c>
      <c r="G149" s="20">
        <v>1</v>
      </c>
      <c r="H149" s="20">
        <v>0</v>
      </c>
      <c r="I149" s="21">
        <f>VLOOKUP($A149,tabCustoUnit[],COLUMN(CUSTO_GLOBAL[[#Headers],[Salário Base]])-2,0)*($G149-$H149)</f>
        <v>1963.405</v>
      </c>
      <c r="J149" s="21">
        <f>VLOOKUP($A149,tabCustoUnit[],COLUMN(CUSTO_GLOBAL[[#Headers],[Adicional Periculosidade]])-2,0)*($G149-$H149)</f>
        <v>0</v>
      </c>
      <c r="K149" s="21">
        <f>VLOOKUP($A149,tabCustoUnit[],COLUMN(CUSTO_GLOBAL[[#Headers],[Adicional Insalubridade]])-2,0)*($G149-$H149)</f>
        <v>0</v>
      </c>
      <c r="L149" s="21">
        <f>VLOOKUP($A149,tabCustoUnit[],COLUMN(CUSTO_GLOBAL[[#Headers],[Adicional Noturno]])-2,0)*($G149-$H149)</f>
        <v>0</v>
      </c>
      <c r="M149" s="21">
        <f>VLOOKUP($A149,tabCustoUnit[],COLUMN(CUSTO_GLOBAL[[#Headers],[Adicional Motorista II (Gratificação)]])-2,0)*($G149-$H149)</f>
        <v>0</v>
      </c>
      <c r="N149" s="21">
        <f>VLOOKUP($A149,tabCustoUnit[],COLUMN(CUSTO_GLOBAL[[#Headers],[Adicional de Sobreaviso]])-2,0)*($G149-$H149)</f>
        <v>0</v>
      </c>
      <c r="O149" s="21">
        <f>VLOOKUP($A149,tabCustoUnit[],COLUMN(CUSTO_GLOBAL[[#Headers],[Horas Extras TI]])-2,0)*($G149-$H149)</f>
        <v>0</v>
      </c>
      <c r="P149" s="21">
        <f>VLOOKUP($A149,tabCustoUnit[],COLUMN(CUSTO_GLOBAL[[#Headers],[Adicional de Acúmulo de função]])-2,0)*($G149-$H149)</f>
        <v>0</v>
      </c>
      <c r="Q149" s="21">
        <f>VLOOKUP($A149,tabCustoUnit[],COLUMN(CUSTO_GLOBAL[[#Headers],[MODULO 1 - REMUNERAÇÃO ]])-2,0)*($G149-$H149)</f>
        <v>1963.405</v>
      </c>
      <c r="R149" s="21">
        <f>VLOOKUP($A149,tabCustoUnit[],COLUMN(CUSTO_GLOBAL[[#Headers],[INSS]])-2,0)*($G149-$H149)</f>
        <v>392.68100000000004</v>
      </c>
      <c r="S149" s="21">
        <f>VLOOKUP($A149,tabCustoUnit[],COLUMN(CUSTO_GLOBAL[[#Headers],[SESI OU SESC]])-2,0)*($G149-$H149)</f>
        <v>29.451074999999999</v>
      </c>
      <c r="T149" s="21">
        <f>VLOOKUP($A149,tabCustoUnit[],COLUMN(CUSTO_GLOBAL[[#Headers],[SENAI OU SENAC]])-2,0)*($G149-$H149)</f>
        <v>19.634049999999998</v>
      </c>
      <c r="U149" s="21">
        <f>VLOOKUP($A149,tabCustoUnit[],COLUMN(CUSTO_GLOBAL[[#Headers],[INCRA]])-2,0)*($G149-$H149)</f>
        <v>3.9268100000000001</v>
      </c>
      <c r="V149" s="21">
        <f>VLOOKUP($A149,tabCustoUnit[],COLUMN(CUSTO_GLOBAL[[#Headers],[Salário Educação]])-2,0)*($G149-$H149)</f>
        <v>49.085125000000005</v>
      </c>
      <c r="W149" s="21">
        <f>VLOOKUP($A149,tabCustoUnit[],COLUMN(CUSTO_GLOBAL[[#Headers],[FGTS]])-2,0)*($G149-$H149)</f>
        <v>157.07239999999999</v>
      </c>
      <c r="X149" s="21">
        <f>VLOOKUP($A149,tabCustoUnit[],COLUMN(CUSTO_GLOBAL[[#Headers],[RAT Ajustado]])-2,0)*($G149-$H149)</f>
        <v>78.536199999999994</v>
      </c>
      <c r="Y149" s="21">
        <f>VLOOKUP($A149,tabCustoUnit[],COLUMN(CUSTO_GLOBAL[[#Headers],[SEBRAE]])-2,0)*($G149-$H149)</f>
        <v>11.780430000000001</v>
      </c>
      <c r="Z149" s="21">
        <f>VLOOKUP($A149,tabCustoUnit[],COLUMN(CUSTO_GLOBAL[[#Headers],[Submódulo 2.1]])-2,0)*($G149-$H149)</f>
        <v>742.16709000000003</v>
      </c>
      <c r="AA149" s="21">
        <f>VLOOKUP($A149,tabCustoUnit[],COLUMN(CUSTO_GLOBAL[[#Headers],[13º salário (titular)]])-2,0)*($G149-$H149)</f>
        <v>163.61708333333331</v>
      </c>
      <c r="AB149" s="21">
        <f>VLOOKUP($A149,tabCustoUnit[],COLUMN(CUSTO_GLOBAL[[#Headers],[Férias e Adicional de Férias (titular)]])-2,0)*($G149-$H149)</f>
        <v>218.1561111111111</v>
      </c>
      <c r="AC149" s="21">
        <f>VLOOKUP($A149,tabCustoUnit[],COLUMN(CUSTO_GLOBAL[[#Headers],[Incidência do Submódulo 2.1 sobre 13º Salário, Férias e Adicional de Férias]])-2,0)*($G149-$H149)</f>
        <v>144.31026749999998</v>
      </c>
      <c r="AD149" s="21">
        <f>VLOOKUP($A149,tabCustoUnit[],COLUMN(CUSTO_GLOBAL[[#Headers],[Submódulo 2.2]])-2,0)*($G149-$H149)</f>
        <v>526.08346194444437</v>
      </c>
      <c r="AE149" s="22" t="e">
        <f ca="1">VLOOKUP($A149,tabCustoUnit[],COLUMN(CUSTO_GLOBAL[[#Headers],[Vale - Transporte (Descontada parcela do empregado)]])-2,0)*($G149-$H149)</f>
        <v>#NAME?</v>
      </c>
      <c r="AF149" s="22">
        <f>VLOOKUP($A149,tabCustoUnit[],COLUMN(CUSTO_GLOBAL[[#Headers],[Vale - Alimentação (Descontada parcela do empregado)]])-2,0)*($G149-$H149)</f>
        <v>582</v>
      </c>
      <c r="AG149" s="22">
        <f>VLOOKUP($A149,tabCustoUnit[],COLUMN(CUSTO_GLOBAL[[#Headers],[Cesta Básica]])-2,0)*($G149-$H149)</f>
        <v>0</v>
      </c>
      <c r="AH149" s="22">
        <f>VLOOKUP($A149,tabCustoUnit[],COLUMN(CUSTO_GLOBAL[[#Headers],[PAF]])-2,0)*($G149-$H149)</f>
        <v>0</v>
      </c>
      <c r="AI149" s="22">
        <f>VLOOKUP($A149,tabCustoUnit[],COLUMN(CUSTO_GLOBAL[[#Headers],[PQM]])-2,0)*($G149-$H149)</f>
        <v>0</v>
      </c>
      <c r="AJ149" s="22">
        <v>0</v>
      </c>
      <c r="AK149" s="22">
        <f>VLOOKUP($A149,tabCustoUnit[],COLUMN(CUSTO_GLOBAL[[#Headers],[Seguro de Vida]])-2,0)*($G149-$H149)</f>
        <v>3.36</v>
      </c>
      <c r="AL149" s="22">
        <f>VLOOKUP($A149,tabCustoUnit[],COLUMN(CUSTO_GLOBAL[[#Headers],[Despesas de Viagem]])-2,0)*($G149-$H149)</f>
        <v>0</v>
      </c>
      <c r="AM149" s="22" t="e">
        <f ca="1">VLOOKUP($A149,tabCustoUnit[],COLUMN(CUSTO_GLOBAL[[#Headers],[Submódulo 2.3]])-2,0)*($G149-$H149)</f>
        <v>#NAME?</v>
      </c>
      <c r="AN149" s="22" t="e">
        <f ca="1">VLOOKUP($A149,tabCustoUnit[],COLUMN(CUSTO_GLOBAL[[#Headers],[MÓDULO 2 - Total Encargos e Benefícios mensais e diários]])-2,0)*($G149-$H149)</f>
        <v>#NAME?</v>
      </c>
      <c r="AO149" s="22">
        <f>VLOOKUP($A149,tabCustoUnit[],COLUMN(CUSTO_GLOBAL[[#Headers],[Aviso Prévio Indenizado (API) e Reflexo do Aviso Prévio Indenizado]])-2,0)*($G149-$H149)</f>
        <v>13.766938338155864</v>
      </c>
      <c r="AP149" s="22">
        <f>VLOOKUP($A149,tabCustoUnit[],COLUMN(CUSTO_GLOBAL[[#Headers],[Incidência do FGTS sobre API e Reflexo do API]])-2,0)*($G149-$H149)</f>
        <v>1.1013550670524692</v>
      </c>
      <c r="AQ149" s="22">
        <f>VLOOKUP($A149,tabCustoUnit[],COLUMN(CUSTO_GLOBAL[[#Headers],[Multa Rescisória do FGTS sobre o Aviso Prévio Indenizado]])-2,0)*($G149-$H149)</f>
        <v>0.44054202682098775</v>
      </c>
      <c r="AR149" s="22">
        <f>VLOOKUP($A149,tabCustoUnit[],COLUMN(CUSTO_GLOBAL[[#Headers],[Aviso Prévio Trabalhado - APT]])-2,0)*($G149-$H149)</f>
        <v>6.8719175000000012</v>
      </c>
      <c r="AS149" s="22">
        <f>VLOOKUP($A149,tabCustoUnit[],COLUMN(CUSTO_GLOBAL[[#Headers],[Incidência dos encargos do submódulo 2.1 sobre Aviso Prévio Trabalhado]])-2,0)*($G149-$H149)</f>
        <v>2.5975848150000007</v>
      </c>
      <c r="AT149" s="22">
        <f>VLOOKUP($A149,tabCustoUnit[],COLUMN(CUSTO_GLOBAL[[#Headers],[Multa Rescisória do FGTS]])-2,0)*($G149-$H149)</f>
        <v>60.03656177777777</v>
      </c>
      <c r="AU149" s="22">
        <f>VLOOKUP($A149,tabCustoUnit[],COLUMN(CUSTO_GLOBAL[[#Headers],[Indenização Adicional (Art. 9º da Lei nº 7.238/84)]])-2,0)*($G149-$H149)</f>
        <v>1.6361708333333334</v>
      </c>
      <c r="AV149" s="22">
        <f>VLOOKUP($A149,tabCustoUnit[],COLUMN(CUSTO_GLOBAL[[#Headers],[MÓDULO 3 – PROVISÃO PARA RESCISÃO]])-2,0)*($G149-$H149)</f>
        <v>86.451070358140427</v>
      </c>
      <c r="AW149" s="22">
        <f>VLOOKUP($A149,tabCustoUnit[],COLUMN(CUSTO_GLOBAL[[#Headers],[Ausência por Doença]])-2,0)*($G149-$H149)</f>
        <v>16.579864444444443</v>
      </c>
      <c r="AX149" s="22">
        <f>VLOOKUP($A149,tabCustoUnit[],COLUMN(CUSTO_GLOBAL[[#Headers],[Ausências Legais]])-2,0)*($G149-$H149)</f>
        <v>3.9813490277777777</v>
      </c>
      <c r="AY149" s="22">
        <f>VLOOKUP($A149,tabCustoUnit[],COLUMN(CUSTO_GLOBAL[[#Headers],[Licença Paternidade]])-2,0)*($G149-$H149)</f>
        <v>0.3354150208333333</v>
      </c>
      <c r="AZ149" s="22">
        <f>VLOOKUP($A149,tabCustoUnit[],COLUMN(CUSTO_GLOBAL[[#Headers],[Ausência por Acidente de Trabalho]])-2,0)*($G149-$H149)</f>
        <v>0.40904270833333334</v>
      </c>
      <c r="BA149" s="22">
        <f>VLOOKUP($A149,tabCustoUnit[],COLUMN(CUSTO_GLOBAL[[#Headers],[Férias, Adicional de Férias e 13º  com empregada em gozo de Licença Maternidade]])-2,0)*($G149-$H149)</f>
        <v>2.5451546296296295</v>
      </c>
      <c r="BB149" s="22">
        <f>VLOOKUP($A149,tabCustoUnit[],COLUMN(CUSTO_GLOBAL[[#Headers],[Incidência do Submódulo 2.1 sobre Ausências Legais]])-2,0)*($G149-$H149)</f>
        <v>9.0156121641250007</v>
      </c>
      <c r="BC149" s="22">
        <f>VLOOKUP($A149,tabCustoUnit[],COLUMN(CUSTO_GLOBAL[[#Headers],[Submódulo 4.1]])-2,0)*($G149-$H149)</f>
        <v>32.866437995143521</v>
      </c>
      <c r="BD149" s="22">
        <f>VLOOKUP($A149,tabCustoUnit[],COLUMN(CUSTO_GLOBAL[[#Headers],[Intervalo para Repouso ou Alimentação]])-2,0)*($G149-$H149)</f>
        <v>267.73704981301341</v>
      </c>
      <c r="BE149" s="22">
        <f>VLOOKUP($A149,tabCustoUnit[],COLUMN(CUSTO_GLOBAL[[#Headers],[Submódulo 4.2]])-2,0)*($G149-$H149)</f>
        <v>267.73704981301341</v>
      </c>
      <c r="BF149" s="22">
        <f>VLOOKUP($A149,tabCustoUnit[],COLUMN(CUSTO_GLOBAL[[#Headers],[Suspensão Temporária do Contrato de Trabalho]])-2,0)*($G149-$H149)</f>
        <v>0</v>
      </c>
      <c r="BG149" s="22">
        <f>VLOOKUP($A149,tabCustoUnit[],COLUMN(CUSTO_GLOBAL[[#Headers],[Submódulo 4.3]])-2,0)*($G149-$H149)</f>
        <v>0</v>
      </c>
      <c r="BH149" s="22">
        <f>VLOOKUP($A149,tabCustoUnit[],COLUMN(CUSTO_GLOBAL[[#Headers],[MÓDULO 4 – CUSTO DE REPOSIÇÃO DO PROFISSIONAL AUSENTE]])-2,0)*($G149-$H149)</f>
        <v>300.60348780815696</v>
      </c>
      <c r="BI149" s="22">
        <f>VLOOKUP($A149,tabCustoUnit[],COLUMN(CUSTO_GLOBAL[[#Headers],[Uniformes e EPIs]])-2,0)*($G149-$H149)</f>
        <v>56.642978962543395</v>
      </c>
      <c r="BJ149" s="22">
        <f>VLOOKUP($A149,tabCustoUnit[],COLUMN(CUSTO_GLOBAL[[#Headers],[Materiais de Consumo]])-2,0)*($G149-$H149)</f>
        <v>0</v>
      </c>
      <c r="BK149" s="22">
        <f>VLOOKUP($A149,tabCustoUnit[],COLUMN(CUSTO_GLOBAL[[#Headers],[Máquinas e Equipamentos (depreciação)]])-2,0)*($G149-$H149)</f>
        <v>0</v>
      </c>
      <c r="BL149" s="22">
        <f>VLOOKUP($A149,tabCustoUnit[],COLUMN(CUSTO_GLOBAL[[#Headers],[Produtos de Limpeza e Materiais de Higiene Pessoal]])-2,0)*($G149-$H149)</f>
        <v>0</v>
      </c>
      <c r="BM149" s="22">
        <f>VLOOKUP($A149,tabCustoUnit[],COLUMN(CUSTO_GLOBAL[[#Headers],[Outros (especificar)]])-2,0)*($G149-$H149)</f>
        <v>0</v>
      </c>
      <c r="BN149" s="22">
        <f>VLOOKUP($A149,tabCustoUnit[],COLUMN(CUSTO_GLOBAL[[#Headers],[MÓDULO 5 – INSUMOS DIVERSOS]])-2,0)*($G149-$H149)</f>
        <v>56.642978962543395</v>
      </c>
      <c r="BO149" s="22" t="e">
        <f ca="1">VLOOKUP($A149,tabCustoUnit[],COLUMN(CUSTO_GLOBAL[[#Headers],[TOTAL MÓDULOS 1+2+3+4+5]])-2,0)*($G149-$H149)</f>
        <v>#NAME?</v>
      </c>
      <c r="BP149" s="22" t="e">
        <f ca="1">VLOOKUP($A149,tabCustoUnit[],COLUMN(CUSTO_GLOBAL[[#Headers],[Custos Indiretos]])-2,0)*($G149-$H149)</f>
        <v>#NAME?</v>
      </c>
      <c r="BQ149" s="22" t="e">
        <f ca="1">VLOOKUP($A149,tabCustoUnit[],COLUMN(CUSTO_GLOBAL[[#Headers],[Lucro]])-2,0)*($G149-$H149)</f>
        <v>#NAME?</v>
      </c>
      <c r="BR149" s="26">
        <f>VLOOKUP($A149,tabCustoUnit[],COLUMN(CUSTO_GLOBAL[[#Headers],[COFINS]])-2,0)</f>
        <v>8.6609686609686695E-2</v>
      </c>
      <c r="BS149" s="26">
        <f>VLOOKUP($A149,tabCustoUnit[],COLUMN(CUSTO_GLOBAL[[#Headers],[PIS]])-2,0)</f>
        <v>1.880341880341882E-2</v>
      </c>
      <c r="BT149" s="28">
        <f>VLOOKUP($A149,tabCustoUnit[],COLUMN(CUSTO_GLOBAL[[#Headers],[ISS]])-2,0)</f>
        <v>0.03</v>
      </c>
      <c r="BU149" s="26">
        <f>VLOOKUP($A149,tabCustoUnit[],COLUMN(CUSTO_GLOBAL[[#Headers],[ISS (Conversão Alíquota s/ fatura)]])-2,0)</f>
        <v>3.4188034188034219E-2</v>
      </c>
      <c r="BV149" s="26">
        <f>VLOOKUP($A149,tabCustoUnit[],COLUMN(CUSTO_GLOBAL[[#Headers],[Resumo de Alíquotas (PIS+CONFINS+ISS)]])-2,0)</f>
        <v>0.1225</v>
      </c>
      <c r="BW149" s="138">
        <f>VLOOKUP($A149,tabCustoUnit[],COLUMN(CUSTO_GLOBAL[[#Headers],[PIS + COFINS + ISS (Total Conversão  Alíquota s/ Fatura)]])-2,0)</f>
        <v>0.13960113960113973</v>
      </c>
      <c r="BX149" s="22" t="e">
        <f ca="1">VLOOKUP($A149,tabCustoUnit[],COLUMN(CUSTO_GLOBAL[[#Headers],[Valor dos Tributos (ISS, PIS, CONFINS)]])-2,0)*($G149-$H149)</f>
        <v>#NAME?</v>
      </c>
      <c r="BY149" s="22" t="e">
        <f ca="1">VLOOKUP($A149,tabCustoUnit[],COLUMN(CUSTO_GLOBAL[[#Headers],[MÓDULO 6 – CUSTOS INDIRETOS, TRIBUTOS E LUCRO]])-2,0)*($G149-$H149)</f>
        <v>#NAME?</v>
      </c>
      <c r="BZ149" s="22" t="e">
        <f ca="1">VLOOKUP($A149,tabCustoUnit[],COLUMN(CUSTO_GLOBAL[[#Headers],[CUSTO TOTAL MENSAL]])-2,0)*($G149-$H149)</f>
        <v>#NAME?</v>
      </c>
      <c r="CA149" s="22" t="e">
        <f ca="1">CUSTO_GLOBAL[[#This Row],[CUSTO TOTAL MENSAL]]*12</f>
        <v>#NAME?</v>
      </c>
      <c r="CB149" s="24">
        <f>VLOOKUP($A149,tabCustoUnit[],COLUMN(CUSTO_GLOBAL[[#Headers],[ANO DA CCT]])-2,0)</f>
        <v>45658</v>
      </c>
      <c r="CC149" s="25" t="str">
        <f>VLOOKUP($A149,tabCustoUnit[],COLUMN(CUSTO_GLOBAL[[#Headers],[Nº DE PEDIDO DA CCT]])-2,0)</f>
        <v>-</v>
      </c>
      <c r="CD149" s="25" t="str">
        <f>VLOOKUP($A149,tabCustoUnit[],COLUMN(CUSTO_GLOBAL[[#Headers],[TERMO ADITIVO ALTERAÇÃO DA CCT]])-2,0)</f>
        <v>-</v>
      </c>
    </row>
    <row r="150" spans="1:82">
      <c r="A150" s="20" t="s">
        <v>1472</v>
      </c>
      <c r="B150" t="s">
        <v>1135</v>
      </c>
      <c r="C150" t="s">
        <v>314</v>
      </c>
      <c r="D150" t="s">
        <v>921</v>
      </c>
      <c r="E150" s="20" t="s">
        <v>1090</v>
      </c>
      <c r="F150" s="20" t="s">
        <v>120</v>
      </c>
      <c r="G150" s="20">
        <v>1</v>
      </c>
      <c r="H150" s="20">
        <v>0</v>
      </c>
      <c r="I150" s="21">
        <f>VLOOKUP($A150,tabCustoUnit[],COLUMN(CUSTO_GLOBAL[[#Headers],[Salário Base]])-2,0)*($G150-$H150)</f>
        <v>1963.4110000000001</v>
      </c>
      <c r="J150" s="21">
        <f>VLOOKUP($A150,tabCustoUnit[],COLUMN(CUSTO_GLOBAL[[#Headers],[Adicional Periculosidade]])-2,0)*($G150-$H150)</f>
        <v>0</v>
      </c>
      <c r="K150" s="21">
        <f>VLOOKUP($A150,tabCustoUnit[],COLUMN(CUSTO_GLOBAL[[#Headers],[Adicional Insalubridade]])-2,0)*($G150-$H150)</f>
        <v>0</v>
      </c>
      <c r="L150" s="21">
        <f>VLOOKUP($A150,tabCustoUnit[],COLUMN(CUSTO_GLOBAL[[#Headers],[Adicional Noturno]])-2,0)*($G150-$H150)</f>
        <v>0</v>
      </c>
      <c r="M150" s="21">
        <f>VLOOKUP($A150,tabCustoUnit[],COLUMN(CUSTO_GLOBAL[[#Headers],[Adicional Motorista II (Gratificação)]])-2,0)*($G150-$H150)</f>
        <v>0</v>
      </c>
      <c r="N150" s="21">
        <f>VLOOKUP($A150,tabCustoUnit[],COLUMN(CUSTO_GLOBAL[[#Headers],[Adicional de Sobreaviso]])-2,0)*($G150-$H150)</f>
        <v>0</v>
      </c>
      <c r="O150" s="21">
        <f>VLOOKUP($A150,tabCustoUnit[],COLUMN(CUSTO_GLOBAL[[#Headers],[Horas Extras TI]])-2,0)*($G150-$H150)</f>
        <v>0</v>
      </c>
      <c r="P150" s="21">
        <f>VLOOKUP($A150,tabCustoUnit[],COLUMN(CUSTO_GLOBAL[[#Headers],[Adicional de Acúmulo de função]])-2,0)*($G150-$H150)</f>
        <v>0</v>
      </c>
      <c r="Q150" s="21">
        <f>VLOOKUP($A150,tabCustoUnit[],COLUMN(CUSTO_GLOBAL[[#Headers],[MODULO 1 - REMUNERAÇÃO ]])-2,0)*($G150-$H150)</f>
        <v>1963.4110000000001</v>
      </c>
      <c r="R150" s="21">
        <f>VLOOKUP($A150,tabCustoUnit[],COLUMN(CUSTO_GLOBAL[[#Headers],[INSS]])-2,0)*($G150-$H150)</f>
        <v>392.68220000000002</v>
      </c>
      <c r="S150" s="21">
        <f>VLOOKUP($A150,tabCustoUnit[],COLUMN(CUSTO_GLOBAL[[#Headers],[SESI OU SESC]])-2,0)*($G150-$H150)</f>
        <v>29.451165</v>
      </c>
      <c r="T150" s="21">
        <f>VLOOKUP($A150,tabCustoUnit[],COLUMN(CUSTO_GLOBAL[[#Headers],[SENAI OU SENAC]])-2,0)*($G150-$H150)</f>
        <v>19.63411</v>
      </c>
      <c r="U150" s="21">
        <f>VLOOKUP($A150,tabCustoUnit[],COLUMN(CUSTO_GLOBAL[[#Headers],[INCRA]])-2,0)*($G150-$H150)</f>
        <v>3.926822</v>
      </c>
      <c r="V150" s="21">
        <f>VLOOKUP($A150,tabCustoUnit[],COLUMN(CUSTO_GLOBAL[[#Headers],[Salário Educação]])-2,0)*($G150-$H150)</f>
        <v>49.085275000000003</v>
      </c>
      <c r="W150" s="21">
        <f>VLOOKUP($A150,tabCustoUnit[],COLUMN(CUSTO_GLOBAL[[#Headers],[FGTS]])-2,0)*($G150-$H150)</f>
        <v>157.07288</v>
      </c>
      <c r="X150" s="21">
        <f>VLOOKUP($A150,tabCustoUnit[],COLUMN(CUSTO_GLOBAL[[#Headers],[RAT Ajustado]])-2,0)*($G150-$H150)</f>
        <v>78.536439999999999</v>
      </c>
      <c r="Y150" s="21">
        <f>VLOOKUP($A150,tabCustoUnit[],COLUMN(CUSTO_GLOBAL[[#Headers],[SEBRAE]])-2,0)*($G150-$H150)</f>
        <v>11.780466000000001</v>
      </c>
      <c r="Z150" s="21">
        <f>VLOOKUP($A150,tabCustoUnit[],COLUMN(CUSTO_GLOBAL[[#Headers],[Submódulo 2.1]])-2,0)*($G150-$H150)</f>
        <v>742.1693580000001</v>
      </c>
      <c r="AA150" s="21">
        <f>VLOOKUP($A150,tabCustoUnit[],COLUMN(CUSTO_GLOBAL[[#Headers],[13º salário (titular)]])-2,0)*($G150-$H150)</f>
        <v>163.61758333333333</v>
      </c>
      <c r="AB150" s="21">
        <f>VLOOKUP($A150,tabCustoUnit[],COLUMN(CUSTO_GLOBAL[[#Headers],[Férias e Adicional de Férias (titular)]])-2,0)*($G150-$H150)</f>
        <v>218.15677777777776</v>
      </c>
      <c r="AC150" s="21">
        <f>VLOOKUP($A150,tabCustoUnit[],COLUMN(CUSTO_GLOBAL[[#Headers],[Incidência do Submódulo 2.1 sobre 13º Salário, Férias e Adicional de Férias]])-2,0)*($G150-$H150)</f>
        <v>144.3107085</v>
      </c>
      <c r="AD150" s="21">
        <f>VLOOKUP($A150,tabCustoUnit[],COLUMN(CUSTO_GLOBAL[[#Headers],[Submódulo 2.2]])-2,0)*($G150-$H150)</f>
        <v>526.08506961111107</v>
      </c>
      <c r="AE150" s="22" t="e">
        <f ca="1">VLOOKUP($A150,tabCustoUnit[],COLUMN(CUSTO_GLOBAL[[#Headers],[Vale - Transporte (Descontada parcela do empregado)]])-2,0)*($G150-$H150)</f>
        <v>#NAME?</v>
      </c>
      <c r="AF150" s="22">
        <f>VLOOKUP($A150,tabCustoUnit[],COLUMN(CUSTO_GLOBAL[[#Headers],[Vale - Alimentação (Descontada parcela do empregado)]])-2,0)*($G150-$H150)</f>
        <v>582</v>
      </c>
      <c r="AG150" s="22">
        <f>VLOOKUP($A150,tabCustoUnit[],COLUMN(CUSTO_GLOBAL[[#Headers],[Cesta Básica]])-2,0)*($G150-$H150)</f>
        <v>0</v>
      </c>
      <c r="AH150" s="22">
        <f>VLOOKUP($A150,tabCustoUnit[],COLUMN(CUSTO_GLOBAL[[#Headers],[PAF]])-2,0)*($G150-$H150)</f>
        <v>0</v>
      </c>
      <c r="AI150" s="22">
        <f>VLOOKUP($A150,tabCustoUnit[],COLUMN(CUSTO_GLOBAL[[#Headers],[PQM]])-2,0)*($G150-$H150)</f>
        <v>15.07</v>
      </c>
      <c r="AJ150" s="22">
        <v>0</v>
      </c>
      <c r="AK150" s="22">
        <f>VLOOKUP($A150,tabCustoUnit[],COLUMN(CUSTO_GLOBAL[[#Headers],[Seguro de Vida]])-2,0)*($G150-$H150)</f>
        <v>3.36</v>
      </c>
      <c r="AL150" s="22">
        <f>VLOOKUP($A150,tabCustoUnit[],COLUMN(CUSTO_GLOBAL[[#Headers],[Despesas de Viagem]])-2,0)*($G150-$H150)</f>
        <v>0</v>
      </c>
      <c r="AM150" s="22" t="e">
        <f ca="1">VLOOKUP($A150,tabCustoUnit[],COLUMN(CUSTO_GLOBAL[[#Headers],[Submódulo 2.3]])-2,0)*($G150-$H150)</f>
        <v>#NAME?</v>
      </c>
      <c r="AN150" s="22" t="e">
        <f ca="1">VLOOKUP($A150,tabCustoUnit[],COLUMN(CUSTO_GLOBAL[[#Headers],[MÓDULO 2 - Total Encargos e Benefícios mensais e diários]])-2,0)*($G150-$H150)</f>
        <v>#NAME?</v>
      </c>
      <c r="AO150" s="22">
        <f>VLOOKUP($A150,tabCustoUnit[],COLUMN(CUSTO_GLOBAL[[#Headers],[Aviso Prévio Indenizado (API) e Reflexo do Aviso Prévio Indenizado]])-2,0)*($G150-$H150)</f>
        <v>13.766980408757716</v>
      </c>
      <c r="AP150" s="22">
        <f>VLOOKUP($A150,tabCustoUnit[],COLUMN(CUSTO_GLOBAL[[#Headers],[Incidência do FGTS sobre API e Reflexo do API]])-2,0)*($G150-$H150)</f>
        <v>1.1013584327006174</v>
      </c>
      <c r="AQ150" s="22">
        <f>VLOOKUP($A150,tabCustoUnit[],COLUMN(CUSTO_GLOBAL[[#Headers],[Multa Rescisória do FGTS sobre o Aviso Prévio Indenizado]])-2,0)*($G150-$H150)</f>
        <v>0.44054337308024699</v>
      </c>
      <c r="AR150" s="22">
        <f>VLOOKUP($A150,tabCustoUnit[],COLUMN(CUSTO_GLOBAL[[#Headers],[Aviso Prévio Trabalhado - APT]])-2,0)*($G150-$H150)</f>
        <v>6.8719385000000015</v>
      </c>
      <c r="AS150" s="22">
        <f>VLOOKUP($A150,tabCustoUnit[],COLUMN(CUSTO_GLOBAL[[#Headers],[Incidência dos encargos do submódulo 2.1 sobre Aviso Prévio Trabalhado]])-2,0)*($G150-$H150)</f>
        <v>2.5975927530000007</v>
      </c>
      <c r="AT150" s="22">
        <f>VLOOKUP($A150,tabCustoUnit[],COLUMN(CUSTO_GLOBAL[[#Headers],[Multa Rescisória do FGTS]])-2,0)*($G150-$H150)</f>
        <v>60.03674524444444</v>
      </c>
      <c r="AU150" s="22">
        <f>VLOOKUP($A150,tabCustoUnit[],COLUMN(CUSTO_GLOBAL[[#Headers],[Indenização Adicional (Art. 9º da Lei nº 7.238/84)]])-2,0)*($G150-$H150)</f>
        <v>1.6361758333333334</v>
      </c>
      <c r="AV150" s="22">
        <f>VLOOKUP($A150,tabCustoUnit[],COLUMN(CUSTO_GLOBAL[[#Headers],[MÓDULO 3 – PROVISÃO PARA RESCISÃO]])-2,0)*($G150-$H150)</f>
        <v>86.451334545316371</v>
      </c>
      <c r="AW150" s="22">
        <f>VLOOKUP($A150,tabCustoUnit[],COLUMN(CUSTO_GLOBAL[[#Headers],[Ausência por Doença]])-2,0)*($G150-$H150)</f>
        <v>16.579915111111109</v>
      </c>
      <c r="AX150" s="22">
        <f>VLOOKUP($A150,tabCustoUnit[],COLUMN(CUSTO_GLOBAL[[#Headers],[Ausências Legais]])-2,0)*($G150-$H150)</f>
        <v>3.9813611944444443</v>
      </c>
      <c r="AY150" s="22">
        <f>VLOOKUP($A150,tabCustoUnit[],COLUMN(CUSTO_GLOBAL[[#Headers],[Licença Paternidade]])-2,0)*($G150-$H150)</f>
        <v>0.33541604583333334</v>
      </c>
      <c r="AZ150" s="22">
        <f>VLOOKUP($A150,tabCustoUnit[],COLUMN(CUSTO_GLOBAL[[#Headers],[Ausência por Acidente de Trabalho]])-2,0)*($G150-$H150)</f>
        <v>0.40904395833333335</v>
      </c>
      <c r="BA150" s="22">
        <f>VLOOKUP($A150,tabCustoUnit[],COLUMN(CUSTO_GLOBAL[[#Headers],[Férias, Adicional de Férias e 13º  com empregada em gozo de Licença Maternidade]])-2,0)*($G150-$H150)</f>
        <v>2.5451624074074073</v>
      </c>
      <c r="BB150" s="22">
        <f>VLOOKUP($A150,tabCustoUnit[],COLUMN(CUSTO_GLOBAL[[#Headers],[Incidência do Submódulo 2.1 sobre Ausências Legais]])-2,0)*($G150-$H150)</f>
        <v>9.0156397150750021</v>
      </c>
      <c r="BC150" s="22">
        <f>VLOOKUP($A150,tabCustoUnit[],COLUMN(CUSTO_GLOBAL[[#Headers],[Submódulo 4.1]])-2,0)*($G150-$H150)</f>
        <v>32.866538432204628</v>
      </c>
      <c r="BD150" s="22">
        <f>VLOOKUP($A150,tabCustoUnit[],COLUMN(CUSTO_GLOBAL[[#Headers],[Intervalo para Repouso ou Alimentação]])-2,0)*($G150-$H150)</f>
        <v>267.73786489195959</v>
      </c>
      <c r="BE150" s="22">
        <f>VLOOKUP($A150,tabCustoUnit[],COLUMN(CUSTO_GLOBAL[[#Headers],[Submódulo 4.2]])-2,0)*($G150-$H150)</f>
        <v>267.73786489195959</v>
      </c>
      <c r="BF150" s="22">
        <f>VLOOKUP($A150,tabCustoUnit[],COLUMN(CUSTO_GLOBAL[[#Headers],[Suspensão Temporária do Contrato de Trabalho]])-2,0)*($G150-$H150)</f>
        <v>0</v>
      </c>
      <c r="BG150" s="22">
        <f>VLOOKUP($A150,tabCustoUnit[],COLUMN(CUSTO_GLOBAL[[#Headers],[Submódulo 4.3]])-2,0)*($G150-$H150)</f>
        <v>0</v>
      </c>
      <c r="BH150" s="22">
        <f>VLOOKUP($A150,tabCustoUnit[],COLUMN(CUSTO_GLOBAL[[#Headers],[MÓDULO 4 – CUSTO DE REPOSIÇÃO DO PROFISSIONAL AUSENTE]])-2,0)*($G150-$H150)</f>
        <v>300.6044033241642</v>
      </c>
      <c r="BI150" s="22">
        <f>VLOOKUP($A150,tabCustoUnit[],COLUMN(CUSTO_GLOBAL[[#Headers],[Uniformes e EPIs]])-2,0)*($G150-$H150)</f>
        <v>56.642978962543395</v>
      </c>
      <c r="BJ150" s="22">
        <f>VLOOKUP($A150,tabCustoUnit[],COLUMN(CUSTO_GLOBAL[[#Headers],[Materiais de Consumo]])-2,0)*($G150-$H150)</f>
        <v>0</v>
      </c>
      <c r="BK150" s="22">
        <f>VLOOKUP($A150,tabCustoUnit[],COLUMN(CUSTO_GLOBAL[[#Headers],[Máquinas e Equipamentos (depreciação)]])-2,0)*($G150-$H150)</f>
        <v>0</v>
      </c>
      <c r="BL150" s="22">
        <f>VLOOKUP($A150,tabCustoUnit[],COLUMN(CUSTO_GLOBAL[[#Headers],[Produtos de Limpeza e Materiais de Higiene Pessoal]])-2,0)*($G150-$H150)</f>
        <v>0</v>
      </c>
      <c r="BM150" s="22">
        <f>VLOOKUP($A150,tabCustoUnit[],COLUMN(CUSTO_GLOBAL[[#Headers],[Outros (especificar)]])-2,0)*($G150-$H150)</f>
        <v>0</v>
      </c>
      <c r="BN150" s="22">
        <f>VLOOKUP($A150,tabCustoUnit[],COLUMN(CUSTO_GLOBAL[[#Headers],[MÓDULO 5 – INSUMOS DIVERSOS]])-2,0)*($G150-$H150)</f>
        <v>56.642978962543395</v>
      </c>
      <c r="BO150" s="22" t="e">
        <f ca="1">VLOOKUP($A150,tabCustoUnit[],COLUMN(CUSTO_GLOBAL[[#Headers],[TOTAL MÓDULOS 1+2+3+4+5]])-2,0)*($G150-$H150)</f>
        <v>#NAME?</v>
      </c>
      <c r="BP150" s="22" t="e">
        <f ca="1">VLOOKUP($A150,tabCustoUnit[],COLUMN(CUSTO_GLOBAL[[#Headers],[Custos Indiretos]])-2,0)*($G150-$H150)</f>
        <v>#NAME?</v>
      </c>
      <c r="BQ150" s="22" t="e">
        <f ca="1">VLOOKUP($A150,tabCustoUnit[],COLUMN(CUSTO_GLOBAL[[#Headers],[Lucro]])-2,0)*($G150-$H150)</f>
        <v>#NAME?</v>
      </c>
      <c r="BR150" s="26">
        <f>VLOOKUP($A150,tabCustoUnit[],COLUMN(CUSTO_GLOBAL[[#Headers],[COFINS]])-2,0)</f>
        <v>8.5633802816901458E-2</v>
      </c>
      <c r="BS150" s="26">
        <f>VLOOKUP($A150,tabCustoUnit[],COLUMN(CUSTO_GLOBAL[[#Headers],[PIS]])-2,0)</f>
        <v>1.8591549295774657E-2</v>
      </c>
      <c r="BT150" s="28">
        <f>VLOOKUP($A150,tabCustoUnit[],COLUMN(CUSTO_GLOBAL[[#Headers],[ISS]])-2,0)</f>
        <v>0.02</v>
      </c>
      <c r="BU150" s="26">
        <f>VLOOKUP($A150,tabCustoUnit[],COLUMN(CUSTO_GLOBAL[[#Headers],[ISS (Conversão Alíquota s/ fatura)]])-2,0)</f>
        <v>2.2535211267605645E-2</v>
      </c>
      <c r="BV150" s="26">
        <f>VLOOKUP($A150,tabCustoUnit[],COLUMN(CUSTO_GLOBAL[[#Headers],[Resumo de Alíquotas (PIS+CONFINS+ISS)]])-2,0)</f>
        <v>0.1125</v>
      </c>
      <c r="BW150" s="138">
        <f>VLOOKUP($A150,tabCustoUnit[],COLUMN(CUSTO_GLOBAL[[#Headers],[PIS + COFINS + ISS (Total Conversão  Alíquota s/ Fatura)]])-2,0)</f>
        <v>0.12676056338028174</v>
      </c>
      <c r="BX150" s="22" t="e">
        <f ca="1">VLOOKUP($A150,tabCustoUnit[],COLUMN(CUSTO_GLOBAL[[#Headers],[Valor dos Tributos (ISS, PIS, CONFINS)]])-2,0)*($G150-$H150)</f>
        <v>#NAME?</v>
      </c>
      <c r="BY150" s="22" t="e">
        <f ca="1">VLOOKUP($A150,tabCustoUnit[],COLUMN(CUSTO_GLOBAL[[#Headers],[MÓDULO 6 – CUSTOS INDIRETOS, TRIBUTOS E LUCRO]])-2,0)*($G150-$H150)</f>
        <v>#NAME?</v>
      </c>
      <c r="BZ150" s="22" t="e">
        <f ca="1">VLOOKUP($A150,tabCustoUnit[],COLUMN(CUSTO_GLOBAL[[#Headers],[CUSTO TOTAL MENSAL]])-2,0)*($G150-$H150)</f>
        <v>#NAME?</v>
      </c>
      <c r="CA150" s="22" t="e">
        <f ca="1">CUSTO_GLOBAL[[#This Row],[CUSTO TOTAL MENSAL]]*12</f>
        <v>#NAME?</v>
      </c>
      <c r="CB150" s="24">
        <f>VLOOKUP($A150,tabCustoUnit[],COLUMN(CUSTO_GLOBAL[[#Headers],[ANO DA CCT]])-2,0)</f>
        <v>45658</v>
      </c>
      <c r="CC150" s="25" t="str">
        <f>VLOOKUP($A150,tabCustoUnit[],COLUMN(CUSTO_GLOBAL[[#Headers],[Nº DE PEDIDO DA CCT]])-2,0)</f>
        <v>-</v>
      </c>
      <c r="CD150" s="25" t="str">
        <f>VLOOKUP($A150,tabCustoUnit[],COLUMN(CUSTO_GLOBAL[[#Headers],[TERMO ADITIVO ALTERAÇÃO DA CCT]])-2,0)</f>
        <v>-</v>
      </c>
    </row>
    <row r="151" spans="1:82">
      <c r="A151" s="20" t="s">
        <v>1604</v>
      </c>
      <c r="B151" t="s">
        <v>1135</v>
      </c>
      <c r="C151" t="s">
        <v>324</v>
      </c>
      <c r="D151" t="s">
        <v>921</v>
      </c>
      <c r="E151" s="20" t="s">
        <v>1090</v>
      </c>
      <c r="F151" s="20" t="s">
        <v>120</v>
      </c>
      <c r="G151" s="20">
        <v>1</v>
      </c>
      <c r="H151" s="20">
        <v>0</v>
      </c>
      <c r="I151" s="21">
        <f>VLOOKUP($A151,tabCustoUnit[],COLUMN(CUSTO_GLOBAL[[#Headers],[Salário Base]])-2,0)*($G151-$H151)</f>
        <v>3397.1305000000002</v>
      </c>
      <c r="J151" s="21">
        <f>VLOOKUP($A151,tabCustoUnit[],COLUMN(CUSTO_GLOBAL[[#Headers],[Adicional Periculosidade]])-2,0)*($G151-$H151)</f>
        <v>0</v>
      </c>
      <c r="K151" s="21">
        <f>VLOOKUP($A151,tabCustoUnit[],COLUMN(CUSTO_GLOBAL[[#Headers],[Adicional Insalubridade]])-2,0)*($G151-$H151)</f>
        <v>0</v>
      </c>
      <c r="L151" s="21">
        <f>VLOOKUP($A151,tabCustoUnit[],COLUMN(CUSTO_GLOBAL[[#Headers],[Adicional Noturno]])-2,0)*($G151-$H151)</f>
        <v>0</v>
      </c>
      <c r="M151" s="21">
        <f>VLOOKUP($A151,tabCustoUnit[],COLUMN(CUSTO_GLOBAL[[#Headers],[Adicional Motorista II (Gratificação)]])-2,0)*($G151-$H151)</f>
        <v>0</v>
      </c>
      <c r="N151" s="21">
        <f>VLOOKUP($A151,tabCustoUnit[],COLUMN(CUSTO_GLOBAL[[#Headers],[Adicional de Sobreaviso]])-2,0)*($G151-$H151)</f>
        <v>0</v>
      </c>
      <c r="O151" s="21">
        <f>VLOOKUP($A151,tabCustoUnit[],COLUMN(CUSTO_GLOBAL[[#Headers],[Horas Extras TI]])-2,0)*($G151-$H151)</f>
        <v>0</v>
      </c>
      <c r="P151" s="21">
        <f>VLOOKUP($A151,tabCustoUnit[],COLUMN(CUSTO_GLOBAL[[#Headers],[Adicional de Acúmulo de função]])-2,0)*($G151-$H151)</f>
        <v>0</v>
      </c>
      <c r="Q151" s="21">
        <f>VLOOKUP($A151,tabCustoUnit[],COLUMN(CUSTO_GLOBAL[[#Headers],[MODULO 1 - REMUNERAÇÃO ]])-2,0)*($G151-$H151)</f>
        <v>3397.1305000000002</v>
      </c>
      <c r="R151" s="21">
        <f>VLOOKUP($A151,tabCustoUnit[],COLUMN(CUSTO_GLOBAL[[#Headers],[INSS]])-2,0)*($G151-$H151)</f>
        <v>679.42610000000013</v>
      </c>
      <c r="S151" s="21">
        <f>VLOOKUP($A151,tabCustoUnit[],COLUMN(CUSTO_GLOBAL[[#Headers],[SESI OU SESC]])-2,0)*($G151-$H151)</f>
        <v>50.956957500000001</v>
      </c>
      <c r="T151" s="21">
        <f>VLOOKUP($A151,tabCustoUnit[],COLUMN(CUSTO_GLOBAL[[#Headers],[SENAI OU SENAC]])-2,0)*($G151-$H151)</f>
        <v>33.971305000000001</v>
      </c>
      <c r="U151" s="21">
        <f>VLOOKUP($A151,tabCustoUnit[],COLUMN(CUSTO_GLOBAL[[#Headers],[INCRA]])-2,0)*($G151-$H151)</f>
        <v>6.7942610000000005</v>
      </c>
      <c r="V151" s="21">
        <f>VLOOKUP($A151,tabCustoUnit[],COLUMN(CUSTO_GLOBAL[[#Headers],[Salário Educação]])-2,0)*($G151-$H151)</f>
        <v>84.928262500000017</v>
      </c>
      <c r="W151" s="21">
        <f>VLOOKUP($A151,tabCustoUnit[],COLUMN(CUSTO_GLOBAL[[#Headers],[FGTS]])-2,0)*($G151-$H151)</f>
        <v>271.77044000000001</v>
      </c>
      <c r="X151" s="21">
        <f>VLOOKUP($A151,tabCustoUnit[],COLUMN(CUSTO_GLOBAL[[#Headers],[RAT Ajustado]])-2,0)*($G151-$H151)</f>
        <v>135.88522</v>
      </c>
      <c r="Y151" s="21">
        <f>VLOOKUP($A151,tabCustoUnit[],COLUMN(CUSTO_GLOBAL[[#Headers],[SEBRAE]])-2,0)*($G151-$H151)</f>
        <v>20.382783000000003</v>
      </c>
      <c r="Z151" s="21">
        <f>VLOOKUP($A151,tabCustoUnit[],COLUMN(CUSTO_GLOBAL[[#Headers],[Submódulo 2.1]])-2,0)*($G151-$H151)</f>
        <v>1284.1153290000002</v>
      </c>
      <c r="AA151" s="21">
        <f>VLOOKUP($A151,tabCustoUnit[],COLUMN(CUSTO_GLOBAL[[#Headers],[13º salário (titular)]])-2,0)*($G151-$H151)</f>
        <v>283.09420833333331</v>
      </c>
      <c r="AB151" s="21">
        <f>VLOOKUP($A151,tabCustoUnit[],COLUMN(CUSTO_GLOBAL[[#Headers],[Férias e Adicional de Férias (titular)]])-2,0)*($G151-$H151)</f>
        <v>377.45894444444446</v>
      </c>
      <c r="AC151" s="21">
        <f>VLOOKUP($A151,tabCustoUnit[],COLUMN(CUSTO_GLOBAL[[#Headers],[Incidência do Submódulo 2.1 sobre 13º Salário, Férias e Adicional de Férias]])-2,0)*($G151-$H151)</f>
        <v>249.68909175000005</v>
      </c>
      <c r="AD151" s="21">
        <f>VLOOKUP($A151,tabCustoUnit[],COLUMN(CUSTO_GLOBAL[[#Headers],[Submódulo 2.2]])-2,0)*($G151-$H151)</f>
        <v>910.24224452777776</v>
      </c>
      <c r="AE151" s="22" t="e">
        <f ca="1">VLOOKUP($A151,tabCustoUnit[],COLUMN(CUSTO_GLOBAL[[#Headers],[Vale - Transporte (Descontada parcela do empregado)]])-2,0)*($G151-$H151)</f>
        <v>#NAME?</v>
      </c>
      <c r="AF151" s="22">
        <f>VLOOKUP($A151,tabCustoUnit[],COLUMN(CUSTO_GLOBAL[[#Headers],[Vale - Alimentação (Descontada parcela do empregado)]])-2,0)*($G151-$H151)</f>
        <v>582</v>
      </c>
      <c r="AG151" s="22">
        <f>VLOOKUP($A151,tabCustoUnit[],COLUMN(CUSTO_GLOBAL[[#Headers],[Cesta Básica]])-2,0)*($G151-$H151)</f>
        <v>0</v>
      </c>
      <c r="AH151" s="22">
        <f>VLOOKUP($A151,tabCustoUnit[],COLUMN(CUSTO_GLOBAL[[#Headers],[PAF]])-2,0)*($G151-$H151)</f>
        <v>0</v>
      </c>
      <c r="AI151" s="22">
        <f>VLOOKUP($A151,tabCustoUnit[],COLUMN(CUSTO_GLOBAL[[#Headers],[PQM]])-2,0)*($G151-$H151)</f>
        <v>15.07</v>
      </c>
      <c r="AJ151" s="22">
        <v>0</v>
      </c>
      <c r="AK151" s="22">
        <f>VLOOKUP($A151,tabCustoUnit[],COLUMN(CUSTO_GLOBAL[[#Headers],[Seguro de Vida]])-2,0)*($G151-$H151)</f>
        <v>3.36</v>
      </c>
      <c r="AL151" s="22">
        <f>VLOOKUP($A151,tabCustoUnit[],COLUMN(CUSTO_GLOBAL[[#Headers],[Despesas de Viagem]])-2,0)*($G151-$H151)</f>
        <v>0</v>
      </c>
      <c r="AM151" s="22" t="e">
        <f ca="1">VLOOKUP($A151,tabCustoUnit[],COLUMN(CUSTO_GLOBAL[[#Headers],[Submódulo 2.3]])-2,0)*($G151-$H151)</f>
        <v>#NAME?</v>
      </c>
      <c r="AN151" s="22" t="e">
        <f ca="1">VLOOKUP($A151,tabCustoUnit[],COLUMN(CUSTO_GLOBAL[[#Headers],[MÓDULO 2 - Total Encargos e Benefícios mensais e diários]])-2,0)*($G151-$H151)</f>
        <v>#NAME?</v>
      </c>
      <c r="AO151" s="22">
        <f>VLOOKUP($A151,tabCustoUnit[],COLUMN(CUSTO_GLOBAL[[#Headers],[Aviso Prévio Indenizado (API) e Reflexo do Aviso Prévio Indenizado]])-2,0)*($G151-$H151)</f>
        <v>23.819887450713736</v>
      </c>
      <c r="AP151" s="22">
        <f>VLOOKUP($A151,tabCustoUnit[],COLUMN(CUSTO_GLOBAL[[#Headers],[Incidência do FGTS sobre API e Reflexo do API]])-2,0)*($G151-$H151)</f>
        <v>1.9055909960570991</v>
      </c>
      <c r="AQ151" s="22">
        <f>VLOOKUP($A151,tabCustoUnit[],COLUMN(CUSTO_GLOBAL[[#Headers],[Multa Rescisória do FGTS sobre o Aviso Prévio Indenizado]])-2,0)*($G151-$H151)</f>
        <v>0.76223639842283974</v>
      </c>
      <c r="AR151" s="22">
        <f>VLOOKUP($A151,tabCustoUnit[],COLUMN(CUSTO_GLOBAL[[#Headers],[Aviso Prévio Trabalhado - APT]])-2,0)*($G151-$H151)</f>
        <v>11.889956750000003</v>
      </c>
      <c r="AS151" s="22">
        <f>VLOOKUP($A151,tabCustoUnit[],COLUMN(CUSTO_GLOBAL[[#Headers],[Incidência dos encargos do submódulo 2.1 sobre Aviso Prévio Trabalhado]])-2,0)*($G151-$H151)</f>
        <v>4.4944036515000017</v>
      </c>
      <c r="AT151" s="22">
        <f>VLOOKUP($A151,tabCustoUnit[],COLUMN(CUSTO_GLOBAL[[#Headers],[Multa Rescisória do FGTS]])-2,0)*($G151-$H151)</f>
        <v>103.87670151111111</v>
      </c>
      <c r="AU151" s="22">
        <f>VLOOKUP($A151,tabCustoUnit[],COLUMN(CUSTO_GLOBAL[[#Headers],[Indenização Adicional (Art. 9º da Lei nº 7.238/84)]])-2,0)*($G151-$H151)</f>
        <v>2.8309420833333339</v>
      </c>
      <c r="AV151" s="22">
        <f>VLOOKUP($A151,tabCustoUnit[],COLUMN(CUSTO_GLOBAL[[#Headers],[MÓDULO 3 – PROVISÃO PARA RESCISÃO]])-2,0)*($G151-$H151)</f>
        <v>149.57971884113812</v>
      </c>
      <c r="AW151" s="22">
        <f>VLOOKUP($A151,tabCustoUnit[],COLUMN(CUSTO_GLOBAL[[#Headers],[Ausência por Doença]])-2,0)*($G151-$H151)</f>
        <v>28.686879777777776</v>
      </c>
      <c r="AX151" s="22">
        <f>VLOOKUP($A151,tabCustoUnit[],COLUMN(CUSTO_GLOBAL[[#Headers],[Ausências Legais]])-2,0)*($G151-$H151)</f>
        <v>6.888625736111111</v>
      </c>
      <c r="AY151" s="22">
        <f>VLOOKUP($A151,tabCustoUnit[],COLUMN(CUSTO_GLOBAL[[#Headers],[Licença Paternidade]])-2,0)*($G151-$H151)</f>
        <v>0.58034312708333335</v>
      </c>
      <c r="AZ151" s="22">
        <f>VLOOKUP($A151,tabCustoUnit[],COLUMN(CUSTO_GLOBAL[[#Headers],[Ausência por Acidente de Trabalho]])-2,0)*($G151-$H151)</f>
        <v>0.70773552083333346</v>
      </c>
      <c r="BA151" s="22">
        <f>VLOOKUP($A151,tabCustoUnit[],COLUMN(CUSTO_GLOBAL[[#Headers],[Férias, Adicional de Férias e 13º  com empregada em gozo de Licença Maternidade]])-2,0)*($G151-$H151)</f>
        <v>4.4036876851851856</v>
      </c>
      <c r="BB151" s="22">
        <f>VLOOKUP($A151,tabCustoUnit[],COLUMN(CUSTO_GLOBAL[[#Headers],[Incidência do Submódulo 2.1 sobre Ausências Legais]])-2,0)*($G151-$H151)</f>
        <v>15.599028758162504</v>
      </c>
      <c r="BC151" s="22">
        <f>VLOOKUP($A151,tabCustoUnit[],COLUMN(CUSTO_GLOBAL[[#Headers],[Submódulo 4.1]])-2,0)*($G151-$H151)</f>
        <v>56.866300605153235</v>
      </c>
      <c r="BD151" s="22">
        <f>VLOOKUP($A151,tabCustoUnit[],COLUMN(CUSTO_GLOBAL[[#Headers],[Intervalo para Repouso ou Alimentação]])-2,0)*($G151-$H151)</f>
        <v>0</v>
      </c>
      <c r="BE151" s="22">
        <f>VLOOKUP($A151,tabCustoUnit[],COLUMN(CUSTO_GLOBAL[[#Headers],[Submódulo 4.2]])-2,0)*($G151-$H151)</f>
        <v>0</v>
      </c>
      <c r="BF151" s="22">
        <f>VLOOKUP($A151,tabCustoUnit[],COLUMN(CUSTO_GLOBAL[[#Headers],[Suspensão Temporária do Contrato de Trabalho]])-2,0)*($G151-$H151)</f>
        <v>0</v>
      </c>
      <c r="BG151" s="22">
        <f>VLOOKUP($A151,tabCustoUnit[],COLUMN(CUSTO_GLOBAL[[#Headers],[Submódulo 4.3]])-2,0)*($G151-$H151)</f>
        <v>0</v>
      </c>
      <c r="BH151" s="22">
        <f>VLOOKUP($A151,tabCustoUnit[],COLUMN(CUSTO_GLOBAL[[#Headers],[MÓDULO 4 – CUSTO DE REPOSIÇÃO DO PROFISSIONAL AUSENTE]])-2,0)*($G151-$H151)</f>
        <v>56.866300605153235</v>
      </c>
      <c r="BI151" s="22">
        <f>VLOOKUP($A151,tabCustoUnit[],COLUMN(CUSTO_GLOBAL[[#Headers],[Uniformes e EPIs]])-2,0)*($G151-$H151)</f>
        <v>56.642978962543395</v>
      </c>
      <c r="BJ151" s="22">
        <f>VLOOKUP($A151,tabCustoUnit[],COLUMN(CUSTO_GLOBAL[[#Headers],[Materiais de Consumo]])-2,0)*($G151-$H151)</f>
        <v>0</v>
      </c>
      <c r="BK151" s="22">
        <f>VLOOKUP($A151,tabCustoUnit[],COLUMN(CUSTO_GLOBAL[[#Headers],[Máquinas e Equipamentos (depreciação)]])-2,0)*($G151-$H151)</f>
        <v>0</v>
      </c>
      <c r="BL151" s="22">
        <f>VLOOKUP($A151,tabCustoUnit[],COLUMN(CUSTO_GLOBAL[[#Headers],[Produtos de Limpeza e Materiais de Higiene Pessoal]])-2,0)*($G151-$H151)</f>
        <v>0</v>
      </c>
      <c r="BM151" s="22">
        <f>VLOOKUP($A151,tabCustoUnit[],COLUMN(CUSTO_GLOBAL[[#Headers],[Outros (especificar)]])-2,0)*($G151-$H151)</f>
        <v>0</v>
      </c>
      <c r="BN151" s="22">
        <f>VLOOKUP($A151,tabCustoUnit[],COLUMN(CUSTO_GLOBAL[[#Headers],[MÓDULO 5 – INSUMOS DIVERSOS]])-2,0)*($G151-$H151)</f>
        <v>56.642978962543395</v>
      </c>
      <c r="BO151" s="22" t="e">
        <f ca="1">VLOOKUP($A151,tabCustoUnit[],COLUMN(CUSTO_GLOBAL[[#Headers],[TOTAL MÓDULOS 1+2+3+4+5]])-2,0)*($G151-$H151)</f>
        <v>#NAME?</v>
      </c>
      <c r="BP151" s="22" t="e">
        <f ca="1">VLOOKUP($A151,tabCustoUnit[],COLUMN(CUSTO_GLOBAL[[#Headers],[Custos Indiretos]])-2,0)*($G151-$H151)</f>
        <v>#NAME?</v>
      </c>
      <c r="BQ151" s="22" t="e">
        <f ca="1">VLOOKUP($A151,tabCustoUnit[],COLUMN(CUSTO_GLOBAL[[#Headers],[Lucro]])-2,0)*($G151-$H151)</f>
        <v>#NAME?</v>
      </c>
      <c r="BR151" s="26">
        <f>VLOOKUP($A151,tabCustoUnit[],COLUMN(CUSTO_GLOBAL[[#Headers],[COFINS]])-2,0)</f>
        <v>8.5633802816901458E-2</v>
      </c>
      <c r="BS151" s="26">
        <f>VLOOKUP($A151,tabCustoUnit[],COLUMN(CUSTO_GLOBAL[[#Headers],[PIS]])-2,0)</f>
        <v>1.8591549295774657E-2</v>
      </c>
      <c r="BT151" s="28">
        <f>VLOOKUP($A151,tabCustoUnit[],COLUMN(CUSTO_GLOBAL[[#Headers],[ISS]])-2,0)</f>
        <v>0.02</v>
      </c>
      <c r="BU151" s="26">
        <f>VLOOKUP($A151,tabCustoUnit[],COLUMN(CUSTO_GLOBAL[[#Headers],[ISS (Conversão Alíquota s/ fatura)]])-2,0)</f>
        <v>2.2535211267605645E-2</v>
      </c>
      <c r="BV151" s="26">
        <f>VLOOKUP($A151,tabCustoUnit[],COLUMN(CUSTO_GLOBAL[[#Headers],[Resumo de Alíquotas (PIS+CONFINS+ISS)]])-2,0)</f>
        <v>0.1125</v>
      </c>
      <c r="BW151" s="138">
        <f>VLOOKUP($A151,tabCustoUnit[],COLUMN(CUSTO_GLOBAL[[#Headers],[PIS + COFINS + ISS (Total Conversão  Alíquota s/ Fatura)]])-2,0)</f>
        <v>0.12676056338028174</v>
      </c>
      <c r="BX151" s="22" t="e">
        <f ca="1">VLOOKUP($A151,tabCustoUnit[],COLUMN(CUSTO_GLOBAL[[#Headers],[Valor dos Tributos (ISS, PIS, CONFINS)]])-2,0)*($G151-$H151)</f>
        <v>#NAME?</v>
      </c>
      <c r="BY151" s="22" t="e">
        <f ca="1">VLOOKUP($A151,tabCustoUnit[],COLUMN(CUSTO_GLOBAL[[#Headers],[MÓDULO 6 – CUSTOS INDIRETOS, TRIBUTOS E LUCRO]])-2,0)*($G151-$H151)</f>
        <v>#NAME?</v>
      </c>
      <c r="BZ151" s="22" t="e">
        <f ca="1">VLOOKUP($A151,tabCustoUnit[],COLUMN(CUSTO_GLOBAL[[#Headers],[CUSTO TOTAL MENSAL]])-2,0)*($G151-$H151)</f>
        <v>#NAME?</v>
      </c>
      <c r="CA151" s="22" t="e">
        <f ca="1">CUSTO_GLOBAL[[#This Row],[CUSTO TOTAL MENSAL]]*12</f>
        <v>#NAME?</v>
      </c>
      <c r="CB151" s="24">
        <f>VLOOKUP($A151,tabCustoUnit[],COLUMN(CUSTO_GLOBAL[[#Headers],[ANO DA CCT]])-2,0)</f>
        <v>45658</v>
      </c>
      <c r="CC151" s="25" t="str">
        <f>VLOOKUP($A151,tabCustoUnit[],COLUMN(CUSTO_GLOBAL[[#Headers],[Nº DE PEDIDO DA CCT]])-2,0)</f>
        <v>-</v>
      </c>
      <c r="CD151" s="25" t="str">
        <f>VLOOKUP($A151,tabCustoUnit[],COLUMN(CUSTO_GLOBAL[[#Headers],[TERMO ADITIVO ALTERAÇÃO DA CCT]])-2,0)</f>
        <v>-</v>
      </c>
    </row>
    <row r="152" spans="1:82">
      <c r="A152" s="20" t="s">
        <v>1473</v>
      </c>
      <c r="B152" t="s">
        <v>1136</v>
      </c>
      <c r="C152" t="s">
        <v>200</v>
      </c>
      <c r="D152" t="s">
        <v>954</v>
      </c>
      <c r="E152" s="20" t="s">
        <v>1090</v>
      </c>
      <c r="F152" s="20" t="s">
        <v>120</v>
      </c>
      <c r="G152" s="20">
        <v>1</v>
      </c>
      <c r="H152" s="20">
        <v>0</v>
      </c>
      <c r="I152" s="21">
        <f>VLOOKUP($A152,tabCustoUnit[],COLUMN(CUSTO_GLOBAL[[#Headers],[Salário Base]])-2,0)*($G152-$H152)</f>
        <v>1596.2737999999999</v>
      </c>
      <c r="J152" s="21">
        <f>VLOOKUP($A152,tabCustoUnit[],COLUMN(CUSTO_GLOBAL[[#Headers],[Adicional Periculosidade]])-2,0)*($G152-$H152)</f>
        <v>0</v>
      </c>
      <c r="K152" s="21">
        <f>VLOOKUP($A152,tabCustoUnit[],COLUMN(CUSTO_GLOBAL[[#Headers],[Adicional Insalubridade]])-2,0)*($G152-$H152)</f>
        <v>0</v>
      </c>
      <c r="L152" s="21">
        <f>VLOOKUP($A152,tabCustoUnit[],COLUMN(CUSTO_GLOBAL[[#Headers],[Adicional Noturno]])-2,0)*($G152-$H152)</f>
        <v>0</v>
      </c>
      <c r="M152" s="21">
        <f>VLOOKUP($A152,tabCustoUnit[],COLUMN(CUSTO_GLOBAL[[#Headers],[Adicional Motorista II (Gratificação)]])-2,0)*($G152-$H152)</f>
        <v>0</v>
      </c>
      <c r="N152" s="21">
        <f>VLOOKUP($A152,tabCustoUnit[],COLUMN(CUSTO_GLOBAL[[#Headers],[Adicional de Sobreaviso]])-2,0)*($G152-$H152)</f>
        <v>0</v>
      </c>
      <c r="O152" s="21">
        <f>VLOOKUP($A152,tabCustoUnit[],COLUMN(CUSTO_GLOBAL[[#Headers],[Horas Extras TI]])-2,0)*($G152-$H152)</f>
        <v>0</v>
      </c>
      <c r="P152" s="21">
        <f>VLOOKUP($A152,tabCustoUnit[],COLUMN(CUSTO_GLOBAL[[#Headers],[Adicional de Acúmulo de função]])-2,0)*($G152-$H152)</f>
        <v>0</v>
      </c>
      <c r="Q152" s="21">
        <f>VLOOKUP($A152,tabCustoUnit[],COLUMN(CUSTO_GLOBAL[[#Headers],[MODULO 1 - REMUNERAÇÃO ]])-2,0)*($G152-$H152)</f>
        <v>1596.2737999999999</v>
      </c>
      <c r="R152" s="21">
        <f>VLOOKUP($A152,tabCustoUnit[],COLUMN(CUSTO_GLOBAL[[#Headers],[INSS]])-2,0)*($G152-$H152)</f>
        <v>319.25476000000003</v>
      </c>
      <c r="S152" s="21">
        <f>VLOOKUP($A152,tabCustoUnit[],COLUMN(CUSTO_GLOBAL[[#Headers],[SESI OU SESC]])-2,0)*($G152-$H152)</f>
        <v>23.944106999999999</v>
      </c>
      <c r="T152" s="21">
        <f>VLOOKUP($A152,tabCustoUnit[],COLUMN(CUSTO_GLOBAL[[#Headers],[SENAI OU SENAC]])-2,0)*($G152-$H152)</f>
        <v>15.962738</v>
      </c>
      <c r="U152" s="21">
        <f>VLOOKUP($A152,tabCustoUnit[],COLUMN(CUSTO_GLOBAL[[#Headers],[INCRA]])-2,0)*($G152-$H152)</f>
        <v>3.1925476000000002</v>
      </c>
      <c r="V152" s="21">
        <f>VLOOKUP($A152,tabCustoUnit[],COLUMN(CUSTO_GLOBAL[[#Headers],[Salário Educação]])-2,0)*($G152-$H152)</f>
        <v>39.906845000000004</v>
      </c>
      <c r="W152" s="21">
        <f>VLOOKUP($A152,tabCustoUnit[],COLUMN(CUSTO_GLOBAL[[#Headers],[FGTS]])-2,0)*($G152-$H152)</f>
        <v>127.701904</v>
      </c>
      <c r="X152" s="21">
        <f>VLOOKUP($A152,tabCustoUnit[],COLUMN(CUSTO_GLOBAL[[#Headers],[RAT Ajustado]])-2,0)*($G152-$H152)</f>
        <v>63.850951999999999</v>
      </c>
      <c r="Y152" s="21">
        <f>VLOOKUP($A152,tabCustoUnit[],COLUMN(CUSTO_GLOBAL[[#Headers],[SEBRAE]])-2,0)*($G152-$H152)</f>
        <v>9.5776427999999996</v>
      </c>
      <c r="Z152" s="21">
        <f>VLOOKUP($A152,tabCustoUnit[],COLUMN(CUSTO_GLOBAL[[#Headers],[Submódulo 2.1]])-2,0)*($G152-$H152)</f>
        <v>603.39149640000005</v>
      </c>
      <c r="AA152" s="21">
        <f>VLOOKUP($A152,tabCustoUnit[],COLUMN(CUSTO_GLOBAL[[#Headers],[13º salário (titular)]])-2,0)*($G152-$H152)</f>
        <v>133.02281666666664</v>
      </c>
      <c r="AB152" s="21">
        <f>VLOOKUP($A152,tabCustoUnit[],COLUMN(CUSTO_GLOBAL[[#Headers],[Férias e Adicional de Férias (titular)]])-2,0)*($G152-$H152)</f>
        <v>177.36375555555554</v>
      </c>
      <c r="AC152" s="21">
        <f>VLOOKUP($A152,tabCustoUnit[],COLUMN(CUSTO_GLOBAL[[#Headers],[Incidência do Submódulo 2.1 sobre 13º Salário, Férias e Adicional de Férias]])-2,0)*($G152-$H152)</f>
        <v>117.3261243</v>
      </c>
      <c r="AD152" s="21">
        <f>VLOOKUP($A152,tabCustoUnit[],COLUMN(CUSTO_GLOBAL[[#Headers],[Submódulo 2.2]])-2,0)*($G152-$H152)</f>
        <v>427.71269652222219</v>
      </c>
      <c r="AE152" s="22" t="e">
        <f ca="1">VLOOKUP($A152,tabCustoUnit[],COLUMN(CUSTO_GLOBAL[[#Headers],[Vale - Transporte (Descontada parcela do empregado)]])-2,0)*($G152-$H152)</f>
        <v>#NAME?</v>
      </c>
      <c r="AF152" s="22">
        <f>VLOOKUP($A152,tabCustoUnit[],COLUMN(CUSTO_GLOBAL[[#Headers],[Vale - Alimentação (Descontada parcela do empregado)]])-2,0)*($G152-$H152)</f>
        <v>582</v>
      </c>
      <c r="AG152" s="22">
        <f>VLOOKUP($A152,tabCustoUnit[],COLUMN(CUSTO_GLOBAL[[#Headers],[Cesta Básica]])-2,0)*($G152-$H152)</f>
        <v>0</v>
      </c>
      <c r="AH152" s="22">
        <f>VLOOKUP($A152,tabCustoUnit[],COLUMN(CUSTO_GLOBAL[[#Headers],[PAF]])-2,0)*($G152-$H152)</f>
        <v>51.88</v>
      </c>
      <c r="AI152" s="22">
        <f>VLOOKUP($A152,tabCustoUnit[],COLUMN(CUSTO_GLOBAL[[#Headers],[PQM]])-2,0)*($G152-$H152)</f>
        <v>0</v>
      </c>
      <c r="AJ152" s="22">
        <v>0</v>
      </c>
      <c r="AK152" s="22">
        <f>VLOOKUP($A152,tabCustoUnit[],COLUMN(CUSTO_GLOBAL[[#Headers],[Seguro de Vida]])-2,0)*($G152-$H152)</f>
        <v>3.36</v>
      </c>
      <c r="AL152" s="22">
        <f>VLOOKUP($A152,tabCustoUnit[],COLUMN(CUSTO_GLOBAL[[#Headers],[Despesas de Viagem]])-2,0)*($G152-$H152)</f>
        <v>0</v>
      </c>
      <c r="AM152" s="22" t="e">
        <f ca="1">VLOOKUP($A152,tabCustoUnit[],COLUMN(CUSTO_GLOBAL[[#Headers],[Submódulo 2.3]])-2,0)*($G152-$H152)</f>
        <v>#NAME?</v>
      </c>
      <c r="AN152" s="22" t="e">
        <f ca="1">VLOOKUP($A152,tabCustoUnit[],COLUMN(CUSTO_GLOBAL[[#Headers],[MÓDULO 2 - Total Encargos e Benefícios mensais e diários]])-2,0)*($G152-$H152)</f>
        <v>#NAME?</v>
      </c>
      <c r="AO152" s="22">
        <f>VLOOKUP($A152,tabCustoUnit[],COLUMN(CUSTO_GLOBAL[[#Headers],[Aviso Prévio Indenizado (API) e Reflexo do Aviso Prévio Indenizado]])-2,0)*($G152-$H152)</f>
        <v>11.192699914390431</v>
      </c>
      <c r="AP152" s="22">
        <f>VLOOKUP($A152,tabCustoUnit[],COLUMN(CUSTO_GLOBAL[[#Headers],[Incidência do FGTS sobre API e Reflexo do API]])-2,0)*($G152-$H152)</f>
        <v>0.89541599315123466</v>
      </c>
      <c r="AQ152" s="22">
        <f>VLOOKUP($A152,tabCustoUnit[],COLUMN(CUSTO_GLOBAL[[#Headers],[Multa Rescisória do FGTS sobre o Aviso Prévio Indenizado]])-2,0)*($G152-$H152)</f>
        <v>0.35816639726049387</v>
      </c>
      <c r="AR152" s="22">
        <f>VLOOKUP($A152,tabCustoUnit[],COLUMN(CUSTO_GLOBAL[[#Headers],[Aviso Prévio Trabalhado - APT]])-2,0)*($G152-$H152)</f>
        <v>5.5869583000000009</v>
      </c>
      <c r="AS152" s="22">
        <f>VLOOKUP($A152,tabCustoUnit[],COLUMN(CUSTO_GLOBAL[[#Headers],[Incidência dos encargos do submódulo 2.1 sobre Aviso Prévio Trabalhado]])-2,0)*($G152-$H152)</f>
        <v>2.1118702374000007</v>
      </c>
      <c r="AT152" s="22">
        <f>VLOOKUP($A152,tabCustoUnit[],COLUMN(CUSTO_GLOBAL[[#Headers],[Multa Rescisória do FGTS]])-2,0)*($G152-$H152)</f>
        <v>48.810505528888882</v>
      </c>
      <c r="AU152" s="22">
        <f>VLOOKUP($A152,tabCustoUnit[],COLUMN(CUSTO_GLOBAL[[#Headers],[Indenização Adicional (Art. 9º da Lei nº 7.238/84)]])-2,0)*($G152-$H152)</f>
        <v>1.3302281666666667</v>
      </c>
      <c r="AV152" s="22">
        <f>VLOOKUP($A152,tabCustoUnit[],COLUMN(CUSTO_GLOBAL[[#Headers],[MÓDULO 3 – PROVISÃO PARA RESCISÃO]])-2,0)*($G152-$H152)</f>
        <v>70.285844537757711</v>
      </c>
      <c r="AW152" s="22">
        <f>VLOOKUP($A152,tabCustoUnit[],COLUMN(CUSTO_GLOBAL[[#Headers],[Ausência por Doença]])-2,0)*($G152-$H152)</f>
        <v>13.479645422222221</v>
      </c>
      <c r="AX152" s="22">
        <f>VLOOKUP($A152,tabCustoUnit[],COLUMN(CUSTO_GLOBAL[[#Headers],[Ausências Legais]])-2,0)*($G152-$H152)</f>
        <v>3.2368885388888886</v>
      </c>
      <c r="AY152" s="22">
        <f>VLOOKUP($A152,tabCustoUnit[],COLUMN(CUSTO_GLOBAL[[#Headers],[Licença Paternidade]])-2,0)*($G152-$H152)</f>
        <v>0.27269677416666666</v>
      </c>
      <c r="AZ152" s="22">
        <f>VLOOKUP($A152,tabCustoUnit[],COLUMN(CUSTO_GLOBAL[[#Headers],[Ausência por Acidente de Trabalho]])-2,0)*($G152-$H152)</f>
        <v>0.33255704166666666</v>
      </c>
      <c r="BA152" s="22">
        <f>VLOOKUP($A152,tabCustoUnit[],COLUMN(CUSTO_GLOBAL[[#Headers],[Férias, Adicional de Férias e 13º  com empregada em gozo de Licença Maternidade]])-2,0)*($G152-$H152)</f>
        <v>2.0692438148148145</v>
      </c>
      <c r="BB152" s="22">
        <f>VLOOKUP($A152,tabCustoUnit[],COLUMN(CUSTO_GLOBAL[[#Headers],[Incidência do Submódulo 2.1 sobre Ausências Legais]])-2,0)*($G152-$H152)</f>
        <v>7.3298099416850011</v>
      </c>
      <c r="BC152" s="22">
        <f>VLOOKUP($A152,tabCustoUnit[],COLUMN(CUSTO_GLOBAL[[#Headers],[Submódulo 4.1]])-2,0)*($G152-$H152)</f>
        <v>26.720841533444265</v>
      </c>
      <c r="BD152" s="22">
        <f>VLOOKUP($A152,tabCustoUnit[],COLUMN(CUSTO_GLOBAL[[#Headers],[Intervalo para Repouso ou Alimentação]])-2,0)*($G152-$H152)</f>
        <v>0</v>
      </c>
      <c r="BE152" s="22">
        <f>VLOOKUP($A152,tabCustoUnit[],COLUMN(CUSTO_GLOBAL[[#Headers],[Submódulo 4.2]])-2,0)*($G152-$H152)</f>
        <v>0</v>
      </c>
      <c r="BF152" s="22">
        <f>VLOOKUP($A152,tabCustoUnit[],COLUMN(CUSTO_GLOBAL[[#Headers],[Suspensão Temporária do Contrato de Trabalho]])-2,0)*($G152-$H152)</f>
        <v>0</v>
      </c>
      <c r="BG152" s="22">
        <f>VLOOKUP($A152,tabCustoUnit[],COLUMN(CUSTO_GLOBAL[[#Headers],[Submódulo 4.3]])-2,0)*($G152-$H152)</f>
        <v>0</v>
      </c>
      <c r="BH152" s="22">
        <f>VLOOKUP($A152,tabCustoUnit[],COLUMN(CUSTO_GLOBAL[[#Headers],[MÓDULO 4 – CUSTO DE REPOSIÇÃO DO PROFISSIONAL AUSENTE]])-2,0)*($G152-$H152)</f>
        <v>26.720841533444265</v>
      </c>
      <c r="BI152" s="22">
        <f>VLOOKUP($A152,tabCustoUnit[],COLUMN(CUSTO_GLOBAL[[#Headers],[Uniformes e EPIs]])-2,0)*($G152-$H152)</f>
        <v>56.141713661989918</v>
      </c>
      <c r="BJ152" s="22">
        <f>VLOOKUP($A152,tabCustoUnit[],COLUMN(CUSTO_GLOBAL[[#Headers],[Materiais de Consumo]])-2,0)*($G152-$H152)</f>
        <v>0</v>
      </c>
      <c r="BK152" s="22">
        <f>VLOOKUP($A152,tabCustoUnit[],COLUMN(CUSTO_GLOBAL[[#Headers],[Máquinas e Equipamentos (depreciação)]])-2,0)*($G152-$H152)</f>
        <v>0</v>
      </c>
      <c r="BL152" s="22">
        <f>VLOOKUP($A152,tabCustoUnit[],COLUMN(CUSTO_GLOBAL[[#Headers],[Produtos de Limpeza e Materiais de Higiene Pessoal]])-2,0)*($G152-$H152)</f>
        <v>0</v>
      </c>
      <c r="BM152" s="22">
        <f>VLOOKUP($A152,tabCustoUnit[],COLUMN(CUSTO_GLOBAL[[#Headers],[Outros (especificar)]])-2,0)*($G152-$H152)</f>
        <v>0</v>
      </c>
      <c r="BN152" s="22">
        <f>VLOOKUP($A152,tabCustoUnit[],COLUMN(CUSTO_GLOBAL[[#Headers],[MÓDULO 5 – INSUMOS DIVERSOS]])-2,0)*($G152-$H152)</f>
        <v>56.141713661989918</v>
      </c>
      <c r="BO152" s="22" t="e">
        <f ca="1">VLOOKUP($A152,tabCustoUnit[],COLUMN(CUSTO_GLOBAL[[#Headers],[TOTAL MÓDULOS 1+2+3+4+5]])-2,0)*($G152-$H152)</f>
        <v>#NAME?</v>
      </c>
      <c r="BP152" s="22" t="e">
        <f ca="1">VLOOKUP($A152,tabCustoUnit[],COLUMN(CUSTO_GLOBAL[[#Headers],[Custos Indiretos]])-2,0)*($G152-$H152)</f>
        <v>#NAME?</v>
      </c>
      <c r="BQ152" s="22" t="e">
        <f ca="1">VLOOKUP($A152,tabCustoUnit[],COLUMN(CUSTO_GLOBAL[[#Headers],[Lucro]])-2,0)*($G152-$H152)</f>
        <v>#NAME?</v>
      </c>
      <c r="BR152" s="26">
        <f>VLOOKUP($A152,tabCustoUnit[],COLUMN(CUSTO_GLOBAL[[#Headers],[COFINS]])-2,0)</f>
        <v>8.6609686609686695E-2</v>
      </c>
      <c r="BS152" s="26">
        <f>VLOOKUP($A152,tabCustoUnit[],COLUMN(CUSTO_GLOBAL[[#Headers],[PIS]])-2,0)</f>
        <v>1.880341880341882E-2</v>
      </c>
      <c r="BT152" s="28">
        <f>VLOOKUP($A152,tabCustoUnit[],COLUMN(CUSTO_GLOBAL[[#Headers],[ISS]])-2,0)</f>
        <v>0.03</v>
      </c>
      <c r="BU152" s="26">
        <f>VLOOKUP($A152,tabCustoUnit[],COLUMN(CUSTO_GLOBAL[[#Headers],[ISS (Conversão Alíquota s/ fatura)]])-2,0)</f>
        <v>3.4188034188034219E-2</v>
      </c>
      <c r="BV152" s="26">
        <f>VLOOKUP($A152,tabCustoUnit[],COLUMN(CUSTO_GLOBAL[[#Headers],[Resumo de Alíquotas (PIS+CONFINS+ISS)]])-2,0)</f>
        <v>0.1225</v>
      </c>
      <c r="BW152" s="138">
        <f>VLOOKUP($A152,tabCustoUnit[],COLUMN(CUSTO_GLOBAL[[#Headers],[PIS + COFINS + ISS (Total Conversão  Alíquota s/ Fatura)]])-2,0)</f>
        <v>0.13960113960113973</v>
      </c>
      <c r="BX152" s="22" t="e">
        <f ca="1">VLOOKUP($A152,tabCustoUnit[],COLUMN(CUSTO_GLOBAL[[#Headers],[Valor dos Tributos (ISS, PIS, CONFINS)]])-2,0)*($G152-$H152)</f>
        <v>#NAME?</v>
      </c>
      <c r="BY152" s="22" t="e">
        <f ca="1">VLOOKUP($A152,tabCustoUnit[],COLUMN(CUSTO_GLOBAL[[#Headers],[MÓDULO 6 – CUSTOS INDIRETOS, TRIBUTOS E LUCRO]])-2,0)*($G152-$H152)</f>
        <v>#NAME?</v>
      </c>
      <c r="BZ152" s="22" t="e">
        <f ca="1">VLOOKUP($A152,tabCustoUnit[],COLUMN(CUSTO_GLOBAL[[#Headers],[CUSTO TOTAL MENSAL]])-2,0)*($G152-$H152)</f>
        <v>#NAME?</v>
      </c>
      <c r="CA152" s="22" t="e">
        <f ca="1">CUSTO_GLOBAL[[#This Row],[CUSTO TOTAL MENSAL]]*12</f>
        <v>#NAME?</v>
      </c>
      <c r="CB152" s="24">
        <f>VLOOKUP($A152,tabCustoUnit[],COLUMN(CUSTO_GLOBAL[[#Headers],[ANO DA CCT]])-2,0)</f>
        <v>45658</v>
      </c>
      <c r="CC152" s="25" t="str">
        <f>VLOOKUP($A152,tabCustoUnit[],COLUMN(CUSTO_GLOBAL[[#Headers],[Nº DE PEDIDO DA CCT]])-2,0)</f>
        <v>-</v>
      </c>
      <c r="CD152" s="25" t="str">
        <f>VLOOKUP($A152,tabCustoUnit[],COLUMN(CUSTO_GLOBAL[[#Headers],[TERMO ADITIVO ALTERAÇÃO DA CCT]])-2,0)</f>
        <v>-</v>
      </c>
    </row>
    <row r="153" spans="1:82">
      <c r="A153" s="20" t="s">
        <v>1605</v>
      </c>
      <c r="B153" t="s">
        <v>1137</v>
      </c>
      <c r="C153" t="s">
        <v>324</v>
      </c>
      <c r="D153" t="s">
        <v>961</v>
      </c>
      <c r="E153" s="20" t="s">
        <v>1090</v>
      </c>
      <c r="F153" s="20" t="s">
        <v>120</v>
      </c>
      <c r="G153" s="20">
        <v>1</v>
      </c>
      <c r="H153" s="20">
        <v>0</v>
      </c>
      <c r="I153" s="21">
        <f>VLOOKUP($A153,tabCustoUnit[],COLUMN(CUSTO_GLOBAL[[#Headers],[Salário Base]])-2,0)*($G153-$H153)</f>
        <v>3397.1305000000002</v>
      </c>
      <c r="J153" s="21">
        <f>VLOOKUP($A153,tabCustoUnit[],COLUMN(CUSTO_GLOBAL[[#Headers],[Adicional Periculosidade]])-2,0)*($G153-$H153)</f>
        <v>0</v>
      </c>
      <c r="K153" s="21">
        <f>VLOOKUP($A153,tabCustoUnit[],COLUMN(CUSTO_GLOBAL[[#Headers],[Adicional Insalubridade]])-2,0)*($G153-$H153)</f>
        <v>0</v>
      </c>
      <c r="L153" s="21">
        <f>VLOOKUP($A153,tabCustoUnit[],COLUMN(CUSTO_GLOBAL[[#Headers],[Adicional Noturno]])-2,0)*($G153-$H153)</f>
        <v>0</v>
      </c>
      <c r="M153" s="21">
        <f>VLOOKUP($A153,tabCustoUnit[],COLUMN(CUSTO_GLOBAL[[#Headers],[Adicional Motorista II (Gratificação)]])-2,0)*($G153-$H153)</f>
        <v>0</v>
      </c>
      <c r="N153" s="21">
        <f>VLOOKUP($A153,tabCustoUnit[],COLUMN(CUSTO_GLOBAL[[#Headers],[Adicional de Sobreaviso]])-2,0)*($G153-$H153)</f>
        <v>0</v>
      </c>
      <c r="O153" s="21">
        <f>VLOOKUP($A153,tabCustoUnit[],COLUMN(CUSTO_GLOBAL[[#Headers],[Horas Extras TI]])-2,0)*($G153-$H153)</f>
        <v>0</v>
      </c>
      <c r="P153" s="21">
        <f>VLOOKUP($A153,tabCustoUnit[],COLUMN(CUSTO_GLOBAL[[#Headers],[Adicional de Acúmulo de função]])-2,0)*($G153-$H153)</f>
        <v>0</v>
      </c>
      <c r="Q153" s="21">
        <f>VLOOKUP($A153,tabCustoUnit[],COLUMN(CUSTO_GLOBAL[[#Headers],[MODULO 1 - REMUNERAÇÃO ]])-2,0)*($G153-$H153)</f>
        <v>3397.1305000000002</v>
      </c>
      <c r="R153" s="21">
        <f>VLOOKUP($A153,tabCustoUnit[],COLUMN(CUSTO_GLOBAL[[#Headers],[INSS]])-2,0)*($G153-$H153)</f>
        <v>679.42610000000013</v>
      </c>
      <c r="S153" s="21">
        <f>VLOOKUP($A153,tabCustoUnit[],COLUMN(CUSTO_GLOBAL[[#Headers],[SESI OU SESC]])-2,0)*($G153-$H153)</f>
        <v>50.956957500000001</v>
      </c>
      <c r="T153" s="21">
        <f>VLOOKUP($A153,tabCustoUnit[],COLUMN(CUSTO_GLOBAL[[#Headers],[SENAI OU SENAC]])-2,0)*($G153-$H153)</f>
        <v>33.971305000000001</v>
      </c>
      <c r="U153" s="21">
        <f>VLOOKUP($A153,tabCustoUnit[],COLUMN(CUSTO_GLOBAL[[#Headers],[INCRA]])-2,0)*($G153-$H153)</f>
        <v>6.7942610000000005</v>
      </c>
      <c r="V153" s="21">
        <f>VLOOKUP($A153,tabCustoUnit[],COLUMN(CUSTO_GLOBAL[[#Headers],[Salário Educação]])-2,0)*($G153-$H153)</f>
        <v>84.928262500000017</v>
      </c>
      <c r="W153" s="21">
        <f>VLOOKUP($A153,tabCustoUnit[],COLUMN(CUSTO_GLOBAL[[#Headers],[FGTS]])-2,0)*($G153-$H153)</f>
        <v>271.77044000000001</v>
      </c>
      <c r="X153" s="21">
        <f>VLOOKUP($A153,tabCustoUnit[],COLUMN(CUSTO_GLOBAL[[#Headers],[RAT Ajustado]])-2,0)*($G153-$H153)</f>
        <v>135.88522</v>
      </c>
      <c r="Y153" s="21">
        <f>VLOOKUP($A153,tabCustoUnit[],COLUMN(CUSTO_GLOBAL[[#Headers],[SEBRAE]])-2,0)*($G153-$H153)</f>
        <v>20.382783000000003</v>
      </c>
      <c r="Z153" s="21">
        <f>VLOOKUP($A153,tabCustoUnit[],COLUMN(CUSTO_GLOBAL[[#Headers],[Submódulo 2.1]])-2,0)*($G153-$H153)</f>
        <v>1284.1153290000002</v>
      </c>
      <c r="AA153" s="21">
        <f>VLOOKUP($A153,tabCustoUnit[],COLUMN(CUSTO_GLOBAL[[#Headers],[13º salário (titular)]])-2,0)*($G153-$H153)</f>
        <v>283.09420833333331</v>
      </c>
      <c r="AB153" s="21">
        <f>VLOOKUP($A153,tabCustoUnit[],COLUMN(CUSTO_GLOBAL[[#Headers],[Férias e Adicional de Férias (titular)]])-2,0)*($G153-$H153)</f>
        <v>377.45894444444446</v>
      </c>
      <c r="AC153" s="21">
        <f>VLOOKUP($A153,tabCustoUnit[],COLUMN(CUSTO_GLOBAL[[#Headers],[Incidência do Submódulo 2.1 sobre 13º Salário, Férias e Adicional de Férias]])-2,0)*($G153-$H153)</f>
        <v>249.68909175000005</v>
      </c>
      <c r="AD153" s="21">
        <f>VLOOKUP($A153,tabCustoUnit[],COLUMN(CUSTO_GLOBAL[[#Headers],[Submódulo 2.2]])-2,0)*($G153-$H153)</f>
        <v>910.24224452777776</v>
      </c>
      <c r="AE153" s="22" t="e">
        <f ca="1">VLOOKUP($A153,tabCustoUnit[],COLUMN(CUSTO_GLOBAL[[#Headers],[Vale - Transporte (Descontada parcela do empregado)]])-2,0)*($G153-$H153)</f>
        <v>#NAME?</v>
      </c>
      <c r="AF153" s="22">
        <f>VLOOKUP($A153,tabCustoUnit[],COLUMN(CUSTO_GLOBAL[[#Headers],[Vale - Alimentação (Descontada parcela do empregado)]])-2,0)*($G153-$H153)</f>
        <v>582</v>
      </c>
      <c r="AG153" s="22">
        <f>VLOOKUP($A153,tabCustoUnit[],COLUMN(CUSTO_GLOBAL[[#Headers],[Cesta Básica]])-2,0)*($G153-$H153)</f>
        <v>0</v>
      </c>
      <c r="AH153" s="22">
        <f>VLOOKUP($A153,tabCustoUnit[],COLUMN(CUSTO_GLOBAL[[#Headers],[PAF]])-2,0)*($G153-$H153)</f>
        <v>0</v>
      </c>
      <c r="AI153" s="22">
        <f>VLOOKUP($A153,tabCustoUnit[],COLUMN(CUSTO_GLOBAL[[#Headers],[PQM]])-2,0)*($G153-$H153)</f>
        <v>0</v>
      </c>
      <c r="AJ153" s="22">
        <v>0</v>
      </c>
      <c r="AK153" s="22">
        <f>VLOOKUP($A153,tabCustoUnit[],COLUMN(CUSTO_GLOBAL[[#Headers],[Seguro de Vida]])-2,0)*($G153-$H153)</f>
        <v>3.36</v>
      </c>
      <c r="AL153" s="22">
        <f>VLOOKUP($A153,tabCustoUnit[],COLUMN(CUSTO_GLOBAL[[#Headers],[Despesas de Viagem]])-2,0)*($G153-$H153)</f>
        <v>0</v>
      </c>
      <c r="AM153" s="22" t="e">
        <f ca="1">VLOOKUP($A153,tabCustoUnit[],COLUMN(CUSTO_GLOBAL[[#Headers],[Submódulo 2.3]])-2,0)*($G153-$H153)</f>
        <v>#NAME?</v>
      </c>
      <c r="AN153" s="22" t="e">
        <f ca="1">VLOOKUP($A153,tabCustoUnit[],COLUMN(CUSTO_GLOBAL[[#Headers],[MÓDULO 2 - Total Encargos e Benefícios mensais e diários]])-2,0)*($G153-$H153)</f>
        <v>#NAME?</v>
      </c>
      <c r="AO153" s="22">
        <f>VLOOKUP($A153,tabCustoUnit[],COLUMN(CUSTO_GLOBAL[[#Headers],[Aviso Prévio Indenizado (API) e Reflexo do Aviso Prévio Indenizado]])-2,0)*($G153-$H153)</f>
        <v>23.819887450713736</v>
      </c>
      <c r="AP153" s="22">
        <f>VLOOKUP($A153,tabCustoUnit[],COLUMN(CUSTO_GLOBAL[[#Headers],[Incidência do FGTS sobre API e Reflexo do API]])-2,0)*($G153-$H153)</f>
        <v>1.9055909960570991</v>
      </c>
      <c r="AQ153" s="22">
        <f>VLOOKUP($A153,tabCustoUnit[],COLUMN(CUSTO_GLOBAL[[#Headers],[Multa Rescisória do FGTS sobre o Aviso Prévio Indenizado]])-2,0)*($G153-$H153)</f>
        <v>0.76223639842283974</v>
      </c>
      <c r="AR153" s="22">
        <f>VLOOKUP($A153,tabCustoUnit[],COLUMN(CUSTO_GLOBAL[[#Headers],[Aviso Prévio Trabalhado - APT]])-2,0)*($G153-$H153)</f>
        <v>11.889956750000003</v>
      </c>
      <c r="AS153" s="22">
        <f>VLOOKUP($A153,tabCustoUnit[],COLUMN(CUSTO_GLOBAL[[#Headers],[Incidência dos encargos do submódulo 2.1 sobre Aviso Prévio Trabalhado]])-2,0)*($G153-$H153)</f>
        <v>4.4944036515000017</v>
      </c>
      <c r="AT153" s="22">
        <f>VLOOKUP($A153,tabCustoUnit[],COLUMN(CUSTO_GLOBAL[[#Headers],[Multa Rescisória do FGTS]])-2,0)*($G153-$H153)</f>
        <v>103.87670151111111</v>
      </c>
      <c r="AU153" s="22">
        <f>VLOOKUP($A153,tabCustoUnit[],COLUMN(CUSTO_GLOBAL[[#Headers],[Indenização Adicional (Art. 9º da Lei nº 7.238/84)]])-2,0)*($G153-$H153)</f>
        <v>2.8309420833333339</v>
      </c>
      <c r="AV153" s="22">
        <f>VLOOKUP($A153,tabCustoUnit[],COLUMN(CUSTO_GLOBAL[[#Headers],[MÓDULO 3 – PROVISÃO PARA RESCISÃO]])-2,0)*($G153-$H153)</f>
        <v>149.57971884113812</v>
      </c>
      <c r="AW153" s="22">
        <f>VLOOKUP($A153,tabCustoUnit[],COLUMN(CUSTO_GLOBAL[[#Headers],[Ausência por Doença]])-2,0)*($G153-$H153)</f>
        <v>28.686879777777776</v>
      </c>
      <c r="AX153" s="22">
        <f>VLOOKUP($A153,tabCustoUnit[],COLUMN(CUSTO_GLOBAL[[#Headers],[Ausências Legais]])-2,0)*($G153-$H153)</f>
        <v>6.888625736111111</v>
      </c>
      <c r="AY153" s="22">
        <f>VLOOKUP($A153,tabCustoUnit[],COLUMN(CUSTO_GLOBAL[[#Headers],[Licença Paternidade]])-2,0)*($G153-$H153)</f>
        <v>0.58034312708333335</v>
      </c>
      <c r="AZ153" s="22">
        <f>VLOOKUP($A153,tabCustoUnit[],COLUMN(CUSTO_GLOBAL[[#Headers],[Ausência por Acidente de Trabalho]])-2,0)*($G153-$H153)</f>
        <v>0.70773552083333346</v>
      </c>
      <c r="BA153" s="22">
        <f>VLOOKUP($A153,tabCustoUnit[],COLUMN(CUSTO_GLOBAL[[#Headers],[Férias, Adicional de Férias e 13º  com empregada em gozo de Licença Maternidade]])-2,0)*($G153-$H153)</f>
        <v>4.4036876851851856</v>
      </c>
      <c r="BB153" s="22">
        <f>VLOOKUP($A153,tabCustoUnit[],COLUMN(CUSTO_GLOBAL[[#Headers],[Incidência do Submódulo 2.1 sobre Ausências Legais]])-2,0)*($G153-$H153)</f>
        <v>15.599028758162504</v>
      </c>
      <c r="BC153" s="22">
        <f>VLOOKUP($A153,tabCustoUnit[],COLUMN(CUSTO_GLOBAL[[#Headers],[Submódulo 4.1]])-2,0)*($G153-$H153)</f>
        <v>56.866300605153235</v>
      </c>
      <c r="BD153" s="22">
        <f>VLOOKUP($A153,tabCustoUnit[],COLUMN(CUSTO_GLOBAL[[#Headers],[Intervalo para Repouso ou Alimentação]])-2,0)*($G153-$H153)</f>
        <v>0</v>
      </c>
      <c r="BE153" s="22">
        <f>VLOOKUP($A153,tabCustoUnit[],COLUMN(CUSTO_GLOBAL[[#Headers],[Submódulo 4.2]])-2,0)*($G153-$H153)</f>
        <v>0</v>
      </c>
      <c r="BF153" s="22">
        <f>VLOOKUP($A153,tabCustoUnit[],COLUMN(CUSTO_GLOBAL[[#Headers],[Suspensão Temporária do Contrato de Trabalho]])-2,0)*($G153-$H153)</f>
        <v>0</v>
      </c>
      <c r="BG153" s="22">
        <f>VLOOKUP($A153,tabCustoUnit[],COLUMN(CUSTO_GLOBAL[[#Headers],[Submódulo 4.3]])-2,0)*($G153-$H153)</f>
        <v>0</v>
      </c>
      <c r="BH153" s="22">
        <f>VLOOKUP($A153,tabCustoUnit[],COLUMN(CUSTO_GLOBAL[[#Headers],[MÓDULO 4 – CUSTO DE REPOSIÇÃO DO PROFISSIONAL AUSENTE]])-2,0)*($G153-$H153)</f>
        <v>56.866300605153235</v>
      </c>
      <c r="BI153" s="22">
        <f>VLOOKUP($A153,tabCustoUnit[],COLUMN(CUSTO_GLOBAL[[#Headers],[Uniformes e EPIs]])-2,0)*($G153-$H153)</f>
        <v>56.642978962543395</v>
      </c>
      <c r="BJ153" s="22">
        <f>VLOOKUP($A153,tabCustoUnit[],COLUMN(CUSTO_GLOBAL[[#Headers],[Materiais de Consumo]])-2,0)*($G153-$H153)</f>
        <v>0</v>
      </c>
      <c r="BK153" s="22">
        <f>VLOOKUP($A153,tabCustoUnit[],COLUMN(CUSTO_GLOBAL[[#Headers],[Máquinas e Equipamentos (depreciação)]])-2,0)*($G153-$H153)</f>
        <v>0</v>
      </c>
      <c r="BL153" s="22">
        <f>VLOOKUP($A153,tabCustoUnit[],COLUMN(CUSTO_GLOBAL[[#Headers],[Produtos de Limpeza e Materiais de Higiene Pessoal]])-2,0)*($G153-$H153)</f>
        <v>0</v>
      </c>
      <c r="BM153" s="22">
        <f>VLOOKUP($A153,tabCustoUnit[],COLUMN(CUSTO_GLOBAL[[#Headers],[Outros (especificar)]])-2,0)*($G153-$H153)</f>
        <v>0</v>
      </c>
      <c r="BN153" s="22">
        <f>VLOOKUP($A153,tabCustoUnit[],COLUMN(CUSTO_GLOBAL[[#Headers],[MÓDULO 5 – INSUMOS DIVERSOS]])-2,0)*($G153-$H153)</f>
        <v>56.642978962543395</v>
      </c>
      <c r="BO153" s="22" t="e">
        <f ca="1">VLOOKUP($A153,tabCustoUnit[],COLUMN(CUSTO_GLOBAL[[#Headers],[TOTAL MÓDULOS 1+2+3+4+5]])-2,0)*($G153-$H153)</f>
        <v>#NAME?</v>
      </c>
      <c r="BP153" s="22" t="e">
        <f ca="1">VLOOKUP($A153,tabCustoUnit[],COLUMN(CUSTO_GLOBAL[[#Headers],[Custos Indiretos]])-2,0)*($G153-$H153)</f>
        <v>#NAME?</v>
      </c>
      <c r="BQ153" s="22" t="e">
        <f ca="1">VLOOKUP($A153,tabCustoUnit[],COLUMN(CUSTO_GLOBAL[[#Headers],[Lucro]])-2,0)*($G153-$H153)</f>
        <v>#NAME?</v>
      </c>
      <c r="BR153" s="26">
        <f>VLOOKUP($A153,tabCustoUnit[],COLUMN(CUSTO_GLOBAL[[#Headers],[COFINS]])-2,0)</f>
        <v>8.5633802816901458E-2</v>
      </c>
      <c r="BS153" s="26">
        <f>VLOOKUP($A153,tabCustoUnit[],COLUMN(CUSTO_GLOBAL[[#Headers],[PIS]])-2,0)</f>
        <v>1.8591549295774657E-2</v>
      </c>
      <c r="BT153" s="28">
        <f>VLOOKUP($A153,tabCustoUnit[],COLUMN(CUSTO_GLOBAL[[#Headers],[ISS]])-2,0)</f>
        <v>0.02</v>
      </c>
      <c r="BU153" s="26">
        <f>VLOOKUP($A153,tabCustoUnit[],COLUMN(CUSTO_GLOBAL[[#Headers],[ISS (Conversão Alíquota s/ fatura)]])-2,0)</f>
        <v>2.2535211267605645E-2</v>
      </c>
      <c r="BV153" s="26">
        <f>VLOOKUP($A153,tabCustoUnit[],COLUMN(CUSTO_GLOBAL[[#Headers],[Resumo de Alíquotas (PIS+CONFINS+ISS)]])-2,0)</f>
        <v>0.1125</v>
      </c>
      <c r="BW153" s="138">
        <f>VLOOKUP($A153,tabCustoUnit[],COLUMN(CUSTO_GLOBAL[[#Headers],[PIS + COFINS + ISS (Total Conversão  Alíquota s/ Fatura)]])-2,0)</f>
        <v>0.12676056338028174</v>
      </c>
      <c r="BX153" s="22" t="e">
        <f ca="1">VLOOKUP($A153,tabCustoUnit[],COLUMN(CUSTO_GLOBAL[[#Headers],[Valor dos Tributos (ISS, PIS, CONFINS)]])-2,0)*($G153-$H153)</f>
        <v>#NAME?</v>
      </c>
      <c r="BY153" s="22" t="e">
        <f ca="1">VLOOKUP($A153,tabCustoUnit[],COLUMN(CUSTO_GLOBAL[[#Headers],[MÓDULO 6 – CUSTOS INDIRETOS, TRIBUTOS E LUCRO]])-2,0)*($G153-$H153)</f>
        <v>#NAME?</v>
      </c>
      <c r="BZ153" s="22" t="e">
        <f ca="1">VLOOKUP($A153,tabCustoUnit[],COLUMN(CUSTO_GLOBAL[[#Headers],[CUSTO TOTAL MENSAL]])-2,0)*($G153-$H153)</f>
        <v>#NAME?</v>
      </c>
      <c r="CA153" s="22" t="e">
        <f ca="1">CUSTO_GLOBAL[[#This Row],[CUSTO TOTAL MENSAL]]*12</f>
        <v>#NAME?</v>
      </c>
      <c r="CB153" s="24">
        <f>VLOOKUP($A153,tabCustoUnit[],COLUMN(CUSTO_GLOBAL[[#Headers],[ANO DA CCT]])-2,0)</f>
        <v>45658</v>
      </c>
      <c r="CC153" s="25" t="str">
        <f>VLOOKUP($A153,tabCustoUnit[],COLUMN(CUSTO_GLOBAL[[#Headers],[Nº DE PEDIDO DA CCT]])-2,0)</f>
        <v>-</v>
      </c>
      <c r="CD153" s="25" t="str">
        <f>VLOOKUP($A153,tabCustoUnit[],COLUMN(CUSTO_GLOBAL[[#Headers],[TERMO ADITIVO ALTERAÇÃO DA CCT]])-2,0)</f>
        <v>-</v>
      </c>
    </row>
    <row r="154" spans="1:82">
      <c r="A154" s="20" t="s">
        <v>1606</v>
      </c>
      <c r="B154" t="s">
        <v>1138</v>
      </c>
      <c r="C154" t="s">
        <v>319</v>
      </c>
      <c r="D154" t="s">
        <v>961</v>
      </c>
      <c r="E154" s="20" t="s">
        <v>1090</v>
      </c>
      <c r="F154" s="20" t="s">
        <v>120</v>
      </c>
      <c r="G154" s="20">
        <v>1</v>
      </c>
      <c r="H154" s="20">
        <v>0</v>
      </c>
      <c r="I154" s="21">
        <f>VLOOKUP($A154,tabCustoUnit[],COLUMN(CUSTO_GLOBAL[[#Headers],[Salário Base]])-2,0)*($G154-$H154)</f>
        <v>2316.2253000000001</v>
      </c>
      <c r="J154" s="21">
        <f>VLOOKUP($A154,tabCustoUnit[],COLUMN(CUSTO_GLOBAL[[#Headers],[Adicional Periculosidade]])-2,0)*($G154-$H154)</f>
        <v>0</v>
      </c>
      <c r="K154" s="21">
        <f>VLOOKUP($A154,tabCustoUnit[],COLUMN(CUSTO_GLOBAL[[#Headers],[Adicional Insalubridade]])-2,0)*($G154-$H154)</f>
        <v>0</v>
      </c>
      <c r="L154" s="21">
        <f>VLOOKUP($A154,tabCustoUnit[],COLUMN(CUSTO_GLOBAL[[#Headers],[Adicional Noturno]])-2,0)*($G154-$H154)</f>
        <v>0</v>
      </c>
      <c r="M154" s="21">
        <f>VLOOKUP($A154,tabCustoUnit[],COLUMN(CUSTO_GLOBAL[[#Headers],[Adicional Motorista II (Gratificação)]])-2,0)*($G154-$H154)</f>
        <v>0</v>
      </c>
      <c r="N154" s="21">
        <f>VLOOKUP($A154,tabCustoUnit[],COLUMN(CUSTO_GLOBAL[[#Headers],[Adicional de Sobreaviso]])-2,0)*($G154-$H154)</f>
        <v>0</v>
      </c>
      <c r="O154" s="21">
        <f>VLOOKUP($A154,tabCustoUnit[],COLUMN(CUSTO_GLOBAL[[#Headers],[Horas Extras TI]])-2,0)*($G154-$H154)</f>
        <v>0</v>
      </c>
      <c r="P154" s="21">
        <f>VLOOKUP($A154,tabCustoUnit[],COLUMN(CUSTO_GLOBAL[[#Headers],[Adicional de Acúmulo de função]])-2,0)*($G154-$H154)</f>
        <v>0</v>
      </c>
      <c r="Q154" s="21">
        <f>VLOOKUP($A154,tabCustoUnit[],COLUMN(CUSTO_GLOBAL[[#Headers],[MODULO 1 - REMUNERAÇÃO ]])-2,0)*($G154-$H154)</f>
        <v>2316.2253000000001</v>
      </c>
      <c r="R154" s="21">
        <f>VLOOKUP($A154,tabCustoUnit[],COLUMN(CUSTO_GLOBAL[[#Headers],[INSS]])-2,0)*($G154-$H154)</f>
        <v>463.24506000000002</v>
      </c>
      <c r="S154" s="21">
        <f>VLOOKUP($A154,tabCustoUnit[],COLUMN(CUSTO_GLOBAL[[#Headers],[SESI OU SESC]])-2,0)*($G154-$H154)</f>
        <v>34.743379499999996</v>
      </c>
      <c r="T154" s="21">
        <f>VLOOKUP($A154,tabCustoUnit[],COLUMN(CUSTO_GLOBAL[[#Headers],[SENAI OU SENAC]])-2,0)*($G154-$H154)</f>
        <v>23.162253</v>
      </c>
      <c r="U154" s="21">
        <f>VLOOKUP($A154,tabCustoUnit[],COLUMN(CUSTO_GLOBAL[[#Headers],[INCRA]])-2,0)*($G154-$H154)</f>
        <v>4.6324506000000003</v>
      </c>
      <c r="V154" s="21">
        <f>VLOOKUP($A154,tabCustoUnit[],COLUMN(CUSTO_GLOBAL[[#Headers],[Salário Educação]])-2,0)*($G154-$H154)</f>
        <v>57.905632500000003</v>
      </c>
      <c r="W154" s="21">
        <f>VLOOKUP($A154,tabCustoUnit[],COLUMN(CUSTO_GLOBAL[[#Headers],[FGTS]])-2,0)*($G154-$H154)</f>
        <v>185.298024</v>
      </c>
      <c r="X154" s="21">
        <f>VLOOKUP($A154,tabCustoUnit[],COLUMN(CUSTO_GLOBAL[[#Headers],[RAT Ajustado]])-2,0)*($G154-$H154)</f>
        <v>92.649011999999999</v>
      </c>
      <c r="Y154" s="21">
        <f>VLOOKUP($A154,tabCustoUnit[],COLUMN(CUSTO_GLOBAL[[#Headers],[SEBRAE]])-2,0)*($G154-$H154)</f>
        <v>13.897351800000001</v>
      </c>
      <c r="Z154" s="21">
        <f>VLOOKUP($A154,tabCustoUnit[],COLUMN(CUSTO_GLOBAL[[#Headers],[Submódulo 2.1]])-2,0)*($G154-$H154)</f>
        <v>875.53316340000003</v>
      </c>
      <c r="AA154" s="21">
        <f>VLOOKUP($A154,tabCustoUnit[],COLUMN(CUSTO_GLOBAL[[#Headers],[13º salário (titular)]])-2,0)*($G154-$H154)</f>
        <v>193.01877500000001</v>
      </c>
      <c r="AB154" s="21">
        <f>VLOOKUP($A154,tabCustoUnit[],COLUMN(CUSTO_GLOBAL[[#Headers],[Férias e Adicional de Férias (titular)]])-2,0)*($G154-$H154)</f>
        <v>257.35836666666665</v>
      </c>
      <c r="AC154" s="21">
        <f>VLOOKUP($A154,tabCustoUnit[],COLUMN(CUSTO_GLOBAL[[#Headers],[Incidência do Submódulo 2.1 sobre 13º Salário, Férias e Adicional de Férias]])-2,0)*($G154-$H154)</f>
        <v>170.24255955000001</v>
      </c>
      <c r="AD154" s="21">
        <f>VLOOKUP($A154,tabCustoUnit[],COLUMN(CUSTO_GLOBAL[[#Headers],[Submódulo 2.2]])-2,0)*($G154-$H154)</f>
        <v>620.61970121666673</v>
      </c>
      <c r="AE154" s="22" t="e">
        <f ca="1">VLOOKUP($A154,tabCustoUnit[],COLUMN(CUSTO_GLOBAL[[#Headers],[Vale - Transporte (Descontada parcela do empregado)]])-2,0)*($G154-$H154)</f>
        <v>#NAME?</v>
      </c>
      <c r="AF154" s="22">
        <f>VLOOKUP($A154,tabCustoUnit[],COLUMN(CUSTO_GLOBAL[[#Headers],[Vale - Alimentação (Descontada parcela do empregado)]])-2,0)*($G154-$H154)</f>
        <v>582</v>
      </c>
      <c r="AG154" s="22">
        <f>VLOOKUP($A154,tabCustoUnit[],COLUMN(CUSTO_GLOBAL[[#Headers],[Cesta Básica]])-2,0)*($G154-$H154)</f>
        <v>0</v>
      </c>
      <c r="AH154" s="22">
        <f>VLOOKUP($A154,tabCustoUnit[],COLUMN(CUSTO_GLOBAL[[#Headers],[PAF]])-2,0)*($G154-$H154)</f>
        <v>0</v>
      </c>
      <c r="AI154" s="22">
        <f>VLOOKUP($A154,tabCustoUnit[],COLUMN(CUSTO_GLOBAL[[#Headers],[PQM]])-2,0)*($G154-$H154)</f>
        <v>0</v>
      </c>
      <c r="AJ154" s="22">
        <v>0</v>
      </c>
      <c r="AK154" s="22">
        <f>VLOOKUP($A154,tabCustoUnit[],COLUMN(CUSTO_GLOBAL[[#Headers],[Seguro de Vida]])-2,0)*($G154-$H154)</f>
        <v>3.36</v>
      </c>
      <c r="AL154" s="22">
        <f>VLOOKUP($A154,tabCustoUnit[],COLUMN(CUSTO_GLOBAL[[#Headers],[Despesas de Viagem]])-2,0)*($G154-$H154)</f>
        <v>0</v>
      </c>
      <c r="AM154" s="22" t="e">
        <f ca="1">VLOOKUP($A154,tabCustoUnit[],COLUMN(CUSTO_GLOBAL[[#Headers],[Submódulo 2.3]])-2,0)*($G154-$H154)</f>
        <v>#NAME?</v>
      </c>
      <c r="AN154" s="22" t="e">
        <f ca="1">VLOOKUP($A154,tabCustoUnit[],COLUMN(CUSTO_GLOBAL[[#Headers],[MÓDULO 2 - Total Encargos e Benefícios mensais e diários]])-2,0)*($G154-$H154)</f>
        <v>#NAME?</v>
      </c>
      <c r="AO154" s="22">
        <f>VLOOKUP($A154,tabCustoUnit[],COLUMN(CUSTO_GLOBAL[[#Headers],[Aviso Prévio Indenizado (API) e Reflexo do Aviso Prévio Indenizado]])-2,0)*($G154-$H154)</f>
        <v>16.240832065914354</v>
      </c>
      <c r="AP154" s="22">
        <f>VLOOKUP($A154,tabCustoUnit[],COLUMN(CUSTO_GLOBAL[[#Headers],[Incidência do FGTS sobre API e Reflexo do API]])-2,0)*($G154-$H154)</f>
        <v>1.2992665652731483</v>
      </c>
      <c r="AQ154" s="22">
        <f>VLOOKUP($A154,tabCustoUnit[],COLUMN(CUSTO_GLOBAL[[#Headers],[Multa Rescisória do FGTS sobre o Aviso Prévio Indenizado]])-2,0)*($G154-$H154)</f>
        <v>0.51970662610925933</v>
      </c>
      <c r="AR154" s="22">
        <f>VLOOKUP($A154,tabCustoUnit[],COLUMN(CUSTO_GLOBAL[[#Headers],[Aviso Prévio Trabalhado - APT]])-2,0)*($G154-$H154)</f>
        <v>8.106788550000001</v>
      </c>
      <c r="AS154" s="22">
        <f>VLOOKUP($A154,tabCustoUnit[],COLUMN(CUSTO_GLOBAL[[#Headers],[Incidência dos encargos do submódulo 2.1 sobre Aviso Prévio Trabalhado]])-2,0)*($G154-$H154)</f>
        <v>3.0643660719000008</v>
      </c>
      <c r="AT154" s="22">
        <f>VLOOKUP($A154,tabCustoUnit[],COLUMN(CUSTO_GLOBAL[[#Headers],[Multa Rescisória do FGTS]])-2,0)*($G154-$H154)</f>
        <v>70.825022506666656</v>
      </c>
      <c r="AU154" s="22">
        <f>VLOOKUP($A154,tabCustoUnit[],COLUMN(CUSTO_GLOBAL[[#Headers],[Indenização Adicional (Art. 9º da Lei nº 7.238/84)]])-2,0)*($G154-$H154)</f>
        <v>1.9301877500000002</v>
      </c>
      <c r="AV154" s="22">
        <f>VLOOKUP($A154,tabCustoUnit[],COLUMN(CUSTO_GLOBAL[[#Headers],[MÓDULO 3 – PROVISÃO PARA RESCISÃO]])-2,0)*($G154-$H154)</f>
        <v>101.98617013586342</v>
      </c>
      <c r="AW154" s="22">
        <f>VLOOKUP($A154,tabCustoUnit[],COLUMN(CUSTO_GLOBAL[[#Headers],[Ausência por Doença]])-2,0)*($G154-$H154)</f>
        <v>19.559235866666665</v>
      </c>
      <c r="AX154" s="22">
        <f>VLOOKUP($A154,tabCustoUnit[],COLUMN(CUSTO_GLOBAL[[#Headers],[Ausências Legais]])-2,0)*($G154-$H154)</f>
        <v>4.6967901916666666</v>
      </c>
      <c r="AY154" s="22">
        <f>VLOOKUP($A154,tabCustoUnit[],COLUMN(CUSTO_GLOBAL[[#Headers],[Licença Paternidade]])-2,0)*($G154-$H154)</f>
        <v>0.39568848875000001</v>
      </c>
      <c r="AZ154" s="22">
        <f>VLOOKUP($A154,tabCustoUnit[],COLUMN(CUSTO_GLOBAL[[#Headers],[Ausência por Acidente de Trabalho]])-2,0)*($G154-$H154)</f>
        <v>0.48254693750000005</v>
      </c>
      <c r="BA154" s="22">
        <f>VLOOKUP($A154,tabCustoUnit[],COLUMN(CUSTO_GLOBAL[[#Headers],[Férias, Adicional de Férias e 13º  com empregada em gozo de Licença Maternidade]])-2,0)*($G154-$H154)</f>
        <v>3.0025142777777778</v>
      </c>
      <c r="BB154" s="22">
        <f>VLOOKUP($A154,tabCustoUnit[],COLUMN(CUSTO_GLOBAL[[#Headers],[Incidência do Submódulo 2.1 sobre Ausências Legais]])-2,0)*($G154-$H154)</f>
        <v>10.635701238172501</v>
      </c>
      <c r="BC154" s="22">
        <f>VLOOKUP($A154,tabCustoUnit[],COLUMN(CUSTO_GLOBAL[[#Headers],[Submódulo 4.1]])-2,0)*($G154-$H154)</f>
        <v>38.772477000533613</v>
      </c>
      <c r="BD154" s="22">
        <f>VLOOKUP($A154,tabCustoUnit[],COLUMN(CUSTO_GLOBAL[[#Headers],[Intervalo para Repouso ou Alimentação]])-2,0)*($G154-$H154)</f>
        <v>0</v>
      </c>
      <c r="BE154" s="22">
        <f>VLOOKUP($A154,tabCustoUnit[],COLUMN(CUSTO_GLOBAL[[#Headers],[Submódulo 4.2]])-2,0)*($G154-$H154)</f>
        <v>0</v>
      </c>
      <c r="BF154" s="22">
        <f>VLOOKUP($A154,tabCustoUnit[],COLUMN(CUSTO_GLOBAL[[#Headers],[Suspensão Temporária do Contrato de Trabalho]])-2,0)*($G154-$H154)</f>
        <v>0</v>
      </c>
      <c r="BG154" s="22">
        <f>VLOOKUP($A154,tabCustoUnit[],COLUMN(CUSTO_GLOBAL[[#Headers],[Submódulo 4.3]])-2,0)*($G154-$H154)</f>
        <v>0</v>
      </c>
      <c r="BH154" s="22">
        <f>VLOOKUP($A154,tabCustoUnit[],COLUMN(CUSTO_GLOBAL[[#Headers],[MÓDULO 4 – CUSTO DE REPOSIÇÃO DO PROFISSIONAL AUSENTE]])-2,0)*($G154-$H154)</f>
        <v>38.772477000533613</v>
      </c>
      <c r="BI154" s="22">
        <f>VLOOKUP($A154,tabCustoUnit[],COLUMN(CUSTO_GLOBAL[[#Headers],[Uniformes e EPIs]])-2,0)*($G154-$H154)</f>
        <v>56.642978962543395</v>
      </c>
      <c r="BJ154" s="22">
        <f>VLOOKUP($A154,tabCustoUnit[],COLUMN(CUSTO_GLOBAL[[#Headers],[Materiais de Consumo]])-2,0)*($G154-$H154)</f>
        <v>0</v>
      </c>
      <c r="BK154" s="22">
        <f>VLOOKUP($A154,tabCustoUnit[],COLUMN(CUSTO_GLOBAL[[#Headers],[Máquinas e Equipamentos (depreciação)]])-2,0)*($G154-$H154)</f>
        <v>0</v>
      </c>
      <c r="BL154" s="22">
        <f>VLOOKUP($A154,tabCustoUnit[],COLUMN(CUSTO_GLOBAL[[#Headers],[Produtos de Limpeza e Materiais de Higiene Pessoal]])-2,0)*($G154-$H154)</f>
        <v>0</v>
      </c>
      <c r="BM154" s="22">
        <f>VLOOKUP($A154,tabCustoUnit[],COLUMN(CUSTO_GLOBAL[[#Headers],[Outros (especificar)]])-2,0)*($G154-$H154)</f>
        <v>0</v>
      </c>
      <c r="BN154" s="22">
        <f>VLOOKUP($A154,tabCustoUnit[],COLUMN(CUSTO_GLOBAL[[#Headers],[MÓDULO 5 – INSUMOS DIVERSOS]])-2,0)*($G154-$H154)</f>
        <v>56.642978962543395</v>
      </c>
      <c r="BO154" s="22" t="e">
        <f ca="1">VLOOKUP($A154,tabCustoUnit[],COLUMN(CUSTO_GLOBAL[[#Headers],[TOTAL MÓDULOS 1+2+3+4+5]])-2,0)*($G154-$H154)</f>
        <v>#NAME?</v>
      </c>
      <c r="BP154" s="22" t="e">
        <f ca="1">VLOOKUP($A154,tabCustoUnit[],COLUMN(CUSTO_GLOBAL[[#Headers],[Custos Indiretos]])-2,0)*($G154-$H154)</f>
        <v>#NAME?</v>
      </c>
      <c r="BQ154" s="22" t="e">
        <f ca="1">VLOOKUP($A154,tabCustoUnit[],COLUMN(CUSTO_GLOBAL[[#Headers],[Lucro]])-2,0)*($G154-$H154)</f>
        <v>#NAME?</v>
      </c>
      <c r="BR154" s="26">
        <f>VLOOKUP($A154,tabCustoUnit[],COLUMN(CUSTO_GLOBAL[[#Headers],[COFINS]])-2,0)</f>
        <v>8.5633802816901458E-2</v>
      </c>
      <c r="BS154" s="26">
        <f>VLOOKUP($A154,tabCustoUnit[],COLUMN(CUSTO_GLOBAL[[#Headers],[PIS]])-2,0)</f>
        <v>1.8591549295774657E-2</v>
      </c>
      <c r="BT154" s="28">
        <f>VLOOKUP($A154,tabCustoUnit[],COLUMN(CUSTO_GLOBAL[[#Headers],[ISS]])-2,0)</f>
        <v>0.02</v>
      </c>
      <c r="BU154" s="26">
        <f>VLOOKUP($A154,tabCustoUnit[],COLUMN(CUSTO_GLOBAL[[#Headers],[ISS (Conversão Alíquota s/ fatura)]])-2,0)</f>
        <v>2.2535211267605645E-2</v>
      </c>
      <c r="BV154" s="26">
        <f>VLOOKUP($A154,tabCustoUnit[],COLUMN(CUSTO_GLOBAL[[#Headers],[Resumo de Alíquotas (PIS+CONFINS+ISS)]])-2,0)</f>
        <v>0.1125</v>
      </c>
      <c r="BW154" s="138">
        <f>VLOOKUP($A154,tabCustoUnit[],COLUMN(CUSTO_GLOBAL[[#Headers],[PIS + COFINS + ISS (Total Conversão  Alíquota s/ Fatura)]])-2,0)</f>
        <v>0.12676056338028174</v>
      </c>
      <c r="BX154" s="22" t="e">
        <f ca="1">VLOOKUP($A154,tabCustoUnit[],COLUMN(CUSTO_GLOBAL[[#Headers],[Valor dos Tributos (ISS, PIS, CONFINS)]])-2,0)*($G154-$H154)</f>
        <v>#NAME?</v>
      </c>
      <c r="BY154" s="22" t="e">
        <f ca="1">VLOOKUP($A154,tabCustoUnit[],COLUMN(CUSTO_GLOBAL[[#Headers],[MÓDULO 6 – CUSTOS INDIRETOS, TRIBUTOS E LUCRO]])-2,0)*($G154-$H154)</f>
        <v>#NAME?</v>
      </c>
      <c r="BZ154" s="22" t="e">
        <f ca="1">VLOOKUP($A154,tabCustoUnit[],COLUMN(CUSTO_GLOBAL[[#Headers],[CUSTO TOTAL MENSAL]])-2,0)*($G154-$H154)</f>
        <v>#NAME?</v>
      </c>
      <c r="CA154" s="22" t="e">
        <f ca="1">CUSTO_GLOBAL[[#This Row],[CUSTO TOTAL MENSAL]]*12</f>
        <v>#NAME?</v>
      </c>
      <c r="CB154" s="24">
        <f>VLOOKUP($A154,tabCustoUnit[],COLUMN(CUSTO_GLOBAL[[#Headers],[ANO DA CCT]])-2,0)</f>
        <v>45658</v>
      </c>
      <c r="CC154" s="25" t="str">
        <f>VLOOKUP($A154,tabCustoUnit[],COLUMN(CUSTO_GLOBAL[[#Headers],[Nº DE PEDIDO DA CCT]])-2,0)</f>
        <v>-</v>
      </c>
      <c r="CD154" s="25" t="str">
        <f>VLOOKUP($A154,tabCustoUnit[],COLUMN(CUSTO_GLOBAL[[#Headers],[TERMO ADITIVO ALTERAÇÃO DA CCT]])-2,0)</f>
        <v>-</v>
      </c>
    </row>
    <row r="155" spans="1:82">
      <c r="A155" s="20" t="s">
        <v>1607</v>
      </c>
      <c r="B155" t="s">
        <v>1139</v>
      </c>
      <c r="C155" t="s">
        <v>314</v>
      </c>
      <c r="D155" t="s">
        <v>1048</v>
      </c>
      <c r="E155" s="20" t="s">
        <v>1090</v>
      </c>
      <c r="F155" s="20" t="s">
        <v>120</v>
      </c>
      <c r="G155" s="20">
        <v>1</v>
      </c>
      <c r="H155" s="20">
        <v>0</v>
      </c>
      <c r="I155" s="21">
        <f>VLOOKUP($A155,tabCustoUnit[],COLUMN(CUSTO_GLOBAL[[#Headers],[Salário Base]])-2,0)*($G155-$H155)</f>
        <v>1963.4110000000001</v>
      </c>
      <c r="J155" s="21">
        <f>VLOOKUP($A155,tabCustoUnit[],COLUMN(CUSTO_GLOBAL[[#Headers],[Adicional Periculosidade]])-2,0)*($G155-$H155)</f>
        <v>0</v>
      </c>
      <c r="K155" s="21">
        <f>VLOOKUP($A155,tabCustoUnit[],COLUMN(CUSTO_GLOBAL[[#Headers],[Adicional Insalubridade]])-2,0)*($G155-$H155)</f>
        <v>0</v>
      </c>
      <c r="L155" s="21">
        <f>VLOOKUP($A155,tabCustoUnit[],COLUMN(CUSTO_GLOBAL[[#Headers],[Adicional Noturno]])-2,0)*($G155-$H155)</f>
        <v>0</v>
      </c>
      <c r="M155" s="21">
        <f>VLOOKUP($A155,tabCustoUnit[],COLUMN(CUSTO_GLOBAL[[#Headers],[Adicional Motorista II (Gratificação)]])-2,0)*($G155-$H155)</f>
        <v>0</v>
      </c>
      <c r="N155" s="21">
        <f>VLOOKUP($A155,tabCustoUnit[],COLUMN(CUSTO_GLOBAL[[#Headers],[Adicional de Sobreaviso]])-2,0)*($G155-$H155)</f>
        <v>0</v>
      </c>
      <c r="O155" s="21">
        <f>VLOOKUP($A155,tabCustoUnit[],COLUMN(CUSTO_GLOBAL[[#Headers],[Horas Extras TI]])-2,0)*($G155-$H155)</f>
        <v>0</v>
      </c>
      <c r="P155" s="21">
        <f>VLOOKUP($A155,tabCustoUnit[],COLUMN(CUSTO_GLOBAL[[#Headers],[Adicional de Acúmulo de função]])-2,0)*($G155-$H155)</f>
        <v>0</v>
      </c>
      <c r="Q155" s="21">
        <f>VLOOKUP($A155,tabCustoUnit[],COLUMN(CUSTO_GLOBAL[[#Headers],[MODULO 1 - REMUNERAÇÃO ]])-2,0)*($G155-$H155)</f>
        <v>1963.4110000000001</v>
      </c>
      <c r="R155" s="21">
        <f>VLOOKUP($A155,tabCustoUnit[],COLUMN(CUSTO_GLOBAL[[#Headers],[INSS]])-2,0)*($G155-$H155)</f>
        <v>392.68220000000002</v>
      </c>
      <c r="S155" s="21">
        <f>VLOOKUP($A155,tabCustoUnit[],COLUMN(CUSTO_GLOBAL[[#Headers],[SESI OU SESC]])-2,0)*($G155-$H155)</f>
        <v>29.451165</v>
      </c>
      <c r="T155" s="21">
        <f>VLOOKUP($A155,tabCustoUnit[],COLUMN(CUSTO_GLOBAL[[#Headers],[SENAI OU SENAC]])-2,0)*($G155-$H155)</f>
        <v>19.63411</v>
      </c>
      <c r="U155" s="21">
        <f>VLOOKUP($A155,tabCustoUnit[],COLUMN(CUSTO_GLOBAL[[#Headers],[INCRA]])-2,0)*($G155-$H155)</f>
        <v>3.926822</v>
      </c>
      <c r="V155" s="21">
        <f>VLOOKUP($A155,tabCustoUnit[],COLUMN(CUSTO_GLOBAL[[#Headers],[Salário Educação]])-2,0)*($G155-$H155)</f>
        <v>49.085275000000003</v>
      </c>
      <c r="W155" s="21">
        <f>VLOOKUP($A155,tabCustoUnit[],COLUMN(CUSTO_GLOBAL[[#Headers],[FGTS]])-2,0)*($G155-$H155)</f>
        <v>157.07288</v>
      </c>
      <c r="X155" s="21">
        <f>VLOOKUP($A155,tabCustoUnit[],COLUMN(CUSTO_GLOBAL[[#Headers],[RAT Ajustado]])-2,0)*($G155-$H155)</f>
        <v>78.536439999999999</v>
      </c>
      <c r="Y155" s="21">
        <f>VLOOKUP($A155,tabCustoUnit[],COLUMN(CUSTO_GLOBAL[[#Headers],[SEBRAE]])-2,0)*($G155-$H155)</f>
        <v>11.780466000000001</v>
      </c>
      <c r="Z155" s="21">
        <f>VLOOKUP($A155,tabCustoUnit[],COLUMN(CUSTO_GLOBAL[[#Headers],[Submódulo 2.1]])-2,0)*($G155-$H155)</f>
        <v>742.1693580000001</v>
      </c>
      <c r="AA155" s="21">
        <f>VLOOKUP($A155,tabCustoUnit[],COLUMN(CUSTO_GLOBAL[[#Headers],[13º salário (titular)]])-2,0)*($G155-$H155)</f>
        <v>163.61758333333333</v>
      </c>
      <c r="AB155" s="21">
        <f>VLOOKUP($A155,tabCustoUnit[],COLUMN(CUSTO_GLOBAL[[#Headers],[Férias e Adicional de Férias (titular)]])-2,0)*($G155-$H155)</f>
        <v>218.15677777777776</v>
      </c>
      <c r="AC155" s="21">
        <f>VLOOKUP($A155,tabCustoUnit[],COLUMN(CUSTO_GLOBAL[[#Headers],[Incidência do Submódulo 2.1 sobre 13º Salário, Férias e Adicional de Férias]])-2,0)*($G155-$H155)</f>
        <v>144.3107085</v>
      </c>
      <c r="AD155" s="21">
        <f>VLOOKUP($A155,tabCustoUnit[],COLUMN(CUSTO_GLOBAL[[#Headers],[Submódulo 2.2]])-2,0)*($G155-$H155)</f>
        <v>526.08506961111107</v>
      </c>
      <c r="AE155" s="22" t="e">
        <f ca="1">VLOOKUP($A155,tabCustoUnit[],COLUMN(CUSTO_GLOBAL[[#Headers],[Vale - Transporte (Descontada parcela do empregado)]])-2,0)*($G155-$H155)</f>
        <v>#NAME?</v>
      </c>
      <c r="AF155" s="22">
        <f>VLOOKUP($A155,tabCustoUnit[],COLUMN(CUSTO_GLOBAL[[#Headers],[Vale - Alimentação (Descontada parcela do empregado)]])-2,0)*($G155-$H155)</f>
        <v>582</v>
      </c>
      <c r="AG155" s="22">
        <f>VLOOKUP($A155,tabCustoUnit[],COLUMN(CUSTO_GLOBAL[[#Headers],[Cesta Básica]])-2,0)*($G155-$H155)</f>
        <v>0</v>
      </c>
      <c r="AH155" s="22">
        <f>VLOOKUP($A155,tabCustoUnit[],COLUMN(CUSTO_GLOBAL[[#Headers],[PAF]])-2,0)*($G155-$H155)</f>
        <v>0</v>
      </c>
      <c r="AI155" s="22">
        <f>VLOOKUP($A155,tabCustoUnit[],COLUMN(CUSTO_GLOBAL[[#Headers],[PQM]])-2,0)*($G155-$H155)</f>
        <v>0</v>
      </c>
      <c r="AJ155" s="22">
        <v>0</v>
      </c>
      <c r="AK155" s="22">
        <f>VLOOKUP($A155,tabCustoUnit[],COLUMN(CUSTO_GLOBAL[[#Headers],[Seguro de Vida]])-2,0)*($G155-$H155)</f>
        <v>3.36</v>
      </c>
      <c r="AL155" s="22">
        <f>VLOOKUP($A155,tabCustoUnit[],COLUMN(CUSTO_GLOBAL[[#Headers],[Despesas de Viagem]])-2,0)*($G155-$H155)</f>
        <v>0</v>
      </c>
      <c r="AM155" s="22" t="e">
        <f ca="1">VLOOKUP($A155,tabCustoUnit[],COLUMN(CUSTO_GLOBAL[[#Headers],[Submódulo 2.3]])-2,0)*($G155-$H155)</f>
        <v>#NAME?</v>
      </c>
      <c r="AN155" s="22" t="e">
        <f ca="1">VLOOKUP($A155,tabCustoUnit[],COLUMN(CUSTO_GLOBAL[[#Headers],[MÓDULO 2 - Total Encargos e Benefícios mensais e diários]])-2,0)*($G155-$H155)</f>
        <v>#NAME?</v>
      </c>
      <c r="AO155" s="22">
        <f>VLOOKUP($A155,tabCustoUnit[],COLUMN(CUSTO_GLOBAL[[#Headers],[Aviso Prévio Indenizado (API) e Reflexo do Aviso Prévio Indenizado]])-2,0)*($G155-$H155)</f>
        <v>13.766980408757716</v>
      </c>
      <c r="AP155" s="22">
        <f>VLOOKUP($A155,tabCustoUnit[],COLUMN(CUSTO_GLOBAL[[#Headers],[Incidência do FGTS sobre API e Reflexo do API]])-2,0)*($G155-$H155)</f>
        <v>1.1013584327006174</v>
      </c>
      <c r="AQ155" s="22">
        <f>VLOOKUP($A155,tabCustoUnit[],COLUMN(CUSTO_GLOBAL[[#Headers],[Multa Rescisória do FGTS sobre o Aviso Prévio Indenizado]])-2,0)*($G155-$H155)</f>
        <v>0.44054337308024699</v>
      </c>
      <c r="AR155" s="22">
        <f>VLOOKUP($A155,tabCustoUnit[],COLUMN(CUSTO_GLOBAL[[#Headers],[Aviso Prévio Trabalhado - APT]])-2,0)*($G155-$H155)</f>
        <v>6.8719385000000015</v>
      </c>
      <c r="AS155" s="22">
        <f>VLOOKUP($A155,tabCustoUnit[],COLUMN(CUSTO_GLOBAL[[#Headers],[Incidência dos encargos do submódulo 2.1 sobre Aviso Prévio Trabalhado]])-2,0)*($G155-$H155)</f>
        <v>2.5975927530000007</v>
      </c>
      <c r="AT155" s="22">
        <f>VLOOKUP($A155,tabCustoUnit[],COLUMN(CUSTO_GLOBAL[[#Headers],[Multa Rescisória do FGTS]])-2,0)*($G155-$H155)</f>
        <v>60.03674524444444</v>
      </c>
      <c r="AU155" s="22">
        <f>VLOOKUP($A155,tabCustoUnit[],COLUMN(CUSTO_GLOBAL[[#Headers],[Indenização Adicional (Art. 9º da Lei nº 7.238/84)]])-2,0)*($G155-$H155)</f>
        <v>1.6361758333333334</v>
      </c>
      <c r="AV155" s="22">
        <f>VLOOKUP($A155,tabCustoUnit[],COLUMN(CUSTO_GLOBAL[[#Headers],[MÓDULO 3 – PROVISÃO PARA RESCISÃO]])-2,0)*($G155-$H155)</f>
        <v>86.451334545316371</v>
      </c>
      <c r="AW155" s="22">
        <f>VLOOKUP($A155,tabCustoUnit[],COLUMN(CUSTO_GLOBAL[[#Headers],[Ausência por Doença]])-2,0)*($G155-$H155)</f>
        <v>16.579915111111109</v>
      </c>
      <c r="AX155" s="22">
        <f>VLOOKUP($A155,tabCustoUnit[],COLUMN(CUSTO_GLOBAL[[#Headers],[Ausências Legais]])-2,0)*($G155-$H155)</f>
        <v>3.9813611944444443</v>
      </c>
      <c r="AY155" s="22">
        <f>VLOOKUP($A155,tabCustoUnit[],COLUMN(CUSTO_GLOBAL[[#Headers],[Licença Paternidade]])-2,0)*($G155-$H155)</f>
        <v>0.33541604583333334</v>
      </c>
      <c r="AZ155" s="22">
        <f>VLOOKUP($A155,tabCustoUnit[],COLUMN(CUSTO_GLOBAL[[#Headers],[Ausência por Acidente de Trabalho]])-2,0)*($G155-$H155)</f>
        <v>0.40904395833333335</v>
      </c>
      <c r="BA155" s="22">
        <f>VLOOKUP($A155,tabCustoUnit[],COLUMN(CUSTO_GLOBAL[[#Headers],[Férias, Adicional de Férias e 13º  com empregada em gozo de Licença Maternidade]])-2,0)*($G155-$H155)</f>
        <v>2.5451624074074073</v>
      </c>
      <c r="BB155" s="22">
        <f>VLOOKUP($A155,tabCustoUnit[],COLUMN(CUSTO_GLOBAL[[#Headers],[Incidência do Submódulo 2.1 sobre Ausências Legais]])-2,0)*($G155-$H155)</f>
        <v>9.0156397150750021</v>
      </c>
      <c r="BC155" s="22">
        <f>VLOOKUP($A155,tabCustoUnit[],COLUMN(CUSTO_GLOBAL[[#Headers],[Submódulo 4.1]])-2,0)*($G155-$H155)</f>
        <v>32.866538432204628</v>
      </c>
      <c r="BD155" s="22">
        <f>VLOOKUP($A155,tabCustoUnit[],COLUMN(CUSTO_GLOBAL[[#Headers],[Intervalo para Repouso ou Alimentação]])-2,0)*($G155-$H155)</f>
        <v>267.73786489195959</v>
      </c>
      <c r="BE155" s="22">
        <f>VLOOKUP($A155,tabCustoUnit[],COLUMN(CUSTO_GLOBAL[[#Headers],[Submódulo 4.2]])-2,0)*($G155-$H155)</f>
        <v>267.73786489195959</v>
      </c>
      <c r="BF155" s="22">
        <f>VLOOKUP($A155,tabCustoUnit[],COLUMN(CUSTO_GLOBAL[[#Headers],[Suspensão Temporária do Contrato de Trabalho]])-2,0)*($G155-$H155)</f>
        <v>0</v>
      </c>
      <c r="BG155" s="22">
        <f>VLOOKUP($A155,tabCustoUnit[],COLUMN(CUSTO_GLOBAL[[#Headers],[Submódulo 4.3]])-2,0)*($G155-$H155)</f>
        <v>0</v>
      </c>
      <c r="BH155" s="22">
        <f>VLOOKUP($A155,tabCustoUnit[],COLUMN(CUSTO_GLOBAL[[#Headers],[MÓDULO 4 – CUSTO DE REPOSIÇÃO DO PROFISSIONAL AUSENTE]])-2,0)*($G155-$H155)</f>
        <v>300.6044033241642</v>
      </c>
      <c r="BI155" s="22">
        <f>VLOOKUP($A155,tabCustoUnit[],COLUMN(CUSTO_GLOBAL[[#Headers],[Uniformes e EPIs]])-2,0)*($G155-$H155)</f>
        <v>56.642978962543395</v>
      </c>
      <c r="BJ155" s="22">
        <f>VLOOKUP($A155,tabCustoUnit[],COLUMN(CUSTO_GLOBAL[[#Headers],[Materiais de Consumo]])-2,0)*($G155-$H155)</f>
        <v>0</v>
      </c>
      <c r="BK155" s="22">
        <f>VLOOKUP($A155,tabCustoUnit[],COLUMN(CUSTO_GLOBAL[[#Headers],[Máquinas e Equipamentos (depreciação)]])-2,0)*($G155-$H155)</f>
        <v>0</v>
      </c>
      <c r="BL155" s="22">
        <f>VLOOKUP($A155,tabCustoUnit[],COLUMN(CUSTO_GLOBAL[[#Headers],[Produtos de Limpeza e Materiais de Higiene Pessoal]])-2,0)*($G155-$H155)</f>
        <v>0</v>
      </c>
      <c r="BM155" s="22">
        <f>VLOOKUP($A155,tabCustoUnit[],COLUMN(CUSTO_GLOBAL[[#Headers],[Outros (especificar)]])-2,0)*($G155-$H155)</f>
        <v>0</v>
      </c>
      <c r="BN155" s="22">
        <f>VLOOKUP($A155,tabCustoUnit[],COLUMN(CUSTO_GLOBAL[[#Headers],[MÓDULO 5 – INSUMOS DIVERSOS]])-2,0)*($G155-$H155)</f>
        <v>56.642978962543395</v>
      </c>
      <c r="BO155" s="22" t="e">
        <f ca="1">VLOOKUP($A155,tabCustoUnit[],COLUMN(CUSTO_GLOBAL[[#Headers],[TOTAL MÓDULOS 1+2+3+4+5]])-2,0)*($G155-$H155)</f>
        <v>#NAME?</v>
      </c>
      <c r="BP155" s="22" t="e">
        <f ca="1">VLOOKUP($A155,tabCustoUnit[],COLUMN(CUSTO_GLOBAL[[#Headers],[Custos Indiretos]])-2,0)*($G155-$H155)</f>
        <v>#NAME?</v>
      </c>
      <c r="BQ155" s="22" t="e">
        <f ca="1">VLOOKUP($A155,tabCustoUnit[],COLUMN(CUSTO_GLOBAL[[#Headers],[Lucro]])-2,0)*($G155-$H155)</f>
        <v>#NAME?</v>
      </c>
      <c r="BR155" s="26">
        <f>VLOOKUP($A155,tabCustoUnit[],COLUMN(CUSTO_GLOBAL[[#Headers],[COFINS]])-2,0)</f>
        <v>8.7608069164265154E-2</v>
      </c>
      <c r="BS155" s="26">
        <f>VLOOKUP($A155,tabCustoUnit[],COLUMN(CUSTO_GLOBAL[[#Headers],[PIS]])-2,0)</f>
        <v>1.9020172910662814E-2</v>
      </c>
      <c r="BT155" s="28">
        <f>VLOOKUP($A155,tabCustoUnit[],COLUMN(CUSTO_GLOBAL[[#Headers],[ISS]])-2,0)</f>
        <v>0.04</v>
      </c>
      <c r="BU155" s="26">
        <f>VLOOKUP($A155,tabCustoUnit[],COLUMN(CUSTO_GLOBAL[[#Headers],[ISS (Conversão Alíquota s/ fatura)]])-2,0)</f>
        <v>4.6109510086455294E-2</v>
      </c>
      <c r="BV155" s="26">
        <f>VLOOKUP($A155,tabCustoUnit[],COLUMN(CUSTO_GLOBAL[[#Headers],[Resumo de Alíquotas (PIS+CONFINS+ISS)]])-2,0)</f>
        <v>0.13250000000000001</v>
      </c>
      <c r="BW155" s="138">
        <f>VLOOKUP($A155,tabCustoUnit[],COLUMN(CUSTO_GLOBAL[[#Headers],[PIS + COFINS + ISS (Total Conversão  Alíquota s/ Fatura)]])-2,0)</f>
        <v>0.15273775216138324</v>
      </c>
      <c r="BX155" s="22" t="e">
        <f ca="1">VLOOKUP($A155,tabCustoUnit[],COLUMN(CUSTO_GLOBAL[[#Headers],[Valor dos Tributos (ISS, PIS, CONFINS)]])-2,0)*($G155-$H155)</f>
        <v>#NAME?</v>
      </c>
      <c r="BY155" s="22" t="e">
        <f ca="1">VLOOKUP($A155,tabCustoUnit[],COLUMN(CUSTO_GLOBAL[[#Headers],[MÓDULO 6 – CUSTOS INDIRETOS, TRIBUTOS E LUCRO]])-2,0)*($G155-$H155)</f>
        <v>#NAME?</v>
      </c>
      <c r="BZ155" s="22" t="e">
        <f ca="1">VLOOKUP($A155,tabCustoUnit[],COLUMN(CUSTO_GLOBAL[[#Headers],[CUSTO TOTAL MENSAL]])-2,0)*($G155-$H155)</f>
        <v>#NAME?</v>
      </c>
      <c r="CA155" s="22" t="e">
        <f ca="1">CUSTO_GLOBAL[[#This Row],[CUSTO TOTAL MENSAL]]*12</f>
        <v>#NAME?</v>
      </c>
      <c r="CB155" s="24">
        <f>VLOOKUP($A155,tabCustoUnit[],COLUMN(CUSTO_GLOBAL[[#Headers],[ANO DA CCT]])-2,0)</f>
        <v>45658</v>
      </c>
      <c r="CC155" s="25" t="str">
        <f>VLOOKUP($A155,tabCustoUnit[],COLUMN(CUSTO_GLOBAL[[#Headers],[Nº DE PEDIDO DA CCT]])-2,0)</f>
        <v>-</v>
      </c>
      <c r="CD155" s="25" t="str">
        <f>VLOOKUP($A155,tabCustoUnit[],COLUMN(CUSTO_GLOBAL[[#Headers],[TERMO ADITIVO ALTERAÇÃO DA CCT]])-2,0)</f>
        <v>-</v>
      </c>
    </row>
    <row r="156" spans="1:82">
      <c r="A156" s="20" t="s">
        <v>1608</v>
      </c>
      <c r="B156" t="s">
        <v>1140</v>
      </c>
      <c r="C156" t="s">
        <v>314</v>
      </c>
      <c r="D156" t="s">
        <v>968</v>
      </c>
      <c r="E156" s="20" t="s">
        <v>1090</v>
      </c>
      <c r="F156" s="20" t="s">
        <v>120</v>
      </c>
      <c r="G156" s="20">
        <v>1</v>
      </c>
      <c r="H156" s="20">
        <v>0</v>
      </c>
      <c r="I156" s="21">
        <f>VLOOKUP($A156,tabCustoUnit[],COLUMN(CUSTO_GLOBAL[[#Headers],[Salário Base]])-2,0)*($G156-$H156)</f>
        <v>2134.8042</v>
      </c>
      <c r="J156" s="21">
        <f>VLOOKUP($A156,tabCustoUnit[],COLUMN(CUSTO_GLOBAL[[#Headers],[Adicional Periculosidade]])-2,0)*($G156-$H156)</f>
        <v>0</v>
      </c>
      <c r="K156" s="21">
        <f>VLOOKUP($A156,tabCustoUnit[],COLUMN(CUSTO_GLOBAL[[#Headers],[Adicional Insalubridade]])-2,0)*($G156-$H156)</f>
        <v>0</v>
      </c>
      <c r="L156" s="21">
        <f>VLOOKUP($A156,tabCustoUnit[],COLUMN(CUSTO_GLOBAL[[#Headers],[Adicional Noturno]])-2,0)*($G156-$H156)</f>
        <v>0</v>
      </c>
      <c r="M156" s="21">
        <f>VLOOKUP($A156,tabCustoUnit[],COLUMN(CUSTO_GLOBAL[[#Headers],[Adicional Motorista II (Gratificação)]])-2,0)*($G156-$H156)</f>
        <v>0</v>
      </c>
      <c r="N156" s="21">
        <f>VLOOKUP($A156,tabCustoUnit[],COLUMN(CUSTO_GLOBAL[[#Headers],[Adicional de Sobreaviso]])-2,0)*($G156-$H156)</f>
        <v>0</v>
      </c>
      <c r="O156" s="21">
        <f>VLOOKUP($A156,tabCustoUnit[],COLUMN(CUSTO_GLOBAL[[#Headers],[Horas Extras TI]])-2,0)*($G156-$H156)</f>
        <v>0</v>
      </c>
      <c r="P156" s="21">
        <f>VLOOKUP($A156,tabCustoUnit[],COLUMN(CUSTO_GLOBAL[[#Headers],[Adicional de Acúmulo de função]])-2,0)*($G156-$H156)</f>
        <v>0</v>
      </c>
      <c r="Q156" s="21">
        <f>VLOOKUP($A156,tabCustoUnit[],COLUMN(CUSTO_GLOBAL[[#Headers],[MODULO 1 - REMUNERAÇÃO ]])-2,0)*($G156-$H156)</f>
        <v>2134.8042</v>
      </c>
      <c r="R156" s="21">
        <f>VLOOKUP($A156,tabCustoUnit[],COLUMN(CUSTO_GLOBAL[[#Headers],[INSS]])-2,0)*($G156-$H156)</f>
        <v>426.96084000000002</v>
      </c>
      <c r="S156" s="21">
        <f>VLOOKUP($A156,tabCustoUnit[],COLUMN(CUSTO_GLOBAL[[#Headers],[SESI OU SESC]])-2,0)*($G156-$H156)</f>
        <v>32.022063000000003</v>
      </c>
      <c r="T156" s="21">
        <f>VLOOKUP($A156,tabCustoUnit[],COLUMN(CUSTO_GLOBAL[[#Headers],[SENAI OU SENAC]])-2,0)*($G156-$H156)</f>
        <v>21.348042</v>
      </c>
      <c r="U156" s="21">
        <f>VLOOKUP($A156,tabCustoUnit[],COLUMN(CUSTO_GLOBAL[[#Headers],[INCRA]])-2,0)*($G156-$H156)</f>
        <v>4.2696084000000001</v>
      </c>
      <c r="V156" s="21">
        <f>VLOOKUP($A156,tabCustoUnit[],COLUMN(CUSTO_GLOBAL[[#Headers],[Salário Educação]])-2,0)*($G156-$H156)</f>
        <v>53.370105000000002</v>
      </c>
      <c r="W156" s="21">
        <f>VLOOKUP($A156,tabCustoUnit[],COLUMN(CUSTO_GLOBAL[[#Headers],[FGTS]])-2,0)*($G156-$H156)</f>
        <v>170.784336</v>
      </c>
      <c r="X156" s="21">
        <f>VLOOKUP($A156,tabCustoUnit[],COLUMN(CUSTO_GLOBAL[[#Headers],[RAT Ajustado]])-2,0)*($G156-$H156)</f>
        <v>85.392167999999998</v>
      </c>
      <c r="Y156" s="21">
        <f>VLOOKUP($A156,tabCustoUnit[],COLUMN(CUSTO_GLOBAL[[#Headers],[SEBRAE]])-2,0)*($G156-$H156)</f>
        <v>12.808825200000001</v>
      </c>
      <c r="Z156" s="21">
        <f>VLOOKUP($A156,tabCustoUnit[],COLUMN(CUSTO_GLOBAL[[#Headers],[Submódulo 2.1]])-2,0)*($G156-$H156)</f>
        <v>806.95598759999996</v>
      </c>
      <c r="AA156" s="21">
        <f>VLOOKUP($A156,tabCustoUnit[],COLUMN(CUSTO_GLOBAL[[#Headers],[13º salário (titular)]])-2,0)*($G156-$H156)</f>
        <v>177.90035</v>
      </c>
      <c r="AB156" s="21">
        <f>VLOOKUP($A156,tabCustoUnit[],COLUMN(CUSTO_GLOBAL[[#Headers],[Férias e Adicional de Férias (titular)]])-2,0)*($G156-$H156)</f>
        <v>237.20046666666667</v>
      </c>
      <c r="AC156" s="21">
        <f>VLOOKUP($A156,tabCustoUnit[],COLUMN(CUSTO_GLOBAL[[#Headers],[Incidência do Submódulo 2.1 sobre 13º Salário, Férias e Adicional de Férias]])-2,0)*($G156-$H156)</f>
        <v>156.90810869999999</v>
      </c>
      <c r="AD156" s="21">
        <f>VLOOKUP($A156,tabCustoUnit[],COLUMN(CUSTO_GLOBAL[[#Headers],[Submódulo 2.2]])-2,0)*($G156-$H156)</f>
        <v>572.00892536666663</v>
      </c>
      <c r="AE156" s="22" t="e">
        <f ca="1">VLOOKUP($A156,tabCustoUnit[],COLUMN(CUSTO_GLOBAL[[#Headers],[Vale - Transporte (Descontada parcela do empregado)]])-2,0)*($G156-$H156)</f>
        <v>#NAME?</v>
      </c>
      <c r="AF156" s="22">
        <f>VLOOKUP($A156,tabCustoUnit[],COLUMN(CUSTO_GLOBAL[[#Headers],[Vale - Alimentação (Descontada parcela do empregado)]])-2,0)*($G156-$H156)</f>
        <v>582</v>
      </c>
      <c r="AG156" s="22">
        <f>VLOOKUP($A156,tabCustoUnit[],COLUMN(CUSTO_GLOBAL[[#Headers],[Cesta Básica]])-2,0)*($G156-$H156)</f>
        <v>0</v>
      </c>
      <c r="AH156" s="22">
        <f>VLOOKUP($A156,tabCustoUnit[],COLUMN(CUSTO_GLOBAL[[#Headers],[PAF]])-2,0)*($G156-$H156)</f>
        <v>51.86</v>
      </c>
      <c r="AI156" s="22">
        <f>VLOOKUP($A156,tabCustoUnit[],COLUMN(CUSTO_GLOBAL[[#Headers],[PQM]])-2,0)*($G156-$H156)</f>
        <v>0</v>
      </c>
      <c r="AJ156" s="22">
        <v>0</v>
      </c>
      <c r="AK156" s="22">
        <f>VLOOKUP($A156,tabCustoUnit[],COLUMN(CUSTO_GLOBAL[[#Headers],[Seguro de Vida]])-2,0)*($G156-$H156)</f>
        <v>3.36</v>
      </c>
      <c r="AL156" s="22">
        <f>VLOOKUP($A156,tabCustoUnit[],COLUMN(CUSTO_GLOBAL[[#Headers],[Despesas de Viagem]])-2,0)*($G156-$H156)</f>
        <v>0</v>
      </c>
      <c r="AM156" s="22" t="e">
        <f ca="1">VLOOKUP($A156,tabCustoUnit[],COLUMN(CUSTO_GLOBAL[[#Headers],[Submódulo 2.3]])-2,0)*($G156-$H156)</f>
        <v>#NAME?</v>
      </c>
      <c r="AN156" s="22" t="e">
        <f ca="1">VLOOKUP($A156,tabCustoUnit[],COLUMN(CUSTO_GLOBAL[[#Headers],[MÓDULO 2 - Total Encargos e Benefícios mensais e diários]])-2,0)*($G156-$H156)</f>
        <v>#NAME?</v>
      </c>
      <c r="AO156" s="22">
        <f>VLOOKUP($A156,tabCustoUnit[],COLUMN(CUSTO_GLOBAL[[#Headers],[Aviso Prévio Indenizado (API) e Reflexo do Aviso Prévio Indenizado]])-2,0)*($G156-$H156)</f>
        <v>14.968749588310185</v>
      </c>
      <c r="AP156" s="22">
        <f>VLOOKUP($A156,tabCustoUnit[],COLUMN(CUSTO_GLOBAL[[#Headers],[Incidência do FGTS sobre API e Reflexo do API]])-2,0)*($G156-$H156)</f>
        <v>1.197499967064815</v>
      </c>
      <c r="AQ156" s="22">
        <f>VLOOKUP($A156,tabCustoUnit[],COLUMN(CUSTO_GLOBAL[[#Headers],[Multa Rescisória do FGTS sobre o Aviso Prévio Indenizado]])-2,0)*($G156-$H156)</f>
        <v>0.47899998682592604</v>
      </c>
      <c r="AR156" s="22">
        <f>VLOOKUP($A156,tabCustoUnit[],COLUMN(CUSTO_GLOBAL[[#Headers],[Aviso Prévio Trabalhado - APT]])-2,0)*($G156-$H156)</f>
        <v>7.4718147000000013</v>
      </c>
      <c r="AS156" s="22">
        <f>VLOOKUP($A156,tabCustoUnit[],COLUMN(CUSTO_GLOBAL[[#Headers],[Incidência dos encargos do submódulo 2.1 sobre Aviso Prévio Trabalhado]])-2,0)*($G156-$H156)</f>
        <v>2.8243459566000011</v>
      </c>
      <c r="AT156" s="22">
        <f>VLOOKUP($A156,tabCustoUnit[],COLUMN(CUSTO_GLOBAL[[#Headers],[Multa Rescisória do FGTS]])-2,0)*($G156-$H156)</f>
        <v>65.277568426666662</v>
      </c>
      <c r="AU156" s="22">
        <f>VLOOKUP($A156,tabCustoUnit[],COLUMN(CUSTO_GLOBAL[[#Headers],[Indenização Adicional (Art. 9º da Lei nº 7.238/84)]])-2,0)*($G156-$H156)</f>
        <v>1.7790035000000002</v>
      </c>
      <c r="AV156" s="22">
        <f>VLOOKUP($A156,tabCustoUnit[],COLUMN(CUSTO_GLOBAL[[#Headers],[MÓDULO 3 – PROVISÃO PARA RESCISÃO]])-2,0)*($G156-$H156)</f>
        <v>93.997982125467587</v>
      </c>
      <c r="AW156" s="22">
        <f>VLOOKUP($A156,tabCustoUnit[],COLUMN(CUSTO_GLOBAL[[#Headers],[Ausência por Doença]])-2,0)*($G156-$H156)</f>
        <v>18.027235466666664</v>
      </c>
      <c r="AX156" s="22">
        <f>VLOOKUP($A156,tabCustoUnit[],COLUMN(CUSTO_GLOBAL[[#Headers],[Ausências Legais]])-2,0)*($G156-$H156)</f>
        <v>4.3289085166666661</v>
      </c>
      <c r="AY156" s="22">
        <f>VLOOKUP($A156,tabCustoUnit[],COLUMN(CUSTO_GLOBAL[[#Headers],[Licença Paternidade]])-2,0)*($G156-$H156)</f>
        <v>0.36469571750000002</v>
      </c>
      <c r="AZ156" s="22">
        <f>VLOOKUP($A156,tabCustoUnit[],COLUMN(CUSTO_GLOBAL[[#Headers],[Ausência por Acidente de Trabalho]])-2,0)*($G156-$H156)</f>
        <v>0.44475087500000005</v>
      </c>
      <c r="BA156" s="22">
        <f>VLOOKUP($A156,tabCustoUnit[],COLUMN(CUSTO_GLOBAL[[#Headers],[Férias, Adicional de Férias e 13º  com empregada em gozo de Licença Maternidade]])-2,0)*($G156-$H156)</f>
        <v>2.7673387777777778</v>
      </c>
      <c r="BB156" s="22">
        <f>VLOOKUP($A156,tabCustoUnit[],COLUMN(CUSTO_GLOBAL[[#Headers],[Incidência do Submódulo 2.1 sobre Ausências Legais]])-2,0)*($G156-$H156)</f>
        <v>9.8026472956650021</v>
      </c>
      <c r="BC156" s="22">
        <f>VLOOKUP($A156,tabCustoUnit[],COLUMN(CUSTO_GLOBAL[[#Headers],[Submódulo 4.1]])-2,0)*($G156-$H156)</f>
        <v>35.735576649276105</v>
      </c>
      <c r="BD156" s="22">
        <f>VLOOKUP($A156,tabCustoUnit[],COLUMN(CUSTO_GLOBAL[[#Headers],[Intervalo para Repouso ou Alimentação]])-2,0)*($G156-$H156)</f>
        <v>291.10965839090369</v>
      </c>
      <c r="BE156" s="22">
        <f>VLOOKUP($A156,tabCustoUnit[],COLUMN(CUSTO_GLOBAL[[#Headers],[Submódulo 4.2]])-2,0)*($G156-$H156)</f>
        <v>291.10965839090369</v>
      </c>
      <c r="BF156" s="22">
        <f>VLOOKUP($A156,tabCustoUnit[],COLUMN(CUSTO_GLOBAL[[#Headers],[Suspensão Temporária do Contrato de Trabalho]])-2,0)*($G156-$H156)</f>
        <v>0</v>
      </c>
      <c r="BG156" s="22">
        <f>VLOOKUP($A156,tabCustoUnit[],COLUMN(CUSTO_GLOBAL[[#Headers],[Submódulo 4.3]])-2,0)*($G156-$H156)</f>
        <v>0</v>
      </c>
      <c r="BH156" s="22">
        <f>VLOOKUP($A156,tabCustoUnit[],COLUMN(CUSTO_GLOBAL[[#Headers],[MÓDULO 4 – CUSTO DE REPOSIÇÃO DO PROFISSIONAL AUSENTE]])-2,0)*($G156-$H156)</f>
        <v>326.84523504017977</v>
      </c>
      <c r="BI156" s="22">
        <f>VLOOKUP($A156,tabCustoUnit[],COLUMN(CUSTO_GLOBAL[[#Headers],[Uniformes e EPIs]])-2,0)*($G156-$H156)</f>
        <v>56.642978962543395</v>
      </c>
      <c r="BJ156" s="22">
        <f>VLOOKUP($A156,tabCustoUnit[],COLUMN(CUSTO_GLOBAL[[#Headers],[Materiais de Consumo]])-2,0)*($G156-$H156)</f>
        <v>0</v>
      </c>
      <c r="BK156" s="22">
        <f>VLOOKUP($A156,tabCustoUnit[],COLUMN(CUSTO_GLOBAL[[#Headers],[Máquinas e Equipamentos (depreciação)]])-2,0)*($G156-$H156)</f>
        <v>0</v>
      </c>
      <c r="BL156" s="22">
        <f>VLOOKUP($A156,tabCustoUnit[],COLUMN(CUSTO_GLOBAL[[#Headers],[Produtos de Limpeza e Materiais de Higiene Pessoal]])-2,0)*($G156-$H156)</f>
        <v>0</v>
      </c>
      <c r="BM156" s="22">
        <f>VLOOKUP($A156,tabCustoUnit[],COLUMN(CUSTO_GLOBAL[[#Headers],[Outros (especificar)]])-2,0)*($G156-$H156)</f>
        <v>0</v>
      </c>
      <c r="BN156" s="22">
        <f>VLOOKUP($A156,tabCustoUnit[],COLUMN(CUSTO_GLOBAL[[#Headers],[MÓDULO 5 – INSUMOS DIVERSOS]])-2,0)*($G156-$H156)</f>
        <v>56.642978962543395</v>
      </c>
      <c r="BO156" s="22" t="e">
        <f ca="1">VLOOKUP($A156,tabCustoUnit[],COLUMN(CUSTO_GLOBAL[[#Headers],[TOTAL MÓDULOS 1+2+3+4+5]])-2,0)*($G156-$H156)</f>
        <v>#NAME?</v>
      </c>
      <c r="BP156" s="22" t="e">
        <f ca="1">VLOOKUP($A156,tabCustoUnit[],COLUMN(CUSTO_GLOBAL[[#Headers],[Custos Indiretos]])-2,0)*($G156-$H156)</f>
        <v>#NAME?</v>
      </c>
      <c r="BQ156" s="22" t="e">
        <f ca="1">VLOOKUP($A156,tabCustoUnit[],COLUMN(CUSTO_GLOBAL[[#Headers],[Lucro]])-2,0)*($G156-$H156)</f>
        <v>#NAME?</v>
      </c>
      <c r="BR156" s="26">
        <f>VLOOKUP($A156,tabCustoUnit[],COLUMN(CUSTO_GLOBAL[[#Headers],[COFINS]])-2,0)</f>
        <v>8.5633802816901458E-2</v>
      </c>
      <c r="BS156" s="26">
        <f>VLOOKUP($A156,tabCustoUnit[],COLUMN(CUSTO_GLOBAL[[#Headers],[PIS]])-2,0)</f>
        <v>1.8591549295774657E-2</v>
      </c>
      <c r="BT156" s="28">
        <f>VLOOKUP($A156,tabCustoUnit[],COLUMN(CUSTO_GLOBAL[[#Headers],[ISS]])-2,0)</f>
        <v>0.02</v>
      </c>
      <c r="BU156" s="26">
        <f>VLOOKUP($A156,tabCustoUnit[],COLUMN(CUSTO_GLOBAL[[#Headers],[ISS (Conversão Alíquota s/ fatura)]])-2,0)</f>
        <v>2.2535211267605645E-2</v>
      </c>
      <c r="BV156" s="26">
        <f>VLOOKUP($A156,tabCustoUnit[],COLUMN(CUSTO_GLOBAL[[#Headers],[Resumo de Alíquotas (PIS+CONFINS+ISS)]])-2,0)</f>
        <v>0.1125</v>
      </c>
      <c r="BW156" s="138">
        <f>VLOOKUP($A156,tabCustoUnit[],COLUMN(CUSTO_GLOBAL[[#Headers],[PIS + COFINS + ISS (Total Conversão  Alíquota s/ Fatura)]])-2,0)</f>
        <v>0.12676056338028174</v>
      </c>
      <c r="BX156" s="22" t="e">
        <f ca="1">VLOOKUP($A156,tabCustoUnit[],COLUMN(CUSTO_GLOBAL[[#Headers],[Valor dos Tributos (ISS, PIS, CONFINS)]])-2,0)*($G156-$H156)</f>
        <v>#NAME?</v>
      </c>
      <c r="BY156" s="22" t="e">
        <f ca="1">VLOOKUP($A156,tabCustoUnit[],COLUMN(CUSTO_GLOBAL[[#Headers],[MÓDULO 6 – CUSTOS INDIRETOS, TRIBUTOS E LUCRO]])-2,0)*($G156-$H156)</f>
        <v>#NAME?</v>
      </c>
      <c r="BZ156" s="22" t="e">
        <f ca="1">VLOOKUP($A156,tabCustoUnit[],COLUMN(CUSTO_GLOBAL[[#Headers],[CUSTO TOTAL MENSAL]])-2,0)*($G156-$H156)</f>
        <v>#NAME?</v>
      </c>
      <c r="CA156" s="22" t="e">
        <f ca="1">CUSTO_GLOBAL[[#This Row],[CUSTO TOTAL MENSAL]]*12</f>
        <v>#NAME?</v>
      </c>
      <c r="CB156" s="24">
        <f>VLOOKUP($A156,tabCustoUnit[],COLUMN(CUSTO_GLOBAL[[#Headers],[ANO DA CCT]])-2,0)</f>
        <v>45658</v>
      </c>
      <c r="CC156" s="25" t="str">
        <f>VLOOKUP($A156,tabCustoUnit[],COLUMN(CUSTO_GLOBAL[[#Headers],[Nº DE PEDIDO DA CCT]])-2,0)</f>
        <v>-</v>
      </c>
      <c r="CD156" s="25" t="str">
        <f>VLOOKUP($A156,tabCustoUnit[],COLUMN(CUSTO_GLOBAL[[#Headers],[TERMO ADITIVO ALTERAÇÃO DA CCT]])-2,0)</f>
        <v>-</v>
      </c>
    </row>
    <row r="157" spans="1:82">
      <c r="A157" s="20" t="s">
        <v>1474</v>
      </c>
      <c r="B157" t="s">
        <v>1141</v>
      </c>
      <c r="C157" t="s">
        <v>1367</v>
      </c>
      <c r="D157" t="s">
        <v>928</v>
      </c>
      <c r="E157" s="20" t="s">
        <v>1090</v>
      </c>
      <c r="F157" s="20" t="s">
        <v>120</v>
      </c>
      <c r="G157" s="20">
        <v>1</v>
      </c>
      <c r="H157" s="20">
        <v>0</v>
      </c>
      <c r="I157" s="21">
        <f>VLOOKUP($A157,tabCustoUnit[],COLUMN(CUSTO_GLOBAL[[#Headers],[Salário Base]])-2,0)*($G157-$H157)</f>
        <v>2233.5527000000002</v>
      </c>
      <c r="J157" s="21">
        <f>VLOOKUP($A157,tabCustoUnit[],COLUMN(CUSTO_GLOBAL[[#Headers],[Adicional Periculosidade]])-2,0)*($G157-$H157)</f>
        <v>0</v>
      </c>
      <c r="K157" s="21">
        <f>VLOOKUP($A157,tabCustoUnit[],COLUMN(CUSTO_GLOBAL[[#Headers],[Adicional Insalubridade]])-2,0)*($G157-$H157)</f>
        <v>303.60000000000002</v>
      </c>
      <c r="L157" s="21">
        <f>VLOOKUP($A157,tabCustoUnit[],COLUMN(CUSTO_GLOBAL[[#Headers],[Adicional Noturno]])-2,0)*($G157-$H157)</f>
        <v>0</v>
      </c>
      <c r="M157" s="21">
        <f>VLOOKUP($A157,tabCustoUnit[],COLUMN(CUSTO_GLOBAL[[#Headers],[Adicional Motorista II (Gratificação)]])-2,0)*($G157-$H157)</f>
        <v>0</v>
      </c>
      <c r="N157" s="21">
        <f>VLOOKUP($A157,tabCustoUnit[],COLUMN(CUSTO_GLOBAL[[#Headers],[Adicional de Sobreaviso]])-2,0)*($G157-$H157)</f>
        <v>0</v>
      </c>
      <c r="O157" s="21">
        <f>VLOOKUP($A157,tabCustoUnit[],COLUMN(CUSTO_GLOBAL[[#Headers],[Horas Extras TI]])-2,0)*($G157-$H157)</f>
        <v>0</v>
      </c>
      <c r="P157" s="21">
        <f>VLOOKUP($A157,tabCustoUnit[],COLUMN(CUSTO_GLOBAL[[#Headers],[Adicional de Acúmulo de função]])-2,0)*($G157-$H157)</f>
        <v>0</v>
      </c>
      <c r="Q157" s="21">
        <f>VLOOKUP($A157,tabCustoUnit[],COLUMN(CUSTO_GLOBAL[[#Headers],[MODULO 1 - REMUNERAÇÃO ]])-2,0)*($G157-$H157)</f>
        <v>2537.1527000000001</v>
      </c>
      <c r="R157" s="21">
        <f>VLOOKUP($A157,tabCustoUnit[],COLUMN(CUSTO_GLOBAL[[#Headers],[INSS]])-2,0)*($G157-$H157)</f>
        <v>507.43054000000006</v>
      </c>
      <c r="S157" s="21">
        <f>VLOOKUP($A157,tabCustoUnit[],COLUMN(CUSTO_GLOBAL[[#Headers],[SESI OU SESC]])-2,0)*($G157-$H157)</f>
        <v>38.057290500000001</v>
      </c>
      <c r="T157" s="21">
        <f>VLOOKUP($A157,tabCustoUnit[],COLUMN(CUSTO_GLOBAL[[#Headers],[SENAI OU SENAC]])-2,0)*($G157-$H157)</f>
        <v>25.371527</v>
      </c>
      <c r="U157" s="21">
        <f>VLOOKUP($A157,tabCustoUnit[],COLUMN(CUSTO_GLOBAL[[#Headers],[INCRA]])-2,0)*($G157-$H157)</f>
        <v>5.0743054000000001</v>
      </c>
      <c r="V157" s="21">
        <f>VLOOKUP($A157,tabCustoUnit[],COLUMN(CUSTO_GLOBAL[[#Headers],[Salário Educação]])-2,0)*($G157-$H157)</f>
        <v>63.428817500000008</v>
      </c>
      <c r="W157" s="21">
        <f>VLOOKUP($A157,tabCustoUnit[],COLUMN(CUSTO_GLOBAL[[#Headers],[FGTS]])-2,0)*($G157-$H157)</f>
        <v>202.972216</v>
      </c>
      <c r="X157" s="21">
        <f>VLOOKUP($A157,tabCustoUnit[],COLUMN(CUSTO_GLOBAL[[#Headers],[RAT Ajustado]])-2,0)*($G157-$H157)</f>
        <v>101.486108</v>
      </c>
      <c r="Y157" s="21">
        <f>VLOOKUP($A157,tabCustoUnit[],COLUMN(CUSTO_GLOBAL[[#Headers],[SEBRAE]])-2,0)*($G157-$H157)</f>
        <v>15.2229162</v>
      </c>
      <c r="Z157" s="21">
        <f>VLOOKUP($A157,tabCustoUnit[],COLUMN(CUSTO_GLOBAL[[#Headers],[Submódulo 2.1]])-2,0)*($G157-$H157)</f>
        <v>959.04372060000003</v>
      </c>
      <c r="AA157" s="21">
        <f>VLOOKUP($A157,tabCustoUnit[],COLUMN(CUSTO_GLOBAL[[#Headers],[13º salário (titular)]])-2,0)*($G157-$H157)</f>
        <v>211.42939166666667</v>
      </c>
      <c r="AB157" s="21">
        <f>VLOOKUP($A157,tabCustoUnit[],COLUMN(CUSTO_GLOBAL[[#Headers],[Férias e Adicional de Férias (titular)]])-2,0)*($G157-$H157)</f>
        <v>281.90585555555555</v>
      </c>
      <c r="AC157" s="21">
        <f>VLOOKUP($A157,tabCustoUnit[],COLUMN(CUSTO_GLOBAL[[#Headers],[Incidência do Submódulo 2.1 sobre 13º Salário, Férias e Adicional de Férias]])-2,0)*($G157-$H157)</f>
        <v>186.48072345</v>
      </c>
      <c r="AD157" s="21">
        <f>VLOOKUP($A157,tabCustoUnit[],COLUMN(CUSTO_GLOBAL[[#Headers],[Submódulo 2.2]])-2,0)*($G157-$H157)</f>
        <v>679.81597067222219</v>
      </c>
      <c r="AE157" s="22" t="e">
        <f ca="1">VLOOKUP($A157,tabCustoUnit[],COLUMN(CUSTO_GLOBAL[[#Headers],[Vale - Transporte (Descontada parcela do empregado)]])-2,0)*($G157-$H157)</f>
        <v>#NAME?</v>
      </c>
      <c r="AF157" s="22">
        <f>VLOOKUP($A157,tabCustoUnit[],COLUMN(CUSTO_GLOBAL[[#Headers],[Vale - Alimentação (Descontada parcela do empregado)]])-2,0)*($G157-$H157)</f>
        <v>582</v>
      </c>
      <c r="AG157" s="22">
        <f>VLOOKUP($A157,tabCustoUnit[],COLUMN(CUSTO_GLOBAL[[#Headers],[Cesta Básica]])-2,0)*($G157-$H157)</f>
        <v>0</v>
      </c>
      <c r="AH157" s="22">
        <f>VLOOKUP($A157,tabCustoUnit[],COLUMN(CUSTO_GLOBAL[[#Headers],[PAF]])-2,0)*($G157-$H157)</f>
        <v>51.88</v>
      </c>
      <c r="AI157" s="22">
        <f>VLOOKUP($A157,tabCustoUnit[],COLUMN(CUSTO_GLOBAL[[#Headers],[PQM]])-2,0)*($G157-$H157)</f>
        <v>0</v>
      </c>
      <c r="AJ157" s="22">
        <v>0</v>
      </c>
      <c r="AK157" s="22">
        <f>VLOOKUP($A157,tabCustoUnit[],COLUMN(CUSTO_GLOBAL[[#Headers],[Seguro de Vida]])-2,0)*($G157-$H157)</f>
        <v>3.36</v>
      </c>
      <c r="AL157" s="22">
        <f>VLOOKUP($A157,tabCustoUnit[],COLUMN(CUSTO_GLOBAL[[#Headers],[Despesas de Viagem]])-2,0)*($G157-$H157)</f>
        <v>0</v>
      </c>
      <c r="AM157" s="22" t="e">
        <f ca="1">VLOOKUP($A157,tabCustoUnit[],COLUMN(CUSTO_GLOBAL[[#Headers],[Submódulo 2.3]])-2,0)*($G157-$H157)</f>
        <v>#NAME?</v>
      </c>
      <c r="AN157" s="22" t="e">
        <f ca="1">VLOOKUP($A157,tabCustoUnit[],COLUMN(CUSTO_GLOBAL[[#Headers],[MÓDULO 2 - Total Encargos e Benefícios mensais e diários]])-2,0)*($G157-$H157)</f>
        <v>#NAME?</v>
      </c>
      <c r="AO157" s="22">
        <f>VLOOKUP($A157,tabCustoUnit[],COLUMN(CUSTO_GLOBAL[[#Headers],[Aviso Prévio Indenizado (API) e Reflexo do Aviso Prévio Indenizado]])-2,0)*($G157-$H157)</f>
        <v>17.789923513175154</v>
      </c>
      <c r="AP157" s="22">
        <f>VLOOKUP($A157,tabCustoUnit[],COLUMN(CUSTO_GLOBAL[[#Headers],[Incidência do FGTS sobre API e Reflexo do API]])-2,0)*($G157-$H157)</f>
        <v>1.4231938810540126</v>
      </c>
      <c r="AQ157" s="22">
        <f>VLOOKUP($A157,tabCustoUnit[],COLUMN(CUSTO_GLOBAL[[#Headers],[Multa Rescisória do FGTS sobre o Aviso Prévio Indenizado]])-2,0)*($G157-$H157)</f>
        <v>0.56927755242160505</v>
      </c>
      <c r="AR157" s="22">
        <f>VLOOKUP($A157,tabCustoUnit[],COLUMN(CUSTO_GLOBAL[[#Headers],[Aviso Prévio Trabalhado - APT]])-2,0)*($G157-$H157)</f>
        <v>8.8800344500000019</v>
      </c>
      <c r="AS157" s="22">
        <f>VLOOKUP($A157,tabCustoUnit[],COLUMN(CUSTO_GLOBAL[[#Headers],[Incidência dos encargos do submódulo 2.1 sobre Aviso Prévio Trabalhado]])-2,0)*($G157-$H157)</f>
        <v>3.356653022100001</v>
      </c>
      <c r="AT157" s="22">
        <f>VLOOKUP($A157,tabCustoUnit[],COLUMN(CUSTO_GLOBAL[[#Headers],[Multa Rescisória do FGTS]])-2,0)*($G157-$H157)</f>
        <v>77.580491448888878</v>
      </c>
      <c r="AU157" s="22">
        <f>VLOOKUP($A157,tabCustoUnit[],COLUMN(CUSTO_GLOBAL[[#Headers],[Indenização Adicional (Art. 9º da Lei nº 7.238/84)]])-2,0)*($G157-$H157)</f>
        <v>2.114293916666667</v>
      </c>
      <c r="AV157" s="22">
        <f>VLOOKUP($A157,tabCustoUnit[],COLUMN(CUSTO_GLOBAL[[#Headers],[MÓDULO 3 – PROVISÃO PARA RESCISÃO]])-2,0)*($G157-$H157)</f>
        <v>111.71386778430632</v>
      </c>
      <c r="AW157" s="22">
        <f>VLOOKUP($A157,tabCustoUnit[],COLUMN(CUSTO_GLOBAL[[#Headers],[Ausência por Doença]])-2,0)*($G157-$H157)</f>
        <v>21.424845022222222</v>
      </c>
      <c r="AX157" s="22">
        <f>VLOOKUP($A157,tabCustoUnit[],COLUMN(CUSTO_GLOBAL[[#Headers],[Ausências Legais]])-2,0)*($G157-$H157)</f>
        <v>5.1447818638888885</v>
      </c>
      <c r="AY157" s="22">
        <f>VLOOKUP($A157,tabCustoUnit[],COLUMN(CUSTO_GLOBAL[[#Headers],[Licença Paternidade]])-2,0)*($G157-$H157)</f>
        <v>0.43343025291666665</v>
      </c>
      <c r="AZ157" s="22">
        <f>VLOOKUP($A157,tabCustoUnit[],COLUMN(CUSTO_GLOBAL[[#Headers],[Ausência por Acidente de Trabalho]])-2,0)*($G157-$H157)</f>
        <v>0.52857347916666675</v>
      </c>
      <c r="BA157" s="22">
        <f>VLOOKUP($A157,tabCustoUnit[],COLUMN(CUSTO_GLOBAL[[#Headers],[Férias, Adicional de Férias e 13º  com empregada em gozo de Licença Maternidade]])-2,0)*($G157-$H157)</f>
        <v>3.2889016481481481</v>
      </c>
      <c r="BB157" s="22">
        <f>VLOOKUP($A157,tabCustoUnit[],COLUMN(CUSTO_GLOBAL[[#Headers],[Incidência do Submódulo 2.1 sobre Ausências Legais]])-2,0)*($G157-$H157)</f>
        <v>11.650161196677502</v>
      </c>
      <c r="BC157" s="22">
        <f>VLOOKUP($A157,tabCustoUnit[],COLUMN(CUSTO_GLOBAL[[#Headers],[Submódulo 4.1]])-2,0)*($G157-$H157)</f>
        <v>42.470693463020091</v>
      </c>
      <c r="BD157" s="22">
        <f>VLOOKUP($A157,tabCustoUnit[],COLUMN(CUSTO_GLOBAL[[#Headers],[Intervalo para Repouso ou Alimentação]])-2,0)*($G157-$H157)</f>
        <v>0</v>
      </c>
      <c r="BE157" s="22">
        <f>VLOOKUP($A157,tabCustoUnit[],COLUMN(CUSTO_GLOBAL[[#Headers],[Submódulo 4.2]])-2,0)*($G157-$H157)</f>
        <v>0</v>
      </c>
      <c r="BF157" s="22">
        <f>VLOOKUP($A157,tabCustoUnit[],COLUMN(CUSTO_GLOBAL[[#Headers],[Suspensão Temporária do Contrato de Trabalho]])-2,0)*($G157-$H157)</f>
        <v>0</v>
      </c>
      <c r="BG157" s="22">
        <f>VLOOKUP($A157,tabCustoUnit[],COLUMN(CUSTO_GLOBAL[[#Headers],[Submódulo 4.3]])-2,0)*($G157-$H157)</f>
        <v>0</v>
      </c>
      <c r="BH157" s="22">
        <f>VLOOKUP($A157,tabCustoUnit[],COLUMN(CUSTO_GLOBAL[[#Headers],[MÓDULO 4 – CUSTO DE REPOSIÇÃO DO PROFISSIONAL AUSENTE]])-2,0)*($G157-$H157)</f>
        <v>42.470693463020091</v>
      </c>
      <c r="BI157" s="22">
        <f>VLOOKUP($A157,tabCustoUnit[],COLUMN(CUSTO_GLOBAL[[#Headers],[Uniformes e EPIs]])-2,0)*($G157-$H157)</f>
        <v>253.83572732312174</v>
      </c>
      <c r="BJ157" s="22">
        <f>VLOOKUP($A157,tabCustoUnit[],COLUMN(CUSTO_GLOBAL[[#Headers],[Materiais de Consumo]])-2,0)*($G157-$H157)</f>
        <v>441.81099462365592</v>
      </c>
      <c r="BK157" s="22">
        <f>VLOOKUP($A157,tabCustoUnit[],COLUMN(CUSTO_GLOBAL[[#Headers],[Máquinas e Equipamentos (depreciação)]])-2,0)*($G157-$H157)</f>
        <v>113.11309677419354</v>
      </c>
      <c r="BL157" s="22">
        <f>VLOOKUP($A157,tabCustoUnit[],COLUMN(CUSTO_GLOBAL[[#Headers],[Produtos de Limpeza e Materiais de Higiene Pessoal]])-2,0)*($G157-$H157)</f>
        <v>0</v>
      </c>
      <c r="BM157" s="22">
        <f>VLOOKUP($A157,tabCustoUnit[],COLUMN(CUSTO_GLOBAL[[#Headers],[Outros (especificar)]])-2,0)*($G157-$H157)</f>
        <v>0</v>
      </c>
      <c r="BN157" s="22">
        <f>VLOOKUP($A157,tabCustoUnit[],COLUMN(CUSTO_GLOBAL[[#Headers],[MÓDULO 5 – INSUMOS DIVERSOS]])-2,0)*($G157-$H157)</f>
        <v>808.75981872097123</v>
      </c>
      <c r="BO157" s="22" t="e">
        <f ca="1">VLOOKUP($A157,tabCustoUnit[],COLUMN(CUSTO_GLOBAL[[#Headers],[TOTAL MÓDULOS 1+2+3+4+5]])-2,0)*($G157-$H157)</f>
        <v>#NAME?</v>
      </c>
      <c r="BP157" s="22" t="e">
        <f ca="1">VLOOKUP($A157,tabCustoUnit[],COLUMN(CUSTO_GLOBAL[[#Headers],[Custos Indiretos]])-2,0)*($G157-$H157)</f>
        <v>#NAME?</v>
      </c>
      <c r="BQ157" s="22" t="e">
        <f ca="1">VLOOKUP($A157,tabCustoUnit[],COLUMN(CUSTO_GLOBAL[[#Headers],[Lucro]])-2,0)*($G157-$H157)</f>
        <v>#NAME?</v>
      </c>
      <c r="BR157" s="26">
        <f>VLOOKUP($A157,tabCustoUnit[],COLUMN(CUSTO_GLOBAL[[#Headers],[COFINS]])-2,0)</f>
        <v>8.8629737609329504E-2</v>
      </c>
      <c r="BS157" s="26">
        <f>VLOOKUP($A157,tabCustoUnit[],COLUMN(CUSTO_GLOBAL[[#Headers],[PIS]])-2,0)</f>
        <v>1.9241982507288629E-2</v>
      </c>
      <c r="BT157" s="28">
        <f>VLOOKUP($A157,tabCustoUnit[],COLUMN(CUSTO_GLOBAL[[#Headers],[ISS]])-2,0)</f>
        <v>0.05</v>
      </c>
      <c r="BU157" s="26">
        <f>VLOOKUP($A157,tabCustoUnit[],COLUMN(CUSTO_GLOBAL[[#Headers],[ISS (Conversão Alíquota s/ fatura)]])-2,0)</f>
        <v>5.8309037900874633E-2</v>
      </c>
      <c r="BV157" s="26">
        <f>VLOOKUP($A157,tabCustoUnit[],COLUMN(CUSTO_GLOBAL[[#Headers],[Resumo de Alíquotas (PIS+CONFINS+ISS)]])-2,0)</f>
        <v>0.14250000000000002</v>
      </c>
      <c r="BW157" s="138">
        <f>VLOOKUP($A157,tabCustoUnit[],COLUMN(CUSTO_GLOBAL[[#Headers],[PIS + COFINS + ISS (Total Conversão  Alíquota s/ Fatura)]])-2,0)</f>
        <v>0.16618075801749277</v>
      </c>
      <c r="BX157" s="22" t="e">
        <f ca="1">VLOOKUP($A157,tabCustoUnit[],COLUMN(CUSTO_GLOBAL[[#Headers],[Valor dos Tributos (ISS, PIS, CONFINS)]])-2,0)*($G157-$H157)</f>
        <v>#NAME?</v>
      </c>
      <c r="BY157" s="22" t="e">
        <f ca="1">VLOOKUP($A157,tabCustoUnit[],COLUMN(CUSTO_GLOBAL[[#Headers],[MÓDULO 6 – CUSTOS INDIRETOS, TRIBUTOS E LUCRO]])-2,0)*($G157-$H157)</f>
        <v>#NAME?</v>
      </c>
      <c r="BZ157" s="22" t="e">
        <f ca="1">VLOOKUP($A157,tabCustoUnit[],COLUMN(CUSTO_GLOBAL[[#Headers],[CUSTO TOTAL MENSAL]])-2,0)*($G157-$H157)</f>
        <v>#NAME?</v>
      </c>
      <c r="CA157" s="22" t="e">
        <f ca="1">CUSTO_GLOBAL[[#This Row],[CUSTO TOTAL MENSAL]]*12</f>
        <v>#NAME?</v>
      </c>
      <c r="CB157" s="24">
        <f>VLOOKUP($A157,tabCustoUnit[],COLUMN(CUSTO_GLOBAL[[#Headers],[ANO DA CCT]])-2,0)</f>
        <v>45658</v>
      </c>
      <c r="CC157" s="25" t="str">
        <f>VLOOKUP($A157,tabCustoUnit[],COLUMN(CUSTO_GLOBAL[[#Headers],[Nº DE PEDIDO DA CCT]])-2,0)</f>
        <v>-</v>
      </c>
      <c r="CD157" s="25" t="str">
        <f>VLOOKUP($A157,tabCustoUnit[],COLUMN(CUSTO_GLOBAL[[#Headers],[TERMO ADITIVO ALTERAÇÃO DA CCT]])-2,0)</f>
        <v>-</v>
      </c>
    </row>
    <row r="158" spans="1:82">
      <c r="A158" s="20" t="s">
        <v>1609</v>
      </c>
      <c r="B158" t="s">
        <v>1141</v>
      </c>
      <c r="C158" t="s">
        <v>1368</v>
      </c>
      <c r="D158" t="s">
        <v>928</v>
      </c>
      <c r="E158" s="20" t="s">
        <v>1090</v>
      </c>
      <c r="F158" s="20" t="s">
        <v>120</v>
      </c>
      <c r="G158" s="20">
        <v>1</v>
      </c>
      <c r="H158" s="20">
        <v>0</v>
      </c>
      <c r="I158" s="21">
        <f>VLOOKUP($A158,tabCustoUnit[],COLUMN(CUSTO_GLOBAL[[#Headers],[Salário Base]])-2,0)*($G158-$H158)</f>
        <v>2456.9079999999999</v>
      </c>
      <c r="J158" s="21">
        <f>VLOOKUP($A158,tabCustoUnit[],COLUMN(CUSTO_GLOBAL[[#Headers],[Adicional Periculosidade]])-2,0)*($G158-$H158)</f>
        <v>0</v>
      </c>
      <c r="K158" s="21">
        <f>VLOOKUP($A158,tabCustoUnit[],COLUMN(CUSTO_GLOBAL[[#Headers],[Adicional Insalubridade]])-2,0)*($G158-$H158)</f>
        <v>303.60000000000002</v>
      </c>
      <c r="L158" s="21">
        <f>VLOOKUP($A158,tabCustoUnit[],COLUMN(CUSTO_GLOBAL[[#Headers],[Adicional Noturno]])-2,0)*($G158-$H158)</f>
        <v>0</v>
      </c>
      <c r="M158" s="21">
        <f>VLOOKUP($A158,tabCustoUnit[],COLUMN(CUSTO_GLOBAL[[#Headers],[Adicional Motorista II (Gratificação)]])-2,0)*($G158-$H158)</f>
        <v>0</v>
      </c>
      <c r="N158" s="21">
        <f>VLOOKUP($A158,tabCustoUnit[],COLUMN(CUSTO_GLOBAL[[#Headers],[Adicional de Sobreaviso]])-2,0)*($G158-$H158)</f>
        <v>0</v>
      </c>
      <c r="O158" s="21">
        <f>VLOOKUP($A158,tabCustoUnit[],COLUMN(CUSTO_GLOBAL[[#Headers],[Horas Extras TI]])-2,0)*($G158-$H158)</f>
        <v>0</v>
      </c>
      <c r="P158" s="21">
        <f>VLOOKUP($A158,tabCustoUnit[],COLUMN(CUSTO_GLOBAL[[#Headers],[Adicional de Acúmulo de função]])-2,0)*($G158-$H158)</f>
        <v>0</v>
      </c>
      <c r="Q158" s="21">
        <f>VLOOKUP($A158,tabCustoUnit[],COLUMN(CUSTO_GLOBAL[[#Headers],[MODULO 1 - REMUNERAÇÃO ]])-2,0)*($G158-$H158)</f>
        <v>2760.5079999999998</v>
      </c>
      <c r="R158" s="21">
        <f>VLOOKUP($A158,tabCustoUnit[],COLUMN(CUSTO_GLOBAL[[#Headers],[INSS]])-2,0)*($G158-$H158)</f>
        <v>552.10159999999996</v>
      </c>
      <c r="S158" s="21">
        <f>VLOOKUP($A158,tabCustoUnit[],COLUMN(CUSTO_GLOBAL[[#Headers],[SESI OU SESC]])-2,0)*($G158-$H158)</f>
        <v>41.407619999999994</v>
      </c>
      <c r="T158" s="21">
        <f>VLOOKUP($A158,tabCustoUnit[],COLUMN(CUSTO_GLOBAL[[#Headers],[SENAI OU SENAC]])-2,0)*($G158-$H158)</f>
        <v>27.605079999999997</v>
      </c>
      <c r="U158" s="21">
        <f>VLOOKUP($A158,tabCustoUnit[],COLUMN(CUSTO_GLOBAL[[#Headers],[INCRA]])-2,0)*($G158-$H158)</f>
        <v>5.5210159999999995</v>
      </c>
      <c r="V158" s="21">
        <f>VLOOKUP($A158,tabCustoUnit[],COLUMN(CUSTO_GLOBAL[[#Headers],[Salário Educação]])-2,0)*($G158-$H158)</f>
        <v>69.012699999999995</v>
      </c>
      <c r="W158" s="21">
        <f>VLOOKUP($A158,tabCustoUnit[],COLUMN(CUSTO_GLOBAL[[#Headers],[FGTS]])-2,0)*($G158-$H158)</f>
        <v>220.84063999999998</v>
      </c>
      <c r="X158" s="21">
        <f>VLOOKUP($A158,tabCustoUnit[],COLUMN(CUSTO_GLOBAL[[#Headers],[RAT Ajustado]])-2,0)*($G158-$H158)</f>
        <v>110.42031999999999</v>
      </c>
      <c r="Y158" s="21">
        <f>VLOOKUP($A158,tabCustoUnit[],COLUMN(CUSTO_GLOBAL[[#Headers],[SEBRAE]])-2,0)*($G158-$H158)</f>
        <v>16.563047999999998</v>
      </c>
      <c r="Z158" s="21">
        <f>VLOOKUP($A158,tabCustoUnit[],COLUMN(CUSTO_GLOBAL[[#Headers],[Submódulo 2.1]])-2,0)*($G158-$H158)</f>
        <v>1043.4720239999999</v>
      </c>
      <c r="AA158" s="21">
        <f>VLOOKUP($A158,tabCustoUnit[],COLUMN(CUSTO_GLOBAL[[#Headers],[13º salário (titular)]])-2,0)*($G158-$H158)</f>
        <v>230.04233333333332</v>
      </c>
      <c r="AB158" s="21">
        <f>VLOOKUP($A158,tabCustoUnit[],COLUMN(CUSTO_GLOBAL[[#Headers],[Férias e Adicional de Férias (titular)]])-2,0)*($G158-$H158)</f>
        <v>306.72311111111105</v>
      </c>
      <c r="AC158" s="21">
        <f>VLOOKUP($A158,tabCustoUnit[],COLUMN(CUSTO_GLOBAL[[#Headers],[Incidência do Submódulo 2.1 sobre 13º Salário, Férias e Adicional de Férias]])-2,0)*($G158-$H158)</f>
        <v>202.89733799999996</v>
      </c>
      <c r="AD158" s="21">
        <f>VLOOKUP($A158,tabCustoUnit[],COLUMN(CUSTO_GLOBAL[[#Headers],[Submódulo 2.2]])-2,0)*($G158-$H158)</f>
        <v>739.66278244444436</v>
      </c>
      <c r="AE158" s="22" t="e">
        <f ca="1">VLOOKUP($A158,tabCustoUnit[],COLUMN(CUSTO_GLOBAL[[#Headers],[Vale - Transporte (Descontada parcela do empregado)]])-2,0)*($G158-$H158)</f>
        <v>#NAME?</v>
      </c>
      <c r="AF158" s="22">
        <f>VLOOKUP($A158,tabCustoUnit[],COLUMN(CUSTO_GLOBAL[[#Headers],[Vale - Alimentação (Descontada parcela do empregado)]])-2,0)*($G158-$H158)</f>
        <v>582</v>
      </c>
      <c r="AG158" s="22">
        <f>VLOOKUP($A158,tabCustoUnit[],COLUMN(CUSTO_GLOBAL[[#Headers],[Cesta Básica]])-2,0)*($G158-$H158)</f>
        <v>0</v>
      </c>
      <c r="AH158" s="22">
        <f>VLOOKUP($A158,tabCustoUnit[],COLUMN(CUSTO_GLOBAL[[#Headers],[PAF]])-2,0)*($G158-$H158)</f>
        <v>51.88</v>
      </c>
      <c r="AI158" s="22">
        <f>VLOOKUP($A158,tabCustoUnit[],COLUMN(CUSTO_GLOBAL[[#Headers],[PQM]])-2,0)*($G158-$H158)</f>
        <v>0</v>
      </c>
      <c r="AJ158" s="22">
        <v>0</v>
      </c>
      <c r="AK158" s="22">
        <f>VLOOKUP($A158,tabCustoUnit[],COLUMN(CUSTO_GLOBAL[[#Headers],[Seguro de Vida]])-2,0)*($G158-$H158)</f>
        <v>3.36</v>
      </c>
      <c r="AL158" s="22">
        <f>VLOOKUP($A158,tabCustoUnit[],COLUMN(CUSTO_GLOBAL[[#Headers],[Despesas de Viagem]])-2,0)*($G158-$H158)</f>
        <v>0</v>
      </c>
      <c r="AM158" s="22" t="e">
        <f ca="1">VLOOKUP($A158,tabCustoUnit[],COLUMN(CUSTO_GLOBAL[[#Headers],[Submódulo 2.3]])-2,0)*($G158-$H158)</f>
        <v>#NAME?</v>
      </c>
      <c r="AN158" s="22" t="e">
        <f ca="1">VLOOKUP($A158,tabCustoUnit[],COLUMN(CUSTO_GLOBAL[[#Headers],[MÓDULO 2 - Total Encargos e Benefícios mensais e diários]])-2,0)*($G158-$H158)</f>
        <v>#NAME?</v>
      </c>
      <c r="AO158" s="22">
        <f>VLOOKUP($A158,tabCustoUnit[],COLUMN(CUSTO_GLOBAL[[#Headers],[Aviso Prévio Indenizado (API) e Reflexo do Aviso Prévio Indenizado]])-2,0)*($G158-$H158)</f>
        <v>19.356038829475306</v>
      </c>
      <c r="AP158" s="22">
        <f>VLOOKUP($A158,tabCustoUnit[],COLUMN(CUSTO_GLOBAL[[#Headers],[Incidência do FGTS sobre API e Reflexo do API]])-2,0)*($G158-$H158)</f>
        <v>1.5484831063580247</v>
      </c>
      <c r="AQ158" s="22">
        <f>VLOOKUP($A158,tabCustoUnit[],COLUMN(CUSTO_GLOBAL[[#Headers],[Multa Rescisória do FGTS sobre o Aviso Prévio Indenizado]])-2,0)*($G158-$H158)</f>
        <v>0.61939324254320993</v>
      </c>
      <c r="AR158" s="22">
        <f>VLOOKUP($A158,tabCustoUnit[],COLUMN(CUSTO_GLOBAL[[#Headers],[Aviso Prévio Trabalhado - APT]])-2,0)*($G158-$H158)</f>
        <v>9.661778</v>
      </c>
      <c r="AS158" s="22">
        <f>VLOOKUP($A158,tabCustoUnit[],COLUMN(CUSTO_GLOBAL[[#Headers],[Incidência dos encargos do submódulo 2.1 sobre Aviso Prévio Trabalhado]])-2,0)*($G158-$H158)</f>
        <v>3.6521520840000008</v>
      </c>
      <c r="AT158" s="22">
        <f>VLOOKUP($A158,tabCustoUnit[],COLUMN(CUSTO_GLOBAL[[#Headers],[Multa Rescisória do FGTS]])-2,0)*($G158-$H158)</f>
        <v>84.410200177777753</v>
      </c>
      <c r="AU158" s="22">
        <f>VLOOKUP($A158,tabCustoUnit[],COLUMN(CUSTO_GLOBAL[[#Headers],[Indenização Adicional (Art. 9º da Lei nº 7.238/84)]])-2,0)*($G158-$H158)</f>
        <v>2.3004233333333333</v>
      </c>
      <c r="AV158" s="22">
        <f>VLOOKUP($A158,tabCustoUnit[],COLUMN(CUSTO_GLOBAL[[#Headers],[MÓDULO 3 – PROVISÃO PARA RESCISÃO]])-2,0)*($G158-$H158)</f>
        <v>121.54846877348763</v>
      </c>
      <c r="AW158" s="22">
        <f>VLOOKUP($A158,tabCustoUnit[],COLUMN(CUSTO_GLOBAL[[#Headers],[Ausência por Doença]])-2,0)*($G158-$H158)</f>
        <v>23.310956444444439</v>
      </c>
      <c r="AX158" s="22">
        <f>VLOOKUP($A158,tabCustoUnit[],COLUMN(CUSTO_GLOBAL[[#Headers],[Ausências Legais]])-2,0)*($G158-$H158)</f>
        <v>5.5976967777777773</v>
      </c>
      <c r="AY158" s="22">
        <f>VLOOKUP($A158,tabCustoUnit[],COLUMN(CUSTO_GLOBAL[[#Headers],[Licença Paternidade]])-2,0)*($G158-$H158)</f>
        <v>0.47158678333333331</v>
      </c>
      <c r="AZ158" s="22">
        <f>VLOOKUP($A158,tabCustoUnit[],COLUMN(CUSTO_GLOBAL[[#Headers],[Ausência por Acidente de Trabalho]])-2,0)*($G158-$H158)</f>
        <v>0.57510583333333332</v>
      </c>
      <c r="BA158" s="22">
        <f>VLOOKUP($A158,tabCustoUnit[],COLUMN(CUSTO_GLOBAL[[#Headers],[Férias, Adicional de Férias e 13º  com empregada em gozo de Licença Maternidade]])-2,0)*($G158-$H158)</f>
        <v>3.5784362962962959</v>
      </c>
      <c r="BB158" s="22">
        <f>VLOOKUP($A158,tabCustoUnit[],COLUMN(CUSTO_GLOBAL[[#Headers],[Incidência do Submódulo 2.1 sobre Ausências Legais]])-2,0)*($G158-$H158)</f>
        <v>12.675769647100001</v>
      </c>
      <c r="BC158" s="22">
        <f>VLOOKUP($A158,tabCustoUnit[],COLUMN(CUSTO_GLOBAL[[#Headers],[Submódulo 4.1]])-2,0)*($G158-$H158)</f>
        <v>46.209551782285175</v>
      </c>
      <c r="BD158" s="22">
        <f>VLOOKUP($A158,tabCustoUnit[],COLUMN(CUSTO_GLOBAL[[#Headers],[Intervalo para Repouso ou Alimentação]])-2,0)*($G158-$H158)</f>
        <v>0</v>
      </c>
      <c r="BE158" s="22">
        <f>VLOOKUP($A158,tabCustoUnit[],COLUMN(CUSTO_GLOBAL[[#Headers],[Submódulo 4.2]])-2,0)*($G158-$H158)</f>
        <v>0</v>
      </c>
      <c r="BF158" s="22">
        <f>VLOOKUP($A158,tabCustoUnit[],COLUMN(CUSTO_GLOBAL[[#Headers],[Suspensão Temporária do Contrato de Trabalho]])-2,0)*($G158-$H158)</f>
        <v>0</v>
      </c>
      <c r="BG158" s="22">
        <f>VLOOKUP($A158,tabCustoUnit[],COLUMN(CUSTO_GLOBAL[[#Headers],[Submódulo 4.3]])-2,0)*($G158-$H158)</f>
        <v>0</v>
      </c>
      <c r="BH158" s="22">
        <f>VLOOKUP($A158,tabCustoUnit[],COLUMN(CUSTO_GLOBAL[[#Headers],[MÓDULO 4 – CUSTO DE REPOSIÇÃO DO PROFISSIONAL AUSENTE]])-2,0)*($G158-$H158)</f>
        <v>46.209551782285175</v>
      </c>
      <c r="BI158" s="22">
        <f>VLOOKUP($A158,tabCustoUnit[],COLUMN(CUSTO_GLOBAL[[#Headers],[Uniformes e EPIs]])-2,0)*($G158-$H158)</f>
        <v>196.62072732312174</v>
      </c>
      <c r="BJ158" s="22">
        <f>VLOOKUP($A158,tabCustoUnit[],COLUMN(CUSTO_GLOBAL[[#Headers],[Materiais de Consumo]])-2,0)*($G158-$H158)</f>
        <v>441.81099462365592</v>
      </c>
      <c r="BK158" s="22">
        <f>VLOOKUP($A158,tabCustoUnit[],COLUMN(CUSTO_GLOBAL[[#Headers],[Máquinas e Equipamentos (depreciação)]])-2,0)*($G158-$H158)</f>
        <v>113.11309677419354</v>
      </c>
      <c r="BL158" s="22">
        <f>VLOOKUP($A158,tabCustoUnit[],COLUMN(CUSTO_GLOBAL[[#Headers],[Produtos de Limpeza e Materiais de Higiene Pessoal]])-2,0)*($G158-$H158)</f>
        <v>0</v>
      </c>
      <c r="BM158" s="22">
        <f>VLOOKUP($A158,tabCustoUnit[],COLUMN(CUSTO_GLOBAL[[#Headers],[Outros (especificar)]])-2,0)*($G158-$H158)</f>
        <v>0</v>
      </c>
      <c r="BN158" s="22">
        <f>VLOOKUP($A158,tabCustoUnit[],COLUMN(CUSTO_GLOBAL[[#Headers],[MÓDULO 5 – INSUMOS DIVERSOS]])-2,0)*($G158-$H158)</f>
        <v>751.54481872097119</v>
      </c>
      <c r="BO158" s="22" t="e">
        <f ca="1">VLOOKUP($A158,tabCustoUnit[],COLUMN(CUSTO_GLOBAL[[#Headers],[TOTAL MÓDULOS 1+2+3+4+5]])-2,0)*($G158-$H158)</f>
        <v>#NAME?</v>
      </c>
      <c r="BP158" s="22" t="e">
        <f ca="1">VLOOKUP($A158,tabCustoUnit[],COLUMN(CUSTO_GLOBAL[[#Headers],[Custos Indiretos]])-2,0)*($G158-$H158)</f>
        <v>#NAME?</v>
      </c>
      <c r="BQ158" s="22" t="e">
        <f ca="1">VLOOKUP($A158,tabCustoUnit[],COLUMN(CUSTO_GLOBAL[[#Headers],[Lucro]])-2,0)*($G158-$H158)</f>
        <v>#NAME?</v>
      </c>
      <c r="BR158" s="26">
        <f>VLOOKUP($A158,tabCustoUnit[],COLUMN(CUSTO_GLOBAL[[#Headers],[COFINS]])-2,0)</f>
        <v>8.8629737609329504E-2</v>
      </c>
      <c r="BS158" s="26">
        <f>VLOOKUP($A158,tabCustoUnit[],COLUMN(CUSTO_GLOBAL[[#Headers],[PIS]])-2,0)</f>
        <v>1.9241982507288629E-2</v>
      </c>
      <c r="BT158" s="28">
        <f>VLOOKUP($A158,tabCustoUnit[],COLUMN(CUSTO_GLOBAL[[#Headers],[ISS]])-2,0)</f>
        <v>0.05</v>
      </c>
      <c r="BU158" s="26">
        <f>VLOOKUP($A158,tabCustoUnit[],COLUMN(CUSTO_GLOBAL[[#Headers],[ISS (Conversão Alíquota s/ fatura)]])-2,0)</f>
        <v>5.8309037900874633E-2</v>
      </c>
      <c r="BV158" s="26">
        <f>VLOOKUP($A158,tabCustoUnit[],COLUMN(CUSTO_GLOBAL[[#Headers],[Resumo de Alíquotas (PIS+CONFINS+ISS)]])-2,0)</f>
        <v>0.14250000000000002</v>
      </c>
      <c r="BW158" s="138">
        <f>VLOOKUP($A158,tabCustoUnit[],COLUMN(CUSTO_GLOBAL[[#Headers],[PIS + COFINS + ISS (Total Conversão  Alíquota s/ Fatura)]])-2,0)</f>
        <v>0.16618075801749277</v>
      </c>
      <c r="BX158" s="22" t="e">
        <f ca="1">VLOOKUP($A158,tabCustoUnit[],COLUMN(CUSTO_GLOBAL[[#Headers],[Valor dos Tributos (ISS, PIS, CONFINS)]])-2,0)*($G158-$H158)</f>
        <v>#NAME?</v>
      </c>
      <c r="BY158" s="22" t="e">
        <f ca="1">VLOOKUP($A158,tabCustoUnit[],COLUMN(CUSTO_GLOBAL[[#Headers],[MÓDULO 6 – CUSTOS INDIRETOS, TRIBUTOS E LUCRO]])-2,0)*($G158-$H158)</f>
        <v>#NAME?</v>
      </c>
      <c r="BZ158" s="22" t="e">
        <f ca="1">VLOOKUP($A158,tabCustoUnit[],COLUMN(CUSTO_GLOBAL[[#Headers],[CUSTO TOTAL MENSAL]])-2,0)*($G158-$H158)</f>
        <v>#NAME?</v>
      </c>
      <c r="CA158" s="22" t="e">
        <f ca="1">CUSTO_GLOBAL[[#This Row],[CUSTO TOTAL MENSAL]]*12</f>
        <v>#NAME?</v>
      </c>
      <c r="CB158" s="24">
        <f>VLOOKUP($A158,tabCustoUnit[],COLUMN(CUSTO_GLOBAL[[#Headers],[ANO DA CCT]])-2,0)</f>
        <v>45658</v>
      </c>
      <c r="CC158" s="25" t="str">
        <f>VLOOKUP($A158,tabCustoUnit[],COLUMN(CUSTO_GLOBAL[[#Headers],[Nº DE PEDIDO DA CCT]])-2,0)</f>
        <v>-</v>
      </c>
      <c r="CD158" s="25" t="str">
        <f>VLOOKUP($A158,tabCustoUnit[],COLUMN(CUSTO_GLOBAL[[#Headers],[TERMO ADITIVO ALTERAÇÃO DA CCT]])-2,0)</f>
        <v>-</v>
      </c>
    </row>
    <row r="159" spans="1:82">
      <c r="A159" s="20" t="s">
        <v>1610</v>
      </c>
      <c r="B159" t="s">
        <v>1141</v>
      </c>
      <c r="C159" t="s">
        <v>274</v>
      </c>
      <c r="D159" t="s">
        <v>992</v>
      </c>
      <c r="E159" s="20" t="s">
        <v>1090</v>
      </c>
      <c r="F159" s="20" t="s">
        <v>120</v>
      </c>
      <c r="G159" s="20">
        <v>3</v>
      </c>
      <c r="H159" s="20">
        <v>0</v>
      </c>
      <c r="I159" s="21">
        <f>VLOOKUP($A159,tabCustoUnit[],COLUMN(CUSTO_GLOBAL[[#Headers],[Salário Base]])-2,0)*($G159-$H159)</f>
        <v>13141.700699999999</v>
      </c>
      <c r="J159" s="21">
        <f>VLOOKUP($A159,tabCustoUnit[],COLUMN(CUSTO_GLOBAL[[#Headers],[Adicional Periculosidade]])-2,0)*($G159-$H159)</f>
        <v>0</v>
      </c>
      <c r="K159" s="21">
        <f>VLOOKUP($A159,tabCustoUnit[],COLUMN(CUSTO_GLOBAL[[#Headers],[Adicional Insalubridade]])-2,0)*($G159-$H159)</f>
        <v>0</v>
      </c>
      <c r="L159" s="21">
        <f>VLOOKUP($A159,tabCustoUnit[],COLUMN(CUSTO_GLOBAL[[#Headers],[Adicional Noturno]])-2,0)*($G159-$H159)</f>
        <v>0</v>
      </c>
      <c r="M159" s="21">
        <f>VLOOKUP($A159,tabCustoUnit[],COLUMN(CUSTO_GLOBAL[[#Headers],[Adicional Motorista II (Gratificação)]])-2,0)*($G159-$H159)</f>
        <v>0</v>
      </c>
      <c r="N159" s="21">
        <f>VLOOKUP($A159,tabCustoUnit[],COLUMN(CUSTO_GLOBAL[[#Headers],[Adicional de Sobreaviso]])-2,0)*($G159-$H159)</f>
        <v>0</v>
      </c>
      <c r="O159" s="21">
        <f>VLOOKUP($A159,tabCustoUnit[],COLUMN(CUSTO_GLOBAL[[#Headers],[Horas Extras TI]])-2,0)*($G159-$H159)</f>
        <v>0</v>
      </c>
      <c r="P159" s="21">
        <f>VLOOKUP($A159,tabCustoUnit[],COLUMN(CUSTO_GLOBAL[[#Headers],[Adicional de Acúmulo de função]])-2,0)*($G159-$H159)</f>
        <v>0</v>
      </c>
      <c r="Q159" s="21">
        <f>VLOOKUP($A159,tabCustoUnit[],COLUMN(CUSTO_GLOBAL[[#Headers],[MODULO 1 - REMUNERAÇÃO ]])-2,0)*($G159-$H159)</f>
        <v>13141.700699999999</v>
      </c>
      <c r="R159" s="21">
        <f>VLOOKUP($A159,tabCustoUnit[],COLUMN(CUSTO_GLOBAL[[#Headers],[INSS]])-2,0)*($G159-$H159)</f>
        <v>2628.3401400000002</v>
      </c>
      <c r="S159" s="21">
        <f>VLOOKUP($A159,tabCustoUnit[],COLUMN(CUSTO_GLOBAL[[#Headers],[SESI OU SESC]])-2,0)*($G159-$H159)</f>
        <v>197.12551049999996</v>
      </c>
      <c r="T159" s="21">
        <f>VLOOKUP($A159,tabCustoUnit[],COLUMN(CUSTO_GLOBAL[[#Headers],[SENAI OU SENAC]])-2,0)*($G159-$H159)</f>
        <v>131.41700700000001</v>
      </c>
      <c r="U159" s="21">
        <f>VLOOKUP($A159,tabCustoUnit[],COLUMN(CUSTO_GLOBAL[[#Headers],[INCRA]])-2,0)*($G159-$H159)</f>
        <v>26.283401399999999</v>
      </c>
      <c r="V159" s="21">
        <f>VLOOKUP($A159,tabCustoUnit[],COLUMN(CUSTO_GLOBAL[[#Headers],[Salário Educação]])-2,0)*($G159-$H159)</f>
        <v>328.54251750000003</v>
      </c>
      <c r="W159" s="21">
        <f>VLOOKUP($A159,tabCustoUnit[],COLUMN(CUSTO_GLOBAL[[#Headers],[FGTS]])-2,0)*($G159-$H159)</f>
        <v>1051.3360560000001</v>
      </c>
      <c r="X159" s="21">
        <f>VLOOKUP($A159,tabCustoUnit[],COLUMN(CUSTO_GLOBAL[[#Headers],[RAT Ajustado]])-2,0)*($G159-$H159)</f>
        <v>525.66802800000005</v>
      </c>
      <c r="Y159" s="21">
        <f>VLOOKUP($A159,tabCustoUnit[],COLUMN(CUSTO_GLOBAL[[#Headers],[SEBRAE]])-2,0)*($G159-$H159)</f>
        <v>78.850204199999993</v>
      </c>
      <c r="Z159" s="21">
        <f>VLOOKUP($A159,tabCustoUnit[],COLUMN(CUSTO_GLOBAL[[#Headers],[Submódulo 2.1]])-2,0)*($G159-$H159)</f>
        <v>4967.5628646000005</v>
      </c>
      <c r="AA159" s="21">
        <f>VLOOKUP($A159,tabCustoUnit[],COLUMN(CUSTO_GLOBAL[[#Headers],[13º salário (titular)]])-2,0)*($G159-$H159)</f>
        <v>1095.141725</v>
      </c>
      <c r="AB159" s="21">
        <f>VLOOKUP($A159,tabCustoUnit[],COLUMN(CUSTO_GLOBAL[[#Headers],[Férias e Adicional de Férias (titular)]])-2,0)*($G159-$H159)</f>
        <v>1460.1889666666666</v>
      </c>
      <c r="AC159" s="21">
        <f>VLOOKUP($A159,tabCustoUnit[],COLUMN(CUSTO_GLOBAL[[#Headers],[Incidência do Submódulo 2.1 sobre 13º Salário, Férias e Adicional de Férias]])-2,0)*($G159-$H159)</f>
        <v>965.91500145000009</v>
      </c>
      <c r="AD159" s="21">
        <f>VLOOKUP($A159,tabCustoUnit[],COLUMN(CUSTO_GLOBAL[[#Headers],[Submódulo 2.2]])-2,0)*($G159-$H159)</f>
        <v>3521.2456931166662</v>
      </c>
      <c r="AE159" s="22" t="e">
        <f ca="1">VLOOKUP($A159,tabCustoUnit[],COLUMN(CUSTO_GLOBAL[[#Headers],[Vale - Transporte (Descontada parcela do empregado)]])-2,0)*($G159-$H159)</f>
        <v>#NAME?</v>
      </c>
      <c r="AF159" s="22">
        <f>VLOOKUP($A159,tabCustoUnit[],COLUMN(CUSTO_GLOBAL[[#Headers],[Vale - Alimentação (Descontada parcela do empregado)]])-2,0)*($G159-$H159)</f>
        <v>1735.1999999999998</v>
      </c>
      <c r="AG159" s="22">
        <f>VLOOKUP($A159,tabCustoUnit[],COLUMN(CUSTO_GLOBAL[[#Headers],[Cesta Básica]])-2,0)*($G159-$H159)</f>
        <v>0</v>
      </c>
      <c r="AH159" s="22">
        <f>VLOOKUP($A159,tabCustoUnit[],COLUMN(CUSTO_GLOBAL[[#Headers],[PAF]])-2,0)*($G159-$H159)</f>
        <v>0</v>
      </c>
      <c r="AI159" s="22">
        <f>VLOOKUP($A159,tabCustoUnit[],COLUMN(CUSTO_GLOBAL[[#Headers],[PQM]])-2,0)*($G159-$H159)</f>
        <v>0</v>
      </c>
      <c r="AJ159" s="22">
        <v>0</v>
      </c>
      <c r="AK159" s="22">
        <f>VLOOKUP($A159,tabCustoUnit[],COLUMN(CUSTO_GLOBAL[[#Headers],[Seguro de Vida]])-2,0)*($G159-$H159)</f>
        <v>10.08</v>
      </c>
      <c r="AL159" s="22">
        <f>VLOOKUP($A159,tabCustoUnit[],COLUMN(CUSTO_GLOBAL[[#Headers],[Despesas de Viagem]])-2,0)*($G159-$H159)</f>
        <v>1987.2599999999998</v>
      </c>
      <c r="AM159" s="22" t="e">
        <f ca="1">VLOOKUP($A159,tabCustoUnit[],COLUMN(CUSTO_GLOBAL[[#Headers],[Submódulo 2.3]])-2,0)*($G159-$H159)</f>
        <v>#NAME?</v>
      </c>
      <c r="AN159" s="22" t="e">
        <f ca="1">VLOOKUP($A159,tabCustoUnit[],COLUMN(CUSTO_GLOBAL[[#Headers],[MÓDULO 2 - Total Encargos e Benefícios mensais e diários]])-2,0)*($G159-$H159)</f>
        <v>#NAME?</v>
      </c>
      <c r="AO159" s="22">
        <f>VLOOKUP($A159,tabCustoUnit[],COLUMN(CUSTO_GLOBAL[[#Headers],[Aviso Prévio Indenizado (API) e Reflexo do Aviso Prévio Indenizado]])-2,0)*($G159-$H159)</f>
        <v>92.146542967650461</v>
      </c>
      <c r="AP159" s="22">
        <f>VLOOKUP($A159,tabCustoUnit[],COLUMN(CUSTO_GLOBAL[[#Headers],[Incidência do FGTS sobre API e Reflexo do API]])-2,0)*($G159-$H159)</f>
        <v>7.3717234374120384</v>
      </c>
      <c r="AQ159" s="22">
        <f>VLOOKUP($A159,tabCustoUnit[],COLUMN(CUSTO_GLOBAL[[#Headers],[Multa Rescisória do FGTS sobre o Aviso Prévio Indenizado]])-2,0)*($G159-$H159)</f>
        <v>2.9486893749648155</v>
      </c>
      <c r="AR159" s="22">
        <f>VLOOKUP($A159,tabCustoUnit[],COLUMN(CUSTO_GLOBAL[[#Headers],[Aviso Prévio Trabalhado - APT]])-2,0)*($G159-$H159)</f>
        <v>45.995952450000004</v>
      </c>
      <c r="AS159" s="22">
        <f>VLOOKUP($A159,tabCustoUnit[],COLUMN(CUSTO_GLOBAL[[#Headers],[Incidência dos encargos do submódulo 2.1 sobre Aviso Prévio Trabalhado]])-2,0)*($G159-$H159)</f>
        <v>17.386470026100007</v>
      </c>
      <c r="AT159" s="22">
        <f>VLOOKUP($A159,tabCustoUnit[],COLUMN(CUSTO_GLOBAL[[#Headers],[Multa Rescisória do FGTS]])-2,0)*($G159-$H159)</f>
        <v>401.84400362666656</v>
      </c>
      <c r="AU159" s="22">
        <f>VLOOKUP($A159,tabCustoUnit[],COLUMN(CUSTO_GLOBAL[[#Headers],[Indenização Adicional (Art. 9º da Lei nº 7.238/84)]])-2,0)*($G159-$H159)</f>
        <v>10.95141725</v>
      </c>
      <c r="AV159" s="22">
        <f>VLOOKUP($A159,tabCustoUnit[],COLUMN(CUSTO_GLOBAL[[#Headers],[MÓDULO 3 – PROVISÃO PARA RESCISÃO]])-2,0)*($G159-$H159)</f>
        <v>578.64479913279388</v>
      </c>
      <c r="AW159" s="22">
        <f>VLOOKUP($A159,tabCustoUnit[],COLUMN(CUSTO_GLOBAL[[#Headers],[Ausência por Doença]])-2,0)*($G159-$H159)</f>
        <v>110.97436146666666</v>
      </c>
      <c r="AX159" s="22">
        <f>VLOOKUP($A159,tabCustoUnit[],COLUMN(CUSTO_GLOBAL[[#Headers],[Ausências Legais]])-2,0)*($G159-$H159)</f>
        <v>26.648448641666661</v>
      </c>
      <c r="AY159" s="22">
        <f>VLOOKUP($A159,tabCustoUnit[],COLUMN(CUSTO_GLOBAL[[#Headers],[Licença Paternidade]])-2,0)*($G159-$H159)</f>
        <v>2.2450405362499999</v>
      </c>
      <c r="AZ159" s="22">
        <f>VLOOKUP($A159,tabCustoUnit[],COLUMN(CUSTO_GLOBAL[[#Headers],[Ausência por Acidente de Trabalho]])-2,0)*($G159-$H159)</f>
        <v>2.7378543125000001</v>
      </c>
      <c r="BA159" s="22">
        <f>VLOOKUP($A159,tabCustoUnit[],COLUMN(CUSTO_GLOBAL[[#Headers],[Férias, Adicional de Férias e 13º  com empregada em gozo de Licença Maternidade]])-2,0)*($G159-$H159)</f>
        <v>17.035537944444442</v>
      </c>
      <c r="BB159" s="22">
        <f>VLOOKUP($A159,tabCustoUnit[],COLUMN(CUSTO_GLOBAL[[#Headers],[Incidência do Submódulo 2.1 sobre Ausências Legais]])-2,0)*($G159-$H159)</f>
        <v>60.344389816777507</v>
      </c>
      <c r="BC159" s="22">
        <f>VLOOKUP($A159,tabCustoUnit[],COLUMN(CUSTO_GLOBAL[[#Headers],[Submódulo 4.1]])-2,0)*($G159-$H159)</f>
        <v>219.98563271830531</v>
      </c>
      <c r="BD159" s="22">
        <f>VLOOKUP($A159,tabCustoUnit[],COLUMN(CUSTO_GLOBAL[[#Headers],[Intervalo para Repouso ou Alimentação]])-2,0)*($G159-$H159)</f>
        <v>0</v>
      </c>
      <c r="BE159" s="22">
        <f>VLOOKUP($A159,tabCustoUnit[],COLUMN(CUSTO_GLOBAL[[#Headers],[Submódulo 4.2]])-2,0)*($G159-$H159)</f>
        <v>0</v>
      </c>
      <c r="BF159" s="22">
        <f>VLOOKUP($A159,tabCustoUnit[],COLUMN(CUSTO_GLOBAL[[#Headers],[Suspensão Temporária do Contrato de Trabalho]])-2,0)*($G159-$H159)</f>
        <v>0</v>
      </c>
      <c r="BG159" s="22">
        <f>VLOOKUP($A159,tabCustoUnit[],COLUMN(CUSTO_GLOBAL[[#Headers],[Submódulo 4.3]])-2,0)*($G159-$H159)</f>
        <v>0</v>
      </c>
      <c r="BH159" s="22">
        <f>VLOOKUP($A159,tabCustoUnit[],COLUMN(CUSTO_GLOBAL[[#Headers],[MÓDULO 4 – CUSTO DE REPOSIÇÃO DO PROFISSIONAL AUSENTE]])-2,0)*($G159-$H159)</f>
        <v>219.98563271830531</v>
      </c>
      <c r="BI159" s="22">
        <f>VLOOKUP($A159,tabCustoUnit[],COLUMN(CUSTO_GLOBAL[[#Headers],[Uniformes e EPIs]])-2,0)*($G159-$H159)</f>
        <v>276.30229131471208</v>
      </c>
      <c r="BJ159" s="22">
        <f>VLOOKUP($A159,tabCustoUnit[],COLUMN(CUSTO_GLOBAL[[#Headers],[Materiais de Consumo]])-2,0)*($G159-$H159)</f>
        <v>0</v>
      </c>
      <c r="BK159" s="22">
        <f>VLOOKUP($A159,tabCustoUnit[],COLUMN(CUSTO_GLOBAL[[#Headers],[Máquinas e Equipamentos (depreciação)]])-2,0)*($G159-$H159)</f>
        <v>0</v>
      </c>
      <c r="BL159" s="22">
        <f>VLOOKUP($A159,tabCustoUnit[],COLUMN(CUSTO_GLOBAL[[#Headers],[Produtos de Limpeza e Materiais de Higiene Pessoal]])-2,0)*($G159-$H159)</f>
        <v>0</v>
      </c>
      <c r="BM159" s="22">
        <f>VLOOKUP($A159,tabCustoUnit[],COLUMN(CUSTO_GLOBAL[[#Headers],[Outros (especificar)]])-2,0)*($G159-$H159)</f>
        <v>0</v>
      </c>
      <c r="BN159" s="22">
        <f>VLOOKUP($A159,tabCustoUnit[],COLUMN(CUSTO_GLOBAL[[#Headers],[MÓDULO 5 – INSUMOS DIVERSOS]])-2,0)*($G159-$H159)</f>
        <v>276.30229131471208</v>
      </c>
      <c r="BO159" s="22" t="e">
        <f ca="1">VLOOKUP($A159,tabCustoUnit[],COLUMN(CUSTO_GLOBAL[[#Headers],[TOTAL MÓDULOS 1+2+3+4+5]])-2,0)*($G159-$H159)</f>
        <v>#NAME?</v>
      </c>
      <c r="BP159" s="22" t="e">
        <f ca="1">VLOOKUP($A159,tabCustoUnit[],COLUMN(CUSTO_GLOBAL[[#Headers],[Custos Indiretos]])-2,0)*($G159-$H159)</f>
        <v>#NAME?</v>
      </c>
      <c r="BQ159" s="22" t="e">
        <f ca="1">VLOOKUP($A159,tabCustoUnit[],COLUMN(CUSTO_GLOBAL[[#Headers],[Lucro]])-2,0)*($G159-$H159)</f>
        <v>#NAME?</v>
      </c>
      <c r="BR159" s="26">
        <f>VLOOKUP($A159,tabCustoUnit[],COLUMN(CUSTO_GLOBAL[[#Headers],[COFINS]])-2,0)</f>
        <v>8.8629737609329504E-2</v>
      </c>
      <c r="BS159" s="26">
        <f>VLOOKUP($A159,tabCustoUnit[],COLUMN(CUSTO_GLOBAL[[#Headers],[PIS]])-2,0)</f>
        <v>1.9241982507288629E-2</v>
      </c>
      <c r="BT159" s="28">
        <f>VLOOKUP($A159,tabCustoUnit[],COLUMN(CUSTO_GLOBAL[[#Headers],[ISS]])-2,0)</f>
        <v>0.05</v>
      </c>
      <c r="BU159" s="26">
        <f>VLOOKUP($A159,tabCustoUnit[],COLUMN(CUSTO_GLOBAL[[#Headers],[ISS (Conversão Alíquota s/ fatura)]])-2,0)</f>
        <v>5.8309037900874633E-2</v>
      </c>
      <c r="BV159" s="26">
        <f>VLOOKUP($A159,tabCustoUnit[],COLUMN(CUSTO_GLOBAL[[#Headers],[Resumo de Alíquotas (PIS+CONFINS+ISS)]])-2,0)</f>
        <v>0.14250000000000002</v>
      </c>
      <c r="BW159" s="138">
        <f>VLOOKUP($A159,tabCustoUnit[],COLUMN(CUSTO_GLOBAL[[#Headers],[PIS + COFINS + ISS (Total Conversão  Alíquota s/ Fatura)]])-2,0)</f>
        <v>0.16618075801749277</v>
      </c>
      <c r="BX159" s="22" t="e">
        <f ca="1">VLOOKUP($A159,tabCustoUnit[],COLUMN(CUSTO_GLOBAL[[#Headers],[Valor dos Tributos (ISS, PIS, CONFINS)]])-2,0)*($G159-$H159)</f>
        <v>#NAME?</v>
      </c>
      <c r="BY159" s="22" t="e">
        <f ca="1">VLOOKUP($A159,tabCustoUnit[],COLUMN(CUSTO_GLOBAL[[#Headers],[MÓDULO 6 – CUSTOS INDIRETOS, TRIBUTOS E LUCRO]])-2,0)*($G159-$H159)</f>
        <v>#NAME?</v>
      </c>
      <c r="BZ159" s="22" t="e">
        <f ca="1">VLOOKUP($A159,tabCustoUnit[],COLUMN(CUSTO_GLOBAL[[#Headers],[CUSTO TOTAL MENSAL]])-2,0)*($G159-$H159)</f>
        <v>#NAME?</v>
      </c>
      <c r="CA159" s="22" t="e">
        <f ca="1">CUSTO_GLOBAL[[#This Row],[CUSTO TOTAL MENSAL]]*12</f>
        <v>#NAME?</v>
      </c>
      <c r="CB159" s="24">
        <f>VLOOKUP($A159,tabCustoUnit[],COLUMN(CUSTO_GLOBAL[[#Headers],[ANO DA CCT]])-2,0)</f>
        <v>45658</v>
      </c>
      <c r="CC159" s="25" t="str">
        <f>VLOOKUP($A159,tabCustoUnit[],COLUMN(CUSTO_GLOBAL[[#Headers],[Nº DE PEDIDO DA CCT]])-2,0)</f>
        <v>-</v>
      </c>
      <c r="CD159" s="25" t="str">
        <f>VLOOKUP($A159,tabCustoUnit[],COLUMN(CUSTO_GLOBAL[[#Headers],[TERMO ADITIVO ALTERAÇÃO DA CCT]])-2,0)</f>
        <v>-</v>
      </c>
    </row>
    <row r="160" spans="1:82">
      <c r="A160" s="20" t="s">
        <v>1475</v>
      </c>
      <c r="B160" t="s">
        <v>1141</v>
      </c>
      <c r="C160" t="s">
        <v>314</v>
      </c>
      <c r="D160" t="s">
        <v>928</v>
      </c>
      <c r="E160" s="20" t="s">
        <v>1090</v>
      </c>
      <c r="F160" s="20" t="s">
        <v>120</v>
      </c>
      <c r="G160" s="20">
        <v>3</v>
      </c>
      <c r="H160" s="20">
        <v>0</v>
      </c>
      <c r="I160" s="21">
        <f>VLOOKUP($A160,tabCustoUnit[],COLUMN(CUSTO_GLOBAL[[#Headers],[Salário Base]])-2,0)*($G160-$H160)</f>
        <v>6404.4125999999997</v>
      </c>
      <c r="J160" s="21">
        <f>VLOOKUP($A160,tabCustoUnit[],COLUMN(CUSTO_GLOBAL[[#Headers],[Adicional Periculosidade]])-2,0)*($G160-$H160)</f>
        <v>0</v>
      </c>
      <c r="K160" s="21">
        <f>VLOOKUP($A160,tabCustoUnit[],COLUMN(CUSTO_GLOBAL[[#Headers],[Adicional Insalubridade]])-2,0)*($G160-$H160)</f>
        <v>0</v>
      </c>
      <c r="L160" s="21">
        <f>VLOOKUP($A160,tabCustoUnit[],COLUMN(CUSTO_GLOBAL[[#Headers],[Adicional Noturno]])-2,0)*($G160-$H160)</f>
        <v>0</v>
      </c>
      <c r="M160" s="21">
        <f>VLOOKUP($A160,tabCustoUnit[],COLUMN(CUSTO_GLOBAL[[#Headers],[Adicional Motorista II (Gratificação)]])-2,0)*($G160-$H160)</f>
        <v>0</v>
      </c>
      <c r="N160" s="21">
        <f>VLOOKUP($A160,tabCustoUnit[],COLUMN(CUSTO_GLOBAL[[#Headers],[Adicional de Sobreaviso]])-2,0)*($G160-$H160)</f>
        <v>0</v>
      </c>
      <c r="O160" s="21">
        <f>VLOOKUP($A160,tabCustoUnit[],COLUMN(CUSTO_GLOBAL[[#Headers],[Horas Extras TI]])-2,0)*($G160-$H160)</f>
        <v>0</v>
      </c>
      <c r="P160" s="21">
        <f>VLOOKUP($A160,tabCustoUnit[],COLUMN(CUSTO_GLOBAL[[#Headers],[Adicional de Acúmulo de função]])-2,0)*($G160-$H160)</f>
        <v>0</v>
      </c>
      <c r="Q160" s="21">
        <f>VLOOKUP($A160,tabCustoUnit[],COLUMN(CUSTO_GLOBAL[[#Headers],[MODULO 1 - REMUNERAÇÃO ]])-2,0)*($G160-$H160)</f>
        <v>6404.4125999999997</v>
      </c>
      <c r="R160" s="21">
        <f>VLOOKUP($A160,tabCustoUnit[],COLUMN(CUSTO_GLOBAL[[#Headers],[INSS]])-2,0)*($G160-$H160)</f>
        <v>1280.8825200000001</v>
      </c>
      <c r="S160" s="21">
        <f>VLOOKUP($A160,tabCustoUnit[],COLUMN(CUSTO_GLOBAL[[#Headers],[SESI OU SESC]])-2,0)*($G160-$H160)</f>
        <v>96.066189000000008</v>
      </c>
      <c r="T160" s="21">
        <f>VLOOKUP($A160,tabCustoUnit[],COLUMN(CUSTO_GLOBAL[[#Headers],[SENAI OU SENAC]])-2,0)*($G160-$H160)</f>
        <v>64.044126000000006</v>
      </c>
      <c r="U160" s="21">
        <f>VLOOKUP($A160,tabCustoUnit[],COLUMN(CUSTO_GLOBAL[[#Headers],[INCRA]])-2,0)*($G160-$H160)</f>
        <v>12.808825200000001</v>
      </c>
      <c r="V160" s="21">
        <f>VLOOKUP($A160,tabCustoUnit[],COLUMN(CUSTO_GLOBAL[[#Headers],[Salário Educação]])-2,0)*($G160-$H160)</f>
        <v>160.11031500000001</v>
      </c>
      <c r="W160" s="21">
        <f>VLOOKUP($A160,tabCustoUnit[],COLUMN(CUSTO_GLOBAL[[#Headers],[FGTS]])-2,0)*($G160-$H160)</f>
        <v>512.35300800000005</v>
      </c>
      <c r="X160" s="21">
        <f>VLOOKUP($A160,tabCustoUnit[],COLUMN(CUSTO_GLOBAL[[#Headers],[RAT Ajustado]])-2,0)*($G160-$H160)</f>
        <v>256.17650400000002</v>
      </c>
      <c r="Y160" s="21">
        <f>VLOOKUP($A160,tabCustoUnit[],COLUMN(CUSTO_GLOBAL[[#Headers],[SEBRAE]])-2,0)*($G160-$H160)</f>
        <v>38.426475600000003</v>
      </c>
      <c r="Z160" s="21">
        <f>VLOOKUP($A160,tabCustoUnit[],COLUMN(CUSTO_GLOBAL[[#Headers],[Submódulo 2.1]])-2,0)*($G160-$H160)</f>
        <v>2420.8679628</v>
      </c>
      <c r="AA160" s="21">
        <f>VLOOKUP($A160,tabCustoUnit[],COLUMN(CUSTO_GLOBAL[[#Headers],[13º salário (titular)]])-2,0)*($G160-$H160)</f>
        <v>533.70105000000001</v>
      </c>
      <c r="AB160" s="21">
        <f>VLOOKUP($A160,tabCustoUnit[],COLUMN(CUSTO_GLOBAL[[#Headers],[Férias e Adicional de Férias (titular)]])-2,0)*($G160-$H160)</f>
        <v>711.60140000000001</v>
      </c>
      <c r="AC160" s="21">
        <f>VLOOKUP($A160,tabCustoUnit[],COLUMN(CUSTO_GLOBAL[[#Headers],[Incidência do Submódulo 2.1 sobre 13º Salário, Férias e Adicional de Férias]])-2,0)*($G160-$H160)</f>
        <v>470.72432609999998</v>
      </c>
      <c r="AD160" s="21">
        <f>VLOOKUP($A160,tabCustoUnit[],COLUMN(CUSTO_GLOBAL[[#Headers],[Submódulo 2.2]])-2,0)*($G160-$H160)</f>
        <v>1716.0267761</v>
      </c>
      <c r="AE160" s="22" t="e">
        <f ca="1">VLOOKUP($A160,tabCustoUnit[],COLUMN(CUSTO_GLOBAL[[#Headers],[Vale - Transporte (Descontada parcela do empregado)]])-2,0)*($G160-$H160)</f>
        <v>#NAME?</v>
      </c>
      <c r="AF160" s="22">
        <f>VLOOKUP($A160,tabCustoUnit[],COLUMN(CUSTO_GLOBAL[[#Headers],[Vale - Alimentação (Descontada parcela do empregado)]])-2,0)*($G160-$H160)</f>
        <v>1746</v>
      </c>
      <c r="AG160" s="22">
        <f>VLOOKUP($A160,tabCustoUnit[],COLUMN(CUSTO_GLOBAL[[#Headers],[Cesta Básica]])-2,0)*($G160-$H160)</f>
        <v>0</v>
      </c>
      <c r="AH160" s="22">
        <f>VLOOKUP($A160,tabCustoUnit[],COLUMN(CUSTO_GLOBAL[[#Headers],[PAF]])-2,0)*($G160-$H160)</f>
        <v>155.64000000000001</v>
      </c>
      <c r="AI160" s="22">
        <f>VLOOKUP($A160,tabCustoUnit[],COLUMN(CUSTO_GLOBAL[[#Headers],[PQM]])-2,0)*($G160-$H160)</f>
        <v>0</v>
      </c>
      <c r="AJ160" s="22">
        <v>0</v>
      </c>
      <c r="AK160" s="22">
        <f>VLOOKUP($A160,tabCustoUnit[],COLUMN(CUSTO_GLOBAL[[#Headers],[Seguro de Vida]])-2,0)*($G160-$H160)</f>
        <v>10.08</v>
      </c>
      <c r="AL160" s="22">
        <f>VLOOKUP($A160,tabCustoUnit[],COLUMN(CUSTO_GLOBAL[[#Headers],[Despesas de Viagem]])-2,0)*($G160-$H160)</f>
        <v>0</v>
      </c>
      <c r="AM160" s="22" t="e">
        <f ca="1">VLOOKUP($A160,tabCustoUnit[],COLUMN(CUSTO_GLOBAL[[#Headers],[Submódulo 2.3]])-2,0)*($G160-$H160)</f>
        <v>#NAME?</v>
      </c>
      <c r="AN160" s="22" t="e">
        <f ca="1">VLOOKUP($A160,tabCustoUnit[],COLUMN(CUSTO_GLOBAL[[#Headers],[MÓDULO 2 - Total Encargos e Benefícios mensais e diários]])-2,0)*($G160-$H160)</f>
        <v>#NAME?</v>
      </c>
      <c r="AO160" s="22">
        <f>VLOOKUP($A160,tabCustoUnit[],COLUMN(CUSTO_GLOBAL[[#Headers],[Aviso Prévio Indenizado (API) e Reflexo do Aviso Prévio Indenizado]])-2,0)*($G160-$H160)</f>
        <v>44.906248764930552</v>
      </c>
      <c r="AP160" s="22">
        <f>VLOOKUP($A160,tabCustoUnit[],COLUMN(CUSTO_GLOBAL[[#Headers],[Incidência do FGTS sobre API e Reflexo do API]])-2,0)*($G160-$H160)</f>
        <v>3.592499901194445</v>
      </c>
      <c r="AQ160" s="22">
        <f>VLOOKUP($A160,tabCustoUnit[],COLUMN(CUSTO_GLOBAL[[#Headers],[Multa Rescisória do FGTS sobre o Aviso Prévio Indenizado]])-2,0)*($G160-$H160)</f>
        <v>1.4369999604777781</v>
      </c>
      <c r="AR160" s="22">
        <f>VLOOKUP($A160,tabCustoUnit[],COLUMN(CUSTO_GLOBAL[[#Headers],[Aviso Prévio Trabalhado - APT]])-2,0)*($G160-$H160)</f>
        <v>22.415444100000002</v>
      </c>
      <c r="AS160" s="22">
        <f>VLOOKUP($A160,tabCustoUnit[],COLUMN(CUSTO_GLOBAL[[#Headers],[Incidência dos encargos do submódulo 2.1 sobre Aviso Prévio Trabalhado]])-2,0)*($G160-$H160)</f>
        <v>8.4730378698000024</v>
      </c>
      <c r="AT160" s="22">
        <f>VLOOKUP($A160,tabCustoUnit[],COLUMN(CUSTO_GLOBAL[[#Headers],[Multa Rescisória do FGTS]])-2,0)*($G160-$H160)</f>
        <v>195.83270527999997</v>
      </c>
      <c r="AU160" s="22">
        <f>VLOOKUP($A160,tabCustoUnit[],COLUMN(CUSTO_GLOBAL[[#Headers],[Indenização Adicional (Art. 9º da Lei nº 7.238/84)]])-2,0)*($G160-$H160)</f>
        <v>5.3370105000000008</v>
      </c>
      <c r="AV160" s="22">
        <f>VLOOKUP($A160,tabCustoUnit[],COLUMN(CUSTO_GLOBAL[[#Headers],[MÓDULO 3 – PROVISÃO PARA RESCISÃO]])-2,0)*($G160-$H160)</f>
        <v>281.99394637640273</v>
      </c>
      <c r="AW160" s="22">
        <f>VLOOKUP($A160,tabCustoUnit[],COLUMN(CUSTO_GLOBAL[[#Headers],[Ausência por Doença]])-2,0)*($G160-$H160)</f>
        <v>54.081706399999987</v>
      </c>
      <c r="AX160" s="22">
        <f>VLOOKUP($A160,tabCustoUnit[],COLUMN(CUSTO_GLOBAL[[#Headers],[Ausências Legais]])-2,0)*($G160-$H160)</f>
        <v>12.986725549999999</v>
      </c>
      <c r="AY160" s="22">
        <f>VLOOKUP($A160,tabCustoUnit[],COLUMN(CUSTO_GLOBAL[[#Headers],[Licença Paternidade]])-2,0)*($G160-$H160)</f>
        <v>1.0940871525</v>
      </c>
      <c r="AZ160" s="22">
        <f>VLOOKUP($A160,tabCustoUnit[],COLUMN(CUSTO_GLOBAL[[#Headers],[Ausência por Acidente de Trabalho]])-2,0)*($G160-$H160)</f>
        <v>1.3342526250000002</v>
      </c>
      <c r="BA160" s="22">
        <f>VLOOKUP($A160,tabCustoUnit[],COLUMN(CUSTO_GLOBAL[[#Headers],[Férias, Adicional de Férias e 13º  com empregada em gozo de Licença Maternidade]])-2,0)*($G160-$H160)</f>
        <v>8.3020163333333343</v>
      </c>
      <c r="BB160" s="22">
        <f>VLOOKUP($A160,tabCustoUnit[],COLUMN(CUSTO_GLOBAL[[#Headers],[Incidência do Submódulo 2.1 sobre Ausências Legais]])-2,0)*($G160-$H160)</f>
        <v>29.407941886995005</v>
      </c>
      <c r="BC160" s="22">
        <f>VLOOKUP($A160,tabCustoUnit[],COLUMN(CUSTO_GLOBAL[[#Headers],[Submódulo 4.1]])-2,0)*($G160-$H160)</f>
        <v>107.20672994782831</v>
      </c>
      <c r="BD160" s="22">
        <f>VLOOKUP($A160,tabCustoUnit[],COLUMN(CUSTO_GLOBAL[[#Headers],[Intervalo para Repouso ou Alimentação]])-2,0)*($G160-$H160)</f>
        <v>873.32897517271113</v>
      </c>
      <c r="BE160" s="22">
        <f>VLOOKUP($A160,tabCustoUnit[],COLUMN(CUSTO_GLOBAL[[#Headers],[Submódulo 4.2]])-2,0)*($G160-$H160)</f>
        <v>873.32897517271113</v>
      </c>
      <c r="BF160" s="22">
        <f>VLOOKUP($A160,tabCustoUnit[],COLUMN(CUSTO_GLOBAL[[#Headers],[Suspensão Temporária do Contrato de Trabalho]])-2,0)*($G160-$H160)</f>
        <v>0</v>
      </c>
      <c r="BG160" s="22">
        <f>VLOOKUP($A160,tabCustoUnit[],COLUMN(CUSTO_GLOBAL[[#Headers],[Submódulo 4.3]])-2,0)*($G160-$H160)</f>
        <v>0</v>
      </c>
      <c r="BH160" s="22">
        <f>VLOOKUP($A160,tabCustoUnit[],COLUMN(CUSTO_GLOBAL[[#Headers],[MÓDULO 4 – CUSTO DE REPOSIÇÃO DO PROFISSIONAL AUSENTE]])-2,0)*($G160-$H160)</f>
        <v>980.53570512053932</v>
      </c>
      <c r="BI160" s="22">
        <f>VLOOKUP($A160,tabCustoUnit[],COLUMN(CUSTO_GLOBAL[[#Headers],[Uniformes e EPIs]])-2,0)*($G160-$H160)</f>
        <v>169.92893688763019</v>
      </c>
      <c r="BJ160" s="22">
        <f>VLOOKUP($A160,tabCustoUnit[],COLUMN(CUSTO_GLOBAL[[#Headers],[Materiais de Consumo]])-2,0)*($G160-$H160)</f>
        <v>0</v>
      </c>
      <c r="BK160" s="22">
        <f>VLOOKUP($A160,tabCustoUnit[],COLUMN(CUSTO_GLOBAL[[#Headers],[Máquinas e Equipamentos (depreciação)]])-2,0)*($G160-$H160)</f>
        <v>0</v>
      </c>
      <c r="BL160" s="22">
        <f>VLOOKUP($A160,tabCustoUnit[],COLUMN(CUSTO_GLOBAL[[#Headers],[Produtos de Limpeza e Materiais de Higiene Pessoal]])-2,0)*($G160-$H160)</f>
        <v>0</v>
      </c>
      <c r="BM160" s="22">
        <f>VLOOKUP($A160,tabCustoUnit[],COLUMN(CUSTO_GLOBAL[[#Headers],[Outros (especificar)]])-2,0)*($G160-$H160)</f>
        <v>0</v>
      </c>
      <c r="BN160" s="22">
        <f>VLOOKUP($A160,tabCustoUnit[],COLUMN(CUSTO_GLOBAL[[#Headers],[MÓDULO 5 – INSUMOS DIVERSOS]])-2,0)*($G160-$H160)</f>
        <v>169.92893688763019</v>
      </c>
      <c r="BO160" s="22" t="e">
        <f ca="1">VLOOKUP($A160,tabCustoUnit[],COLUMN(CUSTO_GLOBAL[[#Headers],[TOTAL MÓDULOS 1+2+3+4+5]])-2,0)*($G160-$H160)</f>
        <v>#NAME?</v>
      </c>
      <c r="BP160" s="22" t="e">
        <f ca="1">VLOOKUP($A160,tabCustoUnit[],COLUMN(CUSTO_GLOBAL[[#Headers],[Custos Indiretos]])-2,0)*($G160-$H160)</f>
        <v>#NAME?</v>
      </c>
      <c r="BQ160" s="22" t="e">
        <f ca="1">VLOOKUP($A160,tabCustoUnit[],COLUMN(CUSTO_GLOBAL[[#Headers],[Lucro]])-2,0)*($G160-$H160)</f>
        <v>#NAME?</v>
      </c>
      <c r="BR160" s="26">
        <f>VLOOKUP($A160,tabCustoUnit[],COLUMN(CUSTO_GLOBAL[[#Headers],[COFINS]])-2,0)</f>
        <v>8.8629737609329504E-2</v>
      </c>
      <c r="BS160" s="26">
        <f>VLOOKUP($A160,tabCustoUnit[],COLUMN(CUSTO_GLOBAL[[#Headers],[PIS]])-2,0)</f>
        <v>1.9241982507288629E-2</v>
      </c>
      <c r="BT160" s="28">
        <f>VLOOKUP($A160,tabCustoUnit[],COLUMN(CUSTO_GLOBAL[[#Headers],[ISS]])-2,0)</f>
        <v>0.05</v>
      </c>
      <c r="BU160" s="26">
        <f>VLOOKUP($A160,tabCustoUnit[],COLUMN(CUSTO_GLOBAL[[#Headers],[ISS (Conversão Alíquota s/ fatura)]])-2,0)</f>
        <v>5.8309037900874633E-2</v>
      </c>
      <c r="BV160" s="26">
        <f>VLOOKUP($A160,tabCustoUnit[],COLUMN(CUSTO_GLOBAL[[#Headers],[Resumo de Alíquotas (PIS+CONFINS+ISS)]])-2,0)</f>
        <v>0.14250000000000002</v>
      </c>
      <c r="BW160" s="138">
        <f>VLOOKUP($A160,tabCustoUnit[],COLUMN(CUSTO_GLOBAL[[#Headers],[PIS + COFINS + ISS (Total Conversão  Alíquota s/ Fatura)]])-2,0)</f>
        <v>0.16618075801749277</v>
      </c>
      <c r="BX160" s="22" t="e">
        <f ca="1">VLOOKUP($A160,tabCustoUnit[],COLUMN(CUSTO_GLOBAL[[#Headers],[Valor dos Tributos (ISS, PIS, CONFINS)]])-2,0)*($G160-$H160)</f>
        <v>#NAME?</v>
      </c>
      <c r="BY160" s="22" t="e">
        <f ca="1">VLOOKUP($A160,tabCustoUnit[],COLUMN(CUSTO_GLOBAL[[#Headers],[MÓDULO 6 – CUSTOS INDIRETOS, TRIBUTOS E LUCRO]])-2,0)*($G160-$H160)</f>
        <v>#NAME?</v>
      </c>
      <c r="BZ160" s="22" t="e">
        <f ca="1">VLOOKUP($A160,tabCustoUnit[],COLUMN(CUSTO_GLOBAL[[#Headers],[CUSTO TOTAL MENSAL]])-2,0)*($G160-$H160)</f>
        <v>#NAME?</v>
      </c>
      <c r="CA160" s="22" t="e">
        <f ca="1">CUSTO_GLOBAL[[#This Row],[CUSTO TOTAL MENSAL]]*12</f>
        <v>#NAME?</v>
      </c>
      <c r="CB160" s="24">
        <f>VLOOKUP($A160,tabCustoUnit[],COLUMN(CUSTO_GLOBAL[[#Headers],[ANO DA CCT]])-2,0)</f>
        <v>45658</v>
      </c>
      <c r="CC160" s="25" t="str">
        <f>VLOOKUP($A160,tabCustoUnit[],COLUMN(CUSTO_GLOBAL[[#Headers],[Nº DE PEDIDO DA CCT]])-2,0)</f>
        <v>-</v>
      </c>
      <c r="CD160" s="25" t="str">
        <f>VLOOKUP($A160,tabCustoUnit[],COLUMN(CUSTO_GLOBAL[[#Headers],[TERMO ADITIVO ALTERAÇÃO DA CCT]])-2,0)</f>
        <v>-</v>
      </c>
    </row>
    <row r="161" spans="1:82">
      <c r="A161" s="20" t="s">
        <v>1611</v>
      </c>
      <c r="B161" t="s">
        <v>1141</v>
      </c>
      <c r="C161" t="s">
        <v>324</v>
      </c>
      <c r="D161" t="s">
        <v>928</v>
      </c>
      <c r="E161" s="20" t="s">
        <v>1090</v>
      </c>
      <c r="F161" s="20" t="s">
        <v>120</v>
      </c>
      <c r="G161" s="20">
        <v>1</v>
      </c>
      <c r="H161" s="20">
        <v>0</v>
      </c>
      <c r="I161" s="21">
        <f>VLOOKUP($A161,tabCustoUnit[],COLUMN(CUSTO_GLOBAL[[#Headers],[Salário Base]])-2,0)*($G161-$H161)</f>
        <v>3397.1305000000002</v>
      </c>
      <c r="J161" s="21">
        <f>VLOOKUP($A161,tabCustoUnit[],COLUMN(CUSTO_GLOBAL[[#Headers],[Adicional Periculosidade]])-2,0)*($G161-$H161)</f>
        <v>0</v>
      </c>
      <c r="K161" s="21">
        <f>VLOOKUP($A161,tabCustoUnit[],COLUMN(CUSTO_GLOBAL[[#Headers],[Adicional Insalubridade]])-2,0)*($G161-$H161)</f>
        <v>0</v>
      </c>
      <c r="L161" s="21">
        <f>VLOOKUP($A161,tabCustoUnit[],COLUMN(CUSTO_GLOBAL[[#Headers],[Adicional Noturno]])-2,0)*($G161-$H161)</f>
        <v>0</v>
      </c>
      <c r="M161" s="21">
        <f>VLOOKUP($A161,tabCustoUnit[],COLUMN(CUSTO_GLOBAL[[#Headers],[Adicional Motorista II (Gratificação)]])-2,0)*($G161-$H161)</f>
        <v>0</v>
      </c>
      <c r="N161" s="21">
        <f>VLOOKUP($A161,tabCustoUnit[],COLUMN(CUSTO_GLOBAL[[#Headers],[Adicional de Sobreaviso]])-2,0)*($G161-$H161)</f>
        <v>0</v>
      </c>
      <c r="O161" s="21">
        <f>VLOOKUP($A161,tabCustoUnit[],COLUMN(CUSTO_GLOBAL[[#Headers],[Horas Extras TI]])-2,0)*($G161-$H161)</f>
        <v>0</v>
      </c>
      <c r="P161" s="21">
        <f>VLOOKUP($A161,tabCustoUnit[],COLUMN(CUSTO_GLOBAL[[#Headers],[Adicional de Acúmulo de função]])-2,0)*($G161-$H161)</f>
        <v>0</v>
      </c>
      <c r="Q161" s="21">
        <f>VLOOKUP($A161,tabCustoUnit[],COLUMN(CUSTO_GLOBAL[[#Headers],[MODULO 1 - REMUNERAÇÃO ]])-2,0)*($G161-$H161)</f>
        <v>3397.1305000000002</v>
      </c>
      <c r="R161" s="21">
        <f>VLOOKUP($A161,tabCustoUnit[],COLUMN(CUSTO_GLOBAL[[#Headers],[INSS]])-2,0)*($G161-$H161)</f>
        <v>679.42610000000013</v>
      </c>
      <c r="S161" s="21">
        <f>VLOOKUP($A161,tabCustoUnit[],COLUMN(CUSTO_GLOBAL[[#Headers],[SESI OU SESC]])-2,0)*($G161-$H161)</f>
        <v>50.956957500000001</v>
      </c>
      <c r="T161" s="21">
        <f>VLOOKUP($A161,tabCustoUnit[],COLUMN(CUSTO_GLOBAL[[#Headers],[SENAI OU SENAC]])-2,0)*($G161-$H161)</f>
        <v>33.971305000000001</v>
      </c>
      <c r="U161" s="21">
        <f>VLOOKUP($A161,tabCustoUnit[],COLUMN(CUSTO_GLOBAL[[#Headers],[INCRA]])-2,0)*($G161-$H161)</f>
        <v>6.7942610000000005</v>
      </c>
      <c r="V161" s="21">
        <f>VLOOKUP($A161,tabCustoUnit[],COLUMN(CUSTO_GLOBAL[[#Headers],[Salário Educação]])-2,0)*($G161-$H161)</f>
        <v>84.928262500000017</v>
      </c>
      <c r="W161" s="21">
        <f>VLOOKUP($A161,tabCustoUnit[],COLUMN(CUSTO_GLOBAL[[#Headers],[FGTS]])-2,0)*($G161-$H161)</f>
        <v>271.77044000000001</v>
      </c>
      <c r="X161" s="21">
        <f>VLOOKUP($A161,tabCustoUnit[],COLUMN(CUSTO_GLOBAL[[#Headers],[RAT Ajustado]])-2,0)*($G161-$H161)</f>
        <v>135.88522</v>
      </c>
      <c r="Y161" s="21">
        <f>VLOOKUP($A161,tabCustoUnit[],COLUMN(CUSTO_GLOBAL[[#Headers],[SEBRAE]])-2,0)*($G161-$H161)</f>
        <v>20.382783000000003</v>
      </c>
      <c r="Z161" s="21">
        <f>VLOOKUP($A161,tabCustoUnit[],COLUMN(CUSTO_GLOBAL[[#Headers],[Submódulo 2.1]])-2,0)*($G161-$H161)</f>
        <v>1284.1153290000002</v>
      </c>
      <c r="AA161" s="21">
        <f>VLOOKUP($A161,tabCustoUnit[],COLUMN(CUSTO_GLOBAL[[#Headers],[13º salário (titular)]])-2,0)*($G161-$H161)</f>
        <v>283.09420833333331</v>
      </c>
      <c r="AB161" s="21">
        <f>VLOOKUP($A161,tabCustoUnit[],COLUMN(CUSTO_GLOBAL[[#Headers],[Férias e Adicional de Férias (titular)]])-2,0)*($G161-$H161)</f>
        <v>377.45894444444446</v>
      </c>
      <c r="AC161" s="21">
        <f>VLOOKUP($A161,tabCustoUnit[],COLUMN(CUSTO_GLOBAL[[#Headers],[Incidência do Submódulo 2.1 sobre 13º Salário, Férias e Adicional de Férias]])-2,0)*($G161-$H161)</f>
        <v>249.68909175000005</v>
      </c>
      <c r="AD161" s="21">
        <f>VLOOKUP($A161,tabCustoUnit[],COLUMN(CUSTO_GLOBAL[[#Headers],[Submódulo 2.2]])-2,0)*($G161-$H161)</f>
        <v>910.24224452777776</v>
      </c>
      <c r="AE161" s="22" t="e">
        <f ca="1">VLOOKUP($A161,tabCustoUnit[],COLUMN(CUSTO_GLOBAL[[#Headers],[Vale - Transporte (Descontada parcela do empregado)]])-2,0)*($G161-$H161)</f>
        <v>#NAME?</v>
      </c>
      <c r="AF161" s="22">
        <f>VLOOKUP($A161,tabCustoUnit[],COLUMN(CUSTO_GLOBAL[[#Headers],[Vale - Alimentação (Descontada parcela do empregado)]])-2,0)*($G161-$H161)</f>
        <v>582</v>
      </c>
      <c r="AG161" s="22">
        <f>VLOOKUP($A161,tabCustoUnit[],COLUMN(CUSTO_GLOBAL[[#Headers],[Cesta Básica]])-2,0)*($G161-$H161)</f>
        <v>0</v>
      </c>
      <c r="AH161" s="22">
        <f>VLOOKUP($A161,tabCustoUnit[],COLUMN(CUSTO_GLOBAL[[#Headers],[PAF]])-2,0)*($G161-$H161)</f>
        <v>51.88</v>
      </c>
      <c r="AI161" s="22">
        <f>VLOOKUP($A161,tabCustoUnit[],COLUMN(CUSTO_GLOBAL[[#Headers],[PQM]])-2,0)*($G161-$H161)</f>
        <v>0</v>
      </c>
      <c r="AJ161" s="22">
        <v>0</v>
      </c>
      <c r="AK161" s="22">
        <f>VLOOKUP($A161,tabCustoUnit[],COLUMN(CUSTO_GLOBAL[[#Headers],[Seguro de Vida]])-2,0)*($G161-$H161)</f>
        <v>3.36</v>
      </c>
      <c r="AL161" s="22">
        <f>VLOOKUP($A161,tabCustoUnit[],COLUMN(CUSTO_GLOBAL[[#Headers],[Despesas de Viagem]])-2,0)*($G161-$H161)</f>
        <v>0</v>
      </c>
      <c r="AM161" s="22" t="e">
        <f ca="1">VLOOKUP($A161,tabCustoUnit[],COLUMN(CUSTO_GLOBAL[[#Headers],[Submódulo 2.3]])-2,0)*($G161-$H161)</f>
        <v>#NAME?</v>
      </c>
      <c r="AN161" s="22" t="e">
        <f ca="1">VLOOKUP($A161,tabCustoUnit[],COLUMN(CUSTO_GLOBAL[[#Headers],[MÓDULO 2 - Total Encargos e Benefícios mensais e diários]])-2,0)*($G161-$H161)</f>
        <v>#NAME?</v>
      </c>
      <c r="AO161" s="22">
        <f>VLOOKUP($A161,tabCustoUnit[],COLUMN(CUSTO_GLOBAL[[#Headers],[Aviso Prévio Indenizado (API) e Reflexo do Aviso Prévio Indenizado]])-2,0)*($G161-$H161)</f>
        <v>23.819887450713736</v>
      </c>
      <c r="AP161" s="22">
        <f>VLOOKUP($A161,tabCustoUnit[],COLUMN(CUSTO_GLOBAL[[#Headers],[Incidência do FGTS sobre API e Reflexo do API]])-2,0)*($G161-$H161)</f>
        <v>1.9055909960570991</v>
      </c>
      <c r="AQ161" s="22">
        <f>VLOOKUP($A161,tabCustoUnit[],COLUMN(CUSTO_GLOBAL[[#Headers],[Multa Rescisória do FGTS sobre o Aviso Prévio Indenizado]])-2,0)*($G161-$H161)</f>
        <v>0.76223639842283974</v>
      </c>
      <c r="AR161" s="22">
        <f>VLOOKUP($A161,tabCustoUnit[],COLUMN(CUSTO_GLOBAL[[#Headers],[Aviso Prévio Trabalhado - APT]])-2,0)*($G161-$H161)</f>
        <v>11.889956750000003</v>
      </c>
      <c r="AS161" s="22">
        <f>VLOOKUP($A161,tabCustoUnit[],COLUMN(CUSTO_GLOBAL[[#Headers],[Incidência dos encargos do submódulo 2.1 sobre Aviso Prévio Trabalhado]])-2,0)*($G161-$H161)</f>
        <v>4.4944036515000017</v>
      </c>
      <c r="AT161" s="22">
        <f>VLOOKUP($A161,tabCustoUnit[],COLUMN(CUSTO_GLOBAL[[#Headers],[Multa Rescisória do FGTS]])-2,0)*($G161-$H161)</f>
        <v>103.87670151111111</v>
      </c>
      <c r="AU161" s="22">
        <f>VLOOKUP($A161,tabCustoUnit[],COLUMN(CUSTO_GLOBAL[[#Headers],[Indenização Adicional (Art. 9º da Lei nº 7.238/84)]])-2,0)*($G161-$H161)</f>
        <v>2.8309420833333339</v>
      </c>
      <c r="AV161" s="22">
        <f>VLOOKUP($A161,tabCustoUnit[],COLUMN(CUSTO_GLOBAL[[#Headers],[MÓDULO 3 – PROVISÃO PARA RESCISÃO]])-2,0)*($G161-$H161)</f>
        <v>149.57971884113812</v>
      </c>
      <c r="AW161" s="22">
        <f>VLOOKUP($A161,tabCustoUnit[],COLUMN(CUSTO_GLOBAL[[#Headers],[Ausência por Doença]])-2,0)*($G161-$H161)</f>
        <v>28.686879777777776</v>
      </c>
      <c r="AX161" s="22">
        <f>VLOOKUP($A161,tabCustoUnit[],COLUMN(CUSTO_GLOBAL[[#Headers],[Ausências Legais]])-2,0)*($G161-$H161)</f>
        <v>6.888625736111111</v>
      </c>
      <c r="AY161" s="22">
        <f>VLOOKUP($A161,tabCustoUnit[],COLUMN(CUSTO_GLOBAL[[#Headers],[Licença Paternidade]])-2,0)*($G161-$H161)</f>
        <v>0.58034312708333335</v>
      </c>
      <c r="AZ161" s="22">
        <f>VLOOKUP($A161,tabCustoUnit[],COLUMN(CUSTO_GLOBAL[[#Headers],[Ausência por Acidente de Trabalho]])-2,0)*($G161-$H161)</f>
        <v>0.70773552083333346</v>
      </c>
      <c r="BA161" s="22">
        <f>VLOOKUP($A161,tabCustoUnit[],COLUMN(CUSTO_GLOBAL[[#Headers],[Férias, Adicional de Férias e 13º  com empregada em gozo de Licença Maternidade]])-2,0)*($G161-$H161)</f>
        <v>4.4036876851851856</v>
      </c>
      <c r="BB161" s="22">
        <f>VLOOKUP($A161,tabCustoUnit[],COLUMN(CUSTO_GLOBAL[[#Headers],[Incidência do Submódulo 2.1 sobre Ausências Legais]])-2,0)*($G161-$H161)</f>
        <v>15.599028758162504</v>
      </c>
      <c r="BC161" s="22">
        <f>VLOOKUP($A161,tabCustoUnit[],COLUMN(CUSTO_GLOBAL[[#Headers],[Submódulo 4.1]])-2,0)*($G161-$H161)</f>
        <v>56.866300605153235</v>
      </c>
      <c r="BD161" s="22">
        <f>VLOOKUP($A161,tabCustoUnit[],COLUMN(CUSTO_GLOBAL[[#Headers],[Intervalo para Repouso ou Alimentação]])-2,0)*($G161-$H161)</f>
        <v>0</v>
      </c>
      <c r="BE161" s="22">
        <f>VLOOKUP($A161,tabCustoUnit[],COLUMN(CUSTO_GLOBAL[[#Headers],[Submódulo 4.2]])-2,0)*($G161-$H161)</f>
        <v>0</v>
      </c>
      <c r="BF161" s="22">
        <f>VLOOKUP($A161,tabCustoUnit[],COLUMN(CUSTO_GLOBAL[[#Headers],[Suspensão Temporária do Contrato de Trabalho]])-2,0)*($G161-$H161)</f>
        <v>0</v>
      </c>
      <c r="BG161" s="22">
        <f>VLOOKUP($A161,tabCustoUnit[],COLUMN(CUSTO_GLOBAL[[#Headers],[Submódulo 4.3]])-2,0)*($G161-$H161)</f>
        <v>0</v>
      </c>
      <c r="BH161" s="22">
        <f>VLOOKUP($A161,tabCustoUnit[],COLUMN(CUSTO_GLOBAL[[#Headers],[MÓDULO 4 – CUSTO DE REPOSIÇÃO DO PROFISSIONAL AUSENTE]])-2,0)*($G161-$H161)</f>
        <v>56.866300605153235</v>
      </c>
      <c r="BI161" s="22">
        <f>VLOOKUP($A161,tabCustoUnit[],COLUMN(CUSTO_GLOBAL[[#Headers],[Uniformes e EPIs]])-2,0)*($G161-$H161)</f>
        <v>56.642978962543395</v>
      </c>
      <c r="BJ161" s="22">
        <f>VLOOKUP($A161,tabCustoUnit[],COLUMN(CUSTO_GLOBAL[[#Headers],[Materiais de Consumo]])-2,0)*($G161-$H161)</f>
        <v>0</v>
      </c>
      <c r="BK161" s="22">
        <f>VLOOKUP($A161,tabCustoUnit[],COLUMN(CUSTO_GLOBAL[[#Headers],[Máquinas e Equipamentos (depreciação)]])-2,0)*($G161-$H161)</f>
        <v>0</v>
      </c>
      <c r="BL161" s="22">
        <f>VLOOKUP($A161,tabCustoUnit[],COLUMN(CUSTO_GLOBAL[[#Headers],[Produtos de Limpeza e Materiais de Higiene Pessoal]])-2,0)*($G161-$H161)</f>
        <v>0</v>
      </c>
      <c r="BM161" s="22">
        <f>VLOOKUP($A161,tabCustoUnit[],COLUMN(CUSTO_GLOBAL[[#Headers],[Outros (especificar)]])-2,0)*($G161-$H161)</f>
        <v>0</v>
      </c>
      <c r="BN161" s="22">
        <f>VLOOKUP($A161,tabCustoUnit[],COLUMN(CUSTO_GLOBAL[[#Headers],[MÓDULO 5 – INSUMOS DIVERSOS]])-2,0)*($G161-$H161)</f>
        <v>56.642978962543395</v>
      </c>
      <c r="BO161" s="22" t="e">
        <f ca="1">VLOOKUP($A161,tabCustoUnit[],COLUMN(CUSTO_GLOBAL[[#Headers],[TOTAL MÓDULOS 1+2+3+4+5]])-2,0)*($G161-$H161)</f>
        <v>#NAME?</v>
      </c>
      <c r="BP161" s="22" t="e">
        <f ca="1">VLOOKUP($A161,tabCustoUnit[],COLUMN(CUSTO_GLOBAL[[#Headers],[Custos Indiretos]])-2,0)*($G161-$H161)</f>
        <v>#NAME?</v>
      </c>
      <c r="BQ161" s="22" t="e">
        <f ca="1">VLOOKUP($A161,tabCustoUnit[],COLUMN(CUSTO_GLOBAL[[#Headers],[Lucro]])-2,0)*($G161-$H161)</f>
        <v>#NAME?</v>
      </c>
      <c r="BR161" s="26">
        <f>VLOOKUP($A161,tabCustoUnit[],COLUMN(CUSTO_GLOBAL[[#Headers],[COFINS]])-2,0)</f>
        <v>8.8629737609329504E-2</v>
      </c>
      <c r="BS161" s="26">
        <f>VLOOKUP($A161,tabCustoUnit[],COLUMN(CUSTO_GLOBAL[[#Headers],[PIS]])-2,0)</f>
        <v>1.9241982507288629E-2</v>
      </c>
      <c r="BT161" s="28">
        <f>VLOOKUP($A161,tabCustoUnit[],COLUMN(CUSTO_GLOBAL[[#Headers],[ISS]])-2,0)</f>
        <v>0.05</v>
      </c>
      <c r="BU161" s="26">
        <f>VLOOKUP($A161,tabCustoUnit[],COLUMN(CUSTO_GLOBAL[[#Headers],[ISS (Conversão Alíquota s/ fatura)]])-2,0)</f>
        <v>5.8309037900874633E-2</v>
      </c>
      <c r="BV161" s="26">
        <f>VLOOKUP($A161,tabCustoUnit[],COLUMN(CUSTO_GLOBAL[[#Headers],[Resumo de Alíquotas (PIS+CONFINS+ISS)]])-2,0)</f>
        <v>0.14250000000000002</v>
      </c>
      <c r="BW161" s="138">
        <f>VLOOKUP($A161,tabCustoUnit[],COLUMN(CUSTO_GLOBAL[[#Headers],[PIS + COFINS + ISS (Total Conversão  Alíquota s/ Fatura)]])-2,0)</f>
        <v>0.16618075801749277</v>
      </c>
      <c r="BX161" s="22" t="e">
        <f ca="1">VLOOKUP($A161,tabCustoUnit[],COLUMN(CUSTO_GLOBAL[[#Headers],[Valor dos Tributos (ISS, PIS, CONFINS)]])-2,0)*($G161-$H161)</f>
        <v>#NAME?</v>
      </c>
      <c r="BY161" s="22" t="e">
        <f ca="1">VLOOKUP($A161,tabCustoUnit[],COLUMN(CUSTO_GLOBAL[[#Headers],[MÓDULO 6 – CUSTOS INDIRETOS, TRIBUTOS E LUCRO]])-2,0)*($G161-$H161)</f>
        <v>#NAME?</v>
      </c>
      <c r="BZ161" s="22" t="e">
        <f ca="1">VLOOKUP($A161,tabCustoUnit[],COLUMN(CUSTO_GLOBAL[[#Headers],[CUSTO TOTAL MENSAL]])-2,0)*($G161-$H161)</f>
        <v>#NAME?</v>
      </c>
      <c r="CA161" s="22" t="e">
        <f ca="1">CUSTO_GLOBAL[[#This Row],[CUSTO TOTAL MENSAL]]*12</f>
        <v>#NAME?</v>
      </c>
      <c r="CB161" s="24">
        <f>VLOOKUP($A161,tabCustoUnit[],COLUMN(CUSTO_GLOBAL[[#Headers],[ANO DA CCT]])-2,0)</f>
        <v>45658</v>
      </c>
      <c r="CC161" s="25" t="str">
        <f>VLOOKUP($A161,tabCustoUnit[],COLUMN(CUSTO_GLOBAL[[#Headers],[Nº DE PEDIDO DA CCT]])-2,0)</f>
        <v>-</v>
      </c>
      <c r="CD161" s="25" t="str">
        <f>VLOOKUP($A161,tabCustoUnit[],COLUMN(CUSTO_GLOBAL[[#Headers],[TERMO ADITIVO ALTERAÇÃO DA CCT]])-2,0)</f>
        <v>-</v>
      </c>
    </row>
    <row r="162" spans="1:82">
      <c r="A162" s="20" t="s">
        <v>1612</v>
      </c>
      <c r="B162" t="s">
        <v>1142</v>
      </c>
      <c r="C162" t="s">
        <v>314</v>
      </c>
      <c r="D162" t="s">
        <v>899</v>
      </c>
      <c r="E162" s="20" t="s">
        <v>1090</v>
      </c>
      <c r="F162" s="20" t="s">
        <v>120</v>
      </c>
      <c r="G162" s="20">
        <v>1</v>
      </c>
      <c r="H162" s="20">
        <v>0</v>
      </c>
      <c r="I162" s="21">
        <f>VLOOKUP($A162,tabCustoUnit[],COLUMN(CUSTO_GLOBAL[[#Headers],[Salário Base]])-2,0)*($G162-$H162)</f>
        <v>1963.405</v>
      </c>
      <c r="J162" s="21">
        <f>VLOOKUP($A162,tabCustoUnit[],COLUMN(CUSTO_GLOBAL[[#Headers],[Adicional Periculosidade]])-2,0)*($G162-$H162)</f>
        <v>0</v>
      </c>
      <c r="K162" s="21">
        <f>VLOOKUP($A162,tabCustoUnit[],COLUMN(CUSTO_GLOBAL[[#Headers],[Adicional Insalubridade]])-2,0)*($G162-$H162)</f>
        <v>0</v>
      </c>
      <c r="L162" s="21">
        <f>VLOOKUP($A162,tabCustoUnit[],COLUMN(CUSTO_GLOBAL[[#Headers],[Adicional Noturno]])-2,0)*($G162-$H162)</f>
        <v>0</v>
      </c>
      <c r="M162" s="21">
        <f>VLOOKUP($A162,tabCustoUnit[],COLUMN(CUSTO_GLOBAL[[#Headers],[Adicional Motorista II (Gratificação)]])-2,0)*($G162-$H162)</f>
        <v>0</v>
      </c>
      <c r="N162" s="21">
        <f>VLOOKUP($A162,tabCustoUnit[],COLUMN(CUSTO_GLOBAL[[#Headers],[Adicional de Sobreaviso]])-2,0)*($G162-$H162)</f>
        <v>0</v>
      </c>
      <c r="O162" s="21">
        <f>VLOOKUP($A162,tabCustoUnit[],COLUMN(CUSTO_GLOBAL[[#Headers],[Horas Extras TI]])-2,0)*($G162-$H162)</f>
        <v>0</v>
      </c>
      <c r="P162" s="21">
        <f>VLOOKUP($A162,tabCustoUnit[],COLUMN(CUSTO_GLOBAL[[#Headers],[Adicional de Acúmulo de função]])-2,0)*($G162-$H162)</f>
        <v>0</v>
      </c>
      <c r="Q162" s="21">
        <f>VLOOKUP($A162,tabCustoUnit[],COLUMN(CUSTO_GLOBAL[[#Headers],[MODULO 1 - REMUNERAÇÃO ]])-2,0)*($G162-$H162)</f>
        <v>1963.405</v>
      </c>
      <c r="R162" s="21">
        <f>VLOOKUP($A162,tabCustoUnit[],COLUMN(CUSTO_GLOBAL[[#Headers],[INSS]])-2,0)*($G162-$H162)</f>
        <v>392.68100000000004</v>
      </c>
      <c r="S162" s="21">
        <f>VLOOKUP($A162,tabCustoUnit[],COLUMN(CUSTO_GLOBAL[[#Headers],[SESI OU SESC]])-2,0)*($G162-$H162)</f>
        <v>29.451074999999999</v>
      </c>
      <c r="T162" s="21">
        <f>VLOOKUP($A162,tabCustoUnit[],COLUMN(CUSTO_GLOBAL[[#Headers],[SENAI OU SENAC]])-2,0)*($G162-$H162)</f>
        <v>19.634049999999998</v>
      </c>
      <c r="U162" s="21">
        <f>VLOOKUP($A162,tabCustoUnit[],COLUMN(CUSTO_GLOBAL[[#Headers],[INCRA]])-2,0)*($G162-$H162)</f>
        <v>3.9268100000000001</v>
      </c>
      <c r="V162" s="21">
        <f>VLOOKUP($A162,tabCustoUnit[],COLUMN(CUSTO_GLOBAL[[#Headers],[Salário Educação]])-2,0)*($G162-$H162)</f>
        <v>49.085125000000005</v>
      </c>
      <c r="W162" s="21">
        <f>VLOOKUP($A162,tabCustoUnit[],COLUMN(CUSTO_GLOBAL[[#Headers],[FGTS]])-2,0)*($G162-$H162)</f>
        <v>157.07239999999999</v>
      </c>
      <c r="X162" s="21">
        <f>VLOOKUP($A162,tabCustoUnit[],COLUMN(CUSTO_GLOBAL[[#Headers],[RAT Ajustado]])-2,0)*($G162-$H162)</f>
        <v>78.536199999999994</v>
      </c>
      <c r="Y162" s="21">
        <f>VLOOKUP($A162,tabCustoUnit[],COLUMN(CUSTO_GLOBAL[[#Headers],[SEBRAE]])-2,0)*($G162-$H162)</f>
        <v>11.780430000000001</v>
      </c>
      <c r="Z162" s="21">
        <f>VLOOKUP($A162,tabCustoUnit[],COLUMN(CUSTO_GLOBAL[[#Headers],[Submódulo 2.1]])-2,0)*($G162-$H162)</f>
        <v>742.16709000000003</v>
      </c>
      <c r="AA162" s="21">
        <f>VLOOKUP($A162,tabCustoUnit[],COLUMN(CUSTO_GLOBAL[[#Headers],[13º salário (titular)]])-2,0)*($G162-$H162)</f>
        <v>163.61708333333331</v>
      </c>
      <c r="AB162" s="21">
        <f>VLOOKUP($A162,tabCustoUnit[],COLUMN(CUSTO_GLOBAL[[#Headers],[Férias e Adicional de Férias (titular)]])-2,0)*($G162-$H162)</f>
        <v>218.1561111111111</v>
      </c>
      <c r="AC162" s="21">
        <f>VLOOKUP($A162,tabCustoUnit[],COLUMN(CUSTO_GLOBAL[[#Headers],[Incidência do Submódulo 2.1 sobre 13º Salário, Férias e Adicional de Férias]])-2,0)*($G162-$H162)</f>
        <v>144.31026749999998</v>
      </c>
      <c r="AD162" s="21">
        <f>VLOOKUP($A162,tabCustoUnit[],COLUMN(CUSTO_GLOBAL[[#Headers],[Submódulo 2.2]])-2,0)*($G162-$H162)</f>
        <v>526.08346194444437</v>
      </c>
      <c r="AE162" s="22" t="e">
        <f ca="1">VLOOKUP($A162,tabCustoUnit[],COLUMN(CUSTO_GLOBAL[[#Headers],[Vale - Transporte (Descontada parcela do empregado)]])-2,0)*($G162-$H162)</f>
        <v>#NAME?</v>
      </c>
      <c r="AF162" s="22">
        <f>VLOOKUP($A162,tabCustoUnit[],COLUMN(CUSTO_GLOBAL[[#Headers],[Vale - Alimentação (Descontada parcela do empregado)]])-2,0)*($G162-$H162)</f>
        <v>0</v>
      </c>
      <c r="AG162" s="22">
        <f>VLOOKUP($A162,tabCustoUnit[],COLUMN(CUSTO_GLOBAL[[#Headers],[Cesta Básica]])-2,0)*($G162-$H162)</f>
        <v>387.79</v>
      </c>
      <c r="AH162" s="22">
        <f>VLOOKUP($A162,tabCustoUnit[],COLUMN(CUSTO_GLOBAL[[#Headers],[PAF]])-2,0)*($G162-$H162)</f>
        <v>42.97</v>
      </c>
      <c r="AI162" s="22">
        <f>VLOOKUP($A162,tabCustoUnit[],COLUMN(CUSTO_GLOBAL[[#Headers],[PQM]])-2,0)*($G162-$H162)</f>
        <v>0</v>
      </c>
      <c r="AJ162" s="22">
        <v>0</v>
      </c>
      <c r="AK162" s="22">
        <f>VLOOKUP($A162,tabCustoUnit[],COLUMN(CUSTO_GLOBAL[[#Headers],[Seguro de Vida]])-2,0)*($G162-$H162)</f>
        <v>3.36</v>
      </c>
      <c r="AL162" s="22">
        <f>VLOOKUP($A162,tabCustoUnit[],COLUMN(CUSTO_GLOBAL[[#Headers],[Despesas de Viagem]])-2,0)*($G162-$H162)</f>
        <v>0</v>
      </c>
      <c r="AM162" s="22" t="e">
        <f ca="1">VLOOKUP($A162,tabCustoUnit[],COLUMN(CUSTO_GLOBAL[[#Headers],[Submódulo 2.3]])-2,0)*($G162-$H162)</f>
        <v>#NAME?</v>
      </c>
      <c r="AN162" s="22" t="e">
        <f ca="1">VLOOKUP($A162,tabCustoUnit[],COLUMN(CUSTO_GLOBAL[[#Headers],[MÓDULO 2 - Total Encargos e Benefícios mensais e diários]])-2,0)*($G162-$H162)</f>
        <v>#NAME?</v>
      </c>
      <c r="AO162" s="22">
        <f>VLOOKUP($A162,tabCustoUnit[],COLUMN(CUSTO_GLOBAL[[#Headers],[Aviso Prévio Indenizado (API) e Reflexo do Aviso Prévio Indenizado]])-2,0)*($G162-$H162)</f>
        <v>13.766938338155864</v>
      </c>
      <c r="AP162" s="22">
        <f>VLOOKUP($A162,tabCustoUnit[],COLUMN(CUSTO_GLOBAL[[#Headers],[Incidência do FGTS sobre API e Reflexo do API]])-2,0)*($G162-$H162)</f>
        <v>1.1013550670524692</v>
      </c>
      <c r="AQ162" s="22">
        <f>VLOOKUP($A162,tabCustoUnit[],COLUMN(CUSTO_GLOBAL[[#Headers],[Multa Rescisória do FGTS sobre o Aviso Prévio Indenizado]])-2,0)*($G162-$H162)</f>
        <v>0.44054202682098775</v>
      </c>
      <c r="AR162" s="22">
        <f>VLOOKUP($A162,tabCustoUnit[],COLUMN(CUSTO_GLOBAL[[#Headers],[Aviso Prévio Trabalhado - APT]])-2,0)*($G162-$H162)</f>
        <v>6.8719175000000012</v>
      </c>
      <c r="AS162" s="22">
        <f>VLOOKUP($A162,tabCustoUnit[],COLUMN(CUSTO_GLOBAL[[#Headers],[Incidência dos encargos do submódulo 2.1 sobre Aviso Prévio Trabalhado]])-2,0)*($G162-$H162)</f>
        <v>2.5975848150000007</v>
      </c>
      <c r="AT162" s="22">
        <f>VLOOKUP($A162,tabCustoUnit[],COLUMN(CUSTO_GLOBAL[[#Headers],[Multa Rescisória do FGTS]])-2,0)*($G162-$H162)</f>
        <v>60.03656177777777</v>
      </c>
      <c r="AU162" s="22">
        <f>VLOOKUP($A162,tabCustoUnit[],COLUMN(CUSTO_GLOBAL[[#Headers],[Indenização Adicional (Art. 9º da Lei nº 7.238/84)]])-2,0)*($G162-$H162)</f>
        <v>1.6361708333333334</v>
      </c>
      <c r="AV162" s="22">
        <f>VLOOKUP($A162,tabCustoUnit[],COLUMN(CUSTO_GLOBAL[[#Headers],[MÓDULO 3 – PROVISÃO PARA RESCISÃO]])-2,0)*($G162-$H162)</f>
        <v>86.451070358140427</v>
      </c>
      <c r="AW162" s="22">
        <f>VLOOKUP($A162,tabCustoUnit[],COLUMN(CUSTO_GLOBAL[[#Headers],[Ausência por Doença]])-2,0)*($G162-$H162)</f>
        <v>16.579864444444443</v>
      </c>
      <c r="AX162" s="22">
        <f>VLOOKUP($A162,tabCustoUnit[],COLUMN(CUSTO_GLOBAL[[#Headers],[Ausências Legais]])-2,0)*($G162-$H162)</f>
        <v>3.9813490277777777</v>
      </c>
      <c r="AY162" s="22">
        <f>VLOOKUP($A162,tabCustoUnit[],COLUMN(CUSTO_GLOBAL[[#Headers],[Licença Paternidade]])-2,0)*($G162-$H162)</f>
        <v>0.3354150208333333</v>
      </c>
      <c r="AZ162" s="22">
        <f>VLOOKUP($A162,tabCustoUnit[],COLUMN(CUSTO_GLOBAL[[#Headers],[Ausência por Acidente de Trabalho]])-2,0)*($G162-$H162)</f>
        <v>0.40904270833333334</v>
      </c>
      <c r="BA162" s="22">
        <f>VLOOKUP($A162,tabCustoUnit[],COLUMN(CUSTO_GLOBAL[[#Headers],[Férias, Adicional de Férias e 13º  com empregada em gozo de Licença Maternidade]])-2,0)*($G162-$H162)</f>
        <v>2.5451546296296295</v>
      </c>
      <c r="BB162" s="22">
        <f>VLOOKUP($A162,tabCustoUnit[],COLUMN(CUSTO_GLOBAL[[#Headers],[Incidência do Submódulo 2.1 sobre Ausências Legais]])-2,0)*($G162-$H162)</f>
        <v>9.0156121641250007</v>
      </c>
      <c r="BC162" s="22">
        <f>VLOOKUP($A162,tabCustoUnit[],COLUMN(CUSTO_GLOBAL[[#Headers],[Submódulo 4.1]])-2,0)*($G162-$H162)</f>
        <v>32.866437995143521</v>
      </c>
      <c r="BD162" s="22">
        <f>VLOOKUP($A162,tabCustoUnit[],COLUMN(CUSTO_GLOBAL[[#Headers],[Intervalo para Repouso ou Alimentação]])-2,0)*($G162-$H162)</f>
        <v>267.73704981301341</v>
      </c>
      <c r="BE162" s="22">
        <f>VLOOKUP($A162,tabCustoUnit[],COLUMN(CUSTO_GLOBAL[[#Headers],[Submódulo 4.2]])-2,0)*($G162-$H162)</f>
        <v>267.73704981301341</v>
      </c>
      <c r="BF162" s="22">
        <f>VLOOKUP($A162,tabCustoUnit[],COLUMN(CUSTO_GLOBAL[[#Headers],[Suspensão Temporária do Contrato de Trabalho]])-2,0)*($G162-$H162)</f>
        <v>0</v>
      </c>
      <c r="BG162" s="22">
        <f>VLOOKUP($A162,tabCustoUnit[],COLUMN(CUSTO_GLOBAL[[#Headers],[Submódulo 4.3]])-2,0)*($G162-$H162)</f>
        <v>0</v>
      </c>
      <c r="BH162" s="22">
        <f>VLOOKUP($A162,tabCustoUnit[],COLUMN(CUSTO_GLOBAL[[#Headers],[MÓDULO 4 – CUSTO DE REPOSIÇÃO DO PROFISSIONAL AUSENTE]])-2,0)*($G162-$H162)</f>
        <v>300.60348780815696</v>
      </c>
      <c r="BI162" s="22">
        <f>VLOOKUP($A162,tabCustoUnit[],COLUMN(CUSTO_GLOBAL[[#Headers],[Uniformes e EPIs]])-2,0)*($G162-$H162)</f>
        <v>56.642978962543395</v>
      </c>
      <c r="BJ162" s="22">
        <f>VLOOKUP($A162,tabCustoUnit[],COLUMN(CUSTO_GLOBAL[[#Headers],[Materiais de Consumo]])-2,0)*($G162-$H162)</f>
        <v>0</v>
      </c>
      <c r="BK162" s="22">
        <f>VLOOKUP($A162,tabCustoUnit[],COLUMN(CUSTO_GLOBAL[[#Headers],[Máquinas e Equipamentos (depreciação)]])-2,0)*($G162-$H162)</f>
        <v>0</v>
      </c>
      <c r="BL162" s="22">
        <f>VLOOKUP($A162,tabCustoUnit[],COLUMN(CUSTO_GLOBAL[[#Headers],[Produtos de Limpeza e Materiais de Higiene Pessoal]])-2,0)*($G162-$H162)</f>
        <v>0</v>
      </c>
      <c r="BM162" s="22">
        <f>VLOOKUP($A162,tabCustoUnit[],COLUMN(CUSTO_GLOBAL[[#Headers],[Outros (especificar)]])-2,0)*($G162-$H162)</f>
        <v>0</v>
      </c>
      <c r="BN162" s="22">
        <f>VLOOKUP($A162,tabCustoUnit[],COLUMN(CUSTO_GLOBAL[[#Headers],[MÓDULO 5 – INSUMOS DIVERSOS]])-2,0)*($G162-$H162)</f>
        <v>56.642978962543395</v>
      </c>
      <c r="BO162" s="22" t="e">
        <f ca="1">VLOOKUP($A162,tabCustoUnit[],COLUMN(CUSTO_GLOBAL[[#Headers],[TOTAL MÓDULOS 1+2+3+4+5]])-2,0)*($G162-$H162)</f>
        <v>#NAME?</v>
      </c>
      <c r="BP162" s="22" t="e">
        <f ca="1">VLOOKUP($A162,tabCustoUnit[],COLUMN(CUSTO_GLOBAL[[#Headers],[Custos Indiretos]])-2,0)*($G162-$H162)</f>
        <v>#NAME?</v>
      </c>
      <c r="BQ162" s="22" t="e">
        <f ca="1">VLOOKUP($A162,tabCustoUnit[],COLUMN(CUSTO_GLOBAL[[#Headers],[Lucro]])-2,0)*($G162-$H162)</f>
        <v>#NAME?</v>
      </c>
      <c r="BR162" s="26">
        <f>VLOOKUP($A162,tabCustoUnit[],COLUMN(CUSTO_GLOBAL[[#Headers],[COFINS]])-2,0)</f>
        <v>8.5633802816901458E-2</v>
      </c>
      <c r="BS162" s="26">
        <f>VLOOKUP($A162,tabCustoUnit[],COLUMN(CUSTO_GLOBAL[[#Headers],[PIS]])-2,0)</f>
        <v>1.8591549295774657E-2</v>
      </c>
      <c r="BT162" s="28">
        <f>VLOOKUP($A162,tabCustoUnit[],COLUMN(CUSTO_GLOBAL[[#Headers],[ISS]])-2,0)</f>
        <v>0.02</v>
      </c>
      <c r="BU162" s="26">
        <f>VLOOKUP($A162,tabCustoUnit[],COLUMN(CUSTO_GLOBAL[[#Headers],[ISS (Conversão Alíquota s/ fatura)]])-2,0)</f>
        <v>2.2535211267605645E-2</v>
      </c>
      <c r="BV162" s="26">
        <f>VLOOKUP($A162,tabCustoUnit[],COLUMN(CUSTO_GLOBAL[[#Headers],[Resumo de Alíquotas (PIS+CONFINS+ISS)]])-2,0)</f>
        <v>0.1125</v>
      </c>
      <c r="BW162" s="138">
        <f>VLOOKUP($A162,tabCustoUnit[],COLUMN(CUSTO_GLOBAL[[#Headers],[PIS + COFINS + ISS (Total Conversão  Alíquota s/ Fatura)]])-2,0)</f>
        <v>0.12676056338028174</v>
      </c>
      <c r="BX162" s="22" t="e">
        <f ca="1">VLOOKUP($A162,tabCustoUnit[],COLUMN(CUSTO_GLOBAL[[#Headers],[Valor dos Tributos (ISS, PIS, CONFINS)]])-2,0)*($G162-$H162)</f>
        <v>#NAME?</v>
      </c>
      <c r="BY162" s="22" t="e">
        <f ca="1">VLOOKUP($A162,tabCustoUnit[],COLUMN(CUSTO_GLOBAL[[#Headers],[MÓDULO 6 – CUSTOS INDIRETOS, TRIBUTOS E LUCRO]])-2,0)*($G162-$H162)</f>
        <v>#NAME?</v>
      </c>
      <c r="BZ162" s="22" t="e">
        <f ca="1">VLOOKUP($A162,tabCustoUnit[],COLUMN(CUSTO_GLOBAL[[#Headers],[CUSTO TOTAL MENSAL]])-2,0)*($G162-$H162)</f>
        <v>#NAME?</v>
      </c>
      <c r="CA162" s="22" t="e">
        <f ca="1">CUSTO_GLOBAL[[#This Row],[CUSTO TOTAL MENSAL]]*12</f>
        <v>#NAME?</v>
      </c>
      <c r="CB162" s="24">
        <f>VLOOKUP($A162,tabCustoUnit[],COLUMN(CUSTO_GLOBAL[[#Headers],[ANO DA CCT]])-2,0)</f>
        <v>45658</v>
      </c>
      <c r="CC162" s="25" t="str">
        <f>VLOOKUP($A162,tabCustoUnit[],COLUMN(CUSTO_GLOBAL[[#Headers],[Nº DE PEDIDO DA CCT]])-2,0)</f>
        <v>-</v>
      </c>
      <c r="CD162" s="25" t="str">
        <f>VLOOKUP($A162,tabCustoUnit[],COLUMN(CUSTO_GLOBAL[[#Headers],[TERMO ADITIVO ALTERAÇÃO DA CCT]])-2,0)</f>
        <v>-</v>
      </c>
    </row>
    <row r="163" spans="1:82">
      <c r="A163" s="20" t="s">
        <v>1613</v>
      </c>
      <c r="B163" t="s">
        <v>1143</v>
      </c>
      <c r="C163" t="s">
        <v>304</v>
      </c>
      <c r="D163" t="s">
        <v>1058</v>
      </c>
      <c r="E163" s="20" t="s">
        <v>1090</v>
      </c>
      <c r="F163" s="20" t="s">
        <v>120</v>
      </c>
      <c r="G163" s="20">
        <v>2</v>
      </c>
      <c r="H163" s="20">
        <v>0</v>
      </c>
      <c r="I163" s="21">
        <f>VLOOKUP($A163,tabCustoUnit[],COLUMN(CUSTO_GLOBAL[[#Headers],[Salário Base]])-2,0)*($G163-$H163)</f>
        <v>4269.607</v>
      </c>
      <c r="J163" s="21">
        <f>VLOOKUP($A163,tabCustoUnit[],COLUMN(CUSTO_GLOBAL[[#Headers],[Adicional Periculosidade]])-2,0)*($G163-$H163)</f>
        <v>0</v>
      </c>
      <c r="K163" s="21">
        <f>VLOOKUP($A163,tabCustoUnit[],COLUMN(CUSTO_GLOBAL[[#Headers],[Adicional Insalubridade]])-2,0)*($G163-$H163)</f>
        <v>0</v>
      </c>
      <c r="L163" s="21">
        <f>VLOOKUP($A163,tabCustoUnit[],COLUMN(CUSTO_GLOBAL[[#Headers],[Adicional Noturno]])-2,0)*($G163-$H163)</f>
        <v>0</v>
      </c>
      <c r="M163" s="21">
        <f>VLOOKUP($A163,tabCustoUnit[],COLUMN(CUSTO_GLOBAL[[#Headers],[Adicional Motorista II (Gratificação)]])-2,0)*($G163-$H163)</f>
        <v>0</v>
      </c>
      <c r="N163" s="21">
        <f>VLOOKUP($A163,tabCustoUnit[],COLUMN(CUSTO_GLOBAL[[#Headers],[Adicional de Sobreaviso]])-2,0)*($G163-$H163)</f>
        <v>0</v>
      </c>
      <c r="O163" s="21">
        <f>VLOOKUP($A163,tabCustoUnit[],COLUMN(CUSTO_GLOBAL[[#Headers],[Horas Extras TI]])-2,0)*($G163-$H163)</f>
        <v>0</v>
      </c>
      <c r="P163" s="21">
        <f>VLOOKUP($A163,tabCustoUnit[],COLUMN(CUSTO_GLOBAL[[#Headers],[Adicional de Acúmulo de função]])-2,0)*($G163-$H163)</f>
        <v>0</v>
      </c>
      <c r="Q163" s="21">
        <f>VLOOKUP($A163,tabCustoUnit[],COLUMN(CUSTO_GLOBAL[[#Headers],[MODULO 1 - REMUNERAÇÃO ]])-2,0)*($G163-$H163)</f>
        <v>4269.607</v>
      </c>
      <c r="R163" s="21">
        <f>VLOOKUP($A163,tabCustoUnit[],COLUMN(CUSTO_GLOBAL[[#Headers],[INSS]])-2,0)*($G163-$H163)</f>
        <v>853.92140000000006</v>
      </c>
      <c r="S163" s="21">
        <f>VLOOKUP($A163,tabCustoUnit[],COLUMN(CUSTO_GLOBAL[[#Headers],[SESI OU SESC]])-2,0)*($G163-$H163)</f>
        <v>64.044105000000002</v>
      </c>
      <c r="T163" s="21">
        <f>VLOOKUP($A163,tabCustoUnit[],COLUMN(CUSTO_GLOBAL[[#Headers],[SENAI OU SENAC]])-2,0)*($G163-$H163)</f>
        <v>42.696069999999999</v>
      </c>
      <c r="U163" s="21">
        <f>VLOOKUP($A163,tabCustoUnit[],COLUMN(CUSTO_GLOBAL[[#Headers],[INCRA]])-2,0)*($G163-$H163)</f>
        <v>8.5392139999999994</v>
      </c>
      <c r="V163" s="21">
        <f>VLOOKUP($A163,tabCustoUnit[],COLUMN(CUSTO_GLOBAL[[#Headers],[Salário Educação]])-2,0)*($G163-$H163)</f>
        <v>106.74017500000001</v>
      </c>
      <c r="W163" s="21">
        <f>VLOOKUP($A163,tabCustoUnit[],COLUMN(CUSTO_GLOBAL[[#Headers],[FGTS]])-2,0)*($G163-$H163)</f>
        <v>341.56855999999999</v>
      </c>
      <c r="X163" s="21">
        <f>VLOOKUP($A163,tabCustoUnit[],COLUMN(CUSTO_GLOBAL[[#Headers],[RAT Ajustado]])-2,0)*($G163-$H163)</f>
        <v>170.78428</v>
      </c>
      <c r="Y163" s="21">
        <f>VLOOKUP($A163,tabCustoUnit[],COLUMN(CUSTO_GLOBAL[[#Headers],[SEBRAE]])-2,0)*($G163-$H163)</f>
        <v>25.617642</v>
      </c>
      <c r="Z163" s="21">
        <f>VLOOKUP($A163,tabCustoUnit[],COLUMN(CUSTO_GLOBAL[[#Headers],[Submódulo 2.1]])-2,0)*($G163-$H163)</f>
        <v>1613.9114460000001</v>
      </c>
      <c r="AA163" s="21">
        <f>VLOOKUP($A163,tabCustoUnit[],COLUMN(CUSTO_GLOBAL[[#Headers],[13º salário (titular)]])-2,0)*($G163-$H163)</f>
        <v>355.80058333333329</v>
      </c>
      <c r="AB163" s="21">
        <f>VLOOKUP($A163,tabCustoUnit[],COLUMN(CUSTO_GLOBAL[[#Headers],[Férias e Adicional de Férias (titular)]])-2,0)*($G163-$H163)</f>
        <v>474.40077777777776</v>
      </c>
      <c r="AC163" s="21">
        <f>VLOOKUP($A163,tabCustoUnit[],COLUMN(CUSTO_GLOBAL[[#Headers],[Incidência do Submódulo 2.1 sobre 13º Salário, Férias e Adicional de Férias]])-2,0)*($G163-$H163)</f>
        <v>313.81611449999997</v>
      </c>
      <c r="AD163" s="21">
        <f>VLOOKUP($A163,tabCustoUnit[],COLUMN(CUSTO_GLOBAL[[#Headers],[Submódulo 2.2]])-2,0)*($G163-$H163)</f>
        <v>1144.017475611111</v>
      </c>
      <c r="AE163" s="22" t="e">
        <f ca="1">VLOOKUP($A163,tabCustoUnit[],COLUMN(CUSTO_GLOBAL[[#Headers],[Vale - Transporte (Descontada parcela do empregado)]])-2,0)*($G163-$H163)</f>
        <v>#NAME?</v>
      </c>
      <c r="AF163" s="22">
        <f>VLOOKUP($A163,tabCustoUnit[],COLUMN(CUSTO_GLOBAL[[#Headers],[Vale - Alimentação (Descontada parcela do empregado)]])-2,0)*($G163-$H163)</f>
        <v>1164</v>
      </c>
      <c r="AG163" s="22">
        <f>VLOOKUP($A163,tabCustoUnit[],COLUMN(CUSTO_GLOBAL[[#Headers],[Cesta Básica]])-2,0)*($G163-$H163)</f>
        <v>0</v>
      </c>
      <c r="AH163" s="22">
        <f>VLOOKUP($A163,tabCustoUnit[],COLUMN(CUSTO_GLOBAL[[#Headers],[PAF]])-2,0)*($G163-$H163)</f>
        <v>154.5</v>
      </c>
      <c r="AI163" s="22">
        <f>VLOOKUP($A163,tabCustoUnit[],COLUMN(CUSTO_GLOBAL[[#Headers],[PQM]])-2,0)*($G163-$H163)</f>
        <v>0</v>
      </c>
      <c r="AJ163" s="22">
        <v>0</v>
      </c>
      <c r="AK163" s="22">
        <f>VLOOKUP($A163,tabCustoUnit[],COLUMN(CUSTO_GLOBAL[[#Headers],[Seguro de Vida]])-2,0)*($G163-$H163)</f>
        <v>6.72</v>
      </c>
      <c r="AL163" s="22">
        <f>VLOOKUP($A163,tabCustoUnit[],COLUMN(CUSTO_GLOBAL[[#Headers],[Despesas de Viagem]])-2,0)*($G163-$H163)</f>
        <v>0</v>
      </c>
      <c r="AM163" s="22" t="e">
        <f ca="1">VLOOKUP($A163,tabCustoUnit[],COLUMN(CUSTO_GLOBAL[[#Headers],[Submódulo 2.3]])-2,0)*($G163-$H163)</f>
        <v>#NAME?</v>
      </c>
      <c r="AN163" s="22" t="e">
        <f ca="1">VLOOKUP($A163,tabCustoUnit[],COLUMN(CUSTO_GLOBAL[[#Headers],[MÓDULO 2 - Total Encargos e Benefícios mensais e diários]])-2,0)*($G163-$H163)</f>
        <v>#NAME?</v>
      </c>
      <c r="AO163" s="22">
        <f>VLOOKUP($A163,tabCustoUnit[],COLUMN(CUSTO_GLOBAL[[#Headers],[Aviso Prévio Indenizado (API) e Reflexo do Aviso Prévio Indenizado]])-2,0)*($G163-$H163)</f>
        <v>29.937489360146603</v>
      </c>
      <c r="AP163" s="22">
        <f>VLOOKUP($A163,tabCustoUnit[],COLUMN(CUSTO_GLOBAL[[#Headers],[Incidência do FGTS sobre API e Reflexo do API]])-2,0)*($G163-$H163)</f>
        <v>2.3949991488117286</v>
      </c>
      <c r="AQ163" s="22">
        <f>VLOOKUP($A163,tabCustoUnit[],COLUMN(CUSTO_GLOBAL[[#Headers],[Multa Rescisória do FGTS sobre o Aviso Prévio Indenizado]])-2,0)*($G163-$H163)</f>
        <v>0.95799965952469157</v>
      </c>
      <c r="AR163" s="22">
        <f>VLOOKUP($A163,tabCustoUnit[],COLUMN(CUSTO_GLOBAL[[#Headers],[Aviso Prévio Trabalhado - APT]])-2,0)*($G163-$H163)</f>
        <v>14.943624500000002</v>
      </c>
      <c r="AS163" s="22">
        <f>VLOOKUP($A163,tabCustoUnit[],COLUMN(CUSTO_GLOBAL[[#Headers],[Incidência dos encargos do submódulo 2.1 sobre Aviso Prévio Trabalhado]])-2,0)*($G163-$H163)</f>
        <v>5.6486900610000017</v>
      </c>
      <c r="AT163" s="22">
        <f>VLOOKUP($A163,tabCustoUnit[],COLUMN(CUSTO_GLOBAL[[#Headers],[Multa Rescisória do FGTS]])-2,0)*($G163-$H163)</f>
        <v>130.55509404444442</v>
      </c>
      <c r="AU163" s="22">
        <f>VLOOKUP($A163,tabCustoUnit[],COLUMN(CUSTO_GLOBAL[[#Headers],[Indenização Adicional (Art. 9º da Lei nº 7.238/84)]])-2,0)*($G163-$H163)</f>
        <v>3.5580058333333335</v>
      </c>
      <c r="AV163" s="22">
        <f>VLOOKUP($A163,tabCustoUnit[],COLUMN(CUSTO_GLOBAL[[#Headers],[MÓDULO 3 – PROVISÃO PARA RESCISÃO]])-2,0)*($G163-$H163)</f>
        <v>187.99590260726077</v>
      </c>
      <c r="AW163" s="22">
        <f>VLOOKUP($A163,tabCustoUnit[],COLUMN(CUSTO_GLOBAL[[#Headers],[Ausência por Doença]])-2,0)*($G163-$H163)</f>
        <v>36.054459111111107</v>
      </c>
      <c r="AX163" s="22">
        <f>VLOOKUP($A163,tabCustoUnit[],COLUMN(CUSTO_GLOBAL[[#Headers],[Ausências Legais]])-2,0)*($G163-$H163)</f>
        <v>8.6578141944444447</v>
      </c>
      <c r="AY163" s="22">
        <f>VLOOKUP($A163,tabCustoUnit[],COLUMN(CUSTO_GLOBAL[[#Headers],[Licença Paternidade]])-2,0)*($G163-$H163)</f>
        <v>0.72939119583333334</v>
      </c>
      <c r="AZ163" s="22">
        <f>VLOOKUP($A163,tabCustoUnit[],COLUMN(CUSTO_GLOBAL[[#Headers],[Ausência por Acidente de Trabalho]])-2,0)*($G163-$H163)</f>
        <v>0.88950145833333338</v>
      </c>
      <c r="BA163" s="22">
        <f>VLOOKUP($A163,tabCustoUnit[],COLUMN(CUSTO_GLOBAL[[#Headers],[Férias, Adicional de Férias e 13º  com empregada em gozo de Licença Maternidade]])-2,0)*($G163-$H163)</f>
        <v>5.5346757407407408</v>
      </c>
      <c r="BB163" s="22">
        <f>VLOOKUP($A163,tabCustoUnit[],COLUMN(CUSTO_GLOBAL[[#Headers],[Incidência do Submódulo 2.1 sobre Ausências Legais]])-2,0)*($G163-$H163)</f>
        <v>19.605288162775004</v>
      </c>
      <c r="BC163" s="22">
        <f>VLOOKUP($A163,tabCustoUnit[],COLUMN(CUSTO_GLOBAL[[#Headers],[Submódulo 4.1]])-2,0)*($G163-$H163)</f>
        <v>71.471129863237962</v>
      </c>
      <c r="BD163" s="22">
        <f>VLOOKUP($A163,tabCustoUnit[],COLUMN(CUSTO_GLOBAL[[#Headers],[Intervalo para Repouso ou Alimentação]])-2,0)*($G163-$H163)</f>
        <v>472.70648705651831</v>
      </c>
      <c r="BE163" s="22">
        <f>VLOOKUP($A163,tabCustoUnit[],COLUMN(CUSTO_GLOBAL[[#Headers],[Submódulo 4.2]])-2,0)*($G163-$H163)</f>
        <v>472.70648705651831</v>
      </c>
      <c r="BF163" s="22">
        <f>VLOOKUP($A163,tabCustoUnit[],COLUMN(CUSTO_GLOBAL[[#Headers],[Suspensão Temporária do Contrato de Trabalho]])-2,0)*($G163-$H163)</f>
        <v>0</v>
      </c>
      <c r="BG163" s="22">
        <f>VLOOKUP($A163,tabCustoUnit[],COLUMN(CUSTO_GLOBAL[[#Headers],[Submódulo 4.3]])-2,0)*($G163-$H163)</f>
        <v>0</v>
      </c>
      <c r="BH163" s="22">
        <f>VLOOKUP($A163,tabCustoUnit[],COLUMN(CUSTO_GLOBAL[[#Headers],[MÓDULO 4 – CUSTO DE REPOSIÇÃO DO PROFISSIONAL AUSENTE]])-2,0)*($G163-$H163)</f>
        <v>544.17761691975625</v>
      </c>
      <c r="BI163" s="22">
        <f>VLOOKUP($A163,tabCustoUnit[],COLUMN(CUSTO_GLOBAL[[#Headers],[Uniformes e EPIs]])-2,0)*($G163-$H163)</f>
        <v>113.28595792508679</v>
      </c>
      <c r="BJ163" s="22">
        <f>VLOOKUP($A163,tabCustoUnit[],COLUMN(CUSTO_GLOBAL[[#Headers],[Materiais de Consumo]])-2,0)*($G163-$H163)</f>
        <v>0</v>
      </c>
      <c r="BK163" s="22">
        <f>VLOOKUP($A163,tabCustoUnit[],COLUMN(CUSTO_GLOBAL[[#Headers],[Máquinas e Equipamentos (depreciação)]])-2,0)*($G163-$H163)</f>
        <v>0</v>
      </c>
      <c r="BL163" s="22">
        <f>VLOOKUP($A163,tabCustoUnit[],COLUMN(CUSTO_GLOBAL[[#Headers],[Produtos de Limpeza e Materiais de Higiene Pessoal]])-2,0)*($G163-$H163)</f>
        <v>0</v>
      </c>
      <c r="BM163" s="22">
        <f>VLOOKUP($A163,tabCustoUnit[],COLUMN(CUSTO_GLOBAL[[#Headers],[Outros (especificar)]])-2,0)*($G163-$H163)</f>
        <v>0</v>
      </c>
      <c r="BN163" s="22">
        <f>VLOOKUP($A163,tabCustoUnit[],COLUMN(CUSTO_GLOBAL[[#Headers],[MÓDULO 5 – INSUMOS DIVERSOS]])-2,0)*($G163-$H163)</f>
        <v>113.28595792508679</v>
      </c>
      <c r="BO163" s="22" t="e">
        <f ca="1">VLOOKUP($A163,tabCustoUnit[],COLUMN(CUSTO_GLOBAL[[#Headers],[TOTAL MÓDULOS 1+2+3+4+5]])-2,0)*($G163-$H163)</f>
        <v>#NAME?</v>
      </c>
      <c r="BP163" s="22" t="e">
        <f ca="1">VLOOKUP($A163,tabCustoUnit[],COLUMN(CUSTO_GLOBAL[[#Headers],[Custos Indiretos]])-2,0)*($G163-$H163)</f>
        <v>#NAME?</v>
      </c>
      <c r="BQ163" s="22" t="e">
        <f ca="1">VLOOKUP($A163,tabCustoUnit[],COLUMN(CUSTO_GLOBAL[[#Headers],[Lucro]])-2,0)*($G163-$H163)</f>
        <v>#NAME?</v>
      </c>
      <c r="BR163" s="26">
        <f>VLOOKUP($A163,tabCustoUnit[],COLUMN(CUSTO_GLOBAL[[#Headers],[COFINS]])-2,0)</f>
        <v>8.5633802816901458E-2</v>
      </c>
      <c r="BS163" s="26">
        <f>VLOOKUP($A163,tabCustoUnit[],COLUMN(CUSTO_GLOBAL[[#Headers],[PIS]])-2,0)</f>
        <v>1.8591549295774657E-2</v>
      </c>
      <c r="BT163" s="28">
        <f>VLOOKUP($A163,tabCustoUnit[],COLUMN(CUSTO_GLOBAL[[#Headers],[ISS]])-2,0)</f>
        <v>0.02</v>
      </c>
      <c r="BU163" s="26">
        <f>VLOOKUP($A163,tabCustoUnit[],COLUMN(CUSTO_GLOBAL[[#Headers],[ISS (Conversão Alíquota s/ fatura)]])-2,0)</f>
        <v>2.2535211267605645E-2</v>
      </c>
      <c r="BV163" s="26">
        <f>VLOOKUP($A163,tabCustoUnit[],COLUMN(CUSTO_GLOBAL[[#Headers],[Resumo de Alíquotas (PIS+CONFINS+ISS)]])-2,0)</f>
        <v>0.1125</v>
      </c>
      <c r="BW163" s="138">
        <f>VLOOKUP($A163,tabCustoUnit[],COLUMN(CUSTO_GLOBAL[[#Headers],[PIS + COFINS + ISS (Total Conversão  Alíquota s/ Fatura)]])-2,0)</f>
        <v>0.12676056338028174</v>
      </c>
      <c r="BX163" s="22" t="e">
        <f ca="1">VLOOKUP($A163,tabCustoUnit[],COLUMN(CUSTO_GLOBAL[[#Headers],[Valor dos Tributos (ISS, PIS, CONFINS)]])-2,0)*($G163-$H163)</f>
        <v>#NAME?</v>
      </c>
      <c r="BY163" s="22" t="e">
        <f ca="1">VLOOKUP($A163,tabCustoUnit[],COLUMN(CUSTO_GLOBAL[[#Headers],[MÓDULO 6 – CUSTOS INDIRETOS, TRIBUTOS E LUCRO]])-2,0)*($G163-$H163)</f>
        <v>#NAME?</v>
      </c>
      <c r="BZ163" s="22" t="e">
        <f ca="1">VLOOKUP($A163,tabCustoUnit[],COLUMN(CUSTO_GLOBAL[[#Headers],[CUSTO TOTAL MENSAL]])-2,0)*($G163-$H163)</f>
        <v>#NAME?</v>
      </c>
      <c r="CA163" s="22" t="e">
        <f ca="1">CUSTO_GLOBAL[[#This Row],[CUSTO TOTAL MENSAL]]*12</f>
        <v>#NAME?</v>
      </c>
      <c r="CB163" s="24">
        <f>VLOOKUP($A163,tabCustoUnit[],COLUMN(CUSTO_GLOBAL[[#Headers],[ANO DA CCT]])-2,0)</f>
        <v>45658</v>
      </c>
      <c r="CC163" s="25" t="str">
        <f>VLOOKUP($A163,tabCustoUnit[],COLUMN(CUSTO_GLOBAL[[#Headers],[Nº DE PEDIDO DA CCT]])-2,0)</f>
        <v>-</v>
      </c>
      <c r="CD163" s="25" t="str">
        <f>VLOOKUP($A163,tabCustoUnit[],COLUMN(CUSTO_GLOBAL[[#Headers],[TERMO ADITIVO ALTERAÇÃO DA CCT]])-2,0)</f>
        <v>-</v>
      </c>
    </row>
    <row r="164" spans="1:82">
      <c r="A164" s="20" t="s">
        <v>1614</v>
      </c>
      <c r="B164" t="s">
        <v>1143</v>
      </c>
      <c r="C164" t="s">
        <v>309</v>
      </c>
      <c r="D164" t="s">
        <v>1058</v>
      </c>
      <c r="E164" s="20" t="s">
        <v>1090</v>
      </c>
      <c r="F164" s="20" t="s">
        <v>120</v>
      </c>
      <c r="G164" s="20">
        <v>2</v>
      </c>
      <c r="H164" s="20">
        <v>0</v>
      </c>
      <c r="I164" s="21">
        <f>VLOOKUP($A164,tabCustoUnit[],COLUMN(CUSTO_GLOBAL[[#Headers],[Salário Base]])-2,0)*($G164-$H164)</f>
        <v>4269.607</v>
      </c>
      <c r="J164" s="21">
        <f>VLOOKUP($A164,tabCustoUnit[],COLUMN(CUSTO_GLOBAL[[#Headers],[Adicional Periculosidade]])-2,0)*($G164-$H164)</f>
        <v>0</v>
      </c>
      <c r="K164" s="21">
        <f>VLOOKUP($A164,tabCustoUnit[],COLUMN(CUSTO_GLOBAL[[#Headers],[Adicional Insalubridade]])-2,0)*($G164-$H164)</f>
        <v>0</v>
      </c>
      <c r="L164" s="21">
        <f>VLOOKUP($A164,tabCustoUnit[],COLUMN(CUSTO_GLOBAL[[#Headers],[Adicional Noturno]])-2,0)*($G164-$H164)</f>
        <v>860.32579999999996</v>
      </c>
      <c r="M164" s="21">
        <f>VLOOKUP($A164,tabCustoUnit[],COLUMN(CUSTO_GLOBAL[[#Headers],[Adicional Motorista II (Gratificação)]])-2,0)*($G164-$H164)</f>
        <v>0</v>
      </c>
      <c r="N164" s="21">
        <f>VLOOKUP($A164,tabCustoUnit[],COLUMN(CUSTO_GLOBAL[[#Headers],[Adicional de Sobreaviso]])-2,0)*($G164-$H164)</f>
        <v>0</v>
      </c>
      <c r="O164" s="21">
        <f>VLOOKUP($A164,tabCustoUnit[],COLUMN(CUSTO_GLOBAL[[#Headers],[Horas Extras TI]])-2,0)*($G164-$H164)</f>
        <v>0</v>
      </c>
      <c r="P164" s="21">
        <f>VLOOKUP($A164,tabCustoUnit[],COLUMN(CUSTO_GLOBAL[[#Headers],[Adicional de Acúmulo de função]])-2,0)*($G164-$H164)</f>
        <v>0</v>
      </c>
      <c r="Q164" s="21">
        <f>VLOOKUP($A164,tabCustoUnit[],COLUMN(CUSTO_GLOBAL[[#Headers],[MODULO 1 - REMUNERAÇÃO ]])-2,0)*($G164-$H164)</f>
        <v>5129.9327999999996</v>
      </c>
      <c r="R164" s="21">
        <f>VLOOKUP($A164,tabCustoUnit[],COLUMN(CUSTO_GLOBAL[[#Headers],[INSS]])-2,0)*($G164-$H164)</f>
        <v>1025.9865600000001</v>
      </c>
      <c r="S164" s="21">
        <f>VLOOKUP($A164,tabCustoUnit[],COLUMN(CUSTO_GLOBAL[[#Headers],[SESI OU SESC]])-2,0)*($G164-$H164)</f>
        <v>76.94899199999999</v>
      </c>
      <c r="T164" s="21">
        <f>VLOOKUP($A164,tabCustoUnit[],COLUMN(CUSTO_GLOBAL[[#Headers],[SENAI OU SENAC]])-2,0)*($G164-$H164)</f>
        <v>51.299327999999996</v>
      </c>
      <c r="U164" s="21">
        <f>VLOOKUP($A164,tabCustoUnit[],COLUMN(CUSTO_GLOBAL[[#Headers],[INCRA]])-2,0)*($G164-$H164)</f>
        <v>10.259865599999999</v>
      </c>
      <c r="V164" s="21">
        <f>VLOOKUP($A164,tabCustoUnit[],COLUMN(CUSTO_GLOBAL[[#Headers],[Salário Educação]])-2,0)*($G164-$H164)</f>
        <v>128.24832000000001</v>
      </c>
      <c r="W164" s="21">
        <f>VLOOKUP($A164,tabCustoUnit[],COLUMN(CUSTO_GLOBAL[[#Headers],[FGTS]])-2,0)*($G164-$H164)</f>
        <v>410.39462399999996</v>
      </c>
      <c r="X164" s="21">
        <f>VLOOKUP($A164,tabCustoUnit[],COLUMN(CUSTO_GLOBAL[[#Headers],[RAT Ajustado]])-2,0)*($G164-$H164)</f>
        <v>205.19731199999998</v>
      </c>
      <c r="Y164" s="21">
        <f>VLOOKUP($A164,tabCustoUnit[],COLUMN(CUSTO_GLOBAL[[#Headers],[SEBRAE]])-2,0)*($G164-$H164)</f>
        <v>30.779596799999997</v>
      </c>
      <c r="Z164" s="21">
        <f>VLOOKUP($A164,tabCustoUnit[],COLUMN(CUSTO_GLOBAL[[#Headers],[Submódulo 2.1]])-2,0)*($G164-$H164)</f>
        <v>1939.1145984000002</v>
      </c>
      <c r="AA164" s="21">
        <f>VLOOKUP($A164,tabCustoUnit[],COLUMN(CUSTO_GLOBAL[[#Headers],[13º salário (titular)]])-2,0)*($G164-$H164)</f>
        <v>427.49439999999993</v>
      </c>
      <c r="AB164" s="21">
        <f>VLOOKUP($A164,tabCustoUnit[],COLUMN(CUSTO_GLOBAL[[#Headers],[Férias e Adicional de Férias (titular)]])-2,0)*($G164-$H164)</f>
        <v>569.9925333333332</v>
      </c>
      <c r="AC164" s="21">
        <f>VLOOKUP($A164,tabCustoUnit[],COLUMN(CUSTO_GLOBAL[[#Headers],[Incidência do Submódulo 2.1 sobre 13º Salário, Férias e Adicional de Férias]])-2,0)*($G164-$H164)</f>
        <v>377.05006079999998</v>
      </c>
      <c r="AD164" s="21">
        <f>VLOOKUP($A164,tabCustoUnit[],COLUMN(CUSTO_GLOBAL[[#Headers],[Submódulo 2.2]])-2,0)*($G164-$H164)</f>
        <v>1374.5369941333331</v>
      </c>
      <c r="AE164" s="22" t="e">
        <f ca="1">VLOOKUP($A164,tabCustoUnit[],COLUMN(CUSTO_GLOBAL[[#Headers],[Vale - Transporte (Descontada parcela do empregado)]])-2,0)*($G164-$H164)</f>
        <v>#NAME?</v>
      </c>
      <c r="AF164" s="22">
        <f>VLOOKUP($A164,tabCustoUnit[],COLUMN(CUSTO_GLOBAL[[#Headers],[Vale - Alimentação (Descontada parcela do empregado)]])-2,0)*($G164-$H164)</f>
        <v>1164</v>
      </c>
      <c r="AG164" s="22">
        <f>VLOOKUP($A164,tabCustoUnit[],COLUMN(CUSTO_GLOBAL[[#Headers],[Cesta Básica]])-2,0)*($G164-$H164)</f>
        <v>0</v>
      </c>
      <c r="AH164" s="22">
        <f>VLOOKUP($A164,tabCustoUnit[],COLUMN(CUSTO_GLOBAL[[#Headers],[PAF]])-2,0)*($G164-$H164)</f>
        <v>154.5</v>
      </c>
      <c r="AI164" s="22">
        <f>VLOOKUP($A164,tabCustoUnit[],COLUMN(CUSTO_GLOBAL[[#Headers],[PQM]])-2,0)*($G164-$H164)</f>
        <v>0</v>
      </c>
      <c r="AJ164" s="22">
        <v>0</v>
      </c>
      <c r="AK164" s="22">
        <f>VLOOKUP($A164,tabCustoUnit[],COLUMN(CUSTO_GLOBAL[[#Headers],[Seguro de Vida]])-2,0)*($G164-$H164)</f>
        <v>6.72</v>
      </c>
      <c r="AL164" s="22">
        <f>VLOOKUP($A164,tabCustoUnit[],COLUMN(CUSTO_GLOBAL[[#Headers],[Despesas de Viagem]])-2,0)*($G164-$H164)</f>
        <v>0</v>
      </c>
      <c r="AM164" s="22" t="e">
        <f ca="1">VLOOKUP($A164,tabCustoUnit[],COLUMN(CUSTO_GLOBAL[[#Headers],[Submódulo 2.3]])-2,0)*($G164-$H164)</f>
        <v>#NAME?</v>
      </c>
      <c r="AN164" s="22" t="e">
        <f ca="1">VLOOKUP($A164,tabCustoUnit[],COLUMN(CUSTO_GLOBAL[[#Headers],[MÓDULO 2 - Total Encargos e Benefícios mensais e diários]])-2,0)*($G164-$H164)</f>
        <v>#NAME?</v>
      </c>
      <c r="AO164" s="22">
        <f>VLOOKUP($A164,tabCustoUnit[],COLUMN(CUSTO_GLOBAL[[#Headers],[Aviso Prévio Indenizado (API) e Reflexo do Aviso Prévio Indenizado]])-2,0)*($G164-$H164)</f>
        <v>35.969893392592589</v>
      </c>
      <c r="AP164" s="22">
        <f>VLOOKUP($A164,tabCustoUnit[],COLUMN(CUSTO_GLOBAL[[#Headers],[Incidência do FGTS sobre API e Reflexo do API]])-2,0)*($G164-$H164)</f>
        <v>2.8775914714074076</v>
      </c>
      <c r="AQ164" s="22">
        <f>VLOOKUP($A164,tabCustoUnit[],COLUMN(CUSTO_GLOBAL[[#Headers],[Multa Rescisória do FGTS sobre o Aviso Prévio Indenizado]])-2,0)*($G164-$H164)</f>
        <v>1.151036588562963</v>
      </c>
      <c r="AR164" s="22">
        <f>VLOOKUP($A164,tabCustoUnit[],COLUMN(CUSTO_GLOBAL[[#Headers],[Aviso Prévio Trabalhado - APT]])-2,0)*($G164-$H164)</f>
        <v>17.9547648</v>
      </c>
      <c r="AS164" s="22">
        <f>VLOOKUP($A164,tabCustoUnit[],COLUMN(CUSTO_GLOBAL[[#Headers],[Incidência dos encargos do submódulo 2.1 sobre Aviso Prévio Trabalhado]])-2,0)*($G164-$H164)</f>
        <v>6.7869010944000019</v>
      </c>
      <c r="AT164" s="22">
        <f>VLOOKUP($A164,tabCustoUnit[],COLUMN(CUSTO_GLOBAL[[#Headers],[Multa Rescisória do FGTS]])-2,0)*($G164-$H164)</f>
        <v>156.86194517333331</v>
      </c>
      <c r="AU164" s="22">
        <f>VLOOKUP($A164,tabCustoUnit[],COLUMN(CUSTO_GLOBAL[[#Headers],[Indenização Adicional (Art. 9º da Lei nº 7.238/84)]])-2,0)*($G164-$H164)</f>
        <v>4.2749439999999996</v>
      </c>
      <c r="AV164" s="22">
        <f>VLOOKUP($A164,tabCustoUnit[],COLUMN(CUSTO_GLOBAL[[#Headers],[MÓDULO 3 – PROVISÃO PARA RESCISÃO]])-2,0)*($G164-$H164)</f>
        <v>225.87707652029627</v>
      </c>
      <c r="AW164" s="22">
        <f>VLOOKUP($A164,tabCustoUnit[],COLUMN(CUSTO_GLOBAL[[#Headers],[Ausência por Doença]])-2,0)*($G164-$H164)</f>
        <v>43.319432533333327</v>
      </c>
      <c r="AX164" s="22">
        <f>VLOOKUP($A164,tabCustoUnit[],COLUMN(CUSTO_GLOBAL[[#Headers],[Ausências Legais]])-2,0)*($G164-$H164)</f>
        <v>10.402363733333331</v>
      </c>
      <c r="AY164" s="22">
        <f>VLOOKUP($A164,tabCustoUnit[],COLUMN(CUSTO_GLOBAL[[#Headers],[Licença Paternidade]])-2,0)*($G164-$H164)</f>
        <v>0.87636351999999995</v>
      </c>
      <c r="AZ164" s="22">
        <f>VLOOKUP($A164,tabCustoUnit[],COLUMN(CUSTO_GLOBAL[[#Headers],[Ausência por Acidente de Trabalho]])-2,0)*($G164-$H164)</f>
        <v>1.0687359999999999</v>
      </c>
      <c r="BA164" s="22">
        <f>VLOOKUP($A164,tabCustoUnit[],COLUMN(CUSTO_GLOBAL[[#Headers],[Férias, Adicional de Férias e 13º  com empregada em gozo de Licença Maternidade]])-2,0)*($G164-$H164)</f>
        <v>6.6499128888888883</v>
      </c>
      <c r="BB164" s="22">
        <f>VLOOKUP($A164,tabCustoUnit[],COLUMN(CUSTO_GLOBAL[[#Headers],[Incidência do Submódulo 2.1 sobre Ausências Legais]])-2,0)*($G164-$H164)</f>
        <v>23.555753679360002</v>
      </c>
      <c r="BC164" s="22">
        <f>VLOOKUP($A164,tabCustoUnit[],COLUMN(CUSTO_GLOBAL[[#Headers],[Submódulo 4.1]])-2,0)*($G164-$H164)</f>
        <v>85.872562354915544</v>
      </c>
      <c r="BD164" s="22">
        <f>VLOOKUP($A164,tabCustoUnit[],COLUMN(CUSTO_GLOBAL[[#Headers],[Intervalo para Repouso ou Alimentação]])-2,0)*($G164-$H164)</f>
        <v>567.95684419840688</v>
      </c>
      <c r="BE164" s="22">
        <f>VLOOKUP($A164,tabCustoUnit[],COLUMN(CUSTO_GLOBAL[[#Headers],[Submódulo 4.2]])-2,0)*($G164-$H164)</f>
        <v>567.95684419840688</v>
      </c>
      <c r="BF164" s="22">
        <f>VLOOKUP($A164,tabCustoUnit[],COLUMN(CUSTO_GLOBAL[[#Headers],[Suspensão Temporária do Contrato de Trabalho]])-2,0)*($G164-$H164)</f>
        <v>0</v>
      </c>
      <c r="BG164" s="22">
        <f>VLOOKUP($A164,tabCustoUnit[],COLUMN(CUSTO_GLOBAL[[#Headers],[Submódulo 4.3]])-2,0)*($G164-$H164)</f>
        <v>0</v>
      </c>
      <c r="BH164" s="22">
        <f>VLOOKUP($A164,tabCustoUnit[],COLUMN(CUSTO_GLOBAL[[#Headers],[MÓDULO 4 – CUSTO DE REPOSIÇÃO DO PROFISSIONAL AUSENTE]])-2,0)*($G164-$H164)</f>
        <v>653.82940655332243</v>
      </c>
      <c r="BI164" s="22">
        <f>VLOOKUP($A164,tabCustoUnit[],COLUMN(CUSTO_GLOBAL[[#Headers],[Uniformes e EPIs]])-2,0)*($G164-$H164)</f>
        <v>113.28595792508679</v>
      </c>
      <c r="BJ164" s="22">
        <f>VLOOKUP($A164,tabCustoUnit[],COLUMN(CUSTO_GLOBAL[[#Headers],[Materiais de Consumo]])-2,0)*($G164-$H164)</f>
        <v>0</v>
      </c>
      <c r="BK164" s="22">
        <f>VLOOKUP($A164,tabCustoUnit[],COLUMN(CUSTO_GLOBAL[[#Headers],[Máquinas e Equipamentos (depreciação)]])-2,0)*($G164-$H164)</f>
        <v>0</v>
      </c>
      <c r="BL164" s="22">
        <f>VLOOKUP($A164,tabCustoUnit[],COLUMN(CUSTO_GLOBAL[[#Headers],[Produtos de Limpeza e Materiais de Higiene Pessoal]])-2,0)*($G164-$H164)</f>
        <v>0</v>
      </c>
      <c r="BM164" s="22">
        <f>VLOOKUP($A164,tabCustoUnit[],COLUMN(CUSTO_GLOBAL[[#Headers],[Outros (especificar)]])-2,0)*($G164-$H164)</f>
        <v>0</v>
      </c>
      <c r="BN164" s="22">
        <f>VLOOKUP($A164,tabCustoUnit[],COLUMN(CUSTO_GLOBAL[[#Headers],[MÓDULO 5 – INSUMOS DIVERSOS]])-2,0)*($G164-$H164)</f>
        <v>113.28595792508679</v>
      </c>
      <c r="BO164" s="22" t="e">
        <f ca="1">VLOOKUP($A164,tabCustoUnit[],COLUMN(CUSTO_GLOBAL[[#Headers],[TOTAL MÓDULOS 1+2+3+4+5]])-2,0)*($G164-$H164)</f>
        <v>#NAME?</v>
      </c>
      <c r="BP164" s="22" t="e">
        <f ca="1">VLOOKUP($A164,tabCustoUnit[],COLUMN(CUSTO_GLOBAL[[#Headers],[Custos Indiretos]])-2,0)*($G164-$H164)</f>
        <v>#NAME?</v>
      </c>
      <c r="BQ164" s="22" t="e">
        <f ca="1">VLOOKUP($A164,tabCustoUnit[],COLUMN(CUSTO_GLOBAL[[#Headers],[Lucro]])-2,0)*($G164-$H164)</f>
        <v>#NAME?</v>
      </c>
      <c r="BR164" s="26">
        <f>VLOOKUP($A164,tabCustoUnit[],COLUMN(CUSTO_GLOBAL[[#Headers],[COFINS]])-2,0)</f>
        <v>8.5633802816901458E-2</v>
      </c>
      <c r="BS164" s="26">
        <f>VLOOKUP($A164,tabCustoUnit[],COLUMN(CUSTO_GLOBAL[[#Headers],[PIS]])-2,0)</f>
        <v>1.8591549295774657E-2</v>
      </c>
      <c r="BT164" s="28">
        <f>VLOOKUP($A164,tabCustoUnit[],COLUMN(CUSTO_GLOBAL[[#Headers],[ISS]])-2,0)</f>
        <v>0.02</v>
      </c>
      <c r="BU164" s="26">
        <f>VLOOKUP($A164,tabCustoUnit[],COLUMN(CUSTO_GLOBAL[[#Headers],[ISS (Conversão Alíquota s/ fatura)]])-2,0)</f>
        <v>2.2535211267605645E-2</v>
      </c>
      <c r="BV164" s="26">
        <f>VLOOKUP($A164,tabCustoUnit[],COLUMN(CUSTO_GLOBAL[[#Headers],[Resumo de Alíquotas (PIS+CONFINS+ISS)]])-2,0)</f>
        <v>0.1125</v>
      </c>
      <c r="BW164" s="138">
        <f>VLOOKUP($A164,tabCustoUnit[],COLUMN(CUSTO_GLOBAL[[#Headers],[PIS + COFINS + ISS (Total Conversão  Alíquota s/ Fatura)]])-2,0)</f>
        <v>0.12676056338028174</v>
      </c>
      <c r="BX164" s="22" t="e">
        <f ca="1">VLOOKUP($A164,tabCustoUnit[],COLUMN(CUSTO_GLOBAL[[#Headers],[Valor dos Tributos (ISS, PIS, CONFINS)]])-2,0)*($G164-$H164)</f>
        <v>#NAME?</v>
      </c>
      <c r="BY164" s="22" t="e">
        <f ca="1">VLOOKUP($A164,tabCustoUnit[],COLUMN(CUSTO_GLOBAL[[#Headers],[MÓDULO 6 – CUSTOS INDIRETOS, TRIBUTOS E LUCRO]])-2,0)*($G164-$H164)</f>
        <v>#NAME?</v>
      </c>
      <c r="BZ164" s="22" t="e">
        <f ca="1">VLOOKUP($A164,tabCustoUnit[],COLUMN(CUSTO_GLOBAL[[#Headers],[CUSTO TOTAL MENSAL]])-2,0)*($G164-$H164)</f>
        <v>#NAME?</v>
      </c>
      <c r="CA164" s="22" t="e">
        <f ca="1">CUSTO_GLOBAL[[#This Row],[CUSTO TOTAL MENSAL]]*12</f>
        <v>#NAME?</v>
      </c>
      <c r="CB164" s="24">
        <f>VLOOKUP($A164,tabCustoUnit[],COLUMN(CUSTO_GLOBAL[[#Headers],[ANO DA CCT]])-2,0)</f>
        <v>45658</v>
      </c>
      <c r="CC164" s="25" t="str">
        <f>VLOOKUP($A164,tabCustoUnit[],COLUMN(CUSTO_GLOBAL[[#Headers],[Nº DE PEDIDO DA CCT]])-2,0)</f>
        <v>-</v>
      </c>
      <c r="CD164" s="25" t="str">
        <f>VLOOKUP($A164,tabCustoUnit[],COLUMN(CUSTO_GLOBAL[[#Headers],[TERMO ADITIVO ALTERAÇÃO DA CCT]])-2,0)</f>
        <v>-</v>
      </c>
    </row>
    <row r="165" spans="1:82">
      <c r="A165" s="20" t="s">
        <v>1615</v>
      </c>
      <c r="B165" t="s">
        <v>1143</v>
      </c>
      <c r="C165" t="s">
        <v>324</v>
      </c>
      <c r="D165" t="s">
        <v>1058</v>
      </c>
      <c r="E165" s="20" t="s">
        <v>1090</v>
      </c>
      <c r="F165" s="20" t="s">
        <v>120</v>
      </c>
      <c r="G165" s="20">
        <v>2</v>
      </c>
      <c r="H165" s="20">
        <v>0</v>
      </c>
      <c r="I165" s="21">
        <f>VLOOKUP($A165,tabCustoUnit[],COLUMN(CUSTO_GLOBAL[[#Headers],[Salário Base]])-2,0)*($G165-$H165)</f>
        <v>6794.2611999999999</v>
      </c>
      <c r="J165" s="21">
        <f>VLOOKUP($A165,tabCustoUnit[],COLUMN(CUSTO_GLOBAL[[#Headers],[Adicional Periculosidade]])-2,0)*($G165-$H165)</f>
        <v>0</v>
      </c>
      <c r="K165" s="21">
        <f>VLOOKUP($A165,tabCustoUnit[],COLUMN(CUSTO_GLOBAL[[#Headers],[Adicional Insalubridade]])-2,0)*($G165-$H165)</f>
        <v>0</v>
      </c>
      <c r="L165" s="21">
        <f>VLOOKUP($A165,tabCustoUnit[],COLUMN(CUSTO_GLOBAL[[#Headers],[Adicional Noturno]])-2,0)*($G165-$H165)</f>
        <v>0</v>
      </c>
      <c r="M165" s="21">
        <f>VLOOKUP($A165,tabCustoUnit[],COLUMN(CUSTO_GLOBAL[[#Headers],[Adicional Motorista II (Gratificação)]])-2,0)*($G165-$H165)</f>
        <v>0</v>
      </c>
      <c r="N165" s="21">
        <f>VLOOKUP($A165,tabCustoUnit[],COLUMN(CUSTO_GLOBAL[[#Headers],[Adicional de Sobreaviso]])-2,0)*($G165-$H165)</f>
        <v>0</v>
      </c>
      <c r="O165" s="21">
        <f>VLOOKUP($A165,tabCustoUnit[],COLUMN(CUSTO_GLOBAL[[#Headers],[Horas Extras TI]])-2,0)*($G165-$H165)</f>
        <v>0</v>
      </c>
      <c r="P165" s="21">
        <f>VLOOKUP($A165,tabCustoUnit[],COLUMN(CUSTO_GLOBAL[[#Headers],[Adicional de Acúmulo de função]])-2,0)*($G165-$H165)</f>
        <v>0</v>
      </c>
      <c r="Q165" s="21">
        <f>VLOOKUP($A165,tabCustoUnit[],COLUMN(CUSTO_GLOBAL[[#Headers],[MODULO 1 - REMUNERAÇÃO ]])-2,0)*($G165-$H165)</f>
        <v>6794.2611999999999</v>
      </c>
      <c r="R165" s="21">
        <f>VLOOKUP($A165,tabCustoUnit[],COLUMN(CUSTO_GLOBAL[[#Headers],[INSS]])-2,0)*($G165-$H165)</f>
        <v>1358.8522400000002</v>
      </c>
      <c r="S165" s="21">
        <f>VLOOKUP($A165,tabCustoUnit[],COLUMN(CUSTO_GLOBAL[[#Headers],[SESI OU SESC]])-2,0)*($G165-$H165)</f>
        <v>101.913918</v>
      </c>
      <c r="T165" s="21">
        <f>VLOOKUP($A165,tabCustoUnit[],COLUMN(CUSTO_GLOBAL[[#Headers],[SENAI OU SENAC]])-2,0)*($G165-$H165)</f>
        <v>67.942611999999997</v>
      </c>
      <c r="U165" s="21">
        <f>VLOOKUP($A165,tabCustoUnit[],COLUMN(CUSTO_GLOBAL[[#Headers],[INCRA]])-2,0)*($G165-$H165)</f>
        <v>13.5885224</v>
      </c>
      <c r="V165" s="21">
        <f>VLOOKUP($A165,tabCustoUnit[],COLUMN(CUSTO_GLOBAL[[#Headers],[Salário Educação]])-2,0)*($G165-$H165)</f>
        <v>169.85653000000002</v>
      </c>
      <c r="W165" s="21">
        <f>VLOOKUP($A165,tabCustoUnit[],COLUMN(CUSTO_GLOBAL[[#Headers],[FGTS]])-2,0)*($G165-$H165)</f>
        <v>543.54089599999998</v>
      </c>
      <c r="X165" s="21">
        <f>VLOOKUP($A165,tabCustoUnit[],COLUMN(CUSTO_GLOBAL[[#Headers],[RAT Ajustado]])-2,0)*($G165-$H165)</f>
        <v>271.77044799999999</v>
      </c>
      <c r="Y165" s="21">
        <f>VLOOKUP($A165,tabCustoUnit[],COLUMN(CUSTO_GLOBAL[[#Headers],[SEBRAE]])-2,0)*($G165-$H165)</f>
        <v>40.7655672</v>
      </c>
      <c r="Z165" s="21">
        <f>VLOOKUP($A165,tabCustoUnit[],COLUMN(CUSTO_GLOBAL[[#Headers],[Submódulo 2.1]])-2,0)*($G165-$H165)</f>
        <v>2568.2307336000003</v>
      </c>
      <c r="AA165" s="21">
        <f>VLOOKUP($A165,tabCustoUnit[],COLUMN(CUSTO_GLOBAL[[#Headers],[13º salário (titular)]])-2,0)*($G165-$H165)</f>
        <v>566.18843333333325</v>
      </c>
      <c r="AB165" s="21">
        <f>VLOOKUP($A165,tabCustoUnit[],COLUMN(CUSTO_GLOBAL[[#Headers],[Férias e Adicional de Férias (titular)]])-2,0)*($G165-$H165)</f>
        <v>754.91791111111104</v>
      </c>
      <c r="AC165" s="21">
        <f>VLOOKUP($A165,tabCustoUnit[],COLUMN(CUSTO_GLOBAL[[#Headers],[Incidência do Submódulo 2.1 sobre 13º Salário, Férias e Adicional de Férias]])-2,0)*($G165-$H165)</f>
        <v>499.37819820000004</v>
      </c>
      <c r="AD165" s="21">
        <f>VLOOKUP($A165,tabCustoUnit[],COLUMN(CUSTO_GLOBAL[[#Headers],[Submódulo 2.2]])-2,0)*($G165-$H165)</f>
        <v>1820.4845426444444</v>
      </c>
      <c r="AE165" s="22" t="e">
        <f ca="1">VLOOKUP($A165,tabCustoUnit[],COLUMN(CUSTO_GLOBAL[[#Headers],[Vale - Transporte (Descontada parcela do empregado)]])-2,0)*($G165-$H165)</f>
        <v>#NAME?</v>
      </c>
      <c r="AF165" s="22">
        <f>VLOOKUP($A165,tabCustoUnit[],COLUMN(CUSTO_GLOBAL[[#Headers],[Vale - Alimentação (Descontada parcela do empregado)]])-2,0)*($G165-$H165)</f>
        <v>1164</v>
      </c>
      <c r="AG165" s="22">
        <f>VLOOKUP($A165,tabCustoUnit[],COLUMN(CUSTO_GLOBAL[[#Headers],[Cesta Básica]])-2,0)*($G165-$H165)</f>
        <v>0</v>
      </c>
      <c r="AH165" s="22">
        <f>VLOOKUP($A165,tabCustoUnit[],COLUMN(CUSTO_GLOBAL[[#Headers],[PAF]])-2,0)*($G165-$H165)</f>
        <v>154.5</v>
      </c>
      <c r="AI165" s="22">
        <f>VLOOKUP($A165,tabCustoUnit[],COLUMN(CUSTO_GLOBAL[[#Headers],[PQM]])-2,0)*($G165-$H165)</f>
        <v>0</v>
      </c>
      <c r="AJ165" s="22">
        <v>0</v>
      </c>
      <c r="AK165" s="22">
        <f>VLOOKUP($A165,tabCustoUnit[],COLUMN(CUSTO_GLOBAL[[#Headers],[Seguro de Vida]])-2,0)*($G165-$H165)</f>
        <v>6.72</v>
      </c>
      <c r="AL165" s="22">
        <f>VLOOKUP($A165,tabCustoUnit[],COLUMN(CUSTO_GLOBAL[[#Headers],[Despesas de Viagem]])-2,0)*($G165-$H165)</f>
        <v>0</v>
      </c>
      <c r="AM165" s="22" t="e">
        <f ca="1">VLOOKUP($A165,tabCustoUnit[],COLUMN(CUSTO_GLOBAL[[#Headers],[Submódulo 2.3]])-2,0)*($G165-$H165)</f>
        <v>#NAME?</v>
      </c>
      <c r="AN165" s="22" t="e">
        <f ca="1">VLOOKUP($A165,tabCustoUnit[],COLUMN(CUSTO_GLOBAL[[#Headers],[MÓDULO 2 - Total Encargos e Benefícios mensais e diários]])-2,0)*($G165-$H165)</f>
        <v>#NAME?</v>
      </c>
      <c r="AO165" s="22">
        <f>VLOOKUP($A165,tabCustoUnit[],COLUMN(CUSTO_GLOBAL[[#Headers],[Aviso Prévio Indenizado (API) e Reflexo do Aviso Prévio Indenizado]])-2,0)*($G165-$H165)</f>
        <v>47.639776303780863</v>
      </c>
      <c r="AP165" s="22">
        <f>VLOOKUP($A165,tabCustoUnit[],COLUMN(CUSTO_GLOBAL[[#Headers],[Incidência do FGTS sobre API e Reflexo do API]])-2,0)*($G165-$H165)</f>
        <v>3.8111821043024694</v>
      </c>
      <c r="AQ165" s="22">
        <f>VLOOKUP($A165,tabCustoUnit[],COLUMN(CUSTO_GLOBAL[[#Headers],[Multa Rescisória do FGTS sobre o Aviso Prévio Indenizado]])-2,0)*($G165-$H165)</f>
        <v>1.5244728417209878</v>
      </c>
      <c r="AR165" s="22">
        <f>VLOOKUP($A165,tabCustoUnit[],COLUMN(CUSTO_GLOBAL[[#Headers],[Aviso Prévio Trabalhado - APT]])-2,0)*($G165-$H165)</f>
        <v>23.779914200000004</v>
      </c>
      <c r="AS165" s="22">
        <f>VLOOKUP($A165,tabCustoUnit[],COLUMN(CUSTO_GLOBAL[[#Headers],[Incidência dos encargos do submódulo 2.1 sobre Aviso Prévio Trabalhado]])-2,0)*($G165-$H165)</f>
        <v>8.9888075676000021</v>
      </c>
      <c r="AT165" s="22">
        <f>VLOOKUP($A165,tabCustoUnit[],COLUMN(CUSTO_GLOBAL[[#Headers],[Multa Rescisória do FGTS]])-2,0)*($G165-$H165)</f>
        <v>207.75340913777774</v>
      </c>
      <c r="AU165" s="22">
        <f>VLOOKUP($A165,tabCustoUnit[],COLUMN(CUSTO_GLOBAL[[#Headers],[Indenização Adicional (Art. 9º da Lei nº 7.238/84)]])-2,0)*($G165-$H165)</f>
        <v>5.661884333333334</v>
      </c>
      <c r="AV165" s="22">
        <f>VLOOKUP($A165,tabCustoUnit[],COLUMN(CUSTO_GLOBAL[[#Headers],[MÓDULO 3 – PROVISÃO PARA RESCISÃO]])-2,0)*($G165-$H165)</f>
        <v>299.15944648851541</v>
      </c>
      <c r="AW165" s="22">
        <f>VLOOKUP($A165,tabCustoUnit[],COLUMN(CUSTO_GLOBAL[[#Headers],[Ausência por Doença]])-2,0)*($G165-$H165)</f>
        <v>57.373761244444438</v>
      </c>
      <c r="AX165" s="22">
        <f>VLOOKUP($A165,tabCustoUnit[],COLUMN(CUSTO_GLOBAL[[#Headers],[Ausências Legais]])-2,0)*($G165-$H165)</f>
        <v>13.777251877777777</v>
      </c>
      <c r="AY165" s="22">
        <f>VLOOKUP($A165,tabCustoUnit[],COLUMN(CUSTO_GLOBAL[[#Headers],[Licença Paternidade]])-2,0)*($G165-$H165)</f>
        <v>1.1606862883333333</v>
      </c>
      <c r="AZ165" s="22">
        <f>VLOOKUP($A165,tabCustoUnit[],COLUMN(CUSTO_GLOBAL[[#Headers],[Ausência por Acidente de Trabalho]])-2,0)*($G165-$H165)</f>
        <v>1.4154710833333335</v>
      </c>
      <c r="BA165" s="22">
        <f>VLOOKUP($A165,tabCustoUnit[],COLUMN(CUSTO_GLOBAL[[#Headers],[Férias, Adicional de Férias e 13º  com empregada em gozo de Licença Maternidade]])-2,0)*($G165-$H165)</f>
        <v>8.8073756296296288</v>
      </c>
      <c r="BB165" s="22">
        <f>VLOOKUP($A165,tabCustoUnit[],COLUMN(CUSTO_GLOBAL[[#Headers],[Incidência do Submódulo 2.1 sobre Ausências Legais]])-2,0)*($G165-$H165)</f>
        <v>31.198058434690005</v>
      </c>
      <c r="BC165" s="22">
        <f>VLOOKUP($A165,tabCustoUnit[],COLUMN(CUSTO_GLOBAL[[#Headers],[Submódulo 4.1]])-2,0)*($G165-$H165)</f>
        <v>113.73260455820852</v>
      </c>
      <c r="BD165" s="22">
        <f>VLOOKUP($A165,tabCustoUnit[],COLUMN(CUSTO_GLOBAL[[#Headers],[Intervalo para Repouso ou Alimentação]])-2,0)*($G165-$H165)</f>
        <v>0</v>
      </c>
      <c r="BE165" s="22">
        <f>VLOOKUP($A165,tabCustoUnit[],COLUMN(CUSTO_GLOBAL[[#Headers],[Submódulo 4.2]])-2,0)*($G165-$H165)</f>
        <v>0</v>
      </c>
      <c r="BF165" s="22">
        <f>VLOOKUP($A165,tabCustoUnit[],COLUMN(CUSTO_GLOBAL[[#Headers],[Suspensão Temporária do Contrato de Trabalho]])-2,0)*($G165-$H165)</f>
        <v>0</v>
      </c>
      <c r="BG165" s="22">
        <f>VLOOKUP($A165,tabCustoUnit[],COLUMN(CUSTO_GLOBAL[[#Headers],[Submódulo 4.3]])-2,0)*($G165-$H165)</f>
        <v>0</v>
      </c>
      <c r="BH165" s="22">
        <f>VLOOKUP($A165,tabCustoUnit[],COLUMN(CUSTO_GLOBAL[[#Headers],[MÓDULO 4 – CUSTO DE REPOSIÇÃO DO PROFISSIONAL AUSENTE]])-2,0)*($G165-$H165)</f>
        <v>113.73260455820852</v>
      </c>
      <c r="BI165" s="22">
        <f>VLOOKUP($A165,tabCustoUnit[],COLUMN(CUSTO_GLOBAL[[#Headers],[Uniformes e EPIs]])-2,0)*($G165-$H165)</f>
        <v>113.28595792508679</v>
      </c>
      <c r="BJ165" s="22">
        <f>VLOOKUP($A165,tabCustoUnit[],COLUMN(CUSTO_GLOBAL[[#Headers],[Materiais de Consumo]])-2,0)*($G165-$H165)</f>
        <v>0</v>
      </c>
      <c r="BK165" s="22">
        <f>VLOOKUP($A165,tabCustoUnit[],COLUMN(CUSTO_GLOBAL[[#Headers],[Máquinas e Equipamentos (depreciação)]])-2,0)*($G165-$H165)</f>
        <v>0</v>
      </c>
      <c r="BL165" s="22">
        <f>VLOOKUP($A165,tabCustoUnit[],COLUMN(CUSTO_GLOBAL[[#Headers],[Produtos de Limpeza e Materiais de Higiene Pessoal]])-2,0)*($G165-$H165)</f>
        <v>0</v>
      </c>
      <c r="BM165" s="22">
        <f>VLOOKUP($A165,tabCustoUnit[],COLUMN(CUSTO_GLOBAL[[#Headers],[Outros (especificar)]])-2,0)*($G165-$H165)</f>
        <v>0</v>
      </c>
      <c r="BN165" s="22">
        <f>VLOOKUP($A165,tabCustoUnit[],COLUMN(CUSTO_GLOBAL[[#Headers],[MÓDULO 5 – INSUMOS DIVERSOS]])-2,0)*($G165-$H165)</f>
        <v>113.28595792508679</v>
      </c>
      <c r="BO165" s="22" t="e">
        <f ca="1">VLOOKUP($A165,tabCustoUnit[],COLUMN(CUSTO_GLOBAL[[#Headers],[TOTAL MÓDULOS 1+2+3+4+5]])-2,0)*($G165-$H165)</f>
        <v>#NAME?</v>
      </c>
      <c r="BP165" s="22" t="e">
        <f ca="1">VLOOKUP($A165,tabCustoUnit[],COLUMN(CUSTO_GLOBAL[[#Headers],[Custos Indiretos]])-2,0)*($G165-$H165)</f>
        <v>#NAME?</v>
      </c>
      <c r="BQ165" s="22" t="e">
        <f ca="1">VLOOKUP($A165,tabCustoUnit[],COLUMN(CUSTO_GLOBAL[[#Headers],[Lucro]])-2,0)*($G165-$H165)</f>
        <v>#NAME?</v>
      </c>
      <c r="BR165" s="26">
        <f>VLOOKUP($A165,tabCustoUnit[],COLUMN(CUSTO_GLOBAL[[#Headers],[COFINS]])-2,0)</f>
        <v>8.5633802816901458E-2</v>
      </c>
      <c r="BS165" s="26">
        <f>VLOOKUP($A165,tabCustoUnit[],COLUMN(CUSTO_GLOBAL[[#Headers],[PIS]])-2,0)</f>
        <v>1.8591549295774657E-2</v>
      </c>
      <c r="BT165" s="28">
        <f>VLOOKUP($A165,tabCustoUnit[],COLUMN(CUSTO_GLOBAL[[#Headers],[ISS]])-2,0)</f>
        <v>0.02</v>
      </c>
      <c r="BU165" s="26">
        <f>VLOOKUP($A165,tabCustoUnit[],COLUMN(CUSTO_GLOBAL[[#Headers],[ISS (Conversão Alíquota s/ fatura)]])-2,0)</f>
        <v>2.2535211267605645E-2</v>
      </c>
      <c r="BV165" s="26">
        <f>VLOOKUP($A165,tabCustoUnit[],COLUMN(CUSTO_GLOBAL[[#Headers],[Resumo de Alíquotas (PIS+CONFINS+ISS)]])-2,0)</f>
        <v>0.1125</v>
      </c>
      <c r="BW165" s="138">
        <f>VLOOKUP($A165,tabCustoUnit[],COLUMN(CUSTO_GLOBAL[[#Headers],[PIS + COFINS + ISS (Total Conversão  Alíquota s/ Fatura)]])-2,0)</f>
        <v>0.12676056338028174</v>
      </c>
      <c r="BX165" s="22" t="e">
        <f ca="1">VLOOKUP($A165,tabCustoUnit[],COLUMN(CUSTO_GLOBAL[[#Headers],[Valor dos Tributos (ISS, PIS, CONFINS)]])-2,0)*($G165-$H165)</f>
        <v>#NAME?</v>
      </c>
      <c r="BY165" s="22" t="e">
        <f ca="1">VLOOKUP($A165,tabCustoUnit[],COLUMN(CUSTO_GLOBAL[[#Headers],[MÓDULO 6 – CUSTOS INDIRETOS, TRIBUTOS E LUCRO]])-2,0)*($G165-$H165)</f>
        <v>#NAME?</v>
      </c>
      <c r="BZ165" s="22" t="e">
        <f ca="1">VLOOKUP($A165,tabCustoUnit[],COLUMN(CUSTO_GLOBAL[[#Headers],[CUSTO TOTAL MENSAL]])-2,0)*($G165-$H165)</f>
        <v>#NAME?</v>
      </c>
      <c r="CA165" s="22" t="e">
        <f ca="1">CUSTO_GLOBAL[[#This Row],[CUSTO TOTAL MENSAL]]*12</f>
        <v>#NAME?</v>
      </c>
      <c r="CB165" s="24">
        <f>VLOOKUP($A165,tabCustoUnit[],COLUMN(CUSTO_GLOBAL[[#Headers],[ANO DA CCT]])-2,0)</f>
        <v>45658</v>
      </c>
      <c r="CC165" s="25" t="str">
        <f>VLOOKUP($A165,tabCustoUnit[],COLUMN(CUSTO_GLOBAL[[#Headers],[Nº DE PEDIDO DA CCT]])-2,0)</f>
        <v>-</v>
      </c>
      <c r="CD165" s="25" t="str">
        <f>VLOOKUP($A165,tabCustoUnit[],COLUMN(CUSTO_GLOBAL[[#Headers],[TERMO ADITIVO ALTERAÇÃO DA CCT]])-2,0)</f>
        <v>-</v>
      </c>
    </row>
    <row r="166" spans="1:82">
      <c r="A166" s="20" t="s">
        <v>1476</v>
      </c>
      <c r="B166" t="s">
        <v>1144</v>
      </c>
      <c r="C166" t="s">
        <v>200</v>
      </c>
      <c r="D166" t="s">
        <v>1041</v>
      </c>
      <c r="E166" s="20" t="s">
        <v>1090</v>
      </c>
      <c r="F166" s="20" t="s">
        <v>120</v>
      </c>
      <c r="G166" s="20">
        <v>2</v>
      </c>
      <c r="H166" s="20">
        <v>0</v>
      </c>
      <c r="I166" s="21">
        <f>VLOOKUP($A166,tabCustoUnit[],COLUMN(CUSTO_GLOBAL[[#Headers],[Salário Base]])-2,0)*($G166-$H166)</f>
        <v>3192.5475999999999</v>
      </c>
      <c r="J166" s="21">
        <f>VLOOKUP($A166,tabCustoUnit[],COLUMN(CUSTO_GLOBAL[[#Headers],[Adicional Periculosidade]])-2,0)*($G166-$H166)</f>
        <v>0</v>
      </c>
      <c r="K166" s="21">
        <f>VLOOKUP($A166,tabCustoUnit[],COLUMN(CUSTO_GLOBAL[[#Headers],[Adicional Insalubridade]])-2,0)*($G166-$H166)</f>
        <v>0</v>
      </c>
      <c r="L166" s="21">
        <f>VLOOKUP($A166,tabCustoUnit[],COLUMN(CUSTO_GLOBAL[[#Headers],[Adicional Noturno]])-2,0)*($G166-$H166)</f>
        <v>0</v>
      </c>
      <c r="M166" s="21">
        <f>VLOOKUP($A166,tabCustoUnit[],COLUMN(CUSTO_GLOBAL[[#Headers],[Adicional Motorista II (Gratificação)]])-2,0)*($G166-$H166)</f>
        <v>0</v>
      </c>
      <c r="N166" s="21">
        <f>VLOOKUP($A166,tabCustoUnit[],COLUMN(CUSTO_GLOBAL[[#Headers],[Adicional de Sobreaviso]])-2,0)*($G166-$H166)</f>
        <v>0</v>
      </c>
      <c r="O166" s="21">
        <f>VLOOKUP($A166,tabCustoUnit[],COLUMN(CUSTO_GLOBAL[[#Headers],[Horas Extras TI]])-2,0)*($G166-$H166)</f>
        <v>0</v>
      </c>
      <c r="P166" s="21">
        <f>VLOOKUP($A166,tabCustoUnit[],COLUMN(CUSTO_GLOBAL[[#Headers],[Adicional de Acúmulo de função]])-2,0)*($G166-$H166)</f>
        <v>0</v>
      </c>
      <c r="Q166" s="21">
        <f>VLOOKUP($A166,tabCustoUnit[],COLUMN(CUSTO_GLOBAL[[#Headers],[MODULO 1 - REMUNERAÇÃO ]])-2,0)*($G166-$H166)</f>
        <v>3192.5475999999999</v>
      </c>
      <c r="R166" s="21">
        <f>VLOOKUP($A166,tabCustoUnit[],COLUMN(CUSTO_GLOBAL[[#Headers],[INSS]])-2,0)*($G166-$H166)</f>
        <v>638.50952000000007</v>
      </c>
      <c r="S166" s="21">
        <f>VLOOKUP($A166,tabCustoUnit[],COLUMN(CUSTO_GLOBAL[[#Headers],[SESI OU SESC]])-2,0)*($G166-$H166)</f>
        <v>47.888213999999998</v>
      </c>
      <c r="T166" s="21">
        <f>VLOOKUP($A166,tabCustoUnit[],COLUMN(CUSTO_GLOBAL[[#Headers],[SENAI OU SENAC]])-2,0)*($G166-$H166)</f>
        <v>31.925476</v>
      </c>
      <c r="U166" s="21">
        <f>VLOOKUP($A166,tabCustoUnit[],COLUMN(CUSTO_GLOBAL[[#Headers],[INCRA]])-2,0)*($G166-$H166)</f>
        <v>6.3850952000000003</v>
      </c>
      <c r="V166" s="21">
        <f>VLOOKUP($A166,tabCustoUnit[],COLUMN(CUSTO_GLOBAL[[#Headers],[Salário Educação]])-2,0)*($G166-$H166)</f>
        <v>79.813690000000008</v>
      </c>
      <c r="W166" s="21">
        <f>VLOOKUP($A166,tabCustoUnit[],COLUMN(CUSTO_GLOBAL[[#Headers],[FGTS]])-2,0)*($G166-$H166)</f>
        <v>255.403808</v>
      </c>
      <c r="X166" s="21">
        <f>VLOOKUP($A166,tabCustoUnit[],COLUMN(CUSTO_GLOBAL[[#Headers],[RAT Ajustado]])-2,0)*($G166-$H166)</f>
        <v>127.701904</v>
      </c>
      <c r="Y166" s="21">
        <f>VLOOKUP($A166,tabCustoUnit[],COLUMN(CUSTO_GLOBAL[[#Headers],[SEBRAE]])-2,0)*($G166-$H166)</f>
        <v>19.155285599999999</v>
      </c>
      <c r="Z166" s="21">
        <f>VLOOKUP($A166,tabCustoUnit[],COLUMN(CUSTO_GLOBAL[[#Headers],[Submódulo 2.1]])-2,0)*($G166-$H166)</f>
        <v>1206.7829928000001</v>
      </c>
      <c r="AA166" s="21">
        <f>VLOOKUP($A166,tabCustoUnit[],COLUMN(CUSTO_GLOBAL[[#Headers],[13º salário (titular)]])-2,0)*($G166-$H166)</f>
        <v>266.04563333333329</v>
      </c>
      <c r="AB166" s="21">
        <f>VLOOKUP($A166,tabCustoUnit[],COLUMN(CUSTO_GLOBAL[[#Headers],[Férias e Adicional de Férias (titular)]])-2,0)*($G166-$H166)</f>
        <v>354.72751111111108</v>
      </c>
      <c r="AC166" s="21">
        <f>VLOOKUP($A166,tabCustoUnit[],COLUMN(CUSTO_GLOBAL[[#Headers],[Incidência do Submódulo 2.1 sobre 13º Salário, Férias e Adicional de Férias]])-2,0)*($G166-$H166)</f>
        <v>234.65224860000001</v>
      </c>
      <c r="AD166" s="21">
        <f>VLOOKUP($A166,tabCustoUnit[],COLUMN(CUSTO_GLOBAL[[#Headers],[Submódulo 2.2]])-2,0)*($G166-$H166)</f>
        <v>855.42539304444438</v>
      </c>
      <c r="AE166" s="22" t="e">
        <f ca="1">VLOOKUP($A166,tabCustoUnit[],COLUMN(CUSTO_GLOBAL[[#Headers],[Vale - Transporte (Descontada parcela do empregado)]])-2,0)*($G166-$H166)</f>
        <v>#NAME?</v>
      </c>
      <c r="AF166" s="22">
        <f>VLOOKUP($A166,tabCustoUnit[],COLUMN(CUSTO_GLOBAL[[#Headers],[Vale - Alimentação (Descontada parcela do empregado)]])-2,0)*($G166-$H166)</f>
        <v>1164</v>
      </c>
      <c r="AG166" s="22">
        <f>VLOOKUP($A166,tabCustoUnit[],COLUMN(CUSTO_GLOBAL[[#Headers],[Cesta Básica]])-2,0)*($G166-$H166)</f>
        <v>0</v>
      </c>
      <c r="AH166" s="22">
        <f>VLOOKUP($A166,tabCustoUnit[],COLUMN(CUSTO_GLOBAL[[#Headers],[PAF]])-2,0)*($G166-$H166)</f>
        <v>103.72</v>
      </c>
      <c r="AI166" s="22">
        <f>VLOOKUP($A166,tabCustoUnit[],COLUMN(CUSTO_GLOBAL[[#Headers],[PQM]])-2,0)*($G166-$H166)</f>
        <v>0</v>
      </c>
      <c r="AJ166" s="22">
        <v>0</v>
      </c>
      <c r="AK166" s="22">
        <f>VLOOKUP($A166,tabCustoUnit[],COLUMN(CUSTO_GLOBAL[[#Headers],[Seguro de Vida]])-2,0)*($G166-$H166)</f>
        <v>6.72</v>
      </c>
      <c r="AL166" s="22">
        <f>VLOOKUP($A166,tabCustoUnit[],COLUMN(CUSTO_GLOBAL[[#Headers],[Despesas de Viagem]])-2,0)*($G166-$H166)</f>
        <v>0</v>
      </c>
      <c r="AM166" s="22" t="e">
        <f ca="1">VLOOKUP($A166,tabCustoUnit[],COLUMN(CUSTO_GLOBAL[[#Headers],[Submódulo 2.3]])-2,0)*($G166-$H166)</f>
        <v>#NAME?</v>
      </c>
      <c r="AN166" s="22" t="e">
        <f ca="1">VLOOKUP($A166,tabCustoUnit[],COLUMN(CUSTO_GLOBAL[[#Headers],[MÓDULO 2 - Total Encargos e Benefícios mensais e diários]])-2,0)*($G166-$H166)</f>
        <v>#NAME?</v>
      </c>
      <c r="AO166" s="22">
        <f>VLOOKUP($A166,tabCustoUnit[],COLUMN(CUSTO_GLOBAL[[#Headers],[Aviso Prévio Indenizado (API) e Reflexo do Aviso Prévio Indenizado]])-2,0)*($G166-$H166)</f>
        <v>22.385399828780862</v>
      </c>
      <c r="AP166" s="22">
        <f>VLOOKUP($A166,tabCustoUnit[],COLUMN(CUSTO_GLOBAL[[#Headers],[Incidência do FGTS sobre API e Reflexo do API]])-2,0)*($G166-$H166)</f>
        <v>1.7908319863024693</v>
      </c>
      <c r="AQ166" s="22">
        <f>VLOOKUP($A166,tabCustoUnit[],COLUMN(CUSTO_GLOBAL[[#Headers],[Multa Rescisória do FGTS sobre o Aviso Prévio Indenizado]])-2,0)*($G166-$H166)</f>
        <v>0.71633279452098775</v>
      </c>
      <c r="AR166" s="22">
        <f>VLOOKUP($A166,tabCustoUnit[],COLUMN(CUSTO_GLOBAL[[#Headers],[Aviso Prévio Trabalhado - APT]])-2,0)*($G166-$H166)</f>
        <v>11.173916600000002</v>
      </c>
      <c r="AS166" s="22">
        <f>VLOOKUP($A166,tabCustoUnit[],COLUMN(CUSTO_GLOBAL[[#Headers],[Incidência dos encargos do submódulo 2.1 sobre Aviso Prévio Trabalhado]])-2,0)*($G166-$H166)</f>
        <v>4.2237404748000014</v>
      </c>
      <c r="AT166" s="22">
        <f>VLOOKUP($A166,tabCustoUnit[],COLUMN(CUSTO_GLOBAL[[#Headers],[Multa Rescisória do FGTS]])-2,0)*($G166-$H166)</f>
        <v>97.621011057777764</v>
      </c>
      <c r="AU166" s="22">
        <f>VLOOKUP($A166,tabCustoUnit[],COLUMN(CUSTO_GLOBAL[[#Headers],[Indenização Adicional (Art. 9º da Lei nº 7.238/84)]])-2,0)*($G166-$H166)</f>
        <v>2.6604563333333333</v>
      </c>
      <c r="AV166" s="22">
        <f>VLOOKUP($A166,tabCustoUnit[],COLUMN(CUSTO_GLOBAL[[#Headers],[MÓDULO 3 – PROVISÃO PARA RESCISÃO]])-2,0)*($G166-$H166)</f>
        <v>140.57168907551542</v>
      </c>
      <c r="AW166" s="22">
        <f>VLOOKUP($A166,tabCustoUnit[],COLUMN(CUSTO_GLOBAL[[#Headers],[Ausência por Doença]])-2,0)*($G166-$H166)</f>
        <v>26.959290844444443</v>
      </c>
      <c r="AX166" s="22">
        <f>VLOOKUP($A166,tabCustoUnit[],COLUMN(CUSTO_GLOBAL[[#Headers],[Ausências Legais]])-2,0)*($G166-$H166)</f>
        <v>6.4737770777777772</v>
      </c>
      <c r="AY166" s="22">
        <f>VLOOKUP($A166,tabCustoUnit[],COLUMN(CUSTO_GLOBAL[[#Headers],[Licença Paternidade]])-2,0)*($G166-$H166)</f>
        <v>0.54539354833333331</v>
      </c>
      <c r="AZ166" s="22">
        <f>VLOOKUP($A166,tabCustoUnit[],COLUMN(CUSTO_GLOBAL[[#Headers],[Ausência por Acidente de Trabalho]])-2,0)*($G166-$H166)</f>
        <v>0.66511408333333333</v>
      </c>
      <c r="BA166" s="22">
        <f>VLOOKUP($A166,tabCustoUnit[],COLUMN(CUSTO_GLOBAL[[#Headers],[Férias, Adicional de Férias e 13º  com empregada em gozo de Licença Maternidade]])-2,0)*($G166-$H166)</f>
        <v>4.1384876296296289</v>
      </c>
      <c r="BB166" s="22">
        <f>VLOOKUP($A166,tabCustoUnit[],COLUMN(CUSTO_GLOBAL[[#Headers],[Incidência do Submódulo 2.1 sobre Ausências Legais]])-2,0)*($G166-$H166)</f>
        <v>14.659619883370002</v>
      </c>
      <c r="BC166" s="22">
        <f>VLOOKUP($A166,tabCustoUnit[],COLUMN(CUSTO_GLOBAL[[#Headers],[Submódulo 4.1]])-2,0)*($G166-$H166)</f>
        <v>53.44168306688853</v>
      </c>
      <c r="BD166" s="22">
        <f>VLOOKUP($A166,tabCustoUnit[],COLUMN(CUSTO_GLOBAL[[#Headers],[Intervalo para Repouso ou Alimentação]])-2,0)*($G166-$H166)</f>
        <v>0</v>
      </c>
      <c r="BE166" s="22">
        <f>VLOOKUP($A166,tabCustoUnit[],COLUMN(CUSTO_GLOBAL[[#Headers],[Submódulo 4.2]])-2,0)*($G166-$H166)</f>
        <v>0</v>
      </c>
      <c r="BF166" s="22">
        <f>VLOOKUP($A166,tabCustoUnit[],COLUMN(CUSTO_GLOBAL[[#Headers],[Suspensão Temporária do Contrato de Trabalho]])-2,0)*($G166-$H166)</f>
        <v>0</v>
      </c>
      <c r="BG166" s="22">
        <f>VLOOKUP($A166,tabCustoUnit[],COLUMN(CUSTO_GLOBAL[[#Headers],[Submódulo 4.3]])-2,0)*($G166-$H166)</f>
        <v>0</v>
      </c>
      <c r="BH166" s="22">
        <f>VLOOKUP($A166,tabCustoUnit[],COLUMN(CUSTO_GLOBAL[[#Headers],[MÓDULO 4 – CUSTO DE REPOSIÇÃO DO PROFISSIONAL AUSENTE]])-2,0)*($G166-$H166)</f>
        <v>53.44168306688853</v>
      </c>
      <c r="BI166" s="22">
        <f>VLOOKUP($A166,tabCustoUnit[],COLUMN(CUSTO_GLOBAL[[#Headers],[Uniformes e EPIs]])-2,0)*($G166-$H166)</f>
        <v>112.28342732397984</v>
      </c>
      <c r="BJ166" s="22">
        <f>VLOOKUP($A166,tabCustoUnit[],COLUMN(CUSTO_GLOBAL[[#Headers],[Materiais de Consumo]])-2,0)*($G166-$H166)</f>
        <v>0</v>
      </c>
      <c r="BK166" s="22">
        <f>VLOOKUP($A166,tabCustoUnit[],COLUMN(CUSTO_GLOBAL[[#Headers],[Máquinas e Equipamentos (depreciação)]])-2,0)*($G166-$H166)</f>
        <v>0</v>
      </c>
      <c r="BL166" s="22">
        <f>VLOOKUP($A166,tabCustoUnit[],COLUMN(CUSTO_GLOBAL[[#Headers],[Produtos de Limpeza e Materiais de Higiene Pessoal]])-2,0)*($G166-$H166)</f>
        <v>0</v>
      </c>
      <c r="BM166" s="22">
        <f>VLOOKUP($A166,tabCustoUnit[],COLUMN(CUSTO_GLOBAL[[#Headers],[Outros (especificar)]])-2,0)*($G166-$H166)</f>
        <v>0</v>
      </c>
      <c r="BN166" s="22">
        <f>VLOOKUP($A166,tabCustoUnit[],COLUMN(CUSTO_GLOBAL[[#Headers],[MÓDULO 5 – INSUMOS DIVERSOS]])-2,0)*($G166-$H166)</f>
        <v>112.28342732397984</v>
      </c>
      <c r="BO166" s="22" t="e">
        <f ca="1">VLOOKUP($A166,tabCustoUnit[],COLUMN(CUSTO_GLOBAL[[#Headers],[TOTAL MÓDULOS 1+2+3+4+5]])-2,0)*($G166-$H166)</f>
        <v>#NAME?</v>
      </c>
      <c r="BP166" s="22" t="e">
        <f ca="1">VLOOKUP($A166,tabCustoUnit[],COLUMN(CUSTO_GLOBAL[[#Headers],[Custos Indiretos]])-2,0)*($G166-$H166)</f>
        <v>#NAME?</v>
      </c>
      <c r="BQ166" s="22" t="e">
        <f ca="1">VLOOKUP($A166,tabCustoUnit[],COLUMN(CUSTO_GLOBAL[[#Headers],[Lucro]])-2,0)*($G166-$H166)</f>
        <v>#NAME?</v>
      </c>
      <c r="BR166" s="26">
        <f>VLOOKUP($A166,tabCustoUnit[],COLUMN(CUSTO_GLOBAL[[#Headers],[COFINS]])-2,0)</f>
        <v>8.6609686609686695E-2</v>
      </c>
      <c r="BS166" s="26">
        <f>VLOOKUP($A166,tabCustoUnit[],COLUMN(CUSTO_GLOBAL[[#Headers],[PIS]])-2,0)</f>
        <v>1.880341880341882E-2</v>
      </c>
      <c r="BT166" s="28">
        <f>VLOOKUP($A166,tabCustoUnit[],COLUMN(CUSTO_GLOBAL[[#Headers],[ISS]])-2,0)</f>
        <v>0.03</v>
      </c>
      <c r="BU166" s="26">
        <f>VLOOKUP($A166,tabCustoUnit[],COLUMN(CUSTO_GLOBAL[[#Headers],[ISS (Conversão Alíquota s/ fatura)]])-2,0)</f>
        <v>3.4188034188034219E-2</v>
      </c>
      <c r="BV166" s="26">
        <f>VLOOKUP($A166,tabCustoUnit[],COLUMN(CUSTO_GLOBAL[[#Headers],[Resumo de Alíquotas (PIS+CONFINS+ISS)]])-2,0)</f>
        <v>0.1225</v>
      </c>
      <c r="BW166" s="138">
        <f>VLOOKUP($A166,tabCustoUnit[],COLUMN(CUSTO_GLOBAL[[#Headers],[PIS + COFINS + ISS (Total Conversão  Alíquota s/ Fatura)]])-2,0)</f>
        <v>0.13960113960113973</v>
      </c>
      <c r="BX166" s="22" t="e">
        <f ca="1">VLOOKUP($A166,tabCustoUnit[],COLUMN(CUSTO_GLOBAL[[#Headers],[Valor dos Tributos (ISS, PIS, CONFINS)]])-2,0)*($G166-$H166)</f>
        <v>#NAME?</v>
      </c>
      <c r="BY166" s="22" t="e">
        <f ca="1">VLOOKUP($A166,tabCustoUnit[],COLUMN(CUSTO_GLOBAL[[#Headers],[MÓDULO 6 – CUSTOS INDIRETOS, TRIBUTOS E LUCRO]])-2,0)*($G166-$H166)</f>
        <v>#NAME?</v>
      </c>
      <c r="BZ166" s="22" t="e">
        <f ca="1">VLOOKUP($A166,tabCustoUnit[],COLUMN(CUSTO_GLOBAL[[#Headers],[CUSTO TOTAL MENSAL]])-2,0)*($G166-$H166)</f>
        <v>#NAME?</v>
      </c>
      <c r="CA166" s="22" t="e">
        <f ca="1">CUSTO_GLOBAL[[#This Row],[CUSTO TOTAL MENSAL]]*12</f>
        <v>#NAME?</v>
      </c>
      <c r="CB166" s="24">
        <f>VLOOKUP($A166,tabCustoUnit[],COLUMN(CUSTO_GLOBAL[[#Headers],[ANO DA CCT]])-2,0)</f>
        <v>45658</v>
      </c>
      <c r="CC166" s="25" t="str">
        <f>VLOOKUP($A166,tabCustoUnit[],COLUMN(CUSTO_GLOBAL[[#Headers],[Nº DE PEDIDO DA CCT]])-2,0)</f>
        <v>-</v>
      </c>
      <c r="CD166" s="25" t="str">
        <f>VLOOKUP($A166,tabCustoUnit[],COLUMN(CUSTO_GLOBAL[[#Headers],[TERMO ADITIVO ALTERAÇÃO DA CCT]])-2,0)</f>
        <v>-</v>
      </c>
    </row>
    <row r="167" spans="1:82">
      <c r="A167" s="20" t="s">
        <v>1616</v>
      </c>
      <c r="B167" t="s">
        <v>1144</v>
      </c>
      <c r="C167" t="s">
        <v>314</v>
      </c>
      <c r="D167" t="s">
        <v>1041</v>
      </c>
      <c r="E167" s="20" t="s">
        <v>1090</v>
      </c>
      <c r="F167" s="20" t="s">
        <v>120</v>
      </c>
      <c r="G167" s="20">
        <v>1</v>
      </c>
      <c r="H167" s="20">
        <v>0</v>
      </c>
      <c r="I167" s="21">
        <f>VLOOKUP($A167,tabCustoUnit[],COLUMN(CUSTO_GLOBAL[[#Headers],[Salário Base]])-2,0)*($G167-$H167)</f>
        <v>1963.4110000000001</v>
      </c>
      <c r="J167" s="21">
        <f>VLOOKUP($A167,tabCustoUnit[],COLUMN(CUSTO_GLOBAL[[#Headers],[Adicional Periculosidade]])-2,0)*($G167-$H167)</f>
        <v>0</v>
      </c>
      <c r="K167" s="21">
        <f>VLOOKUP($A167,tabCustoUnit[],COLUMN(CUSTO_GLOBAL[[#Headers],[Adicional Insalubridade]])-2,0)*($G167-$H167)</f>
        <v>0</v>
      </c>
      <c r="L167" s="21">
        <f>VLOOKUP($A167,tabCustoUnit[],COLUMN(CUSTO_GLOBAL[[#Headers],[Adicional Noturno]])-2,0)*($G167-$H167)</f>
        <v>0</v>
      </c>
      <c r="M167" s="21">
        <f>VLOOKUP($A167,tabCustoUnit[],COLUMN(CUSTO_GLOBAL[[#Headers],[Adicional Motorista II (Gratificação)]])-2,0)*($G167-$H167)</f>
        <v>0</v>
      </c>
      <c r="N167" s="21">
        <f>VLOOKUP($A167,tabCustoUnit[],COLUMN(CUSTO_GLOBAL[[#Headers],[Adicional de Sobreaviso]])-2,0)*($G167-$H167)</f>
        <v>0</v>
      </c>
      <c r="O167" s="21">
        <f>VLOOKUP($A167,tabCustoUnit[],COLUMN(CUSTO_GLOBAL[[#Headers],[Horas Extras TI]])-2,0)*($G167-$H167)</f>
        <v>0</v>
      </c>
      <c r="P167" s="21">
        <f>VLOOKUP($A167,tabCustoUnit[],COLUMN(CUSTO_GLOBAL[[#Headers],[Adicional de Acúmulo de função]])-2,0)*($G167-$H167)</f>
        <v>0</v>
      </c>
      <c r="Q167" s="21">
        <f>VLOOKUP($A167,tabCustoUnit[],COLUMN(CUSTO_GLOBAL[[#Headers],[MODULO 1 - REMUNERAÇÃO ]])-2,0)*($G167-$H167)</f>
        <v>1963.4110000000001</v>
      </c>
      <c r="R167" s="21">
        <f>VLOOKUP($A167,tabCustoUnit[],COLUMN(CUSTO_GLOBAL[[#Headers],[INSS]])-2,0)*($G167-$H167)</f>
        <v>392.68220000000002</v>
      </c>
      <c r="S167" s="21">
        <f>VLOOKUP($A167,tabCustoUnit[],COLUMN(CUSTO_GLOBAL[[#Headers],[SESI OU SESC]])-2,0)*($G167-$H167)</f>
        <v>29.451165</v>
      </c>
      <c r="T167" s="21">
        <f>VLOOKUP($A167,tabCustoUnit[],COLUMN(CUSTO_GLOBAL[[#Headers],[SENAI OU SENAC]])-2,0)*($G167-$H167)</f>
        <v>19.63411</v>
      </c>
      <c r="U167" s="21">
        <f>VLOOKUP($A167,tabCustoUnit[],COLUMN(CUSTO_GLOBAL[[#Headers],[INCRA]])-2,0)*($G167-$H167)</f>
        <v>3.926822</v>
      </c>
      <c r="V167" s="21">
        <f>VLOOKUP($A167,tabCustoUnit[],COLUMN(CUSTO_GLOBAL[[#Headers],[Salário Educação]])-2,0)*($G167-$H167)</f>
        <v>49.085275000000003</v>
      </c>
      <c r="W167" s="21">
        <f>VLOOKUP($A167,tabCustoUnit[],COLUMN(CUSTO_GLOBAL[[#Headers],[FGTS]])-2,0)*($G167-$H167)</f>
        <v>157.07288</v>
      </c>
      <c r="X167" s="21">
        <f>VLOOKUP($A167,tabCustoUnit[],COLUMN(CUSTO_GLOBAL[[#Headers],[RAT Ajustado]])-2,0)*($G167-$H167)</f>
        <v>78.536439999999999</v>
      </c>
      <c r="Y167" s="21">
        <f>VLOOKUP($A167,tabCustoUnit[],COLUMN(CUSTO_GLOBAL[[#Headers],[SEBRAE]])-2,0)*($G167-$H167)</f>
        <v>11.780466000000001</v>
      </c>
      <c r="Z167" s="21">
        <f>VLOOKUP($A167,tabCustoUnit[],COLUMN(CUSTO_GLOBAL[[#Headers],[Submódulo 2.1]])-2,0)*($G167-$H167)</f>
        <v>742.1693580000001</v>
      </c>
      <c r="AA167" s="21">
        <f>VLOOKUP($A167,tabCustoUnit[],COLUMN(CUSTO_GLOBAL[[#Headers],[13º salário (titular)]])-2,0)*($G167-$H167)</f>
        <v>163.61758333333333</v>
      </c>
      <c r="AB167" s="21">
        <f>VLOOKUP($A167,tabCustoUnit[],COLUMN(CUSTO_GLOBAL[[#Headers],[Férias e Adicional de Férias (titular)]])-2,0)*($G167-$H167)</f>
        <v>218.15677777777776</v>
      </c>
      <c r="AC167" s="21">
        <f>VLOOKUP($A167,tabCustoUnit[],COLUMN(CUSTO_GLOBAL[[#Headers],[Incidência do Submódulo 2.1 sobre 13º Salário, Férias e Adicional de Férias]])-2,0)*($G167-$H167)</f>
        <v>144.3107085</v>
      </c>
      <c r="AD167" s="21">
        <f>VLOOKUP($A167,tabCustoUnit[],COLUMN(CUSTO_GLOBAL[[#Headers],[Submódulo 2.2]])-2,0)*($G167-$H167)</f>
        <v>526.08506961111107</v>
      </c>
      <c r="AE167" s="22" t="e">
        <f ca="1">VLOOKUP($A167,tabCustoUnit[],COLUMN(CUSTO_GLOBAL[[#Headers],[Vale - Transporte (Descontada parcela do empregado)]])-2,0)*($G167-$H167)</f>
        <v>#NAME?</v>
      </c>
      <c r="AF167" s="22">
        <f>VLOOKUP($A167,tabCustoUnit[],COLUMN(CUSTO_GLOBAL[[#Headers],[Vale - Alimentação (Descontada parcela do empregado)]])-2,0)*($G167-$H167)</f>
        <v>582</v>
      </c>
      <c r="AG167" s="22">
        <f>VLOOKUP($A167,tabCustoUnit[],COLUMN(CUSTO_GLOBAL[[#Headers],[Cesta Básica]])-2,0)*($G167-$H167)</f>
        <v>0</v>
      </c>
      <c r="AH167" s="22">
        <f>VLOOKUP($A167,tabCustoUnit[],COLUMN(CUSTO_GLOBAL[[#Headers],[PAF]])-2,0)*($G167-$H167)</f>
        <v>51.86</v>
      </c>
      <c r="AI167" s="22">
        <f>VLOOKUP($A167,tabCustoUnit[],COLUMN(CUSTO_GLOBAL[[#Headers],[PQM]])-2,0)*($G167-$H167)</f>
        <v>0</v>
      </c>
      <c r="AJ167" s="22">
        <v>0</v>
      </c>
      <c r="AK167" s="22">
        <f>VLOOKUP($A167,tabCustoUnit[],COLUMN(CUSTO_GLOBAL[[#Headers],[Seguro de Vida]])-2,0)*($G167-$H167)</f>
        <v>3.36</v>
      </c>
      <c r="AL167" s="22">
        <f>VLOOKUP($A167,tabCustoUnit[],COLUMN(CUSTO_GLOBAL[[#Headers],[Despesas de Viagem]])-2,0)*($G167-$H167)</f>
        <v>0</v>
      </c>
      <c r="AM167" s="22" t="e">
        <f ca="1">VLOOKUP($A167,tabCustoUnit[],COLUMN(CUSTO_GLOBAL[[#Headers],[Submódulo 2.3]])-2,0)*($G167-$H167)</f>
        <v>#NAME?</v>
      </c>
      <c r="AN167" s="22" t="e">
        <f ca="1">VLOOKUP($A167,tabCustoUnit[],COLUMN(CUSTO_GLOBAL[[#Headers],[MÓDULO 2 - Total Encargos e Benefícios mensais e diários]])-2,0)*($G167-$H167)</f>
        <v>#NAME?</v>
      </c>
      <c r="AO167" s="22">
        <f>VLOOKUP($A167,tabCustoUnit[],COLUMN(CUSTO_GLOBAL[[#Headers],[Aviso Prévio Indenizado (API) e Reflexo do Aviso Prévio Indenizado]])-2,0)*($G167-$H167)</f>
        <v>13.766980408757716</v>
      </c>
      <c r="AP167" s="22">
        <f>VLOOKUP($A167,tabCustoUnit[],COLUMN(CUSTO_GLOBAL[[#Headers],[Incidência do FGTS sobre API e Reflexo do API]])-2,0)*($G167-$H167)</f>
        <v>1.1013584327006174</v>
      </c>
      <c r="AQ167" s="22">
        <f>VLOOKUP($A167,tabCustoUnit[],COLUMN(CUSTO_GLOBAL[[#Headers],[Multa Rescisória do FGTS sobre o Aviso Prévio Indenizado]])-2,0)*($G167-$H167)</f>
        <v>0.44054337308024699</v>
      </c>
      <c r="AR167" s="22">
        <f>VLOOKUP($A167,tabCustoUnit[],COLUMN(CUSTO_GLOBAL[[#Headers],[Aviso Prévio Trabalhado - APT]])-2,0)*($G167-$H167)</f>
        <v>6.8719385000000015</v>
      </c>
      <c r="AS167" s="22">
        <f>VLOOKUP($A167,tabCustoUnit[],COLUMN(CUSTO_GLOBAL[[#Headers],[Incidência dos encargos do submódulo 2.1 sobre Aviso Prévio Trabalhado]])-2,0)*($G167-$H167)</f>
        <v>2.5975927530000007</v>
      </c>
      <c r="AT167" s="22">
        <f>VLOOKUP($A167,tabCustoUnit[],COLUMN(CUSTO_GLOBAL[[#Headers],[Multa Rescisória do FGTS]])-2,0)*($G167-$H167)</f>
        <v>60.03674524444444</v>
      </c>
      <c r="AU167" s="22">
        <f>VLOOKUP($A167,tabCustoUnit[],COLUMN(CUSTO_GLOBAL[[#Headers],[Indenização Adicional (Art. 9º da Lei nº 7.238/84)]])-2,0)*($G167-$H167)</f>
        <v>1.6361758333333334</v>
      </c>
      <c r="AV167" s="22">
        <f>VLOOKUP($A167,tabCustoUnit[],COLUMN(CUSTO_GLOBAL[[#Headers],[MÓDULO 3 – PROVISÃO PARA RESCISÃO]])-2,0)*($G167-$H167)</f>
        <v>86.451334545316371</v>
      </c>
      <c r="AW167" s="22">
        <f>VLOOKUP($A167,tabCustoUnit[],COLUMN(CUSTO_GLOBAL[[#Headers],[Ausência por Doença]])-2,0)*($G167-$H167)</f>
        <v>16.579915111111109</v>
      </c>
      <c r="AX167" s="22">
        <f>VLOOKUP($A167,tabCustoUnit[],COLUMN(CUSTO_GLOBAL[[#Headers],[Ausências Legais]])-2,0)*($G167-$H167)</f>
        <v>3.9813611944444443</v>
      </c>
      <c r="AY167" s="22">
        <f>VLOOKUP($A167,tabCustoUnit[],COLUMN(CUSTO_GLOBAL[[#Headers],[Licença Paternidade]])-2,0)*($G167-$H167)</f>
        <v>0.33541604583333334</v>
      </c>
      <c r="AZ167" s="22">
        <f>VLOOKUP($A167,tabCustoUnit[],COLUMN(CUSTO_GLOBAL[[#Headers],[Ausência por Acidente de Trabalho]])-2,0)*($G167-$H167)</f>
        <v>0.40904395833333335</v>
      </c>
      <c r="BA167" s="22">
        <f>VLOOKUP($A167,tabCustoUnit[],COLUMN(CUSTO_GLOBAL[[#Headers],[Férias, Adicional de Férias e 13º  com empregada em gozo de Licença Maternidade]])-2,0)*($G167-$H167)</f>
        <v>2.5451624074074073</v>
      </c>
      <c r="BB167" s="22">
        <f>VLOOKUP($A167,tabCustoUnit[],COLUMN(CUSTO_GLOBAL[[#Headers],[Incidência do Submódulo 2.1 sobre Ausências Legais]])-2,0)*($G167-$H167)</f>
        <v>9.0156397150750021</v>
      </c>
      <c r="BC167" s="22">
        <f>VLOOKUP($A167,tabCustoUnit[],COLUMN(CUSTO_GLOBAL[[#Headers],[Submódulo 4.1]])-2,0)*($G167-$H167)</f>
        <v>32.866538432204628</v>
      </c>
      <c r="BD167" s="22">
        <f>VLOOKUP($A167,tabCustoUnit[],COLUMN(CUSTO_GLOBAL[[#Headers],[Intervalo para Repouso ou Alimentação]])-2,0)*($G167-$H167)</f>
        <v>267.73786489195959</v>
      </c>
      <c r="BE167" s="22">
        <f>VLOOKUP($A167,tabCustoUnit[],COLUMN(CUSTO_GLOBAL[[#Headers],[Submódulo 4.2]])-2,0)*($G167-$H167)</f>
        <v>267.73786489195959</v>
      </c>
      <c r="BF167" s="22">
        <f>VLOOKUP($A167,tabCustoUnit[],COLUMN(CUSTO_GLOBAL[[#Headers],[Suspensão Temporária do Contrato de Trabalho]])-2,0)*($G167-$H167)</f>
        <v>0</v>
      </c>
      <c r="BG167" s="22">
        <f>VLOOKUP($A167,tabCustoUnit[],COLUMN(CUSTO_GLOBAL[[#Headers],[Submódulo 4.3]])-2,0)*($G167-$H167)</f>
        <v>0</v>
      </c>
      <c r="BH167" s="22">
        <f>VLOOKUP($A167,tabCustoUnit[],COLUMN(CUSTO_GLOBAL[[#Headers],[MÓDULO 4 – CUSTO DE REPOSIÇÃO DO PROFISSIONAL AUSENTE]])-2,0)*($G167-$H167)</f>
        <v>300.6044033241642</v>
      </c>
      <c r="BI167" s="22">
        <f>VLOOKUP($A167,tabCustoUnit[],COLUMN(CUSTO_GLOBAL[[#Headers],[Uniformes e EPIs]])-2,0)*($G167-$H167)</f>
        <v>56.642978962543395</v>
      </c>
      <c r="BJ167" s="22">
        <f>VLOOKUP($A167,tabCustoUnit[],COLUMN(CUSTO_GLOBAL[[#Headers],[Materiais de Consumo]])-2,0)*($G167-$H167)</f>
        <v>0</v>
      </c>
      <c r="BK167" s="22">
        <f>VLOOKUP($A167,tabCustoUnit[],COLUMN(CUSTO_GLOBAL[[#Headers],[Máquinas e Equipamentos (depreciação)]])-2,0)*($G167-$H167)</f>
        <v>0</v>
      </c>
      <c r="BL167" s="22">
        <f>VLOOKUP($A167,tabCustoUnit[],COLUMN(CUSTO_GLOBAL[[#Headers],[Produtos de Limpeza e Materiais de Higiene Pessoal]])-2,0)*($G167-$H167)</f>
        <v>0</v>
      </c>
      <c r="BM167" s="22">
        <f>VLOOKUP($A167,tabCustoUnit[],COLUMN(CUSTO_GLOBAL[[#Headers],[Outros (especificar)]])-2,0)*($G167-$H167)</f>
        <v>0</v>
      </c>
      <c r="BN167" s="22">
        <f>VLOOKUP($A167,tabCustoUnit[],COLUMN(CUSTO_GLOBAL[[#Headers],[MÓDULO 5 – INSUMOS DIVERSOS]])-2,0)*($G167-$H167)</f>
        <v>56.642978962543395</v>
      </c>
      <c r="BO167" s="22" t="e">
        <f ca="1">VLOOKUP($A167,tabCustoUnit[],COLUMN(CUSTO_GLOBAL[[#Headers],[TOTAL MÓDULOS 1+2+3+4+5]])-2,0)*($G167-$H167)</f>
        <v>#NAME?</v>
      </c>
      <c r="BP167" s="22" t="e">
        <f ca="1">VLOOKUP($A167,tabCustoUnit[],COLUMN(CUSTO_GLOBAL[[#Headers],[Custos Indiretos]])-2,0)*($G167-$H167)</f>
        <v>#NAME?</v>
      </c>
      <c r="BQ167" s="22" t="e">
        <f ca="1">VLOOKUP($A167,tabCustoUnit[],COLUMN(CUSTO_GLOBAL[[#Headers],[Lucro]])-2,0)*($G167-$H167)</f>
        <v>#NAME?</v>
      </c>
      <c r="BR167" s="26">
        <f>VLOOKUP($A167,tabCustoUnit[],COLUMN(CUSTO_GLOBAL[[#Headers],[COFINS]])-2,0)</f>
        <v>8.6609686609686695E-2</v>
      </c>
      <c r="BS167" s="26">
        <f>VLOOKUP($A167,tabCustoUnit[],COLUMN(CUSTO_GLOBAL[[#Headers],[PIS]])-2,0)</f>
        <v>1.880341880341882E-2</v>
      </c>
      <c r="BT167" s="28">
        <f>VLOOKUP($A167,tabCustoUnit[],COLUMN(CUSTO_GLOBAL[[#Headers],[ISS]])-2,0)</f>
        <v>0.03</v>
      </c>
      <c r="BU167" s="26">
        <f>VLOOKUP($A167,tabCustoUnit[],COLUMN(CUSTO_GLOBAL[[#Headers],[ISS (Conversão Alíquota s/ fatura)]])-2,0)</f>
        <v>3.4188034188034219E-2</v>
      </c>
      <c r="BV167" s="26">
        <f>VLOOKUP($A167,tabCustoUnit[],COLUMN(CUSTO_GLOBAL[[#Headers],[Resumo de Alíquotas (PIS+CONFINS+ISS)]])-2,0)</f>
        <v>0.1225</v>
      </c>
      <c r="BW167" s="138">
        <f>VLOOKUP($A167,tabCustoUnit[],COLUMN(CUSTO_GLOBAL[[#Headers],[PIS + COFINS + ISS (Total Conversão  Alíquota s/ Fatura)]])-2,0)</f>
        <v>0.13960113960113973</v>
      </c>
      <c r="BX167" s="22" t="e">
        <f ca="1">VLOOKUP($A167,tabCustoUnit[],COLUMN(CUSTO_GLOBAL[[#Headers],[Valor dos Tributos (ISS, PIS, CONFINS)]])-2,0)*($G167-$H167)</f>
        <v>#NAME?</v>
      </c>
      <c r="BY167" s="22" t="e">
        <f ca="1">VLOOKUP($A167,tabCustoUnit[],COLUMN(CUSTO_GLOBAL[[#Headers],[MÓDULO 6 – CUSTOS INDIRETOS, TRIBUTOS E LUCRO]])-2,0)*($G167-$H167)</f>
        <v>#NAME?</v>
      </c>
      <c r="BZ167" s="22" t="e">
        <f ca="1">VLOOKUP($A167,tabCustoUnit[],COLUMN(CUSTO_GLOBAL[[#Headers],[CUSTO TOTAL MENSAL]])-2,0)*($G167-$H167)</f>
        <v>#NAME?</v>
      </c>
      <c r="CA167" s="22" t="e">
        <f ca="1">CUSTO_GLOBAL[[#This Row],[CUSTO TOTAL MENSAL]]*12</f>
        <v>#NAME?</v>
      </c>
      <c r="CB167" s="24">
        <f>VLOOKUP($A167,tabCustoUnit[],COLUMN(CUSTO_GLOBAL[[#Headers],[ANO DA CCT]])-2,0)</f>
        <v>45658</v>
      </c>
      <c r="CC167" s="25" t="str">
        <f>VLOOKUP($A167,tabCustoUnit[],COLUMN(CUSTO_GLOBAL[[#Headers],[Nº DE PEDIDO DA CCT]])-2,0)</f>
        <v>-</v>
      </c>
      <c r="CD167" s="25" t="str">
        <f>VLOOKUP($A167,tabCustoUnit[],COLUMN(CUSTO_GLOBAL[[#Headers],[TERMO ADITIVO ALTERAÇÃO DA CCT]])-2,0)</f>
        <v>-</v>
      </c>
    </row>
    <row r="168" spans="1:82">
      <c r="A168" s="20" t="s">
        <v>1477</v>
      </c>
      <c r="B168" t="s">
        <v>1145</v>
      </c>
      <c r="C168" t="s">
        <v>200</v>
      </c>
      <c r="D168" t="s">
        <v>918</v>
      </c>
      <c r="E168" s="20" t="s">
        <v>1090</v>
      </c>
      <c r="F168" s="20" t="s">
        <v>120</v>
      </c>
      <c r="G168" s="20">
        <v>1</v>
      </c>
      <c r="H168" s="20">
        <v>0</v>
      </c>
      <c r="I168" s="21">
        <f>VLOOKUP($A168,tabCustoUnit[],COLUMN(CUSTO_GLOBAL[[#Headers],[Salário Base]])-2,0)*($G168-$H168)</f>
        <v>1596.2737999999999</v>
      </c>
      <c r="J168" s="21">
        <f>VLOOKUP($A168,tabCustoUnit[],COLUMN(CUSTO_GLOBAL[[#Headers],[Adicional Periculosidade]])-2,0)*($G168-$H168)</f>
        <v>0</v>
      </c>
      <c r="K168" s="21">
        <f>VLOOKUP($A168,tabCustoUnit[],COLUMN(CUSTO_GLOBAL[[#Headers],[Adicional Insalubridade]])-2,0)*($G168-$H168)</f>
        <v>0</v>
      </c>
      <c r="L168" s="21">
        <f>VLOOKUP($A168,tabCustoUnit[],COLUMN(CUSTO_GLOBAL[[#Headers],[Adicional Noturno]])-2,0)*($G168-$H168)</f>
        <v>0</v>
      </c>
      <c r="M168" s="21">
        <f>VLOOKUP($A168,tabCustoUnit[],COLUMN(CUSTO_GLOBAL[[#Headers],[Adicional Motorista II (Gratificação)]])-2,0)*($G168-$H168)</f>
        <v>0</v>
      </c>
      <c r="N168" s="21">
        <f>VLOOKUP($A168,tabCustoUnit[],COLUMN(CUSTO_GLOBAL[[#Headers],[Adicional de Sobreaviso]])-2,0)*($G168-$H168)</f>
        <v>0</v>
      </c>
      <c r="O168" s="21">
        <f>VLOOKUP($A168,tabCustoUnit[],COLUMN(CUSTO_GLOBAL[[#Headers],[Horas Extras TI]])-2,0)*($G168-$H168)</f>
        <v>0</v>
      </c>
      <c r="P168" s="21">
        <f>VLOOKUP($A168,tabCustoUnit[],COLUMN(CUSTO_GLOBAL[[#Headers],[Adicional de Acúmulo de função]])-2,0)*($G168-$H168)</f>
        <v>0</v>
      </c>
      <c r="Q168" s="21">
        <f>VLOOKUP($A168,tabCustoUnit[],COLUMN(CUSTO_GLOBAL[[#Headers],[MODULO 1 - REMUNERAÇÃO ]])-2,0)*($G168-$H168)</f>
        <v>1596.2737999999999</v>
      </c>
      <c r="R168" s="21">
        <f>VLOOKUP($A168,tabCustoUnit[],COLUMN(CUSTO_GLOBAL[[#Headers],[INSS]])-2,0)*($G168-$H168)</f>
        <v>319.25476000000003</v>
      </c>
      <c r="S168" s="21">
        <f>VLOOKUP($A168,tabCustoUnit[],COLUMN(CUSTO_GLOBAL[[#Headers],[SESI OU SESC]])-2,0)*($G168-$H168)</f>
        <v>23.944106999999999</v>
      </c>
      <c r="T168" s="21">
        <f>VLOOKUP($A168,tabCustoUnit[],COLUMN(CUSTO_GLOBAL[[#Headers],[SENAI OU SENAC]])-2,0)*($G168-$H168)</f>
        <v>15.962738</v>
      </c>
      <c r="U168" s="21">
        <f>VLOOKUP($A168,tabCustoUnit[],COLUMN(CUSTO_GLOBAL[[#Headers],[INCRA]])-2,0)*($G168-$H168)</f>
        <v>3.1925476000000002</v>
      </c>
      <c r="V168" s="21">
        <f>VLOOKUP($A168,tabCustoUnit[],COLUMN(CUSTO_GLOBAL[[#Headers],[Salário Educação]])-2,0)*($G168-$H168)</f>
        <v>39.906845000000004</v>
      </c>
      <c r="W168" s="21">
        <f>VLOOKUP($A168,tabCustoUnit[],COLUMN(CUSTO_GLOBAL[[#Headers],[FGTS]])-2,0)*($G168-$H168)</f>
        <v>127.701904</v>
      </c>
      <c r="X168" s="21">
        <f>VLOOKUP($A168,tabCustoUnit[],COLUMN(CUSTO_GLOBAL[[#Headers],[RAT Ajustado]])-2,0)*($G168-$H168)</f>
        <v>63.850951999999999</v>
      </c>
      <c r="Y168" s="21">
        <f>VLOOKUP($A168,tabCustoUnit[],COLUMN(CUSTO_GLOBAL[[#Headers],[SEBRAE]])-2,0)*($G168-$H168)</f>
        <v>9.5776427999999996</v>
      </c>
      <c r="Z168" s="21">
        <f>VLOOKUP($A168,tabCustoUnit[],COLUMN(CUSTO_GLOBAL[[#Headers],[Submódulo 2.1]])-2,0)*($G168-$H168)</f>
        <v>603.39149640000005</v>
      </c>
      <c r="AA168" s="21">
        <f>VLOOKUP($A168,tabCustoUnit[],COLUMN(CUSTO_GLOBAL[[#Headers],[13º salário (titular)]])-2,0)*($G168-$H168)</f>
        <v>133.02281666666664</v>
      </c>
      <c r="AB168" s="21">
        <f>VLOOKUP($A168,tabCustoUnit[],COLUMN(CUSTO_GLOBAL[[#Headers],[Férias e Adicional de Férias (titular)]])-2,0)*($G168-$H168)</f>
        <v>177.36375555555554</v>
      </c>
      <c r="AC168" s="21">
        <f>VLOOKUP($A168,tabCustoUnit[],COLUMN(CUSTO_GLOBAL[[#Headers],[Incidência do Submódulo 2.1 sobre 13º Salário, Férias e Adicional de Férias]])-2,0)*($G168-$H168)</f>
        <v>117.3261243</v>
      </c>
      <c r="AD168" s="21">
        <f>VLOOKUP($A168,tabCustoUnit[],COLUMN(CUSTO_GLOBAL[[#Headers],[Submódulo 2.2]])-2,0)*($G168-$H168)</f>
        <v>427.71269652222219</v>
      </c>
      <c r="AE168" s="22" t="e">
        <f ca="1">VLOOKUP($A168,tabCustoUnit[],COLUMN(CUSTO_GLOBAL[[#Headers],[Vale - Transporte (Descontada parcela do empregado)]])-2,0)*($G168-$H168)</f>
        <v>#NAME?</v>
      </c>
      <c r="AF168" s="22">
        <f>VLOOKUP($A168,tabCustoUnit[],COLUMN(CUSTO_GLOBAL[[#Headers],[Vale - Alimentação (Descontada parcela do empregado)]])-2,0)*($G168-$H168)</f>
        <v>582</v>
      </c>
      <c r="AG168" s="22">
        <f>VLOOKUP($A168,tabCustoUnit[],COLUMN(CUSTO_GLOBAL[[#Headers],[Cesta Básica]])-2,0)*($G168-$H168)</f>
        <v>0</v>
      </c>
      <c r="AH168" s="22">
        <f>VLOOKUP($A168,tabCustoUnit[],COLUMN(CUSTO_GLOBAL[[#Headers],[PAF]])-2,0)*($G168-$H168)</f>
        <v>0</v>
      </c>
      <c r="AI168" s="22">
        <f>VLOOKUP($A168,tabCustoUnit[],COLUMN(CUSTO_GLOBAL[[#Headers],[PQM]])-2,0)*($G168-$H168)</f>
        <v>15.07</v>
      </c>
      <c r="AJ168" s="22">
        <v>0</v>
      </c>
      <c r="AK168" s="22">
        <f>VLOOKUP($A168,tabCustoUnit[],COLUMN(CUSTO_GLOBAL[[#Headers],[Seguro de Vida]])-2,0)*($G168-$H168)</f>
        <v>3.36</v>
      </c>
      <c r="AL168" s="22">
        <f>VLOOKUP($A168,tabCustoUnit[],COLUMN(CUSTO_GLOBAL[[#Headers],[Despesas de Viagem]])-2,0)*($G168-$H168)</f>
        <v>0</v>
      </c>
      <c r="AM168" s="22" t="e">
        <f ca="1">VLOOKUP($A168,tabCustoUnit[],COLUMN(CUSTO_GLOBAL[[#Headers],[Submódulo 2.3]])-2,0)*($G168-$H168)</f>
        <v>#NAME?</v>
      </c>
      <c r="AN168" s="22" t="e">
        <f ca="1">VLOOKUP($A168,tabCustoUnit[],COLUMN(CUSTO_GLOBAL[[#Headers],[MÓDULO 2 - Total Encargos e Benefícios mensais e diários]])-2,0)*($G168-$H168)</f>
        <v>#NAME?</v>
      </c>
      <c r="AO168" s="22">
        <f>VLOOKUP($A168,tabCustoUnit[],COLUMN(CUSTO_GLOBAL[[#Headers],[Aviso Prévio Indenizado (API) e Reflexo do Aviso Prévio Indenizado]])-2,0)*($G168-$H168)</f>
        <v>11.192699914390431</v>
      </c>
      <c r="AP168" s="22">
        <f>VLOOKUP($A168,tabCustoUnit[],COLUMN(CUSTO_GLOBAL[[#Headers],[Incidência do FGTS sobre API e Reflexo do API]])-2,0)*($G168-$H168)</f>
        <v>0.89541599315123466</v>
      </c>
      <c r="AQ168" s="22">
        <f>VLOOKUP($A168,tabCustoUnit[],COLUMN(CUSTO_GLOBAL[[#Headers],[Multa Rescisória do FGTS sobre o Aviso Prévio Indenizado]])-2,0)*($G168-$H168)</f>
        <v>0.35816639726049387</v>
      </c>
      <c r="AR168" s="22">
        <f>VLOOKUP($A168,tabCustoUnit[],COLUMN(CUSTO_GLOBAL[[#Headers],[Aviso Prévio Trabalhado - APT]])-2,0)*($G168-$H168)</f>
        <v>5.5869583000000009</v>
      </c>
      <c r="AS168" s="22">
        <f>VLOOKUP($A168,tabCustoUnit[],COLUMN(CUSTO_GLOBAL[[#Headers],[Incidência dos encargos do submódulo 2.1 sobre Aviso Prévio Trabalhado]])-2,0)*($G168-$H168)</f>
        <v>2.1118702374000007</v>
      </c>
      <c r="AT168" s="22">
        <f>VLOOKUP($A168,tabCustoUnit[],COLUMN(CUSTO_GLOBAL[[#Headers],[Multa Rescisória do FGTS]])-2,0)*($G168-$H168)</f>
        <v>48.810505528888882</v>
      </c>
      <c r="AU168" s="22">
        <f>VLOOKUP($A168,tabCustoUnit[],COLUMN(CUSTO_GLOBAL[[#Headers],[Indenização Adicional (Art. 9º da Lei nº 7.238/84)]])-2,0)*($G168-$H168)</f>
        <v>1.3302281666666667</v>
      </c>
      <c r="AV168" s="22">
        <f>VLOOKUP($A168,tabCustoUnit[],COLUMN(CUSTO_GLOBAL[[#Headers],[MÓDULO 3 – PROVISÃO PARA RESCISÃO]])-2,0)*($G168-$H168)</f>
        <v>70.285844537757711</v>
      </c>
      <c r="AW168" s="22">
        <f>VLOOKUP($A168,tabCustoUnit[],COLUMN(CUSTO_GLOBAL[[#Headers],[Ausência por Doença]])-2,0)*($G168-$H168)</f>
        <v>13.479645422222221</v>
      </c>
      <c r="AX168" s="22">
        <f>VLOOKUP($A168,tabCustoUnit[],COLUMN(CUSTO_GLOBAL[[#Headers],[Ausências Legais]])-2,0)*($G168-$H168)</f>
        <v>3.2368885388888886</v>
      </c>
      <c r="AY168" s="22">
        <f>VLOOKUP($A168,tabCustoUnit[],COLUMN(CUSTO_GLOBAL[[#Headers],[Licença Paternidade]])-2,0)*($G168-$H168)</f>
        <v>0.27269677416666666</v>
      </c>
      <c r="AZ168" s="22">
        <f>VLOOKUP($A168,tabCustoUnit[],COLUMN(CUSTO_GLOBAL[[#Headers],[Ausência por Acidente de Trabalho]])-2,0)*($G168-$H168)</f>
        <v>0.33255704166666666</v>
      </c>
      <c r="BA168" s="22">
        <f>VLOOKUP($A168,tabCustoUnit[],COLUMN(CUSTO_GLOBAL[[#Headers],[Férias, Adicional de Férias e 13º  com empregada em gozo de Licença Maternidade]])-2,0)*($G168-$H168)</f>
        <v>2.0692438148148145</v>
      </c>
      <c r="BB168" s="22">
        <f>VLOOKUP($A168,tabCustoUnit[],COLUMN(CUSTO_GLOBAL[[#Headers],[Incidência do Submódulo 2.1 sobre Ausências Legais]])-2,0)*($G168-$H168)</f>
        <v>7.3298099416850011</v>
      </c>
      <c r="BC168" s="22">
        <f>VLOOKUP($A168,tabCustoUnit[],COLUMN(CUSTO_GLOBAL[[#Headers],[Submódulo 4.1]])-2,0)*($G168-$H168)</f>
        <v>26.720841533444265</v>
      </c>
      <c r="BD168" s="22">
        <f>VLOOKUP($A168,tabCustoUnit[],COLUMN(CUSTO_GLOBAL[[#Headers],[Intervalo para Repouso ou Alimentação]])-2,0)*($G168-$H168)</f>
        <v>0</v>
      </c>
      <c r="BE168" s="22">
        <f>VLOOKUP($A168,tabCustoUnit[],COLUMN(CUSTO_GLOBAL[[#Headers],[Submódulo 4.2]])-2,0)*($G168-$H168)</f>
        <v>0</v>
      </c>
      <c r="BF168" s="22">
        <f>VLOOKUP($A168,tabCustoUnit[],COLUMN(CUSTO_GLOBAL[[#Headers],[Suspensão Temporária do Contrato de Trabalho]])-2,0)*($G168-$H168)</f>
        <v>0</v>
      </c>
      <c r="BG168" s="22">
        <f>VLOOKUP($A168,tabCustoUnit[],COLUMN(CUSTO_GLOBAL[[#Headers],[Submódulo 4.3]])-2,0)*($G168-$H168)</f>
        <v>0</v>
      </c>
      <c r="BH168" s="22">
        <f>VLOOKUP($A168,tabCustoUnit[],COLUMN(CUSTO_GLOBAL[[#Headers],[MÓDULO 4 – CUSTO DE REPOSIÇÃO DO PROFISSIONAL AUSENTE]])-2,0)*($G168-$H168)</f>
        <v>26.720841533444265</v>
      </c>
      <c r="BI168" s="22">
        <f>VLOOKUP($A168,tabCustoUnit[],COLUMN(CUSTO_GLOBAL[[#Headers],[Uniformes e EPIs]])-2,0)*($G168-$H168)</f>
        <v>56.141713661989918</v>
      </c>
      <c r="BJ168" s="22">
        <f>VLOOKUP($A168,tabCustoUnit[],COLUMN(CUSTO_GLOBAL[[#Headers],[Materiais de Consumo]])-2,0)*($G168-$H168)</f>
        <v>0</v>
      </c>
      <c r="BK168" s="22">
        <f>VLOOKUP($A168,tabCustoUnit[],COLUMN(CUSTO_GLOBAL[[#Headers],[Máquinas e Equipamentos (depreciação)]])-2,0)*($G168-$H168)</f>
        <v>0</v>
      </c>
      <c r="BL168" s="22">
        <f>VLOOKUP($A168,tabCustoUnit[],COLUMN(CUSTO_GLOBAL[[#Headers],[Produtos de Limpeza e Materiais de Higiene Pessoal]])-2,0)*($G168-$H168)</f>
        <v>0</v>
      </c>
      <c r="BM168" s="22">
        <f>VLOOKUP($A168,tabCustoUnit[],COLUMN(CUSTO_GLOBAL[[#Headers],[Outros (especificar)]])-2,0)*($G168-$H168)</f>
        <v>0</v>
      </c>
      <c r="BN168" s="22">
        <f>VLOOKUP($A168,tabCustoUnit[],COLUMN(CUSTO_GLOBAL[[#Headers],[MÓDULO 5 – INSUMOS DIVERSOS]])-2,0)*($G168-$H168)</f>
        <v>56.141713661989918</v>
      </c>
      <c r="BO168" s="22" t="e">
        <f ca="1">VLOOKUP($A168,tabCustoUnit[],COLUMN(CUSTO_GLOBAL[[#Headers],[TOTAL MÓDULOS 1+2+3+4+5]])-2,0)*($G168-$H168)</f>
        <v>#NAME?</v>
      </c>
      <c r="BP168" s="22" t="e">
        <f ca="1">VLOOKUP($A168,tabCustoUnit[],COLUMN(CUSTO_GLOBAL[[#Headers],[Custos Indiretos]])-2,0)*($G168-$H168)</f>
        <v>#NAME?</v>
      </c>
      <c r="BQ168" s="22" t="e">
        <f ca="1">VLOOKUP($A168,tabCustoUnit[],COLUMN(CUSTO_GLOBAL[[#Headers],[Lucro]])-2,0)*($G168-$H168)</f>
        <v>#NAME?</v>
      </c>
      <c r="BR168" s="26">
        <f>VLOOKUP($A168,tabCustoUnit[],COLUMN(CUSTO_GLOBAL[[#Headers],[COFINS]])-2,0)</f>
        <v>8.8629737609329504E-2</v>
      </c>
      <c r="BS168" s="26">
        <f>VLOOKUP($A168,tabCustoUnit[],COLUMN(CUSTO_GLOBAL[[#Headers],[PIS]])-2,0)</f>
        <v>1.9241982507288629E-2</v>
      </c>
      <c r="BT168" s="28">
        <f>VLOOKUP($A168,tabCustoUnit[],COLUMN(CUSTO_GLOBAL[[#Headers],[ISS]])-2,0)</f>
        <v>0.05</v>
      </c>
      <c r="BU168" s="26">
        <f>VLOOKUP($A168,tabCustoUnit[],COLUMN(CUSTO_GLOBAL[[#Headers],[ISS (Conversão Alíquota s/ fatura)]])-2,0)</f>
        <v>5.8309037900874633E-2</v>
      </c>
      <c r="BV168" s="26">
        <f>VLOOKUP($A168,tabCustoUnit[],COLUMN(CUSTO_GLOBAL[[#Headers],[Resumo de Alíquotas (PIS+CONFINS+ISS)]])-2,0)</f>
        <v>0.14250000000000002</v>
      </c>
      <c r="BW168" s="138">
        <f>VLOOKUP($A168,tabCustoUnit[],COLUMN(CUSTO_GLOBAL[[#Headers],[PIS + COFINS + ISS (Total Conversão  Alíquota s/ Fatura)]])-2,0)</f>
        <v>0.16618075801749277</v>
      </c>
      <c r="BX168" s="22" t="e">
        <f ca="1">VLOOKUP($A168,tabCustoUnit[],COLUMN(CUSTO_GLOBAL[[#Headers],[Valor dos Tributos (ISS, PIS, CONFINS)]])-2,0)*($G168-$H168)</f>
        <v>#NAME?</v>
      </c>
      <c r="BY168" s="22" t="e">
        <f ca="1">VLOOKUP($A168,tabCustoUnit[],COLUMN(CUSTO_GLOBAL[[#Headers],[MÓDULO 6 – CUSTOS INDIRETOS, TRIBUTOS E LUCRO]])-2,0)*($G168-$H168)</f>
        <v>#NAME?</v>
      </c>
      <c r="BZ168" s="22" t="e">
        <f ca="1">VLOOKUP($A168,tabCustoUnit[],COLUMN(CUSTO_GLOBAL[[#Headers],[CUSTO TOTAL MENSAL]])-2,0)*($G168-$H168)</f>
        <v>#NAME?</v>
      </c>
      <c r="CA168" s="22" t="e">
        <f ca="1">CUSTO_GLOBAL[[#This Row],[CUSTO TOTAL MENSAL]]*12</f>
        <v>#NAME?</v>
      </c>
      <c r="CB168" s="24">
        <f>VLOOKUP($A168,tabCustoUnit[],COLUMN(CUSTO_GLOBAL[[#Headers],[ANO DA CCT]])-2,0)</f>
        <v>45658</v>
      </c>
      <c r="CC168" s="25" t="str">
        <f>VLOOKUP($A168,tabCustoUnit[],COLUMN(CUSTO_GLOBAL[[#Headers],[Nº DE PEDIDO DA CCT]])-2,0)</f>
        <v>-</v>
      </c>
      <c r="CD168" s="25" t="str">
        <f>VLOOKUP($A168,tabCustoUnit[],COLUMN(CUSTO_GLOBAL[[#Headers],[TERMO ADITIVO ALTERAÇÃO DA CCT]])-2,0)</f>
        <v>-</v>
      </c>
    </row>
    <row r="169" spans="1:82">
      <c r="A169" s="20" t="s">
        <v>1478</v>
      </c>
      <c r="B169" t="s">
        <v>1146</v>
      </c>
      <c r="C169" t="s">
        <v>1367</v>
      </c>
      <c r="D169" t="s">
        <v>1038</v>
      </c>
      <c r="E169" s="20" t="s">
        <v>1090</v>
      </c>
      <c r="F169" s="20" t="s">
        <v>120</v>
      </c>
      <c r="G169" s="20">
        <v>1</v>
      </c>
      <c r="H169" s="20">
        <v>0</v>
      </c>
      <c r="I169" s="21">
        <f>VLOOKUP($A169,tabCustoUnit[],COLUMN(CUSTO_GLOBAL[[#Headers],[Salário Base]])-2,0)*($G169-$H169)</f>
        <v>2087.4324000000001</v>
      </c>
      <c r="J169" s="21">
        <f>VLOOKUP($A169,tabCustoUnit[],COLUMN(CUSTO_GLOBAL[[#Headers],[Adicional Periculosidade]])-2,0)*($G169-$H169)</f>
        <v>0</v>
      </c>
      <c r="K169" s="21">
        <f>VLOOKUP($A169,tabCustoUnit[],COLUMN(CUSTO_GLOBAL[[#Headers],[Adicional Insalubridade]])-2,0)*($G169-$H169)</f>
        <v>303.60000000000002</v>
      </c>
      <c r="L169" s="21">
        <f>VLOOKUP($A169,tabCustoUnit[],COLUMN(CUSTO_GLOBAL[[#Headers],[Adicional Noturno]])-2,0)*($G169-$H169)</f>
        <v>0</v>
      </c>
      <c r="M169" s="21">
        <f>VLOOKUP($A169,tabCustoUnit[],COLUMN(CUSTO_GLOBAL[[#Headers],[Adicional Motorista II (Gratificação)]])-2,0)*($G169-$H169)</f>
        <v>0</v>
      </c>
      <c r="N169" s="21">
        <f>VLOOKUP($A169,tabCustoUnit[],COLUMN(CUSTO_GLOBAL[[#Headers],[Adicional de Sobreaviso]])-2,0)*($G169-$H169)</f>
        <v>0</v>
      </c>
      <c r="O169" s="21">
        <f>VLOOKUP($A169,tabCustoUnit[],COLUMN(CUSTO_GLOBAL[[#Headers],[Horas Extras TI]])-2,0)*($G169-$H169)</f>
        <v>0</v>
      </c>
      <c r="P169" s="21">
        <f>VLOOKUP($A169,tabCustoUnit[],COLUMN(CUSTO_GLOBAL[[#Headers],[Adicional de Acúmulo de função]])-2,0)*($G169-$H169)</f>
        <v>0</v>
      </c>
      <c r="Q169" s="21">
        <f>VLOOKUP($A169,tabCustoUnit[],COLUMN(CUSTO_GLOBAL[[#Headers],[MODULO 1 - REMUNERAÇÃO ]])-2,0)*($G169-$H169)</f>
        <v>2391.0324000000001</v>
      </c>
      <c r="R169" s="21">
        <f>VLOOKUP($A169,tabCustoUnit[],COLUMN(CUSTO_GLOBAL[[#Headers],[INSS]])-2,0)*($G169-$H169)</f>
        <v>478.20648000000006</v>
      </c>
      <c r="S169" s="21">
        <f>VLOOKUP($A169,tabCustoUnit[],COLUMN(CUSTO_GLOBAL[[#Headers],[SESI OU SESC]])-2,0)*($G169-$H169)</f>
        <v>35.865485999999997</v>
      </c>
      <c r="T169" s="21">
        <f>VLOOKUP($A169,tabCustoUnit[],COLUMN(CUSTO_GLOBAL[[#Headers],[SENAI OU SENAC]])-2,0)*($G169-$H169)</f>
        <v>23.910324000000003</v>
      </c>
      <c r="U169" s="21">
        <f>VLOOKUP($A169,tabCustoUnit[],COLUMN(CUSTO_GLOBAL[[#Headers],[INCRA]])-2,0)*($G169-$H169)</f>
        <v>4.7820648000000006</v>
      </c>
      <c r="V169" s="21">
        <f>VLOOKUP($A169,tabCustoUnit[],COLUMN(CUSTO_GLOBAL[[#Headers],[Salário Educação]])-2,0)*($G169-$H169)</f>
        <v>59.775810000000007</v>
      </c>
      <c r="W169" s="21">
        <f>VLOOKUP($A169,tabCustoUnit[],COLUMN(CUSTO_GLOBAL[[#Headers],[FGTS]])-2,0)*($G169-$H169)</f>
        <v>191.28259200000002</v>
      </c>
      <c r="X169" s="21">
        <f>VLOOKUP($A169,tabCustoUnit[],COLUMN(CUSTO_GLOBAL[[#Headers],[RAT Ajustado]])-2,0)*($G169-$H169)</f>
        <v>95.641296000000011</v>
      </c>
      <c r="Y169" s="21">
        <f>VLOOKUP($A169,tabCustoUnit[],COLUMN(CUSTO_GLOBAL[[#Headers],[SEBRAE]])-2,0)*($G169-$H169)</f>
        <v>14.3461944</v>
      </c>
      <c r="Z169" s="21">
        <f>VLOOKUP($A169,tabCustoUnit[],COLUMN(CUSTO_GLOBAL[[#Headers],[Submódulo 2.1]])-2,0)*($G169-$H169)</f>
        <v>903.81024720000005</v>
      </c>
      <c r="AA169" s="21">
        <f>VLOOKUP($A169,tabCustoUnit[],COLUMN(CUSTO_GLOBAL[[#Headers],[13º salário (titular)]])-2,0)*($G169-$H169)</f>
        <v>199.2527</v>
      </c>
      <c r="AB169" s="21">
        <f>VLOOKUP($A169,tabCustoUnit[],COLUMN(CUSTO_GLOBAL[[#Headers],[Férias e Adicional de Férias (titular)]])-2,0)*($G169-$H169)</f>
        <v>265.67026666666663</v>
      </c>
      <c r="AC169" s="21">
        <f>VLOOKUP($A169,tabCustoUnit[],COLUMN(CUSTO_GLOBAL[[#Headers],[Incidência do Submódulo 2.1 sobre 13º Salário, Férias e Adicional de Férias]])-2,0)*($G169-$H169)</f>
        <v>175.74088139999998</v>
      </c>
      <c r="AD169" s="21">
        <f>VLOOKUP($A169,tabCustoUnit[],COLUMN(CUSTO_GLOBAL[[#Headers],[Submódulo 2.2]])-2,0)*($G169-$H169)</f>
        <v>640.66384806666656</v>
      </c>
      <c r="AE169" s="22" t="e">
        <f ca="1">VLOOKUP($A169,tabCustoUnit[],COLUMN(CUSTO_GLOBAL[[#Headers],[Vale - Transporte (Descontada parcela do empregado)]])-2,0)*($G169-$H169)</f>
        <v>#NAME?</v>
      </c>
      <c r="AF169" s="22">
        <f>VLOOKUP($A169,tabCustoUnit[],COLUMN(CUSTO_GLOBAL[[#Headers],[Vale - Alimentação (Descontada parcela do empregado)]])-2,0)*($G169-$H169)</f>
        <v>582</v>
      </c>
      <c r="AG169" s="22">
        <f>VLOOKUP($A169,tabCustoUnit[],COLUMN(CUSTO_GLOBAL[[#Headers],[Cesta Básica]])-2,0)*($G169-$H169)</f>
        <v>0</v>
      </c>
      <c r="AH169" s="22">
        <f>VLOOKUP($A169,tabCustoUnit[],COLUMN(CUSTO_GLOBAL[[#Headers],[PAF]])-2,0)*($G169-$H169)</f>
        <v>51.86</v>
      </c>
      <c r="AI169" s="22">
        <f>VLOOKUP($A169,tabCustoUnit[],COLUMN(CUSTO_GLOBAL[[#Headers],[PQM]])-2,0)*($G169-$H169)</f>
        <v>0</v>
      </c>
      <c r="AJ169" s="22">
        <v>0</v>
      </c>
      <c r="AK169" s="22">
        <f>VLOOKUP($A169,tabCustoUnit[],COLUMN(CUSTO_GLOBAL[[#Headers],[Seguro de Vida]])-2,0)*($G169-$H169)</f>
        <v>3.36</v>
      </c>
      <c r="AL169" s="22">
        <f>VLOOKUP($A169,tabCustoUnit[],COLUMN(CUSTO_GLOBAL[[#Headers],[Despesas de Viagem]])-2,0)*($G169-$H169)</f>
        <v>0</v>
      </c>
      <c r="AM169" s="22" t="e">
        <f ca="1">VLOOKUP($A169,tabCustoUnit[],COLUMN(CUSTO_GLOBAL[[#Headers],[Submódulo 2.3]])-2,0)*($G169-$H169)</f>
        <v>#NAME?</v>
      </c>
      <c r="AN169" s="22" t="e">
        <f ca="1">VLOOKUP($A169,tabCustoUnit[],COLUMN(CUSTO_GLOBAL[[#Headers],[MÓDULO 2 - Total Encargos e Benefícios mensais e diários]])-2,0)*($G169-$H169)</f>
        <v>#NAME?</v>
      </c>
      <c r="AO169" s="22">
        <f>VLOOKUP($A169,tabCustoUnit[],COLUMN(CUSTO_GLOBAL[[#Headers],[Aviso Prévio Indenizado (API) e Reflexo do Aviso Prévio Indenizado]])-2,0)*($G169-$H169)</f>
        <v>16.765362019212965</v>
      </c>
      <c r="AP169" s="22">
        <f>VLOOKUP($A169,tabCustoUnit[],COLUMN(CUSTO_GLOBAL[[#Headers],[Incidência do FGTS sobre API e Reflexo do API]])-2,0)*($G169-$H169)</f>
        <v>1.3412289615370372</v>
      </c>
      <c r="AQ169" s="22">
        <f>VLOOKUP($A169,tabCustoUnit[],COLUMN(CUSTO_GLOBAL[[#Headers],[Multa Rescisória do FGTS sobre o Aviso Prévio Indenizado]])-2,0)*($G169-$H169)</f>
        <v>0.53649158461481494</v>
      </c>
      <c r="AR169" s="22">
        <f>VLOOKUP($A169,tabCustoUnit[],COLUMN(CUSTO_GLOBAL[[#Headers],[Aviso Prévio Trabalhado - APT]])-2,0)*($G169-$H169)</f>
        <v>8.368613400000001</v>
      </c>
      <c r="AS169" s="22">
        <f>VLOOKUP($A169,tabCustoUnit[],COLUMN(CUSTO_GLOBAL[[#Headers],[Incidência dos encargos do submódulo 2.1 sobre Aviso Prévio Trabalhado]])-2,0)*($G169-$H169)</f>
        <v>3.163335865200001</v>
      </c>
      <c r="AT169" s="22">
        <f>VLOOKUP($A169,tabCustoUnit[],COLUMN(CUSTO_GLOBAL[[#Headers],[Multa Rescisória do FGTS]])-2,0)*($G169-$H169)</f>
        <v>73.112457386666662</v>
      </c>
      <c r="AU169" s="22">
        <f>VLOOKUP($A169,tabCustoUnit[],COLUMN(CUSTO_GLOBAL[[#Headers],[Indenização Adicional (Art. 9º da Lei nº 7.238/84)]])-2,0)*($G169-$H169)</f>
        <v>1.9925270000000002</v>
      </c>
      <c r="AV169" s="22">
        <f>VLOOKUP($A169,tabCustoUnit[],COLUMN(CUSTO_GLOBAL[[#Headers],[MÓDULO 3 – PROVISÃO PARA RESCISÃO]])-2,0)*($G169-$H169)</f>
        <v>105.28001621723148</v>
      </c>
      <c r="AW169" s="22">
        <f>VLOOKUP($A169,tabCustoUnit[],COLUMN(CUSTO_GLOBAL[[#Headers],[Ausência por Doença]])-2,0)*($G169-$H169)</f>
        <v>20.190940266666665</v>
      </c>
      <c r="AX169" s="22">
        <f>VLOOKUP($A169,tabCustoUnit[],COLUMN(CUSTO_GLOBAL[[#Headers],[Ausências Legais]])-2,0)*($G169-$H169)</f>
        <v>4.8484823666666665</v>
      </c>
      <c r="AY169" s="22">
        <f>VLOOKUP($A169,tabCustoUnit[],COLUMN(CUSTO_GLOBAL[[#Headers],[Licença Paternidade]])-2,0)*($G169-$H169)</f>
        <v>0.40846803500000001</v>
      </c>
      <c r="AZ169" s="22">
        <f>VLOOKUP($A169,tabCustoUnit[],COLUMN(CUSTO_GLOBAL[[#Headers],[Ausência por Acidente de Trabalho]])-2,0)*($G169-$H169)</f>
        <v>0.49813175000000004</v>
      </c>
      <c r="BA169" s="22">
        <f>VLOOKUP($A169,tabCustoUnit[],COLUMN(CUSTO_GLOBAL[[#Headers],[Férias, Adicional de Férias e 13º  com empregada em gozo de Licença Maternidade]])-2,0)*($G169-$H169)</f>
        <v>3.0994864444444445</v>
      </c>
      <c r="BB169" s="22">
        <f>VLOOKUP($A169,tabCustoUnit[],COLUMN(CUSTO_GLOBAL[[#Headers],[Incidência do Submódulo 2.1 sobre Ausências Legais]])-2,0)*($G169-$H169)</f>
        <v>10.979202350130002</v>
      </c>
      <c r="BC169" s="22">
        <f>VLOOKUP($A169,tabCustoUnit[],COLUMN(CUSTO_GLOBAL[[#Headers],[Submódulo 4.1]])-2,0)*($G169-$H169)</f>
        <v>40.024711212907775</v>
      </c>
      <c r="BD169" s="22">
        <f>VLOOKUP($A169,tabCustoUnit[],COLUMN(CUSTO_GLOBAL[[#Headers],[Intervalo para Repouso ou Alimentação]])-2,0)*($G169-$H169)</f>
        <v>0</v>
      </c>
      <c r="BE169" s="22">
        <f>VLOOKUP($A169,tabCustoUnit[],COLUMN(CUSTO_GLOBAL[[#Headers],[Submódulo 4.2]])-2,0)*($G169-$H169)</f>
        <v>0</v>
      </c>
      <c r="BF169" s="22">
        <f>VLOOKUP($A169,tabCustoUnit[],COLUMN(CUSTO_GLOBAL[[#Headers],[Suspensão Temporária do Contrato de Trabalho]])-2,0)*($G169-$H169)</f>
        <v>0</v>
      </c>
      <c r="BG169" s="22">
        <f>VLOOKUP($A169,tabCustoUnit[],COLUMN(CUSTO_GLOBAL[[#Headers],[Submódulo 4.3]])-2,0)*($G169-$H169)</f>
        <v>0</v>
      </c>
      <c r="BH169" s="22">
        <f>VLOOKUP($A169,tabCustoUnit[],COLUMN(CUSTO_GLOBAL[[#Headers],[MÓDULO 4 – CUSTO DE REPOSIÇÃO DO PROFISSIONAL AUSENTE]])-2,0)*($G169-$H169)</f>
        <v>40.024711212907775</v>
      </c>
      <c r="BI169" s="22">
        <f>VLOOKUP($A169,tabCustoUnit[],COLUMN(CUSTO_GLOBAL[[#Headers],[Uniformes e EPIs]])-2,0)*($G169-$H169)</f>
        <v>253.83572732312174</v>
      </c>
      <c r="BJ169" s="22">
        <f>VLOOKUP($A169,tabCustoUnit[],COLUMN(CUSTO_GLOBAL[[#Headers],[Materiais de Consumo]])-2,0)*($G169-$H169)</f>
        <v>441.81099462365592</v>
      </c>
      <c r="BK169" s="22">
        <f>VLOOKUP($A169,tabCustoUnit[],COLUMN(CUSTO_GLOBAL[[#Headers],[Máquinas e Equipamentos (depreciação)]])-2,0)*($G169-$H169)</f>
        <v>113.11309677419354</v>
      </c>
      <c r="BL169" s="22">
        <f>VLOOKUP($A169,tabCustoUnit[],COLUMN(CUSTO_GLOBAL[[#Headers],[Produtos de Limpeza e Materiais de Higiene Pessoal]])-2,0)*($G169-$H169)</f>
        <v>0</v>
      </c>
      <c r="BM169" s="22">
        <f>VLOOKUP($A169,tabCustoUnit[],COLUMN(CUSTO_GLOBAL[[#Headers],[Outros (especificar)]])-2,0)*($G169-$H169)</f>
        <v>0</v>
      </c>
      <c r="BN169" s="22">
        <f>VLOOKUP($A169,tabCustoUnit[],COLUMN(CUSTO_GLOBAL[[#Headers],[MÓDULO 5 – INSUMOS DIVERSOS]])-2,0)*($G169-$H169)</f>
        <v>808.75981872097123</v>
      </c>
      <c r="BO169" s="22" t="e">
        <f ca="1">VLOOKUP($A169,tabCustoUnit[],COLUMN(CUSTO_GLOBAL[[#Headers],[TOTAL MÓDULOS 1+2+3+4+5]])-2,0)*($G169-$H169)</f>
        <v>#NAME?</v>
      </c>
      <c r="BP169" s="22" t="e">
        <f ca="1">VLOOKUP($A169,tabCustoUnit[],COLUMN(CUSTO_GLOBAL[[#Headers],[Custos Indiretos]])-2,0)*($G169-$H169)</f>
        <v>#NAME?</v>
      </c>
      <c r="BQ169" s="22" t="e">
        <f ca="1">VLOOKUP($A169,tabCustoUnit[],COLUMN(CUSTO_GLOBAL[[#Headers],[Lucro]])-2,0)*($G169-$H169)</f>
        <v>#NAME?</v>
      </c>
      <c r="BR169" s="26">
        <f>VLOOKUP($A169,tabCustoUnit[],COLUMN(CUSTO_GLOBAL[[#Headers],[COFINS]])-2,0)</f>
        <v>8.6609686609686695E-2</v>
      </c>
      <c r="BS169" s="26">
        <f>VLOOKUP($A169,tabCustoUnit[],COLUMN(CUSTO_GLOBAL[[#Headers],[PIS]])-2,0)</f>
        <v>1.880341880341882E-2</v>
      </c>
      <c r="BT169" s="28">
        <f>VLOOKUP($A169,tabCustoUnit[],COLUMN(CUSTO_GLOBAL[[#Headers],[ISS]])-2,0)</f>
        <v>0.03</v>
      </c>
      <c r="BU169" s="26">
        <f>VLOOKUP($A169,tabCustoUnit[],COLUMN(CUSTO_GLOBAL[[#Headers],[ISS (Conversão Alíquota s/ fatura)]])-2,0)</f>
        <v>3.4188034188034219E-2</v>
      </c>
      <c r="BV169" s="26">
        <f>VLOOKUP($A169,tabCustoUnit[],COLUMN(CUSTO_GLOBAL[[#Headers],[Resumo de Alíquotas (PIS+CONFINS+ISS)]])-2,0)</f>
        <v>0.1225</v>
      </c>
      <c r="BW169" s="138">
        <f>VLOOKUP($A169,tabCustoUnit[],COLUMN(CUSTO_GLOBAL[[#Headers],[PIS + COFINS + ISS (Total Conversão  Alíquota s/ Fatura)]])-2,0)</f>
        <v>0.13960113960113973</v>
      </c>
      <c r="BX169" s="22" t="e">
        <f ca="1">VLOOKUP($A169,tabCustoUnit[],COLUMN(CUSTO_GLOBAL[[#Headers],[Valor dos Tributos (ISS, PIS, CONFINS)]])-2,0)*($G169-$H169)</f>
        <v>#NAME?</v>
      </c>
      <c r="BY169" s="22" t="e">
        <f ca="1">VLOOKUP($A169,tabCustoUnit[],COLUMN(CUSTO_GLOBAL[[#Headers],[MÓDULO 6 – CUSTOS INDIRETOS, TRIBUTOS E LUCRO]])-2,0)*($G169-$H169)</f>
        <v>#NAME?</v>
      </c>
      <c r="BZ169" s="22" t="e">
        <f ca="1">VLOOKUP($A169,tabCustoUnit[],COLUMN(CUSTO_GLOBAL[[#Headers],[CUSTO TOTAL MENSAL]])-2,0)*($G169-$H169)</f>
        <v>#NAME?</v>
      </c>
      <c r="CA169" s="22" t="e">
        <f ca="1">CUSTO_GLOBAL[[#This Row],[CUSTO TOTAL MENSAL]]*12</f>
        <v>#NAME?</v>
      </c>
      <c r="CB169" s="24">
        <f>VLOOKUP($A169,tabCustoUnit[],COLUMN(CUSTO_GLOBAL[[#Headers],[ANO DA CCT]])-2,0)</f>
        <v>45658</v>
      </c>
      <c r="CC169" s="25" t="str">
        <f>VLOOKUP($A169,tabCustoUnit[],COLUMN(CUSTO_GLOBAL[[#Headers],[Nº DE PEDIDO DA CCT]])-2,0)</f>
        <v>-</v>
      </c>
      <c r="CD169" s="25" t="str">
        <f>VLOOKUP($A169,tabCustoUnit[],COLUMN(CUSTO_GLOBAL[[#Headers],[TERMO ADITIVO ALTERAÇÃO DA CCT]])-2,0)</f>
        <v>-</v>
      </c>
    </row>
    <row r="170" spans="1:82">
      <c r="A170" s="20" t="s">
        <v>1617</v>
      </c>
      <c r="B170" t="s">
        <v>1146</v>
      </c>
      <c r="C170" t="s">
        <v>1368</v>
      </c>
      <c r="D170" t="s">
        <v>1038</v>
      </c>
      <c r="E170" s="20" t="s">
        <v>1090</v>
      </c>
      <c r="F170" s="20" t="s">
        <v>120</v>
      </c>
      <c r="G170" s="20">
        <v>1</v>
      </c>
      <c r="H170" s="20">
        <v>0</v>
      </c>
      <c r="I170" s="21">
        <f>VLOOKUP($A170,tabCustoUnit[],COLUMN(CUSTO_GLOBAL[[#Headers],[Salário Base]])-2,0)*($G170-$H170)</f>
        <v>2296.1756999999998</v>
      </c>
      <c r="J170" s="21">
        <f>VLOOKUP($A170,tabCustoUnit[],COLUMN(CUSTO_GLOBAL[[#Headers],[Adicional Periculosidade]])-2,0)*($G170-$H170)</f>
        <v>0</v>
      </c>
      <c r="K170" s="21">
        <f>VLOOKUP($A170,tabCustoUnit[],COLUMN(CUSTO_GLOBAL[[#Headers],[Adicional Insalubridade]])-2,0)*($G170-$H170)</f>
        <v>303.60000000000002</v>
      </c>
      <c r="L170" s="21">
        <f>VLOOKUP($A170,tabCustoUnit[],COLUMN(CUSTO_GLOBAL[[#Headers],[Adicional Noturno]])-2,0)*($G170-$H170)</f>
        <v>0</v>
      </c>
      <c r="M170" s="21">
        <f>VLOOKUP($A170,tabCustoUnit[],COLUMN(CUSTO_GLOBAL[[#Headers],[Adicional Motorista II (Gratificação)]])-2,0)*($G170-$H170)</f>
        <v>0</v>
      </c>
      <c r="N170" s="21">
        <f>VLOOKUP($A170,tabCustoUnit[],COLUMN(CUSTO_GLOBAL[[#Headers],[Adicional de Sobreaviso]])-2,0)*($G170-$H170)</f>
        <v>0</v>
      </c>
      <c r="O170" s="21">
        <f>VLOOKUP($A170,tabCustoUnit[],COLUMN(CUSTO_GLOBAL[[#Headers],[Horas Extras TI]])-2,0)*($G170-$H170)</f>
        <v>0</v>
      </c>
      <c r="P170" s="21">
        <f>VLOOKUP($A170,tabCustoUnit[],COLUMN(CUSTO_GLOBAL[[#Headers],[Adicional de Acúmulo de função]])-2,0)*($G170-$H170)</f>
        <v>0</v>
      </c>
      <c r="Q170" s="21">
        <f>VLOOKUP($A170,tabCustoUnit[],COLUMN(CUSTO_GLOBAL[[#Headers],[MODULO 1 - REMUNERAÇÃO ]])-2,0)*($G170-$H170)</f>
        <v>2599.7756999999997</v>
      </c>
      <c r="R170" s="21">
        <f>VLOOKUP($A170,tabCustoUnit[],COLUMN(CUSTO_GLOBAL[[#Headers],[INSS]])-2,0)*($G170-$H170)</f>
        <v>519.95513999999991</v>
      </c>
      <c r="S170" s="21">
        <f>VLOOKUP($A170,tabCustoUnit[],COLUMN(CUSTO_GLOBAL[[#Headers],[SESI OU SESC]])-2,0)*($G170-$H170)</f>
        <v>38.996635499999996</v>
      </c>
      <c r="T170" s="21">
        <f>VLOOKUP($A170,tabCustoUnit[],COLUMN(CUSTO_GLOBAL[[#Headers],[SENAI OU SENAC]])-2,0)*($G170-$H170)</f>
        <v>25.997756999999996</v>
      </c>
      <c r="U170" s="21">
        <f>VLOOKUP($A170,tabCustoUnit[],COLUMN(CUSTO_GLOBAL[[#Headers],[INCRA]])-2,0)*($G170-$H170)</f>
        <v>5.1995513999999998</v>
      </c>
      <c r="V170" s="21">
        <f>VLOOKUP($A170,tabCustoUnit[],COLUMN(CUSTO_GLOBAL[[#Headers],[Salário Educação]])-2,0)*($G170-$H170)</f>
        <v>64.994392499999989</v>
      </c>
      <c r="W170" s="21">
        <f>VLOOKUP($A170,tabCustoUnit[],COLUMN(CUSTO_GLOBAL[[#Headers],[FGTS]])-2,0)*($G170-$H170)</f>
        <v>207.98205599999997</v>
      </c>
      <c r="X170" s="21">
        <f>VLOOKUP($A170,tabCustoUnit[],COLUMN(CUSTO_GLOBAL[[#Headers],[RAT Ajustado]])-2,0)*($G170-$H170)</f>
        <v>103.99102799999999</v>
      </c>
      <c r="Y170" s="21">
        <f>VLOOKUP($A170,tabCustoUnit[],COLUMN(CUSTO_GLOBAL[[#Headers],[SEBRAE]])-2,0)*($G170-$H170)</f>
        <v>15.598654199999999</v>
      </c>
      <c r="Z170" s="21">
        <f>VLOOKUP($A170,tabCustoUnit[],COLUMN(CUSTO_GLOBAL[[#Headers],[Submódulo 2.1]])-2,0)*($G170-$H170)</f>
        <v>982.71521459999985</v>
      </c>
      <c r="AA170" s="21">
        <f>VLOOKUP($A170,tabCustoUnit[],COLUMN(CUSTO_GLOBAL[[#Headers],[13º salário (titular)]])-2,0)*($G170-$H170)</f>
        <v>216.64797499999997</v>
      </c>
      <c r="AB170" s="21">
        <f>VLOOKUP($A170,tabCustoUnit[],COLUMN(CUSTO_GLOBAL[[#Headers],[Férias e Adicional de Férias (titular)]])-2,0)*($G170-$H170)</f>
        <v>288.86396666666661</v>
      </c>
      <c r="AC170" s="21">
        <f>VLOOKUP($A170,tabCustoUnit[],COLUMN(CUSTO_GLOBAL[[#Headers],[Incidência do Submódulo 2.1 sobre 13º Salário, Férias e Adicional de Férias]])-2,0)*($G170-$H170)</f>
        <v>191.08351394999997</v>
      </c>
      <c r="AD170" s="21">
        <f>VLOOKUP($A170,tabCustoUnit[],COLUMN(CUSTO_GLOBAL[[#Headers],[Submódulo 2.2]])-2,0)*($G170-$H170)</f>
        <v>696.59545561666653</v>
      </c>
      <c r="AE170" s="22" t="e">
        <f ca="1">VLOOKUP($A170,tabCustoUnit[],COLUMN(CUSTO_GLOBAL[[#Headers],[Vale - Transporte (Descontada parcela do empregado)]])-2,0)*($G170-$H170)</f>
        <v>#NAME?</v>
      </c>
      <c r="AF170" s="22">
        <f>VLOOKUP($A170,tabCustoUnit[],COLUMN(CUSTO_GLOBAL[[#Headers],[Vale - Alimentação (Descontada parcela do empregado)]])-2,0)*($G170-$H170)</f>
        <v>582</v>
      </c>
      <c r="AG170" s="22">
        <f>VLOOKUP($A170,tabCustoUnit[],COLUMN(CUSTO_GLOBAL[[#Headers],[Cesta Básica]])-2,0)*($G170-$H170)</f>
        <v>0</v>
      </c>
      <c r="AH170" s="22">
        <f>VLOOKUP($A170,tabCustoUnit[],COLUMN(CUSTO_GLOBAL[[#Headers],[PAF]])-2,0)*($G170-$H170)</f>
        <v>51.86</v>
      </c>
      <c r="AI170" s="22">
        <f>VLOOKUP($A170,tabCustoUnit[],COLUMN(CUSTO_GLOBAL[[#Headers],[PQM]])-2,0)*($G170-$H170)</f>
        <v>0</v>
      </c>
      <c r="AJ170" s="22">
        <v>0</v>
      </c>
      <c r="AK170" s="22">
        <f>VLOOKUP($A170,tabCustoUnit[],COLUMN(CUSTO_GLOBAL[[#Headers],[Seguro de Vida]])-2,0)*($G170-$H170)</f>
        <v>3.36</v>
      </c>
      <c r="AL170" s="22">
        <f>VLOOKUP($A170,tabCustoUnit[],COLUMN(CUSTO_GLOBAL[[#Headers],[Despesas de Viagem]])-2,0)*($G170-$H170)</f>
        <v>0</v>
      </c>
      <c r="AM170" s="22" t="e">
        <f ca="1">VLOOKUP($A170,tabCustoUnit[],COLUMN(CUSTO_GLOBAL[[#Headers],[Submódulo 2.3]])-2,0)*($G170-$H170)</f>
        <v>#NAME?</v>
      </c>
      <c r="AN170" s="22" t="e">
        <f ca="1">VLOOKUP($A170,tabCustoUnit[],COLUMN(CUSTO_GLOBAL[[#Headers],[MÓDULO 2 - Total Encargos e Benefícios mensais e diários]])-2,0)*($G170-$H170)</f>
        <v>#NAME?</v>
      </c>
      <c r="AO170" s="22">
        <f>VLOOKUP($A170,tabCustoUnit[],COLUMN(CUSTO_GLOBAL[[#Headers],[Aviso Prévio Indenizado (API) e Reflexo do Aviso Prévio Indenizado]])-2,0)*($G170-$H170)</f>
        <v>18.229021396469907</v>
      </c>
      <c r="AP170" s="22">
        <f>VLOOKUP($A170,tabCustoUnit[],COLUMN(CUSTO_GLOBAL[[#Headers],[Incidência do FGTS sobre API e Reflexo do API]])-2,0)*($G170-$H170)</f>
        <v>1.4583217117175926</v>
      </c>
      <c r="AQ170" s="22">
        <f>VLOOKUP($A170,tabCustoUnit[],COLUMN(CUSTO_GLOBAL[[#Headers],[Multa Rescisória do FGTS sobre o Aviso Prévio Indenizado]])-2,0)*($G170-$H170)</f>
        <v>0.58332868468703702</v>
      </c>
      <c r="AR170" s="22">
        <f>VLOOKUP($A170,tabCustoUnit[],COLUMN(CUSTO_GLOBAL[[#Headers],[Aviso Prévio Trabalhado - APT]])-2,0)*($G170-$H170)</f>
        <v>9.0992149500000004</v>
      </c>
      <c r="AS170" s="22">
        <f>VLOOKUP($A170,tabCustoUnit[],COLUMN(CUSTO_GLOBAL[[#Headers],[Incidência dos encargos do submódulo 2.1 sobre Aviso Prévio Trabalhado]])-2,0)*($G170-$H170)</f>
        <v>3.4395032511000005</v>
      </c>
      <c r="AT170" s="22">
        <f>VLOOKUP($A170,tabCustoUnit[],COLUMN(CUSTO_GLOBAL[[#Headers],[Multa Rescisória do FGTS]])-2,0)*($G170-$H170)</f>
        <v>79.495363626666645</v>
      </c>
      <c r="AU170" s="22">
        <f>VLOOKUP($A170,tabCustoUnit[],COLUMN(CUSTO_GLOBAL[[#Headers],[Indenização Adicional (Art. 9º da Lei nº 7.238/84)]])-2,0)*($G170-$H170)</f>
        <v>2.1664797499999997</v>
      </c>
      <c r="AV170" s="22">
        <f>VLOOKUP($A170,tabCustoUnit[],COLUMN(CUSTO_GLOBAL[[#Headers],[MÓDULO 3 – PROVISÃO PARA RESCISÃO]])-2,0)*($G170-$H170)</f>
        <v>114.47123337064117</v>
      </c>
      <c r="AW170" s="22">
        <f>VLOOKUP($A170,tabCustoUnit[],COLUMN(CUSTO_GLOBAL[[#Headers],[Ausência por Doença]])-2,0)*($G170-$H170)</f>
        <v>21.953661466666663</v>
      </c>
      <c r="AX170" s="22">
        <f>VLOOKUP($A170,tabCustoUnit[],COLUMN(CUSTO_GLOBAL[[#Headers],[Ausências Legais]])-2,0)*($G170-$H170)</f>
        <v>5.2717673916666659</v>
      </c>
      <c r="AY170" s="22">
        <f>VLOOKUP($A170,tabCustoUnit[],COLUMN(CUSTO_GLOBAL[[#Headers],[Licença Paternidade]])-2,0)*($G170-$H170)</f>
        <v>0.44412834874999996</v>
      </c>
      <c r="AZ170" s="22">
        <f>VLOOKUP($A170,tabCustoUnit[],COLUMN(CUSTO_GLOBAL[[#Headers],[Ausência por Acidente de Trabalho]])-2,0)*($G170-$H170)</f>
        <v>0.54161993749999993</v>
      </c>
      <c r="BA170" s="22">
        <f>VLOOKUP($A170,tabCustoUnit[],COLUMN(CUSTO_GLOBAL[[#Headers],[Férias, Adicional de Férias e 13º  com empregada em gozo de Licença Maternidade]])-2,0)*($G170-$H170)</f>
        <v>3.3700796111111107</v>
      </c>
      <c r="BB170" s="22">
        <f>VLOOKUP($A170,tabCustoUnit[],COLUMN(CUSTO_GLOBAL[[#Headers],[Incidência do Submódulo 2.1 sobre Ausências Legais]])-2,0)*($G170-$H170)</f>
        <v>11.9377150536525</v>
      </c>
      <c r="BC170" s="22">
        <f>VLOOKUP($A170,tabCustoUnit[],COLUMN(CUSTO_GLOBAL[[#Headers],[Submódulo 4.1]])-2,0)*($G170-$H170)</f>
        <v>43.518971809346937</v>
      </c>
      <c r="BD170" s="22">
        <f>VLOOKUP($A170,tabCustoUnit[],COLUMN(CUSTO_GLOBAL[[#Headers],[Intervalo para Repouso ou Alimentação]])-2,0)*($G170-$H170)</f>
        <v>0</v>
      </c>
      <c r="BE170" s="22">
        <f>VLOOKUP($A170,tabCustoUnit[],COLUMN(CUSTO_GLOBAL[[#Headers],[Submódulo 4.2]])-2,0)*($G170-$H170)</f>
        <v>0</v>
      </c>
      <c r="BF170" s="22">
        <f>VLOOKUP($A170,tabCustoUnit[],COLUMN(CUSTO_GLOBAL[[#Headers],[Suspensão Temporária do Contrato de Trabalho]])-2,0)*($G170-$H170)</f>
        <v>0</v>
      </c>
      <c r="BG170" s="22">
        <f>VLOOKUP($A170,tabCustoUnit[],COLUMN(CUSTO_GLOBAL[[#Headers],[Submódulo 4.3]])-2,0)*($G170-$H170)</f>
        <v>0</v>
      </c>
      <c r="BH170" s="22">
        <f>VLOOKUP($A170,tabCustoUnit[],COLUMN(CUSTO_GLOBAL[[#Headers],[MÓDULO 4 – CUSTO DE REPOSIÇÃO DO PROFISSIONAL AUSENTE]])-2,0)*($G170-$H170)</f>
        <v>43.518971809346937</v>
      </c>
      <c r="BI170" s="22">
        <f>VLOOKUP($A170,tabCustoUnit[],COLUMN(CUSTO_GLOBAL[[#Headers],[Uniformes e EPIs]])-2,0)*($G170-$H170)</f>
        <v>196.62072732312174</v>
      </c>
      <c r="BJ170" s="22">
        <f>VLOOKUP($A170,tabCustoUnit[],COLUMN(CUSTO_GLOBAL[[#Headers],[Materiais de Consumo]])-2,0)*($G170-$H170)</f>
        <v>441.81099462365592</v>
      </c>
      <c r="BK170" s="22">
        <f>VLOOKUP($A170,tabCustoUnit[],COLUMN(CUSTO_GLOBAL[[#Headers],[Máquinas e Equipamentos (depreciação)]])-2,0)*($G170-$H170)</f>
        <v>113.11309677419354</v>
      </c>
      <c r="BL170" s="22">
        <f>VLOOKUP($A170,tabCustoUnit[],COLUMN(CUSTO_GLOBAL[[#Headers],[Produtos de Limpeza e Materiais de Higiene Pessoal]])-2,0)*($G170-$H170)</f>
        <v>0</v>
      </c>
      <c r="BM170" s="22">
        <f>VLOOKUP($A170,tabCustoUnit[],COLUMN(CUSTO_GLOBAL[[#Headers],[Outros (especificar)]])-2,0)*($G170-$H170)</f>
        <v>0</v>
      </c>
      <c r="BN170" s="22">
        <f>VLOOKUP($A170,tabCustoUnit[],COLUMN(CUSTO_GLOBAL[[#Headers],[MÓDULO 5 – INSUMOS DIVERSOS]])-2,0)*($G170-$H170)</f>
        <v>751.54481872097119</v>
      </c>
      <c r="BO170" s="22" t="e">
        <f ca="1">VLOOKUP($A170,tabCustoUnit[],COLUMN(CUSTO_GLOBAL[[#Headers],[TOTAL MÓDULOS 1+2+3+4+5]])-2,0)*($G170-$H170)</f>
        <v>#NAME?</v>
      </c>
      <c r="BP170" s="22" t="e">
        <f ca="1">VLOOKUP($A170,tabCustoUnit[],COLUMN(CUSTO_GLOBAL[[#Headers],[Custos Indiretos]])-2,0)*($G170-$H170)</f>
        <v>#NAME?</v>
      </c>
      <c r="BQ170" s="22" t="e">
        <f ca="1">VLOOKUP($A170,tabCustoUnit[],COLUMN(CUSTO_GLOBAL[[#Headers],[Lucro]])-2,0)*($G170-$H170)</f>
        <v>#NAME?</v>
      </c>
      <c r="BR170" s="26">
        <f>VLOOKUP($A170,tabCustoUnit[],COLUMN(CUSTO_GLOBAL[[#Headers],[COFINS]])-2,0)</f>
        <v>8.6609686609686695E-2</v>
      </c>
      <c r="BS170" s="26">
        <f>VLOOKUP($A170,tabCustoUnit[],COLUMN(CUSTO_GLOBAL[[#Headers],[PIS]])-2,0)</f>
        <v>1.880341880341882E-2</v>
      </c>
      <c r="BT170" s="28">
        <f>VLOOKUP($A170,tabCustoUnit[],COLUMN(CUSTO_GLOBAL[[#Headers],[ISS]])-2,0)</f>
        <v>0.03</v>
      </c>
      <c r="BU170" s="26">
        <f>VLOOKUP($A170,tabCustoUnit[],COLUMN(CUSTO_GLOBAL[[#Headers],[ISS (Conversão Alíquota s/ fatura)]])-2,0)</f>
        <v>3.4188034188034219E-2</v>
      </c>
      <c r="BV170" s="26">
        <f>VLOOKUP($A170,tabCustoUnit[],COLUMN(CUSTO_GLOBAL[[#Headers],[Resumo de Alíquotas (PIS+CONFINS+ISS)]])-2,0)</f>
        <v>0.1225</v>
      </c>
      <c r="BW170" s="138">
        <f>VLOOKUP($A170,tabCustoUnit[],COLUMN(CUSTO_GLOBAL[[#Headers],[PIS + COFINS + ISS (Total Conversão  Alíquota s/ Fatura)]])-2,0)</f>
        <v>0.13960113960113973</v>
      </c>
      <c r="BX170" s="22" t="e">
        <f ca="1">VLOOKUP($A170,tabCustoUnit[],COLUMN(CUSTO_GLOBAL[[#Headers],[Valor dos Tributos (ISS, PIS, CONFINS)]])-2,0)*($G170-$H170)</f>
        <v>#NAME?</v>
      </c>
      <c r="BY170" s="22" t="e">
        <f ca="1">VLOOKUP($A170,tabCustoUnit[],COLUMN(CUSTO_GLOBAL[[#Headers],[MÓDULO 6 – CUSTOS INDIRETOS, TRIBUTOS E LUCRO]])-2,0)*($G170-$H170)</f>
        <v>#NAME?</v>
      </c>
      <c r="BZ170" s="22" t="e">
        <f ca="1">VLOOKUP($A170,tabCustoUnit[],COLUMN(CUSTO_GLOBAL[[#Headers],[CUSTO TOTAL MENSAL]])-2,0)*($G170-$H170)</f>
        <v>#NAME?</v>
      </c>
      <c r="CA170" s="22" t="e">
        <f ca="1">CUSTO_GLOBAL[[#This Row],[CUSTO TOTAL MENSAL]]*12</f>
        <v>#NAME?</v>
      </c>
      <c r="CB170" s="24">
        <f>VLOOKUP($A170,tabCustoUnit[],COLUMN(CUSTO_GLOBAL[[#Headers],[ANO DA CCT]])-2,0)</f>
        <v>45658</v>
      </c>
      <c r="CC170" s="25" t="str">
        <f>VLOOKUP($A170,tabCustoUnit[],COLUMN(CUSTO_GLOBAL[[#Headers],[Nº DE PEDIDO DA CCT]])-2,0)</f>
        <v>-</v>
      </c>
      <c r="CD170" s="25" t="str">
        <f>VLOOKUP($A170,tabCustoUnit[],COLUMN(CUSTO_GLOBAL[[#Headers],[TERMO ADITIVO ALTERAÇÃO DA CCT]])-2,0)</f>
        <v>-</v>
      </c>
    </row>
    <row r="171" spans="1:82">
      <c r="A171" s="20" t="s">
        <v>1618</v>
      </c>
      <c r="B171" t="s">
        <v>1146</v>
      </c>
      <c r="C171" t="s">
        <v>274</v>
      </c>
      <c r="D171" t="s">
        <v>986</v>
      </c>
      <c r="E171" s="20" t="s">
        <v>1090</v>
      </c>
      <c r="F171" s="20" t="s">
        <v>120</v>
      </c>
      <c r="G171" s="20">
        <v>1</v>
      </c>
      <c r="H171" s="20">
        <v>0</v>
      </c>
      <c r="I171" s="21">
        <f>VLOOKUP($A171,tabCustoUnit[],COLUMN(CUSTO_GLOBAL[[#Headers],[Salário Base]])-2,0)*($G171-$H171)</f>
        <v>4599.5953</v>
      </c>
      <c r="J171" s="21">
        <f>VLOOKUP($A171,tabCustoUnit[],COLUMN(CUSTO_GLOBAL[[#Headers],[Adicional Periculosidade]])-2,0)*($G171-$H171)</f>
        <v>0</v>
      </c>
      <c r="K171" s="21">
        <f>VLOOKUP($A171,tabCustoUnit[],COLUMN(CUSTO_GLOBAL[[#Headers],[Adicional Insalubridade]])-2,0)*($G171-$H171)</f>
        <v>0</v>
      </c>
      <c r="L171" s="21">
        <f>VLOOKUP($A171,tabCustoUnit[],COLUMN(CUSTO_GLOBAL[[#Headers],[Adicional Noturno]])-2,0)*($G171-$H171)</f>
        <v>0</v>
      </c>
      <c r="M171" s="21">
        <f>VLOOKUP($A171,tabCustoUnit[],COLUMN(CUSTO_GLOBAL[[#Headers],[Adicional Motorista II (Gratificação)]])-2,0)*($G171-$H171)</f>
        <v>0</v>
      </c>
      <c r="N171" s="21">
        <f>VLOOKUP($A171,tabCustoUnit[],COLUMN(CUSTO_GLOBAL[[#Headers],[Adicional de Sobreaviso]])-2,0)*($G171-$H171)</f>
        <v>0</v>
      </c>
      <c r="O171" s="21">
        <f>VLOOKUP($A171,tabCustoUnit[],COLUMN(CUSTO_GLOBAL[[#Headers],[Horas Extras TI]])-2,0)*($G171-$H171)</f>
        <v>0</v>
      </c>
      <c r="P171" s="21">
        <f>VLOOKUP($A171,tabCustoUnit[],COLUMN(CUSTO_GLOBAL[[#Headers],[Adicional de Acúmulo de função]])-2,0)*($G171-$H171)</f>
        <v>0</v>
      </c>
      <c r="Q171" s="21">
        <f>VLOOKUP($A171,tabCustoUnit[],COLUMN(CUSTO_GLOBAL[[#Headers],[MODULO 1 - REMUNERAÇÃO ]])-2,0)*($G171-$H171)</f>
        <v>4599.5953</v>
      </c>
      <c r="R171" s="21">
        <f>VLOOKUP($A171,tabCustoUnit[],COLUMN(CUSTO_GLOBAL[[#Headers],[INSS]])-2,0)*($G171-$H171)</f>
        <v>919.91906000000006</v>
      </c>
      <c r="S171" s="21">
        <f>VLOOKUP($A171,tabCustoUnit[],COLUMN(CUSTO_GLOBAL[[#Headers],[SESI OU SESC]])-2,0)*($G171-$H171)</f>
        <v>68.993929499999993</v>
      </c>
      <c r="T171" s="21">
        <f>VLOOKUP($A171,tabCustoUnit[],COLUMN(CUSTO_GLOBAL[[#Headers],[SENAI OU SENAC]])-2,0)*($G171-$H171)</f>
        <v>45.995953</v>
      </c>
      <c r="U171" s="21">
        <f>VLOOKUP($A171,tabCustoUnit[],COLUMN(CUSTO_GLOBAL[[#Headers],[INCRA]])-2,0)*($G171-$H171)</f>
        <v>9.1991905999999997</v>
      </c>
      <c r="V171" s="21">
        <f>VLOOKUP($A171,tabCustoUnit[],COLUMN(CUSTO_GLOBAL[[#Headers],[Salário Educação]])-2,0)*($G171-$H171)</f>
        <v>114.98988250000001</v>
      </c>
      <c r="W171" s="21">
        <f>VLOOKUP($A171,tabCustoUnit[],COLUMN(CUSTO_GLOBAL[[#Headers],[FGTS]])-2,0)*($G171-$H171)</f>
        <v>367.967624</v>
      </c>
      <c r="X171" s="21">
        <f>VLOOKUP($A171,tabCustoUnit[],COLUMN(CUSTO_GLOBAL[[#Headers],[RAT Ajustado]])-2,0)*($G171-$H171)</f>
        <v>183.983812</v>
      </c>
      <c r="Y171" s="21">
        <f>VLOOKUP($A171,tabCustoUnit[],COLUMN(CUSTO_GLOBAL[[#Headers],[SEBRAE]])-2,0)*($G171-$H171)</f>
        <v>27.597571800000001</v>
      </c>
      <c r="Z171" s="21">
        <f>VLOOKUP($A171,tabCustoUnit[],COLUMN(CUSTO_GLOBAL[[#Headers],[Submódulo 2.1]])-2,0)*($G171-$H171)</f>
        <v>1738.6470234000003</v>
      </c>
      <c r="AA171" s="21">
        <f>VLOOKUP($A171,tabCustoUnit[],COLUMN(CUSTO_GLOBAL[[#Headers],[13º salário (titular)]])-2,0)*($G171-$H171)</f>
        <v>383.29960833333331</v>
      </c>
      <c r="AB171" s="21">
        <f>VLOOKUP($A171,tabCustoUnit[],COLUMN(CUSTO_GLOBAL[[#Headers],[Férias e Adicional de Férias (titular)]])-2,0)*($G171-$H171)</f>
        <v>511.06614444444443</v>
      </c>
      <c r="AC171" s="21">
        <f>VLOOKUP($A171,tabCustoUnit[],COLUMN(CUSTO_GLOBAL[[#Headers],[Incidência do Submódulo 2.1 sobre 13º Salário, Férias e Adicional de Férias]])-2,0)*($G171-$H171)</f>
        <v>338.07025455000002</v>
      </c>
      <c r="AD171" s="21">
        <f>VLOOKUP($A171,tabCustoUnit[],COLUMN(CUSTO_GLOBAL[[#Headers],[Submódulo 2.2]])-2,0)*($G171-$H171)</f>
        <v>1232.4360073277778</v>
      </c>
      <c r="AE171" s="22" t="e">
        <f ca="1">VLOOKUP($A171,tabCustoUnit[],COLUMN(CUSTO_GLOBAL[[#Headers],[Vale - Transporte (Descontada parcela do empregado)]])-2,0)*($G171-$H171)</f>
        <v>#NAME?</v>
      </c>
      <c r="AF171" s="22">
        <f>VLOOKUP($A171,tabCustoUnit[],COLUMN(CUSTO_GLOBAL[[#Headers],[Vale - Alimentação (Descontada parcela do empregado)]])-2,0)*($G171-$H171)</f>
        <v>578.4</v>
      </c>
      <c r="AG171" s="22">
        <f>VLOOKUP($A171,tabCustoUnit[],COLUMN(CUSTO_GLOBAL[[#Headers],[Cesta Básica]])-2,0)*($G171-$H171)</f>
        <v>0</v>
      </c>
      <c r="AH171" s="22">
        <f>VLOOKUP($A171,tabCustoUnit[],COLUMN(CUSTO_GLOBAL[[#Headers],[PAF]])-2,0)*($G171-$H171)</f>
        <v>0</v>
      </c>
      <c r="AI171" s="22">
        <f>VLOOKUP($A171,tabCustoUnit[],COLUMN(CUSTO_GLOBAL[[#Headers],[PQM]])-2,0)*($G171-$H171)</f>
        <v>0</v>
      </c>
      <c r="AJ171" s="22">
        <v>0</v>
      </c>
      <c r="AK171" s="22">
        <f>VLOOKUP($A171,tabCustoUnit[],COLUMN(CUSTO_GLOBAL[[#Headers],[Seguro de Vida]])-2,0)*($G171-$H171)</f>
        <v>3.36</v>
      </c>
      <c r="AL171" s="22">
        <f>VLOOKUP($A171,tabCustoUnit[],COLUMN(CUSTO_GLOBAL[[#Headers],[Despesas de Viagem]])-2,0)*($G171-$H171)</f>
        <v>662.42</v>
      </c>
      <c r="AM171" s="22" t="e">
        <f ca="1">VLOOKUP($A171,tabCustoUnit[],COLUMN(CUSTO_GLOBAL[[#Headers],[Submódulo 2.3]])-2,0)*($G171-$H171)</f>
        <v>#NAME?</v>
      </c>
      <c r="AN171" s="22" t="e">
        <f ca="1">VLOOKUP($A171,tabCustoUnit[],COLUMN(CUSTO_GLOBAL[[#Headers],[MÓDULO 2 - Total Encargos e Benefícios mensais e diários]])-2,0)*($G171-$H171)</f>
        <v>#NAME?</v>
      </c>
      <c r="AO171" s="22">
        <f>VLOOKUP($A171,tabCustoUnit[],COLUMN(CUSTO_GLOBAL[[#Headers],[Aviso Prévio Indenizado (API) e Reflexo do Aviso Prévio Indenizado]])-2,0)*($G171-$H171)</f>
        <v>32.251290424324843</v>
      </c>
      <c r="AP171" s="22">
        <f>VLOOKUP($A171,tabCustoUnit[],COLUMN(CUSTO_GLOBAL[[#Headers],[Incidência do FGTS sobre API e Reflexo do API]])-2,0)*($G171-$H171)</f>
        <v>2.5801032339459877</v>
      </c>
      <c r="AQ171" s="22">
        <f>VLOOKUP($A171,tabCustoUnit[],COLUMN(CUSTO_GLOBAL[[#Headers],[Multa Rescisória do FGTS sobre o Aviso Prévio Indenizado]])-2,0)*($G171-$H171)</f>
        <v>1.0320412935783951</v>
      </c>
      <c r="AR171" s="22">
        <f>VLOOKUP($A171,tabCustoUnit[],COLUMN(CUSTO_GLOBAL[[#Headers],[Aviso Prévio Trabalhado - APT]])-2,0)*($G171-$H171)</f>
        <v>16.098583550000001</v>
      </c>
      <c r="AS171" s="22">
        <f>VLOOKUP($A171,tabCustoUnit[],COLUMN(CUSTO_GLOBAL[[#Headers],[Incidência dos encargos do submódulo 2.1 sobre Aviso Prévio Trabalhado]])-2,0)*($G171-$H171)</f>
        <v>6.0852645819000015</v>
      </c>
      <c r="AT171" s="22">
        <f>VLOOKUP($A171,tabCustoUnit[],COLUMN(CUSTO_GLOBAL[[#Headers],[Multa Rescisória do FGTS]])-2,0)*($G171-$H171)</f>
        <v>140.64540295111109</v>
      </c>
      <c r="AU171" s="22">
        <f>VLOOKUP($A171,tabCustoUnit[],COLUMN(CUSTO_GLOBAL[[#Headers],[Indenização Adicional (Art. 9º da Lei nº 7.238/84)]])-2,0)*($G171-$H171)</f>
        <v>3.8329960833333336</v>
      </c>
      <c r="AV171" s="22">
        <f>VLOOKUP($A171,tabCustoUnit[],COLUMN(CUSTO_GLOBAL[[#Headers],[MÓDULO 3 – PROVISÃO PARA RESCISÃO]])-2,0)*($G171-$H171)</f>
        <v>202.52568211819366</v>
      </c>
      <c r="AW171" s="22">
        <f>VLOOKUP($A171,tabCustoUnit[],COLUMN(CUSTO_GLOBAL[[#Headers],[Ausência por Doença]])-2,0)*($G171-$H171)</f>
        <v>38.841026977777773</v>
      </c>
      <c r="AX171" s="22">
        <f>VLOOKUP($A171,tabCustoUnit[],COLUMN(CUSTO_GLOBAL[[#Headers],[Ausências Legais]])-2,0)*($G171-$H171)</f>
        <v>9.3269571361111101</v>
      </c>
      <c r="AY171" s="22">
        <f>VLOOKUP($A171,tabCustoUnit[],COLUMN(CUSTO_GLOBAL[[#Headers],[Licença Paternidade]])-2,0)*($G171-$H171)</f>
        <v>0.78576419708333334</v>
      </c>
      <c r="AZ171" s="22">
        <f>VLOOKUP($A171,tabCustoUnit[],COLUMN(CUSTO_GLOBAL[[#Headers],[Ausência por Acidente de Trabalho]])-2,0)*($G171-$H171)</f>
        <v>0.95824902083333341</v>
      </c>
      <c r="BA171" s="22">
        <f>VLOOKUP($A171,tabCustoUnit[],COLUMN(CUSTO_GLOBAL[[#Headers],[Férias, Adicional de Férias e 13º  com empregada em gozo de Licença Maternidade]])-2,0)*($G171-$H171)</f>
        <v>5.9624383518518513</v>
      </c>
      <c r="BB171" s="22">
        <f>VLOOKUP($A171,tabCustoUnit[],COLUMN(CUSTO_GLOBAL[[#Headers],[Incidência do Submódulo 2.1 sobre Ausências Legais]])-2,0)*($G171-$H171)</f>
        <v>21.120536688422504</v>
      </c>
      <c r="BC171" s="22">
        <f>VLOOKUP($A171,tabCustoUnit[],COLUMN(CUSTO_GLOBAL[[#Headers],[Submódulo 4.1]])-2,0)*($G171-$H171)</f>
        <v>76.9949723720799</v>
      </c>
      <c r="BD171" s="22">
        <f>VLOOKUP($A171,tabCustoUnit[],COLUMN(CUSTO_GLOBAL[[#Headers],[Intervalo para Repouso ou Alimentação]])-2,0)*($G171-$H171)</f>
        <v>0</v>
      </c>
      <c r="BE171" s="22">
        <f>VLOOKUP($A171,tabCustoUnit[],COLUMN(CUSTO_GLOBAL[[#Headers],[Submódulo 4.2]])-2,0)*($G171-$H171)</f>
        <v>0</v>
      </c>
      <c r="BF171" s="22">
        <f>VLOOKUP($A171,tabCustoUnit[],COLUMN(CUSTO_GLOBAL[[#Headers],[Suspensão Temporária do Contrato de Trabalho]])-2,0)*($G171-$H171)</f>
        <v>0</v>
      </c>
      <c r="BG171" s="22">
        <f>VLOOKUP($A171,tabCustoUnit[],COLUMN(CUSTO_GLOBAL[[#Headers],[Submódulo 4.3]])-2,0)*($G171-$H171)</f>
        <v>0</v>
      </c>
      <c r="BH171" s="22">
        <f>VLOOKUP($A171,tabCustoUnit[],COLUMN(CUSTO_GLOBAL[[#Headers],[MÓDULO 4 – CUSTO DE REPOSIÇÃO DO PROFISSIONAL AUSENTE]])-2,0)*($G171-$H171)</f>
        <v>76.9949723720799</v>
      </c>
      <c r="BI171" s="22">
        <f>VLOOKUP($A171,tabCustoUnit[],COLUMN(CUSTO_GLOBAL[[#Headers],[Uniformes e EPIs]])-2,0)*($G171-$H171)</f>
        <v>92.100763771570698</v>
      </c>
      <c r="BJ171" s="22">
        <f>VLOOKUP($A171,tabCustoUnit[],COLUMN(CUSTO_GLOBAL[[#Headers],[Materiais de Consumo]])-2,0)*($G171-$H171)</f>
        <v>0</v>
      </c>
      <c r="BK171" s="22">
        <f>VLOOKUP($A171,tabCustoUnit[],COLUMN(CUSTO_GLOBAL[[#Headers],[Máquinas e Equipamentos (depreciação)]])-2,0)*($G171-$H171)</f>
        <v>0</v>
      </c>
      <c r="BL171" s="22">
        <f>VLOOKUP($A171,tabCustoUnit[],COLUMN(CUSTO_GLOBAL[[#Headers],[Produtos de Limpeza e Materiais de Higiene Pessoal]])-2,0)*($G171-$H171)</f>
        <v>0</v>
      </c>
      <c r="BM171" s="22">
        <f>VLOOKUP($A171,tabCustoUnit[],COLUMN(CUSTO_GLOBAL[[#Headers],[Outros (especificar)]])-2,0)*($G171-$H171)</f>
        <v>0</v>
      </c>
      <c r="BN171" s="22">
        <f>VLOOKUP($A171,tabCustoUnit[],COLUMN(CUSTO_GLOBAL[[#Headers],[MÓDULO 5 – INSUMOS DIVERSOS]])-2,0)*($G171-$H171)</f>
        <v>92.100763771570698</v>
      </c>
      <c r="BO171" s="22" t="e">
        <f ca="1">VLOOKUP($A171,tabCustoUnit[],COLUMN(CUSTO_GLOBAL[[#Headers],[TOTAL MÓDULOS 1+2+3+4+5]])-2,0)*($G171-$H171)</f>
        <v>#NAME?</v>
      </c>
      <c r="BP171" s="22" t="e">
        <f ca="1">VLOOKUP($A171,tabCustoUnit[],COLUMN(CUSTO_GLOBAL[[#Headers],[Custos Indiretos]])-2,0)*($G171-$H171)</f>
        <v>#NAME?</v>
      </c>
      <c r="BQ171" s="22" t="e">
        <f ca="1">VLOOKUP($A171,tabCustoUnit[],COLUMN(CUSTO_GLOBAL[[#Headers],[Lucro]])-2,0)*($G171-$H171)</f>
        <v>#NAME?</v>
      </c>
      <c r="BR171" s="26">
        <f>VLOOKUP($A171,tabCustoUnit[],COLUMN(CUSTO_GLOBAL[[#Headers],[COFINS]])-2,0)</f>
        <v>8.6609686609686695E-2</v>
      </c>
      <c r="BS171" s="26">
        <f>VLOOKUP($A171,tabCustoUnit[],COLUMN(CUSTO_GLOBAL[[#Headers],[PIS]])-2,0)</f>
        <v>1.880341880341882E-2</v>
      </c>
      <c r="BT171" s="28">
        <f>VLOOKUP($A171,tabCustoUnit[],COLUMN(CUSTO_GLOBAL[[#Headers],[ISS]])-2,0)</f>
        <v>0.03</v>
      </c>
      <c r="BU171" s="26">
        <f>VLOOKUP($A171,tabCustoUnit[],COLUMN(CUSTO_GLOBAL[[#Headers],[ISS (Conversão Alíquota s/ fatura)]])-2,0)</f>
        <v>3.4188034188034219E-2</v>
      </c>
      <c r="BV171" s="26">
        <f>VLOOKUP($A171,tabCustoUnit[],COLUMN(CUSTO_GLOBAL[[#Headers],[Resumo de Alíquotas (PIS+CONFINS+ISS)]])-2,0)</f>
        <v>0.1225</v>
      </c>
      <c r="BW171" s="138">
        <f>VLOOKUP($A171,tabCustoUnit[],COLUMN(CUSTO_GLOBAL[[#Headers],[PIS + COFINS + ISS (Total Conversão  Alíquota s/ Fatura)]])-2,0)</f>
        <v>0.13960113960113973</v>
      </c>
      <c r="BX171" s="22" t="e">
        <f ca="1">VLOOKUP($A171,tabCustoUnit[],COLUMN(CUSTO_GLOBAL[[#Headers],[Valor dos Tributos (ISS, PIS, CONFINS)]])-2,0)*($G171-$H171)</f>
        <v>#NAME?</v>
      </c>
      <c r="BY171" s="22" t="e">
        <f ca="1">VLOOKUP($A171,tabCustoUnit[],COLUMN(CUSTO_GLOBAL[[#Headers],[MÓDULO 6 – CUSTOS INDIRETOS, TRIBUTOS E LUCRO]])-2,0)*($G171-$H171)</f>
        <v>#NAME?</v>
      </c>
      <c r="BZ171" s="22" t="e">
        <f ca="1">VLOOKUP($A171,tabCustoUnit[],COLUMN(CUSTO_GLOBAL[[#Headers],[CUSTO TOTAL MENSAL]])-2,0)*($G171-$H171)</f>
        <v>#NAME?</v>
      </c>
      <c r="CA171" s="22" t="e">
        <f ca="1">CUSTO_GLOBAL[[#This Row],[CUSTO TOTAL MENSAL]]*12</f>
        <v>#NAME?</v>
      </c>
      <c r="CB171" s="24">
        <f>VLOOKUP($A171,tabCustoUnit[],COLUMN(CUSTO_GLOBAL[[#Headers],[ANO DA CCT]])-2,0)</f>
        <v>45658</v>
      </c>
      <c r="CC171" s="25" t="str">
        <f>VLOOKUP($A171,tabCustoUnit[],COLUMN(CUSTO_GLOBAL[[#Headers],[Nº DE PEDIDO DA CCT]])-2,0)</f>
        <v>-</v>
      </c>
      <c r="CD171" s="25" t="str">
        <f>VLOOKUP($A171,tabCustoUnit[],COLUMN(CUSTO_GLOBAL[[#Headers],[TERMO ADITIVO ALTERAÇÃO DA CCT]])-2,0)</f>
        <v>-</v>
      </c>
    </row>
    <row r="172" spans="1:82">
      <c r="A172" s="20" t="s">
        <v>1619</v>
      </c>
      <c r="B172" t="s">
        <v>1146</v>
      </c>
      <c r="C172" t="s">
        <v>324</v>
      </c>
      <c r="D172" t="s">
        <v>1038</v>
      </c>
      <c r="E172" s="20" t="s">
        <v>1090</v>
      </c>
      <c r="F172" s="20" t="s">
        <v>120</v>
      </c>
      <c r="G172" s="20">
        <v>3</v>
      </c>
      <c r="H172" s="20">
        <v>0</v>
      </c>
      <c r="I172" s="21">
        <f>VLOOKUP($A172,tabCustoUnit[],COLUMN(CUSTO_GLOBAL[[#Headers],[Salário Base]])-2,0)*($G172-$H172)</f>
        <v>10191.391799999999</v>
      </c>
      <c r="J172" s="21">
        <f>VLOOKUP($A172,tabCustoUnit[],COLUMN(CUSTO_GLOBAL[[#Headers],[Adicional Periculosidade]])-2,0)*($G172-$H172)</f>
        <v>0</v>
      </c>
      <c r="K172" s="21">
        <f>VLOOKUP($A172,tabCustoUnit[],COLUMN(CUSTO_GLOBAL[[#Headers],[Adicional Insalubridade]])-2,0)*($G172-$H172)</f>
        <v>0</v>
      </c>
      <c r="L172" s="21">
        <f>VLOOKUP($A172,tabCustoUnit[],COLUMN(CUSTO_GLOBAL[[#Headers],[Adicional Noturno]])-2,0)*($G172-$H172)</f>
        <v>0</v>
      </c>
      <c r="M172" s="21">
        <f>VLOOKUP($A172,tabCustoUnit[],COLUMN(CUSTO_GLOBAL[[#Headers],[Adicional Motorista II (Gratificação)]])-2,0)*($G172-$H172)</f>
        <v>0</v>
      </c>
      <c r="N172" s="21">
        <f>VLOOKUP($A172,tabCustoUnit[],COLUMN(CUSTO_GLOBAL[[#Headers],[Adicional de Sobreaviso]])-2,0)*($G172-$H172)</f>
        <v>0</v>
      </c>
      <c r="O172" s="21">
        <f>VLOOKUP($A172,tabCustoUnit[],COLUMN(CUSTO_GLOBAL[[#Headers],[Horas Extras TI]])-2,0)*($G172-$H172)</f>
        <v>0</v>
      </c>
      <c r="P172" s="21">
        <f>VLOOKUP($A172,tabCustoUnit[],COLUMN(CUSTO_GLOBAL[[#Headers],[Adicional de Acúmulo de função]])-2,0)*($G172-$H172)</f>
        <v>0</v>
      </c>
      <c r="Q172" s="21">
        <f>VLOOKUP($A172,tabCustoUnit[],COLUMN(CUSTO_GLOBAL[[#Headers],[MODULO 1 - REMUNERAÇÃO ]])-2,0)*($G172-$H172)</f>
        <v>10191.391799999999</v>
      </c>
      <c r="R172" s="21">
        <f>VLOOKUP($A172,tabCustoUnit[],COLUMN(CUSTO_GLOBAL[[#Headers],[INSS]])-2,0)*($G172-$H172)</f>
        <v>2038.2783600000002</v>
      </c>
      <c r="S172" s="21">
        <f>VLOOKUP($A172,tabCustoUnit[],COLUMN(CUSTO_GLOBAL[[#Headers],[SESI OU SESC]])-2,0)*($G172-$H172)</f>
        <v>152.87087700000001</v>
      </c>
      <c r="T172" s="21">
        <f>VLOOKUP($A172,tabCustoUnit[],COLUMN(CUSTO_GLOBAL[[#Headers],[SENAI OU SENAC]])-2,0)*($G172-$H172)</f>
        <v>101.913918</v>
      </c>
      <c r="U172" s="21">
        <f>VLOOKUP($A172,tabCustoUnit[],COLUMN(CUSTO_GLOBAL[[#Headers],[INCRA]])-2,0)*($G172-$H172)</f>
        <v>20.3827836</v>
      </c>
      <c r="V172" s="21">
        <f>VLOOKUP($A172,tabCustoUnit[],COLUMN(CUSTO_GLOBAL[[#Headers],[Salário Educação]])-2,0)*($G172-$H172)</f>
        <v>254.78479500000003</v>
      </c>
      <c r="W172" s="21">
        <f>VLOOKUP($A172,tabCustoUnit[],COLUMN(CUSTO_GLOBAL[[#Headers],[FGTS]])-2,0)*($G172-$H172)</f>
        <v>815.31134399999996</v>
      </c>
      <c r="X172" s="21">
        <f>VLOOKUP($A172,tabCustoUnit[],COLUMN(CUSTO_GLOBAL[[#Headers],[RAT Ajustado]])-2,0)*($G172-$H172)</f>
        <v>407.65567199999998</v>
      </c>
      <c r="Y172" s="21">
        <f>VLOOKUP($A172,tabCustoUnit[],COLUMN(CUSTO_GLOBAL[[#Headers],[SEBRAE]])-2,0)*($G172-$H172)</f>
        <v>61.148350800000003</v>
      </c>
      <c r="Z172" s="21">
        <f>VLOOKUP($A172,tabCustoUnit[],COLUMN(CUSTO_GLOBAL[[#Headers],[Submódulo 2.1]])-2,0)*($G172-$H172)</f>
        <v>3852.3461004000005</v>
      </c>
      <c r="AA172" s="21">
        <f>VLOOKUP($A172,tabCustoUnit[],COLUMN(CUSTO_GLOBAL[[#Headers],[13º salário (titular)]])-2,0)*($G172-$H172)</f>
        <v>849.28264999999988</v>
      </c>
      <c r="AB172" s="21">
        <f>VLOOKUP($A172,tabCustoUnit[],COLUMN(CUSTO_GLOBAL[[#Headers],[Férias e Adicional de Férias (titular)]])-2,0)*($G172-$H172)</f>
        <v>1132.3768666666665</v>
      </c>
      <c r="AC172" s="21">
        <f>VLOOKUP($A172,tabCustoUnit[],COLUMN(CUSTO_GLOBAL[[#Headers],[Incidência do Submódulo 2.1 sobre 13º Salário, Férias e Adicional de Férias]])-2,0)*($G172-$H172)</f>
        <v>749.06729730000006</v>
      </c>
      <c r="AD172" s="21">
        <f>VLOOKUP($A172,tabCustoUnit[],COLUMN(CUSTO_GLOBAL[[#Headers],[Submódulo 2.2]])-2,0)*($G172-$H172)</f>
        <v>2730.7268139666667</v>
      </c>
      <c r="AE172" s="22" t="e">
        <f ca="1">VLOOKUP($A172,tabCustoUnit[],COLUMN(CUSTO_GLOBAL[[#Headers],[Vale - Transporte (Descontada parcela do empregado)]])-2,0)*($G172-$H172)</f>
        <v>#NAME?</v>
      </c>
      <c r="AF172" s="22">
        <f>VLOOKUP($A172,tabCustoUnit[],COLUMN(CUSTO_GLOBAL[[#Headers],[Vale - Alimentação (Descontada parcela do empregado)]])-2,0)*($G172-$H172)</f>
        <v>1746</v>
      </c>
      <c r="AG172" s="22">
        <f>VLOOKUP($A172,tabCustoUnit[],COLUMN(CUSTO_GLOBAL[[#Headers],[Cesta Básica]])-2,0)*($G172-$H172)</f>
        <v>0</v>
      </c>
      <c r="AH172" s="22">
        <f>VLOOKUP($A172,tabCustoUnit[],COLUMN(CUSTO_GLOBAL[[#Headers],[PAF]])-2,0)*($G172-$H172)</f>
        <v>155.57999999999998</v>
      </c>
      <c r="AI172" s="22">
        <f>VLOOKUP($A172,tabCustoUnit[],COLUMN(CUSTO_GLOBAL[[#Headers],[PQM]])-2,0)*($G172-$H172)</f>
        <v>0</v>
      </c>
      <c r="AJ172" s="22">
        <v>0</v>
      </c>
      <c r="AK172" s="22">
        <f>VLOOKUP($A172,tabCustoUnit[],COLUMN(CUSTO_GLOBAL[[#Headers],[Seguro de Vida]])-2,0)*($G172-$H172)</f>
        <v>10.08</v>
      </c>
      <c r="AL172" s="22">
        <f>VLOOKUP($A172,tabCustoUnit[],COLUMN(CUSTO_GLOBAL[[#Headers],[Despesas de Viagem]])-2,0)*($G172-$H172)</f>
        <v>0</v>
      </c>
      <c r="AM172" s="22" t="e">
        <f ca="1">VLOOKUP($A172,tabCustoUnit[],COLUMN(CUSTO_GLOBAL[[#Headers],[Submódulo 2.3]])-2,0)*($G172-$H172)</f>
        <v>#NAME?</v>
      </c>
      <c r="AN172" s="22" t="e">
        <f ca="1">VLOOKUP($A172,tabCustoUnit[],COLUMN(CUSTO_GLOBAL[[#Headers],[MÓDULO 2 - Total Encargos e Benefícios mensais e diários]])-2,0)*($G172-$H172)</f>
        <v>#NAME?</v>
      </c>
      <c r="AO172" s="22">
        <f>VLOOKUP($A172,tabCustoUnit[],COLUMN(CUSTO_GLOBAL[[#Headers],[Aviso Prévio Indenizado (API) e Reflexo do Aviso Prévio Indenizado]])-2,0)*($G172-$H172)</f>
        <v>71.459664455671287</v>
      </c>
      <c r="AP172" s="22">
        <f>VLOOKUP($A172,tabCustoUnit[],COLUMN(CUSTO_GLOBAL[[#Headers],[Incidência do FGTS sobre API e Reflexo do API]])-2,0)*($G172-$H172)</f>
        <v>5.7167731564537041</v>
      </c>
      <c r="AQ172" s="22">
        <f>VLOOKUP($A172,tabCustoUnit[],COLUMN(CUSTO_GLOBAL[[#Headers],[Multa Rescisória do FGTS sobre o Aviso Prévio Indenizado]])-2,0)*($G172-$H172)</f>
        <v>2.286709262581482</v>
      </c>
      <c r="AR172" s="22">
        <f>VLOOKUP($A172,tabCustoUnit[],COLUMN(CUSTO_GLOBAL[[#Headers],[Aviso Prévio Trabalhado - APT]])-2,0)*($G172-$H172)</f>
        <v>35.669871300000004</v>
      </c>
      <c r="AS172" s="22">
        <f>VLOOKUP($A172,tabCustoUnit[],COLUMN(CUSTO_GLOBAL[[#Headers],[Incidência dos encargos do submódulo 2.1 sobre Aviso Prévio Trabalhado]])-2,0)*($G172-$H172)</f>
        <v>13.483211351400003</v>
      </c>
      <c r="AT172" s="22">
        <f>VLOOKUP($A172,tabCustoUnit[],COLUMN(CUSTO_GLOBAL[[#Headers],[Multa Rescisória do FGTS]])-2,0)*($G172-$H172)</f>
        <v>311.63011370666663</v>
      </c>
      <c r="AU172" s="22">
        <f>VLOOKUP($A172,tabCustoUnit[],COLUMN(CUSTO_GLOBAL[[#Headers],[Indenização Adicional (Art. 9º da Lei nº 7.238/84)]])-2,0)*($G172-$H172)</f>
        <v>8.4928265000000014</v>
      </c>
      <c r="AV172" s="22">
        <f>VLOOKUP($A172,tabCustoUnit[],COLUMN(CUSTO_GLOBAL[[#Headers],[MÓDULO 3 – PROVISÃO PARA RESCISÃO]])-2,0)*($G172-$H172)</f>
        <v>448.73916973277312</v>
      </c>
      <c r="AW172" s="22">
        <f>VLOOKUP($A172,tabCustoUnit[],COLUMN(CUSTO_GLOBAL[[#Headers],[Ausência por Doença]])-2,0)*($G172-$H172)</f>
        <v>86.060641866666657</v>
      </c>
      <c r="AX172" s="22">
        <f>VLOOKUP($A172,tabCustoUnit[],COLUMN(CUSTO_GLOBAL[[#Headers],[Ausências Legais]])-2,0)*($G172-$H172)</f>
        <v>20.665877816666665</v>
      </c>
      <c r="AY172" s="22">
        <f>VLOOKUP($A172,tabCustoUnit[],COLUMN(CUSTO_GLOBAL[[#Headers],[Licença Paternidade]])-2,0)*($G172-$H172)</f>
        <v>1.7410294325</v>
      </c>
      <c r="AZ172" s="22">
        <f>VLOOKUP($A172,tabCustoUnit[],COLUMN(CUSTO_GLOBAL[[#Headers],[Ausência por Acidente de Trabalho]])-2,0)*($G172-$H172)</f>
        <v>2.1232066250000003</v>
      </c>
      <c r="BA172" s="22">
        <f>VLOOKUP($A172,tabCustoUnit[],COLUMN(CUSTO_GLOBAL[[#Headers],[Férias, Adicional de Férias e 13º  com empregada em gozo de Licença Maternidade]])-2,0)*($G172-$H172)</f>
        <v>13.211063444444443</v>
      </c>
      <c r="BB172" s="22">
        <f>VLOOKUP($A172,tabCustoUnit[],COLUMN(CUSTO_GLOBAL[[#Headers],[Incidência do Submódulo 2.1 sobre Ausências Legais]])-2,0)*($G172-$H172)</f>
        <v>46.797087652035003</v>
      </c>
      <c r="BC172" s="22">
        <f>VLOOKUP($A172,tabCustoUnit[],COLUMN(CUSTO_GLOBAL[[#Headers],[Submódulo 4.1]])-2,0)*($G172-$H172)</f>
        <v>170.59890683731277</v>
      </c>
      <c r="BD172" s="22">
        <f>VLOOKUP($A172,tabCustoUnit[],COLUMN(CUSTO_GLOBAL[[#Headers],[Intervalo para Repouso ou Alimentação]])-2,0)*($G172-$H172)</f>
        <v>0</v>
      </c>
      <c r="BE172" s="22">
        <f>VLOOKUP($A172,tabCustoUnit[],COLUMN(CUSTO_GLOBAL[[#Headers],[Submódulo 4.2]])-2,0)*($G172-$H172)</f>
        <v>0</v>
      </c>
      <c r="BF172" s="22">
        <f>VLOOKUP($A172,tabCustoUnit[],COLUMN(CUSTO_GLOBAL[[#Headers],[Suspensão Temporária do Contrato de Trabalho]])-2,0)*($G172-$H172)</f>
        <v>0</v>
      </c>
      <c r="BG172" s="22">
        <f>VLOOKUP($A172,tabCustoUnit[],COLUMN(CUSTO_GLOBAL[[#Headers],[Submódulo 4.3]])-2,0)*($G172-$H172)</f>
        <v>0</v>
      </c>
      <c r="BH172" s="22">
        <f>VLOOKUP($A172,tabCustoUnit[],COLUMN(CUSTO_GLOBAL[[#Headers],[MÓDULO 4 – CUSTO DE REPOSIÇÃO DO PROFISSIONAL AUSENTE]])-2,0)*($G172-$H172)</f>
        <v>170.59890683731277</v>
      </c>
      <c r="BI172" s="22">
        <f>VLOOKUP($A172,tabCustoUnit[],COLUMN(CUSTO_GLOBAL[[#Headers],[Uniformes e EPIs]])-2,0)*($G172-$H172)</f>
        <v>169.92893688763019</v>
      </c>
      <c r="BJ172" s="22">
        <f>VLOOKUP($A172,tabCustoUnit[],COLUMN(CUSTO_GLOBAL[[#Headers],[Materiais de Consumo]])-2,0)*($G172-$H172)</f>
        <v>0</v>
      </c>
      <c r="BK172" s="22">
        <f>VLOOKUP($A172,tabCustoUnit[],COLUMN(CUSTO_GLOBAL[[#Headers],[Máquinas e Equipamentos (depreciação)]])-2,0)*($G172-$H172)</f>
        <v>0</v>
      </c>
      <c r="BL172" s="22">
        <f>VLOOKUP($A172,tabCustoUnit[],COLUMN(CUSTO_GLOBAL[[#Headers],[Produtos de Limpeza e Materiais de Higiene Pessoal]])-2,0)*($G172-$H172)</f>
        <v>0</v>
      </c>
      <c r="BM172" s="22">
        <f>VLOOKUP($A172,tabCustoUnit[],COLUMN(CUSTO_GLOBAL[[#Headers],[Outros (especificar)]])-2,0)*($G172-$H172)</f>
        <v>0</v>
      </c>
      <c r="BN172" s="22">
        <f>VLOOKUP($A172,tabCustoUnit[],COLUMN(CUSTO_GLOBAL[[#Headers],[MÓDULO 5 – INSUMOS DIVERSOS]])-2,0)*($G172-$H172)</f>
        <v>169.92893688763019</v>
      </c>
      <c r="BO172" s="22" t="e">
        <f ca="1">VLOOKUP($A172,tabCustoUnit[],COLUMN(CUSTO_GLOBAL[[#Headers],[TOTAL MÓDULOS 1+2+3+4+5]])-2,0)*($G172-$H172)</f>
        <v>#NAME?</v>
      </c>
      <c r="BP172" s="22" t="e">
        <f ca="1">VLOOKUP($A172,tabCustoUnit[],COLUMN(CUSTO_GLOBAL[[#Headers],[Custos Indiretos]])-2,0)*($G172-$H172)</f>
        <v>#NAME?</v>
      </c>
      <c r="BQ172" s="22" t="e">
        <f ca="1">VLOOKUP($A172,tabCustoUnit[],COLUMN(CUSTO_GLOBAL[[#Headers],[Lucro]])-2,0)*($G172-$H172)</f>
        <v>#NAME?</v>
      </c>
      <c r="BR172" s="26">
        <f>VLOOKUP($A172,tabCustoUnit[],COLUMN(CUSTO_GLOBAL[[#Headers],[COFINS]])-2,0)</f>
        <v>8.6609686609686695E-2</v>
      </c>
      <c r="BS172" s="26">
        <f>VLOOKUP($A172,tabCustoUnit[],COLUMN(CUSTO_GLOBAL[[#Headers],[PIS]])-2,0)</f>
        <v>1.880341880341882E-2</v>
      </c>
      <c r="BT172" s="28">
        <f>VLOOKUP($A172,tabCustoUnit[],COLUMN(CUSTO_GLOBAL[[#Headers],[ISS]])-2,0)</f>
        <v>0.03</v>
      </c>
      <c r="BU172" s="26">
        <f>VLOOKUP($A172,tabCustoUnit[],COLUMN(CUSTO_GLOBAL[[#Headers],[ISS (Conversão Alíquota s/ fatura)]])-2,0)</f>
        <v>3.4188034188034219E-2</v>
      </c>
      <c r="BV172" s="26">
        <f>VLOOKUP($A172,tabCustoUnit[],COLUMN(CUSTO_GLOBAL[[#Headers],[Resumo de Alíquotas (PIS+CONFINS+ISS)]])-2,0)</f>
        <v>0.1225</v>
      </c>
      <c r="BW172" s="138">
        <f>VLOOKUP($A172,tabCustoUnit[],COLUMN(CUSTO_GLOBAL[[#Headers],[PIS + COFINS + ISS (Total Conversão  Alíquota s/ Fatura)]])-2,0)</f>
        <v>0.13960113960113973</v>
      </c>
      <c r="BX172" s="22" t="e">
        <f ca="1">VLOOKUP($A172,tabCustoUnit[],COLUMN(CUSTO_GLOBAL[[#Headers],[Valor dos Tributos (ISS, PIS, CONFINS)]])-2,0)*($G172-$H172)</f>
        <v>#NAME?</v>
      </c>
      <c r="BY172" s="22" t="e">
        <f ca="1">VLOOKUP($A172,tabCustoUnit[],COLUMN(CUSTO_GLOBAL[[#Headers],[MÓDULO 6 – CUSTOS INDIRETOS, TRIBUTOS E LUCRO]])-2,0)*($G172-$H172)</f>
        <v>#NAME?</v>
      </c>
      <c r="BZ172" s="22" t="e">
        <f ca="1">VLOOKUP($A172,tabCustoUnit[],COLUMN(CUSTO_GLOBAL[[#Headers],[CUSTO TOTAL MENSAL]])-2,0)*($G172-$H172)</f>
        <v>#NAME?</v>
      </c>
      <c r="CA172" s="22" t="e">
        <f ca="1">CUSTO_GLOBAL[[#This Row],[CUSTO TOTAL MENSAL]]*12</f>
        <v>#NAME?</v>
      </c>
      <c r="CB172" s="24">
        <f>VLOOKUP($A172,tabCustoUnit[],COLUMN(CUSTO_GLOBAL[[#Headers],[ANO DA CCT]])-2,0)</f>
        <v>45658</v>
      </c>
      <c r="CC172" s="25" t="str">
        <f>VLOOKUP($A172,tabCustoUnit[],COLUMN(CUSTO_GLOBAL[[#Headers],[Nº DE PEDIDO DA CCT]])-2,0)</f>
        <v>-</v>
      </c>
      <c r="CD172" s="25" t="str">
        <f>VLOOKUP($A172,tabCustoUnit[],COLUMN(CUSTO_GLOBAL[[#Headers],[TERMO ADITIVO ALTERAÇÃO DA CCT]])-2,0)</f>
        <v>-</v>
      </c>
    </row>
    <row r="173" spans="1:82">
      <c r="A173" s="20" t="s">
        <v>1479</v>
      </c>
      <c r="B173" t="s">
        <v>930</v>
      </c>
      <c r="C173" t="s">
        <v>200</v>
      </c>
      <c r="D173" t="s">
        <v>930</v>
      </c>
      <c r="E173" s="20" t="s">
        <v>1090</v>
      </c>
      <c r="F173" s="20" t="s">
        <v>120</v>
      </c>
      <c r="G173" s="20">
        <v>1</v>
      </c>
      <c r="H173" s="20">
        <v>0</v>
      </c>
      <c r="I173" s="21">
        <f>VLOOKUP($A173,tabCustoUnit[],COLUMN(CUSTO_GLOBAL[[#Headers],[Salário Base]])-2,0)*($G173-$H173)</f>
        <v>1649.1152999999999</v>
      </c>
      <c r="J173" s="21">
        <f>VLOOKUP($A173,tabCustoUnit[],COLUMN(CUSTO_GLOBAL[[#Headers],[Adicional Periculosidade]])-2,0)*($G173-$H173)</f>
        <v>0</v>
      </c>
      <c r="K173" s="21">
        <f>VLOOKUP($A173,tabCustoUnit[],COLUMN(CUSTO_GLOBAL[[#Headers],[Adicional Insalubridade]])-2,0)*($G173-$H173)</f>
        <v>0</v>
      </c>
      <c r="L173" s="21">
        <f>VLOOKUP($A173,tabCustoUnit[],COLUMN(CUSTO_GLOBAL[[#Headers],[Adicional Noturno]])-2,0)*($G173-$H173)</f>
        <v>0</v>
      </c>
      <c r="M173" s="21">
        <f>VLOOKUP($A173,tabCustoUnit[],COLUMN(CUSTO_GLOBAL[[#Headers],[Adicional Motorista II (Gratificação)]])-2,0)*($G173-$H173)</f>
        <v>0</v>
      </c>
      <c r="N173" s="21">
        <f>VLOOKUP($A173,tabCustoUnit[],COLUMN(CUSTO_GLOBAL[[#Headers],[Adicional de Sobreaviso]])-2,0)*($G173-$H173)</f>
        <v>0</v>
      </c>
      <c r="O173" s="21">
        <f>VLOOKUP($A173,tabCustoUnit[],COLUMN(CUSTO_GLOBAL[[#Headers],[Horas Extras TI]])-2,0)*($G173-$H173)</f>
        <v>0</v>
      </c>
      <c r="P173" s="21">
        <f>VLOOKUP($A173,tabCustoUnit[],COLUMN(CUSTO_GLOBAL[[#Headers],[Adicional de Acúmulo de função]])-2,0)*($G173-$H173)</f>
        <v>0</v>
      </c>
      <c r="Q173" s="21">
        <f>VLOOKUP($A173,tabCustoUnit[],COLUMN(CUSTO_GLOBAL[[#Headers],[MODULO 1 - REMUNERAÇÃO ]])-2,0)*($G173-$H173)</f>
        <v>1649.1152999999999</v>
      </c>
      <c r="R173" s="21">
        <f>VLOOKUP($A173,tabCustoUnit[],COLUMN(CUSTO_GLOBAL[[#Headers],[INSS]])-2,0)*($G173-$H173)</f>
        <v>329.82306</v>
      </c>
      <c r="S173" s="21">
        <f>VLOOKUP($A173,tabCustoUnit[],COLUMN(CUSTO_GLOBAL[[#Headers],[SESI OU SESC]])-2,0)*($G173-$H173)</f>
        <v>24.736729499999999</v>
      </c>
      <c r="T173" s="21">
        <f>VLOOKUP($A173,tabCustoUnit[],COLUMN(CUSTO_GLOBAL[[#Headers],[SENAI OU SENAC]])-2,0)*($G173-$H173)</f>
        <v>16.491153000000001</v>
      </c>
      <c r="U173" s="21">
        <f>VLOOKUP($A173,tabCustoUnit[],COLUMN(CUSTO_GLOBAL[[#Headers],[INCRA]])-2,0)*($G173-$H173)</f>
        <v>3.2982306000000001</v>
      </c>
      <c r="V173" s="21">
        <f>VLOOKUP($A173,tabCustoUnit[],COLUMN(CUSTO_GLOBAL[[#Headers],[Salário Educação]])-2,0)*($G173-$H173)</f>
        <v>41.2278825</v>
      </c>
      <c r="W173" s="21">
        <f>VLOOKUP($A173,tabCustoUnit[],COLUMN(CUSTO_GLOBAL[[#Headers],[FGTS]])-2,0)*($G173-$H173)</f>
        <v>131.929224</v>
      </c>
      <c r="X173" s="21">
        <f>VLOOKUP($A173,tabCustoUnit[],COLUMN(CUSTO_GLOBAL[[#Headers],[RAT Ajustado]])-2,0)*($G173-$H173)</f>
        <v>65.964612000000002</v>
      </c>
      <c r="Y173" s="21">
        <f>VLOOKUP($A173,tabCustoUnit[],COLUMN(CUSTO_GLOBAL[[#Headers],[SEBRAE]])-2,0)*($G173-$H173)</f>
        <v>9.8946918000000004</v>
      </c>
      <c r="Z173" s="21">
        <f>VLOOKUP($A173,tabCustoUnit[],COLUMN(CUSTO_GLOBAL[[#Headers],[Submódulo 2.1]])-2,0)*($G173-$H173)</f>
        <v>623.36558340000011</v>
      </c>
      <c r="AA173" s="21">
        <f>VLOOKUP($A173,tabCustoUnit[],COLUMN(CUSTO_GLOBAL[[#Headers],[13º salário (titular)]])-2,0)*($G173-$H173)</f>
        <v>137.42627499999998</v>
      </c>
      <c r="AB173" s="21">
        <f>VLOOKUP($A173,tabCustoUnit[],COLUMN(CUSTO_GLOBAL[[#Headers],[Férias e Adicional de Férias (titular)]])-2,0)*($G173-$H173)</f>
        <v>183.23503333333332</v>
      </c>
      <c r="AC173" s="21">
        <f>VLOOKUP($A173,tabCustoUnit[],COLUMN(CUSTO_GLOBAL[[#Headers],[Incidência do Submódulo 2.1 sobre 13º Salário, Férias e Adicional de Férias]])-2,0)*($G173-$H173)</f>
        <v>121.20997455</v>
      </c>
      <c r="AD173" s="21">
        <f>VLOOKUP($A173,tabCustoUnit[],COLUMN(CUSTO_GLOBAL[[#Headers],[Submódulo 2.2]])-2,0)*($G173-$H173)</f>
        <v>441.87128288333327</v>
      </c>
      <c r="AE173" s="22" t="e">
        <f ca="1">VLOOKUP($A173,tabCustoUnit[],COLUMN(CUSTO_GLOBAL[[#Headers],[Vale - Transporte (Descontada parcela do empregado)]])-2,0)*($G173-$H173)</f>
        <v>#NAME?</v>
      </c>
      <c r="AF173" s="22">
        <f>VLOOKUP($A173,tabCustoUnit[],COLUMN(CUSTO_GLOBAL[[#Headers],[Vale - Alimentação (Descontada parcela do empregado)]])-2,0)*($G173-$H173)</f>
        <v>582</v>
      </c>
      <c r="AG173" s="22">
        <f>VLOOKUP($A173,tabCustoUnit[],COLUMN(CUSTO_GLOBAL[[#Headers],[Cesta Básica]])-2,0)*($G173-$H173)</f>
        <v>0</v>
      </c>
      <c r="AH173" s="22">
        <f>VLOOKUP($A173,tabCustoUnit[],COLUMN(CUSTO_GLOBAL[[#Headers],[PAF]])-2,0)*($G173-$H173)</f>
        <v>51.88</v>
      </c>
      <c r="AI173" s="22">
        <f>VLOOKUP($A173,tabCustoUnit[],COLUMN(CUSTO_GLOBAL[[#Headers],[PQM]])-2,0)*($G173-$H173)</f>
        <v>0</v>
      </c>
      <c r="AJ173" s="22">
        <v>0</v>
      </c>
      <c r="AK173" s="22">
        <f>VLOOKUP($A173,tabCustoUnit[],COLUMN(CUSTO_GLOBAL[[#Headers],[Seguro de Vida]])-2,0)*($G173-$H173)</f>
        <v>3.36</v>
      </c>
      <c r="AL173" s="22">
        <f>VLOOKUP($A173,tabCustoUnit[],COLUMN(CUSTO_GLOBAL[[#Headers],[Despesas de Viagem]])-2,0)*($G173-$H173)</f>
        <v>0</v>
      </c>
      <c r="AM173" s="22" t="e">
        <f ca="1">VLOOKUP($A173,tabCustoUnit[],COLUMN(CUSTO_GLOBAL[[#Headers],[Submódulo 2.3]])-2,0)*($G173-$H173)</f>
        <v>#NAME?</v>
      </c>
      <c r="AN173" s="22" t="e">
        <f ca="1">VLOOKUP($A173,tabCustoUnit[],COLUMN(CUSTO_GLOBAL[[#Headers],[MÓDULO 2 - Total Encargos e Benefícios mensais e diários]])-2,0)*($G173-$H173)</f>
        <v>#NAME?</v>
      </c>
      <c r="AO173" s="22">
        <f>VLOOKUP($A173,tabCustoUnit[],COLUMN(CUSTO_GLOBAL[[#Headers],[Aviso Prévio Indenizado (API) e Reflexo do Aviso Prévio Indenizado]])-2,0)*($G173-$H173)</f>
        <v>11.563212199016203</v>
      </c>
      <c r="AP173" s="22">
        <f>VLOOKUP($A173,tabCustoUnit[],COLUMN(CUSTO_GLOBAL[[#Headers],[Incidência do FGTS sobre API e Reflexo do API]])-2,0)*($G173-$H173)</f>
        <v>0.92505697592129632</v>
      </c>
      <c r="AQ173" s="22">
        <f>VLOOKUP($A173,tabCustoUnit[],COLUMN(CUSTO_GLOBAL[[#Headers],[Multa Rescisória do FGTS sobre o Aviso Prévio Indenizado]])-2,0)*($G173-$H173)</f>
        <v>0.37002279036851859</v>
      </c>
      <c r="AR173" s="22">
        <f>VLOOKUP($A173,tabCustoUnit[],COLUMN(CUSTO_GLOBAL[[#Headers],[Aviso Prévio Trabalhado - APT]])-2,0)*($G173-$H173)</f>
        <v>5.7719035500000002</v>
      </c>
      <c r="AS173" s="22">
        <f>VLOOKUP($A173,tabCustoUnit[],COLUMN(CUSTO_GLOBAL[[#Headers],[Incidência dos encargos do submódulo 2.1 sobre Aviso Prévio Trabalhado]])-2,0)*($G173-$H173)</f>
        <v>2.1817795419000006</v>
      </c>
      <c r="AT173" s="22">
        <f>VLOOKUP($A173,tabCustoUnit[],COLUMN(CUSTO_GLOBAL[[#Headers],[Multa Rescisória do FGTS]])-2,0)*($G173-$H173)</f>
        <v>50.426281173333322</v>
      </c>
      <c r="AU173" s="22">
        <f>VLOOKUP($A173,tabCustoUnit[],COLUMN(CUSTO_GLOBAL[[#Headers],[Indenização Adicional (Art. 9º da Lei nº 7.238/84)]])-2,0)*($G173-$H173)</f>
        <v>1.37426275</v>
      </c>
      <c r="AV173" s="22">
        <f>VLOOKUP($A173,tabCustoUnit[],COLUMN(CUSTO_GLOBAL[[#Headers],[MÓDULO 3 – PROVISÃO PARA RESCISÃO]])-2,0)*($G173-$H173)</f>
        <v>72.612518980539335</v>
      </c>
      <c r="AW173" s="22">
        <f>VLOOKUP($A173,tabCustoUnit[],COLUMN(CUSTO_GLOBAL[[#Headers],[Ausência por Doença]])-2,0)*($G173-$H173)</f>
        <v>13.925862533333332</v>
      </c>
      <c r="AX173" s="22">
        <f>VLOOKUP($A173,tabCustoUnit[],COLUMN(CUSTO_GLOBAL[[#Headers],[Ausências Legais]])-2,0)*($G173-$H173)</f>
        <v>3.3440393583333332</v>
      </c>
      <c r="AY173" s="22">
        <f>VLOOKUP($A173,tabCustoUnit[],COLUMN(CUSTO_GLOBAL[[#Headers],[Licença Paternidade]])-2,0)*($G173-$H173)</f>
        <v>0.28172386374999997</v>
      </c>
      <c r="AZ173" s="22">
        <f>VLOOKUP($A173,tabCustoUnit[],COLUMN(CUSTO_GLOBAL[[#Headers],[Ausência por Acidente de Trabalho]])-2,0)*($G173-$H173)</f>
        <v>0.34356568749999999</v>
      </c>
      <c r="BA173" s="22">
        <f>VLOOKUP($A173,tabCustoUnit[],COLUMN(CUSTO_GLOBAL[[#Headers],[Férias, Adicional de Férias e 13º  com empregada em gozo de Licença Maternidade]])-2,0)*($G173-$H173)</f>
        <v>2.1377420555555555</v>
      </c>
      <c r="BB173" s="22">
        <f>VLOOKUP($A173,tabCustoUnit[],COLUMN(CUSTO_GLOBAL[[#Headers],[Incidência do Submódulo 2.1 sobre Ausências Legais]])-2,0)*($G173-$H173)</f>
        <v>7.572448862422501</v>
      </c>
      <c r="BC173" s="22">
        <f>VLOOKUP($A173,tabCustoUnit[],COLUMN(CUSTO_GLOBAL[[#Headers],[Submódulo 4.1]])-2,0)*($G173-$H173)</f>
        <v>27.605382360894719</v>
      </c>
      <c r="BD173" s="22">
        <f>VLOOKUP($A173,tabCustoUnit[],COLUMN(CUSTO_GLOBAL[[#Headers],[Intervalo para Repouso ou Alimentação]])-2,0)*($G173-$H173)</f>
        <v>0</v>
      </c>
      <c r="BE173" s="22">
        <f>VLOOKUP($A173,tabCustoUnit[],COLUMN(CUSTO_GLOBAL[[#Headers],[Submódulo 4.2]])-2,0)*($G173-$H173)</f>
        <v>0</v>
      </c>
      <c r="BF173" s="22">
        <f>VLOOKUP($A173,tabCustoUnit[],COLUMN(CUSTO_GLOBAL[[#Headers],[Suspensão Temporária do Contrato de Trabalho]])-2,0)*($G173-$H173)</f>
        <v>0</v>
      </c>
      <c r="BG173" s="22">
        <f>VLOOKUP($A173,tabCustoUnit[],COLUMN(CUSTO_GLOBAL[[#Headers],[Submódulo 4.3]])-2,0)*($G173-$H173)</f>
        <v>0</v>
      </c>
      <c r="BH173" s="22">
        <f>VLOOKUP($A173,tabCustoUnit[],COLUMN(CUSTO_GLOBAL[[#Headers],[MÓDULO 4 – CUSTO DE REPOSIÇÃO DO PROFISSIONAL AUSENTE]])-2,0)*($G173-$H173)</f>
        <v>27.605382360894719</v>
      </c>
      <c r="BI173" s="22">
        <f>VLOOKUP($A173,tabCustoUnit[],COLUMN(CUSTO_GLOBAL[[#Headers],[Uniformes e EPIs]])-2,0)*($G173-$H173)</f>
        <v>56.141713661989918</v>
      </c>
      <c r="BJ173" s="22">
        <f>VLOOKUP($A173,tabCustoUnit[],COLUMN(CUSTO_GLOBAL[[#Headers],[Materiais de Consumo]])-2,0)*($G173-$H173)</f>
        <v>0</v>
      </c>
      <c r="BK173" s="22">
        <f>VLOOKUP($A173,tabCustoUnit[],COLUMN(CUSTO_GLOBAL[[#Headers],[Máquinas e Equipamentos (depreciação)]])-2,0)*($G173-$H173)</f>
        <v>0</v>
      </c>
      <c r="BL173" s="22">
        <f>VLOOKUP($A173,tabCustoUnit[],COLUMN(CUSTO_GLOBAL[[#Headers],[Produtos de Limpeza e Materiais de Higiene Pessoal]])-2,0)*($G173-$H173)</f>
        <v>0</v>
      </c>
      <c r="BM173" s="22">
        <f>VLOOKUP($A173,tabCustoUnit[],COLUMN(CUSTO_GLOBAL[[#Headers],[Outros (especificar)]])-2,0)*($G173-$H173)</f>
        <v>0</v>
      </c>
      <c r="BN173" s="22">
        <f>VLOOKUP($A173,tabCustoUnit[],COLUMN(CUSTO_GLOBAL[[#Headers],[MÓDULO 5 – INSUMOS DIVERSOS]])-2,0)*($G173-$H173)</f>
        <v>56.141713661989918</v>
      </c>
      <c r="BO173" s="22" t="e">
        <f ca="1">VLOOKUP($A173,tabCustoUnit[],COLUMN(CUSTO_GLOBAL[[#Headers],[TOTAL MÓDULOS 1+2+3+4+5]])-2,0)*($G173-$H173)</f>
        <v>#NAME?</v>
      </c>
      <c r="BP173" s="22" t="e">
        <f ca="1">VLOOKUP($A173,tabCustoUnit[],COLUMN(CUSTO_GLOBAL[[#Headers],[Custos Indiretos]])-2,0)*($G173-$H173)</f>
        <v>#NAME?</v>
      </c>
      <c r="BQ173" s="22" t="e">
        <f ca="1">VLOOKUP($A173,tabCustoUnit[],COLUMN(CUSTO_GLOBAL[[#Headers],[Lucro]])-2,0)*($G173-$H173)</f>
        <v>#NAME?</v>
      </c>
      <c r="BR173" s="26">
        <f>VLOOKUP($A173,tabCustoUnit[],COLUMN(CUSTO_GLOBAL[[#Headers],[COFINS]])-2,0)</f>
        <v>8.6609686609686695E-2</v>
      </c>
      <c r="BS173" s="26">
        <f>VLOOKUP($A173,tabCustoUnit[],COLUMN(CUSTO_GLOBAL[[#Headers],[PIS]])-2,0)</f>
        <v>1.880341880341882E-2</v>
      </c>
      <c r="BT173" s="28">
        <f>VLOOKUP($A173,tabCustoUnit[],COLUMN(CUSTO_GLOBAL[[#Headers],[ISS]])-2,0)</f>
        <v>0.03</v>
      </c>
      <c r="BU173" s="26">
        <f>VLOOKUP($A173,tabCustoUnit[],COLUMN(CUSTO_GLOBAL[[#Headers],[ISS (Conversão Alíquota s/ fatura)]])-2,0)</f>
        <v>3.4188034188034219E-2</v>
      </c>
      <c r="BV173" s="26">
        <f>VLOOKUP($A173,tabCustoUnit[],COLUMN(CUSTO_GLOBAL[[#Headers],[Resumo de Alíquotas (PIS+CONFINS+ISS)]])-2,0)</f>
        <v>0.1225</v>
      </c>
      <c r="BW173" s="138">
        <f>VLOOKUP($A173,tabCustoUnit[],COLUMN(CUSTO_GLOBAL[[#Headers],[PIS + COFINS + ISS (Total Conversão  Alíquota s/ Fatura)]])-2,0)</f>
        <v>0.13960113960113973</v>
      </c>
      <c r="BX173" s="22" t="e">
        <f ca="1">VLOOKUP($A173,tabCustoUnit[],COLUMN(CUSTO_GLOBAL[[#Headers],[Valor dos Tributos (ISS, PIS, CONFINS)]])-2,0)*($G173-$H173)</f>
        <v>#NAME?</v>
      </c>
      <c r="BY173" s="22" t="e">
        <f ca="1">VLOOKUP($A173,tabCustoUnit[],COLUMN(CUSTO_GLOBAL[[#Headers],[MÓDULO 6 – CUSTOS INDIRETOS, TRIBUTOS E LUCRO]])-2,0)*($G173-$H173)</f>
        <v>#NAME?</v>
      </c>
      <c r="BZ173" s="22" t="e">
        <f ca="1">VLOOKUP($A173,tabCustoUnit[],COLUMN(CUSTO_GLOBAL[[#Headers],[CUSTO TOTAL MENSAL]])-2,0)*($G173-$H173)</f>
        <v>#NAME?</v>
      </c>
      <c r="CA173" s="22" t="e">
        <f ca="1">CUSTO_GLOBAL[[#This Row],[CUSTO TOTAL MENSAL]]*12</f>
        <v>#NAME?</v>
      </c>
      <c r="CB173" s="24">
        <f>VLOOKUP($A173,tabCustoUnit[],COLUMN(CUSTO_GLOBAL[[#Headers],[ANO DA CCT]])-2,0)</f>
        <v>45658</v>
      </c>
      <c r="CC173" s="25" t="str">
        <f>VLOOKUP($A173,tabCustoUnit[],COLUMN(CUSTO_GLOBAL[[#Headers],[Nº DE PEDIDO DA CCT]])-2,0)</f>
        <v>-</v>
      </c>
      <c r="CD173" s="25" t="str">
        <f>VLOOKUP($A173,tabCustoUnit[],COLUMN(CUSTO_GLOBAL[[#Headers],[TERMO ADITIVO ALTERAÇÃO DA CCT]])-2,0)</f>
        <v>-</v>
      </c>
    </row>
    <row r="174" spans="1:82">
      <c r="A174" s="20" t="s">
        <v>1620</v>
      </c>
      <c r="B174" t="s">
        <v>930</v>
      </c>
      <c r="C174" t="s">
        <v>304</v>
      </c>
      <c r="D174" t="s">
        <v>930</v>
      </c>
      <c r="E174" s="20" t="s">
        <v>1090</v>
      </c>
      <c r="F174" s="20" t="s">
        <v>120</v>
      </c>
      <c r="G174" s="20">
        <v>2</v>
      </c>
      <c r="H174" s="20">
        <v>0</v>
      </c>
      <c r="I174" s="21">
        <f>VLOOKUP($A174,tabCustoUnit[],COLUMN(CUSTO_GLOBAL[[#Headers],[Salário Base]])-2,0)*($G174-$H174)</f>
        <v>4269.607</v>
      </c>
      <c r="J174" s="21">
        <f>VLOOKUP($A174,tabCustoUnit[],COLUMN(CUSTO_GLOBAL[[#Headers],[Adicional Periculosidade]])-2,0)*($G174-$H174)</f>
        <v>0</v>
      </c>
      <c r="K174" s="21">
        <f>VLOOKUP($A174,tabCustoUnit[],COLUMN(CUSTO_GLOBAL[[#Headers],[Adicional Insalubridade]])-2,0)*($G174-$H174)</f>
        <v>0</v>
      </c>
      <c r="L174" s="21">
        <f>VLOOKUP($A174,tabCustoUnit[],COLUMN(CUSTO_GLOBAL[[#Headers],[Adicional Noturno]])-2,0)*($G174-$H174)</f>
        <v>0</v>
      </c>
      <c r="M174" s="21">
        <f>VLOOKUP($A174,tabCustoUnit[],COLUMN(CUSTO_GLOBAL[[#Headers],[Adicional Motorista II (Gratificação)]])-2,0)*($G174-$H174)</f>
        <v>0</v>
      </c>
      <c r="N174" s="21">
        <f>VLOOKUP($A174,tabCustoUnit[],COLUMN(CUSTO_GLOBAL[[#Headers],[Adicional de Sobreaviso]])-2,0)*($G174-$H174)</f>
        <v>0</v>
      </c>
      <c r="O174" s="21">
        <f>VLOOKUP($A174,tabCustoUnit[],COLUMN(CUSTO_GLOBAL[[#Headers],[Horas Extras TI]])-2,0)*($G174-$H174)</f>
        <v>0</v>
      </c>
      <c r="P174" s="21">
        <f>VLOOKUP($A174,tabCustoUnit[],COLUMN(CUSTO_GLOBAL[[#Headers],[Adicional de Acúmulo de função]])-2,0)*($G174-$H174)</f>
        <v>0</v>
      </c>
      <c r="Q174" s="21">
        <f>VLOOKUP($A174,tabCustoUnit[],COLUMN(CUSTO_GLOBAL[[#Headers],[MODULO 1 - REMUNERAÇÃO ]])-2,0)*($G174-$H174)</f>
        <v>4269.607</v>
      </c>
      <c r="R174" s="21">
        <f>VLOOKUP($A174,tabCustoUnit[],COLUMN(CUSTO_GLOBAL[[#Headers],[INSS]])-2,0)*($G174-$H174)</f>
        <v>853.92140000000006</v>
      </c>
      <c r="S174" s="21">
        <f>VLOOKUP($A174,tabCustoUnit[],COLUMN(CUSTO_GLOBAL[[#Headers],[SESI OU SESC]])-2,0)*($G174-$H174)</f>
        <v>64.044105000000002</v>
      </c>
      <c r="T174" s="21">
        <f>VLOOKUP($A174,tabCustoUnit[],COLUMN(CUSTO_GLOBAL[[#Headers],[SENAI OU SENAC]])-2,0)*($G174-$H174)</f>
        <v>42.696069999999999</v>
      </c>
      <c r="U174" s="21">
        <f>VLOOKUP($A174,tabCustoUnit[],COLUMN(CUSTO_GLOBAL[[#Headers],[INCRA]])-2,0)*($G174-$H174)</f>
        <v>8.5392139999999994</v>
      </c>
      <c r="V174" s="21">
        <f>VLOOKUP($A174,tabCustoUnit[],COLUMN(CUSTO_GLOBAL[[#Headers],[Salário Educação]])-2,0)*($G174-$H174)</f>
        <v>106.74017500000001</v>
      </c>
      <c r="W174" s="21">
        <f>VLOOKUP($A174,tabCustoUnit[],COLUMN(CUSTO_GLOBAL[[#Headers],[FGTS]])-2,0)*($G174-$H174)</f>
        <v>341.56855999999999</v>
      </c>
      <c r="X174" s="21">
        <f>VLOOKUP($A174,tabCustoUnit[],COLUMN(CUSTO_GLOBAL[[#Headers],[RAT Ajustado]])-2,0)*($G174-$H174)</f>
        <v>170.78428</v>
      </c>
      <c r="Y174" s="21">
        <f>VLOOKUP($A174,tabCustoUnit[],COLUMN(CUSTO_GLOBAL[[#Headers],[SEBRAE]])-2,0)*($G174-$H174)</f>
        <v>25.617642</v>
      </c>
      <c r="Z174" s="21">
        <f>VLOOKUP($A174,tabCustoUnit[],COLUMN(CUSTO_GLOBAL[[#Headers],[Submódulo 2.1]])-2,0)*($G174-$H174)</f>
        <v>1613.9114460000001</v>
      </c>
      <c r="AA174" s="21">
        <f>VLOOKUP($A174,tabCustoUnit[],COLUMN(CUSTO_GLOBAL[[#Headers],[13º salário (titular)]])-2,0)*($G174-$H174)</f>
        <v>355.80058333333329</v>
      </c>
      <c r="AB174" s="21">
        <f>VLOOKUP($A174,tabCustoUnit[],COLUMN(CUSTO_GLOBAL[[#Headers],[Férias e Adicional de Férias (titular)]])-2,0)*($G174-$H174)</f>
        <v>474.40077777777776</v>
      </c>
      <c r="AC174" s="21">
        <f>VLOOKUP($A174,tabCustoUnit[],COLUMN(CUSTO_GLOBAL[[#Headers],[Incidência do Submódulo 2.1 sobre 13º Salário, Férias e Adicional de Férias]])-2,0)*($G174-$H174)</f>
        <v>313.81611449999997</v>
      </c>
      <c r="AD174" s="21">
        <f>VLOOKUP($A174,tabCustoUnit[],COLUMN(CUSTO_GLOBAL[[#Headers],[Submódulo 2.2]])-2,0)*($G174-$H174)</f>
        <v>1144.017475611111</v>
      </c>
      <c r="AE174" s="22" t="e">
        <f ca="1">VLOOKUP($A174,tabCustoUnit[],COLUMN(CUSTO_GLOBAL[[#Headers],[Vale - Transporte (Descontada parcela do empregado)]])-2,0)*($G174-$H174)</f>
        <v>#NAME?</v>
      </c>
      <c r="AF174" s="22">
        <f>VLOOKUP($A174,tabCustoUnit[],COLUMN(CUSTO_GLOBAL[[#Headers],[Vale - Alimentação (Descontada parcela do empregado)]])-2,0)*($G174-$H174)</f>
        <v>1164</v>
      </c>
      <c r="AG174" s="22">
        <f>VLOOKUP($A174,tabCustoUnit[],COLUMN(CUSTO_GLOBAL[[#Headers],[Cesta Básica]])-2,0)*($G174-$H174)</f>
        <v>0</v>
      </c>
      <c r="AH174" s="22">
        <f>VLOOKUP($A174,tabCustoUnit[],COLUMN(CUSTO_GLOBAL[[#Headers],[PAF]])-2,0)*($G174-$H174)</f>
        <v>103.76</v>
      </c>
      <c r="AI174" s="22">
        <f>VLOOKUP($A174,tabCustoUnit[],COLUMN(CUSTO_GLOBAL[[#Headers],[PQM]])-2,0)*($G174-$H174)</f>
        <v>0</v>
      </c>
      <c r="AJ174" s="22">
        <v>0</v>
      </c>
      <c r="AK174" s="22">
        <f>VLOOKUP($A174,tabCustoUnit[],COLUMN(CUSTO_GLOBAL[[#Headers],[Seguro de Vida]])-2,0)*($G174-$H174)</f>
        <v>6.72</v>
      </c>
      <c r="AL174" s="22">
        <f>VLOOKUP($A174,tabCustoUnit[],COLUMN(CUSTO_GLOBAL[[#Headers],[Despesas de Viagem]])-2,0)*($G174-$H174)</f>
        <v>0</v>
      </c>
      <c r="AM174" s="22" t="e">
        <f ca="1">VLOOKUP($A174,tabCustoUnit[],COLUMN(CUSTO_GLOBAL[[#Headers],[Submódulo 2.3]])-2,0)*($G174-$H174)</f>
        <v>#NAME?</v>
      </c>
      <c r="AN174" s="22" t="e">
        <f ca="1">VLOOKUP($A174,tabCustoUnit[],COLUMN(CUSTO_GLOBAL[[#Headers],[MÓDULO 2 - Total Encargos e Benefícios mensais e diários]])-2,0)*($G174-$H174)</f>
        <v>#NAME?</v>
      </c>
      <c r="AO174" s="22">
        <f>VLOOKUP($A174,tabCustoUnit[],COLUMN(CUSTO_GLOBAL[[#Headers],[Aviso Prévio Indenizado (API) e Reflexo do Aviso Prévio Indenizado]])-2,0)*($G174-$H174)</f>
        <v>29.937489360146603</v>
      </c>
      <c r="AP174" s="22">
        <f>VLOOKUP($A174,tabCustoUnit[],COLUMN(CUSTO_GLOBAL[[#Headers],[Incidência do FGTS sobre API e Reflexo do API]])-2,0)*($G174-$H174)</f>
        <v>2.3949991488117286</v>
      </c>
      <c r="AQ174" s="22">
        <f>VLOOKUP($A174,tabCustoUnit[],COLUMN(CUSTO_GLOBAL[[#Headers],[Multa Rescisória do FGTS sobre o Aviso Prévio Indenizado]])-2,0)*($G174-$H174)</f>
        <v>0.95799965952469157</v>
      </c>
      <c r="AR174" s="22">
        <f>VLOOKUP($A174,tabCustoUnit[],COLUMN(CUSTO_GLOBAL[[#Headers],[Aviso Prévio Trabalhado - APT]])-2,0)*($G174-$H174)</f>
        <v>14.943624500000002</v>
      </c>
      <c r="AS174" s="22">
        <f>VLOOKUP($A174,tabCustoUnit[],COLUMN(CUSTO_GLOBAL[[#Headers],[Incidência dos encargos do submódulo 2.1 sobre Aviso Prévio Trabalhado]])-2,0)*($G174-$H174)</f>
        <v>5.6486900610000017</v>
      </c>
      <c r="AT174" s="22">
        <f>VLOOKUP($A174,tabCustoUnit[],COLUMN(CUSTO_GLOBAL[[#Headers],[Multa Rescisória do FGTS]])-2,0)*($G174-$H174)</f>
        <v>130.55509404444442</v>
      </c>
      <c r="AU174" s="22">
        <f>VLOOKUP($A174,tabCustoUnit[],COLUMN(CUSTO_GLOBAL[[#Headers],[Indenização Adicional (Art. 9º da Lei nº 7.238/84)]])-2,0)*($G174-$H174)</f>
        <v>3.5580058333333335</v>
      </c>
      <c r="AV174" s="22">
        <f>VLOOKUP($A174,tabCustoUnit[],COLUMN(CUSTO_GLOBAL[[#Headers],[MÓDULO 3 – PROVISÃO PARA RESCISÃO]])-2,0)*($G174-$H174)</f>
        <v>187.99590260726077</v>
      </c>
      <c r="AW174" s="22">
        <f>VLOOKUP($A174,tabCustoUnit[],COLUMN(CUSTO_GLOBAL[[#Headers],[Ausência por Doença]])-2,0)*($G174-$H174)</f>
        <v>36.054459111111107</v>
      </c>
      <c r="AX174" s="22">
        <f>VLOOKUP($A174,tabCustoUnit[],COLUMN(CUSTO_GLOBAL[[#Headers],[Ausências Legais]])-2,0)*($G174-$H174)</f>
        <v>8.6578141944444447</v>
      </c>
      <c r="AY174" s="22">
        <f>VLOOKUP($A174,tabCustoUnit[],COLUMN(CUSTO_GLOBAL[[#Headers],[Licença Paternidade]])-2,0)*($G174-$H174)</f>
        <v>0.72939119583333334</v>
      </c>
      <c r="AZ174" s="22">
        <f>VLOOKUP($A174,tabCustoUnit[],COLUMN(CUSTO_GLOBAL[[#Headers],[Ausência por Acidente de Trabalho]])-2,0)*($G174-$H174)</f>
        <v>0.88950145833333338</v>
      </c>
      <c r="BA174" s="22">
        <f>VLOOKUP($A174,tabCustoUnit[],COLUMN(CUSTO_GLOBAL[[#Headers],[Férias, Adicional de Férias e 13º  com empregada em gozo de Licença Maternidade]])-2,0)*($G174-$H174)</f>
        <v>5.5346757407407408</v>
      </c>
      <c r="BB174" s="22">
        <f>VLOOKUP($A174,tabCustoUnit[],COLUMN(CUSTO_GLOBAL[[#Headers],[Incidência do Submódulo 2.1 sobre Ausências Legais]])-2,0)*($G174-$H174)</f>
        <v>19.605288162775004</v>
      </c>
      <c r="BC174" s="22">
        <f>VLOOKUP($A174,tabCustoUnit[],COLUMN(CUSTO_GLOBAL[[#Headers],[Submódulo 4.1]])-2,0)*($G174-$H174)</f>
        <v>71.471129863237962</v>
      </c>
      <c r="BD174" s="22">
        <f>VLOOKUP($A174,tabCustoUnit[],COLUMN(CUSTO_GLOBAL[[#Headers],[Intervalo para Repouso ou Alimentação]])-2,0)*($G174-$H174)</f>
        <v>472.70648705651831</v>
      </c>
      <c r="BE174" s="22">
        <f>VLOOKUP($A174,tabCustoUnit[],COLUMN(CUSTO_GLOBAL[[#Headers],[Submódulo 4.2]])-2,0)*($G174-$H174)</f>
        <v>472.70648705651831</v>
      </c>
      <c r="BF174" s="22">
        <f>VLOOKUP($A174,tabCustoUnit[],COLUMN(CUSTO_GLOBAL[[#Headers],[Suspensão Temporária do Contrato de Trabalho]])-2,0)*($G174-$H174)</f>
        <v>0</v>
      </c>
      <c r="BG174" s="22">
        <f>VLOOKUP($A174,tabCustoUnit[],COLUMN(CUSTO_GLOBAL[[#Headers],[Submódulo 4.3]])-2,0)*($G174-$H174)</f>
        <v>0</v>
      </c>
      <c r="BH174" s="22">
        <f>VLOOKUP($A174,tabCustoUnit[],COLUMN(CUSTO_GLOBAL[[#Headers],[MÓDULO 4 – CUSTO DE REPOSIÇÃO DO PROFISSIONAL AUSENTE]])-2,0)*($G174-$H174)</f>
        <v>544.17761691975625</v>
      </c>
      <c r="BI174" s="22">
        <f>VLOOKUP($A174,tabCustoUnit[],COLUMN(CUSTO_GLOBAL[[#Headers],[Uniformes e EPIs]])-2,0)*($G174-$H174)</f>
        <v>113.28595792508679</v>
      </c>
      <c r="BJ174" s="22">
        <f>VLOOKUP($A174,tabCustoUnit[],COLUMN(CUSTO_GLOBAL[[#Headers],[Materiais de Consumo]])-2,0)*($G174-$H174)</f>
        <v>0</v>
      </c>
      <c r="BK174" s="22">
        <f>VLOOKUP($A174,tabCustoUnit[],COLUMN(CUSTO_GLOBAL[[#Headers],[Máquinas e Equipamentos (depreciação)]])-2,0)*($G174-$H174)</f>
        <v>0</v>
      </c>
      <c r="BL174" s="22">
        <f>VLOOKUP($A174,tabCustoUnit[],COLUMN(CUSTO_GLOBAL[[#Headers],[Produtos de Limpeza e Materiais de Higiene Pessoal]])-2,0)*($G174-$H174)</f>
        <v>0</v>
      </c>
      <c r="BM174" s="22">
        <f>VLOOKUP($A174,tabCustoUnit[],COLUMN(CUSTO_GLOBAL[[#Headers],[Outros (especificar)]])-2,0)*($G174-$H174)</f>
        <v>0</v>
      </c>
      <c r="BN174" s="22">
        <f>VLOOKUP($A174,tabCustoUnit[],COLUMN(CUSTO_GLOBAL[[#Headers],[MÓDULO 5 – INSUMOS DIVERSOS]])-2,0)*($G174-$H174)</f>
        <v>113.28595792508679</v>
      </c>
      <c r="BO174" s="22" t="e">
        <f ca="1">VLOOKUP($A174,tabCustoUnit[],COLUMN(CUSTO_GLOBAL[[#Headers],[TOTAL MÓDULOS 1+2+3+4+5]])-2,0)*($G174-$H174)</f>
        <v>#NAME?</v>
      </c>
      <c r="BP174" s="22" t="e">
        <f ca="1">VLOOKUP($A174,tabCustoUnit[],COLUMN(CUSTO_GLOBAL[[#Headers],[Custos Indiretos]])-2,0)*($G174-$H174)</f>
        <v>#NAME?</v>
      </c>
      <c r="BQ174" s="22" t="e">
        <f ca="1">VLOOKUP($A174,tabCustoUnit[],COLUMN(CUSTO_GLOBAL[[#Headers],[Lucro]])-2,0)*($G174-$H174)</f>
        <v>#NAME?</v>
      </c>
      <c r="BR174" s="26">
        <f>VLOOKUP($A174,tabCustoUnit[],COLUMN(CUSTO_GLOBAL[[#Headers],[COFINS]])-2,0)</f>
        <v>8.6609686609686695E-2</v>
      </c>
      <c r="BS174" s="26">
        <f>VLOOKUP($A174,tabCustoUnit[],COLUMN(CUSTO_GLOBAL[[#Headers],[PIS]])-2,0)</f>
        <v>1.880341880341882E-2</v>
      </c>
      <c r="BT174" s="28">
        <f>VLOOKUP($A174,tabCustoUnit[],COLUMN(CUSTO_GLOBAL[[#Headers],[ISS]])-2,0)</f>
        <v>0.03</v>
      </c>
      <c r="BU174" s="26">
        <f>VLOOKUP($A174,tabCustoUnit[],COLUMN(CUSTO_GLOBAL[[#Headers],[ISS (Conversão Alíquota s/ fatura)]])-2,0)</f>
        <v>3.4188034188034219E-2</v>
      </c>
      <c r="BV174" s="26">
        <f>VLOOKUP($A174,tabCustoUnit[],COLUMN(CUSTO_GLOBAL[[#Headers],[Resumo de Alíquotas (PIS+CONFINS+ISS)]])-2,0)</f>
        <v>0.1225</v>
      </c>
      <c r="BW174" s="138">
        <f>VLOOKUP($A174,tabCustoUnit[],COLUMN(CUSTO_GLOBAL[[#Headers],[PIS + COFINS + ISS (Total Conversão  Alíquota s/ Fatura)]])-2,0)</f>
        <v>0.13960113960113973</v>
      </c>
      <c r="BX174" s="22" t="e">
        <f ca="1">VLOOKUP($A174,tabCustoUnit[],COLUMN(CUSTO_GLOBAL[[#Headers],[Valor dos Tributos (ISS, PIS, CONFINS)]])-2,0)*($G174-$H174)</f>
        <v>#NAME?</v>
      </c>
      <c r="BY174" s="22" t="e">
        <f ca="1">VLOOKUP($A174,tabCustoUnit[],COLUMN(CUSTO_GLOBAL[[#Headers],[MÓDULO 6 – CUSTOS INDIRETOS, TRIBUTOS E LUCRO]])-2,0)*($G174-$H174)</f>
        <v>#NAME?</v>
      </c>
      <c r="BZ174" s="22" t="e">
        <f ca="1">VLOOKUP($A174,tabCustoUnit[],COLUMN(CUSTO_GLOBAL[[#Headers],[CUSTO TOTAL MENSAL]])-2,0)*($G174-$H174)</f>
        <v>#NAME?</v>
      </c>
      <c r="CA174" s="22" t="e">
        <f ca="1">CUSTO_GLOBAL[[#This Row],[CUSTO TOTAL MENSAL]]*12</f>
        <v>#NAME?</v>
      </c>
      <c r="CB174" s="24">
        <f>VLOOKUP($A174,tabCustoUnit[],COLUMN(CUSTO_GLOBAL[[#Headers],[ANO DA CCT]])-2,0)</f>
        <v>45658</v>
      </c>
      <c r="CC174" s="25" t="str">
        <f>VLOOKUP($A174,tabCustoUnit[],COLUMN(CUSTO_GLOBAL[[#Headers],[Nº DE PEDIDO DA CCT]])-2,0)</f>
        <v>-</v>
      </c>
      <c r="CD174" s="25" t="str">
        <f>VLOOKUP($A174,tabCustoUnit[],COLUMN(CUSTO_GLOBAL[[#Headers],[TERMO ADITIVO ALTERAÇÃO DA CCT]])-2,0)</f>
        <v>-</v>
      </c>
    </row>
    <row r="175" spans="1:82">
      <c r="A175" s="20" t="s">
        <v>1480</v>
      </c>
      <c r="B175" t="s">
        <v>930</v>
      </c>
      <c r="C175" t="s">
        <v>309</v>
      </c>
      <c r="D175" t="s">
        <v>930</v>
      </c>
      <c r="E175" s="20" t="s">
        <v>1090</v>
      </c>
      <c r="F175" s="20" t="s">
        <v>120</v>
      </c>
      <c r="G175" s="20">
        <v>2</v>
      </c>
      <c r="H175" s="20">
        <v>0</v>
      </c>
      <c r="I175" s="21">
        <f>VLOOKUP($A175,tabCustoUnit[],COLUMN(CUSTO_GLOBAL[[#Headers],[Salário Base]])-2,0)*($G175-$H175)</f>
        <v>4269.607</v>
      </c>
      <c r="J175" s="21">
        <f>VLOOKUP($A175,tabCustoUnit[],COLUMN(CUSTO_GLOBAL[[#Headers],[Adicional Periculosidade]])-2,0)*($G175-$H175)</f>
        <v>0</v>
      </c>
      <c r="K175" s="21">
        <f>VLOOKUP($A175,tabCustoUnit[],COLUMN(CUSTO_GLOBAL[[#Headers],[Adicional Insalubridade]])-2,0)*($G175-$H175)</f>
        <v>0</v>
      </c>
      <c r="L175" s="21">
        <f>VLOOKUP($A175,tabCustoUnit[],COLUMN(CUSTO_GLOBAL[[#Headers],[Adicional Noturno]])-2,0)*($G175-$H175)</f>
        <v>860.32579999999996</v>
      </c>
      <c r="M175" s="21">
        <f>VLOOKUP($A175,tabCustoUnit[],COLUMN(CUSTO_GLOBAL[[#Headers],[Adicional Motorista II (Gratificação)]])-2,0)*($G175-$H175)</f>
        <v>0</v>
      </c>
      <c r="N175" s="21">
        <f>VLOOKUP($A175,tabCustoUnit[],COLUMN(CUSTO_GLOBAL[[#Headers],[Adicional de Sobreaviso]])-2,0)*($G175-$H175)</f>
        <v>0</v>
      </c>
      <c r="O175" s="21">
        <f>VLOOKUP($A175,tabCustoUnit[],COLUMN(CUSTO_GLOBAL[[#Headers],[Horas Extras TI]])-2,0)*($G175-$H175)</f>
        <v>0</v>
      </c>
      <c r="P175" s="21">
        <f>VLOOKUP($A175,tabCustoUnit[],COLUMN(CUSTO_GLOBAL[[#Headers],[Adicional de Acúmulo de função]])-2,0)*($G175-$H175)</f>
        <v>0</v>
      </c>
      <c r="Q175" s="21">
        <f>VLOOKUP($A175,tabCustoUnit[],COLUMN(CUSTO_GLOBAL[[#Headers],[MODULO 1 - REMUNERAÇÃO ]])-2,0)*($G175-$H175)</f>
        <v>5129.9327999999996</v>
      </c>
      <c r="R175" s="21">
        <f>VLOOKUP($A175,tabCustoUnit[],COLUMN(CUSTO_GLOBAL[[#Headers],[INSS]])-2,0)*($G175-$H175)</f>
        <v>1025.9865600000001</v>
      </c>
      <c r="S175" s="21">
        <f>VLOOKUP($A175,tabCustoUnit[],COLUMN(CUSTO_GLOBAL[[#Headers],[SESI OU SESC]])-2,0)*($G175-$H175)</f>
        <v>76.94899199999999</v>
      </c>
      <c r="T175" s="21">
        <f>VLOOKUP($A175,tabCustoUnit[],COLUMN(CUSTO_GLOBAL[[#Headers],[SENAI OU SENAC]])-2,0)*($G175-$H175)</f>
        <v>51.299327999999996</v>
      </c>
      <c r="U175" s="21">
        <f>VLOOKUP($A175,tabCustoUnit[],COLUMN(CUSTO_GLOBAL[[#Headers],[INCRA]])-2,0)*($G175-$H175)</f>
        <v>10.259865599999999</v>
      </c>
      <c r="V175" s="21">
        <f>VLOOKUP($A175,tabCustoUnit[],COLUMN(CUSTO_GLOBAL[[#Headers],[Salário Educação]])-2,0)*($G175-$H175)</f>
        <v>128.24832000000001</v>
      </c>
      <c r="W175" s="21">
        <f>VLOOKUP($A175,tabCustoUnit[],COLUMN(CUSTO_GLOBAL[[#Headers],[FGTS]])-2,0)*($G175-$H175)</f>
        <v>410.39462399999996</v>
      </c>
      <c r="X175" s="21">
        <f>VLOOKUP($A175,tabCustoUnit[],COLUMN(CUSTO_GLOBAL[[#Headers],[RAT Ajustado]])-2,0)*($G175-$H175)</f>
        <v>205.19731199999998</v>
      </c>
      <c r="Y175" s="21">
        <f>VLOOKUP($A175,tabCustoUnit[],COLUMN(CUSTO_GLOBAL[[#Headers],[SEBRAE]])-2,0)*($G175-$H175)</f>
        <v>30.779596799999997</v>
      </c>
      <c r="Z175" s="21">
        <f>VLOOKUP($A175,tabCustoUnit[],COLUMN(CUSTO_GLOBAL[[#Headers],[Submódulo 2.1]])-2,0)*($G175-$H175)</f>
        <v>1939.1145984000002</v>
      </c>
      <c r="AA175" s="21">
        <f>VLOOKUP($A175,tabCustoUnit[],COLUMN(CUSTO_GLOBAL[[#Headers],[13º salário (titular)]])-2,0)*($G175-$H175)</f>
        <v>427.49439999999993</v>
      </c>
      <c r="AB175" s="21">
        <f>VLOOKUP($A175,tabCustoUnit[],COLUMN(CUSTO_GLOBAL[[#Headers],[Férias e Adicional de Férias (titular)]])-2,0)*($G175-$H175)</f>
        <v>569.9925333333332</v>
      </c>
      <c r="AC175" s="21">
        <f>VLOOKUP($A175,tabCustoUnit[],COLUMN(CUSTO_GLOBAL[[#Headers],[Incidência do Submódulo 2.1 sobre 13º Salário, Férias e Adicional de Férias]])-2,0)*($G175-$H175)</f>
        <v>377.05006079999998</v>
      </c>
      <c r="AD175" s="21">
        <f>VLOOKUP($A175,tabCustoUnit[],COLUMN(CUSTO_GLOBAL[[#Headers],[Submódulo 2.2]])-2,0)*($G175-$H175)</f>
        <v>1374.5369941333331</v>
      </c>
      <c r="AE175" s="22" t="e">
        <f ca="1">VLOOKUP($A175,tabCustoUnit[],COLUMN(CUSTO_GLOBAL[[#Headers],[Vale - Transporte (Descontada parcela do empregado)]])-2,0)*($G175-$H175)</f>
        <v>#NAME?</v>
      </c>
      <c r="AF175" s="22">
        <f>VLOOKUP($A175,tabCustoUnit[],COLUMN(CUSTO_GLOBAL[[#Headers],[Vale - Alimentação (Descontada parcela do empregado)]])-2,0)*($G175-$H175)</f>
        <v>1164</v>
      </c>
      <c r="AG175" s="22">
        <f>VLOOKUP($A175,tabCustoUnit[],COLUMN(CUSTO_GLOBAL[[#Headers],[Cesta Básica]])-2,0)*($G175-$H175)</f>
        <v>0</v>
      </c>
      <c r="AH175" s="22">
        <f>VLOOKUP($A175,tabCustoUnit[],COLUMN(CUSTO_GLOBAL[[#Headers],[PAF]])-2,0)*($G175-$H175)</f>
        <v>103.76</v>
      </c>
      <c r="AI175" s="22">
        <f>VLOOKUP($A175,tabCustoUnit[],COLUMN(CUSTO_GLOBAL[[#Headers],[PQM]])-2,0)*($G175-$H175)</f>
        <v>0</v>
      </c>
      <c r="AJ175" s="22">
        <v>0</v>
      </c>
      <c r="AK175" s="22">
        <f>VLOOKUP($A175,tabCustoUnit[],COLUMN(CUSTO_GLOBAL[[#Headers],[Seguro de Vida]])-2,0)*($G175-$H175)</f>
        <v>6.72</v>
      </c>
      <c r="AL175" s="22">
        <f>VLOOKUP($A175,tabCustoUnit[],COLUMN(CUSTO_GLOBAL[[#Headers],[Despesas de Viagem]])-2,0)*($G175-$H175)</f>
        <v>0</v>
      </c>
      <c r="AM175" s="22" t="e">
        <f ca="1">VLOOKUP($A175,tabCustoUnit[],COLUMN(CUSTO_GLOBAL[[#Headers],[Submódulo 2.3]])-2,0)*($G175-$H175)</f>
        <v>#NAME?</v>
      </c>
      <c r="AN175" s="22" t="e">
        <f ca="1">VLOOKUP($A175,tabCustoUnit[],COLUMN(CUSTO_GLOBAL[[#Headers],[MÓDULO 2 - Total Encargos e Benefícios mensais e diários]])-2,0)*($G175-$H175)</f>
        <v>#NAME?</v>
      </c>
      <c r="AO175" s="22">
        <f>VLOOKUP($A175,tabCustoUnit[],COLUMN(CUSTO_GLOBAL[[#Headers],[Aviso Prévio Indenizado (API) e Reflexo do Aviso Prévio Indenizado]])-2,0)*($G175-$H175)</f>
        <v>35.969893392592589</v>
      </c>
      <c r="AP175" s="22">
        <f>VLOOKUP($A175,tabCustoUnit[],COLUMN(CUSTO_GLOBAL[[#Headers],[Incidência do FGTS sobre API e Reflexo do API]])-2,0)*($G175-$H175)</f>
        <v>2.8775914714074076</v>
      </c>
      <c r="AQ175" s="22">
        <f>VLOOKUP($A175,tabCustoUnit[],COLUMN(CUSTO_GLOBAL[[#Headers],[Multa Rescisória do FGTS sobre o Aviso Prévio Indenizado]])-2,0)*($G175-$H175)</f>
        <v>1.151036588562963</v>
      </c>
      <c r="AR175" s="22">
        <f>VLOOKUP($A175,tabCustoUnit[],COLUMN(CUSTO_GLOBAL[[#Headers],[Aviso Prévio Trabalhado - APT]])-2,0)*($G175-$H175)</f>
        <v>17.9547648</v>
      </c>
      <c r="AS175" s="22">
        <f>VLOOKUP($A175,tabCustoUnit[],COLUMN(CUSTO_GLOBAL[[#Headers],[Incidência dos encargos do submódulo 2.1 sobre Aviso Prévio Trabalhado]])-2,0)*($G175-$H175)</f>
        <v>6.7869010944000019</v>
      </c>
      <c r="AT175" s="22">
        <f>VLOOKUP($A175,tabCustoUnit[],COLUMN(CUSTO_GLOBAL[[#Headers],[Multa Rescisória do FGTS]])-2,0)*($G175-$H175)</f>
        <v>156.86194517333331</v>
      </c>
      <c r="AU175" s="22">
        <f>VLOOKUP($A175,tabCustoUnit[],COLUMN(CUSTO_GLOBAL[[#Headers],[Indenização Adicional (Art. 9º da Lei nº 7.238/84)]])-2,0)*($G175-$H175)</f>
        <v>4.2749439999999996</v>
      </c>
      <c r="AV175" s="22">
        <f>VLOOKUP($A175,tabCustoUnit[],COLUMN(CUSTO_GLOBAL[[#Headers],[MÓDULO 3 – PROVISÃO PARA RESCISÃO]])-2,0)*($G175-$H175)</f>
        <v>225.87707652029627</v>
      </c>
      <c r="AW175" s="22">
        <f>VLOOKUP($A175,tabCustoUnit[],COLUMN(CUSTO_GLOBAL[[#Headers],[Ausência por Doença]])-2,0)*($G175-$H175)</f>
        <v>43.319432533333327</v>
      </c>
      <c r="AX175" s="22">
        <f>VLOOKUP($A175,tabCustoUnit[],COLUMN(CUSTO_GLOBAL[[#Headers],[Ausências Legais]])-2,0)*($G175-$H175)</f>
        <v>10.402363733333331</v>
      </c>
      <c r="AY175" s="22">
        <f>VLOOKUP($A175,tabCustoUnit[],COLUMN(CUSTO_GLOBAL[[#Headers],[Licença Paternidade]])-2,0)*($G175-$H175)</f>
        <v>0.87636351999999995</v>
      </c>
      <c r="AZ175" s="22">
        <f>VLOOKUP($A175,tabCustoUnit[],COLUMN(CUSTO_GLOBAL[[#Headers],[Ausência por Acidente de Trabalho]])-2,0)*($G175-$H175)</f>
        <v>1.0687359999999999</v>
      </c>
      <c r="BA175" s="22">
        <f>VLOOKUP($A175,tabCustoUnit[],COLUMN(CUSTO_GLOBAL[[#Headers],[Férias, Adicional de Férias e 13º  com empregada em gozo de Licença Maternidade]])-2,0)*($G175-$H175)</f>
        <v>6.6499128888888883</v>
      </c>
      <c r="BB175" s="22">
        <f>VLOOKUP($A175,tabCustoUnit[],COLUMN(CUSTO_GLOBAL[[#Headers],[Incidência do Submódulo 2.1 sobre Ausências Legais]])-2,0)*($G175-$H175)</f>
        <v>23.555753679360002</v>
      </c>
      <c r="BC175" s="22">
        <f>VLOOKUP($A175,tabCustoUnit[],COLUMN(CUSTO_GLOBAL[[#Headers],[Submódulo 4.1]])-2,0)*($G175-$H175)</f>
        <v>85.872562354915544</v>
      </c>
      <c r="BD175" s="22">
        <f>VLOOKUP($A175,tabCustoUnit[],COLUMN(CUSTO_GLOBAL[[#Headers],[Intervalo para Repouso ou Alimentação]])-2,0)*($G175-$H175)</f>
        <v>567.95684419840688</v>
      </c>
      <c r="BE175" s="22">
        <f>VLOOKUP($A175,tabCustoUnit[],COLUMN(CUSTO_GLOBAL[[#Headers],[Submódulo 4.2]])-2,0)*($G175-$H175)</f>
        <v>567.95684419840688</v>
      </c>
      <c r="BF175" s="22">
        <f>VLOOKUP($A175,tabCustoUnit[],COLUMN(CUSTO_GLOBAL[[#Headers],[Suspensão Temporária do Contrato de Trabalho]])-2,0)*($G175-$H175)</f>
        <v>0</v>
      </c>
      <c r="BG175" s="22">
        <f>VLOOKUP($A175,tabCustoUnit[],COLUMN(CUSTO_GLOBAL[[#Headers],[Submódulo 4.3]])-2,0)*($G175-$H175)</f>
        <v>0</v>
      </c>
      <c r="BH175" s="22">
        <f>VLOOKUP($A175,tabCustoUnit[],COLUMN(CUSTO_GLOBAL[[#Headers],[MÓDULO 4 – CUSTO DE REPOSIÇÃO DO PROFISSIONAL AUSENTE]])-2,0)*($G175-$H175)</f>
        <v>653.82940655332243</v>
      </c>
      <c r="BI175" s="22">
        <f>VLOOKUP($A175,tabCustoUnit[],COLUMN(CUSTO_GLOBAL[[#Headers],[Uniformes e EPIs]])-2,0)*($G175-$H175)</f>
        <v>113.28595792508679</v>
      </c>
      <c r="BJ175" s="22">
        <f>VLOOKUP($A175,tabCustoUnit[],COLUMN(CUSTO_GLOBAL[[#Headers],[Materiais de Consumo]])-2,0)*($G175-$H175)</f>
        <v>0</v>
      </c>
      <c r="BK175" s="22">
        <f>VLOOKUP($A175,tabCustoUnit[],COLUMN(CUSTO_GLOBAL[[#Headers],[Máquinas e Equipamentos (depreciação)]])-2,0)*($G175-$H175)</f>
        <v>0</v>
      </c>
      <c r="BL175" s="22">
        <f>VLOOKUP($A175,tabCustoUnit[],COLUMN(CUSTO_GLOBAL[[#Headers],[Produtos de Limpeza e Materiais de Higiene Pessoal]])-2,0)*($G175-$H175)</f>
        <v>0</v>
      </c>
      <c r="BM175" s="22">
        <f>VLOOKUP($A175,tabCustoUnit[],COLUMN(CUSTO_GLOBAL[[#Headers],[Outros (especificar)]])-2,0)*($G175-$H175)</f>
        <v>0</v>
      </c>
      <c r="BN175" s="22">
        <f>VLOOKUP($A175,tabCustoUnit[],COLUMN(CUSTO_GLOBAL[[#Headers],[MÓDULO 5 – INSUMOS DIVERSOS]])-2,0)*($G175-$H175)</f>
        <v>113.28595792508679</v>
      </c>
      <c r="BO175" s="22" t="e">
        <f ca="1">VLOOKUP($A175,tabCustoUnit[],COLUMN(CUSTO_GLOBAL[[#Headers],[TOTAL MÓDULOS 1+2+3+4+5]])-2,0)*($G175-$H175)</f>
        <v>#NAME?</v>
      </c>
      <c r="BP175" s="22" t="e">
        <f ca="1">VLOOKUP($A175,tabCustoUnit[],COLUMN(CUSTO_GLOBAL[[#Headers],[Custos Indiretos]])-2,0)*($G175-$H175)</f>
        <v>#NAME?</v>
      </c>
      <c r="BQ175" s="22" t="e">
        <f ca="1">VLOOKUP($A175,tabCustoUnit[],COLUMN(CUSTO_GLOBAL[[#Headers],[Lucro]])-2,0)*($G175-$H175)</f>
        <v>#NAME?</v>
      </c>
      <c r="BR175" s="26">
        <f>VLOOKUP($A175,tabCustoUnit[],COLUMN(CUSTO_GLOBAL[[#Headers],[COFINS]])-2,0)</f>
        <v>8.6609686609686695E-2</v>
      </c>
      <c r="BS175" s="26">
        <f>VLOOKUP($A175,tabCustoUnit[],COLUMN(CUSTO_GLOBAL[[#Headers],[PIS]])-2,0)</f>
        <v>1.880341880341882E-2</v>
      </c>
      <c r="BT175" s="28">
        <f>VLOOKUP($A175,tabCustoUnit[],COLUMN(CUSTO_GLOBAL[[#Headers],[ISS]])-2,0)</f>
        <v>0.03</v>
      </c>
      <c r="BU175" s="26">
        <f>VLOOKUP($A175,tabCustoUnit[],COLUMN(CUSTO_GLOBAL[[#Headers],[ISS (Conversão Alíquota s/ fatura)]])-2,0)</f>
        <v>3.4188034188034219E-2</v>
      </c>
      <c r="BV175" s="26">
        <f>VLOOKUP($A175,tabCustoUnit[],COLUMN(CUSTO_GLOBAL[[#Headers],[Resumo de Alíquotas (PIS+CONFINS+ISS)]])-2,0)</f>
        <v>0.1225</v>
      </c>
      <c r="BW175" s="138">
        <f>VLOOKUP($A175,tabCustoUnit[],COLUMN(CUSTO_GLOBAL[[#Headers],[PIS + COFINS + ISS (Total Conversão  Alíquota s/ Fatura)]])-2,0)</f>
        <v>0.13960113960113973</v>
      </c>
      <c r="BX175" s="22" t="e">
        <f ca="1">VLOOKUP($A175,tabCustoUnit[],COLUMN(CUSTO_GLOBAL[[#Headers],[Valor dos Tributos (ISS, PIS, CONFINS)]])-2,0)*($G175-$H175)</f>
        <v>#NAME?</v>
      </c>
      <c r="BY175" s="22" t="e">
        <f ca="1">VLOOKUP($A175,tabCustoUnit[],COLUMN(CUSTO_GLOBAL[[#Headers],[MÓDULO 6 – CUSTOS INDIRETOS, TRIBUTOS E LUCRO]])-2,0)*($G175-$H175)</f>
        <v>#NAME?</v>
      </c>
      <c r="BZ175" s="22" t="e">
        <f ca="1">VLOOKUP($A175,tabCustoUnit[],COLUMN(CUSTO_GLOBAL[[#Headers],[CUSTO TOTAL MENSAL]])-2,0)*($G175-$H175)</f>
        <v>#NAME?</v>
      </c>
      <c r="CA175" s="22" t="e">
        <f ca="1">CUSTO_GLOBAL[[#This Row],[CUSTO TOTAL MENSAL]]*12</f>
        <v>#NAME?</v>
      </c>
      <c r="CB175" s="24">
        <f>VLOOKUP($A175,tabCustoUnit[],COLUMN(CUSTO_GLOBAL[[#Headers],[ANO DA CCT]])-2,0)</f>
        <v>45658</v>
      </c>
      <c r="CC175" s="25" t="str">
        <f>VLOOKUP($A175,tabCustoUnit[],COLUMN(CUSTO_GLOBAL[[#Headers],[Nº DE PEDIDO DA CCT]])-2,0)</f>
        <v>-</v>
      </c>
      <c r="CD175" s="25" t="str">
        <f>VLOOKUP($A175,tabCustoUnit[],COLUMN(CUSTO_GLOBAL[[#Headers],[TERMO ADITIVO ALTERAÇÃO DA CCT]])-2,0)</f>
        <v>-</v>
      </c>
    </row>
    <row r="176" spans="1:82">
      <c r="A176" s="20" t="s">
        <v>1621</v>
      </c>
      <c r="B176" t="s">
        <v>930</v>
      </c>
      <c r="C176" t="s">
        <v>319</v>
      </c>
      <c r="D176" t="s">
        <v>930</v>
      </c>
      <c r="E176" s="20" t="s">
        <v>1090</v>
      </c>
      <c r="F176" s="20" t="s">
        <v>120</v>
      </c>
      <c r="G176" s="20">
        <v>1</v>
      </c>
      <c r="H176" s="20">
        <v>0</v>
      </c>
      <c r="I176" s="21">
        <f>VLOOKUP($A176,tabCustoUnit[],COLUMN(CUSTO_GLOBAL[[#Headers],[Salário Base]])-2,0)*($G176-$H176)</f>
        <v>2316.2296999999999</v>
      </c>
      <c r="J176" s="21">
        <f>VLOOKUP($A176,tabCustoUnit[],COLUMN(CUSTO_GLOBAL[[#Headers],[Adicional Periculosidade]])-2,0)*($G176-$H176)</f>
        <v>0</v>
      </c>
      <c r="K176" s="21">
        <f>VLOOKUP($A176,tabCustoUnit[],COLUMN(CUSTO_GLOBAL[[#Headers],[Adicional Insalubridade]])-2,0)*($G176-$H176)</f>
        <v>0</v>
      </c>
      <c r="L176" s="21">
        <f>VLOOKUP($A176,tabCustoUnit[],COLUMN(CUSTO_GLOBAL[[#Headers],[Adicional Noturno]])-2,0)*($G176-$H176)</f>
        <v>0</v>
      </c>
      <c r="M176" s="21">
        <f>VLOOKUP($A176,tabCustoUnit[],COLUMN(CUSTO_GLOBAL[[#Headers],[Adicional Motorista II (Gratificação)]])-2,0)*($G176-$H176)</f>
        <v>0</v>
      </c>
      <c r="N176" s="21">
        <f>VLOOKUP($A176,tabCustoUnit[],COLUMN(CUSTO_GLOBAL[[#Headers],[Adicional de Sobreaviso]])-2,0)*($G176-$H176)</f>
        <v>0</v>
      </c>
      <c r="O176" s="21">
        <f>VLOOKUP($A176,tabCustoUnit[],COLUMN(CUSTO_GLOBAL[[#Headers],[Horas Extras TI]])-2,0)*($G176-$H176)</f>
        <v>0</v>
      </c>
      <c r="P176" s="21">
        <f>VLOOKUP($A176,tabCustoUnit[],COLUMN(CUSTO_GLOBAL[[#Headers],[Adicional de Acúmulo de função]])-2,0)*($G176-$H176)</f>
        <v>0</v>
      </c>
      <c r="Q176" s="21">
        <f>VLOOKUP($A176,tabCustoUnit[],COLUMN(CUSTO_GLOBAL[[#Headers],[MODULO 1 - REMUNERAÇÃO ]])-2,0)*($G176-$H176)</f>
        <v>2316.2296999999999</v>
      </c>
      <c r="R176" s="21">
        <f>VLOOKUP($A176,tabCustoUnit[],COLUMN(CUSTO_GLOBAL[[#Headers],[INSS]])-2,0)*($G176-$H176)</f>
        <v>463.24594000000002</v>
      </c>
      <c r="S176" s="21">
        <f>VLOOKUP($A176,tabCustoUnit[],COLUMN(CUSTO_GLOBAL[[#Headers],[SESI OU SESC]])-2,0)*($G176-$H176)</f>
        <v>34.7434455</v>
      </c>
      <c r="T176" s="21">
        <f>VLOOKUP($A176,tabCustoUnit[],COLUMN(CUSTO_GLOBAL[[#Headers],[SENAI OU SENAC]])-2,0)*($G176-$H176)</f>
        <v>23.162296999999999</v>
      </c>
      <c r="U176" s="21">
        <f>VLOOKUP($A176,tabCustoUnit[],COLUMN(CUSTO_GLOBAL[[#Headers],[INCRA]])-2,0)*($G176-$H176)</f>
        <v>4.6324594000000001</v>
      </c>
      <c r="V176" s="21">
        <f>VLOOKUP($A176,tabCustoUnit[],COLUMN(CUSTO_GLOBAL[[#Headers],[Salário Educação]])-2,0)*($G176-$H176)</f>
        <v>57.905742500000002</v>
      </c>
      <c r="W176" s="21">
        <f>VLOOKUP($A176,tabCustoUnit[],COLUMN(CUSTO_GLOBAL[[#Headers],[FGTS]])-2,0)*($G176-$H176)</f>
        <v>185.29837599999999</v>
      </c>
      <c r="X176" s="21">
        <f>VLOOKUP($A176,tabCustoUnit[],COLUMN(CUSTO_GLOBAL[[#Headers],[RAT Ajustado]])-2,0)*($G176-$H176)</f>
        <v>92.649187999999995</v>
      </c>
      <c r="Y176" s="21">
        <f>VLOOKUP($A176,tabCustoUnit[],COLUMN(CUSTO_GLOBAL[[#Headers],[SEBRAE]])-2,0)*($G176-$H176)</f>
        <v>13.8973782</v>
      </c>
      <c r="Z176" s="21">
        <f>VLOOKUP($A176,tabCustoUnit[],COLUMN(CUSTO_GLOBAL[[#Headers],[Submódulo 2.1]])-2,0)*($G176-$H176)</f>
        <v>875.53482659999997</v>
      </c>
      <c r="AA176" s="21">
        <f>VLOOKUP($A176,tabCustoUnit[],COLUMN(CUSTO_GLOBAL[[#Headers],[13º salário (titular)]])-2,0)*($G176-$H176)</f>
        <v>193.01914166666666</v>
      </c>
      <c r="AB176" s="21">
        <f>VLOOKUP($A176,tabCustoUnit[],COLUMN(CUSTO_GLOBAL[[#Headers],[Férias e Adicional de Férias (titular)]])-2,0)*($G176-$H176)</f>
        <v>257.35885555555552</v>
      </c>
      <c r="AC176" s="21">
        <f>VLOOKUP($A176,tabCustoUnit[],COLUMN(CUSTO_GLOBAL[[#Headers],[Incidência do Submódulo 2.1 sobre 13º Salário, Férias e Adicional de Férias]])-2,0)*($G176-$H176)</f>
        <v>170.24288294999999</v>
      </c>
      <c r="AD176" s="21">
        <f>VLOOKUP($A176,tabCustoUnit[],COLUMN(CUSTO_GLOBAL[[#Headers],[Submódulo 2.2]])-2,0)*($G176-$H176)</f>
        <v>620.6208801722222</v>
      </c>
      <c r="AE176" s="22" t="e">
        <f ca="1">VLOOKUP($A176,tabCustoUnit[],COLUMN(CUSTO_GLOBAL[[#Headers],[Vale - Transporte (Descontada parcela do empregado)]])-2,0)*($G176-$H176)</f>
        <v>#NAME?</v>
      </c>
      <c r="AF176" s="22">
        <f>VLOOKUP($A176,tabCustoUnit[],COLUMN(CUSTO_GLOBAL[[#Headers],[Vale - Alimentação (Descontada parcela do empregado)]])-2,0)*($G176-$H176)</f>
        <v>582</v>
      </c>
      <c r="AG176" s="22">
        <f>VLOOKUP($A176,tabCustoUnit[],COLUMN(CUSTO_GLOBAL[[#Headers],[Cesta Básica]])-2,0)*($G176-$H176)</f>
        <v>0</v>
      </c>
      <c r="AH176" s="22">
        <f>VLOOKUP($A176,tabCustoUnit[],COLUMN(CUSTO_GLOBAL[[#Headers],[PAF]])-2,0)*($G176-$H176)</f>
        <v>51.88</v>
      </c>
      <c r="AI176" s="22">
        <f>VLOOKUP($A176,tabCustoUnit[],COLUMN(CUSTO_GLOBAL[[#Headers],[PQM]])-2,0)*($G176-$H176)</f>
        <v>0</v>
      </c>
      <c r="AJ176" s="22">
        <v>0</v>
      </c>
      <c r="AK176" s="22">
        <f>VLOOKUP($A176,tabCustoUnit[],COLUMN(CUSTO_GLOBAL[[#Headers],[Seguro de Vida]])-2,0)*($G176-$H176)</f>
        <v>3.36</v>
      </c>
      <c r="AL176" s="22">
        <f>VLOOKUP($A176,tabCustoUnit[],COLUMN(CUSTO_GLOBAL[[#Headers],[Despesas de Viagem]])-2,0)*($G176-$H176)</f>
        <v>0</v>
      </c>
      <c r="AM176" s="22" t="e">
        <f ca="1">VLOOKUP($A176,tabCustoUnit[],COLUMN(CUSTO_GLOBAL[[#Headers],[Submódulo 2.3]])-2,0)*($G176-$H176)</f>
        <v>#NAME?</v>
      </c>
      <c r="AN176" s="22" t="e">
        <f ca="1">VLOOKUP($A176,tabCustoUnit[],COLUMN(CUSTO_GLOBAL[[#Headers],[MÓDULO 2 - Total Encargos e Benefícios mensais e diários]])-2,0)*($G176-$H176)</f>
        <v>#NAME?</v>
      </c>
      <c r="AO176" s="22">
        <f>VLOOKUP($A176,tabCustoUnit[],COLUMN(CUSTO_GLOBAL[[#Headers],[Aviso Prévio Indenizado (API) e Reflexo do Aviso Prévio Indenizado]])-2,0)*($G176-$H176)</f>
        <v>16.240862917689043</v>
      </c>
      <c r="AP176" s="22">
        <f>VLOOKUP($A176,tabCustoUnit[],COLUMN(CUSTO_GLOBAL[[#Headers],[Incidência do FGTS sobre API e Reflexo do API]])-2,0)*($G176-$H176)</f>
        <v>1.2992690334151236</v>
      </c>
      <c r="AQ176" s="22">
        <f>VLOOKUP($A176,tabCustoUnit[],COLUMN(CUSTO_GLOBAL[[#Headers],[Multa Rescisória do FGTS sobre o Aviso Prévio Indenizado]])-2,0)*($G176-$H176)</f>
        <v>0.51970761336604943</v>
      </c>
      <c r="AR176" s="22">
        <f>VLOOKUP($A176,tabCustoUnit[],COLUMN(CUSTO_GLOBAL[[#Headers],[Aviso Prévio Trabalhado - APT]])-2,0)*($G176-$H176)</f>
        <v>8.1068039500000015</v>
      </c>
      <c r="AS176" s="22">
        <f>VLOOKUP($A176,tabCustoUnit[],COLUMN(CUSTO_GLOBAL[[#Headers],[Incidência dos encargos do submódulo 2.1 sobre Aviso Prévio Trabalhado]])-2,0)*($G176-$H176)</f>
        <v>3.0643718931000006</v>
      </c>
      <c r="AT176" s="22">
        <f>VLOOKUP($A176,tabCustoUnit[],COLUMN(CUSTO_GLOBAL[[#Headers],[Multa Rescisória do FGTS]])-2,0)*($G176-$H176)</f>
        <v>70.825157048888869</v>
      </c>
      <c r="AU176" s="22">
        <f>VLOOKUP($A176,tabCustoUnit[],COLUMN(CUSTO_GLOBAL[[#Headers],[Indenização Adicional (Art. 9º da Lei nº 7.238/84)]])-2,0)*($G176-$H176)</f>
        <v>1.9301914166666667</v>
      </c>
      <c r="AV176" s="22">
        <f>VLOOKUP($A176,tabCustoUnit[],COLUMN(CUSTO_GLOBAL[[#Headers],[MÓDULO 3 – PROVISÃO PARA RESCISÃO]])-2,0)*($G176-$H176)</f>
        <v>101.98636387312575</v>
      </c>
      <c r="AW176" s="22">
        <f>VLOOKUP($A176,tabCustoUnit[],COLUMN(CUSTO_GLOBAL[[#Headers],[Ausência por Doença]])-2,0)*($G176-$H176)</f>
        <v>19.559273022222218</v>
      </c>
      <c r="AX176" s="22">
        <f>VLOOKUP($A176,tabCustoUnit[],COLUMN(CUSTO_GLOBAL[[#Headers],[Ausências Legais]])-2,0)*($G176-$H176)</f>
        <v>4.696799113888888</v>
      </c>
      <c r="AY176" s="22">
        <f>VLOOKUP($A176,tabCustoUnit[],COLUMN(CUSTO_GLOBAL[[#Headers],[Licença Paternidade]])-2,0)*($G176-$H176)</f>
        <v>0.39568924041666664</v>
      </c>
      <c r="AZ176" s="22">
        <f>VLOOKUP($A176,tabCustoUnit[],COLUMN(CUSTO_GLOBAL[[#Headers],[Ausência por Acidente de Trabalho]])-2,0)*($G176-$H176)</f>
        <v>0.48254785416666668</v>
      </c>
      <c r="BA176" s="22">
        <f>VLOOKUP($A176,tabCustoUnit[],COLUMN(CUSTO_GLOBAL[[#Headers],[Férias, Adicional de Férias e 13º  com empregada em gozo de Licença Maternidade]])-2,0)*($G176-$H176)</f>
        <v>3.0025199814814814</v>
      </c>
      <c r="BB176" s="22">
        <f>VLOOKUP($A176,tabCustoUnit[],COLUMN(CUSTO_GLOBAL[[#Headers],[Incidência do Submódulo 2.1 sobre Ausências Legais]])-2,0)*($G176-$H176)</f>
        <v>10.635721442202501</v>
      </c>
      <c r="BC176" s="22">
        <f>VLOOKUP($A176,tabCustoUnit[],COLUMN(CUSTO_GLOBAL[[#Headers],[Submódulo 4.1]])-2,0)*($G176-$H176)</f>
        <v>38.772550654378421</v>
      </c>
      <c r="BD176" s="22">
        <f>VLOOKUP($A176,tabCustoUnit[],COLUMN(CUSTO_GLOBAL[[#Headers],[Intervalo para Repouso ou Alimentação]])-2,0)*($G176-$H176)</f>
        <v>0</v>
      </c>
      <c r="BE176" s="22">
        <f>VLOOKUP($A176,tabCustoUnit[],COLUMN(CUSTO_GLOBAL[[#Headers],[Submódulo 4.2]])-2,0)*($G176-$H176)</f>
        <v>0</v>
      </c>
      <c r="BF176" s="22">
        <f>VLOOKUP($A176,tabCustoUnit[],COLUMN(CUSTO_GLOBAL[[#Headers],[Suspensão Temporária do Contrato de Trabalho]])-2,0)*($G176-$H176)</f>
        <v>0</v>
      </c>
      <c r="BG176" s="22">
        <f>VLOOKUP($A176,tabCustoUnit[],COLUMN(CUSTO_GLOBAL[[#Headers],[Submódulo 4.3]])-2,0)*($G176-$H176)</f>
        <v>0</v>
      </c>
      <c r="BH176" s="22">
        <f>VLOOKUP($A176,tabCustoUnit[],COLUMN(CUSTO_GLOBAL[[#Headers],[MÓDULO 4 – CUSTO DE REPOSIÇÃO DO PROFISSIONAL AUSENTE]])-2,0)*($G176-$H176)</f>
        <v>38.772550654378421</v>
      </c>
      <c r="BI176" s="22">
        <f>VLOOKUP($A176,tabCustoUnit[],COLUMN(CUSTO_GLOBAL[[#Headers],[Uniformes e EPIs]])-2,0)*($G176-$H176)</f>
        <v>56.642978962543395</v>
      </c>
      <c r="BJ176" s="22">
        <f>VLOOKUP($A176,tabCustoUnit[],COLUMN(CUSTO_GLOBAL[[#Headers],[Materiais de Consumo]])-2,0)*($G176-$H176)</f>
        <v>0</v>
      </c>
      <c r="BK176" s="22">
        <f>VLOOKUP($A176,tabCustoUnit[],COLUMN(CUSTO_GLOBAL[[#Headers],[Máquinas e Equipamentos (depreciação)]])-2,0)*($G176-$H176)</f>
        <v>0</v>
      </c>
      <c r="BL176" s="22">
        <f>VLOOKUP($A176,tabCustoUnit[],COLUMN(CUSTO_GLOBAL[[#Headers],[Produtos de Limpeza e Materiais de Higiene Pessoal]])-2,0)*($G176-$H176)</f>
        <v>0</v>
      </c>
      <c r="BM176" s="22">
        <f>VLOOKUP($A176,tabCustoUnit[],COLUMN(CUSTO_GLOBAL[[#Headers],[Outros (especificar)]])-2,0)*($G176-$H176)</f>
        <v>0</v>
      </c>
      <c r="BN176" s="22">
        <f>VLOOKUP($A176,tabCustoUnit[],COLUMN(CUSTO_GLOBAL[[#Headers],[MÓDULO 5 – INSUMOS DIVERSOS]])-2,0)*($G176-$H176)</f>
        <v>56.642978962543395</v>
      </c>
      <c r="BO176" s="22" t="e">
        <f ca="1">VLOOKUP($A176,tabCustoUnit[],COLUMN(CUSTO_GLOBAL[[#Headers],[TOTAL MÓDULOS 1+2+3+4+5]])-2,0)*($G176-$H176)</f>
        <v>#NAME?</v>
      </c>
      <c r="BP176" s="22" t="e">
        <f ca="1">VLOOKUP($A176,tabCustoUnit[],COLUMN(CUSTO_GLOBAL[[#Headers],[Custos Indiretos]])-2,0)*($G176-$H176)</f>
        <v>#NAME?</v>
      </c>
      <c r="BQ176" s="22" t="e">
        <f ca="1">VLOOKUP($A176,tabCustoUnit[],COLUMN(CUSTO_GLOBAL[[#Headers],[Lucro]])-2,0)*($G176-$H176)</f>
        <v>#NAME?</v>
      </c>
      <c r="BR176" s="26">
        <f>VLOOKUP($A176,tabCustoUnit[],COLUMN(CUSTO_GLOBAL[[#Headers],[COFINS]])-2,0)</f>
        <v>8.6609686609686695E-2</v>
      </c>
      <c r="BS176" s="26">
        <f>VLOOKUP($A176,tabCustoUnit[],COLUMN(CUSTO_GLOBAL[[#Headers],[PIS]])-2,0)</f>
        <v>1.880341880341882E-2</v>
      </c>
      <c r="BT176" s="28">
        <f>VLOOKUP($A176,tabCustoUnit[],COLUMN(CUSTO_GLOBAL[[#Headers],[ISS]])-2,0)</f>
        <v>0.03</v>
      </c>
      <c r="BU176" s="26">
        <f>VLOOKUP($A176,tabCustoUnit[],COLUMN(CUSTO_GLOBAL[[#Headers],[ISS (Conversão Alíquota s/ fatura)]])-2,0)</f>
        <v>3.4188034188034219E-2</v>
      </c>
      <c r="BV176" s="26">
        <f>VLOOKUP($A176,tabCustoUnit[],COLUMN(CUSTO_GLOBAL[[#Headers],[Resumo de Alíquotas (PIS+CONFINS+ISS)]])-2,0)</f>
        <v>0.1225</v>
      </c>
      <c r="BW176" s="138">
        <f>VLOOKUP($A176,tabCustoUnit[],COLUMN(CUSTO_GLOBAL[[#Headers],[PIS + COFINS + ISS (Total Conversão  Alíquota s/ Fatura)]])-2,0)</f>
        <v>0.13960113960113973</v>
      </c>
      <c r="BX176" s="22" t="e">
        <f ca="1">VLOOKUP($A176,tabCustoUnit[],COLUMN(CUSTO_GLOBAL[[#Headers],[Valor dos Tributos (ISS, PIS, CONFINS)]])-2,0)*($G176-$H176)</f>
        <v>#NAME?</v>
      </c>
      <c r="BY176" s="22" t="e">
        <f ca="1">VLOOKUP($A176,tabCustoUnit[],COLUMN(CUSTO_GLOBAL[[#Headers],[MÓDULO 6 – CUSTOS INDIRETOS, TRIBUTOS E LUCRO]])-2,0)*($G176-$H176)</f>
        <v>#NAME?</v>
      </c>
      <c r="BZ176" s="22" t="e">
        <f ca="1">VLOOKUP($A176,tabCustoUnit[],COLUMN(CUSTO_GLOBAL[[#Headers],[CUSTO TOTAL MENSAL]])-2,0)*($G176-$H176)</f>
        <v>#NAME?</v>
      </c>
      <c r="CA176" s="22" t="e">
        <f ca="1">CUSTO_GLOBAL[[#This Row],[CUSTO TOTAL MENSAL]]*12</f>
        <v>#NAME?</v>
      </c>
      <c r="CB176" s="24">
        <f>VLOOKUP($A176,tabCustoUnit[],COLUMN(CUSTO_GLOBAL[[#Headers],[ANO DA CCT]])-2,0)</f>
        <v>45658</v>
      </c>
      <c r="CC176" s="25" t="str">
        <f>VLOOKUP($A176,tabCustoUnit[],COLUMN(CUSTO_GLOBAL[[#Headers],[Nº DE PEDIDO DA CCT]])-2,0)</f>
        <v>-</v>
      </c>
      <c r="CD176" s="25" t="str">
        <f>VLOOKUP($A176,tabCustoUnit[],COLUMN(CUSTO_GLOBAL[[#Headers],[TERMO ADITIVO ALTERAÇÃO DA CCT]])-2,0)</f>
        <v>-</v>
      </c>
    </row>
    <row r="177" spans="1:82">
      <c r="A177" s="20" t="s">
        <v>1622</v>
      </c>
      <c r="B177" t="s">
        <v>1147</v>
      </c>
      <c r="C177" t="s">
        <v>314</v>
      </c>
      <c r="D177" t="s">
        <v>961</v>
      </c>
      <c r="E177" s="20" t="s">
        <v>1090</v>
      </c>
      <c r="F177" s="20" t="s">
        <v>120</v>
      </c>
      <c r="G177" s="20">
        <v>1</v>
      </c>
      <c r="H177" s="20">
        <v>0</v>
      </c>
      <c r="I177" s="21">
        <f>VLOOKUP($A177,tabCustoUnit[],COLUMN(CUSTO_GLOBAL[[#Headers],[Salário Base]])-2,0)*($G177-$H177)</f>
        <v>1963.405</v>
      </c>
      <c r="J177" s="21">
        <f>VLOOKUP($A177,tabCustoUnit[],COLUMN(CUSTO_GLOBAL[[#Headers],[Adicional Periculosidade]])-2,0)*($G177-$H177)</f>
        <v>0</v>
      </c>
      <c r="K177" s="21">
        <f>VLOOKUP($A177,tabCustoUnit[],COLUMN(CUSTO_GLOBAL[[#Headers],[Adicional Insalubridade]])-2,0)*($G177-$H177)</f>
        <v>0</v>
      </c>
      <c r="L177" s="21">
        <f>VLOOKUP($A177,tabCustoUnit[],COLUMN(CUSTO_GLOBAL[[#Headers],[Adicional Noturno]])-2,0)*($G177-$H177)</f>
        <v>0</v>
      </c>
      <c r="M177" s="21">
        <f>VLOOKUP($A177,tabCustoUnit[],COLUMN(CUSTO_GLOBAL[[#Headers],[Adicional Motorista II (Gratificação)]])-2,0)*($G177-$H177)</f>
        <v>0</v>
      </c>
      <c r="N177" s="21">
        <f>VLOOKUP($A177,tabCustoUnit[],COLUMN(CUSTO_GLOBAL[[#Headers],[Adicional de Sobreaviso]])-2,0)*($G177-$H177)</f>
        <v>0</v>
      </c>
      <c r="O177" s="21">
        <f>VLOOKUP($A177,tabCustoUnit[],COLUMN(CUSTO_GLOBAL[[#Headers],[Horas Extras TI]])-2,0)*($G177-$H177)</f>
        <v>0</v>
      </c>
      <c r="P177" s="21">
        <f>VLOOKUP($A177,tabCustoUnit[],COLUMN(CUSTO_GLOBAL[[#Headers],[Adicional de Acúmulo de função]])-2,0)*($G177-$H177)</f>
        <v>0</v>
      </c>
      <c r="Q177" s="21">
        <f>VLOOKUP($A177,tabCustoUnit[],COLUMN(CUSTO_GLOBAL[[#Headers],[MODULO 1 - REMUNERAÇÃO ]])-2,0)*($G177-$H177)</f>
        <v>1963.405</v>
      </c>
      <c r="R177" s="21">
        <f>VLOOKUP($A177,tabCustoUnit[],COLUMN(CUSTO_GLOBAL[[#Headers],[INSS]])-2,0)*($G177-$H177)</f>
        <v>392.68100000000004</v>
      </c>
      <c r="S177" s="21">
        <f>VLOOKUP($A177,tabCustoUnit[],COLUMN(CUSTO_GLOBAL[[#Headers],[SESI OU SESC]])-2,0)*($G177-$H177)</f>
        <v>29.451074999999999</v>
      </c>
      <c r="T177" s="21">
        <f>VLOOKUP($A177,tabCustoUnit[],COLUMN(CUSTO_GLOBAL[[#Headers],[SENAI OU SENAC]])-2,0)*($G177-$H177)</f>
        <v>19.634049999999998</v>
      </c>
      <c r="U177" s="21">
        <f>VLOOKUP($A177,tabCustoUnit[],COLUMN(CUSTO_GLOBAL[[#Headers],[INCRA]])-2,0)*($G177-$H177)</f>
        <v>3.9268100000000001</v>
      </c>
      <c r="V177" s="21">
        <f>VLOOKUP($A177,tabCustoUnit[],COLUMN(CUSTO_GLOBAL[[#Headers],[Salário Educação]])-2,0)*($G177-$H177)</f>
        <v>49.085125000000005</v>
      </c>
      <c r="W177" s="21">
        <f>VLOOKUP($A177,tabCustoUnit[],COLUMN(CUSTO_GLOBAL[[#Headers],[FGTS]])-2,0)*($G177-$H177)</f>
        <v>157.07239999999999</v>
      </c>
      <c r="X177" s="21">
        <f>VLOOKUP($A177,tabCustoUnit[],COLUMN(CUSTO_GLOBAL[[#Headers],[RAT Ajustado]])-2,0)*($G177-$H177)</f>
        <v>78.536199999999994</v>
      </c>
      <c r="Y177" s="21">
        <f>VLOOKUP($A177,tabCustoUnit[],COLUMN(CUSTO_GLOBAL[[#Headers],[SEBRAE]])-2,0)*($G177-$H177)</f>
        <v>11.780430000000001</v>
      </c>
      <c r="Z177" s="21">
        <f>VLOOKUP($A177,tabCustoUnit[],COLUMN(CUSTO_GLOBAL[[#Headers],[Submódulo 2.1]])-2,0)*($G177-$H177)</f>
        <v>742.16709000000003</v>
      </c>
      <c r="AA177" s="21">
        <f>VLOOKUP($A177,tabCustoUnit[],COLUMN(CUSTO_GLOBAL[[#Headers],[13º salário (titular)]])-2,0)*($G177-$H177)</f>
        <v>163.61708333333331</v>
      </c>
      <c r="AB177" s="21">
        <f>VLOOKUP($A177,tabCustoUnit[],COLUMN(CUSTO_GLOBAL[[#Headers],[Férias e Adicional de Férias (titular)]])-2,0)*($G177-$H177)</f>
        <v>218.1561111111111</v>
      </c>
      <c r="AC177" s="21">
        <f>VLOOKUP($A177,tabCustoUnit[],COLUMN(CUSTO_GLOBAL[[#Headers],[Incidência do Submódulo 2.1 sobre 13º Salário, Férias e Adicional de Férias]])-2,0)*($G177-$H177)</f>
        <v>144.31026749999998</v>
      </c>
      <c r="AD177" s="21">
        <f>VLOOKUP($A177,tabCustoUnit[],COLUMN(CUSTO_GLOBAL[[#Headers],[Submódulo 2.2]])-2,0)*($G177-$H177)</f>
        <v>526.08346194444437</v>
      </c>
      <c r="AE177" s="22" t="e">
        <f ca="1">VLOOKUP($A177,tabCustoUnit[],COLUMN(CUSTO_GLOBAL[[#Headers],[Vale - Transporte (Descontada parcela do empregado)]])-2,0)*($G177-$H177)</f>
        <v>#NAME?</v>
      </c>
      <c r="AF177" s="22">
        <f>VLOOKUP($A177,tabCustoUnit[],COLUMN(CUSTO_GLOBAL[[#Headers],[Vale - Alimentação (Descontada parcela do empregado)]])-2,0)*($G177-$H177)</f>
        <v>582</v>
      </c>
      <c r="AG177" s="22">
        <f>VLOOKUP($A177,tabCustoUnit[],COLUMN(CUSTO_GLOBAL[[#Headers],[Cesta Básica]])-2,0)*($G177-$H177)</f>
        <v>0</v>
      </c>
      <c r="AH177" s="22">
        <f>VLOOKUP($A177,tabCustoUnit[],COLUMN(CUSTO_GLOBAL[[#Headers],[PAF]])-2,0)*($G177-$H177)</f>
        <v>53.27</v>
      </c>
      <c r="AI177" s="22">
        <f>VLOOKUP($A177,tabCustoUnit[],COLUMN(CUSTO_GLOBAL[[#Headers],[PQM]])-2,0)*($G177-$H177)</f>
        <v>0</v>
      </c>
      <c r="AJ177" s="22">
        <v>0</v>
      </c>
      <c r="AK177" s="22">
        <f>VLOOKUP($A177,tabCustoUnit[],COLUMN(CUSTO_GLOBAL[[#Headers],[Seguro de Vida]])-2,0)*($G177-$H177)</f>
        <v>3.36</v>
      </c>
      <c r="AL177" s="22">
        <f>VLOOKUP($A177,tabCustoUnit[],COLUMN(CUSTO_GLOBAL[[#Headers],[Despesas de Viagem]])-2,0)*($G177-$H177)</f>
        <v>0</v>
      </c>
      <c r="AM177" s="22" t="e">
        <f ca="1">VLOOKUP($A177,tabCustoUnit[],COLUMN(CUSTO_GLOBAL[[#Headers],[Submódulo 2.3]])-2,0)*($G177-$H177)</f>
        <v>#NAME?</v>
      </c>
      <c r="AN177" s="22" t="e">
        <f ca="1">VLOOKUP($A177,tabCustoUnit[],COLUMN(CUSTO_GLOBAL[[#Headers],[MÓDULO 2 - Total Encargos e Benefícios mensais e diários]])-2,0)*($G177-$H177)</f>
        <v>#NAME?</v>
      </c>
      <c r="AO177" s="22">
        <f>VLOOKUP($A177,tabCustoUnit[],COLUMN(CUSTO_GLOBAL[[#Headers],[Aviso Prévio Indenizado (API) e Reflexo do Aviso Prévio Indenizado]])-2,0)*($G177-$H177)</f>
        <v>13.766938338155864</v>
      </c>
      <c r="AP177" s="22">
        <f>VLOOKUP($A177,tabCustoUnit[],COLUMN(CUSTO_GLOBAL[[#Headers],[Incidência do FGTS sobre API e Reflexo do API]])-2,0)*($G177-$H177)</f>
        <v>1.1013550670524692</v>
      </c>
      <c r="AQ177" s="22">
        <f>VLOOKUP($A177,tabCustoUnit[],COLUMN(CUSTO_GLOBAL[[#Headers],[Multa Rescisória do FGTS sobre o Aviso Prévio Indenizado]])-2,0)*($G177-$H177)</f>
        <v>0.44054202682098775</v>
      </c>
      <c r="AR177" s="22">
        <f>VLOOKUP($A177,tabCustoUnit[],COLUMN(CUSTO_GLOBAL[[#Headers],[Aviso Prévio Trabalhado - APT]])-2,0)*($G177-$H177)</f>
        <v>6.8719175000000012</v>
      </c>
      <c r="AS177" s="22">
        <f>VLOOKUP($A177,tabCustoUnit[],COLUMN(CUSTO_GLOBAL[[#Headers],[Incidência dos encargos do submódulo 2.1 sobre Aviso Prévio Trabalhado]])-2,0)*($G177-$H177)</f>
        <v>2.5975848150000007</v>
      </c>
      <c r="AT177" s="22">
        <f>VLOOKUP($A177,tabCustoUnit[],COLUMN(CUSTO_GLOBAL[[#Headers],[Multa Rescisória do FGTS]])-2,0)*($G177-$H177)</f>
        <v>60.03656177777777</v>
      </c>
      <c r="AU177" s="22">
        <f>VLOOKUP($A177,tabCustoUnit[],COLUMN(CUSTO_GLOBAL[[#Headers],[Indenização Adicional (Art. 9º da Lei nº 7.238/84)]])-2,0)*($G177-$H177)</f>
        <v>1.6361708333333334</v>
      </c>
      <c r="AV177" s="22">
        <f>VLOOKUP($A177,tabCustoUnit[],COLUMN(CUSTO_GLOBAL[[#Headers],[MÓDULO 3 – PROVISÃO PARA RESCISÃO]])-2,0)*($G177-$H177)</f>
        <v>86.451070358140427</v>
      </c>
      <c r="AW177" s="22">
        <f>VLOOKUP($A177,tabCustoUnit[],COLUMN(CUSTO_GLOBAL[[#Headers],[Ausência por Doença]])-2,0)*($G177-$H177)</f>
        <v>16.579864444444443</v>
      </c>
      <c r="AX177" s="22">
        <f>VLOOKUP($A177,tabCustoUnit[],COLUMN(CUSTO_GLOBAL[[#Headers],[Ausências Legais]])-2,0)*($G177-$H177)</f>
        <v>3.9813490277777777</v>
      </c>
      <c r="AY177" s="22">
        <f>VLOOKUP($A177,tabCustoUnit[],COLUMN(CUSTO_GLOBAL[[#Headers],[Licença Paternidade]])-2,0)*($G177-$H177)</f>
        <v>0.3354150208333333</v>
      </c>
      <c r="AZ177" s="22">
        <f>VLOOKUP($A177,tabCustoUnit[],COLUMN(CUSTO_GLOBAL[[#Headers],[Ausência por Acidente de Trabalho]])-2,0)*($G177-$H177)</f>
        <v>0.40904270833333334</v>
      </c>
      <c r="BA177" s="22">
        <f>VLOOKUP($A177,tabCustoUnit[],COLUMN(CUSTO_GLOBAL[[#Headers],[Férias, Adicional de Férias e 13º  com empregada em gozo de Licença Maternidade]])-2,0)*($G177-$H177)</f>
        <v>2.5451546296296295</v>
      </c>
      <c r="BB177" s="22">
        <f>VLOOKUP($A177,tabCustoUnit[],COLUMN(CUSTO_GLOBAL[[#Headers],[Incidência do Submódulo 2.1 sobre Ausências Legais]])-2,0)*($G177-$H177)</f>
        <v>9.0156121641250007</v>
      </c>
      <c r="BC177" s="22">
        <f>VLOOKUP($A177,tabCustoUnit[],COLUMN(CUSTO_GLOBAL[[#Headers],[Submódulo 4.1]])-2,0)*($G177-$H177)</f>
        <v>32.866437995143521</v>
      </c>
      <c r="BD177" s="22">
        <f>VLOOKUP($A177,tabCustoUnit[],COLUMN(CUSTO_GLOBAL[[#Headers],[Intervalo para Repouso ou Alimentação]])-2,0)*($G177-$H177)</f>
        <v>267.73704981301341</v>
      </c>
      <c r="BE177" s="22">
        <f>VLOOKUP($A177,tabCustoUnit[],COLUMN(CUSTO_GLOBAL[[#Headers],[Submódulo 4.2]])-2,0)*($G177-$H177)</f>
        <v>267.73704981301341</v>
      </c>
      <c r="BF177" s="22">
        <f>VLOOKUP($A177,tabCustoUnit[],COLUMN(CUSTO_GLOBAL[[#Headers],[Suspensão Temporária do Contrato de Trabalho]])-2,0)*($G177-$H177)</f>
        <v>0</v>
      </c>
      <c r="BG177" s="22">
        <f>VLOOKUP($A177,tabCustoUnit[],COLUMN(CUSTO_GLOBAL[[#Headers],[Submódulo 4.3]])-2,0)*($G177-$H177)</f>
        <v>0</v>
      </c>
      <c r="BH177" s="22">
        <f>VLOOKUP($A177,tabCustoUnit[],COLUMN(CUSTO_GLOBAL[[#Headers],[MÓDULO 4 – CUSTO DE REPOSIÇÃO DO PROFISSIONAL AUSENTE]])-2,0)*($G177-$H177)</f>
        <v>300.60348780815696</v>
      </c>
      <c r="BI177" s="22">
        <f>VLOOKUP($A177,tabCustoUnit[],COLUMN(CUSTO_GLOBAL[[#Headers],[Uniformes e EPIs]])-2,0)*($G177-$H177)</f>
        <v>56.642978962543395</v>
      </c>
      <c r="BJ177" s="22">
        <f>VLOOKUP($A177,tabCustoUnit[],COLUMN(CUSTO_GLOBAL[[#Headers],[Materiais de Consumo]])-2,0)*($G177-$H177)</f>
        <v>0</v>
      </c>
      <c r="BK177" s="22">
        <f>VLOOKUP($A177,tabCustoUnit[],COLUMN(CUSTO_GLOBAL[[#Headers],[Máquinas e Equipamentos (depreciação)]])-2,0)*($G177-$H177)</f>
        <v>0</v>
      </c>
      <c r="BL177" s="22">
        <f>VLOOKUP($A177,tabCustoUnit[],COLUMN(CUSTO_GLOBAL[[#Headers],[Produtos de Limpeza e Materiais de Higiene Pessoal]])-2,0)*($G177-$H177)</f>
        <v>0</v>
      </c>
      <c r="BM177" s="22">
        <f>VLOOKUP($A177,tabCustoUnit[],COLUMN(CUSTO_GLOBAL[[#Headers],[Outros (especificar)]])-2,0)*($G177-$H177)</f>
        <v>0</v>
      </c>
      <c r="BN177" s="22">
        <f>VLOOKUP($A177,tabCustoUnit[],COLUMN(CUSTO_GLOBAL[[#Headers],[MÓDULO 5 – INSUMOS DIVERSOS]])-2,0)*($G177-$H177)</f>
        <v>56.642978962543395</v>
      </c>
      <c r="BO177" s="22" t="e">
        <f ca="1">VLOOKUP($A177,tabCustoUnit[],COLUMN(CUSTO_GLOBAL[[#Headers],[TOTAL MÓDULOS 1+2+3+4+5]])-2,0)*($G177-$H177)</f>
        <v>#NAME?</v>
      </c>
      <c r="BP177" s="22" t="e">
        <f ca="1">VLOOKUP($A177,tabCustoUnit[],COLUMN(CUSTO_GLOBAL[[#Headers],[Custos Indiretos]])-2,0)*($G177-$H177)</f>
        <v>#NAME?</v>
      </c>
      <c r="BQ177" s="22" t="e">
        <f ca="1">VLOOKUP($A177,tabCustoUnit[],COLUMN(CUSTO_GLOBAL[[#Headers],[Lucro]])-2,0)*($G177-$H177)</f>
        <v>#NAME?</v>
      </c>
      <c r="BR177" s="26">
        <f>VLOOKUP($A177,tabCustoUnit[],COLUMN(CUSTO_GLOBAL[[#Headers],[COFINS]])-2,0)</f>
        <v>8.5633802816901458E-2</v>
      </c>
      <c r="BS177" s="26">
        <f>VLOOKUP($A177,tabCustoUnit[],COLUMN(CUSTO_GLOBAL[[#Headers],[PIS]])-2,0)</f>
        <v>1.8591549295774657E-2</v>
      </c>
      <c r="BT177" s="28">
        <f>VLOOKUP($A177,tabCustoUnit[],COLUMN(CUSTO_GLOBAL[[#Headers],[ISS]])-2,0)</f>
        <v>0.02</v>
      </c>
      <c r="BU177" s="26">
        <f>VLOOKUP($A177,tabCustoUnit[],COLUMN(CUSTO_GLOBAL[[#Headers],[ISS (Conversão Alíquota s/ fatura)]])-2,0)</f>
        <v>2.2535211267605645E-2</v>
      </c>
      <c r="BV177" s="26">
        <f>VLOOKUP($A177,tabCustoUnit[],COLUMN(CUSTO_GLOBAL[[#Headers],[Resumo de Alíquotas (PIS+CONFINS+ISS)]])-2,0)</f>
        <v>0.1125</v>
      </c>
      <c r="BW177" s="138">
        <f>VLOOKUP($A177,tabCustoUnit[],COLUMN(CUSTO_GLOBAL[[#Headers],[PIS + COFINS + ISS (Total Conversão  Alíquota s/ Fatura)]])-2,0)</f>
        <v>0.12676056338028174</v>
      </c>
      <c r="BX177" s="22" t="e">
        <f ca="1">VLOOKUP($A177,tabCustoUnit[],COLUMN(CUSTO_GLOBAL[[#Headers],[Valor dos Tributos (ISS, PIS, CONFINS)]])-2,0)*($G177-$H177)</f>
        <v>#NAME?</v>
      </c>
      <c r="BY177" s="22" t="e">
        <f ca="1">VLOOKUP($A177,tabCustoUnit[],COLUMN(CUSTO_GLOBAL[[#Headers],[MÓDULO 6 – CUSTOS INDIRETOS, TRIBUTOS E LUCRO]])-2,0)*($G177-$H177)</f>
        <v>#NAME?</v>
      </c>
      <c r="BZ177" s="22" t="e">
        <f ca="1">VLOOKUP($A177,tabCustoUnit[],COLUMN(CUSTO_GLOBAL[[#Headers],[CUSTO TOTAL MENSAL]])-2,0)*($G177-$H177)</f>
        <v>#NAME?</v>
      </c>
      <c r="CA177" s="22" t="e">
        <f ca="1">CUSTO_GLOBAL[[#This Row],[CUSTO TOTAL MENSAL]]*12</f>
        <v>#NAME?</v>
      </c>
      <c r="CB177" s="24">
        <f>VLOOKUP($A177,tabCustoUnit[],COLUMN(CUSTO_GLOBAL[[#Headers],[ANO DA CCT]])-2,0)</f>
        <v>45658</v>
      </c>
      <c r="CC177" s="25" t="str">
        <f>VLOOKUP($A177,tabCustoUnit[],COLUMN(CUSTO_GLOBAL[[#Headers],[Nº DE PEDIDO DA CCT]])-2,0)</f>
        <v>-</v>
      </c>
      <c r="CD177" s="25" t="str">
        <f>VLOOKUP($A177,tabCustoUnit[],COLUMN(CUSTO_GLOBAL[[#Headers],[TERMO ADITIVO ALTERAÇÃO DA CCT]])-2,0)</f>
        <v>-</v>
      </c>
    </row>
    <row r="178" spans="1:82">
      <c r="A178" s="20" t="s">
        <v>1481</v>
      </c>
      <c r="B178" t="s">
        <v>1148</v>
      </c>
      <c r="C178" t="s">
        <v>200</v>
      </c>
      <c r="D178" t="s">
        <v>918</v>
      </c>
      <c r="E178" s="20" t="s">
        <v>1090</v>
      </c>
      <c r="F178" s="20" t="s">
        <v>120</v>
      </c>
      <c r="G178" s="20">
        <v>1</v>
      </c>
      <c r="H178" s="20">
        <v>0</v>
      </c>
      <c r="I178" s="21">
        <f>VLOOKUP($A178,tabCustoUnit[],COLUMN(CUSTO_GLOBAL[[#Headers],[Salário Base]])-2,0)*($G178-$H178)</f>
        <v>1596.2737999999999</v>
      </c>
      <c r="J178" s="21">
        <f>VLOOKUP($A178,tabCustoUnit[],COLUMN(CUSTO_GLOBAL[[#Headers],[Adicional Periculosidade]])-2,0)*($G178-$H178)</f>
        <v>0</v>
      </c>
      <c r="K178" s="21">
        <f>VLOOKUP($A178,tabCustoUnit[],COLUMN(CUSTO_GLOBAL[[#Headers],[Adicional Insalubridade]])-2,0)*($G178-$H178)</f>
        <v>0</v>
      </c>
      <c r="L178" s="21">
        <f>VLOOKUP($A178,tabCustoUnit[],COLUMN(CUSTO_GLOBAL[[#Headers],[Adicional Noturno]])-2,0)*($G178-$H178)</f>
        <v>0</v>
      </c>
      <c r="M178" s="21">
        <f>VLOOKUP($A178,tabCustoUnit[],COLUMN(CUSTO_GLOBAL[[#Headers],[Adicional Motorista II (Gratificação)]])-2,0)*($G178-$H178)</f>
        <v>0</v>
      </c>
      <c r="N178" s="21">
        <f>VLOOKUP($A178,tabCustoUnit[],COLUMN(CUSTO_GLOBAL[[#Headers],[Adicional de Sobreaviso]])-2,0)*($G178-$H178)</f>
        <v>0</v>
      </c>
      <c r="O178" s="21">
        <f>VLOOKUP($A178,tabCustoUnit[],COLUMN(CUSTO_GLOBAL[[#Headers],[Horas Extras TI]])-2,0)*($G178-$H178)</f>
        <v>0</v>
      </c>
      <c r="P178" s="21">
        <f>VLOOKUP($A178,tabCustoUnit[],COLUMN(CUSTO_GLOBAL[[#Headers],[Adicional de Acúmulo de função]])-2,0)*($G178-$H178)</f>
        <v>0</v>
      </c>
      <c r="Q178" s="21">
        <f>VLOOKUP($A178,tabCustoUnit[],COLUMN(CUSTO_GLOBAL[[#Headers],[MODULO 1 - REMUNERAÇÃO ]])-2,0)*($G178-$H178)</f>
        <v>1596.2737999999999</v>
      </c>
      <c r="R178" s="21">
        <f>VLOOKUP($A178,tabCustoUnit[],COLUMN(CUSTO_GLOBAL[[#Headers],[INSS]])-2,0)*($G178-$H178)</f>
        <v>319.25476000000003</v>
      </c>
      <c r="S178" s="21">
        <f>VLOOKUP($A178,tabCustoUnit[],COLUMN(CUSTO_GLOBAL[[#Headers],[SESI OU SESC]])-2,0)*($G178-$H178)</f>
        <v>23.944106999999999</v>
      </c>
      <c r="T178" s="21">
        <f>VLOOKUP($A178,tabCustoUnit[],COLUMN(CUSTO_GLOBAL[[#Headers],[SENAI OU SENAC]])-2,0)*($G178-$H178)</f>
        <v>15.962738</v>
      </c>
      <c r="U178" s="21">
        <f>VLOOKUP($A178,tabCustoUnit[],COLUMN(CUSTO_GLOBAL[[#Headers],[INCRA]])-2,0)*($G178-$H178)</f>
        <v>3.1925476000000002</v>
      </c>
      <c r="V178" s="21">
        <f>VLOOKUP($A178,tabCustoUnit[],COLUMN(CUSTO_GLOBAL[[#Headers],[Salário Educação]])-2,0)*($G178-$H178)</f>
        <v>39.906845000000004</v>
      </c>
      <c r="W178" s="21">
        <f>VLOOKUP($A178,tabCustoUnit[],COLUMN(CUSTO_GLOBAL[[#Headers],[FGTS]])-2,0)*($G178-$H178)</f>
        <v>127.701904</v>
      </c>
      <c r="X178" s="21">
        <f>VLOOKUP($A178,tabCustoUnit[],COLUMN(CUSTO_GLOBAL[[#Headers],[RAT Ajustado]])-2,0)*($G178-$H178)</f>
        <v>63.850951999999999</v>
      </c>
      <c r="Y178" s="21">
        <f>VLOOKUP($A178,tabCustoUnit[],COLUMN(CUSTO_GLOBAL[[#Headers],[SEBRAE]])-2,0)*($G178-$H178)</f>
        <v>9.5776427999999996</v>
      </c>
      <c r="Z178" s="21">
        <f>VLOOKUP($A178,tabCustoUnit[],COLUMN(CUSTO_GLOBAL[[#Headers],[Submódulo 2.1]])-2,0)*($G178-$H178)</f>
        <v>603.39149640000005</v>
      </c>
      <c r="AA178" s="21">
        <f>VLOOKUP($A178,tabCustoUnit[],COLUMN(CUSTO_GLOBAL[[#Headers],[13º salário (titular)]])-2,0)*($G178-$H178)</f>
        <v>133.02281666666664</v>
      </c>
      <c r="AB178" s="21">
        <f>VLOOKUP($A178,tabCustoUnit[],COLUMN(CUSTO_GLOBAL[[#Headers],[Férias e Adicional de Férias (titular)]])-2,0)*($G178-$H178)</f>
        <v>177.36375555555554</v>
      </c>
      <c r="AC178" s="21">
        <f>VLOOKUP($A178,tabCustoUnit[],COLUMN(CUSTO_GLOBAL[[#Headers],[Incidência do Submódulo 2.1 sobre 13º Salário, Férias e Adicional de Férias]])-2,0)*($G178-$H178)</f>
        <v>117.3261243</v>
      </c>
      <c r="AD178" s="21">
        <f>VLOOKUP($A178,tabCustoUnit[],COLUMN(CUSTO_GLOBAL[[#Headers],[Submódulo 2.2]])-2,0)*($G178-$H178)</f>
        <v>427.71269652222219</v>
      </c>
      <c r="AE178" s="22" t="e">
        <f ca="1">VLOOKUP($A178,tabCustoUnit[],COLUMN(CUSTO_GLOBAL[[#Headers],[Vale - Transporte (Descontada parcela do empregado)]])-2,0)*($G178-$H178)</f>
        <v>#NAME?</v>
      </c>
      <c r="AF178" s="22">
        <f>VLOOKUP($A178,tabCustoUnit[],COLUMN(CUSTO_GLOBAL[[#Headers],[Vale - Alimentação (Descontada parcela do empregado)]])-2,0)*($G178-$H178)</f>
        <v>582</v>
      </c>
      <c r="AG178" s="22">
        <f>VLOOKUP($A178,tabCustoUnit[],COLUMN(CUSTO_GLOBAL[[#Headers],[Cesta Básica]])-2,0)*($G178-$H178)</f>
        <v>0</v>
      </c>
      <c r="AH178" s="22">
        <f>VLOOKUP($A178,tabCustoUnit[],COLUMN(CUSTO_GLOBAL[[#Headers],[PAF]])-2,0)*($G178-$H178)</f>
        <v>0</v>
      </c>
      <c r="AI178" s="22">
        <f>VLOOKUP($A178,tabCustoUnit[],COLUMN(CUSTO_GLOBAL[[#Headers],[PQM]])-2,0)*($G178-$H178)</f>
        <v>15.07</v>
      </c>
      <c r="AJ178" s="22">
        <v>0</v>
      </c>
      <c r="AK178" s="22">
        <f>VLOOKUP($A178,tabCustoUnit[],COLUMN(CUSTO_GLOBAL[[#Headers],[Seguro de Vida]])-2,0)*($G178-$H178)</f>
        <v>3.36</v>
      </c>
      <c r="AL178" s="22">
        <f>VLOOKUP($A178,tabCustoUnit[],COLUMN(CUSTO_GLOBAL[[#Headers],[Despesas de Viagem]])-2,0)*($G178-$H178)</f>
        <v>0</v>
      </c>
      <c r="AM178" s="22" t="e">
        <f ca="1">VLOOKUP($A178,tabCustoUnit[],COLUMN(CUSTO_GLOBAL[[#Headers],[Submódulo 2.3]])-2,0)*($G178-$H178)</f>
        <v>#NAME?</v>
      </c>
      <c r="AN178" s="22" t="e">
        <f ca="1">VLOOKUP($A178,tabCustoUnit[],COLUMN(CUSTO_GLOBAL[[#Headers],[MÓDULO 2 - Total Encargos e Benefícios mensais e diários]])-2,0)*($G178-$H178)</f>
        <v>#NAME?</v>
      </c>
      <c r="AO178" s="22">
        <f>VLOOKUP($A178,tabCustoUnit[],COLUMN(CUSTO_GLOBAL[[#Headers],[Aviso Prévio Indenizado (API) e Reflexo do Aviso Prévio Indenizado]])-2,0)*($G178-$H178)</f>
        <v>11.192699914390431</v>
      </c>
      <c r="AP178" s="22">
        <f>VLOOKUP($A178,tabCustoUnit[],COLUMN(CUSTO_GLOBAL[[#Headers],[Incidência do FGTS sobre API e Reflexo do API]])-2,0)*($G178-$H178)</f>
        <v>0.89541599315123466</v>
      </c>
      <c r="AQ178" s="22">
        <f>VLOOKUP($A178,tabCustoUnit[],COLUMN(CUSTO_GLOBAL[[#Headers],[Multa Rescisória do FGTS sobre o Aviso Prévio Indenizado]])-2,0)*($G178-$H178)</f>
        <v>0.35816639726049387</v>
      </c>
      <c r="AR178" s="22">
        <f>VLOOKUP($A178,tabCustoUnit[],COLUMN(CUSTO_GLOBAL[[#Headers],[Aviso Prévio Trabalhado - APT]])-2,0)*($G178-$H178)</f>
        <v>5.5869583000000009</v>
      </c>
      <c r="AS178" s="22">
        <f>VLOOKUP($A178,tabCustoUnit[],COLUMN(CUSTO_GLOBAL[[#Headers],[Incidência dos encargos do submódulo 2.1 sobre Aviso Prévio Trabalhado]])-2,0)*($G178-$H178)</f>
        <v>2.1118702374000007</v>
      </c>
      <c r="AT178" s="22">
        <f>VLOOKUP($A178,tabCustoUnit[],COLUMN(CUSTO_GLOBAL[[#Headers],[Multa Rescisória do FGTS]])-2,0)*($G178-$H178)</f>
        <v>48.810505528888882</v>
      </c>
      <c r="AU178" s="22">
        <f>VLOOKUP($A178,tabCustoUnit[],COLUMN(CUSTO_GLOBAL[[#Headers],[Indenização Adicional (Art. 9º da Lei nº 7.238/84)]])-2,0)*($G178-$H178)</f>
        <v>1.3302281666666667</v>
      </c>
      <c r="AV178" s="22">
        <f>VLOOKUP($A178,tabCustoUnit[],COLUMN(CUSTO_GLOBAL[[#Headers],[MÓDULO 3 – PROVISÃO PARA RESCISÃO]])-2,0)*($G178-$H178)</f>
        <v>70.285844537757711</v>
      </c>
      <c r="AW178" s="22">
        <f>VLOOKUP($A178,tabCustoUnit[],COLUMN(CUSTO_GLOBAL[[#Headers],[Ausência por Doença]])-2,0)*($G178-$H178)</f>
        <v>13.479645422222221</v>
      </c>
      <c r="AX178" s="22">
        <f>VLOOKUP($A178,tabCustoUnit[],COLUMN(CUSTO_GLOBAL[[#Headers],[Ausências Legais]])-2,0)*($G178-$H178)</f>
        <v>3.2368885388888886</v>
      </c>
      <c r="AY178" s="22">
        <f>VLOOKUP($A178,tabCustoUnit[],COLUMN(CUSTO_GLOBAL[[#Headers],[Licença Paternidade]])-2,0)*($G178-$H178)</f>
        <v>0.27269677416666666</v>
      </c>
      <c r="AZ178" s="22">
        <f>VLOOKUP($A178,tabCustoUnit[],COLUMN(CUSTO_GLOBAL[[#Headers],[Ausência por Acidente de Trabalho]])-2,0)*($G178-$H178)</f>
        <v>0.33255704166666666</v>
      </c>
      <c r="BA178" s="22">
        <f>VLOOKUP($A178,tabCustoUnit[],COLUMN(CUSTO_GLOBAL[[#Headers],[Férias, Adicional de Férias e 13º  com empregada em gozo de Licença Maternidade]])-2,0)*($G178-$H178)</f>
        <v>2.0692438148148145</v>
      </c>
      <c r="BB178" s="22">
        <f>VLOOKUP($A178,tabCustoUnit[],COLUMN(CUSTO_GLOBAL[[#Headers],[Incidência do Submódulo 2.1 sobre Ausências Legais]])-2,0)*($G178-$H178)</f>
        <v>7.3298099416850011</v>
      </c>
      <c r="BC178" s="22">
        <f>VLOOKUP($A178,tabCustoUnit[],COLUMN(CUSTO_GLOBAL[[#Headers],[Submódulo 4.1]])-2,0)*($G178-$H178)</f>
        <v>26.720841533444265</v>
      </c>
      <c r="BD178" s="22">
        <f>VLOOKUP($A178,tabCustoUnit[],COLUMN(CUSTO_GLOBAL[[#Headers],[Intervalo para Repouso ou Alimentação]])-2,0)*($G178-$H178)</f>
        <v>0</v>
      </c>
      <c r="BE178" s="22">
        <f>VLOOKUP($A178,tabCustoUnit[],COLUMN(CUSTO_GLOBAL[[#Headers],[Submódulo 4.2]])-2,0)*($G178-$H178)</f>
        <v>0</v>
      </c>
      <c r="BF178" s="22">
        <f>VLOOKUP($A178,tabCustoUnit[],COLUMN(CUSTO_GLOBAL[[#Headers],[Suspensão Temporária do Contrato de Trabalho]])-2,0)*($G178-$H178)</f>
        <v>0</v>
      </c>
      <c r="BG178" s="22">
        <f>VLOOKUP($A178,tabCustoUnit[],COLUMN(CUSTO_GLOBAL[[#Headers],[Submódulo 4.3]])-2,0)*($G178-$H178)</f>
        <v>0</v>
      </c>
      <c r="BH178" s="22">
        <f>VLOOKUP($A178,tabCustoUnit[],COLUMN(CUSTO_GLOBAL[[#Headers],[MÓDULO 4 – CUSTO DE REPOSIÇÃO DO PROFISSIONAL AUSENTE]])-2,0)*($G178-$H178)</f>
        <v>26.720841533444265</v>
      </c>
      <c r="BI178" s="22">
        <f>VLOOKUP($A178,tabCustoUnit[],COLUMN(CUSTO_GLOBAL[[#Headers],[Uniformes e EPIs]])-2,0)*($G178-$H178)</f>
        <v>56.141713661989918</v>
      </c>
      <c r="BJ178" s="22">
        <f>VLOOKUP($A178,tabCustoUnit[],COLUMN(CUSTO_GLOBAL[[#Headers],[Materiais de Consumo]])-2,0)*($G178-$H178)</f>
        <v>0</v>
      </c>
      <c r="BK178" s="22">
        <f>VLOOKUP($A178,tabCustoUnit[],COLUMN(CUSTO_GLOBAL[[#Headers],[Máquinas e Equipamentos (depreciação)]])-2,0)*($G178-$H178)</f>
        <v>0</v>
      </c>
      <c r="BL178" s="22">
        <f>VLOOKUP($A178,tabCustoUnit[],COLUMN(CUSTO_GLOBAL[[#Headers],[Produtos de Limpeza e Materiais de Higiene Pessoal]])-2,0)*($G178-$H178)</f>
        <v>0</v>
      </c>
      <c r="BM178" s="22">
        <f>VLOOKUP($A178,tabCustoUnit[],COLUMN(CUSTO_GLOBAL[[#Headers],[Outros (especificar)]])-2,0)*($G178-$H178)</f>
        <v>0</v>
      </c>
      <c r="BN178" s="22">
        <f>VLOOKUP($A178,tabCustoUnit[],COLUMN(CUSTO_GLOBAL[[#Headers],[MÓDULO 5 – INSUMOS DIVERSOS]])-2,0)*($G178-$H178)</f>
        <v>56.141713661989918</v>
      </c>
      <c r="BO178" s="22" t="e">
        <f ca="1">VLOOKUP($A178,tabCustoUnit[],COLUMN(CUSTO_GLOBAL[[#Headers],[TOTAL MÓDULOS 1+2+3+4+5]])-2,0)*($G178-$H178)</f>
        <v>#NAME?</v>
      </c>
      <c r="BP178" s="22" t="e">
        <f ca="1">VLOOKUP($A178,tabCustoUnit[],COLUMN(CUSTO_GLOBAL[[#Headers],[Custos Indiretos]])-2,0)*($G178-$H178)</f>
        <v>#NAME?</v>
      </c>
      <c r="BQ178" s="22" t="e">
        <f ca="1">VLOOKUP($A178,tabCustoUnit[],COLUMN(CUSTO_GLOBAL[[#Headers],[Lucro]])-2,0)*($G178-$H178)</f>
        <v>#NAME?</v>
      </c>
      <c r="BR178" s="26">
        <f>VLOOKUP($A178,tabCustoUnit[],COLUMN(CUSTO_GLOBAL[[#Headers],[COFINS]])-2,0)</f>
        <v>8.8629737609329504E-2</v>
      </c>
      <c r="BS178" s="26">
        <f>VLOOKUP($A178,tabCustoUnit[],COLUMN(CUSTO_GLOBAL[[#Headers],[PIS]])-2,0)</f>
        <v>1.9241982507288629E-2</v>
      </c>
      <c r="BT178" s="28">
        <f>VLOOKUP($A178,tabCustoUnit[],COLUMN(CUSTO_GLOBAL[[#Headers],[ISS]])-2,0)</f>
        <v>0.05</v>
      </c>
      <c r="BU178" s="26">
        <f>VLOOKUP($A178,tabCustoUnit[],COLUMN(CUSTO_GLOBAL[[#Headers],[ISS (Conversão Alíquota s/ fatura)]])-2,0)</f>
        <v>5.8309037900874633E-2</v>
      </c>
      <c r="BV178" s="26">
        <f>VLOOKUP($A178,tabCustoUnit[],COLUMN(CUSTO_GLOBAL[[#Headers],[Resumo de Alíquotas (PIS+CONFINS+ISS)]])-2,0)</f>
        <v>0.14250000000000002</v>
      </c>
      <c r="BW178" s="138">
        <f>VLOOKUP($A178,tabCustoUnit[],COLUMN(CUSTO_GLOBAL[[#Headers],[PIS + COFINS + ISS (Total Conversão  Alíquota s/ Fatura)]])-2,0)</f>
        <v>0.16618075801749277</v>
      </c>
      <c r="BX178" s="22" t="e">
        <f ca="1">VLOOKUP($A178,tabCustoUnit[],COLUMN(CUSTO_GLOBAL[[#Headers],[Valor dos Tributos (ISS, PIS, CONFINS)]])-2,0)*($G178-$H178)</f>
        <v>#NAME?</v>
      </c>
      <c r="BY178" s="22" t="e">
        <f ca="1">VLOOKUP($A178,tabCustoUnit[],COLUMN(CUSTO_GLOBAL[[#Headers],[MÓDULO 6 – CUSTOS INDIRETOS, TRIBUTOS E LUCRO]])-2,0)*($G178-$H178)</f>
        <v>#NAME?</v>
      </c>
      <c r="BZ178" s="22" t="e">
        <f ca="1">VLOOKUP($A178,tabCustoUnit[],COLUMN(CUSTO_GLOBAL[[#Headers],[CUSTO TOTAL MENSAL]])-2,0)*($G178-$H178)</f>
        <v>#NAME?</v>
      </c>
      <c r="CA178" s="22" t="e">
        <f ca="1">CUSTO_GLOBAL[[#This Row],[CUSTO TOTAL MENSAL]]*12</f>
        <v>#NAME?</v>
      </c>
      <c r="CB178" s="24">
        <f>VLOOKUP($A178,tabCustoUnit[],COLUMN(CUSTO_GLOBAL[[#Headers],[ANO DA CCT]])-2,0)</f>
        <v>45658</v>
      </c>
      <c r="CC178" s="25" t="str">
        <f>VLOOKUP($A178,tabCustoUnit[],COLUMN(CUSTO_GLOBAL[[#Headers],[Nº DE PEDIDO DA CCT]])-2,0)</f>
        <v>-</v>
      </c>
      <c r="CD178" s="25" t="str">
        <f>VLOOKUP($A178,tabCustoUnit[],COLUMN(CUSTO_GLOBAL[[#Headers],[TERMO ADITIVO ALTERAÇÃO DA CCT]])-2,0)</f>
        <v>-</v>
      </c>
    </row>
    <row r="179" spans="1:82">
      <c r="A179" s="20" t="s">
        <v>1482</v>
      </c>
      <c r="B179" t="s">
        <v>1149</v>
      </c>
      <c r="C179" t="s">
        <v>214</v>
      </c>
      <c r="D179" t="s">
        <v>1054</v>
      </c>
      <c r="E179" s="20" t="s">
        <v>1090</v>
      </c>
      <c r="F179" s="20" t="s">
        <v>120</v>
      </c>
      <c r="G179" s="20">
        <v>1</v>
      </c>
      <c r="H179" s="20">
        <v>0</v>
      </c>
      <c r="I179" s="21">
        <f>VLOOKUP($A179,tabCustoUnit[],COLUMN(CUSTO_GLOBAL[[#Headers],[Salário Base]])-2,0)*($G179-$H179)</f>
        <v>1836.5985000000001</v>
      </c>
      <c r="J179" s="21">
        <f>VLOOKUP($A179,tabCustoUnit[],COLUMN(CUSTO_GLOBAL[[#Headers],[Adicional Periculosidade]])-2,0)*($G179-$H179)</f>
        <v>0</v>
      </c>
      <c r="K179" s="21">
        <f>VLOOKUP($A179,tabCustoUnit[],COLUMN(CUSTO_GLOBAL[[#Headers],[Adicional Insalubridade]])-2,0)*($G179-$H179)</f>
        <v>0</v>
      </c>
      <c r="L179" s="21">
        <f>VLOOKUP($A179,tabCustoUnit[],COLUMN(CUSTO_GLOBAL[[#Headers],[Adicional Noturno]])-2,0)*($G179-$H179)</f>
        <v>0</v>
      </c>
      <c r="M179" s="21">
        <f>VLOOKUP($A179,tabCustoUnit[],COLUMN(CUSTO_GLOBAL[[#Headers],[Adicional Motorista II (Gratificação)]])-2,0)*($G179-$H179)</f>
        <v>0</v>
      </c>
      <c r="N179" s="21">
        <f>VLOOKUP($A179,tabCustoUnit[],COLUMN(CUSTO_GLOBAL[[#Headers],[Adicional de Sobreaviso]])-2,0)*($G179-$H179)</f>
        <v>0</v>
      </c>
      <c r="O179" s="21">
        <f>VLOOKUP($A179,tabCustoUnit[],COLUMN(CUSTO_GLOBAL[[#Headers],[Horas Extras TI]])-2,0)*($G179-$H179)</f>
        <v>0</v>
      </c>
      <c r="P179" s="21">
        <f>VLOOKUP($A179,tabCustoUnit[],COLUMN(CUSTO_GLOBAL[[#Headers],[Adicional de Acúmulo de função]])-2,0)*($G179-$H179)</f>
        <v>0</v>
      </c>
      <c r="Q179" s="21">
        <f>VLOOKUP($A179,tabCustoUnit[],COLUMN(CUSTO_GLOBAL[[#Headers],[MODULO 1 - REMUNERAÇÃO ]])-2,0)*($G179-$H179)</f>
        <v>1836.5985000000001</v>
      </c>
      <c r="R179" s="21">
        <f>VLOOKUP($A179,tabCustoUnit[],COLUMN(CUSTO_GLOBAL[[#Headers],[INSS]])-2,0)*($G179-$H179)</f>
        <v>367.31970000000001</v>
      </c>
      <c r="S179" s="21">
        <f>VLOOKUP($A179,tabCustoUnit[],COLUMN(CUSTO_GLOBAL[[#Headers],[SESI OU SESC]])-2,0)*($G179-$H179)</f>
        <v>27.548977499999999</v>
      </c>
      <c r="T179" s="21">
        <f>VLOOKUP($A179,tabCustoUnit[],COLUMN(CUSTO_GLOBAL[[#Headers],[SENAI OU SENAC]])-2,0)*($G179-$H179)</f>
        <v>18.365985000000002</v>
      </c>
      <c r="U179" s="21">
        <f>VLOOKUP($A179,tabCustoUnit[],COLUMN(CUSTO_GLOBAL[[#Headers],[INCRA]])-2,0)*($G179-$H179)</f>
        <v>3.673197</v>
      </c>
      <c r="V179" s="21">
        <f>VLOOKUP($A179,tabCustoUnit[],COLUMN(CUSTO_GLOBAL[[#Headers],[Salário Educação]])-2,0)*($G179-$H179)</f>
        <v>45.914962500000001</v>
      </c>
      <c r="W179" s="21">
        <f>VLOOKUP($A179,tabCustoUnit[],COLUMN(CUSTO_GLOBAL[[#Headers],[FGTS]])-2,0)*($G179-$H179)</f>
        <v>146.92788000000002</v>
      </c>
      <c r="X179" s="21">
        <f>VLOOKUP($A179,tabCustoUnit[],COLUMN(CUSTO_GLOBAL[[#Headers],[RAT Ajustado]])-2,0)*($G179-$H179)</f>
        <v>73.463940000000008</v>
      </c>
      <c r="Y179" s="21">
        <f>VLOOKUP($A179,tabCustoUnit[],COLUMN(CUSTO_GLOBAL[[#Headers],[SEBRAE]])-2,0)*($G179-$H179)</f>
        <v>11.019591</v>
      </c>
      <c r="Z179" s="21">
        <f>VLOOKUP($A179,tabCustoUnit[],COLUMN(CUSTO_GLOBAL[[#Headers],[Submódulo 2.1]])-2,0)*($G179-$H179)</f>
        <v>694.23423300000002</v>
      </c>
      <c r="AA179" s="21">
        <f>VLOOKUP($A179,tabCustoUnit[],COLUMN(CUSTO_GLOBAL[[#Headers],[13º salário (titular)]])-2,0)*($G179-$H179)</f>
        <v>153.04987499999999</v>
      </c>
      <c r="AB179" s="21">
        <f>VLOOKUP($A179,tabCustoUnit[],COLUMN(CUSTO_GLOBAL[[#Headers],[Férias e Adicional de Férias (titular)]])-2,0)*($G179-$H179)</f>
        <v>204.06649999999999</v>
      </c>
      <c r="AC179" s="21">
        <f>VLOOKUP($A179,tabCustoUnit[],COLUMN(CUSTO_GLOBAL[[#Headers],[Incidência do Submódulo 2.1 sobre 13º Salário, Férias e Adicional de Férias]])-2,0)*($G179-$H179)</f>
        <v>134.98998974999998</v>
      </c>
      <c r="AD179" s="21">
        <f>VLOOKUP($A179,tabCustoUnit[],COLUMN(CUSTO_GLOBAL[[#Headers],[Submódulo 2.2]])-2,0)*($G179-$H179)</f>
        <v>492.1063647499999</v>
      </c>
      <c r="AE179" s="22" t="e">
        <f ca="1">VLOOKUP($A179,tabCustoUnit[],COLUMN(CUSTO_GLOBAL[[#Headers],[Vale - Transporte (Descontada parcela do empregado)]])-2,0)*($G179-$H179)</f>
        <v>#NAME?</v>
      </c>
      <c r="AF179" s="22">
        <f>VLOOKUP($A179,tabCustoUnit[],COLUMN(CUSTO_GLOBAL[[#Headers],[Vale - Alimentação (Descontada parcela do empregado)]])-2,0)*($G179-$H179)</f>
        <v>581.79999999999995</v>
      </c>
      <c r="AG179" s="22">
        <f>VLOOKUP($A179,tabCustoUnit[],COLUMN(CUSTO_GLOBAL[[#Headers],[Cesta Básica]])-2,0)*($G179-$H179)</f>
        <v>0</v>
      </c>
      <c r="AH179" s="22">
        <f>VLOOKUP($A179,tabCustoUnit[],COLUMN(CUSTO_GLOBAL[[#Headers],[PAF]])-2,0)*($G179-$H179)</f>
        <v>51.73</v>
      </c>
      <c r="AI179" s="22">
        <f>VLOOKUP($A179,tabCustoUnit[],COLUMN(CUSTO_GLOBAL[[#Headers],[PQM]])-2,0)*($G179-$H179)</f>
        <v>0</v>
      </c>
      <c r="AJ179" s="22">
        <v>0</v>
      </c>
      <c r="AK179" s="22">
        <f>VLOOKUP($A179,tabCustoUnit[],COLUMN(CUSTO_GLOBAL[[#Headers],[Seguro de Vida]])-2,0)*($G179-$H179)</f>
        <v>3.36</v>
      </c>
      <c r="AL179" s="22">
        <f>VLOOKUP($A179,tabCustoUnit[],COLUMN(CUSTO_GLOBAL[[#Headers],[Despesas de Viagem]])-2,0)*($G179-$H179)</f>
        <v>0</v>
      </c>
      <c r="AM179" s="22" t="e">
        <f ca="1">VLOOKUP($A179,tabCustoUnit[],COLUMN(CUSTO_GLOBAL[[#Headers],[Submódulo 2.3]])-2,0)*($G179-$H179)</f>
        <v>#NAME?</v>
      </c>
      <c r="AN179" s="22" t="e">
        <f ca="1">VLOOKUP($A179,tabCustoUnit[],COLUMN(CUSTO_GLOBAL[[#Headers],[MÓDULO 2 - Total Encargos e Benefícios mensais e diários]])-2,0)*($G179-$H179)</f>
        <v>#NAME?</v>
      </c>
      <c r="AO179" s="22">
        <f>VLOOKUP($A179,tabCustoUnit[],COLUMN(CUSTO_GLOBAL[[#Headers],[Aviso Prévio Indenizado (API) e Reflexo do Aviso Prévio Indenizado]])-2,0)*($G179-$H179)</f>
        <v>12.87780070920139</v>
      </c>
      <c r="AP179" s="22">
        <f>VLOOKUP($A179,tabCustoUnit[],COLUMN(CUSTO_GLOBAL[[#Headers],[Incidência do FGTS sobre API e Reflexo do API]])-2,0)*($G179-$H179)</f>
        <v>1.0302240567361112</v>
      </c>
      <c r="AQ179" s="22">
        <f>VLOOKUP($A179,tabCustoUnit[],COLUMN(CUSTO_GLOBAL[[#Headers],[Multa Rescisória do FGTS sobre o Aviso Prévio Indenizado]])-2,0)*($G179-$H179)</f>
        <v>0.41208962269444455</v>
      </c>
      <c r="AR179" s="22">
        <f>VLOOKUP($A179,tabCustoUnit[],COLUMN(CUSTO_GLOBAL[[#Headers],[Aviso Prévio Trabalhado - APT]])-2,0)*($G179-$H179)</f>
        <v>6.4280947500000014</v>
      </c>
      <c r="AS179" s="22">
        <f>VLOOKUP($A179,tabCustoUnit[],COLUMN(CUSTO_GLOBAL[[#Headers],[Incidência dos encargos do submódulo 2.1 sobre Aviso Prévio Trabalhado]])-2,0)*($G179-$H179)</f>
        <v>2.4298198155000006</v>
      </c>
      <c r="AT179" s="22">
        <f>VLOOKUP($A179,tabCustoUnit[],COLUMN(CUSTO_GLOBAL[[#Headers],[Multa Rescisória do FGTS]])-2,0)*($G179-$H179)</f>
        <v>56.15910079999999</v>
      </c>
      <c r="AU179" s="22">
        <f>VLOOKUP($A179,tabCustoUnit[],COLUMN(CUSTO_GLOBAL[[#Headers],[Indenização Adicional (Art. 9º da Lei nº 7.238/84)]])-2,0)*($G179-$H179)</f>
        <v>1.5304987500000002</v>
      </c>
      <c r="AV179" s="22">
        <f>VLOOKUP($A179,tabCustoUnit[],COLUMN(CUSTO_GLOBAL[[#Headers],[MÓDULO 3 – PROVISÃO PARA RESCISÃO]])-2,0)*($G179-$H179)</f>
        <v>80.867628504131943</v>
      </c>
      <c r="AW179" s="22">
        <f>VLOOKUP($A179,tabCustoUnit[],COLUMN(CUSTO_GLOBAL[[#Headers],[Ausência por Doença]])-2,0)*($G179-$H179)</f>
        <v>15.509053999999999</v>
      </c>
      <c r="AX179" s="22">
        <f>VLOOKUP($A179,tabCustoUnit[],COLUMN(CUSTO_GLOBAL[[#Headers],[Ausências Legais]])-2,0)*($G179-$H179)</f>
        <v>3.724213625</v>
      </c>
      <c r="AY179" s="22">
        <f>VLOOKUP($A179,tabCustoUnit[],COLUMN(CUSTO_GLOBAL[[#Headers],[Licença Paternidade]])-2,0)*($G179-$H179)</f>
        <v>0.31375224374999999</v>
      </c>
      <c r="AZ179" s="22">
        <f>VLOOKUP($A179,tabCustoUnit[],COLUMN(CUSTO_GLOBAL[[#Headers],[Ausência por Acidente de Trabalho]])-2,0)*($G179-$H179)</f>
        <v>0.38262468750000006</v>
      </c>
      <c r="BA179" s="22">
        <f>VLOOKUP($A179,tabCustoUnit[],COLUMN(CUSTO_GLOBAL[[#Headers],[Férias, Adicional de Férias e 13º  com empregada em gozo de Licença Maternidade]])-2,0)*($G179-$H179)</f>
        <v>2.3807758333333333</v>
      </c>
      <c r="BB179" s="22">
        <f>VLOOKUP($A179,tabCustoUnit[],COLUMN(CUSTO_GLOBAL[[#Headers],[Incidência do Submódulo 2.1 sobre Ausências Legais]])-2,0)*($G179-$H179)</f>
        <v>8.4333389072625025</v>
      </c>
      <c r="BC179" s="22">
        <f>VLOOKUP($A179,tabCustoUnit[],COLUMN(CUSTO_GLOBAL[[#Headers],[Submódulo 4.1]])-2,0)*($G179-$H179)</f>
        <v>30.743759296845838</v>
      </c>
      <c r="BD179" s="22">
        <f>VLOOKUP($A179,tabCustoUnit[],COLUMN(CUSTO_GLOBAL[[#Headers],[Intervalo para Repouso ou Alimentação]])-2,0)*($G179-$H179)</f>
        <v>0</v>
      </c>
      <c r="BE179" s="22">
        <f>VLOOKUP($A179,tabCustoUnit[],COLUMN(CUSTO_GLOBAL[[#Headers],[Submódulo 4.2]])-2,0)*($G179-$H179)</f>
        <v>0</v>
      </c>
      <c r="BF179" s="22">
        <f>VLOOKUP($A179,tabCustoUnit[],COLUMN(CUSTO_GLOBAL[[#Headers],[Suspensão Temporária do Contrato de Trabalho]])-2,0)*($G179-$H179)</f>
        <v>0</v>
      </c>
      <c r="BG179" s="22">
        <f>VLOOKUP($A179,tabCustoUnit[],COLUMN(CUSTO_GLOBAL[[#Headers],[Submódulo 4.3]])-2,0)*($G179-$H179)</f>
        <v>0</v>
      </c>
      <c r="BH179" s="22">
        <f>VLOOKUP($A179,tabCustoUnit[],COLUMN(CUSTO_GLOBAL[[#Headers],[MÓDULO 4 – CUSTO DE REPOSIÇÃO DO PROFISSIONAL AUSENTE]])-2,0)*($G179-$H179)</f>
        <v>30.743759296845838</v>
      </c>
      <c r="BI179" s="22">
        <f>VLOOKUP($A179,tabCustoUnit[],COLUMN(CUSTO_GLOBAL[[#Headers],[Uniformes e EPIs]])-2,0)*($G179-$H179)</f>
        <v>44.111346448706357</v>
      </c>
      <c r="BJ179" s="22">
        <f>VLOOKUP($A179,tabCustoUnit[],COLUMN(CUSTO_GLOBAL[[#Headers],[Materiais de Consumo]])-2,0)*($G179-$H179)</f>
        <v>0</v>
      </c>
      <c r="BK179" s="22">
        <f>VLOOKUP($A179,tabCustoUnit[],COLUMN(CUSTO_GLOBAL[[#Headers],[Máquinas e Equipamentos (depreciação)]])-2,0)*($G179-$H179)</f>
        <v>0</v>
      </c>
      <c r="BL179" s="22">
        <f>VLOOKUP($A179,tabCustoUnit[],COLUMN(CUSTO_GLOBAL[[#Headers],[Produtos de Limpeza e Materiais de Higiene Pessoal]])-2,0)*($G179-$H179)</f>
        <v>0</v>
      </c>
      <c r="BM179" s="22">
        <f>VLOOKUP($A179,tabCustoUnit[],COLUMN(CUSTO_GLOBAL[[#Headers],[Outros (especificar)]])-2,0)*($G179-$H179)</f>
        <v>0</v>
      </c>
      <c r="BN179" s="22">
        <f>VLOOKUP($A179,tabCustoUnit[],COLUMN(CUSTO_GLOBAL[[#Headers],[MÓDULO 5 – INSUMOS DIVERSOS]])-2,0)*($G179-$H179)</f>
        <v>44.111346448706357</v>
      </c>
      <c r="BO179" s="22" t="e">
        <f ca="1">VLOOKUP($A179,tabCustoUnit[],COLUMN(CUSTO_GLOBAL[[#Headers],[TOTAL MÓDULOS 1+2+3+4+5]])-2,0)*($G179-$H179)</f>
        <v>#NAME?</v>
      </c>
      <c r="BP179" s="22" t="e">
        <f ca="1">VLOOKUP($A179,tabCustoUnit[],COLUMN(CUSTO_GLOBAL[[#Headers],[Custos Indiretos]])-2,0)*($G179-$H179)</f>
        <v>#NAME?</v>
      </c>
      <c r="BQ179" s="22" t="e">
        <f ca="1">VLOOKUP($A179,tabCustoUnit[],COLUMN(CUSTO_GLOBAL[[#Headers],[Lucro]])-2,0)*($G179-$H179)</f>
        <v>#NAME?</v>
      </c>
      <c r="BR179" s="26">
        <f>VLOOKUP($A179,tabCustoUnit[],COLUMN(CUSTO_GLOBAL[[#Headers],[COFINS]])-2,0)</f>
        <v>8.6609686609686695E-2</v>
      </c>
      <c r="BS179" s="26">
        <f>VLOOKUP($A179,tabCustoUnit[],COLUMN(CUSTO_GLOBAL[[#Headers],[PIS]])-2,0)</f>
        <v>1.880341880341882E-2</v>
      </c>
      <c r="BT179" s="28">
        <f>VLOOKUP($A179,tabCustoUnit[],COLUMN(CUSTO_GLOBAL[[#Headers],[ISS]])-2,0)</f>
        <v>0.03</v>
      </c>
      <c r="BU179" s="26">
        <f>VLOOKUP($A179,tabCustoUnit[],COLUMN(CUSTO_GLOBAL[[#Headers],[ISS (Conversão Alíquota s/ fatura)]])-2,0)</f>
        <v>3.4188034188034219E-2</v>
      </c>
      <c r="BV179" s="26">
        <f>VLOOKUP($A179,tabCustoUnit[],COLUMN(CUSTO_GLOBAL[[#Headers],[Resumo de Alíquotas (PIS+CONFINS+ISS)]])-2,0)</f>
        <v>0.1225</v>
      </c>
      <c r="BW179" s="138">
        <f>VLOOKUP($A179,tabCustoUnit[],COLUMN(CUSTO_GLOBAL[[#Headers],[PIS + COFINS + ISS (Total Conversão  Alíquota s/ Fatura)]])-2,0)</f>
        <v>0.13960113960113973</v>
      </c>
      <c r="BX179" s="22" t="e">
        <f ca="1">VLOOKUP($A179,tabCustoUnit[],COLUMN(CUSTO_GLOBAL[[#Headers],[Valor dos Tributos (ISS, PIS, CONFINS)]])-2,0)*($G179-$H179)</f>
        <v>#NAME?</v>
      </c>
      <c r="BY179" s="22" t="e">
        <f ca="1">VLOOKUP($A179,tabCustoUnit[],COLUMN(CUSTO_GLOBAL[[#Headers],[MÓDULO 6 – CUSTOS INDIRETOS, TRIBUTOS E LUCRO]])-2,0)*($G179-$H179)</f>
        <v>#NAME?</v>
      </c>
      <c r="BZ179" s="22" t="e">
        <f ca="1">VLOOKUP($A179,tabCustoUnit[],COLUMN(CUSTO_GLOBAL[[#Headers],[CUSTO TOTAL MENSAL]])-2,0)*($G179-$H179)</f>
        <v>#NAME?</v>
      </c>
      <c r="CA179" s="22" t="e">
        <f ca="1">CUSTO_GLOBAL[[#This Row],[CUSTO TOTAL MENSAL]]*12</f>
        <v>#NAME?</v>
      </c>
      <c r="CB179" s="24">
        <f>VLOOKUP($A179,tabCustoUnit[],COLUMN(CUSTO_GLOBAL[[#Headers],[ANO DA CCT]])-2,0)</f>
        <v>45658</v>
      </c>
      <c r="CC179" s="25" t="str">
        <f>VLOOKUP($A179,tabCustoUnit[],COLUMN(CUSTO_GLOBAL[[#Headers],[Nº DE PEDIDO DA CCT]])-2,0)</f>
        <v>-</v>
      </c>
      <c r="CD179" s="25" t="str">
        <f>VLOOKUP($A179,tabCustoUnit[],COLUMN(CUSTO_GLOBAL[[#Headers],[TERMO ADITIVO ALTERAÇÃO DA CCT]])-2,0)</f>
        <v>-</v>
      </c>
    </row>
    <row r="180" spans="1:82">
      <c r="A180" s="20" t="s">
        <v>1623</v>
      </c>
      <c r="B180" t="s">
        <v>1149</v>
      </c>
      <c r="C180" t="s">
        <v>319</v>
      </c>
      <c r="D180" t="s">
        <v>965</v>
      </c>
      <c r="E180" s="20" t="s">
        <v>1090</v>
      </c>
      <c r="F180" s="20" t="s">
        <v>120</v>
      </c>
      <c r="G180" s="20">
        <v>1</v>
      </c>
      <c r="H180" s="20">
        <v>0</v>
      </c>
      <c r="I180" s="21">
        <f>VLOOKUP($A180,tabCustoUnit[],COLUMN(CUSTO_GLOBAL[[#Headers],[Salário Base]])-2,0)*($G180-$H180)</f>
        <v>2316.2296999999999</v>
      </c>
      <c r="J180" s="21">
        <f>VLOOKUP($A180,tabCustoUnit[],COLUMN(CUSTO_GLOBAL[[#Headers],[Adicional Periculosidade]])-2,0)*($G180-$H180)</f>
        <v>0</v>
      </c>
      <c r="K180" s="21">
        <f>VLOOKUP($A180,tabCustoUnit[],COLUMN(CUSTO_GLOBAL[[#Headers],[Adicional Insalubridade]])-2,0)*($G180-$H180)</f>
        <v>0</v>
      </c>
      <c r="L180" s="21">
        <f>VLOOKUP($A180,tabCustoUnit[],COLUMN(CUSTO_GLOBAL[[#Headers],[Adicional Noturno]])-2,0)*($G180-$H180)</f>
        <v>0</v>
      </c>
      <c r="M180" s="21">
        <f>VLOOKUP($A180,tabCustoUnit[],COLUMN(CUSTO_GLOBAL[[#Headers],[Adicional Motorista II (Gratificação)]])-2,0)*($G180-$H180)</f>
        <v>0</v>
      </c>
      <c r="N180" s="21">
        <f>VLOOKUP($A180,tabCustoUnit[],COLUMN(CUSTO_GLOBAL[[#Headers],[Adicional de Sobreaviso]])-2,0)*($G180-$H180)</f>
        <v>0</v>
      </c>
      <c r="O180" s="21">
        <f>VLOOKUP($A180,tabCustoUnit[],COLUMN(CUSTO_GLOBAL[[#Headers],[Horas Extras TI]])-2,0)*($G180-$H180)</f>
        <v>0</v>
      </c>
      <c r="P180" s="21">
        <f>VLOOKUP($A180,tabCustoUnit[],COLUMN(CUSTO_GLOBAL[[#Headers],[Adicional de Acúmulo de função]])-2,0)*($G180-$H180)</f>
        <v>0</v>
      </c>
      <c r="Q180" s="21">
        <f>VLOOKUP($A180,tabCustoUnit[],COLUMN(CUSTO_GLOBAL[[#Headers],[MODULO 1 - REMUNERAÇÃO ]])-2,0)*($G180-$H180)</f>
        <v>2316.2296999999999</v>
      </c>
      <c r="R180" s="21">
        <f>VLOOKUP($A180,tabCustoUnit[],COLUMN(CUSTO_GLOBAL[[#Headers],[INSS]])-2,0)*($G180-$H180)</f>
        <v>463.24594000000002</v>
      </c>
      <c r="S180" s="21">
        <f>VLOOKUP($A180,tabCustoUnit[],COLUMN(CUSTO_GLOBAL[[#Headers],[SESI OU SESC]])-2,0)*($G180-$H180)</f>
        <v>34.7434455</v>
      </c>
      <c r="T180" s="21">
        <f>VLOOKUP($A180,tabCustoUnit[],COLUMN(CUSTO_GLOBAL[[#Headers],[SENAI OU SENAC]])-2,0)*($G180-$H180)</f>
        <v>23.162296999999999</v>
      </c>
      <c r="U180" s="21">
        <f>VLOOKUP($A180,tabCustoUnit[],COLUMN(CUSTO_GLOBAL[[#Headers],[INCRA]])-2,0)*($G180-$H180)</f>
        <v>4.6324594000000001</v>
      </c>
      <c r="V180" s="21">
        <f>VLOOKUP($A180,tabCustoUnit[],COLUMN(CUSTO_GLOBAL[[#Headers],[Salário Educação]])-2,0)*($G180-$H180)</f>
        <v>57.905742500000002</v>
      </c>
      <c r="W180" s="21">
        <f>VLOOKUP($A180,tabCustoUnit[],COLUMN(CUSTO_GLOBAL[[#Headers],[FGTS]])-2,0)*($G180-$H180)</f>
        <v>185.29837599999999</v>
      </c>
      <c r="X180" s="21">
        <f>VLOOKUP($A180,tabCustoUnit[],COLUMN(CUSTO_GLOBAL[[#Headers],[RAT Ajustado]])-2,0)*($G180-$H180)</f>
        <v>92.649187999999995</v>
      </c>
      <c r="Y180" s="21">
        <f>VLOOKUP($A180,tabCustoUnit[],COLUMN(CUSTO_GLOBAL[[#Headers],[SEBRAE]])-2,0)*($G180-$H180)</f>
        <v>13.8973782</v>
      </c>
      <c r="Z180" s="21">
        <f>VLOOKUP($A180,tabCustoUnit[],COLUMN(CUSTO_GLOBAL[[#Headers],[Submódulo 2.1]])-2,0)*($G180-$H180)</f>
        <v>875.53482659999997</v>
      </c>
      <c r="AA180" s="21">
        <f>VLOOKUP($A180,tabCustoUnit[],COLUMN(CUSTO_GLOBAL[[#Headers],[13º salário (titular)]])-2,0)*($G180-$H180)</f>
        <v>193.01914166666666</v>
      </c>
      <c r="AB180" s="21">
        <f>VLOOKUP($A180,tabCustoUnit[],COLUMN(CUSTO_GLOBAL[[#Headers],[Férias e Adicional de Férias (titular)]])-2,0)*($G180-$H180)</f>
        <v>257.35885555555552</v>
      </c>
      <c r="AC180" s="21">
        <f>VLOOKUP($A180,tabCustoUnit[],COLUMN(CUSTO_GLOBAL[[#Headers],[Incidência do Submódulo 2.1 sobre 13º Salário, Férias e Adicional de Férias]])-2,0)*($G180-$H180)</f>
        <v>170.24288294999999</v>
      </c>
      <c r="AD180" s="21">
        <f>VLOOKUP($A180,tabCustoUnit[],COLUMN(CUSTO_GLOBAL[[#Headers],[Submódulo 2.2]])-2,0)*($G180-$H180)</f>
        <v>620.6208801722222</v>
      </c>
      <c r="AE180" s="22" t="e">
        <f ca="1">VLOOKUP($A180,tabCustoUnit[],COLUMN(CUSTO_GLOBAL[[#Headers],[Vale - Transporte (Descontada parcela do empregado)]])-2,0)*($G180-$H180)</f>
        <v>#NAME?</v>
      </c>
      <c r="AF180" s="22">
        <f>VLOOKUP($A180,tabCustoUnit[],COLUMN(CUSTO_GLOBAL[[#Headers],[Vale - Alimentação (Descontada parcela do empregado)]])-2,0)*($G180-$H180)</f>
        <v>582</v>
      </c>
      <c r="AG180" s="22">
        <f>VLOOKUP($A180,tabCustoUnit[],COLUMN(CUSTO_GLOBAL[[#Headers],[Cesta Básica]])-2,0)*($G180-$H180)</f>
        <v>0</v>
      </c>
      <c r="AH180" s="22">
        <f>VLOOKUP($A180,tabCustoUnit[],COLUMN(CUSTO_GLOBAL[[#Headers],[PAF]])-2,0)*($G180-$H180)</f>
        <v>0</v>
      </c>
      <c r="AI180" s="22">
        <f>VLOOKUP($A180,tabCustoUnit[],COLUMN(CUSTO_GLOBAL[[#Headers],[PQM]])-2,0)*($G180-$H180)</f>
        <v>15.07</v>
      </c>
      <c r="AJ180" s="22">
        <v>0</v>
      </c>
      <c r="AK180" s="22">
        <f>VLOOKUP($A180,tabCustoUnit[],COLUMN(CUSTO_GLOBAL[[#Headers],[Seguro de Vida]])-2,0)*($G180-$H180)</f>
        <v>3.36</v>
      </c>
      <c r="AL180" s="22">
        <f>VLOOKUP($A180,tabCustoUnit[],COLUMN(CUSTO_GLOBAL[[#Headers],[Despesas de Viagem]])-2,0)*($G180-$H180)</f>
        <v>0</v>
      </c>
      <c r="AM180" s="22" t="e">
        <f ca="1">VLOOKUP($A180,tabCustoUnit[],COLUMN(CUSTO_GLOBAL[[#Headers],[Submódulo 2.3]])-2,0)*($G180-$H180)</f>
        <v>#NAME?</v>
      </c>
      <c r="AN180" s="22" t="e">
        <f ca="1">VLOOKUP($A180,tabCustoUnit[],COLUMN(CUSTO_GLOBAL[[#Headers],[MÓDULO 2 - Total Encargos e Benefícios mensais e diários]])-2,0)*($G180-$H180)</f>
        <v>#NAME?</v>
      </c>
      <c r="AO180" s="22">
        <f>VLOOKUP($A180,tabCustoUnit[],COLUMN(CUSTO_GLOBAL[[#Headers],[Aviso Prévio Indenizado (API) e Reflexo do Aviso Prévio Indenizado]])-2,0)*($G180-$H180)</f>
        <v>16.240862917689043</v>
      </c>
      <c r="AP180" s="22">
        <f>VLOOKUP($A180,tabCustoUnit[],COLUMN(CUSTO_GLOBAL[[#Headers],[Incidência do FGTS sobre API e Reflexo do API]])-2,0)*($G180-$H180)</f>
        <v>1.2992690334151236</v>
      </c>
      <c r="AQ180" s="22">
        <f>VLOOKUP($A180,tabCustoUnit[],COLUMN(CUSTO_GLOBAL[[#Headers],[Multa Rescisória do FGTS sobre o Aviso Prévio Indenizado]])-2,0)*($G180-$H180)</f>
        <v>0.51970761336604943</v>
      </c>
      <c r="AR180" s="22">
        <f>VLOOKUP($A180,tabCustoUnit[],COLUMN(CUSTO_GLOBAL[[#Headers],[Aviso Prévio Trabalhado - APT]])-2,0)*($G180-$H180)</f>
        <v>8.1068039500000015</v>
      </c>
      <c r="AS180" s="22">
        <f>VLOOKUP($A180,tabCustoUnit[],COLUMN(CUSTO_GLOBAL[[#Headers],[Incidência dos encargos do submódulo 2.1 sobre Aviso Prévio Trabalhado]])-2,0)*($G180-$H180)</f>
        <v>3.0643718931000006</v>
      </c>
      <c r="AT180" s="22">
        <f>VLOOKUP($A180,tabCustoUnit[],COLUMN(CUSTO_GLOBAL[[#Headers],[Multa Rescisória do FGTS]])-2,0)*($G180-$H180)</f>
        <v>70.825157048888869</v>
      </c>
      <c r="AU180" s="22">
        <f>VLOOKUP($A180,tabCustoUnit[],COLUMN(CUSTO_GLOBAL[[#Headers],[Indenização Adicional (Art. 9º da Lei nº 7.238/84)]])-2,0)*($G180-$H180)</f>
        <v>1.9301914166666667</v>
      </c>
      <c r="AV180" s="22">
        <f>VLOOKUP($A180,tabCustoUnit[],COLUMN(CUSTO_GLOBAL[[#Headers],[MÓDULO 3 – PROVISÃO PARA RESCISÃO]])-2,0)*($G180-$H180)</f>
        <v>101.98636387312575</v>
      </c>
      <c r="AW180" s="22">
        <f>VLOOKUP($A180,tabCustoUnit[],COLUMN(CUSTO_GLOBAL[[#Headers],[Ausência por Doença]])-2,0)*($G180-$H180)</f>
        <v>19.559273022222218</v>
      </c>
      <c r="AX180" s="22">
        <f>VLOOKUP($A180,tabCustoUnit[],COLUMN(CUSTO_GLOBAL[[#Headers],[Ausências Legais]])-2,0)*($G180-$H180)</f>
        <v>4.696799113888888</v>
      </c>
      <c r="AY180" s="22">
        <f>VLOOKUP($A180,tabCustoUnit[],COLUMN(CUSTO_GLOBAL[[#Headers],[Licença Paternidade]])-2,0)*($G180-$H180)</f>
        <v>0.39568924041666664</v>
      </c>
      <c r="AZ180" s="22">
        <f>VLOOKUP($A180,tabCustoUnit[],COLUMN(CUSTO_GLOBAL[[#Headers],[Ausência por Acidente de Trabalho]])-2,0)*($G180-$H180)</f>
        <v>0.48254785416666668</v>
      </c>
      <c r="BA180" s="22">
        <f>VLOOKUP($A180,tabCustoUnit[],COLUMN(CUSTO_GLOBAL[[#Headers],[Férias, Adicional de Férias e 13º  com empregada em gozo de Licença Maternidade]])-2,0)*($G180-$H180)</f>
        <v>3.0025199814814814</v>
      </c>
      <c r="BB180" s="22">
        <f>VLOOKUP($A180,tabCustoUnit[],COLUMN(CUSTO_GLOBAL[[#Headers],[Incidência do Submódulo 2.1 sobre Ausências Legais]])-2,0)*($G180-$H180)</f>
        <v>10.635721442202501</v>
      </c>
      <c r="BC180" s="22">
        <f>VLOOKUP($A180,tabCustoUnit[],COLUMN(CUSTO_GLOBAL[[#Headers],[Submódulo 4.1]])-2,0)*($G180-$H180)</f>
        <v>38.772550654378421</v>
      </c>
      <c r="BD180" s="22">
        <f>VLOOKUP($A180,tabCustoUnit[],COLUMN(CUSTO_GLOBAL[[#Headers],[Intervalo para Repouso ou Alimentação]])-2,0)*($G180-$H180)</f>
        <v>0</v>
      </c>
      <c r="BE180" s="22">
        <f>VLOOKUP($A180,tabCustoUnit[],COLUMN(CUSTO_GLOBAL[[#Headers],[Submódulo 4.2]])-2,0)*($G180-$H180)</f>
        <v>0</v>
      </c>
      <c r="BF180" s="22">
        <f>VLOOKUP($A180,tabCustoUnit[],COLUMN(CUSTO_GLOBAL[[#Headers],[Suspensão Temporária do Contrato de Trabalho]])-2,0)*($G180-$H180)</f>
        <v>0</v>
      </c>
      <c r="BG180" s="22">
        <f>VLOOKUP($A180,tabCustoUnit[],COLUMN(CUSTO_GLOBAL[[#Headers],[Submódulo 4.3]])-2,0)*($G180-$H180)</f>
        <v>0</v>
      </c>
      <c r="BH180" s="22">
        <f>VLOOKUP($A180,tabCustoUnit[],COLUMN(CUSTO_GLOBAL[[#Headers],[MÓDULO 4 – CUSTO DE REPOSIÇÃO DO PROFISSIONAL AUSENTE]])-2,0)*($G180-$H180)</f>
        <v>38.772550654378421</v>
      </c>
      <c r="BI180" s="22">
        <f>VLOOKUP($A180,tabCustoUnit[],COLUMN(CUSTO_GLOBAL[[#Headers],[Uniformes e EPIs]])-2,0)*($G180-$H180)</f>
        <v>56.642978962543395</v>
      </c>
      <c r="BJ180" s="22">
        <f>VLOOKUP($A180,tabCustoUnit[],COLUMN(CUSTO_GLOBAL[[#Headers],[Materiais de Consumo]])-2,0)*($G180-$H180)</f>
        <v>0</v>
      </c>
      <c r="BK180" s="22">
        <f>VLOOKUP($A180,tabCustoUnit[],COLUMN(CUSTO_GLOBAL[[#Headers],[Máquinas e Equipamentos (depreciação)]])-2,0)*($G180-$H180)</f>
        <v>0</v>
      </c>
      <c r="BL180" s="22">
        <f>VLOOKUP($A180,tabCustoUnit[],COLUMN(CUSTO_GLOBAL[[#Headers],[Produtos de Limpeza e Materiais de Higiene Pessoal]])-2,0)*($G180-$H180)</f>
        <v>0</v>
      </c>
      <c r="BM180" s="22">
        <f>VLOOKUP($A180,tabCustoUnit[],COLUMN(CUSTO_GLOBAL[[#Headers],[Outros (especificar)]])-2,0)*($G180-$H180)</f>
        <v>0</v>
      </c>
      <c r="BN180" s="22">
        <f>VLOOKUP($A180,tabCustoUnit[],COLUMN(CUSTO_GLOBAL[[#Headers],[MÓDULO 5 – INSUMOS DIVERSOS]])-2,0)*($G180-$H180)</f>
        <v>56.642978962543395</v>
      </c>
      <c r="BO180" s="22" t="e">
        <f ca="1">VLOOKUP($A180,tabCustoUnit[],COLUMN(CUSTO_GLOBAL[[#Headers],[TOTAL MÓDULOS 1+2+3+4+5]])-2,0)*($G180-$H180)</f>
        <v>#NAME?</v>
      </c>
      <c r="BP180" s="22" t="e">
        <f ca="1">VLOOKUP($A180,tabCustoUnit[],COLUMN(CUSTO_GLOBAL[[#Headers],[Custos Indiretos]])-2,0)*($G180-$H180)</f>
        <v>#NAME?</v>
      </c>
      <c r="BQ180" s="22" t="e">
        <f ca="1">VLOOKUP($A180,tabCustoUnit[],COLUMN(CUSTO_GLOBAL[[#Headers],[Lucro]])-2,0)*($G180-$H180)</f>
        <v>#NAME?</v>
      </c>
      <c r="BR180" s="26">
        <f>VLOOKUP($A180,tabCustoUnit[],COLUMN(CUSTO_GLOBAL[[#Headers],[COFINS]])-2,0)</f>
        <v>8.6609686609686695E-2</v>
      </c>
      <c r="BS180" s="26">
        <f>VLOOKUP($A180,tabCustoUnit[],COLUMN(CUSTO_GLOBAL[[#Headers],[PIS]])-2,0)</f>
        <v>1.880341880341882E-2</v>
      </c>
      <c r="BT180" s="28">
        <f>VLOOKUP($A180,tabCustoUnit[],COLUMN(CUSTO_GLOBAL[[#Headers],[ISS]])-2,0)</f>
        <v>0.03</v>
      </c>
      <c r="BU180" s="26">
        <f>VLOOKUP($A180,tabCustoUnit[],COLUMN(CUSTO_GLOBAL[[#Headers],[ISS (Conversão Alíquota s/ fatura)]])-2,0)</f>
        <v>3.4188034188034219E-2</v>
      </c>
      <c r="BV180" s="26">
        <f>VLOOKUP($A180,tabCustoUnit[],COLUMN(CUSTO_GLOBAL[[#Headers],[Resumo de Alíquotas (PIS+CONFINS+ISS)]])-2,0)</f>
        <v>0.1225</v>
      </c>
      <c r="BW180" s="138">
        <f>VLOOKUP($A180,tabCustoUnit[],COLUMN(CUSTO_GLOBAL[[#Headers],[PIS + COFINS + ISS (Total Conversão  Alíquota s/ Fatura)]])-2,0)</f>
        <v>0.13960113960113973</v>
      </c>
      <c r="BX180" s="22" t="e">
        <f ca="1">VLOOKUP($A180,tabCustoUnit[],COLUMN(CUSTO_GLOBAL[[#Headers],[Valor dos Tributos (ISS, PIS, CONFINS)]])-2,0)*($G180-$H180)</f>
        <v>#NAME?</v>
      </c>
      <c r="BY180" s="22" t="e">
        <f ca="1">VLOOKUP($A180,tabCustoUnit[],COLUMN(CUSTO_GLOBAL[[#Headers],[MÓDULO 6 – CUSTOS INDIRETOS, TRIBUTOS E LUCRO]])-2,0)*($G180-$H180)</f>
        <v>#NAME?</v>
      </c>
      <c r="BZ180" s="22" t="e">
        <f ca="1">VLOOKUP($A180,tabCustoUnit[],COLUMN(CUSTO_GLOBAL[[#Headers],[CUSTO TOTAL MENSAL]])-2,0)*($G180-$H180)</f>
        <v>#NAME?</v>
      </c>
      <c r="CA180" s="22" t="e">
        <f ca="1">CUSTO_GLOBAL[[#This Row],[CUSTO TOTAL MENSAL]]*12</f>
        <v>#NAME?</v>
      </c>
      <c r="CB180" s="24">
        <f>VLOOKUP($A180,tabCustoUnit[],COLUMN(CUSTO_GLOBAL[[#Headers],[ANO DA CCT]])-2,0)</f>
        <v>45658</v>
      </c>
      <c r="CC180" s="25" t="str">
        <f>VLOOKUP($A180,tabCustoUnit[],COLUMN(CUSTO_GLOBAL[[#Headers],[Nº DE PEDIDO DA CCT]])-2,0)</f>
        <v>-</v>
      </c>
      <c r="CD180" s="25" t="str">
        <f>VLOOKUP($A180,tabCustoUnit[],COLUMN(CUSTO_GLOBAL[[#Headers],[TERMO ADITIVO ALTERAÇÃO DA CCT]])-2,0)</f>
        <v>-</v>
      </c>
    </row>
    <row r="181" spans="1:82">
      <c r="A181" s="20" t="s">
        <v>1483</v>
      </c>
      <c r="B181" t="s">
        <v>1150</v>
      </c>
      <c r="C181" t="s">
        <v>200</v>
      </c>
      <c r="D181" t="s">
        <v>961</v>
      </c>
      <c r="E181" s="20" t="s">
        <v>1090</v>
      </c>
      <c r="F181" s="20" t="s">
        <v>120</v>
      </c>
      <c r="G181" s="20">
        <v>1</v>
      </c>
      <c r="H181" s="20">
        <v>0</v>
      </c>
      <c r="I181" s="21">
        <f>VLOOKUP($A181,tabCustoUnit[],COLUMN(CUSTO_GLOBAL[[#Headers],[Salário Base]])-2,0)*($G181-$H181)</f>
        <v>1596.2737999999999</v>
      </c>
      <c r="J181" s="21">
        <f>VLOOKUP($A181,tabCustoUnit[],COLUMN(CUSTO_GLOBAL[[#Headers],[Adicional Periculosidade]])-2,0)*($G181-$H181)</f>
        <v>0</v>
      </c>
      <c r="K181" s="21">
        <f>VLOOKUP($A181,tabCustoUnit[],COLUMN(CUSTO_GLOBAL[[#Headers],[Adicional Insalubridade]])-2,0)*($G181-$H181)</f>
        <v>0</v>
      </c>
      <c r="L181" s="21">
        <f>VLOOKUP($A181,tabCustoUnit[],COLUMN(CUSTO_GLOBAL[[#Headers],[Adicional Noturno]])-2,0)*($G181-$H181)</f>
        <v>0</v>
      </c>
      <c r="M181" s="21">
        <f>VLOOKUP($A181,tabCustoUnit[],COLUMN(CUSTO_GLOBAL[[#Headers],[Adicional Motorista II (Gratificação)]])-2,0)*($G181-$H181)</f>
        <v>0</v>
      </c>
      <c r="N181" s="21">
        <f>VLOOKUP($A181,tabCustoUnit[],COLUMN(CUSTO_GLOBAL[[#Headers],[Adicional de Sobreaviso]])-2,0)*($G181-$H181)</f>
        <v>0</v>
      </c>
      <c r="O181" s="21">
        <f>VLOOKUP($A181,tabCustoUnit[],COLUMN(CUSTO_GLOBAL[[#Headers],[Horas Extras TI]])-2,0)*($G181-$H181)</f>
        <v>0</v>
      </c>
      <c r="P181" s="21">
        <f>VLOOKUP($A181,tabCustoUnit[],COLUMN(CUSTO_GLOBAL[[#Headers],[Adicional de Acúmulo de função]])-2,0)*($G181-$H181)</f>
        <v>0</v>
      </c>
      <c r="Q181" s="21">
        <f>VLOOKUP($A181,tabCustoUnit[],COLUMN(CUSTO_GLOBAL[[#Headers],[MODULO 1 - REMUNERAÇÃO ]])-2,0)*($G181-$H181)</f>
        <v>1596.2737999999999</v>
      </c>
      <c r="R181" s="21">
        <f>VLOOKUP($A181,tabCustoUnit[],COLUMN(CUSTO_GLOBAL[[#Headers],[INSS]])-2,0)*($G181-$H181)</f>
        <v>319.25476000000003</v>
      </c>
      <c r="S181" s="21">
        <f>VLOOKUP($A181,tabCustoUnit[],COLUMN(CUSTO_GLOBAL[[#Headers],[SESI OU SESC]])-2,0)*($G181-$H181)</f>
        <v>23.944106999999999</v>
      </c>
      <c r="T181" s="21">
        <f>VLOOKUP($A181,tabCustoUnit[],COLUMN(CUSTO_GLOBAL[[#Headers],[SENAI OU SENAC]])-2,0)*($G181-$H181)</f>
        <v>15.962738</v>
      </c>
      <c r="U181" s="21">
        <f>VLOOKUP($A181,tabCustoUnit[],COLUMN(CUSTO_GLOBAL[[#Headers],[INCRA]])-2,0)*($G181-$H181)</f>
        <v>3.1925476000000002</v>
      </c>
      <c r="V181" s="21">
        <f>VLOOKUP($A181,tabCustoUnit[],COLUMN(CUSTO_GLOBAL[[#Headers],[Salário Educação]])-2,0)*($G181-$H181)</f>
        <v>39.906845000000004</v>
      </c>
      <c r="W181" s="21">
        <f>VLOOKUP($A181,tabCustoUnit[],COLUMN(CUSTO_GLOBAL[[#Headers],[FGTS]])-2,0)*($G181-$H181)</f>
        <v>127.701904</v>
      </c>
      <c r="X181" s="21">
        <f>VLOOKUP($A181,tabCustoUnit[],COLUMN(CUSTO_GLOBAL[[#Headers],[RAT Ajustado]])-2,0)*($G181-$H181)</f>
        <v>63.850951999999999</v>
      </c>
      <c r="Y181" s="21">
        <f>VLOOKUP($A181,tabCustoUnit[],COLUMN(CUSTO_GLOBAL[[#Headers],[SEBRAE]])-2,0)*($G181-$H181)</f>
        <v>9.5776427999999996</v>
      </c>
      <c r="Z181" s="21">
        <f>VLOOKUP($A181,tabCustoUnit[],COLUMN(CUSTO_GLOBAL[[#Headers],[Submódulo 2.1]])-2,0)*($G181-$H181)</f>
        <v>603.39149640000005</v>
      </c>
      <c r="AA181" s="21">
        <f>VLOOKUP($A181,tabCustoUnit[],COLUMN(CUSTO_GLOBAL[[#Headers],[13º salário (titular)]])-2,0)*($G181-$H181)</f>
        <v>133.02281666666664</v>
      </c>
      <c r="AB181" s="21">
        <f>VLOOKUP($A181,tabCustoUnit[],COLUMN(CUSTO_GLOBAL[[#Headers],[Férias e Adicional de Férias (titular)]])-2,0)*($G181-$H181)</f>
        <v>177.36375555555554</v>
      </c>
      <c r="AC181" s="21">
        <f>VLOOKUP($A181,tabCustoUnit[],COLUMN(CUSTO_GLOBAL[[#Headers],[Incidência do Submódulo 2.1 sobre 13º Salário, Férias e Adicional de Férias]])-2,0)*($G181-$H181)</f>
        <v>117.3261243</v>
      </c>
      <c r="AD181" s="21">
        <f>VLOOKUP($A181,tabCustoUnit[],COLUMN(CUSTO_GLOBAL[[#Headers],[Submódulo 2.2]])-2,0)*($G181-$H181)</f>
        <v>427.71269652222219</v>
      </c>
      <c r="AE181" s="22" t="e">
        <f ca="1">VLOOKUP($A181,tabCustoUnit[],COLUMN(CUSTO_GLOBAL[[#Headers],[Vale - Transporte (Descontada parcela do empregado)]])-2,0)*($G181-$H181)</f>
        <v>#NAME?</v>
      </c>
      <c r="AF181" s="22">
        <f>VLOOKUP($A181,tabCustoUnit[],COLUMN(CUSTO_GLOBAL[[#Headers],[Vale - Alimentação (Descontada parcela do empregado)]])-2,0)*($G181-$H181)</f>
        <v>582</v>
      </c>
      <c r="AG181" s="22">
        <f>VLOOKUP($A181,tabCustoUnit[],COLUMN(CUSTO_GLOBAL[[#Headers],[Cesta Básica]])-2,0)*($G181-$H181)</f>
        <v>0</v>
      </c>
      <c r="AH181" s="22">
        <f>VLOOKUP($A181,tabCustoUnit[],COLUMN(CUSTO_GLOBAL[[#Headers],[PAF]])-2,0)*($G181-$H181)</f>
        <v>0</v>
      </c>
      <c r="AI181" s="22">
        <f>VLOOKUP($A181,tabCustoUnit[],COLUMN(CUSTO_GLOBAL[[#Headers],[PQM]])-2,0)*($G181-$H181)</f>
        <v>0</v>
      </c>
      <c r="AJ181" s="22">
        <v>0</v>
      </c>
      <c r="AK181" s="22">
        <f>VLOOKUP($A181,tabCustoUnit[],COLUMN(CUSTO_GLOBAL[[#Headers],[Seguro de Vida]])-2,0)*($G181-$H181)</f>
        <v>3.36</v>
      </c>
      <c r="AL181" s="22">
        <f>VLOOKUP($A181,tabCustoUnit[],COLUMN(CUSTO_GLOBAL[[#Headers],[Despesas de Viagem]])-2,0)*($G181-$H181)</f>
        <v>0</v>
      </c>
      <c r="AM181" s="22" t="e">
        <f ca="1">VLOOKUP($A181,tabCustoUnit[],COLUMN(CUSTO_GLOBAL[[#Headers],[Submódulo 2.3]])-2,0)*($G181-$H181)</f>
        <v>#NAME?</v>
      </c>
      <c r="AN181" s="22" t="e">
        <f ca="1">VLOOKUP($A181,tabCustoUnit[],COLUMN(CUSTO_GLOBAL[[#Headers],[MÓDULO 2 - Total Encargos e Benefícios mensais e diários]])-2,0)*($G181-$H181)</f>
        <v>#NAME?</v>
      </c>
      <c r="AO181" s="22">
        <f>VLOOKUP($A181,tabCustoUnit[],COLUMN(CUSTO_GLOBAL[[#Headers],[Aviso Prévio Indenizado (API) e Reflexo do Aviso Prévio Indenizado]])-2,0)*($G181-$H181)</f>
        <v>11.192699914390431</v>
      </c>
      <c r="AP181" s="22">
        <f>VLOOKUP($A181,tabCustoUnit[],COLUMN(CUSTO_GLOBAL[[#Headers],[Incidência do FGTS sobre API e Reflexo do API]])-2,0)*($G181-$H181)</f>
        <v>0.89541599315123466</v>
      </c>
      <c r="AQ181" s="22">
        <f>VLOOKUP($A181,tabCustoUnit[],COLUMN(CUSTO_GLOBAL[[#Headers],[Multa Rescisória do FGTS sobre o Aviso Prévio Indenizado]])-2,0)*($G181-$H181)</f>
        <v>0.35816639726049387</v>
      </c>
      <c r="AR181" s="22">
        <f>VLOOKUP($A181,tabCustoUnit[],COLUMN(CUSTO_GLOBAL[[#Headers],[Aviso Prévio Trabalhado - APT]])-2,0)*($G181-$H181)</f>
        <v>5.5869583000000009</v>
      </c>
      <c r="AS181" s="22">
        <f>VLOOKUP($A181,tabCustoUnit[],COLUMN(CUSTO_GLOBAL[[#Headers],[Incidência dos encargos do submódulo 2.1 sobre Aviso Prévio Trabalhado]])-2,0)*($G181-$H181)</f>
        <v>2.1118702374000007</v>
      </c>
      <c r="AT181" s="22">
        <f>VLOOKUP($A181,tabCustoUnit[],COLUMN(CUSTO_GLOBAL[[#Headers],[Multa Rescisória do FGTS]])-2,0)*($G181-$H181)</f>
        <v>48.810505528888882</v>
      </c>
      <c r="AU181" s="22">
        <f>VLOOKUP($A181,tabCustoUnit[],COLUMN(CUSTO_GLOBAL[[#Headers],[Indenização Adicional (Art. 9º da Lei nº 7.238/84)]])-2,0)*($G181-$H181)</f>
        <v>1.3302281666666667</v>
      </c>
      <c r="AV181" s="22">
        <f>VLOOKUP($A181,tabCustoUnit[],COLUMN(CUSTO_GLOBAL[[#Headers],[MÓDULO 3 – PROVISÃO PARA RESCISÃO]])-2,0)*($G181-$H181)</f>
        <v>70.285844537757711</v>
      </c>
      <c r="AW181" s="22">
        <f>VLOOKUP($A181,tabCustoUnit[],COLUMN(CUSTO_GLOBAL[[#Headers],[Ausência por Doença]])-2,0)*($G181-$H181)</f>
        <v>13.479645422222221</v>
      </c>
      <c r="AX181" s="22">
        <f>VLOOKUP($A181,tabCustoUnit[],COLUMN(CUSTO_GLOBAL[[#Headers],[Ausências Legais]])-2,0)*($G181-$H181)</f>
        <v>3.2368885388888886</v>
      </c>
      <c r="AY181" s="22">
        <f>VLOOKUP($A181,tabCustoUnit[],COLUMN(CUSTO_GLOBAL[[#Headers],[Licença Paternidade]])-2,0)*($G181-$H181)</f>
        <v>0.27269677416666666</v>
      </c>
      <c r="AZ181" s="22">
        <f>VLOOKUP($A181,tabCustoUnit[],COLUMN(CUSTO_GLOBAL[[#Headers],[Ausência por Acidente de Trabalho]])-2,0)*($G181-$H181)</f>
        <v>0.33255704166666666</v>
      </c>
      <c r="BA181" s="22">
        <f>VLOOKUP($A181,tabCustoUnit[],COLUMN(CUSTO_GLOBAL[[#Headers],[Férias, Adicional de Férias e 13º  com empregada em gozo de Licença Maternidade]])-2,0)*($G181-$H181)</f>
        <v>2.0692438148148145</v>
      </c>
      <c r="BB181" s="22">
        <f>VLOOKUP($A181,tabCustoUnit[],COLUMN(CUSTO_GLOBAL[[#Headers],[Incidência do Submódulo 2.1 sobre Ausências Legais]])-2,0)*($G181-$H181)</f>
        <v>7.3298099416850011</v>
      </c>
      <c r="BC181" s="22">
        <f>VLOOKUP($A181,tabCustoUnit[],COLUMN(CUSTO_GLOBAL[[#Headers],[Submódulo 4.1]])-2,0)*($G181-$H181)</f>
        <v>26.720841533444265</v>
      </c>
      <c r="BD181" s="22">
        <f>VLOOKUP($A181,tabCustoUnit[],COLUMN(CUSTO_GLOBAL[[#Headers],[Intervalo para Repouso ou Alimentação]])-2,0)*($G181-$H181)</f>
        <v>0</v>
      </c>
      <c r="BE181" s="22">
        <f>VLOOKUP($A181,tabCustoUnit[],COLUMN(CUSTO_GLOBAL[[#Headers],[Submódulo 4.2]])-2,0)*($G181-$H181)</f>
        <v>0</v>
      </c>
      <c r="BF181" s="22">
        <f>VLOOKUP($A181,tabCustoUnit[],COLUMN(CUSTO_GLOBAL[[#Headers],[Suspensão Temporária do Contrato de Trabalho]])-2,0)*($G181-$H181)</f>
        <v>0</v>
      </c>
      <c r="BG181" s="22">
        <f>VLOOKUP($A181,tabCustoUnit[],COLUMN(CUSTO_GLOBAL[[#Headers],[Submódulo 4.3]])-2,0)*($G181-$H181)</f>
        <v>0</v>
      </c>
      <c r="BH181" s="22">
        <f>VLOOKUP($A181,tabCustoUnit[],COLUMN(CUSTO_GLOBAL[[#Headers],[MÓDULO 4 – CUSTO DE REPOSIÇÃO DO PROFISSIONAL AUSENTE]])-2,0)*($G181-$H181)</f>
        <v>26.720841533444265</v>
      </c>
      <c r="BI181" s="22">
        <f>VLOOKUP($A181,tabCustoUnit[],COLUMN(CUSTO_GLOBAL[[#Headers],[Uniformes e EPIs]])-2,0)*($G181-$H181)</f>
        <v>56.141713661989918</v>
      </c>
      <c r="BJ181" s="22">
        <f>VLOOKUP($A181,tabCustoUnit[],COLUMN(CUSTO_GLOBAL[[#Headers],[Materiais de Consumo]])-2,0)*($G181-$H181)</f>
        <v>0</v>
      </c>
      <c r="BK181" s="22">
        <f>VLOOKUP($A181,tabCustoUnit[],COLUMN(CUSTO_GLOBAL[[#Headers],[Máquinas e Equipamentos (depreciação)]])-2,0)*($G181-$H181)</f>
        <v>0</v>
      </c>
      <c r="BL181" s="22">
        <f>VLOOKUP($A181,tabCustoUnit[],COLUMN(CUSTO_GLOBAL[[#Headers],[Produtos de Limpeza e Materiais de Higiene Pessoal]])-2,0)*($G181-$H181)</f>
        <v>0</v>
      </c>
      <c r="BM181" s="22">
        <f>VLOOKUP($A181,tabCustoUnit[],COLUMN(CUSTO_GLOBAL[[#Headers],[Outros (especificar)]])-2,0)*($G181-$H181)</f>
        <v>0</v>
      </c>
      <c r="BN181" s="22">
        <f>VLOOKUP($A181,tabCustoUnit[],COLUMN(CUSTO_GLOBAL[[#Headers],[MÓDULO 5 – INSUMOS DIVERSOS]])-2,0)*($G181-$H181)</f>
        <v>56.141713661989918</v>
      </c>
      <c r="BO181" s="22" t="e">
        <f ca="1">VLOOKUP($A181,tabCustoUnit[],COLUMN(CUSTO_GLOBAL[[#Headers],[TOTAL MÓDULOS 1+2+3+4+5]])-2,0)*($G181-$H181)</f>
        <v>#NAME?</v>
      </c>
      <c r="BP181" s="22" t="e">
        <f ca="1">VLOOKUP($A181,tabCustoUnit[],COLUMN(CUSTO_GLOBAL[[#Headers],[Custos Indiretos]])-2,0)*($G181-$H181)</f>
        <v>#NAME?</v>
      </c>
      <c r="BQ181" s="22" t="e">
        <f ca="1">VLOOKUP($A181,tabCustoUnit[],COLUMN(CUSTO_GLOBAL[[#Headers],[Lucro]])-2,0)*($G181-$H181)</f>
        <v>#NAME?</v>
      </c>
      <c r="BR181" s="26">
        <f>VLOOKUP($A181,tabCustoUnit[],COLUMN(CUSTO_GLOBAL[[#Headers],[COFINS]])-2,0)</f>
        <v>8.6609686609686695E-2</v>
      </c>
      <c r="BS181" s="26">
        <f>VLOOKUP($A181,tabCustoUnit[],COLUMN(CUSTO_GLOBAL[[#Headers],[PIS]])-2,0)</f>
        <v>1.880341880341882E-2</v>
      </c>
      <c r="BT181" s="28">
        <f>VLOOKUP($A181,tabCustoUnit[],COLUMN(CUSTO_GLOBAL[[#Headers],[ISS]])-2,0)</f>
        <v>0.03</v>
      </c>
      <c r="BU181" s="26">
        <f>VLOOKUP($A181,tabCustoUnit[],COLUMN(CUSTO_GLOBAL[[#Headers],[ISS (Conversão Alíquota s/ fatura)]])-2,0)</f>
        <v>3.4188034188034219E-2</v>
      </c>
      <c r="BV181" s="26">
        <f>VLOOKUP($A181,tabCustoUnit[],COLUMN(CUSTO_GLOBAL[[#Headers],[Resumo de Alíquotas (PIS+CONFINS+ISS)]])-2,0)</f>
        <v>0.1225</v>
      </c>
      <c r="BW181" s="138">
        <f>VLOOKUP($A181,tabCustoUnit[],COLUMN(CUSTO_GLOBAL[[#Headers],[PIS + COFINS + ISS (Total Conversão  Alíquota s/ Fatura)]])-2,0)</f>
        <v>0.13960113960113973</v>
      </c>
      <c r="BX181" s="22" t="e">
        <f ca="1">VLOOKUP($A181,tabCustoUnit[],COLUMN(CUSTO_GLOBAL[[#Headers],[Valor dos Tributos (ISS, PIS, CONFINS)]])-2,0)*($G181-$H181)</f>
        <v>#NAME?</v>
      </c>
      <c r="BY181" s="22" t="e">
        <f ca="1">VLOOKUP($A181,tabCustoUnit[],COLUMN(CUSTO_GLOBAL[[#Headers],[MÓDULO 6 – CUSTOS INDIRETOS, TRIBUTOS E LUCRO]])-2,0)*($G181-$H181)</f>
        <v>#NAME?</v>
      </c>
      <c r="BZ181" s="22" t="e">
        <f ca="1">VLOOKUP($A181,tabCustoUnit[],COLUMN(CUSTO_GLOBAL[[#Headers],[CUSTO TOTAL MENSAL]])-2,0)*($G181-$H181)</f>
        <v>#NAME?</v>
      </c>
      <c r="CA181" s="22" t="e">
        <f ca="1">CUSTO_GLOBAL[[#This Row],[CUSTO TOTAL MENSAL]]*12</f>
        <v>#NAME?</v>
      </c>
      <c r="CB181" s="24">
        <f>VLOOKUP($A181,tabCustoUnit[],COLUMN(CUSTO_GLOBAL[[#Headers],[ANO DA CCT]])-2,0)</f>
        <v>45658</v>
      </c>
      <c r="CC181" s="25" t="str">
        <f>VLOOKUP($A181,tabCustoUnit[],COLUMN(CUSTO_GLOBAL[[#Headers],[Nº DE PEDIDO DA CCT]])-2,0)</f>
        <v>-</v>
      </c>
      <c r="CD181" s="25" t="str">
        <f>VLOOKUP($A181,tabCustoUnit[],COLUMN(CUSTO_GLOBAL[[#Headers],[TERMO ADITIVO ALTERAÇÃO DA CCT]])-2,0)</f>
        <v>-</v>
      </c>
    </row>
    <row r="182" spans="1:82">
      <c r="A182" s="20" t="s">
        <v>1484</v>
      </c>
      <c r="B182" t="s">
        <v>1151</v>
      </c>
      <c r="C182" t="s">
        <v>314</v>
      </c>
      <c r="D182" t="s">
        <v>918</v>
      </c>
      <c r="E182" s="20" t="s">
        <v>1090</v>
      </c>
      <c r="F182" s="20" t="s">
        <v>120</v>
      </c>
      <c r="G182" s="20">
        <v>1</v>
      </c>
      <c r="H182" s="20">
        <v>0</v>
      </c>
      <c r="I182" s="21">
        <f>VLOOKUP($A182,tabCustoUnit[],COLUMN(CUSTO_GLOBAL[[#Headers],[Salário Base]])-2,0)*($G182-$H182)</f>
        <v>1963.4110000000001</v>
      </c>
      <c r="J182" s="21">
        <f>VLOOKUP($A182,tabCustoUnit[],COLUMN(CUSTO_GLOBAL[[#Headers],[Adicional Periculosidade]])-2,0)*($G182-$H182)</f>
        <v>0</v>
      </c>
      <c r="K182" s="21">
        <f>VLOOKUP($A182,tabCustoUnit[],COLUMN(CUSTO_GLOBAL[[#Headers],[Adicional Insalubridade]])-2,0)*($G182-$H182)</f>
        <v>0</v>
      </c>
      <c r="L182" s="21">
        <f>VLOOKUP($A182,tabCustoUnit[],COLUMN(CUSTO_GLOBAL[[#Headers],[Adicional Noturno]])-2,0)*($G182-$H182)</f>
        <v>0</v>
      </c>
      <c r="M182" s="21">
        <f>VLOOKUP($A182,tabCustoUnit[],COLUMN(CUSTO_GLOBAL[[#Headers],[Adicional Motorista II (Gratificação)]])-2,0)*($G182-$H182)</f>
        <v>0</v>
      </c>
      <c r="N182" s="21">
        <f>VLOOKUP($A182,tabCustoUnit[],COLUMN(CUSTO_GLOBAL[[#Headers],[Adicional de Sobreaviso]])-2,0)*($G182-$H182)</f>
        <v>0</v>
      </c>
      <c r="O182" s="21">
        <f>VLOOKUP($A182,tabCustoUnit[],COLUMN(CUSTO_GLOBAL[[#Headers],[Horas Extras TI]])-2,0)*($G182-$H182)</f>
        <v>0</v>
      </c>
      <c r="P182" s="21">
        <f>VLOOKUP($A182,tabCustoUnit[],COLUMN(CUSTO_GLOBAL[[#Headers],[Adicional de Acúmulo de função]])-2,0)*($G182-$H182)</f>
        <v>0</v>
      </c>
      <c r="Q182" s="21">
        <f>VLOOKUP($A182,tabCustoUnit[],COLUMN(CUSTO_GLOBAL[[#Headers],[MODULO 1 - REMUNERAÇÃO ]])-2,0)*($G182-$H182)</f>
        <v>1963.4110000000001</v>
      </c>
      <c r="R182" s="21">
        <f>VLOOKUP($A182,tabCustoUnit[],COLUMN(CUSTO_GLOBAL[[#Headers],[INSS]])-2,0)*($G182-$H182)</f>
        <v>392.68220000000002</v>
      </c>
      <c r="S182" s="21">
        <f>VLOOKUP($A182,tabCustoUnit[],COLUMN(CUSTO_GLOBAL[[#Headers],[SESI OU SESC]])-2,0)*($G182-$H182)</f>
        <v>29.451165</v>
      </c>
      <c r="T182" s="21">
        <f>VLOOKUP($A182,tabCustoUnit[],COLUMN(CUSTO_GLOBAL[[#Headers],[SENAI OU SENAC]])-2,0)*($G182-$H182)</f>
        <v>19.63411</v>
      </c>
      <c r="U182" s="21">
        <f>VLOOKUP($A182,tabCustoUnit[],COLUMN(CUSTO_GLOBAL[[#Headers],[INCRA]])-2,0)*($G182-$H182)</f>
        <v>3.926822</v>
      </c>
      <c r="V182" s="21">
        <f>VLOOKUP($A182,tabCustoUnit[],COLUMN(CUSTO_GLOBAL[[#Headers],[Salário Educação]])-2,0)*($G182-$H182)</f>
        <v>49.085275000000003</v>
      </c>
      <c r="W182" s="21">
        <f>VLOOKUP($A182,tabCustoUnit[],COLUMN(CUSTO_GLOBAL[[#Headers],[FGTS]])-2,0)*($G182-$H182)</f>
        <v>157.07288</v>
      </c>
      <c r="X182" s="21">
        <f>VLOOKUP($A182,tabCustoUnit[],COLUMN(CUSTO_GLOBAL[[#Headers],[RAT Ajustado]])-2,0)*($G182-$H182)</f>
        <v>78.536439999999999</v>
      </c>
      <c r="Y182" s="21">
        <f>VLOOKUP($A182,tabCustoUnit[],COLUMN(CUSTO_GLOBAL[[#Headers],[SEBRAE]])-2,0)*($G182-$H182)</f>
        <v>11.780466000000001</v>
      </c>
      <c r="Z182" s="21">
        <f>VLOOKUP($A182,tabCustoUnit[],COLUMN(CUSTO_GLOBAL[[#Headers],[Submódulo 2.1]])-2,0)*($G182-$H182)</f>
        <v>742.1693580000001</v>
      </c>
      <c r="AA182" s="21">
        <f>VLOOKUP($A182,tabCustoUnit[],COLUMN(CUSTO_GLOBAL[[#Headers],[13º salário (titular)]])-2,0)*($G182-$H182)</f>
        <v>163.61758333333333</v>
      </c>
      <c r="AB182" s="21">
        <f>VLOOKUP($A182,tabCustoUnit[],COLUMN(CUSTO_GLOBAL[[#Headers],[Férias e Adicional de Férias (titular)]])-2,0)*($G182-$H182)</f>
        <v>218.15677777777776</v>
      </c>
      <c r="AC182" s="21">
        <f>VLOOKUP($A182,tabCustoUnit[],COLUMN(CUSTO_GLOBAL[[#Headers],[Incidência do Submódulo 2.1 sobre 13º Salário, Férias e Adicional de Férias]])-2,0)*($G182-$H182)</f>
        <v>144.3107085</v>
      </c>
      <c r="AD182" s="21">
        <f>VLOOKUP($A182,tabCustoUnit[],COLUMN(CUSTO_GLOBAL[[#Headers],[Submódulo 2.2]])-2,0)*($G182-$H182)</f>
        <v>526.08506961111107</v>
      </c>
      <c r="AE182" s="22" t="e">
        <f ca="1">VLOOKUP($A182,tabCustoUnit[],COLUMN(CUSTO_GLOBAL[[#Headers],[Vale - Transporte (Descontada parcela do empregado)]])-2,0)*($G182-$H182)</f>
        <v>#NAME?</v>
      </c>
      <c r="AF182" s="22">
        <f>VLOOKUP($A182,tabCustoUnit[],COLUMN(CUSTO_GLOBAL[[#Headers],[Vale - Alimentação (Descontada parcela do empregado)]])-2,0)*($G182-$H182)</f>
        <v>582</v>
      </c>
      <c r="AG182" s="22">
        <f>VLOOKUP($A182,tabCustoUnit[],COLUMN(CUSTO_GLOBAL[[#Headers],[Cesta Básica]])-2,0)*($G182-$H182)</f>
        <v>0</v>
      </c>
      <c r="AH182" s="22">
        <f>VLOOKUP($A182,tabCustoUnit[],COLUMN(CUSTO_GLOBAL[[#Headers],[PAF]])-2,0)*($G182-$H182)</f>
        <v>0</v>
      </c>
      <c r="AI182" s="22">
        <f>VLOOKUP($A182,tabCustoUnit[],COLUMN(CUSTO_GLOBAL[[#Headers],[PQM]])-2,0)*($G182-$H182)</f>
        <v>15.07</v>
      </c>
      <c r="AJ182" s="22">
        <v>0</v>
      </c>
      <c r="AK182" s="22">
        <f>VLOOKUP($A182,tabCustoUnit[],COLUMN(CUSTO_GLOBAL[[#Headers],[Seguro de Vida]])-2,0)*($G182-$H182)</f>
        <v>3.36</v>
      </c>
      <c r="AL182" s="22">
        <f>VLOOKUP($A182,tabCustoUnit[],COLUMN(CUSTO_GLOBAL[[#Headers],[Despesas de Viagem]])-2,0)*($G182-$H182)</f>
        <v>0</v>
      </c>
      <c r="AM182" s="22" t="e">
        <f ca="1">VLOOKUP($A182,tabCustoUnit[],COLUMN(CUSTO_GLOBAL[[#Headers],[Submódulo 2.3]])-2,0)*($G182-$H182)</f>
        <v>#NAME?</v>
      </c>
      <c r="AN182" s="22" t="e">
        <f ca="1">VLOOKUP($A182,tabCustoUnit[],COLUMN(CUSTO_GLOBAL[[#Headers],[MÓDULO 2 - Total Encargos e Benefícios mensais e diários]])-2,0)*($G182-$H182)</f>
        <v>#NAME?</v>
      </c>
      <c r="AO182" s="22">
        <f>VLOOKUP($A182,tabCustoUnit[],COLUMN(CUSTO_GLOBAL[[#Headers],[Aviso Prévio Indenizado (API) e Reflexo do Aviso Prévio Indenizado]])-2,0)*($G182-$H182)</f>
        <v>13.766980408757716</v>
      </c>
      <c r="AP182" s="22">
        <f>VLOOKUP($A182,tabCustoUnit[],COLUMN(CUSTO_GLOBAL[[#Headers],[Incidência do FGTS sobre API e Reflexo do API]])-2,0)*($G182-$H182)</f>
        <v>1.1013584327006174</v>
      </c>
      <c r="AQ182" s="22">
        <f>VLOOKUP($A182,tabCustoUnit[],COLUMN(CUSTO_GLOBAL[[#Headers],[Multa Rescisória do FGTS sobre o Aviso Prévio Indenizado]])-2,0)*($G182-$H182)</f>
        <v>0.44054337308024699</v>
      </c>
      <c r="AR182" s="22">
        <f>VLOOKUP($A182,tabCustoUnit[],COLUMN(CUSTO_GLOBAL[[#Headers],[Aviso Prévio Trabalhado - APT]])-2,0)*($G182-$H182)</f>
        <v>6.8719385000000015</v>
      </c>
      <c r="AS182" s="22">
        <f>VLOOKUP($A182,tabCustoUnit[],COLUMN(CUSTO_GLOBAL[[#Headers],[Incidência dos encargos do submódulo 2.1 sobre Aviso Prévio Trabalhado]])-2,0)*($G182-$H182)</f>
        <v>2.5975927530000007</v>
      </c>
      <c r="AT182" s="22">
        <f>VLOOKUP($A182,tabCustoUnit[],COLUMN(CUSTO_GLOBAL[[#Headers],[Multa Rescisória do FGTS]])-2,0)*($G182-$H182)</f>
        <v>60.03674524444444</v>
      </c>
      <c r="AU182" s="22">
        <f>VLOOKUP($A182,tabCustoUnit[],COLUMN(CUSTO_GLOBAL[[#Headers],[Indenização Adicional (Art. 9º da Lei nº 7.238/84)]])-2,0)*($G182-$H182)</f>
        <v>1.6361758333333334</v>
      </c>
      <c r="AV182" s="22">
        <f>VLOOKUP($A182,tabCustoUnit[],COLUMN(CUSTO_GLOBAL[[#Headers],[MÓDULO 3 – PROVISÃO PARA RESCISÃO]])-2,0)*($G182-$H182)</f>
        <v>86.451334545316371</v>
      </c>
      <c r="AW182" s="22">
        <f>VLOOKUP($A182,tabCustoUnit[],COLUMN(CUSTO_GLOBAL[[#Headers],[Ausência por Doença]])-2,0)*($G182-$H182)</f>
        <v>16.579915111111109</v>
      </c>
      <c r="AX182" s="22">
        <f>VLOOKUP($A182,tabCustoUnit[],COLUMN(CUSTO_GLOBAL[[#Headers],[Ausências Legais]])-2,0)*($G182-$H182)</f>
        <v>3.9813611944444443</v>
      </c>
      <c r="AY182" s="22">
        <f>VLOOKUP($A182,tabCustoUnit[],COLUMN(CUSTO_GLOBAL[[#Headers],[Licença Paternidade]])-2,0)*($G182-$H182)</f>
        <v>0.33541604583333334</v>
      </c>
      <c r="AZ182" s="22">
        <f>VLOOKUP($A182,tabCustoUnit[],COLUMN(CUSTO_GLOBAL[[#Headers],[Ausência por Acidente de Trabalho]])-2,0)*($G182-$H182)</f>
        <v>0.40904395833333335</v>
      </c>
      <c r="BA182" s="22">
        <f>VLOOKUP($A182,tabCustoUnit[],COLUMN(CUSTO_GLOBAL[[#Headers],[Férias, Adicional de Férias e 13º  com empregada em gozo de Licença Maternidade]])-2,0)*($G182-$H182)</f>
        <v>2.5451624074074073</v>
      </c>
      <c r="BB182" s="22">
        <f>VLOOKUP($A182,tabCustoUnit[],COLUMN(CUSTO_GLOBAL[[#Headers],[Incidência do Submódulo 2.1 sobre Ausências Legais]])-2,0)*($G182-$H182)</f>
        <v>9.0156397150750021</v>
      </c>
      <c r="BC182" s="22">
        <f>VLOOKUP($A182,tabCustoUnit[],COLUMN(CUSTO_GLOBAL[[#Headers],[Submódulo 4.1]])-2,0)*($G182-$H182)</f>
        <v>32.866538432204628</v>
      </c>
      <c r="BD182" s="22">
        <f>VLOOKUP($A182,tabCustoUnit[],COLUMN(CUSTO_GLOBAL[[#Headers],[Intervalo para Repouso ou Alimentação]])-2,0)*($G182-$H182)</f>
        <v>267.73786489195959</v>
      </c>
      <c r="BE182" s="22">
        <f>VLOOKUP($A182,tabCustoUnit[],COLUMN(CUSTO_GLOBAL[[#Headers],[Submódulo 4.2]])-2,0)*($G182-$H182)</f>
        <v>267.73786489195959</v>
      </c>
      <c r="BF182" s="22">
        <f>VLOOKUP($A182,tabCustoUnit[],COLUMN(CUSTO_GLOBAL[[#Headers],[Suspensão Temporária do Contrato de Trabalho]])-2,0)*($G182-$H182)</f>
        <v>0</v>
      </c>
      <c r="BG182" s="22">
        <f>VLOOKUP($A182,tabCustoUnit[],COLUMN(CUSTO_GLOBAL[[#Headers],[Submódulo 4.3]])-2,0)*($G182-$H182)</f>
        <v>0</v>
      </c>
      <c r="BH182" s="22">
        <f>VLOOKUP($A182,tabCustoUnit[],COLUMN(CUSTO_GLOBAL[[#Headers],[MÓDULO 4 – CUSTO DE REPOSIÇÃO DO PROFISSIONAL AUSENTE]])-2,0)*($G182-$H182)</f>
        <v>300.6044033241642</v>
      </c>
      <c r="BI182" s="22">
        <f>VLOOKUP($A182,tabCustoUnit[],COLUMN(CUSTO_GLOBAL[[#Headers],[Uniformes e EPIs]])-2,0)*($G182-$H182)</f>
        <v>56.642978962543395</v>
      </c>
      <c r="BJ182" s="22">
        <f>VLOOKUP($A182,tabCustoUnit[],COLUMN(CUSTO_GLOBAL[[#Headers],[Materiais de Consumo]])-2,0)*($G182-$H182)</f>
        <v>0</v>
      </c>
      <c r="BK182" s="22">
        <f>VLOOKUP($A182,tabCustoUnit[],COLUMN(CUSTO_GLOBAL[[#Headers],[Máquinas e Equipamentos (depreciação)]])-2,0)*($G182-$H182)</f>
        <v>0</v>
      </c>
      <c r="BL182" s="22">
        <f>VLOOKUP($A182,tabCustoUnit[],COLUMN(CUSTO_GLOBAL[[#Headers],[Produtos de Limpeza e Materiais de Higiene Pessoal]])-2,0)*($G182-$H182)</f>
        <v>0</v>
      </c>
      <c r="BM182" s="22">
        <f>VLOOKUP($A182,tabCustoUnit[],COLUMN(CUSTO_GLOBAL[[#Headers],[Outros (especificar)]])-2,0)*($G182-$H182)</f>
        <v>0</v>
      </c>
      <c r="BN182" s="22">
        <f>VLOOKUP($A182,tabCustoUnit[],COLUMN(CUSTO_GLOBAL[[#Headers],[MÓDULO 5 – INSUMOS DIVERSOS]])-2,0)*($G182-$H182)</f>
        <v>56.642978962543395</v>
      </c>
      <c r="BO182" s="22" t="e">
        <f ca="1">VLOOKUP($A182,tabCustoUnit[],COLUMN(CUSTO_GLOBAL[[#Headers],[TOTAL MÓDULOS 1+2+3+4+5]])-2,0)*($G182-$H182)</f>
        <v>#NAME?</v>
      </c>
      <c r="BP182" s="22" t="e">
        <f ca="1">VLOOKUP($A182,tabCustoUnit[],COLUMN(CUSTO_GLOBAL[[#Headers],[Custos Indiretos]])-2,0)*($G182-$H182)</f>
        <v>#NAME?</v>
      </c>
      <c r="BQ182" s="22" t="e">
        <f ca="1">VLOOKUP($A182,tabCustoUnit[],COLUMN(CUSTO_GLOBAL[[#Headers],[Lucro]])-2,0)*($G182-$H182)</f>
        <v>#NAME?</v>
      </c>
      <c r="BR182" s="26">
        <f>VLOOKUP($A182,tabCustoUnit[],COLUMN(CUSTO_GLOBAL[[#Headers],[COFINS]])-2,0)</f>
        <v>8.5633802816901458E-2</v>
      </c>
      <c r="BS182" s="26">
        <f>VLOOKUP($A182,tabCustoUnit[],COLUMN(CUSTO_GLOBAL[[#Headers],[PIS]])-2,0)</f>
        <v>1.8591549295774657E-2</v>
      </c>
      <c r="BT182" s="28">
        <f>VLOOKUP($A182,tabCustoUnit[],COLUMN(CUSTO_GLOBAL[[#Headers],[ISS]])-2,0)</f>
        <v>0.02</v>
      </c>
      <c r="BU182" s="26">
        <f>VLOOKUP($A182,tabCustoUnit[],COLUMN(CUSTO_GLOBAL[[#Headers],[ISS (Conversão Alíquota s/ fatura)]])-2,0)</f>
        <v>2.2535211267605645E-2</v>
      </c>
      <c r="BV182" s="26">
        <f>VLOOKUP($A182,tabCustoUnit[],COLUMN(CUSTO_GLOBAL[[#Headers],[Resumo de Alíquotas (PIS+CONFINS+ISS)]])-2,0)</f>
        <v>0.1125</v>
      </c>
      <c r="BW182" s="138">
        <f>VLOOKUP($A182,tabCustoUnit[],COLUMN(CUSTO_GLOBAL[[#Headers],[PIS + COFINS + ISS (Total Conversão  Alíquota s/ Fatura)]])-2,0)</f>
        <v>0.12676056338028174</v>
      </c>
      <c r="BX182" s="22" t="e">
        <f ca="1">VLOOKUP($A182,tabCustoUnit[],COLUMN(CUSTO_GLOBAL[[#Headers],[Valor dos Tributos (ISS, PIS, CONFINS)]])-2,0)*($G182-$H182)</f>
        <v>#NAME?</v>
      </c>
      <c r="BY182" s="22" t="e">
        <f ca="1">VLOOKUP($A182,tabCustoUnit[],COLUMN(CUSTO_GLOBAL[[#Headers],[MÓDULO 6 – CUSTOS INDIRETOS, TRIBUTOS E LUCRO]])-2,0)*($G182-$H182)</f>
        <v>#NAME?</v>
      </c>
      <c r="BZ182" s="22" t="e">
        <f ca="1">VLOOKUP($A182,tabCustoUnit[],COLUMN(CUSTO_GLOBAL[[#Headers],[CUSTO TOTAL MENSAL]])-2,0)*($G182-$H182)</f>
        <v>#NAME?</v>
      </c>
      <c r="CA182" s="22" t="e">
        <f ca="1">CUSTO_GLOBAL[[#This Row],[CUSTO TOTAL MENSAL]]*12</f>
        <v>#NAME?</v>
      </c>
      <c r="CB182" s="24">
        <f>VLOOKUP($A182,tabCustoUnit[],COLUMN(CUSTO_GLOBAL[[#Headers],[ANO DA CCT]])-2,0)</f>
        <v>45658</v>
      </c>
      <c r="CC182" s="25" t="str">
        <f>VLOOKUP($A182,tabCustoUnit[],COLUMN(CUSTO_GLOBAL[[#Headers],[Nº DE PEDIDO DA CCT]])-2,0)</f>
        <v>-</v>
      </c>
      <c r="CD182" s="25" t="str">
        <f>VLOOKUP($A182,tabCustoUnit[],COLUMN(CUSTO_GLOBAL[[#Headers],[TERMO ADITIVO ALTERAÇÃO DA CCT]])-2,0)</f>
        <v>-</v>
      </c>
    </row>
    <row r="183" spans="1:82">
      <c r="A183" s="20" t="s">
        <v>1624</v>
      </c>
      <c r="B183" t="s">
        <v>1151</v>
      </c>
      <c r="C183" t="s">
        <v>324</v>
      </c>
      <c r="D183" t="s">
        <v>918</v>
      </c>
      <c r="E183" s="20" t="s">
        <v>1090</v>
      </c>
      <c r="F183" s="20" t="s">
        <v>120</v>
      </c>
      <c r="G183" s="20">
        <v>1</v>
      </c>
      <c r="H183" s="20">
        <v>0</v>
      </c>
      <c r="I183" s="21">
        <f>VLOOKUP($A183,tabCustoUnit[],COLUMN(CUSTO_GLOBAL[[#Headers],[Salário Base]])-2,0)*($G183-$H183)</f>
        <v>3397.1306</v>
      </c>
      <c r="J183" s="21">
        <f>VLOOKUP($A183,tabCustoUnit[],COLUMN(CUSTO_GLOBAL[[#Headers],[Adicional Periculosidade]])-2,0)*($G183-$H183)</f>
        <v>0</v>
      </c>
      <c r="K183" s="21">
        <f>VLOOKUP($A183,tabCustoUnit[],COLUMN(CUSTO_GLOBAL[[#Headers],[Adicional Insalubridade]])-2,0)*($G183-$H183)</f>
        <v>0</v>
      </c>
      <c r="L183" s="21">
        <f>VLOOKUP($A183,tabCustoUnit[],COLUMN(CUSTO_GLOBAL[[#Headers],[Adicional Noturno]])-2,0)*($G183-$H183)</f>
        <v>0</v>
      </c>
      <c r="M183" s="21">
        <f>VLOOKUP($A183,tabCustoUnit[],COLUMN(CUSTO_GLOBAL[[#Headers],[Adicional Motorista II (Gratificação)]])-2,0)*($G183-$H183)</f>
        <v>0</v>
      </c>
      <c r="N183" s="21">
        <f>VLOOKUP($A183,tabCustoUnit[],COLUMN(CUSTO_GLOBAL[[#Headers],[Adicional de Sobreaviso]])-2,0)*($G183-$H183)</f>
        <v>0</v>
      </c>
      <c r="O183" s="21">
        <f>VLOOKUP($A183,tabCustoUnit[],COLUMN(CUSTO_GLOBAL[[#Headers],[Horas Extras TI]])-2,0)*($G183-$H183)</f>
        <v>0</v>
      </c>
      <c r="P183" s="21">
        <f>VLOOKUP($A183,tabCustoUnit[],COLUMN(CUSTO_GLOBAL[[#Headers],[Adicional de Acúmulo de função]])-2,0)*($G183-$H183)</f>
        <v>0</v>
      </c>
      <c r="Q183" s="21">
        <f>VLOOKUP($A183,tabCustoUnit[],COLUMN(CUSTO_GLOBAL[[#Headers],[MODULO 1 - REMUNERAÇÃO ]])-2,0)*($G183-$H183)</f>
        <v>3397.1306</v>
      </c>
      <c r="R183" s="21">
        <f>VLOOKUP($A183,tabCustoUnit[],COLUMN(CUSTO_GLOBAL[[#Headers],[INSS]])-2,0)*($G183-$H183)</f>
        <v>679.42612000000008</v>
      </c>
      <c r="S183" s="21">
        <f>VLOOKUP($A183,tabCustoUnit[],COLUMN(CUSTO_GLOBAL[[#Headers],[SESI OU SESC]])-2,0)*($G183-$H183)</f>
        <v>50.956958999999998</v>
      </c>
      <c r="T183" s="21">
        <f>VLOOKUP($A183,tabCustoUnit[],COLUMN(CUSTO_GLOBAL[[#Headers],[SENAI OU SENAC]])-2,0)*($G183-$H183)</f>
        <v>33.971305999999998</v>
      </c>
      <c r="U183" s="21">
        <f>VLOOKUP($A183,tabCustoUnit[],COLUMN(CUSTO_GLOBAL[[#Headers],[INCRA]])-2,0)*($G183-$H183)</f>
        <v>6.7942612000000002</v>
      </c>
      <c r="V183" s="21">
        <f>VLOOKUP($A183,tabCustoUnit[],COLUMN(CUSTO_GLOBAL[[#Headers],[Salário Educação]])-2,0)*($G183-$H183)</f>
        <v>84.92826500000001</v>
      </c>
      <c r="W183" s="21">
        <f>VLOOKUP($A183,tabCustoUnit[],COLUMN(CUSTO_GLOBAL[[#Headers],[FGTS]])-2,0)*($G183-$H183)</f>
        <v>271.77044799999999</v>
      </c>
      <c r="X183" s="21">
        <f>VLOOKUP($A183,tabCustoUnit[],COLUMN(CUSTO_GLOBAL[[#Headers],[RAT Ajustado]])-2,0)*($G183-$H183)</f>
        <v>135.88522399999999</v>
      </c>
      <c r="Y183" s="21">
        <f>VLOOKUP($A183,tabCustoUnit[],COLUMN(CUSTO_GLOBAL[[#Headers],[SEBRAE]])-2,0)*($G183-$H183)</f>
        <v>20.3827836</v>
      </c>
      <c r="Z183" s="21">
        <f>VLOOKUP($A183,tabCustoUnit[],COLUMN(CUSTO_GLOBAL[[#Headers],[Submódulo 2.1]])-2,0)*($G183-$H183)</f>
        <v>1284.1153668000002</v>
      </c>
      <c r="AA183" s="21">
        <f>VLOOKUP($A183,tabCustoUnit[],COLUMN(CUSTO_GLOBAL[[#Headers],[13º salário (titular)]])-2,0)*($G183-$H183)</f>
        <v>283.09421666666663</v>
      </c>
      <c r="AB183" s="21">
        <f>VLOOKUP($A183,tabCustoUnit[],COLUMN(CUSTO_GLOBAL[[#Headers],[Férias e Adicional de Férias (titular)]])-2,0)*($G183-$H183)</f>
        <v>377.45895555555552</v>
      </c>
      <c r="AC183" s="21">
        <f>VLOOKUP($A183,tabCustoUnit[],COLUMN(CUSTO_GLOBAL[[#Headers],[Incidência do Submódulo 2.1 sobre 13º Salário, Férias e Adicional de Férias]])-2,0)*($G183-$H183)</f>
        <v>249.68909910000002</v>
      </c>
      <c r="AD183" s="21">
        <f>VLOOKUP($A183,tabCustoUnit[],COLUMN(CUSTO_GLOBAL[[#Headers],[Submódulo 2.2]])-2,0)*($G183-$H183)</f>
        <v>910.24227132222222</v>
      </c>
      <c r="AE183" s="22" t="e">
        <f ca="1">VLOOKUP($A183,tabCustoUnit[],COLUMN(CUSTO_GLOBAL[[#Headers],[Vale - Transporte (Descontada parcela do empregado)]])-2,0)*($G183-$H183)</f>
        <v>#NAME?</v>
      </c>
      <c r="AF183" s="22">
        <f>VLOOKUP($A183,tabCustoUnit[],COLUMN(CUSTO_GLOBAL[[#Headers],[Vale - Alimentação (Descontada parcela do empregado)]])-2,0)*($G183-$H183)</f>
        <v>582</v>
      </c>
      <c r="AG183" s="22">
        <f>VLOOKUP($A183,tabCustoUnit[],COLUMN(CUSTO_GLOBAL[[#Headers],[Cesta Básica]])-2,0)*($G183-$H183)</f>
        <v>0</v>
      </c>
      <c r="AH183" s="22">
        <f>VLOOKUP($A183,tabCustoUnit[],COLUMN(CUSTO_GLOBAL[[#Headers],[PAF]])-2,0)*($G183-$H183)</f>
        <v>0</v>
      </c>
      <c r="AI183" s="22">
        <f>VLOOKUP($A183,tabCustoUnit[],COLUMN(CUSTO_GLOBAL[[#Headers],[PQM]])-2,0)*($G183-$H183)</f>
        <v>15.07</v>
      </c>
      <c r="AJ183" s="22">
        <v>0</v>
      </c>
      <c r="AK183" s="22">
        <f>VLOOKUP($A183,tabCustoUnit[],COLUMN(CUSTO_GLOBAL[[#Headers],[Seguro de Vida]])-2,0)*($G183-$H183)</f>
        <v>3.36</v>
      </c>
      <c r="AL183" s="22">
        <f>VLOOKUP($A183,tabCustoUnit[],COLUMN(CUSTO_GLOBAL[[#Headers],[Despesas de Viagem]])-2,0)*($G183-$H183)</f>
        <v>0</v>
      </c>
      <c r="AM183" s="22" t="e">
        <f ca="1">VLOOKUP($A183,tabCustoUnit[],COLUMN(CUSTO_GLOBAL[[#Headers],[Submódulo 2.3]])-2,0)*($G183-$H183)</f>
        <v>#NAME?</v>
      </c>
      <c r="AN183" s="22" t="e">
        <f ca="1">VLOOKUP($A183,tabCustoUnit[],COLUMN(CUSTO_GLOBAL[[#Headers],[MÓDULO 2 - Total Encargos e Benefícios mensais e diários]])-2,0)*($G183-$H183)</f>
        <v>#NAME?</v>
      </c>
      <c r="AO183" s="22">
        <f>VLOOKUP($A183,tabCustoUnit[],COLUMN(CUSTO_GLOBAL[[#Headers],[Aviso Prévio Indenizado (API) e Reflexo do Aviso Prévio Indenizado]])-2,0)*($G183-$H183)</f>
        <v>23.819888151890432</v>
      </c>
      <c r="AP183" s="22">
        <f>VLOOKUP($A183,tabCustoUnit[],COLUMN(CUSTO_GLOBAL[[#Headers],[Incidência do FGTS sobre API e Reflexo do API]])-2,0)*($G183-$H183)</f>
        <v>1.9055910521512347</v>
      </c>
      <c r="AQ183" s="22">
        <f>VLOOKUP($A183,tabCustoUnit[],COLUMN(CUSTO_GLOBAL[[#Headers],[Multa Rescisória do FGTS sobre o Aviso Prévio Indenizado]])-2,0)*($G183-$H183)</f>
        <v>0.76223642086049392</v>
      </c>
      <c r="AR183" s="22">
        <f>VLOOKUP($A183,tabCustoUnit[],COLUMN(CUSTO_GLOBAL[[#Headers],[Aviso Prévio Trabalhado - APT]])-2,0)*($G183-$H183)</f>
        <v>11.889957100000002</v>
      </c>
      <c r="AS183" s="22">
        <f>VLOOKUP($A183,tabCustoUnit[],COLUMN(CUSTO_GLOBAL[[#Headers],[Incidência dos encargos do submódulo 2.1 sobre Aviso Prévio Trabalhado]])-2,0)*($G183-$H183)</f>
        <v>4.4944037838000011</v>
      </c>
      <c r="AT183" s="22">
        <f>VLOOKUP($A183,tabCustoUnit[],COLUMN(CUSTO_GLOBAL[[#Headers],[Multa Rescisória do FGTS]])-2,0)*($G183-$H183)</f>
        <v>103.87670456888887</v>
      </c>
      <c r="AU183" s="22">
        <f>VLOOKUP($A183,tabCustoUnit[],COLUMN(CUSTO_GLOBAL[[#Headers],[Indenização Adicional (Art. 9º da Lei nº 7.238/84)]])-2,0)*($G183-$H183)</f>
        <v>2.830942166666667</v>
      </c>
      <c r="AV183" s="22">
        <f>VLOOKUP($A183,tabCustoUnit[],COLUMN(CUSTO_GLOBAL[[#Headers],[MÓDULO 3 – PROVISÃO PARA RESCISÃO]])-2,0)*($G183-$H183)</f>
        <v>149.57972324425771</v>
      </c>
      <c r="AW183" s="22">
        <f>VLOOKUP($A183,tabCustoUnit[],COLUMN(CUSTO_GLOBAL[[#Headers],[Ausência por Doença]])-2,0)*($G183-$H183)</f>
        <v>28.686880622222219</v>
      </c>
      <c r="AX183" s="22">
        <f>VLOOKUP($A183,tabCustoUnit[],COLUMN(CUSTO_GLOBAL[[#Headers],[Ausências Legais]])-2,0)*($G183-$H183)</f>
        <v>6.8886259388888886</v>
      </c>
      <c r="AY183" s="22">
        <f>VLOOKUP($A183,tabCustoUnit[],COLUMN(CUSTO_GLOBAL[[#Headers],[Licença Paternidade]])-2,0)*($G183-$H183)</f>
        <v>0.58034314416666666</v>
      </c>
      <c r="AZ183" s="22">
        <f>VLOOKUP($A183,tabCustoUnit[],COLUMN(CUSTO_GLOBAL[[#Headers],[Ausência por Acidente de Trabalho]])-2,0)*($G183-$H183)</f>
        <v>0.70773554166666675</v>
      </c>
      <c r="BA183" s="22">
        <f>VLOOKUP($A183,tabCustoUnit[],COLUMN(CUSTO_GLOBAL[[#Headers],[Férias, Adicional de Férias e 13º  com empregada em gozo de Licença Maternidade]])-2,0)*($G183-$H183)</f>
        <v>4.4036878148148144</v>
      </c>
      <c r="BB183" s="22">
        <f>VLOOKUP($A183,tabCustoUnit[],COLUMN(CUSTO_GLOBAL[[#Headers],[Incidência do Submódulo 2.1 sobre Ausências Legais]])-2,0)*($G183-$H183)</f>
        <v>15.599029217345002</v>
      </c>
      <c r="BC183" s="22">
        <f>VLOOKUP($A183,tabCustoUnit[],COLUMN(CUSTO_GLOBAL[[#Headers],[Submódulo 4.1]])-2,0)*($G183-$H183)</f>
        <v>56.866302279104261</v>
      </c>
      <c r="BD183" s="22">
        <f>VLOOKUP($A183,tabCustoUnit[],COLUMN(CUSTO_GLOBAL[[#Headers],[Intervalo para Repouso ou Alimentação]])-2,0)*($G183-$H183)</f>
        <v>0</v>
      </c>
      <c r="BE183" s="22">
        <f>VLOOKUP($A183,tabCustoUnit[],COLUMN(CUSTO_GLOBAL[[#Headers],[Submódulo 4.2]])-2,0)*($G183-$H183)</f>
        <v>0</v>
      </c>
      <c r="BF183" s="22">
        <f>VLOOKUP($A183,tabCustoUnit[],COLUMN(CUSTO_GLOBAL[[#Headers],[Suspensão Temporária do Contrato de Trabalho]])-2,0)*($G183-$H183)</f>
        <v>0</v>
      </c>
      <c r="BG183" s="22">
        <f>VLOOKUP($A183,tabCustoUnit[],COLUMN(CUSTO_GLOBAL[[#Headers],[Submódulo 4.3]])-2,0)*($G183-$H183)</f>
        <v>0</v>
      </c>
      <c r="BH183" s="22">
        <f>VLOOKUP($A183,tabCustoUnit[],COLUMN(CUSTO_GLOBAL[[#Headers],[MÓDULO 4 – CUSTO DE REPOSIÇÃO DO PROFISSIONAL AUSENTE]])-2,0)*($G183-$H183)</f>
        <v>56.866302279104261</v>
      </c>
      <c r="BI183" s="22">
        <f>VLOOKUP($A183,tabCustoUnit[],COLUMN(CUSTO_GLOBAL[[#Headers],[Uniformes e EPIs]])-2,0)*($G183-$H183)</f>
        <v>56.642978962543395</v>
      </c>
      <c r="BJ183" s="22">
        <f>VLOOKUP($A183,tabCustoUnit[],COLUMN(CUSTO_GLOBAL[[#Headers],[Materiais de Consumo]])-2,0)*($G183-$H183)</f>
        <v>0</v>
      </c>
      <c r="BK183" s="22">
        <f>VLOOKUP($A183,tabCustoUnit[],COLUMN(CUSTO_GLOBAL[[#Headers],[Máquinas e Equipamentos (depreciação)]])-2,0)*($G183-$H183)</f>
        <v>0</v>
      </c>
      <c r="BL183" s="22">
        <f>VLOOKUP($A183,tabCustoUnit[],COLUMN(CUSTO_GLOBAL[[#Headers],[Produtos de Limpeza e Materiais de Higiene Pessoal]])-2,0)*($G183-$H183)</f>
        <v>0</v>
      </c>
      <c r="BM183" s="22">
        <f>VLOOKUP($A183,tabCustoUnit[],COLUMN(CUSTO_GLOBAL[[#Headers],[Outros (especificar)]])-2,0)*($G183-$H183)</f>
        <v>0</v>
      </c>
      <c r="BN183" s="22">
        <f>VLOOKUP($A183,tabCustoUnit[],COLUMN(CUSTO_GLOBAL[[#Headers],[MÓDULO 5 – INSUMOS DIVERSOS]])-2,0)*($G183-$H183)</f>
        <v>56.642978962543395</v>
      </c>
      <c r="BO183" s="22" t="e">
        <f ca="1">VLOOKUP($A183,tabCustoUnit[],COLUMN(CUSTO_GLOBAL[[#Headers],[TOTAL MÓDULOS 1+2+3+4+5]])-2,0)*($G183-$H183)</f>
        <v>#NAME?</v>
      </c>
      <c r="BP183" s="22" t="e">
        <f ca="1">VLOOKUP($A183,tabCustoUnit[],COLUMN(CUSTO_GLOBAL[[#Headers],[Custos Indiretos]])-2,0)*($G183-$H183)</f>
        <v>#NAME?</v>
      </c>
      <c r="BQ183" s="22" t="e">
        <f ca="1">VLOOKUP($A183,tabCustoUnit[],COLUMN(CUSTO_GLOBAL[[#Headers],[Lucro]])-2,0)*($G183-$H183)</f>
        <v>#NAME?</v>
      </c>
      <c r="BR183" s="26">
        <f>VLOOKUP($A183,tabCustoUnit[],COLUMN(CUSTO_GLOBAL[[#Headers],[COFINS]])-2,0)</f>
        <v>8.5633802816901458E-2</v>
      </c>
      <c r="BS183" s="26">
        <f>VLOOKUP($A183,tabCustoUnit[],COLUMN(CUSTO_GLOBAL[[#Headers],[PIS]])-2,0)</f>
        <v>1.8591549295774657E-2</v>
      </c>
      <c r="BT183" s="28">
        <f>VLOOKUP($A183,tabCustoUnit[],COLUMN(CUSTO_GLOBAL[[#Headers],[ISS]])-2,0)</f>
        <v>0.02</v>
      </c>
      <c r="BU183" s="26">
        <f>VLOOKUP($A183,tabCustoUnit[],COLUMN(CUSTO_GLOBAL[[#Headers],[ISS (Conversão Alíquota s/ fatura)]])-2,0)</f>
        <v>2.2535211267605645E-2</v>
      </c>
      <c r="BV183" s="26">
        <f>VLOOKUP($A183,tabCustoUnit[],COLUMN(CUSTO_GLOBAL[[#Headers],[Resumo de Alíquotas (PIS+CONFINS+ISS)]])-2,0)</f>
        <v>0.1125</v>
      </c>
      <c r="BW183" s="138">
        <f>VLOOKUP($A183,tabCustoUnit[],COLUMN(CUSTO_GLOBAL[[#Headers],[PIS + COFINS + ISS (Total Conversão  Alíquota s/ Fatura)]])-2,0)</f>
        <v>0.12676056338028174</v>
      </c>
      <c r="BX183" s="22" t="e">
        <f ca="1">VLOOKUP($A183,tabCustoUnit[],COLUMN(CUSTO_GLOBAL[[#Headers],[Valor dos Tributos (ISS, PIS, CONFINS)]])-2,0)*($G183-$H183)</f>
        <v>#NAME?</v>
      </c>
      <c r="BY183" s="22" t="e">
        <f ca="1">VLOOKUP($A183,tabCustoUnit[],COLUMN(CUSTO_GLOBAL[[#Headers],[MÓDULO 6 – CUSTOS INDIRETOS, TRIBUTOS E LUCRO]])-2,0)*($G183-$H183)</f>
        <v>#NAME?</v>
      </c>
      <c r="BZ183" s="22" t="e">
        <f ca="1">VLOOKUP($A183,tabCustoUnit[],COLUMN(CUSTO_GLOBAL[[#Headers],[CUSTO TOTAL MENSAL]])-2,0)*($G183-$H183)</f>
        <v>#NAME?</v>
      </c>
      <c r="CA183" s="22" t="e">
        <f ca="1">CUSTO_GLOBAL[[#This Row],[CUSTO TOTAL MENSAL]]*12</f>
        <v>#NAME?</v>
      </c>
      <c r="CB183" s="24">
        <f>VLOOKUP($A183,tabCustoUnit[],COLUMN(CUSTO_GLOBAL[[#Headers],[ANO DA CCT]])-2,0)</f>
        <v>45658</v>
      </c>
      <c r="CC183" s="25" t="str">
        <f>VLOOKUP($A183,tabCustoUnit[],COLUMN(CUSTO_GLOBAL[[#Headers],[Nº DE PEDIDO DA CCT]])-2,0)</f>
        <v>-</v>
      </c>
      <c r="CD183" s="25" t="str">
        <f>VLOOKUP($A183,tabCustoUnit[],COLUMN(CUSTO_GLOBAL[[#Headers],[TERMO ADITIVO ALTERAÇÃO DA CCT]])-2,0)</f>
        <v>-</v>
      </c>
    </row>
    <row r="184" spans="1:82">
      <c r="A184" s="20" t="s">
        <v>1625</v>
      </c>
      <c r="B184" t="s">
        <v>1152</v>
      </c>
      <c r="C184" t="s">
        <v>274</v>
      </c>
      <c r="D184" t="s">
        <v>994</v>
      </c>
      <c r="E184" s="20" t="s">
        <v>1090</v>
      </c>
      <c r="F184" s="20" t="s">
        <v>120</v>
      </c>
      <c r="G184" s="20">
        <v>1</v>
      </c>
      <c r="H184" s="20">
        <v>0</v>
      </c>
      <c r="I184" s="21">
        <f>VLOOKUP($A184,tabCustoUnit[],COLUMN(CUSTO_GLOBAL[[#Headers],[Salário Base]])-2,0)*($G184-$H184)</f>
        <v>4380.5668999999998</v>
      </c>
      <c r="J184" s="21">
        <f>VLOOKUP($A184,tabCustoUnit[],COLUMN(CUSTO_GLOBAL[[#Headers],[Adicional Periculosidade]])-2,0)*($G184-$H184)</f>
        <v>0</v>
      </c>
      <c r="K184" s="21">
        <f>VLOOKUP($A184,tabCustoUnit[],COLUMN(CUSTO_GLOBAL[[#Headers],[Adicional Insalubridade]])-2,0)*($G184-$H184)</f>
        <v>0</v>
      </c>
      <c r="L184" s="21">
        <f>VLOOKUP($A184,tabCustoUnit[],COLUMN(CUSTO_GLOBAL[[#Headers],[Adicional Noturno]])-2,0)*($G184-$H184)</f>
        <v>0</v>
      </c>
      <c r="M184" s="21">
        <f>VLOOKUP($A184,tabCustoUnit[],COLUMN(CUSTO_GLOBAL[[#Headers],[Adicional Motorista II (Gratificação)]])-2,0)*($G184-$H184)</f>
        <v>0</v>
      </c>
      <c r="N184" s="21">
        <f>VLOOKUP($A184,tabCustoUnit[],COLUMN(CUSTO_GLOBAL[[#Headers],[Adicional de Sobreaviso]])-2,0)*($G184-$H184)</f>
        <v>0</v>
      </c>
      <c r="O184" s="21">
        <f>VLOOKUP($A184,tabCustoUnit[],COLUMN(CUSTO_GLOBAL[[#Headers],[Horas Extras TI]])-2,0)*($G184-$H184)</f>
        <v>0</v>
      </c>
      <c r="P184" s="21">
        <f>VLOOKUP($A184,tabCustoUnit[],COLUMN(CUSTO_GLOBAL[[#Headers],[Adicional de Acúmulo de função]])-2,0)*($G184-$H184)</f>
        <v>0</v>
      </c>
      <c r="Q184" s="21">
        <f>VLOOKUP($A184,tabCustoUnit[],COLUMN(CUSTO_GLOBAL[[#Headers],[MODULO 1 - REMUNERAÇÃO ]])-2,0)*($G184-$H184)</f>
        <v>4380.5668999999998</v>
      </c>
      <c r="R184" s="21">
        <f>VLOOKUP($A184,tabCustoUnit[],COLUMN(CUSTO_GLOBAL[[#Headers],[INSS]])-2,0)*($G184-$H184)</f>
        <v>876.11338000000001</v>
      </c>
      <c r="S184" s="21">
        <f>VLOOKUP($A184,tabCustoUnit[],COLUMN(CUSTO_GLOBAL[[#Headers],[SESI OU SESC]])-2,0)*($G184-$H184)</f>
        <v>65.708503499999992</v>
      </c>
      <c r="T184" s="21">
        <f>VLOOKUP($A184,tabCustoUnit[],COLUMN(CUSTO_GLOBAL[[#Headers],[SENAI OU SENAC]])-2,0)*($G184-$H184)</f>
        <v>43.805669000000002</v>
      </c>
      <c r="U184" s="21">
        <f>VLOOKUP($A184,tabCustoUnit[],COLUMN(CUSTO_GLOBAL[[#Headers],[INCRA]])-2,0)*($G184-$H184)</f>
        <v>8.7611337999999996</v>
      </c>
      <c r="V184" s="21">
        <f>VLOOKUP($A184,tabCustoUnit[],COLUMN(CUSTO_GLOBAL[[#Headers],[Salário Educação]])-2,0)*($G184-$H184)</f>
        <v>109.5141725</v>
      </c>
      <c r="W184" s="21">
        <f>VLOOKUP($A184,tabCustoUnit[],COLUMN(CUSTO_GLOBAL[[#Headers],[FGTS]])-2,0)*($G184-$H184)</f>
        <v>350.44535200000001</v>
      </c>
      <c r="X184" s="21">
        <f>VLOOKUP($A184,tabCustoUnit[],COLUMN(CUSTO_GLOBAL[[#Headers],[RAT Ajustado]])-2,0)*($G184-$H184)</f>
        <v>175.22267600000001</v>
      </c>
      <c r="Y184" s="21">
        <f>VLOOKUP($A184,tabCustoUnit[],COLUMN(CUSTO_GLOBAL[[#Headers],[SEBRAE]])-2,0)*($G184-$H184)</f>
        <v>26.283401399999999</v>
      </c>
      <c r="Z184" s="21">
        <f>VLOOKUP($A184,tabCustoUnit[],COLUMN(CUSTO_GLOBAL[[#Headers],[Submódulo 2.1]])-2,0)*($G184-$H184)</f>
        <v>1655.8542882000002</v>
      </c>
      <c r="AA184" s="21">
        <f>VLOOKUP($A184,tabCustoUnit[],COLUMN(CUSTO_GLOBAL[[#Headers],[13º salário (titular)]])-2,0)*($G184-$H184)</f>
        <v>365.04724166666665</v>
      </c>
      <c r="AB184" s="21">
        <f>VLOOKUP($A184,tabCustoUnit[],COLUMN(CUSTO_GLOBAL[[#Headers],[Férias e Adicional de Férias (titular)]])-2,0)*($G184-$H184)</f>
        <v>486.7296555555555</v>
      </c>
      <c r="AC184" s="21">
        <f>VLOOKUP($A184,tabCustoUnit[],COLUMN(CUSTO_GLOBAL[[#Headers],[Incidência do Submódulo 2.1 sobre 13º Salário, Férias e Adicional de Férias]])-2,0)*($G184-$H184)</f>
        <v>321.97166715000003</v>
      </c>
      <c r="AD184" s="21">
        <f>VLOOKUP($A184,tabCustoUnit[],COLUMN(CUSTO_GLOBAL[[#Headers],[Submódulo 2.2]])-2,0)*($G184-$H184)</f>
        <v>1173.7485643722221</v>
      </c>
      <c r="AE184" s="22" t="e">
        <f ca="1">VLOOKUP($A184,tabCustoUnit[],COLUMN(CUSTO_GLOBAL[[#Headers],[Vale - Transporte (Descontada parcela do empregado)]])-2,0)*($G184-$H184)</f>
        <v>#NAME?</v>
      </c>
      <c r="AF184" s="22">
        <f>VLOOKUP($A184,tabCustoUnit[],COLUMN(CUSTO_GLOBAL[[#Headers],[Vale - Alimentação (Descontada parcela do empregado)]])-2,0)*($G184-$H184)</f>
        <v>578.4</v>
      </c>
      <c r="AG184" s="22">
        <f>VLOOKUP($A184,tabCustoUnit[],COLUMN(CUSTO_GLOBAL[[#Headers],[Cesta Básica]])-2,0)*($G184-$H184)</f>
        <v>0</v>
      </c>
      <c r="AH184" s="22">
        <f>VLOOKUP($A184,tabCustoUnit[],COLUMN(CUSTO_GLOBAL[[#Headers],[PAF]])-2,0)*($G184-$H184)</f>
        <v>0</v>
      </c>
      <c r="AI184" s="22">
        <f>VLOOKUP($A184,tabCustoUnit[],COLUMN(CUSTO_GLOBAL[[#Headers],[PQM]])-2,0)*($G184-$H184)</f>
        <v>0</v>
      </c>
      <c r="AJ184" s="22">
        <v>0</v>
      </c>
      <c r="AK184" s="22">
        <f>VLOOKUP($A184,tabCustoUnit[],COLUMN(CUSTO_GLOBAL[[#Headers],[Seguro de Vida]])-2,0)*($G184-$H184)</f>
        <v>3.36</v>
      </c>
      <c r="AL184" s="22">
        <f>VLOOKUP($A184,tabCustoUnit[],COLUMN(CUSTO_GLOBAL[[#Headers],[Despesas de Viagem]])-2,0)*($G184-$H184)</f>
        <v>662.42</v>
      </c>
      <c r="AM184" s="22" t="e">
        <f ca="1">VLOOKUP($A184,tabCustoUnit[],COLUMN(CUSTO_GLOBAL[[#Headers],[Submódulo 2.3]])-2,0)*($G184-$H184)</f>
        <v>#NAME?</v>
      </c>
      <c r="AN184" s="22" t="e">
        <f ca="1">VLOOKUP($A184,tabCustoUnit[],COLUMN(CUSTO_GLOBAL[[#Headers],[MÓDULO 2 - Total Encargos e Benefícios mensais e diários]])-2,0)*($G184-$H184)</f>
        <v>#NAME?</v>
      </c>
      <c r="AO184" s="22">
        <f>VLOOKUP($A184,tabCustoUnit[],COLUMN(CUSTO_GLOBAL[[#Headers],[Aviso Prévio Indenizado (API) e Reflexo do Aviso Prévio Indenizado]])-2,0)*($G184-$H184)</f>
        <v>30.715514322550153</v>
      </c>
      <c r="AP184" s="22">
        <f>VLOOKUP($A184,tabCustoUnit[],COLUMN(CUSTO_GLOBAL[[#Headers],[Incidência do FGTS sobre API e Reflexo do API]])-2,0)*($G184-$H184)</f>
        <v>2.4572411458040126</v>
      </c>
      <c r="AQ184" s="22">
        <f>VLOOKUP($A184,tabCustoUnit[],COLUMN(CUSTO_GLOBAL[[#Headers],[Multa Rescisória do FGTS sobre o Aviso Prévio Indenizado]])-2,0)*($G184-$H184)</f>
        <v>0.9828964583216051</v>
      </c>
      <c r="AR184" s="22">
        <f>VLOOKUP($A184,tabCustoUnit[],COLUMN(CUSTO_GLOBAL[[#Headers],[Aviso Prévio Trabalhado - APT]])-2,0)*($G184-$H184)</f>
        <v>15.331984150000002</v>
      </c>
      <c r="AS184" s="22">
        <f>VLOOKUP($A184,tabCustoUnit[],COLUMN(CUSTO_GLOBAL[[#Headers],[Incidência dos encargos do submódulo 2.1 sobre Aviso Prévio Trabalhado]])-2,0)*($G184-$H184)</f>
        <v>5.7954900087000016</v>
      </c>
      <c r="AT184" s="22">
        <f>VLOOKUP($A184,tabCustoUnit[],COLUMN(CUSTO_GLOBAL[[#Headers],[Multa Rescisória do FGTS]])-2,0)*($G184-$H184)</f>
        <v>133.94800120888885</v>
      </c>
      <c r="AU184" s="22">
        <f>VLOOKUP($A184,tabCustoUnit[],COLUMN(CUSTO_GLOBAL[[#Headers],[Indenização Adicional (Art. 9º da Lei nº 7.238/84)]])-2,0)*($G184-$H184)</f>
        <v>3.6504724166666667</v>
      </c>
      <c r="AV184" s="22">
        <f>VLOOKUP($A184,tabCustoUnit[],COLUMN(CUSTO_GLOBAL[[#Headers],[MÓDULO 3 – PROVISÃO PARA RESCISÃO]])-2,0)*($G184-$H184)</f>
        <v>192.88159971093131</v>
      </c>
      <c r="AW184" s="22">
        <f>VLOOKUP($A184,tabCustoUnit[],COLUMN(CUSTO_GLOBAL[[#Headers],[Ausência por Doença]])-2,0)*($G184-$H184)</f>
        <v>36.991453822222219</v>
      </c>
      <c r="AX184" s="22">
        <f>VLOOKUP($A184,tabCustoUnit[],COLUMN(CUSTO_GLOBAL[[#Headers],[Ausências Legais]])-2,0)*($G184-$H184)</f>
        <v>8.8828162138888871</v>
      </c>
      <c r="AY184" s="22">
        <f>VLOOKUP($A184,tabCustoUnit[],COLUMN(CUSTO_GLOBAL[[#Headers],[Licença Paternidade]])-2,0)*($G184-$H184)</f>
        <v>0.74834684541666663</v>
      </c>
      <c r="AZ184" s="22">
        <f>VLOOKUP($A184,tabCustoUnit[],COLUMN(CUSTO_GLOBAL[[#Headers],[Ausência por Acidente de Trabalho]])-2,0)*($G184-$H184)</f>
        <v>0.91261810416666667</v>
      </c>
      <c r="BA184" s="22">
        <f>VLOOKUP($A184,tabCustoUnit[],COLUMN(CUSTO_GLOBAL[[#Headers],[Férias, Adicional de Férias e 13º  com empregada em gozo de Licença Maternidade]])-2,0)*($G184-$H184)</f>
        <v>5.678512648148148</v>
      </c>
      <c r="BB184" s="22">
        <f>VLOOKUP($A184,tabCustoUnit[],COLUMN(CUSTO_GLOBAL[[#Headers],[Incidência do Submódulo 2.1 sobre Ausências Legais]])-2,0)*($G184-$H184)</f>
        <v>20.114796605592502</v>
      </c>
      <c r="BC184" s="22">
        <f>VLOOKUP($A184,tabCustoUnit[],COLUMN(CUSTO_GLOBAL[[#Headers],[Submódulo 4.1]])-2,0)*($G184-$H184)</f>
        <v>73.328544239435104</v>
      </c>
      <c r="BD184" s="22">
        <f>VLOOKUP($A184,tabCustoUnit[],COLUMN(CUSTO_GLOBAL[[#Headers],[Intervalo para Repouso ou Alimentação]])-2,0)*($G184-$H184)</f>
        <v>0</v>
      </c>
      <c r="BE184" s="22">
        <f>VLOOKUP($A184,tabCustoUnit[],COLUMN(CUSTO_GLOBAL[[#Headers],[Submódulo 4.2]])-2,0)*($G184-$H184)</f>
        <v>0</v>
      </c>
      <c r="BF184" s="22">
        <f>VLOOKUP($A184,tabCustoUnit[],COLUMN(CUSTO_GLOBAL[[#Headers],[Suspensão Temporária do Contrato de Trabalho]])-2,0)*($G184-$H184)</f>
        <v>0</v>
      </c>
      <c r="BG184" s="22">
        <f>VLOOKUP($A184,tabCustoUnit[],COLUMN(CUSTO_GLOBAL[[#Headers],[Submódulo 4.3]])-2,0)*($G184-$H184)</f>
        <v>0</v>
      </c>
      <c r="BH184" s="22">
        <f>VLOOKUP($A184,tabCustoUnit[],COLUMN(CUSTO_GLOBAL[[#Headers],[MÓDULO 4 – CUSTO DE REPOSIÇÃO DO PROFISSIONAL AUSENTE]])-2,0)*($G184-$H184)</f>
        <v>73.328544239435104</v>
      </c>
      <c r="BI184" s="22">
        <f>VLOOKUP($A184,tabCustoUnit[],COLUMN(CUSTO_GLOBAL[[#Headers],[Uniformes e EPIs]])-2,0)*($G184-$H184)</f>
        <v>92.100763771570698</v>
      </c>
      <c r="BJ184" s="22">
        <f>VLOOKUP($A184,tabCustoUnit[],COLUMN(CUSTO_GLOBAL[[#Headers],[Materiais de Consumo]])-2,0)*($G184-$H184)</f>
        <v>0</v>
      </c>
      <c r="BK184" s="22">
        <f>VLOOKUP($A184,tabCustoUnit[],COLUMN(CUSTO_GLOBAL[[#Headers],[Máquinas e Equipamentos (depreciação)]])-2,0)*($G184-$H184)</f>
        <v>0</v>
      </c>
      <c r="BL184" s="22">
        <f>VLOOKUP($A184,tabCustoUnit[],COLUMN(CUSTO_GLOBAL[[#Headers],[Produtos de Limpeza e Materiais de Higiene Pessoal]])-2,0)*($G184-$H184)</f>
        <v>0</v>
      </c>
      <c r="BM184" s="22">
        <f>VLOOKUP($A184,tabCustoUnit[],COLUMN(CUSTO_GLOBAL[[#Headers],[Outros (especificar)]])-2,0)*($G184-$H184)</f>
        <v>0</v>
      </c>
      <c r="BN184" s="22">
        <f>VLOOKUP($A184,tabCustoUnit[],COLUMN(CUSTO_GLOBAL[[#Headers],[MÓDULO 5 – INSUMOS DIVERSOS]])-2,0)*($G184-$H184)</f>
        <v>92.100763771570698</v>
      </c>
      <c r="BO184" s="22" t="e">
        <f ca="1">VLOOKUP($A184,tabCustoUnit[],COLUMN(CUSTO_GLOBAL[[#Headers],[TOTAL MÓDULOS 1+2+3+4+5]])-2,0)*($G184-$H184)</f>
        <v>#NAME?</v>
      </c>
      <c r="BP184" s="22" t="e">
        <f ca="1">VLOOKUP($A184,tabCustoUnit[],COLUMN(CUSTO_GLOBAL[[#Headers],[Custos Indiretos]])-2,0)*($G184-$H184)</f>
        <v>#NAME?</v>
      </c>
      <c r="BQ184" s="22" t="e">
        <f ca="1">VLOOKUP($A184,tabCustoUnit[],COLUMN(CUSTO_GLOBAL[[#Headers],[Lucro]])-2,0)*($G184-$H184)</f>
        <v>#NAME?</v>
      </c>
      <c r="BR184" s="26">
        <f>VLOOKUP($A184,tabCustoUnit[],COLUMN(CUSTO_GLOBAL[[#Headers],[COFINS]])-2,0)</f>
        <v>8.7608069164265154E-2</v>
      </c>
      <c r="BS184" s="26">
        <f>VLOOKUP($A184,tabCustoUnit[],COLUMN(CUSTO_GLOBAL[[#Headers],[PIS]])-2,0)</f>
        <v>1.9020172910662814E-2</v>
      </c>
      <c r="BT184" s="28">
        <f>VLOOKUP($A184,tabCustoUnit[],COLUMN(CUSTO_GLOBAL[[#Headers],[ISS]])-2,0)</f>
        <v>0.04</v>
      </c>
      <c r="BU184" s="26">
        <f>VLOOKUP($A184,tabCustoUnit[],COLUMN(CUSTO_GLOBAL[[#Headers],[ISS (Conversão Alíquota s/ fatura)]])-2,0)</f>
        <v>4.6109510086455294E-2</v>
      </c>
      <c r="BV184" s="26">
        <f>VLOOKUP($A184,tabCustoUnit[],COLUMN(CUSTO_GLOBAL[[#Headers],[Resumo de Alíquotas (PIS+CONFINS+ISS)]])-2,0)</f>
        <v>0.13250000000000001</v>
      </c>
      <c r="BW184" s="138">
        <f>VLOOKUP($A184,tabCustoUnit[],COLUMN(CUSTO_GLOBAL[[#Headers],[PIS + COFINS + ISS (Total Conversão  Alíquota s/ Fatura)]])-2,0)</f>
        <v>0.15273775216138324</v>
      </c>
      <c r="BX184" s="22" t="e">
        <f ca="1">VLOOKUP($A184,tabCustoUnit[],COLUMN(CUSTO_GLOBAL[[#Headers],[Valor dos Tributos (ISS, PIS, CONFINS)]])-2,0)*($G184-$H184)</f>
        <v>#NAME?</v>
      </c>
      <c r="BY184" s="22" t="e">
        <f ca="1">VLOOKUP($A184,tabCustoUnit[],COLUMN(CUSTO_GLOBAL[[#Headers],[MÓDULO 6 – CUSTOS INDIRETOS, TRIBUTOS E LUCRO]])-2,0)*($G184-$H184)</f>
        <v>#NAME?</v>
      </c>
      <c r="BZ184" s="22" t="e">
        <f ca="1">VLOOKUP($A184,tabCustoUnit[],COLUMN(CUSTO_GLOBAL[[#Headers],[CUSTO TOTAL MENSAL]])-2,0)*($G184-$H184)</f>
        <v>#NAME?</v>
      </c>
      <c r="CA184" s="22" t="e">
        <f ca="1">CUSTO_GLOBAL[[#This Row],[CUSTO TOTAL MENSAL]]*12</f>
        <v>#NAME?</v>
      </c>
      <c r="CB184" s="24">
        <f>VLOOKUP($A184,tabCustoUnit[],COLUMN(CUSTO_GLOBAL[[#Headers],[ANO DA CCT]])-2,0)</f>
        <v>45658</v>
      </c>
      <c r="CC184" s="25" t="str">
        <f>VLOOKUP($A184,tabCustoUnit[],COLUMN(CUSTO_GLOBAL[[#Headers],[Nº DE PEDIDO DA CCT]])-2,0)</f>
        <v>-</v>
      </c>
      <c r="CD184" s="25" t="str">
        <f>VLOOKUP($A184,tabCustoUnit[],COLUMN(CUSTO_GLOBAL[[#Headers],[TERMO ADITIVO ALTERAÇÃO DA CCT]])-2,0)</f>
        <v>-</v>
      </c>
    </row>
    <row r="185" spans="1:82">
      <c r="A185" s="20" t="s">
        <v>1626</v>
      </c>
      <c r="B185" t="s">
        <v>1152</v>
      </c>
      <c r="C185" t="s">
        <v>314</v>
      </c>
      <c r="D185" t="s">
        <v>899</v>
      </c>
      <c r="E185" s="20" t="s">
        <v>1090</v>
      </c>
      <c r="F185" s="20" t="s">
        <v>120</v>
      </c>
      <c r="G185" s="20">
        <v>1</v>
      </c>
      <c r="H185" s="20">
        <v>0</v>
      </c>
      <c r="I185" s="21">
        <f>VLOOKUP($A185,tabCustoUnit[],COLUMN(CUSTO_GLOBAL[[#Headers],[Salário Base]])-2,0)*($G185-$H185)</f>
        <v>1963.405</v>
      </c>
      <c r="J185" s="21">
        <f>VLOOKUP($A185,tabCustoUnit[],COLUMN(CUSTO_GLOBAL[[#Headers],[Adicional Periculosidade]])-2,0)*($G185-$H185)</f>
        <v>0</v>
      </c>
      <c r="K185" s="21">
        <f>VLOOKUP($A185,tabCustoUnit[],COLUMN(CUSTO_GLOBAL[[#Headers],[Adicional Insalubridade]])-2,0)*($G185-$H185)</f>
        <v>0</v>
      </c>
      <c r="L185" s="21">
        <f>VLOOKUP($A185,tabCustoUnit[],COLUMN(CUSTO_GLOBAL[[#Headers],[Adicional Noturno]])-2,0)*($G185-$H185)</f>
        <v>0</v>
      </c>
      <c r="M185" s="21">
        <f>VLOOKUP($A185,tabCustoUnit[],COLUMN(CUSTO_GLOBAL[[#Headers],[Adicional Motorista II (Gratificação)]])-2,0)*($G185-$H185)</f>
        <v>0</v>
      </c>
      <c r="N185" s="21">
        <f>VLOOKUP($A185,tabCustoUnit[],COLUMN(CUSTO_GLOBAL[[#Headers],[Adicional de Sobreaviso]])-2,0)*($G185-$H185)</f>
        <v>0</v>
      </c>
      <c r="O185" s="21">
        <f>VLOOKUP($A185,tabCustoUnit[],COLUMN(CUSTO_GLOBAL[[#Headers],[Horas Extras TI]])-2,0)*($G185-$H185)</f>
        <v>0</v>
      </c>
      <c r="P185" s="21">
        <f>VLOOKUP($A185,tabCustoUnit[],COLUMN(CUSTO_GLOBAL[[#Headers],[Adicional de Acúmulo de função]])-2,0)*($G185-$H185)</f>
        <v>0</v>
      </c>
      <c r="Q185" s="21">
        <f>VLOOKUP($A185,tabCustoUnit[],COLUMN(CUSTO_GLOBAL[[#Headers],[MODULO 1 - REMUNERAÇÃO ]])-2,0)*($G185-$H185)</f>
        <v>1963.405</v>
      </c>
      <c r="R185" s="21">
        <f>VLOOKUP($A185,tabCustoUnit[],COLUMN(CUSTO_GLOBAL[[#Headers],[INSS]])-2,0)*($G185-$H185)</f>
        <v>392.68100000000004</v>
      </c>
      <c r="S185" s="21">
        <f>VLOOKUP($A185,tabCustoUnit[],COLUMN(CUSTO_GLOBAL[[#Headers],[SESI OU SESC]])-2,0)*($G185-$H185)</f>
        <v>29.451074999999999</v>
      </c>
      <c r="T185" s="21">
        <f>VLOOKUP($A185,tabCustoUnit[],COLUMN(CUSTO_GLOBAL[[#Headers],[SENAI OU SENAC]])-2,0)*($G185-$H185)</f>
        <v>19.634049999999998</v>
      </c>
      <c r="U185" s="21">
        <f>VLOOKUP($A185,tabCustoUnit[],COLUMN(CUSTO_GLOBAL[[#Headers],[INCRA]])-2,0)*($G185-$H185)</f>
        <v>3.9268100000000001</v>
      </c>
      <c r="V185" s="21">
        <f>VLOOKUP($A185,tabCustoUnit[],COLUMN(CUSTO_GLOBAL[[#Headers],[Salário Educação]])-2,0)*($G185-$H185)</f>
        <v>49.085125000000005</v>
      </c>
      <c r="W185" s="21">
        <f>VLOOKUP($A185,tabCustoUnit[],COLUMN(CUSTO_GLOBAL[[#Headers],[FGTS]])-2,0)*($G185-$H185)</f>
        <v>157.07239999999999</v>
      </c>
      <c r="X185" s="21">
        <f>VLOOKUP($A185,tabCustoUnit[],COLUMN(CUSTO_GLOBAL[[#Headers],[RAT Ajustado]])-2,0)*($G185-$H185)</f>
        <v>78.536199999999994</v>
      </c>
      <c r="Y185" s="21">
        <f>VLOOKUP($A185,tabCustoUnit[],COLUMN(CUSTO_GLOBAL[[#Headers],[SEBRAE]])-2,0)*($G185-$H185)</f>
        <v>11.780430000000001</v>
      </c>
      <c r="Z185" s="21">
        <f>VLOOKUP($A185,tabCustoUnit[],COLUMN(CUSTO_GLOBAL[[#Headers],[Submódulo 2.1]])-2,0)*($G185-$H185)</f>
        <v>742.16709000000003</v>
      </c>
      <c r="AA185" s="21">
        <f>VLOOKUP($A185,tabCustoUnit[],COLUMN(CUSTO_GLOBAL[[#Headers],[13º salário (titular)]])-2,0)*($G185-$H185)</f>
        <v>163.61708333333331</v>
      </c>
      <c r="AB185" s="21">
        <f>VLOOKUP($A185,tabCustoUnit[],COLUMN(CUSTO_GLOBAL[[#Headers],[Férias e Adicional de Férias (titular)]])-2,0)*($G185-$H185)</f>
        <v>218.1561111111111</v>
      </c>
      <c r="AC185" s="21">
        <f>VLOOKUP($A185,tabCustoUnit[],COLUMN(CUSTO_GLOBAL[[#Headers],[Incidência do Submódulo 2.1 sobre 13º Salário, Férias e Adicional de Férias]])-2,0)*($G185-$H185)</f>
        <v>144.31026749999998</v>
      </c>
      <c r="AD185" s="21">
        <f>VLOOKUP($A185,tabCustoUnit[],COLUMN(CUSTO_GLOBAL[[#Headers],[Submódulo 2.2]])-2,0)*($G185-$H185)</f>
        <v>526.08346194444437</v>
      </c>
      <c r="AE185" s="22" t="e">
        <f ca="1">VLOOKUP($A185,tabCustoUnit[],COLUMN(CUSTO_GLOBAL[[#Headers],[Vale - Transporte (Descontada parcela do empregado)]])-2,0)*($G185-$H185)</f>
        <v>#NAME?</v>
      </c>
      <c r="AF185" s="22">
        <f>VLOOKUP($A185,tabCustoUnit[],COLUMN(CUSTO_GLOBAL[[#Headers],[Vale - Alimentação (Descontada parcela do empregado)]])-2,0)*($G185-$H185)</f>
        <v>0</v>
      </c>
      <c r="AG185" s="22">
        <f>VLOOKUP($A185,tabCustoUnit[],COLUMN(CUSTO_GLOBAL[[#Headers],[Cesta Básica]])-2,0)*($G185-$H185)</f>
        <v>387.79</v>
      </c>
      <c r="AH185" s="22">
        <f>VLOOKUP($A185,tabCustoUnit[],COLUMN(CUSTO_GLOBAL[[#Headers],[PAF]])-2,0)*($G185-$H185)</f>
        <v>42.97</v>
      </c>
      <c r="AI185" s="22">
        <f>VLOOKUP($A185,tabCustoUnit[],COLUMN(CUSTO_GLOBAL[[#Headers],[PQM]])-2,0)*($G185-$H185)</f>
        <v>0</v>
      </c>
      <c r="AJ185" s="22">
        <v>0</v>
      </c>
      <c r="AK185" s="22">
        <f>VLOOKUP($A185,tabCustoUnit[],COLUMN(CUSTO_GLOBAL[[#Headers],[Seguro de Vida]])-2,0)*($G185-$H185)</f>
        <v>3.36</v>
      </c>
      <c r="AL185" s="22">
        <f>VLOOKUP($A185,tabCustoUnit[],COLUMN(CUSTO_GLOBAL[[#Headers],[Despesas de Viagem]])-2,0)*($G185-$H185)</f>
        <v>0</v>
      </c>
      <c r="AM185" s="22" t="e">
        <f ca="1">VLOOKUP($A185,tabCustoUnit[],COLUMN(CUSTO_GLOBAL[[#Headers],[Submódulo 2.3]])-2,0)*($G185-$H185)</f>
        <v>#NAME?</v>
      </c>
      <c r="AN185" s="22" t="e">
        <f ca="1">VLOOKUP($A185,tabCustoUnit[],COLUMN(CUSTO_GLOBAL[[#Headers],[MÓDULO 2 - Total Encargos e Benefícios mensais e diários]])-2,0)*($G185-$H185)</f>
        <v>#NAME?</v>
      </c>
      <c r="AO185" s="22">
        <f>VLOOKUP($A185,tabCustoUnit[],COLUMN(CUSTO_GLOBAL[[#Headers],[Aviso Prévio Indenizado (API) e Reflexo do Aviso Prévio Indenizado]])-2,0)*($G185-$H185)</f>
        <v>13.766938338155864</v>
      </c>
      <c r="AP185" s="22">
        <f>VLOOKUP($A185,tabCustoUnit[],COLUMN(CUSTO_GLOBAL[[#Headers],[Incidência do FGTS sobre API e Reflexo do API]])-2,0)*($G185-$H185)</f>
        <v>1.1013550670524692</v>
      </c>
      <c r="AQ185" s="22">
        <f>VLOOKUP($A185,tabCustoUnit[],COLUMN(CUSTO_GLOBAL[[#Headers],[Multa Rescisória do FGTS sobre o Aviso Prévio Indenizado]])-2,0)*($G185-$H185)</f>
        <v>0.44054202682098775</v>
      </c>
      <c r="AR185" s="22">
        <f>VLOOKUP($A185,tabCustoUnit[],COLUMN(CUSTO_GLOBAL[[#Headers],[Aviso Prévio Trabalhado - APT]])-2,0)*($G185-$H185)</f>
        <v>6.8719175000000012</v>
      </c>
      <c r="AS185" s="22">
        <f>VLOOKUP($A185,tabCustoUnit[],COLUMN(CUSTO_GLOBAL[[#Headers],[Incidência dos encargos do submódulo 2.1 sobre Aviso Prévio Trabalhado]])-2,0)*($G185-$H185)</f>
        <v>2.5975848150000007</v>
      </c>
      <c r="AT185" s="22">
        <f>VLOOKUP($A185,tabCustoUnit[],COLUMN(CUSTO_GLOBAL[[#Headers],[Multa Rescisória do FGTS]])-2,0)*($G185-$H185)</f>
        <v>60.03656177777777</v>
      </c>
      <c r="AU185" s="22">
        <f>VLOOKUP($A185,tabCustoUnit[],COLUMN(CUSTO_GLOBAL[[#Headers],[Indenização Adicional (Art. 9º da Lei nº 7.238/84)]])-2,0)*($G185-$H185)</f>
        <v>1.6361708333333334</v>
      </c>
      <c r="AV185" s="22">
        <f>VLOOKUP($A185,tabCustoUnit[],COLUMN(CUSTO_GLOBAL[[#Headers],[MÓDULO 3 – PROVISÃO PARA RESCISÃO]])-2,0)*($G185-$H185)</f>
        <v>86.451070358140427</v>
      </c>
      <c r="AW185" s="22">
        <f>VLOOKUP($A185,tabCustoUnit[],COLUMN(CUSTO_GLOBAL[[#Headers],[Ausência por Doença]])-2,0)*($G185-$H185)</f>
        <v>16.579864444444443</v>
      </c>
      <c r="AX185" s="22">
        <f>VLOOKUP($A185,tabCustoUnit[],COLUMN(CUSTO_GLOBAL[[#Headers],[Ausências Legais]])-2,0)*($G185-$H185)</f>
        <v>3.9813490277777777</v>
      </c>
      <c r="AY185" s="22">
        <f>VLOOKUP($A185,tabCustoUnit[],COLUMN(CUSTO_GLOBAL[[#Headers],[Licença Paternidade]])-2,0)*($G185-$H185)</f>
        <v>0.3354150208333333</v>
      </c>
      <c r="AZ185" s="22">
        <f>VLOOKUP($A185,tabCustoUnit[],COLUMN(CUSTO_GLOBAL[[#Headers],[Ausência por Acidente de Trabalho]])-2,0)*($G185-$H185)</f>
        <v>0.40904270833333334</v>
      </c>
      <c r="BA185" s="22">
        <f>VLOOKUP($A185,tabCustoUnit[],COLUMN(CUSTO_GLOBAL[[#Headers],[Férias, Adicional de Férias e 13º  com empregada em gozo de Licença Maternidade]])-2,0)*($G185-$H185)</f>
        <v>2.5451546296296295</v>
      </c>
      <c r="BB185" s="22">
        <f>VLOOKUP($A185,tabCustoUnit[],COLUMN(CUSTO_GLOBAL[[#Headers],[Incidência do Submódulo 2.1 sobre Ausências Legais]])-2,0)*($G185-$H185)</f>
        <v>9.0156121641250007</v>
      </c>
      <c r="BC185" s="22">
        <f>VLOOKUP($A185,tabCustoUnit[],COLUMN(CUSTO_GLOBAL[[#Headers],[Submódulo 4.1]])-2,0)*($G185-$H185)</f>
        <v>32.866437995143521</v>
      </c>
      <c r="BD185" s="22">
        <f>VLOOKUP($A185,tabCustoUnit[],COLUMN(CUSTO_GLOBAL[[#Headers],[Intervalo para Repouso ou Alimentação]])-2,0)*($G185-$H185)</f>
        <v>267.73704981301341</v>
      </c>
      <c r="BE185" s="22">
        <f>VLOOKUP($A185,tabCustoUnit[],COLUMN(CUSTO_GLOBAL[[#Headers],[Submódulo 4.2]])-2,0)*($G185-$H185)</f>
        <v>267.73704981301341</v>
      </c>
      <c r="BF185" s="22">
        <f>VLOOKUP($A185,tabCustoUnit[],COLUMN(CUSTO_GLOBAL[[#Headers],[Suspensão Temporária do Contrato de Trabalho]])-2,0)*($G185-$H185)</f>
        <v>0</v>
      </c>
      <c r="BG185" s="22">
        <f>VLOOKUP($A185,tabCustoUnit[],COLUMN(CUSTO_GLOBAL[[#Headers],[Submódulo 4.3]])-2,0)*($G185-$H185)</f>
        <v>0</v>
      </c>
      <c r="BH185" s="22">
        <f>VLOOKUP($A185,tabCustoUnit[],COLUMN(CUSTO_GLOBAL[[#Headers],[MÓDULO 4 – CUSTO DE REPOSIÇÃO DO PROFISSIONAL AUSENTE]])-2,0)*($G185-$H185)</f>
        <v>300.60348780815696</v>
      </c>
      <c r="BI185" s="22">
        <f>VLOOKUP($A185,tabCustoUnit[],COLUMN(CUSTO_GLOBAL[[#Headers],[Uniformes e EPIs]])-2,0)*($G185-$H185)</f>
        <v>56.642978962543395</v>
      </c>
      <c r="BJ185" s="22">
        <f>VLOOKUP($A185,tabCustoUnit[],COLUMN(CUSTO_GLOBAL[[#Headers],[Materiais de Consumo]])-2,0)*($G185-$H185)</f>
        <v>0</v>
      </c>
      <c r="BK185" s="22">
        <f>VLOOKUP($A185,tabCustoUnit[],COLUMN(CUSTO_GLOBAL[[#Headers],[Máquinas e Equipamentos (depreciação)]])-2,0)*($G185-$H185)</f>
        <v>0</v>
      </c>
      <c r="BL185" s="22">
        <f>VLOOKUP($A185,tabCustoUnit[],COLUMN(CUSTO_GLOBAL[[#Headers],[Produtos de Limpeza e Materiais de Higiene Pessoal]])-2,0)*($G185-$H185)</f>
        <v>0</v>
      </c>
      <c r="BM185" s="22">
        <f>VLOOKUP($A185,tabCustoUnit[],COLUMN(CUSTO_GLOBAL[[#Headers],[Outros (especificar)]])-2,0)*($G185-$H185)</f>
        <v>0</v>
      </c>
      <c r="BN185" s="22">
        <f>VLOOKUP($A185,tabCustoUnit[],COLUMN(CUSTO_GLOBAL[[#Headers],[MÓDULO 5 – INSUMOS DIVERSOS]])-2,0)*($G185-$H185)</f>
        <v>56.642978962543395</v>
      </c>
      <c r="BO185" s="22" t="e">
        <f ca="1">VLOOKUP($A185,tabCustoUnit[],COLUMN(CUSTO_GLOBAL[[#Headers],[TOTAL MÓDULOS 1+2+3+4+5]])-2,0)*($G185-$H185)</f>
        <v>#NAME?</v>
      </c>
      <c r="BP185" s="22" t="e">
        <f ca="1">VLOOKUP($A185,tabCustoUnit[],COLUMN(CUSTO_GLOBAL[[#Headers],[Custos Indiretos]])-2,0)*($G185-$H185)</f>
        <v>#NAME?</v>
      </c>
      <c r="BQ185" s="22" t="e">
        <f ca="1">VLOOKUP($A185,tabCustoUnit[],COLUMN(CUSTO_GLOBAL[[#Headers],[Lucro]])-2,0)*($G185-$H185)</f>
        <v>#NAME?</v>
      </c>
      <c r="BR185" s="26">
        <f>VLOOKUP($A185,tabCustoUnit[],COLUMN(CUSTO_GLOBAL[[#Headers],[COFINS]])-2,0)</f>
        <v>8.7608069164265154E-2</v>
      </c>
      <c r="BS185" s="26">
        <f>VLOOKUP($A185,tabCustoUnit[],COLUMN(CUSTO_GLOBAL[[#Headers],[PIS]])-2,0)</f>
        <v>1.9020172910662814E-2</v>
      </c>
      <c r="BT185" s="28">
        <f>VLOOKUP($A185,tabCustoUnit[],COLUMN(CUSTO_GLOBAL[[#Headers],[ISS]])-2,0)</f>
        <v>0.04</v>
      </c>
      <c r="BU185" s="26">
        <f>VLOOKUP($A185,tabCustoUnit[],COLUMN(CUSTO_GLOBAL[[#Headers],[ISS (Conversão Alíquota s/ fatura)]])-2,0)</f>
        <v>4.6109510086455294E-2</v>
      </c>
      <c r="BV185" s="26">
        <f>VLOOKUP($A185,tabCustoUnit[],COLUMN(CUSTO_GLOBAL[[#Headers],[Resumo de Alíquotas (PIS+CONFINS+ISS)]])-2,0)</f>
        <v>0.13250000000000001</v>
      </c>
      <c r="BW185" s="138">
        <f>VLOOKUP($A185,tabCustoUnit[],COLUMN(CUSTO_GLOBAL[[#Headers],[PIS + COFINS + ISS (Total Conversão  Alíquota s/ Fatura)]])-2,0)</f>
        <v>0.15273775216138324</v>
      </c>
      <c r="BX185" s="22" t="e">
        <f ca="1">VLOOKUP($A185,tabCustoUnit[],COLUMN(CUSTO_GLOBAL[[#Headers],[Valor dos Tributos (ISS, PIS, CONFINS)]])-2,0)*($G185-$H185)</f>
        <v>#NAME?</v>
      </c>
      <c r="BY185" s="22" t="e">
        <f ca="1">VLOOKUP($A185,tabCustoUnit[],COLUMN(CUSTO_GLOBAL[[#Headers],[MÓDULO 6 – CUSTOS INDIRETOS, TRIBUTOS E LUCRO]])-2,0)*($G185-$H185)</f>
        <v>#NAME?</v>
      </c>
      <c r="BZ185" s="22" t="e">
        <f ca="1">VLOOKUP($A185,tabCustoUnit[],COLUMN(CUSTO_GLOBAL[[#Headers],[CUSTO TOTAL MENSAL]])-2,0)*($G185-$H185)</f>
        <v>#NAME?</v>
      </c>
      <c r="CA185" s="22" t="e">
        <f ca="1">CUSTO_GLOBAL[[#This Row],[CUSTO TOTAL MENSAL]]*12</f>
        <v>#NAME?</v>
      </c>
      <c r="CB185" s="24">
        <f>VLOOKUP($A185,tabCustoUnit[],COLUMN(CUSTO_GLOBAL[[#Headers],[ANO DA CCT]])-2,0)</f>
        <v>45658</v>
      </c>
      <c r="CC185" s="25" t="str">
        <f>VLOOKUP($A185,tabCustoUnit[],COLUMN(CUSTO_GLOBAL[[#Headers],[Nº DE PEDIDO DA CCT]])-2,0)</f>
        <v>-</v>
      </c>
      <c r="CD185" s="25" t="str">
        <f>VLOOKUP($A185,tabCustoUnit[],COLUMN(CUSTO_GLOBAL[[#Headers],[TERMO ADITIVO ALTERAÇÃO DA CCT]])-2,0)</f>
        <v>-</v>
      </c>
    </row>
    <row r="186" spans="1:82">
      <c r="A186" s="20" t="s">
        <v>1485</v>
      </c>
      <c r="B186" t="s">
        <v>1153</v>
      </c>
      <c r="C186" t="s">
        <v>200</v>
      </c>
      <c r="D186" t="s">
        <v>899</v>
      </c>
      <c r="E186" s="20" t="s">
        <v>1090</v>
      </c>
      <c r="F186" s="20" t="s">
        <v>120</v>
      </c>
      <c r="G186" s="20">
        <v>1</v>
      </c>
      <c r="H186" s="20">
        <v>0</v>
      </c>
      <c r="I186" s="21">
        <f>VLOOKUP($A186,tabCustoUnit[],COLUMN(CUSTO_GLOBAL[[#Headers],[Salário Base]])-2,0)*($G186-$H186)</f>
        <v>1596.2737999999999</v>
      </c>
      <c r="J186" s="21">
        <f>VLOOKUP($A186,tabCustoUnit[],COLUMN(CUSTO_GLOBAL[[#Headers],[Adicional Periculosidade]])-2,0)*($G186-$H186)</f>
        <v>0</v>
      </c>
      <c r="K186" s="21">
        <f>VLOOKUP($A186,tabCustoUnit[],COLUMN(CUSTO_GLOBAL[[#Headers],[Adicional Insalubridade]])-2,0)*($G186-$H186)</f>
        <v>0</v>
      </c>
      <c r="L186" s="21">
        <f>VLOOKUP($A186,tabCustoUnit[],COLUMN(CUSTO_GLOBAL[[#Headers],[Adicional Noturno]])-2,0)*($G186-$H186)</f>
        <v>0</v>
      </c>
      <c r="M186" s="21">
        <f>VLOOKUP($A186,tabCustoUnit[],COLUMN(CUSTO_GLOBAL[[#Headers],[Adicional Motorista II (Gratificação)]])-2,0)*($G186-$H186)</f>
        <v>0</v>
      </c>
      <c r="N186" s="21">
        <f>VLOOKUP($A186,tabCustoUnit[],COLUMN(CUSTO_GLOBAL[[#Headers],[Adicional de Sobreaviso]])-2,0)*($G186-$H186)</f>
        <v>0</v>
      </c>
      <c r="O186" s="21">
        <f>VLOOKUP($A186,tabCustoUnit[],COLUMN(CUSTO_GLOBAL[[#Headers],[Horas Extras TI]])-2,0)*($G186-$H186)</f>
        <v>0</v>
      </c>
      <c r="P186" s="21">
        <f>VLOOKUP($A186,tabCustoUnit[],COLUMN(CUSTO_GLOBAL[[#Headers],[Adicional de Acúmulo de função]])-2,0)*($G186-$H186)</f>
        <v>0</v>
      </c>
      <c r="Q186" s="21">
        <f>VLOOKUP($A186,tabCustoUnit[],COLUMN(CUSTO_GLOBAL[[#Headers],[MODULO 1 - REMUNERAÇÃO ]])-2,0)*($G186-$H186)</f>
        <v>1596.2737999999999</v>
      </c>
      <c r="R186" s="21">
        <f>VLOOKUP($A186,tabCustoUnit[],COLUMN(CUSTO_GLOBAL[[#Headers],[INSS]])-2,0)*($G186-$H186)</f>
        <v>319.25476000000003</v>
      </c>
      <c r="S186" s="21">
        <f>VLOOKUP($A186,tabCustoUnit[],COLUMN(CUSTO_GLOBAL[[#Headers],[SESI OU SESC]])-2,0)*($G186-$H186)</f>
        <v>23.944106999999999</v>
      </c>
      <c r="T186" s="21">
        <f>VLOOKUP($A186,tabCustoUnit[],COLUMN(CUSTO_GLOBAL[[#Headers],[SENAI OU SENAC]])-2,0)*($G186-$H186)</f>
        <v>15.962738</v>
      </c>
      <c r="U186" s="21">
        <f>VLOOKUP($A186,tabCustoUnit[],COLUMN(CUSTO_GLOBAL[[#Headers],[INCRA]])-2,0)*($G186-$H186)</f>
        <v>3.1925476000000002</v>
      </c>
      <c r="V186" s="21">
        <f>VLOOKUP($A186,tabCustoUnit[],COLUMN(CUSTO_GLOBAL[[#Headers],[Salário Educação]])-2,0)*($G186-$H186)</f>
        <v>39.906845000000004</v>
      </c>
      <c r="W186" s="21">
        <f>VLOOKUP($A186,tabCustoUnit[],COLUMN(CUSTO_GLOBAL[[#Headers],[FGTS]])-2,0)*($G186-$H186)</f>
        <v>127.701904</v>
      </c>
      <c r="X186" s="21">
        <f>VLOOKUP($A186,tabCustoUnit[],COLUMN(CUSTO_GLOBAL[[#Headers],[RAT Ajustado]])-2,0)*($G186-$H186)</f>
        <v>63.850951999999999</v>
      </c>
      <c r="Y186" s="21">
        <f>VLOOKUP($A186,tabCustoUnit[],COLUMN(CUSTO_GLOBAL[[#Headers],[SEBRAE]])-2,0)*($G186-$H186)</f>
        <v>9.5776427999999996</v>
      </c>
      <c r="Z186" s="21">
        <f>VLOOKUP($A186,tabCustoUnit[],COLUMN(CUSTO_GLOBAL[[#Headers],[Submódulo 2.1]])-2,0)*($G186-$H186)</f>
        <v>603.39149640000005</v>
      </c>
      <c r="AA186" s="21">
        <f>VLOOKUP($A186,tabCustoUnit[],COLUMN(CUSTO_GLOBAL[[#Headers],[13º salário (titular)]])-2,0)*($G186-$H186)</f>
        <v>133.02281666666664</v>
      </c>
      <c r="AB186" s="21">
        <f>VLOOKUP($A186,tabCustoUnit[],COLUMN(CUSTO_GLOBAL[[#Headers],[Férias e Adicional de Férias (titular)]])-2,0)*($G186-$H186)</f>
        <v>177.36375555555554</v>
      </c>
      <c r="AC186" s="21">
        <f>VLOOKUP($A186,tabCustoUnit[],COLUMN(CUSTO_GLOBAL[[#Headers],[Incidência do Submódulo 2.1 sobre 13º Salário, Férias e Adicional de Férias]])-2,0)*($G186-$H186)</f>
        <v>117.3261243</v>
      </c>
      <c r="AD186" s="21">
        <f>VLOOKUP($A186,tabCustoUnit[],COLUMN(CUSTO_GLOBAL[[#Headers],[Submódulo 2.2]])-2,0)*($G186-$H186)</f>
        <v>427.71269652222219</v>
      </c>
      <c r="AE186" s="22" t="e">
        <f ca="1">VLOOKUP($A186,tabCustoUnit[],COLUMN(CUSTO_GLOBAL[[#Headers],[Vale - Transporte (Descontada parcela do empregado)]])-2,0)*($G186-$H186)</f>
        <v>#NAME?</v>
      </c>
      <c r="AF186" s="22">
        <f>VLOOKUP($A186,tabCustoUnit[],COLUMN(CUSTO_GLOBAL[[#Headers],[Vale - Alimentação (Descontada parcela do empregado)]])-2,0)*($G186-$H186)</f>
        <v>0</v>
      </c>
      <c r="AG186" s="22">
        <f>VLOOKUP($A186,tabCustoUnit[],COLUMN(CUSTO_GLOBAL[[#Headers],[Cesta Básica]])-2,0)*($G186-$H186)</f>
        <v>387.79</v>
      </c>
      <c r="AH186" s="22">
        <f>VLOOKUP($A186,tabCustoUnit[],COLUMN(CUSTO_GLOBAL[[#Headers],[PAF]])-2,0)*($G186-$H186)</f>
        <v>42.97</v>
      </c>
      <c r="AI186" s="22">
        <f>VLOOKUP($A186,tabCustoUnit[],COLUMN(CUSTO_GLOBAL[[#Headers],[PQM]])-2,0)*($G186-$H186)</f>
        <v>0</v>
      </c>
      <c r="AJ186" s="22">
        <v>0</v>
      </c>
      <c r="AK186" s="22">
        <f>VLOOKUP($A186,tabCustoUnit[],COLUMN(CUSTO_GLOBAL[[#Headers],[Seguro de Vida]])-2,0)*($G186-$H186)</f>
        <v>3.36</v>
      </c>
      <c r="AL186" s="22">
        <f>VLOOKUP($A186,tabCustoUnit[],COLUMN(CUSTO_GLOBAL[[#Headers],[Despesas de Viagem]])-2,0)*($G186-$H186)</f>
        <v>0</v>
      </c>
      <c r="AM186" s="22" t="e">
        <f ca="1">VLOOKUP($A186,tabCustoUnit[],COLUMN(CUSTO_GLOBAL[[#Headers],[Submódulo 2.3]])-2,0)*($G186-$H186)</f>
        <v>#NAME?</v>
      </c>
      <c r="AN186" s="22" t="e">
        <f ca="1">VLOOKUP($A186,tabCustoUnit[],COLUMN(CUSTO_GLOBAL[[#Headers],[MÓDULO 2 - Total Encargos e Benefícios mensais e diários]])-2,0)*($G186-$H186)</f>
        <v>#NAME?</v>
      </c>
      <c r="AO186" s="22">
        <f>VLOOKUP($A186,tabCustoUnit[],COLUMN(CUSTO_GLOBAL[[#Headers],[Aviso Prévio Indenizado (API) e Reflexo do Aviso Prévio Indenizado]])-2,0)*($G186-$H186)</f>
        <v>11.192699914390431</v>
      </c>
      <c r="AP186" s="22">
        <f>VLOOKUP($A186,tabCustoUnit[],COLUMN(CUSTO_GLOBAL[[#Headers],[Incidência do FGTS sobre API e Reflexo do API]])-2,0)*($G186-$H186)</f>
        <v>0.89541599315123466</v>
      </c>
      <c r="AQ186" s="22">
        <f>VLOOKUP($A186,tabCustoUnit[],COLUMN(CUSTO_GLOBAL[[#Headers],[Multa Rescisória do FGTS sobre o Aviso Prévio Indenizado]])-2,0)*($G186-$H186)</f>
        <v>0.35816639726049387</v>
      </c>
      <c r="AR186" s="22">
        <f>VLOOKUP($A186,tabCustoUnit[],COLUMN(CUSTO_GLOBAL[[#Headers],[Aviso Prévio Trabalhado - APT]])-2,0)*($G186-$H186)</f>
        <v>5.5869583000000009</v>
      </c>
      <c r="AS186" s="22">
        <f>VLOOKUP($A186,tabCustoUnit[],COLUMN(CUSTO_GLOBAL[[#Headers],[Incidência dos encargos do submódulo 2.1 sobre Aviso Prévio Trabalhado]])-2,0)*($G186-$H186)</f>
        <v>2.1118702374000007</v>
      </c>
      <c r="AT186" s="22">
        <f>VLOOKUP($A186,tabCustoUnit[],COLUMN(CUSTO_GLOBAL[[#Headers],[Multa Rescisória do FGTS]])-2,0)*($G186-$H186)</f>
        <v>48.810505528888882</v>
      </c>
      <c r="AU186" s="22">
        <f>VLOOKUP($A186,tabCustoUnit[],COLUMN(CUSTO_GLOBAL[[#Headers],[Indenização Adicional (Art. 9º da Lei nº 7.238/84)]])-2,0)*($G186-$H186)</f>
        <v>1.3302281666666667</v>
      </c>
      <c r="AV186" s="22">
        <f>VLOOKUP($A186,tabCustoUnit[],COLUMN(CUSTO_GLOBAL[[#Headers],[MÓDULO 3 – PROVISÃO PARA RESCISÃO]])-2,0)*($G186-$H186)</f>
        <v>70.285844537757711</v>
      </c>
      <c r="AW186" s="22">
        <f>VLOOKUP($A186,tabCustoUnit[],COLUMN(CUSTO_GLOBAL[[#Headers],[Ausência por Doença]])-2,0)*($G186-$H186)</f>
        <v>13.479645422222221</v>
      </c>
      <c r="AX186" s="22">
        <f>VLOOKUP($A186,tabCustoUnit[],COLUMN(CUSTO_GLOBAL[[#Headers],[Ausências Legais]])-2,0)*($G186-$H186)</f>
        <v>3.2368885388888886</v>
      </c>
      <c r="AY186" s="22">
        <f>VLOOKUP($A186,tabCustoUnit[],COLUMN(CUSTO_GLOBAL[[#Headers],[Licença Paternidade]])-2,0)*($G186-$H186)</f>
        <v>0.27269677416666666</v>
      </c>
      <c r="AZ186" s="22">
        <f>VLOOKUP($A186,tabCustoUnit[],COLUMN(CUSTO_GLOBAL[[#Headers],[Ausência por Acidente de Trabalho]])-2,0)*($G186-$H186)</f>
        <v>0.33255704166666666</v>
      </c>
      <c r="BA186" s="22">
        <f>VLOOKUP($A186,tabCustoUnit[],COLUMN(CUSTO_GLOBAL[[#Headers],[Férias, Adicional de Férias e 13º  com empregada em gozo de Licença Maternidade]])-2,0)*($G186-$H186)</f>
        <v>2.0692438148148145</v>
      </c>
      <c r="BB186" s="22">
        <f>VLOOKUP($A186,tabCustoUnit[],COLUMN(CUSTO_GLOBAL[[#Headers],[Incidência do Submódulo 2.1 sobre Ausências Legais]])-2,0)*($G186-$H186)</f>
        <v>7.3298099416850011</v>
      </c>
      <c r="BC186" s="22">
        <f>VLOOKUP($A186,tabCustoUnit[],COLUMN(CUSTO_GLOBAL[[#Headers],[Submódulo 4.1]])-2,0)*($G186-$H186)</f>
        <v>26.720841533444265</v>
      </c>
      <c r="BD186" s="22">
        <f>VLOOKUP($A186,tabCustoUnit[],COLUMN(CUSTO_GLOBAL[[#Headers],[Intervalo para Repouso ou Alimentação]])-2,0)*($G186-$H186)</f>
        <v>0</v>
      </c>
      <c r="BE186" s="22">
        <f>VLOOKUP($A186,tabCustoUnit[],COLUMN(CUSTO_GLOBAL[[#Headers],[Submódulo 4.2]])-2,0)*($G186-$H186)</f>
        <v>0</v>
      </c>
      <c r="BF186" s="22">
        <f>VLOOKUP($A186,tabCustoUnit[],COLUMN(CUSTO_GLOBAL[[#Headers],[Suspensão Temporária do Contrato de Trabalho]])-2,0)*($G186-$H186)</f>
        <v>0</v>
      </c>
      <c r="BG186" s="22">
        <f>VLOOKUP($A186,tabCustoUnit[],COLUMN(CUSTO_GLOBAL[[#Headers],[Submódulo 4.3]])-2,0)*($G186-$H186)</f>
        <v>0</v>
      </c>
      <c r="BH186" s="22">
        <f>VLOOKUP($A186,tabCustoUnit[],COLUMN(CUSTO_GLOBAL[[#Headers],[MÓDULO 4 – CUSTO DE REPOSIÇÃO DO PROFISSIONAL AUSENTE]])-2,0)*($G186-$H186)</f>
        <v>26.720841533444265</v>
      </c>
      <c r="BI186" s="22">
        <f>VLOOKUP($A186,tabCustoUnit[],COLUMN(CUSTO_GLOBAL[[#Headers],[Uniformes e EPIs]])-2,0)*($G186-$H186)</f>
        <v>56.141713661989918</v>
      </c>
      <c r="BJ186" s="22">
        <f>VLOOKUP($A186,tabCustoUnit[],COLUMN(CUSTO_GLOBAL[[#Headers],[Materiais de Consumo]])-2,0)*($G186-$H186)</f>
        <v>0</v>
      </c>
      <c r="BK186" s="22">
        <f>VLOOKUP($A186,tabCustoUnit[],COLUMN(CUSTO_GLOBAL[[#Headers],[Máquinas e Equipamentos (depreciação)]])-2,0)*($G186-$H186)</f>
        <v>0</v>
      </c>
      <c r="BL186" s="22">
        <f>VLOOKUP($A186,tabCustoUnit[],COLUMN(CUSTO_GLOBAL[[#Headers],[Produtos de Limpeza e Materiais de Higiene Pessoal]])-2,0)*($G186-$H186)</f>
        <v>0</v>
      </c>
      <c r="BM186" s="22">
        <f>VLOOKUP($A186,tabCustoUnit[],COLUMN(CUSTO_GLOBAL[[#Headers],[Outros (especificar)]])-2,0)*($G186-$H186)</f>
        <v>0</v>
      </c>
      <c r="BN186" s="22">
        <f>VLOOKUP($A186,tabCustoUnit[],COLUMN(CUSTO_GLOBAL[[#Headers],[MÓDULO 5 – INSUMOS DIVERSOS]])-2,0)*($G186-$H186)</f>
        <v>56.141713661989918</v>
      </c>
      <c r="BO186" s="22" t="e">
        <f ca="1">VLOOKUP($A186,tabCustoUnit[],COLUMN(CUSTO_GLOBAL[[#Headers],[TOTAL MÓDULOS 1+2+3+4+5]])-2,0)*($G186-$H186)</f>
        <v>#NAME?</v>
      </c>
      <c r="BP186" s="22" t="e">
        <f ca="1">VLOOKUP($A186,tabCustoUnit[],COLUMN(CUSTO_GLOBAL[[#Headers],[Custos Indiretos]])-2,0)*($G186-$H186)</f>
        <v>#NAME?</v>
      </c>
      <c r="BQ186" s="22" t="e">
        <f ca="1">VLOOKUP($A186,tabCustoUnit[],COLUMN(CUSTO_GLOBAL[[#Headers],[Lucro]])-2,0)*($G186-$H186)</f>
        <v>#NAME?</v>
      </c>
      <c r="BR186" s="26">
        <f>VLOOKUP($A186,tabCustoUnit[],COLUMN(CUSTO_GLOBAL[[#Headers],[COFINS]])-2,0)</f>
        <v>8.6609686609686695E-2</v>
      </c>
      <c r="BS186" s="26">
        <f>VLOOKUP($A186,tabCustoUnit[],COLUMN(CUSTO_GLOBAL[[#Headers],[PIS]])-2,0)</f>
        <v>1.880341880341882E-2</v>
      </c>
      <c r="BT186" s="28">
        <f>VLOOKUP($A186,tabCustoUnit[],COLUMN(CUSTO_GLOBAL[[#Headers],[ISS]])-2,0)</f>
        <v>0.03</v>
      </c>
      <c r="BU186" s="26">
        <f>VLOOKUP($A186,tabCustoUnit[],COLUMN(CUSTO_GLOBAL[[#Headers],[ISS (Conversão Alíquota s/ fatura)]])-2,0)</f>
        <v>3.4188034188034219E-2</v>
      </c>
      <c r="BV186" s="26">
        <f>VLOOKUP($A186,tabCustoUnit[],COLUMN(CUSTO_GLOBAL[[#Headers],[Resumo de Alíquotas (PIS+CONFINS+ISS)]])-2,0)</f>
        <v>0.1225</v>
      </c>
      <c r="BW186" s="138">
        <f>VLOOKUP($A186,tabCustoUnit[],COLUMN(CUSTO_GLOBAL[[#Headers],[PIS + COFINS + ISS (Total Conversão  Alíquota s/ Fatura)]])-2,0)</f>
        <v>0.13960113960113973</v>
      </c>
      <c r="BX186" s="22" t="e">
        <f ca="1">VLOOKUP($A186,tabCustoUnit[],COLUMN(CUSTO_GLOBAL[[#Headers],[Valor dos Tributos (ISS, PIS, CONFINS)]])-2,0)*($G186-$H186)</f>
        <v>#NAME?</v>
      </c>
      <c r="BY186" s="22" t="e">
        <f ca="1">VLOOKUP($A186,tabCustoUnit[],COLUMN(CUSTO_GLOBAL[[#Headers],[MÓDULO 6 – CUSTOS INDIRETOS, TRIBUTOS E LUCRO]])-2,0)*($G186-$H186)</f>
        <v>#NAME?</v>
      </c>
      <c r="BZ186" s="22" t="e">
        <f ca="1">VLOOKUP($A186,tabCustoUnit[],COLUMN(CUSTO_GLOBAL[[#Headers],[CUSTO TOTAL MENSAL]])-2,0)*($G186-$H186)</f>
        <v>#NAME?</v>
      </c>
      <c r="CA186" s="22" t="e">
        <f ca="1">CUSTO_GLOBAL[[#This Row],[CUSTO TOTAL MENSAL]]*12</f>
        <v>#NAME?</v>
      </c>
      <c r="CB186" s="24">
        <f>VLOOKUP($A186,tabCustoUnit[],COLUMN(CUSTO_GLOBAL[[#Headers],[ANO DA CCT]])-2,0)</f>
        <v>45658</v>
      </c>
      <c r="CC186" s="25" t="str">
        <f>VLOOKUP($A186,tabCustoUnit[],COLUMN(CUSTO_GLOBAL[[#Headers],[Nº DE PEDIDO DA CCT]])-2,0)</f>
        <v>-</v>
      </c>
      <c r="CD186" s="25" t="str">
        <f>VLOOKUP($A186,tabCustoUnit[],COLUMN(CUSTO_GLOBAL[[#Headers],[TERMO ADITIVO ALTERAÇÃO DA CCT]])-2,0)</f>
        <v>-</v>
      </c>
    </row>
    <row r="187" spans="1:82">
      <c r="A187" s="20" t="s">
        <v>1627</v>
      </c>
      <c r="B187" t="s">
        <v>1153</v>
      </c>
      <c r="C187" t="s">
        <v>324</v>
      </c>
      <c r="D187" t="s">
        <v>899</v>
      </c>
      <c r="E187" s="20" t="s">
        <v>1090</v>
      </c>
      <c r="F187" s="20" t="s">
        <v>120</v>
      </c>
      <c r="G187" s="20">
        <v>1</v>
      </c>
      <c r="H187" s="20">
        <v>0</v>
      </c>
      <c r="I187" s="21">
        <f>VLOOKUP($A187,tabCustoUnit[],COLUMN(CUSTO_GLOBAL[[#Headers],[Salário Base]])-2,0)*($G187-$H187)</f>
        <v>3397.1306</v>
      </c>
      <c r="J187" s="21">
        <f>VLOOKUP($A187,tabCustoUnit[],COLUMN(CUSTO_GLOBAL[[#Headers],[Adicional Periculosidade]])-2,0)*($G187-$H187)</f>
        <v>0</v>
      </c>
      <c r="K187" s="21">
        <f>VLOOKUP($A187,tabCustoUnit[],COLUMN(CUSTO_GLOBAL[[#Headers],[Adicional Insalubridade]])-2,0)*($G187-$H187)</f>
        <v>0</v>
      </c>
      <c r="L187" s="21">
        <f>VLOOKUP($A187,tabCustoUnit[],COLUMN(CUSTO_GLOBAL[[#Headers],[Adicional Noturno]])-2,0)*($G187-$H187)</f>
        <v>0</v>
      </c>
      <c r="M187" s="21">
        <f>VLOOKUP($A187,tabCustoUnit[],COLUMN(CUSTO_GLOBAL[[#Headers],[Adicional Motorista II (Gratificação)]])-2,0)*($G187-$H187)</f>
        <v>0</v>
      </c>
      <c r="N187" s="21">
        <f>VLOOKUP($A187,tabCustoUnit[],COLUMN(CUSTO_GLOBAL[[#Headers],[Adicional de Sobreaviso]])-2,0)*($G187-$H187)</f>
        <v>0</v>
      </c>
      <c r="O187" s="21">
        <f>VLOOKUP($A187,tabCustoUnit[],COLUMN(CUSTO_GLOBAL[[#Headers],[Horas Extras TI]])-2,0)*($G187-$H187)</f>
        <v>0</v>
      </c>
      <c r="P187" s="21">
        <f>VLOOKUP($A187,tabCustoUnit[],COLUMN(CUSTO_GLOBAL[[#Headers],[Adicional de Acúmulo de função]])-2,0)*($G187-$H187)</f>
        <v>0</v>
      </c>
      <c r="Q187" s="21">
        <f>VLOOKUP($A187,tabCustoUnit[],COLUMN(CUSTO_GLOBAL[[#Headers],[MODULO 1 - REMUNERAÇÃO ]])-2,0)*($G187-$H187)</f>
        <v>3397.1306</v>
      </c>
      <c r="R187" s="21">
        <f>VLOOKUP($A187,tabCustoUnit[],COLUMN(CUSTO_GLOBAL[[#Headers],[INSS]])-2,0)*($G187-$H187)</f>
        <v>679.42612000000008</v>
      </c>
      <c r="S187" s="21">
        <f>VLOOKUP($A187,tabCustoUnit[],COLUMN(CUSTO_GLOBAL[[#Headers],[SESI OU SESC]])-2,0)*($G187-$H187)</f>
        <v>50.956958999999998</v>
      </c>
      <c r="T187" s="21">
        <f>VLOOKUP($A187,tabCustoUnit[],COLUMN(CUSTO_GLOBAL[[#Headers],[SENAI OU SENAC]])-2,0)*($G187-$H187)</f>
        <v>33.971305999999998</v>
      </c>
      <c r="U187" s="21">
        <f>VLOOKUP($A187,tabCustoUnit[],COLUMN(CUSTO_GLOBAL[[#Headers],[INCRA]])-2,0)*($G187-$H187)</f>
        <v>6.7942612000000002</v>
      </c>
      <c r="V187" s="21">
        <f>VLOOKUP($A187,tabCustoUnit[],COLUMN(CUSTO_GLOBAL[[#Headers],[Salário Educação]])-2,0)*($G187-$H187)</f>
        <v>84.92826500000001</v>
      </c>
      <c r="W187" s="21">
        <f>VLOOKUP($A187,tabCustoUnit[],COLUMN(CUSTO_GLOBAL[[#Headers],[FGTS]])-2,0)*($G187-$H187)</f>
        <v>271.77044799999999</v>
      </c>
      <c r="X187" s="21">
        <f>VLOOKUP($A187,tabCustoUnit[],COLUMN(CUSTO_GLOBAL[[#Headers],[RAT Ajustado]])-2,0)*($G187-$H187)</f>
        <v>135.88522399999999</v>
      </c>
      <c r="Y187" s="21">
        <f>VLOOKUP($A187,tabCustoUnit[],COLUMN(CUSTO_GLOBAL[[#Headers],[SEBRAE]])-2,0)*($G187-$H187)</f>
        <v>20.3827836</v>
      </c>
      <c r="Z187" s="21">
        <f>VLOOKUP($A187,tabCustoUnit[],COLUMN(CUSTO_GLOBAL[[#Headers],[Submódulo 2.1]])-2,0)*($G187-$H187)</f>
        <v>1284.1153668000002</v>
      </c>
      <c r="AA187" s="21">
        <f>VLOOKUP($A187,tabCustoUnit[],COLUMN(CUSTO_GLOBAL[[#Headers],[13º salário (titular)]])-2,0)*($G187-$H187)</f>
        <v>283.09421666666663</v>
      </c>
      <c r="AB187" s="21">
        <f>VLOOKUP($A187,tabCustoUnit[],COLUMN(CUSTO_GLOBAL[[#Headers],[Férias e Adicional de Férias (titular)]])-2,0)*($G187-$H187)</f>
        <v>377.45895555555552</v>
      </c>
      <c r="AC187" s="21">
        <f>VLOOKUP($A187,tabCustoUnit[],COLUMN(CUSTO_GLOBAL[[#Headers],[Incidência do Submódulo 2.1 sobre 13º Salário, Férias e Adicional de Férias]])-2,0)*($G187-$H187)</f>
        <v>249.68909910000002</v>
      </c>
      <c r="AD187" s="21">
        <f>VLOOKUP($A187,tabCustoUnit[],COLUMN(CUSTO_GLOBAL[[#Headers],[Submódulo 2.2]])-2,0)*($G187-$H187)</f>
        <v>910.24227132222222</v>
      </c>
      <c r="AE187" s="22" t="e">
        <f ca="1">VLOOKUP($A187,tabCustoUnit[],COLUMN(CUSTO_GLOBAL[[#Headers],[Vale - Transporte (Descontada parcela do empregado)]])-2,0)*($G187-$H187)</f>
        <v>#NAME?</v>
      </c>
      <c r="AF187" s="22">
        <f>VLOOKUP($A187,tabCustoUnit[],COLUMN(CUSTO_GLOBAL[[#Headers],[Vale - Alimentação (Descontada parcela do empregado)]])-2,0)*($G187-$H187)</f>
        <v>0</v>
      </c>
      <c r="AG187" s="22">
        <f>VLOOKUP($A187,tabCustoUnit[],COLUMN(CUSTO_GLOBAL[[#Headers],[Cesta Básica]])-2,0)*($G187-$H187)</f>
        <v>387.79</v>
      </c>
      <c r="AH187" s="22">
        <f>VLOOKUP($A187,tabCustoUnit[],COLUMN(CUSTO_GLOBAL[[#Headers],[PAF]])-2,0)*($G187-$H187)</f>
        <v>42.97</v>
      </c>
      <c r="AI187" s="22">
        <f>VLOOKUP($A187,tabCustoUnit[],COLUMN(CUSTO_GLOBAL[[#Headers],[PQM]])-2,0)*($G187-$H187)</f>
        <v>0</v>
      </c>
      <c r="AJ187" s="22">
        <v>0</v>
      </c>
      <c r="AK187" s="22">
        <f>VLOOKUP($A187,tabCustoUnit[],COLUMN(CUSTO_GLOBAL[[#Headers],[Seguro de Vida]])-2,0)*($G187-$H187)</f>
        <v>3.36</v>
      </c>
      <c r="AL187" s="22">
        <f>VLOOKUP($A187,tabCustoUnit[],COLUMN(CUSTO_GLOBAL[[#Headers],[Despesas de Viagem]])-2,0)*($G187-$H187)</f>
        <v>0</v>
      </c>
      <c r="AM187" s="22" t="e">
        <f ca="1">VLOOKUP($A187,tabCustoUnit[],COLUMN(CUSTO_GLOBAL[[#Headers],[Submódulo 2.3]])-2,0)*($G187-$H187)</f>
        <v>#NAME?</v>
      </c>
      <c r="AN187" s="22" t="e">
        <f ca="1">VLOOKUP($A187,tabCustoUnit[],COLUMN(CUSTO_GLOBAL[[#Headers],[MÓDULO 2 - Total Encargos e Benefícios mensais e diários]])-2,0)*($G187-$H187)</f>
        <v>#NAME?</v>
      </c>
      <c r="AO187" s="22">
        <f>VLOOKUP($A187,tabCustoUnit[],COLUMN(CUSTO_GLOBAL[[#Headers],[Aviso Prévio Indenizado (API) e Reflexo do Aviso Prévio Indenizado]])-2,0)*($G187-$H187)</f>
        <v>23.819888151890432</v>
      </c>
      <c r="AP187" s="22">
        <f>VLOOKUP($A187,tabCustoUnit[],COLUMN(CUSTO_GLOBAL[[#Headers],[Incidência do FGTS sobre API e Reflexo do API]])-2,0)*($G187-$H187)</f>
        <v>1.9055910521512347</v>
      </c>
      <c r="AQ187" s="22">
        <f>VLOOKUP($A187,tabCustoUnit[],COLUMN(CUSTO_GLOBAL[[#Headers],[Multa Rescisória do FGTS sobre o Aviso Prévio Indenizado]])-2,0)*($G187-$H187)</f>
        <v>0.76223642086049392</v>
      </c>
      <c r="AR187" s="22">
        <f>VLOOKUP($A187,tabCustoUnit[],COLUMN(CUSTO_GLOBAL[[#Headers],[Aviso Prévio Trabalhado - APT]])-2,0)*($G187-$H187)</f>
        <v>11.889957100000002</v>
      </c>
      <c r="AS187" s="22">
        <f>VLOOKUP($A187,tabCustoUnit[],COLUMN(CUSTO_GLOBAL[[#Headers],[Incidência dos encargos do submódulo 2.1 sobre Aviso Prévio Trabalhado]])-2,0)*($G187-$H187)</f>
        <v>4.4944037838000011</v>
      </c>
      <c r="AT187" s="22">
        <f>VLOOKUP($A187,tabCustoUnit[],COLUMN(CUSTO_GLOBAL[[#Headers],[Multa Rescisória do FGTS]])-2,0)*($G187-$H187)</f>
        <v>103.87670456888887</v>
      </c>
      <c r="AU187" s="22">
        <f>VLOOKUP($A187,tabCustoUnit[],COLUMN(CUSTO_GLOBAL[[#Headers],[Indenização Adicional (Art. 9º da Lei nº 7.238/84)]])-2,0)*($G187-$H187)</f>
        <v>2.830942166666667</v>
      </c>
      <c r="AV187" s="22">
        <f>VLOOKUP($A187,tabCustoUnit[],COLUMN(CUSTO_GLOBAL[[#Headers],[MÓDULO 3 – PROVISÃO PARA RESCISÃO]])-2,0)*($G187-$H187)</f>
        <v>149.57972324425771</v>
      </c>
      <c r="AW187" s="22">
        <f>VLOOKUP($A187,tabCustoUnit[],COLUMN(CUSTO_GLOBAL[[#Headers],[Ausência por Doença]])-2,0)*($G187-$H187)</f>
        <v>28.686880622222219</v>
      </c>
      <c r="AX187" s="22">
        <f>VLOOKUP($A187,tabCustoUnit[],COLUMN(CUSTO_GLOBAL[[#Headers],[Ausências Legais]])-2,0)*($G187-$H187)</f>
        <v>6.8886259388888886</v>
      </c>
      <c r="AY187" s="22">
        <f>VLOOKUP($A187,tabCustoUnit[],COLUMN(CUSTO_GLOBAL[[#Headers],[Licença Paternidade]])-2,0)*($G187-$H187)</f>
        <v>0.58034314416666666</v>
      </c>
      <c r="AZ187" s="22">
        <f>VLOOKUP($A187,tabCustoUnit[],COLUMN(CUSTO_GLOBAL[[#Headers],[Ausência por Acidente de Trabalho]])-2,0)*($G187-$H187)</f>
        <v>0.70773554166666675</v>
      </c>
      <c r="BA187" s="22">
        <f>VLOOKUP($A187,tabCustoUnit[],COLUMN(CUSTO_GLOBAL[[#Headers],[Férias, Adicional de Férias e 13º  com empregada em gozo de Licença Maternidade]])-2,0)*($G187-$H187)</f>
        <v>4.4036878148148144</v>
      </c>
      <c r="BB187" s="22">
        <f>VLOOKUP($A187,tabCustoUnit[],COLUMN(CUSTO_GLOBAL[[#Headers],[Incidência do Submódulo 2.1 sobre Ausências Legais]])-2,0)*($G187-$H187)</f>
        <v>15.599029217345002</v>
      </c>
      <c r="BC187" s="22">
        <f>VLOOKUP($A187,tabCustoUnit[],COLUMN(CUSTO_GLOBAL[[#Headers],[Submódulo 4.1]])-2,0)*($G187-$H187)</f>
        <v>56.866302279104261</v>
      </c>
      <c r="BD187" s="22">
        <f>VLOOKUP($A187,tabCustoUnit[],COLUMN(CUSTO_GLOBAL[[#Headers],[Intervalo para Repouso ou Alimentação]])-2,0)*($G187-$H187)</f>
        <v>0</v>
      </c>
      <c r="BE187" s="22">
        <f>VLOOKUP($A187,tabCustoUnit[],COLUMN(CUSTO_GLOBAL[[#Headers],[Submódulo 4.2]])-2,0)*($G187-$H187)</f>
        <v>0</v>
      </c>
      <c r="BF187" s="22">
        <f>VLOOKUP($A187,tabCustoUnit[],COLUMN(CUSTO_GLOBAL[[#Headers],[Suspensão Temporária do Contrato de Trabalho]])-2,0)*($G187-$H187)</f>
        <v>0</v>
      </c>
      <c r="BG187" s="22">
        <f>VLOOKUP($A187,tabCustoUnit[],COLUMN(CUSTO_GLOBAL[[#Headers],[Submódulo 4.3]])-2,0)*($G187-$H187)</f>
        <v>0</v>
      </c>
      <c r="BH187" s="22">
        <f>VLOOKUP($A187,tabCustoUnit[],COLUMN(CUSTO_GLOBAL[[#Headers],[MÓDULO 4 – CUSTO DE REPOSIÇÃO DO PROFISSIONAL AUSENTE]])-2,0)*($G187-$H187)</f>
        <v>56.866302279104261</v>
      </c>
      <c r="BI187" s="22">
        <f>VLOOKUP($A187,tabCustoUnit[],COLUMN(CUSTO_GLOBAL[[#Headers],[Uniformes e EPIs]])-2,0)*($G187-$H187)</f>
        <v>56.642978962543395</v>
      </c>
      <c r="BJ187" s="22">
        <f>VLOOKUP($A187,tabCustoUnit[],COLUMN(CUSTO_GLOBAL[[#Headers],[Materiais de Consumo]])-2,0)*($G187-$H187)</f>
        <v>0</v>
      </c>
      <c r="BK187" s="22">
        <f>VLOOKUP($A187,tabCustoUnit[],COLUMN(CUSTO_GLOBAL[[#Headers],[Máquinas e Equipamentos (depreciação)]])-2,0)*($G187-$H187)</f>
        <v>0</v>
      </c>
      <c r="BL187" s="22">
        <f>VLOOKUP($A187,tabCustoUnit[],COLUMN(CUSTO_GLOBAL[[#Headers],[Produtos de Limpeza e Materiais de Higiene Pessoal]])-2,0)*($G187-$H187)</f>
        <v>0</v>
      </c>
      <c r="BM187" s="22">
        <f>VLOOKUP($A187,tabCustoUnit[],COLUMN(CUSTO_GLOBAL[[#Headers],[Outros (especificar)]])-2,0)*($G187-$H187)</f>
        <v>0</v>
      </c>
      <c r="BN187" s="22">
        <f>VLOOKUP($A187,tabCustoUnit[],COLUMN(CUSTO_GLOBAL[[#Headers],[MÓDULO 5 – INSUMOS DIVERSOS]])-2,0)*($G187-$H187)</f>
        <v>56.642978962543395</v>
      </c>
      <c r="BO187" s="22" t="e">
        <f ca="1">VLOOKUP($A187,tabCustoUnit[],COLUMN(CUSTO_GLOBAL[[#Headers],[TOTAL MÓDULOS 1+2+3+4+5]])-2,0)*($G187-$H187)</f>
        <v>#NAME?</v>
      </c>
      <c r="BP187" s="22" t="e">
        <f ca="1">VLOOKUP($A187,tabCustoUnit[],COLUMN(CUSTO_GLOBAL[[#Headers],[Custos Indiretos]])-2,0)*($G187-$H187)</f>
        <v>#NAME?</v>
      </c>
      <c r="BQ187" s="22" t="e">
        <f ca="1">VLOOKUP($A187,tabCustoUnit[],COLUMN(CUSTO_GLOBAL[[#Headers],[Lucro]])-2,0)*($G187-$H187)</f>
        <v>#NAME?</v>
      </c>
      <c r="BR187" s="26">
        <f>VLOOKUP($A187,tabCustoUnit[],COLUMN(CUSTO_GLOBAL[[#Headers],[COFINS]])-2,0)</f>
        <v>8.6609686609686695E-2</v>
      </c>
      <c r="BS187" s="26">
        <f>VLOOKUP($A187,tabCustoUnit[],COLUMN(CUSTO_GLOBAL[[#Headers],[PIS]])-2,0)</f>
        <v>1.880341880341882E-2</v>
      </c>
      <c r="BT187" s="28">
        <f>VLOOKUP($A187,tabCustoUnit[],COLUMN(CUSTO_GLOBAL[[#Headers],[ISS]])-2,0)</f>
        <v>0.03</v>
      </c>
      <c r="BU187" s="26">
        <f>VLOOKUP($A187,tabCustoUnit[],COLUMN(CUSTO_GLOBAL[[#Headers],[ISS (Conversão Alíquota s/ fatura)]])-2,0)</f>
        <v>3.4188034188034219E-2</v>
      </c>
      <c r="BV187" s="26">
        <f>VLOOKUP($A187,tabCustoUnit[],COLUMN(CUSTO_GLOBAL[[#Headers],[Resumo de Alíquotas (PIS+CONFINS+ISS)]])-2,0)</f>
        <v>0.1225</v>
      </c>
      <c r="BW187" s="138">
        <f>VLOOKUP($A187,tabCustoUnit[],COLUMN(CUSTO_GLOBAL[[#Headers],[PIS + COFINS + ISS (Total Conversão  Alíquota s/ Fatura)]])-2,0)</f>
        <v>0.13960113960113973</v>
      </c>
      <c r="BX187" s="22" t="e">
        <f ca="1">VLOOKUP($A187,tabCustoUnit[],COLUMN(CUSTO_GLOBAL[[#Headers],[Valor dos Tributos (ISS, PIS, CONFINS)]])-2,0)*($G187-$H187)</f>
        <v>#NAME?</v>
      </c>
      <c r="BY187" s="22" t="e">
        <f ca="1">VLOOKUP($A187,tabCustoUnit[],COLUMN(CUSTO_GLOBAL[[#Headers],[MÓDULO 6 – CUSTOS INDIRETOS, TRIBUTOS E LUCRO]])-2,0)*($G187-$H187)</f>
        <v>#NAME?</v>
      </c>
      <c r="BZ187" s="22" t="e">
        <f ca="1">VLOOKUP($A187,tabCustoUnit[],COLUMN(CUSTO_GLOBAL[[#Headers],[CUSTO TOTAL MENSAL]])-2,0)*($G187-$H187)</f>
        <v>#NAME?</v>
      </c>
      <c r="CA187" s="22" t="e">
        <f ca="1">CUSTO_GLOBAL[[#This Row],[CUSTO TOTAL MENSAL]]*12</f>
        <v>#NAME?</v>
      </c>
      <c r="CB187" s="24">
        <f>VLOOKUP($A187,tabCustoUnit[],COLUMN(CUSTO_GLOBAL[[#Headers],[ANO DA CCT]])-2,0)</f>
        <v>45658</v>
      </c>
      <c r="CC187" s="25" t="str">
        <f>VLOOKUP($A187,tabCustoUnit[],COLUMN(CUSTO_GLOBAL[[#Headers],[Nº DE PEDIDO DA CCT]])-2,0)</f>
        <v>-</v>
      </c>
      <c r="CD187" s="25" t="str">
        <f>VLOOKUP($A187,tabCustoUnit[],COLUMN(CUSTO_GLOBAL[[#Headers],[TERMO ADITIVO ALTERAÇÃO DA CCT]])-2,0)</f>
        <v>-</v>
      </c>
    </row>
    <row r="188" spans="1:82">
      <c r="A188" s="20" t="s">
        <v>1628</v>
      </c>
      <c r="B188" t="s">
        <v>1154</v>
      </c>
      <c r="C188" t="s">
        <v>314</v>
      </c>
      <c r="D188" t="s">
        <v>918</v>
      </c>
      <c r="E188" s="20" t="s">
        <v>1090</v>
      </c>
      <c r="F188" s="20" t="s">
        <v>120</v>
      </c>
      <c r="G188" s="20">
        <v>1</v>
      </c>
      <c r="H188" s="20">
        <v>0</v>
      </c>
      <c r="I188" s="21">
        <f>VLOOKUP($A188,tabCustoUnit[],COLUMN(CUSTO_GLOBAL[[#Headers],[Salário Base]])-2,0)*($G188-$H188)</f>
        <v>1963.4110000000001</v>
      </c>
      <c r="J188" s="21">
        <f>VLOOKUP($A188,tabCustoUnit[],COLUMN(CUSTO_GLOBAL[[#Headers],[Adicional Periculosidade]])-2,0)*($G188-$H188)</f>
        <v>0</v>
      </c>
      <c r="K188" s="21">
        <f>VLOOKUP($A188,tabCustoUnit[],COLUMN(CUSTO_GLOBAL[[#Headers],[Adicional Insalubridade]])-2,0)*($G188-$H188)</f>
        <v>0</v>
      </c>
      <c r="L188" s="21">
        <f>VLOOKUP($A188,tabCustoUnit[],COLUMN(CUSTO_GLOBAL[[#Headers],[Adicional Noturno]])-2,0)*($G188-$H188)</f>
        <v>0</v>
      </c>
      <c r="M188" s="21">
        <f>VLOOKUP($A188,tabCustoUnit[],COLUMN(CUSTO_GLOBAL[[#Headers],[Adicional Motorista II (Gratificação)]])-2,0)*($G188-$H188)</f>
        <v>0</v>
      </c>
      <c r="N188" s="21">
        <f>VLOOKUP($A188,tabCustoUnit[],COLUMN(CUSTO_GLOBAL[[#Headers],[Adicional de Sobreaviso]])-2,0)*($G188-$H188)</f>
        <v>0</v>
      </c>
      <c r="O188" s="21">
        <f>VLOOKUP($A188,tabCustoUnit[],COLUMN(CUSTO_GLOBAL[[#Headers],[Horas Extras TI]])-2,0)*($G188-$H188)</f>
        <v>0</v>
      </c>
      <c r="P188" s="21">
        <f>VLOOKUP($A188,tabCustoUnit[],COLUMN(CUSTO_GLOBAL[[#Headers],[Adicional de Acúmulo de função]])-2,0)*($G188-$H188)</f>
        <v>0</v>
      </c>
      <c r="Q188" s="21">
        <f>VLOOKUP($A188,tabCustoUnit[],COLUMN(CUSTO_GLOBAL[[#Headers],[MODULO 1 - REMUNERAÇÃO ]])-2,0)*($G188-$H188)</f>
        <v>1963.4110000000001</v>
      </c>
      <c r="R188" s="21">
        <f>VLOOKUP($A188,tabCustoUnit[],COLUMN(CUSTO_GLOBAL[[#Headers],[INSS]])-2,0)*($G188-$H188)</f>
        <v>392.68220000000002</v>
      </c>
      <c r="S188" s="21">
        <f>VLOOKUP($A188,tabCustoUnit[],COLUMN(CUSTO_GLOBAL[[#Headers],[SESI OU SESC]])-2,0)*($G188-$H188)</f>
        <v>29.451165</v>
      </c>
      <c r="T188" s="21">
        <f>VLOOKUP($A188,tabCustoUnit[],COLUMN(CUSTO_GLOBAL[[#Headers],[SENAI OU SENAC]])-2,0)*($G188-$H188)</f>
        <v>19.63411</v>
      </c>
      <c r="U188" s="21">
        <f>VLOOKUP($A188,tabCustoUnit[],COLUMN(CUSTO_GLOBAL[[#Headers],[INCRA]])-2,0)*($G188-$H188)</f>
        <v>3.926822</v>
      </c>
      <c r="V188" s="21">
        <f>VLOOKUP($A188,tabCustoUnit[],COLUMN(CUSTO_GLOBAL[[#Headers],[Salário Educação]])-2,0)*($G188-$H188)</f>
        <v>49.085275000000003</v>
      </c>
      <c r="W188" s="21">
        <f>VLOOKUP($A188,tabCustoUnit[],COLUMN(CUSTO_GLOBAL[[#Headers],[FGTS]])-2,0)*($G188-$H188)</f>
        <v>157.07288</v>
      </c>
      <c r="X188" s="21">
        <f>VLOOKUP($A188,tabCustoUnit[],COLUMN(CUSTO_GLOBAL[[#Headers],[RAT Ajustado]])-2,0)*($G188-$H188)</f>
        <v>78.536439999999999</v>
      </c>
      <c r="Y188" s="21">
        <f>VLOOKUP($A188,tabCustoUnit[],COLUMN(CUSTO_GLOBAL[[#Headers],[SEBRAE]])-2,0)*($G188-$H188)</f>
        <v>11.780466000000001</v>
      </c>
      <c r="Z188" s="21">
        <f>VLOOKUP($A188,tabCustoUnit[],COLUMN(CUSTO_GLOBAL[[#Headers],[Submódulo 2.1]])-2,0)*($G188-$H188)</f>
        <v>742.1693580000001</v>
      </c>
      <c r="AA188" s="21">
        <f>VLOOKUP($A188,tabCustoUnit[],COLUMN(CUSTO_GLOBAL[[#Headers],[13º salário (titular)]])-2,0)*($G188-$H188)</f>
        <v>163.61758333333333</v>
      </c>
      <c r="AB188" s="21">
        <f>VLOOKUP($A188,tabCustoUnit[],COLUMN(CUSTO_GLOBAL[[#Headers],[Férias e Adicional de Férias (titular)]])-2,0)*($G188-$H188)</f>
        <v>218.15677777777776</v>
      </c>
      <c r="AC188" s="21">
        <f>VLOOKUP($A188,tabCustoUnit[],COLUMN(CUSTO_GLOBAL[[#Headers],[Incidência do Submódulo 2.1 sobre 13º Salário, Férias e Adicional de Férias]])-2,0)*($G188-$H188)</f>
        <v>144.3107085</v>
      </c>
      <c r="AD188" s="21">
        <f>VLOOKUP($A188,tabCustoUnit[],COLUMN(CUSTO_GLOBAL[[#Headers],[Submódulo 2.2]])-2,0)*($G188-$H188)</f>
        <v>526.08506961111107</v>
      </c>
      <c r="AE188" s="22" t="e">
        <f ca="1">VLOOKUP($A188,tabCustoUnit[],COLUMN(CUSTO_GLOBAL[[#Headers],[Vale - Transporte (Descontada parcela do empregado)]])-2,0)*($G188-$H188)</f>
        <v>#NAME?</v>
      </c>
      <c r="AF188" s="22">
        <f>VLOOKUP($A188,tabCustoUnit[],COLUMN(CUSTO_GLOBAL[[#Headers],[Vale - Alimentação (Descontada parcela do empregado)]])-2,0)*($G188-$H188)</f>
        <v>582</v>
      </c>
      <c r="AG188" s="22">
        <f>VLOOKUP($A188,tabCustoUnit[],COLUMN(CUSTO_GLOBAL[[#Headers],[Cesta Básica]])-2,0)*($G188-$H188)</f>
        <v>0</v>
      </c>
      <c r="AH188" s="22">
        <f>VLOOKUP($A188,tabCustoUnit[],COLUMN(CUSTO_GLOBAL[[#Headers],[PAF]])-2,0)*($G188-$H188)</f>
        <v>0</v>
      </c>
      <c r="AI188" s="22">
        <f>VLOOKUP($A188,tabCustoUnit[],COLUMN(CUSTO_GLOBAL[[#Headers],[PQM]])-2,0)*($G188-$H188)</f>
        <v>15.07</v>
      </c>
      <c r="AJ188" s="22">
        <v>0</v>
      </c>
      <c r="AK188" s="22">
        <f>VLOOKUP($A188,tabCustoUnit[],COLUMN(CUSTO_GLOBAL[[#Headers],[Seguro de Vida]])-2,0)*($G188-$H188)</f>
        <v>3.36</v>
      </c>
      <c r="AL188" s="22">
        <f>VLOOKUP($A188,tabCustoUnit[],COLUMN(CUSTO_GLOBAL[[#Headers],[Despesas de Viagem]])-2,0)*($G188-$H188)</f>
        <v>0</v>
      </c>
      <c r="AM188" s="22" t="e">
        <f ca="1">VLOOKUP($A188,tabCustoUnit[],COLUMN(CUSTO_GLOBAL[[#Headers],[Submódulo 2.3]])-2,0)*($G188-$H188)</f>
        <v>#NAME?</v>
      </c>
      <c r="AN188" s="22" t="e">
        <f ca="1">VLOOKUP($A188,tabCustoUnit[],COLUMN(CUSTO_GLOBAL[[#Headers],[MÓDULO 2 - Total Encargos e Benefícios mensais e diários]])-2,0)*($G188-$H188)</f>
        <v>#NAME?</v>
      </c>
      <c r="AO188" s="22">
        <f>VLOOKUP($A188,tabCustoUnit[],COLUMN(CUSTO_GLOBAL[[#Headers],[Aviso Prévio Indenizado (API) e Reflexo do Aviso Prévio Indenizado]])-2,0)*($G188-$H188)</f>
        <v>13.766980408757716</v>
      </c>
      <c r="AP188" s="22">
        <f>VLOOKUP($A188,tabCustoUnit[],COLUMN(CUSTO_GLOBAL[[#Headers],[Incidência do FGTS sobre API e Reflexo do API]])-2,0)*($G188-$H188)</f>
        <v>1.1013584327006174</v>
      </c>
      <c r="AQ188" s="22">
        <f>VLOOKUP($A188,tabCustoUnit[],COLUMN(CUSTO_GLOBAL[[#Headers],[Multa Rescisória do FGTS sobre o Aviso Prévio Indenizado]])-2,0)*($G188-$H188)</f>
        <v>0.44054337308024699</v>
      </c>
      <c r="AR188" s="22">
        <f>VLOOKUP($A188,tabCustoUnit[],COLUMN(CUSTO_GLOBAL[[#Headers],[Aviso Prévio Trabalhado - APT]])-2,0)*($G188-$H188)</f>
        <v>6.8719385000000015</v>
      </c>
      <c r="AS188" s="22">
        <f>VLOOKUP($A188,tabCustoUnit[],COLUMN(CUSTO_GLOBAL[[#Headers],[Incidência dos encargos do submódulo 2.1 sobre Aviso Prévio Trabalhado]])-2,0)*($G188-$H188)</f>
        <v>2.5975927530000007</v>
      </c>
      <c r="AT188" s="22">
        <f>VLOOKUP($A188,tabCustoUnit[],COLUMN(CUSTO_GLOBAL[[#Headers],[Multa Rescisória do FGTS]])-2,0)*($G188-$H188)</f>
        <v>60.03674524444444</v>
      </c>
      <c r="AU188" s="22">
        <f>VLOOKUP($A188,tabCustoUnit[],COLUMN(CUSTO_GLOBAL[[#Headers],[Indenização Adicional (Art. 9º da Lei nº 7.238/84)]])-2,0)*($G188-$H188)</f>
        <v>1.6361758333333334</v>
      </c>
      <c r="AV188" s="22">
        <f>VLOOKUP($A188,tabCustoUnit[],COLUMN(CUSTO_GLOBAL[[#Headers],[MÓDULO 3 – PROVISÃO PARA RESCISÃO]])-2,0)*($G188-$H188)</f>
        <v>86.451334545316371</v>
      </c>
      <c r="AW188" s="22">
        <f>VLOOKUP($A188,tabCustoUnit[],COLUMN(CUSTO_GLOBAL[[#Headers],[Ausência por Doença]])-2,0)*($G188-$H188)</f>
        <v>16.579915111111109</v>
      </c>
      <c r="AX188" s="22">
        <f>VLOOKUP($A188,tabCustoUnit[],COLUMN(CUSTO_GLOBAL[[#Headers],[Ausências Legais]])-2,0)*($G188-$H188)</f>
        <v>3.9813611944444443</v>
      </c>
      <c r="AY188" s="22">
        <f>VLOOKUP($A188,tabCustoUnit[],COLUMN(CUSTO_GLOBAL[[#Headers],[Licença Paternidade]])-2,0)*($G188-$H188)</f>
        <v>0.33541604583333334</v>
      </c>
      <c r="AZ188" s="22">
        <f>VLOOKUP($A188,tabCustoUnit[],COLUMN(CUSTO_GLOBAL[[#Headers],[Ausência por Acidente de Trabalho]])-2,0)*($G188-$H188)</f>
        <v>0.40904395833333335</v>
      </c>
      <c r="BA188" s="22">
        <f>VLOOKUP($A188,tabCustoUnit[],COLUMN(CUSTO_GLOBAL[[#Headers],[Férias, Adicional de Férias e 13º  com empregada em gozo de Licença Maternidade]])-2,0)*($G188-$H188)</f>
        <v>2.5451624074074073</v>
      </c>
      <c r="BB188" s="22">
        <f>VLOOKUP($A188,tabCustoUnit[],COLUMN(CUSTO_GLOBAL[[#Headers],[Incidência do Submódulo 2.1 sobre Ausências Legais]])-2,0)*($G188-$H188)</f>
        <v>9.0156397150750021</v>
      </c>
      <c r="BC188" s="22">
        <f>VLOOKUP($A188,tabCustoUnit[],COLUMN(CUSTO_GLOBAL[[#Headers],[Submódulo 4.1]])-2,0)*($G188-$H188)</f>
        <v>32.866538432204628</v>
      </c>
      <c r="BD188" s="22">
        <f>VLOOKUP($A188,tabCustoUnit[],COLUMN(CUSTO_GLOBAL[[#Headers],[Intervalo para Repouso ou Alimentação]])-2,0)*($G188-$H188)</f>
        <v>267.73786489195959</v>
      </c>
      <c r="BE188" s="22">
        <f>VLOOKUP($A188,tabCustoUnit[],COLUMN(CUSTO_GLOBAL[[#Headers],[Submódulo 4.2]])-2,0)*($G188-$H188)</f>
        <v>267.73786489195959</v>
      </c>
      <c r="BF188" s="22">
        <f>VLOOKUP($A188,tabCustoUnit[],COLUMN(CUSTO_GLOBAL[[#Headers],[Suspensão Temporária do Contrato de Trabalho]])-2,0)*($G188-$H188)</f>
        <v>0</v>
      </c>
      <c r="BG188" s="22">
        <f>VLOOKUP($A188,tabCustoUnit[],COLUMN(CUSTO_GLOBAL[[#Headers],[Submódulo 4.3]])-2,0)*($G188-$H188)</f>
        <v>0</v>
      </c>
      <c r="BH188" s="22">
        <f>VLOOKUP($A188,tabCustoUnit[],COLUMN(CUSTO_GLOBAL[[#Headers],[MÓDULO 4 – CUSTO DE REPOSIÇÃO DO PROFISSIONAL AUSENTE]])-2,0)*($G188-$H188)</f>
        <v>300.6044033241642</v>
      </c>
      <c r="BI188" s="22">
        <f>VLOOKUP($A188,tabCustoUnit[],COLUMN(CUSTO_GLOBAL[[#Headers],[Uniformes e EPIs]])-2,0)*($G188-$H188)</f>
        <v>56.642978962543395</v>
      </c>
      <c r="BJ188" s="22">
        <f>VLOOKUP($A188,tabCustoUnit[],COLUMN(CUSTO_GLOBAL[[#Headers],[Materiais de Consumo]])-2,0)*($G188-$H188)</f>
        <v>0</v>
      </c>
      <c r="BK188" s="22">
        <f>VLOOKUP($A188,tabCustoUnit[],COLUMN(CUSTO_GLOBAL[[#Headers],[Máquinas e Equipamentos (depreciação)]])-2,0)*($G188-$H188)</f>
        <v>0</v>
      </c>
      <c r="BL188" s="22">
        <f>VLOOKUP($A188,tabCustoUnit[],COLUMN(CUSTO_GLOBAL[[#Headers],[Produtos de Limpeza e Materiais de Higiene Pessoal]])-2,0)*($G188-$H188)</f>
        <v>0</v>
      </c>
      <c r="BM188" s="22">
        <f>VLOOKUP($A188,tabCustoUnit[],COLUMN(CUSTO_GLOBAL[[#Headers],[Outros (especificar)]])-2,0)*($G188-$H188)</f>
        <v>0</v>
      </c>
      <c r="BN188" s="22">
        <f>VLOOKUP($A188,tabCustoUnit[],COLUMN(CUSTO_GLOBAL[[#Headers],[MÓDULO 5 – INSUMOS DIVERSOS]])-2,0)*($G188-$H188)</f>
        <v>56.642978962543395</v>
      </c>
      <c r="BO188" s="22" t="e">
        <f ca="1">VLOOKUP($A188,tabCustoUnit[],COLUMN(CUSTO_GLOBAL[[#Headers],[TOTAL MÓDULOS 1+2+3+4+5]])-2,0)*($G188-$H188)</f>
        <v>#NAME?</v>
      </c>
      <c r="BP188" s="22" t="e">
        <f ca="1">VLOOKUP($A188,tabCustoUnit[],COLUMN(CUSTO_GLOBAL[[#Headers],[Custos Indiretos]])-2,0)*($G188-$H188)</f>
        <v>#NAME?</v>
      </c>
      <c r="BQ188" s="22" t="e">
        <f ca="1">VLOOKUP($A188,tabCustoUnit[],COLUMN(CUSTO_GLOBAL[[#Headers],[Lucro]])-2,0)*($G188-$H188)</f>
        <v>#NAME?</v>
      </c>
      <c r="BR188" s="26">
        <f>VLOOKUP($A188,tabCustoUnit[],COLUMN(CUSTO_GLOBAL[[#Headers],[COFINS]])-2,0)</f>
        <v>8.6609686609686695E-2</v>
      </c>
      <c r="BS188" s="26">
        <f>VLOOKUP($A188,tabCustoUnit[],COLUMN(CUSTO_GLOBAL[[#Headers],[PIS]])-2,0)</f>
        <v>1.880341880341882E-2</v>
      </c>
      <c r="BT188" s="28">
        <f>VLOOKUP($A188,tabCustoUnit[],COLUMN(CUSTO_GLOBAL[[#Headers],[ISS]])-2,0)</f>
        <v>0.03</v>
      </c>
      <c r="BU188" s="26">
        <f>VLOOKUP($A188,tabCustoUnit[],COLUMN(CUSTO_GLOBAL[[#Headers],[ISS (Conversão Alíquota s/ fatura)]])-2,0)</f>
        <v>3.4188034188034219E-2</v>
      </c>
      <c r="BV188" s="26">
        <f>VLOOKUP($A188,tabCustoUnit[],COLUMN(CUSTO_GLOBAL[[#Headers],[Resumo de Alíquotas (PIS+CONFINS+ISS)]])-2,0)</f>
        <v>0.1225</v>
      </c>
      <c r="BW188" s="138">
        <f>VLOOKUP($A188,tabCustoUnit[],COLUMN(CUSTO_GLOBAL[[#Headers],[PIS + COFINS + ISS (Total Conversão  Alíquota s/ Fatura)]])-2,0)</f>
        <v>0.13960113960113973</v>
      </c>
      <c r="BX188" s="22" t="e">
        <f ca="1">VLOOKUP($A188,tabCustoUnit[],COLUMN(CUSTO_GLOBAL[[#Headers],[Valor dos Tributos (ISS, PIS, CONFINS)]])-2,0)*($G188-$H188)</f>
        <v>#NAME?</v>
      </c>
      <c r="BY188" s="22" t="e">
        <f ca="1">VLOOKUP($A188,tabCustoUnit[],COLUMN(CUSTO_GLOBAL[[#Headers],[MÓDULO 6 – CUSTOS INDIRETOS, TRIBUTOS E LUCRO]])-2,0)*($G188-$H188)</f>
        <v>#NAME?</v>
      </c>
      <c r="BZ188" s="22" t="e">
        <f ca="1">VLOOKUP($A188,tabCustoUnit[],COLUMN(CUSTO_GLOBAL[[#Headers],[CUSTO TOTAL MENSAL]])-2,0)*($G188-$H188)</f>
        <v>#NAME?</v>
      </c>
      <c r="CA188" s="22" t="e">
        <f ca="1">CUSTO_GLOBAL[[#This Row],[CUSTO TOTAL MENSAL]]*12</f>
        <v>#NAME?</v>
      </c>
      <c r="CB188" s="24">
        <f>VLOOKUP($A188,tabCustoUnit[],COLUMN(CUSTO_GLOBAL[[#Headers],[ANO DA CCT]])-2,0)</f>
        <v>45658</v>
      </c>
      <c r="CC188" s="25" t="str">
        <f>VLOOKUP($A188,tabCustoUnit[],COLUMN(CUSTO_GLOBAL[[#Headers],[Nº DE PEDIDO DA CCT]])-2,0)</f>
        <v>-</v>
      </c>
      <c r="CD188" s="25" t="str">
        <f>VLOOKUP($A188,tabCustoUnit[],COLUMN(CUSTO_GLOBAL[[#Headers],[TERMO ADITIVO ALTERAÇÃO DA CCT]])-2,0)</f>
        <v>-</v>
      </c>
    </row>
    <row r="189" spans="1:82">
      <c r="A189" s="20" t="s">
        <v>1629</v>
      </c>
      <c r="B189" t="s">
        <v>1155</v>
      </c>
      <c r="C189" t="s">
        <v>319</v>
      </c>
      <c r="D189" t="s">
        <v>918</v>
      </c>
      <c r="E189" s="20" t="s">
        <v>1090</v>
      </c>
      <c r="F189" s="20" t="s">
        <v>120</v>
      </c>
      <c r="G189" s="20">
        <v>1</v>
      </c>
      <c r="H189" s="20">
        <v>0</v>
      </c>
      <c r="I189" s="21">
        <f>VLOOKUP($A189,tabCustoUnit[],COLUMN(CUSTO_GLOBAL[[#Headers],[Salário Base]])-2,0)*($G189-$H189)</f>
        <v>2316.2296999999999</v>
      </c>
      <c r="J189" s="21">
        <f>VLOOKUP($A189,tabCustoUnit[],COLUMN(CUSTO_GLOBAL[[#Headers],[Adicional Periculosidade]])-2,0)*($G189-$H189)</f>
        <v>0</v>
      </c>
      <c r="K189" s="21">
        <f>VLOOKUP($A189,tabCustoUnit[],COLUMN(CUSTO_GLOBAL[[#Headers],[Adicional Insalubridade]])-2,0)*($G189-$H189)</f>
        <v>0</v>
      </c>
      <c r="L189" s="21">
        <f>VLOOKUP($A189,tabCustoUnit[],COLUMN(CUSTO_GLOBAL[[#Headers],[Adicional Noturno]])-2,0)*($G189-$H189)</f>
        <v>0</v>
      </c>
      <c r="M189" s="21">
        <f>VLOOKUP($A189,tabCustoUnit[],COLUMN(CUSTO_GLOBAL[[#Headers],[Adicional Motorista II (Gratificação)]])-2,0)*($G189-$H189)</f>
        <v>0</v>
      </c>
      <c r="N189" s="21">
        <f>VLOOKUP($A189,tabCustoUnit[],COLUMN(CUSTO_GLOBAL[[#Headers],[Adicional de Sobreaviso]])-2,0)*($G189-$H189)</f>
        <v>0</v>
      </c>
      <c r="O189" s="21">
        <f>VLOOKUP($A189,tabCustoUnit[],COLUMN(CUSTO_GLOBAL[[#Headers],[Horas Extras TI]])-2,0)*($G189-$H189)</f>
        <v>0</v>
      </c>
      <c r="P189" s="21">
        <f>VLOOKUP($A189,tabCustoUnit[],COLUMN(CUSTO_GLOBAL[[#Headers],[Adicional de Acúmulo de função]])-2,0)*($G189-$H189)</f>
        <v>0</v>
      </c>
      <c r="Q189" s="21">
        <f>VLOOKUP($A189,tabCustoUnit[],COLUMN(CUSTO_GLOBAL[[#Headers],[MODULO 1 - REMUNERAÇÃO ]])-2,0)*($G189-$H189)</f>
        <v>2316.2296999999999</v>
      </c>
      <c r="R189" s="21">
        <f>VLOOKUP($A189,tabCustoUnit[],COLUMN(CUSTO_GLOBAL[[#Headers],[INSS]])-2,0)*($G189-$H189)</f>
        <v>463.24594000000002</v>
      </c>
      <c r="S189" s="21">
        <f>VLOOKUP($A189,tabCustoUnit[],COLUMN(CUSTO_GLOBAL[[#Headers],[SESI OU SESC]])-2,0)*($G189-$H189)</f>
        <v>34.7434455</v>
      </c>
      <c r="T189" s="21">
        <f>VLOOKUP($A189,tabCustoUnit[],COLUMN(CUSTO_GLOBAL[[#Headers],[SENAI OU SENAC]])-2,0)*($G189-$H189)</f>
        <v>23.162296999999999</v>
      </c>
      <c r="U189" s="21">
        <f>VLOOKUP($A189,tabCustoUnit[],COLUMN(CUSTO_GLOBAL[[#Headers],[INCRA]])-2,0)*($G189-$H189)</f>
        <v>4.6324594000000001</v>
      </c>
      <c r="V189" s="21">
        <f>VLOOKUP($A189,tabCustoUnit[],COLUMN(CUSTO_GLOBAL[[#Headers],[Salário Educação]])-2,0)*($G189-$H189)</f>
        <v>57.905742500000002</v>
      </c>
      <c r="W189" s="21">
        <f>VLOOKUP($A189,tabCustoUnit[],COLUMN(CUSTO_GLOBAL[[#Headers],[FGTS]])-2,0)*($G189-$H189)</f>
        <v>185.29837599999999</v>
      </c>
      <c r="X189" s="21">
        <f>VLOOKUP($A189,tabCustoUnit[],COLUMN(CUSTO_GLOBAL[[#Headers],[RAT Ajustado]])-2,0)*($G189-$H189)</f>
        <v>92.649187999999995</v>
      </c>
      <c r="Y189" s="21">
        <f>VLOOKUP($A189,tabCustoUnit[],COLUMN(CUSTO_GLOBAL[[#Headers],[SEBRAE]])-2,0)*($G189-$H189)</f>
        <v>13.8973782</v>
      </c>
      <c r="Z189" s="21">
        <f>VLOOKUP($A189,tabCustoUnit[],COLUMN(CUSTO_GLOBAL[[#Headers],[Submódulo 2.1]])-2,0)*($G189-$H189)</f>
        <v>875.53482659999997</v>
      </c>
      <c r="AA189" s="21">
        <f>VLOOKUP($A189,tabCustoUnit[],COLUMN(CUSTO_GLOBAL[[#Headers],[13º salário (titular)]])-2,0)*($G189-$H189)</f>
        <v>193.01914166666666</v>
      </c>
      <c r="AB189" s="21">
        <f>VLOOKUP($A189,tabCustoUnit[],COLUMN(CUSTO_GLOBAL[[#Headers],[Férias e Adicional de Férias (titular)]])-2,0)*($G189-$H189)</f>
        <v>257.35885555555552</v>
      </c>
      <c r="AC189" s="21">
        <f>VLOOKUP($A189,tabCustoUnit[],COLUMN(CUSTO_GLOBAL[[#Headers],[Incidência do Submódulo 2.1 sobre 13º Salário, Férias e Adicional de Férias]])-2,0)*($G189-$H189)</f>
        <v>170.24288294999999</v>
      </c>
      <c r="AD189" s="21">
        <f>VLOOKUP($A189,tabCustoUnit[],COLUMN(CUSTO_GLOBAL[[#Headers],[Submódulo 2.2]])-2,0)*($G189-$H189)</f>
        <v>620.6208801722222</v>
      </c>
      <c r="AE189" s="22" t="e">
        <f ca="1">VLOOKUP($A189,tabCustoUnit[],COLUMN(CUSTO_GLOBAL[[#Headers],[Vale - Transporte (Descontada parcela do empregado)]])-2,0)*($G189-$H189)</f>
        <v>#NAME?</v>
      </c>
      <c r="AF189" s="22">
        <f>VLOOKUP($A189,tabCustoUnit[],COLUMN(CUSTO_GLOBAL[[#Headers],[Vale - Alimentação (Descontada parcela do empregado)]])-2,0)*($G189-$H189)</f>
        <v>582</v>
      </c>
      <c r="AG189" s="22">
        <f>VLOOKUP($A189,tabCustoUnit[],COLUMN(CUSTO_GLOBAL[[#Headers],[Cesta Básica]])-2,0)*($G189-$H189)</f>
        <v>0</v>
      </c>
      <c r="AH189" s="22">
        <f>VLOOKUP($A189,tabCustoUnit[],COLUMN(CUSTO_GLOBAL[[#Headers],[PAF]])-2,0)*($G189-$H189)</f>
        <v>0</v>
      </c>
      <c r="AI189" s="22">
        <f>VLOOKUP($A189,tabCustoUnit[],COLUMN(CUSTO_GLOBAL[[#Headers],[PQM]])-2,0)*($G189-$H189)</f>
        <v>15.07</v>
      </c>
      <c r="AJ189" s="22">
        <v>0</v>
      </c>
      <c r="AK189" s="22">
        <f>VLOOKUP($A189,tabCustoUnit[],COLUMN(CUSTO_GLOBAL[[#Headers],[Seguro de Vida]])-2,0)*($G189-$H189)</f>
        <v>3.36</v>
      </c>
      <c r="AL189" s="22">
        <f>VLOOKUP($A189,tabCustoUnit[],COLUMN(CUSTO_GLOBAL[[#Headers],[Despesas de Viagem]])-2,0)*($G189-$H189)</f>
        <v>0</v>
      </c>
      <c r="AM189" s="22" t="e">
        <f ca="1">VLOOKUP($A189,tabCustoUnit[],COLUMN(CUSTO_GLOBAL[[#Headers],[Submódulo 2.3]])-2,0)*($G189-$H189)</f>
        <v>#NAME?</v>
      </c>
      <c r="AN189" s="22" t="e">
        <f ca="1">VLOOKUP($A189,tabCustoUnit[],COLUMN(CUSTO_GLOBAL[[#Headers],[MÓDULO 2 - Total Encargos e Benefícios mensais e diários]])-2,0)*($G189-$H189)</f>
        <v>#NAME?</v>
      </c>
      <c r="AO189" s="22">
        <f>VLOOKUP($A189,tabCustoUnit[],COLUMN(CUSTO_GLOBAL[[#Headers],[Aviso Prévio Indenizado (API) e Reflexo do Aviso Prévio Indenizado]])-2,0)*($G189-$H189)</f>
        <v>16.240862917689043</v>
      </c>
      <c r="AP189" s="22">
        <f>VLOOKUP($A189,tabCustoUnit[],COLUMN(CUSTO_GLOBAL[[#Headers],[Incidência do FGTS sobre API e Reflexo do API]])-2,0)*($G189-$H189)</f>
        <v>1.2992690334151236</v>
      </c>
      <c r="AQ189" s="22">
        <f>VLOOKUP($A189,tabCustoUnit[],COLUMN(CUSTO_GLOBAL[[#Headers],[Multa Rescisória do FGTS sobre o Aviso Prévio Indenizado]])-2,0)*($G189-$H189)</f>
        <v>0.51970761336604943</v>
      </c>
      <c r="AR189" s="22">
        <f>VLOOKUP($A189,tabCustoUnit[],COLUMN(CUSTO_GLOBAL[[#Headers],[Aviso Prévio Trabalhado - APT]])-2,0)*($G189-$H189)</f>
        <v>8.1068039500000015</v>
      </c>
      <c r="AS189" s="22">
        <f>VLOOKUP($A189,tabCustoUnit[],COLUMN(CUSTO_GLOBAL[[#Headers],[Incidência dos encargos do submódulo 2.1 sobre Aviso Prévio Trabalhado]])-2,0)*($G189-$H189)</f>
        <v>3.0643718931000006</v>
      </c>
      <c r="AT189" s="22">
        <f>VLOOKUP($A189,tabCustoUnit[],COLUMN(CUSTO_GLOBAL[[#Headers],[Multa Rescisória do FGTS]])-2,0)*($G189-$H189)</f>
        <v>70.825157048888869</v>
      </c>
      <c r="AU189" s="22">
        <f>VLOOKUP($A189,tabCustoUnit[],COLUMN(CUSTO_GLOBAL[[#Headers],[Indenização Adicional (Art. 9º da Lei nº 7.238/84)]])-2,0)*($G189-$H189)</f>
        <v>1.9301914166666667</v>
      </c>
      <c r="AV189" s="22">
        <f>VLOOKUP($A189,tabCustoUnit[],COLUMN(CUSTO_GLOBAL[[#Headers],[MÓDULO 3 – PROVISÃO PARA RESCISÃO]])-2,0)*($G189-$H189)</f>
        <v>101.98636387312575</v>
      </c>
      <c r="AW189" s="22">
        <f>VLOOKUP($A189,tabCustoUnit[],COLUMN(CUSTO_GLOBAL[[#Headers],[Ausência por Doença]])-2,0)*($G189-$H189)</f>
        <v>19.559273022222218</v>
      </c>
      <c r="AX189" s="22">
        <f>VLOOKUP($A189,tabCustoUnit[],COLUMN(CUSTO_GLOBAL[[#Headers],[Ausências Legais]])-2,0)*($G189-$H189)</f>
        <v>4.696799113888888</v>
      </c>
      <c r="AY189" s="22">
        <f>VLOOKUP($A189,tabCustoUnit[],COLUMN(CUSTO_GLOBAL[[#Headers],[Licença Paternidade]])-2,0)*($G189-$H189)</f>
        <v>0.39568924041666664</v>
      </c>
      <c r="AZ189" s="22">
        <f>VLOOKUP($A189,tabCustoUnit[],COLUMN(CUSTO_GLOBAL[[#Headers],[Ausência por Acidente de Trabalho]])-2,0)*($G189-$H189)</f>
        <v>0.48254785416666668</v>
      </c>
      <c r="BA189" s="22">
        <f>VLOOKUP($A189,tabCustoUnit[],COLUMN(CUSTO_GLOBAL[[#Headers],[Férias, Adicional de Férias e 13º  com empregada em gozo de Licença Maternidade]])-2,0)*($G189-$H189)</f>
        <v>3.0025199814814814</v>
      </c>
      <c r="BB189" s="22">
        <f>VLOOKUP($A189,tabCustoUnit[],COLUMN(CUSTO_GLOBAL[[#Headers],[Incidência do Submódulo 2.1 sobre Ausências Legais]])-2,0)*($G189-$H189)</f>
        <v>10.635721442202501</v>
      </c>
      <c r="BC189" s="22">
        <f>VLOOKUP($A189,tabCustoUnit[],COLUMN(CUSTO_GLOBAL[[#Headers],[Submódulo 4.1]])-2,0)*($G189-$H189)</f>
        <v>38.772550654378421</v>
      </c>
      <c r="BD189" s="22">
        <f>VLOOKUP($A189,tabCustoUnit[],COLUMN(CUSTO_GLOBAL[[#Headers],[Intervalo para Repouso ou Alimentação]])-2,0)*($G189-$H189)</f>
        <v>0</v>
      </c>
      <c r="BE189" s="22">
        <f>VLOOKUP($A189,tabCustoUnit[],COLUMN(CUSTO_GLOBAL[[#Headers],[Submódulo 4.2]])-2,0)*($G189-$H189)</f>
        <v>0</v>
      </c>
      <c r="BF189" s="22">
        <f>VLOOKUP($A189,tabCustoUnit[],COLUMN(CUSTO_GLOBAL[[#Headers],[Suspensão Temporária do Contrato de Trabalho]])-2,0)*($G189-$H189)</f>
        <v>0</v>
      </c>
      <c r="BG189" s="22">
        <f>VLOOKUP($A189,tabCustoUnit[],COLUMN(CUSTO_GLOBAL[[#Headers],[Submódulo 4.3]])-2,0)*($G189-$H189)</f>
        <v>0</v>
      </c>
      <c r="BH189" s="22">
        <f>VLOOKUP($A189,tabCustoUnit[],COLUMN(CUSTO_GLOBAL[[#Headers],[MÓDULO 4 – CUSTO DE REPOSIÇÃO DO PROFISSIONAL AUSENTE]])-2,0)*($G189-$H189)</f>
        <v>38.772550654378421</v>
      </c>
      <c r="BI189" s="22">
        <f>VLOOKUP($A189,tabCustoUnit[],COLUMN(CUSTO_GLOBAL[[#Headers],[Uniformes e EPIs]])-2,0)*($G189-$H189)</f>
        <v>56.642978962543395</v>
      </c>
      <c r="BJ189" s="22">
        <f>VLOOKUP($A189,tabCustoUnit[],COLUMN(CUSTO_GLOBAL[[#Headers],[Materiais de Consumo]])-2,0)*($G189-$H189)</f>
        <v>0</v>
      </c>
      <c r="BK189" s="22">
        <f>VLOOKUP($A189,tabCustoUnit[],COLUMN(CUSTO_GLOBAL[[#Headers],[Máquinas e Equipamentos (depreciação)]])-2,0)*($G189-$H189)</f>
        <v>0</v>
      </c>
      <c r="BL189" s="22">
        <f>VLOOKUP($A189,tabCustoUnit[],COLUMN(CUSTO_GLOBAL[[#Headers],[Produtos de Limpeza e Materiais de Higiene Pessoal]])-2,0)*($G189-$H189)</f>
        <v>0</v>
      </c>
      <c r="BM189" s="22">
        <f>VLOOKUP($A189,tabCustoUnit[],COLUMN(CUSTO_GLOBAL[[#Headers],[Outros (especificar)]])-2,0)*($G189-$H189)</f>
        <v>0</v>
      </c>
      <c r="BN189" s="22">
        <f>VLOOKUP($A189,tabCustoUnit[],COLUMN(CUSTO_GLOBAL[[#Headers],[MÓDULO 5 – INSUMOS DIVERSOS]])-2,0)*($G189-$H189)</f>
        <v>56.642978962543395</v>
      </c>
      <c r="BO189" s="22" t="e">
        <f ca="1">VLOOKUP($A189,tabCustoUnit[],COLUMN(CUSTO_GLOBAL[[#Headers],[TOTAL MÓDULOS 1+2+3+4+5]])-2,0)*($G189-$H189)</f>
        <v>#NAME?</v>
      </c>
      <c r="BP189" s="22" t="e">
        <f ca="1">VLOOKUP($A189,tabCustoUnit[],COLUMN(CUSTO_GLOBAL[[#Headers],[Custos Indiretos]])-2,0)*($G189-$H189)</f>
        <v>#NAME?</v>
      </c>
      <c r="BQ189" s="22" t="e">
        <f ca="1">VLOOKUP($A189,tabCustoUnit[],COLUMN(CUSTO_GLOBAL[[#Headers],[Lucro]])-2,0)*($G189-$H189)</f>
        <v>#NAME?</v>
      </c>
      <c r="BR189" s="26">
        <f>VLOOKUP($A189,tabCustoUnit[],COLUMN(CUSTO_GLOBAL[[#Headers],[COFINS]])-2,0)</f>
        <v>8.6609686609686695E-2</v>
      </c>
      <c r="BS189" s="26">
        <f>VLOOKUP($A189,tabCustoUnit[],COLUMN(CUSTO_GLOBAL[[#Headers],[PIS]])-2,0)</f>
        <v>1.880341880341882E-2</v>
      </c>
      <c r="BT189" s="28">
        <f>VLOOKUP($A189,tabCustoUnit[],COLUMN(CUSTO_GLOBAL[[#Headers],[ISS]])-2,0)</f>
        <v>0.03</v>
      </c>
      <c r="BU189" s="26">
        <f>VLOOKUP($A189,tabCustoUnit[],COLUMN(CUSTO_GLOBAL[[#Headers],[ISS (Conversão Alíquota s/ fatura)]])-2,0)</f>
        <v>3.4188034188034219E-2</v>
      </c>
      <c r="BV189" s="26">
        <f>VLOOKUP($A189,tabCustoUnit[],COLUMN(CUSTO_GLOBAL[[#Headers],[Resumo de Alíquotas (PIS+CONFINS+ISS)]])-2,0)</f>
        <v>0.1225</v>
      </c>
      <c r="BW189" s="138">
        <f>VLOOKUP($A189,tabCustoUnit[],COLUMN(CUSTO_GLOBAL[[#Headers],[PIS + COFINS + ISS (Total Conversão  Alíquota s/ Fatura)]])-2,0)</f>
        <v>0.13960113960113973</v>
      </c>
      <c r="BX189" s="22" t="e">
        <f ca="1">VLOOKUP($A189,tabCustoUnit[],COLUMN(CUSTO_GLOBAL[[#Headers],[Valor dos Tributos (ISS, PIS, CONFINS)]])-2,0)*($G189-$H189)</f>
        <v>#NAME?</v>
      </c>
      <c r="BY189" s="22" t="e">
        <f ca="1">VLOOKUP($A189,tabCustoUnit[],COLUMN(CUSTO_GLOBAL[[#Headers],[MÓDULO 6 – CUSTOS INDIRETOS, TRIBUTOS E LUCRO]])-2,0)*($G189-$H189)</f>
        <v>#NAME?</v>
      </c>
      <c r="BZ189" s="22" t="e">
        <f ca="1">VLOOKUP($A189,tabCustoUnit[],COLUMN(CUSTO_GLOBAL[[#Headers],[CUSTO TOTAL MENSAL]])-2,0)*($G189-$H189)</f>
        <v>#NAME?</v>
      </c>
      <c r="CA189" s="22" t="e">
        <f ca="1">CUSTO_GLOBAL[[#This Row],[CUSTO TOTAL MENSAL]]*12</f>
        <v>#NAME?</v>
      </c>
      <c r="CB189" s="24">
        <f>VLOOKUP($A189,tabCustoUnit[],COLUMN(CUSTO_GLOBAL[[#Headers],[ANO DA CCT]])-2,0)</f>
        <v>45658</v>
      </c>
      <c r="CC189" s="25" t="str">
        <f>VLOOKUP($A189,tabCustoUnit[],COLUMN(CUSTO_GLOBAL[[#Headers],[Nº DE PEDIDO DA CCT]])-2,0)</f>
        <v>-</v>
      </c>
      <c r="CD189" s="25" t="str">
        <f>VLOOKUP($A189,tabCustoUnit[],COLUMN(CUSTO_GLOBAL[[#Headers],[TERMO ADITIVO ALTERAÇÃO DA CCT]])-2,0)</f>
        <v>-</v>
      </c>
    </row>
    <row r="190" spans="1:82">
      <c r="A190" s="20" t="s">
        <v>1630</v>
      </c>
      <c r="B190" t="s">
        <v>1156</v>
      </c>
      <c r="C190" t="s">
        <v>314</v>
      </c>
      <c r="D190" t="s">
        <v>1048</v>
      </c>
      <c r="E190" s="20" t="s">
        <v>1090</v>
      </c>
      <c r="F190" s="20" t="s">
        <v>120</v>
      </c>
      <c r="G190" s="20">
        <v>1</v>
      </c>
      <c r="H190" s="20">
        <v>0</v>
      </c>
      <c r="I190" s="21">
        <f>VLOOKUP($A190,tabCustoUnit[],COLUMN(CUSTO_GLOBAL[[#Headers],[Salário Base]])-2,0)*($G190-$H190)</f>
        <v>1963.4110000000001</v>
      </c>
      <c r="J190" s="21">
        <f>VLOOKUP($A190,tabCustoUnit[],COLUMN(CUSTO_GLOBAL[[#Headers],[Adicional Periculosidade]])-2,0)*($G190-$H190)</f>
        <v>0</v>
      </c>
      <c r="K190" s="21">
        <f>VLOOKUP($A190,tabCustoUnit[],COLUMN(CUSTO_GLOBAL[[#Headers],[Adicional Insalubridade]])-2,0)*($G190-$H190)</f>
        <v>0</v>
      </c>
      <c r="L190" s="21">
        <f>VLOOKUP($A190,tabCustoUnit[],COLUMN(CUSTO_GLOBAL[[#Headers],[Adicional Noturno]])-2,0)*($G190-$H190)</f>
        <v>0</v>
      </c>
      <c r="M190" s="21">
        <f>VLOOKUP($A190,tabCustoUnit[],COLUMN(CUSTO_GLOBAL[[#Headers],[Adicional Motorista II (Gratificação)]])-2,0)*($G190-$H190)</f>
        <v>0</v>
      </c>
      <c r="N190" s="21">
        <f>VLOOKUP($A190,tabCustoUnit[],COLUMN(CUSTO_GLOBAL[[#Headers],[Adicional de Sobreaviso]])-2,0)*($G190-$H190)</f>
        <v>0</v>
      </c>
      <c r="O190" s="21">
        <f>VLOOKUP($A190,tabCustoUnit[],COLUMN(CUSTO_GLOBAL[[#Headers],[Horas Extras TI]])-2,0)*($G190-$H190)</f>
        <v>0</v>
      </c>
      <c r="P190" s="21">
        <f>VLOOKUP($A190,tabCustoUnit[],COLUMN(CUSTO_GLOBAL[[#Headers],[Adicional de Acúmulo de função]])-2,0)*($G190-$H190)</f>
        <v>0</v>
      </c>
      <c r="Q190" s="21">
        <f>VLOOKUP($A190,tabCustoUnit[],COLUMN(CUSTO_GLOBAL[[#Headers],[MODULO 1 - REMUNERAÇÃO ]])-2,0)*($G190-$H190)</f>
        <v>1963.4110000000001</v>
      </c>
      <c r="R190" s="21">
        <f>VLOOKUP($A190,tabCustoUnit[],COLUMN(CUSTO_GLOBAL[[#Headers],[INSS]])-2,0)*($G190-$H190)</f>
        <v>392.68220000000002</v>
      </c>
      <c r="S190" s="21">
        <f>VLOOKUP($A190,tabCustoUnit[],COLUMN(CUSTO_GLOBAL[[#Headers],[SESI OU SESC]])-2,0)*($G190-$H190)</f>
        <v>29.451165</v>
      </c>
      <c r="T190" s="21">
        <f>VLOOKUP($A190,tabCustoUnit[],COLUMN(CUSTO_GLOBAL[[#Headers],[SENAI OU SENAC]])-2,0)*($G190-$H190)</f>
        <v>19.63411</v>
      </c>
      <c r="U190" s="21">
        <f>VLOOKUP($A190,tabCustoUnit[],COLUMN(CUSTO_GLOBAL[[#Headers],[INCRA]])-2,0)*($G190-$H190)</f>
        <v>3.926822</v>
      </c>
      <c r="V190" s="21">
        <f>VLOOKUP($A190,tabCustoUnit[],COLUMN(CUSTO_GLOBAL[[#Headers],[Salário Educação]])-2,0)*($G190-$H190)</f>
        <v>49.085275000000003</v>
      </c>
      <c r="W190" s="21">
        <f>VLOOKUP($A190,tabCustoUnit[],COLUMN(CUSTO_GLOBAL[[#Headers],[FGTS]])-2,0)*($G190-$H190)</f>
        <v>157.07288</v>
      </c>
      <c r="X190" s="21">
        <f>VLOOKUP($A190,tabCustoUnit[],COLUMN(CUSTO_GLOBAL[[#Headers],[RAT Ajustado]])-2,0)*($G190-$H190)</f>
        <v>78.536439999999999</v>
      </c>
      <c r="Y190" s="21">
        <f>VLOOKUP($A190,tabCustoUnit[],COLUMN(CUSTO_GLOBAL[[#Headers],[SEBRAE]])-2,0)*($G190-$H190)</f>
        <v>11.780466000000001</v>
      </c>
      <c r="Z190" s="21">
        <f>VLOOKUP($A190,tabCustoUnit[],COLUMN(CUSTO_GLOBAL[[#Headers],[Submódulo 2.1]])-2,0)*($G190-$H190)</f>
        <v>742.1693580000001</v>
      </c>
      <c r="AA190" s="21">
        <f>VLOOKUP($A190,tabCustoUnit[],COLUMN(CUSTO_GLOBAL[[#Headers],[13º salário (titular)]])-2,0)*($G190-$H190)</f>
        <v>163.61758333333333</v>
      </c>
      <c r="AB190" s="21">
        <f>VLOOKUP($A190,tabCustoUnit[],COLUMN(CUSTO_GLOBAL[[#Headers],[Férias e Adicional de Férias (titular)]])-2,0)*($G190-$H190)</f>
        <v>218.15677777777776</v>
      </c>
      <c r="AC190" s="21">
        <f>VLOOKUP($A190,tabCustoUnit[],COLUMN(CUSTO_GLOBAL[[#Headers],[Incidência do Submódulo 2.1 sobre 13º Salário, Férias e Adicional de Férias]])-2,0)*($G190-$H190)</f>
        <v>144.3107085</v>
      </c>
      <c r="AD190" s="21">
        <f>VLOOKUP($A190,tabCustoUnit[],COLUMN(CUSTO_GLOBAL[[#Headers],[Submódulo 2.2]])-2,0)*($G190-$H190)</f>
        <v>526.08506961111107</v>
      </c>
      <c r="AE190" s="22" t="e">
        <f ca="1">VLOOKUP($A190,tabCustoUnit[],COLUMN(CUSTO_GLOBAL[[#Headers],[Vale - Transporte (Descontada parcela do empregado)]])-2,0)*($G190-$H190)</f>
        <v>#NAME?</v>
      </c>
      <c r="AF190" s="22">
        <f>VLOOKUP($A190,tabCustoUnit[],COLUMN(CUSTO_GLOBAL[[#Headers],[Vale - Alimentação (Descontada parcela do empregado)]])-2,0)*($G190-$H190)</f>
        <v>582</v>
      </c>
      <c r="AG190" s="22">
        <f>VLOOKUP($A190,tabCustoUnit[],COLUMN(CUSTO_GLOBAL[[#Headers],[Cesta Básica]])-2,0)*($G190-$H190)</f>
        <v>0</v>
      </c>
      <c r="AH190" s="22">
        <f>VLOOKUP($A190,tabCustoUnit[],COLUMN(CUSTO_GLOBAL[[#Headers],[PAF]])-2,0)*($G190-$H190)</f>
        <v>51.86</v>
      </c>
      <c r="AI190" s="22">
        <f>VLOOKUP($A190,tabCustoUnit[],COLUMN(CUSTO_GLOBAL[[#Headers],[PQM]])-2,0)*($G190-$H190)</f>
        <v>0</v>
      </c>
      <c r="AJ190" s="22">
        <v>0</v>
      </c>
      <c r="AK190" s="22">
        <f>VLOOKUP($A190,tabCustoUnit[],COLUMN(CUSTO_GLOBAL[[#Headers],[Seguro de Vida]])-2,0)*($G190-$H190)</f>
        <v>3.36</v>
      </c>
      <c r="AL190" s="22">
        <f>VLOOKUP($A190,tabCustoUnit[],COLUMN(CUSTO_GLOBAL[[#Headers],[Despesas de Viagem]])-2,0)*($G190-$H190)</f>
        <v>0</v>
      </c>
      <c r="AM190" s="22" t="e">
        <f ca="1">VLOOKUP($A190,tabCustoUnit[],COLUMN(CUSTO_GLOBAL[[#Headers],[Submódulo 2.3]])-2,0)*($G190-$H190)</f>
        <v>#NAME?</v>
      </c>
      <c r="AN190" s="22" t="e">
        <f ca="1">VLOOKUP($A190,tabCustoUnit[],COLUMN(CUSTO_GLOBAL[[#Headers],[MÓDULO 2 - Total Encargos e Benefícios mensais e diários]])-2,0)*($G190-$H190)</f>
        <v>#NAME?</v>
      </c>
      <c r="AO190" s="22">
        <f>VLOOKUP($A190,tabCustoUnit[],COLUMN(CUSTO_GLOBAL[[#Headers],[Aviso Prévio Indenizado (API) e Reflexo do Aviso Prévio Indenizado]])-2,0)*($G190-$H190)</f>
        <v>13.766980408757716</v>
      </c>
      <c r="AP190" s="22">
        <f>VLOOKUP($A190,tabCustoUnit[],COLUMN(CUSTO_GLOBAL[[#Headers],[Incidência do FGTS sobre API e Reflexo do API]])-2,0)*($G190-$H190)</f>
        <v>1.1013584327006174</v>
      </c>
      <c r="AQ190" s="22">
        <f>VLOOKUP($A190,tabCustoUnit[],COLUMN(CUSTO_GLOBAL[[#Headers],[Multa Rescisória do FGTS sobre o Aviso Prévio Indenizado]])-2,0)*($G190-$H190)</f>
        <v>0.44054337308024699</v>
      </c>
      <c r="AR190" s="22">
        <f>VLOOKUP($A190,tabCustoUnit[],COLUMN(CUSTO_GLOBAL[[#Headers],[Aviso Prévio Trabalhado - APT]])-2,0)*($G190-$H190)</f>
        <v>6.8719385000000015</v>
      </c>
      <c r="AS190" s="22">
        <f>VLOOKUP($A190,tabCustoUnit[],COLUMN(CUSTO_GLOBAL[[#Headers],[Incidência dos encargos do submódulo 2.1 sobre Aviso Prévio Trabalhado]])-2,0)*($G190-$H190)</f>
        <v>2.5975927530000007</v>
      </c>
      <c r="AT190" s="22">
        <f>VLOOKUP($A190,tabCustoUnit[],COLUMN(CUSTO_GLOBAL[[#Headers],[Multa Rescisória do FGTS]])-2,0)*($G190-$H190)</f>
        <v>60.03674524444444</v>
      </c>
      <c r="AU190" s="22">
        <f>VLOOKUP($A190,tabCustoUnit[],COLUMN(CUSTO_GLOBAL[[#Headers],[Indenização Adicional (Art. 9º da Lei nº 7.238/84)]])-2,0)*($G190-$H190)</f>
        <v>1.6361758333333334</v>
      </c>
      <c r="AV190" s="22">
        <f>VLOOKUP($A190,tabCustoUnit[],COLUMN(CUSTO_GLOBAL[[#Headers],[MÓDULO 3 – PROVISÃO PARA RESCISÃO]])-2,0)*($G190-$H190)</f>
        <v>86.451334545316371</v>
      </c>
      <c r="AW190" s="22">
        <f>VLOOKUP($A190,tabCustoUnit[],COLUMN(CUSTO_GLOBAL[[#Headers],[Ausência por Doença]])-2,0)*($G190-$H190)</f>
        <v>16.579915111111109</v>
      </c>
      <c r="AX190" s="22">
        <f>VLOOKUP($A190,tabCustoUnit[],COLUMN(CUSTO_GLOBAL[[#Headers],[Ausências Legais]])-2,0)*($G190-$H190)</f>
        <v>3.9813611944444443</v>
      </c>
      <c r="AY190" s="22">
        <f>VLOOKUP($A190,tabCustoUnit[],COLUMN(CUSTO_GLOBAL[[#Headers],[Licença Paternidade]])-2,0)*($G190-$H190)</f>
        <v>0.33541604583333334</v>
      </c>
      <c r="AZ190" s="22">
        <f>VLOOKUP($A190,tabCustoUnit[],COLUMN(CUSTO_GLOBAL[[#Headers],[Ausência por Acidente de Trabalho]])-2,0)*($G190-$H190)</f>
        <v>0.40904395833333335</v>
      </c>
      <c r="BA190" s="22">
        <f>VLOOKUP($A190,tabCustoUnit[],COLUMN(CUSTO_GLOBAL[[#Headers],[Férias, Adicional de Férias e 13º  com empregada em gozo de Licença Maternidade]])-2,0)*($G190-$H190)</f>
        <v>2.5451624074074073</v>
      </c>
      <c r="BB190" s="22">
        <f>VLOOKUP($A190,tabCustoUnit[],COLUMN(CUSTO_GLOBAL[[#Headers],[Incidência do Submódulo 2.1 sobre Ausências Legais]])-2,0)*($G190-$H190)</f>
        <v>9.0156397150750021</v>
      </c>
      <c r="BC190" s="22">
        <f>VLOOKUP($A190,tabCustoUnit[],COLUMN(CUSTO_GLOBAL[[#Headers],[Submódulo 4.1]])-2,0)*($G190-$H190)</f>
        <v>32.866538432204628</v>
      </c>
      <c r="BD190" s="22">
        <f>VLOOKUP($A190,tabCustoUnit[],COLUMN(CUSTO_GLOBAL[[#Headers],[Intervalo para Repouso ou Alimentação]])-2,0)*($G190-$H190)</f>
        <v>267.73786489195959</v>
      </c>
      <c r="BE190" s="22">
        <f>VLOOKUP($A190,tabCustoUnit[],COLUMN(CUSTO_GLOBAL[[#Headers],[Submódulo 4.2]])-2,0)*($G190-$H190)</f>
        <v>267.73786489195959</v>
      </c>
      <c r="BF190" s="22">
        <f>VLOOKUP($A190,tabCustoUnit[],COLUMN(CUSTO_GLOBAL[[#Headers],[Suspensão Temporária do Contrato de Trabalho]])-2,0)*($G190-$H190)</f>
        <v>0</v>
      </c>
      <c r="BG190" s="22">
        <f>VLOOKUP($A190,tabCustoUnit[],COLUMN(CUSTO_GLOBAL[[#Headers],[Submódulo 4.3]])-2,0)*($G190-$H190)</f>
        <v>0</v>
      </c>
      <c r="BH190" s="22">
        <f>VLOOKUP($A190,tabCustoUnit[],COLUMN(CUSTO_GLOBAL[[#Headers],[MÓDULO 4 – CUSTO DE REPOSIÇÃO DO PROFISSIONAL AUSENTE]])-2,0)*($G190-$H190)</f>
        <v>300.6044033241642</v>
      </c>
      <c r="BI190" s="22">
        <f>VLOOKUP($A190,tabCustoUnit[],COLUMN(CUSTO_GLOBAL[[#Headers],[Uniformes e EPIs]])-2,0)*($G190-$H190)</f>
        <v>56.642978962543395</v>
      </c>
      <c r="BJ190" s="22">
        <f>VLOOKUP($A190,tabCustoUnit[],COLUMN(CUSTO_GLOBAL[[#Headers],[Materiais de Consumo]])-2,0)*($G190-$H190)</f>
        <v>0</v>
      </c>
      <c r="BK190" s="22">
        <f>VLOOKUP($A190,tabCustoUnit[],COLUMN(CUSTO_GLOBAL[[#Headers],[Máquinas e Equipamentos (depreciação)]])-2,0)*($G190-$H190)</f>
        <v>0</v>
      </c>
      <c r="BL190" s="22">
        <f>VLOOKUP($A190,tabCustoUnit[],COLUMN(CUSTO_GLOBAL[[#Headers],[Produtos de Limpeza e Materiais de Higiene Pessoal]])-2,0)*($G190-$H190)</f>
        <v>0</v>
      </c>
      <c r="BM190" s="22">
        <f>VLOOKUP($A190,tabCustoUnit[],COLUMN(CUSTO_GLOBAL[[#Headers],[Outros (especificar)]])-2,0)*($G190-$H190)</f>
        <v>0</v>
      </c>
      <c r="BN190" s="22">
        <f>VLOOKUP($A190,tabCustoUnit[],COLUMN(CUSTO_GLOBAL[[#Headers],[MÓDULO 5 – INSUMOS DIVERSOS]])-2,0)*($G190-$H190)</f>
        <v>56.642978962543395</v>
      </c>
      <c r="BO190" s="22" t="e">
        <f ca="1">VLOOKUP($A190,tabCustoUnit[],COLUMN(CUSTO_GLOBAL[[#Headers],[TOTAL MÓDULOS 1+2+3+4+5]])-2,0)*($G190-$H190)</f>
        <v>#NAME?</v>
      </c>
      <c r="BP190" s="22" t="e">
        <f ca="1">VLOOKUP($A190,tabCustoUnit[],COLUMN(CUSTO_GLOBAL[[#Headers],[Custos Indiretos]])-2,0)*($G190-$H190)</f>
        <v>#NAME?</v>
      </c>
      <c r="BQ190" s="22" t="e">
        <f ca="1">VLOOKUP($A190,tabCustoUnit[],COLUMN(CUSTO_GLOBAL[[#Headers],[Lucro]])-2,0)*($G190-$H190)</f>
        <v>#NAME?</v>
      </c>
      <c r="BR190" s="26">
        <f>VLOOKUP($A190,tabCustoUnit[],COLUMN(CUSTO_GLOBAL[[#Headers],[COFINS]])-2,0)</f>
        <v>8.6609686609686695E-2</v>
      </c>
      <c r="BS190" s="26">
        <f>VLOOKUP($A190,tabCustoUnit[],COLUMN(CUSTO_GLOBAL[[#Headers],[PIS]])-2,0)</f>
        <v>1.880341880341882E-2</v>
      </c>
      <c r="BT190" s="28">
        <f>VLOOKUP($A190,tabCustoUnit[],COLUMN(CUSTO_GLOBAL[[#Headers],[ISS]])-2,0)</f>
        <v>0.03</v>
      </c>
      <c r="BU190" s="26">
        <f>VLOOKUP($A190,tabCustoUnit[],COLUMN(CUSTO_GLOBAL[[#Headers],[ISS (Conversão Alíquota s/ fatura)]])-2,0)</f>
        <v>3.4188034188034219E-2</v>
      </c>
      <c r="BV190" s="26">
        <f>VLOOKUP($A190,tabCustoUnit[],COLUMN(CUSTO_GLOBAL[[#Headers],[Resumo de Alíquotas (PIS+CONFINS+ISS)]])-2,0)</f>
        <v>0.1225</v>
      </c>
      <c r="BW190" s="138">
        <f>VLOOKUP($A190,tabCustoUnit[],COLUMN(CUSTO_GLOBAL[[#Headers],[PIS + COFINS + ISS (Total Conversão  Alíquota s/ Fatura)]])-2,0)</f>
        <v>0.13960113960113973</v>
      </c>
      <c r="BX190" s="22" t="e">
        <f ca="1">VLOOKUP($A190,tabCustoUnit[],COLUMN(CUSTO_GLOBAL[[#Headers],[Valor dos Tributos (ISS, PIS, CONFINS)]])-2,0)*($G190-$H190)</f>
        <v>#NAME?</v>
      </c>
      <c r="BY190" s="22" t="e">
        <f ca="1">VLOOKUP($A190,tabCustoUnit[],COLUMN(CUSTO_GLOBAL[[#Headers],[MÓDULO 6 – CUSTOS INDIRETOS, TRIBUTOS E LUCRO]])-2,0)*($G190-$H190)</f>
        <v>#NAME?</v>
      </c>
      <c r="BZ190" s="22" t="e">
        <f ca="1">VLOOKUP($A190,tabCustoUnit[],COLUMN(CUSTO_GLOBAL[[#Headers],[CUSTO TOTAL MENSAL]])-2,0)*($G190-$H190)</f>
        <v>#NAME?</v>
      </c>
      <c r="CA190" s="22" t="e">
        <f ca="1">CUSTO_GLOBAL[[#This Row],[CUSTO TOTAL MENSAL]]*12</f>
        <v>#NAME?</v>
      </c>
      <c r="CB190" s="24">
        <f>VLOOKUP($A190,tabCustoUnit[],COLUMN(CUSTO_GLOBAL[[#Headers],[ANO DA CCT]])-2,0)</f>
        <v>45658</v>
      </c>
      <c r="CC190" s="25" t="str">
        <f>VLOOKUP($A190,tabCustoUnit[],COLUMN(CUSTO_GLOBAL[[#Headers],[Nº DE PEDIDO DA CCT]])-2,0)</f>
        <v>-</v>
      </c>
      <c r="CD190" s="25" t="str">
        <f>VLOOKUP($A190,tabCustoUnit[],COLUMN(CUSTO_GLOBAL[[#Headers],[TERMO ADITIVO ALTERAÇÃO DA CCT]])-2,0)</f>
        <v>-</v>
      </c>
    </row>
    <row r="191" spans="1:82">
      <c r="A191" s="20" t="s">
        <v>1486</v>
      </c>
      <c r="B191" t="s">
        <v>936</v>
      </c>
      <c r="C191" t="s">
        <v>200</v>
      </c>
      <c r="D191" t="s">
        <v>936</v>
      </c>
      <c r="E191" s="20" t="s">
        <v>1090</v>
      </c>
      <c r="F191" s="20" t="s">
        <v>120</v>
      </c>
      <c r="G191" s="20">
        <v>6</v>
      </c>
      <c r="H191" s="20">
        <v>0</v>
      </c>
      <c r="I191" s="21">
        <f>VLOOKUP($A191,tabCustoUnit[],COLUMN(CUSTO_GLOBAL[[#Headers],[Salário Base]])-2,0)*($G191-$H191)</f>
        <v>9618.9060000000009</v>
      </c>
      <c r="J191" s="21">
        <f>VLOOKUP($A191,tabCustoUnit[],COLUMN(CUSTO_GLOBAL[[#Headers],[Adicional Periculosidade]])-2,0)*($G191-$H191)</f>
        <v>0</v>
      </c>
      <c r="K191" s="21">
        <f>VLOOKUP($A191,tabCustoUnit[],COLUMN(CUSTO_GLOBAL[[#Headers],[Adicional Insalubridade]])-2,0)*($G191-$H191)</f>
        <v>0</v>
      </c>
      <c r="L191" s="21">
        <f>VLOOKUP($A191,tabCustoUnit[],COLUMN(CUSTO_GLOBAL[[#Headers],[Adicional Noturno]])-2,0)*($G191-$H191)</f>
        <v>0</v>
      </c>
      <c r="M191" s="21">
        <f>VLOOKUP($A191,tabCustoUnit[],COLUMN(CUSTO_GLOBAL[[#Headers],[Adicional Motorista II (Gratificação)]])-2,0)*($G191-$H191)</f>
        <v>0</v>
      </c>
      <c r="N191" s="21">
        <f>VLOOKUP($A191,tabCustoUnit[],COLUMN(CUSTO_GLOBAL[[#Headers],[Adicional de Sobreaviso]])-2,0)*($G191-$H191)</f>
        <v>0</v>
      </c>
      <c r="O191" s="21">
        <f>VLOOKUP($A191,tabCustoUnit[],COLUMN(CUSTO_GLOBAL[[#Headers],[Horas Extras TI]])-2,0)*($G191-$H191)</f>
        <v>0</v>
      </c>
      <c r="P191" s="21">
        <f>VLOOKUP($A191,tabCustoUnit[],COLUMN(CUSTO_GLOBAL[[#Headers],[Adicional de Acúmulo de função]])-2,0)*($G191-$H191)</f>
        <v>0</v>
      </c>
      <c r="Q191" s="21">
        <f>VLOOKUP($A191,tabCustoUnit[],COLUMN(CUSTO_GLOBAL[[#Headers],[MODULO 1 - REMUNERAÇÃO ]])-2,0)*($G191-$H191)</f>
        <v>9618.9060000000009</v>
      </c>
      <c r="R191" s="21">
        <f>VLOOKUP($A191,tabCustoUnit[],COLUMN(CUSTO_GLOBAL[[#Headers],[INSS]])-2,0)*($G191-$H191)</f>
        <v>1923.7812000000004</v>
      </c>
      <c r="S191" s="21">
        <f>VLOOKUP($A191,tabCustoUnit[],COLUMN(CUSTO_GLOBAL[[#Headers],[SESI OU SESC]])-2,0)*($G191-$H191)</f>
        <v>144.28359</v>
      </c>
      <c r="T191" s="21">
        <f>VLOOKUP($A191,tabCustoUnit[],COLUMN(CUSTO_GLOBAL[[#Headers],[SENAI OU SENAC]])-2,0)*($G191-$H191)</f>
        <v>96.189060000000012</v>
      </c>
      <c r="U191" s="21">
        <f>VLOOKUP($A191,tabCustoUnit[],COLUMN(CUSTO_GLOBAL[[#Headers],[INCRA]])-2,0)*($G191-$H191)</f>
        <v>19.237811999999998</v>
      </c>
      <c r="V191" s="21">
        <f>VLOOKUP($A191,tabCustoUnit[],COLUMN(CUSTO_GLOBAL[[#Headers],[Salário Educação]])-2,0)*($G191-$H191)</f>
        <v>240.47265000000004</v>
      </c>
      <c r="W191" s="21">
        <f>VLOOKUP($A191,tabCustoUnit[],COLUMN(CUSTO_GLOBAL[[#Headers],[FGTS]])-2,0)*($G191-$H191)</f>
        <v>769.5124800000001</v>
      </c>
      <c r="X191" s="21">
        <f>VLOOKUP($A191,tabCustoUnit[],COLUMN(CUSTO_GLOBAL[[#Headers],[RAT Ajustado]])-2,0)*($G191-$H191)</f>
        <v>384.75624000000005</v>
      </c>
      <c r="Y191" s="21">
        <f>VLOOKUP($A191,tabCustoUnit[],COLUMN(CUSTO_GLOBAL[[#Headers],[SEBRAE]])-2,0)*($G191-$H191)</f>
        <v>57.713436000000002</v>
      </c>
      <c r="Z191" s="21">
        <f>VLOOKUP($A191,tabCustoUnit[],COLUMN(CUSTO_GLOBAL[[#Headers],[Submódulo 2.1]])-2,0)*($G191-$H191)</f>
        <v>3635.946468000001</v>
      </c>
      <c r="AA191" s="21">
        <f>VLOOKUP($A191,tabCustoUnit[],COLUMN(CUSTO_GLOBAL[[#Headers],[13º salário (titular)]])-2,0)*($G191-$H191)</f>
        <v>801.57549999999992</v>
      </c>
      <c r="AB191" s="21">
        <f>VLOOKUP($A191,tabCustoUnit[],COLUMN(CUSTO_GLOBAL[[#Headers],[Férias e Adicional de Férias (titular)]])-2,0)*($G191-$H191)</f>
        <v>1068.7673333333332</v>
      </c>
      <c r="AC191" s="21">
        <f>VLOOKUP($A191,tabCustoUnit[],COLUMN(CUSTO_GLOBAL[[#Headers],[Incidência do Submódulo 2.1 sobre 13º Salário, Férias e Adicional de Férias]])-2,0)*($G191-$H191)</f>
        <v>706.98959100000002</v>
      </c>
      <c r="AD191" s="21">
        <f>VLOOKUP($A191,tabCustoUnit[],COLUMN(CUSTO_GLOBAL[[#Headers],[Submódulo 2.2]])-2,0)*($G191-$H191)</f>
        <v>2577.3324243333332</v>
      </c>
      <c r="AE191" s="22" t="e">
        <f ca="1">VLOOKUP($A191,tabCustoUnit[],COLUMN(CUSTO_GLOBAL[[#Headers],[Vale - Transporte (Descontada parcela do empregado)]])-2,0)*($G191-$H191)</f>
        <v>#NAME?</v>
      </c>
      <c r="AF191" s="22">
        <f>VLOOKUP($A191,tabCustoUnit[],COLUMN(CUSTO_GLOBAL[[#Headers],[Vale - Alimentação (Descontada parcela do empregado)]])-2,0)*($G191-$H191)</f>
        <v>3492</v>
      </c>
      <c r="AG191" s="22">
        <f>VLOOKUP($A191,tabCustoUnit[],COLUMN(CUSTO_GLOBAL[[#Headers],[Cesta Básica]])-2,0)*($G191-$H191)</f>
        <v>0</v>
      </c>
      <c r="AH191" s="22">
        <f>VLOOKUP($A191,tabCustoUnit[],COLUMN(CUSTO_GLOBAL[[#Headers],[PAF]])-2,0)*($G191-$H191)</f>
        <v>337.79999999999995</v>
      </c>
      <c r="AI191" s="22">
        <f>VLOOKUP($A191,tabCustoUnit[],COLUMN(CUSTO_GLOBAL[[#Headers],[PQM]])-2,0)*($G191-$H191)</f>
        <v>88.14</v>
      </c>
      <c r="AJ191" s="22">
        <v>0</v>
      </c>
      <c r="AK191" s="22">
        <f>VLOOKUP($A191,tabCustoUnit[],COLUMN(CUSTO_GLOBAL[[#Headers],[Seguro de Vida]])-2,0)*($G191-$H191)</f>
        <v>20.16</v>
      </c>
      <c r="AL191" s="22">
        <f>VLOOKUP($A191,tabCustoUnit[],COLUMN(CUSTO_GLOBAL[[#Headers],[Despesas de Viagem]])-2,0)*($G191-$H191)</f>
        <v>0</v>
      </c>
      <c r="AM191" s="22" t="e">
        <f ca="1">VLOOKUP($A191,tabCustoUnit[],COLUMN(CUSTO_GLOBAL[[#Headers],[Submódulo 2.3]])-2,0)*($G191-$H191)</f>
        <v>#NAME?</v>
      </c>
      <c r="AN191" s="22" t="e">
        <f ca="1">VLOOKUP($A191,tabCustoUnit[],COLUMN(CUSTO_GLOBAL[[#Headers],[MÓDULO 2 - Total Encargos e Benefícios mensais e diários]])-2,0)*($G191-$H191)</f>
        <v>#NAME?</v>
      </c>
      <c r="AO191" s="22">
        <f>VLOOKUP($A191,tabCustoUnit[],COLUMN(CUSTO_GLOBAL[[#Headers],[Aviso Prévio Indenizado (API) e Reflexo do Aviso Prévio Indenizado]])-2,0)*($G191-$H191)</f>
        <v>67.44552742939814</v>
      </c>
      <c r="AP191" s="22">
        <f>VLOOKUP($A191,tabCustoUnit[],COLUMN(CUSTO_GLOBAL[[#Headers],[Incidência do FGTS sobre API e Reflexo do API]])-2,0)*($G191-$H191)</f>
        <v>5.3956421943518524</v>
      </c>
      <c r="AQ191" s="22">
        <f>VLOOKUP($A191,tabCustoUnit[],COLUMN(CUSTO_GLOBAL[[#Headers],[Multa Rescisória do FGTS sobre o Aviso Prévio Indenizado]])-2,0)*($G191-$H191)</f>
        <v>2.1582568777407412</v>
      </c>
      <c r="AR191" s="22">
        <f>VLOOKUP($A191,tabCustoUnit[],COLUMN(CUSTO_GLOBAL[[#Headers],[Aviso Prévio Trabalhado - APT]])-2,0)*($G191-$H191)</f>
        <v>33.666171000000006</v>
      </c>
      <c r="AS191" s="22">
        <f>VLOOKUP($A191,tabCustoUnit[],COLUMN(CUSTO_GLOBAL[[#Headers],[Incidência dos encargos do submódulo 2.1 sobre Aviso Prévio Trabalhado]])-2,0)*($G191-$H191)</f>
        <v>12.725812638000004</v>
      </c>
      <c r="AT191" s="22">
        <f>VLOOKUP($A191,tabCustoUnit[],COLUMN(CUSTO_GLOBAL[[#Headers],[Multa Rescisória do FGTS]])-2,0)*($G191-$H191)</f>
        <v>294.1247701333333</v>
      </c>
      <c r="AU191" s="22">
        <f>VLOOKUP($A191,tabCustoUnit[],COLUMN(CUSTO_GLOBAL[[#Headers],[Indenização Adicional (Art. 9º da Lei nº 7.238/84)]])-2,0)*($G191-$H191)</f>
        <v>8.0157550000000004</v>
      </c>
      <c r="AV191" s="22">
        <f>VLOOKUP($A191,tabCustoUnit[],COLUMN(CUSTO_GLOBAL[[#Headers],[MÓDULO 3 – PROVISÃO PARA RESCISÃO]])-2,0)*($G191-$H191)</f>
        <v>423.53193527282411</v>
      </c>
      <c r="AW191" s="22">
        <f>VLOOKUP($A191,tabCustoUnit[],COLUMN(CUSTO_GLOBAL[[#Headers],[Ausência por Doença]])-2,0)*($G191-$H191)</f>
        <v>81.226317333333327</v>
      </c>
      <c r="AX191" s="22">
        <f>VLOOKUP($A191,tabCustoUnit[],COLUMN(CUSTO_GLOBAL[[#Headers],[Ausências Legais]])-2,0)*($G191-$H191)</f>
        <v>19.505003833333333</v>
      </c>
      <c r="AY191" s="22">
        <f>VLOOKUP($A191,tabCustoUnit[],COLUMN(CUSTO_GLOBAL[[#Headers],[Licença Paternidade]])-2,0)*($G191-$H191)</f>
        <v>1.643229775</v>
      </c>
      <c r="AZ191" s="22">
        <f>VLOOKUP($A191,tabCustoUnit[],COLUMN(CUSTO_GLOBAL[[#Headers],[Ausência por Acidente de Trabalho]])-2,0)*($G191-$H191)</f>
        <v>2.0039387500000001</v>
      </c>
      <c r="BA191" s="22">
        <f>VLOOKUP($A191,tabCustoUnit[],COLUMN(CUSTO_GLOBAL[[#Headers],[Férias, Adicional de Férias e 13º  com empregada em gozo de Licença Maternidade]])-2,0)*($G191-$H191)</f>
        <v>12.468952222222224</v>
      </c>
      <c r="BB191" s="22">
        <f>VLOOKUP($A191,tabCustoUnit[],COLUMN(CUSTO_GLOBAL[[#Headers],[Incidência do Submódulo 2.1 sobre Ausências Legais]])-2,0)*($G191-$H191)</f>
        <v>44.168333043450005</v>
      </c>
      <c r="BC191" s="22">
        <f>VLOOKUP($A191,tabCustoUnit[],COLUMN(CUSTO_GLOBAL[[#Headers],[Submódulo 4.1]])-2,0)*($G191-$H191)</f>
        <v>161.01577495733886</v>
      </c>
      <c r="BD191" s="22">
        <f>VLOOKUP($A191,tabCustoUnit[],COLUMN(CUSTO_GLOBAL[[#Headers],[Intervalo para Repouso ou Alimentação]])-2,0)*($G191-$H191)</f>
        <v>0</v>
      </c>
      <c r="BE191" s="22">
        <f>VLOOKUP($A191,tabCustoUnit[],COLUMN(CUSTO_GLOBAL[[#Headers],[Submódulo 4.2]])-2,0)*($G191-$H191)</f>
        <v>0</v>
      </c>
      <c r="BF191" s="22">
        <f>VLOOKUP($A191,tabCustoUnit[],COLUMN(CUSTO_GLOBAL[[#Headers],[Suspensão Temporária do Contrato de Trabalho]])-2,0)*($G191-$H191)</f>
        <v>0</v>
      </c>
      <c r="BG191" s="22">
        <f>VLOOKUP($A191,tabCustoUnit[],COLUMN(CUSTO_GLOBAL[[#Headers],[Submódulo 4.3]])-2,0)*($G191-$H191)</f>
        <v>0</v>
      </c>
      <c r="BH191" s="22">
        <f>VLOOKUP($A191,tabCustoUnit[],COLUMN(CUSTO_GLOBAL[[#Headers],[MÓDULO 4 – CUSTO DE REPOSIÇÃO DO PROFISSIONAL AUSENTE]])-2,0)*($G191-$H191)</f>
        <v>161.01577495733886</v>
      </c>
      <c r="BI191" s="22">
        <f>VLOOKUP($A191,tabCustoUnit[],COLUMN(CUSTO_GLOBAL[[#Headers],[Uniformes e EPIs]])-2,0)*($G191-$H191)</f>
        <v>336.85028197193952</v>
      </c>
      <c r="BJ191" s="22">
        <f>VLOOKUP($A191,tabCustoUnit[],COLUMN(CUSTO_GLOBAL[[#Headers],[Materiais de Consumo]])-2,0)*($G191-$H191)</f>
        <v>0</v>
      </c>
      <c r="BK191" s="22">
        <f>VLOOKUP($A191,tabCustoUnit[],COLUMN(CUSTO_GLOBAL[[#Headers],[Máquinas e Equipamentos (depreciação)]])-2,0)*($G191-$H191)</f>
        <v>0</v>
      </c>
      <c r="BL191" s="22">
        <f>VLOOKUP($A191,tabCustoUnit[],COLUMN(CUSTO_GLOBAL[[#Headers],[Produtos de Limpeza e Materiais de Higiene Pessoal]])-2,0)*($G191-$H191)</f>
        <v>0</v>
      </c>
      <c r="BM191" s="22">
        <f>VLOOKUP($A191,tabCustoUnit[],COLUMN(CUSTO_GLOBAL[[#Headers],[Outros (especificar)]])-2,0)*($G191-$H191)</f>
        <v>0</v>
      </c>
      <c r="BN191" s="22">
        <f>VLOOKUP($A191,tabCustoUnit[],COLUMN(CUSTO_GLOBAL[[#Headers],[MÓDULO 5 – INSUMOS DIVERSOS]])-2,0)*($G191-$H191)</f>
        <v>336.85028197193952</v>
      </c>
      <c r="BO191" s="22" t="e">
        <f ca="1">VLOOKUP($A191,tabCustoUnit[],COLUMN(CUSTO_GLOBAL[[#Headers],[TOTAL MÓDULOS 1+2+3+4+5]])-2,0)*($G191-$H191)</f>
        <v>#NAME?</v>
      </c>
      <c r="BP191" s="22" t="e">
        <f ca="1">VLOOKUP($A191,tabCustoUnit[],COLUMN(CUSTO_GLOBAL[[#Headers],[Custos Indiretos]])-2,0)*($G191-$H191)</f>
        <v>#NAME?</v>
      </c>
      <c r="BQ191" s="22" t="e">
        <f ca="1">VLOOKUP($A191,tabCustoUnit[],COLUMN(CUSTO_GLOBAL[[#Headers],[Lucro]])-2,0)*($G191-$H191)</f>
        <v>#NAME?</v>
      </c>
      <c r="BR191" s="26">
        <f>VLOOKUP($A191,tabCustoUnit[],COLUMN(CUSTO_GLOBAL[[#Headers],[COFINS]])-2,0)</f>
        <v>8.8629737609329504E-2</v>
      </c>
      <c r="BS191" s="26">
        <f>VLOOKUP($A191,tabCustoUnit[],COLUMN(CUSTO_GLOBAL[[#Headers],[PIS]])-2,0)</f>
        <v>1.9241982507288629E-2</v>
      </c>
      <c r="BT191" s="28">
        <f>VLOOKUP($A191,tabCustoUnit[],COLUMN(CUSTO_GLOBAL[[#Headers],[ISS]])-2,0)</f>
        <v>0.05</v>
      </c>
      <c r="BU191" s="26">
        <f>VLOOKUP($A191,tabCustoUnit[],COLUMN(CUSTO_GLOBAL[[#Headers],[ISS (Conversão Alíquota s/ fatura)]])-2,0)</f>
        <v>5.8309037900874633E-2</v>
      </c>
      <c r="BV191" s="26">
        <f>VLOOKUP($A191,tabCustoUnit[],COLUMN(CUSTO_GLOBAL[[#Headers],[Resumo de Alíquotas (PIS+CONFINS+ISS)]])-2,0)</f>
        <v>0.14250000000000002</v>
      </c>
      <c r="BW191" s="138">
        <f>VLOOKUP($A191,tabCustoUnit[],COLUMN(CUSTO_GLOBAL[[#Headers],[PIS + COFINS + ISS (Total Conversão  Alíquota s/ Fatura)]])-2,0)</f>
        <v>0.16618075801749277</v>
      </c>
      <c r="BX191" s="22" t="e">
        <f ca="1">VLOOKUP($A191,tabCustoUnit[],COLUMN(CUSTO_GLOBAL[[#Headers],[Valor dos Tributos (ISS, PIS, CONFINS)]])-2,0)*($G191-$H191)</f>
        <v>#NAME?</v>
      </c>
      <c r="BY191" s="22" t="e">
        <f ca="1">VLOOKUP($A191,tabCustoUnit[],COLUMN(CUSTO_GLOBAL[[#Headers],[MÓDULO 6 – CUSTOS INDIRETOS, TRIBUTOS E LUCRO]])-2,0)*($G191-$H191)</f>
        <v>#NAME?</v>
      </c>
      <c r="BZ191" s="22" t="e">
        <f ca="1">VLOOKUP($A191,tabCustoUnit[],COLUMN(CUSTO_GLOBAL[[#Headers],[CUSTO TOTAL MENSAL]])-2,0)*($G191-$H191)</f>
        <v>#NAME?</v>
      </c>
      <c r="CA191" s="22" t="e">
        <f ca="1">CUSTO_GLOBAL[[#This Row],[CUSTO TOTAL MENSAL]]*12</f>
        <v>#NAME?</v>
      </c>
      <c r="CB191" s="24">
        <f>VLOOKUP($A191,tabCustoUnit[],COLUMN(CUSTO_GLOBAL[[#Headers],[ANO DA CCT]])-2,0)</f>
        <v>45658</v>
      </c>
      <c r="CC191" s="25" t="str">
        <f>VLOOKUP($A191,tabCustoUnit[],COLUMN(CUSTO_GLOBAL[[#Headers],[Nº DE PEDIDO DA CCT]])-2,0)</f>
        <v>-</v>
      </c>
      <c r="CD191" s="25" t="str">
        <f>VLOOKUP($A191,tabCustoUnit[],COLUMN(CUSTO_GLOBAL[[#Headers],[TERMO ADITIVO ALTERAÇÃO DA CCT]])-2,0)</f>
        <v>-</v>
      </c>
    </row>
    <row r="192" spans="1:82">
      <c r="A192" s="20" t="s">
        <v>1631</v>
      </c>
      <c r="B192" t="s">
        <v>936</v>
      </c>
      <c r="C192" t="s">
        <v>274</v>
      </c>
      <c r="D192" t="s">
        <v>996</v>
      </c>
      <c r="E192" s="20" t="s">
        <v>1090</v>
      </c>
      <c r="F192" s="20" t="s">
        <v>120</v>
      </c>
      <c r="G192" s="20">
        <v>2</v>
      </c>
      <c r="H192" s="20">
        <v>0</v>
      </c>
      <c r="I192" s="21">
        <f>VLOOKUP($A192,tabCustoUnit[],COLUMN(CUSTO_GLOBAL[[#Headers],[Salário Base]])-2,0)*($G192-$H192)</f>
        <v>8368.0504000000001</v>
      </c>
      <c r="J192" s="21">
        <f>VLOOKUP($A192,tabCustoUnit[],COLUMN(CUSTO_GLOBAL[[#Headers],[Adicional Periculosidade]])-2,0)*($G192-$H192)</f>
        <v>0</v>
      </c>
      <c r="K192" s="21">
        <f>VLOOKUP($A192,tabCustoUnit[],COLUMN(CUSTO_GLOBAL[[#Headers],[Adicional Insalubridade]])-2,0)*($G192-$H192)</f>
        <v>0</v>
      </c>
      <c r="L192" s="21">
        <f>VLOOKUP($A192,tabCustoUnit[],COLUMN(CUSTO_GLOBAL[[#Headers],[Adicional Noturno]])-2,0)*($G192-$H192)</f>
        <v>0</v>
      </c>
      <c r="M192" s="21">
        <f>VLOOKUP($A192,tabCustoUnit[],COLUMN(CUSTO_GLOBAL[[#Headers],[Adicional Motorista II (Gratificação)]])-2,0)*($G192-$H192)</f>
        <v>0</v>
      </c>
      <c r="N192" s="21">
        <f>VLOOKUP($A192,tabCustoUnit[],COLUMN(CUSTO_GLOBAL[[#Headers],[Adicional de Sobreaviso]])-2,0)*($G192-$H192)</f>
        <v>0</v>
      </c>
      <c r="O192" s="21">
        <f>VLOOKUP($A192,tabCustoUnit[],COLUMN(CUSTO_GLOBAL[[#Headers],[Horas Extras TI]])-2,0)*($G192-$H192)</f>
        <v>0</v>
      </c>
      <c r="P192" s="21">
        <f>VLOOKUP($A192,tabCustoUnit[],COLUMN(CUSTO_GLOBAL[[#Headers],[Adicional de Acúmulo de função]])-2,0)*($G192-$H192)</f>
        <v>0</v>
      </c>
      <c r="Q192" s="21">
        <f>VLOOKUP($A192,tabCustoUnit[],COLUMN(CUSTO_GLOBAL[[#Headers],[MODULO 1 - REMUNERAÇÃO ]])-2,0)*($G192-$H192)</f>
        <v>8368.0504000000001</v>
      </c>
      <c r="R192" s="21">
        <f>VLOOKUP($A192,tabCustoUnit[],COLUMN(CUSTO_GLOBAL[[#Headers],[INSS]])-2,0)*($G192-$H192)</f>
        <v>1673.6100800000002</v>
      </c>
      <c r="S192" s="21">
        <f>VLOOKUP($A192,tabCustoUnit[],COLUMN(CUSTO_GLOBAL[[#Headers],[SESI OU SESC]])-2,0)*($G192-$H192)</f>
        <v>125.52075599999999</v>
      </c>
      <c r="T192" s="21">
        <f>VLOOKUP($A192,tabCustoUnit[],COLUMN(CUSTO_GLOBAL[[#Headers],[SENAI OU SENAC]])-2,0)*($G192-$H192)</f>
        <v>83.680503999999999</v>
      </c>
      <c r="U192" s="21">
        <f>VLOOKUP($A192,tabCustoUnit[],COLUMN(CUSTO_GLOBAL[[#Headers],[INCRA]])-2,0)*($G192-$H192)</f>
        <v>16.736100799999999</v>
      </c>
      <c r="V192" s="21">
        <f>VLOOKUP($A192,tabCustoUnit[],COLUMN(CUSTO_GLOBAL[[#Headers],[Salário Educação]])-2,0)*($G192-$H192)</f>
        <v>209.20126000000002</v>
      </c>
      <c r="W192" s="21">
        <f>VLOOKUP($A192,tabCustoUnit[],COLUMN(CUSTO_GLOBAL[[#Headers],[FGTS]])-2,0)*($G192-$H192)</f>
        <v>669.44403199999999</v>
      </c>
      <c r="X192" s="21">
        <f>VLOOKUP($A192,tabCustoUnit[],COLUMN(CUSTO_GLOBAL[[#Headers],[RAT Ajustado]])-2,0)*($G192-$H192)</f>
        <v>334.722016</v>
      </c>
      <c r="Y192" s="21">
        <f>VLOOKUP($A192,tabCustoUnit[],COLUMN(CUSTO_GLOBAL[[#Headers],[SEBRAE]])-2,0)*($G192-$H192)</f>
        <v>50.208302400000001</v>
      </c>
      <c r="Z192" s="21">
        <f>VLOOKUP($A192,tabCustoUnit[],COLUMN(CUSTO_GLOBAL[[#Headers],[Submódulo 2.1]])-2,0)*($G192-$H192)</f>
        <v>3163.1230511999997</v>
      </c>
      <c r="AA192" s="21">
        <f>VLOOKUP($A192,tabCustoUnit[],COLUMN(CUSTO_GLOBAL[[#Headers],[13º salário (titular)]])-2,0)*($G192-$H192)</f>
        <v>697.33753333333334</v>
      </c>
      <c r="AB192" s="21">
        <f>VLOOKUP($A192,tabCustoUnit[],COLUMN(CUSTO_GLOBAL[[#Headers],[Férias e Adicional de Férias (titular)]])-2,0)*($G192-$H192)</f>
        <v>929.78337777777779</v>
      </c>
      <c r="AC192" s="21">
        <f>VLOOKUP($A192,tabCustoUnit[],COLUMN(CUSTO_GLOBAL[[#Headers],[Incidência do Submódulo 2.1 sobre 13º Salário, Férias e Adicional de Férias]])-2,0)*($G192-$H192)</f>
        <v>615.05170439999995</v>
      </c>
      <c r="AD192" s="21">
        <f>VLOOKUP($A192,tabCustoUnit[],COLUMN(CUSTO_GLOBAL[[#Headers],[Submódulo 2.2]])-2,0)*($G192-$H192)</f>
        <v>2242.172615511111</v>
      </c>
      <c r="AE192" s="22" t="e">
        <f ca="1">VLOOKUP($A192,tabCustoUnit[],COLUMN(CUSTO_GLOBAL[[#Headers],[Vale - Transporte (Descontada parcela do empregado)]])-2,0)*($G192-$H192)</f>
        <v>#NAME?</v>
      </c>
      <c r="AF192" s="22">
        <f>VLOOKUP($A192,tabCustoUnit[],COLUMN(CUSTO_GLOBAL[[#Headers],[Vale - Alimentação (Descontada parcela do empregado)]])-2,0)*($G192-$H192)</f>
        <v>1164</v>
      </c>
      <c r="AG192" s="22">
        <f>VLOOKUP($A192,tabCustoUnit[],COLUMN(CUSTO_GLOBAL[[#Headers],[Cesta Básica]])-2,0)*($G192-$H192)</f>
        <v>0</v>
      </c>
      <c r="AH192" s="22">
        <f>VLOOKUP($A192,tabCustoUnit[],COLUMN(CUSTO_GLOBAL[[#Headers],[PAF]])-2,0)*($G192-$H192)</f>
        <v>0</v>
      </c>
      <c r="AI192" s="22">
        <f>VLOOKUP($A192,tabCustoUnit[],COLUMN(CUSTO_GLOBAL[[#Headers],[PQM]])-2,0)*($G192-$H192)</f>
        <v>0</v>
      </c>
      <c r="AJ192" s="22">
        <v>0</v>
      </c>
      <c r="AK192" s="22">
        <f>VLOOKUP($A192,tabCustoUnit[],COLUMN(CUSTO_GLOBAL[[#Headers],[Seguro de Vida]])-2,0)*($G192-$H192)</f>
        <v>6.72</v>
      </c>
      <c r="AL192" s="22">
        <f>VLOOKUP($A192,tabCustoUnit[],COLUMN(CUSTO_GLOBAL[[#Headers],[Despesas de Viagem]])-2,0)*($G192-$H192)</f>
        <v>1324.84</v>
      </c>
      <c r="AM192" s="22" t="e">
        <f ca="1">VLOOKUP($A192,tabCustoUnit[],COLUMN(CUSTO_GLOBAL[[#Headers],[Submódulo 2.3]])-2,0)*($G192-$H192)</f>
        <v>#NAME?</v>
      </c>
      <c r="AN192" s="22" t="e">
        <f ca="1">VLOOKUP($A192,tabCustoUnit[],COLUMN(CUSTO_GLOBAL[[#Headers],[MÓDULO 2 - Total Encargos e Benefícios mensais e diários]])-2,0)*($G192-$H192)</f>
        <v>#NAME?</v>
      </c>
      <c r="AO192" s="22">
        <f>VLOOKUP($A192,tabCustoUnit[],COLUMN(CUSTO_GLOBAL[[#Headers],[Aviso Prévio Indenizado (API) e Reflexo do Aviso Prévio Indenizado]])-2,0)*($G192-$H192)</f>
        <v>58.67481944243827</v>
      </c>
      <c r="AP192" s="22">
        <f>VLOOKUP($A192,tabCustoUnit[],COLUMN(CUSTO_GLOBAL[[#Headers],[Incidência do FGTS sobre API e Reflexo do API]])-2,0)*($G192-$H192)</f>
        <v>4.693985555395062</v>
      </c>
      <c r="AQ192" s="22">
        <f>VLOOKUP($A192,tabCustoUnit[],COLUMN(CUSTO_GLOBAL[[#Headers],[Multa Rescisória do FGTS sobre o Aviso Prévio Indenizado]])-2,0)*($G192-$H192)</f>
        <v>1.8775942221580251</v>
      </c>
      <c r="AR192" s="22">
        <f>VLOOKUP($A192,tabCustoUnit[],COLUMN(CUSTO_GLOBAL[[#Headers],[Aviso Prévio Trabalhado - APT]])-2,0)*($G192-$H192)</f>
        <v>29.288176400000005</v>
      </c>
      <c r="AS192" s="22">
        <f>VLOOKUP($A192,tabCustoUnit[],COLUMN(CUSTO_GLOBAL[[#Headers],[Incidência dos encargos do submódulo 2.1 sobre Aviso Prévio Trabalhado]])-2,0)*($G192-$H192)</f>
        <v>11.070930679200004</v>
      </c>
      <c r="AT192" s="22">
        <f>VLOOKUP($A192,tabCustoUnit[],COLUMN(CUSTO_GLOBAL[[#Headers],[Multa Rescisória do FGTS]])-2,0)*($G192-$H192)</f>
        <v>255.8763855644444</v>
      </c>
      <c r="AU192" s="22">
        <f>VLOOKUP($A192,tabCustoUnit[],COLUMN(CUSTO_GLOBAL[[#Headers],[Indenização Adicional (Art. 9º da Lei nº 7.238/84)]])-2,0)*($G192-$H192)</f>
        <v>6.9733753333333341</v>
      </c>
      <c r="AV192" s="22">
        <f>VLOOKUP($A192,tabCustoUnit[],COLUMN(CUSTO_GLOBAL[[#Headers],[MÓDULO 3 – PROVISÃO PARA RESCISÃO]])-2,0)*($G192-$H192)</f>
        <v>368.45526719696909</v>
      </c>
      <c r="AW192" s="22">
        <f>VLOOKUP($A192,tabCustoUnit[],COLUMN(CUSTO_GLOBAL[[#Headers],[Ausência por Doença]])-2,0)*($G192-$H192)</f>
        <v>70.663536711111107</v>
      </c>
      <c r="AX192" s="22">
        <f>VLOOKUP($A192,tabCustoUnit[],COLUMN(CUSTO_GLOBAL[[#Headers],[Ausências Legais]])-2,0)*($G192-$H192)</f>
        <v>16.968546644444444</v>
      </c>
      <c r="AY192" s="22">
        <f>VLOOKUP($A192,tabCustoUnit[],COLUMN(CUSTO_GLOBAL[[#Headers],[Licença Paternidade]])-2,0)*($G192-$H192)</f>
        <v>1.4295419433333334</v>
      </c>
      <c r="AZ192" s="22">
        <f>VLOOKUP($A192,tabCustoUnit[],COLUMN(CUSTO_GLOBAL[[#Headers],[Ausência por Acidente de Trabalho]])-2,0)*($G192-$H192)</f>
        <v>1.7433438333333335</v>
      </c>
      <c r="BA192" s="22">
        <f>VLOOKUP($A192,tabCustoUnit[],COLUMN(CUSTO_GLOBAL[[#Headers],[Férias, Adicional de Férias e 13º  com empregada em gozo de Licença Maternidade]])-2,0)*($G192-$H192)</f>
        <v>10.847472740740741</v>
      </c>
      <c r="BB192" s="22">
        <f>VLOOKUP($A192,tabCustoUnit[],COLUMN(CUSTO_GLOBAL[[#Headers],[Incidência do Submódulo 2.1 sobre Ausências Legais]])-2,0)*($G192-$H192)</f>
        <v>38.424623027980005</v>
      </c>
      <c r="BC192" s="22">
        <f>VLOOKUP($A192,tabCustoUnit[],COLUMN(CUSTO_GLOBAL[[#Headers],[Submódulo 4.1]])-2,0)*($G192-$H192)</f>
        <v>140.07706490094296</v>
      </c>
      <c r="BD192" s="22">
        <f>VLOOKUP($A192,tabCustoUnit[],COLUMN(CUSTO_GLOBAL[[#Headers],[Intervalo para Repouso ou Alimentação]])-2,0)*($G192-$H192)</f>
        <v>0</v>
      </c>
      <c r="BE192" s="22">
        <f>VLOOKUP($A192,tabCustoUnit[],COLUMN(CUSTO_GLOBAL[[#Headers],[Submódulo 4.2]])-2,0)*($G192-$H192)</f>
        <v>0</v>
      </c>
      <c r="BF192" s="22">
        <f>VLOOKUP($A192,tabCustoUnit[],COLUMN(CUSTO_GLOBAL[[#Headers],[Suspensão Temporária do Contrato de Trabalho]])-2,0)*($G192-$H192)</f>
        <v>0</v>
      </c>
      <c r="BG192" s="22">
        <f>VLOOKUP($A192,tabCustoUnit[],COLUMN(CUSTO_GLOBAL[[#Headers],[Submódulo 4.3]])-2,0)*($G192-$H192)</f>
        <v>0</v>
      </c>
      <c r="BH192" s="22">
        <f>VLOOKUP($A192,tabCustoUnit[],COLUMN(CUSTO_GLOBAL[[#Headers],[MÓDULO 4 – CUSTO DE REPOSIÇÃO DO PROFISSIONAL AUSENTE]])-2,0)*($G192-$H192)</f>
        <v>140.07706490094296</v>
      </c>
      <c r="BI192" s="22">
        <f>VLOOKUP($A192,tabCustoUnit[],COLUMN(CUSTO_GLOBAL[[#Headers],[Uniformes e EPIs]])-2,0)*($G192-$H192)</f>
        <v>184.2015275431414</v>
      </c>
      <c r="BJ192" s="22">
        <f>VLOOKUP($A192,tabCustoUnit[],COLUMN(CUSTO_GLOBAL[[#Headers],[Materiais de Consumo]])-2,0)*($G192-$H192)</f>
        <v>0</v>
      </c>
      <c r="BK192" s="22">
        <f>VLOOKUP($A192,tabCustoUnit[],COLUMN(CUSTO_GLOBAL[[#Headers],[Máquinas e Equipamentos (depreciação)]])-2,0)*($G192-$H192)</f>
        <v>0</v>
      </c>
      <c r="BL192" s="22">
        <f>VLOOKUP($A192,tabCustoUnit[],COLUMN(CUSTO_GLOBAL[[#Headers],[Produtos de Limpeza e Materiais de Higiene Pessoal]])-2,0)*($G192-$H192)</f>
        <v>0</v>
      </c>
      <c r="BM192" s="22">
        <f>VLOOKUP($A192,tabCustoUnit[],COLUMN(CUSTO_GLOBAL[[#Headers],[Outros (especificar)]])-2,0)*($G192-$H192)</f>
        <v>0</v>
      </c>
      <c r="BN192" s="22">
        <f>VLOOKUP($A192,tabCustoUnit[],COLUMN(CUSTO_GLOBAL[[#Headers],[MÓDULO 5 – INSUMOS DIVERSOS]])-2,0)*($G192-$H192)</f>
        <v>184.2015275431414</v>
      </c>
      <c r="BO192" s="22" t="e">
        <f ca="1">VLOOKUP($A192,tabCustoUnit[],COLUMN(CUSTO_GLOBAL[[#Headers],[TOTAL MÓDULOS 1+2+3+4+5]])-2,0)*($G192-$H192)</f>
        <v>#NAME?</v>
      </c>
      <c r="BP192" s="22" t="e">
        <f ca="1">VLOOKUP($A192,tabCustoUnit[],COLUMN(CUSTO_GLOBAL[[#Headers],[Custos Indiretos]])-2,0)*($G192-$H192)</f>
        <v>#NAME?</v>
      </c>
      <c r="BQ192" s="22" t="e">
        <f ca="1">VLOOKUP($A192,tabCustoUnit[],COLUMN(CUSTO_GLOBAL[[#Headers],[Lucro]])-2,0)*($G192-$H192)</f>
        <v>#NAME?</v>
      </c>
      <c r="BR192" s="26">
        <f>VLOOKUP($A192,tabCustoUnit[],COLUMN(CUSTO_GLOBAL[[#Headers],[COFINS]])-2,0)</f>
        <v>8.8629737609329504E-2</v>
      </c>
      <c r="BS192" s="26">
        <f>VLOOKUP($A192,tabCustoUnit[],COLUMN(CUSTO_GLOBAL[[#Headers],[PIS]])-2,0)</f>
        <v>1.9241982507288629E-2</v>
      </c>
      <c r="BT192" s="28">
        <f>VLOOKUP($A192,tabCustoUnit[],COLUMN(CUSTO_GLOBAL[[#Headers],[ISS]])-2,0)</f>
        <v>0.05</v>
      </c>
      <c r="BU192" s="26">
        <f>VLOOKUP($A192,tabCustoUnit[],COLUMN(CUSTO_GLOBAL[[#Headers],[ISS (Conversão Alíquota s/ fatura)]])-2,0)</f>
        <v>5.8309037900874633E-2</v>
      </c>
      <c r="BV192" s="26">
        <f>VLOOKUP($A192,tabCustoUnit[],COLUMN(CUSTO_GLOBAL[[#Headers],[Resumo de Alíquotas (PIS+CONFINS+ISS)]])-2,0)</f>
        <v>0.14250000000000002</v>
      </c>
      <c r="BW192" s="138">
        <f>VLOOKUP($A192,tabCustoUnit[],COLUMN(CUSTO_GLOBAL[[#Headers],[PIS + COFINS + ISS (Total Conversão  Alíquota s/ Fatura)]])-2,0)</f>
        <v>0.16618075801749277</v>
      </c>
      <c r="BX192" s="22" t="e">
        <f ca="1">VLOOKUP($A192,tabCustoUnit[],COLUMN(CUSTO_GLOBAL[[#Headers],[Valor dos Tributos (ISS, PIS, CONFINS)]])-2,0)*($G192-$H192)</f>
        <v>#NAME?</v>
      </c>
      <c r="BY192" s="22" t="e">
        <f ca="1">VLOOKUP($A192,tabCustoUnit[],COLUMN(CUSTO_GLOBAL[[#Headers],[MÓDULO 6 – CUSTOS INDIRETOS, TRIBUTOS E LUCRO]])-2,0)*($G192-$H192)</f>
        <v>#NAME?</v>
      </c>
      <c r="BZ192" s="22" t="e">
        <f ca="1">VLOOKUP($A192,tabCustoUnit[],COLUMN(CUSTO_GLOBAL[[#Headers],[CUSTO TOTAL MENSAL]])-2,0)*($G192-$H192)</f>
        <v>#NAME?</v>
      </c>
      <c r="CA192" s="22" t="e">
        <f ca="1">CUSTO_GLOBAL[[#This Row],[CUSTO TOTAL MENSAL]]*12</f>
        <v>#NAME?</v>
      </c>
      <c r="CB192" s="24">
        <f>VLOOKUP($A192,tabCustoUnit[],COLUMN(CUSTO_GLOBAL[[#Headers],[ANO DA CCT]])-2,0)</f>
        <v>45658</v>
      </c>
      <c r="CC192" s="25" t="str">
        <f>VLOOKUP($A192,tabCustoUnit[],COLUMN(CUSTO_GLOBAL[[#Headers],[Nº DE PEDIDO DA CCT]])-2,0)</f>
        <v>-</v>
      </c>
      <c r="CD192" s="25" t="str">
        <f>VLOOKUP($A192,tabCustoUnit[],COLUMN(CUSTO_GLOBAL[[#Headers],[TERMO ADITIVO ALTERAÇÃO DA CCT]])-2,0)</f>
        <v>-</v>
      </c>
    </row>
    <row r="193" spans="1:82">
      <c r="A193" s="20" t="s">
        <v>1632</v>
      </c>
      <c r="B193" t="s">
        <v>936</v>
      </c>
      <c r="C193" t="s">
        <v>274</v>
      </c>
      <c r="D193" t="s">
        <v>996</v>
      </c>
      <c r="E193" s="20" t="s">
        <v>1090</v>
      </c>
      <c r="F193" s="20" t="s">
        <v>135</v>
      </c>
      <c r="G193" s="20">
        <v>1</v>
      </c>
      <c r="H193" s="20">
        <v>0</v>
      </c>
      <c r="I193" s="21">
        <f>VLOOKUP($A193,tabCustoUnit[],COLUMN(CUSTO_GLOBAL[[#Headers],[Salário Base]])-2,0)*($G193-$H193)</f>
        <v>4184.0252</v>
      </c>
      <c r="J193" s="21">
        <f>VLOOKUP($A193,tabCustoUnit[],COLUMN(CUSTO_GLOBAL[[#Headers],[Adicional Periculosidade]])-2,0)*($G193-$H193)</f>
        <v>0</v>
      </c>
      <c r="K193" s="21">
        <f>VLOOKUP($A193,tabCustoUnit[],COLUMN(CUSTO_GLOBAL[[#Headers],[Adicional Insalubridade]])-2,0)*($G193-$H193)</f>
        <v>0</v>
      </c>
      <c r="L193" s="21">
        <f>VLOOKUP($A193,tabCustoUnit[],COLUMN(CUSTO_GLOBAL[[#Headers],[Adicional Noturno]])-2,0)*($G193-$H193)</f>
        <v>0</v>
      </c>
      <c r="M193" s="21">
        <f>VLOOKUP($A193,tabCustoUnit[],COLUMN(CUSTO_GLOBAL[[#Headers],[Adicional Motorista II (Gratificação)]])-2,0)*($G193-$H193)</f>
        <v>0</v>
      </c>
      <c r="N193" s="21">
        <f>VLOOKUP($A193,tabCustoUnit[],COLUMN(CUSTO_GLOBAL[[#Headers],[Adicional de Sobreaviso]])-2,0)*($G193-$H193)</f>
        <v>0</v>
      </c>
      <c r="O193" s="21">
        <f>VLOOKUP($A193,tabCustoUnit[],COLUMN(CUSTO_GLOBAL[[#Headers],[Horas Extras TI]])-2,0)*($G193-$H193)</f>
        <v>0</v>
      </c>
      <c r="P193" s="21">
        <f>VLOOKUP($A193,tabCustoUnit[],COLUMN(CUSTO_GLOBAL[[#Headers],[Adicional de Acúmulo de função]])-2,0)*($G193-$H193)</f>
        <v>0</v>
      </c>
      <c r="Q193" s="21">
        <f>VLOOKUP($A193,tabCustoUnit[],COLUMN(CUSTO_GLOBAL[[#Headers],[MODULO 1 - REMUNERAÇÃO ]])-2,0)*($G193-$H193)</f>
        <v>4184.0252</v>
      </c>
      <c r="R193" s="21">
        <f>VLOOKUP($A193,tabCustoUnit[],COLUMN(CUSTO_GLOBAL[[#Headers],[INSS]])-2,0)*($G193-$H193)</f>
        <v>836.80504000000008</v>
      </c>
      <c r="S193" s="21">
        <f>VLOOKUP($A193,tabCustoUnit[],COLUMN(CUSTO_GLOBAL[[#Headers],[SESI OU SESC]])-2,0)*($G193-$H193)</f>
        <v>62.760377999999996</v>
      </c>
      <c r="T193" s="21">
        <f>VLOOKUP($A193,tabCustoUnit[],COLUMN(CUSTO_GLOBAL[[#Headers],[SENAI OU SENAC]])-2,0)*($G193-$H193)</f>
        <v>41.840252</v>
      </c>
      <c r="U193" s="21">
        <f>VLOOKUP($A193,tabCustoUnit[],COLUMN(CUSTO_GLOBAL[[#Headers],[INCRA]])-2,0)*($G193-$H193)</f>
        <v>8.3680503999999996</v>
      </c>
      <c r="V193" s="21">
        <f>VLOOKUP($A193,tabCustoUnit[],COLUMN(CUSTO_GLOBAL[[#Headers],[Salário Educação]])-2,0)*($G193-$H193)</f>
        <v>104.60063000000001</v>
      </c>
      <c r="W193" s="21">
        <f>VLOOKUP($A193,tabCustoUnit[],COLUMN(CUSTO_GLOBAL[[#Headers],[FGTS]])-2,0)*($G193-$H193)</f>
        <v>334.722016</v>
      </c>
      <c r="X193" s="21">
        <f>VLOOKUP($A193,tabCustoUnit[],COLUMN(CUSTO_GLOBAL[[#Headers],[RAT Ajustado]])-2,0)*($G193-$H193)</f>
        <v>167.361008</v>
      </c>
      <c r="Y193" s="21">
        <f>VLOOKUP($A193,tabCustoUnit[],COLUMN(CUSTO_GLOBAL[[#Headers],[SEBRAE]])-2,0)*($G193-$H193)</f>
        <v>25.1041512</v>
      </c>
      <c r="Z193" s="21">
        <f>VLOOKUP($A193,tabCustoUnit[],COLUMN(CUSTO_GLOBAL[[#Headers],[Submódulo 2.1]])-2,0)*($G193-$H193)</f>
        <v>1581.5615255999999</v>
      </c>
      <c r="AA193" s="21">
        <f>VLOOKUP($A193,tabCustoUnit[],COLUMN(CUSTO_GLOBAL[[#Headers],[13º salário (titular)]])-2,0)*($G193-$H193)</f>
        <v>348.66876666666667</v>
      </c>
      <c r="AB193" s="21">
        <f>VLOOKUP($A193,tabCustoUnit[],COLUMN(CUSTO_GLOBAL[[#Headers],[Férias e Adicional de Férias (titular)]])-2,0)*($G193-$H193)</f>
        <v>464.89168888888889</v>
      </c>
      <c r="AC193" s="21">
        <f>VLOOKUP($A193,tabCustoUnit[],COLUMN(CUSTO_GLOBAL[[#Headers],[Incidência do Submódulo 2.1 sobre 13º Salário, Férias e Adicional de Férias]])-2,0)*($G193-$H193)</f>
        <v>307.52585219999997</v>
      </c>
      <c r="AD193" s="21">
        <f>VLOOKUP($A193,tabCustoUnit[],COLUMN(CUSTO_GLOBAL[[#Headers],[Submódulo 2.2]])-2,0)*($G193-$H193)</f>
        <v>1121.0863077555555</v>
      </c>
      <c r="AE193" s="22" t="e">
        <f ca="1">VLOOKUP($A193,tabCustoUnit[],COLUMN(CUSTO_GLOBAL[[#Headers],[Vale - Transporte (Descontada parcela do empregado)]])-2,0)*($G193-$H193)</f>
        <v>#NAME?</v>
      </c>
      <c r="AF193" s="22">
        <f>VLOOKUP($A193,tabCustoUnit[],COLUMN(CUSTO_GLOBAL[[#Headers],[Vale - Alimentação (Descontada parcela do empregado)]])-2,0)*($G193-$H193)</f>
        <v>582</v>
      </c>
      <c r="AG193" s="22">
        <f>VLOOKUP($A193,tabCustoUnit[],COLUMN(CUSTO_GLOBAL[[#Headers],[Cesta Básica]])-2,0)*($G193-$H193)</f>
        <v>0</v>
      </c>
      <c r="AH193" s="22">
        <f>VLOOKUP($A193,tabCustoUnit[],COLUMN(CUSTO_GLOBAL[[#Headers],[PAF]])-2,0)*($G193-$H193)</f>
        <v>0</v>
      </c>
      <c r="AI193" s="22">
        <f>VLOOKUP($A193,tabCustoUnit[],COLUMN(CUSTO_GLOBAL[[#Headers],[PQM]])-2,0)*($G193-$H193)</f>
        <v>0</v>
      </c>
      <c r="AJ193" s="22">
        <v>0</v>
      </c>
      <c r="AK193" s="22">
        <f>VLOOKUP($A193,tabCustoUnit[],COLUMN(CUSTO_GLOBAL[[#Headers],[Seguro de Vida]])-2,0)*($G193-$H193)</f>
        <v>3.36</v>
      </c>
      <c r="AL193" s="22">
        <f>VLOOKUP($A193,tabCustoUnit[],COLUMN(CUSTO_GLOBAL[[#Headers],[Despesas de Viagem]])-2,0)*($G193-$H193)</f>
        <v>662.42</v>
      </c>
      <c r="AM193" s="22" t="e">
        <f ca="1">VLOOKUP($A193,tabCustoUnit[],COLUMN(CUSTO_GLOBAL[[#Headers],[Submódulo 2.3]])-2,0)*($G193-$H193)</f>
        <v>#NAME?</v>
      </c>
      <c r="AN193" s="22" t="e">
        <f ca="1">VLOOKUP($A193,tabCustoUnit[],COLUMN(CUSTO_GLOBAL[[#Headers],[MÓDULO 2 - Total Encargos e Benefícios mensais e diários]])-2,0)*($G193-$H193)</f>
        <v>#NAME?</v>
      </c>
      <c r="AO193" s="22">
        <f>VLOOKUP($A193,tabCustoUnit[],COLUMN(CUSTO_GLOBAL[[#Headers],[Aviso Prévio Indenizado (API) e Reflexo do Aviso Prévio Indenizado]])-2,0)*($G193-$H193)</f>
        <v>29.337409721219135</v>
      </c>
      <c r="AP193" s="22">
        <f>VLOOKUP($A193,tabCustoUnit[],COLUMN(CUSTO_GLOBAL[[#Headers],[Incidência do FGTS sobre API e Reflexo do API]])-2,0)*($G193-$H193)</f>
        <v>2.346992777697531</v>
      </c>
      <c r="AQ193" s="22">
        <f>VLOOKUP($A193,tabCustoUnit[],COLUMN(CUSTO_GLOBAL[[#Headers],[Multa Rescisória do FGTS sobre o Aviso Prévio Indenizado]])-2,0)*($G193-$H193)</f>
        <v>0.93879711107901254</v>
      </c>
      <c r="AR193" s="22">
        <f>VLOOKUP($A193,tabCustoUnit[],COLUMN(CUSTO_GLOBAL[[#Headers],[Aviso Prévio Trabalhado - APT]])-2,0)*($G193-$H193)</f>
        <v>14.644088200000002</v>
      </c>
      <c r="AS193" s="22">
        <f>VLOOKUP($A193,tabCustoUnit[],COLUMN(CUSTO_GLOBAL[[#Headers],[Incidência dos encargos do submódulo 2.1 sobre Aviso Prévio Trabalhado]])-2,0)*($G193-$H193)</f>
        <v>5.5354653396000018</v>
      </c>
      <c r="AT193" s="22">
        <f>VLOOKUP($A193,tabCustoUnit[],COLUMN(CUSTO_GLOBAL[[#Headers],[Multa Rescisória do FGTS]])-2,0)*($G193-$H193)</f>
        <v>127.9381927822222</v>
      </c>
      <c r="AU193" s="22">
        <f>VLOOKUP($A193,tabCustoUnit[],COLUMN(CUSTO_GLOBAL[[#Headers],[Indenização Adicional (Art. 9º da Lei nº 7.238/84)]])-2,0)*($G193-$H193)</f>
        <v>3.4866876666666671</v>
      </c>
      <c r="AV193" s="22">
        <f>VLOOKUP($A193,tabCustoUnit[],COLUMN(CUSTO_GLOBAL[[#Headers],[MÓDULO 3 – PROVISÃO PARA RESCISÃO]])-2,0)*($G193-$H193)</f>
        <v>184.22763359848454</v>
      </c>
      <c r="AW193" s="22">
        <f>VLOOKUP($A193,tabCustoUnit[],COLUMN(CUSTO_GLOBAL[[#Headers],[Ausência por Doença]])-2,0)*($G193-$H193)</f>
        <v>35.331768355555553</v>
      </c>
      <c r="AX193" s="22">
        <f>VLOOKUP($A193,tabCustoUnit[],COLUMN(CUSTO_GLOBAL[[#Headers],[Ausências Legais]])-2,0)*($G193-$H193)</f>
        <v>8.4842733222222222</v>
      </c>
      <c r="AY193" s="22">
        <f>VLOOKUP($A193,tabCustoUnit[],COLUMN(CUSTO_GLOBAL[[#Headers],[Licença Paternidade]])-2,0)*($G193-$H193)</f>
        <v>0.7147709716666667</v>
      </c>
      <c r="AZ193" s="22">
        <f>VLOOKUP($A193,tabCustoUnit[],COLUMN(CUSTO_GLOBAL[[#Headers],[Ausência por Acidente de Trabalho]])-2,0)*($G193-$H193)</f>
        <v>0.87167191666666677</v>
      </c>
      <c r="BA193" s="22">
        <f>VLOOKUP($A193,tabCustoUnit[],COLUMN(CUSTO_GLOBAL[[#Headers],[Férias, Adicional de Férias e 13º  com empregada em gozo de Licença Maternidade]])-2,0)*($G193-$H193)</f>
        <v>5.4237363703703707</v>
      </c>
      <c r="BB193" s="22">
        <f>VLOOKUP($A193,tabCustoUnit[],COLUMN(CUSTO_GLOBAL[[#Headers],[Incidência do Submódulo 2.1 sobre Ausências Legais]])-2,0)*($G193-$H193)</f>
        <v>19.212311513990002</v>
      </c>
      <c r="BC193" s="22">
        <f>VLOOKUP($A193,tabCustoUnit[],COLUMN(CUSTO_GLOBAL[[#Headers],[Submódulo 4.1]])-2,0)*($G193-$H193)</f>
        <v>70.038532450471479</v>
      </c>
      <c r="BD193" s="22">
        <f>VLOOKUP($A193,tabCustoUnit[],COLUMN(CUSTO_GLOBAL[[#Headers],[Intervalo para Repouso ou Alimentação]])-2,0)*($G193-$H193)</f>
        <v>0</v>
      </c>
      <c r="BE193" s="22">
        <f>VLOOKUP($A193,tabCustoUnit[],COLUMN(CUSTO_GLOBAL[[#Headers],[Submódulo 4.2]])-2,0)*($G193-$H193)</f>
        <v>0</v>
      </c>
      <c r="BF193" s="22">
        <f>VLOOKUP($A193,tabCustoUnit[],COLUMN(CUSTO_GLOBAL[[#Headers],[Suspensão Temporária do Contrato de Trabalho]])-2,0)*($G193-$H193)</f>
        <v>0</v>
      </c>
      <c r="BG193" s="22">
        <f>VLOOKUP($A193,tabCustoUnit[],COLUMN(CUSTO_GLOBAL[[#Headers],[Submódulo 4.3]])-2,0)*($G193-$H193)</f>
        <v>0</v>
      </c>
      <c r="BH193" s="22">
        <f>VLOOKUP($A193,tabCustoUnit[],COLUMN(CUSTO_GLOBAL[[#Headers],[MÓDULO 4 – CUSTO DE REPOSIÇÃO DO PROFISSIONAL AUSENTE]])-2,0)*($G193-$H193)</f>
        <v>70.038532450471479</v>
      </c>
      <c r="BI193" s="22">
        <f>VLOOKUP($A193,tabCustoUnit[],COLUMN(CUSTO_GLOBAL[[#Headers],[Uniformes e EPIs]])-2,0)*($G193-$H193)</f>
        <v>92.100763771570698</v>
      </c>
      <c r="BJ193" s="22">
        <f>VLOOKUP($A193,tabCustoUnit[],COLUMN(CUSTO_GLOBAL[[#Headers],[Materiais de Consumo]])-2,0)*($G193-$H193)</f>
        <v>0</v>
      </c>
      <c r="BK193" s="22">
        <f>VLOOKUP($A193,tabCustoUnit[],COLUMN(CUSTO_GLOBAL[[#Headers],[Máquinas e Equipamentos (depreciação)]])-2,0)*($G193-$H193)</f>
        <v>0</v>
      </c>
      <c r="BL193" s="22">
        <f>VLOOKUP($A193,tabCustoUnit[],COLUMN(CUSTO_GLOBAL[[#Headers],[Produtos de Limpeza e Materiais de Higiene Pessoal]])-2,0)*($G193-$H193)</f>
        <v>0</v>
      </c>
      <c r="BM193" s="22">
        <f>VLOOKUP($A193,tabCustoUnit[],COLUMN(CUSTO_GLOBAL[[#Headers],[Outros (especificar)]])-2,0)*($G193-$H193)</f>
        <v>0</v>
      </c>
      <c r="BN193" s="22">
        <f>VLOOKUP($A193,tabCustoUnit[],COLUMN(CUSTO_GLOBAL[[#Headers],[MÓDULO 5 – INSUMOS DIVERSOS]])-2,0)*($G193-$H193)</f>
        <v>92.100763771570698</v>
      </c>
      <c r="BO193" s="22" t="e">
        <f ca="1">VLOOKUP($A193,tabCustoUnit[],COLUMN(CUSTO_GLOBAL[[#Headers],[TOTAL MÓDULOS 1+2+3+4+5]])-2,0)*($G193-$H193)</f>
        <v>#NAME?</v>
      </c>
      <c r="BP193" s="22" t="e">
        <f ca="1">VLOOKUP($A193,tabCustoUnit[],COLUMN(CUSTO_GLOBAL[[#Headers],[Custos Indiretos]])-2,0)*($G193-$H193)</f>
        <v>#NAME?</v>
      </c>
      <c r="BQ193" s="22" t="e">
        <f ca="1">VLOOKUP($A193,tabCustoUnit[],COLUMN(CUSTO_GLOBAL[[#Headers],[Lucro]])-2,0)*($G193-$H193)</f>
        <v>#NAME?</v>
      </c>
      <c r="BR193" s="26">
        <f>VLOOKUP($A193,tabCustoUnit[],COLUMN(CUSTO_GLOBAL[[#Headers],[COFINS]])-2,0)</f>
        <v>8.8629737609329504E-2</v>
      </c>
      <c r="BS193" s="26">
        <f>VLOOKUP($A193,tabCustoUnit[],COLUMN(CUSTO_GLOBAL[[#Headers],[PIS]])-2,0)</f>
        <v>1.9241982507288629E-2</v>
      </c>
      <c r="BT193" s="28">
        <f>VLOOKUP($A193,tabCustoUnit[],COLUMN(CUSTO_GLOBAL[[#Headers],[ISS]])-2,0)</f>
        <v>0.05</v>
      </c>
      <c r="BU193" s="26">
        <f>VLOOKUP($A193,tabCustoUnit[],COLUMN(CUSTO_GLOBAL[[#Headers],[ISS (Conversão Alíquota s/ fatura)]])-2,0)</f>
        <v>5.8309037900874633E-2</v>
      </c>
      <c r="BV193" s="26">
        <f>VLOOKUP($A193,tabCustoUnit[],COLUMN(CUSTO_GLOBAL[[#Headers],[Resumo de Alíquotas (PIS+CONFINS+ISS)]])-2,0)</f>
        <v>0.14250000000000002</v>
      </c>
      <c r="BW193" s="138">
        <f>VLOOKUP($A193,tabCustoUnit[],COLUMN(CUSTO_GLOBAL[[#Headers],[PIS + COFINS + ISS (Total Conversão  Alíquota s/ Fatura)]])-2,0)</f>
        <v>0.16618075801749277</v>
      </c>
      <c r="BX193" s="22" t="e">
        <f ca="1">VLOOKUP($A193,tabCustoUnit[],COLUMN(CUSTO_GLOBAL[[#Headers],[Valor dos Tributos (ISS, PIS, CONFINS)]])-2,0)*($G193-$H193)</f>
        <v>#NAME?</v>
      </c>
      <c r="BY193" s="22" t="e">
        <f ca="1">VLOOKUP($A193,tabCustoUnit[],COLUMN(CUSTO_GLOBAL[[#Headers],[MÓDULO 6 – CUSTOS INDIRETOS, TRIBUTOS E LUCRO]])-2,0)*($G193-$H193)</f>
        <v>#NAME?</v>
      </c>
      <c r="BZ193" s="22" t="e">
        <f ca="1">VLOOKUP($A193,tabCustoUnit[],COLUMN(CUSTO_GLOBAL[[#Headers],[CUSTO TOTAL MENSAL]])-2,0)*($G193-$H193)</f>
        <v>#NAME?</v>
      </c>
      <c r="CA193" s="22" t="e">
        <f ca="1">CUSTO_GLOBAL[[#This Row],[CUSTO TOTAL MENSAL]]*12</f>
        <v>#NAME?</v>
      </c>
      <c r="CB193" s="24">
        <f>VLOOKUP($A193,tabCustoUnit[],COLUMN(CUSTO_GLOBAL[[#Headers],[ANO DA CCT]])-2,0)</f>
        <v>45658</v>
      </c>
      <c r="CC193" s="25" t="str">
        <f>VLOOKUP($A193,tabCustoUnit[],COLUMN(CUSTO_GLOBAL[[#Headers],[Nº DE PEDIDO DA CCT]])-2,0)</f>
        <v>-</v>
      </c>
      <c r="CD193" s="25" t="str">
        <f>VLOOKUP($A193,tabCustoUnit[],COLUMN(CUSTO_GLOBAL[[#Headers],[TERMO ADITIVO ALTERAÇÃO DA CCT]])-2,0)</f>
        <v>-</v>
      </c>
    </row>
    <row r="194" spans="1:82">
      <c r="A194" s="20" t="s">
        <v>1633</v>
      </c>
      <c r="B194" t="s">
        <v>936</v>
      </c>
      <c r="C194" t="s">
        <v>324</v>
      </c>
      <c r="D194" t="s">
        <v>936</v>
      </c>
      <c r="E194" s="20" t="s">
        <v>1090</v>
      </c>
      <c r="F194" s="20" t="s">
        <v>120</v>
      </c>
      <c r="G194" s="20">
        <v>1</v>
      </c>
      <c r="H194" s="20">
        <v>0</v>
      </c>
      <c r="I194" s="21">
        <f>VLOOKUP($A194,tabCustoUnit[],COLUMN(CUSTO_GLOBAL[[#Headers],[Salário Base]])-2,0)*($G194-$H194)</f>
        <v>3429.0284000000001</v>
      </c>
      <c r="J194" s="21">
        <f>VLOOKUP($A194,tabCustoUnit[],COLUMN(CUSTO_GLOBAL[[#Headers],[Adicional Periculosidade]])-2,0)*($G194-$H194)</f>
        <v>0</v>
      </c>
      <c r="K194" s="21">
        <f>VLOOKUP($A194,tabCustoUnit[],COLUMN(CUSTO_GLOBAL[[#Headers],[Adicional Insalubridade]])-2,0)*($G194-$H194)</f>
        <v>0</v>
      </c>
      <c r="L194" s="21">
        <f>VLOOKUP($A194,tabCustoUnit[],COLUMN(CUSTO_GLOBAL[[#Headers],[Adicional Noturno]])-2,0)*($G194-$H194)</f>
        <v>0</v>
      </c>
      <c r="M194" s="21">
        <f>VLOOKUP($A194,tabCustoUnit[],COLUMN(CUSTO_GLOBAL[[#Headers],[Adicional Motorista II (Gratificação)]])-2,0)*($G194-$H194)</f>
        <v>0</v>
      </c>
      <c r="N194" s="21">
        <f>VLOOKUP($A194,tabCustoUnit[],COLUMN(CUSTO_GLOBAL[[#Headers],[Adicional de Sobreaviso]])-2,0)*($G194-$H194)</f>
        <v>0</v>
      </c>
      <c r="O194" s="21">
        <f>VLOOKUP($A194,tabCustoUnit[],COLUMN(CUSTO_GLOBAL[[#Headers],[Horas Extras TI]])-2,0)*($G194-$H194)</f>
        <v>0</v>
      </c>
      <c r="P194" s="21">
        <f>VLOOKUP($A194,tabCustoUnit[],COLUMN(CUSTO_GLOBAL[[#Headers],[Adicional de Acúmulo de função]])-2,0)*($G194-$H194)</f>
        <v>0</v>
      </c>
      <c r="Q194" s="21">
        <f>VLOOKUP($A194,tabCustoUnit[],COLUMN(CUSTO_GLOBAL[[#Headers],[MODULO 1 - REMUNERAÇÃO ]])-2,0)*($G194-$H194)</f>
        <v>3429.0284000000001</v>
      </c>
      <c r="R194" s="21">
        <f>VLOOKUP($A194,tabCustoUnit[],COLUMN(CUSTO_GLOBAL[[#Headers],[INSS]])-2,0)*($G194-$H194)</f>
        <v>685.80568000000005</v>
      </c>
      <c r="S194" s="21">
        <f>VLOOKUP($A194,tabCustoUnit[],COLUMN(CUSTO_GLOBAL[[#Headers],[SESI OU SESC]])-2,0)*($G194-$H194)</f>
        <v>51.435426</v>
      </c>
      <c r="T194" s="21">
        <f>VLOOKUP($A194,tabCustoUnit[],COLUMN(CUSTO_GLOBAL[[#Headers],[SENAI OU SENAC]])-2,0)*($G194-$H194)</f>
        <v>34.290284</v>
      </c>
      <c r="U194" s="21">
        <f>VLOOKUP($A194,tabCustoUnit[],COLUMN(CUSTO_GLOBAL[[#Headers],[INCRA]])-2,0)*($G194-$H194)</f>
        <v>6.8580568000000008</v>
      </c>
      <c r="V194" s="21">
        <f>VLOOKUP($A194,tabCustoUnit[],COLUMN(CUSTO_GLOBAL[[#Headers],[Salário Educação]])-2,0)*($G194-$H194)</f>
        <v>85.725710000000007</v>
      </c>
      <c r="W194" s="21">
        <f>VLOOKUP($A194,tabCustoUnit[],COLUMN(CUSTO_GLOBAL[[#Headers],[FGTS]])-2,0)*($G194-$H194)</f>
        <v>274.322272</v>
      </c>
      <c r="X194" s="21">
        <f>VLOOKUP($A194,tabCustoUnit[],COLUMN(CUSTO_GLOBAL[[#Headers],[RAT Ajustado]])-2,0)*($G194-$H194)</f>
        <v>137.161136</v>
      </c>
      <c r="Y194" s="21">
        <f>VLOOKUP($A194,tabCustoUnit[],COLUMN(CUSTO_GLOBAL[[#Headers],[SEBRAE]])-2,0)*($G194-$H194)</f>
        <v>20.5741704</v>
      </c>
      <c r="Z194" s="21">
        <f>VLOOKUP($A194,tabCustoUnit[],COLUMN(CUSTO_GLOBAL[[#Headers],[Submódulo 2.1]])-2,0)*($G194-$H194)</f>
        <v>1296.1727352</v>
      </c>
      <c r="AA194" s="21">
        <f>VLOOKUP($A194,tabCustoUnit[],COLUMN(CUSTO_GLOBAL[[#Headers],[13º salário (titular)]])-2,0)*($G194-$H194)</f>
        <v>285.75236666666666</v>
      </c>
      <c r="AB194" s="21">
        <f>VLOOKUP($A194,tabCustoUnit[],COLUMN(CUSTO_GLOBAL[[#Headers],[Férias e Adicional de Férias (titular)]])-2,0)*($G194-$H194)</f>
        <v>381.00315555555557</v>
      </c>
      <c r="AC194" s="21">
        <f>VLOOKUP($A194,tabCustoUnit[],COLUMN(CUSTO_GLOBAL[[#Headers],[Incidência do Submódulo 2.1 sobre 13º Salário, Férias e Adicional de Férias]])-2,0)*($G194-$H194)</f>
        <v>252.03358740000002</v>
      </c>
      <c r="AD194" s="21">
        <f>VLOOKUP($A194,tabCustoUnit[],COLUMN(CUSTO_GLOBAL[[#Headers],[Submódulo 2.2]])-2,0)*($G194-$H194)</f>
        <v>918.78910962222221</v>
      </c>
      <c r="AE194" s="22" t="e">
        <f ca="1">VLOOKUP($A194,tabCustoUnit[],COLUMN(CUSTO_GLOBAL[[#Headers],[Vale - Transporte (Descontada parcela do empregado)]])-2,0)*($G194-$H194)</f>
        <v>#NAME?</v>
      </c>
      <c r="AF194" s="22">
        <f>VLOOKUP($A194,tabCustoUnit[],COLUMN(CUSTO_GLOBAL[[#Headers],[Vale - Alimentação (Descontada parcela do empregado)]])-2,0)*($G194-$H194)</f>
        <v>582</v>
      </c>
      <c r="AG194" s="22">
        <f>VLOOKUP($A194,tabCustoUnit[],COLUMN(CUSTO_GLOBAL[[#Headers],[Cesta Básica]])-2,0)*($G194-$H194)</f>
        <v>0</v>
      </c>
      <c r="AH194" s="22">
        <f>VLOOKUP($A194,tabCustoUnit[],COLUMN(CUSTO_GLOBAL[[#Headers],[PAF]])-2,0)*($G194-$H194)</f>
        <v>56.3</v>
      </c>
      <c r="AI194" s="22">
        <f>VLOOKUP($A194,tabCustoUnit[],COLUMN(CUSTO_GLOBAL[[#Headers],[PQM]])-2,0)*($G194-$H194)</f>
        <v>14.69</v>
      </c>
      <c r="AJ194" s="22">
        <v>0</v>
      </c>
      <c r="AK194" s="22">
        <f>VLOOKUP($A194,tabCustoUnit[],COLUMN(CUSTO_GLOBAL[[#Headers],[Seguro de Vida]])-2,0)*($G194-$H194)</f>
        <v>3.36</v>
      </c>
      <c r="AL194" s="22">
        <f>VLOOKUP($A194,tabCustoUnit[],COLUMN(CUSTO_GLOBAL[[#Headers],[Despesas de Viagem]])-2,0)*($G194-$H194)</f>
        <v>0</v>
      </c>
      <c r="AM194" s="22" t="e">
        <f ca="1">VLOOKUP($A194,tabCustoUnit[],COLUMN(CUSTO_GLOBAL[[#Headers],[Submódulo 2.3]])-2,0)*($G194-$H194)</f>
        <v>#NAME?</v>
      </c>
      <c r="AN194" s="22" t="e">
        <f ca="1">VLOOKUP($A194,tabCustoUnit[],COLUMN(CUSTO_GLOBAL[[#Headers],[MÓDULO 2 - Total Encargos e Benefícios mensais e diários]])-2,0)*($G194-$H194)</f>
        <v>#NAME?</v>
      </c>
      <c r="AO194" s="22">
        <f>VLOOKUP($A194,tabCustoUnit[],COLUMN(CUSTO_GLOBAL[[#Headers],[Aviso Prévio Indenizado (API) e Reflexo do Aviso Prévio Indenizado]])-2,0)*($G194-$H194)</f>
        <v>24.043548092515433</v>
      </c>
      <c r="AP194" s="22">
        <f>VLOOKUP($A194,tabCustoUnit[],COLUMN(CUSTO_GLOBAL[[#Headers],[Incidência do FGTS sobre API e Reflexo do API]])-2,0)*($G194-$H194)</f>
        <v>1.9234838474012348</v>
      </c>
      <c r="AQ194" s="22">
        <f>VLOOKUP($A194,tabCustoUnit[],COLUMN(CUSTO_GLOBAL[[#Headers],[Multa Rescisória do FGTS sobre o Aviso Prévio Indenizado]])-2,0)*($G194-$H194)</f>
        <v>0.76939353896049401</v>
      </c>
      <c r="AR194" s="22">
        <f>VLOOKUP($A194,tabCustoUnit[],COLUMN(CUSTO_GLOBAL[[#Headers],[Aviso Prévio Trabalhado - APT]])-2,0)*($G194-$H194)</f>
        <v>12.001599400000002</v>
      </c>
      <c r="AS194" s="22">
        <f>VLOOKUP($A194,tabCustoUnit[],COLUMN(CUSTO_GLOBAL[[#Headers],[Incidência dos encargos do submódulo 2.1 sobre Aviso Prévio Trabalhado]])-2,0)*($G194-$H194)</f>
        <v>4.5366045732000018</v>
      </c>
      <c r="AT194" s="22">
        <f>VLOOKUP($A194,tabCustoUnit[],COLUMN(CUSTO_GLOBAL[[#Headers],[Multa Rescisória do FGTS]])-2,0)*($G194-$H194)</f>
        <v>104.85206840888888</v>
      </c>
      <c r="AU194" s="22">
        <f>VLOOKUP($A194,tabCustoUnit[],COLUMN(CUSTO_GLOBAL[[#Headers],[Indenização Adicional (Art. 9º da Lei nº 7.238/84)]])-2,0)*($G194-$H194)</f>
        <v>2.8575236666666668</v>
      </c>
      <c r="AV194" s="22">
        <f>VLOOKUP($A194,tabCustoUnit[],COLUMN(CUSTO_GLOBAL[[#Headers],[MÓDULO 3 – PROVISÃO PARA RESCISÃO]])-2,0)*($G194-$H194)</f>
        <v>150.98422152763271</v>
      </c>
      <c r="AW194" s="22">
        <f>VLOOKUP($A194,tabCustoUnit[],COLUMN(CUSTO_GLOBAL[[#Headers],[Ausência por Doença]])-2,0)*($G194-$H194)</f>
        <v>28.956239822222219</v>
      </c>
      <c r="AX194" s="22">
        <f>VLOOKUP($A194,tabCustoUnit[],COLUMN(CUSTO_GLOBAL[[#Headers],[Ausências Legais]])-2,0)*($G194-$H194)</f>
        <v>6.9533075888888884</v>
      </c>
      <c r="AY194" s="22">
        <f>VLOOKUP($A194,tabCustoUnit[],COLUMN(CUSTO_GLOBAL[[#Headers],[Licença Paternidade]])-2,0)*($G194-$H194)</f>
        <v>0.58579235166666666</v>
      </c>
      <c r="AZ194" s="22">
        <f>VLOOKUP($A194,tabCustoUnit[],COLUMN(CUSTO_GLOBAL[[#Headers],[Ausência por Acidente de Trabalho]])-2,0)*($G194-$H194)</f>
        <v>0.7143809166666667</v>
      </c>
      <c r="BA194" s="22">
        <f>VLOOKUP($A194,tabCustoUnit[],COLUMN(CUSTO_GLOBAL[[#Headers],[Férias, Adicional de Férias e 13º  com empregada em gozo de Licença Maternidade]])-2,0)*($G194-$H194)</f>
        <v>4.4450368148148147</v>
      </c>
      <c r="BB194" s="22">
        <f>VLOOKUP($A194,tabCustoUnit[],COLUMN(CUSTO_GLOBAL[[#Headers],[Incidência do Submódulo 2.1 sobre Ausências Legais]])-2,0)*($G194-$H194)</f>
        <v>15.745498332830003</v>
      </c>
      <c r="BC194" s="22">
        <f>VLOOKUP($A194,tabCustoUnit[],COLUMN(CUSTO_GLOBAL[[#Headers],[Submódulo 4.1]])-2,0)*($G194-$H194)</f>
        <v>57.400255827089261</v>
      </c>
      <c r="BD194" s="22">
        <f>VLOOKUP($A194,tabCustoUnit[],COLUMN(CUSTO_GLOBAL[[#Headers],[Intervalo para Repouso ou Alimentação]])-2,0)*($G194-$H194)</f>
        <v>0</v>
      </c>
      <c r="BE194" s="22">
        <f>VLOOKUP($A194,tabCustoUnit[],COLUMN(CUSTO_GLOBAL[[#Headers],[Submódulo 4.2]])-2,0)*($G194-$H194)</f>
        <v>0</v>
      </c>
      <c r="BF194" s="22">
        <f>VLOOKUP($A194,tabCustoUnit[],COLUMN(CUSTO_GLOBAL[[#Headers],[Suspensão Temporária do Contrato de Trabalho]])-2,0)*($G194-$H194)</f>
        <v>0</v>
      </c>
      <c r="BG194" s="22">
        <f>VLOOKUP($A194,tabCustoUnit[],COLUMN(CUSTO_GLOBAL[[#Headers],[Submódulo 4.3]])-2,0)*($G194-$H194)</f>
        <v>0</v>
      </c>
      <c r="BH194" s="22">
        <f>VLOOKUP($A194,tabCustoUnit[],COLUMN(CUSTO_GLOBAL[[#Headers],[MÓDULO 4 – CUSTO DE REPOSIÇÃO DO PROFISSIONAL AUSENTE]])-2,0)*($G194-$H194)</f>
        <v>57.400255827089261</v>
      </c>
      <c r="BI194" s="22">
        <f>VLOOKUP($A194,tabCustoUnit[],COLUMN(CUSTO_GLOBAL[[#Headers],[Uniformes e EPIs]])-2,0)*($G194-$H194)</f>
        <v>56.642978962543395</v>
      </c>
      <c r="BJ194" s="22">
        <f>VLOOKUP($A194,tabCustoUnit[],COLUMN(CUSTO_GLOBAL[[#Headers],[Materiais de Consumo]])-2,0)*($G194-$H194)</f>
        <v>0</v>
      </c>
      <c r="BK194" s="22">
        <f>VLOOKUP($A194,tabCustoUnit[],COLUMN(CUSTO_GLOBAL[[#Headers],[Máquinas e Equipamentos (depreciação)]])-2,0)*($G194-$H194)</f>
        <v>0</v>
      </c>
      <c r="BL194" s="22">
        <f>VLOOKUP($A194,tabCustoUnit[],COLUMN(CUSTO_GLOBAL[[#Headers],[Produtos de Limpeza e Materiais de Higiene Pessoal]])-2,0)*($G194-$H194)</f>
        <v>0</v>
      </c>
      <c r="BM194" s="22">
        <f>VLOOKUP($A194,tabCustoUnit[],COLUMN(CUSTO_GLOBAL[[#Headers],[Outros (especificar)]])-2,0)*($G194-$H194)</f>
        <v>0</v>
      </c>
      <c r="BN194" s="22">
        <f>VLOOKUP($A194,tabCustoUnit[],COLUMN(CUSTO_GLOBAL[[#Headers],[MÓDULO 5 – INSUMOS DIVERSOS]])-2,0)*($G194-$H194)</f>
        <v>56.642978962543395</v>
      </c>
      <c r="BO194" s="22" t="e">
        <f ca="1">VLOOKUP($A194,tabCustoUnit[],COLUMN(CUSTO_GLOBAL[[#Headers],[TOTAL MÓDULOS 1+2+3+4+5]])-2,0)*($G194-$H194)</f>
        <v>#NAME?</v>
      </c>
      <c r="BP194" s="22" t="e">
        <f ca="1">VLOOKUP($A194,tabCustoUnit[],COLUMN(CUSTO_GLOBAL[[#Headers],[Custos Indiretos]])-2,0)*($G194-$H194)</f>
        <v>#NAME?</v>
      </c>
      <c r="BQ194" s="22" t="e">
        <f ca="1">VLOOKUP($A194,tabCustoUnit[],COLUMN(CUSTO_GLOBAL[[#Headers],[Lucro]])-2,0)*($G194-$H194)</f>
        <v>#NAME?</v>
      </c>
      <c r="BR194" s="26">
        <f>VLOOKUP($A194,tabCustoUnit[],COLUMN(CUSTO_GLOBAL[[#Headers],[COFINS]])-2,0)</f>
        <v>8.8629737609329504E-2</v>
      </c>
      <c r="BS194" s="26">
        <f>VLOOKUP($A194,tabCustoUnit[],COLUMN(CUSTO_GLOBAL[[#Headers],[PIS]])-2,0)</f>
        <v>1.9241982507288629E-2</v>
      </c>
      <c r="BT194" s="28">
        <f>VLOOKUP($A194,tabCustoUnit[],COLUMN(CUSTO_GLOBAL[[#Headers],[ISS]])-2,0)</f>
        <v>0.05</v>
      </c>
      <c r="BU194" s="26">
        <f>VLOOKUP($A194,tabCustoUnit[],COLUMN(CUSTO_GLOBAL[[#Headers],[ISS (Conversão Alíquota s/ fatura)]])-2,0)</f>
        <v>5.8309037900874633E-2</v>
      </c>
      <c r="BV194" s="26">
        <f>VLOOKUP($A194,tabCustoUnit[],COLUMN(CUSTO_GLOBAL[[#Headers],[Resumo de Alíquotas (PIS+CONFINS+ISS)]])-2,0)</f>
        <v>0.14250000000000002</v>
      </c>
      <c r="BW194" s="138">
        <f>VLOOKUP($A194,tabCustoUnit[],COLUMN(CUSTO_GLOBAL[[#Headers],[PIS + COFINS + ISS (Total Conversão  Alíquota s/ Fatura)]])-2,0)</f>
        <v>0.16618075801749277</v>
      </c>
      <c r="BX194" s="22" t="e">
        <f ca="1">VLOOKUP($A194,tabCustoUnit[],COLUMN(CUSTO_GLOBAL[[#Headers],[Valor dos Tributos (ISS, PIS, CONFINS)]])-2,0)*($G194-$H194)</f>
        <v>#NAME?</v>
      </c>
      <c r="BY194" s="22" t="e">
        <f ca="1">VLOOKUP($A194,tabCustoUnit[],COLUMN(CUSTO_GLOBAL[[#Headers],[MÓDULO 6 – CUSTOS INDIRETOS, TRIBUTOS E LUCRO]])-2,0)*($G194-$H194)</f>
        <v>#NAME?</v>
      </c>
      <c r="BZ194" s="22" t="e">
        <f ca="1">VLOOKUP($A194,tabCustoUnit[],COLUMN(CUSTO_GLOBAL[[#Headers],[CUSTO TOTAL MENSAL]])-2,0)*($G194-$H194)</f>
        <v>#NAME?</v>
      </c>
      <c r="CA194" s="22" t="e">
        <f ca="1">CUSTO_GLOBAL[[#This Row],[CUSTO TOTAL MENSAL]]*12</f>
        <v>#NAME?</v>
      </c>
      <c r="CB194" s="24">
        <f>VLOOKUP($A194,tabCustoUnit[],COLUMN(CUSTO_GLOBAL[[#Headers],[ANO DA CCT]])-2,0)</f>
        <v>45658</v>
      </c>
      <c r="CC194" s="25" t="str">
        <f>VLOOKUP($A194,tabCustoUnit[],COLUMN(CUSTO_GLOBAL[[#Headers],[Nº DE PEDIDO DA CCT]])-2,0)</f>
        <v>-</v>
      </c>
      <c r="CD194" s="25" t="str">
        <f>VLOOKUP($A194,tabCustoUnit[],COLUMN(CUSTO_GLOBAL[[#Headers],[TERMO ADITIVO ALTERAÇÃO DA CCT]])-2,0)</f>
        <v>-</v>
      </c>
    </row>
    <row r="195" spans="1:82">
      <c r="A195" s="20" t="s">
        <v>1634</v>
      </c>
      <c r="B195" t="s">
        <v>1157</v>
      </c>
      <c r="C195" t="s">
        <v>324</v>
      </c>
      <c r="D195" t="s">
        <v>942</v>
      </c>
      <c r="E195" s="20" t="s">
        <v>1090</v>
      </c>
      <c r="F195" s="20" t="s">
        <v>120</v>
      </c>
      <c r="G195" s="20">
        <v>1</v>
      </c>
      <c r="H195" s="20">
        <v>0</v>
      </c>
      <c r="I195" s="21">
        <f>VLOOKUP($A195,tabCustoUnit[],COLUMN(CUSTO_GLOBAL[[#Headers],[Salário Base]])-2,0)*($G195-$H195)</f>
        <v>3397.1305000000002</v>
      </c>
      <c r="J195" s="21">
        <f>VLOOKUP($A195,tabCustoUnit[],COLUMN(CUSTO_GLOBAL[[#Headers],[Adicional Periculosidade]])-2,0)*($G195-$H195)</f>
        <v>0</v>
      </c>
      <c r="K195" s="21">
        <f>VLOOKUP($A195,tabCustoUnit[],COLUMN(CUSTO_GLOBAL[[#Headers],[Adicional Insalubridade]])-2,0)*($G195-$H195)</f>
        <v>0</v>
      </c>
      <c r="L195" s="21">
        <f>VLOOKUP($A195,tabCustoUnit[],COLUMN(CUSTO_GLOBAL[[#Headers],[Adicional Noturno]])-2,0)*($G195-$H195)</f>
        <v>0</v>
      </c>
      <c r="M195" s="21">
        <f>VLOOKUP($A195,tabCustoUnit[],COLUMN(CUSTO_GLOBAL[[#Headers],[Adicional Motorista II (Gratificação)]])-2,0)*($G195-$H195)</f>
        <v>0</v>
      </c>
      <c r="N195" s="21">
        <f>VLOOKUP($A195,tabCustoUnit[],COLUMN(CUSTO_GLOBAL[[#Headers],[Adicional de Sobreaviso]])-2,0)*($G195-$H195)</f>
        <v>0</v>
      </c>
      <c r="O195" s="21">
        <f>VLOOKUP($A195,tabCustoUnit[],COLUMN(CUSTO_GLOBAL[[#Headers],[Horas Extras TI]])-2,0)*($G195-$H195)</f>
        <v>0</v>
      </c>
      <c r="P195" s="21">
        <f>VLOOKUP($A195,tabCustoUnit[],COLUMN(CUSTO_GLOBAL[[#Headers],[Adicional de Acúmulo de função]])-2,0)*($G195-$H195)</f>
        <v>0</v>
      </c>
      <c r="Q195" s="21">
        <f>VLOOKUP($A195,tabCustoUnit[],COLUMN(CUSTO_GLOBAL[[#Headers],[MODULO 1 - REMUNERAÇÃO ]])-2,0)*($G195-$H195)</f>
        <v>3397.1305000000002</v>
      </c>
      <c r="R195" s="21">
        <f>VLOOKUP($A195,tabCustoUnit[],COLUMN(CUSTO_GLOBAL[[#Headers],[INSS]])-2,0)*($G195-$H195)</f>
        <v>679.42610000000013</v>
      </c>
      <c r="S195" s="21">
        <f>VLOOKUP($A195,tabCustoUnit[],COLUMN(CUSTO_GLOBAL[[#Headers],[SESI OU SESC]])-2,0)*($G195-$H195)</f>
        <v>50.956957500000001</v>
      </c>
      <c r="T195" s="21">
        <f>VLOOKUP($A195,tabCustoUnit[],COLUMN(CUSTO_GLOBAL[[#Headers],[SENAI OU SENAC]])-2,0)*($G195-$H195)</f>
        <v>33.971305000000001</v>
      </c>
      <c r="U195" s="21">
        <f>VLOOKUP($A195,tabCustoUnit[],COLUMN(CUSTO_GLOBAL[[#Headers],[INCRA]])-2,0)*($G195-$H195)</f>
        <v>6.7942610000000005</v>
      </c>
      <c r="V195" s="21">
        <f>VLOOKUP($A195,tabCustoUnit[],COLUMN(CUSTO_GLOBAL[[#Headers],[Salário Educação]])-2,0)*($G195-$H195)</f>
        <v>84.928262500000017</v>
      </c>
      <c r="W195" s="21">
        <f>VLOOKUP($A195,tabCustoUnit[],COLUMN(CUSTO_GLOBAL[[#Headers],[FGTS]])-2,0)*($G195-$H195)</f>
        <v>271.77044000000001</v>
      </c>
      <c r="X195" s="21">
        <f>VLOOKUP($A195,tabCustoUnit[],COLUMN(CUSTO_GLOBAL[[#Headers],[RAT Ajustado]])-2,0)*($G195-$H195)</f>
        <v>135.88522</v>
      </c>
      <c r="Y195" s="21">
        <f>VLOOKUP($A195,tabCustoUnit[],COLUMN(CUSTO_GLOBAL[[#Headers],[SEBRAE]])-2,0)*($G195-$H195)</f>
        <v>20.382783000000003</v>
      </c>
      <c r="Z195" s="21">
        <f>VLOOKUP($A195,tabCustoUnit[],COLUMN(CUSTO_GLOBAL[[#Headers],[Submódulo 2.1]])-2,0)*($G195-$H195)</f>
        <v>1284.1153290000002</v>
      </c>
      <c r="AA195" s="21">
        <f>VLOOKUP($A195,tabCustoUnit[],COLUMN(CUSTO_GLOBAL[[#Headers],[13º salário (titular)]])-2,0)*($G195-$H195)</f>
        <v>283.09420833333331</v>
      </c>
      <c r="AB195" s="21">
        <f>VLOOKUP($A195,tabCustoUnit[],COLUMN(CUSTO_GLOBAL[[#Headers],[Férias e Adicional de Férias (titular)]])-2,0)*($G195-$H195)</f>
        <v>377.45894444444446</v>
      </c>
      <c r="AC195" s="21">
        <f>VLOOKUP($A195,tabCustoUnit[],COLUMN(CUSTO_GLOBAL[[#Headers],[Incidência do Submódulo 2.1 sobre 13º Salário, Férias e Adicional de Férias]])-2,0)*($G195-$H195)</f>
        <v>249.68909175000005</v>
      </c>
      <c r="AD195" s="21">
        <f>VLOOKUP($A195,tabCustoUnit[],COLUMN(CUSTO_GLOBAL[[#Headers],[Submódulo 2.2]])-2,0)*($G195-$H195)</f>
        <v>910.24224452777776</v>
      </c>
      <c r="AE195" s="22" t="e">
        <f ca="1">VLOOKUP($A195,tabCustoUnit[],COLUMN(CUSTO_GLOBAL[[#Headers],[Vale - Transporte (Descontada parcela do empregado)]])-2,0)*($G195-$H195)</f>
        <v>#NAME?</v>
      </c>
      <c r="AF195" s="22">
        <f>VLOOKUP($A195,tabCustoUnit[],COLUMN(CUSTO_GLOBAL[[#Headers],[Vale - Alimentação (Descontada parcela do empregado)]])-2,0)*($G195-$H195)</f>
        <v>582</v>
      </c>
      <c r="AG195" s="22">
        <f>VLOOKUP($A195,tabCustoUnit[],COLUMN(CUSTO_GLOBAL[[#Headers],[Cesta Básica]])-2,0)*($G195-$H195)</f>
        <v>0</v>
      </c>
      <c r="AH195" s="22">
        <f>VLOOKUP($A195,tabCustoUnit[],COLUMN(CUSTO_GLOBAL[[#Headers],[PAF]])-2,0)*($G195-$H195)</f>
        <v>51.88</v>
      </c>
      <c r="AI195" s="22">
        <f>VLOOKUP($A195,tabCustoUnit[],COLUMN(CUSTO_GLOBAL[[#Headers],[PQM]])-2,0)*($G195-$H195)</f>
        <v>0</v>
      </c>
      <c r="AJ195" s="22">
        <v>0</v>
      </c>
      <c r="AK195" s="22">
        <f>VLOOKUP($A195,tabCustoUnit[],COLUMN(CUSTO_GLOBAL[[#Headers],[Seguro de Vida]])-2,0)*($G195-$H195)</f>
        <v>3.36</v>
      </c>
      <c r="AL195" s="22">
        <f>VLOOKUP($A195,tabCustoUnit[],COLUMN(CUSTO_GLOBAL[[#Headers],[Despesas de Viagem]])-2,0)*($G195-$H195)</f>
        <v>0</v>
      </c>
      <c r="AM195" s="22" t="e">
        <f ca="1">VLOOKUP($A195,tabCustoUnit[],COLUMN(CUSTO_GLOBAL[[#Headers],[Submódulo 2.3]])-2,0)*($G195-$H195)</f>
        <v>#NAME?</v>
      </c>
      <c r="AN195" s="22" t="e">
        <f ca="1">VLOOKUP($A195,tabCustoUnit[],COLUMN(CUSTO_GLOBAL[[#Headers],[MÓDULO 2 - Total Encargos e Benefícios mensais e diários]])-2,0)*($G195-$H195)</f>
        <v>#NAME?</v>
      </c>
      <c r="AO195" s="22">
        <f>VLOOKUP($A195,tabCustoUnit[],COLUMN(CUSTO_GLOBAL[[#Headers],[Aviso Prévio Indenizado (API) e Reflexo do Aviso Prévio Indenizado]])-2,0)*($G195-$H195)</f>
        <v>23.819887450713736</v>
      </c>
      <c r="AP195" s="22">
        <f>VLOOKUP($A195,tabCustoUnit[],COLUMN(CUSTO_GLOBAL[[#Headers],[Incidência do FGTS sobre API e Reflexo do API]])-2,0)*($G195-$H195)</f>
        <v>1.9055909960570991</v>
      </c>
      <c r="AQ195" s="22">
        <f>VLOOKUP($A195,tabCustoUnit[],COLUMN(CUSTO_GLOBAL[[#Headers],[Multa Rescisória do FGTS sobre o Aviso Prévio Indenizado]])-2,0)*($G195-$H195)</f>
        <v>0.76223639842283974</v>
      </c>
      <c r="AR195" s="22">
        <f>VLOOKUP($A195,tabCustoUnit[],COLUMN(CUSTO_GLOBAL[[#Headers],[Aviso Prévio Trabalhado - APT]])-2,0)*($G195-$H195)</f>
        <v>11.889956750000003</v>
      </c>
      <c r="AS195" s="22">
        <f>VLOOKUP($A195,tabCustoUnit[],COLUMN(CUSTO_GLOBAL[[#Headers],[Incidência dos encargos do submódulo 2.1 sobre Aviso Prévio Trabalhado]])-2,0)*($G195-$H195)</f>
        <v>4.4944036515000017</v>
      </c>
      <c r="AT195" s="22">
        <f>VLOOKUP($A195,tabCustoUnit[],COLUMN(CUSTO_GLOBAL[[#Headers],[Multa Rescisória do FGTS]])-2,0)*($G195-$H195)</f>
        <v>103.87670151111111</v>
      </c>
      <c r="AU195" s="22">
        <f>VLOOKUP($A195,tabCustoUnit[],COLUMN(CUSTO_GLOBAL[[#Headers],[Indenização Adicional (Art. 9º da Lei nº 7.238/84)]])-2,0)*($G195-$H195)</f>
        <v>2.8309420833333339</v>
      </c>
      <c r="AV195" s="22">
        <f>VLOOKUP($A195,tabCustoUnit[],COLUMN(CUSTO_GLOBAL[[#Headers],[MÓDULO 3 – PROVISÃO PARA RESCISÃO]])-2,0)*($G195-$H195)</f>
        <v>149.57971884113812</v>
      </c>
      <c r="AW195" s="22">
        <f>VLOOKUP($A195,tabCustoUnit[],COLUMN(CUSTO_GLOBAL[[#Headers],[Ausência por Doença]])-2,0)*($G195-$H195)</f>
        <v>28.686879777777776</v>
      </c>
      <c r="AX195" s="22">
        <f>VLOOKUP($A195,tabCustoUnit[],COLUMN(CUSTO_GLOBAL[[#Headers],[Ausências Legais]])-2,0)*($G195-$H195)</f>
        <v>6.888625736111111</v>
      </c>
      <c r="AY195" s="22">
        <f>VLOOKUP($A195,tabCustoUnit[],COLUMN(CUSTO_GLOBAL[[#Headers],[Licença Paternidade]])-2,0)*($G195-$H195)</f>
        <v>0.58034312708333335</v>
      </c>
      <c r="AZ195" s="22">
        <f>VLOOKUP($A195,tabCustoUnit[],COLUMN(CUSTO_GLOBAL[[#Headers],[Ausência por Acidente de Trabalho]])-2,0)*($G195-$H195)</f>
        <v>0.70773552083333346</v>
      </c>
      <c r="BA195" s="22">
        <f>VLOOKUP($A195,tabCustoUnit[],COLUMN(CUSTO_GLOBAL[[#Headers],[Férias, Adicional de Férias e 13º  com empregada em gozo de Licença Maternidade]])-2,0)*($G195-$H195)</f>
        <v>4.4036876851851856</v>
      </c>
      <c r="BB195" s="22">
        <f>VLOOKUP($A195,tabCustoUnit[],COLUMN(CUSTO_GLOBAL[[#Headers],[Incidência do Submódulo 2.1 sobre Ausências Legais]])-2,0)*($G195-$H195)</f>
        <v>15.599028758162504</v>
      </c>
      <c r="BC195" s="22">
        <f>VLOOKUP($A195,tabCustoUnit[],COLUMN(CUSTO_GLOBAL[[#Headers],[Submódulo 4.1]])-2,0)*($G195-$H195)</f>
        <v>56.866300605153235</v>
      </c>
      <c r="BD195" s="22">
        <f>VLOOKUP($A195,tabCustoUnit[],COLUMN(CUSTO_GLOBAL[[#Headers],[Intervalo para Repouso ou Alimentação]])-2,0)*($G195-$H195)</f>
        <v>0</v>
      </c>
      <c r="BE195" s="22">
        <f>VLOOKUP($A195,tabCustoUnit[],COLUMN(CUSTO_GLOBAL[[#Headers],[Submódulo 4.2]])-2,0)*($G195-$H195)</f>
        <v>0</v>
      </c>
      <c r="BF195" s="22">
        <f>VLOOKUP($A195,tabCustoUnit[],COLUMN(CUSTO_GLOBAL[[#Headers],[Suspensão Temporária do Contrato de Trabalho]])-2,0)*($G195-$H195)</f>
        <v>0</v>
      </c>
      <c r="BG195" s="22">
        <f>VLOOKUP($A195,tabCustoUnit[],COLUMN(CUSTO_GLOBAL[[#Headers],[Submódulo 4.3]])-2,0)*($G195-$H195)</f>
        <v>0</v>
      </c>
      <c r="BH195" s="22">
        <f>VLOOKUP($A195,tabCustoUnit[],COLUMN(CUSTO_GLOBAL[[#Headers],[MÓDULO 4 – CUSTO DE REPOSIÇÃO DO PROFISSIONAL AUSENTE]])-2,0)*($G195-$H195)</f>
        <v>56.866300605153235</v>
      </c>
      <c r="BI195" s="22">
        <f>VLOOKUP($A195,tabCustoUnit[],COLUMN(CUSTO_GLOBAL[[#Headers],[Uniformes e EPIs]])-2,0)*($G195-$H195)</f>
        <v>56.642978962543395</v>
      </c>
      <c r="BJ195" s="22">
        <f>VLOOKUP($A195,tabCustoUnit[],COLUMN(CUSTO_GLOBAL[[#Headers],[Materiais de Consumo]])-2,0)*($G195-$H195)</f>
        <v>0</v>
      </c>
      <c r="BK195" s="22">
        <f>VLOOKUP($A195,tabCustoUnit[],COLUMN(CUSTO_GLOBAL[[#Headers],[Máquinas e Equipamentos (depreciação)]])-2,0)*($G195-$H195)</f>
        <v>0</v>
      </c>
      <c r="BL195" s="22">
        <f>VLOOKUP($A195,tabCustoUnit[],COLUMN(CUSTO_GLOBAL[[#Headers],[Produtos de Limpeza e Materiais de Higiene Pessoal]])-2,0)*($G195-$H195)</f>
        <v>0</v>
      </c>
      <c r="BM195" s="22">
        <f>VLOOKUP($A195,tabCustoUnit[],COLUMN(CUSTO_GLOBAL[[#Headers],[Outros (especificar)]])-2,0)*($G195-$H195)</f>
        <v>0</v>
      </c>
      <c r="BN195" s="22">
        <f>VLOOKUP($A195,tabCustoUnit[],COLUMN(CUSTO_GLOBAL[[#Headers],[MÓDULO 5 – INSUMOS DIVERSOS]])-2,0)*($G195-$H195)</f>
        <v>56.642978962543395</v>
      </c>
      <c r="BO195" s="22" t="e">
        <f ca="1">VLOOKUP($A195,tabCustoUnit[],COLUMN(CUSTO_GLOBAL[[#Headers],[TOTAL MÓDULOS 1+2+3+4+5]])-2,0)*($G195-$H195)</f>
        <v>#NAME?</v>
      </c>
      <c r="BP195" s="22" t="e">
        <f ca="1">VLOOKUP($A195,tabCustoUnit[],COLUMN(CUSTO_GLOBAL[[#Headers],[Custos Indiretos]])-2,0)*($G195-$H195)</f>
        <v>#NAME?</v>
      </c>
      <c r="BQ195" s="22" t="e">
        <f ca="1">VLOOKUP($A195,tabCustoUnit[],COLUMN(CUSTO_GLOBAL[[#Headers],[Lucro]])-2,0)*($G195-$H195)</f>
        <v>#NAME?</v>
      </c>
      <c r="BR195" s="26">
        <f>VLOOKUP($A195,tabCustoUnit[],COLUMN(CUSTO_GLOBAL[[#Headers],[COFINS]])-2,0)</f>
        <v>8.5633802816901458E-2</v>
      </c>
      <c r="BS195" s="26">
        <f>VLOOKUP($A195,tabCustoUnit[],COLUMN(CUSTO_GLOBAL[[#Headers],[PIS]])-2,0)</f>
        <v>1.8591549295774657E-2</v>
      </c>
      <c r="BT195" s="28">
        <f>VLOOKUP($A195,tabCustoUnit[],COLUMN(CUSTO_GLOBAL[[#Headers],[ISS]])-2,0)</f>
        <v>0.02</v>
      </c>
      <c r="BU195" s="26">
        <f>VLOOKUP($A195,tabCustoUnit[],COLUMN(CUSTO_GLOBAL[[#Headers],[ISS (Conversão Alíquota s/ fatura)]])-2,0)</f>
        <v>2.2535211267605645E-2</v>
      </c>
      <c r="BV195" s="26">
        <f>VLOOKUP($A195,tabCustoUnit[],COLUMN(CUSTO_GLOBAL[[#Headers],[Resumo de Alíquotas (PIS+CONFINS+ISS)]])-2,0)</f>
        <v>0.1125</v>
      </c>
      <c r="BW195" s="138">
        <f>VLOOKUP($A195,tabCustoUnit[],COLUMN(CUSTO_GLOBAL[[#Headers],[PIS + COFINS + ISS (Total Conversão  Alíquota s/ Fatura)]])-2,0)</f>
        <v>0.12676056338028174</v>
      </c>
      <c r="BX195" s="22" t="e">
        <f ca="1">VLOOKUP($A195,tabCustoUnit[],COLUMN(CUSTO_GLOBAL[[#Headers],[Valor dos Tributos (ISS, PIS, CONFINS)]])-2,0)*($G195-$H195)</f>
        <v>#NAME?</v>
      </c>
      <c r="BY195" s="22" t="e">
        <f ca="1">VLOOKUP($A195,tabCustoUnit[],COLUMN(CUSTO_GLOBAL[[#Headers],[MÓDULO 6 – CUSTOS INDIRETOS, TRIBUTOS E LUCRO]])-2,0)*($G195-$H195)</f>
        <v>#NAME?</v>
      </c>
      <c r="BZ195" s="22" t="e">
        <f ca="1">VLOOKUP($A195,tabCustoUnit[],COLUMN(CUSTO_GLOBAL[[#Headers],[CUSTO TOTAL MENSAL]])-2,0)*($G195-$H195)</f>
        <v>#NAME?</v>
      </c>
      <c r="CA195" s="22" t="e">
        <f ca="1">CUSTO_GLOBAL[[#This Row],[CUSTO TOTAL MENSAL]]*12</f>
        <v>#NAME?</v>
      </c>
      <c r="CB195" s="24">
        <f>VLOOKUP($A195,tabCustoUnit[],COLUMN(CUSTO_GLOBAL[[#Headers],[ANO DA CCT]])-2,0)</f>
        <v>45658</v>
      </c>
      <c r="CC195" s="25" t="str">
        <f>VLOOKUP($A195,tabCustoUnit[],COLUMN(CUSTO_GLOBAL[[#Headers],[Nº DE PEDIDO DA CCT]])-2,0)</f>
        <v>-</v>
      </c>
      <c r="CD195" s="25" t="str">
        <f>VLOOKUP($A195,tabCustoUnit[],COLUMN(CUSTO_GLOBAL[[#Headers],[TERMO ADITIVO ALTERAÇÃO DA CCT]])-2,0)</f>
        <v>-</v>
      </c>
    </row>
    <row r="196" spans="1:82">
      <c r="A196" s="20" t="s">
        <v>1635</v>
      </c>
      <c r="B196" t="s">
        <v>1158</v>
      </c>
      <c r="C196" t="s">
        <v>314</v>
      </c>
      <c r="D196" t="s">
        <v>1058</v>
      </c>
      <c r="E196" s="20" t="s">
        <v>1090</v>
      </c>
      <c r="F196" s="20" t="s">
        <v>120</v>
      </c>
      <c r="G196" s="20">
        <v>1</v>
      </c>
      <c r="H196" s="20">
        <v>0</v>
      </c>
      <c r="I196" s="21">
        <f>VLOOKUP($A196,tabCustoUnit[],COLUMN(CUSTO_GLOBAL[[#Headers],[Salário Base]])-2,0)*($G196-$H196)</f>
        <v>2134.8035</v>
      </c>
      <c r="J196" s="21">
        <f>VLOOKUP($A196,tabCustoUnit[],COLUMN(CUSTO_GLOBAL[[#Headers],[Adicional Periculosidade]])-2,0)*($G196-$H196)</f>
        <v>0</v>
      </c>
      <c r="K196" s="21">
        <f>VLOOKUP($A196,tabCustoUnit[],COLUMN(CUSTO_GLOBAL[[#Headers],[Adicional Insalubridade]])-2,0)*($G196-$H196)</f>
        <v>0</v>
      </c>
      <c r="L196" s="21">
        <f>VLOOKUP($A196,tabCustoUnit[],COLUMN(CUSTO_GLOBAL[[#Headers],[Adicional Noturno]])-2,0)*($G196-$H196)</f>
        <v>0</v>
      </c>
      <c r="M196" s="21">
        <f>VLOOKUP($A196,tabCustoUnit[],COLUMN(CUSTO_GLOBAL[[#Headers],[Adicional Motorista II (Gratificação)]])-2,0)*($G196-$H196)</f>
        <v>0</v>
      </c>
      <c r="N196" s="21">
        <f>VLOOKUP($A196,tabCustoUnit[],COLUMN(CUSTO_GLOBAL[[#Headers],[Adicional de Sobreaviso]])-2,0)*($G196-$H196)</f>
        <v>0</v>
      </c>
      <c r="O196" s="21">
        <f>VLOOKUP($A196,tabCustoUnit[],COLUMN(CUSTO_GLOBAL[[#Headers],[Horas Extras TI]])-2,0)*($G196-$H196)</f>
        <v>0</v>
      </c>
      <c r="P196" s="21">
        <f>VLOOKUP($A196,tabCustoUnit[],COLUMN(CUSTO_GLOBAL[[#Headers],[Adicional de Acúmulo de função]])-2,0)*($G196-$H196)</f>
        <v>0</v>
      </c>
      <c r="Q196" s="21">
        <f>VLOOKUP($A196,tabCustoUnit[],COLUMN(CUSTO_GLOBAL[[#Headers],[MODULO 1 - REMUNERAÇÃO ]])-2,0)*($G196-$H196)</f>
        <v>2134.8035</v>
      </c>
      <c r="R196" s="21">
        <f>VLOOKUP($A196,tabCustoUnit[],COLUMN(CUSTO_GLOBAL[[#Headers],[INSS]])-2,0)*($G196-$H196)</f>
        <v>426.96070000000003</v>
      </c>
      <c r="S196" s="21">
        <f>VLOOKUP($A196,tabCustoUnit[],COLUMN(CUSTO_GLOBAL[[#Headers],[SESI OU SESC]])-2,0)*($G196-$H196)</f>
        <v>32.022052500000001</v>
      </c>
      <c r="T196" s="21">
        <f>VLOOKUP($A196,tabCustoUnit[],COLUMN(CUSTO_GLOBAL[[#Headers],[SENAI OU SENAC]])-2,0)*($G196-$H196)</f>
        <v>21.348034999999999</v>
      </c>
      <c r="U196" s="21">
        <f>VLOOKUP($A196,tabCustoUnit[],COLUMN(CUSTO_GLOBAL[[#Headers],[INCRA]])-2,0)*($G196-$H196)</f>
        <v>4.2696069999999997</v>
      </c>
      <c r="V196" s="21">
        <f>VLOOKUP($A196,tabCustoUnit[],COLUMN(CUSTO_GLOBAL[[#Headers],[Salário Educação]])-2,0)*($G196-$H196)</f>
        <v>53.370087500000004</v>
      </c>
      <c r="W196" s="21">
        <f>VLOOKUP($A196,tabCustoUnit[],COLUMN(CUSTO_GLOBAL[[#Headers],[FGTS]])-2,0)*($G196-$H196)</f>
        <v>170.78428</v>
      </c>
      <c r="X196" s="21">
        <f>VLOOKUP($A196,tabCustoUnit[],COLUMN(CUSTO_GLOBAL[[#Headers],[RAT Ajustado]])-2,0)*($G196-$H196)</f>
        <v>85.392139999999998</v>
      </c>
      <c r="Y196" s="21">
        <f>VLOOKUP($A196,tabCustoUnit[],COLUMN(CUSTO_GLOBAL[[#Headers],[SEBRAE]])-2,0)*($G196-$H196)</f>
        <v>12.808821</v>
      </c>
      <c r="Z196" s="21">
        <f>VLOOKUP($A196,tabCustoUnit[],COLUMN(CUSTO_GLOBAL[[#Headers],[Submódulo 2.1]])-2,0)*($G196-$H196)</f>
        <v>806.95572300000003</v>
      </c>
      <c r="AA196" s="21">
        <f>VLOOKUP($A196,tabCustoUnit[],COLUMN(CUSTO_GLOBAL[[#Headers],[13º salário (titular)]])-2,0)*($G196-$H196)</f>
        <v>177.90029166666665</v>
      </c>
      <c r="AB196" s="21">
        <f>VLOOKUP($A196,tabCustoUnit[],COLUMN(CUSTO_GLOBAL[[#Headers],[Férias e Adicional de Férias (titular)]])-2,0)*($G196-$H196)</f>
        <v>237.20038888888888</v>
      </c>
      <c r="AC196" s="21">
        <f>VLOOKUP($A196,tabCustoUnit[],COLUMN(CUSTO_GLOBAL[[#Headers],[Incidência do Submódulo 2.1 sobre 13º Salário, Férias e Adicional de Férias]])-2,0)*($G196-$H196)</f>
        <v>156.90805724999998</v>
      </c>
      <c r="AD196" s="21">
        <f>VLOOKUP($A196,tabCustoUnit[],COLUMN(CUSTO_GLOBAL[[#Headers],[Submódulo 2.2]])-2,0)*($G196-$H196)</f>
        <v>572.00873780555548</v>
      </c>
      <c r="AE196" s="22" t="e">
        <f ca="1">VLOOKUP($A196,tabCustoUnit[],COLUMN(CUSTO_GLOBAL[[#Headers],[Vale - Transporte (Descontada parcela do empregado)]])-2,0)*($G196-$H196)</f>
        <v>#NAME?</v>
      </c>
      <c r="AF196" s="22">
        <f>VLOOKUP($A196,tabCustoUnit[],COLUMN(CUSTO_GLOBAL[[#Headers],[Vale - Alimentação (Descontada parcela do empregado)]])-2,0)*($G196-$H196)</f>
        <v>582</v>
      </c>
      <c r="AG196" s="22">
        <f>VLOOKUP($A196,tabCustoUnit[],COLUMN(CUSTO_GLOBAL[[#Headers],[Cesta Básica]])-2,0)*($G196-$H196)</f>
        <v>0</v>
      </c>
      <c r="AH196" s="22">
        <f>VLOOKUP($A196,tabCustoUnit[],COLUMN(CUSTO_GLOBAL[[#Headers],[PAF]])-2,0)*($G196-$H196)</f>
        <v>77.25</v>
      </c>
      <c r="AI196" s="22">
        <f>VLOOKUP($A196,tabCustoUnit[],COLUMN(CUSTO_GLOBAL[[#Headers],[PQM]])-2,0)*($G196-$H196)</f>
        <v>0</v>
      </c>
      <c r="AJ196" s="22">
        <v>0</v>
      </c>
      <c r="AK196" s="22">
        <f>VLOOKUP($A196,tabCustoUnit[],COLUMN(CUSTO_GLOBAL[[#Headers],[Seguro de Vida]])-2,0)*($G196-$H196)</f>
        <v>3.36</v>
      </c>
      <c r="AL196" s="22">
        <f>VLOOKUP($A196,tabCustoUnit[],COLUMN(CUSTO_GLOBAL[[#Headers],[Despesas de Viagem]])-2,0)*($G196-$H196)</f>
        <v>0</v>
      </c>
      <c r="AM196" s="22" t="e">
        <f ca="1">VLOOKUP($A196,tabCustoUnit[],COLUMN(CUSTO_GLOBAL[[#Headers],[Submódulo 2.3]])-2,0)*($G196-$H196)</f>
        <v>#NAME?</v>
      </c>
      <c r="AN196" s="22" t="e">
        <f ca="1">VLOOKUP($A196,tabCustoUnit[],COLUMN(CUSTO_GLOBAL[[#Headers],[MÓDULO 2 - Total Encargos e Benefícios mensais e diários]])-2,0)*($G196-$H196)</f>
        <v>#NAME?</v>
      </c>
      <c r="AO196" s="22">
        <f>VLOOKUP($A196,tabCustoUnit[],COLUMN(CUSTO_GLOBAL[[#Headers],[Aviso Prévio Indenizado (API) e Reflexo do Aviso Prévio Indenizado]])-2,0)*($G196-$H196)</f>
        <v>14.968744680073302</v>
      </c>
      <c r="AP196" s="22">
        <f>VLOOKUP($A196,tabCustoUnit[],COLUMN(CUSTO_GLOBAL[[#Headers],[Incidência do FGTS sobre API e Reflexo do API]])-2,0)*($G196-$H196)</f>
        <v>1.1974995744058643</v>
      </c>
      <c r="AQ196" s="22">
        <f>VLOOKUP($A196,tabCustoUnit[],COLUMN(CUSTO_GLOBAL[[#Headers],[Multa Rescisória do FGTS sobre o Aviso Prévio Indenizado]])-2,0)*($G196-$H196)</f>
        <v>0.47899982976234579</v>
      </c>
      <c r="AR196" s="22">
        <f>VLOOKUP($A196,tabCustoUnit[],COLUMN(CUSTO_GLOBAL[[#Headers],[Aviso Prévio Trabalhado - APT]])-2,0)*($G196-$H196)</f>
        <v>7.471812250000001</v>
      </c>
      <c r="AS196" s="22">
        <f>VLOOKUP($A196,tabCustoUnit[],COLUMN(CUSTO_GLOBAL[[#Headers],[Incidência dos encargos do submódulo 2.1 sobre Aviso Prévio Trabalhado]])-2,0)*($G196-$H196)</f>
        <v>2.8243450305000009</v>
      </c>
      <c r="AT196" s="22">
        <f>VLOOKUP($A196,tabCustoUnit[],COLUMN(CUSTO_GLOBAL[[#Headers],[Multa Rescisória do FGTS]])-2,0)*($G196-$H196)</f>
        <v>65.277547022222208</v>
      </c>
      <c r="AU196" s="22">
        <f>VLOOKUP($A196,tabCustoUnit[],COLUMN(CUSTO_GLOBAL[[#Headers],[Indenização Adicional (Art. 9º da Lei nº 7.238/84)]])-2,0)*($G196-$H196)</f>
        <v>1.7790029166666668</v>
      </c>
      <c r="AV196" s="22">
        <f>VLOOKUP($A196,tabCustoUnit[],COLUMN(CUSTO_GLOBAL[[#Headers],[MÓDULO 3 – PROVISÃO PARA RESCISÃO]])-2,0)*($G196-$H196)</f>
        <v>93.997951303630387</v>
      </c>
      <c r="AW196" s="22">
        <f>VLOOKUP($A196,tabCustoUnit[],COLUMN(CUSTO_GLOBAL[[#Headers],[Ausência por Doença]])-2,0)*($G196-$H196)</f>
        <v>18.027229555555554</v>
      </c>
      <c r="AX196" s="22">
        <f>VLOOKUP($A196,tabCustoUnit[],COLUMN(CUSTO_GLOBAL[[#Headers],[Ausências Legais]])-2,0)*($G196-$H196)</f>
        <v>4.3289070972222223</v>
      </c>
      <c r="AY196" s="22">
        <f>VLOOKUP($A196,tabCustoUnit[],COLUMN(CUSTO_GLOBAL[[#Headers],[Licença Paternidade]])-2,0)*($G196-$H196)</f>
        <v>0.36469559791666667</v>
      </c>
      <c r="AZ196" s="22">
        <f>VLOOKUP($A196,tabCustoUnit[],COLUMN(CUSTO_GLOBAL[[#Headers],[Ausência por Acidente de Trabalho]])-2,0)*($G196-$H196)</f>
        <v>0.44475072916666669</v>
      </c>
      <c r="BA196" s="22">
        <f>VLOOKUP($A196,tabCustoUnit[],COLUMN(CUSTO_GLOBAL[[#Headers],[Férias, Adicional de Férias e 13º  com empregada em gozo de Licença Maternidade]])-2,0)*($G196-$H196)</f>
        <v>2.7673378703703704</v>
      </c>
      <c r="BB196" s="22">
        <f>VLOOKUP($A196,tabCustoUnit[],COLUMN(CUSTO_GLOBAL[[#Headers],[Incidência do Submódulo 2.1 sobre Ausências Legais]])-2,0)*($G196-$H196)</f>
        <v>9.802644081387502</v>
      </c>
      <c r="BC196" s="22">
        <f>VLOOKUP($A196,tabCustoUnit[],COLUMN(CUSTO_GLOBAL[[#Headers],[Submódulo 4.1]])-2,0)*($G196-$H196)</f>
        <v>35.735564931618981</v>
      </c>
      <c r="BD196" s="22">
        <f>VLOOKUP($A196,tabCustoUnit[],COLUMN(CUSTO_GLOBAL[[#Headers],[Intervalo para Repouso ou Alimentação]])-2,0)*($G196-$H196)</f>
        <v>291.10956680899955</v>
      </c>
      <c r="BE196" s="22">
        <f>VLOOKUP($A196,tabCustoUnit[],COLUMN(CUSTO_GLOBAL[[#Headers],[Submódulo 4.2]])-2,0)*($G196-$H196)</f>
        <v>291.10956680899955</v>
      </c>
      <c r="BF196" s="22">
        <f>VLOOKUP($A196,tabCustoUnit[],COLUMN(CUSTO_GLOBAL[[#Headers],[Suspensão Temporária do Contrato de Trabalho]])-2,0)*($G196-$H196)</f>
        <v>0</v>
      </c>
      <c r="BG196" s="22">
        <f>VLOOKUP($A196,tabCustoUnit[],COLUMN(CUSTO_GLOBAL[[#Headers],[Submódulo 4.3]])-2,0)*($G196-$H196)</f>
        <v>0</v>
      </c>
      <c r="BH196" s="22">
        <f>VLOOKUP($A196,tabCustoUnit[],COLUMN(CUSTO_GLOBAL[[#Headers],[MÓDULO 4 – CUSTO DE REPOSIÇÃO DO PROFISSIONAL AUSENTE]])-2,0)*($G196-$H196)</f>
        <v>326.84513174061851</v>
      </c>
      <c r="BI196" s="22">
        <f>VLOOKUP($A196,tabCustoUnit[],COLUMN(CUSTO_GLOBAL[[#Headers],[Uniformes e EPIs]])-2,0)*($G196-$H196)</f>
        <v>56.642978962543395</v>
      </c>
      <c r="BJ196" s="22">
        <f>VLOOKUP($A196,tabCustoUnit[],COLUMN(CUSTO_GLOBAL[[#Headers],[Materiais de Consumo]])-2,0)*($G196-$H196)</f>
        <v>0</v>
      </c>
      <c r="BK196" s="22">
        <f>VLOOKUP($A196,tabCustoUnit[],COLUMN(CUSTO_GLOBAL[[#Headers],[Máquinas e Equipamentos (depreciação)]])-2,0)*($G196-$H196)</f>
        <v>0</v>
      </c>
      <c r="BL196" s="22">
        <f>VLOOKUP($A196,tabCustoUnit[],COLUMN(CUSTO_GLOBAL[[#Headers],[Produtos de Limpeza e Materiais de Higiene Pessoal]])-2,0)*($G196-$H196)</f>
        <v>0</v>
      </c>
      <c r="BM196" s="22">
        <f>VLOOKUP($A196,tabCustoUnit[],COLUMN(CUSTO_GLOBAL[[#Headers],[Outros (especificar)]])-2,0)*($G196-$H196)</f>
        <v>0</v>
      </c>
      <c r="BN196" s="22">
        <f>VLOOKUP($A196,tabCustoUnit[],COLUMN(CUSTO_GLOBAL[[#Headers],[MÓDULO 5 – INSUMOS DIVERSOS]])-2,0)*($G196-$H196)</f>
        <v>56.642978962543395</v>
      </c>
      <c r="BO196" s="22" t="e">
        <f ca="1">VLOOKUP($A196,tabCustoUnit[],COLUMN(CUSTO_GLOBAL[[#Headers],[TOTAL MÓDULOS 1+2+3+4+5]])-2,0)*($G196-$H196)</f>
        <v>#NAME?</v>
      </c>
      <c r="BP196" s="22" t="e">
        <f ca="1">VLOOKUP($A196,tabCustoUnit[],COLUMN(CUSTO_GLOBAL[[#Headers],[Custos Indiretos]])-2,0)*($G196-$H196)</f>
        <v>#NAME?</v>
      </c>
      <c r="BQ196" s="22" t="e">
        <f ca="1">VLOOKUP($A196,tabCustoUnit[],COLUMN(CUSTO_GLOBAL[[#Headers],[Lucro]])-2,0)*($G196-$H196)</f>
        <v>#NAME?</v>
      </c>
      <c r="BR196" s="26">
        <f>VLOOKUP($A196,tabCustoUnit[],COLUMN(CUSTO_GLOBAL[[#Headers],[COFINS]])-2,0)</f>
        <v>8.8629737609329504E-2</v>
      </c>
      <c r="BS196" s="26">
        <f>VLOOKUP($A196,tabCustoUnit[],COLUMN(CUSTO_GLOBAL[[#Headers],[PIS]])-2,0)</f>
        <v>1.9241982507288629E-2</v>
      </c>
      <c r="BT196" s="28">
        <f>VLOOKUP($A196,tabCustoUnit[],COLUMN(CUSTO_GLOBAL[[#Headers],[ISS]])-2,0)</f>
        <v>0.05</v>
      </c>
      <c r="BU196" s="26">
        <f>VLOOKUP($A196,tabCustoUnit[],COLUMN(CUSTO_GLOBAL[[#Headers],[ISS (Conversão Alíquota s/ fatura)]])-2,0)</f>
        <v>5.8309037900874633E-2</v>
      </c>
      <c r="BV196" s="26">
        <f>VLOOKUP($A196,tabCustoUnit[],COLUMN(CUSTO_GLOBAL[[#Headers],[Resumo de Alíquotas (PIS+CONFINS+ISS)]])-2,0)</f>
        <v>0.14250000000000002</v>
      </c>
      <c r="BW196" s="138">
        <f>VLOOKUP($A196,tabCustoUnit[],COLUMN(CUSTO_GLOBAL[[#Headers],[PIS + COFINS + ISS (Total Conversão  Alíquota s/ Fatura)]])-2,0)</f>
        <v>0.16618075801749277</v>
      </c>
      <c r="BX196" s="22" t="e">
        <f ca="1">VLOOKUP($A196,tabCustoUnit[],COLUMN(CUSTO_GLOBAL[[#Headers],[Valor dos Tributos (ISS, PIS, CONFINS)]])-2,0)*($G196-$H196)</f>
        <v>#NAME?</v>
      </c>
      <c r="BY196" s="22" t="e">
        <f ca="1">VLOOKUP($A196,tabCustoUnit[],COLUMN(CUSTO_GLOBAL[[#Headers],[MÓDULO 6 – CUSTOS INDIRETOS, TRIBUTOS E LUCRO]])-2,0)*($G196-$H196)</f>
        <v>#NAME?</v>
      </c>
      <c r="BZ196" s="22" t="e">
        <f ca="1">VLOOKUP($A196,tabCustoUnit[],COLUMN(CUSTO_GLOBAL[[#Headers],[CUSTO TOTAL MENSAL]])-2,0)*($G196-$H196)</f>
        <v>#NAME?</v>
      </c>
      <c r="CA196" s="22" t="e">
        <f ca="1">CUSTO_GLOBAL[[#This Row],[CUSTO TOTAL MENSAL]]*12</f>
        <v>#NAME?</v>
      </c>
      <c r="CB196" s="24">
        <f>VLOOKUP($A196,tabCustoUnit[],COLUMN(CUSTO_GLOBAL[[#Headers],[ANO DA CCT]])-2,0)</f>
        <v>45658</v>
      </c>
      <c r="CC196" s="25" t="str">
        <f>VLOOKUP($A196,tabCustoUnit[],COLUMN(CUSTO_GLOBAL[[#Headers],[Nº DE PEDIDO DA CCT]])-2,0)</f>
        <v>-</v>
      </c>
      <c r="CD196" s="25" t="str">
        <f>VLOOKUP($A196,tabCustoUnit[],COLUMN(CUSTO_GLOBAL[[#Headers],[TERMO ADITIVO ALTERAÇÃO DA CCT]])-2,0)</f>
        <v>-</v>
      </c>
    </row>
    <row r="197" spans="1:82">
      <c r="A197" s="20" t="s">
        <v>1487</v>
      </c>
      <c r="B197" t="s">
        <v>1159</v>
      </c>
      <c r="C197" t="s">
        <v>200</v>
      </c>
      <c r="D197" t="s">
        <v>961</v>
      </c>
      <c r="E197" s="20" t="s">
        <v>1090</v>
      </c>
      <c r="F197" s="20" t="s">
        <v>120</v>
      </c>
      <c r="G197" s="20">
        <v>1</v>
      </c>
      <c r="H197" s="20">
        <v>0</v>
      </c>
      <c r="I197" s="21">
        <f>VLOOKUP($A197,tabCustoUnit[],COLUMN(CUSTO_GLOBAL[[#Headers],[Salário Base]])-2,0)*($G197-$H197)</f>
        <v>1596.2737999999999</v>
      </c>
      <c r="J197" s="21">
        <f>VLOOKUP($A197,tabCustoUnit[],COLUMN(CUSTO_GLOBAL[[#Headers],[Adicional Periculosidade]])-2,0)*($G197-$H197)</f>
        <v>0</v>
      </c>
      <c r="K197" s="21">
        <f>VLOOKUP($A197,tabCustoUnit[],COLUMN(CUSTO_GLOBAL[[#Headers],[Adicional Insalubridade]])-2,0)*($G197-$H197)</f>
        <v>0</v>
      </c>
      <c r="L197" s="21">
        <f>VLOOKUP($A197,tabCustoUnit[],COLUMN(CUSTO_GLOBAL[[#Headers],[Adicional Noturno]])-2,0)*($G197-$H197)</f>
        <v>0</v>
      </c>
      <c r="M197" s="21">
        <f>VLOOKUP($A197,tabCustoUnit[],COLUMN(CUSTO_GLOBAL[[#Headers],[Adicional Motorista II (Gratificação)]])-2,0)*($G197-$H197)</f>
        <v>0</v>
      </c>
      <c r="N197" s="21">
        <f>VLOOKUP($A197,tabCustoUnit[],COLUMN(CUSTO_GLOBAL[[#Headers],[Adicional de Sobreaviso]])-2,0)*($G197-$H197)</f>
        <v>0</v>
      </c>
      <c r="O197" s="21">
        <f>VLOOKUP($A197,tabCustoUnit[],COLUMN(CUSTO_GLOBAL[[#Headers],[Horas Extras TI]])-2,0)*($G197-$H197)</f>
        <v>0</v>
      </c>
      <c r="P197" s="21">
        <f>VLOOKUP($A197,tabCustoUnit[],COLUMN(CUSTO_GLOBAL[[#Headers],[Adicional de Acúmulo de função]])-2,0)*($G197-$H197)</f>
        <v>0</v>
      </c>
      <c r="Q197" s="21">
        <f>VLOOKUP($A197,tabCustoUnit[],COLUMN(CUSTO_GLOBAL[[#Headers],[MODULO 1 - REMUNERAÇÃO ]])-2,0)*($G197-$H197)</f>
        <v>1596.2737999999999</v>
      </c>
      <c r="R197" s="21">
        <f>VLOOKUP($A197,tabCustoUnit[],COLUMN(CUSTO_GLOBAL[[#Headers],[INSS]])-2,0)*($G197-$H197)</f>
        <v>319.25476000000003</v>
      </c>
      <c r="S197" s="21">
        <f>VLOOKUP($A197,tabCustoUnit[],COLUMN(CUSTO_GLOBAL[[#Headers],[SESI OU SESC]])-2,0)*($G197-$H197)</f>
        <v>23.944106999999999</v>
      </c>
      <c r="T197" s="21">
        <f>VLOOKUP($A197,tabCustoUnit[],COLUMN(CUSTO_GLOBAL[[#Headers],[SENAI OU SENAC]])-2,0)*($G197-$H197)</f>
        <v>15.962738</v>
      </c>
      <c r="U197" s="21">
        <f>VLOOKUP($A197,tabCustoUnit[],COLUMN(CUSTO_GLOBAL[[#Headers],[INCRA]])-2,0)*($G197-$H197)</f>
        <v>3.1925476000000002</v>
      </c>
      <c r="V197" s="21">
        <f>VLOOKUP($A197,tabCustoUnit[],COLUMN(CUSTO_GLOBAL[[#Headers],[Salário Educação]])-2,0)*($G197-$H197)</f>
        <v>39.906845000000004</v>
      </c>
      <c r="W197" s="21">
        <f>VLOOKUP($A197,tabCustoUnit[],COLUMN(CUSTO_GLOBAL[[#Headers],[FGTS]])-2,0)*($G197-$H197)</f>
        <v>127.701904</v>
      </c>
      <c r="X197" s="21">
        <f>VLOOKUP($A197,tabCustoUnit[],COLUMN(CUSTO_GLOBAL[[#Headers],[RAT Ajustado]])-2,0)*($G197-$H197)</f>
        <v>63.850951999999999</v>
      </c>
      <c r="Y197" s="21">
        <f>VLOOKUP($A197,tabCustoUnit[],COLUMN(CUSTO_GLOBAL[[#Headers],[SEBRAE]])-2,0)*($G197-$H197)</f>
        <v>9.5776427999999996</v>
      </c>
      <c r="Z197" s="21">
        <f>VLOOKUP($A197,tabCustoUnit[],COLUMN(CUSTO_GLOBAL[[#Headers],[Submódulo 2.1]])-2,0)*($G197-$H197)</f>
        <v>603.39149640000005</v>
      </c>
      <c r="AA197" s="21">
        <f>VLOOKUP($A197,tabCustoUnit[],COLUMN(CUSTO_GLOBAL[[#Headers],[13º salário (titular)]])-2,0)*($G197-$H197)</f>
        <v>133.02281666666664</v>
      </c>
      <c r="AB197" s="21">
        <f>VLOOKUP($A197,tabCustoUnit[],COLUMN(CUSTO_GLOBAL[[#Headers],[Férias e Adicional de Férias (titular)]])-2,0)*($G197-$H197)</f>
        <v>177.36375555555554</v>
      </c>
      <c r="AC197" s="21">
        <f>VLOOKUP($A197,tabCustoUnit[],COLUMN(CUSTO_GLOBAL[[#Headers],[Incidência do Submódulo 2.1 sobre 13º Salário, Férias e Adicional de Férias]])-2,0)*($G197-$H197)</f>
        <v>117.3261243</v>
      </c>
      <c r="AD197" s="21">
        <f>VLOOKUP($A197,tabCustoUnit[],COLUMN(CUSTO_GLOBAL[[#Headers],[Submódulo 2.2]])-2,0)*($G197-$H197)</f>
        <v>427.71269652222219</v>
      </c>
      <c r="AE197" s="22" t="e">
        <f ca="1">VLOOKUP($A197,tabCustoUnit[],COLUMN(CUSTO_GLOBAL[[#Headers],[Vale - Transporte (Descontada parcela do empregado)]])-2,0)*($G197-$H197)</f>
        <v>#NAME?</v>
      </c>
      <c r="AF197" s="22">
        <f>VLOOKUP($A197,tabCustoUnit[],COLUMN(CUSTO_GLOBAL[[#Headers],[Vale - Alimentação (Descontada parcela do empregado)]])-2,0)*($G197-$H197)</f>
        <v>582</v>
      </c>
      <c r="AG197" s="22">
        <f>VLOOKUP($A197,tabCustoUnit[],COLUMN(CUSTO_GLOBAL[[#Headers],[Cesta Básica]])-2,0)*($G197-$H197)</f>
        <v>0</v>
      </c>
      <c r="AH197" s="22">
        <f>VLOOKUP($A197,tabCustoUnit[],COLUMN(CUSTO_GLOBAL[[#Headers],[PAF]])-2,0)*($G197-$H197)</f>
        <v>53.27</v>
      </c>
      <c r="AI197" s="22">
        <f>VLOOKUP($A197,tabCustoUnit[],COLUMN(CUSTO_GLOBAL[[#Headers],[PQM]])-2,0)*($G197-$H197)</f>
        <v>0</v>
      </c>
      <c r="AJ197" s="22">
        <v>0</v>
      </c>
      <c r="AK197" s="22">
        <f>VLOOKUP($A197,tabCustoUnit[],COLUMN(CUSTO_GLOBAL[[#Headers],[Seguro de Vida]])-2,0)*($G197-$H197)</f>
        <v>3.36</v>
      </c>
      <c r="AL197" s="22">
        <f>VLOOKUP($A197,tabCustoUnit[],COLUMN(CUSTO_GLOBAL[[#Headers],[Despesas de Viagem]])-2,0)*($G197-$H197)</f>
        <v>0</v>
      </c>
      <c r="AM197" s="22" t="e">
        <f ca="1">VLOOKUP($A197,tabCustoUnit[],COLUMN(CUSTO_GLOBAL[[#Headers],[Submódulo 2.3]])-2,0)*($G197-$H197)</f>
        <v>#NAME?</v>
      </c>
      <c r="AN197" s="22" t="e">
        <f ca="1">VLOOKUP($A197,tabCustoUnit[],COLUMN(CUSTO_GLOBAL[[#Headers],[MÓDULO 2 - Total Encargos e Benefícios mensais e diários]])-2,0)*($G197-$H197)</f>
        <v>#NAME?</v>
      </c>
      <c r="AO197" s="22">
        <f>VLOOKUP($A197,tabCustoUnit[],COLUMN(CUSTO_GLOBAL[[#Headers],[Aviso Prévio Indenizado (API) e Reflexo do Aviso Prévio Indenizado]])-2,0)*($G197-$H197)</f>
        <v>11.192699914390431</v>
      </c>
      <c r="AP197" s="22">
        <f>VLOOKUP($A197,tabCustoUnit[],COLUMN(CUSTO_GLOBAL[[#Headers],[Incidência do FGTS sobre API e Reflexo do API]])-2,0)*($G197-$H197)</f>
        <v>0.89541599315123466</v>
      </c>
      <c r="AQ197" s="22">
        <f>VLOOKUP($A197,tabCustoUnit[],COLUMN(CUSTO_GLOBAL[[#Headers],[Multa Rescisória do FGTS sobre o Aviso Prévio Indenizado]])-2,0)*($G197-$H197)</f>
        <v>0.35816639726049387</v>
      </c>
      <c r="AR197" s="22">
        <f>VLOOKUP($A197,tabCustoUnit[],COLUMN(CUSTO_GLOBAL[[#Headers],[Aviso Prévio Trabalhado - APT]])-2,0)*($G197-$H197)</f>
        <v>5.5869583000000009</v>
      </c>
      <c r="AS197" s="22">
        <f>VLOOKUP($A197,tabCustoUnit[],COLUMN(CUSTO_GLOBAL[[#Headers],[Incidência dos encargos do submódulo 2.1 sobre Aviso Prévio Trabalhado]])-2,0)*($G197-$H197)</f>
        <v>2.1118702374000007</v>
      </c>
      <c r="AT197" s="22">
        <f>VLOOKUP($A197,tabCustoUnit[],COLUMN(CUSTO_GLOBAL[[#Headers],[Multa Rescisória do FGTS]])-2,0)*($G197-$H197)</f>
        <v>48.810505528888882</v>
      </c>
      <c r="AU197" s="22">
        <f>VLOOKUP($A197,tabCustoUnit[],COLUMN(CUSTO_GLOBAL[[#Headers],[Indenização Adicional (Art. 9º da Lei nº 7.238/84)]])-2,0)*($G197-$H197)</f>
        <v>1.3302281666666667</v>
      </c>
      <c r="AV197" s="22">
        <f>VLOOKUP($A197,tabCustoUnit[],COLUMN(CUSTO_GLOBAL[[#Headers],[MÓDULO 3 – PROVISÃO PARA RESCISÃO]])-2,0)*($G197-$H197)</f>
        <v>70.285844537757711</v>
      </c>
      <c r="AW197" s="22">
        <f>VLOOKUP($A197,tabCustoUnit[],COLUMN(CUSTO_GLOBAL[[#Headers],[Ausência por Doença]])-2,0)*($G197-$H197)</f>
        <v>13.479645422222221</v>
      </c>
      <c r="AX197" s="22">
        <f>VLOOKUP($A197,tabCustoUnit[],COLUMN(CUSTO_GLOBAL[[#Headers],[Ausências Legais]])-2,0)*($G197-$H197)</f>
        <v>3.2368885388888886</v>
      </c>
      <c r="AY197" s="22">
        <f>VLOOKUP($A197,tabCustoUnit[],COLUMN(CUSTO_GLOBAL[[#Headers],[Licença Paternidade]])-2,0)*($G197-$H197)</f>
        <v>0.27269677416666666</v>
      </c>
      <c r="AZ197" s="22">
        <f>VLOOKUP($A197,tabCustoUnit[],COLUMN(CUSTO_GLOBAL[[#Headers],[Ausência por Acidente de Trabalho]])-2,0)*($G197-$H197)</f>
        <v>0.33255704166666666</v>
      </c>
      <c r="BA197" s="22">
        <f>VLOOKUP($A197,tabCustoUnit[],COLUMN(CUSTO_GLOBAL[[#Headers],[Férias, Adicional de Férias e 13º  com empregada em gozo de Licença Maternidade]])-2,0)*($G197-$H197)</f>
        <v>2.0692438148148145</v>
      </c>
      <c r="BB197" s="22">
        <f>VLOOKUP($A197,tabCustoUnit[],COLUMN(CUSTO_GLOBAL[[#Headers],[Incidência do Submódulo 2.1 sobre Ausências Legais]])-2,0)*($G197-$H197)</f>
        <v>7.3298099416850011</v>
      </c>
      <c r="BC197" s="22">
        <f>VLOOKUP($A197,tabCustoUnit[],COLUMN(CUSTO_GLOBAL[[#Headers],[Submódulo 4.1]])-2,0)*($G197-$H197)</f>
        <v>26.720841533444265</v>
      </c>
      <c r="BD197" s="22">
        <f>VLOOKUP($A197,tabCustoUnit[],COLUMN(CUSTO_GLOBAL[[#Headers],[Intervalo para Repouso ou Alimentação]])-2,0)*($G197-$H197)</f>
        <v>0</v>
      </c>
      <c r="BE197" s="22">
        <f>VLOOKUP($A197,tabCustoUnit[],COLUMN(CUSTO_GLOBAL[[#Headers],[Submódulo 4.2]])-2,0)*($G197-$H197)</f>
        <v>0</v>
      </c>
      <c r="BF197" s="22">
        <f>VLOOKUP($A197,tabCustoUnit[],COLUMN(CUSTO_GLOBAL[[#Headers],[Suspensão Temporária do Contrato de Trabalho]])-2,0)*($G197-$H197)</f>
        <v>0</v>
      </c>
      <c r="BG197" s="22">
        <f>VLOOKUP($A197,tabCustoUnit[],COLUMN(CUSTO_GLOBAL[[#Headers],[Submódulo 4.3]])-2,0)*($G197-$H197)</f>
        <v>0</v>
      </c>
      <c r="BH197" s="22">
        <f>VLOOKUP($A197,tabCustoUnit[],COLUMN(CUSTO_GLOBAL[[#Headers],[MÓDULO 4 – CUSTO DE REPOSIÇÃO DO PROFISSIONAL AUSENTE]])-2,0)*($G197-$H197)</f>
        <v>26.720841533444265</v>
      </c>
      <c r="BI197" s="22">
        <f>VLOOKUP($A197,tabCustoUnit[],COLUMN(CUSTO_GLOBAL[[#Headers],[Uniformes e EPIs]])-2,0)*($G197-$H197)</f>
        <v>56.141713661989918</v>
      </c>
      <c r="BJ197" s="22">
        <f>VLOOKUP($A197,tabCustoUnit[],COLUMN(CUSTO_GLOBAL[[#Headers],[Materiais de Consumo]])-2,0)*($G197-$H197)</f>
        <v>0</v>
      </c>
      <c r="BK197" s="22">
        <f>VLOOKUP($A197,tabCustoUnit[],COLUMN(CUSTO_GLOBAL[[#Headers],[Máquinas e Equipamentos (depreciação)]])-2,0)*($G197-$H197)</f>
        <v>0</v>
      </c>
      <c r="BL197" s="22">
        <f>VLOOKUP($A197,tabCustoUnit[],COLUMN(CUSTO_GLOBAL[[#Headers],[Produtos de Limpeza e Materiais de Higiene Pessoal]])-2,0)*($G197-$H197)</f>
        <v>0</v>
      </c>
      <c r="BM197" s="22">
        <f>VLOOKUP($A197,tabCustoUnit[],COLUMN(CUSTO_GLOBAL[[#Headers],[Outros (especificar)]])-2,0)*($G197-$H197)</f>
        <v>0</v>
      </c>
      <c r="BN197" s="22">
        <f>VLOOKUP($A197,tabCustoUnit[],COLUMN(CUSTO_GLOBAL[[#Headers],[MÓDULO 5 – INSUMOS DIVERSOS]])-2,0)*($G197-$H197)</f>
        <v>56.141713661989918</v>
      </c>
      <c r="BO197" s="22" t="e">
        <f ca="1">VLOOKUP($A197,tabCustoUnit[],COLUMN(CUSTO_GLOBAL[[#Headers],[TOTAL MÓDULOS 1+2+3+4+5]])-2,0)*($G197-$H197)</f>
        <v>#NAME?</v>
      </c>
      <c r="BP197" s="22" t="e">
        <f ca="1">VLOOKUP($A197,tabCustoUnit[],COLUMN(CUSTO_GLOBAL[[#Headers],[Custos Indiretos]])-2,0)*($G197-$H197)</f>
        <v>#NAME?</v>
      </c>
      <c r="BQ197" s="22" t="e">
        <f ca="1">VLOOKUP($A197,tabCustoUnit[],COLUMN(CUSTO_GLOBAL[[#Headers],[Lucro]])-2,0)*($G197-$H197)</f>
        <v>#NAME?</v>
      </c>
      <c r="BR197" s="26">
        <f>VLOOKUP($A197,tabCustoUnit[],COLUMN(CUSTO_GLOBAL[[#Headers],[COFINS]])-2,0)</f>
        <v>8.8629737609329504E-2</v>
      </c>
      <c r="BS197" s="26">
        <f>VLOOKUP($A197,tabCustoUnit[],COLUMN(CUSTO_GLOBAL[[#Headers],[PIS]])-2,0)</f>
        <v>1.9241982507288629E-2</v>
      </c>
      <c r="BT197" s="28">
        <f>VLOOKUP($A197,tabCustoUnit[],COLUMN(CUSTO_GLOBAL[[#Headers],[ISS]])-2,0)</f>
        <v>0.05</v>
      </c>
      <c r="BU197" s="26">
        <f>VLOOKUP($A197,tabCustoUnit[],COLUMN(CUSTO_GLOBAL[[#Headers],[ISS (Conversão Alíquota s/ fatura)]])-2,0)</f>
        <v>5.8309037900874633E-2</v>
      </c>
      <c r="BV197" s="26">
        <f>VLOOKUP($A197,tabCustoUnit[],COLUMN(CUSTO_GLOBAL[[#Headers],[Resumo de Alíquotas (PIS+CONFINS+ISS)]])-2,0)</f>
        <v>0.14250000000000002</v>
      </c>
      <c r="BW197" s="138">
        <f>VLOOKUP($A197,tabCustoUnit[],COLUMN(CUSTO_GLOBAL[[#Headers],[PIS + COFINS + ISS (Total Conversão  Alíquota s/ Fatura)]])-2,0)</f>
        <v>0.16618075801749277</v>
      </c>
      <c r="BX197" s="22" t="e">
        <f ca="1">VLOOKUP($A197,tabCustoUnit[],COLUMN(CUSTO_GLOBAL[[#Headers],[Valor dos Tributos (ISS, PIS, CONFINS)]])-2,0)*($G197-$H197)</f>
        <v>#NAME?</v>
      </c>
      <c r="BY197" s="22" t="e">
        <f ca="1">VLOOKUP($A197,tabCustoUnit[],COLUMN(CUSTO_GLOBAL[[#Headers],[MÓDULO 6 – CUSTOS INDIRETOS, TRIBUTOS E LUCRO]])-2,0)*($G197-$H197)</f>
        <v>#NAME?</v>
      </c>
      <c r="BZ197" s="22" t="e">
        <f ca="1">VLOOKUP($A197,tabCustoUnit[],COLUMN(CUSTO_GLOBAL[[#Headers],[CUSTO TOTAL MENSAL]])-2,0)*($G197-$H197)</f>
        <v>#NAME?</v>
      </c>
      <c r="CA197" s="22" t="e">
        <f ca="1">CUSTO_GLOBAL[[#This Row],[CUSTO TOTAL MENSAL]]*12</f>
        <v>#NAME?</v>
      </c>
      <c r="CB197" s="24">
        <f>VLOOKUP($A197,tabCustoUnit[],COLUMN(CUSTO_GLOBAL[[#Headers],[ANO DA CCT]])-2,0)</f>
        <v>45658</v>
      </c>
      <c r="CC197" s="25" t="str">
        <f>VLOOKUP($A197,tabCustoUnit[],COLUMN(CUSTO_GLOBAL[[#Headers],[Nº DE PEDIDO DA CCT]])-2,0)</f>
        <v>-</v>
      </c>
      <c r="CD197" s="25" t="str">
        <f>VLOOKUP($A197,tabCustoUnit[],COLUMN(CUSTO_GLOBAL[[#Headers],[TERMO ADITIVO ALTERAÇÃO DA CCT]])-2,0)</f>
        <v>-</v>
      </c>
    </row>
    <row r="198" spans="1:82">
      <c r="A198" s="20" t="s">
        <v>1636</v>
      </c>
      <c r="B198" t="s">
        <v>1159</v>
      </c>
      <c r="C198" t="s">
        <v>244</v>
      </c>
      <c r="D198" t="s">
        <v>961</v>
      </c>
      <c r="E198" s="20" t="s">
        <v>1090</v>
      </c>
      <c r="F198" s="20" t="s">
        <v>120</v>
      </c>
      <c r="G198" s="20">
        <v>1</v>
      </c>
      <c r="H198" s="20">
        <v>0</v>
      </c>
      <c r="I198" s="21">
        <f>VLOOKUP($A198,tabCustoUnit[],COLUMN(CUSTO_GLOBAL[[#Headers],[Salário Base]])-2,0)*($G198-$H198)</f>
        <v>2296.1756999999998</v>
      </c>
      <c r="J198" s="21">
        <f>VLOOKUP($A198,tabCustoUnit[],COLUMN(CUSTO_GLOBAL[[#Headers],[Adicional Periculosidade]])-2,0)*($G198-$H198)</f>
        <v>0</v>
      </c>
      <c r="K198" s="21">
        <f>VLOOKUP($A198,tabCustoUnit[],COLUMN(CUSTO_GLOBAL[[#Headers],[Adicional Insalubridade]])-2,0)*($G198-$H198)</f>
        <v>303.60000000000002</v>
      </c>
      <c r="L198" s="21">
        <f>VLOOKUP($A198,tabCustoUnit[],COLUMN(CUSTO_GLOBAL[[#Headers],[Adicional Noturno]])-2,0)*($G198-$H198)</f>
        <v>0</v>
      </c>
      <c r="M198" s="21">
        <f>VLOOKUP($A198,tabCustoUnit[],COLUMN(CUSTO_GLOBAL[[#Headers],[Adicional Motorista II (Gratificação)]])-2,0)*($G198-$H198)</f>
        <v>0</v>
      </c>
      <c r="N198" s="21">
        <f>VLOOKUP($A198,tabCustoUnit[],COLUMN(CUSTO_GLOBAL[[#Headers],[Adicional de Sobreaviso]])-2,0)*($G198-$H198)</f>
        <v>0</v>
      </c>
      <c r="O198" s="21">
        <f>VLOOKUP($A198,tabCustoUnit[],COLUMN(CUSTO_GLOBAL[[#Headers],[Horas Extras TI]])-2,0)*($G198-$H198)</f>
        <v>0</v>
      </c>
      <c r="P198" s="21">
        <f>VLOOKUP($A198,tabCustoUnit[],COLUMN(CUSTO_GLOBAL[[#Headers],[Adicional de Acúmulo de função]])-2,0)*($G198-$H198)</f>
        <v>0</v>
      </c>
      <c r="Q198" s="21">
        <f>VLOOKUP($A198,tabCustoUnit[],COLUMN(CUSTO_GLOBAL[[#Headers],[MODULO 1 - REMUNERAÇÃO ]])-2,0)*($G198-$H198)</f>
        <v>2599.7756999999997</v>
      </c>
      <c r="R198" s="21">
        <f>VLOOKUP($A198,tabCustoUnit[],COLUMN(CUSTO_GLOBAL[[#Headers],[INSS]])-2,0)*($G198-$H198)</f>
        <v>519.95513999999991</v>
      </c>
      <c r="S198" s="21">
        <f>VLOOKUP($A198,tabCustoUnit[],COLUMN(CUSTO_GLOBAL[[#Headers],[SESI OU SESC]])-2,0)*($G198-$H198)</f>
        <v>38.996635499999996</v>
      </c>
      <c r="T198" s="21">
        <f>VLOOKUP($A198,tabCustoUnit[],COLUMN(CUSTO_GLOBAL[[#Headers],[SENAI OU SENAC]])-2,0)*($G198-$H198)</f>
        <v>25.997756999999996</v>
      </c>
      <c r="U198" s="21">
        <f>VLOOKUP($A198,tabCustoUnit[],COLUMN(CUSTO_GLOBAL[[#Headers],[INCRA]])-2,0)*($G198-$H198)</f>
        <v>5.1995513999999998</v>
      </c>
      <c r="V198" s="21">
        <f>VLOOKUP($A198,tabCustoUnit[],COLUMN(CUSTO_GLOBAL[[#Headers],[Salário Educação]])-2,0)*($G198-$H198)</f>
        <v>64.994392499999989</v>
      </c>
      <c r="W198" s="21">
        <f>VLOOKUP($A198,tabCustoUnit[],COLUMN(CUSTO_GLOBAL[[#Headers],[FGTS]])-2,0)*($G198-$H198)</f>
        <v>207.98205599999997</v>
      </c>
      <c r="X198" s="21">
        <f>VLOOKUP($A198,tabCustoUnit[],COLUMN(CUSTO_GLOBAL[[#Headers],[RAT Ajustado]])-2,0)*($G198-$H198)</f>
        <v>103.99102799999999</v>
      </c>
      <c r="Y198" s="21">
        <f>VLOOKUP($A198,tabCustoUnit[],COLUMN(CUSTO_GLOBAL[[#Headers],[SEBRAE]])-2,0)*($G198-$H198)</f>
        <v>15.598654199999999</v>
      </c>
      <c r="Z198" s="21">
        <f>VLOOKUP($A198,tabCustoUnit[],COLUMN(CUSTO_GLOBAL[[#Headers],[Submódulo 2.1]])-2,0)*($G198-$H198)</f>
        <v>982.71521459999985</v>
      </c>
      <c r="AA198" s="21">
        <f>VLOOKUP($A198,tabCustoUnit[],COLUMN(CUSTO_GLOBAL[[#Headers],[13º salário (titular)]])-2,0)*($G198-$H198)</f>
        <v>216.64797499999997</v>
      </c>
      <c r="AB198" s="21">
        <f>VLOOKUP($A198,tabCustoUnit[],COLUMN(CUSTO_GLOBAL[[#Headers],[Férias e Adicional de Férias (titular)]])-2,0)*($G198-$H198)</f>
        <v>288.86396666666661</v>
      </c>
      <c r="AC198" s="21">
        <f>VLOOKUP($A198,tabCustoUnit[],COLUMN(CUSTO_GLOBAL[[#Headers],[Incidência do Submódulo 2.1 sobre 13º Salário, Férias e Adicional de Férias]])-2,0)*($G198-$H198)</f>
        <v>191.08351394999997</v>
      </c>
      <c r="AD198" s="21">
        <f>VLOOKUP($A198,tabCustoUnit[],COLUMN(CUSTO_GLOBAL[[#Headers],[Submódulo 2.2]])-2,0)*($G198-$H198)</f>
        <v>696.59545561666653</v>
      </c>
      <c r="AE198" s="22" t="e">
        <f ca="1">VLOOKUP($A198,tabCustoUnit[],COLUMN(CUSTO_GLOBAL[[#Headers],[Vale - Transporte (Descontada parcela do empregado)]])-2,0)*($G198-$H198)</f>
        <v>#NAME?</v>
      </c>
      <c r="AF198" s="22">
        <f>VLOOKUP($A198,tabCustoUnit[],COLUMN(CUSTO_GLOBAL[[#Headers],[Vale - Alimentação (Descontada parcela do empregado)]])-2,0)*($G198-$H198)</f>
        <v>582</v>
      </c>
      <c r="AG198" s="22">
        <f>VLOOKUP($A198,tabCustoUnit[],COLUMN(CUSTO_GLOBAL[[#Headers],[Cesta Básica]])-2,0)*($G198-$H198)</f>
        <v>0</v>
      </c>
      <c r="AH198" s="22">
        <f>VLOOKUP($A198,tabCustoUnit[],COLUMN(CUSTO_GLOBAL[[#Headers],[PAF]])-2,0)*($G198-$H198)</f>
        <v>53.27</v>
      </c>
      <c r="AI198" s="22">
        <f>VLOOKUP($A198,tabCustoUnit[],COLUMN(CUSTO_GLOBAL[[#Headers],[PQM]])-2,0)*($G198-$H198)</f>
        <v>0</v>
      </c>
      <c r="AJ198" s="22">
        <v>0</v>
      </c>
      <c r="AK198" s="22">
        <f>VLOOKUP($A198,tabCustoUnit[],COLUMN(CUSTO_GLOBAL[[#Headers],[Seguro de Vida]])-2,0)*($G198-$H198)</f>
        <v>3.36</v>
      </c>
      <c r="AL198" s="22">
        <f>VLOOKUP($A198,tabCustoUnit[],COLUMN(CUSTO_GLOBAL[[#Headers],[Despesas de Viagem]])-2,0)*($G198-$H198)</f>
        <v>0</v>
      </c>
      <c r="AM198" s="22" t="e">
        <f ca="1">VLOOKUP($A198,tabCustoUnit[],COLUMN(CUSTO_GLOBAL[[#Headers],[Submódulo 2.3]])-2,0)*($G198-$H198)</f>
        <v>#NAME?</v>
      </c>
      <c r="AN198" s="22" t="e">
        <f ca="1">VLOOKUP($A198,tabCustoUnit[],COLUMN(CUSTO_GLOBAL[[#Headers],[MÓDULO 2 - Total Encargos e Benefícios mensais e diários]])-2,0)*($G198-$H198)</f>
        <v>#NAME?</v>
      </c>
      <c r="AO198" s="22">
        <f>VLOOKUP($A198,tabCustoUnit[],COLUMN(CUSTO_GLOBAL[[#Headers],[Aviso Prévio Indenizado (API) e Reflexo do Aviso Prévio Indenizado]])-2,0)*($G198-$H198)</f>
        <v>18.229021396469907</v>
      </c>
      <c r="AP198" s="22">
        <f>VLOOKUP($A198,tabCustoUnit[],COLUMN(CUSTO_GLOBAL[[#Headers],[Incidência do FGTS sobre API e Reflexo do API]])-2,0)*($G198-$H198)</f>
        <v>1.4583217117175926</v>
      </c>
      <c r="AQ198" s="22">
        <f>VLOOKUP($A198,tabCustoUnit[],COLUMN(CUSTO_GLOBAL[[#Headers],[Multa Rescisória do FGTS sobre o Aviso Prévio Indenizado]])-2,0)*($G198-$H198)</f>
        <v>0.58332868468703702</v>
      </c>
      <c r="AR198" s="22">
        <f>VLOOKUP($A198,tabCustoUnit[],COLUMN(CUSTO_GLOBAL[[#Headers],[Aviso Prévio Trabalhado - APT]])-2,0)*($G198-$H198)</f>
        <v>9.0992149500000004</v>
      </c>
      <c r="AS198" s="22">
        <f>VLOOKUP($A198,tabCustoUnit[],COLUMN(CUSTO_GLOBAL[[#Headers],[Incidência dos encargos do submódulo 2.1 sobre Aviso Prévio Trabalhado]])-2,0)*($G198-$H198)</f>
        <v>3.4395032511000005</v>
      </c>
      <c r="AT198" s="22">
        <f>VLOOKUP($A198,tabCustoUnit[],COLUMN(CUSTO_GLOBAL[[#Headers],[Multa Rescisória do FGTS]])-2,0)*($G198-$H198)</f>
        <v>79.495363626666645</v>
      </c>
      <c r="AU198" s="22">
        <f>VLOOKUP($A198,tabCustoUnit[],COLUMN(CUSTO_GLOBAL[[#Headers],[Indenização Adicional (Art. 9º da Lei nº 7.238/84)]])-2,0)*($G198-$H198)</f>
        <v>2.1664797499999997</v>
      </c>
      <c r="AV198" s="22">
        <f>VLOOKUP($A198,tabCustoUnit[],COLUMN(CUSTO_GLOBAL[[#Headers],[MÓDULO 3 – PROVISÃO PARA RESCISÃO]])-2,0)*($G198-$H198)</f>
        <v>114.47123337064117</v>
      </c>
      <c r="AW198" s="22">
        <f>VLOOKUP($A198,tabCustoUnit[],COLUMN(CUSTO_GLOBAL[[#Headers],[Ausência por Doença]])-2,0)*($G198-$H198)</f>
        <v>21.953661466666663</v>
      </c>
      <c r="AX198" s="22">
        <f>VLOOKUP($A198,tabCustoUnit[],COLUMN(CUSTO_GLOBAL[[#Headers],[Ausências Legais]])-2,0)*($G198-$H198)</f>
        <v>5.2717673916666659</v>
      </c>
      <c r="AY198" s="22">
        <f>VLOOKUP($A198,tabCustoUnit[],COLUMN(CUSTO_GLOBAL[[#Headers],[Licença Paternidade]])-2,0)*($G198-$H198)</f>
        <v>0.44412834874999996</v>
      </c>
      <c r="AZ198" s="22">
        <f>VLOOKUP($A198,tabCustoUnit[],COLUMN(CUSTO_GLOBAL[[#Headers],[Ausência por Acidente de Trabalho]])-2,0)*($G198-$H198)</f>
        <v>0.54161993749999993</v>
      </c>
      <c r="BA198" s="22">
        <f>VLOOKUP($A198,tabCustoUnit[],COLUMN(CUSTO_GLOBAL[[#Headers],[Férias, Adicional de Férias e 13º  com empregada em gozo de Licença Maternidade]])-2,0)*($G198-$H198)</f>
        <v>3.3700796111111107</v>
      </c>
      <c r="BB198" s="22">
        <f>VLOOKUP($A198,tabCustoUnit[],COLUMN(CUSTO_GLOBAL[[#Headers],[Incidência do Submódulo 2.1 sobre Ausências Legais]])-2,0)*($G198-$H198)</f>
        <v>11.9377150536525</v>
      </c>
      <c r="BC198" s="22">
        <f>VLOOKUP($A198,tabCustoUnit[],COLUMN(CUSTO_GLOBAL[[#Headers],[Submódulo 4.1]])-2,0)*($G198-$H198)</f>
        <v>43.518971809346937</v>
      </c>
      <c r="BD198" s="22">
        <f>VLOOKUP($A198,tabCustoUnit[],COLUMN(CUSTO_GLOBAL[[#Headers],[Intervalo para Repouso ou Alimentação]])-2,0)*($G198-$H198)</f>
        <v>0</v>
      </c>
      <c r="BE198" s="22">
        <f>VLOOKUP($A198,tabCustoUnit[],COLUMN(CUSTO_GLOBAL[[#Headers],[Submódulo 4.2]])-2,0)*($G198-$H198)</f>
        <v>0</v>
      </c>
      <c r="BF198" s="22">
        <f>VLOOKUP($A198,tabCustoUnit[],COLUMN(CUSTO_GLOBAL[[#Headers],[Suspensão Temporária do Contrato de Trabalho]])-2,0)*($G198-$H198)</f>
        <v>0</v>
      </c>
      <c r="BG198" s="22">
        <f>VLOOKUP($A198,tabCustoUnit[],COLUMN(CUSTO_GLOBAL[[#Headers],[Submódulo 4.3]])-2,0)*($G198-$H198)</f>
        <v>0</v>
      </c>
      <c r="BH198" s="22">
        <f>VLOOKUP($A198,tabCustoUnit[],COLUMN(CUSTO_GLOBAL[[#Headers],[MÓDULO 4 – CUSTO DE REPOSIÇÃO DO PROFISSIONAL AUSENTE]])-2,0)*($G198-$H198)</f>
        <v>43.518971809346937</v>
      </c>
      <c r="BI198" s="22">
        <f>VLOOKUP($A198,tabCustoUnit[],COLUMN(CUSTO_GLOBAL[[#Headers],[Uniformes e EPIs]])-2,0)*($G198-$H198)</f>
        <v>226.33322732312172</v>
      </c>
      <c r="BJ198" s="22">
        <f>VLOOKUP($A198,tabCustoUnit[],COLUMN(CUSTO_GLOBAL[[#Headers],[Materiais de Consumo]])-2,0)*($G198-$H198)</f>
        <v>441.81099462365592</v>
      </c>
      <c r="BK198" s="22">
        <f>VLOOKUP($A198,tabCustoUnit[],COLUMN(CUSTO_GLOBAL[[#Headers],[Máquinas e Equipamentos (depreciação)]])-2,0)*($G198-$H198)</f>
        <v>113.11309677419354</v>
      </c>
      <c r="BL198" s="22">
        <f>VLOOKUP($A198,tabCustoUnit[],COLUMN(CUSTO_GLOBAL[[#Headers],[Produtos de Limpeza e Materiais de Higiene Pessoal]])-2,0)*($G198-$H198)</f>
        <v>0</v>
      </c>
      <c r="BM198" s="22">
        <f>VLOOKUP($A198,tabCustoUnit[],COLUMN(CUSTO_GLOBAL[[#Headers],[Outros (especificar)]])-2,0)*($G198-$H198)</f>
        <v>0</v>
      </c>
      <c r="BN198" s="22">
        <f>VLOOKUP($A198,tabCustoUnit[],COLUMN(CUSTO_GLOBAL[[#Headers],[MÓDULO 5 – INSUMOS DIVERSOS]])-2,0)*($G198-$H198)</f>
        <v>781.25731872097117</v>
      </c>
      <c r="BO198" s="22" t="e">
        <f ca="1">VLOOKUP($A198,tabCustoUnit[],COLUMN(CUSTO_GLOBAL[[#Headers],[TOTAL MÓDULOS 1+2+3+4+5]])-2,0)*($G198-$H198)</f>
        <v>#NAME?</v>
      </c>
      <c r="BP198" s="22" t="e">
        <f ca="1">VLOOKUP($A198,tabCustoUnit[],COLUMN(CUSTO_GLOBAL[[#Headers],[Custos Indiretos]])-2,0)*($G198-$H198)</f>
        <v>#NAME?</v>
      </c>
      <c r="BQ198" s="22" t="e">
        <f ca="1">VLOOKUP($A198,tabCustoUnit[],COLUMN(CUSTO_GLOBAL[[#Headers],[Lucro]])-2,0)*($G198-$H198)</f>
        <v>#NAME?</v>
      </c>
      <c r="BR198" s="26">
        <f>VLOOKUP($A198,tabCustoUnit[],COLUMN(CUSTO_GLOBAL[[#Headers],[COFINS]])-2,0)</f>
        <v>8.8629737609329504E-2</v>
      </c>
      <c r="BS198" s="26">
        <f>VLOOKUP($A198,tabCustoUnit[],COLUMN(CUSTO_GLOBAL[[#Headers],[PIS]])-2,0)</f>
        <v>1.9241982507288629E-2</v>
      </c>
      <c r="BT198" s="28">
        <f>VLOOKUP($A198,tabCustoUnit[],COLUMN(CUSTO_GLOBAL[[#Headers],[ISS]])-2,0)</f>
        <v>0.05</v>
      </c>
      <c r="BU198" s="26">
        <f>VLOOKUP($A198,tabCustoUnit[],COLUMN(CUSTO_GLOBAL[[#Headers],[ISS (Conversão Alíquota s/ fatura)]])-2,0)</f>
        <v>5.8309037900874633E-2</v>
      </c>
      <c r="BV198" s="26">
        <f>VLOOKUP($A198,tabCustoUnit[],COLUMN(CUSTO_GLOBAL[[#Headers],[Resumo de Alíquotas (PIS+CONFINS+ISS)]])-2,0)</f>
        <v>0.14250000000000002</v>
      </c>
      <c r="BW198" s="138">
        <f>VLOOKUP($A198,tabCustoUnit[],COLUMN(CUSTO_GLOBAL[[#Headers],[PIS + COFINS + ISS (Total Conversão  Alíquota s/ Fatura)]])-2,0)</f>
        <v>0.16618075801749277</v>
      </c>
      <c r="BX198" s="22" t="e">
        <f ca="1">VLOOKUP($A198,tabCustoUnit[],COLUMN(CUSTO_GLOBAL[[#Headers],[Valor dos Tributos (ISS, PIS, CONFINS)]])-2,0)*($G198-$H198)</f>
        <v>#NAME?</v>
      </c>
      <c r="BY198" s="22" t="e">
        <f ca="1">VLOOKUP($A198,tabCustoUnit[],COLUMN(CUSTO_GLOBAL[[#Headers],[MÓDULO 6 – CUSTOS INDIRETOS, TRIBUTOS E LUCRO]])-2,0)*($G198-$H198)</f>
        <v>#NAME?</v>
      </c>
      <c r="BZ198" s="22" t="e">
        <f ca="1">VLOOKUP($A198,tabCustoUnit[],COLUMN(CUSTO_GLOBAL[[#Headers],[CUSTO TOTAL MENSAL]])-2,0)*($G198-$H198)</f>
        <v>#NAME?</v>
      </c>
      <c r="CA198" s="22" t="e">
        <f ca="1">CUSTO_GLOBAL[[#This Row],[CUSTO TOTAL MENSAL]]*12</f>
        <v>#NAME?</v>
      </c>
      <c r="CB198" s="24">
        <f>VLOOKUP($A198,tabCustoUnit[],COLUMN(CUSTO_GLOBAL[[#Headers],[ANO DA CCT]])-2,0)</f>
        <v>45658</v>
      </c>
      <c r="CC198" s="25" t="str">
        <f>VLOOKUP($A198,tabCustoUnit[],COLUMN(CUSTO_GLOBAL[[#Headers],[Nº DE PEDIDO DA CCT]])-2,0)</f>
        <v>-</v>
      </c>
      <c r="CD198" s="25" t="str">
        <f>VLOOKUP($A198,tabCustoUnit[],COLUMN(CUSTO_GLOBAL[[#Headers],[TERMO ADITIVO ALTERAÇÃO DA CCT]])-2,0)</f>
        <v>-</v>
      </c>
    </row>
    <row r="199" spans="1:82">
      <c r="A199" s="20" t="s">
        <v>1637</v>
      </c>
      <c r="B199" t="s">
        <v>1159</v>
      </c>
      <c r="C199" t="s">
        <v>1368</v>
      </c>
      <c r="D199" t="s">
        <v>961</v>
      </c>
      <c r="E199" s="20" t="s">
        <v>1090</v>
      </c>
      <c r="F199" s="20" t="s">
        <v>120</v>
      </c>
      <c r="G199" s="20">
        <v>1</v>
      </c>
      <c r="H199" s="20">
        <v>0</v>
      </c>
      <c r="I199" s="21">
        <f>VLOOKUP($A199,tabCustoUnit[],COLUMN(CUSTO_GLOBAL[[#Headers],[Salário Base]])-2,0)*($G199-$H199)</f>
        <v>2296.1756999999998</v>
      </c>
      <c r="J199" s="21">
        <f>VLOOKUP($A199,tabCustoUnit[],COLUMN(CUSTO_GLOBAL[[#Headers],[Adicional Periculosidade]])-2,0)*($G199-$H199)</f>
        <v>0</v>
      </c>
      <c r="K199" s="21">
        <f>VLOOKUP($A199,tabCustoUnit[],COLUMN(CUSTO_GLOBAL[[#Headers],[Adicional Insalubridade]])-2,0)*($G199-$H199)</f>
        <v>303.60000000000002</v>
      </c>
      <c r="L199" s="21">
        <f>VLOOKUP($A199,tabCustoUnit[],COLUMN(CUSTO_GLOBAL[[#Headers],[Adicional Noturno]])-2,0)*($G199-$H199)</f>
        <v>0</v>
      </c>
      <c r="M199" s="21">
        <f>VLOOKUP($A199,tabCustoUnit[],COLUMN(CUSTO_GLOBAL[[#Headers],[Adicional Motorista II (Gratificação)]])-2,0)*($G199-$H199)</f>
        <v>0</v>
      </c>
      <c r="N199" s="21">
        <f>VLOOKUP($A199,tabCustoUnit[],COLUMN(CUSTO_GLOBAL[[#Headers],[Adicional de Sobreaviso]])-2,0)*($G199-$H199)</f>
        <v>0</v>
      </c>
      <c r="O199" s="21">
        <f>VLOOKUP($A199,tabCustoUnit[],COLUMN(CUSTO_GLOBAL[[#Headers],[Horas Extras TI]])-2,0)*($G199-$H199)</f>
        <v>0</v>
      </c>
      <c r="P199" s="21">
        <f>VLOOKUP($A199,tabCustoUnit[],COLUMN(CUSTO_GLOBAL[[#Headers],[Adicional de Acúmulo de função]])-2,0)*($G199-$H199)</f>
        <v>0</v>
      </c>
      <c r="Q199" s="21">
        <f>VLOOKUP($A199,tabCustoUnit[],COLUMN(CUSTO_GLOBAL[[#Headers],[MODULO 1 - REMUNERAÇÃO ]])-2,0)*($G199-$H199)</f>
        <v>2599.7756999999997</v>
      </c>
      <c r="R199" s="21">
        <f>VLOOKUP($A199,tabCustoUnit[],COLUMN(CUSTO_GLOBAL[[#Headers],[INSS]])-2,0)*($G199-$H199)</f>
        <v>519.95513999999991</v>
      </c>
      <c r="S199" s="21">
        <f>VLOOKUP($A199,tabCustoUnit[],COLUMN(CUSTO_GLOBAL[[#Headers],[SESI OU SESC]])-2,0)*($G199-$H199)</f>
        <v>38.996635499999996</v>
      </c>
      <c r="T199" s="21">
        <f>VLOOKUP($A199,tabCustoUnit[],COLUMN(CUSTO_GLOBAL[[#Headers],[SENAI OU SENAC]])-2,0)*($G199-$H199)</f>
        <v>25.997756999999996</v>
      </c>
      <c r="U199" s="21">
        <f>VLOOKUP($A199,tabCustoUnit[],COLUMN(CUSTO_GLOBAL[[#Headers],[INCRA]])-2,0)*($G199-$H199)</f>
        <v>5.1995513999999998</v>
      </c>
      <c r="V199" s="21">
        <f>VLOOKUP($A199,tabCustoUnit[],COLUMN(CUSTO_GLOBAL[[#Headers],[Salário Educação]])-2,0)*($G199-$H199)</f>
        <v>64.994392499999989</v>
      </c>
      <c r="W199" s="21">
        <f>VLOOKUP($A199,tabCustoUnit[],COLUMN(CUSTO_GLOBAL[[#Headers],[FGTS]])-2,0)*($G199-$H199)</f>
        <v>207.98205599999997</v>
      </c>
      <c r="X199" s="21">
        <f>VLOOKUP($A199,tabCustoUnit[],COLUMN(CUSTO_GLOBAL[[#Headers],[RAT Ajustado]])-2,0)*($G199-$H199)</f>
        <v>103.99102799999999</v>
      </c>
      <c r="Y199" s="21">
        <f>VLOOKUP($A199,tabCustoUnit[],COLUMN(CUSTO_GLOBAL[[#Headers],[SEBRAE]])-2,0)*($G199-$H199)</f>
        <v>15.598654199999999</v>
      </c>
      <c r="Z199" s="21">
        <f>VLOOKUP($A199,tabCustoUnit[],COLUMN(CUSTO_GLOBAL[[#Headers],[Submódulo 2.1]])-2,0)*($G199-$H199)</f>
        <v>982.71521459999985</v>
      </c>
      <c r="AA199" s="21">
        <f>VLOOKUP($A199,tabCustoUnit[],COLUMN(CUSTO_GLOBAL[[#Headers],[13º salário (titular)]])-2,0)*($G199-$H199)</f>
        <v>216.64797499999997</v>
      </c>
      <c r="AB199" s="21">
        <f>VLOOKUP($A199,tabCustoUnit[],COLUMN(CUSTO_GLOBAL[[#Headers],[Férias e Adicional de Férias (titular)]])-2,0)*($G199-$H199)</f>
        <v>288.86396666666661</v>
      </c>
      <c r="AC199" s="21">
        <f>VLOOKUP($A199,tabCustoUnit[],COLUMN(CUSTO_GLOBAL[[#Headers],[Incidência do Submódulo 2.1 sobre 13º Salário, Férias e Adicional de Férias]])-2,0)*($G199-$H199)</f>
        <v>191.08351394999997</v>
      </c>
      <c r="AD199" s="21">
        <f>VLOOKUP($A199,tabCustoUnit[],COLUMN(CUSTO_GLOBAL[[#Headers],[Submódulo 2.2]])-2,0)*($G199-$H199)</f>
        <v>696.59545561666653</v>
      </c>
      <c r="AE199" s="22" t="e">
        <f ca="1">VLOOKUP($A199,tabCustoUnit[],COLUMN(CUSTO_GLOBAL[[#Headers],[Vale - Transporte (Descontada parcela do empregado)]])-2,0)*($G199-$H199)</f>
        <v>#NAME?</v>
      </c>
      <c r="AF199" s="22">
        <f>VLOOKUP($A199,tabCustoUnit[],COLUMN(CUSTO_GLOBAL[[#Headers],[Vale - Alimentação (Descontada parcela do empregado)]])-2,0)*($G199-$H199)</f>
        <v>582</v>
      </c>
      <c r="AG199" s="22">
        <f>VLOOKUP($A199,tabCustoUnit[],COLUMN(CUSTO_GLOBAL[[#Headers],[Cesta Básica]])-2,0)*($G199-$H199)</f>
        <v>0</v>
      </c>
      <c r="AH199" s="22">
        <f>VLOOKUP($A199,tabCustoUnit[],COLUMN(CUSTO_GLOBAL[[#Headers],[PAF]])-2,0)*($G199-$H199)</f>
        <v>53.27</v>
      </c>
      <c r="AI199" s="22">
        <f>VLOOKUP($A199,tabCustoUnit[],COLUMN(CUSTO_GLOBAL[[#Headers],[PQM]])-2,0)*($G199-$H199)</f>
        <v>0</v>
      </c>
      <c r="AJ199" s="22">
        <v>0</v>
      </c>
      <c r="AK199" s="22">
        <f>VLOOKUP($A199,tabCustoUnit[],COLUMN(CUSTO_GLOBAL[[#Headers],[Seguro de Vida]])-2,0)*($G199-$H199)</f>
        <v>3.36</v>
      </c>
      <c r="AL199" s="22">
        <f>VLOOKUP($A199,tabCustoUnit[],COLUMN(CUSTO_GLOBAL[[#Headers],[Despesas de Viagem]])-2,0)*($G199-$H199)</f>
        <v>0</v>
      </c>
      <c r="AM199" s="22" t="e">
        <f ca="1">VLOOKUP($A199,tabCustoUnit[],COLUMN(CUSTO_GLOBAL[[#Headers],[Submódulo 2.3]])-2,0)*($G199-$H199)</f>
        <v>#NAME?</v>
      </c>
      <c r="AN199" s="22" t="e">
        <f ca="1">VLOOKUP($A199,tabCustoUnit[],COLUMN(CUSTO_GLOBAL[[#Headers],[MÓDULO 2 - Total Encargos e Benefícios mensais e diários]])-2,0)*($G199-$H199)</f>
        <v>#NAME?</v>
      </c>
      <c r="AO199" s="22">
        <f>VLOOKUP($A199,tabCustoUnit[],COLUMN(CUSTO_GLOBAL[[#Headers],[Aviso Prévio Indenizado (API) e Reflexo do Aviso Prévio Indenizado]])-2,0)*($G199-$H199)</f>
        <v>18.229021396469907</v>
      </c>
      <c r="AP199" s="22">
        <f>VLOOKUP($A199,tabCustoUnit[],COLUMN(CUSTO_GLOBAL[[#Headers],[Incidência do FGTS sobre API e Reflexo do API]])-2,0)*($G199-$H199)</f>
        <v>1.4583217117175926</v>
      </c>
      <c r="AQ199" s="22">
        <f>VLOOKUP($A199,tabCustoUnit[],COLUMN(CUSTO_GLOBAL[[#Headers],[Multa Rescisória do FGTS sobre o Aviso Prévio Indenizado]])-2,0)*($G199-$H199)</f>
        <v>0.58332868468703702</v>
      </c>
      <c r="AR199" s="22">
        <f>VLOOKUP($A199,tabCustoUnit[],COLUMN(CUSTO_GLOBAL[[#Headers],[Aviso Prévio Trabalhado - APT]])-2,0)*($G199-$H199)</f>
        <v>9.0992149500000004</v>
      </c>
      <c r="AS199" s="22">
        <f>VLOOKUP($A199,tabCustoUnit[],COLUMN(CUSTO_GLOBAL[[#Headers],[Incidência dos encargos do submódulo 2.1 sobre Aviso Prévio Trabalhado]])-2,0)*($G199-$H199)</f>
        <v>3.4395032511000005</v>
      </c>
      <c r="AT199" s="22">
        <f>VLOOKUP($A199,tabCustoUnit[],COLUMN(CUSTO_GLOBAL[[#Headers],[Multa Rescisória do FGTS]])-2,0)*($G199-$H199)</f>
        <v>79.495363626666645</v>
      </c>
      <c r="AU199" s="22">
        <f>VLOOKUP($A199,tabCustoUnit[],COLUMN(CUSTO_GLOBAL[[#Headers],[Indenização Adicional (Art. 9º da Lei nº 7.238/84)]])-2,0)*($G199-$H199)</f>
        <v>2.1664797499999997</v>
      </c>
      <c r="AV199" s="22">
        <f>VLOOKUP($A199,tabCustoUnit[],COLUMN(CUSTO_GLOBAL[[#Headers],[MÓDULO 3 – PROVISÃO PARA RESCISÃO]])-2,0)*($G199-$H199)</f>
        <v>114.47123337064117</v>
      </c>
      <c r="AW199" s="22">
        <f>VLOOKUP($A199,tabCustoUnit[],COLUMN(CUSTO_GLOBAL[[#Headers],[Ausência por Doença]])-2,0)*($G199-$H199)</f>
        <v>21.953661466666663</v>
      </c>
      <c r="AX199" s="22">
        <f>VLOOKUP($A199,tabCustoUnit[],COLUMN(CUSTO_GLOBAL[[#Headers],[Ausências Legais]])-2,0)*($G199-$H199)</f>
        <v>5.2717673916666659</v>
      </c>
      <c r="AY199" s="22">
        <f>VLOOKUP($A199,tabCustoUnit[],COLUMN(CUSTO_GLOBAL[[#Headers],[Licença Paternidade]])-2,0)*($G199-$H199)</f>
        <v>0.44412834874999996</v>
      </c>
      <c r="AZ199" s="22">
        <f>VLOOKUP($A199,tabCustoUnit[],COLUMN(CUSTO_GLOBAL[[#Headers],[Ausência por Acidente de Trabalho]])-2,0)*($G199-$H199)</f>
        <v>0.54161993749999993</v>
      </c>
      <c r="BA199" s="22">
        <f>VLOOKUP($A199,tabCustoUnit[],COLUMN(CUSTO_GLOBAL[[#Headers],[Férias, Adicional de Férias e 13º  com empregada em gozo de Licença Maternidade]])-2,0)*($G199-$H199)</f>
        <v>3.3700796111111107</v>
      </c>
      <c r="BB199" s="22">
        <f>VLOOKUP($A199,tabCustoUnit[],COLUMN(CUSTO_GLOBAL[[#Headers],[Incidência do Submódulo 2.1 sobre Ausências Legais]])-2,0)*($G199-$H199)</f>
        <v>11.9377150536525</v>
      </c>
      <c r="BC199" s="22">
        <f>VLOOKUP($A199,tabCustoUnit[],COLUMN(CUSTO_GLOBAL[[#Headers],[Submódulo 4.1]])-2,0)*($G199-$H199)</f>
        <v>43.518971809346937</v>
      </c>
      <c r="BD199" s="22">
        <f>VLOOKUP($A199,tabCustoUnit[],COLUMN(CUSTO_GLOBAL[[#Headers],[Intervalo para Repouso ou Alimentação]])-2,0)*($G199-$H199)</f>
        <v>0</v>
      </c>
      <c r="BE199" s="22">
        <f>VLOOKUP($A199,tabCustoUnit[],COLUMN(CUSTO_GLOBAL[[#Headers],[Submódulo 4.2]])-2,0)*($G199-$H199)</f>
        <v>0</v>
      </c>
      <c r="BF199" s="22">
        <f>VLOOKUP($A199,tabCustoUnit[],COLUMN(CUSTO_GLOBAL[[#Headers],[Suspensão Temporária do Contrato de Trabalho]])-2,0)*($G199-$H199)</f>
        <v>0</v>
      </c>
      <c r="BG199" s="22">
        <f>VLOOKUP($A199,tabCustoUnit[],COLUMN(CUSTO_GLOBAL[[#Headers],[Submódulo 4.3]])-2,0)*($G199-$H199)</f>
        <v>0</v>
      </c>
      <c r="BH199" s="22">
        <f>VLOOKUP($A199,tabCustoUnit[],COLUMN(CUSTO_GLOBAL[[#Headers],[MÓDULO 4 – CUSTO DE REPOSIÇÃO DO PROFISSIONAL AUSENTE]])-2,0)*($G199-$H199)</f>
        <v>43.518971809346937</v>
      </c>
      <c r="BI199" s="22">
        <f>VLOOKUP($A199,tabCustoUnit[],COLUMN(CUSTO_GLOBAL[[#Headers],[Uniformes e EPIs]])-2,0)*($G199-$H199)</f>
        <v>196.62072732312174</v>
      </c>
      <c r="BJ199" s="22">
        <f>VLOOKUP($A199,tabCustoUnit[],COLUMN(CUSTO_GLOBAL[[#Headers],[Materiais de Consumo]])-2,0)*($G199-$H199)</f>
        <v>441.81099462365592</v>
      </c>
      <c r="BK199" s="22">
        <f>VLOOKUP($A199,tabCustoUnit[],COLUMN(CUSTO_GLOBAL[[#Headers],[Máquinas e Equipamentos (depreciação)]])-2,0)*($G199-$H199)</f>
        <v>113.11309677419354</v>
      </c>
      <c r="BL199" s="22">
        <f>VLOOKUP($A199,tabCustoUnit[],COLUMN(CUSTO_GLOBAL[[#Headers],[Produtos de Limpeza e Materiais de Higiene Pessoal]])-2,0)*($G199-$H199)</f>
        <v>0</v>
      </c>
      <c r="BM199" s="22">
        <f>VLOOKUP($A199,tabCustoUnit[],COLUMN(CUSTO_GLOBAL[[#Headers],[Outros (especificar)]])-2,0)*($G199-$H199)</f>
        <v>0</v>
      </c>
      <c r="BN199" s="22">
        <f>VLOOKUP($A199,tabCustoUnit[],COLUMN(CUSTO_GLOBAL[[#Headers],[MÓDULO 5 – INSUMOS DIVERSOS]])-2,0)*($G199-$H199)</f>
        <v>751.54481872097119</v>
      </c>
      <c r="BO199" s="22" t="e">
        <f ca="1">VLOOKUP($A199,tabCustoUnit[],COLUMN(CUSTO_GLOBAL[[#Headers],[TOTAL MÓDULOS 1+2+3+4+5]])-2,0)*($G199-$H199)</f>
        <v>#NAME?</v>
      </c>
      <c r="BP199" s="22" t="e">
        <f ca="1">VLOOKUP($A199,tabCustoUnit[],COLUMN(CUSTO_GLOBAL[[#Headers],[Custos Indiretos]])-2,0)*($G199-$H199)</f>
        <v>#NAME?</v>
      </c>
      <c r="BQ199" s="22" t="e">
        <f ca="1">VLOOKUP($A199,tabCustoUnit[],COLUMN(CUSTO_GLOBAL[[#Headers],[Lucro]])-2,0)*($G199-$H199)</f>
        <v>#NAME?</v>
      </c>
      <c r="BR199" s="26">
        <f>VLOOKUP($A199,tabCustoUnit[],COLUMN(CUSTO_GLOBAL[[#Headers],[COFINS]])-2,0)</f>
        <v>8.8629737609329504E-2</v>
      </c>
      <c r="BS199" s="26">
        <f>VLOOKUP($A199,tabCustoUnit[],COLUMN(CUSTO_GLOBAL[[#Headers],[PIS]])-2,0)</f>
        <v>1.9241982507288629E-2</v>
      </c>
      <c r="BT199" s="28">
        <f>VLOOKUP($A199,tabCustoUnit[],COLUMN(CUSTO_GLOBAL[[#Headers],[ISS]])-2,0)</f>
        <v>0.05</v>
      </c>
      <c r="BU199" s="26">
        <f>VLOOKUP($A199,tabCustoUnit[],COLUMN(CUSTO_GLOBAL[[#Headers],[ISS (Conversão Alíquota s/ fatura)]])-2,0)</f>
        <v>5.8309037900874633E-2</v>
      </c>
      <c r="BV199" s="26">
        <f>VLOOKUP($A199,tabCustoUnit[],COLUMN(CUSTO_GLOBAL[[#Headers],[Resumo de Alíquotas (PIS+CONFINS+ISS)]])-2,0)</f>
        <v>0.14250000000000002</v>
      </c>
      <c r="BW199" s="138">
        <f>VLOOKUP($A199,tabCustoUnit[],COLUMN(CUSTO_GLOBAL[[#Headers],[PIS + COFINS + ISS (Total Conversão  Alíquota s/ Fatura)]])-2,0)</f>
        <v>0.16618075801749277</v>
      </c>
      <c r="BX199" s="22" t="e">
        <f ca="1">VLOOKUP($A199,tabCustoUnit[],COLUMN(CUSTO_GLOBAL[[#Headers],[Valor dos Tributos (ISS, PIS, CONFINS)]])-2,0)*($G199-$H199)</f>
        <v>#NAME?</v>
      </c>
      <c r="BY199" s="22" t="e">
        <f ca="1">VLOOKUP($A199,tabCustoUnit[],COLUMN(CUSTO_GLOBAL[[#Headers],[MÓDULO 6 – CUSTOS INDIRETOS, TRIBUTOS E LUCRO]])-2,0)*($G199-$H199)</f>
        <v>#NAME?</v>
      </c>
      <c r="BZ199" s="22" t="e">
        <f ca="1">VLOOKUP($A199,tabCustoUnit[],COLUMN(CUSTO_GLOBAL[[#Headers],[CUSTO TOTAL MENSAL]])-2,0)*($G199-$H199)</f>
        <v>#NAME?</v>
      </c>
      <c r="CA199" s="22" t="e">
        <f ca="1">CUSTO_GLOBAL[[#This Row],[CUSTO TOTAL MENSAL]]*12</f>
        <v>#NAME?</v>
      </c>
      <c r="CB199" s="24">
        <f>VLOOKUP($A199,tabCustoUnit[],COLUMN(CUSTO_GLOBAL[[#Headers],[ANO DA CCT]])-2,0)</f>
        <v>45658</v>
      </c>
      <c r="CC199" s="25" t="str">
        <f>VLOOKUP($A199,tabCustoUnit[],COLUMN(CUSTO_GLOBAL[[#Headers],[Nº DE PEDIDO DA CCT]])-2,0)</f>
        <v>-</v>
      </c>
      <c r="CD199" s="25" t="str">
        <f>VLOOKUP($A199,tabCustoUnit[],COLUMN(CUSTO_GLOBAL[[#Headers],[TERMO ADITIVO ALTERAÇÃO DA CCT]])-2,0)</f>
        <v>-</v>
      </c>
    </row>
    <row r="200" spans="1:82">
      <c r="A200" s="20" t="s">
        <v>1638</v>
      </c>
      <c r="B200" t="s">
        <v>1159</v>
      </c>
      <c r="C200" t="s">
        <v>274</v>
      </c>
      <c r="D200" t="s">
        <v>999</v>
      </c>
      <c r="E200" s="20" t="s">
        <v>1090</v>
      </c>
      <c r="F200" s="20" t="s">
        <v>120</v>
      </c>
      <c r="G200" s="20">
        <v>1</v>
      </c>
      <c r="H200" s="20">
        <v>0</v>
      </c>
      <c r="I200" s="21">
        <f>VLOOKUP($A200,tabCustoUnit[],COLUMN(CUSTO_GLOBAL[[#Headers],[Salário Base]])-2,0)*($G200-$H200)</f>
        <v>4599.5983999999999</v>
      </c>
      <c r="J200" s="21">
        <f>VLOOKUP($A200,tabCustoUnit[],COLUMN(CUSTO_GLOBAL[[#Headers],[Adicional Periculosidade]])-2,0)*($G200-$H200)</f>
        <v>0</v>
      </c>
      <c r="K200" s="21">
        <f>VLOOKUP($A200,tabCustoUnit[],COLUMN(CUSTO_GLOBAL[[#Headers],[Adicional Insalubridade]])-2,0)*($G200-$H200)</f>
        <v>0</v>
      </c>
      <c r="L200" s="21">
        <f>VLOOKUP($A200,tabCustoUnit[],COLUMN(CUSTO_GLOBAL[[#Headers],[Adicional Noturno]])-2,0)*($G200-$H200)</f>
        <v>0</v>
      </c>
      <c r="M200" s="21">
        <f>VLOOKUP($A200,tabCustoUnit[],COLUMN(CUSTO_GLOBAL[[#Headers],[Adicional Motorista II (Gratificação)]])-2,0)*($G200-$H200)</f>
        <v>0</v>
      </c>
      <c r="N200" s="21">
        <f>VLOOKUP($A200,tabCustoUnit[],COLUMN(CUSTO_GLOBAL[[#Headers],[Adicional de Sobreaviso]])-2,0)*($G200-$H200)</f>
        <v>0</v>
      </c>
      <c r="O200" s="21">
        <f>VLOOKUP($A200,tabCustoUnit[],COLUMN(CUSTO_GLOBAL[[#Headers],[Horas Extras TI]])-2,0)*($G200-$H200)</f>
        <v>0</v>
      </c>
      <c r="P200" s="21">
        <f>VLOOKUP($A200,tabCustoUnit[],COLUMN(CUSTO_GLOBAL[[#Headers],[Adicional de Acúmulo de função]])-2,0)*($G200-$H200)</f>
        <v>0</v>
      </c>
      <c r="Q200" s="21">
        <f>VLOOKUP($A200,tabCustoUnit[],COLUMN(CUSTO_GLOBAL[[#Headers],[MODULO 1 - REMUNERAÇÃO ]])-2,0)*($G200-$H200)</f>
        <v>4599.5983999999999</v>
      </c>
      <c r="R200" s="21">
        <f>VLOOKUP($A200,tabCustoUnit[],COLUMN(CUSTO_GLOBAL[[#Headers],[INSS]])-2,0)*($G200-$H200)</f>
        <v>919.91967999999997</v>
      </c>
      <c r="S200" s="21">
        <f>VLOOKUP($A200,tabCustoUnit[],COLUMN(CUSTO_GLOBAL[[#Headers],[SESI OU SESC]])-2,0)*($G200-$H200)</f>
        <v>68.993975999999989</v>
      </c>
      <c r="T200" s="21">
        <f>VLOOKUP($A200,tabCustoUnit[],COLUMN(CUSTO_GLOBAL[[#Headers],[SENAI OU SENAC]])-2,0)*($G200-$H200)</f>
        <v>45.995984</v>
      </c>
      <c r="U200" s="21">
        <f>VLOOKUP($A200,tabCustoUnit[],COLUMN(CUSTO_GLOBAL[[#Headers],[INCRA]])-2,0)*($G200-$H200)</f>
        <v>9.1991967999999993</v>
      </c>
      <c r="V200" s="21">
        <f>VLOOKUP($A200,tabCustoUnit[],COLUMN(CUSTO_GLOBAL[[#Headers],[Salário Educação]])-2,0)*($G200-$H200)</f>
        <v>114.98996</v>
      </c>
      <c r="W200" s="21">
        <f>VLOOKUP($A200,tabCustoUnit[],COLUMN(CUSTO_GLOBAL[[#Headers],[FGTS]])-2,0)*($G200-$H200)</f>
        <v>367.967872</v>
      </c>
      <c r="X200" s="21">
        <f>VLOOKUP($A200,tabCustoUnit[],COLUMN(CUSTO_GLOBAL[[#Headers],[RAT Ajustado]])-2,0)*($G200-$H200)</f>
        <v>183.983936</v>
      </c>
      <c r="Y200" s="21">
        <f>VLOOKUP($A200,tabCustoUnit[],COLUMN(CUSTO_GLOBAL[[#Headers],[SEBRAE]])-2,0)*($G200-$H200)</f>
        <v>27.597590400000001</v>
      </c>
      <c r="Z200" s="21">
        <f>VLOOKUP($A200,tabCustoUnit[],COLUMN(CUSTO_GLOBAL[[#Headers],[Submódulo 2.1]])-2,0)*($G200-$H200)</f>
        <v>1738.6481951999999</v>
      </c>
      <c r="AA200" s="21">
        <f>VLOOKUP($A200,tabCustoUnit[],COLUMN(CUSTO_GLOBAL[[#Headers],[13º salário (titular)]])-2,0)*($G200-$H200)</f>
        <v>383.29986666666662</v>
      </c>
      <c r="AB200" s="21">
        <f>VLOOKUP($A200,tabCustoUnit[],COLUMN(CUSTO_GLOBAL[[#Headers],[Férias e Adicional de Férias (titular)]])-2,0)*($G200-$H200)</f>
        <v>511.06648888888884</v>
      </c>
      <c r="AC200" s="21">
        <f>VLOOKUP($A200,tabCustoUnit[],COLUMN(CUSTO_GLOBAL[[#Headers],[Incidência do Submódulo 2.1 sobre 13º Salário, Férias e Adicional de Férias]])-2,0)*($G200-$H200)</f>
        <v>338.07048239999995</v>
      </c>
      <c r="AD200" s="21">
        <f>VLOOKUP($A200,tabCustoUnit[],COLUMN(CUSTO_GLOBAL[[#Headers],[Submódulo 2.2]])-2,0)*($G200-$H200)</f>
        <v>1232.4368379555553</v>
      </c>
      <c r="AE200" s="22" t="e">
        <f ca="1">VLOOKUP($A200,tabCustoUnit[],COLUMN(CUSTO_GLOBAL[[#Headers],[Vale - Transporte (Descontada parcela do empregado)]])-2,0)*($G200-$H200)</f>
        <v>#NAME?</v>
      </c>
      <c r="AF200" s="22">
        <f>VLOOKUP($A200,tabCustoUnit[],COLUMN(CUSTO_GLOBAL[[#Headers],[Vale - Alimentação (Descontada parcela do empregado)]])-2,0)*($G200-$H200)</f>
        <v>578.4</v>
      </c>
      <c r="AG200" s="22">
        <f>VLOOKUP($A200,tabCustoUnit[],COLUMN(CUSTO_GLOBAL[[#Headers],[Cesta Básica]])-2,0)*($G200-$H200)</f>
        <v>0</v>
      </c>
      <c r="AH200" s="22">
        <f>VLOOKUP($A200,tabCustoUnit[],COLUMN(CUSTO_GLOBAL[[#Headers],[PAF]])-2,0)*($G200-$H200)</f>
        <v>0</v>
      </c>
      <c r="AI200" s="22">
        <f>VLOOKUP($A200,tabCustoUnit[],COLUMN(CUSTO_GLOBAL[[#Headers],[PQM]])-2,0)*($G200-$H200)</f>
        <v>0</v>
      </c>
      <c r="AJ200" s="22">
        <v>0</v>
      </c>
      <c r="AK200" s="22">
        <f>VLOOKUP($A200,tabCustoUnit[],COLUMN(CUSTO_GLOBAL[[#Headers],[Seguro de Vida]])-2,0)*($G200-$H200)</f>
        <v>3.36</v>
      </c>
      <c r="AL200" s="22">
        <f>VLOOKUP($A200,tabCustoUnit[],COLUMN(CUSTO_GLOBAL[[#Headers],[Despesas de Viagem]])-2,0)*($G200-$H200)</f>
        <v>662.42</v>
      </c>
      <c r="AM200" s="22" t="e">
        <f ca="1">VLOOKUP($A200,tabCustoUnit[],COLUMN(CUSTO_GLOBAL[[#Headers],[Submódulo 2.3]])-2,0)*($G200-$H200)</f>
        <v>#NAME?</v>
      </c>
      <c r="AN200" s="22" t="e">
        <f ca="1">VLOOKUP($A200,tabCustoUnit[],COLUMN(CUSTO_GLOBAL[[#Headers],[MÓDULO 2 - Total Encargos e Benefícios mensais e diários]])-2,0)*($G200-$H200)</f>
        <v>#NAME?</v>
      </c>
      <c r="AO200" s="22">
        <f>VLOOKUP($A200,tabCustoUnit[],COLUMN(CUSTO_GLOBAL[[#Headers],[Aviso Prévio Indenizado (API) e Reflexo do Aviso Prévio Indenizado]])-2,0)*($G200-$H200)</f>
        <v>32.25131216080247</v>
      </c>
      <c r="AP200" s="22">
        <f>VLOOKUP($A200,tabCustoUnit[],COLUMN(CUSTO_GLOBAL[[#Headers],[Incidência do FGTS sobre API e Reflexo do API]])-2,0)*($G200-$H200)</f>
        <v>2.5801049728641976</v>
      </c>
      <c r="AQ200" s="22">
        <f>VLOOKUP($A200,tabCustoUnit[],COLUMN(CUSTO_GLOBAL[[#Headers],[Multa Rescisória do FGTS sobre o Aviso Prévio Indenizado]])-2,0)*($G200-$H200)</f>
        <v>1.0320419891456791</v>
      </c>
      <c r="AR200" s="22">
        <f>VLOOKUP($A200,tabCustoUnit[],COLUMN(CUSTO_GLOBAL[[#Headers],[Aviso Prévio Trabalhado - APT]])-2,0)*($G200-$H200)</f>
        <v>16.098594400000003</v>
      </c>
      <c r="AS200" s="22">
        <f>VLOOKUP($A200,tabCustoUnit[],COLUMN(CUSTO_GLOBAL[[#Headers],[Incidência dos encargos do submódulo 2.1 sobre Aviso Prévio Trabalhado]])-2,0)*($G200-$H200)</f>
        <v>6.0852686832000016</v>
      </c>
      <c r="AT200" s="22">
        <f>VLOOKUP($A200,tabCustoUnit[],COLUMN(CUSTO_GLOBAL[[#Headers],[Multa Rescisória do FGTS]])-2,0)*($G200-$H200)</f>
        <v>140.6454977422222</v>
      </c>
      <c r="AU200" s="22">
        <f>VLOOKUP($A200,tabCustoUnit[],COLUMN(CUSTO_GLOBAL[[#Headers],[Indenização Adicional (Art. 9º da Lei nº 7.238/84)]])-2,0)*($G200-$H200)</f>
        <v>3.8329986666666667</v>
      </c>
      <c r="AV200" s="22">
        <f>VLOOKUP($A200,tabCustoUnit[],COLUMN(CUSTO_GLOBAL[[#Headers],[MÓDULO 3 – PROVISÃO PARA RESCISÃO]])-2,0)*($G200-$H200)</f>
        <v>202.52581861490123</v>
      </c>
      <c r="AW200" s="22">
        <f>VLOOKUP($A200,tabCustoUnit[],COLUMN(CUSTO_GLOBAL[[#Headers],[Ausência por Doença]])-2,0)*($G200-$H200)</f>
        <v>38.841053155555549</v>
      </c>
      <c r="AX200" s="22">
        <f>VLOOKUP($A200,tabCustoUnit[],COLUMN(CUSTO_GLOBAL[[#Headers],[Ausências Legais]])-2,0)*($G200-$H200)</f>
        <v>9.3269634222222209</v>
      </c>
      <c r="AY200" s="22">
        <f>VLOOKUP($A200,tabCustoUnit[],COLUMN(CUSTO_GLOBAL[[#Headers],[Licença Paternidade]])-2,0)*($G200-$H200)</f>
        <v>0.78576472666666664</v>
      </c>
      <c r="AZ200" s="22">
        <f>VLOOKUP($A200,tabCustoUnit[],COLUMN(CUSTO_GLOBAL[[#Headers],[Ausência por Acidente de Trabalho]])-2,0)*($G200-$H200)</f>
        <v>0.95824966666666667</v>
      </c>
      <c r="BA200" s="22">
        <f>VLOOKUP($A200,tabCustoUnit[],COLUMN(CUSTO_GLOBAL[[#Headers],[Férias, Adicional de Férias e 13º  com empregada em gozo de Licença Maternidade]])-2,0)*($G200-$H200)</f>
        <v>5.9624423703703702</v>
      </c>
      <c r="BB200" s="22">
        <f>VLOOKUP($A200,tabCustoUnit[],COLUMN(CUSTO_GLOBAL[[#Headers],[Incidência do Submódulo 2.1 sobre Ausências Legais]])-2,0)*($G200-$H200)</f>
        <v>21.120550923080003</v>
      </c>
      <c r="BC200" s="22">
        <f>VLOOKUP($A200,tabCustoUnit[],COLUMN(CUSTO_GLOBAL[[#Headers],[Submódulo 4.1]])-2,0)*($G200-$H200)</f>
        <v>76.995024264561465</v>
      </c>
      <c r="BD200" s="22">
        <f>VLOOKUP($A200,tabCustoUnit[],COLUMN(CUSTO_GLOBAL[[#Headers],[Intervalo para Repouso ou Alimentação]])-2,0)*($G200-$H200)</f>
        <v>0</v>
      </c>
      <c r="BE200" s="22">
        <f>VLOOKUP($A200,tabCustoUnit[],COLUMN(CUSTO_GLOBAL[[#Headers],[Submódulo 4.2]])-2,0)*($G200-$H200)</f>
        <v>0</v>
      </c>
      <c r="BF200" s="22">
        <f>VLOOKUP($A200,tabCustoUnit[],COLUMN(CUSTO_GLOBAL[[#Headers],[Suspensão Temporária do Contrato de Trabalho]])-2,0)*($G200-$H200)</f>
        <v>0</v>
      </c>
      <c r="BG200" s="22">
        <f>VLOOKUP($A200,tabCustoUnit[],COLUMN(CUSTO_GLOBAL[[#Headers],[Submódulo 4.3]])-2,0)*($G200-$H200)</f>
        <v>0</v>
      </c>
      <c r="BH200" s="22">
        <f>VLOOKUP($A200,tabCustoUnit[],COLUMN(CUSTO_GLOBAL[[#Headers],[MÓDULO 4 – CUSTO DE REPOSIÇÃO DO PROFISSIONAL AUSENTE]])-2,0)*($G200-$H200)</f>
        <v>76.995024264561465</v>
      </c>
      <c r="BI200" s="22">
        <f>VLOOKUP($A200,tabCustoUnit[],COLUMN(CUSTO_GLOBAL[[#Headers],[Uniformes e EPIs]])-2,0)*($G200-$H200)</f>
        <v>92.100763771570698</v>
      </c>
      <c r="BJ200" s="22">
        <f>VLOOKUP($A200,tabCustoUnit[],COLUMN(CUSTO_GLOBAL[[#Headers],[Materiais de Consumo]])-2,0)*($G200-$H200)</f>
        <v>0</v>
      </c>
      <c r="BK200" s="22">
        <f>VLOOKUP($A200,tabCustoUnit[],COLUMN(CUSTO_GLOBAL[[#Headers],[Máquinas e Equipamentos (depreciação)]])-2,0)*($G200-$H200)</f>
        <v>0</v>
      </c>
      <c r="BL200" s="22">
        <f>VLOOKUP($A200,tabCustoUnit[],COLUMN(CUSTO_GLOBAL[[#Headers],[Produtos de Limpeza e Materiais de Higiene Pessoal]])-2,0)*($G200-$H200)</f>
        <v>0</v>
      </c>
      <c r="BM200" s="22">
        <f>VLOOKUP($A200,tabCustoUnit[],COLUMN(CUSTO_GLOBAL[[#Headers],[Outros (especificar)]])-2,0)*($G200-$H200)</f>
        <v>0</v>
      </c>
      <c r="BN200" s="22">
        <f>VLOOKUP($A200,tabCustoUnit[],COLUMN(CUSTO_GLOBAL[[#Headers],[MÓDULO 5 – INSUMOS DIVERSOS]])-2,0)*($G200-$H200)</f>
        <v>92.100763771570698</v>
      </c>
      <c r="BO200" s="22" t="e">
        <f ca="1">VLOOKUP($A200,tabCustoUnit[],COLUMN(CUSTO_GLOBAL[[#Headers],[TOTAL MÓDULOS 1+2+3+4+5]])-2,0)*($G200-$H200)</f>
        <v>#NAME?</v>
      </c>
      <c r="BP200" s="22" t="e">
        <f ca="1">VLOOKUP($A200,tabCustoUnit[],COLUMN(CUSTO_GLOBAL[[#Headers],[Custos Indiretos]])-2,0)*($G200-$H200)</f>
        <v>#NAME?</v>
      </c>
      <c r="BQ200" s="22" t="e">
        <f ca="1">VLOOKUP($A200,tabCustoUnit[],COLUMN(CUSTO_GLOBAL[[#Headers],[Lucro]])-2,0)*($G200-$H200)</f>
        <v>#NAME?</v>
      </c>
      <c r="BR200" s="26">
        <f>VLOOKUP($A200,tabCustoUnit[],COLUMN(CUSTO_GLOBAL[[#Headers],[COFINS]])-2,0)</f>
        <v>8.8629737609329504E-2</v>
      </c>
      <c r="BS200" s="26">
        <f>VLOOKUP($A200,tabCustoUnit[],COLUMN(CUSTO_GLOBAL[[#Headers],[PIS]])-2,0)</f>
        <v>1.9241982507288629E-2</v>
      </c>
      <c r="BT200" s="28">
        <f>VLOOKUP($A200,tabCustoUnit[],COLUMN(CUSTO_GLOBAL[[#Headers],[ISS]])-2,0)</f>
        <v>0.05</v>
      </c>
      <c r="BU200" s="26">
        <f>VLOOKUP($A200,tabCustoUnit[],COLUMN(CUSTO_GLOBAL[[#Headers],[ISS (Conversão Alíquota s/ fatura)]])-2,0)</f>
        <v>5.8309037900874633E-2</v>
      </c>
      <c r="BV200" s="26">
        <f>VLOOKUP($A200,tabCustoUnit[],COLUMN(CUSTO_GLOBAL[[#Headers],[Resumo de Alíquotas (PIS+CONFINS+ISS)]])-2,0)</f>
        <v>0.14250000000000002</v>
      </c>
      <c r="BW200" s="138">
        <f>VLOOKUP($A200,tabCustoUnit[],COLUMN(CUSTO_GLOBAL[[#Headers],[PIS + COFINS + ISS (Total Conversão  Alíquota s/ Fatura)]])-2,0)</f>
        <v>0.16618075801749277</v>
      </c>
      <c r="BX200" s="22" t="e">
        <f ca="1">VLOOKUP($A200,tabCustoUnit[],COLUMN(CUSTO_GLOBAL[[#Headers],[Valor dos Tributos (ISS, PIS, CONFINS)]])-2,0)*($G200-$H200)</f>
        <v>#NAME?</v>
      </c>
      <c r="BY200" s="22" t="e">
        <f ca="1">VLOOKUP($A200,tabCustoUnit[],COLUMN(CUSTO_GLOBAL[[#Headers],[MÓDULO 6 – CUSTOS INDIRETOS, TRIBUTOS E LUCRO]])-2,0)*($G200-$H200)</f>
        <v>#NAME?</v>
      </c>
      <c r="BZ200" s="22" t="e">
        <f ca="1">VLOOKUP($A200,tabCustoUnit[],COLUMN(CUSTO_GLOBAL[[#Headers],[CUSTO TOTAL MENSAL]])-2,0)*($G200-$H200)</f>
        <v>#NAME?</v>
      </c>
      <c r="CA200" s="22" t="e">
        <f ca="1">CUSTO_GLOBAL[[#This Row],[CUSTO TOTAL MENSAL]]*12</f>
        <v>#NAME?</v>
      </c>
      <c r="CB200" s="24">
        <f>VLOOKUP($A200,tabCustoUnit[],COLUMN(CUSTO_GLOBAL[[#Headers],[ANO DA CCT]])-2,0)</f>
        <v>45658</v>
      </c>
      <c r="CC200" s="25" t="str">
        <f>VLOOKUP($A200,tabCustoUnit[],COLUMN(CUSTO_GLOBAL[[#Headers],[Nº DE PEDIDO DA CCT]])-2,0)</f>
        <v>-</v>
      </c>
      <c r="CD200" s="25" t="str">
        <f>VLOOKUP($A200,tabCustoUnit[],COLUMN(CUSTO_GLOBAL[[#Headers],[TERMO ADITIVO ALTERAÇÃO DA CCT]])-2,0)</f>
        <v>-</v>
      </c>
    </row>
    <row r="201" spans="1:82">
      <c r="A201" s="20" t="s">
        <v>1488</v>
      </c>
      <c r="B201" t="s">
        <v>1159</v>
      </c>
      <c r="C201" t="s">
        <v>314</v>
      </c>
      <c r="D201" t="s">
        <v>961</v>
      </c>
      <c r="E201" s="20" t="s">
        <v>1090</v>
      </c>
      <c r="F201" s="20" t="s">
        <v>120</v>
      </c>
      <c r="G201" s="20">
        <v>1</v>
      </c>
      <c r="H201" s="20">
        <v>0</v>
      </c>
      <c r="I201" s="21">
        <f>VLOOKUP($A201,tabCustoUnit[],COLUMN(CUSTO_GLOBAL[[#Headers],[Salário Base]])-2,0)*($G201-$H201)</f>
        <v>1963.405</v>
      </c>
      <c r="J201" s="21">
        <f>VLOOKUP($A201,tabCustoUnit[],COLUMN(CUSTO_GLOBAL[[#Headers],[Adicional Periculosidade]])-2,0)*($G201-$H201)</f>
        <v>0</v>
      </c>
      <c r="K201" s="21">
        <f>VLOOKUP($A201,tabCustoUnit[],COLUMN(CUSTO_GLOBAL[[#Headers],[Adicional Insalubridade]])-2,0)*($G201-$H201)</f>
        <v>0</v>
      </c>
      <c r="L201" s="21">
        <f>VLOOKUP($A201,tabCustoUnit[],COLUMN(CUSTO_GLOBAL[[#Headers],[Adicional Noturno]])-2,0)*($G201-$H201)</f>
        <v>0</v>
      </c>
      <c r="M201" s="21">
        <f>VLOOKUP($A201,tabCustoUnit[],COLUMN(CUSTO_GLOBAL[[#Headers],[Adicional Motorista II (Gratificação)]])-2,0)*($G201-$H201)</f>
        <v>0</v>
      </c>
      <c r="N201" s="21">
        <f>VLOOKUP($A201,tabCustoUnit[],COLUMN(CUSTO_GLOBAL[[#Headers],[Adicional de Sobreaviso]])-2,0)*($G201-$H201)</f>
        <v>0</v>
      </c>
      <c r="O201" s="21">
        <f>VLOOKUP($A201,tabCustoUnit[],COLUMN(CUSTO_GLOBAL[[#Headers],[Horas Extras TI]])-2,0)*($G201-$H201)</f>
        <v>0</v>
      </c>
      <c r="P201" s="21">
        <f>VLOOKUP($A201,tabCustoUnit[],COLUMN(CUSTO_GLOBAL[[#Headers],[Adicional de Acúmulo de função]])-2,0)*($G201-$H201)</f>
        <v>0</v>
      </c>
      <c r="Q201" s="21">
        <f>VLOOKUP($A201,tabCustoUnit[],COLUMN(CUSTO_GLOBAL[[#Headers],[MODULO 1 - REMUNERAÇÃO ]])-2,0)*($G201-$H201)</f>
        <v>1963.405</v>
      </c>
      <c r="R201" s="21">
        <f>VLOOKUP($A201,tabCustoUnit[],COLUMN(CUSTO_GLOBAL[[#Headers],[INSS]])-2,0)*($G201-$H201)</f>
        <v>392.68100000000004</v>
      </c>
      <c r="S201" s="21">
        <f>VLOOKUP($A201,tabCustoUnit[],COLUMN(CUSTO_GLOBAL[[#Headers],[SESI OU SESC]])-2,0)*($G201-$H201)</f>
        <v>29.451074999999999</v>
      </c>
      <c r="T201" s="21">
        <f>VLOOKUP($A201,tabCustoUnit[],COLUMN(CUSTO_GLOBAL[[#Headers],[SENAI OU SENAC]])-2,0)*($G201-$H201)</f>
        <v>19.634049999999998</v>
      </c>
      <c r="U201" s="21">
        <f>VLOOKUP($A201,tabCustoUnit[],COLUMN(CUSTO_GLOBAL[[#Headers],[INCRA]])-2,0)*($G201-$H201)</f>
        <v>3.9268100000000001</v>
      </c>
      <c r="V201" s="21">
        <f>VLOOKUP($A201,tabCustoUnit[],COLUMN(CUSTO_GLOBAL[[#Headers],[Salário Educação]])-2,0)*($G201-$H201)</f>
        <v>49.085125000000005</v>
      </c>
      <c r="W201" s="21">
        <f>VLOOKUP($A201,tabCustoUnit[],COLUMN(CUSTO_GLOBAL[[#Headers],[FGTS]])-2,0)*($G201-$H201)</f>
        <v>157.07239999999999</v>
      </c>
      <c r="X201" s="21">
        <f>VLOOKUP($A201,tabCustoUnit[],COLUMN(CUSTO_GLOBAL[[#Headers],[RAT Ajustado]])-2,0)*($G201-$H201)</f>
        <v>78.536199999999994</v>
      </c>
      <c r="Y201" s="21">
        <f>VLOOKUP($A201,tabCustoUnit[],COLUMN(CUSTO_GLOBAL[[#Headers],[SEBRAE]])-2,0)*($G201-$H201)</f>
        <v>11.780430000000001</v>
      </c>
      <c r="Z201" s="21">
        <f>VLOOKUP($A201,tabCustoUnit[],COLUMN(CUSTO_GLOBAL[[#Headers],[Submódulo 2.1]])-2,0)*($G201-$H201)</f>
        <v>742.16709000000003</v>
      </c>
      <c r="AA201" s="21">
        <f>VLOOKUP($A201,tabCustoUnit[],COLUMN(CUSTO_GLOBAL[[#Headers],[13º salário (titular)]])-2,0)*($G201-$H201)</f>
        <v>163.61708333333331</v>
      </c>
      <c r="AB201" s="21">
        <f>VLOOKUP($A201,tabCustoUnit[],COLUMN(CUSTO_GLOBAL[[#Headers],[Férias e Adicional de Férias (titular)]])-2,0)*($G201-$H201)</f>
        <v>218.1561111111111</v>
      </c>
      <c r="AC201" s="21">
        <f>VLOOKUP($A201,tabCustoUnit[],COLUMN(CUSTO_GLOBAL[[#Headers],[Incidência do Submódulo 2.1 sobre 13º Salário, Férias e Adicional de Férias]])-2,0)*($G201-$H201)</f>
        <v>144.31026749999998</v>
      </c>
      <c r="AD201" s="21">
        <f>VLOOKUP($A201,tabCustoUnit[],COLUMN(CUSTO_GLOBAL[[#Headers],[Submódulo 2.2]])-2,0)*($G201-$H201)</f>
        <v>526.08346194444437</v>
      </c>
      <c r="AE201" s="22" t="e">
        <f ca="1">VLOOKUP($A201,tabCustoUnit[],COLUMN(CUSTO_GLOBAL[[#Headers],[Vale - Transporte (Descontada parcela do empregado)]])-2,0)*($G201-$H201)</f>
        <v>#NAME?</v>
      </c>
      <c r="AF201" s="22">
        <f>VLOOKUP($A201,tabCustoUnit[],COLUMN(CUSTO_GLOBAL[[#Headers],[Vale - Alimentação (Descontada parcela do empregado)]])-2,0)*($G201-$H201)</f>
        <v>582</v>
      </c>
      <c r="AG201" s="22">
        <f>VLOOKUP($A201,tabCustoUnit[],COLUMN(CUSTO_GLOBAL[[#Headers],[Cesta Básica]])-2,0)*($G201-$H201)</f>
        <v>0</v>
      </c>
      <c r="AH201" s="22">
        <f>VLOOKUP($A201,tabCustoUnit[],COLUMN(CUSTO_GLOBAL[[#Headers],[PAF]])-2,0)*($G201-$H201)</f>
        <v>53.27</v>
      </c>
      <c r="AI201" s="22">
        <f>VLOOKUP($A201,tabCustoUnit[],COLUMN(CUSTO_GLOBAL[[#Headers],[PQM]])-2,0)*($G201-$H201)</f>
        <v>0</v>
      </c>
      <c r="AJ201" s="22">
        <v>0</v>
      </c>
      <c r="AK201" s="22">
        <f>VLOOKUP($A201,tabCustoUnit[],COLUMN(CUSTO_GLOBAL[[#Headers],[Seguro de Vida]])-2,0)*($G201-$H201)</f>
        <v>3.36</v>
      </c>
      <c r="AL201" s="22">
        <f>VLOOKUP($A201,tabCustoUnit[],COLUMN(CUSTO_GLOBAL[[#Headers],[Despesas de Viagem]])-2,0)*($G201-$H201)</f>
        <v>0</v>
      </c>
      <c r="AM201" s="22" t="e">
        <f ca="1">VLOOKUP($A201,tabCustoUnit[],COLUMN(CUSTO_GLOBAL[[#Headers],[Submódulo 2.3]])-2,0)*($G201-$H201)</f>
        <v>#NAME?</v>
      </c>
      <c r="AN201" s="22" t="e">
        <f ca="1">VLOOKUP($A201,tabCustoUnit[],COLUMN(CUSTO_GLOBAL[[#Headers],[MÓDULO 2 - Total Encargos e Benefícios mensais e diários]])-2,0)*($G201-$H201)</f>
        <v>#NAME?</v>
      </c>
      <c r="AO201" s="22">
        <f>VLOOKUP($A201,tabCustoUnit[],COLUMN(CUSTO_GLOBAL[[#Headers],[Aviso Prévio Indenizado (API) e Reflexo do Aviso Prévio Indenizado]])-2,0)*($G201-$H201)</f>
        <v>13.766938338155864</v>
      </c>
      <c r="AP201" s="22">
        <f>VLOOKUP($A201,tabCustoUnit[],COLUMN(CUSTO_GLOBAL[[#Headers],[Incidência do FGTS sobre API e Reflexo do API]])-2,0)*($G201-$H201)</f>
        <v>1.1013550670524692</v>
      </c>
      <c r="AQ201" s="22">
        <f>VLOOKUP($A201,tabCustoUnit[],COLUMN(CUSTO_GLOBAL[[#Headers],[Multa Rescisória do FGTS sobre o Aviso Prévio Indenizado]])-2,0)*($G201-$H201)</f>
        <v>0.44054202682098775</v>
      </c>
      <c r="AR201" s="22">
        <f>VLOOKUP($A201,tabCustoUnit[],COLUMN(CUSTO_GLOBAL[[#Headers],[Aviso Prévio Trabalhado - APT]])-2,0)*($G201-$H201)</f>
        <v>6.8719175000000012</v>
      </c>
      <c r="AS201" s="22">
        <f>VLOOKUP($A201,tabCustoUnit[],COLUMN(CUSTO_GLOBAL[[#Headers],[Incidência dos encargos do submódulo 2.1 sobre Aviso Prévio Trabalhado]])-2,0)*($G201-$H201)</f>
        <v>2.5975848150000007</v>
      </c>
      <c r="AT201" s="22">
        <f>VLOOKUP($A201,tabCustoUnit[],COLUMN(CUSTO_GLOBAL[[#Headers],[Multa Rescisória do FGTS]])-2,0)*($G201-$H201)</f>
        <v>60.03656177777777</v>
      </c>
      <c r="AU201" s="22">
        <f>VLOOKUP($A201,tabCustoUnit[],COLUMN(CUSTO_GLOBAL[[#Headers],[Indenização Adicional (Art. 9º da Lei nº 7.238/84)]])-2,0)*($G201-$H201)</f>
        <v>1.6361708333333334</v>
      </c>
      <c r="AV201" s="22">
        <f>VLOOKUP($A201,tabCustoUnit[],COLUMN(CUSTO_GLOBAL[[#Headers],[MÓDULO 3 – PROVISÃO PARA RESCISÃO]])-2,0)*($G201-$H201)</f>
        <v>86.451070358140427</v>
      </c>
      <c r="AW201" s="22">
        <f>VLOOKUP($A201,tabCustoUnit[],COLUMN(CUSTO_GLOBAL[[#Headers],[Ausência por Doença]])-2,0)*($G201-$H201)</f>
        <v>16.579864444444443</v>
      </c>
      <c r="AX201" s="22">
        <f>VLOOKUP($A201,tabCustoUnit[],COLUMN(CUSTO_GLOBAL[[#Headers],[Ausências Legais]])-2,0)*($G201-$H201)</f>
        <v>3.9813490277777777</v>
      </c>
      <c r="AY201" s="22">
        <f>VLOOKUP($A201,tabCustoUnit[],COLUMN(CUSTO_GLOBAL[[#Headers],[Licença Paternidade]])-2,0)*($G201-$H201)</f>
        <v>0.3354150208333333</v>
      </c>
      <c r="AZ201" s="22">
        <f>VLOOKUP($A201,tabCustoUnit[],COLUMN(CUSTO_GLOBAL[[#Headers],[Ausência por Acidente de Trabalho]])-2,0)*($G201-$H201)</f>
        <v>0.40904270833333334</v>
      </c>
      <c r="BA201" s="22">
        <f>VLOOKUP($A201,tabCustoUnit[],COLUMN(CUSTO_GLOBAL[[#Headers],[Férias, Adicional de Férias e 13º  com empregada em gozo de Licença Maternidade]])-2,0)*($G201-$H201)</f>
        <v>2.5451546296296295</v>
      </c>
      <c r="BB201" s="22">
        <f>VLOOKUP($A201,tabCustoUnit[],COLUMN(CUSTO_GLOBAL[[#Headers],[Incidência do Submódulo 2.1 sobre Ausências Legais]])-2,0)*($G201-$H201)</f>
        <v>9.0156121641250007</v>
      </c>
      <c r="BC201" s="22">
        <f>VLOOKUP($A201,tabCustoUnit[],COLUMN(CUSTO_GLOBAL[[#Headers],[Submódulo 4.1]])-2,0)*($G201-$H201)</f>
        <v>32.866437995143521</v>
      </c>
      <c r="BD201" s="22">
        <f>VLOOKUP($A201,tabCustoUnit[],COLUMN(CUSTO_GLOBAL[[#Headers],[Intervalo para Repouso ou Alimentação]])-2,0)*($G201-$H201)</f>
        <v>267.73704981301341</v>
      </c>
      <c r="BE201" s="22">
        <f>VLOOKUP($A201,tabCustoUnit[],COLUMN(CUSTO_GLOBAL[[#Headers],[Submódulo 4.2]])-2,0)*($G201-$H201)</f>
        <v>267.73704981301341</v>
      </c>
      <c r="BF201" s="22">
        <f>VLOOKUP($A201,tabCustoUnit[],COLUMN(CUSTO_GLOBAL[[#Headers],[Suspensão Temporária do Contrato de Trabalho]])-2,0)*($G201-$H201)</f>
        <v>0</v>
      </c>
      <c r="BG201" s="22">
        <f>VLOOKUP($A201,tabCustoUnit[],COLUMN(CUSTO_GLOBAL[[#Headers],[Submódulo 4.3]])-2,0)*($G201-$H201)</f>
        <v>0</v>
      </c>
      <c r="BH201" s="22">
        <f>VLOOKUP($A201,tabCustoUnit[],COLUMN(CUSTO_GLOBAL[[#Headers],[MÓDULO 4 – CUSTO DE REPOSIÇÃO DO PROFISSIONAL AUSENTE]])-2,0)*($G201-$H201)</f>
        <v>300.60348780815696</v>
      </c>
      <c r="BI201" s="22">
        <f>VLOOKUP($A201,tabCustoUnit[],COLUMN(CUSTO_GLOBAL[[#Headers],[Uniformes e EPIs]])-2,0)*($G201-$H201)</f>
        <v>56.642978962543395</v>
      </c>
      <c r="BJ201" s="22">
        <f>VLOOKUP($A201,tabCustoUnit[],COLUMN(CUSTO_GLOBAL[[#Headers],[Materiais de Consumo]])-2,0)*($G201-$H201)</f>
        <v>0</v>
      </c>
      <c r="BK201" s="22">
        <f>VLOOKUP($A201,tabCustoUnit[],COLUMN(CUSTO_GLOBAL[[#Headers],[Máquinas e Equipamentos (depreciação)]])-2,0)*($G201-$H201)</f>
        <v>0</v>
      </c>
      <c r="BL201" s="22">
        <f>VLOOKUP($A201,tabCustoUnit[],COLUMN(CUSTO_GLOBAL[[#Headers],[Produtos de Limpeza e Materiais de Higiene Pessoal]])-2,0)*($G201-$H201)</f>
        <v>0</v>
      </c>
      <c r="BM201" s="22">
        <f>VLOOKUP($A201,tabCustoUnit[],COLUMN(CUSTO_GLOBAL[[#Headers],[Outros (especificar)]])-2,0)*($G201-$H201)</f>
        <v>0</v>
      </c>
      <c r="BN201" s="22">
        <f>VLOOKUP($A201,tabCustoUnit[],COLUMN(CUSTO_GLOBAL[[#Headers],[MÓDULO 5 – INSUMOS DIVERSOS]])-2,0)*($G201-$H201)</f>
        <v>56.642978962543395</v>
      </c>
      <c r="BO201" s="22" t="e">
        <f ca="1">VLOOKUP($A201,tabCustoUnit[],COLUMN(CUSTO_GLOBAL[[#Headers],[TOTAL MÓDULOS 1+2+3+4+5]])-2,0)*($G201-$H201)</f>
        <v>#NAME?</v>
      </c>
      <c r="BP201" s="22" t="e">
        <f ca="1">VLOOKUP($A201,tabCustoUnit[],COLUMN(CUSTO_GLOBAL[[#Headers],[Custos Indiretos]])-2,0)*($G201-$H201)</f>
        <v>#NAME?</v>
      </c>
      <c r="BQ201" s="22" t="e">
        <f ca="1">VLOOKUP($A201,tabCustoUnit[],COLUMN(CUSTO_GLOBAL[[#Headers],[Lucro]])-2,0)*($G201-$H201)</f>
        <v>#NAME?</v>
      </c>
      <c r="BR201" s="26">
        <f>VLOOKUP($A201,tabCustoUnit[],COLUMN(CUSTO_GLOBAL[[#Headers],[COFINS]])-2,0)</f>
        <v>8.8629737609329504E-2</v>
      </c>
      <c r="BS201" s="26">
        <f>VLOOKUP($A201,tabCustoUnit[],COLUMN(CUSTO_GLOBAL[[#Headers],[PIS]])-2,0)</f>
        <v>1.9241982507288629E-2</v>
      </c>
      <c r="BT201" s="28">
        <f>VLOOKUP($A201,tabCustoUnit[],COLUMN(CUSTO_GLOBAL[[#Headers],[ISS]])-2,0)</f>
        <v>0.05</v>
      </c>
      <c r="BU201" s="26">
        <f>VLOOKUP($A201,tabCustoUnit[],COLUMN(CUSTO_GLOBAL[[#Headers],[ISS (Conversão Alíquota s/ fatura)]])-2,0)</f>
        <v>5.8309037900874633E-2</v>
      </c>
      <c r="BV201" s="26">
        <f>VLOOKUP($A201,tabCustoUnit[],COLUMN(CUSTO_GLOBAL[[#Headers],[Resumo de Alíquotas (PIS+CONFINS+ISS)]])-2,0)</f>
        <v>0.14250000000000002</v>
      </c>
      <c r="BW201" s="138">
        <f>VLOOKUP($A201,tabCustoUnit[],COLUMN(CUSTO_GLOBAL[[#Headers],[PIS + COFINS + ISS (Total Conversão  Alíquota s/ Fatura)]])-2,0)</f>
        <v>0.16618075801749277</v>
      </c>
      <c r="BX201" s="22" t="e">
        <f ca="1">VLOOKUP($A201,tabCustoUnit[],COLUMN(CUSTO_GLOBAL[[#Headers],[Valor dos Tributos (ISS, PIS, CONFINS)]])-2,0)*($G201-$H201)</f>
        <v>#NAME?</v>
      </c>
      <c r="BY201" s="22" t="e">
        <f ca="1">VLOOKUP($A201,tabCustoUnit[],COLUMN(CUSTO_GLOBAL[[#Headers],[MÓDULO 6 – CUSTOS INDIRETOS, TRIBUTOS E LUCRO]])-2,0)*($G201-$H201)</f>
        <v>#NAME?</v>
      </c>
      <c r="BZ201" s="22" t="e">
        <f ca="1">VLOOKUP($A201,tabCustoUnit[],COLUMN(CUSTO_GLOBAL[[#Headers],[CUSTO TOTAL MENSAL]])-2,0)*($G201-$H201)</f>
        <v>#NAME?</v>
      </c>
      <c r="CA201" s="22" t="e">
        <f ca="1">CUSTO_GLOBAL[[#This Row],[CUSTO TOTAL MENSAL]]*12</f>
        <v>#NAME?</v>
      </c>
      <c r="CB201" s="24">
        <f>VLOOKUP($A201,tabCustoUnit[],COLUMN(CUSTO_GLOBAL[[#Headers],[ANO DA CCT]])-2,0)</f>
        <v>45658</v>
      </c>
      <c r="CC201" s="25" t="str">
        <f>VLOOKUP($A201,tabCustoUnit[],COLUMN(CUSTO_GLOBAL[[#Headers],[Nº DE PEDIDO DA CCT]])-2,0)</f>
        <v>-</v>
      </c>
      <c r="CD201" s="25" t="str">
        <f>VLOOKUP($A201,tabCustoUnit[],COLUMN(CUSTO_GLOBAL[[#Headers],[TERMO ADITIVO ALTERAÇÃO DA CCT]])-2,0)</f>
        <v>-</v>
      </c>
    </row>
    <row r="202" spans="1:82">
      <c r="A202" s="20" t="s">
        <v>1639</v>
      </c>
      <c r="B202" t="s">
        <v>1159</v>
      </c>
      <c r="C202" t="s">
        <v>324</v>
      </c>
      <c r="D202" t="s">
        <v>961</v>
      </c>
      <c r="E202" s="20" t="s">
        <v>1090</v>
      </c>
      <c r="F202" s="20" t="s">
        <v>120</v>
      </c>
      <c r="G202" s="20">
        <v>1</v>
      </c>
      <c r="H202" s="20">
        <v>0</v>
      </c>
      <c r="I202" s="21">
        <f>VLOOKUP($A202,tabCustoUnit[],COLUMN(CUSTO_GLOBAL[[#Headers],[Salário Base]])-2,0)*($G202-$H202)</f>
        <v>3397.1305000000002</v>
      </c>
      <c r="J202" s="21">
        <f>VLOOKUP($A202,tabCustoUnit[],COLUMN(CUSTO_GLOBAL[[#Headers],[Adicional Periculosidade]])-2,0)*($G202-$H202)</f>
        <v>0</v>
      </c>
      <c r="K202" s="21">
        <f>VLOOKUP($A202,tabCustoUnit[],COLUMN(CUSTO_GLOBAL[[#Headers],[Adicional Insalubridade]])-2,0)*($G202-$H202)</f>
        <v>0</v>
      </c>
      <c r="L202" s="21">
        <f>VLOOKUP($A202,tabCustoUnit[],COLUMN(CUSTO_GLOBAL[[#Headers],[Adicional Noturno]])-2,0)*($G202-$H202)</f>
        <v>0</v>
      </c>
      <c r="M202" s="21">
        <f>VLOOKUP($A202,tabCustoUnit[],COLUMN(CUSTO_GLOBAL[[#Headers],[Adicional Motorista II (Gratificação)]])-2,0)*($G202-$H202)</f>
        <v>0</v>
      </c>
      <c r="N202" s="21">
        <f>VLOOKUP($A202,tabCustoUnit[],COLUMN(CUSTO_GLOBAL[[#Headers],[Adicional de Sobreaviso]])-2,0)*($G202-$H202)</f>
        <v>0</v>
      </c>
      <c r="O202" s="21">
        <f>VLOOKUP($A202,tabCustoUnit[],COLUMN(CUSTO_GLOBAL[[#Headers],[Horas Extras TI]])-2,0)*($G202-$H202)</f>
        <v>0</v>
      </c>
      <c r="P202" s="21">
        <f>VLOOKUP($A202,tabCustoUnit[],COLUMN(CUSTO_GLOBAL[[#Headers],[Adicional de Acúmulo de função]])-2,0)*($G202-$H202)</f>
        <v>0</v>
      </c>
      <c r="Q202" s="21">
        <f>VLOOKUP($A202,tabCustoUnit[],COLUMN(CUSTO_GLOBAL[[#Headers],[MODULO 1 - REMUNERAÇÃO ]])-2,0)*($G202-$H202)</f>
        <v>3397.1305000000002</v>
      </c>
      <c r="R202" s="21">
        <f>VLOOKUP($A202,tabCustoUnit[],COLUMN(CUSTO_GLOBAL[[#Headers],[INSS]])-2,0)*($G202-$H202)</f>
        <v>679.42610000000013</v>
      </c>
      <c r="S202" s="21">
        <f>VLOOKUP($A202,tabCustoUnit[],COLUMN(CUSTO_GLOBAL[[#Headers],[SESI OU SESC]])-2,0)*($G202-$H202)</f>
        <v>50.956957500000001</v>
      </c>
      <c r="T202" s="21">
        <f>VLOOKUP($A202,tabCustoUnit[],COLUMN(CUSTO_GLOBAL[[#Headers],[SENAI OU SENAC]])-2,0)*($G202-$H202)</f>
        <v>33.971305000000001</v>
      </c>
      <c r="U202" s="21">
        <f>VLOOKUP($A202,tabCustoUnit[],COLUMN(CUSTO_GLOBAL[[#Headers],[INCRA]])-2,0)*($G202-$H202)</f>
        <v>6.7942610000000005</v>
      </c>
      <c r="V202" s="21">
        <f>VLOOKUP($A202,tabCustoUnit[],COLUMN(CUSTO_GLOBAL[[#Headers],[Salário Educação]])-2,0)*($G202-$H202)</f>
        <v>84.928262500000017</v>
      </c>
      <c r="W202" s="21">
        <f>VLOOKUP($A202,tabCustoUnit[],COLUMN(CUSTO_GLOBAL[[#Headers],[FGTS]])-2,0)*($G202-$H202)</f>
        <v>271.77044000000001</v>
      </c>
      <c r="X202" s="21">
        <f>VLOOKUP($A202,tabCustoUnit[],COLUMN(CUSTO_GLOBAL[[#Headers],[RAT Ajustado]])-2,0)*($G202-$H202)</f>
        <v>135.88522</v>
      </c>
      <c r="Y202" s="21">
        <f>VLOOKUP($A202,tabCustoUnit[],COLUMN(CUSTO_GLOBAL[[#Headers],[SEBRAE]])-2,0)*($G202-$H202)</f>
        <v>20.382783000000003</v>
      </c>
      <c r="Z202" s="21">
        <f>VLOOKUP($A202,tabCustoUnit[],COLUMN(CUSTO_GLOBAL[[#Headers],[Submódulo 2.1]])-2,0)*($G202-$H202)</f>
        <v>1284.1153290000002</v>
      </c>
      <c r="AA202" s="21">
        <f>VLOOKUP($A202,tabCustoUnit[],COLUMN(CUSTO_GLOBAL[[#Headers],[13º salário (titular)]])-2,0)*($G202-$H202)</f>
        <v>283.09420833333331</v>
      </c>
      <c r="AB202" s="21">
        <f>VLOOKUP($A202,tabCustoUnit[],COLUMN(CUSTO_GLOBAL[[#Headers],[Férias e Adicional de Férias (titular)]])-2,0)*($G202-$H202)</f>
        <v>377.45894444444446</v>
      </c>
      <c r="AC202" s="21">
        <f>VLOOKUP($A202,tabCustoUnit[],COLUMN(CUSTO_GLOBAL[[#Headers],[Incidência do Submódulo 2.1 sobre 13º Salário, Férias e Adicional de Férias]])-2,0)*($G202-$H202)</f>
        <v>249.68909175000005</v>
      </c>
      <c r="AD202" s="21">
        <f>VLOOKUP($A202,tabCustoUnit[],COLUMN(CUSTO_GLOBAL[[#Headers],[Submódulo 2.2]])-2,0)*($G202-$H202)</f>
        <v>910.24224452777776</v>
      </c>
      <c r="AE202" s="22" t="e">
        <f ca="1">VLOOKUP($A202,tabCustoUnit[],COLUMN(CUSTO_GLOBAL[[#Headers],[Vale - Transporte (Descontada parcela do empregado)]])-2,0)*($G202-$H202)</f>
        <v>#NAME?</v>
      </c>
      <c r="AF202" s="22">
        <f>VLOOKUP($A202,tabCustoUnit[],COLUMN(CUSTO_GLOBAL[[#Headers],[Vale - Alimentação (Descontada parcela do empregado)]])-2,0)*($G202-$H202)</f>
        <v>582</v>
      </c>
      <c r="AG202" s="22">
        <f>VLOOKUP($A202,tabCustoUnit[],COLUMN(CUSTO_GLOBAL[[#Headers],[Cesta Básica]])-2,0)*($G202-$H202)</f>
        <v>0</v>
      </c>
      <c r="AH202" s="22">
        <f>VLOOKUP($A202,tabCustoUnit[],COLUMN(CUSTO_GLOBAL[[#Headers],[PAF]])-2,0)*($G202-$H202)</f>
        <v>53.27</v>
      </c>
      <c r="AI202" s="22">
        <f>VLOOKUP($A202,tabCustoUnit[],COLUMN(CUSTO_GLOBAL[[#Headers],[PQM]])-2,0)*($G202-$H202)</f>
        <v>0</v>
      </c>
      <c r="AJ202" s="22">
        <v>0</v>
      </c>
      <c r="AK202" s="22">
        <f>VLOOKUP($A202,tabCustoUnit[],COLUMN(CUSTO_GLOBAL[[#Headers],[Seguro de Vida]])-2,0)*($G202-$H202)</f>
        <v>3.36</v>
      </c>
      <c r="AL202" s="22">
        <f>VLOOKUP($A202,tabCustoUnit[],COLUMN(CUSTO_GLOBAL[[#Headers],[Despesas de Viagem]])-2,0)*($G202-$H202)</f>
        <v>0</v>
      </c>
      <c r="AM202" s="22" t="e">
        <f ca="1">VLOOKUP($A202,tabCustoUnit[],COLUMN(CUSTO_GLOBAL[[#Headers],[Submódulo 2.3]])-2,0)*($G202-$H202)</f>
        <v>#NAME?</v>
      </c>
      <c r="AN202" s="22" t="e">
        <f ca="1">VLOOKUP($A202,tabCustoUnit[],COLUMN(CUSTO_GLOBAL[[#Headers],[MÓDULO 2 - Total Encargos e Benefícios mensais e diários]])-2,0)*($G202-$H202)</f>
        <v>#NAME?</v>
      </c>
      <c r="AO202" s="22">
        <f>VLOOKUP($A202,tabCustoUnit[],COLUMN(CUSTO_GLOBAL[[#Headers],[Aviso Prévio Indenizado (API) e Reflexo do Aviso Prévio Indenizado]])-2,0)*($G202-$H202)</f>
        <v>23.819887450713736</v>
      </c>
      <c r="AP202" s="22">
        <f>VLOOKUP($A202,tabCustoUnit[],COLUMN(CUSTO_GLOBAL[[#Headers],[Incidência do FGTS sobre API e Reflexo do API]])-2,0)*($G202-$H202)</f>
        <v>1.9055909960570991</v>
      </c>
      <c r="AQ202" s="22">
        <f>VLOOKUP($A202,tabCustoUnit[],COLUMN(CUSTO_GLOBAL[[#Headers],[Multa Rescisória do FGTS sobre o Aviso Prévio Indenizado]])-2,0)*($G202-$H202)</f>
        <v>0.76223639842283974</v>
      </c>
      <c r="AR202" s="22">
        <f>VLOOKUP($A202,tabCustoUnit[],COLUMN(CUSTO_GLOBAL[[#Headers],[Aviso Prévio Trabalhado - APT]])-2,0)*($G202-$H202)</f>
        <v>11.889956750000003</v>
      </c>
      <c r="AS202" s="22">
        <f>VLOOKUP($A202,tabCustoUnit[],COLUMN(CUSTO_GLOBAL[[#Headers],[Incidência dos encargos do submódulo 2.1 sobre Aviso Prévio Trabalhado]])-2,0)*($G202-$H202)</f>
        <v>4.4944036515000017</v>
      </c>
      <c r="AT202" s="22">
        <f>VLOOKUP($A202,tabCustoUnit[],COLUMN(CUSTO_GLOBAL[[#Headers],[Multa Rescisória do FGTS]])-2,0)*($G202-$H202)</f>
        <v>103.87670151111111</v>
      </c>
      <c r="AU202" s="22">
        <f>VLOOKUP($A202,tabCustoUnit[],COLUMN(CUSTO_GLOBAL[[#Headers],[Indenização Adicional (Art. 9º da Lei nº 7.238/84)]])-2,0)*($G202-$H202)</f>
        <v>2.8309420833333339</v>
      </c>
      <c r="AV202" s="22">
        <f>VLOOKUP($A202,tabCustoUnit[],COLUMN(CUSTO_GLOBAL[[#Headers],[MÓDULO 3 – PROVISÃO PARA RESCISÃO]])-2,0)*($G202-$H202)</f>
        <v>149.57971884113812</v>
      </c>
      <c r="AW202" s="22">
        <f>VLOOKUP($A202,tabCustoUnit[],COLUMN(CUSTO_GLOBAL[[#Headers],[Ausência por Doença]])-2,0)*($G202-$H202)</f>
        <v>28.686879777777776</v>
      </c>
      <c r="AX202" s="22">
        <f>VLOOKUP($A202,tabCustoUnit[],COLUMN(CUSTO_GLOBAL[[#Headers],[Ausências Legais]])-2,0)*($G202-$H202)</f>
        <v>6.888625736111111</v>
      </c>
      <c r="AY202" s="22">
        <f>VLOOKUP($A202,tabCustoUnit[],COLUMN(CUSTO_GLOBAL[[#Headers],[Licença Paternidade]])-2,0)*($G202-$H202)</f>
        <v>0.58034312708333335</v>
      </c>
      <c r="AZ202" s="22">
        <f>VLOOKUP($A202,tabCustoUnit[],COLUMN(CUSTO_GLOBAL[[#Headers],[Ausência por Acidente de Trabalho]])-2,0)*($G202-$H202)</f>
        <v>0.70773552083333346</v>
      </c>
      <c r="BA202" s="22">
        <f>VLOOKUP($A202,tabCustoUnit[],COLUMN(CUSTO_GLOBAL[[#Headers],[Férias, Adicional de Férias e 13º  com empregada em gozo de Licença Maternidade]])-2,0)*($G202-$H202)</f>
        <v>4.4036876851851856</v>
      </c>
      <c r="BB202" s="22">
        <f>VLOOKUP($A202,tabCustoUnit[],COLUMN(CUSTO_GLOBAL[[#Headers],[Incidência do Submódulo 2.1 sobre Ausências Legais]])-2,0)*($G202-$H202)</f>
        <v>15.599028758162504</v>
      </c>
      <c r="BC202" s="22">
        <f>VLOOKUP($A202,tabCustoUnit[],COLUMN(CUSTO_GLOBAL[[#Headers],[Submódulo 4.1]])-2,0)*($G202-$H202)</f>
        <v>56.866300605153235</v>
      </c>
      <c r="BD202" s="22">
        <f>VLOOKUP($A202,tabCustoUnit[],COLUMN(CUSTO_GLOBAL[[#Headers],[Intervalo para Repouso ou Alimentação]])-2,0)*($G202-$H202)</f>
        <v>0</v>
      </c>
      <c r="BE202" s="22">
        <f>VLOOKUP($A202,tabCustoUnit[],COLUMN(CUSTO_GLOBAL[[#Headers],[Submódulo 4.2]])-2,0)*($G202-$H202)</f>
        <v>0</v>
      </c>
      <c r="BF202" s="22">
        <f>VLOOKUP($A202,tabCustoUnit[],COLUMN(CUSTO_GLOBAL[[#Headers],[Suspensão Temporária do Contrato de Trabalho]])-2,0)*($G202-$H202)</f>
        <v>0</v>
      </c>
      <c r="BG202" s="22">
        <f>VLOOKUP($A202,tabCustoUnit[],COLUMN(CUSTO_GLOBAL[[#Headers],[Submódulo 4.3]])-2,0)*($G202-$H202)</f>
        <v>0</v>
      </c>
      <c r="BH202" s="22">
        <f>VLOOKUP($A202,tabCustoUnit[],COLUMN(CUSTO_GLOBAL[[#Headers],[MÓDULO 4 – CUSTO DE REPOSIÇÃO DO PROFISSIONAL AUSENTE]])-2,0)*($G202-$H202)</f>
        <v>56.866300605153235</v>
      </c>
      <c r="BI202" s="22">
        <f>VLOOKUP($A202,tabCustoUnit[],COLUMN(CUSTO_GLOBAL[[#Headers],[Uniformes e EPIs]])-2,0)*($G202-$H202)</f>
        <v>56.642978962543395</v>
      </c>
      <c r="BJ202" s="22">
        <f>VLOOKUP($A202,tabCustoUnit[],COLUMN(CUSTO_GLOBAL[[#Headers],[Materiais de Consumo]])-2,0)*($G202-$H202)</f>
        <v>0</v>
      </c>
      <c r="BK202" s="22">
        <f>VLOOKUP($A202,tabCustoUnit[],COLUMN(CUSTO_GLOBAL[[#Headers],[Máquinas e Equipamentos (depreciação)]])-2,0)*($G202-$H202)</f>
        <v>0</v>
      </c>
      <c r="BL202" s="22">
        <f>VLOOKUP($A202,tabCustoUnit[],COLUMN(CUSTO_GLOBAL[[#Headers],[Produtos de Limpeza e Materiais de Higiene Pessoal]])-2,0)*($G202-$H202)</f>
        <v>0</v>
      </c>
      <c r="BM202" s="22">
        <f>VLOOKUP($A202,tabCustoUnit[],COLUMN(CUSTO_GLOBAL[[#Headers],[Outros (especificar)]])-2,0)*($G202-$H202)</f>
        <v>0</v>
      </c>
      <c r="BN202" s="22">
        <f>VLOOKUP($A202,tabCustoUnit[],COLUMN(CUSTO_GLOBAL[[#Headers],[MÓDULO 5 – INSUMOS DIVERSOS]])-2,0)*($G202-$H202)</f>
        <v>56.642978962543395</v>
      </c>
      <c r="BO202" s="22" t="e">
        <f ca="1">VLOOKUP($A202,tabCustoUnit[],COLUMN(CUSTO_GLOBAL[[#Headers],[TOTAL MÓDULOS 1+2+3+4+5]])-2,0)*($G202-$H202)</f>
        <v>#NAME?</v>
      </c>
      <c r="BP202" s="22" t="e">
        <f ca="1">VLOOKUP($A202,tabCustoUnit[],COLUMN(CUSTO_GLOBAL[[#Headers],[Custos Indiretos]])-2,0)*($G202-$H202)</f>
        <v>#NAME?</v>
      </c>
      <c r="BQ202" s="22" t="e">
        <f ca="1">VLOOKUP($A202,tabCustoUnit[],COLUMN(CUSTO_GLOBAL[[#Headers],[Lucro]])-2,0)*($G202-$H202)</f>
        <v>#NAME?</v>
      </c>
      <c r="BR202" s="26">
        <f>VLOOKUP($A202,tabCustoUnit[],COLUMN(CUSTO_GLOBAL[[#Headers],[COFINS]])-2,0)</f>
        <v>8.8629737609329504E-2</v>
      </c>
      <c r="BS202" s="26">
        <f>VLOOKUP($A202,tabCustoUnit[],COLUMN(CUSTO_GLOBAL[[#Headers],[PIS]])-2,0)</f>
        <v>1.9241982507288629E-2</v>
      </c>
      <c r="BT202" s="28">
        <f>VLOOKUP($A202,tabCustoUnit[],COLUMN(CUSTO_GLOBAL[[#Headers],[ISS]])-2,0)</f>
        <v>0.05</v>
      </c>
      <c r="BU202" s="26">
        <f>VLOOKUP($A202,tabCustoUnit[],COLUMN(CUSTO_GLOBAL[[#Headers],[ISS (Conversão Alíquota s/ fatura)]])-2,0)</f>
        <v>5.8309037900874633E-2</v>
      </c>
      <c r="BV202" s="26">
        <f>VLOOKUP($A202,tabCustoUnit[],COLUMN(CUSTO_GLOBAL[[#Headers],[Resumo de Alíquotas (PIS+CONFINS+ISS)]])-2,0)</f>
        <v>0.14250000000000002</v>
      </c>
      <c r="BW202" s="138">
        <f>VLOOKUP($A202,tabCustoUnit[],COLUMN(CUSTO_GLOBAL[[#Headers],[PIS + COFINS + ISS (Total Conversão  Alíquota s/ Fatura)]])-2,0)</f>
        <v>0.16618075801749277</v>
      </c>
      <c r="BX202" s="22" t="e">
        <f ca="1">VLOOKUP($A202,tabCustoUnit[],COLUMN(CUSTO_GLOBAL[[#Headers],[Valor dos Tributos (ISS, PIS, CONFINS)]])-2,0)*($G202-$H202)</f>
        <v>#NAME?</v>
      </c>
      <c r="BY202" s="22" t="e">
        <f ca="1">VLOOKUP($A202,tabCustoUnit[],COLUMN(CUSTO_GLOBAL[[#Headers],[MÓDULO 6 – CUSTOS INDIRETOS, TRIBUTOS E LUCRO]])-2,0)*($G202-$H202)</f>
        <v>#NAME?</v>
      </c>
      <c r="BZ202" s="22" t="e">
        <f ca="1">VLOOKUP($A202,tabCustoUnit[],COLUMN(CUSTO_GLOBAL[[#Headers],[CUSTO TOTAL MENSAL]])-2,0)*($G202-$H202)</f>
        <v>#NAME?</v>
      </c>
      <c r="CA202" s="22" t="e">
        <f ca="1">CUSTO_GLOBAL[[#This Row],[CUSTO TOTAL MENSAL]]*12</f>
        <v>#NAME?</v>
      </c>
      <c r="CB202" s="24">
        <f>VLOOKUP($A202,tabCustoUnit[],COLUMN(CUSTO_GLOBAL[[#Headers],[ANO DA CCT]])-2,0)</f>
        <v>45658</v>
      </c>
      <c r="CC202" s="25" t="str">
        <f>VLOOKUP($A202,tabCustoUnit[],COLUMN(CUSTO_GLOBAL[[#Headers],[Nº DE PEDIDO DA CCT]])-2,0)</f>
        <v>-</v>
      </c>
      <c r="CD202" s="25" t="str">
        <f>VLOOKUP($A202,tabCustoUnit[],COLUMN(CUSTO_GLOBAL[[#Headers],[TERMO ADITIVO ALTERAÇÃO DA CCT]])-2,0)</f>
        <v>-</v>
      </c>
    </row>
    <row r="203" spans="1:82">
      <c r="A203" s="20" t="s">
        <v>1640</v>
      </c>
      <c r="B203" t="s">
        <v>1159</v>
      </c>
      <c r="C203" t="s">
        <v>319</v>
      </c>
      <c r="D203" t="s">
        <v>961</v>
      </c>
      <c r="E203" s="20" t="s">
        <v>1090</v>
      </c>
      <c r="F203" s="20" t="s">
        <v>120</v>
      </c>
      <c r="G203" s="20">
        <v>1</v>
      </c>
      <c r="H203" s="20">
        <v>0</v>
      </c>
      <c r="I203" s="21">
        <f>VLOOKUP($A203,tabCustoUnit[],COLUMN(CUSTO_GLOBAL[[#Headers],[Salário Base]])-2,0)*($G203-$H203)</f>
        <v>2316.2253000000001</v>
      </c>
      <c r="J203" s="21">
        <f>VLOOKUP($A203,tabCustoUnit[],COLUMN(CUSTO_GLOBAL[[#Headers],[Adicional Periculosidade]])-2,0)*($G203-$H203)</f>
        <v>0</v>
      </c>
      <c r="K203" s="21">
        <f>VLOOKUP($A203,tabCustoUnit[],COLUMN(CUSTO_GLOBAL[[#Headers],[Adicional Insalubridade]])-2,0)*($G203-$H203)</f>
        <v>0</v>
      </c>
      <c r="L203" s="21">
        <f>VLOOKUP($A203,tabCustoUnit[],COLUMN(CUSTO_GLOBAL[[#Headers],[Adicional Noturno]])-2,0)*($G203-$H203)</f>
        <v>0</v>
      </c>
      <c r="M203" s="21">
        <f>VLOOKUP($A203,tabCustoUnit[],COLUMN(CUSTO_GLOBAL[[#Headers],[Adicional Motorista II (Gratificação)]])-2,0)*($G203-$H203)</f>
        <v>0</v>
      </c>
      <c r="N203" s="21">
        <f>VLOOKUP($A203,tabCustoUnit[],COLUMN(CUSTO_GLOBAL[[#Headers],[Adicional de Sobreaviso]])-2,0)*($G203-$H203)</f>
        <v>0</v>
      </c>
      <c r="O203" s="21">
        <f>VLOOKUP($A203,tabCustoUnit[],COLUMN(CUSTO_GLOBAL[[#Headers],[Horas Extras TI]])-2,0)*($G203-$H203)</f>
        <v>0</v>
      </c>
      <c r="P203" s="21">
        <f>VLOOKUP($A203,tabCustoUnit[],COLUMN(CUSTO_GLOBAL[[#Headers],[Adicional de Acúmulo de função]])-2,0)*($G203-$H203)</f>
        <v>0</v>
      </c>
      <c r="Q203" s="21">
        <f>VLOOKUP($A203,tabCustoUnit[],COLUMN(CUSTO_GLOBAL[[#Headers],[MODULO 1 - REMUNERAÇÃO ]])-2,0)*($G203-$H203)</f>
        <v>2316.2253000000001</v>
      </c>
      <c r="R203" s="21">
        <f>VLOOKUP($A203,tabCustoUnit[],COLUMN(CUSTO_GLOBAL[[#Headers],[INSS]])-2,0)*($G203-$H203)</f>
        <v>463.24506000000002</v>
      </c>
      <c r="S203" s="21">
        <f>VLOOKUP($A203,tabCustoUnit[],COLUMN(CUSTO_GLOBAL[[#Headers],[SESI OU SESC]])-2,0)*($G203-$H203)</f>
        <v>34.743379499999996</v>
      </c>
      <c r="T203" s="21">
        <f>VLOOKUP($A203,tabCustoUnit[],COLUMN(CUSTO_GLOBAL[[#Headers],[SENAI OU SENAC]])-2,0)*($G203-$H203)</f>
        <v>23.162253</v>
      </c>
      <c r="U203" s="21">
        <f>VLOOKUP($A203,tabCustoUnit[],COLUMN(CUSTO_GLOBAL[[#Headers],[INCRA]])-2,0)*($G203-$H203)</f>
        <v>4.6324506000000003</v>
      </c>
      <c r="V203" s="21">
        <f>VLOOKUP($A203,tabCustoUnit[],COLUMN(CUSTO_GLOBAL[[#Headers],[Salário Educação]])-2,0)*($G203-$H203)</f>
        <v>57.905632500000003</v>
      </c>
      <c r="W203" s="21">
        <f>VLOOKUP($A203,tabCustoUnit[],COLUMN(CUSTO_GLOBAL[[#Headers],[FGTS]])-2,0)*($G203-$H203)</f>
        <v>185.298024</v>
      </c>
      <c r="X203" s="21">
        <f>VLOOKUP($A203,tabCustoUnit[],COLUMN(CUSTO_GLOBAL[[#Headers],[RAT Ajustado]])-2,0)*($G203-$H203)</f>
        <v>92.649011999999999</v>
      </c>
      <c r="Y203" s="21">
        <f>VLOOKUP($A203,tabCustoUnit[],COLUMN(CUSTO_GLOBAL[[#Headers],[SEBRAE]])-2,0)*($G203-$H203)</f>
        <v>13.897351800000001</v>
      </c>
      <c r="Z203" s="21">
        <f>VLOOKUP($A203,tabCustoUnit[],COLUMN(CUSTO_GLOBAL[[#Headers],[Submódulo 2.1]])-2,0)*($G203-$H203)</f>
        <v>875.53316340000003</v>
      </c>
      <c r="AA203" s="21">
        <f>VLOOKUP($A203,tabCustoUnit[],COLUMN(CUSTO_GLOBAL[[#Headers],[13º salário (titular)]])-2,0)*($G203-$H203)</f>
        <v>193.01877500000001</v>
      </c>
      <c r="AB203" s="21">
        <f>VLOOKUP($A203,tabCustoUnit[],COLUMN(CUSTO_GLOBAL[[#Headers],[Férias e Adicional de Férias (titular)]])-2,0)*($G203-$H203)</f>
        <v>257.35836666666665</v>
      </c>
      <c r="AC203" s="21">
        <f>VLOOKUP($A203,tabCustoUnit[],COLUMN(CUSTO_GLOBAL[[#Headers],[Incidência do Submódulo 2.1 sobre 13º Salário, Férias e Adicional de Férias]])-2,0)*($G203-$H203)</f>
        <v>170.24255955000001</v>
      </c>
      <c r="AD203" s="21">
        <f>VLOOKUP($A203,tabCustoUnit[],COLUMN(CUSTO_GLOBAL[[#Headers],[Submódulo 2.2]])-2,0)*($G203-$H203)</f>
        <v>620.61970121666673</v>
      </c>
      <c r="AE203" s="22" t="e">
        <f ca="1">VLOOKUP($A203,tabCustoUnit[],COLUMN(CUSTO_GLOBAL[[#Headers],[Vale - Transporte (Descontada parcela do empregado)]])-2,0)*($G203-$H203)</f>
        <v>#NAME?</v>
      </c>
      <c r="AF203" s="22">
        <f>VLOOKUP($A203,tabCustoUnit[],COLUMN(CUSTO_GLOBAL[[#Headers],[Vale - Alimentação (Descontada parcela do empregado)]])-2,0)*($G203-$H203)</f>
        <v>582</v>
      </c>
      <c r="AG203" s="22">
        <f>VLOOKUP($A203,tabCustoUnit[],COLUMN(CUSTO_GLOBAL[[#Headers],[Cesta Básica]])-2,0)*($G203-$H203)</f>
        <v>0</v>
      </c>
      <c r="AH203" s="22">
        <f>VLOOKUP($A203,tabCustoUnit[],COLUMN(CUSTO_GLOBAL[[#Headers],[PAF]])-2,0)*($G203-$H203)</f>
        <v>53.27</v>
      </c>
      <c r="AI203" s="22">
        <f>VLOOKUP($A203,tabCustoUnit[],COLUMN(CUSTO_GLOBAL[[#Headers],[PQM]])-2,0)*($G203-$H203)</f>
        <v>0</v>
      </c>
      <c r="AJ203" s="22">
        <v>0</v>
      </c>
      <c r="AK203" s="22">
        <f>VLOOKUP($A203,tabCustoUnit[],COLUMN(CUSTO_GLOBAL[[#Headers],[Seguro de Vida]])-2,0)*($G203-$H203)</f>
        <v>3.36</v>
      </c>
      <c r="AL203" s="22">
        <f>VLOOKUP($A203,tabCustoUnit[],COLUMN(CUSTO_GLOBAL[[#Headers],[Despesas de Viagem]])-2,0)*($G203-$H203)</f>
        <v>0</v>
      </c>
      <c r="AM203" s="22" t="e">
        <f ca="1">VLOOKUP($A203,tabCustoUnit[],COLUMN(CUSTO_GLOBAL[[#Headers],[Submódulo 2.3]])-2,0)*($G203-$H203)</f>
        <v>#NAME?</v>
      </c>
      <c r="AN203" s="22" t="e">
        <f ca="1">VLOOKUP($A203,tabCustoUnit[],COLUMN(CUSTO_GLOBAL[[#Headers],[MÓDULO 2 - Total Encargos e Benefícios mensais e diários]])-2,0)*($G203-$H203)</f>
        <v>#NAME?</v>
      </c>
      <c r="AO203" s="22">
        <f>VLOOKUP($A203,tabCustoUnit[],COLUMN(CUSTO_GLOBAL[[#Headers],[Aviso Prévio Indenizado (API) e Reflexo do Aviso Prévio Indenizado]])-2,0)*($G203-$H203)</f>
        <v>16.240832065914354</v>
      </c>
      <c r="AP203" s="22">
        <f>VLOOKUP($A203,tabCustoUnit[],COLUMN(CUSTO_GLOBAL[[#Headers],[Incidência do FGTS sobre API e Reflexo do API]])-2,0)*($G203-$H203)</f>
        <v>1.2992665652731483</v>
      </c>
      <c r="AQ203" s="22">
        <f>VLOOKUP($A203,tabCustoUnit[],COLUMN(CUSTO_GLOBAL[[#Headers],[Multa Rescisória do FGTS sobre o Aviso Prévio Indenizado]])-2,0)*($G203-$H203)</f>
        <v>0.51970662610925933</v>
      </c>
      <c r="AR203" s="22">
        <f>VLOOKUP($A203,tabCustoUnit[],COLUMN(CUSTO_GLOBAL[[#Headers],[Aviso Prévio Trabalhado - APT]])-2,0)*($G203-$H203)</f>
        <v>8.106788550000001</v>
      </c>
      <c r="AS203" s="22">
        <f>VLOOKUP($A203,tabCustoUnit[],COLUMN(CUSTO_GLOBAL[[#Headers],[Incidência dos encargos do submódulo 2.1 sobre Aviso Prévio Trabalhado]])-2,0)*($G203-$H203)</f>
        <v>3.0643660719000008</v>
      </c>
      <c r="AT203" s="22">
        <f>VLOOKUP($A203,tabCustoUnit[],COLUMN(CUSTO_GLOBAL[[#Headers],[Multa Rescisória do FGTS]])-2,0)*($G203-$H203)</f>
        <v>70.825022506666656</v>
      </c>
      <c r="AU203" s="22">
        <f>VLOOKUP($A203,tabCustoUnit[],COLUMN(CUSTO_GLOBAL[[#Headers],[Indenização Adicional (Art. 9º da Lei nº 7.238/84)]])-2,0)*($G203-$H203)</f>
        <v>1.9301877500000002</v>
      </c>
      <c r="AV203" s="22">
        <f>VLOOKUP($A203,tabCustoUnit[],COLUMN(CUSTO_GLOBAL[[#Headers],[MÓDULO 3 – PROVISÃO PARA RESCISÃO]])-2,0)*($G203-$H203)</f>
        <v>101.98617013586342</v>
      </c>
      <c r="AW203" s="22">
        <f>VLOOKUP($A203,tabCustoUnit[],COLUMN(CUSTO_GLOBAL[[#Headers],[Ausência por Doença]])-2,0)*($G203-$H203)</f>
        <v>19.559235866666665</v>
      </c>
      <c r="AX203" s="22">
        <f>VLOOKUP($A203,tabCustoUnit[],COLUMN(CUSTO_GLOBAL[[#Headers],[Ausências Legais]])-2,0)*($G203-$H203)</f>
        <v>4.6967901916666666</v>
      </c>
      <c r="AY203" s="22">
        <f>VLOOKUP($A203,tabCustoUnit[],COLUMN(CUSTO_GLOBAL[[#Headers],[Licença Paternidade]])-2,0)*($G203-$H203)</f>
        <v>0.39568848875000001</v>
      </c>
      <c r="AZ203" s="22">
        <f>VLOOKUP($A203,tabCustoUnit[],COLUMN(CUSTO_GLOBAL[[#Headers],[Ausência por Acidente de Trabalho]])-2,0)*($G203-$H203)</f>
        <v>0.48254693750000005</v>
      </c>
      <c r="BA203" s="22">
        <f>VLOOKUP($A203,tabCustoUnit[],COLUMN(CUSTO_GLOBAL[[#Headers],[Férias, Adicional de Férias e 13º  com empregada em gozo de Licença Maternidade]])-2,0)*($G203-$H203)</f>
        <v>3.0025142777777778</v>
      </c>
      <c r="BB203" s="22">
        <f>VLOOKUP($A203,tabCustoUnit[],COLUMN(CUSTO_GLOBAL[[#Headers],[Incidência do Submódulo 2.1 sobre Ausências Legais]])-2,0)*($G203-$H203)</f>
        <v>10.635701238172501</v>
      </c>
      <c r="BC203" s="22">
        <f>VLOOKUP($A203,tabCustoUnit[],COLUMN(CUSTO_GLOBAL[[#Headers],[Submódulo 4.1]])-2,0)*($G203-$H203)</f>
        <v>38.772477000533613</v>
      </c>
      <c r="BD203" s="22">
        <f>VLOOKUP($A203,tabCustoUnit[],COLUMN(CUSTO_GLOBAL[[#Headers],[Intervalo para Repouso ou Alimentação]])-2,0)*($G203-$H203)</f>
        <v>0</v>
      </c>
      <c r="BE203" s="22">
        <f>VLOOKUP($A203,tabCustoUnit[],COLUMN(CUSTO_GLOBAL[[#Headers],[Submódulo 4.2]])-2,0)*($G203-$H203)</f>
        <v>0</v>
      </c>
      <c r="BF203" s="22">
        <f>VLOOKUP($A203,tabCustoUnit[],COLUMN(CUSTO_GLOBAL[[#Headers],[Suspensão Temporária do Contrato de Trabalho]])-2,0)*($G203-$H203)</f>
        <v>0</v>
      </c>
      <c r="BG203" s="22">
        <f>VLOOKUP($A203,tabCustoUnit[],COLUMN(CUSTO_GLOBAL[[#Headers],[Submódulo 4.3]])-2,0)*($G203-$H203)</f>
        <v>0</v>
      </c>
      <c r="BH203" s="22">
        <f>VLOOKUP($A203,tabCustoUnit[],COLUMN(CUSTO_GLOBAL[[#Headers],[MÓDULO 4 – CUSTO DE REPOSIÇÃO DO PROFISSIONAL AUSENTE]])-2,0)*($G203-$H203)</f>
        <v>38.772477000533613</v>
      </c>
      <c r="BI203" s="22">
        <f>VLOOKUP($A203,tabCustoUnit[],COLUMN(CUSTO_GLOBAL[[#Headers],[Uniformes e EPIs]])-2,0)*($G203-$H203)</f>
        <v>56.642978962543395</v>
      </c>
      <c r="BJ203" s="22">
        <f>VLOOKUP($A203,tabCustoUnit[],COLUMN(CUSTO_GLOBAL[[#Headers],[Materiais de Consumo]])-2,0)*($G203-$H203)</f>
        <v>0</v>
      </c>
      <c r="BK203" s="22">
        <f>VLOOKUP($A203,tabCustoUnit[],COLUMN(CUSTO_GLOBAL[[#Headers],[Máquinas e Equipamentos (depreciação)]])-2,0)*($G203-$H203)</f>
        <v>0</v>
      </c>
      <c r="BL203" s="22">
        <f>VLOOKUP($A203,tabCustoUnit[],COLUMN(CUSTO_GLOBAL[[#Headers],[Produtos de Limpeza e Materiais de Higiene Pessoal]])-2,0)*($G203-$H203)</f>
        <v>0</v>
      </c>
      <c r="BM203" s="22">
        <f>VLOOKUP($A203,tabCustoUnit[],COLUMN(CUSTO_GLOBAL[[#Headers],[Outros (especificar)]])-2,0)*($G203-$H203)</f>
        <v>0</v>
      </c>
      <c r="BN203" s="22">
        <f>VLOOKUP($A203,tabCustoUnit[],COLUMN(CUSTO_GLOBAL[[#Headers],[MÓDULO 5 – INSUMOS DIVERSOS]])-2,0)*($G203-$H203)</f>
        <v>56.642978962543395</v>
      </c>
      <c r="BO203" s="22" t="e">
        <f ca="1">VLOOKUP($A203,tabCustoUnit[],COLUMN(CUSTO_GLOBAL[[#Headers],[TOTAL MÓDULOS 1+2+3+4+5]])-2,0)*($G203-$H203)</f>
        <v>#NAME?</v>
      </c>
      <c r="BP203" s="22" t="e">
        <f ca="1">VLOOKUP($A203,tabCustoUnit[],COLUMN(CUSTO_GLOBAL[[#Headers],[Custos Indiretos]])-2,0)*($G203-$H203)</f>
        <v>#NAME?</v>
      </c>
      <c r="BQ203" s="22" t="e">
        <f ca="1">VLOOKUP($A203,tabCustoUnit[],COLUMN(CUSTO_GLOBAL[[#Headers],[Lucro]])-2,0)*($G203-$H203)</f>
        <v>#NAME?</v>
      </c>
      <c r="BR203" s="26">
        <f>VLOOKUP($A203,tabCustoUnit[],COLUMN(CUSTO_GLOBAL[[#Headers],[COFINS]])-2,0)</f>
        <v>8.8629737609329504E-2</v>
      </c>
      <c r="BS203" s="26">
        <f>VLOOKUP($A203,tabCustoUnit[],COLUMN(CUSTO_GLOBAL[[#Headers],[PIS]])-2,0)</f>
        <v>1.9241982507288629E-2</v>
      </c>
      <c r="BT203" s="28">
        <f>VLOOKUP($A203,tabCustoUnit[],COLUMN(CUSTO_GLOBAL[[#Headers],[ISS]])-2,0)</f>
        <v>0.05</v>
      </c>
      <c r="BU203" s="26">
        <f>VLOOKUP($A203,tabCustoUnit[],COLUMN(CUSTO_GLOBAL[[#Headers],[ISS (Conversão Alíquota s/ fatura)]])-2,0)</f>
        <v>5.8309037900874633E-2</v>
      </c>
      <c r="BV203" s="26">
        <f>VLOOKUP($A203,tabCustoUnit[],COLUMN(CUSTO_GLOBAL[[#Headers],[Resumo de Alíquotas (PIS+CONFINS+ISS)]])-2,0)</f>
        <v>0.14250000000000002</v>
      </c>
      <c r="BW203" s="138">
        <f>VLOOKUP($A203,tabCustoUnit[],COLUMN(CUSTO_GLOBAL[[#Headers],[PIS + COFINS + ISS (Total Conversão  Alíquota s/ Fatura)]])-2,0)</f>
        <v>0.16618075801749277</v>
      </c>
      <c r="BX203" s="22" t="e">
        <f ca="1">VLOOKUP($A203,tabCustoUnit[],COLUMN(CUSTO_GLOBAL[[#Headers],[Valor dos Tributos (ISS, PIS, CONFINS)]])-2,0)*($G203-$H203)</f>
        <v>#NAME?</v>
      </c>
      <c r="BY203" s="22" t="e">
        <f ca="1">VLOOKUP($A203,tabCustoUnit[],COLUMN(CUSTO_GLOBAL[[#Headers],[MÓDULO 6 – CUSTOS INDIRETOS, TRIBUTOS E LUCRO]])-2,0)*($G203-$H203)</f>
        <v>#NAME?</v>
      </c>
      <c r="BZ203" s="22" t="e">
        <f ca="1">VLOOKUP($A203,tabCustoUnit[],COLUMN(CUSTO_GLOBAL[[#Headers],[CUSTO TOTAL MENSAL]])-2,0)*($G203-$H203)</f>
        <v>#NAME?</v>
      </c>
      <c r="CA203" s="22" t="e">
        <f ca="1">CUSTO_GLOBAL[[#This Row],[CUSTO TOTAL MENSAL]]*12</f>
        <v>#NAME?</v>
      </c>
      <c r="CB203" s="24">
        <f>VLOOKUP($A203,tabCustoUnit[],COLUMN(CUSTO_GLOBAL[[#Headers],[ANO DA CCT]])-2,0)</f>
        <v>45658</v>
      </c>
      <c r="CC203" s="25" t="str">
        <f>VLOOKUP($A203,tabCustoUnit[],COLUMN(CUSTO_GLOBAL[[#Headers],[Nº DE PEDIDO DA CCT]])-2,0)</f>
        <v>-</v>
      </c>
      <c r="CD203" s="25" t="str">
        <f>VLOOKUP($A203,tabCustoUnit[],COLUMN(CUSTO_GLOBAL[[#Headers],[TERMO ADITIVO ALTERAÇÃO DA CCT]])-2,0)</f>
        <v>-</v>
      </c>
    </row>
    <row r="204" spans="1:82">
      <c r="A204" s="20" t="s">
        <v>1489</v>
      </c>
      <c r="B204" t="s">
        <v>1160</v>
      </c>
      <c r="C204" t="s">
        <v>214</v>
      </c>
      <c r="D204" t="s">
        <v>1054</v>
      </c>
      <c r="E204" s="20" t="s">
        <v>1090</v>
      </c>
      <c r="F204" s="20" t="s">
        <v>120</v>
      </c>
      <c r="G204" s="20">
        <v>1</v>
      </c>
      <c r="H204" s="20">
        <v>0</v>
      </c>
      <c r="I204" s="21">
        <f>VLOOKUP($A204,tabCustoUnit[],COLUMN(CUSTO_GLOBAL[[#Headers],[Salário Base]])-2,0)*($G204-$H204)</f>
        <v>1836.5985000000001</v>
      </c>
      <c r="J204" s="21">
        <f>VLOOKUP($A204,tabCustoUnit[],COLUMN(CUSTO_GLOBAL[[#Headers],[Adicional Periculosidade]])-2,0)*($G204-$H204)</f>
        <v>0</v>
      </c>
      <c r="K204" s="21">
        <f>VLOOKUP($A204,tabCustoUnit[],COLUMN(CUSTO_GLOBAL[[#Headers],[Adicional Insalubridade]])-2,0)*($G204-$H204)</f>
        <v>0</v>
      </c>
      <c r="L204" s="21">
        <f>VLOOKUP($A204,tabCustoUnit[],COLUMN(CUSTO_GLOBAL[[#Headers],[Adicional Noturno]])-2,0)*($G204-$H204)</f>
        <v>0</v>
      </c>
      <c r="M204" s="21">
        <f>VLOOKUP($A204,tabCustoUnit[],COLUMN(CUSTO_GLOBAL[[#Headers],[Adicional Motorista II (Gratificação)]])-2,0)*($G204-$H204)</f>
        <v>0</v>
      </c>
      <c r="N204" s="21">
        <f>VLOOKUP($A204,tabCustoUnit[],COLUMN(CUSTO_GLOBAL[[#Headers],[Adicional de Sobreaviso]])-2,0)*($G204-$H204)</f>
        <v>0</v>
      </c>
      <c r="O204" s="21">
        <f>VLOOKUP($A204,tabCustoUnit[],COLUMN(CUSTO_GLOBAL[[#Headers],[Horas Extras TI]])-2,0)*($G204-$H204)</f>
        <v>0</v>
      </c>
      <c r="P204" s="21">
        <f>VLOOKUP($A204,tabCustoUnit[],COLUMN(CUSTO_GLOBAL[[#Headers],[Adicional de Acúmulo de função]])-2,0)*($G204-$H204)</f>
        <v>0</v>
      </c>
      <c r="Q204" s="21">
        <f>VLOOKUP($A204,tabCustoUnit[],COLUMN(CUSTO_GLOBAL[[#Headers],[MODULO 1 - REMUNERAÇÃO ]])-2,0)*($G204-$H204)</f>
        <v>1836.5985000000001</v>
      </c>
      <c r="R204" s="21">
        <f>VLOOKUP($A204,tabCustoUnit[],COLUMN(CUSTO_GLOBAL[[#Headers],[INSS]])-2,0)*($G204-$H204)</f>
        <v>367.31970000000001</v>
      </c>
      <c r="S204" s="21">
        <f>VLOOKUP($A204,tabCustoUnit[],COLUMN(CUSTO_GLOBAL[[#Headers],[SESI OU SESC]])-2,0)*($G204-$H204)</f>
        <v>27.548977499999999</v>
      </c>
      <c r="T204" s="21">
        <f>VLOOKUP($A204,tabCustoUnit[],COLUMN(CUSTO_GLOBAL[[#Headers],[SENAI OU SENAC]])-2,0)*($G204-$H204)</f>
        <v>18.365985000000002</v>
      </c>
      <c r="U204" s="21">
        <f>VLOOKUP($A204,tabCustoUnit[],COLUMN(CUSTO_GLOBAL[[#Headers],[INCRA]])-2,0)*($G204-$H204)</f>
        <v>3.673197</v>
      </c>
      <c r="V204" s="21">
        <f>VLOOKUP($A204,tabCustoUnit[],COLUMN(CUSTO_GLOBAL[[#Headers],[Salário Educação]])-2,0)*($G204-$H204)</f>
        <v>45.914962500000001</v>
      </c>
      <c r="W204" s="21">
        <f>VLOOKUP($A204,tabCustoUnit[],COLUMN(CUSTO_GLOBAL[[#Headers],[FGTS]])-2,0)*($G204-$H204)</f>
        <v>146.92788000000002</v>
      </c>
      <c r="X204" s="21">
        <f>VLOOKUP($A204,tabCustoUnit[],COLUMN(CUSTO_GLOBAL[[#Headers],[RAT Ajustado]])-2,0)*($G204-$H204)</f>
        <v>73.463940000000008</v>
      </c>
      <c r="Y204" s="21">
        <f>VLOOKUP($A204,tabCustoUnit[],COLUMN(CUSTO_GLOBAL[[#Headers],[SEBRAE]])-2,0)*($G204-$H204)</f>
        <v>11.019591</v>
      </c>
      <c r="Z204" s="21">
        <f>VLOOKUP($A204,tabCustoUnit[],COLUMN(CUSTO_GLOBAL[[#Headers],[Submódulo 2.1]])-2,0)*($G204-$H204)</f>
        <v>694.23423300000002</v>
      </c>
      <c r="AA204" s="21">
        <f>VLOOKUP($A204,tabCustoUnit[],COLUMN(CUSTO_GLOBAL[[#Headers],[13º salário (titular)]])-2,0)*($G204-$H204)</f>
        <v>153.04987499999999</v>
      </c>
      <c r="AB204" s="21">
        <f>VLOOKUP($A204,tabCustoUnit[],COLUMN(CUSTO_GLOBAL[[#Headers],[Férias e Adicional de Férias (titular)]])-2,0)*($G204-$H204)</f>
        <v>204.06649999999999</v>
      </c>
      <c r="AC204" s="21">
        <f>VLOOKUP($A204,tabCustoUnit[],COLUMN(CUSTO_GLOBAL[[#Headers],[Incidência do Submódulo 2.1 sobre 13º Salário, Férias e Adicional de Férias]])-2,0)*($G204-$H204)</f>
        <v>134.98998974999998</v>
      </c>
      <c r="AD204" s="21">
        <f>VLOOKUP($A204,tabCustoUnit[],COLUMN(CUSTO_GLOBAL[[#Headers],[Submódulo 2.2]])-2,0)*($G204-$H204)</f>
        <v>492.1063647499999</v>
      </c>
      <c r="AE204" s="22" t="e">
        <f ca="1">VLOOKUP($A204,tabCustoUnit[],COLUMN(CUSTO_GLOBAL[[#Headers],[Vale - Transporte (Descontada parcela do empregado)]])-2,0)*($G204-$H204)</f>
        <v>#NAME?</v>
      </c>
      <c r="AF204" s="22">
        <f>VLOOKUP($A204,tabCustoUnit[],COLUMN(CUSTO_GLOBAL[[#Headers],[Vale - Alimentação (Descontada parcela do empregado)]])-2,0)*($G204-$H204)</f>
        <v>581.79999999999995</v>
      </c>
      <c r="AG204" s="22">
        <f>VLOOKUP($A204,tabCustoUnit[],COLUMN(CUSTO_GLOBAL[[#Headers],[Cesta Básica]])-2,0)*($G204-$H204)</f>
        <v>0</v>
      </c>
      <c r="AH204" s="22">
        <f>VLOOKUP($A204,tabCustoUnit[],COLUMN(CUSTO_GLOBAL[[#Headers],[PAF]])-2,0)*($G204-$H204)</f>
        <v>51.73</v>
      </c>
      <c r="AI204" s="22">
        <f>VLOOKUP($A204,tabCustoUnit[],COLUMN(CUSTO_GLOBAL[[#Headers],[PQM]])-2,0)*($G204-$H204)</f>
        <v>0</v>
      </c>
      <c r="AJ204" s="22">
        <v>0</v>
      </c>
      <c r="AK204" s="22">
        <f>VLOOKUP($A204,tabCustoUnit[],COLUMN(CUSTO_GLOBAL[[#Headers],[Seguro de Vida]])-2,0)*($G204-$H204)</f>
        <v>3.36</v>
      </c>
      <c r="AL204" s="22">
        <f>VLOOKUP($A204,tabCustoUnit[],COLUMN(CUSTO_GLOBAL[[#Headers],[Despesas de Viagem]])-2,0)*($G204-$H204)</f>
        <v>0</v>
      </c>
      <c r="AM204" s="22" t="e">
        <f ca="1">VLOOKUP($A204,tabCustoUnit[],COLUMN(CUSTO_GLOBAL[[#Headers],[Submódulo 2.3]])-2,0)*($G204-$H204)</f>
        <v>#NAME?</v>
      </c>
      <c r="AN204" s="22" t="e">
        <f ca="1">VLOOKUP($A204,tabCustoUnit[],COLUMN(CUSTO_GLOBAL[[#Headers],[MÓDULO 2 - Total Encargos e Benefícios mensais e diários]])-2,0)*($G204-$H204)</f>
        <v>#NAME?</v>
      </c>
      <c r="AO204" s="22">
        <f>VLOOKUP($A204,tabCustoUnit[],COLUMN(CUSTO_GLOBAL[[#Headers],[Aviso Prévio Indenizado (API) e Reflexo do Aviso Prévio Indenizado]])-2,0)*($G204-$H204)</f>
        <v>12.87780070920139</v>
      </c>
      <c r="AP204" s="22">
        <f>VLOOKUP($A204,tabCustoUnit[],COLUMN(CUSTO_GLOBAL[[#Headers],[Incidência do FGTS sobre API e Reflexo do API]])-2,0)*($G204-$H204)</f>
        <v>1.0302240567361112</v>
      </c>
      <c r="AQ204" s="22">
        <f>VLOOKUP($A204,tabCustoUnit[],COLUMN(CUSTO_GLOBAL[[#Headers],[Multa Rescisória do FGTS sobre o Aviso Prévio Indenizado]])-2,0)*($G204-$H204)</f>
        <v>0.41208962269444455</v>
      </c>
      <c r="AR204" s="22">
        <f>VLOOKUP($A204,tabCustoUnit[],COLUMN(CUSTO_GLOBAL[[#Headers],[Aviso Prévio Trabalhado - APT]])-2,0)*($G204-$H204)</f>
        <v>6.4280947500000014</v>
      </c>
      <c r="AS204" s="22">
        <f>VLOOKUP($A204,tabCustoUnit[],COLUMN(CUSTO_GLOBAL[[#Headers],[Incidência dos encargos do submódulo 2.1 sobre Aviso Prévio Trabalhado]])-2,0)*($G204-$H204)</f>
        <v>2.4298198155000006</v>
      </c>
      <c r="AT204" s="22">
        <f>VLOOKUP($A204,tabCustoUnit[],COLUMN(CUSTO_GLOBAL[[#Headers],[Multa Rescisória do FGTS]])-2,0)*($G204-$H204)</f>
        <v>56.15910079999999</v>
      </c>
      <c r="AU204" s="22">
        <f>VLOOKUP($A204,tabCustoUnit[],COLUMN(CUSTO_GLOBAL[[#Headers],[Indenização Adicional (Art. 9º da Lei nº 7.238/84)]])-2,0)*($G204-$H204)</f>
        <v>1.5304987500000002</v>
      </c>
      <c r="AV204" s="22">
        <f>VLOOKUP($A204,tabCustoUnit[],COLUMN(CUSTO_GLOBAL[[#Headers],[MÓDULO 3 – PROVISÃO PARA RESCISÃO]])-2,0)*($G204-$H204)</f>
        <v>80.867628504131943</v>
      </c>
      <c r="AW204" s="22">
        <f>VLOOKUP($A204,tabCustoUnit[],COLUMN(CUSTO_GLOBAL[[#Headers],[Ausência por Doença]])-2,0)*($G204-$H204)</f>
        <v>15.509053999999999</v>
      </c>
      <c r="AX204" s="22">
        <f>VLOOKUP($A204,tabCustoUnit[],COLUMN(CUSTO_GLOBAL[[#Headers],[Ausências Legais]])-2,0)*($G204-$H204)</f>
        <v>3.724213625</v>
      </c>
      <c r="AY204" s="22">
        <f>VLOOKUP($A204,tabCustoUnit[],COLUMN(CUSTO_GLOBAL[[#Headers],[Licença Paternidade]])-2,0)*($G204-$H204)</f>
        <v>0.31375224374999999</v>
      </c>
      <c r="AZ204" s="22">
        <f>VLOOKUP($A204,tabCustoUnit[],COLUMN(CUSTO_GLOBAL[[#Headers],[Ausência por Acidente de Trabalho]])-2,0)*($G204-$H204)</f>
        <v>0.38262468750000006</v>
      </c>
      <c r="BA204" s="22">
        <f>VLOOKUP($A204,tabCustoUnit[],COLUMN(CUSTO_GLOBAL[[#Headers],[Férias, Adicional de Férias e 13º  com empregada em gozo de Licença Maternidade]])-2,0)*($G204-$H204)</f>
        <v>2.3807758333333333</v>
      </c>
      <c r="BB204" s="22">
        <f>VLOOKUP($A204,tabCustoUnit[],COLUMN(CUSTO_GLOBAL[[#Headers],[Incidência do Submódulo 2.1 sobre Ausências Legais]])-2,0)*($G204-$H204)</f>
        <v>8.4333389072625025</v>
      </c>
      <c r="BC204" s="22">
        <f>VLOOKUP($A204,tabCustoUnit[],COLUMN(CUSTO_GLOBAL[[#Headers],[Submódulo 4.1]])-2,0)*($G204-$H204)</f>
        <v>30.743759296845838</v>
      </c>
      <c r="BD204" s="22">
        <f>VLOOKUP($A204,tabCustoUnit[],COLUMN(CUSTO_GLOBAL[[#Headers],[Intervalo para Repouso ou Alimentação]])-2,0)*($G204-$H204)</f>
        <v>0</v>
      </c>
      <c r="BE204" s="22">
        <f>VLOOKUP($A204,tabCustoUnit[],COLUMN(CUSTO_GLOBAL[[#Headers],[Submódulo 4.2]])-2,0)*($G204-$H204)</f>
        <v>0</v>
      </c>
      <c r="BF204" s="22">
        <f>VLOOKUP($A204,tabCustoUnit[],COLUMN(CUSTO_GLOBAL[[#Headers],[Suspensão Temporária do Contrato de Trabalho]])-2,0)*($G204-$H204)</f>
        <v>0</v>
      </c>
      <c r="BG204" s="22">
        <f>VLOOKUP($A204,tabCustoUnit[],COLUMN(CUSTO_GLOBAL[[#Headers],[Submódulo 4.3]])-2,0)*($G204-$H204)</f>
        <v>0</v>
      </c>
      <c r="BH204" s="22">
        <f>VLOOKUP($A204,tabCustoUnit[],COLUMN(CUSTO_GLOBAL[[#Headers],[MÓDULO 4 – CUSTO DE REPOSIÇÃO DO PROFISSIONAL AUSENTE]])-2,0)*($G204-$H204)</f>
        <v>30.743759296845838</v>
      </c>
      <c r="BI204" s="22">
        <f>VLOOKUP($A204,tabCustoUnit[],COLUMN(CUSTO_GLOBAL[[#Headers],[Uniformes e EPIs]])-2,0)*($G204-$H204)</f>
        <v>44.111346448706357</v>
      </c>
      <c r="BJ204" s="22">
        <f>VLOOKUP($A204,tabCustoUnit[],COLUMN(CUSTO_GLOBAL[[#Headers],[Materiais de Consumo]])-2,0)*($G204-$H204)</f>
        <v>0</v>
      </c>
      <c r="BK204" s="22">
        <f>VLOOKUP($A204,tabCustoUnit[],COLUMN(CUSTO_GLOBAL[[#Headers],[Máquinas e Equipamentos (depreciação)]])-2,0)*($G204-$H204)</f>
        <v>0</v>
      </c>
      <c r="BL204" s="22">
        <f>VLOOKUP($A204,tabCustoUnit[],COLUMN(CUSTO_GLOBAL[[#Headers],[Produtos de Limpeza e Materiais de Higiene Pessoal]])-2,0)*($G204-$H204)</f>
        <v>0</v>
      </c>
      <c r="BM204" s="22">
        <f>VLOOKUP($A204,tabCustoUnit[],COLUMN(CUSTO_GLOBAL[[#Headers],[Outros (especificar)]])-2,0)*($G204-$H204)</f>
        <v>0</v>
      </c>
      <c r="BN204" s="22">
        <f>VLOOKUP($A204,tabCustoUnit[],COLUMN(CUSTO_GLOBAL[[#Headers],[MÓDULO 5 – INSUMOS DIVERSOS]])-2,0)*($G204-$H204)</f>
        <v>44.111346448706357</v>
      </c>
      <c r="BO204" s="22" t="e">
        <f ca="1">VLOOKUP($A204,tabCustoUnit[],COLUMN(CUSTO_GLOBAL[[#Headers],[TOTAL MÓDULOS 1+2+3+4+5]])-2,0)*($G204-$H204)</f>
        <v>#NAME?</v>
      </c>
      <c r="BP204" s="22" t="e">
        <f ca="1">VLOOKUP($A204,tabCustoUnit[],COLUMN(CUSTO_GLOBAL[[#Headers],[Custos Indiretos]])-2,0)*($G204-$H204)</f>
        <v>#NAME?</v>
      </c>
      <c r="BQ204" s="22" t="e">
        <f ca="1">VLOOKUP($A204,tabCustoUnit[],COLUMN(CUSTO_GLOBAL[[#Headers],[Lucro]])-2,0)*($G204-$H204)</f>
        <v>#NAME?</v>
      </c>
      <c r="BR204" s="26">
        <f>VLOOKUP($A204,tabCustoUnit[],COLUMN(CUSTO_GLOBAL[[#Headers],[COFINS]])-2,0)</f>
        <v>8.6609686609686695E-2</v>
      </c>
      <c r="BS204" s="26">
        <f>VLOOKUP($A204,tabCustoUnit[],COLUMN(CUSTO_GLOBAL[[#Headers],[PIS]])-2,0)</f>
        <v>1.880341880341882E-2</v>
      </c>
      <c r="BT204" s="28">
        <f>VLOOKUP($A204,tabCustoUnit[],COLUMN(CUSTO_GLOBAL[[#Headers],[ISS]])-2,0)</f>
        <v>0.03</v>
      </c>
      <c r="BU204" s="26">
        <f>VLOOKUP($A204,tabCustoUnit[],COLUMN(CUSTO_GLOBAL[[#Headers],[ISS (Conversão Alíquota s/ fatura)]])-2,0)</f>
        <v>3.4188034188034219E-2</v>
      </c>
      <c r="BV204" s="26">
        <f>VLOOKUP($A204,tabCustoUnit[],COLUMN(CUSTO_GLOBAL[[#Headers],[Resumo de Alíquotas (PIS+CONFINS+ISS)]])-2,0)</f>
        <v>0.1225</v>
      </c>
      <c r="BW204" s="138">
        <f>VLOOKUP($A204,tabCustoUnit[],COLUMN(CUSTO_GLOBAL[[#Headers],[PIS + COFINS + ISS (Total Conversão  Alíquota s/ Fatura)]])-2,0)</f>
        <v>0.13960113960113973</v>
      </c>
      <c r="BX204" s="22" t="e">
        <f ca="1">VLOOKUP($A204,tabCustoUnit[],COLUMN(CUSTO_GLOBAL[[#Headers],[Valor dos Tributos (ISS, PIS, CONFINS)]])-2,0)*($G204-$H204)</f>
        <v>#NAME?</v>
      </c>
      <c r="BY204" s="22" t="e">
        <f ca="1">VLOOKUP($A204,tabCustoUnit[],COLUMN(CUSTO_GLOBAL[[#Headers],[MÓDULO 6 – CUSTOS INDIRETOS, TRIBUTOS E LUCRO]])-2,0)*($G204-$H204)</f>
        <v>#NAME?</v>
      </c>
      <c r="BZ204" s="22" t="e">
        <f ca="1">VLOOKUP($A204,tabCustoUnit[],COLUMN(CUSTO_GLOBAL[[#Headers],[CUSTO TOTAL MENSAL]])-2,0)*($G204-$H204)</f>
        <v>#NAME?</v>
      </c>
      <c r="CA204" s="22" t="e">
        <f ca="1">CUSTO_GLOBAL[[#This Row],[CUSTO TOTAL MENSAL]]*12</f>
        <v>#NAME?</v>
      </c>
      <c r="CB204" s="24">
        <f>VLOOKUP($A204,tabCustoUnit[],COLUMN(CUSTO_GLOBAL[[#Headers],[ANO DA CCT]])-2,0)</f>
        <v>45658</v>
      </c>
      <c r="CC204" s="25" t="str">
        <f>VLOOKUP($A204,tabCustoUnit[],COLUMN(CUSTO_GLOBAL[[#Headers],[Nº DE PEDIDO DA CCT]])-2,0)</f>
        <v>-</v>
      </c>
      <c r="CD204" s="25" t="str">
        <f>VLOOKUP($A204,tabCustoUnit[],COLUMN(CUSTO_GLOBAL[[#Headers],[TERMO ADITIVO ALTERAÇÃO DA CCT]])-2,0)</f>
        <v>-</v>
      </c>
    </row>
    <row r="205" spans="1:82">
      <c r="A205" s="20" t="s">
        <v>1641</v>
      </c>
      <c r="B205" t="s">
        <v>1160</v>
      </c>
      <c r="C205" t="s">
        <v>324</v>
      </c>
      <c r="D205" t="s">
        <v>961</v>
      </c>
      <c r="E205" s="20" t="s">
        <v>1090</v>
      </c>
      <c r="F205" s="20" t="s">
        <v>120</v>
      </c>
      <c r="G205" s="20">
        <v>1</v>
      </c>
      <c r="H205" s="20">
        <v>0</v>
      </c>
      <c r="I205" s="21">
        <f>VLOOKUP($A205,tabCustoUnit[],COLUMN(CUSTO_GLOBAL[[#Headers],[Salário Base]])-2,0)*($G205-$H205)</f>
        <v>3397.1305000000002</v>
      </c>
      <c r="J205" s="21">
        <f>VLOOKUP($A205,tabCustoUnit[],COLUMN(CUSTO_GLOBAL[[#Headers],[Adicional Periculosidade]])-2,0)*($G205-$H205)</f>
        <v>0</v>
      </c>
      <c r="K205" s="21">
        <f>VLOOKUP($A205,tabCustoUnit[],COLUMN(CUSTO_GLOBAL[[#Headers],[Adicional Insalubridade]])-2,0)*($G205-$H205)</f>
        <v>0</v>
      </c>
      <c r="L205" s="21">
        <f>VLOOKUP($A205,tabCustoUnit[],COLUMN(CUSTO_GLOBAL[[#Headers],[Adicional Noturno]])-2,0)*($G205-$H205)</f>
        <v>0</v>
      </c>
      <c r="M205" s="21">
        <f>VLOOKUP($A205,tabCustoUnit[],COLUMN(CUSTO_GLOBAL[[#Headers],[Adicional Motorista II (Gratificação)]])-2,0)*($G205-$H205)</f>
        <v>0</v>
      </c>
      <c r="N205" s="21">
        <f>VLOOKUP($A205,tabCustoUnit[],COLUMN(CUSTO_GLOBAL[[#Headers],[Adicional de Sobreaviso]])-2,0)*($G205-$H205)</f>
        <v>0</v>
      </c>
      <c r="O205" s="21">
        <f>VLOOKUP($A205,tabCustoUnit[],COLUMN(CUSTO_GLOBAL[[#Headers],[Horas Extras TI]])-2,0)*($G205-$H205)</f>
        <v>0</v>
      </c>
      <c r="P205" s="21">
        <f>VLOOKUP($A205,tabCustoUnit[],COLUMN(CUSTO_GLOBAL[[#Headers],[Adicional de Acúmulo de função]])-2,0)*($G205-$H205)</f>
        <v>0</v>
      </c>
      <c r="Q205" s="21">
        <f>VLOOKUP($A205,tabCustoUnit[],COLUMN(CUSTO_GLOBAL[[#Headers],[MODULO 1 - REMUNERAÇÃO ]])-2,0)*($G205-$H205)</f>
        <v>3397.1305000000002</v>
      </c>
      <c r="R205" s="21">
        <f>VLOOKUP($A205,tabCustoUnit[],COLUMN(CUSTO_GLOBAL[[#Headers],[INSS]])-2,0)*($G205-$H205)</f>
        <v>679.42610000000013</v>
      </c>
      <c r="S205" s="21">
        <f>VLOOKUP($A205,tabCustoUnit[],COLUMN(CUSTO_GLOBAL[[#Headers],[SESI OU SESC]])-2,0)*($G205-$H205)</f>
        <v>50.956957500000001</v>
      </c>
      <c r="T205" s="21">
        <f>VLOOKUP($A205,tabCustoUnit[],COLUMN(CUSTO_GLOBAL[[#Headers],[SENAI OU SENAC]])-2,0)*($G205-$H205)</f>
        <v>33.971305000000001</v>
      </c>
      <c r="U205" s="21">
        <f>VLOOKUP($A205,tabCustoUnit[],COLUMN(CUSTO_GLOBAL[[#Headers],[INCRA]])-2,0)*($G205-$H205)</f>
        <v>6.7942610000000005</v>
      </c>
      <c r="V205" s="21">
        <f>VLOOKUP($A205,tabCustoUnit[],COLUMN(CUSTO_GLOBAL[[#Headers],[Salário Educação]])-2,0)*($G205-$H205)</f>
        <v>84.928262500000017</v>
      </c>
      <c r="W205" s="21">
        <f>VLOOKUP($A205,tabCustoUnit[],COLUMN(CUSTO_GLOBAL[[#Headers],[FGTS]])-2,0)*($G205-$H205)</f>
        <v>271.77044000000001</v>
      </c>
      <c r="X205" s="21">
        <f>VLOOKUP($A205,tabCustoUnit[],COLUMN(CUSTO_GLOBAL[[#Headers],[RAT Ajustado]])-2,0)*($G205-$H205)</f>
        <v>135.88522</v>
      </c>
      <c r="Y205" s="21">
        <f>VLOOKUP($A205,tabCustoUnit[],COLUMN(CUSTO_GLOBAL[[#Headers],[SEBRAE]])-2,0)*($G205-$H205)</f>
        <v>20.382783000000003</v>
      </c>
      <c r="Z205" s="21">
        <f>VLOOKUP($A205,tabCustoUnit[],COLUMN(CUSTO_GLOBAL[[#Headers],[Submódulo 2.1]])-2,0)*($G205-$H205)</f>
        <v>1284.1153290000002</v>
      </c>
      <c r="AA205" s="21">
        <f>VLOOKUP($A205,tabCustoUnit[],COLUMN(CUSTO_GLOBAL[[#Headers],[13º salário (titular)]])-2,0)*($G205-$H205)</f>
        <v>283.09420833333331</v>
      </c>
      <c r="AB205" s="21">
        <f>VLOOKUP($A205,tabCustoUnit[],COLUMN(CUSTO_GLOBAL[[#Headers],[Férias e Adicional de Férias (titular)]])-2,0)*($G205-$H205)</f>
        <v>377.45894444444446</v>
      </c>
      <c r="AC205" s="21">
        <f>VLOOKUP($A205,tabCustoUnit[],COLUMN(CUSTO_GLOBAL[[#Headers],[Incidência do Submódulo 2.1 sobre 13º Salário, Férias e Adicional de Férias]])-2,0)*($G205-$H205)</f>
        <v>249.68909175000005</v>
      </c>
      <c r="AD205" s="21">
        <f>VLOOKUP($A205,tabCustoUnit[],COLUMN(CUSTO_GLOBAL[[#Headers],[Submódulo 2.2]])-2,0)*($G205-$H205)</f>
        <v>910.24224452777776</v>
      </c>
      <c r="AE205" s="22" t="e">
        <f ca="1">VLOOKUP($A205,tabCustoUnit[],COLUMN(CUSTO_GLOBAL[[#Headers],[Vale - Transporte (Descontada parcela do empregado)]])-2,0)*($G205-$H205)</f>
        <v>#NAME?</v>
      </c>
      <c r="AF205" s="22">
        <f>VLOOKUP($A205,tabCustoUnit[],COLUMN(CUSTO_GLOBAL[[#Headers],[Vale - Alimentação (Descontada parcela do empregado)]])-2,0)*($G205-$H205)</f>
        <v>582</v>
      </c>
      <c r="AG205" s="22">
        <f>VLOOKUP($A205,tabCustoUnit[],COLUMN(CUSTO_GLOBAL[[#Headers],[Cesta Básica]])-2,0)*($G205-$H205)</f>
        <v>0</v>
      </c>
      <c r="AH205" s="22">
        <f>VLOOKUP($A205,tabCustoUnit[],COLUMN(CUSTO_GLOBAL[[#Headers],[PAF]])-2,0)*($G205-$H205)</f>
        <v>0</v>
      </c>
      <c r="AI205" s="22">
        <f>VLOOKUP($A205,tabCustoUnit[],COLUMN(CUSTO_GLOBAL[[#Headers],[PQM]])-2,0)*($G205-$H205)</f>
        <v>0</v>
      </c>
      <c r="AJ205" s="22">
        <v>0</v>
      </c>
      <c r="AK205" s="22">
        <f>VLOOKUP($A205,tabCustoUnit[],COLUMN(CUSTO_GLOBAL[[#Headers],[Seguro de Vida]])-2,0)*($G205-$H205)</f>
        <v>3.36</v>
      </c>
      <c r="AL205" s="22">
        <f>VLOOKUP($A205,tabCustoUnit[],COLUMN(CUSTO_GLOBAL[[#Headers],[Despesas de Viagem]])-2,0)*($G205-$H205)</f>
        <v>0</v>
      </c>
      <c r="AM205" s="22" t="e">
        <f ca="1">VLOOKUP($A205,tabCustoUnit[],COLUMN(CUSTO_GLOBAL[[#Headers],[Submódulo 2.3]])-2,0)*($G205-$H205)</f>
        <v>#NAME?</v>
      </c>
      <c r="AN205" s="22" t="e">
        <f ca="1">VLOOKUP($A205,tabCustoUnit[],COLUMN(CUSTO_GLOBAL[[#Headers],[MÓDULO 2 - Total Encargos e Benefícios mensais e diários]])-2,0)*($G205-$H205)</f>
        <v>#NAME?</v>
      </c>
      <c r="AO205" s="22">
        <f>VLOOKUP($A205,tabCustoUnit[],COLUMN(CUSTO_GLOBAL[[#Headers],[Aviso Prévio Indenizado (API) e Reflexo do Aviso Prévio Indenizado]])-2,0)*($G205-$H205)</f>
        <v>23.819887450713736</v>
      </c>
      <c r="AP205" s="22">
        <f>VLOOKUP($A205,tabCustoUnit[],COLUMN(CUSTO_GLOBAL[[#Headers],[Incidência do FGTS sobre API e Reflexo do API]])-2,0)*($G205-$H205)</f>
        <v>1.9055909960570991</v>
      </c>
      <c r="AQ205" s="22">
        <f>VLOOKUP($A205,tabCustoUnit[],COLUMN(CUSTO_GLOBAL[[#Headers],[Multa Rescisória do FGTS sobre o Aviso Prévio Indenizado]])-2,0)*($G205-$H205)</f>
        <v>0.76223639842283974</v>
      </c>
      <c r="AR205" s="22">
        <f>VLOOKUP($A205,tabCustoUnit[],COLUMN(CUSTO_GLOBAL[[#Headers],[Aviso Prévio Trabalhado - APT]])-2,0)*($G205-$H205)</f>
        <v>11.889956750000003</v>
      </c>
      <c r="AS205" s="22">
        <f>VLOOKUP($A205,tabCustoUnit[],COLUMN(CUSTO_GLOBAL[[#Headers],[Incidência dos encargos do submódulo 2.1 sobre Aviso Prévio Trabalhado]])-2,0)*($G205-$H205)</f>
        <v>4.4944036515000017</v>
      </c>
      <c r="AT205" s="22">
        <f>VLOOKUP($A205,tabCustoUnit[],COLUMN(CUSTO_GLOBAL[[#Headers],[Multa Rescisória do FGTS]])-2,0)*($G205-$H205)</f>
        <v>103.87670151111111</v>
      </c>
      <c r="AU205" s="22">
        <f>VLOOKUP($A205,tabCustoUnit[],COLUMN(CUSTO_GLOBAL[[#Headers],[Indenização Adicional (Art. 9º da Lei nº 7.238/84)]])-2,0)*($G205-$H205)</f>
        <v>2.8309420833333339</v>
      </c>
      <c r="AV205" s="22">
        <f>VLOOKUP($A205,tabCustoUnit[],COLUMN(CUSTO_GLOBAL[[#Headers],[MÓDULO 3 – PROVISÃO PARA RESCISÃO]])-2,0)*($G205-$H205)</f>
        <v>149.57971884113812</v>
      </c>
      <c r="AW205" s="22">
        <f>VLOOKUP($A205,tabCustoUnit[],COLUMN(CUSTO_GLOBAL[[#Headers],[Ausência por Doença]])-2,0)*($G205-$H205)</f>
        <v>28.686879777777776</v>
      </c>
      <c r="AX205" s="22">
        <f>VLOOKUP($A205,tabCustoUnit[],COLUMN(CUSTO_GLOBAL[[#Headers],[Ausências Legais]])-2,0)*($G205-$H205)</f>
        <v>6.888625736111111</v>
      </c>
      <c r="AY205" s="22">
        <f>VLOOKUP($A205,tabCustoUnit[],COLUMN(CUSTO_GLOBAL[[#Headers],[Licença Paternidade]])-2,0)*($G205-$H205)</f>
        <v>0.58034312708333335</v>
      </c>
      <c r="AZ205" s="22">
        <f>VLOOKUP($A205,tabCustoUnit[],COLUMN(CUSTO_GLOBAL[[#Headers],[Ausência por Acidente de Trabalho]])-2,0)*($G205-$H205)</f>
        <v>0.70773552083333346</v>
      </c>
      <c r="BA205" s="22">
        <f>VLOOKUP($A205,tabCustoUnit[],COLUMN(CUSTO_GLOBAL[[#Headers],[Férias, Adicional de Férias e 13º  com empregada em gozo de Licença Maternidade]])-2,0)*($G205-$H205)</f>
        <v>4.4036876851851856</v>
      </c>
      <c r="BB205" s="22">
        <f>VLOOKUP($A205,tabCustoUnit[],COLUMN(CUSTO_GLOBAL[[#Headers],[Incidência do Submódulo 2.1 sobre Ausências Legais]])-2,0)*($G205-$H205)</f>
        <v>15.599028758162504</v>
      </c>
      <c r="BC205" s="22">
        <f>VLOOKUP($A205,tabCustoUnit[],COLUMN(CUSTO_GLOBAL[[#Headers],[Submódulo 4.1]])-2,0)*($G205-$H205)</f>
        <v>56.866300605153235</v>
      </c>
      <c r="BD205" s="22">
        <f>VLOOKUP($A205,tabCustoUnit[],COLUMN(CUSTO_GLOBAL[[#Headers],[Intervalo para Repouso ou Alimentação]])-2,0)*($G205-$H205)</f>
        <v>0</v>
      </c>
      <c r="BE205" s="22">
        <f>VLOOKUP($A205,tabCustoUnit[],COLUMN(CUSTO_GLOBAL[[#Headers],[Submódulo 4.2]])-2,0)*($G205-$H205)</f>
        <v>0</v>
      </c>
      <c r="BF205" s="22">
        <f>VLOOKUP($A205,tabCustoUnit[],COLUMN(CUSTO_GLOBAL[[#Headers],[Suspensão Temporária do Contrato de Trabalho]])-2,0)*($G205-$H205)</f>
        <v>0</v>
      </c>
      <c r="BG205" s="22">
        <f>VLOOKUP($A205,tabCustoUnit[],COLUMN(CUSTO_GLOBAL[[#Headers],[Submódulo 4.3]])-2,0)*($G205-$H205)</f>
        <v>0</v>
      </c>
      <c r="BH205" s="22">
        <f>VLOOKUP($A205,tabCustoUnit[],COLUMN(CUSTO_GLOBAL[[#Headers],[MÓDULO 4 – CUSTO DE REPOSIÇÃO DO PROFISSIONAL AUSENTE]])-2,0)*($G205-$H205)</f>
        <v>56.866300605153235</v>
      </c>
      <c r="BI205" s="22">
        <f>VLOOKUP($A205,tabCustoUnit[],COLUMN(CUSTO_GLOBAL[[#Headers],[Uniformes e EPIs]])-2,0)*($G205-$H205)</f>
        <v>56.642978962543395</v>
      </c>
      <c r="BJ205" s="22">
        <f>VLOOKUP($A205,tabCustoUnit[],COLUMN(CUSTO_GLOBAL[[#Headers],[Materiais de Consumo]])-2,0)*($G205-$H205)</f>
        <v>0</v>
      </c>
      <c r="BK205" s="22">
        <f>VLOOKUP($A205,tabCustoUnit[],COLUMN(CUSTO_GLOBAL[[#Headers],[Máquinas e Equipamentos (depreciação)]])-2,0)*($G205-$H205)</f>
        <v>0</v>
      </c>
      <c r="BL205" s="22">
        <f>VLOOKUP($A205,tabCustoUnit[],COLUMN(CUSTO_GLOBAL[[#Headers],[Produtos de Limpeza e Materiais de Higiene Pessoal]])-2,0)*($G205-$H205)</f>
        <v>0</v>
      </c>
      <c r="BM205" s="22">
        <f>VLOOKUP($A205,tabCustoUnit[],COLUMN(CUSTO_GLOBAL[[#Headers],[Outros (especificar)]])-2,0)*($G205-$H205)</f>
        <v>0</v>
      </c>
      <c r="BN205" s="22">
        <f>VLOOKUP($A205,tabCustoUnit[],COLUMN(CUSTO_GLOBAL[[#Headers],[MÓDULO 5 – INSUMOS DIVERSOS]])-2,0)*($G205-$H205)</f>
        <v>56.642978962543395</v>
      </c>
      <c r="BO205" s="22" t="e">
        <f ca="1">VLOOKUP($A205,tabCustoUnit[],COLUMN(CUSTO_GLOBAL[[#Headers],[TOTAL MÓDULOS 1+2+3+4+5]])-2,0)*($G205-$H205)</f>
        <v>#NAME?</v>
      </c>
      <c r="BP205" s="22" t="e">
        <f ca="1">VLOOKUP($A205,tabCustoUnit[],COLUMN(CUSTO_GLOBAL[[#Headers],[Custos Indiretos]])-2,0)*($G205-$H205)</f>
        <v>#NAME?</v>
      </c>
      <c r="BQ205" s="22" t="e">
        <f ca="1">VLOOKUP($A205,tabCustoUnit[],COLUMN(CUSTO_GLOBAL[[#Headers],[Lucro]])-2,0)*($G205-$H205)</f>
        <v>#NAME?</v>
      </c>
      <c r="BR205" s="26">
        <f>VLOOKUP($A205,tabCustoUnit[],COLUMN(CUSTO_GLOBAL[[#Headers],[COFINS]])-2,0)</f>
        <v>8.6609686609686695E-2</v>
      </c>
      <c r="BS205" s="26">
        <f>VLOOKUP($A205,tabCustoUnit[],COLUMN(CUSTO_GLOBAL[[#Headers],[PIS]])-2,0)</f>
        <v>1.880341880341882E-2</v>
      </c>
      <c r="BT205" s="28">
        <f>VLOOKUP($A205,tabCustoUnit[],COLUMN(CUSTO_GLOBAL[[#Headers],[ISS]])-2,0)</f>
        <v>0.03</v>
      </c>
      <c r="BU205" s="26">
        <f>VLOOKUP($A205,tabCustoUnit[],COLUMN(CUSTO_GLOBAL[[#Headers],[ISS (Conversão Alíquota s/ fatura)]])-2,0)</f>
        <v>3.4188034188034219E-2</v>
      </c>
      <c r="BV205" s="26">
        <f>VLOOKUP($A205,tabCustoUnit[],COLUMN(CUSTO_GLOBAL[[#Headers],[Resumo de Alíquotas (PIS+CONFINS+ISS)]])-2,0)</f>
        <v>0.1225</v>
      </c>
      <c r="BW205" s="138">
        <f>VLOOKUP($A205,tabCustoUnit[],COLUMN(CUSTO_GLOBAL[[#Headers],[PIS + COFINS + ISS (Total Conversão  Alíquota s/ Fatura)]])-2,0)</f>
        <v>0.13960113960113973</v>
      </c>
      <c r="BX205" s="22" t="e">
        <f ca="1">VLOOKUP($A205,tabCustoUnit[],COLUMN(CUSTO_GLOBAL[[#Headers],[Valor dos Tributos (ISS, PIS, CONFINS)]])-2,0)*($G205-$H205)</f>
        <v>#NAME?</v>
      </c>
      <c r="BY205" s="22" t="e">
        <f ca="1">VLOOKUP($A205,tabCustoUnit[],COLUMN(CUSTO_GLOBAL[[#Headers],[MÓDULO 6 – CUSTOS INDIRETOS, TRIBUTOS E LUCRO]])-2,0)*($G205-$H205)</f>
        <v>#NAME?</v>
      </c>
      <c r="BZ205" s="22" t="e">
        <f ca="1">VLOOKUP($A205,tabCustoUnit[],COLUMN(CUSTO_GLOBAL[[#Headers],[CUSTO TOTAL MENSAL]])-2,0)*($G205-$H205)</f>
        <v>#NAME?</v>
      </c>
      <c r="CA205" s="22" t="e">
        <f ca="1">CUSTO_GLOBAL[[#This Row],[CUSTO TOTAL MENSAL]]*12</f>
        <v>#NAME?</v>
      </c>
      <c r="CB205" s="24">
        <f>VLOOKUP($A205,tabCustoUnit[],COLUMN(CUSTO_GLOBAL[[#Headers],[ANO DA CCT]])-2,0)</f>
        <v>45658</v>
      </c>
      <c r="CC205" s="25" t="str">
        <f>VLOOKUP($A205,tabCustoUnit[],COLUMN(CUSTO_GLOBAL[[#Headers],[Nº DE PEDIDO DA CCT]])-2,0)</f>
        <v>-</v>
      </c>
      <c r="CD205" s="25" t="str">
        <f>VLOOKUP($A205,tabCustoUnit[],COLUMN(CUSTO_GLOBAL[[#Headers],[TERMO ADITIVO ALTERAÇÃO DA CCT]])-2,0)</f>
        <v>-</v>
      </c>
    </row>
    <row r="206" spans="1:82">
      <c r="A206" s="20" t="s">
        <v>1490</v>
      </c>
      <c r="B206" t="s">
        <v>1161</v>
      </c>
      <c r="C206" t="s">
        <v>200</v>
      </c>
      <c r="D206" t="s">
        <v>1048</v>
      </c>
      <c r="E206" s="20" t="s">
        <v>1090</v>
      </c>
      <c r="F206" s="20" t="s">
        <v>120</v>
      </c>
      <c r="G206" s="20">
        <v>1</v>
      </c>
      <c r="H206" s="20">
        <v>0</v>
      </c>
      <c r="I206" s="21">
        <f>VLOOKUP($A206,tabCustoUnit[],COLUMN(CUSTO_GLOBAL[[#Headers],[Salário Base]])-2,0)*($G206-$H206)</f>
        <v>1596.2737999999999</v>
      </c>
      <c r="J206" s="21">
        <f>VLOOKUP($A206,tabCustoUnit[],COLUMN(CUSTO_GLOBAL[[#Headers],[Adicional Periculosidade]])-2,0)*($G206-$H206)</f>
        <v>0</v>
      </c>
      <c r="K206" s="21">
        <f>VLOOKUP($A206,tabCustoUnit[],COLUMN(CUSTO_GLOBAL[[#Headers],[Adicional Insalubridade]])-2,0)*($G206-$H206)</f>
        <v>0</v>
      </c>
      <c r="L206" s="21">
        <f>VLOOKUP($A206,tabCustoUnit[],COLUMN(CUSTO_GLOBAL[[#Headers],[Adicional Noturno]])-2,0)*($G206-$H206)</f>
        <v>0</v>
      </c>
      <c r="M206" s="21">
        <f>VLOOKUP($A206,tabCustoUnit[],COLUMN(CUSTO_GLOBAL[[#Headers],[Adicional Motorista II (Gratificação)]])-2,0)*($G206-$H206)</f>
        <v>0</v>
      </c>
      <c r="N206" s="21">
        <f>VLOOKUP($A206,tabCustoUnit[],COLUMN(CUSTO_GLOBAL[[#Headers],[Adicional de Sobreaviso]])-2,0)*($G206-$H206)</f>
        <v>0</v>
      </c>
      <c r="O206" s="21">
        <f>VLOOKUP($A206,tabCustoUnit[],COLUMN(CUSTO_GLOBAL[[#Headers],[Horas Extras TI]])-2,0)*($G206-$H206)</f>
        <v>0</v>
      </c>
      <c r="P206" s="21">
        <f>VLOOKUP($A206,tabCustoUnit[],COLUMN(CUSTO_GLOBAL[[#Headers],[Adicional de Acúmulo de função]])-2,0)*($G206-$H206)</f>
        <v>0</v>
      </c>
      <c r="Q206" s="21">
        <f>VLOOKUP($A206,tabCustoUnit[],COLUMN(CUSTO_GLOBAL[[#Headers],[MODULO 1 - REMUNERAÇÃO ]])-2,0)*($G206-$H206)</f>
        <v>1596.2737999999999</v>
      </c>
      <c r="R206" s="21">
        <f>VLOOKUP($A206,tabCustoUnit[],COLUMN(CUSTO_GLOBAL[[#Headers],[INSS]])-2,0)*($G206-$H206)</f>
        <v>319.25476000000003</v>
      </c>
      <c r="S206" s="21">
        <f>VLOOKUP($A206,tabCustoUnit[],COLUMN(CUSTO_GLOBAL[[#Headers],[SESI OU SESC]])-2,0)*($G206-$H206)</f>
        <v>23.944106999999999</v>
      </c>
      <c r="T206" s="21">
        <f>VLOOKUP($A206,tabCustoUnit[],COLUMN(CUSTO_GLOBAL[[#Headers],[SENAI OU SENAC]])-2,0)*($G206-$H206)</f>
        <v>15.962738</v>
      </c>
      <c r="U206" s="21">
        <f>VLOOKUP($A206,tabCustoUnit[],COLUMN(CUSTO_GLOBAL[[#Headers],[INCRA]])-2,0)*($G206-$H206)</f>
        <v>3.1925476000000002</v>
      </c>
      <c r="V206" s="21">
        <f>VLOOKUP($A206,tabCustoUnit[],COLUMN(CUSTO_GLOBAL[[#Headers],[Salário Educação]])-2,0)*($G206-$H206)</f>
        <v>39.906845000000004</v>
      </c>
      <c r="W206" s="21">
        <f>VLOOKUP($A206,tabCustoUnit[],COLUMN(CUSTO_GLOBAL[[#Headers],[FGTS]])-2,0)*($G206-$H206)</f>
        <v>127.701904</v>
      </c>
      <c r="X206" s="21">
        <f>VLOOKUP($A206,tabCustoUnit[],COLUMN(CUSTO_GLOBAL[[#Headers],[RAT Ajustado]])-2,0)*($G206-$H206)</f>
        <v>63.850951999999999</v>
      </c>
      <c r="Y206" s="21">
        <f>VLOOKUP($A206,tabCustoUnit[],COLUMN(CUSTO_GLOBAL[[#Headers],[SEBRAE]])-2,0)*($G206-$H206)</f>
        <v>9.5776427999999996</v>
      </c>
      <c r="Z206" s="21">
        <f>VLOOKUP($A206,tabCustoUnit[],COLUMN(CUSTO_GLOBAL[[#Headers],[Submódulo 2.1]])-2,0)*($G206-$H206)</f>
        <v>603.39149640000005</v>
      </c>
      <c r="AA206" s="21">
        <f>VLOOKUP($A206,tabCustoUnit[],COLUMN(CUSTO_GLOBAL[[#Headers],[13º salário (titular)]])-2,0)*($G206-$H206)</f>
        <v>133.02281666666664</v>
      </c>
      <c r="AB206" s="21">
        <f>VLOOKUP($A206,tabCustoUnit[],COLUMN(CUSTO_GLOBAL[[#Headers],[Férias e Adicional de Férias (titular)]])-2,0)*($G206-$H206)</f>
        <v>177.36375555555554</v>
      </c>
      <c r="AC206" s="21">
        <f>VLOOKUP($A206,tabCustoUnit[],COLUMN(CUSTO_GLOBAL[[#Headers],[Incidência do Submódulo 2.1 sobre 13º Salário, Férias e Adicional de Férias]])-2,0)*($G206-$H206)</f>
        <v>117.3261243</v>
      </c>
      <c r="AD206" s="21">
        <f>VLOOKUP($A206,tabCustoUnit[],COLUMN(CUSTO_GLOBAL[[#Headers],[Submódulo 2.2]])-2,0)*($G206-$H206)</f>
        <v>427.71269652222219</v>
      </c>
      <c r="AE206" s="22" t="e">
        <f ca="1">VLOOKUP($A206,tabCustoUnit[],COLUMN(CUSTO_GLOBAL[[#Headers],[Vale - Transporte (Descontada parcela do empregado)]])-2,0)*($G206-$H206)</f>
        <v>#NAME?</v>
      </c>
      <c r="AF206" s="22">
        <f>VLOOKUP($A206,tabCustoUnit[],COLUMN(CUSTO_GLOBAL[[#Headers],[Vale - Alimentação (Descontada parcela do empregado)]])-2,0)*($G206-$H206)</f>
        <v>582</v>
      </c>
      <c r="AG206" s="22">
        <f>VLOOKUP($A206,tabCustoUnit[],COLUMN(CUSTO_GLOBAL[[#Headers],[Cesta Básica]])-2,0)*($G206-$H206)</f>
        <v>0</v>
      </c>
      <c r="AH206" s="22">
        <f>VLOOKUP($A206,tabCustoUnit[],COLUMN(CUSTO_GLOBAL[[#Headers],[PAF]])-2,0)*($G206-$H206)</f>
        <v>0</v>
      </c>
      <c r="AI206" s="22">
        <f>VLOOKUP($A206,tabCustoUnit[],COLUMN(CUSTO_GLOBAL[[#Headers],[PQM]])-2,0)*($G206-$H206)</f>
        <v>0</v>
      </c>
      <c r="AJ206" s="22">
        <v>0</v>
      </c>
      <c r="AK206" s="22">
        <f>VLOOKUP($A206,tabCustoUnit[],COLUMN(CUSTO_GLOBAL[[#Headers],[Seguro de Vida]])-2,0)*($G206-$H206)</f>
        <v>3.36</v>
      </c>
      <c r="AL206" s="22">
        <f>VLOOKUP($A206,tabCustoUnit[],COLUMN(CUSTO_GLOBAL[[#Headers],[Despesas de Viagem]])-2,0)*($G206-$H206)</f>
        <v>0</v>
      </c>
      <c r="AM206" s="22" t="e">
        <f ca="1">VLOOKUP($A206,tabCustoUnit[],COLUMN(CUSTO_GLOBAL[[#Headers],[Submódulo 2.3]])-2,0)*($G206-$H206)</f>
        <v>#NAME?</v>
      </c>
      <c r="AN206" s="22" t="e">
        <f ca="1">VLOOKUP($A206,tabCustoUnit[],COLUMN(CUSTO_GLOBAL[[#Headers],[MÓDULO 2 - Total Encargos e Benefícios mensais e diários]])-2,0)*($G206-$H206)</f>
        <v>#NAME?</v>
      </c>
      <c r="AO206" s="22">
        <f>VLOOKUP($A206,tabCustoUnit[],COLUMN(CUSTO_GLOBAL[[#Headers],[Aviso Prévio Indenizado (API) e Reflexo do Aviso Prévio Indenizado]])-2,0)*($G206-$H206)</f>
        <v>11.192699914390431</v>
      </c>
      <c r="AP206" s="22">
        <f>VLOOKUP($A206,tabCustoUnit[],COLUMN(CUSTO_GLOBAL[[#Headers],[Incidência do FGTS sobre API e Reflexo do API]])-2,0)*($G206-$H206)</f>
        <v>0.89541599315123466</v>
      </c>
      <c r="AQ206" s="22">
        <f>VLOOKUP($A206,tabCustoUnit[],COLUMN(CUSTO_GLOBAL[[#Headers],[Multa Rescisória do FGTS sobre o Aviso Prévio Indenizado]])-2,0)*($G206-$H206)</f>
        <v>0.35816639726049387</v>
      </c>
      <c r="AR206" s="22">
        <f>VLOOKUP($A206,tabCustoUnit[],COLUMN(CUSTO_GLOBAL[[#Headers],[Aviso Prévio Trabalhado - APT]])-2,0)*($G206-$H206)</f>
        <v>5.5869583000000009</v>
      </c>
      <c r="AS206" s="22">
        <f>VLOOKUP($A206,tabCustoUnit[],COLUMN(CUSTO_GLOBAL[[#Headers],[Incidência dos encargos do submódulo 2.1 sobre Aviso Prévio Trabalhado]])-2,0)*($G206-$H206)</f>
        <v>2.1118702374000007</v>
      </c>
      <c r="AT206" s="22">
        <f>VLOOKUP($A206,tabCustoUnit[],COLUMN(CUSTO_GLOBAL[[#Headers],[Multa Rescisória do FGTS]])-2,0)*($G206-$H206)</f>
        <v>48.810505528888882</v>
      </c>
      <c r="AU206" s="22">
        <f>VLOOKUP($A206,tabCustoUnit[],COLUMN(CUSTO_GLOBAL[[#Headers],[Indenização Adicional (Art. 9º da Lei nº 7.238/84)]])-2,0)*($G206-$H206)</f>
        <v>1.3302281666666667</v>
      </c>
      <c r="AV206" s="22">
        <f>VLOOKUP($A206,tabCustoUnit[],COLUMN(CUSTO_GLOBAL[[#Headers],[MÓDULO 3 – PROVISÃO PARA RESCISÃO]])-2,0)*($G206-$H206)</f>
        <v>70.285844537757711</v>
      </c>
      <c r="AW206" s="22">
        <f>VLOOKUP($A206,tabCustoUnit[],COLUMN(CUSTO_GLOBAL[[#Headers],[Ausência por Doença]])-2,0)*($G206-$H206)</f>
        <v>13.479645422222221</v>
      </c>
      <c r="AX206" s="22">
        <f>VLOOKUP($A206,tabCustoUnit[],COLUMN(CUSTO_GLOBAL[[#Headers],[Ausências Legais]])-2,0)*($G206-$H206)</f>
        <v>3.2368885388888886</v>
      </c>
      <c r="AY206" s="22">
        <f>VLOOKUP($A206,tabCustoUnit[],COLUMN(CUSTO_GLOBAL[[#Headers],[Licença Paternidade]])-2,0)*($G206-$H206)</f>
        <v>0.27269677416666666</v>
      </c>
      <c r="AZ206" s="22">
        <f>VLOOKUP($A206,tabCustoUnit[],COLUMN(CUSTO_GLOBAL[[#Headers],[Ausência por Acidente de Trabalho]])-2,0)*($G206-$H206)</f>
        <v>0.33255704166666666</v>
      </c>
      <c r="BA206" s="22">
        <f>VLOOKUP($A206,tabCustoUnit[],COLUMN(CUSTO_GLOBAL[[#Headers],[Férias, Adicional de Férias e 13º  com empregada em gozo de Licença Maternidade]])-2,0)*($G206-$H206)</f>
        <v>2.0692438148148145</v>
      </c>
      <c r="BB206" s="22">
        <f>VLOOKUP($A206,tabCustoUnit[],COLUMN(CUSTO_GLOBAL[[#Headers],[Incidência do Submódulo 2.1 sobre Ausências Legais]])-2,0)*($G206-$H206)</f>
        <v>7.3298099416850011</v>
      </c>
      <c r="BC206" s="22">
        <f>VLOOKUP($A206,tabCustoUnit[],COLUMN(CUSTO_GLOBAL[[#Headers],[Submódulo 4.1]])-2,0)*($G206-$H206)</f>
        <v>26.720841533444265</v>
      </c>
      <c r="BD206" s="22">
        <f>VLOOKUP($A206,tabCustoUnit[],COLUMN(CUSTO_GLOBAL[[#Headers],[Intervalo para Repouso ou Alimentação]])-2,0)*($G206-$H206)</f>
        <v>0</v>
      </c>
      <c r="BE206" s="22">
        <f>VLOOKUP($A206,tabCustoUnit[],COLUMN(CUSTO_GLOBAL[[#Headers],[Submódulo 4.2]])-2,0)*($G206-$H206)</f>
        <v>0</v>
      </c>
      <c r="BF206" s="22">
        <f>VLOOKUP($A206,tabCustoUnit[],COLUMN(CUSTO_GLOBAL[[#Headers],[Suspensão Temporária do Contrato de Trabalho]])-2,0)*($G206-$H206)</f>
        <v>0</v>
      </c>
      <c r="BG206" s="22">
        <f>VLOOKUP($A206,tabCustoUnit[],COLUMN(CUSTO_GLOBAL[[#Headers],[Submódulo 4.3]])-2,0)*($G206-$H206)</f>
        <v>0</v>
      </c>
      <c r="BH206" s="22">
        <f>VLOOKUP($A206,tabCustoUnit[],COLUMN(CUSTO_GLOBAL[[#Headers],[MÓDULO 4 – CUSTO DE REPOSIÇÃO DO PROFISSIONAL AUSENTE]])-2,0)*($G206-$H206)</f>
        <v>26.720841533444265</v>
      </c>
      <c r="BI206" s="22">
        <f>VLOOKUP($A206,tabCustoUnit[],COLUMN(CUSTO_GLOBAL[[#Headers],[Uniformes e EPIs]])-2,0)*($G206-$H206)</f>
        <v>56.141713661989918</v>
      </c>
      <c r="BJ206" s="22">
        <f>VLOOKUP($A206,tabCustoUnit[],COLUMN(CUSTO_GLOBAL[[#Headers],[Materiais de Consumo]])-2,0)*($G206-$H206)</f>
        <v>0</v>
      </c>
      <c r="BK206" s="22">
        <f>VLOOKUP($A206,tabCustoUnit[],COLUMN(CUSTO_GLOBAL[[#Headers],[Máquinas e Equipamentos (depreciação)]])-2,0)*($G206-$H206)</f>
        <v>0</v>
      </c>
      <c r="BL206" s="22">
        <f>VLOOKUP($A206,tabCustoUnit[],COLUMN(CUSTO_GLOBAL[[#Headers],[Produtos de Limpeza e Materiais de Higiene Pessoal]])-2,0)*($G206-$H206)</f>
        <v>0</v>
      </c>
      <c r="BM206" s="22">
        <f>VLOOKUP($A206,tabCustoUnit[],COLUMN(CUSTO_GLOBAL[[#Headers],[Outros (especificar)]])-2,0)*($G206-$H206)</f>
        <v>0</v>
      </c>
      <c r="BN206" s="22">
        <f>VLOOKUP($A206,tabCustoUnit[],COLUMN(CUSTO_GLOBAL[[#Headers],[MÓDULO 5 – INSUMOS DIVERSOS]])-2,0)*($G206-$H206)</f>
        <v>56.141713661989918</v>
      </c>
      <c r="BO206" s="22" t="e">
        <f ca="1">VLOOKUP($A206,tabCustoUnit[],COLUMN(CUSTO_GLOBAL[[#Headers],[TOTAL MÓDULOS 1+2+3+4+5]])-2,0)*($G206-$H206)</f>
        <v>#NAME?</v>
      </c>
      <c r="BP206" s="22" t="e">
        <f ca="1">VLOOKUP($A206,tabCustoUnit[],COLUMN(CUSTO_GLOBAL[[#Headers],[Custos Indiretos]])-2,0)*($G206-$H206)</f>
        <v>#NAME?</v>
      </c>
      <c r="BQ206" s="22" t="e">
        <f ca="1">VLOOKUP($A206,tabCustoUnit[],COLUMN(CUSTO_GLOBAL[[#Headers],[Lucro]])-2,0)*($G206-$H206)</f>
        <v>#NAME?</v>
      </c>
      <c r="BR206" s="26">
        <f>VLOOKUP($A206,tabCustoUnit[],COLUMN(CUSTO_GLOBAL[[#Headers],[COFINS]])-2,0)</f>
        <v>8.5633802816901458E-2</v>
      </c>
      <c r="BS206" s="26">
        <f>VLOOKUP($A206,tabCustoUnit[],COLUMN(CUSTO_GLOBAL[[#Headers],[PIS]])-2,0)</f>
        <v>1.8591549295774657E-2</v>
      </c>
      <c r="BT206" s="28">
        <f>VLOOKUP($A206,tabCustoUnit[],COLUMN(CUSTO_GLOBAL[[#Headers],[ISS]])-2,0)</f>
        <v>0.02</v>
      </c>
      <c r="BU206" s="26">
        <f>VLOOKUP($A206,tabCustoUnit[],COLUMN(CUSTO_GLOBAL[[#Headers],[ISS (Conversão Alíquota s/ fatura)]])-2,0)</f>
        <v>2.2535211267605645E-2</v>
      </c>
      <c r="BV206" s="26">
        <f>VLOOKUP($A206,tabCustoUnit[],COLUMN(CUSTO_GLOBAL[[#Headers],[Resumo de Alíquotas (PIS+CONFINS+ISS)]])-2,0)</f>
        <v>0.1125</v>
      </c>
      <c r="BW206" s="138">
        <f>VLOOKUP($A206,tabCustoUnit[],COLUMN(CUSTO_GLOBAL[[#Headers],[PIS + COFINS + ISS (Total Conversão  Alíquota s/ Fatura)]])-2,0)</f>
        <v>0.12676056338028174</v>
      </c>
      <c r="BX206" s="22" t="e">
        <f ca="1">VLOOKUP($A206,tabCustoUnit[],COLUMN(CUSTO_GLOBAL[[#Headers],[Valor dos Tributos (ISS, PIS, CONFINS)]])-2,0)*($G206-$H206)</f>
        <v>#NAME?</v>
      </c>
      <c r="BY206" s="22" t="e">
        <f ca="1">VLOOKUP($A206,tabCustoUnit[],COLUMN(CUSTO_GLOBAL[[#Headers],[MÓDULO 6 – CUSTOS INDIRETOS, TRIBUTOS E LUCRO]])-2,0)*($G206-$H206)</f>
        <v>#NAME?</v>
      </c>
      <c r="BZ206" s="22" t="e">
        <f ca="1">VLOOKUP($A206,tabCustoUnit[],COLUMN(CUSTO_GLOBAL[[#Headers],[CUSTO TOTAL MENSAL]])-2,0)*($G206-$H206)</f>
        <v>#NAME?</v>
      </c>
      <c r="CA206" s="22" t="e">
        <f ca="1">CUSTO_GLOBAL[[#This Row],[CUSTO TOTAL MENSAL]]*12</f>
        <v>#NAME?</v>
      </c>
      <c r="CB206" s="24">
        <f>VLOOKUP($A206,tabCustoUnit[],COLUMN(CUSTO_GLOBAL[[#Headers],[ANO DA CCT]])-2,0)</f>
        <v>45658</v>
      </c>
      <c r="CC206" s="25" t="str">
        <f>VLOOKUP($A206,tabCustoUnit[],COLUMN(CUSTO_GLOBAL[[#Headers],[Nº DE PEDIDO DA CCT]])-2,0)</f>
        <v>-</v>
      </c>
      <c r="CD206" s="25" t="str">
        <f>VLOOKUP($A206,tabCustoUnit[],COLUMN(CUSTO_GLOBAL[[#Headers],[TERMO ADITIVO ALTERAÇÃO DA CCT]])-2,0)</f>
        <v>-</v>
      </c>
    </row>
    <row r="207" spans="1:82">
      <c r="A207" s="20" t="s">
        <v>1642</v>
      </c>
      <c r="B207" t="s">
        <v>1161</v>
      </c>
      <c r="C207" t="s">
        <v>304</v>
      </c>
      <c r="D207" t="s">
        <v>1048</v>
      </c>
      <c r="E207" s="20" t="s">
        <v>1090</v>
      </c>
      <c r="F207" s="20" t="s">
        <v>120</v>
      </c>
      <c r="G207" s="20">
        <v>2</v>
      </c>
      <c r="H207" s="20">
        <v>0</v>
      </c>
      <c r="I207" s="21">
        <f>VLOOKUP($A207,tabCustoUnit[],COLUMN(CUSTO_GLOBAL[[#Headers],[Salário Base]])-2,0)*($G207-$H207)</f>
        <v>3926.8220000000001</v>
      </c>
      <c r="J207" s="21">
        <f>VLOOKUP($A207,tabCustoUnit[],COLUMN(CUSTO_GLOBAL[[#Headers],[Adicional Periculosidade]])-2,0)*($G207-$H207)</f>
        <v>0</v>
      </c>
      <c r="K207" s="21">
        <f>VLOOKUP($A207,tabCustoUnit[],COLUMN(CUSTO_GLOBAL[[#Headers],[Adicional Insalubridade]])-2,0)*($G207-$H207)</f>
        <v>0</v>
      </c>
      <c r="L207" s="21">
        <f>VLOOKUP($A207,tabCustoUnit[],COLUMN(CUSTO_GLOBAL[[#Headers],[Adicional Noturno]])-2,0)*($G207-$H207)</f>
        <v>0</v>
      </c>
      <c r="M207" s="21">
        <f>VLOOKUP($A207,tabCustoUnit[],COLUMN(CUSTO_GLOBAL[[#Headers],[Adicional Motorista II (Gratificação)]])-2,0)*($G207-$H207)</f>
        <v>0</v>
      </c>
      <c r="N207" s="21">
        <f>VLOOKUP($A207,tabCustoUnit[],COLUMN(CUSTO_GLOBAL[[#Headers],[Adicional de Sobreaviso]])-2,0)*($G207-$H207)</f>
        <v>0</v>
      </c>
      <c r="O207" s="21">
        <f>VLOOKUP($A207,tabCustoUnit[],COLUMN(CUSTO_GLOBAL[[#Headers],[Horas Extras TI]])-2,0)*($G207-$H207)</f>
        <v>0</v>
      </c>
      <c r="P207" s="21">
        <f>VLOOKUP($A207,tabCustoUnit[],COLUMN(CUSTO_GLOBAL[[#Headers],[Adicional de Acúmulo de função]])-2,0)*($G207-$H207)</f>
        <v>0</v>
      </c>
      <c r="Q207" s="21">
        <f>VLOOKUP($A207,tabCustoUnit[],COLUMN(CUSTO_GLOBAL[[#Headers],[MODULO 1 - REMUNERAÇÃO ]])-2,0)*($G207-$H207)</f>
        <v>3926.8220000000001</v>
      </c>
      <c r="R207" s="21">
        <f>VLOOKUP($A207,tabCustoUnit[],COLUMN(CUSTO_GLOBAL[[#Headers],[INSS]])-2,0)*($G207-$H207)</f>
        <v>785.36440000000005</v>
      </c>
      <c r="S207" s="21">
        <f>VLOOKUP($A207,tabCustoUnit[],COLUMN(CUSTO_GLOBAL[[#Headers],[SESI OU SESC]])-2,0)*($G207-$H207)</f>
        <v>58.902329999999999</v>
      </c>
      <c r="T207" s="21">
        <f>VLOOKUP($A207,tabCustoUnit[],COLUMN(CUSTO_GLOBAL[[#Headers],[SENAI OU SENAC]])-2,0)*($G207-$H207)</f>
        <v>39.268219999999999</v>
      </c>
      <c r="U207" s="21">
        <f>VLOOKUP($A207,tabCustoUnit[],COLUMN(CUSTO_GLOBAL[[#Headers],[INCRA]])-2,0)*($G207-$H207)</f>
        <v>7.8536440000000001</v>
      </c>
      <c r="V207" s="21">
        <f>VLOOKUP($A207,tabCustoUnit[],COLUMN(CUSTO_GLOBAL[[#Headers],[Salário Educação]])-2,0)*($G207-$H207)</f>
        <v>98.170550000000006</v>
      </c>
      <c r="W207" s="21">
        <f>VLOOKUP($A207,tabCustoUnit[],COLUMN(CUSTO_GLOBAL[[#Headers],[FGTS]])-2,0)*($G207-$H207)</f>
        <v>314.14576</v>
      </c>
      <c r="X207" s="21">
        <f>VLOOKUP($A207,tabCustoUnit[],COLUMN(CUSTO_GLOBAL[[#Headers],[RAT Ajustado]])-2,0)*($G207-$H207)</f>
        <v>157.07288</v>
      </c>
      <c r="Y207" s="21">
        <f>VLOOKUP($A207,tabCustoUnit[],COLUMN(CUSTO_GLOBAL[[#Headers],[SEBRAE]])-2,0)*($G207-$H207)</f>
        <v>23.560932000000001</v>
      </c>
      <c r="Z207" s="21">
        <f>VLOOKUP($A207,tabCustoUnit[],COLUMN(CUSTO_GLOBAL[[#Headers],[Submódulo 2.1]])-2,0)*($G207-$H207)</f>
        <v>1484.3387160000002</v>
      </c>
      <c r="AA207" s="21">
        <f>VLOOKUP($A207,tabCustoUnit[],COLUMN(CUSTO_GLOBAL[[#Headers],[13º salário (titular)]])-2,0)*($G207-$H207)</f>
        <v>327.23516666666666</v>
      </c>
      <c r="AB207" s="21">
        <f>VLOOKUP($A207,tabCustoUnit[],COLUMN(CUSTO_GLOBAL[[#Headers],[Férias e Adicional de Férias (titular)]])-2,0)*($G207-$H207)</f>
        <v>436.31355555555552</v>
      </c>
      <c r="AC207" s="21">
        <f>VLOOKUP($A207,tabCustoUnit[],COLUMN(CUSTO_GLOBAL[[#Headers],[Incidência do Submódulo 2.1 sobre 13º Salário, Férias e Adicional de Férias]])-2,0)*($G207-$H207)</f>
        <v>288.62141700000001</v>
      </c>
      <c r="AD207" s="21">
        <f>VLOOKUP($A207,tabCustoUnit[],COLUMN(CUSTO_GLOBAL[[#Headers],[Submódulo 2.2]])-2,0)*($G207-$H207)</f>
        <v>1052.1701392222221</v>
      </c>
      <c r="AE207" s="22" t="e">
        <f ca="1">VLOOKUP($A207,tabCustoUnit[],COLUMN(CUSTO_GLOBAL[[#Headers],[Vale - Transporte (Descontada parcela do empregado)]])-2,0)*($G207-$H207)</f>
        <v>#NAME?</v>
      </c>
      <c r="AF207" s="22">
        <f>VLOOKUP($A207,tabCustoUnit[],COLUMN(CUSTO_GLOBAL[[#Headers],[Vale - Alimentação (Descontada parcela do empregado)]])-2,0)*($G207-$H207)</f>
        <v>1164</v>
      </c>
      <c r="AG207" s="22">
        <f>VLOOKUP($A207,tabCustoUnit[],COLUMN(CUSTO_GLOBAL[[#Headers],[Cesta Básica]])-2,0)*($G207-$H207)</f>
        <v>0</v>
      </c>
      <c r="AH207" s="22">
        <f>VLOOKUP($A207,tabCustoUnit[],COLUMN(CUSTO_GLOBAL[[#Headers],[PAF]])-2,0)*($G207-$H207)</f>
        <v>0</v>
      </c>
      <c r="AI207" s="22">
        <f>VLOOKUP($A207,tabCustoUnit[],COLUMN(CUSTO_GLOBAL[[#Headers],[PQM]])-2,0)*($G207-$H207)</f>
        <v>0</v>
      </c>
      <c r="AJ207" s="22">
        <v>0</v>
      </c>
      <c r="AK207" s="22">
        <f>VLOOKUP($A207,tabCustoUnit[],COLUMN(CUSTO_GLOBAL[[#Headers],[Seguro de Vida]])-2,0)*($G207-$H207)</f>
        <v>6.72</v>
      </c>
      <c r="AL207" s="22">
        <f>VLOOKUP($A207,tabCustoUnit[],COLUMN(CUSTO_GLOBAL[[#Headers],[Despesas de Viagem]])-2,0)*($G207-$H207)</f>
        <v>0</v>
      </c>
      <c r="AM207" s="22" t="e">
        <f ca="1">VLOOKUP($A207,tabCustoUnit[],COLUMN(CUSTO_GLOBAL[[#Headers],[Submódulo 2.3]])-2,0)*($G207-$H207)</f>
        <v>#NAME?</v>
      </c>
      <c r="AN207" s="22" t="e">
        <f ca="1">VLOOKUP($A207,tabCustoUnit[],COLUMN(CUSTO_GLOBAL[[#Headers],[MÓDULO 2 - Total Encargos e Benefícios mensais e diários]])-2,0)*($G207-$H207)</f>
        <v>#NAME?</v>
      </c>
      <c r="AO207" s="22">
        <f>VLOOKUP($A207,tabCustoUnit[],COLUMN(CUSTO_GLOBAL[[#Headers],[Aviso Prévio Indenizado (API) e Reflexo do Aviso Prévio Indenizado]])-2,0)*($G207-$H207)</f>
        <v>27.533960817515432</v>
      </c>
      <c r="AP207" s="22">
        <f>VLOOKUP($A207,tabCustoUnit[],COLUMN(CUSTO_GLOBAL[[#Headers],[Incidência do FGTS sobre API e Reflexo do API]])-2,0)*($G207-$H207)</f>
        <v>2.2027168654012348</v>
      </c>
      <c r="AQ207" s="22">
        <f>VLOOKUP($A207,tabCustoUnit[],COLUMN(CUSTO_GLOBAL[[#Headers],[Multa Rescisória do FGTS sobre o Aviso Prévio Indenizado]])-2,0)*($G207-$H207)</f>
        <v>0.88108674616049398</v>
      </c>
      <c r="AR207" s="22">
        <f>VLOOKUP($A207,tabCustoUnit[],COLUMN(CUSTO_GLOBAL[[#Headers],[Aviso Prévio Trabalhado - APT]])-2,0)*($G207-$H207)</f>
        <v>13.743877000000003</v>
      </c>
      <c r="AS207" s="22">
        <f>VLOOKUP($A207,tabCustoUnit[],COLUMN(CUSTO_GLOBAL[[#Headers],[Incidência dos encargos do submódulo 2.1 sobre Aviso Prévio Trabalhado]])-2,0)*($G207-$H207)</f>
        <v>5.1951855060000014</v>
      </c>
      <c r="AT207" s="22">
        <f>VLOOKUP($A207,tabCustoUnit[],COLUMN(CUSTO_GLOBAL[[#Headers],[Multa Rescisória do FGTS]])-2,0)*($G207-$H207)</f>
        <v>120.07349048888888</v>
      </c>
      <c r="AU207" s="22">
        <f>VLOOKUP($A207,tabCustoUnit[],COLUMN(CUSTO_GLOBAL[[#Headers],[Indenização Adicional (Art. 9º da Lei nº 7.238/84)]])-2,0)*($G207-$H207)</f>
        <v>3.2723516666666668</v>
      </c>
      <c r="AV207" s="22">
        <f>VLOOKUP($A207,tabCustoUnit[],COLUMN(CUSTO_GLOBAL[[#Headers],[MÓDULO 3 – PROVISÃO PARA RESCISÃO]])-2,0)*($G207-$H207)</f>
        <v>172.90266909063274</v>
      </c>
      <c r="AW207" s="22">
        <f>VLOOKUP($A207,tabCustoUnit[],COLUMN(CUSTO_GLOBAL[[#Headers],[Ausência por Doença]])-2,0)*($G207-$H207)</f>
        <v>33.159830222222219</v>
      </c>
      <c r="AX207" s="22">
        <f>VLOOKUP($A207,tabCustoUnit[],COLUMN(CUSTO_GLOBAL[[#Headers],[Ausências Legais]])-2,0)*($G207-$H207)</f>
        <v>7.9627223888888885</v>
      </c>
      <c r="AY207" s="22">
        <f>VLOOKUP($A207,tabCustoUnit[],COLUMN(CUSTO_GLOBAL[[#Headers],[Licença Paternidade]])-2,0)*($G207-$H207)</f>
        <v>0.67083209166666669</v>
      </c>
      <c r="AZ207" s="22">
        <f>VLOOKUP($A207,tabCustoUnit[],COLUMN(CUSTO_GLOBAL[[#Headers],[Ausência por Acidente de Trabalho]])-2,0)*($G207-$H207)</f>
        <v>0.81808791666666669</v>
      </c>
      <c r="BA207" s="22">
        <f>VLOOKUP($A207,tabCustoUnit[],COLUMN(CUSTO_GLOBAL[[#Headers],[Férias, Adicional de Férias e 13º  com empregada em gozo de Licença Maternidade]])-2,0)*($G207-$H207)</f>
        <v>5.0903248148148146</v>
      </c>
      <c r="BB207" s="22">
        <f>VLOOKUP($A207,tabCustoUnit[],COLUMN(CUSTO_GLOBAL[[#Headers],[Incidência do Submódulo 2.1 sobre Ausências Legais]])-2,0)*($G207-$H207)</f>
        <v>18.031279430150004</v>
      </c>
      <c r="BC207" s="22">
        <f>VLOOKUP($A207,tabCustoUnit[],COLUMN(CUSTO_GLOBAL[[#Headers],[Submódulo 4.1]])-2,0)*($G207-$H207)</f>
        <v>65.733076864409256</v>
      </c>
      <c r="BD207" s="22">
        <f>VLOOKUP($A207,tabCustoUnit[],COLUMN(CUSTO_GLOBAL[[#Headers],[Intervalo para Repouso ou Alimentação]])-2,0)*($G207-$H207)</f>
        <v>434.75529489599154</v>
      </c>
      <c r="BE207" s="22">
        <f>VLOOKUP($A207,tabCustoUnit[],COLUMN(CUSTO_GLOBAL[[#Headers],[Submódulo 4.2]])-2,0)*($G207-$H207)</f>
        <v>434.75529489599154</v>
      </c>
      <c r="BF207" s="22">
        <f>VLOOKUP($A207,tabCustoUnit[],COLUMN(CUSTO_GLOBAL[[#Headers],[Suspensão Temporária do Contrato de Trabalho]])-2,0)*($G207-$H207)</f>
        <v>0</v>
      </c>
      <c r="BG207" s="22">
        <f>VLOOKUP($A207,tabCustoUnit[],COLUMN(CUSTO_GLOBAL[[#Headers],[Submódulo 4.3]])-2,0)*($G207-$H207)</f>
        <v>0</v>
      </c>
      <c r="BH207" s="22">
        <f>VLOOKUP($A207,tabCustoUnit[],COLUMN(CUSTO_GLOBAL[[#Headers],[MÓDULO 4 – CUSTO DE REPOSIÇÃO DO PROFISSIONAL AUSENTE]])-2,0)*($G207-$H207)</f>
        <v>500.48837176040081</v>
      </c>
      <c r="BI207" s="22">
        <f>VLOOKUP($A207,tabCustoUnit[],COLUMN(CUSTO_GLOBAL[[#Headers],[Uniformes e EPIs]])-2,0)*($G207-$H207)</f>
        <v>113.28595792508679</v>
      </c>
      <c r="BJ207" s="22">
        <f>VLOOKUP($A207,tabCustoUnit[],COLUMN(CUSTO_GLOBAL[[#Headers],[Materiais de Consumo]])-2,0)*($G207-$H207)</f>
        <v>0</v>
      </c>
      <c r="BK207" s="22">
        <f>VLOOKUP($A207,tabCustoUnit[],COLUMN(CUSTO_GLOBAL[[#Headers],[Máquinas e Equipamentos (depreciação)]])-2,0)*($G207-$H207)</f>
        <v>0</v>
      </c>
      <c r="BL207" s="22">
        <f>VLOOKUP($A207,tabCustoUnit[],COLUMN(CUSTO_GLOBAL[[#Headers],[Produtos de Limpeza e Materiais de Higiene Pessoal]])-2,0)*($G207-$H207)</f>
        <v>0</v>
      </c>
      <c r="BM207" s="22">
        <f>VLOOKUP($A207,tabCustoUnit[],COLUMN(CUSTO_GLOBAL[[#Headers],[Outros (especificar)]])-2,0)*($G207-$H207)</f>
        <v>0</v>
      </c>
      <c r="BN207" s="22">
        <f>VLOOKUP($A207,tabCustoUnit[],COLUMN(CUSTO_GLOBAL[[#Headers],[MÓDULO 5 – INSUMOS DIVERSOS]])-2,0)*($G207-$H207)</f>
        <v>113.28595792508679</v>
      </c>
      <c r="BO207" s="22" t="e">
        <f ca="1">VLOOKUP($A207,tabCustoUnit[],COLUMN(CUSTO_GLOBAL[[#Headers],[TOTAL MÓDULOS 1+2+3+4+5]])-2,0)*($G207-$H207)</f>
        <v>#NAME?</v>
      </c>
      <c r="BP207" s="22" t="e">
        <f ca="1">VLOOKUP($A207,tabCustoUnit[],COLUMN(CUSTO_GLOBAL[[#Headers],[Custos Indiretos]])-2,0)*($G207-$H207)</f>
        <v>#NAME?</v>
      </c>
      <c r="BQ207" s="22" t="e">
        <f ca="1">VLOOKUP($A207,tabCustoUnit[],COLUMN(CUSTO_GLOBAL[[#Headers],[Lucro]])-2,0)*($G207-$H207)</f>
        <v>#NAME?</v>
      </c>
      <c r="BR207" s="26">
        <f>VLOOKUP($A207,tabCustoUnit[],COLUMN(CUSTO_GLOBAL[[#Headers],[COFINS]])-2,0)</f>
        <v>8.5633802816901458E-2</v>
      </c>
      <c r="BS207" s="26">
        <f>VLOOKUP($A207,tabCustoUnit[],COLUMN(CUSTO_GLOBAL[[#Headers],[PIS]])-2,0)</f>
        <v>1.8591549295774657E-2</v>
      </c>
      <c r="BT207" s="28">
        <f>VLOOKUP($A207,tabCustoUnit[],COLUMN(CUSTO_GLOBAL[[#Headers],[ISS]])-2,0)</f>
        <v>0.02</v>
      </c>
      <c r="BU207" s="26">
        <f>VLOOKUP($A207,tabCustoUnit[],COLUMN(CUSTO_GLOBAL[[#Headers],[ISS (Conversão Alíquota s/ fatura)]])-2,0)</f>
        <v>2.2535211267605645E-2</v>
      </c>
      <c r="BV207" s="26">
        <f>VLOOKUP($A207,tabCustoUnit[],COLUMN(CUSTO_GLOBAL[[#Headers],[Resumo de Alíquotas (PIS+CONFINS+ISS)]])-2,0)</f>
        <v>0.1125</v>
      </c>
      <c r="BW207" s="138">
        <f>VLOOKUP($A207,tabCustoUnit[],COLUMN(CUSTO_GLOBAL[[#Headers],[PIS + COFINS + ISS (Total Conversão  Alíquota s/ Fatura)]])-2,0)</f>
        <v>0.12676056338028174</v>
      </c>
      <c r="BX207" s="22" t="e">
        <f ca="1">VLOOKUP($A207,tabCustoUnit[],COLUMN(CUSTO_GLOBAL[[#Headers],[Valor dos Tributos (ISS, PIS, CONFINS)]])-2,0)*($G207-$H207)</f>
        <v>#NAME?</v>
      </c>
      <c r="BY207" s="22" t="e">
        <f ca="1">VLOOKUP($A207,tabCustoUnit[],COLUMN(CUSTO_GLOBAL[[#Headers],[MÓDULO 6 – CUSTOS INDIRETOS, TRIBUTOS E LUCRO]])-2,0)*($G207-$H207)</f>
        <v>#NAME?</v>
      </c>
      <c r="BZ207" s="22" t="e">
        <f ca="1">VLOOKUP($A207,tabCustoUnit[],COLUMN(CUSTO_GLOBAL[[#Headers],[CUSTO TOTAL MENSAL]])-2,0)*($G207-$H207)</f>
        <v>#NAME?</v>
      </c>
      <c r="CA207" s="22" t="e">
        <f ca="1">CUSTO_GLOBAL[[#This Row],[CUSTO TOTAL MENSAL]]*12</f>
        <v>#NAME?</v>
      </c>
      <c r="CB207" s="24">
        <f>VLOOKUP($A207,tabCustoUnit[],COLUMN(CUSTO_GLOBAL[[#Headers],[ANO DA CCT]])-2,0)</f>
        <v>45658</v>
      </c>
      <c r="CC207" s="25" t="str">
        <f>VLOOKUP($A207,tabCustoUnit[],COLUMN(CUSTO_GLOBAL[[#Headers],[Nº DE PEDIDO DA CCT]])-2,0)</f>
        <v>-</v>
      </c>
      <c r="CD207" s="25" t="str">
        <f>VLOOKUP($A207,tabCustoUnit[],COLUMN(CUSTO_GLOBAL[[#Headers],[TERMO ADITIVO ALTERAÇÃO DA CCT]])-2,0)</f>
        <v>-</v>
      </c>
    </row>
    <row r="208" spans="1:82">
      <c r="A208" s="20" t="s">
        <v>1643</v>
      </c>
      <c r="B208" t="s">
        <v>1161</v>
      </c>
      <c r="C208" t="s">
        <v>309</v>
      </c>
      <c r="D208" t="s">
        <v>1048</v>
      </c>
      <c r="E208" s="20" t="s">
        <v>1090</v>
      </c>
      <c r="F208" s="20" t="s">
        <v>120</v>
      </c>
      <c r="G208" s="20">
        <v>2</v>
      </c>
      <c r="H208" s="20">
        <v>0</v>
      </c>
      <c r="I208" s="21">
        <f>VLOOKUP($A208,tabCustoUnit[],COLUMN(CUSTO_GLOBAL[[#Headers],[Salário Base]])-2,0)*($G208-$H208)</f>
        <v>3926.8220000000001</v>
      </c>
      <c r="J208" s="21">
        <f>VLOOKUP($A208,tabCustoUnit[],COLUMN(CUSTO_GLOBAL[[#Headers],[Adicional Periculosidade]])-2,0)*($G208-$H208)</f>
        <v>0</v>
      </c>
      <c r="K208" s="21">
        <f>VLOOKUP($A208,tabCustoUnit[],COLUMN(CUSTO_GLOBAL[[#Headers],[Adicional Insalubridade]])-2,0)*($G208-$H208)</f>
        <v>0</v>
      </c>
      <c r="L208" s="21">
        <f>VLOOKUP($A208,tabCustoUnit[],COLUMN(CUSTO_GLOBAL[[#Headers],[Adicional Noturno]])-2,0)*($G208-$H208)</f>
        <v>791.25459999999998</v>
      </c>
      <c r="M208" s="21">
        <f>VLOOKUP($A208,tabCustoUnit[],COLUMN(CUSTO_GLOBAL[[#Headers],[Adicional Motorista II (Gratificação)]])-2,0)*($G208-$H208)</f>
        <v>0</v>
      </c>
      <c r="N208" s="21">
        <f>VLOOKUP($A208,tabCustoUnit[],COLUMN(CUSTO_GLOBAL[[#Headers],[Adicional de Sobreaviso]])-2,0)*($G208-$H208)</f>
        <v>0</v>
      </c>
      <c r="O208" s="21">
        <f>VLOOKUP($A208,tabCustoUnit[],COLUMN(CUSTO_GLOBAL[[#Headers],[Horas Extras TI]])-2,0)*($G208-$H208)</f>
        <v>0</v>
      </c>
      <c r="P208" s="21">
        <f>VLOOKUP($A208,tabCustoUnit[],COLUMN(CUSTO_GLOBAL[[#Headers],[Adicional de Acúmulo de função]])-2,0)*($G208-$H208)</f>
        <v>0</v>
      </c>
      <c r="Q208" s="21">
        <f>VLOOKUP($A208,tabCustoUnit[],COLUMN(CUSTO_GLOBAL[[#Headers],[MODULO 1 - REMUNERAÇÃO ]])-2,0)*($G208-$H208)</f>
        <v>4718.0766000000003</v>
      </c>
      <c r="R208" s="21">
        <f>VLOOKUP($A208,tabCustoUnit[],COLUMN(CUSTO_GLOBAL[[#Headers],[INSS]])-2,0)*($G208-$H208)</f>
        <v>943.61532000000011</v>
      </c>
      <c r="S208" s="21">
        <f>VLOOKUP($A208,tabCustoUnit[],COLUMN(CUSTO_GLOBAL[[#Headers],[SESI OU SESC]])-2,0)*($G208-$H208)</f>
        <v>70.771149000000008</v>
      </c>
      <c r="T208" s="21">
        <f>VLOOKUP($A208,tabCustoUnit[],COLUMN(CUSTO_GLOBAL[[#Headers],[SENAI OU SENAC]])-2,0)*($G208-$H208)</f>
        <v>47.180766000000006</v>
      </c>
      <c r="U208" s="21">
        <f>VLOOKUP($A208,tabCustoUnit[],COLUMN(CUSTO_GLOBAL[[#Headers],[INCRA]])-2,0)*($G208-$H208)</f>
        <v>9.4361532000000015</v>
      </c>
      <c r="V208" s="21">
        <f>VLOOKUP($A208,tabCustoUnit[],COLUMN(CUSTO_GLOBAL[[#Headers],[Salário Educação]])-2,0)*($G208-$H208)</f>
        <v>117.95191500000001</v>
      </c>
      <c r="W208" s="21">
        <f>VLOOKUP($A208,tabCustoUnit[],COLUMN(CUSTO_GLOBAL[[#Headers],[FGTS]])-2,0)*($G208-$H208)</f>
        <v>377.44612800000004</v>
      </c>
      <c r="X208" s="21">
        <f>VLOOKUP($A208,tabCustoUnit[],COLUMN(CUSTO_GLOBAL[[#Headers],[RAT Ajustado]])-2,0)*($G208-$H208)</f>
        <v>188.72306400000002</v>
      </c>
      <c r="Y208" s="21">
        <f>VLOOKUP($A208,tabCustoUnit[],COLUMN(CUSTO_GLOBAL[[#Headers],[SEBRAE]])-2,0)*($G208-$H208)</f>
        <v>28.308459600000003</v>
      </c>
      <c r="Z208" s="21">
        <f>VLOOKUP($A208,tabCustoUnit[],COLUMN(CUSTO_GLOBAL[[#Headers],[Submódulo 2.1]])-2,0)*($G208-$H208)</f>
        <v>1783.4329548000005</v>
      </c>
      <c r="AA208" s="21">
        <f>VLOOKUP($A208,tabCustoUnit[],COLUMN(CUSTO_GLOBAL[[#Headers],[13º salário (titular)]])-2,0)*($G208-$H208)</f>
        <v>393.17304999999999</v>
      </c>
      <c r="AB208" s="21">
        <f>VLOOKUP($A208,tabCustoUnit[],COLUMN(CUSTO_GLOBAL[[#Headers],[Férias e Adicional de Férias (titular)]])-2,0)*($G208-$H208)</f>
        <v>524.23073333333332</v>
      </c>
      <c r="AC208" s="21">
        <f>VLOOKUP($A208,tabCustoUnit[],COLUMN(CUSTO_GLOBAL[[#Headers],[Incidência do Submódulo 2.1 sobre 13º Salário, Férias e Adicional de Férias]])-2,0)*($G208-$H208)</f>
        <v>346.77863010000004</v>
      </c>
      <c r="AD208" s="21">
        <f>VLOOKUP($A208,tabCustoUnit[],COLUMN(CUSTO_GLOBAL[[#Headers],[Submódulo 2.2]])-2,0)*($G208-$H208)</f>
        <v>1264.1824134333333</v>
      </c>
      <c r="AE208" s="22" t="e">
        <f ca="1">VLOOKUP($A208,tabCustoUnit[],COLUMN(CUSTO_GLOBAL[[#Headers],[Vale - Transporte (Descontada parcela do empregado)]])-2,0)*($G208-$H208)</f>
        <v>#NAME?</v>
      </c>
      <c r="AF208" s="22">
        <f>VLOOKUP($A208,tabCustoUnit[],COLUMN(CUSTO_GLOBAL[[#Headers],[Vale - Alimentação (Descontada parcela do empregado)]])-2,0)*($G208-$H208)</f>
        <v>1164</v>
      </c>
      <c r="AG208" s="22">
        <f>VLOOKUP($A208,tabCustoUnit[],COLUMN(CUSTO_GLOBAL[[#Headers],[Cesta Básica]])-2,0)*($G208-$H208)</f>
        <v>0</v>
      </c>
      <c r="AH208" s="22">
        <f>VLOOKUP($A208,tabCustoUnit[],COLUMN(CUSTO_GLOBAL[[#Headers],[PAF]])-2,0)*($G208-$H208)</f>
        <v>0</v>
      </c>
      <c r="AI208" s="22">
        <f>VLOOKUP($A208,tabCustoUnit[],COLUMN(CUSTO_GLOBAL[[#Headers],[PQM]])-2,0)*($G208-$H208)</f>
        <v>0</v>
      </c>
      <c r="AJ208" s="22">
        <v>0</v>
      </c>
      <c r="AK208" s="22">
        <f>VLOOKUP($A208,tabCustoUnit[],COLUMN(CUSTO_GLOBAL[[#Headers],[Seguro de Vida]])-2,0)*($G208-$H208)</f>
        <v>6.72</v>
      </c>
      <c r="AL208" s="22">
        <f>VLOOKUP($A208,tabCustoUnit[],COLUMN(CUSTO_GLOBAL[[#Headers],[Despesas de Viagem]])-2,0)*($G208-$H208)</f>
        <v>0</v>
      </c>
      <c r="AM208" s="22" t="e">
        <f ca="1">VLOOKUP($A208,tabCustoUnit[],COLUMN(CUSTO_GLOBAL[[#Headers],[Submódulo 2.3]])-2,0)*($G208-$H208)</f>
        <v>#NAME?</v>
      </c>
      <c r="AN208" s="22" t="e">
        <f ca="1">VLOOKUP($A208,tabCustoUnit[],COLUMN(CUSTO_GLOBAL[[#Headers],[MÓDULO 2 - Total Encargos e Benefícios mensais e diários]])-2,0)*($G208-$H208)</f>
        <v>#NAME?</v>
      </c>
      <c r="AO208" s="22">
        <f>VLOOKUP($A208,tabCustoUnit[],COLUMN(CUSTO_GLOBAL[[#Headers],[Aviso Prévio Indenizado (API) e Reflexo do Aviso Prévio Indenizado]])-2,0)*($G208-$H208)</f>
        <v>33.082053690856483</v>
      </c>
      <c r="AP208" s="22">
        <f>VLOOKUP($A208,tabCustoUnit[],COLUMN(CUSTO_GLOBAL[[#Headers],[Incidência do FGTS sobre API e Reflexo do API]])-2,0)*($G208-$H208)</f>
        <v>2.6465642952685191</v>
      </c>
      <c r="AQ208" s="22">
        <f>VLOOKUP($A208,tabCustoUnit[],COLUMN(CUSTO_GLOBAL[[#Headers],[Multa Rescisória do FGTS sobre o Aviso Prévio Indenizado]])-2,0)*($G208-$H208)</f>
        <v>1.0586257181074077</v>
      </c>
      <c r="AR208" s="22">
        <f>VLOOKUP($A208,tabCustoUnit[],COLUMN(CUSTO_GLOBAL[[#Headers],[Aviso Prévio Trabalhado - APT]])-2,0)*($G208-$H208)</f>
        <v>16.513268100000005</v>
      </c>
      <c r="AS208" s="22">
        <f>VLOOKUP($A208,tabCustoUnit[],COLUMN(CUSTO_GLOBAL[[#Headers],[Incidência dos encargos do submódulo 2.1 sobre Aviso Prévio Trabalhado]])-2,0)*($G208-$H208)</f>
        <v>6.2420153418000019</v>
      </c>
      <c r="AT208" s="22">
        <f>VLOOKUP($A208,tabCustoUnit[],COLUMN(CUSTO_GLOBAL[[#Headers],[Multa Rescisória do FGTS]])-2,0)*($G208-$H208)</f>
        <v>144.26829781333333</v>
      </c>
      <c r="AU208" s="22">
        <f>VLOOKUP($A208,tabCustoUnit[],COLUMN(CUSTO_GLOBAL[[#Headers],[Indenização Adicional (Art. 9º da Lei nº 7.238/84)]])-2,0)*($G208-$H208)</f>
        <v>3.9317305000000005</v>
      </c>
      <c r="AV208" s="22">
        <f>VLOOKUP($A208,tabCustoUnit[],COLUMN(CUSTO_GLOBAL[[#Headers],[MÓDULO 3 – PROVISÃO PARA RESCISÃO]])-2,0)*($G208-$H208)</f>
        <v>207.74255545936575</v>
      </c>
      <c r="AW208" s="22">
        <f>VLOOKUP($A208,tabCustoUnit[],COLUMN(CUSTO_GLOBAL[[#Headers],[Ausência por Doença]])-2,0)*($G208-$H208)</f>
        <v>39.84153573333333</v>
      </c>
      <c r="AX208" s="22">
        <f>VLOOKUP($A208,tabCustoUnit[],COLUMN(CUSTO_GLOBAL[[#Headers],[Ausências Legais]])-2,0)*($G208-$H208)</f>
        <v>9.5672108833333329</v>
      </c>
      <c r="AY208" s="22">
        <f>VLOOKUP($A208,tabCustoUnit[],COLUMN(CUSTO_GLOBAL[[#Headers],[Licença Paternidade]])-2,0)*($G208-$H208)</f>
        <v>0.80600475250000003</v>
      </c>
      <c r="AZ208" s="22">
        <f>VLOOKUP($A208,tabCustoUnit[],COLUMN(CUSTO_GLOBAL[[#Headers],[Ausência por Acidente de Trabalho]])-2,0)*($G208-$H208)</f>
        <v>0.98293262500000012</v>
      </c>
      <c r="BA208" s="22">
        <f>VLOOKUP($A208,tabCustoUnit[],COLUMN(CUSTO_GLOBAL[[#Headers],[Férias, Adicional de Férias e 13º  com empregada em gozo de Licença Maternidade]])-2,0)*($G208-$H208)</f>
        <v>6.1160252222222224</v>
      </c>
      <c r="BB208" s="22">
        <f>VLOOKUP($A208,tabCustoUnit[],COLUMN(CUSTO_GLOBAL[[#Headers],[Incidência do Submódulo 2.1 sobre Ausências Legais]])-2,0)*($G208-$H208)</f>
        <v>21.664582083795004</v>
      </c>
      <c r="BC208" s="22">
        <f>VLOOKUP($A208,tabCustoUnit[],COLUMN(CUSTO_GLOBAL[[#Headers],[Submódulo 4.1]])-2,0)*($G208-$H208)</f>
        <v>78.978291300183884</v>
      </c>
      <c r="BD208" s="22">
        <f>VLOOKUP($A208,tabCustoUnit[],COLUMN(CUSTO_GLOBAL[[#Headers],[Intervalo para Repouso ou Alimentação]])-2,0)*($G208-$H208)</f>
        <v>522.35848681753384</v>
      </c>
      <c r="BE208" s="22">
        <f>VLOOKUP($A208,tabCustoUnit[],COLUMN(CUSTO_GLOBAL[[#Headers],[Submódulo 4.2]])-2,0)*($G208-$H208)</f>
        <v>522.35848681753384</v>
      </c>
      <c r="BF208" s="22">
        <f>VLOOKUP($A208,tabCustoUnit[],COLUMN(CUSTO_GLOBAL[[#Headers],[Suspensão Temporária do Contrato de Trabalho]])-2,0)*($G208-$H208)</f>
        <v>0</v>
      </c>
      <c r="BG208" s="22">
        <f>VLOOKUP($A208,tabCustoUnit[],COLUMN(CUSTO_GLOBAL[[#Headers],[Submódulo 4.3]])-2,0)*($G208-$H208)</f>
        <v>0</v>
      </c>
      <c r="BH208" s="22">
        <f>VLOOKUP($A208,tabCustoUnit[],COLUMN(CUSTO_GLOBAL[[#Headers],[MÓDULO 4 – CUSTO DE REPOSIÇÃO DO PROFISSIONAL AUSENTE]])-2,0)*($G208-$H208)</f>
        <v>601.3367781177177</v>
      </c>
      <c r="BI208" s="22">
        <f>VLOOKUP($A208,tabCustoUnit[],COLUMN(CUSTO_GLOBAL[[#Headers],[Uniformes e EPIs]])-2,0)*($G208-$H208)</f>
        <v>113.28595792508679</v>
      </c>
      <c r="BJ208" s="22">
        <f>VLOOKUP($A208,tabCustoUnit[],COLUMN(CUSTO_GLOBAL[[#Headers],[Materiais de Consumo]])-2,0)*($G208-$H208)</f>
        <v>0</v>
      </c>
      <c r="BK208" s="22">
        <f>VLOOKUP($A208,tabCustoUnit[],COLUMN(CUSTO_GLOBAL[[#Headers],[Máquinas e Equipamentos (depreciação)]])-2,0)*($G208-$H208)</f>
        <v>0</v>
      </c>
      <c r="BL208" s="22">
        <f>VLOOKUP($A208,tabCustoUnit[],COLUMN(CUSTO_GLOBAL[[#Headers],[Produtos de Limpeza e Materiais de Higiene Pessoal]])-2,0)*($G208-$H208)</f>
        <v>0</v>
      </c>
      <c r="BM208" s="22">
        <f>VLOOKUP($A208,tabCustoUnit[],COLUMN(CUSTO_GLOBAL[[#Headers],[Outros (especificar)]])-2,0)*($G208-$H208)</f>
        <v>0</v>
      </c>
      <c r="BN208" s="22">
        <f>VLOOKUP($A208,tabCustoUnit[],COLUMN(CUSTO_GLOBAL[[#Headers],[MÓDULO 5 – INSUMOS DIVERSOS]])-2,0)*($G208-$H208)</f>
        <v>113.28595792508679</v>
      </c>
      <c r="BO208" s="22" t="e">
        <f ca="1">VLOOKUP($A208,tabCustoUnit[],COLUMN(CUSTO_GLOBAL[[#Headers],[TOTAL MÓDULOS 1+2+3+4+5]])-2,0)*($G208-$H208)</f>
        <v>#NAME?</v>
      </c>
      <c r="BP208" s="22" t="e">
        <f ca="1">VLOOKUP($A208,tabCustoUnit[],COLUMN(CUSTO_GLOBAL[[#Headers],[Custos Indiretos]])-2,0)*($G208-$H208)</f>
        <v>#NAME?</v>
      </c>
      <c r="BQ208" s="22" t="e">
        <f ca="1">VLOOKUP($A208,tabCustoUnit[],COLUMN(CUSTO_GLOBAL[[#Headers],[Lucro]])-2,0)*($G208-$H208)</f>
        <v>#NAME?</v>
      </c>
      <c r="BR208" s="26">
        <f>VLOOKUP($A208,tabCustoUnit[],COLUMN(CUSTO_GLOBAL[[#Headers],[COFINS]])-2,0)</f>
        <v>8.5633802816901458E-2</v>
      </c>
      <c r="BS208" s="26">
        <f>VLOOKUP($A208,tabCustoUnit[],COLUMN(CUSTO_GLOBAL[[#Headers],[PIS]])-2,0)</f>
        <v>1.8591549295774657E-2</v>
      </c>
      <c r="BT208" s="28">
        <f>VLOOKUP($A208,tabCustoUnit[],COLUMN(CUSTO_GLOBAL[[#Headers],[ISS]])-2,0)</f>
        <v>0.02</v>
      </c>
      <c r="BU208" s="26">
        <f>VLOOKUP($A208,tabCustoUnit[],COLUMN(CUSTO_GLOBAL[[#Headers],[ISS (Conversão Alíquota s/ fatura)]])-2,0)</f>
        <v>2.2535211267605645E-2</v>
      </c>
      <c r="BV208" s="26">
        <f>VLOOKUP($A208,tabCustoUnit[],COLUMN(CUSTO_GLOBAL[[#Headers],[Resumo de Alíquotas (PIS+CONFINS+ISS)]])-2,0)</f>
        <v>0.1125</v>
      </c>
      <c r="BW208" s="138">
        <f>VLOOKUP($A208,tabCustoUnit[],COLUMN(CUSTO_GLOBAL[[#Headers],[PIS + COFINS + ISS (Total Conversão  Alíquota s/ Fatura)]])-2,0)</f>
        <v>0.12676056338028174</v>
      </c>
      <c r="BX208" s="22" t="e">
        <f ca="1">VLOOKUP($A208,tabCustoUnit[],COLUMN(CUSTO_GLOBAL[[#Headers],[Valor dos Tributos (ISS, PIS, CONFINS)]])-2,0)*($G208-$H208)</f>
        <v>#NAME?</v>
      </c>
      <c r="BY208" s="22" t="e">
        <f ca="1">VLOOKUP($A208,tabCustoUnit[],COLUMN(CUSTO_GLOBAL[[#Headers],[MÓDULO 6 – CUSTOS INDIRETOS, TRIBUTOS E LUCRO]])-2,0)*($G208-$H208)</f>
        <v>#NAME?</v>
      </c>
      <c r="BZ208" s="22" t="e">
        <f ca="1">VLOOKUP($A208,tabCustoUnit[],COLUMN(CUSTO_GLOBAL[[#Headers],[CUSTO TOTAL MENSAL]])-2,0)*($G208-$H208)</f>
        <v>#NAME?</v>
      </c>
      <c r="CA208" s="22" t="e">
        <f ca="1">CUSTO_GLOBAL[[#This Row],[CUSTO TOTAL MENSAL]]*12</f>
        <v>#NAME?</v>
      </c>
      <c r="CB208" s="24">
        <f>VLOOKUP($A208,tabCustoUnit[],COLUMN(CUSTO_GLOBAL[[#Headers],[ANO DA CCT]])-2,0)</f>
        <v>45658</v>
      </c>
      <c r="CC208" s="25" t="str">
        <f>VLOOKUP($A208,tabCustoUnit[],COLUMN(CUSTO_GLOBAL[[#Headers],[Nº DE PEDIDO DA CCT]])-2,0)</f>
        <v>-</v>
      </c>
      <c r="CD208" s="25" t="str">
        <f>VLOOKUP($A208,tabCustoUnit[],COLUMN(CUSTO_GLOBAL[[#Headers],[TERMO ADITIVO ALTERAÇÃO DA CCT]])-2,0)</f>
        <v>-</v>
      </c>
    </row>
    <row r="209" spans="1:82">
      <c r="A209" s="20" t="s">
        <v>1491</v>
      </c>
      <c r="B209" t="s">
        <v>1162</v>
      </c>
      <c r="C209" t="s">
        <v>314</v>
      </c>
      <c r="D209" t="s">
        <v>954</v>
      </c>
      <c r="E209" s="20" t="s">
        <v>1090</v>
      </c>
      <c r="F209" s="20" t="s">
        <v>120</v>
      </c>
      <c r="G209" s="20">
        <v>1</v>
      </c>
      <c r="H209" s="20">
        <v>0</v>
      </c>
      <c r="I209" s="21">
        <f>VLOOKUP($A209,tabCustoUnit[],COLUMN(CUSTO_GLOBAL[[#Headers],[Salário Base]])-2,0)*($G209-$H209)</f>
        <v>1963.4110000000001</v>
      </c>
      <c r="J209" s="21">
        <f>VLOOKUP($A209,tabCustoUnit[],COLUMN(CUSTO_GLOBAL[[#Headers],[Adicional Periculosidade]])-2,0)*($G209-$H209)</f>
        <v>0</v>
      </c>
      <c r="K209" s="21">
        <f>VLOOKUP($A209,tabCustoUnit[],COLUMN(CUSTO_GLOBAL[[#Headers],[Adicional Insalubridade]])-2,0)*($G209-$H209)</f>
        <v>0</v>
      </c>
      <c r="L209" s="21">
        <f>VLOOKUP($A209,tabCustoUnit[],COLUMN(CUSTO_GLOBAL[[#Headers],[Adicional Noturno]])-2,0)*($G209-$H209)</f>
        <v>0</v>
      </c>
      <c r="M209" s="21">
        <f>VLOOKUP($A209,tabCustoUnit[],COLUMN(CUSTO_GLOBAL[[#Headers],[Adicional Motorista II (Gratificação)]])-2,0)*($G209-$H209)</f>
        <v>0</v>
      </c>
      <c r="N209" s="21">
        <f>VLOOKUP($A209,tabCustoUnit[],COLUMN(CUSTO_GLOBAL[[#Headers],[Adicional de Sobreaviso]])-2,0)*($G209-$H209)</f>
        <v>0</v>
      </c>
      <c r="O209" s="21">
        <f>VLOOKUP($A209,tabCustoUnit[],COLUMN(CUSTO_GLOBAL[[#Headers],[Horas Extras TI]])-2,0)*($G209-$H209)</f>
        <v>0</v>
      </c>
      <c r="P209" s="21">
        <f>VLOOKUP($A209,tabCustoUnit[],COLUMN(CUSTO_GLOBAL[[#Headers],[Adicional de Acúmulo de função]])-2,0)*($G209-$H209)</f>
        <v>0</v>
      </c>
      <c r="Q209" s="21">
        <f>VLOOKUP($A209,tabCustoUnit[],COLUMN(CUSTO_GLOBAL[[#Headers],[MODULO 1 - REMUNERAÇÃO ]])-2,0)*($G209-$H209)</f>
        <v>1963.4110000000001</v>
      </c>
      <c r="R209" s="21">
        <f>VLOOKUP($A209,tabCustoUnit[],COLUMN(CUSTO_GLOBAL[[#Headers],[INSS]])-2,0)*($G209-$H209)</f>
        <v>392.68220000000002</v>
      </c>
      <c r="S209" s="21">
        <f>VLOOKUP($A209,tabCustoUnit[],COLUMN(CUSTO_GLOBAL[[#Headers],[SESI OU SESC]])-2,0)*($G209-$H209)</f>
        <v>29.451165</v>
      </c>
      <c r="T209" s="21">
        <f>VLOOKUP($A209,tabCustoUnit[],COLUMN(CUSTO_GLOBAL[[#Headers],[SENAI OU SENAC]])-2,0)*($G209-$H209)</f>
        <v>19.63411</v>
      </c>
      <c r="U209" s="21">
        <f>VLOOKUP($A209,tabCustoUnit[],COLUMN(CUSTO_GLOBAL[[#Headers],[INCRA]])-2,0)*($G209-$H209)</f>
        <v>3.926822</v>
      </c>
      <c r="V209" s="21">
        <f>VLOOKUP($A209,tabCustoUnit[],COLUMN(CUSTO_GLOBAL[[#Headers],[Salário Educação]])-2,0)*($G209-$H209)</f>
        <v>49.085275000000003</v>
      </c>
      <c r="W209" s="21">
        <f>VLOOKUP($A209,tabCustoUnit[],COLUMN(CUSTO_GLOBAL[[#Headers],[FGTS]])-2,0)*($G209-$H209)</f>
        <v>157.07288</v>
      </c>
      <c r="X209" s="21">
        <f>VLOOKUP($A209,tabCustoUnit[],COLUMN(CUSTO_GLOBAL[[#Headers],[RAT Ajustado]])-2,0)*($G209-$H209)</f>
        <v>78.536439999999999</v>
      </c>
      <c r="Y209" s="21">
        <f>VLOOKUP($A209,tabCustoUnit[],COLUMN(CUSTO_GLOBAL[[#Headers],[SEBRAE]])-2,0)*($G209-$H209)</f>
        <v>11.780466000000001</v>
      </c>
      <c r="Z209" s="21">
        <f>VLOOKUP($A209,tabCustoUnit[],COLUMN(CUSTO_GLOBAL[[#Headers],[Submódulo 2.1]])-2,0)*($G209-$H209)</f>
        <v>742.1693580000001</v>
      </c>
      <c r="AA209" s="21">
        <f>VLOOKUP($A209,tabCustoUnit[],COLUMN(CUSTO_GLOBAL[[#Headers],[13º salário (titular)]])-2,0)*($G209-$H209)</f>
        <v>163.61758333333333</v>
      </c>
      <c r="AB209" s="21">
        <f>VLOOKUP($A209,tabCustoUnit[],COLUMN(CUSTO_GLOBAL[[#Headers],[Férias e Adicional de Férias (titular)]])-2,0)*($G209-$H209)</f>
        <v>218.15677777777776</v>
      </c>
      <c r="AC209" s="21">
        <f>VLOOKUP($A209,tabCustoUnit[],COLUMN(CUSTO_GLOBAL[[#Headers],[Incidência do Submódulo 2.1 sobre 13º Salário, Férias e Adicional de Férias]])-2,0)*($G209-$H209)</f>
        <v>144.3107085</v>
      </c>
      <c r="AD209" s="21">
        <f>VLOOKUP($A209,tabCustoUnit[],COLUMN(CUSTO_GLOBAL[[#Headers],[Submódulo 2.2]])-2,0)*($G209-$H209)</f>
        <v>526.08506961111107</v>
      </c>
      <c r="AE209" s="22" t="e">
        <f ca="1">VLOOKUP($A209,tabCustoUnit[],COLUMN(CUSTO_GLOBAL[[#Headers],[Vale - Transporte (Descontada parcela do empregado)]])-2,0)*($G209-$H209)</f>
        <v>#NAME?</v>
      </c>
      <c r="AF209" s="22">
        <f>VLOOKUP($A209,tabCustoUnit[],COLUMN(CUSTO_GLOBAL[[#Headers],[Vale - Alimentação (Descontada parcela do empregado)]])-2,0)*($G209-$H209)</f>
        <v>582</v>
      </c>
      <c r="AG209" s="22">
        <f>VLOOKUP($A209,tabCustoUnit[],COLUMN(CUSTO_GLOBAL[[#Headers],[Cesta Básica]])-2,0)*($G209-$H209)</f>
        <v>0</v>
      </c>
      <c r="AH209" s="22">
        <f>VLOOKUP($A209,tabCustoUnit[],COLUMN(CUSTO_GLOBAL[[#Headers],[PAF]])-2,0)*($G209-$H209)</f>
        <v>51.88</v>
      </c>
      <c r="AI209" s="22">
        <f>VLOOKUP($A209,tabCustoUnit[],COLUMN(CUSTO_GLOBAL[[#Headers],[PQM]])-2,0)*($G209-$H209)</f>
        <v>0</v>
      </c>
      <c r="AJ209" s="22">
        <v>0</v>
      </c>
      <c r="AK209" s="22">
        <f>VLOOKUP($A209,tabCustoUnit[],COLUMN(CUSTO_GLOBAL[[#Headers],[Seguro de Vida]])-2,0)*($G209-$H209)</f>
        <v>3.36</v>
      </c>
      <c r="AL209" s="22">
        <f>VLOOKUP($A209,tabCustoUnit[],COLUMN(CUSTO_GLOBAL[[#Headers],[Despesas de Viagem]])-2,0)*($G209-$H209)</f>
        <v>0</v>
      </c>
      <c r="AM209" s="22" t="e">
        <f ca="1">VLOOKUP($A209,tabCustoUnit[],COLUMN(CUSTO_GLOBAL[[#Headers],[Submódulo 2.3]])-2,0)*($G209-$H209)</f>
        <v>#NAME?</v>
      </c>
      <c r="AN209" s="22" t="e">
        <f ca="1">VLOOKUP($A209,tabCustoUnit[],COLUMN(CUSTO_GLOBAL[[#Headers],[MÓDULO 2 - Total Encargos e Benefícios mensais e diários]])-2,0)*($G209-$H209)</f>
        <v>#NAME?</v>
      </c>
      <c r="AO209" s="22">
        <f>VLOOKUP($A209,tabCustoUnit[],COLUMN(CUSTO_GLOBAL[[#Headers],[Aviso Prévio Indenizado (API) e Reflexo do Aviso Prévio Indenizado]])-2,0)*($G209-$H209)</f>
        <v>13.766980408757716</v>
      </c>
      <c r="AP209" s="22">
        <f>VLOOKUP($A209,tabCustoUnit[],COLUMN(CUSTO_GLOBAL[[#Headers],[Incidência do FGTS sobre API e Reflexo do API]])-2,0)*($G209-$H209)</f>
        <v>1.1013584327006174</v>
      </c>
      <c r="AQ209" s="22">
        <f>VLOOKUP($A209,tabCustoUnit[],COLUMN(CUSTO_GLOBAL[[#Headers],[Multa Rescisória do FGTS sobre o Aviso Prévio Indenizado]])-2,0)*($G209-$H209)</f>
        <v>0.44054337308024699</v>
      </c>
      <c r="AR209" s="22">
        <f>VLOOKUP($A209,tabCustoUnit[],COLUMN(CUSTO_GLOBAL[[#Headers],[Aviso Prévio Trabalhado - APT]])-2,0)*($G209-$H209)</f>
        <v>6.8719385000000015</v>
      </c>
      <c r="AS209" s="22">
        <f>VLOOKUP($A209,tabCustoUnit[],COLUMN(CUSTO_GLOBAL[[#Headers],[Incidência dos encargos do submódulo 2.1 sobre Aviso Prévio Trabalhado]])-2,0)*($G209-$H209)</f>
        <v>2.5975927530000007</v>
      </c>
      <c r="AT209" s="22">
        <f>VLOOKUP($A209,tabCustoUnit[],COLUMN(CUSTO_GLOBAL[[#Headers],[Multa Rescisória do FGTS]])-2,0)*($G209-$H209)</f>
        <v>60.03674524444444</v>
      </c>
      <c r="AU209" s="22">
        <f>VLOOKUP($A209,tabCustoUnit[],COLUMN(CUSTO_GLOBAL[[#Headers],[Indenização Adicional (Art. 9º da Lei nº 7.238/84)]])-2,0)*($G209-$H209)</f>
        <v>1.6361758333333334</v>
      </c>
      <c r="AV209" s="22">
        <f>VLOOKUP($A209,tabCustoUnit[],COLUMN(CUSTO_GLOBAL[[#Headers],[MÓDULO 3 – PROVISÃO PARA RESCISÃO]])-2,0)*($G209-$H209)</f>
        <v>86.451334545316371</v>
      </c>
      <c r="AW209" s="22">
        <f>VLOOKUP($A209,tabCustoUnit[],COLUMN(CUSTO_GLOBAL[[#Headers],[Ausência por Doença]])-2,0)*($G209-$H209)</f>
        <v>16.579915111111109</v>
      </c>
      <c r="AX209" s="22">
        <f>VLOOKUP($A209,tabCustoUnit[],COLUMN(CUSTO_GLOBAL[[#Headers],[Ausências Legais]])-2,0)*($G209-$H209)</f>
        <v>3.9813611944444443</v>
      </c>
      <c r="AY209" s="22">
        <f>VLOOKUP($A209,tabCustoUnit[],COLUMN(CUSTO_GLOBAL[[#Headers],[Licença Paternidade]])-2,0)*($G209-$H209)</f>
        <v>0.33541604583333334</v>
      </c>
      <c r="AZ209" s="22">
        <f>VLOOKUP($A209,tabCustoUnit[],COLUMN(CUSTO_GLOBAL[[#Headers],[Ausência por Acidente de Trabalho]])-2,0)*($G209-$H209)</f>
        <v>0.40904395833333335</v>
      </c>
      <c r="BA209" s="22">
        <f>VLOOKUP($A209,tabCustoUnit[],COLUMN(CUSTO_GLOBAL[[#Headers],[Férias, Adicional de Férias e 13º  com empregada em gozo de Licença Maternidade]])-2,0)*($G209-$H209)</f>
        <v>2.5451624074074073</v>
      </c>
      <c r="BB209" s="22">
        <f>VLOOKUP($A209,tabCustoUnit[],COLUMN(CUSTO_GLOBAL[[#Headers],[Incidência do Submódulo 2.1 sobre Ausências Legais]])-2,0)*($G209-$H209)</f>
        <v>9.0156397150750021</v>
      </c>
      <c r="BC209" s="22">
        <f>VLOOKUP($A209,tabCustoUnit[],COLUMN(CUSTO_GLOBAL[[#Headers],[Submódulo 4.1]])-2,0)*($G209-$H209)</f>
        <v>32.866538432204628</v>
      </c>
      <c r="BD209" s="22">
        <f>VLOOKUP($A209,tabCustoUnit[],COLUMN(CUSTO_GLOBAL[[#Headers],[Intervalo para Repouso ou Alimentação]])-2,0)*($G209-$H209)</f>
        <v>267.73786489195959</v>
      </c>
      <c r="BE209" s="22">
        <f>VLOOKUP($A209,tabCustoUnit[],COLUMN(CUSTO_GLOBAL[[#Headers],[Submódulo 4.2]])-2,0)*($G209-$H209)</f>
        <v>267.73786489195959</v>
      </c>
      <c r="BF209" s="22">
        <f>VLOOKUP($A209,tabCustoUnit[],COLUMN(CUSTO_GLOBAL[[#Headers],[Suspensão Temporária do Contrato de Trabalho]])-2,0)*($G209-$H209)</f>
        <v>0</v>
      </c>
      <c r="BG209" s="22">
        <f>VLOOKUP($A209,tabCustoUnit[],COLUMN(CUSTO_GLOBAL[[#Headers],[Submódulo 4.3]])-2,0)*($G209-$H209)</f>
        <v>0</v>
      </c>
      <c r="BH209" s="22">
        <f>VLOOKUP($A209,tabCustoUnit[],COLUMN(CUSTO_GLOBAL[[#Headers],[MÓDULO 4 – CUSTO DE REPOSIÇÃO DO PROFISSIONAL AUSENTE]])-2,0)*($G209-$H209)</f>
        <v>300.6044033241642</v>
      </c>
      <c r="BI209" s="22">
        <f>VLOOKUP($A209,tabCustoUnit[],COLUMN(CUSTO_GLOBAL[[#Headers],[Uniformes e EPIs]])-2,0)*($G209-$H209)</f>
        <v>56.642978962543395</v>
      </c>
      <c r="BJ209" s="22">
        <f>VLOOKUP($A209,tabCustoUnit[],COLUMN(CUSTO_GLOBAL[[#Headers],[Materiais de Consumo]])-2,0)*($G209-$H209)</f>
        <v>0</v>
      </c>
      <c r="BK209" s="22">
        <f>VLOOKUP($A209,tabCustoUnit[],COLUMN(CUSTO_GLOBAL[[#Headers],[Máquinas e Equipamentos (depreciação)]])-2,0)*($G209-$H209)</f>
        <v>0</v>
      </c>
      <c r="BL209" s="22">
        <f>VLOOKUP($A209,tabCustoUnit[],COLUMN(CUSTO_GLOBAL[[#Headers],[Produtos de Limpeza e Materiais de Higiene Pessoal]])-2,0)*($G209-$H209)</f>
        <v>0</v>
      </c>
      <c r="BM209" s="22">
        <f>VLOOKUP($A209,tabCustoUnit[],COLUMN(CUSTO_GLOBAL[[#Headers],[Outros (especificar)]])-2,0)*($G209-$H209)</f>
        <v>0</v>
      </c>
      <c r="BN209" s="22">
        <f>VLOOKUP($A209,tabCustoUnit[],COLUMN(CUSTO_GLOBAL[[#Headers],[MÓDULO 5 – INSUMOS DIVERSOS]])-2,0)*($G209-$H209)</f>
        <v>56.642978962543395</v>
      </c>
      <c r="BO209" s="22" t="e">
        <f ca="1">VLOOKUP($A209,tabCustoUnit[],COLUMN(CUSTO_GLOBAL[[#Headers],[TOTAL MÓDULOS 1+2+3+4+5]])-2,0)*($G209-$H209)</f>
        <v>#NAME?</v>
      </c>
      <c r="BP209" s="22" t="e">
        <f ca="1">VLOOKUP($A209,tabCustoUnit[],COLUMN(CUSTO_GLOBAL[[#Headers],[Custos Indiretos]])-2,0)*($G209-$H209)</f>
        <v>#NAME?</v>
      </c>
      <c r="BQ209" s="22" t="e">
        <f ca="1">VLOOKUP($A209,tabCustoUnit[],COLUMN(CUSTO_GLOBAL[[#Headers],[Lucro]])-2,0)*($G209-$H209)</f>
        <v>#NAME?</v>
      </c>
      <c r="BR209" s="26">
        <f>VLOOKUP($A209,tabCustoUnit[],COLUMN(CUSTO_GLOBAL[[#Headers],[COFINS]])-2,0)</f>
        <v>8.6609686609686695E-2</v>
      </c>
      <c r="BS209" s="26">
        <f>VLOOKUP($A209,tabCustoUnit[],COLUMN(CUSTO_GLOBAL[[#Headers],[PIS]])-2,0)</f>
        <v>1.880341880341882E-2</v>
      </c>
      <c r="BT209" s="28">
        <f>VLOOKUP($A209,tabCustoUnit[],COLUMN(CUSTO_GLOBAL[[#Headers],[ISS]])-2,0)</f>
        <v>0.03</v>
      </c>
      <c r="BU209" s="26">
        <f>VLOOKUP($A209,tabCustoUnit[],COLUMN(CUSTO_GLOBAL[[#Headers],[ISS (Conversão Alíquota s/ fatura)]])-2,0)</f>
        <v>3.4188034188034219E-2</v>
      </c>
      <c r="BV209" s="26">
        <f>VLOOKUP($A209,tabCustoUnit[],COLUMN(CUSTO_GLOBAL[[#Headers],[Resumo de Alíquotas (PIS+CONFINS+ISS)]])-2,0)</f>
        <v>0.1225</v>
      </c>
      <c r="BW209" s="138">
        <f>VLOOKUP($A209,tabCustoUnit[],COLUMN(CUSTO_GLOBAL[[#Headers],[PIS + COFINS + ISS (Total Conversão  Alíquota s/ Fatura)]])-2,0)</f>
        <v>0.13960113960113973</v>
      </c>
      <c r="BX209" s="22" t="e">
        <f ca="1">VLOOKUP($A209,tabCustoUnit[],COLUMN(CUSTO_GLOBAL[[#Headers],[Valor dos Tributos (ISS, PIS, CONFINS)]])-2,0)*($G209-$H209)</f>
        <v>#NAME?</v>
      </c>
      <c r="BY209" s="22" t="e">
        <f ca="1">VLOOKUP($A209,tabCustoUnit[],COLUMN(CUSTO_GLOBAL[[#Headers],[MÓDULO 6 – CUSTOS INDIRETOS, TRIBUTOS E LUCRO]])-2,0)*($G209-$H209)</f>
        <v>#NAME?</v>
      </c>
      <c r="BZ209" s="22" t="e">
        <f ca="1">VLOOKUP($A209,tabCustoUnit[],COLUMN(CUSTO_GLOBAL[[#Headers],[CUSTO TOTAL MENSAL]])-2,0)*($G209-$H209)</f>
        <v>#NAME?</v>
      </c>
      <c r="CA209" s="22" t="e">
        <f ca="1">CUSTO_GLOBAL[[#This Row],[CUSTO TOTAL MENSAL]]*12</f>
        <v>#NAME?</v>
      </c>
      <c r="CB209" s="24">
        <f>VLOOKUP($A209,tabCustoUnit[],COLUMN(CUSTO_GLOBAL[[#Headers],[ANO DA CCT]])-2,0)</f>
        <v>45658</v>
      </c>
      <c r="CC209" s="25" t="str">
        <f>VLOOKUP($A209,tabCustoUnit[],COLUMN(CUSTO_GLOBAL[[#Headers],[Nº DE PEDIDO DA CCT]])-2,0)</f>
        <v>-</v>
      </c>
      <c r="CD209" s="25" t="str">
        <f>VLOOKUP($A209,tabCustoUnit[],COLUMN(CUSTO_GLOBAL[[#Headers],[TERMO ADITIVO ALTERAÇÃO DA CCT]])-2,0)</f>
        <v>-</v>
      </c>
    </row>
    <row r="210" spans="1:82">
      <c r="A210" s="20" t="s">
        <v>1644</v>
      </c>
      <c r="B210" t="s">
        <v>1162</v>
      </c>
      <c r="C210" t="s">
        <v>324</v>
      </c>
      <c r="D210" t="s">
        <v>954</v>
      </c>
      <c r="E210" s="20" t="s">
        <v>1090</v>
      </c>
      <c r="F210" s="20" t="s">
        <v>120</v>
      </c>
      <c r="G210" s="20">
        <v>1</v>
      </c>
      <c r="H210" s="20">
        <v>0</v>
      </c>
      <c r="I210" s="21">
        <f>VLOOKUP($A210,tabCustoUnit[],COLUMN(CUSTO_GLOBAL[[#Headers],[Salário Base]])-2,0)*($G210-$H210)</f>
        <v>3397.1306</v>
      </c>
      <c r="J210" s="21">
        <f>VLOOKUP($A210,tabCustoUnit[],COLUMN(CUSTO_GLOBAL[[#Headers],[Adicional Periculosidade]])-2,0)*($G210-$H210)</f>
        <v>0</v>
      </c>
      <c r="K210" s="21">
        <f>VLOOKUP($A210,tabCustoUnit[],COLUMN(CUSTO_GLOBAL[[#Headers],[Adicional Insalubridade]])-2,0)*($G210-$H210)</f>
        <v>0</v>
      </c>
      <c r="L210" s="21">
        <f>VLOOKUP($A210,tabCustoUnit[],COLUMN(CUSTO_GLOBAL[[#Headers],[Adicional Noturno]])-2,0)*($G210-$H210)</f>
        <v>0</v>
      </c>
      <c r="M210" s="21">
        <f>VLOOKUP($A210,tabCustoUnit[],COLUMN(CUSTO_GLOBAL[[#Headers],[Adicional Motorista II (Gratificação)]])-2,0)*($G210-$H210)</f>
        <v>0</v>
      </c>
      <c r="N210" s="21">
        <f>VLOOKUP($A210,tabCustoUnit[],COLUMN(CUSTO_GLOBAL[[#Headers],[Adicional de Sobreaviso]])-2,0)*($G210-$H210)</f>
        <v>0</v>
      </c>
      <c r="O210" s="21">
        <f>VLOOKUP($A210,tabCustoUnit[],COLUMN(CUSTO_GLOBAL[[#Headers],[Horas Extras TI]])-2,0)*($G210-$H210)</f>
        <v>0</v>
      </c>
      <c r="P210" s="21">
        <f>VLOOKUP($A210,tabCustoUnit[],COLUMN(CUSTO_GLOBAL[[#Headers],[Adicional de Acúmulo de função]])-2,0)*($G210-$H210)</f>
        <v>0</v>
      </c>
      <c r="Q210" s="21">
        <f>VLOOKUP($A210,tabCustoUnit[],COLUMN(CUSTO_GLOBAL[[#Headers],[MODULO 1 - REMUNERAÇÃO ]])-2,0)*($G210-$H210)</f>
        <v>3397.1306</v>
      </c>
      <c r="R210" s="21">
        <f>VLOOKUP($A210,tabCustoUnit[],COLUMN(CUSTO_GLOBAL[[#Headers],[INSS]])-2,0)*($G210-$H210)</f>
        <v>679.42612000000008</v>
      </c>
      <c r="S210" s="21">
        <f>VLOOKUP($A210,tabCustoUnit[],COLUMN(CUSTO_GLOBAL[[#Headers],[SESI OU SESC]])-2,0)*($G210-$H210)</f>
        <v>50.956958999999998</v>
      </c>
      <c r="T210" s="21">
        <f>VLOOKUP($A210,tabCustoUnit[],COLUMN(CUSTO_GLOBAL[[#Headers],[SENAI OU SENAC]])-2,0)*($G210-$H210)</f>
        <v>33.971305999999998</v>
      </c>
      <c r="U210" s="21">
        <f>VLOOKUP($A210,tabCustoUnit[],COLUMN(CUSTO_GLOBAL[[#Headers],[INCRA]])-2,0)*($G210-$H210)</f>
        <v>6.7942612000000002</v>
      </c>
      <c r="V210" s="21">
        <f>VLOOKUP($A210,tabCustoUnit[],COLUMN(CUSTO_GLOBAL[[#Headers],[Salário Educação]])-2,0)*($G210-$H210)</f>
        <v>84.92826500000001</v>
      </c>
      <c r="W210" s="21">
        <f>VLOOKUP($A210,tabCustoUnit[],COLUMN(CUSTO_GLOBAL[[#Headers],[FGTS]])-2,0)*($G210-$H210)</f>
        <v>271.77044799999999</v>
      </c>
      <c r="X210" s="21">
        <f>VLOOKUP($A210,tabCustoUnit[],COLUMN(CUSTO_GLOBAL[[#Headers],[RAT Ajustado]])-2,0)*($G210-$H210)</f>
        <v>135.88522399999999</v>
      </c>
      <c r="Y210" s="21">
        <f>VLOOKUP($A210,tabCustoUnit[],COLUMN(CUSTO_GLOBAL[[#Headers],[SEBRAE]])-2,0)*($G210-$H210)</f>
        <v>20.3827836</v>
      </c>
      <c r="Z210" s="21">
        <f>VLOOKUP($A210,tabCustoUnit[],COLUMN(CUSTO_GLOBAL[[#Headers],[Submódulo 2.1]])-2,0)*($G210-$H210)</f>
        <v>1284.1153668000002</v>
      </c>
      <c r="AA210" s="21">
        <f>VLOOKUP($A210,tabCustoUnit[],COLUMN(CUSTO_GLOBAL[[#Headers],[13º salário (titular)]])-2,0)*($G210-$H210)</f>
        <v>283.09421666666663</v>
      </c>
      <c r="AB210" s="21">
        <f>VLOOKUP($A210,tabCustoUnit[],COLUMN(CUSTO_GLOBAL[[#Headers],[Férias e Adicional de Férias (titular)]])-2,0)*($G210-$H210)</f>
        <v>377.45895555555552</v>
      </c>
      <c r="AC210" s="21">
        <f>VLOOKUP($A210,tabCustoUnit[],COLUMN(CUSTO_GLOBAL[[#Headers],[Incidência do Submódulo 2.1 sobre 13º Salário, Férias e Adicional de Férias]])-2,0)*($G210-$H210)</f>
        <v>249.68909910000002</v>
      </c>
      <c r="AD210" s="21">
        <f>VLOOKUP($A210,tabCustoUnit[],COLUMN(CUSTO_GLOBAL[[#Headers],[Submódulo 2.2]])-2,0)*($G210-$H210)</f>
        <v>910.24227132222222</v>
      </c>
      <c r="AE210" s="22" t="e">
        <f ca="1">VLOOKUP($A210,tabCustoUnit[],COLUMN(CUSTO_GLOBAL[[#Headers],[Vale - Transporte (Descontada parcela do empregado)]])-2,0)*($G210-$H210)</f>
        <v>#NAME?</v>
      </c>
      <c r="AF210" s="22">
        <f>VLOOKUP($A210,tabCustoUnit[],COLUMN(CUSTO_GLOBAL[[#Headers],[Vale - Alimentação (Descontada parcela do empregado)]])-2,0)*($G210-$H210)</f>
        <v>582</v>
      </c>
      <c r="AG210" s="22">
        <f>VLOOKUP($A210,tabCustoUnit[],COLUMN(CUSTO_GLOBAL[[#Headers],[Cesta Básica]])-2,0)*($G210-$H210)</f>
        <v>0</v>
      </c>
      <c r="AH210" s="22">
        <f>VLOOKUP($A210,tabCustoUnit[],COLUMN(CUSTO_GLOBAL[[#Headers],[PAF]])-2,0)*($G210-$H210)</f>
        <v>51.88</v>
      </c>
      <c r="AI210" s="22">
        <f>VLOOKUP($A210,tabCustoUnit[],COLUMN(CUSTO_GLOBAL[[#Headers],[PQM]])-2,0)*($G210-$H210)</f>
        <v>0</v>
      </c>
      <c r="AJ210" s="22">
        <v>0</v>
      </c>
      <c r="AK210" s="22">
        <f>VLOOKUP($A210,tabCustoUnit[],COLUMN(CUSTO_GLOBAL[[#Headers],[Seguro de Vida]])-2,0)*($G210-$H210)</f>
        <v>3.36</v>
      </c>
      <c r="AL210" s="22">
        <f>VLOOKUP($A210,tabCustoUnit[],COLUMN(CUSTO_GLOBAL[[#Headers],[Despesas de Viagem]])-2,0)*($G210-$H210)</f>
        <v>0</v>
      </c>
      <c r="AM210" s="22" t="e">
        <f ca="1">VLOOKUP($A210,tabCustoUnit[],COLUMN(CUSTO_GLOBAL[[#Headers],[Submódulo 2.3]])-2,0)*($G210-$H210)</f>
        <v>#NAME?</v>
      </c>
      <c r="AN210" s="22" t="e">
        <f ca="1">VLOOKUP($A210,tabCustoUnit[],COLUMN(CUSTO_GLOBAL[[#Headers],[MÓDULO 2 - Total Encargos e Benefícios mensais e diários]])-2,0)*($G210-$H210)</f>
        <v>#NAME?</v>
      </c>
      <c r="AO210" s="22">
        <f>VLOOKUP($A210,tabCustoUnit[],COLUMN(CUSTO_GLOBAL[[#Headers],[Aviso Prévio Indenizado (API) e Reflexo do Aviso Prévio Indenizado]])-2,0)*($G210-$H210)</f>
        <v>23.819888151890432</v>
      </c>
      <c r="AP210" s="22">
        <f>VLOOKUP($A210,tabCustoUnit[],COLUMN(CUSTO_GLOBAL[[#Headers],[Incidência do FGTS sobre API e Reflexo do API]])-2,0)*($G210-$H210)</f>
        <v>1.9055910521512347</v>
      </c>
      <c r="AQ210" s="22">
        <f>VLOOKUP($A210,tabCustoUnit[],COLUMN(CUSTO_GLOBAL[[#Headers],[Multa Rescisória do FGTS sobre o Aviso Prévio Indenizado]])-2,0)*($G210-$H210)</f>
        <v>0.76223642086049392</v>
      </c>
      <c r="AR210" s="22">
        <f>VLOOKUP($A210,tabCustoUnit[],COLUMN(CUSTO_GLOBAL[[#Headers],[Aviso Prévio Trabalhado - APT]])-2,0)*($G210-$H210)</f>
        <v>11.889957100000002</v>
      </c>
      <c r="AS210" s="22">
        <f>VLOOKUP($A210,tabCustoUnit[],COLUMN(CUSTO_GLOBAL[[#Headers],[Incidência dos encargos do submódulo 2.1 sobre Aviso Prévio Trabalhado]])-2,0)*($G210-$H210)</f>
        <v>4.4944037838000011</v>
      </c>
      <c r="AT210" s="22">
        <f>VLOOKUP($A210,tabCustoUnit[],COLUMN(CUSTO_GLOBAL[[#Headers],[Multa Rescisória do FGTS]])-2,0)*($G210-$H210)</f>
        <v>103.87670456888887</v>
      </c>
      <c r="AU210" s="22">
        <f>VLOOKUP($A210,tabCustoUnit[],COLUMN(CUSTO_GLOBAL[[#Headers],[Indenização Adicional (Art. 9º da Lei nº 7.238/84)]])-2,0)*($G210-$H210)</f>
        <v>2.830942166666667</v>
      </c>
      <c r="AV210" s="22">
        <f>VLOOKUP($A210,tabCustoUnit[],COLUMN(CUSTO_GLOBAL[[#Headers],[MÓDULO 3 – PROVISÃO PARA RESCISÃO]])-2,0)*($G210-$H210)</f>
        <v>149.57972324425771</v>
      </c>
      <c r="AW210" s="22">
        <f>VLOOKUP($A210,tabCustoUnit[],COLUMN(CUSTO_GLOBAL[[#Headers],[Ausência por Doença]])-2,0)*($G210-$H210)</f>
        <v>28.686880622222219</v>
      </c>
      <c r="AX210" s="22">
        <f>VLOOKUP($A210,tabCustoUnit[],COLUMN(CUSTO_GLOBAL[[#Headers],[Ausências Legais]])-2,0)*($G210-$H210)</f>
        <v>6.8886259388888886</v>
      </c>
      <c r="AY210" s="22">
        <f>VLOOKUP($A210,tabCustoUnit[],COLUMN(CUSTO_GLOBAL[[#Headers],[Licença Paternidade]])-2,0)*($G210-$H210)</f>
        <v>0.58034314416666666</v>
      </c>
      <c r="AZ210" s="22">
        <f>VLOOKUP($A210,tabCustoUnit[],COLUMN(CUSTO_GLOBAL[[#Headers],[Ausência por Acidente de Trabalho]])-2,0)*($G210-$H210)</f>
        <v>0.70773554166666675</v>
      </c>
      <c r="BA210" s="22">
        <f>VLOOKUP($A210,tabCustoUnit[],COLUMN(CUSTO_GLOBAL[[#Headers],[Férias, Adicional de Férias e 13º  com empregada em gozo de Licença Maternidade]])-2,0)*($G210-$H210)</f>
        <v>4.4036878148148144</v>
      </c>
      <c r="BB210" s="22">
        <f>VLOOKUP($A210,tabCustoUnit[],COLUMN(CUSTO_GLOBAL[[#Headers],[Incidência do Submódulo 2.1 sobre Ausências Legais]])-2,0)*($G210-$H210)</f>
        <v>15.599029217345002</v>
      </c>
      <c r="BC210" s="22">
        <f>VLOOKUP($A210,tabCustoUnit[],COLUMN(CUSTO_GLOBAL[[#Headers],[Submódulo 4.1]])-2,0)*($G210-$H210)</f>
        <v>56.866302279104261</v>
      </c>
      <c r="BD210" s="22">
        <f>VLOOKUP($A210,tabCustoUnit[],COLUMN(CUSTO_GLOBAL[[#Headers],[Intervalo para Repouso ou Alimentação]])-2,0)*($G210-$H210)</f>
        <v>0</v>
      </c>
      <c r="BE210" s="22">
        <f>VLOOKUP($A210,tabCustoUnit[],COLUMN(CUSTO_GLOBAL[[#Headers],[Submódulo 4.2]])-2,0)*($G210-$H210)</f>
        <v>0</v>
      </c>
      <c r="BF210" s="22">
        <f>VLOOKUP($A210,tabCustoUnit[],COLUMN(CUSTO_GLOBAL[[#Headers],[Suspensão Temporária do Contrato de Trabalho]])-2,0)*($G210-$H210)</f>
        <v>0</v>
      </c>
      <c r="BG210" s="22">
        <f>VLOOKUP($A210,tabCustoUnit[],COLUMN(CUSTO_GLOBAL[[#Headers],[Submódulo 4.3]])-2,0)*($G210-$H210)</f>
        <v>0</v>
      </c>
      <c r="BH210" s="22">
        <f>VLOOKUP($A210,tabCustoUnit[],COLUMN(CUSTO_GLOBAL[[#Headers],[MÓDULO 4 – CUSTO DE REPOSIÇÃO DO PROFISSIONAL AUSENTE]])-2,0)*($G210-$H210)</f>
        <v>56.866302279104261</v>
      </c>
      <c r="BI210" s="22">
        <f>VLOOKUP($A210,tabCustoUnit[],COLUMN(CUSTO_GLOBAL[[#Headers],[Uniformes e EPIs]])-2,0)*($G210-$H210)</f>
        <v>56.642978962543395</v>
      </c>
      <c r="BJ210" s="22">
        <f>VLOOKUP($A210,tabCustoUnit[],COLUMN(CUSTO_GLOBAL[[#Headers],[Materiais de Consumo]])-2,0)*($G210-$H210)</f>
        <v>0</v>
      </c>
      <c r="BK210" s="22">
        <f>VLOOKUP($A210,tabCustoUnit[],COLUMN(CUSTO_GLOBAL[[#Headers],[Máquinas e Equipamentos (depreciação)]])-2,0)*($G210-$H210)</f>
        <v>0</v>
      </c>
      <c r="BL210" s="22">
        <f>VLOOKUP($A210,tabCustoUnit[],COLUMN(CUSTO_GLOBAL[[#Headers],[Produtos de Limpeza e Materiais de Higiene Pessoal]])-2,0)*($G210-$H210)</f>
        <v>0</v>
      </c>
      <c r="BM210" s="22">
        <f>VLOOKUP($A210,tabCustoUnit[],COLUMN(CUSTO_GLOBAL[[#Headers],[Outros (especificar)]])-2,0)*($G210-$H210)</f>
        <v>0</v>
      </c>
      <c r="BN210" s="22">
        <f>VLOOKUP($A210,tabCustoUnit[],COLUMN(CUSTO_GLOBAL[[#Headers],[MÓDULO 5 – INSUMOS DIVERSOS]])-2,0)*($G210-$H210)</f>
        <v>56.642978962543395</v>
      </c>
      <c r="BO210" s="22" t="e">
        <f ca="1">VLOOKUP($A210,tabCustoUnit[],COLUMN(CUSTO_GLOBAL[[#Headers],[TOTAL MÓDULOS 1+2+3+4+5]])-2,0)*($G210-$H210)</f>
        <v>#NAME?</v>
      </c>
      <c r="BP210" s="22" t="e">
        <f ca="1">VLOOKUP($A210,tabCustoUnit[],COLUMN(CUSTO_GLOBAL[[#Headers],[Custos Indiretos]])-2,0)*($G210-$H210)</f>
        <v>#NAME?</v>
      </c>
      <c r="BQ210" s="22" t="e">
        <f ca="1">VLOOKUP($A210,tabCustoUnit[],COLUMN(CUSTO_GLOBAL[[#Headers],[Lucro]])-2,0)*($G210-$H210)</f>
        <v>#NAME?</v>
      </c>
      <c r="BR210" s="26">
        <f>VLOOKUP($A210,tabCustoUnit[],COLUMN(CUSTO_GLOBAL[[#Headers],[COFINS]])-2,0)</f>
        <v>8.6609686609686695E-2</v>
      </c>
      <c r="BS210" s="26">
        <f>VLOOKUP($A210,tabCustoUnit[],COLUMN(CUSTO_GLOBAL[[#Headers],[PIS]])-2,0)</f>
        <v>1.880341880341882E-2</v>
      </c>
      <c r="BT210" s="28">
        <f>VLOOKUP($A210,tabCustoUnit[],COLUMN(CUSTO_GLOBAL[[#Headers],[ISS]])-2,0)</f>
        <v>0.03</v>
      </c>
      <c r="BU210" s="26">
        <f>VLOOKUP($A210,tabCustoUnit[],COLUMN(CUSTO_GLOBAL[[#Headers],[ISS (Conversão Alíquota s/ fatura)]])-2,0)</f>
        <v>3.4188034188034219E-2</v>
      </c>
      <c r="BV210" s="26">
        <f>VLOOKUP($A210,tabCustoUnit[],COLUMN(CUSTO_GLOBAL[[#Headers],[Resumo de Alíquotas (PIS+CONFINS+ISS)]])-2,0)</f>
        <v>0.1225</v>
      </c>
      <c r="BW210" s="138">
        <f>VLOOKUP($A210,tabCustoUnit[],COLUMN(CUSTO_GLOBAL[[#Headers],[PIS + COFINS + ISS (Total Conversão  Alíquota s/ Fatura)]])-2,0)</f>
        <v>0.13960113960113973</v>
      </c>
      <c r="BX210" s="22" t="e">
        <f ca="1">VLOOKUP($A210,tabCustoUnit[],COLUMN(CUSTO_GLOBAL[[#Headers],[Valor dos Tributos (ISS, PIS, CONFINS)]])-2,0)*($G210-$H210)</f>
        <v>#NAME?</v>
      </c>
      <c r="BY210" s="22" t="e">
        <f ca="1">VLOOKUP($A210,tabCustoUnit[],COLUMN(CUSTO_GLOBAL[[#Headers],[MÓDULO 6 – CUSTOS INDIRETOS, TRIBUTOS E LUCRO]])-2,0)*($G210-$H210)</f>
        <v>#NAME?</v>
      </c>
      <c r="BZ210" s="22" t="e">
        <f ca="1">VLOOKUP($A210,tabCustoUnit[],COLUMN(CUSTO_GLOBAL[[#Headers],[CUSTO TOTAL MENSAL]])-2,0)*($G210-$H210)</f>
        <v>#NAME?</v>
      </c>
      <c r="CA210" s="22" t="e">
        <f ca="1">CUSTO_GLOBAL[[#This Row],[CUSTO TOTAL MENSAL]]*12</f>
        <v>#NAME?</v>
      </c>
      <c r="CB210" s="24">
        <f>VLOOKUP($A210,tabCustoUnit[],COLUMN(CUSTO_GLOBAL[[#Headers],[ANO DA CCT]])-2,0)</f>
        <v>45658</v>
      </c>
      <c r="CC210" s="25" t="str">
        <f>VLOOKUP($A210,tabCustoUnit[],COLUMN(CUSTO_GLOBAL[[#Headers],[Nº DE PEDIDO DA CCT]])-2,0)</f>
        <v>-</v>
      </c>
      <c r="CD210" s="25" t="str">
        <f>VLOOKUP($A210,tabCustoUnit[],COLUMN(CUSTO_GLOBAL[[#Headers],[TERMO ADITIVO ALTERAÇÃO DA CCT]])-2,0)</f>
        <v>-</v>
      </c>
    </row>
    <row r="211" spans="1:82">
      <c r="A211" s="20" t="s">
        <v>1492</v>
      </c>
      <c r="B211" t="s">
        <v>1163</v>
      </c>
      <c r="C211" t="s">
        <v>200</v>
      </c>
      <c r="D211" t="s">
        <v>957</v>
      </c>
      <c r="E211" s="20" t="s">
        <v>1090</v>
      </c>
      <c r="F211" s="20" t="s">
        <v>120</v>
      </c>
      <c r="G211" s="20">
        <v>1</v>
      </c>
      <c r="H211" s="20">
        <v>0</v>
      </c>
      <c r="I211" s="21">
        <f>VLOOKUP($A211,tabCustoUnit[],COLUMN(CUSTO_GLOBAL[[#Headers],[Salário Base]])-2,0)*($G211-$H211)</f>
        <v>1596.2737999999999</v>
      </c>
      <c r="J211" s="21">
        <f>VLOOKUP($A211,tabCustoUnit[],COLUMN(CUSTO_GLOBAL[[#Headers],[Adicional Periculosidade]])-2,0)*($G211-$H211)</f>
        <v>0</v>
      </c>
      <c r="K211" s="21">
        <f>VLOOKUP($A211,tabCustoUnit[],COLUMN(CUSTO_GLOBAL[[#Headers],[Adicional Insalubridade]])-2,0)*($G211-$H211)</f>
        <v>0</v>
      </c>
      <c r="L211" s="21">
        <f>VLOOKUP($A211,tabCustoUnit[],COLUMN(CUSTO_GLOBAL[[#Headers],[Adicional Noturno]])-2,0)*($G211-$H211)</f>
        <v>0</v>
      </c>
      <c r="M211" s="21">
        <f>VLOOKUP($A211,tabCustoUnit[],COLUMN(CUSTO_GLOBAL[[#Headers],[Adicional Motorista II (Gratificação)]])-2,0)*($G211-$H211)</f>
        <v>0</v>
      </c>
      <c r="N211" s="21">
        <f>VLOOKUP($A211,tabCustoUnit[],COLUMN(CUSTO_GLOBAL[[#Headers],[Adicional de Sobreaviso]])-2,0)*($G211-$H211)</f>
        <v>0</v>
      </c>
      <c r="O211" s="21">
        <f>VLOOKUP($A211,tabCustoUnit[],COLUMN(CUSTO_GLOBAL[[#Headers],[Horas Extras TI]])-2,0)*($G211-$H211)</f>
        <v>0</v>
      </c>
      <c r="P211" s="21">
        <f>VLOOKUP($A211,tabCustoUnit[],COLUMN(CUSTO_GLOBAL[[#Headers],[Adicional de Acúmulo de função]])-2,0)*($G211-$H211)</f>
        <v>0</v>
      </c>
      <c r="Q211" s="21">
        <f>VLOOKUP($A211,tabCustoUnit[],COLUMN(CUSTO_GLOBAL[[#Headers],[MODULO 1 - REMUNERAÇÃO ]])-2,0)*($G211-$H211)</f>
        <v>1596.2737999999999</v>
      </c>
      <c r="R211" s="21">
        <f>VLOOKUP($A211,tabCustoUnit[],COLUMN(CUSTO_GLOBAL[[#Headers],[INSS]])-2,0)*($G211-$H211)</f>
        <v>319.25476000000003</v>
      </c>
      <c r="S211" s="21">
        <f>VLOOKUP($A211,tabCustoUnit[],COLUMN(CUSTO_GLOBAL[[#Headers],[SESI OU SESC]])-2,0)*($G211-$H211)</f>
        <v>23.944106999999999</v>
      </c>
      <c r="T211" s="21">
        <f>VLOOKUP($A211,tabCustoUnit[],COLUMN(CUSTO_GLOBAL[[#Headers],[SENAI OU SENAC]])-2,0)*($G211-$H211)</f>
        <v>15.962738</v>
      </c>
      <c r="U211" s="21">
        <f>VLOOKUP($A211,tabCustoUnit[],COLUMN(CUSTO_GLOBAL[[#Headers],[INCRA]])-2,0)*($G211-$H211)</f>
        <v>3.1925476000000002</v>
      </c>
      <c r="V211" s="21">
        <f>VLOOKUP($A211,tabCustoUnit[],COLUMN(CUSTO_GLOBAL[[#Headers],[Salário Educação]])-2,0)*($G211-$H211)</f>
        <v>39.906845000000004</v>
      </c>
      <c r="W211" s="21">
        <f>VLOOKUP($A211,tabCustoUnit[],COLUMN(CUSTO_GLOBAL[[#Headers],[FGTS]])-2,0)*($G211-$H211)</f>
        <v>127.701904</v>
      </c>
      <c r="X211" s="21">
        <f>VLOOKUP($A211,tabCustoUnit[],COLUMN(CUSTO_GLOBAL[[#Headers],[RAT Ajustado]])-2,0)*($G211-$H211)</f>
        <v>63.850951999999999</v>
      </c>
      <c r="Y211" s="21">
        <f>VLOOKUP($A211,tabCustoUnit[],COLUMN(CUSTO_GLOBAL[[#Headers],[SEBRAE]])-2,0)*($G211-$H211)</f>
        <v>9.5776427999999996</v>
      </c>
      <c r="Z211" s="21">
        <f>VLOOKUP($A211,tabCustoUnit[],COLUMN(CUSTO_GLOBAL[[#Headers],[Submódulo 2.1]])-2,0)*($G211-$H211)</f>
        <v>603.39149640000005</v>
      </c>
      <c r="AA211" s="21">
        <f>VLOOKUP($A211,tabCustoUnit[],COLUMN(CUSTO_GLOBAL[[#Headers],[13º salário (titular)]])-2,0)*($G211-$H211)</f>
        <v>133.02281666666664</v>
      </c>
      <c r="AB211" s="21">
        <f>VLOOKUP($A211,tabCustoUnit[],COLUMN(CUSTO_GLOBAL[[#Headers],[Férias e Adicional de Férias (titular)]])-2,0)*($G211-$H211)</f>
        <v>177.36375555555554</v>
      </c>
      <c r="AC211" s="21">
        <f>VLOOKUP($A211,tabCustoUnit[],COLUMN(CUSTO_GLOBAL[[#Headers],[Incidência do Submódulo 2.1 sobre 13º Salário, Férias e Adicional de Férias]])-2,0)*($G211-$H211)</f>
        <v>117.3261243</v>
      </c>
      <c r="AD211" s="21">
        <f>VLOOKUP($A211,tabCustoUnit[],COLUMN(CUSTO_GLOBAL[[#Headers],[Submódulo 2.2]])-2,0)*($G211-$H211)</f>
        <v>427.71269652222219</v>
      </c>
      <c r="AE211" s="22" t="e">
        <f ca="1">VLOOKUP($A211,tabCustoUnit[],COLUMN(CUSTO_GLOBAL[[#Headers],[Vale - Transporte (Descontada parcela do empregado)]])-2,0)*($G211-$H211)</f>
        <v>#NAME?</v>
      </c>
      <c r="AF211" s="22">
        <f>VLOOKUP($A211,tabCustoUnit[],COLUMN(CUSTO_GLOBAL[[#Headers],[Vale - Alimentação (Descontada parcela do empregado)]])-2,0)*($G211-$H211)</f>
        <v>582</v>
      </c>
      <c r="AG211" s="22">
        <f>VLOOKUP($A211,tabCustoUnit[],COLUMN(CUSTO_GLOBAL[[#Headers],[Cesta Básica]])-2,0)*($G211-$H211)</f>
        <v>0</v>
      </c>
      <c r="AH211" s="22">
        <f>VLOOKUP($A211,tabCustoUnit[],COLUMN(CUSTO_GLOBAL[[#Headers],[PAF]])-2,0)*($G211-$H211)</f>
        <v>0</v>
      </c>
      <c r="AI211" s="22">
        <f>VLOOKUP($A211,tabCustoUnit[],COLUMN(CUSTO_GLOBAL[[#Headers],[PQM]])-2,0)*($G211-$H211)</f>
        <v>0</v>
      </c>
      <c r="AJ211" s="22">
        <v>0</v>
      </c>
      <c r="AK211" s="22">
        <f>VLOOKUP($A211,tabCustoUnit[],COLUMN(CUSTO_GLOBAL[[#Headers],[Seguro de Vida]])-2,0)*($G211-$H211)</f>
        <v>3.36</v>
      </c>
      <c r="AL211" s="22">
        <f>VLOOKUP($A211,tabCustoUnit[],COLUMN(CUSTO_GLOBAL[[#Headers],[Despesas de Viagem]])-2,0)*($G211-$H211)</f>
        <v>0</v>
      </c>
      <c r="AM211" s="22" t="e">
        <f ca="1">VLOOKUP($A211,tabCustoUnit[],COLUMN(CUSTO_GLOBAL[[#Headers],[Submódulo 2.3]])-2,0)*($G211-$H211)</f>
        <v>#NAME?</v>
      </c>
      <c r="AN211" s="22" t="e">
        <f ca="1">VLOOKUP($A211,tabCustoUnit[],COLUMN(CUSTO_GLOBAL[[#Headers],[MÓDULO 2 - Total Encargos e Benefícios mensais e diários]])-2,0)*($G211-$H211)</f>
        <v>#NAME?</v>
      </c>
      <c r="AO211" s="22">
        <f>VLOOKUP($A211,tabCustoUnit[],COLUMN(CUSTO_GLOBAL[[#Headers],[Aviso Prévio Indenizado (API) e Reflexo do Aviso Prévio Indenizado]])-2,0)*($G211-$H211)</f>
        <v>11.192699914390431</v>
      </c>
      <c r="AP211" s="22">
        <f>VLOOKUP($A211,tabCustoUnit[],COLUMN(CUSTO_GLOBAL[[#Headers],[Incidência do FGTS sobre API e Reflexo do API]])-2,0)*($G211-$H211)</f>
        <v>0.89541599315123466</v>
      </c>
      <c r="AQ211" s="22">
        <f>VLOOKUP($A211,tabCustoUnit[],COLUMN(CUSTO_GLOBAL[[#Headers],[Multa Rescisória do FGTS sobre o Aviso Prévio Indenizado]])-2,0)*($G211-$H211)</f>
        <v>0.35816639726049387</v>
      </c>
      <c r="AR211" s="22">
        <f>VLOOKUP($A211,tabCustoUnit[],COLUMN(CUSTO_GLOBAL[[#Headers],[Aviso Prévio Trabalhado - APT]])-2,0)*($G211-$H211)</f>
        <v>5.5869583000000009</v>
      </c>
      <c r="AS211" s="22">
        <f>VLOOKUP($A211,tabCustoUnit[],COLUMN(CUSTO_GLOBAL[[#Headers],[Incidência dos encargos do submódulo 2.1 sobre Aviso Prévio Trabalhado]])-2,0)*($G211-$H211)</f>
        <v>2.1118702374000007</v>
      </c>
      <c r="AT211" s="22">
        <f>VLOOKUP($A211,tabCustoUnit[],COLUMN(CUSTO_GLOBAL[[#Headers],[Multa Rescisória do FGTS]])-2,0)*($G211-$H211)</f>
        <v>48.810505528888882</v>
      </c>
      <c r="AU211" s="22">
        <f>VLOOKUP($A211,tabCustoUnit[],COLUMN(CUSTO_GLOBAL[[#Headers],[Indenização Adicional (Art. 9º da Lei nº 7.238/84)]])-2,0)*($G211-$H211)</f>
        <v>1.3302281666666667</v>
      </c>
      <c r="AV211" s="22">
        <f>VLOOKUP($A211,tabCustoUnit[],COLUMN(CUSTO_GLOBAL[[#Headers],[MÓDULO 3 – PROVISÃO PARA RESCISÃO]])-2,0)*($G211-$H211)</f>
        <v>70.285844537757711</v>
      </c>
      <c r="AW211" s="22">
        <f>VLOOKUP($A211,tabCustoUnit[],COLUMN(CUSTO_GLOBAL[[#Headers],[Ausência por Doença]])-2,0)*($G211-$H211)</f>
        <v>13.479645422222221</v>
      </c>
      <c r="AX211" s="22">
        <f>VLOOKUP($A211,tabCustoUnit[],COLUMN(CUSTO_GLOBAL[[#Headers],[Ausências Legais]])-2,0)*($G211-$H211)</f>
        <v>3.2368885388888886</v>
      </c>
      <c r="AY211" s="22">
        <f>VLOOKUP($A211,tabCustoUnit[],COLUMN(CUSTO_GLOBAL[[#Headers],[Licença Paternidade]])-2,0)*($G211-$H211)</f>
        <v>0.27269677416666666</v>
      </c>
      <c r="AZ211" s="22">
        <f>VLOOKUP($A211,tabCustoUnit[],COLUMN(CUSTO_GLOBAL[[#Headers],[Ausência por Acidente de Trabalho]])-2,0)*($G211-$H211)</f>
        <v>0.33255704166666666</v>
      </c>
      <c r="BA211" s="22">
        <f>VLOOKUP($A211,tabCustoUnit[],COLUMN(CUSTO_GLOBAL[[#Headers],[Férias, Adicional de Férias e 13º  com empregada em gozo de Licença Maternidade]])-2,0)*($G211-$H211)</f>
        <v>2.0692438148148145</v>
      </c>
      <c r="BB211" s="22">
        <f>VLOOKUP($A211,tabCustoUnit[],COLUMN(CUSTO_GLOBAL[[#Headers],[Incidência do Submódulo 2.1 sobre Ausências Legais]])-2,0)*($G211-$H211)</f>
        <v>7.3298099416850011</v>
      </c>
      <c r="BC211" s="22">
        <f>VLOOKUP($A211,tabCustoUnit[],COLUMN(CUSTO_GLOBAL[[#Headers],[Submódulo 4.1]])-2,0)*($G211-$H211)</f>
        <v>26.720841533444265</v>
      </c>
      <c r="BD211" s="22">
        <f>VLOOKUP($A211,tabCustoUnit[],COLUMN(CUSTO_GLOBAL[[#Headers],[Intervalo para Repouso ou Alimentação]])-2,0)*($G211-$H211)</f>
        <v>0</v>
      </c>
      <c r="BE211" s="22">
        <f>VLOOKUP($A211,tabCustoUnit[],COLUMN(CUSTO_GLOBAL[[#Headers],[Submódulo 4.2]])-2,0)*($G211-$H211)</f>
        <v>0</v>
      </c>
      <c r="BF211" s="22">
        <f>VLOOKUP($A211,tabCustoUnit[],COLUMN(CUSTO_GLOBAL[[#Headers],[Suspensão Temporária do Contrato de Trabalho]])-2,0)*($G211-$H211)</f>
        <v>0</v>
      </c>
      <c r="BG211" s="22">
        <f>VLOOKUP($A211,tabCustoUnit[],COLUMN(CUSTO_GLOBAL[[#Headers],[Submódulo 4.3]])-2,0)*($G211-$H211)</f>
        <v>0</v>
      </c>
      <c r="BH211" s="22">
        <f>VLOOKUP($A211,tabCustoUnit[],COLUMN(CUSTO_GLOBAL[[#Headers],[MÓDULO 4 – CUSTO DE REPOSIÇÃO DO PROFISSIONAL AUSENTE]])-2,0)*($G211-$H211)</f>
        <v>26.720841533444265</v>
      </c>
      <c r="BI211" s="22">
        <f>VLOOKUP($A211,tabCustoUnit[],COLUMN(CUSTO_GLOBAL[[#Headers],[Uniformes e EPIs]])-2,0)*($G211-$H211)</f>
        <v>56.141713661989918</v>
      </c>
      <c r="BJ211" s="22">
        <f>VLOOKUP($A211,tabCustoUnit[],COLUMN(CUSTO_GLOBAL[[#Headers],[Materiais de Consumo]])-2,0)*($G211-$H211)</f>
        <v>0</v>
      </c>
      <c r="BK211" s="22">
        <f>VLOOKUP($A211,tabCustoUnit[],COLUMN(CUSTO_GLOBAL[[#Headers],[Máquinas e Equipamentos (depreciação)]])-2,0)*($G211-$H211)</f>
        <v>0</v>
      </c>
      <c r="BL211" s="22">
        <f>VLOOKUP($A211,tabCustoUnit[],COLUMN(CUSTO_GLOBAL[[#Headers],[Produtos de Limpeza e Materiais de Higiene Pessoal]])-2,0)*($G211-$H211)</f>
        <v>0</v>
      </c>
      <c r="BM211" s="22">
        <f>VLOOKUP($A211,tabCustoUnit[],COLUMN(CUSTO_GLOBAL[[#Headers],[Outros (especificar)]])-2,0)*($G211-$H211)</f>
        <v>0</v>
      </c>
      <c r="BN211" s="22">
        <f>VLOOKUP($A211,tabCustoUnit[],COLUMN(CUSTO_GLOBAL[[#Headers],[MÓDULO 5 – INSUMOS DIVERSOS]])-2,0)*($G211-$H211)</f>
        <v>56.141713661989918</v>
      </c>
      <c r="BO211" s="22" t="e">
        <f ca="1">VLOOKUP($A211,tabCustoUnit[],COLUMN(CUSTO_GLOBAL[[#Headers],[TOTAL MÓDULOS 1+2+3+4+5]])-2,0)*($G211-$H211)</f>
        <v>#NAME?</v>
      </c>
      <c r="BP211" s="22" t="e">
        <f ca="1">VLOOKUP($A211,tabCustoUnit[],COLUMN(CUSTO_GLOBAL[[#Headers],[Custos Indiretos]])-2,0)*($G211-$H211)</f>
        <v>#NAME?</v>
      </c>
      <c r="BQ211" s="22" t="e">
        <f ca="1">VLOOKUP($A211,tabCustoUnit[],COLUMN(CUSTO_GLOBAL[[#Headers],[Lucro]])-2,0)*($G211-$H211)</f>
        <v>#NAME?</v>
      </c>
      <c r="BR211" s="26">
        <f>VLOOKUP($A211,tabCustoUnit[],COLUMN(CUSTO_GLOBAL[[#Headers],[COFINS]])-2,0)</f>
        <v>8.5633802816901458E-2</v>
      </c>
      <c r="BS211" s="26">
        <f>VLOOKUP($A211,tabCustoUnit[],COLUMN(CUSTO_GLOBAL[[#Headers],[PIS]])-2,0)</f>
        <v>1.8591549295774657E-2</v>
      </c>
      <c r="BT211" s="28">
        <f>VLOOKUP($A211,tabCustoUnit[],COLUMN(CUSTO_GLOBAL[[#Headers],[ISS]])-2,0)</f>
        <v>0.02</v>
      </c>
      <c r="BU211" s="26">
        <f>VLOOKUP($A211,tabCustoUnit[],COLUMN(CUSTO_GLOBAL[[#Headers],[ISS (Conversão Alíquota s/ fatura)]])-2,0)</f>
        <v>2.2535211267605645E-2</v>
      </c>
      <c r="BV211" s="26">
        <f>VLOOKUP($A211,tabCustoUnit[],COLUMN(CUSTO_GLOBAL[[#Headers],[Resumo de Alíquotas (PIS+CONFINS+ISS)]])-2,0)</f>
        <v>0.1125</v>
      </c>
      <c r="BW211" s="138">
        <f>VLOOKUP($A211,tabCustoUnit[],COLUMN(CUSTO_GLOBAL[[#Headers],[PIS + COFINS + ISS (Total Conversão  Alíquota s/ Fatura)]])-2,0)</f>
        <v>0.12676056338028174</v>
      </c>
      <c r="BX211" s="22" t="e">
        <f ca="1">VLOOKUP($A211,tabCustoUnit[],COLUMN(CUSTO_GLOBAL[[#Headers],[Valor dos Tributos (ISS, PIS, CONFINS)]])-2,0)*($G211-$H211)</f>
        <v>#NAME?</v>
      </c>
      <c r="BY211" s="22" t="e">
        <f ca="1">VLOOKUP($A211,tabCustoUnit[],COLUMN(CUSTO_GLOBAL[[#Headers],[MÓDULO 6 – CUSTOS INDIRETOS, TRIBUTOS E LUCRO]])-2,0)*($G211-$H211)</f>
        <v>#NAME?</v>
      </c>
      <c r="BZ211" s="22" t="e">
        <f ca="1">VLOOKUP($A211,tabCustoUnit[],COLUMN(CUSTO_GLOBAL[[#Headers],[CUSTO TOTAL MENSAL]])-2,0)*($G211-$H211)</f>
        <v>#NAME?</v>
      </c>
      <c r="CA211" s="22" t="e">
        <f ca="1">CUSTO_GLOBAL[[#This Row],[CUSTO TOTAL MENSAL]]*12</f>
        <v>#NAME?</v>
      </c>
      <c r="CB211" s="24">
        <f>VLOOKUP($A211,tabCustoUnit[],COLUMN(CUSTO_GLOBAL[[#Headers],[ANO DA CCT]])-2,0)</f>
        <v>45658</v>
      </c>
      <c r="CC211" s="25" t="str">
        <f>VLOOKUP($A211,tabCustoUnit[],COLUMN(CUSTO_GLOBAL[[#Headers],[Nº DE PEDIDO DA CCT]])-2,0)</f>
        <v>-</v>
      </c>
      <c r="CD211" s="25" t="str">
        <f>VLOOKUP($A211,tabCustoUnit[],COLUMN(CUSTO_GLOBAL[[#Headers],[TERMO ADITIVO ALTERAÇÃO DA CCT]])-2,0)</f>
        <v>-</v>
      </c>
    </row>
    <row r="212" spans="1:82">
      <c r="A212" s="20" t="s">
        <v>1645</v>
      </c>
      <c r="B212" t="s">
        <v>1163</v>
      </c>
      <c r="C212" t="s">
        <v>324</v>
      </c>
      <c r="D212" t="s">
        <v>957</v>
      </c>
      <c r="E212" s="20" t="s">
        <v>1090</v>
      </c>
      <c r="F212" s="20" t="s">
        <v>120</v>
      </c>
      <c r="G212" s="20">
        <v>1</v>
      </c>
      <c r="H212" s="20">
        <v>0</v>
      </c>
      <c r="I212" s="21">
        <f>VLOOKUP($A212,tabCustoUnit[],COLUMN(CUSTO_GLOBAL[[#Headers],[Salário Base]])-2,0)*($G212-$H212)</f>
        <v>3397.1306</v>
      </c>
      <c r="J212" s="21">
        <f>VLOOKUP($A212,tabCustoUnit[],COLUMN(CUSTO_GLOBAL[[#Headers],[Adicional Periculosidade]])-2,0)*($G212-$H212)</f>
        <v>0</v>
      </c>
      <c r="K212" s="21">
        <f>VLOOKUP($A212,tabCustoUnit[],COLUMN(CUSTO_GLOBAL[[#Headers],[Adicional Insalubridade]])-2,0)*($G212-$H212)</f>
        <v>0</v>
      </c>
      <c r="L212" s="21">
        <f>VLOOKUP($A212,tabCustoUnit[],COLUMN(CUSTO_GLOBAL[[#Headers],[Adicional Noturno]])-2,0)*($G212-$H212)</f>
        <v>0</v>
      </c>
      <c r="M212" s="21">
        <f>VLOOKUP($A212,tabCustoUnit[],COLUMN(CUSTO_GLOBAL[[#Headers],[Adicional Motorista II (Gratificação)]])-2,0)*($G212-$H212)</f>
        <v>0</v>
      </c>
      <c r="N212" s="21">
        <f>VLOOKUP($A212,tabCustoUnit[],COLUMN(CUSTO_GLOBAL[[#Headers],[Adicional de Sobreaviso]])-2,0)*($G212-$H212)</f>
        <v>0</v>
      </c>
      <c r="O212" s="21">
        <f>VLOOKUP($A212,tabCustoUnit[],COLUMN(CUSTO_GLOBAL[[#Headers],[Horas Extras TI]])-2,0)*($G212-$H212)</f>
        <v>0</v>
      </c>
      <c r="P212" s="21">
        <f>VLOOKUP($A212,tabCustoUnit[],COLUMN(CUSTO_GLOBAL[[#Headers],[Adicional de Acúmulo de função]])-2,0)*($G212-$H212)</f>
        <v>0</v>
      </c>
      <c r="Q212" s="21">
        <f>VLOOKUP($A212,tabCustoUnit[],COLUMN(CUSTO_GLOBAL[[#Headers],[MODULO 1 - REMUNERAÇÃO ]])-2,0)*($G212-$H212)</f>
        <v>3397.1306</v>
      </c>
      <c r="R212" s="21">
        <f>VLOOKUP($A212,tabCustoUnit[],COLUMN(CUSTO_GLOBAL[[#Headers],[INSS]])-2,0)*($G212-$H212)</f>
        <v>679.42612000000008</v>
      </c>
      <c r="S212" s="21">
        <f>VLOOKUP($A212,tabCustoUnit[],COLUMN(CUSTO_GLOBAL[[#Headers],[SESI OU SESC]])-2,0)*($G212-$H212)</f>
        <v>50.956958999999998</v>
      </c>
      <c r="T212" s="21">
        <f>VLOOKUP($A212,tabCustoUnit[],COLUMN(CUSTO_GLOBAL[[#Headers],[SENAI OU SENAC]])-2,0)*($G212-$H212)</f>
        <v>33.971305999999998</v>
      </c>
      <c r="U212" s="21">
        <f>VLOOKUP($A212,tabCustoUnit[],COLUMN(CUSTO_GLOBAL[[#Headers],[INCRA]])-2,0)*($G212-$H212)</f>
        <v>6.7942612000000002</v>
      </c>
      <c r="V212" s="21">
        <f>VLOOKUP($A212,tabCustoUnit[],COLUMN(CUSTO_GLOBAL[[#Headers],[Salário Educação]])-2,0)*($G212-$H212)</f>
        <v>84.92826500000001</v>
      </c>
      <c r="W212" s="21">
        <f>VLOOKUP($A212,tabCustoUnit[],COLUMN(CUSTO_GLOBAL[[#Headers],[FGTS]])-2,0)*($G212-$H212)</f>
        <v>271.77044799999999</v>
      </c>
      <c r="X212" s="21">
        <f>VLOOKUP($A212,tabCustoUnit[],COLUMN(CUSTO_GLOBAL[[#Headers],[RAT Ajustado]])-2,0)*($G212-$H212)</f>
        <v>135.88522399999999</v>
      </c>
      <c r="Y212" s="21">
        <f>VLOOKUP($A212,tabCustoUnit[],COLUMN(CUSTO_GLOBAL[[#Headers],[SEBRAE]])-2,0)*($G212-$H212)</f>
        <v>20.3827836</v>
      </c>
      <c r="Z212" s="21">
        <f>VLOOKUP($A212,tabCustoUnit[],COLUMN(CUSTO_GLOBAL[[#Headers],[Submódulo 2.1]])-2,0)*($G212-$H212)</f>
        <v>1284.1153668000002</v>
      </c>
      <c r="AA212" s="21">
        <f>VLOOKUP($A212,tabCustoUnit[],COLUMN(CUSTO_GLOBAL[[#Headers],[13º salário (titular)]])-2,0)*($G212-$H212)</f>
        <v>283.09421666666663</v>
      </c>
      <c r="AB212" s="21">
        <f>VLOOKUP($A212,tabCustoUnit[],COLUMN(CUSTO_GLOBAL[[#Headers],[Férias e Adicional de Férias (titular)]])-2,0)*($G212-$H212)</f>
        <v>377.45895555555552</v>
      </c>
      <c r="AC212" s="21">
        <f>VLOOKUP($A212,tabCustoUnit[],COLUMN(CUSTO_GLOBAL[[#Headers],[Incidência do Submódulo 2.1 sobre 13º Salário, Férias e Adicional de Férias]])-2,0)*($G212-$H212)</f>
        <v>249.68909910000002</v>
      </c>
      <c r="AD212" s="21">
        <f>VLOOKUP($A212,tabCustoUnit[],COLUMN(CUSTO_GLOBAL[[#Headers],[Submódulo 2.2]])-2,0)*($G212-$H212)</f>
        <v>910.24227132222222</v>
      </c>
      <c r="AE212" s="22" t="e">
        <f ca="1">VLOOKUP($A212,tabCustoUnit[],COLUMN(CUSTO_GLOBAL[[#Headers],[Vale - Transporte (Descontada parcela do empregado)]])-2,0)*($G212-$H212)</f>
        <v>#NAME?</v>
      </c>
      <c r="AF212" s="22">
        <f>VLOOKUP($A212,tabCustoUnit[],COLUMN(CUSTO_GLOBAL[[#Headers],[Vale - Alimentação (Descontada parcela do empregado)]])-2,0)*($G212-$H212)</f>
        <v>582</v>
      </c>
      <c r="AG212" s="22">
        <f>VLOOKUP($A212,tabCustoUnit[],COLUMN(CUSTO_GLOBAL[[#Headers],[Cesta Básica]])-2,0)*($G212-$H212)</f>
        <v>0</v>
      </c>
      <c r="AH212" s="22">
        <f>VLOOKUP($A212,tabCustoUnit[],COLUMN(CUSTO_GLOBAL[[#Headers],[PAF]])-2,0)*($G212-$H212)</f>
        <v>0</v>
      </c>
      <c r="AI212" s="22">
        <f>VLOOKUP($A212,tabCustoUnit[],COLUMN(CUSTO_GLOBAL[[#Headers],[PQM]])-2,0)*($G212-$H212)</f>
        <v>0</v>
      </c>
      <c r="AJ212" s="22">
        <v>0</v>
      </c>
      <c r="AK212" s="22">
        <f>VLOOKUP($A212,tabCustoUnit[],COLUMN(CUSTO_GLOBAL[[#Headers],[Seguro de Vida]])-2,0)*($G212-$H212)</f>
        <v>3.36</v>
      </c>
      <c r="AL212" s="22">
        <f>VLOOKUP($A212,tabCustoUnit[],COLUMN(CUSTO_GLOBAL[[#Headers],[Despesas de Viagem]])-2,0)*($G212-$H212)</f>
        <v>0</v>
      </c>
      <c r="AM212" s="22" t="e">
        <f ca="1">VLOOKUP($A212,tabCustoUnit[],COLUMN(CUSTO_GLOBAL[[#Headers],[Submódulo 2.3]])-2,0)*($G212-$H212)</f>
        <v>#NAME?</v>
      </c>
      <c r="AN212" s="22" t="e">
        <f ca="1">VLOOKUP($A212,tabCustoUnit[],COLUMN(CUSTO_GLOBAL[[#Headers],[MÓDULO 2 - Total Encargos e Benefícios mensais e diários]])-2,0)*($G212-$H212)</f>
        <v>#NAME?</v>
      </c>
      <c r="AO212" s="22">
        <f>VLOOKUP($A212,tabCustoUnit[],COLUMN(CUSTO_GLOBAL[[#Headers],[Aviso Prévio Indenizado (API) e Reflexo do Aviso Prévio Indenizado]])-2,0)*($G212-$H212)</f>
        <v>23.819888151890432</v>
      </c>
      <c r="AP212" s="22">
        <f>VLOOKUP($A212,tabCustoUnit[],COLUMN(CUSTO_GLOBAL[[#Headers],[Incidência do FGTS sobre API e Reflexo do API]])-2,0)*($G212-$H212)</f>
        <v>1.9055910521512347</v>
      </c>
      <c r="AQ212" s="22">
        <f>VLOOKUP($A212,tabCustoUnit[],COLUMN(CUSTO_GLOBAL[[#Headers],[Multa Rescisória do FGTS sobre o Aviso Prévio Indenizado]])-2,0)*($G212-$H212)</f>
        <v>0.76223642086049392</v>
      </c>
      <c r="AR212" s="22">
        <f>VLOOKUP($A212,tabCustoUnit[],COLUMN(CUSTO_GLOBAL[[#Headers],[Aviso Prévio Trabalhado - APT]])-2,0)*($G212-$H212)</f>
        <v>11.889957100000002</v>
      </c>
      <c r="AS212" s="22">
        <f>VLOOKUP($A212,tabCustoUnit[],COLUMN(CUSTO_GLOBAL[[#Headers],[Incidência dos encargos do submódulo 2.1 sobre Aviso Prévio Trabalhado]])-2,0)*($G212-$H212)</f>
        <v>4.4944037838000011</v>
      </c>
      <c r="AT212" s="22">
        <f>VLOOKUP($A212,tabCustoUnit[],COLUMN(CUSTO_GLOBAL[[#Headers],[Multa Rescisória do FGTS]])-2,0)*($G212-$H212)</f>
        <v>103.87670456888887</v>
      </c>
      <c r="AU212" s="22">
        <f>VLOOKUP($A212,tabCustoUnit[],COLUMN(CUSTO_GLOBAL[[#Headers],[Indenização Adicional (Art. 9º da Lei nº 7.238/84)]])-2,0)*($G212-$H212)</f>
        <v>2.830942166666667</v>
      </c>
      <c r="AV212" s="22">
        <f>VLOOKUP($A212,tabCustoUnit[],COLUMN(CUSTO_GLOBAL[[#Headers],[MÓDULO 3 – PROVISÃO PARA RESCISÃO]])-2,0)*($G212-$H212)</f>
        <v>149.57972324425771</v>
      </c>
      <c r="AW212" s="22">
        <f>VLOOKUP($A212,tabCustoUnit[],COLUMN(CUSTO_GLOBAL[[#Headers],[Ausência por Doença]])-2,0)*($G212-$H212)</f>
        <v>28.686880622222219</v>
      </c>
      <c r="AX212" s="22">
        <f>VLOOKUP($A212,tabCustoUnit[],COLUMN(CUSTO_GLOBAL[[#Headers],[Ausências Legais]])-2,0)*($G212-$H212)</f>
        <v>6.8886259388888886</v>
      </c>
      <c r="AY212" s="22">
        <f>VLOOKUP($A212,tabCustoUnit[],COLUMN(CUSTO_GLOBAL[[#Headers],[Licença Paternidade]])-2,0)*($G212-$H212)</f>
        <v>0.58034314416666666</v>
      </c>
      <c r="AZ212" s="22">
        <f>VLOOKUP($A212,tabCustoUnit[],COLUMN(CUSTO_GLOBAL[[#Headers],[Ausência por Acidente de Trabalho]])-2,0)*($G212-$H212)</f>
        <v>0.70773554166666675</v>
      </c>
      <c r="BA212" s="22">
        <f>VLOOKUP($A212,tabCustoUnit[],COLUMN(CUSTO_GLOBAL[[#Headers],[Férias, Adicional de Férias e 13º  com empregada em gozo de Licença Maternidade]])-2,0)*($G212-$H212)</f>
        <v>4.4036878148148144</v>
      </c>
      <c r="BB212" s="22">
        <f>VLOOKUP($A212,tabCustoUnit[],COLUMN(CUSTO_GLOBAL[[#Headers],[Incidência do Submódulo 2.1 sobre Ausências Legais]])-2,0)*($G212-$H212)</f>
        <v>15.599029217345002</v>
      </c>
      <c r="BC212" s="22">
        <f>VLOOKUP($A212,tabCustoUnit[],COLUMN(CUSTO_GLOBAL[[#Headers],[Submódulo 4.1]])-2,0)*($G212-$H212)</f>
        <v>56.866302279104261</v>
      </c>
      <c r="BD212" s="22">
        <f>VLOOKUP($A212,tabCustoUnit[],COLUMN(CUSTO_GLOBAL[[#Headers],[Intervalo para Repouso ou Alimentação]])-2,0)*($G212-$H212)</f>
        <v>0</v>
      </c>
      <c r="BE212" s="22">
        <f>VLOOKUP($A212,tabCustoUnit[],COLUMN(CUSTO_GLOBAL[[#Headers],[Submódulo 4.2]])-2,0)*($G212-$H212)</f>
        <v>0</v>
      </c>
      <c r="BF212" s="22">
        <f>VLOOKUP($A212,tabCustoUnit[],COLUMN(CUSTO_GLOBAL[[#Headers],[Suspensão Temporária do Contrato de Trabalho]])-2,0)*($G212-$H212)</f>
        <v>0</v>
      </c>
      <c r="BG212" s="22">
        <f>VLOOKUP($A212,tabCustoUnit[],COLUMN(CUSTO_GLOBAL[[#Headers],[Submódulo 4.3]])-2,0)*($G212-$H212)</f>
        <v>0</v>
      </c>
      <c r="BH212" s="22">
        <f>VLOOKUP($A212,tabCustoUnit[],COLUMN(CUSTO_GLOBAL[[#Headers],[MÓDULO 4 – CUSTO DE REPOSIÇÃO DO PROFISSIONAL AUSENTE]])-2,0)*($G212-$H212)</f>
        <v>56.866302279104261</v>
      </c>
      <c r="BI212" s="22">
        <f>VLOOKUP($A212,tabCustoUnit[],COLUMN(CUSTO_GLOBAL[[#Headers],[Uniformes e EPIs]])-2,0)*($G212-$H212)</f>
        <v>56.642978962543395</v>
      </c>
      <c r="BJ212" s="22">
        <f>VLOOKUP($A212,tabCustoUnit[],COLUMN(CUSTO_GLOBAL[[#Headers],[Materiais de Consumo]])-2,0)*($G212-$H212)</f>
        <v>0</v>
      </c>
      <c r="BK212" s="22">
        <f>VLOOKUP($A212,tabCustoUnit[],COLUMN(CUSTO_GLOBAL[[#Headers],[Máquinas e Equipamentos (depreciação)]])-2,0)*($G212-$H212)</f>
        <v>0</v>
      </c>
      <c r="BL212" s="22">
        <f>VLOOKUP($A212,tabCustoUnit[],COLUMN(CUSTO_GLOBAL[[#Headers],[Produtos de Limpeza e Materiais de Higiene Pessoal]])-2,0)*($G212-$H212)</f>
        <v>0</v>
      </c>
      <c r="BM212" s="22">
        <f>VLOOKUP($A212,tabCustoUnit[],COLUMN(CUSTO_GLOBAL[[#Headers],[Outros (especificar)]])-2,0)*($G212-$H212)</f>
        <v>0</v>
      </c>
      <c r="BN212" s="22">
        <f>VLOOKUP($A212,tabCustoUnit[],COLUMN(CUSTO_GLOBAL[[#Headers],[MÓDULO 5 – INSUMOS DIVERSOS]])-2,0)*($G212-$H212)</f>
        <v>56.642978962543395</v>
      </c>
      <c r="BO212" s="22" t="e">
        <f ca="1">VLOOKUP($A212,tabCustoUnit[],COLUMN(CUSTO_GLOBAL[[#Headers],[TOTAL MÓDULOS 1+2+3+4+5]])-2,0)*($G212-$H212)</f>
        <v>#NAME?</v>
      </c>
      <c r="BP212" s="22" t="e">
        <f ca="1">VLOOKUP($A212,tabCustoUnit[],COLUMN(CUSTO_GLOBAL[[#Headers],[Custos Indiretos]])-2,0)*($G212-$H212)</f>
        <v>#NAME?</v>
      </c>
      <c r="BQ212" s="22" t="e">
        <f ca="1">VLOOKUP($A212,tabCustoUnit[],COLUMN(CUSTO_GLOBAL[[#Headers],[Lucro]])-2,0)*($G212-$H212)</f>
        <v>#NAME?</v>
      </c>
      <c r="BR212" s="26">
        <f>VLOOKUP($A212,tabCustoUnit[],COLUMN(CUSTO_GLOBAL[[#Headers],[COFINS]])-2,0)</f>
        <v>8.5633802816901458E-2</v>
      </c>
      <c r="BS212" s="26">
        <f>VLOOKUP($A212,tabCustoUnit[],COLUMN(CUSTO_GLOBAL[[#Headers],[PIS]])-2,0)</f>
        <v>1.8591549295774657E-2</v>
      </c>
      <c r="BT212" s="28">
        <f>VLOOKUP($A212,tabCustoUnit[],COLUMN(CUSTO_GLOBAL[[#Headers],[ISS]])-2,0)</f>
        <v>0.02</v>
      </c>
      <c r="BU212" s="26">
        <f>VLOOKUP($A212,tabCustoUnit[],COLUMN(CUSTO_GLOBAL[[#Headers],[ISS (Conversão Alíquota s/ fatura)]])-2,0)</f>
        <v>2.2535211267605645E-2</v>
      </c>
      <c r="BV212" s="26">
        <f>VLOOKUP($A212,tabCustoUnit[],COLUMN(CUSTO_GLOBAL[[#Headers],[Resumo de Alíquotas (PIS+CONFINS+ISS)]])-2,0)</f>
        <v>0.1125</v>
      </c>
      <c r="BW212" s="138">
        <f>VLOOKUP($A212,tabCustoUnit[],COLUMN(CUSTO_GLOBAL[[#Headers],[PIS + COFINS + ISS (Total Conversão  Alíquota s/ Fatura)]])-2,0)</f>
        <v>0.12676056338028174</v>
      </c>
      <c r="BX212" s="22" t="e">
        <f ca="1">VLOOKUP($A212,tabCustoUnit[],COLUMN(CUSTO_GLOBAL[[#Headers],[Valor dos Tributos (ISS, PIS, CONFINS)]])-2,0)*($G212-$H212)</f>
        <v>#NAME?</v>
      </c>
      <c r="BY212" s="22" t="e">
        <f ca="1">VLOOKUP($A212,tabCustoUnit[],COLUMN(CUSTO_GLOBAL[[#Headers],[MÓDULO 6 – CUSTOS INDIRETOS, TRIBUTOS E LUCRO]])-2,0)*($G212-$H212)</f>
        <v>#NAME?</v>
      </c>
      <c r="BZ212" s="22" t="e">
        <f ca="1">VLOOKUP($A212,tabCustoUnit[],COLUMN(CUSTO_GLOBAL[[#Headers],[CUSTO TOTAL MENSAL]])-2,0)*($G212-$H212)</f>
        <v>#NAME?</v>
      </c>
      <c r="CA212" s="22" t="e">
        <f ca="1">CUSTO_GLOBAL[[#This Row],[CUSTO TOTAL MENSAL]]*12</f>
        <v>#NAME?</v>
      </c>
      <c r="CB212" s="24">
        <f>VLOOKUP($A212,tabCustoUnit[],COLUMN(CUSTO_GLOBAL[[#Headers],[ANO DA CCT]])-2,0)</f>
        <v>45658</v>
      </c>
      <c r="CC212" s="25" t="str">
        <f>VLOOKUP($A212,tabCustoUnit[],COLUMN(CUSTO_GLOBAL[[#Headers],[Nº DE PEDIDO DA CCT]])-2,0)</f>
        <v>-</v>
      </c>
      <c r="CD212" s="25" t="str">
        <f>VLOOKUP($A212,tabCustoUnit[],COLUMN(CUSTO_GLOBAL[[#Headers],[TERMO ADITIVO ALTERAÇÃO DA CCT]])-2,0)</f>
        <v>-</v>
      </c>
    </row>
    <row r="213" spans="1:82">
      <c r="A213" s="20" t="s">
        <v>1493</v>
      </c>
      <c r="B213" t="s">
        <v>1164</v>
      </c>
      <c r="C213" t="s">
        <v>200</v>
      </c>
      <c r="D213" t="s">
        <v>918</v>
      </c>
      <c r="E213" s="20" t="s">
        <v>1090</v>
      </c>
      <c r="F213" s="20" t="s">
        <v>120</v>
      </c>
      <c r="G213" s="20">
        <v>1</v>
      </c>
      <c r="H213" s="20">
        <v>0</v>
      </c>
      <c r="I213" s="21">
        <f>VLOOKUP($A213,tabCustoUnit[],COLUMN(CUSTO_GLOBAL[[#Headers],[Salário Base]])-2,0)*($G213-$H213)</f>
        <v>1596.2737999999999</v>
      </c>
      <c r="J213" s="21">
        <f>VLOOKUP($A213,tabCustoUnit[],COLUMN(CUSTO_GLOBAL[[#Headers],[Adicional Periculosidade]])-2,0)*($G213-$H213)</f>
        <v>0</v>
      </c>
      <c r="K213" s="21">
        <f>VLOOKUP($A213,tabCustoUnit[],COLUMN(CUSTO_GLOBAL[[#Headers],[Adicional Insalubridade]])-2,0)*($G213-$H213)</f>
        <v>0</v>
      </c>
      <c r="L213" s="21">
        <f>VLOOKUP($A213,tabCustoUnit[],COLUMN(CUSTO_GLOBAL[[#Headers],[Adicional Noturno]])-2,0)*($G213-$H213)</f>
        <v>0</v>
      </c>
      <c r="M213" s="21">
        <f>VLOOKUP($A213,tabCustoUnit[],COLUMN(CUSTO_GLOBAL[[#Headers],[Adicional Motorista II (Gratificação)]])-2,0)*($G213-$H213)</f>
        <v>0</v>
      </c>
      <c r="N213" s="21">
        <f>VLOOKUP($A213,tabCustoUnit[],COLUMN(CUSTO_GLOBAL[[#Headers],[Adicional de Sobreaviso]])-2,0)*($G213-$H213)</f>
        <v>0</v>
      </c>
      <c r="O213" s="21">
        <f>VLOOKUP($A213,tabCustoUnit[],COLUMN(CUSTO_GLOBAL[[#Headers],[Horas Extras TI]])-2,0)*($G213-$H213)</f>
        <v>0</v>
      </c>
      <c r="P213" s="21">
        <f>VLOOKUP($A213,tabCustoUnit[],COLUMN(CUSTO_GLOBAL[[#Headers],[Adicional de Acúmulo de função]])-2,0)*($G213-$H213)</f>
        <v>0</v>
      </c>
      <c r="Q213" s="21">
        <f>VLOOKUP($A213,tabCustoUnit[],COLUMN(CUSTO_GLOBAL[[#Headers],[MODULO 1 - REMUNERAÇÃO ]])-2,0)*($G213-$H213)</f>
        <v>1596.2737999999999</v>
      </c>
      <c r="R213" s="21">
        <f>VLOOKUP($A213,tabCustoUnit[],COLUMN(CUSTO_GLOBAL[[#Headers],[INSS]])-2,0)*($G213-$H213)</f>
        <v>319.25476000000003</v>
      </c>
      <c r="S213" s="21">
        <f>VLOOKUP($A213,tabCustoUnit[],COLUMN(CUSTO_GLOBAL[[#Headers],[SESI OU SESC]])-2,0)*($G213-$H213)</f>
        <v>23.944106999999999</v>
      </c>
      <c r="T213" s="21">
        <f>VLOOKUP($A213,tabCustoUnit[],COLUMN(CUSTO_GLOBAL[[#Headers],[SENAI OU SENAC]])-2,0)*($G213-$H213)</f>
        <v>15.962738</v>
      </c>
      <c r="U213" s="21">
        <f>VLOOKUP($A213,tabCustoUnit[],COLUMN(CUSTO_GLOBAL[[#Headers],[INCRA]])-2,0)*($G213-$H213)</f>
        <v>3.1925476000000002</v>
      </c>
      <c r="V213" s="21">
        <f>VLOOKUP($A213,tabCustoUnit[],COLUMN(CUSTO_GLOBAL[[#Headers],[Salário Educação]])-2,0)*($G213-$H213)</f>
        <v>39.906845000000004</v>
      </c>
      <c r="W213" s="21">
        <f>VLOOKUP($A213,tabCustoUnit[],COLUMN(CUSTO_GLOBAL[[#Headers],[FGTS]])-2,0)*($G213-$H213)</f>
        <v>127.701904</v>
      </c>
      <c r="X213" s="21">
        <f>VLOOKUP($A213,tabCustoUnit[],COLUMN(CUSTO_GLOBAL[[#Headers],[RAT Ajustado]])-2,0)*($G213-$H213)</f>
        <v>63.850951999999999</v>
      </c>
      <c r="Y213" s="21">
        <f>VLOOKUP($A213,tabCustoUnit[],COLUMN(CUSTO_GLOBAL[[#Headers],[SEBRAE]])-2,0)*($G213-$H213)</f>
        <v>9.5776427999999996</v>
      </c>
      <c r="Z213" s="21">
        <f>VLOOKUP($A213,tabCustoUnit[],COLUMN(CUSTO_GLOBAL[[#Headers],[Submódulo 2.1]])-2,0)*($G213-$H213)</f>
        <v>603.39149640000005</v>
      </c>
      <c r="AA213" s="21">
        <f>VLOOKUP($A213,tabCustoUnit[],COLUMN(CUSTO_GLOBAL[[#Headers],[13º salário (titular)]])-2,0)*($G213-$H213)</f>
        <v>133.02281666666664</v>
      </c>
      <c r="AB213" s="21">
        <f>VLOOKUP($A213,tabCustoUnit[],COLUMN(CUSTO_GLOBAL[[#Headers],[Férias e Adicional de Férias (titular)]])-2,0)*($G213-$H213)</f>
        <v>177.36375555555554</v>
      </c>
      <c r="AC213" s="21">
        <f>VLOOKUP($A213,tabCustoUnit[],COLUMN(CUSTO_GLOBAL[[#Headers],[Incidência do Submódulo 2.1 sobre 13º Salário, Férias e Adicional de Férias]])-2,0)*($G213-$H213)</f>
        <v>117.3261243</v>
      </c>
      <c r="AD213" s="21">
        <f>VLOOKUP($A213,tabCustoUnit[],COLUMN(CUSTO_GLOBAL[[#Headers],[Submódulo 2.2]])-2,0)*($G213-$H213)</f>
        <v>427.71269652222219</v>
      </c>
      <c r="AE213" s="22" t="e">
        <f ca="1">VLOOKUP($A213,tabCustoUnit[],COLUMN(CUSTO_GLOBAL[[#Headers],[Vale - Transporte (Descontada parcela do empregado)]])-2,0)*($G213-$H213)</f>
        <v>#NAME?</v>
      </c>
      <c r="AF213" s="22">
        <f>VLOOKUP($A213,tabCustoUnit[],COLUMN(CUSTO_GLOBAL[[#Headers],[Vale - Alimentação (Descontada parcela do empregado)]])-2,0)*($G213-$H213)</f>
        <v>582</v>
      </c>
      <c r="AG213" s="22">
        <f>VLOOKUP($A213,tabCustoUnit[],COLUMN(CUSTO_GLOBAL[[#Headers],[Cesta Básica]])-2,0)*($G213-$H213)</f>
        <v>0</v>
      </c>
      <c r="AH213" s="22">
        <f>VLOOKUP($A213,tabCustoUnit[],COLUMN(CUSTO_GLOBAL[[#Headers],[PAF]])-2,0)*($G213-$H213)</f>
        <v>0</v>
      </c>
      <c r="AI213" s="22">
        <f>VLOOKUP($A213,tabCustoUnit[],COLUMN(CUSTO_GLOBAL[[#Headers],[PQM]])-2,0)*($G213-$H213)</f>
        <v>15.07</v>
      </c>
      <c r="AJ213" s="22">
        <v>0</v>
      </c>
      <c r="AK213" s="22">
        <f>VLOOKUP($A213,tabCustoUnit[],COLUMN(CUSTO_GLOBAL[[#Headers],[Seguro de Vida]])-2,0)*($G213-$H213)</f>
        <v>3.36</v>
      </c>
      <c r="AL213" s="22">
        <f>VLOOKUP($A213,tabCustoUnit[],COLUMN(CUSTO_GLOBAL[[#Headers],[Despesas de Viagem]])-2,0)*($G213-$H213)</f>
        <v>0</v>
      </c>
      <c r="AM213" s="22" t="e">
        <f ca="1">VLOOKUP($A213,tabCustoUnit[],COLUMN(CUSTO_GLOBAL[[#Headers],[Submódulo 2.3]])-2,0)*($G213-$H213)</f>
        <v>#NAME?</v>
      </c>
      <c r="AN213" s="22" t="e">
        <f ca="1">VLOOKUP($A213,tabCustoUnit[],COLUMN(CUSTO_GLOBAL[[#Headers],[MÓDULO 2 - Total Encargos e Benefícios mensais e diários]])-2,0)*($G213-$H213)</f>
        <v>#NAME?</v>
      </c>
      <c r="AO213" s="22">
        <f>VLOOKUP($A213,tabCustoUnit[],COLUMN(CUSTO_GLOBAL[[#Headers],[Aviso Prévio Indenizado (API) e Reflexo do Aviso Prévio Indenizado]])-2,0)*($G213-$H213)</f>
        <v>11.192699914390431</v>
      </c>
      <c r="AP213" s="22">
        <f>VLOOKUP($A213,tabCustoUnit[],COLUMN(CUSTO_GLOBAL[[#Headers],[Incidência do FGTS sobre API e Reflexo do API]])-2,0)*($G213-$H213)</f>
        <v>0.89541599315123466</v>
      </c>
      <c r="AQ213" s="22">
        <f>VLOOKUP($A213,tabCustoUnit[],COLUMN(CUSTO_GLOBAL[[#Headers],[Multa Rescisória do FGTS sobre o Aviso Prévio Indenizado]])-2,0)*($G213-$H213)</f>
        <v>0.35816639726049387</v>
      </c>
      <c r="AR213" s="22">
        <f>VLOOKUP($A213,tabCustoUnit[],COLUMN(CUSTO_GLOBAL[[#Headers],[Aviso Prévio Trabalhado - APT]])-2,0)*($G213-$H213)</f>
        <v>5.5869583000000009</v>
      </c>
      <c r="AS213" s="22">
        <f>VLOOKUP($A213,tabCustoUnit[],COLUMN(CUSTO_GLOBAL[[#Headers],[Incidência dos encargos do submódulo 2.1 sobre Aviso Prévio Trabalhado]])-2,0)*($G213-$H213)</f>
        <v>2.1118702374000007</v>
      </c>
      <c r="AT213" s="22">
        <f>VLOOKUP($A213,tabCustoUnit[],COLUMN(CUSTO_GLOBAL[[#Headers],[Multa Rescisória do FGTS]])-2,0)*($G213-$H213)</f>
        <v>48.810505528888882</v>
      </c>
      <c r="AU213" s="22">
        <f>VLOOKUP($A213,tabCustoUnit[],COLUMN(CUSTO_GLOBAL[[#Headers],[Indenização Adicional (Art. 9º da Lei nº 7.238/84)]])-2,0)*($G213-$H213)</f>
        <v>1.3302281666666667</v>
      </c>
      <c r="AV213" s="22">
        <f>VLOOKUP($A213,tabCustoUnit[],COLUMN(CUSTO_GLOBAL[[#Headers],[MÓDULO 3 – PROVISÃO PARA RESCISÃO]])-2,0)*($G213-$H213)</f>
        <v>70.285844537757711</v>
      </c>
      <c r="AW213" s="22">
        <f>VLOOKUP($A213,tabCustoUnit[],COLUMN(CUSTO_GLOBAL[[#Headers],[Ausência por Doença]])-2,0)*($G213-$H213)</f>
        <v>13.479645422222221</v>
      </c>
      <c r="AX213" s="22">
        <f>VLOOKUP($A213,tabCustoUnit[],COLUMN(CUSTO_GLOBAL[[#Headers],[Ausências Legais]])-2,0)*($G213-$H213)</f>
        <v>3.2368885388888886</v>
      </c>
      <c r="AY213" s="22">
        <f>VLOOKUP($A213,tabCustoUnit[],COLUMN(CUSTO_GLOBAL[[#Headers],[Licença Paternidade]])-2,0)*($G213-$H213)</f>
        <v>0.27269677416666666</v>
      </c>
      <c r="AZ213" s="22">
        <f>VLOOKUP($A213,tabCustoUnit[],COLUMN(CUSTO_GLOBAL[[#Headers],[Ausência por Acidente de Trabalho]])-2,0)*($G213-$H213)</f>
        <v>0.33255704166666666</v>
      </c>
      <c r="BA213" s="22">
        <f>VLOOKUP($A213,tabCustoUnit[],COLUMN(CUSTO_GLOBAL[[#Headers],[Férias, Adicional de Férias e 13º  com empregada em gozo de Licença Maternidade]])-2,0)*($G213-$H213)</f>
        <v>2.0692438148148145</v>
      </c>
      <c r="BB213" s="22">
        <f>VLOOKUP($A213,tabCustoUnit[],COLUMN(CUSTO_GLOBAL[[#Headers],[Incidência do Submódulo 2.1 sobre Ausências Legais]])-2,0)*($G213-$H213)</f>
        <v>7.3298099416850011</v>
      </c>
      <c r="BC213" s="22">
        <f>VLOOKUP($A213,tabCustoUnit[],COLUMN(CUSTO_GLOBAL[[#Headers],[Submódulo 4.1]])-2,0)*($G213-$H213)</f>
        <v>26.720841533444265</v>
      </c>
      <c r="BD213" s="22">
        <f>VLOOKUP($A213,tabCustoUnit[],COLUMN(CUSTO_GLOBAL[[#Headers],[Intervalo para Repouso ou Alimentação]])-2,0)*($G213-$H213)</f>
        <v>0</v>
      </c>
      <c r="BE213" s="22">
        <f>VLOOKUP($A213,tabCustoUnit[],COLUMN(CUSTO_GLOBAL[[#Headers],[Submódulo 4.2]])-2,0)*($G213-$H213)</f>
        <v>0</v>
      </c>
      <c r="BF213" s="22">
        <f>VLOOKUP($A213,tabCustoUnit[],COLUMN(CUSTO_GLOBAL[[#Headers],[Suspensão Temporária do Contrato de Trabalho]])-2,0)*($G213-$H213)</f>
        <v>0</v>
      </c>
      <c r="BG213" s="22">
        <f>VLOOKUP($A213,tabCustoUnit[],COLUMN(CUSTO_GLOBAL[[#Headers],[Submódulo 4.3]])-2,0)*($G213-$H213)</f>
        <v>0</v>
      </c>
      <c r="BH213" s="22">
        <f>VLOOKUP($A213,tabCustoUnit[],COLUMN(CUSTO_GLOBAL[[#Headers],[MÓDULO 4 – CUSTO DE REPOSIÇÃO DO PROFISSIONAL AUSENTE]])-2,0)*($G213-$H213)</f>
        <v>26.720841533444265</v>
      </c>
      <c r="BI213" s="22">
        <f>VLOOKUP($A213,tabCustoUnit[],COLUMN(CUSTO_GLOBAL[[#Headers],[Uniformes e EPIs]])-2,0)*($G213-$H213)</f>
        <v>56.141713661989918</v>
      </c>
      <c r="BJ213" s="22">
        <f>VLOOKUP($A213,tabCustoUnit[],COLUMN(CUSTO_GLOBAL[[#Headers],[Materiais de Consumo]])-2,0)*($G213-$H213)</f>
        <v>0</v>
      </c>
      <c r="BK213" s="22">
        <f>VLOOKUP($A213,tabCustoUnit[],COLUMN(CUSTO_GLOBAL[[#Headers],[Máquinas e Equipamentos (depreciação)]])-2,0)*($G213-$H213)</f>
        <v>0</v>
      </c>
      <c r="BL213" s="22">
        <f>VLOOKUP($A213,tabCustoUnit[],COLUMN(CUSTO_GLOBAL[[#Headers],[Produtos de Limpeza e Materiais de Higiene Pessoal]])-2,0)*($G213-$H213)</f>
        <v>0</v>
      </c>
      <c r="BM213" s="22">
        <f>VLOOKUP($A213,tabCustoUnit[],COLUMN(CUSTO_GLOBAL[[#Headers],[Outros (especificar)]])-2,0)*($G213-$H213)</f>
        <v>0</v>
      </c>
      <c r="BN213" s="22">
        <f>VLOOKUP($A213,tabCustoUnit[],COLUMN(CUSTO_GLOBAL[[#Headers],[MÓDULO 5 – INSUMOS DIVERSOS]])-2,0)*($G213-$H213)</f>
        <v>56.141713661989918</v>
      </c>
      <c r="BO213" s="22" t="e">
        <f ca="1">VLOOKUP($A213,tabCustoUnit[],COLUMN(CUSTO_GLOBAL[[#Headers],[TOTAL MÓDULOS 1+2+3+4+5]])-2,0)*($G213-$H213)</f>
        <v>#NAME?</v>
      </c>
      <c r="BP213" s="22" t="e">
        <f ca="1">VLOOKUP($A213,tabCustoUnit[],COLUMN(CUSTO_GLOBAL[[#Headers],[Custos Indiretos]])-2,0)*($G213-$H213)</f>
        <v>#NAME?</v>
      </c>
      <c r="BQ213" s="22" t="e">
        <f ca="1">VLOOKUP($A213,tabCustoUnit[],COLUMN(CUSTO_GLOBAL[[#Headers],[Lucro]])-2,0)*($G213-$H213)</f>
        <v>#NAME?</v>
      </c>
      <c r="BR213" s="26">
        <f>VLOOKUP($A213,tabCustoUnit[],COLUMN(CUSTO_GLOBAL[[#Headers],[COFINS]])-2,0)</f>
        <v>8.6609686609686695E-2</v>
      </c>
      <c r="BS213" s="26">
        <f>VLOOKUP($A213,tabCustoUnit[],COLUMN(CUSTO_GLOBAL[[#Headers],[PIS]])-2,0)</f>
        <v>1.880341880341882E-2</v>
      </c>
      <c r="BT213" s="28">
        <f>VLOOKUP($A213,tabCustoUnit[],COLUMN(CUSTO_GLOBAL[[#Headers],[ISS]])-2,0)</f>
        <v>0.03</v>
      </c>
      <c r="BU213" s="26">
        <f>VLOOKUP($A213,tabCustoUnit[],COLUMN(CUSTO_GLOBAL[[#Headers],[ISS (Conversão Alíquota s/ fatura)]])-2,0)</f>
        <v>3.4188034188034219E-2</v>
      </c>
      <c r="BV213" s="26">
        <f>VLOOKUP($A213,tabCustoUnit[],COLUMN(CUSTO_GLOBAL[[#Headers],[Resumo de Alíquotas (PIS+CONFINS+ISS)]])-2,0)</f>
        <v>0.1225</v>
      </c>
      <c r="BW213" s="138">
        <f>VLOOKUP($A213,tabCustoUnit[],COLUMN(CUSTO_GLOBAL[[#Headers],[PIS + COFINS + ISS (Total Conversão  Alíquota s/ Fatura)]])-2,0)</f>
        <v>0.13960113960113973</v>
      </c>
      <c r="BX213" s="22" t="e">
        <f ca="1">VLOOKUP($A213,tabCustoUnit[],COLUMN(CUSTO_GLOBAL[[#Headers],[Valor dos Tributos (ISS, PIS, CONFINS)]])-2,0)*($G213-$H213)</f>
        <v>#NAME?</v>
      </c>
      <c r="BY213" s="22" t="e">
        <f ca="1">VLOOKUP($A213,tabCustoUnit[],COLUMN(CUSTO_GLOBAL[[#Headers],[MÓDULO 6 – CUSTOS INDIRETOS, TRIBUTOS E LUCRO]])-2,0)*($G213-$H213)</f>
        <v>#NAME?</v>
      </c>
      <c r="BZ213" s="22" t="e">
        <f ca="1">VLOOKUP($A213,tabCustoUnit[],COLUMN(CUSTO_GLOBAL[[#Headers],[CUSTO TOTAL MENSAL]])-2,0)*($G213-$H213)</f>
        <v>#NAME?</v>
      </c>
      <c r="CA213" s="22" t="e">
        <f ca="1">CUSTO_GLOBAL[[#This Row],[CUSTO TOTAL MENSAL]]*12</f>
        <v>#NAME?</v>
      </c>
      <c r="CB213" s="24">
        <f>VLOOKUP($A213,tabCustoUnit[],COLUMN(CUSTO_GLOBAL[[#Headers],[ANO DA CCT]])-2,0)</f>
        <v>45658</v>
      </c>
      <c r="CC213" s="25" t="str">
        <f>VLOOKUP($A213,tabCustoUnit[],COLUMN(CUSTO_GLOBAL[[#Headers],[Nº DE PEDIDO DA CCT]])-2,0)</f>
        <v>-</v>
      </c>
      <c r="CD213" s="25" t="str">
        <f>VLOOKUP($A213,tabCustoUnit[],COLUMN(CUSTO_GLOBAL[[#Headers],[TERMO ADITIVO ALTERAÇÃO DA CCT]])-2,0)</f>
        <v>-</v>
      </c>
    </row>
    <row r="214" spans="1:82">
      <c r="A214" s="20" t="s">
        <v>1646</v>
      </c>
      <c r="B214" t="s">
        <v>1165</v>
      </c>
      <c r="C214" t="s">
        <v>324</v>
      </c>
      <c r="D214" t="s">
        <v>957</v>
      </c>
      <c r="E214" s="20" t="s">
        <v>1090</v>
      </c>
      <c r="F214" s="20" t="s">
        <v>120</v>
      </c>
      <c r="G214" s="20">
        <v>1</v>
      </c>
      <c r="H214" s="20">
        <v>0</v>
      </c>
      <c r="I214" s="21">
        <f>VLOOKUP($A214,tabCustoUnit[],COLUMN(CUSTO_GLOBAL[[#Headers],[Salário Base]])-2,0)*($G214-$H214)</f>
        <v>3397.1306</v>
      </c>
      <c r="J214" s="21">
        <f>VLOOKUP($A214,tabCustoUnit[],COLUMN(CUSTO_GLOBAL[[#Headers],[Adicional Periculosidade]])-2,0)*($G214-$H214)</f>
        <v>0</v>
      </c>
      <c r="K214" s="21">
        <f>VLOOKUP($A214,tabCustoUnit[],COLUMN(CUSTO_GLOBAL[[#Headers],[Adicional Insalubridade]])-2,0)*($G214-$H214)</f>
        <v>0</v>
      </c>
      <c r="L214" s="21">
        <f>VLOOKUP($A214,tabCustoUnit[],COLUMN(CUSTO_GLOBAL[[#Headers],[Adicional Noturno]])-2,0)*($G214-$H214)</f>
        <v>0</v>
      </c>
      <c r="M214" s="21">
        <f>VLOOKUP($A214,tabCustoUnit[],COLUMN(CUSTO_GLOBAL[[#Headers],[Adicional Motorista II (Gratificação)]])-2,0)*($G214-$H214)</f>
        <v>0</v>
      </c>
      <c r="N214" s="21">
        <f>VLOOKUP($A214,tabCustoUnit[],COLUMN(CUSTO_GLOBAL[[#Headers],[Adicional de Sobreaviso]])-2,0)*($G214-$H214)</f>
        <v>0</v>
      </c>
      <c r="O214" s="21">
        <f>VLOOKUP($A214,tabCustoUnit[],COLUMN(CUSTO_GLOBAL[[#Headers],[Horas Extras TI]])-2,0)*($G214-$H214)</f>
        <v>0</v>
      </c>
      <c r="P214" s="21">
        <f>VLOOKUP($A214,tabCustoUnit[],COLUMN(CUSTO_GLOBAL[[#Headers],[Adicional de Acúmulo de função]])-2,0)*($G214-$H214)</f>
        <v>0</v>
      </c>
      <c r="Q214" s="21">
        <f>VLOOKUP($A214,tabCustoUnit[],COLUMN(CUSTO_GLOBAL[[#Headers],[MODULO 1 - REMUNERAÇÃO ]])-2,0)*($G214-$H214)</f>
        <v>3397.1306</v>
      </c>
      <c r="R214" s="21">
        <f>VLOOKUP($A214,tabCustoUnit[],COLUMN(CUSTO_GLOBAL[[#Headers],[INSS]])-2,0)*($G214-$H214)</f>
        <v>679.42612000000008</v>
      </c>
      <c r="S214" s="21">
        <f>VLOOKUP($A214,tabCustoUnit[],COLUMN(CUSTO_GLOBAL[[#Headers],[SESI OU SESC]])-2,0)*($G214-$H214)</f>
        <v>50.956958999999998</v>
      </c>
      <c r="T214" s="21">
        <f>VLOOKUP($A214,tabCustoUnit[],COLUMN(CUSTO_GLOBAL[[#Headers],[SENAI OU SENAC]])-2,0)*($G214-$H214)</f>
        <v>33.971305999999998</v>
      </c>
      <c r="U214" s="21">
        <f>VLOOKUP($A214,tabCustoUnit[],COLUMN(CUSTO_GLOBAL[[#Headers],[INCRA]])-2,0)*($G214-$H214)</f>
        <v>6.7942612000000002</v>
      </c>
      <c r="V214" s="21">
        <f>VLOOKUP($A214,tabCustoUnit[],COLUMN(CUSTO_GLOBAL[[#Headers],[Salário Educação]])-2,0)*($G214-$H214)</f>
        <v>84.92826500000001</v>
      </c>
      <c r="W214" s="21">
        <f>VLOOKUP($A214,tabCustoUnit[],COLUMN(CUSTO_GLOBAL[[#Headers],[FGTS]])-2,0)*($G214-$H214)</f>
        <v>271.77044799999999</v>
      </c>
      <c r="X214" s="21">
        <f>VLOOKUP($A214,tabCustoUnit[],COLUMN(CUSTO_GLOBAL[[#Headers],[RAT Ajustado]])-2,0)*($G214-$H214)</f>
        <v>135.88522399999999</v>
      </c>
      <c r="Y214" s="21">
        <f>VLOOKUP($A214,tabCustoUnit[],COLUMN(CUSTO_GLOBAL[[#Headers],[SEBRAE]])-2,0)*($G214-$H214)</f>
        <v>20.3827836</v>
      </c>
      <c r="Z214" s="21">
        <f>VLOOKUP($A214,tabCustoUnit[],COLUMN(CUSTO_GLOBAL[[#Headers],[Submódulo 2.1]])-2,0)*($G214-$H214)</f>
        <v>1284.1153668000002</v>
      </c>
      <c r="AA214" s="21">
        <f>VLOOKUP($A214,tabCustoUnit[],COLUMN(CUSTO_GLOBAL[[#Headers],[13º salário (titular)]])-2,0)*($G214-$H214)</f>
        <v>283.09421666666663</v>
      </c>
      <c r="AB214" s="21">
        <f>VLOOKUP($A214,tabCustoUnit[],COLUMN(CUSTO_GLOBAL[[#Headers],[Férias e Adicional de Férias (titular)]])-2,0)*($G214-$H214)</f>
        <v>377.45895555555552</v>
      </c>
      <c r="AC214" s="21">
        <f>VLOOKUP($A214,tabCustoUnit[],COLUMN(CUSTO_GLOBAL[[#Headers],[Incidência do Submódulo 2.1 sobre 13º Salário, Férias e Adicional de Férias]])-2,0)*($G214-$H214)</f>
        <v>249.68909910000002</v>
      </c>
      <c r="AD214" s="21">
        <f>VLOOKUP($A214,tabCustoUnit[],COLUMN(CUSTO_GLOBAL[[#Headers],[Submódulo 2.2]])-2,0)*($G214-$H214)</f>
        <v>910.24227132222222</v>
      </c>
      <c r="AE214" s="22" t="e">
        <f ca="1">VLOOKUP($A214,tabCustoUnit[],COLUMN(CUSTO_GLOBAL[[#Headers],[Vale - Transporte (Descontada parcela do empregado)]])-2,0)*($G214-$H214)</f>
        <v>#NAME?</v>
      </c>
      <c r="AF214" s="22">
        <f>VLOOKUP($A214,tabCustoUnit[],COLUMN(CUSTO_GLOBAL[[#Headers],[Vale - Alimentação (Descontada parcela do empregado)]])-2,0)*($G214-$H214)</f>
        <v>582</v>
      </c>
      <c r="AG214" s="22">
        <f>VLOOKUP($A214,tabCustoUnit[],COLUMN(CUSTO_GLOBAL[[#Headers],[Cesta Básica]])-2,0)*($G214-$H214)</f>
        <v>0</v>
      </c>
      <c r="AH214" s="22">
        <f>VLOOKUP($A214,tabCustoUnit[],COLUMN(CUSTO_GLOBAL[[#Headers],[PAF]])-2,0)*($G214-$H214)</f>
        <v>51.87</v>
      </c>
      <c r="AI214" s="22">
        <f>VLOOKUP($A214,tabCustoUnit[],COLUMN(CUSTO_GLOBAL[[#Headers],[PQM]])-2,0)*($G214-$H214)</f>
        <v>0</v>
      </c>
      <c r="AJ214" s="22">
        <v>0</v>
      </c>
      <c r="AK214" s="22">
        <f>VLOOKUP($A214,tabCustoUnit[],COLUMN(CUSTO_GLOBAL[[#Headers],[Seguro de Vida]])-2,0)*($G214-$H214)</f>
        <v>3.36</v>
      </c>
      <c r="AL214" s="22">
        <f>VLOOKUP($A214,tabCustoUnit[],COLUMN(CUSTO_GLOBAL[[#Headers],[Despesas de Viagem]])-2,0)*($G214-$H214)</f>
        <v>0</v>
      </c>
      <c r="AM214" s="22" t="e">
        <f ca="1">VLOOKUP($A214,tabCustoUnit[],COLUMN(CUSTO_GLOBAL[[#Headers],[Submódulo 2.3]])-2,0)*($G214-$H214)</f>
        <v>#NAME?</v>
      </c>
      <c r="AN214" s="22" t="e">
        <f ca="1">VLOOKUP($A214,tabCustoUnit[],COLUMN(CUSTO_GLOBAL[[#Headers],[MÓDULO 2 - Total Encargos e Benefícios mensais e diários]])-2,0)*($G214-$H214)</f>
        <v>#NAME?</v>
      </c>
      <c r="AO214" s="22">
        <f>VLOOKUP($A214,tabCustoUnit[],COLUMN(CUSTO_GLOBAL[[#Headers],[Aviso Prévio Indenizado (API) e Reflexo do Aviso Prévio Indenizado]])-2,0)*($G214-$H214)</f>
        <v>23.819888151890432</v>
      </c>
      <c r="AP214" s="22">
        <f>VLOOKUP($A214,tabCustoUnit[],COLUMN(CUSTO_GLOBAL[[#Headers],[Incidência do FGTS sobre API e Reflexo do API]])-2,0)*($G214-$H214)</f>
        <v>1.9055910521512347</v>
      </c>
      <c r="AQ214" s="22">
        <f>VLOOKUP($A214,tabCustoUnit[],COLUMN(CUSTO_GLOBAL[[#Headers],[Multa Rescisória do FGTS sobre o Aviso Prévio Indenizado]])-2,0)*($G214-$H214)</f>
        <v>0.76223642086049392</v>
      </c>
      <c r="AR214" s="22">
        <f>VLOOKUP($A214,tabCustoUnit[],COLUMN(CUSTO_GLOBAL[[#Headers],[Aviso Prévio Trabalhado - APT]])-2,0)*($G214-$H214)</f>
        <v>11.889957100000002</v>
      </c>
      <c r="AS214" s="22">
        <f>VLOOKUP($A214,tabCustoUnit[],COLUMN(CUSTO_GLOBAL[[#Headers],[Incidência dos encargos do submódulo 2.1 sobre Aviso Prévio Trabalhado]])-2,0)*($G214-$H214)</f>
        <v>4.4944037838000011</v>
      </c>
      <c r="AT214" s="22">
        <f>VLOOKUP($A214,tabCustoUnit[],COLUMN(CUSTO_GLOBAL[[#Headers],[Multa Rescisória do FGTS]])-2,0)*($G214-$H214)</f>
        <v>103.87670456888887</v>
      </c>
      <c r="AU214" s="22">
        <f>VLOOKUP($A214,tabCustoUnit[],COLUMN(CUSTO_GLOBAL[[#Headers],[Indenização Adicional (Art. 9º da Lei nº 7.238/84)]])-2,0)*($G214-$H214)</f>
        <v>2.830942166666667</v>
      </c>
      <c r="AV214" s="22">
        <f>VLOOKUP($A214,tabCustoUnit[],COLUMN(CUSTO_GLOBAL[[#Headers],[MÓDULO 3 – PROVISÃO PARA RESCISÃO]])-2,0)*($G214-$H214)</f>
        <v>149.57972324425771</v>
      </c>
      <c r="AW214" s="22">
        <f>VLOOKUP($A214,tabCustoUnit[],COLUMN(CUSTO_GLOBAL[[#Headers],[Ausência por Doença]])-2,0)*($G214-$H214)</f>
        <v>28.686880622222219</v>
      </c>
      <c r="AX214" s="22">
        <f>VLOOKUP($A214,tabCustoUnit[],COLUMN(CUSTO_GLOBAL[[#Headers],[Ausências Legais]])-2,0)*($G214-$H214)</f>
        <v>6.8886259388888886</v>
      </c>
      <c r="AY214" s="22">
        <f>VLOOKUP($A214,tabCustoUnit[],COLUMN(CUSTO_GLOBAL[[#Headers],[Licença Paternidade]])-2,0)*($G214-$H214)</f>
        <v>0.58034314416666666</v>
      </c>
      <c r="AZ214" s="22">
        <f>VLOOKUP($A214,tabCustoUnit[],COLUMN(CUSTO_GLOBAL[[#Headers],[Ausência por Acidente de Trabalho]])-2,0)*($G214-$H214)</f>
        <v>0.70773554166666675</v>
      </c>
      <c r="BA214" s="22">
        <f>VLOOKUP($A214,tabCustoUnit[],COLUMN(CUSTO_GLOBAL[[#Headers],[Férias, Adicional de Férias e 13º  com empregada em gozo de Licença Maternidade]])-2,0)*($G214-$H214)</f>
        <v>4.4036878148148144</v>
      </c>
      <c r="BB214" s="22">
        <f>VLOOKUP($A214,tabCustoUnit[],COLUMN(CUSTO_GLOBAL[[#Headers],[Incidência do Submódulo 2.1 sobre Ausências Legais]])-2,0)*($G214-$H214)</f>
        <v>15.599029217345002</v>
      </c>
      <c r="BC214" s="22">
        <f>VLOOKUP($A214,tabCustoUnit[],COLUMN(CUSTO_GLOBAL[[#Headers],[Submódulo 4.1]])-2,0)*($G214-$H214)</f>
        <v>56.866302279104261</v>
      </c>
      <c r="BD214" s="22">
        <f>VLOOKUP($A214,tabCustoUnit[],COLUMN(CUSTO_GLOBAL[[#Headers],[Intervalo para Repouso ou Alimentação]])-2,0)*($G214-$H214)</f>
        <v>0</v>
      </c>
      <c r="BE214" s="22">
        <f>VLOOKUP($A214,tabCustoUnit[],COLUMN(CUSTO_GLOBAL[[#Headers],[Submódulo 4.2]])-2,0)*($G214-$H214)</f>
        <v>0</v>
      </c>
      <c r="BF214" s="22">
        <f>VLOOKUP($A214,tabCustoUnit[],COLUMN(CUSTO_GLOBAL[[#Headers],[Suspensão Temporária do Contrato de Trabalho]])-2,0)*($G214-$H214)</f>
        <v>0</v>
      </c>
      <c r="BG214" s="22">
        <f>VLOOKUP($A214,tabCustoUnit[],COLUMN(CUSTO_GLOBAL[[#Headers],[Submódulo 4.3]])-2,0)*($G214-$H214)</f>
        <v>0</v>
      </c>
      <c r="BH214" s="22">
        <f>VLOOKUP($A214,tabCustoUnit[],COLUMN(CUSTO_GLOBAL[[#Headers],[MÓDULO 4 – CUSTO DE REPOSIÇÃO DO PROFISSIONAL AUSENTE]])-2,0)*($G214-$H214)</f>
        <v>56.866302279104261</v>
      </c>
      <c r="BI214" s="22">
        <f>VLOOKUP($A214,tabCustoUnit[],COLUMN(CUSTO_GLOBAL[[#Headers],[Uniformes e EPIs]])-2,0)*($G214-$H214)</f>
        <v>56.642978962543395</v>
      </c>
      <c r="BJ214" s="22">
        <f>VLOOKUP($A214,tabCustoUnit[],COLUMN(CUSTO_GLOBAL[[#Headers],[Materiais de Consumo]])-2,0)*($G214-$H214)</f>
        <v>0</v>
      </c>
      <c r="BK214" s="22">
        <f>VLOOKUP($A214,tabCustoUnit[],COLUMN(CUSTO_GLOBAL[[#Headers],[Máquinas e Equipamentos (depreciação)]])-2,0)*($G214-$H214)</f>
        <v>0</v>
      </c>
      <c r="BL214" s="22">
        <f>VLOOKUP($A214,tabCustoUnit[],COLUMN(CUSTO_GLOBAL[[#Headers],[Produtos de Limpeza e Materiais de Higiene Pessoal]])-2,0)*($G214-$H214)</f>
        <v>0</v>
      </c>
      <c r="BM214" s="22">
        <f>VLOOKUP($A214,tabCustoUnit[],COLUMN(CUSTO_GLOBAL[[#Headers],[Outros (especificar)]])-2,0)*($G214-$H214)</f>
        <v>0</v>
      </c>
      <c r="BN214" s="22">
        <f>VLOOKUP($A214,tabCustoUnit[],COLUMN(CUSTO_GLOBAL[[#Headers],[MÓDULO 5 – INSUMOS DIVERSOS]])-2,0)*($G214-$H214)</f>
        <v>56.642978962543395</v>
      </c>
      <c r="BO214" s="22" t="e">
        <f ca="1">VLOOKUP($A214,tabCustoUnit[],COLUMN(CUSTO_GLOBAL[[#Headers],[TOTAL MÓDULOS 1+2+3+4+5]])-2,0)*($G214-$H214)</f>
        <v>#NAME?</v>
      </c>
      <c r="BP214" s="22" t="e">
        <f ca="1">VLOOKUP($A214,tabCustoUnit[],COLUMN(CUSTO_GLOBAL[[#Headers],[Custos Indiretos]])-2,0)*($G214-$H214)</f>
        <v>#NAME?</v>
      </c>
      <c r="BQ214" s="22" t="e">
        <f ca="1">VLOOKUP($A214,tabCustoUnit[],COLUMN(CUSTO_GLOBAL[[#Headers],[Lucro]])-2,0)*($G214-$H214)</f>
        <v>#NAME?</v>
      </c>
      <c r="BR214" s="26">
        <f>VLOOKUP($A214,tabCustoUnit[],COLUMN(CUSTO_GLOBAL[[#Headers],[COFINS]])-2,0)</f>
        <v>8.6609686609686695E-2</v>
      </c>
      <c r="BS214" s="26">
        <f>VLOOKUP($A214,tabCustoUnit[],COLUMN(CUSTO_GLOBAL[[#Headers],[PIS]])-2,0)</f>
        <v>1.880341880341882E-2</v>
      </c>
      <c r="BT214" s="28">
        <f>VLOOKUP($A214,tabCustoUnit[],COLUMN(CUSTO_GLOBAL[[#Headers],[ISS]])-2,0)</f>
        <v>0.03</v>
      </c>
      <c r="BU214" s="26">
        <f>VLOOKUP($A214,tabCustoUnit[],COLUMN(CUSTO_GLOBAL[[#Headers],[ISS (Conversão Alíquota s/ fatura)]])-2,0)</f>
        <v>3.4188034188034219E-2</v>
      </c>
      <c r="BV214" s="26">
        <f>VLOOKUP($A214,tabCustoUnit[],COLUMN(CUSTO_GLOBAL[[#Headers],[Resumo de Alíquotas (PIS+CONFINS+ISS)]])-2,0)</f>
        <v>0.1225</v>
      </c>
      <c r="BW214" s="138">
        <f>VLOOKUP($A214,tabCustoUnit[],COLUMN(CUSTO_GLOBAL[[#Headers],[PIS + COFINS + ISS (Total Conversão  Alíquota s/ Fatura)]])-2,0)</f>
        <v>0.13960113960113973</v>
      </c>
      <c r="BX214" s="22" t="e">
        <f ca="1">VLOOKUP($A214,tabCustoUnit[],COLUMN(CUSTO_GLOBAL[[#Headers],[Valor dos Tributos (ISS, PIS, CONFINS)]])-2,0)*($G214-$H214)</f>
        <v>#NAME?</v>
      </c>
      <c r="BY214" s="22" t="e">
        <f ca="1">VLOOKUP($A214,tabCustoUnit[],COLUMN(CUSTO_GLOBAL[[#Headers],[MÓDULO 6 – CUSTOS INDIRETOS, TRIBUTOS E LUCRO]])-2,0)*($G214-$H214)</f>
        <v>#NAME?</v>
      </c>
      <c r="BZ214" s="22" t="e">
        <f ca="1">VLOOKUP($A214,tabCustoUnit[],COLUMN(CUSTO_GLOBAL[[#Headers],[CUSTO TOTAL MENSAL]])-2,0)*($G214-$H214)</f>
        <v>#NAME?</v>
      </c>
      <c r="CA214" s="22" t="e">
        <f ca="1">CUSTO_GLOBAL[[#This Row],[CUSTO TOTAL MENSAL]]*12</f>
        <v>#NAME?</v>
      </c>
      <c r="CB214" s="24">
        <f>VLOOKUP($A214,tabCustoUnit[],COLUMN(CUSTO_GLOBAL[[#Headers],[ANO DA CCT]])-2,0)</f>
        <v>45658</v>
      </c>
      <c r="CC214" s="25" t="str">
        <f>VLOOKUP($A214,tabCustoUnit[],COLUMN(CUSTO_GLOBAL[[#Headers],[Nº DE PEDIDO DA CCT]])-2,0)</f>
        <v>-</v>
      </c>
      <c r="CD214" s="25" t="str">
        <f>VLOOKUP($A214,tabCustoUnit[],COLUMN(CUSTO_GLOBAL[[#Headers],[TERMO ADITIVO ALTERAÇÃO DA CCT]])-2,0)</f>
        <v>-</v>
      </c>
    </row>
    <row r="215" spans="1:82">
      <c r="A215" s="20" t="s">
        <v>1647</v>
      </c>
      <c r="B215" t="s">
        <v>1166</v>
      </c>
      <c r="C215" t="s">
        <v>319</v>
      </c>
      <c r="D215" t="s">
        <v>1058</v>
      </c>
      <c r="E215" s="20" t="s">
        <v>1090</v>
      </c>
      <c r="F215" s="20" t="s">
        <v>120</v>
      </c>
      <c r="G215" s="20">
        <v>1</v>
      </c>
      <c r="H215" s="20">
        <v>0</v>
      </c>
      <c r="I215" s="21">
        <f>VLOOKUP($A215,tabCustoUnit[],COLUMN(CUSTO_GLOBAL[[#Headers],[Salário Base]])-2,0)*($G215-$H215)</f>
        <v>2316.2296999999999</v>
      </c>
      <c r="J215" s="21">
        <f>VLOOKUP($A215,tabCustoUnit[],COLUMN(CUSTO_GLOBAL[[#Headers],[Adicional Periculosidade]])-2,0)*($G215-$H215)</f>
        <v>0</v>
      </c>
      <c r="K215" s="21">
        <f>VLOOKUP($A215,tabCustoUnit[],COLUMN(CUSTO_GLOBAL[[#Headers],[Adicional Insalubridade]])-2,0)*($G215-$H215)</f>
        <v>0</v>
      </c>
      <c r="L215" s="21">
        <f>VLOOKUP($A215,tabCustoUnit[],COLUMN(CUSTO_GLOBAL[[#Headers],[Adicional Noturno]])-2,0)*($G215-$H215)</f>
        <v>0</v>
      </c>
      <c r="M215" s="21">
        <f>VLOOKUP($A215,tabCustoUnit[],COLUMN(CUSTO_GLOBAL[[#Headers],[Adicional Motorista II (Gratificação)]])-2,0)*($G215-$H215)</f>
        <v>0</v>
      </c>
      <c r="N215" s="21">
        <f>VLOOKUP($A215,tabCustoUnit[],COLUMN(CUSTO_GLOBAL[[#Headers],[Adicional de Sobreaviso]])-2,0)*($G215-$H215)</f>
        <v>0</v>
      </c>
      <c r="O215" s="21">
        <f>VLOOKUP($A215,tabCustoUnit[],COLUMN(CUSTO_GLOBAL[[#Headers],[Horas Extras TI]])-2,0)*($G215-$H215)</f>
        <v>0</v>
      </c>
      <c r="P215" s="21">
        <f>VLOOKUP($A215,tabCustoUnit[],COLUMN(CUSTO_GLOBAL[[#Headers],[Adicional de Acúmulo de função]])-2,0)*($G215-$H215)</f>
        <v>0</v>
      </c>
      <c r="Q215" s="21">
        <f>VLOOKUP($A215,tabCustoUnit[],COLUMN(CUSTO_GLOBAL[[#Headers],[MODULO 1 - REMUNERAÇÃO ]])-2,0)*($G215-$H215)</f>
        <v>2316.2296999999999</v>
      </c>
      <c r="R215" s="21">
        <f>VLOOKUP($A215,tabCustoUnit[],COLUMN(CUSTO_GLOBAL[[#Headers],[INSS]])-2,0)*($G215-$H215)</f>
        <v>463.24594000000002</v>
      </c>
      <c r="S215" s="21">
        <f>VLOOKUP($A215,tabCustoUnit[],COLUMN(CUSTO_GLOBAL[[#Headers],[SESI OU SESC]])-2,0)*($G215-$H215)</f>
        <v>34.7434455</v>
      </c>
      <c r="T215" s="21">
        <f>VLOOKUP($A215,tabCustoUnit[],COLUMN(CUSTO_GLOBAL[[#Headers],[SENAI OU SENAC]])-2,0)*($G215-$H215)</f>
        <v>23.162296999999999</v>
      </c>
      <c r="U215" s="21">
        <f>VLOOKUP($A215,tabCustoUnit[],COLUMN(CUSTO_GLOBAL[[#Headers],[INCRA]])-2,0)*($G215-$H215)</f>
        <v>4.6324594000000001</v>
      </c>
      <c r="V215" s="21">
        <f>VLOOKUP($A215,tabCustoUnit[],COLUMN(CUSTO_GLOBAL[[#Headers],[Salário Educação]])-2,0)*($G215-$H215)</f>
        <v>57.905742500000002</v>
      </c>
      <c r="W215" s="21">
        <f>VLOOKUP($A215,tabCustoUnit[],COLUMN(CUSTO_GLOBAL[[#Headers],[FGTS]])-2,0)*($G215-$H215)</f>
        <v>185.29837599999999</v>
      </c>
      <c r="X215" s="21">
        <f>VLOOKUP($A215,tabCustoUnit[],COLUMN(CUSTO_GLOBAL[[#Headers],[RAT Ajustado]])-2,0)*($G215-$H215)</f>
        <v>92.649187999999995</v>
      </c>
      <c r="Y215" s="21">
        <f>VLOOKUP($A215,tabCustoUnit[],COLUMN(CUSTO_GLOBAL[[#Headers],[SEBRAE]])-2,0)*($G215-$H215)</f>
        <v>13.8973782</v>
      </c>
      <c r="Z215" s="21">
        <f>VLOOKUP($A215,tabCustoUnit[],COLUMN(CUSTO_GLOBAL[[#Headers],[Submódulo 2.1]])-2,0)*($G215-$H215)</f>
        <v>875.53482659999997</v>
      </c>
      <c r="AA215" s="21">
        <f>VLOOKUP($A215,tabCustoUnit[],COLUMN(CUSTO_GLOBAL[[#Headers],[13º salário (titular)]])-2,0)*($G215-$H215)</f>
        <v>193.01914166666666</v>
      </c>
      <c r="AB215" s="21">
        <f>VLOOKUP($A215,tabCustoUnit[],COLUMN(CUSTO_GLOBAL[[#Headers],[Férias e Adicional de Férias (titular)]])-2,0)*($G215-$H215)</f>
        <v>257.35885555555552</v>
      </c>
      <c r="AC215" s="21">
        <f>VLOOKUP($A215,tabCustoUnit[],COLUMN(CUSTO_GLOBAL[[#Headers],[Incidência do Submódulo 2.1 sobre 13º Salário, Férias e Adicional de Férias]])-2,0)*($G215-$H215)</f>
        <v>170.24288294999999</v>
      </c>
      <c r="AD215" s="21">
        <f>VLOOKUP($A215,tabCustoUnit[],COLUMN(CUSTO_GLOBAL[[#Headers],[Submódulo 2.2]])-2,0)*($G215-$H215)</f>
        <v>620.6208801722222</v>
      </c>
      <c r="AE215" s="22" t="e">
        <f ca="1">VLOOKUP($A215,tabCustoUnit[],COLUMN(CUSTO_GLOBAL[[#Headers],[Vale - Transporte (Descontada parcela do empregado)]])-2,0)*($G215-$H215)</f>
        <v>#NAME?</v>
      </c>
      <c r="AF215" s="22">
        <f>VLOOKUP($A215,tabCustoUnit[],COLUMN(CUSTO_GLOBAL[[#Headers],[Vale - Alimentação (Descontada parcela do empregado)]])-2,0)*($G215-$H215)</f>
        <v>582</v>
      </c>
      <c r="AG215" s="22">
        <f>VLOOKUP($A215,tabCustoUnit[],COLUMN(CUSTO_GLOBAL[[#Headers],[Cesta Básica]])-2,0)*($G215-$H215)</f>
        <v>0</v>
      </c>
      <c r="AH215" s="22">
        <f>VLOOKUP($A215,tabCustoUnit[],COLUMN(CUSTO_GLOBAL[[#Headers],[PAF]])-2,0)*($G215-$H215)</f>
        <v>77.25</v>
      </c>
      <c r="AI215" s="22">
        <f>VLOOKUP($A215,tabCustoUnit[],COLUMN(CUSTO_GLOBAL[[#Headers],[PQM]])-2,0)*($G215-$H215)</f>
        <v>0</v>
      </c>
      <c r="AJ215" s="22">
        <v>0</v>
      </c>
      <c r="AK215" s="22">
        <f>VLOOKUP($A215,tabCustoUnit[],COLUMN(CUSTO_GLOBAL[[#Headers],[Seguro de Vida]])-2,0)*($G215-$H215)</f>
        <v>3.36</v>
      </c>
      <c r="AL215" s="22">
        <f>VLOOKUP($A215,tabCustoUnit[],COLUMN(CUSTO_GLOBAL[[#Headers],[Despesas de Viagem]])-2,0)*($G215-$H215)</f>
        <v>0</v>
      </c>
      <c r="AM215" s="22" t="e">
        <f ca="1">VLOOKUP($A215,tabCustoUnit[],COLUMN(CUSTO_GLOBAL[[#Headers],[Submódulo 2.3]])-2,0)*($G215-$H215)</f>
        <v>#NAME?</v>
      </c>
      <c r="AN215" s="22" t="e">
        <f ca="1">VLOOKUP($A215,tabCustoUnit[],COLUMN(CUSTO_GLOBAL[[#Headers],[MÓDULO 2 - Total Encargos e Benefícios mensais e diários]])-2,0)*($G215-$H215)</f>
        <v>#NAME?</v>
      </c>
      <c r="AO215" s="22">
        <f>VLOOKUP($A215,tabCustoUnit[],COLUMN(CUSTO_GLOBAL[[#Headers],[Aviso Prévio Indenizado (API) e Reflexo do Aviso Prévio Indenizado]])-2,0)*($G215-$H215)</f>
        <v>16.240862917689043</v>
      </c>
      <c r="AP215" s="22">
        <f>VLOOKUP($A215,tabCustoUnit[],COLUMN(CUSTO_GLOBAL[[#Headers],[Incidência do FGTS sobre API e Reflexo do API]])-2,0)*($G215-$H215)</f>
        <v>1.2992690334151236</v>
      </c>
      <c r="AQ215" s="22">
        <f>VLOOKUP($A215,tabCustoUnit[],COLUMN(CUSTO_GLOBAL[[#Headers],[Multa Rescisória do FGTS sobre o Aviso Prévio Indenizado]])-2,0)*($G215-$H215)</f>
        <v>0.51970761336604943</v>
      </c>
      <c r="AR215" s="22">
        <f>VLOOKUP($A215,tabCustoUnit[],COLUMN(CUSTO_GLOBAL[[#Headers],[Aviso Prévio Trabalhado - APT]])-2,0)*($G215-$H215)</f>
        <v>8.1068039500000015</v>
      </c>
      <c r="AS215" s="22">
        <f>VLOOKUP($A215,tabCustoUnit[],COLUMN(CUSTO_GLOBAL[[#Headers],[Incidência dos encargos do submódulo 2.1 sobre Aviso Prévio Trabalhado]])-2,0)*($G215-$H215)</f>
        <v>3.0643718931000006</v>
      </c>
      <c r="AT215" s="22">
        <f>VLOOKUP($A215,tabCustoUnit[],COLUMN(CUSTO_GLOBAL[[#Headers],[Multa Rescisória do FGTS]])-2,0)*($G215-$H215)</f>
        <v>70.825157048888869</v>
      </c>
      <c r="AU215" s="22">
        <f>VLOOKUP($A215,tabCustoUnit[],COLUMN(CUSTO_GLOBAL[[#Headers],[Indenização Adicional (Art. 9º da Lei nº 7.238/84)]])-2,0)*($G215-$H215)</f>
        <v>1.9301914166666667</v>
      </c>
      <c r="AV215" s="22">
        <f>VLOOKUP($A215,tabCustoUnit[],COLUMN(CUSTO_GLOBAL[[#Headers],[MÓDULO 3 – PROVISÃO PARA RESCISÃO]])-2,0)*($G215-$H215)</f>
        <v>101.98636387312575</v>
      </c>
      <c r="AW215" s="22">
        <f>VLOOKUP($A215,tabCustoUnit[],COLUMN(CUSTO_GLOBAL[[#Headers],[Ausência por Doença]])-2,0)*($G215-$H215)</f>
        <v>19.559273022222218</v>
      </c>
      <c r="AX215" s="22">
        <f>VLOOKUP($A215,tabCustoUnit[],COLUMN(CUSTO_GLOBAL[[#Headers],[Ausências Legais]])-2,0)*($G215-$H215)</f>
        <v>4.696799113888888</v>
      </c>
      <c r="AY215" s="22">
        <f>VLOOKUP($A215,tabCustoUnit[],COLUMN(CUSTO_GLOBAL[[#Headers],[Licença Paternidade]])-2,0)*($G215-$H215)</f>
        <v>0.39568924041666664</v>
      </c>
      <c r="AZ215" s="22">
        <f>VLOOKUP($A215,tabCustoUnit[],COLUMN(CUSTO_GLOBAL[[#Headers],[Ausência por Acidente de Trabalho]])-2,0)*($G215-$H215)</f>
        <v>0.48254785416666668</v>
      </c>
      <c r="BA215" s="22">
        <f>VLOOKUP($A215,tabCustoUnit[],COLUMN(CUSTO_GLOBAL[[#Headers],[Férias, Adicional de Férias e 13º  com empregada em gozo de Licença Maternidade]])-2,0)*($G215-$H215)</f>
        <v>3.0025199814814814</v>
      </c>
      <c r="BB215" s="22">
        <f>VLOOKUP($A215,tabCustoUnit[],COLUMN(CUSTO_GLOBAL[[#Headers],[Incidência do Submódulo 2.1 sobre Ausências Legais]])-2,0)*($G215-$H215)</f>
        <v>10.635721442202501</v>
      </c>
      <c r="BC215" s="22">
        <f>VLOOKUP($A215,tabCustoUnit[],COLUMN(CUSTO_GLOBAL[[#Headers],[Submódulo 4.1]])-2,0)*($G215-$H215)</f>
        <v>38.772550654378421</v>
      </c>
      <c r="BD215" s="22">
        <f>VLOOKUP($A215,tabCustoUnit[],COLUMN(CUSTO_GLOBAL[[#Headers],[Intervalo para Repouso ou Alimentação]])-2,0)*($G215-$H215)</f>
        <v>0</v>
      </c>
      <c r="BE215" s="22">
        <f>VLOOKUP($A215,tabCustoUnit[],COLUMN(CUSTO_GLOBAL[[#Headers],[Submódulo 4.2]])-2,0)*($G215-$H215)</f>
        <v>0</v>
      </c>
      <c r="BF215" s="22">
        <f>VLOOKUP($A215,tabCustoUnit[],COLUMN(CUSTO_GLOBAL[[#Headers],[Suspensão Temporária do Contrato de Trabalho]])-2,0)*($G215-$H215)</f>
        <v>0</v>
      </c>
      <c r="BG215" s="22">
        <f>VLOOKUP($A215,tabCustoUnit[],COLUMN(CUSTO_GLOBAL[[#Headers],[Submódulo 4.3]])-2,0)*($G215-$H215)</f>
        <v>0</v>
      </c>
      <c r="BH215" s="22">
        <f>VLOOKUP($A215,tabCustoUnit[],COLUMN(CUSTO_GLOBAL[[#Headers],[MÓDULO 4 – CUSTO DE REPOSIÇÃO DO PROFISSIONAL AUSENTE]])-2,0)*($G215-$H215)</f>
        <v>38.772550654378421</v>
      </c>
      <c r="BI215" s="22">
        <f>VLOOKUP($A215,tabCustoUnit[],COLUMN(CUSTO_GLOBAL[[#Headers],[Uniformes e EPIs]])-2,0)*($G215-$H215)</f>
        <v>56.642978962543395</v>
      </c>
      <c r="BJ215" s="22">
        <f>VLOOKUP($A215,tabCustoUnit[],COLUMN(CUSTO_GLOBAL[[#Headers],[Materiais de Consumo]])-2,0)*($G215-$H215)</f>
        <v>0</v>
      </c>
      <c r="BK215" s="22">
        <f>VLOOKUP($A215,tabCustoUnit[],COLUMN(CUSTO_GLOBAL[[#Headers],[Máquinas e Equipamentos (depreciação)]])-2,0)*($G215-$H215)</f>
        <v>0</v>
      </c>
      <c r="BL215" s="22">
        <f>VLOOKUP($A215,tabCustoUnit[],COLUMN(CUSTO_GLOBAL[[#Headers],[Produtos de Limpeza e Materiais de Higiene Pessoal]])-2,0)*($G215-$H215)</f>
        <v>0</v>
      </c>
      <c r="BM215" s="22">
        <f>VLOOKUP($A215,tabCustoUnit[],COLUMN(CUSTO_GLOBAL[[#Headers],[Outros (especificar)]])-2,0)*($G215-$H215)</f>
        <v>0</v>
      </c>
      <c r="BN215" s="22">
        <f>VLOOKUP($A215,tabCustoUnit[],COLUMN(CUSTO_GLOBAL[[#Headers],[MÓDULO 5 – INSUMOS DIVERSOS]])-2,0)*($G215-$H215)</f>
        <v>56.642978962543395</v>
      </c>
      <c r="BO215" s="22" t="e">
        <f ca="1">VLOOKUP($A215,tabCustoUnit[],COLUMN(CUSTO_GLOBAL[[#Headers],[TOTAL MÓDULOS 1+2+3+4+5]])-2,0)*($G215-$H215)</f>
        <v>#NAME?</v>
      </c>
      <c r="BP215" s="22" t="e">
        <f ca="1">VLOOKUP($A215,tabCustoUnit[],COLUMN(CUSTO_GLOBAL[[#Headers],[Custos Indiretos]])-2,0)*($G215-$H215)</f>
        <v>#NAME?</v>
      </c>
      <c r="BQ215" s="22" t="e">
        <f ca="1">VLOOKUP($A215,tabCustoUnit[],COLUMN(CUSTO_GLOBAL[[#Headers],[Lucro]])-2,0)*($G215-$H215)</f>
        <v>#NAME?</v>
      </c>
      <c r="BR215" s="26">
        <f>VLOOKUP($A215,tabCustoUnit[],COLUMN(CUSTO_GLOBAL[[#Headers],[COFINS]])-2,0)</f>
        <v>8.5633802816901458E-2</v>
      </c>
      <c r="BS215" s="26">
        <f>VLOOKUP($A215,tabCustoUnit[],COLUMN(CUSTO_GLOBAL[[#Headers],[PIS]])-2,0)</f>
        <v>1.8591549295774657E-2</v>
      </c>
      <c r="BT215" s="28">
        <f>VLOOKUP($A215,tabCustoUnit[],COLUMN(CUSTO_GLOBAL[[#Headers],[ISS]])-2,0)</f>
        <v>0.02</v>
      </c>
      <c r="BU215" s="26">
        <f>VLOOKUP($A215,tabCustoUnit[],COLUMN(CUSTO_GLOBAL[[#Headers],[ISS (Conversão Alíquota s/ fatura)]])-2,0)</f>
        <v>2.2535211267605645E-2</v>
      </c>
      <c r="BV215" s="26">
        <f>VLOOKUP($A215,tabCustoUnit[],COLUMN(CUSTO_GLOBAL[[#Headers],[Resumo de Alíquotas (PIS+CONFINS+ISS)]])-2,0)</f>
        <v>0.1125</v>
      </c>
      <c r="BW215" s="138">
        <f>VLOOKUP($A215,tabCustoUnit[],COLUMN(CUSTO_GLOBAL[[#Headers],[PIS + COFINS + ISS (Total Conversão  Alíquota s/ Fatura)]])-2,0)</f>
        <v>0.12676056338028174</v>
      </c>
      <c r="BX215" s="22" t="e">
        <f ca="1">VLOOKUP($A215,tabCustoUnit[],COLUMN(CUSTO_GLOBAL[[#Headers],[Valor dos Tributos (ISS, PIS, CONFINS)]])-2,0)*($G215-$H215)</f>
        <v>#NAME?</v>
      </c>
      <c r="BY215" s="22" t="e">
        <f ca="1">VLOOKUP($A215,tabCustoUnit[],COLUMN(CUSTO_GLOBAL[[#Headers],[MÓDULO 6 – CUSTOS INDIRETOS, TRIBUTOS E LUCRO]])-2,0)*($G215-$H215)</f>
        <v>#NAME?</v>
      </c>
      <c r="BZ215" s="22" t="e">
        <f ca="1">VLOOKUP($A215,tabCustoUnit[],COLUMN(CUSTO_GLOBAL[[#Headers],[CUSTO TOTAL MENSAL]])-2,0)*($G215-$H215)</f>
        <v>#NAME?</v>
      </c>
      <c r="CA215" s="22" t="e">
        <f ca="1">CUSTO_GLOBAL[[#This Row],[CUSTO TOTAL MENSAL]]*12</f>
        <v>#NAME?</v>
      </c>
      <c r="CB215" s="24">
        <f>VLOOKUP($A215,tabCustoUnit[],COLUMN(CUSTO_GLOBAL[[#Headers],[ANO DA CCT]])-2,0)</f>
        <v>45658</v>
      </c>
      <c r="CC215" s="25" t="str">
        <f>VLOOKUP($A215,tabCustoUnit[],COLUMN(CUSTO_GLOBAL[[#Headers],[Nº DE PEDIDO DA CCT]])-2,0)</f>
        <v>-</v>
      </c>
      <c r="CD215" s="25" t="str">
        <f>VLOOKUP($A215,tabCustoUnit[],COLUMN(CUSTO_GLOBAL[[#Headers],[TERMO ADITIVO ALTERAÇÃO DA CCT]])-2,0)</f>
        <v>-</v>
      </c>
    </row>
    <row r="216" spans="1:82">
      <c r="A216" s="20" t="s">
        <v>1648</v>
      </c>
      <c r="B216" t="s">
        <v>1167</v>
      </c>
      <c r="C216" t="s">
        <v>314</v>
      </c>
      <c r="D216" t="s">
        <v>954</v>
      </c>
      <c r="E216" s="20" t="s">
        <v>1090</v>
      </c>
      <c r="F216" s="20" t="s">
        <v>120</v>
      </c>
      <c r="G216" s="20">
        <v>1</v>
      </c>
      <c r="H216" s="20">
        <v>0</v>
      </c>
      <c r="I216" s="21">
        <f>VLOOKUP($A216,tabCustoUnit[],COLUMN(CUSTO_GLOBAL[[#Headers],[Salário Base]])-2,0)*($G216-$H216)</f>
        <v>1963.4110000000001</v>
      </c>
      <c r="J216" s="21">
        <f>VLOOKUP($A216,tabCustoUnit[],COLUMN(CUSTO_GLOBAL[[#Headers],[Adicional Periculosidade]])-2,0)*($G216-$H216)</f>
        <v>0</v>
      </c>
      <c r="K216" s="21">
        <f>VLOOKUP($A216,tabCustoUnit[],COLUMN(CUSTO_GLOBAL[[#Headers],[Adicional Insalubridade]])-2,0)*($G216-$H216)</f>
        <v>0</v>
      </c>
      <c r="L216" s="21">
        <f>VLOOKUP($A216,tabCustoUnit[],COLUMN(CUSTO_GLOBAL[[#Headers],[Adicional Noturno]])-2,0)*($G216-$H216)</f>
        <v>0</v>
      </c>
      <c r="M216" s="21">
        <f>VLOOKUP($A216,tabCustoUnit[],COLUMN(CUSTO_GLOBAL[[#Headers],[Adicional Motorista II (Gratificação)]])-2,0)*($G216-$H216)</f>
        <v>0</v>
      </c>
      <c r="N216" s="21">
        <f>VLOOKUP($A216,tabCustoUnit[],COLUMN(CUSTO_GLOBAL[[#Headers],[Adicional de Sobreaviso]])-2,0)*($G216-$H216)</f>
        <v>0</v>
      </c>
      <c r="O216" s="21">
        <f>VLOOKUP($A216,tabCustoUnit[],COLUMN(CUSTO_GLOBAL[[#Headers],[Horas Extras TI]])-2,0)*($G216-$H216)</f>
        <v>0</v>
      </c>
      <c r="P216" s="21">
        <f>VLOOKUP($A216,tabCustoUnit[],COLUMN(CUSTO_GLOBAL[[#Headers],[Adicional de Acúmulo de função]])-2,0)*($G216-$H216)</f>
        <v>0</v>
      </c>
      <c r="Q216" s="21">
        <f>VLOOKUP($A216,tabCustoUnit[],COLUMN(CUSTO_GLOBAL[[#Headers],[MODULO 1 - REMUNERAÇÃO ]])-2,0)*($G216-$H216)</f>
        <v>1963.4110000000001</v>
      </c>
      <c r="R216" s="21">
        <f>VLOOKUP($A216,tabCustoUnit[],COLUMN(CUSTO_GLOBAL[[#Headers],[INSS]])-2,0)*($G216-$H216)</f>
        <v>392.68220000000002</v>
      </c>
      <c r="S216" s="21">
        <f>VLOOKUP($A216,tabCustoUnit[],COLUMN(CUSTO_GLOBAL[[#Headers],[SESI OU SESC]])-2,0)*($G216-$H216)</f>
        <v>29.451165</v>
      </c>
      <c r="T216" s="21">
        <f>VLOOKUP($A216,tabCustoUnit[],COLUMN(CUSTO_GLOBAL[[#Headers],[SENAI OU SENAC]])-2,0)*($G216-$H216)</f>
        <v>19.63411</v>
      </c>
      <c r="U216" s="21">
        <f>VLOOKUP($A216,tabCustoUnit[],COLUMN(CUSTO_GLOBAL[[#Headers],[INCRA]])-2,0)*($G216-$H216)</f>
        <v>3.926822</v>
      </c>
      <c r="V216" s="21">
        <f>VLOOKUP($A216,tabCustoUnit[],COLUMN(CUSTO_GLOBAL[[#Headers],[Salário Educação]])-2,0)*($G216-$H216)</f>
        <v>49.085275000000003</v>
      </c>
      <c r="W216" s="21">
        <f>VLOOKUP($A216,tabCustoUnit[],COLUMN(CUSTO_GLOBAL[[#Headers],[FGTS]])-2,0)*($G216-$H216)</f>
        <v>157.07288</v>
      </c>
      <c r="X216" s="21">
        <f>VLOOKUP($A216,tabCustoUnit[],COLUMN(CUSTO_GLOBAL[[#Headers],[RAT Ajustado]])-2,0)*($G216-$H216)</f>
        <v>78.536439999999999</v>
      </c>
      <c r="Y216" s="21">
        <f>VLOOKUP($A216,tabCustoUnit[],COLUMN(CUSTO_GLOBAL[[#Headers],[SEBRAE]])-2,0)*($G216-$H216)</f>
        <v>11.780466000000001</v>
      </c>
      <c r="Z216" s="21">
        <f>VLOOKUP($A216,tabCustoUnit[],COLUMN(CUSTO_GLOBAL[[#Headers],[Submódulo 2.1]])-2,0)*($G216-$H216)</f>
        <v>742.1693580000001</v>
      </c>
      <c r="AA216" s="21">
        <f>VLOOKUP($A216,tabCustoUnit[],COLUMN(CUSTO_GLOBAL[[#Headers],[13º salário (titular)]])-2,0)*($G216-$H216)</f>
        <v>163.61758333333333</v>
      </c>
      <c r="AB216" s="21">
        <f>VLOOKUP($A216,tabCustoUnit[],COLUMN(CUSTO_GLOBAL[[#Headers],[Férias e Adicional de Férias (titular)]])-2,0)*($G216-$H216)</f>
        <v>218.15677777777776</v>
      </c>
      <c r="AC216" s="21">
        <f>VLOOKUP($A216,tabCustoUnit[],COLUMN(CUSTO_GLOBAL[[#Headers],[Incidência do Submódulo 2.1 sobre 13º Salário, Férias e Adicional de Férias]])-2,0)*($G216-$H216)</f>
        <v>144.3107085</v>
      </c>
      <c r="AD216" s="21">
        <f>VLOOKUP($A216,tabCustoUnit[],COLUMN(CUSTO_GLOBAL[[#Headers],[Submódulo 2.2]])-2,0)*($G216-$H216)</f>
        <v>526.08506961111107</v>
      </c>
      <c r="AE216" s="22" t="e">
        <f ca="1">VLOOKUP($A216,tabCustoUnit[],COLUMN(CUSTO_GLOBAL[[#Headers],[Vale - Transporte (Descontada parcela do empregado)]])-2,0)*($G216-$H216)</f>
        <v>#NAME?</v>
      </c>
      <c r="AF216" s="22">
        <f>VLOOKUP($A216,tabCustoUnit[],COLUMN(CUSTO_GLOBAL[[#Headers],[Vale - Alimentação (Descontada parcela do empregado)]])-2,0)*($G216-$H216)</f>
        <v>582</v>
      </c>
      <c r="AG216" s="22">
        <f>VLOOKUP($A216,tabCustoUnit[],COLUMN(CUSTO_GLOBAL[[#Headers],[Cesta Básica]])-2,0)*($G216-$H216)</f>
        <v>0</v>
      </c>
      <c r="AH216" s="22">
        <f>VLOOKUP($A216,tabCustoUnit[],COLUMN(CUSTO_GLOBAL[[#Headers],[PAF]])-2,0)*($G216-$H216)</f>
        <v>51.88</v>
      </c>
      <c r="AI216" s="22">
        <f>VLOOKUP($A216,tabCustoUnit[],COLUMN(CUSTO_GLOBAL[[#Headers],[PQM]])-2,0)*($G216-$H216)</f>
        <v>0</v>
      </c>
      <c r="AJ216" s="22">
        <v>0</v>
      </c>
      <c r="AK216" s="22">
        <f>VLOOKUP($A216,tabCustoUnit[],COLUMN(CUSTO_GLOBAL[[#Headers],[Seguro de Vida]])-2,0)*($G216-$H216)</f>
        <v>3.36</v>
      </c>
      <c r="AL216" s="22">
        <f>VLOOKUP($A216,tabCustoUnit[],COLUMN(CUSTO_GLOBAL[[#Headers],[Despesas de Viagem]])-2,0)*($G216-$H216)</f>
        <v>0</v>
      </c>
      <c r="AM216" s="22" t="e">
        <f ca="1">VLOOKUP($A216,tabCustoUnit[],COLUMN(CUSTO_GLOBAL[[#Headers],[Submódulo 2.3]])-2,0)*($G216-$H216)</f>
        <v>#NAME?</v>
      </c>
      <c r="AN216" s="22" t="e">
        <f ca="1">VLOOKUP($A216,tabCustoUnit[],COLUMN(CUSTO_GLOBAL[[#Headers],[MÓDULO 2 - Total Encargos e Benefícios mensais e diários]])-2,0)*($G216-$H216)</f>
        <v>#NAME?</v>
      </c>
      <c r="AO216" s="22">
        <f>VLOOKUP($A216,tabCustoUnit[],COLUMN(CUSTO_GLOBAL[[#Headers],[Aviso Prévio Indenizado (API) e Reflexo do Aviso Prévio Indenizado]])-2,0)*($G216-$H216)</f>
        <v>13.766980408757716</v>
      </c>
      <c r="AP216" s="22">
        <f>VLOOKUP($A216,tabCustoUnit[],COLUMN(CUSTO_GLOBAL[[#Headers],[Incidência do FGTS sobre API e Reflexo do API]])-2,0)*($G216-$H216)</f>
        <v>1.1013584327006174</v>
      </c>
      <c r="AQ216" s="22">
        <f>VLOOKUP($A216,tabCustoUnit[],COLUMN(CUSTO_GLOBAL[[#Headers],[Multa Rescisória do FGTS sobre o Aviso Prévio Indenizado]])-2,0)*($G216-$H216)</f>
        <v>0.44054337308024699</v>
      </c>
      <c r="AR216" s="22">
        <f>VLOOKUP($A216,tabCustoUnit[],COLUMN(CUSTO_GLOBAL[[#Headers],[Aviso Prévio Trabalhado - APT]])-2,0)*($G216-$H216)</f>
        <v>6.8719385000000015</v>
      </c>
      <c r="AS216" s="22">
        <f>VLOOKUP($A216,tabCustoUnit[],COLUMN(CUSTO_GLOBAL[[#Headers],[Incidência dos encargos do submódulo 2.1 sobre Aviso Prévio Trabalhado]])-2,0)*($G216-$H216)</f>
        <v>2.5975927530000007</v>
      </c>
      <c r="AT216" s="22">
        <f>VLOOKUP($A216,tabCustoUnit[],COLUMN(CUSTO_GLOBAL[[#Headers],[Multa Rescisória do FGTS]])-2,0)*($G216-$H216)</f>
        <v>60.03674524444444</v>
      </c>
      <c r="AU216" s="22">
        <f>VLOOKUP($A216,tabCustoUnit[],COLUMN(CUSTO_GLOBAL[[#Headers],[Indenização Adicional (Art. 9º da Lei nº 7.238/84)]])-2,0)*($G216-$H216)</f>
        <v>1.6361758333333334</v>
      </c>
      <c r="AV216" s="22">
        <f>VLOOKUP($A216,tabCustoUnit[],COLUMN(CUSTO_GLOBAL[[#Headers],[MÓDULO 3 – PROVISÃO PARA RESCISÃO]])-2,0)*($G216-$H216)</f>
        <v>86.451334545316371</v>
      </c>
      <c r="AW216" s="22">
        <f>VLOOKUP($A216,tabCustoUnit[],COLUMN(CUSTO_GLOBAL[[#Headers],[Ausência por Doença]])-2,0)*($G216-$H216)</f>
        <v>16.579915111111109</v>
      </c>
      <c r="AX216" s="22">
        <f>VLOOKUP($A216,tabCustoUnit[],COLUMN(CUSTO_GLOBAL[[#Headers],[Ausências Legais]])-2,0)*($G216-$H216)</f>
        <v>3.9813611944444443</v>
      </c>
      <c r="AY216" s="22">
        <f>VLOOKUP($A216,tabCustoUnit[],COLUMN(CUSTO_GLOBAL[[#Headers],[Licença Paternidade]])-2,0)*($G216-$H216)</f>
        <v>0.33541604583333334</v>
      </c>
      <c r="AZ216" s="22">
        <f>VLOOKUP($A216,tabCustoUnit[],COLUMN(CUSTO_GLOBAL[[#Headers],[Ausência por Acidente de Trabalho]])-2,0)*($G216-$H216)</f>
        <v>0.40904395833333335</v>
      </c>
      <c r="BA216" s="22">
        <f>VLOOKUP($A216,tabCustoUnit[],COLUMN(CUSTO_GLOBAL[[#Headers],[Férias, Adicional de Férias e 13º  com empregada em gozo de Licença Maternidade]])-2,0)*($G216-$H216)</f>
        <v>2.5451624074074073</v>
      </c>
      <c r="BB216" s="22">
        <f>VLOOKUP($A216,tabCustoUnit[],COLUMN(CUSTO_GLOBAL[[#Headers],[Incidência do Submódulo 2.1 sobre Ausências Legais]])-2,0)*($G216-$H216)</f>
        <v>9.0156397150750021</v>
      </c>
      <c r="BC216" s="22">
        <f>VLOOKUP($A216,tabCustoUnit[],COLUMN(CUSTO_GLOBAL[[#Headers],[Submódulo 4.1]])-2,0)*($G216-$H216)</f>
        <v>32.866538432204628</v>
      </c>
      <c r="BD216" s="22">
        <f>VLOOKUP($A216,tabCustoUnit[],COLUMN(CUSTO_GLOBAL[[#Headers],[Intervalo para Repouso ou Alimentação]])-2,0)*($G216-$H216)</f>
        <v>267.73786489195959</v>
      </c>
      <c r="BE216" s="22">
        <f>VLOOKUP($A216,tabCustoUnit[],COLUMN(CUSTO_GLOBAL[[#Headers],[Submódulo 4.2]])-2,0)*($G216-$H216)</f>
        <v>267.73786489195959</v>
      </c>
      <c r="BF216" s="22">
        <f>VLOOKUP($A216,tabCustoUnit[],COLUMN(CUSTO_GLOBAL[[#Headers],[Suspensão Temporária do Contrato de Trabalho]])-2,0)*($G216-$H216)</f>
        <v>0</v>
      </c>
      <c r="BG216" s="22">
        <f>VLOOKUP($A216,tabCustoUnit[],COLUMN(CUSTO_GLOBAL[[#Headers],[Submódulo 4.3]])-2,0)*($G216-$H216)</f>
        <v>0</v>
      </c>
      <c r="BH216" s="22">
        <f>VLOOKUP($A216,tabCustoUnit[],COLUMN(CUSTO_GLOBAL[[#Headers],[MÓDULO 4 – CUSTO DE REPOSIÇÃO DO PROFISSIONAL AUSENTE]])-2,0)*($G216-$H216)</f>
        <v>300.6044033241642</v>
      </c>
      <c r="BI216" s="22">
        <f>VLOOKUP($A216,tabCustoUnit[],COLUMN(CUSTO_GLOBAL[[#Headers],[Uniformes e EPIs]])-2,0)*($G216-$H216)</f>
        <v>56.642978962543395</v>
      </c>
      <c r="BJ216" s="22">
        <f>VLOOKUP($A216,tabCustoUnit[],COLUMN(CUSTO_GLOBAL[[#Headers],[Materiais de Consumo]])-2,0)*($G216-$H216)</f>
        <v>0</v>
      </c>
      <c r="BK216" s="22">
        <f>VLOOKUP($A216,tabCustoUnit[],COLUMN(CUSTO_GLOBAL[[#Headers],[Máquinas e Equipamentos (depreciação)]])-2,0)*($G216-$H216)</f>
        <v>0</v>
      </c>
      <c r="BL216" s="22">
        <f>VLOOKUP($A216,tabCustoUnit[],COLUMN(CUSTO_GLOBAL[[#Headers],[Produtos de Limpeza e Materiais de Higiene Pessoal]])-2,0)*($G216-$H216)</f>
        <v>0</v>
      </c>
      <c r="BM216" s="22">
        <f>VLOOKUP($A216,tabCustoUnit[],COLUMN(CUSTO_GLOBAL[[#Headers],[Outros (especificar)]])-2,0)*($G216-$H216)</f>
        <v>0</v>
      </c>
      <c r="BN216" s="22">
        <f>VLOOKUP($A216,tabCustoUnit[],COLUMN(CUSTO_GLOBAL[[#Headers],[MÓDULO 5 – INSUMOS DIVERSOS]])-2,0)*($G216-$H216)</f>
        <v>56.642978962543395</v>
      </c>
      <c r="BO216" s="22" t="e">
        <f ca="1">VLOOKUP($A216,tabCustoUnit[],COLUMN(CUSTO_GLOBAL[[#Headers],[TOTAL MÓDULOS 1+2+3+4+5]])-2,0)*($G216-$H216)</f>
        <v>#NAME?</v>
      </c>
      <c r="BP216" s="22" t="e">
        <f ca="1">VLOOKUP($A216,tabCustoUnit[],COLUMN(CUSTO_GLOBAL[[#Headers],[Custos Indiretos]])-2,0)*($G216-$H216)</f>
        <v>#NAME?</v>
      </c>
      <c r="BQ216" s="22" t="e">
        <f ca="1">VLOOKUP($A216,tabCustoUnit[],COLUMN(CUSTO_GLOBAL[[#Headers],[Lucro]])-2,0)*($G216-$H216)</f>
        <v>#NAME?</v>
      </c>
      <c r="BR216" s="26">
        <f>VLOOKUP($A216,tabCustoUnit[],COLUMN(CUSTO_GLOBAL[[#Headers],[COFINS]])-2,0)</f>
        <v>8.6609686609686695E-2</v>
      </c>
      <c r="BS216" s="26">
        <f>VLOOKUP($A216,tabCustoUnit[],COLUMN(CUSTO_GLOBAL[[#Headers],[PIS]])-2,0)</f>
        <v>1.880341880341882E-2</v>
      </c>
      <c r="BT216" s="28">
        <f>VLOOKUP($A216,tabCustoUnit[],COLUMN(CUSTO_GLOBAL[[#Headers],[ISS]])-2,0)</f>
        <v>0.03</v>
      </c>
      <c r="BU216" s="26">
        <f>VLOOKUP($A216,tabCustoUnit[],COLUMN(CUSTO_GLOBAL[[#Headers],[ISS (Conversão Alíquota s/ fatura)]])-2,0)</f>
        <v>3.4188034188034219E-2</v>
      </c>
      <c r="BV216" s="26">
        <f>VLOOKUP($A216,tabCustoUnit[],COLUMN(CUSTO_GLOBAL[[#Headers],[Resumo de Alíquotas (PIS+CONFINS+ISS)]])-2,0)</f>
        <v>0.1225</v>
      </c>
      <c r="BW216" s="138">
        <f>VLOOKUP($A216,tabCustoUnit[],COLUMN(CUSTO_GLOBAL[[#Headers],[PIS + COFINS + ISS (Total Conversão  Alíquota s/ Fatura)]])-2,0)</f>
        <v>0.13960113960113973</v>
      </c>
      <c r="BX216" s="22" t="e">
        <f ca="1">VLOOKUP($A216,tabCustoUnit[],COLUMN(CUSTO_GLOBAL[[#Headers],[Valor dos Tributos (ISS, PIS, CONFINS)]])-2,0)*($G216-$H216)</f>
        <v>#NAME?</v>
      </c>
      <c r="BY216" s="22" t="e">
        <f ca="1">VLOOKUP($A216,tabCustoUnit[],COLUMN(CUSTO_GLOBAL[[#Headers],[MÓDULO 6 – CUSTOS INDIRETOS, TRIBUTOS E LUCRO]])-2,0)*($G216-$H216)</f>
        <v>#NAME?</v>
      </c>
      <c r="BZ216" s="22" t="e">
        <f ca="1">VLOOKUP($A216,tabCustoUnit[],COLUMN(CUSTO_GLOBAL[[#Headers],[CUSTO TOTAL MENSAL]])-2,0)*($G216-$H216)</f>
        <v>#NAME?</v>
      </c>
      <c r="CA216" s="22" t="e">
        <f ca="1">CUSTO_GLOBAL[[#This Row],[CUSTO TOTAL MENSAL]]*12</f>
        <v>#NAME?</v>
      </c>
      <c r="CB216" s="24">
        <f>VLOOKUP($A216,tabCustoUnit[],COLUMN(CUSTO_GLOBAL[[#Headers],[ANO DA CCT]])-2,0)</f>
        <v>45658</v>
      </c>
      <c r="CC216" s="25" t="str">
        <f>VLOOKUP($A216,tabCustoUnit[],COLUMN(CUSTO_GLOBAL[[#Headers],[Nº DE PEDIDO DA CCT]])-2,0)</f>
        <v>-</v>
      </c>
      <c r="CD216" s="25" t="str">
        <f>VLOOKUP($A216,tabCustoUnit[],COLUMN(CUSTO_GLOBAL[[#Headers],[TERMO ADITIVO ALTERAÇÃO DA CCT]])-2,0)</f>
        <v>-</v>
      </c>
    </row>
    <row r="217" spans="1:82">
      <c r="A217" s="20" t="s">
        <v>1649</v>
      </c>
      <c r="B217" t="s">
        <v>1168</v>
      </c>
      <c r="C217" t="s">
        <v>314</v>
      </c>
      <c r="D217" t="s">
        <v>1048</v>
      </c>
      <c r="E217" s="20" t="s">
        <v>1090</v>
      </c>
      <c r="F217" s="20" t="s">
        <v>120</v>
      </c>
      <c r="G217" s="20">
        <v>1</v>
      </c>
      <c r="H217" s="20">
        <v>0</v>
      </c>
      <c r="I217" s="21">
        <f>VLOOKUP($A217,tabCustoUnit[],COLUMN(CUSTO_GLOBAL[[#Headers],[Salário Base]])-2,0)*($G217-$H217)</f>
        <v>1963.4110000000001</v>
      </c>
      <c r="J217" s="21">
        <f>VLOOKUP($A217,tabCustoUnit[],COLUMN(CUSTO_GLOBAL[[#Headers],[Adicional Periculosidade]])-2,0)*($G217-$H217)</f>
        <v>0</v>
      </c>
      <c r="K217" s="21">
        <f>VLOOKUP($A217,tabCustoUnit[],COLUMN(CUSTO_GLOBAL[[#Headers],[Adicional Insalubridade]])-2,0)*($G217-$H217)</f>
        <v>0</v>
      </c>
      <c r="L217" s="21">
        <f>VLOOKUP($A217,tabCustoUnit[],COLUMN(CUSTO_GLOBAL[[#Headers],[Adicional Noturno]])-2,0)*($G217-$H217)</f>
        <v>0</v>
      </c>
      <c r="M217" s="21">
        <f>VLOOKUP($A217,tabCustoUnit[],COLUMN(CUSTO_GLOBAL[[#Headers],[Adicional Motorista II (Gratificação)]])-2,0)*($G217-$H217)</f>
        <v>0</v>
      </c>
      <c r="N217" s="21">
        <f>VLOOKUP($A217,tabCustoUnit[],COLUMN(CUSTO_GLOBAL[[#Headers],[Adicional de Sobreaviso]])-2,0)*($G217-$H217)</f>
        <v>0</v>
      </c>
      <c r="O217" s="21">
        <f>VLOOKUP($A217,tabCustoUnit[],COLUMN(CUSTO_GLOBAL[[#Headers],[Horas Extras TI]])-2,0)*($G217-$H217)</f>
        <v>0</v>
      </c>
      <c r="P217" s="21">
        <f>VLOOKUP($A217,tabCustoUnit[],COLUMN(CUSTO_GLOBAL[[#Headers],[Adicional de Acúmulo de função]])-2,0)*($G217-$H217)</f>
        <v>0</v>
      </c>
      <c r="Q217" s="21">
        <f>VLOOKUP($A217,tabCustoUnit[],COLUMN(CUSTO_GLOBAL[[#Headers],[MODULO 1 - REMUNERAÇÃO ]])-2,0)*($G217-$H217)</f>
        <v>1963.4110000000001</v>
      </c>
      <c r="R217" s="21">
        <f>VLOOKUP($A217,tabCustoUnit[],COLUMN(CUSTO_GLOBAL[[#Headers],[INSS]])-2,0)*($G217-$H217)</f>
        <v>392.68220000000002</v>
      </c>
      <c r="S217" s="21">
        <f>VLOOKUP($A217,tabCustoUnit[],COLUMN(CUSTO_GLOBAL[[#Headers],[SESI OU SESC]])-2,0)*($G217-$H217)</f>
        <v>29.451165</v>
      </c>
      <c r="T217" s="21">
        <f>VLOOKUP($A217,tabCustoUnit[],COLUMN(CUSTO_GLOBAL[[#Headers],[SENAI OU SENAC]])-2,0)*($G217-$H217)</f>
        <v>19.63411</v>
      </c>
      <c r="U217" s="21">
        <f>VLOOKUP($A217,tabCustoUnit[],COLUMN(CUSTO_GLOBAL[[#Headers],[INCRA]])-2,0)*($G217-$H217)</f>
        <v>3.926822</v>
      </c>
      <c r="V217" s="21">
        <f>VLOOKUP($A217,tabCustoUnit[],COLUMN(CUSTO_GLOBAL[[#Headers],[Salário Educação]])-2,0)*($G217-$H217)</f>
        <v>49.085275000000003</v>
      </c>
      <c r="W217" s="21">
        <f>VLOOKUP($A217,tabCustoUnit[],COLUMN(CUSTO_GLOBAL[[#Headers],[FGTS]])-2,0)*($G217-$H217)</f>
        <v>157.07288</v>
      </c>
      <c r="X217" s="21">
        <f>VLOOKUP($A217,tabCustoUnit[],COLUMN(CUSTO_GLOBAL[[#Headers],[RAT Ajustado]])-2,0)*($G217-$H217)</f>
        <v>78.536439999999999</v>
      </c>
      <c r="Y217" s="21">
        <f>VLOOKUP($A217,tabCustoUnit[],COLUMN(CUSTO_GLOBAL[[#Headers],[SEBRAE]])-2,0)*($G217-$H217)</f>
        <v>11.780466000000001</v>
      </c>
      <c r="Z217" s="21">
        <f>VLOOKUP($A217,tabCustoUnit[],COLUMN(CUSTO_GLOBAL[[#Headers],[Submódulo 2.1]])-2,0)*($G217-$H217)</f>
        <v>742.1693580000001</v>
      </c>
      <c r="AA217" s="21">
        <f>VLOOKUP($A217,tabCustoUnit[],COLUMN(CUSTO_GLOBAL[[#Headers],[13º salário (titular)]])-2,0)*($G217-$H217)</f>
        <v>163.61758333333333</v>
      </c>
      <c r="AB217" s="21">
        <f>VLOOKUP($A217,tabCustoUnit[],COLUMN(CUSTO_GLOBAL[[#Headers],[Férias e Adicional de Férias (titular)]])-2,0)*($G217-$H217)</f>
        <v>218.15677777777776</v>
      </c>
      <c r="AC217" s="21">
        <f>VLOOKUP($A217,tabCustoUnit[],COLUMN(CUSTO_GLOBAL[[#Headers],[Incidência do Submódulo 2.1 sobre 13º Salário, Férias e Adicional de Férias]])-2,0)*($G217-$H217)</f>
        <v>144.3107085</v>
      </c>
      <c r="AD217" s="21">
        <f>VLOOKUP($A217,tabCustoUnit[],COLUMN(CUSTO_GLOBAL[[#Headers],[Submódulo 2.2]])-2,0)*($G217-$H217)</f>
        <v>526.08506961111107</v>
      </c>
      <c r="AE217" s="22" t="e">
        <f ca="1">VLOOKUP($A217,tabCustoUnit[],COLUMN(CUSTO_GLOBAL[[#Headers],[Vale - Transporte (Descontada parcela do empregado)]])-2,0)*($G217-$H217)</f>
        <v>#NAME?</v>
      </c>
      <c r="AF217" s="22">
        <f>VLOOKUP($A217,tabCustoUnit[],COLUMN(CUSTO_GLOBAL[[#Headers],[Vale - Alimentação (Descontada parcela do empregado)]])-2,0)*($G217-$H217)</f>
        <v>582</v>
      </c>
      <c r="AG217" s="22">
        <f>VLOOKUP($A217,tabCustoUnit[],COLUMN(CUSTO_GLOBAL[[#Headers],[Cesta Básica]])-2,0)*($G217-$H217)</f>
        <v>0</v>
      </c>
      <c r="AH217" s="22">
        <f>VLOOKUP($A217,tabCustoUnit[],COLUMN(CUSTO_GLOBAL[[#Headers],[PAF]])-2,0)*($G217-$H217)</f>
        <v>0</v>
      </c>
      <c r="AI217" s="22">
        <f>VLOOKUP($A217,tabCustoUnit[],COLUMN(CUSTO_GLOBAL[[#Headers],[PQM]])-2,0)*($G217-$H217)</f>
        <v>0</v>
      </c>
      <c r="AJ217" s="22">
        <v>0</v>
      </c>
      <c r="AK217" s="22">
        <f>VLOOKUP($A217,tabCustoUnit[],COLUMN(CUSTO_GLOBAL[[#Headers],[Seguro de Vida]])-2,0)*($G217-$H217)</f>
        <v>3.36</v>
      </c>
      <c r="AL217" s="22">
        <f>VLOOKUP($A217,tabCustoUnit[],COLUMN(CUSTO_GLOBAL[[#Headers],[Despesas de Viagem]])-2,0)*($G217-$H217)</f>
        <v>0</v>
      </c>
      <c r="AM217" s="22" t="e">
        <f ca="1">VLOOKUP($A217,tabCustoUnit[],COLUMN(CUSTO_GLOBAL[[#Headers],[Submódulo 2.3]])-2,0)*($G217-$H217)</f>
        <v>#NAME?</v>
      </c>
      <c r="AN217" s="22" t="e">
        <f ca="1">VLOOKUP($A217,tabCustoUnit[],COLUMN(CUSTO_GLOBAL[[#Headers],[MÓDULO 2 - Total Encargos e Benefícios mensais e diários]])-2,0)*($G217-$H217)</f>
        <v>#NAME?</v>
      </c>
      <c r="AO217" s="22">
        <f>VLOOKUP($A217,tabCustoUnit[],COLUMN(CUSTO_GLOBAL[[#Headers],[Aviso Prévio Indenizado (API) e Reflexo do Aviso Prévio Indenizado]])-2,0)*($G217-$H217)</f>
        <v>13.766980408757716</v>
      </c>
      <c r="AP217" s="22">
        <f>VLOOKUP($A217,tabCustoUnit[],COLUMN(CUSTO_GLOBAL[[#Headers],[Incidência do FGTS sobre API e Reflexo do API]])-2,0)*($G217-$H217)</f>
        <v>1.1013584327006174</v>
      </c>
      <c r="AQ217" s="22">
        <f>VLOOKUP($A217,tabCustoUnit[],COLUMN(CUSTO_GLOBAL[[#Headers],[Multa Rescisória do FGTS sobre o Aviso Prévio Indenizado]])-2,0)*($G217-$H217)</f>
        <v>0.44054337308024699</v>
      </c>
      <c r="AR217" s="22">
        <f>VLOOKUP($A217,tabCustoUnit[],COLUMN(CUSTO_GLOBAL[[#Headers],[Aviso Prévio Trabalhado - APT]])-2,0)*($G217-$H217)</f>
        <v>6.8719385000000015</v>
      </c>
      <c r="AS217" s="22">
        <f>VLOOKUP($A217,tabCustoUnit[],COLUMN(CUSTO_GLOBAL[[#Headers],[Incidência dos encargos do submódulo 2.1 sobre Aviso Prévio Trabalhado]])-2,0)*($G217-$H217)</f>
        <v>2.5975927530000007</v>
      </c>
      <c r="AT217" s="22">
        <f>VLOOKUP($A217,tabCustoUnit[],COLUMN(CUSTO_GLOBAL[[#Headers],[Multa Rescisória do FGTS]])-2,0)*($G217-$H217)</f>
        <v>60.03674524444444</v>
      </c>
      <c r="AU217" s="22">
        <f>VLOOKUP($A217,tabCustoUnit[],COLUMN(CUSTO_GLOBAL[[#Headers],[Indenização Adicional (Art. 9º da Lei nº 7.238/84)]])-2,0)*($G217-$H217)</f>
        <v>1.6361758333333334</v>
      </c>
      <c r="AV217" s="22">
        <f>VLOOKUP($A217,tabCustoUnit[],COLUMN(CUSTO_GLOBAL[[#Headers],[MÓDULO 3 – PROVISÃO PARA RESCISÃO]])-2,0)*($G217-$H217)</f>
        <v>86.451334545316371</v>
      </c>
      <c r="AW217" s="22">
        <f>VLOOKUP($A217,tabCustoUnit[],COLUMN(CUSTO_GLOBAL[[#Headers],[Ausência por Doença]])-2,0)*($G217-$H217)</f>
        <v>16.579915111111109</v>
      </c>
      <c r="AX217" s="22">
        <f>VLOOKUP($A217,tabCustoUnit[],COLUMN(CUSTO_GLOBAL[[#Headers],[Ausências Legais]])-2,0)*($G217-$H217)</f>
        <v>3.9813611944444443</v>
      </c>
      <c r="AY217" s="22">
        <f>VLOOKUP($A217,tabCustoUnit[],COLUMN(CUSTO_GLOBAL[[#Headers],[Licença Paternidade]])-2,0)*($G217-$H217)</f>
        <v>0.33541604583333334</v>
      </c>
      <c r="AZ217" s="22">
        <f>VLOOKUP($A217,tabCustoUnit[],COLUMN(CUSTO_GLOBAL[[#Headers],[Ausência por Acidente de Trabalho]])-2,0)*($G217-$H217)</f>
        <v>0.40904395833333335</v>
      </c>
      <c r="BA217" s="22">
        <f>VLOOKUP($A217,tabCustoUnit[],COLUMN(CUSTO_GLOBAL[[#Headers],[Férias, Adicional de Férias e 13º  com empregada em gozo de Licença Maternidade]])-2,0)*($G217-$H217)</f>
        <v>2.5451624074074073</v>
      </c>
      <c r="BB217" s="22">
        <f>VLOOKUP($A217,tabCustoUnit[],COLUMN(CUSTO_GLOBAL[[#Headers],[Incidência do Submódulo 2.1 sobre Ausências Legais]])-2,0)*($G217-$H217)</f>
        <v>9.0156397150750021</v>
      </c>
      <c r="BC217" s="22">
        <f>VLOOKUP($A217,tabCustoUnit[],COLUMN(CUSTO_GLOBAL[[#Headers],[Submódulo 4.1]])-2,0)*($G217-$H217)</f>
        <v>32.866538432204628</v>
      </c>
      <c r="BD217" s="22">
        <f>VLOOKUP($A217,tabCustoUnit[],COLUMN(CUSTO_GLOBAL[[#Headers],[Intervalo para Repouso ou Alimentação]])-2,0)*($G217-$H217)</f>
        <v>267.73786489195959</v>
      </c>
      <c r="BE217" s="22">
        <f>VLOOKUP($A217,tabCustoUnit[],COLUMN(CUSTO_GLOBAL[[#Headers],[Submódulo 4.2]])-2,0)*($G217-$H217)</f>
        <v>267.73786489195959</v>
      </c>
      <c r="BF217" s="22">
        <f>VLOOKUP($A217,tabCustoUnit[],COLUMN(CUSTO_GLOBAL[[#Headers],[Suspensão Temporária do Contrato de Trabalho]])-2,0)*($G217-$H217)</f>
        <v>0</v>
      </c>
      <c r="BG217" s="22">
        <f>VLOOKUP($A217,tabCustoUnit[],COLUMN(CUSTO_GLOBAL[[#Headers],[Submódulo 4.3]])-2,0)*($G217-$H217)</f>
        <v>0</v>
      </c>
      <c r="BH217" s="22">
        <f>VLOOKUP($A217,tabCustoUnit[],COLUMN(CUSTO_GLOBAL[[#Headers],[MÓDULO 4 – CUSTO DE REPOSIÇÃO DO PROFISSIONAL AUSENTE]])-2,0)*($G217-$H217)</f>
        <v>300.6044033241642</v>
      </c>
      <c r="BI217" s="22">
        <f>VLOOKUP($A217,tabCustoUnit[],COLUMN(CUSTO_GLOBAL[[#Headers],[Uniformes e EPIs]])-2,0)*($G217-$H217)</f>
        <v>56.642978962543395</v>
      </c>
      <c r="BJ217" s="22">
        <f>VLOOKUP($A217,tabCustoUnit[],COLUMN(CUSTO_GLOBAL[[#Headers],[Materiais de Consumo]])-2,0)*($G217-$H217)</f>
        <v>0</v>
      </c>
      <c r="BK217" s="22">
        <f>VLOOKUP($A217,tabCustoUnit[],COLUMN(CUSTO_GLOBAL[[#Headers],[Máquinas e Equipamentos (depreciação)]])-2,0)*($G217-$H217)</f>
        <v>0</v>
      </c>
      <c r="BL217" s="22">
        <f>VLOOKUP($A217,tabCustoUnit[],COLUMN(CUSTO_GLOBAL[[#Headers],[Produtos de Limpeza e Materiais de Higiene Pessoal]])-2,0)*($G217-$H217)</f>
        <v>0</v>
      </c>
      <c r="BM217" s="22">
        <f>VLOOKUP($A217,tabCustoUnit[],COLUMN(CUSTO_GLOBAL[[#Headers],[Outros (especificar)]])-2,0)*($G217-$H217)</f>
        <v>0</v>
      </c>
      <c r="BN217" s="22">
        <f>VLOOKUP($A217,tabCustoUnit[],COLUMN(CUSTO_GLOBAL[[#Headers],[MÓDULO 5 – INSUMOS DIVERSOS]])-2,0)*($G217-$H217)</f>
        <v>56.642978962543395</v>
      </c>
      <c r="BO217" s="22" t="e">
        <f ca="1">VLOOKUP($A217,tabCustoUnit[],COLUMN(CUSTO_GLOBAL[[#Headers],[TOTAL MÓDULOS 1+2+3+4+5]])-2,0)*($G217-$H217)</f>
        <v>#NAME?</v>
      </c>
      <c r="BP217" s="22" t="e">
        <f ca="1">VLOOKUP($A217,tabCustoUnit[],COLUMN(CUSTO_GLOBAL[[#Headers],[Custos Indiretos]])-2,0)*($G217-$H217)</f>
        <v>#NAME?</v>
      </c>
      <c r="BQ217" s="22" t="e">
        <f ca="1">VLOOKUP($A217,tabCustoUnit[],COLUMN(CUSTO_GLOBAL[[#Headers],[Lucro]])-2,0)*($G217-$H217)</f>
        <v>#NAME?</v>
      </c>
      <c r="BR217" s="26">
        <f>VLOOKUP($A217,tabCustoUnit[],COLUMN(CUSTO_GLOBAL[[#Headers],[COFINS]])-2,0)</f>
        <v>8.6609686609686695E-2</v>
      </c>
      <c r="BS217" s="26">
        <f>VLOOKUP($A217,tabCustoUnit[],COLUMN(CUSTO_GLOBAL[[#Headers],[PIS]])-2,0)</f>
        <v>1.880341880341882E-2</v>
      </c>
      <c r="BT217" s="28">
        <f>VLOOKUP($A217,tabCustoUnit[],COLUMN(CUSTO_GLOBAL[[#Headers],[ISS]])-2,0)</f>
        <v>0.03</v>
      </c>
      <c r="BU217" s="26">
        <f>VLOOKUP($A217,tabCustoUnit[],COLUMN(CUSTO_GLOBAL[[#Headers],[ISS (Conversão Alíquota s/ fatura)]])-2,0)</f>
        <v>3.4188034188034219E-2</v>
      </c>
      <c r="BV217" s="26">
        <f>VLOOKUP($A217,tabCustoUnit[],COLUMN(CUSTO_GLOBAL[[#Headers],[Resumo de Alíquotas (PIS+CONFINS+ISS)]])-2,0)</f>
        <v>0.1225</v>
      </c>
      <c r="BW217" s="138">
        <f>VLOOKUP($A217,tabCustoUnit[],COLUMN(CUSTO_GLOBAL[[#Headers],[PIS + COFINS + ISS (Total Conversão  Alíquota s/ Fatura)]])-2,0)</f>
        <v>0.13960113960113973</v>
      </c>
      <c r="BX217" s="22" t="e">
        <f ca="1">VLOOKUP($A217,tabCustoUnit[],COLUMN(CUSTO_GLOBAL[[#Headers],[Valor dos Tributos (ISS, PIS, CONFINS)]])-2,0)*($G217-$H217)</f>
        <v>#NAME?</v>
      </c>
      <c r="BY217" s="22" t="e">
        <f ca="1">VLOOKUP($A217,tabCustoUnit[],COLUMN(CUSTO_GLOBAL[[#Headers],[MÓDULO 6 – CUSTOS INDIRETOS, TRIBUTOS E LUCRO]])-2,0)*($G217-$H217)</f>
        <v>#NAME?</v>
      </c>
      <c r="BZ217" s="22" t="e">
        <f ca="1">VLOOKUP($A217,tabCustoUnit[],COLUMN(CUSTO_GLOBAL[[#Headers],[CUSTO TOTAL MENSAL]])-2,0)*($G217-$H217)</f>
        <v>#NAME?</v>
      </c>
      <c r="CA217" s="22" t="e">
        <f ca="1">CUSTO_GLOBAL[[#This Row],[CUSTO TOTAL MENSAL]]*12</f>
        <v>#NAME?</v>
      </c>
      <c r="CB217" s="24">
        <f>VLOOKUP($A217,tabCustoUnit[],COLUMN(CUSTO_GLOBAL[[#Headers],[ANO DA CCT]])-2,0)</f>
        <v>45658</v>
      </c>
      <c r="CC217" s="25" t="str">
        <f>VLOOKUP($A217,tabCustoUnit[],COLUMN(CUSTO_GLOBAL[[#Headers],[Nº DE PEDIDO DA CCT]])-2,0)</f>
        <v>-</v>
      </c>
      <c r="CD217" s="25" t="str">
        <f>VLOOKUP($A217,tabCustoUnit[],COLUMN(CUSTO_GLOBAL[[#Headers],[TERMO ADITIVO ALTERAÇÃO DA CCT]])-2,0)</f>
        <v>-</v>
      </c>
    </row>
    <row r="218" spans="1:82">
      <c r="A218" s="20" t="s">
        <v>1801</v>
      </c>
      <c r="B218" t="s">
        <v>939</v>
      </c>
      <c r="C218" t="s">
        <v>165</v>
      </c>
      <c r="D218" t="s">
        <v>939</v>
      </c>
      <c r="E218" s="20" t="s">
        <v>1090</v>
      </c>
      <c r="F218" s="20" t="s">
        <v>120</v>
      </c>
      <c r="G218" s="20">
        <v>1</v>
      </c>
      <c r="H218" s="20">
        <v>0</v>
      </c>
      <c r="I218" s="21">
        <f>VLOOKUP($A218,tabCustoUnit[],COLUMN(CUSTO_GLOBAL[[#Headers],[Salário Base]])-2,0)*($G218-$H218)</f>
        <v>2443.5248999999999</v>
      </c>
      <c r="J218" s="21">
        <f>VLOOKUP($A218,tabCustoUnit[],COLUMN(CUSTO_GLOBAL[[#Headers],[Adicional Periculosidade]])-2,0)*($G218-$H218)</f>
        <v>0</v>
      </c>
      <c r="K218" s="21">
        <f>VLOOKUP($A218,tabCustoUnit[],COLUMN(CUSTO_GLOBAL[[#Headers],[Adicional Insalubridade]])-2,0)*($G218-$H218)</f>
        <v>0</v>
      </c>
      <c r="L218" s="21">
        <f>VLOOKUP($A218,tabCustoUnit[],COLUMN(CUSTO_GLOBAL[[#Headers],[Adicional Noturno]])-2,0)*($G218-$H218)</f>
        <v>0</v>
      </c>
      <c r="M218" s="21">
        <f>VLOOKUP($A218,tabCustoUnit[],COLUMN(CUSTO_GLOBAL[[#Headers],[Adicional Motorista II (Gratificação)]])-2,0)*($G218-$H218)</f>
        <v>0</v>
      </c>
      <c r="N218" s="21">
        <f>VLOOKUP($A218,tabCustoUnit[],COLUMN(CUSTO_GLOBAL[[#Headers],[Adicional de Sobreaviso]])-2,0)*($G218-$H218)</f>
        <v>0</v>
      </c>
      <c r="O218" s="21">
        <f>VLOOKUP($A218,tabCustoUnit[],COLUMN(CUSTO_GLOBAL[[#Headers],[Horas Extras TI]])-2,0)*($G218-$H218)</f>
        <v>0</v>
      </c>
      <c r="P218" s="21">
        <f>VLOOKUP($A218,tabCustoUnit[],COLUMN(CUSTO_GLOBAL[[#Headers],[Adicional de Acúmulo de função]])-2,0)*($G218-$H218)</f>
        <v>0</v>
      </c>
      <c r="Q218" s="21">
        <f>VLOOKUP($A218,tabCustoUnit[],COLUMN(CUSTO_GLOBAL[[#Headers],[MODULO 1 - REMUNERAÇÃO ]])-2,0)*($G218-$H218)</f>
        <v>2443.5248999999999</v>
      </c>
      <c r="R218" s="21">
        <f>VLOOKUP($A218,tabCustoUnit[],COLUMN(CUSTO_GLOBAL[[#Headers],[INSS]])-2,0)*($G218-$H218)</f>
        <v>488.70497999999998</v>
      </c>
      <c r="S218" s="21">
        <f>VLOOKUP($A218,tabCustoUnit[],COLUMN(CUSTO_GLOBAL[[#Headers],[SESI OU SESC]])-2,0)*($G218-$H218)</f>
        <v>36.652873499999998</v>
      </c>
      <c r="T218" s="21">
        <f>VLOOKUP($A218,tabCustoUnit[],COLUMN(CUSTO_GLOBAL[[#Headers],[SENAI OU SENAC]])-2,0)*($G218-$H218)</f>
        <v>24.435248999999999</v>
      </c>
      <c r="U218" s="21">
        <f>VLOOKUP($A218,tabCustoUnit[],COLUMN(CUSTO_GLOBAL[[#Headers],[INCRA]])-2,0)*($G218-$H218)</f>
        <v>4.8870497999999998</v>
      </c>
      <c r="V218" s="21">
        <f>VLOOKUP($A218,tabCustoUnit[],COLUMN(CUSTO_GLOBAL[[#Headers],[Salário Educação]])-2,0)*($G218-$H218)</f>
        <v>61.088122499999997</v>
      </c>
      <c r="W218" s="21">
        <f>VLOOKUP($A218,tabCustoUnit[],COLUMN(CUSTO_GLOBAL[[#Headers],[FGTS]])-2,0)*($G218-$H218)</f>
        <v>195.48199199999999</v>
      </c>
      <c r="X218" s="21">
        <f>VLOOKUP($A218,tabCustoUnit[],COLUMN(CUSTO_GLOBAL[[#Headers],[RAT Ajustado]])-2,0)*($G218-$H218)</f>
        <v>97.740995999999996</v>
      </c>
      <c r="Y218" s="21">
        <f>VLOOKUP($A218,tabCustoUnit[],COLUMN(CUSTO_GLOBAL[[#Headers],[SEBRAE]])-2,0)*($G218-$H218)</f>
        <v>14.661149399999999</v>
      </c>
      <c r="Z218" s="21">
        <f>VLOOKUP($A218,tabCustoUnit[],COLUMN(CUSTO_GLOBAL[[#Headers],[Submódulo 2.1]])-2,0)*($G218-$H218)</f>
        <v>923.65241219999996</v>
      </c>
      <c r="AA218" s="21">
        <f>VLOOKUP($A218,tabCustoUnit[],COLUMN(CUSTO_GLOBAL[[#Headers],[13º salário (titular)]])-2,0)*($G218-$H218)</f>
        <v>203.62707499999999</v>
      </c>
      <c r="AB218" s="21">
        <f>VLOOKUP($A218,tabCustoUnit[],COLUMN(CUSTO_GLOBAL[[#Headers],[Férias e Adicional de Férias (titular)]])-2,0)*($G218-$H218)</f>
        <v>271.50276666666662</v>
      </c>
      <c r="AC218" s="21">
        <f>VLOOKUP($A218,tabCustoUnit[],COLUMN(CUSTO_GLOBAL[[#Headers],[Incidência do Submódulo 2.1 sobre 13º Salário, Férias e Adicional de Férias]])-2,0)*($G218-$H218)</f>
        <v>179.59908014999999</v>
      </c>
      <c r="AD218" s="21">
        <f>VLOOKUP($A218,tabCustoUnit[],COLUMN(CUSTO_GLOBAL[[#Headers],[Submódulo 2.2]])-2,0)*($G218-$H218)</f>
        <v>654.72892181666657</v>
      </c>
      <c r="AE218" s="22" t="e">
        <f ca="1">VLOOKUP($A218,tabCustoUnit[],COLUMN(CUSTO_GLOBAL[[#Headers],[Vale - Transporte (Descontada parcela do empregado)]])-2,0)*($G218-$H218)</f>
        <v>#NAME?</v>
      </c>
      <c r="AF218" s="22">
        <f>VLOOKUP($A218,tabCustoUnit[],COLUMN(CUSTO_GLOBAL[[#Headers],[Vale - Alimentação (Descontada parcela do empregado)]])-2,0)*($G218-$H218)</f>
        <v>582</v>
      </c>
      <c r="AG218" s="22">
        <f>VLOOKUP($A218,tabCustoUnit[],COLUMN(CUSTO_GLOBAL[[#Headers],[Cesta Básica]])-2,0)*($G218-$H218)</f>
        <v>0</v>
      </c>
      <c r="AH218" s="22">
        <f>VLOOKUP($A218,tabCustoUnit[],COLUMN(CUSTO_GLOBAL[[#Headers],[PAF]])-2,0)*($G218-$H218)</f>
        <v>51.86</v>
      </c>
      <c r="AI218" s="22">
        <f>VLOOKUP($A218,tabCustoUnit[],COLUMN(CUSTO_GLOBAL[[#Headers],[PQM]])-2,0)*($G218-$H218)</f>
        <v>0</v>
      </c>
      <c r="AJ218" s="22">
        <v>0</v>
      </c>
      <c r="AK218" s="22">
        <f>VLOOKUP($A218,tabCustoUnit[],COLUMN(CUSTO_GLOBAL[[#Headers],[Seguro de Vida]])-2,0)*($G218-$H218)</f>
        <v>3.36</v>
      </c>
      <c r="AL218" s="22">
        <f>VLOOKUP($A218,tabCustoUnit[],COLUMN(CUSTO_GLOBAL[[#Headers],[Despesas de Viagem]])-2,0)*($G218-$H218)</f>
        <v>0</v>
      </c>
      <c r="AM218" s="22" t="e">
        <f ca="1">VLOOKUP($A218,tabCustoUnit[],COLUMN(CUSTO_GLOBAL[[#Headers],[Submódulo 2.3]])-2,0)*($G218-$H218)</f>
        <v>#NAME?</v>
      </c>
      <c r="AN218" s="22" t="e">
        <f ca="1">VLOOKUP($A218,tabCustoUnit[],COLUMN(CUSTO_GLOBAL[[#Headers],[MÓDULO 2 - Total Encargos e Benefícios mensais e diários]])-2,0)*($G218-$H218)</f>
        <v>#NAME?</v>
      </c>
      <c r="AO218" s="22">
        <f>VLOOKUP($A218,tabCustoUnit[],COLUMN(CUSTO_GLOBAL[[#Headers],[Aviso Prévio Indenizado (API) e Reflexo do Aviso Prévio Indenizado]])-2,0)*($G218-$H218)</f>
        <v>17.133427197164352</v>
      </c>
      <c r="AP218" s="22">
        <f>VLOOKUP($A218,tabCustoUnit[],COLUMN(CUSTO_GLOBAL[[#Headers],[Incidência do FGTS sobre API e Reflexo do API]])-2,0)*($G218-$H218)</f>
        <v>1.3706741757731482</v>
      </c>
      <c r="AQ218" s="22">
        <f>VLOOKUP($A218,tabCustoUnit[],COLUMN(CUSTO_GLOBAL[[#Headers],[Multa Rescisória do FGTS sobre o Aviso Prévio Indenizado]])-2,0)*($G218-$H218)</f>
        <v>0.54826967030925933</v>
      </c>
      <c r="AR218" s="22">
        <f>VLOOKUP($A218,tabCustoUnit[],COLUMN(CUSTO_GLOBAL[[#Headers],[Aviso Prévio Trabalhado - APT]])-2,0)*($G218-$H218)</f>
        <v>8.5523371500000014</v>
      </c>
      <c r="AS218" s="22">
        <f>VLOOKUP($A218,tabCustoUnit[],COLUMN(CUSTO_GLOBAL[[#Headers],[Incidência dos encargos do submódulo 2.1 sobre Aviso Prévio Trabalhado]])-2,0)*($G218-$H218)</f>
        <v>3.2327834427000006</v>
      </c>
      <c r="AT218" s="22">
        <f>VLOOKUP($A218,tabCustoUnit[],COLUMN(CUSTO_GLOBAL[[#Headers],[Multa Rescisória do FGTS]])-2,0)*($G218-$H218)</f>
        <v>74.717561386666645</v>
      </c>
      <c r="AU218" s="22">
        <f>VLOOKUP($A218,tabCustoUnit[],COLUMN(CUSTO_GLOBAL[[#Headers],[Indenização Adicional (Art. 9º da Lei nº 7.238/84)]])-2,0)*($G218-$H218)</f>
        <v>2.0362707499999999</v>
      </c>
      <c r="AV218" s="22">
        <f>VLOOKUP($A218,tabCustoUnit[],COLUMN(CUSTO_GLOBAL[[#Headers],[MÓDULO 3 – PROVISÃO PARA RESCISÃO]])-2,0)*($G218-$H218)</f>
        <v>107.59132377261341</v>
      </c>
      <c r="AW218" s="22">
        <f>VLOOKUP($A218,tabCustoUnit[],COLUMN(CUSTO_GLOBAL[[#Headers],[Ausência por Doença]])-2,0)*($G218-$H218)</f>
        <v>20.634210266666663</v>
      </c>
      <c r="AX218" s="22">
        <f>VLOOKUP($A218,tabCustoUnit[],COLUMN(CUSTO_GLOBAL[[#Headers],[Ausências Legais]])-2,0)*($G218-$H218)</f>
        <v>4.9549254916666658</v>
      </c>
      <c r="AY218" s="22">
        <f>VLOOKUP($A218,tabCustoUnit[],COLUMN(CUSTO_GLOBAL[[#Headers],[Licença Paternidade]])-2,0)*($G218-$H218)</f>
        <v>0.41743550374999999</v>
      </c>
      <c r="AZ218" s="22">
        <f>VLOOKUP($A218,tabCustoUnit[],COLUMN(CUSTO_GLOBAL[[#Headers],[Ausência por Acidente de Trabalho]])-2,0)*($G218-$H218)</f>
        <v>0.50906768749999998</v>
      </c>
      <c r="BA218" s="22">
        <f>VLOOKUP($A218,tabCustoUnit[],COLUMN(CUSTO_GLOBAL[[#Headers],[Férias, Adicional de Férias e 13º  com empregada em gozo de Licença Maternidade]])-2,0)*($G218-$H218)</f>
        <v>3.1675322777777777</v>
      </c>
      <c r="BB218" s="22">
        <f>VLOOKUP($A218,tabCustoUnit[],COLUMN(CUSTO_GLOBAL[[#Headers],[Incidência do Submódulo 2.1 sobre Ausências Legais]])-2,0)*($G218-$H218)</f>
        <v>11.220238723942501</v>
      </c>
      <c r="BC218" s="22">
        <f>VLOOKUP($A218,tabCustoUnit[],COLUMN(CUSTO_GLOBAL[[#Headers],[Submódulo 4.1]])-2,0)*($G218-$H218)</f>
        <v>40.903409951303601</v>
      </c>
      <c r="BD218" s="22">
        <f>VLOOKUP($A218,tabCustoUnit[],COLUMN(CUSTO_GLOBAL[[#Headers],[Intervalo para Repouso ou Alimentação]])-2,0)*($G218-$H218)</f>
        <v>0</v>
      </c>
      <c r="BE218" s="22">
        <f>VLOOKUP($A218,tabCustoUnit[],COLUMN(CUSTO_GLOBAL[[#Headers],[Submódulo 4.2]])-2,0)*($G218-$H218)</f>
        <v>0</v>
      </c>
      <c r="BF218" s="22">
        <f>VLOOKUP($A218,tabCustoUnit[],COLUMN(CUSTO_GLOBAL[[#Headers],[Suspensão Temporária do Contrato de Trabalho]])-2,0)*($G218-$H218)</f>
        <v>0</v>
      </c>
      <c r="BG218" s="22">
        <f>VLOOKUP($A218,tabCustoUnit[],COLUMN(CUSTO_GLOBAL[[#Headers],[Submódulo 4.3]])-2,0)*($G218-$H218)</f>
        <v>0</v>
      </c>
      <c r="BH218" s="22">
        <f>VLOOKUP($A218,tabCustoUnit[],COLUMN(CUSTO_GLOBAL[[#Headers],[MÓDULO 4 – CUSTO DE REPOSIÇÃO DO PROFISSIONAL AUSENTE]])-2,0)*($G218-$H218)</f>
        <v>40.903409951303601</v>
      </c>
      <c r="BI218" s="22">
        <f>VLOOKUP($A218,tabCustoUnit[],COLUMN(CUSTO_GLOBAL[[#Headers],[Uniformes e EPIs]])-2,0)*($G218-$H218)</f>
        <v>190.56060491869394</v>
      </c>
      <c r="BJ218" s="22">
        <f>VLOOKUP($A218,tabCustoUnit[],COLUMN(CUSTO_GLOBAL[[#Headers],[Materiais de Consumo]])-2,0)*($G218-$H218)</f>
        <v>0</v>
      </c>
      <c r="BK218" s="22">
        <f>VLOOKUP($A218,tabCustoUnit[],COLUMN(CUSTO_GLOBAL[[#Headers],[Máquinas e Equipamentos (depreciação)]])-2,0)*($G218-$H218)</f>
        <v>0</v>
      </c>
      <c r="BL218" s="22">
        <f>VLOOKUP($A218,tabCustoUnit[],COLUMN(CUSTO_GLOBAL[[#Headers],[Produtos de Limpeza e Materiais de Higiene Pessoal]])-2,0)*($G218-$H218)</f>
        <v>0</v>
      </c>
      <c r="BM218" s="22">
        <f>VLOOKUP($A218,tabCustoUnit[],COLUMN(CUSTO_GLOBAL[[#Headers],[Outros (especificar)]])-2,0)*($G218-$H218)</f>
        <v>0</v>
      </c>
      <c r="BN218" s="22">
        <f>VLOOKUP($A218,tabCustoUnit[],COLUMN(CUSTO_GLOBAL[[#Headers],[MÓDULO 5 – INSUMOS DIVERSOS]])-2,0)*($G218-$H218)</f>
        <v>190.56060491869394</v>
      </c>
      <c r="BO218" s="22" t="e">
        <f ca="1">VLOOKUP($A218,tabCustoUnit[],COLUMN(CUSTO_GLOBAL[[#Headers],[TOTAL MÓDULOS 1+2+3+4+5]])-2,0)*($G218-$H218)</f>
        <v>#NAME?</v>
      </c>
      <c r="BP218" s="22" t="e">
        <f ca="1">VLOOKUP($A218,tabCustoUnit[],COLUMN(CUSTO_GLOBAL[[#Headers],[Custos Indiretos]])-2,0)*($G218-$H218)</f>
        <v>#NAME?</v>
      </c>
      <c r="BQ218" s="22" t="e">
        <f ca="1">VLOOKUP($A218,tabCustoUnit[],COLUMN(CUSTO_GLOBAL[[#Headers],[Lucro]])-2,0)*($G218-$H218)</f>
        <v>#NAME?</v>
      </c>
      <c r="BR218" s="26">
        <f>VLOOKUP($A218,tabCustoUnit[],COLUMN(CUSTO_GLOBAL[[#Headers],[COFINS]])-2,0)</f>
        <v>8.6609686609686695E-2</v>
      </c>
      <c r="BS218" s="26">
        <f>VLOOKUP($A218,tabCustoUnit[],COLUMN(CUSTO_GLOBAL[[#Headers],[PIS]])-2,0)</f>
        <v>1.880341880341882E-2</v>
      </c>
      <c r="BT218" s="28">
        <f>VLOOKUP($A218,tabCustoUnit[],COLUMN(CUSTO_GLOBAL[[#Headers],[ISS]])-2,0)</f>
        <v>0.03</v>
      </c>
      <c r="BU218" s="26">
        <f>VLOOKUP($A218,tabCustoUnit[],COLUMN(CUSTO_GLOBAL[[#Headers],[ISS (Conversão Alíquota s/ fatura)]])-2,0)</f>
        <v>3.4188034188034219E-2</v>
      </c>
      <c r="BV218" s="26">
        <f>VLOOKUP($A218,tabCustoUnit[],COLUMN(CUSTO_GLOBAL[[#Headers],[Resumo de Alíquotas (PIS+CONFINS+ISS)]])-2,0)</f>
        <v>0.1225</v>
      </c>
      <c r="BW218" s="138">
        <f>VLOOKUP($A218,tabCustoUnit[],COLUMN(CUSTO_GLOBAL[[#Headers],[PIS + COFINS + ISS (Total Conversão  Alíquota s/ Fatura)]])-2,0)</f>
        <v>0.13960113960113973</v>
      </c>
      <c r="BX218" s="22" t="e">
        <f ca="1">VLOOKUP($A218,tabCustoUnit[],COLUMN(CUSTO_GLOBAL[[#Headers],[Valor dos Tributos (ISS, PIS, CONFINS)]])-2,0)*($G218-$H218)</f>
        <v>#NAME?</v>
      </c>
      <c r="BY218" s="22" t="e">
        <f ca="1">VLOOKUP($A218,tabCustoUnit[],COLUMN(CUSTO_GLOBAL[[#Headers],[MÓDULO 6 – CUSTOS INDIRETOS, TRIBUTOS E LUCRO]])-2,0)*($G218-$H218)</f>
        <v>#NAME?</v>
      </c>
      <c r="BZ218" s="22" t="e">
        <f ca="1">VLOOKUP($A218,tabCustoUnit[],COLUMN(CUSTO_GLOBAL[[#Headers],[CUSTO TOTAL MENSAL]])-2,0)*($G218-$H218)</f>
        <v>#NAME?</v>
      </c>
      <c r="CA218" s="22" t="e">
        <f ca="1">CUSTO_GLOBAL[[#This Row],[CUSTO TOTAL MENSAL]]*12</f>
        <v>#NAME?</v>
      </c>
      <c r="CB218" s="24">
        <f>VLOOKUP($A218,tabCustoUnit[],COLUMN(CUSTO_GLOBAL[[#Headers],[ANO DA CCT]])-2,0)</f>
        <v>45658</v>
      </c>
      <c r="CC218" s="25" t="str">
        <f>VLOOKUP($A218,tabCustoUnit[],COLUMN(CUSTO_GLOBAL[[#Headers],[Nº DE PEDIDO DA CCT]])-2,0)</f>
        <v>-</v>
      </c>
      <c r="CD218" s="25" t="str">
        <f>VLOOKUP($A218,tabCustoUnit[],COLUMN(CUSTO_GLOBAL[[#Headers],[TERMO ADITIVO ALTERAÇÃO DA CCT]])-2,0)</f>
        <v>-</v>
      </c>
    </row>
    <row r="219" spans="1:82">
      <c r="A219" s="20" t="s">
        <v>1494</v>
      </c>
      <c r="B219" t="s">
        <v>939</v>
      </c>
      <c r="C219" t="s">
        <v>200</v>
      </c>
      <c r="D219" t="s">
        <v>939</v>
      </c>
      <c r="E219" s="20" t="s">
        <v>1090</v>
      </c>
      <c r="F219" s="20" t="s">
        <v>120</v>
      </c>
      <c r="G219" s="20">
        <v>4</v>
      </c>
      <c r="H219" s="20">
        <v>0</v>
      </c>
      <c r="I219" s="21">
        <f>VLOOKUP($A219,tabCustoUnit[],COLUMN(CUSTO_GLOBAL[[#Headers],[Salário Base]])-2,0)*($G219-$H219)</f>
        <v>6596.4611999999997</v>
      </c>
      <c r="J219" s="21">
        <f>VLOOKUP($A219,tabCustoUnit[],COLUMN(CUSTO_GLOBAL[[#Headers],[Adicional Periculosidade]])-2,0)*($G219-$H219)</f>
        <v>0</v>
      </c>
      <c r="K219" s="21">
        <f>VLOOKUP($A219,tabCustoUnit[],COLUMN(CUSTO_GLOBAL[[#Headers],[Adicional Insalubridade]])-2,0)*($G219-$H219)</f>
        <v>0</v>
      </c>
      <c r="L219" s="21">
        <f>VLOOKUP($A219,tabCustoUnit[],COLUMN(CUSTO_GLOBAL[[#Headers],[Adicional Noturno]])-2,0)*($G219-$H219)</f>
        <v>0</v>
      </c>
      <c r="M219" s="21">
        <f>VLOOKUP($A219,tabCustoUnit[],COLUMN(CUSTO_GLOBAL[[#Headers],[Adicional Motorista II (Gratificação)]])-2,0)*($G219-$H219)</f>
        <v>0</v>
      </c>
      <c r="N219" s="21">
        <f>VLOOKUP($A219,tabCustoUnit[],COLUMN(CUSTO_GLOBAL[[#Headers],[Adicional de Sobreaviso]])-2,0)*($G219-$H219)</f>
        <v>0</v>
      </c>
      <c r="O219" s="21">
        <f>VLOOKUP($A219,tabCustoUnit[],COLUMN(CUSTO_GLOBAL[[#Headers],[Horas Extras TI]])-2,0)*($G219-$H219)</f>
        <v>0</v>
      </c>
      <c r="P219" s="21">
        <f>VLOOKUP($A219,tabCustoUnit[],COLUMN(CUSTO_GLOBAL[[#Headers],[Adicional de Acúmulo de função]])-2,0)*($G219-$H219)</f>
        <v>0</v>
      </c>
      <c r="Q219" s="21">
        <f>VLOOKUP($A219,tabCustoUnit[],COLUMN(CUSTO_GLOBAL[[#Headers],[MODULO 1 - REMUNERAÇÃO ]])-2,0)*($G219-$H219)</f>
        <v>6596.4611999999997</v>
      </c>
      <c r="R219" s="21">
        <f>VLOOKUP($A219,tabCustoUnit[],COLUMN(CUSTO_GLOBAL[[#Headers],[INSS]])-2,0)*($G219-$H219)</f>
        <v>1319.29224</v>
      </c>
      <c r="S219" s="21">
        <f>VLOOKUP($A219,tabCustoUnit[],COLUMN(CUSTO_GLOBAL[[#Headers],[SESI OU SESC]])-2,0)*($G219-$H219)</f>
        <v>98.946917999999997</v>
      </c>
      <c r="T219" s="21">
        <f>VLOOKUP($A219,tabCustoUnit[],COLUMN(CUSTO_GLOBAL[[#Headers],[SENAI OU SENAC]])-2,0)*($G219-$H219)</f>
        <v>65.964612000000002</v>
      </c>
      <c r="U219" s="21">
        <f>VLOOKUP($A219,tabCustoUnit[],COLUMN(CUSTO_GLOBAL[[#Headers],[INCRA]])-2,0)*($G219-$H219)</f>
        <v>13.1929224</v>
      </c>
      <c r="V219" s="21">
        <f>VLOOKUP($A219,tabCustoUnit[],COLUMN(CUSTO_GLOBAL[[#Headers],[Salário Educação]])-2,0)*($G219-$H219)</f>
        <v>164.91153</v>
      </c>
      <c r="W219" s="21">
        <f>VLOOKUP($A219,tabCustoUnit[],COLUMN(CUSTO_GLOBAL[[#Headers],[FGTS]])-2,0)*($G219-$H219)</f>
        <v>527.71689600000002</v>
      </c>
      <c r="X219" s="21">
        <f>VLOOKUP($A219,tabCustoUnit[],COLUMN(CUSTO_GLOBAL[[#Headers],[RAT Ajustado]])-2,0)*($G219-$H219)</f>
        <v>263.85844800000001</v>
      </c>
      <c r="Y219" s="21">
        <f>VLOOKUP($A219,tabCustoUnit[],COLUMN(CUSTO_GLOBAL[[#Headers],[SEBRAE]])-2,0)*($G219-$H219)</f>
        <v>39.578767200000001</v>
      </c>
      <c r="Z219" s="21">
        <f>VLOOKUP($A219,tabCustoUnit[],COLUMN(CUSTO_GLOBAL[[#Headers],[Submódulo 2.1]])-2,0)*($G219-$H219)</f>
        <v>2493.4623336000004</v>
      </c>
      <c r="AA219" s="21">
        <f>VLOOKUP($A219,tabCustoUnit[],COLUMN(CUSTO_GLOBAL[[#Headers],[13º salário (titular)]])-2,0)*($G219-$H219)</f>
        <v>549.7050999999999</v>
      </c>
      <c r="AB219" s="21">
        <f>VLOOKUP($A219,tabCustoUnit[],COLUMN(CUSTO_GLOBAL[[#Headers],[Férias e Adicional de Férias (titular)]])-2,0)*($G219-$H219)</f>
        <v>732.94013333333328</v>
      </c>
      <c r="AC219" s="21">
        <f>VLOOKUP($A219,tabCustoUnit[],COLUMN(CUSTO_GLOBAL[[#Headers],[Incidência do Submódulo 2.1 sobre 13º Salário, Férias e Adicional de Férias]])-2,0)*($G219-$H219)</f>
        <v>484.83989819999999</v>
      </c>
      <c r="AD219" s="21">
        <f>VLOOKUP($A219,tabCustoUnit[],COLUMN(CUSTO_GLOBAL[[#Headers],[Submódulo 2.2]])-2,0)*($G219-$H219)</f>
        <v>1767.4851315333331</v>
      </c>
      <c r="AE219" s="22" t="e">
        <f ca="1">VLOOKUP($A219,tabCustoUnit[],COLUMN(CUSTO_GLOBAL[[#Headers],[Vale - Transporte (Descontada parcela do empregado)]])-2,0)*($G219-$H219)</f>
        <v>#NAME?</v>
      </c>
      <c r="AF219" s="22">
        <f>VLOOKUP($A219,tabCustoUnit[],COLUMN(CUSTO_GLOBAL[[#Headers],[Vale - Alimentação (Descontada parcela do empregado)]])-2,0)*($G219-$H219)</f>
        <v>2328</v>
      </c>
      <c r="AG219" s="22">
        <f>VLOOKUP($A219,tabCustoUnit[],COLUMN(CUSTO_GLOBAL[[#Headers],[Cesta Básica]])-2,0)*($G219-$H219)</f>
        <v>0</v>
      </c>
      <c r="AH219" s="22">
        <f>VLOOKUP($A219,tabCustoUnit[],COLUMN(CUSTO_GLOBAL[[#Headers],[PAF]])-2,0)*($G219-$H219)</f>
        <v>207.44</v>
      </c>
      <c r="AI219" s="22">
        <f>VLOOKUP($A219,tabCustoUnit[],COLUMN(CUSTO_GLOBAL[[#Headers],[PQM]])-2,0)*($G219-$H219)</f>
        <v>0</v>
      </c>
      <c r="AJ219" s="22">
        <v>0</v>
      </c>
      <c r="AK219" s="22">
        <f>VLOOKUP($A219,tabCustoUnit[],COLUMN(CUSTO_GLOBAL[[#Headers],[Seguro de Vida]])-2,0)*($G219-$H219)</f>
        <v>13.44</v>
      </c>
      <c r="AL219" s="22">
        <f>VLOOKUP($A219,tabCustoUnit[],COLUMN(CUSTO_GLOBAL[[#Headers],[Despesas de Viagem]])-2,0)*($G219-$H219)</f>
        <v>0</v>
      </c>
      <c r="AM219" s="22" t="e">
        <f ca="1">VLOOKUP($A219,tabCustoUnit[],COLUMN(CUSTO_GLOBAL[[#Headers],[Submódulo 2.3]])-2,0)*($G219-$H219)</f>
        <v>#NAME?</v>
      </c>
      <c r="AN219" s="22" t="e">
        <f ca="1">VLOOKUP($A219,tabCustoUnit[],COLUMN(CUSTO_GLOBAL[[#Headers],[MÓDULO 2 - Total Encargos e Benefícios mensais e diários]])-2,0)*($G219-$H219)</f>
        <v>#NAME?</v>
      </c>
      <c r="AO219" s="22">
        <f>VLOOKUP($A219,tabCustoUnit[],COLUMN(CUSTO_GLOBAL[[#Headers],[Aviso Prévio Indenizado (API) e Reflexo do Aviso Prévio Indenizado]])-2,0)*($G219-$H219)</f>
        <v>46.252848796064811</v>
      </c>
      <c r="AP219" s="22">
        <f>VLOOKUP($A219,tabCustoUnit[],COLUMN(CUSTO_GLOBAL[[#Headers],[Incidência do FGTS sobre API e Reflexo do API]])-2,0)*($G219-$H219)</f>
        <v>3.7002279036851853</v>
      </c>
      <c r="AQ219" s="22">
        <f>VLOOKUP($A219,tabCustoUnit[],COLUMN(CUSTO_GLOBAL[[#Headers],[Multa Rescisória do FGTS sobre o Aviso Prévio Indenizado]])-2,0)*($G219-$H219)</f>
        <v>1.4800911614740744</v>
      </c>
      <c r="AR219" s="22">
        <f>VLOOKUP($A219,tabCustoUnit[],COLUMN(CUSTO_GLOBAL[[#Headers],[Aviso Prévio Trabalhado - APT]])-2,0)*($G219-$H219)</f>
        <v>23.087614200000001</v>
      </c>
      <c r="AS219" s="22">
        <f>VLOOKUP($A219,tabCustoUnit[],COLUMN(CUSTO_GLOBAL[[#Headers],[Incidência dos encargos do submódulo 2.1 sobre Aviso Prévio Trabalhado]])-2,0)*($G219-$H219)</f>
        <v>8.7271181676000023</v>
      </c>
      <c r="AT219" s="22">
        <f>VLOOKUP($A219,tabCustoUnit[],COLUMN(CUSTO_GLOBAL[[#Headers],[Multa Rescisória do FGTS]])-2,0)*($G219-$H219)</f>
        <v>201.70512469333329</v>
      </c>
      <c r="AU219" s="22">
        <f>VLOOKUP($A219,tabCustoUnit[],COLUMN(CUSTO_GLOBAL[[#Headers],[Indenização Adicional (Art. 9º da Lei nº 7.238/84)]])-2,0)*($G219-$H219)</f>
        <v>5.4970509999999999</v>
      </c>
      <c r="AV219" s="22">
        <f>VLOOKUP($A219,tabCustoUnit[],COLUMN(CUSTO_GLOBAL[[#Headers],[MÓDULO 3 – PROVISÃO PARA RESCISÃO]])-2,0)*($G219-$H219)</f>
        <v>290.45007592215734</v>
      </c>
      <c r="AW219" s="22">
        <f>VLOOKUP($A219,tabCustoUnit[],COLUMN(CUSTO_GLOBAL[[#Headers],[Ausência por Doença]])-2,0)*($G219-$H219)</f>
        <v>55.703450133333327</v>
      </c>
      <c r="AX219" s="22">
        <f>VLOOKUP($A219,tabCustoUnit[],COLUMN(CUSTO_GLOBAL[[#Headers],[Ausências Legais]])-2,0)*($G219-$H219)</f>
        <v>13.376157433333333</v>
      </c>
      <c r="AY219" s="22">
        <f>VLOOKUP($A219,tabCustoUnit[],COLUMN(CUSTO_GLOBAL[[#Headers],[Licença Paternidade]])-2,0)*($G219-$H219)</f>
        <v>1.1268954549999999</v>
      </c>
      <c r="AZ219" s="22">
        <f>VLOOKUP($A219,tabCustoUnit[],COLUMN(CUSTO_GLOBAL[[#Headers],[Ausência por Acidente de Trabalho]])-2,0)*($G219-$H219)</f>
        <v>1.37426275</v>
      </c>
      <c r="BA219" s="22">
        <f>VLOOKUP($A219,tabCustoUnit[],COLUMN(CUSTO_GLOBAL[[#Headers],[Férias, Adicional de Férias e 13º  com empregada em gozo de Licença Maternidade]])-2,0)*($G219-$H219)</f>
        <v>8.5509682222222221</v>
      </c>
      <c r="BB219" s="22">
        <f>VLOOKUP($A219,tabCustoUnit[],COLUMN(CUSTO_GLOBAL[[#Headers],[Incidência do Submódulo 2.1 sobre Ausências Legais]])-2,0)*($G219-$H219)</f>
        <v>30.289795449690004</v>
      </c>
      <c r="BC219" s="22">
        <f>VLOOKUP($A219,tabCustoUnit[],COLUMN(CUSTO_GLOBAL[[#Headers],[Submódulo 4.1]])-2,0)*($G219-$H219)</f>
        <v>110.42152944357888</v>
      </c>
      <c r="BD219" s="22">
        <f>VLOOKUP($A219,tabCustoUnit[],COLUMN(CUSTO_GLOBAL[[#Headers],[Intervalo para Repouso ou Alimentação]])-2,0)*($G219-$H219)</f>
        <v>0</v>
      </c>
      <c r="BE219" s="22">
        <f>VLOOKUP($A219,tabCustoUnit[],COLUMN(CUSTO_GLOBAL[[#Headers],[Submódulo 4.2]])-2,0)*($G219-$H219)</f>
        <v>0</v>
      </c>
      <c r="BF219" s="22">
        <f>VLOOKUP($A219,tabCustoUnit[],COLUMN(CUSTO_GLOBAL[[#Headers],[Suspensão Temporária do Contrato de Trabalho]])-2,0)*($G219-$H219)</f>
        <v>0</v>
      </c>
      <c r="BG219" s="22">
        <f>VLOOKUP($A219,tabCustoUnit[],COLUMN(CUSTO_GLOBAL[[#Headers],[Submódulo 4.3]])-2,0)*($G219-$H219)</f>
        <v>0</v>
      </c>
      <c r="BH219" s="22">
        <f>VLOOKUP($A219,tabCustoUnit[],COLUMN(CUSTO_GLOBAL[[#Headers],[MÓDULO 4 – CUSTO DE REPOSIÇÃO DO PROFISSIONAL AUSENTE]])-2,0)*($G219-$H219)</f>
        <v>110.42152944357888</v>
      </c>
      <c r="BI219" s="22">
        <f>VLOOKUP($A219,tabCustoUnit[],COLUMN(CUSTO_GLOBAL[[#Headers],[Uniformes e EPIs]])-2,0)*($G219-$H219)</f>
        <v>224.56685464795967</v>
      </c>
      <c r="BJ219" s="22">
        <f>VLOOKUP($A219,tabCustoUnit[],COLUMN(CUSTO_GLOBAL[[#Headers],[Materiais de Consumo]])-2,0)*($G219-$H219)</f>
        <v>0</v>
      </c>
      <c r="BK219" s="22">
        <f>VLOOKUP($A219,tabCustoUnit[],COLUMN(CUSTO_GLOBAL[[#Headers],[Máquinas e Equipamentos (depreciação)]])-2,0)*($G219-$H219)</f>
        <v>0</v>
      </c>
      <c r="BL219" s="22">
        <f>VLOOKUP($A219,tabCustoUnit[],COLUMN(CUSTO_GLOBAL[[#Headers],[Produtos de Limpeza e Materiais de Higiene Pessoal]])-2,0)*($G219-$H219)</f>
        <v>0</v>
      </c>
      <c r="BM219" s="22">
        <f>VLOOKUP($A219,tabCustoUnit[],COLUMN(CUSTO_GLOBAL[[#Headers],[Outros (especificar)]])-2,0)*($G219-$H219)</f>
        <v>0</v>
      </c>
      <c r="BN219" s="22">
        <f>VLOOKUP($A219,tabCustoUnit[],COLUMN(CUSTO_GLOBAL[[#Headers],[MÓDULO 5 – INSUMOS DIVERSOS]])-2,0)*($G219-$H219)</f>
        <v>224.56685464795967</v>
      </c>
      <c r="BO219" s="22" t="e">
        <f ca="1">VLOOKUP($A219,tabCustoUnit[],COLUMN(CUSTO_GLOBAL[[#Headers],[TOTAL MÓDULOS 1+2+3+4+5]])-2,0)*($G219-$H219)</f>
        <v>#NAME?</v>
      </c>
      <c r="BP219" s="22" t="e">
        <f ca="1">VLOOKUP($A219,tabCustoUnit[],COLUMN(CUSTO_GLOBAL[[#Headers],[Custos Indiretos]])-2,0)*($G219-$H219)</f>
        <v>#NAME?</v>
      </c>
      <c r="BQ219" s="22" t="e">
        <f ca="1">VLOOKUP($A219,tabCustoUnit[],COLUMN(CUSTO_GLOBAL[[#Headers],[Lucro]])-2,0)*($G219-$H219)</f>
        <v>#NAME?</v>
      </c>
      <c r="BR219" s="26">
        <f>VLOOKUP($A219,tabCustoUnit[],COLUMN(CUSTO_GLOBAL[[#Headers],[COFINS]])-2,0)</f>
        <v>8.6609686609686695E-2</v>
      </c>
      <c r="BS219" s="26">
        <f>VLOOKUP($A219,tabCustoUnit[],COLUMN(CUSTO_GLOBAL[[#Headers],[PIS]])-2,0)</f>
        <v>1.880341880341882E-2</v>
      </c>
      <c r="BT219" s="28">
        <f>VLOOKUP($A219,tabCustoUnit[],COLUMN(CUSTO_GLOBAL[[#Headers],[ISS]])-2,0)</f>
        <v>0.03</v>
      </c>
      <c r="BU219" s="26">
        <f>VLOOKUP($A219,tabCustoUnit[],COLUMN(CUSTO_GLOBAL[[#Headers],[ISS (Conversão Alíquota s/ fatura)]])-2,0)</f>
        <v>3.4188034188034219E-2</v>
      </c>
      <c r="BV219" s="26">
        <f>VLOOKUP($A219,tabCustoUnit[],COLUMN(CUSTO_GLOBAL[[#Headers],[Resumo de Alíquotas (PIS+CONFINS+ISS)]])-2,0)</f>
        <v>0.1225</v>
      </c>
      <c r="BW219" s="138">
        <f>VLOOKUP($A219,tabCustoUnit[],COLUMN(CUSTO_GLOBAL[[#Headers],[PIS + COFINS + ISS (Total Conversão  Alíquota s/ Fatura)]])-2,0)</f>
        <v>0.13960113960113973</v>
      </c>
      <c r="BX219" s="22" t="e">
        <f ca="1">VLOOKUP($A219,tabCustoUnit[],COLUMN(CUSTO_GLOBAL[[#Headers],[Valor dos Tributos (ISS, PIS, CONFINS)]])-2,0)*($G219-$H219)</f>
        <v>#NAME?</v>
      </c>
      <c r="BY219" s="22" t="e">
        <f ca="1">VLOOKUP($A219,tabCustoUnit[],COLUMN(CUSTO_GLOBAL[[#Headers],[MÓDULO 6 – CUSTOS INDIRETOS, TRIBUTOS E LUCRO]])-2,0)*($G219-$H219)</f>
        <v>#NAME?</v>
      </c>
      <c r="BZ219" s="22" t="e">
        <f ca="1">VLOOKUP($A219,tabCustoUnit[],COLUMN(CUSTO_GLOBAL[[#Headers],[CUSTO TOTAL MENSAL]])-2,0)*($G219-$H219)</f>
        <v>#NAME?</v>
      </c>
      <c r="CA219" s="22" t="e">
        <f ca="1">CUSTO_GLOBAL[[#This Row],[CUSTO TOTAL MENSAL]]*12</f>
        <v>#NAME?</v>
      </c>
      <c r="CB219" s="24">
        <f>VLOOKUP($A219,tabCustoUnit[],COLUMN(CUSTO_GLOBAL[[#Headers],[ANO DA CCT]])-2,0)</f>
        <v>45658</v>
      </c>
      <c r="CC219" s="25" t="str">
        <f>VLOOKUP($A219,tabCustoUnit[],COLUMN(CUSTO_GLOBAL[[#Headers],[Nº DE PEDIDO DA CCT]])-2,0)</f>
        <v>-</v>
      </c>
      <c r="CD219" s="25" t="str">
        <f>VLOOKUP($A219,tabCustoUnit[],COLUMN(CUSTO_GLOBAL[[#Headers],[TERMO ADITIVO ALTERAÇÃO DA CCT]])-2,0)</f>
        <v>-</v>
      </c>
    </row>
    <row r="220" spans="1:82">
      <c r="A220" s="20" t="s">
        <v>1650</v>
      </c>
      <c r="B220" t="s">
        <v>939</v>
      </c>
      <c r="C220" t="s">
        <v>244</v>
      </c>
      <c r="D220" t="s">
        <v>939</v>
      </c>
      <c r="E220" s="20" t="s">
        <v>1090</v>
      </c>
      <c r="F220" s="20" t="s">
        <v>120</v>
      </c>
      <c r="G220" s="20">
        <v>1</v>
      </c>
      <c r="H220" s="20">
        <v>0</v>
      </c>
      <c r="I220" s="21">
        <f>VLOOKUP($A220,tabCustoUnit[],COLUMN(CUSTO_GLOBAL[[#Headers],[Salário Base]])-2,0)*($G220-$H220)</f>
        <v>2296.1756999999998</v>
      </c>
      <c r="J220" s="21">
        <f>VLOOKUP($A220,tabCustoUnit[],COLUMN(CUSTO_GLOBAL[[#Headers],[Adicional Periculosidade]])-2,0)*($G220-$H220)</f>
        <v>0</v>
      </c>
      <c r="K220" s="21">
        <f>VLOOKUP($A220,tabCustoUnit[],COLUMN(CUSTO_GLOBAL[[#Headers],[Adicional Insalubridade]])-2,0)*($G220-$H220)</f>
        <v>303.60000000000002</v>
      </c>
      <c r="L220" s="21">
        <f>VLOOKUP($A220,tabCustoUnit[],COLUMN(CUSTO_GLOBAL[[#Headers],[Adicional Noturno]])-2,0)*($G220-$H220)</f>
        <v>0</v>
      </c>
      <c r="M220" s="21">
        <f>VLOOKUP($A220,tabCustoUnit[],COLUMN(CUSTO_GLOBAL[[#Headers],[Adicional Motorista II (Gratificação)]])-2,0)*($G220-$H220)</f>
        <v>0</v>
      </c>
      <c r="N220" s="21">
        <f>VLOOKUP($A220,tabCustoUnit[],COLUMN(CUSTO_GLOBAL[[#Headers],[Adicional de Sobreaviso]])-2,0)*($G220-$H220)</f>
        <v>0</v>
      </c>
      <c r="O220" s="21">
        <f>VLOOKUP($A220,tabCustoUnit[],COLUMN(CUSTO_GLOBAL[[#Headers],[Horas Extras TI]])-2,0)*($G220-$H220)</f>
        <v>0</v>
      </c>
      <c r="P220" s="21">
        <f>VLOOKUP($A220,tabCustoUnit[],COLUMN(CUSTO_GLOBAL[[#Headers],[Adicional de Acúmulo de função]])-2,0)*($G220-$H220)</f>
        <v>0</v>
      </c>
      <c r="Q220" s="21">
        <f>VLOOKUP($A220,tabCustoUnit[],COLUMN(CUSTO_GLOBAL[[#Headers],[MODULO 1 - REMUNERAÇÃO ]])-2,0)*($G220-$H220)</f>
        <v>2599.7756999999997</v>
      </c>
      <c r="R220" s="21">
        <f>VLOOKUP($A220,tabCustoUnit[],COLUMN(CUSTO_GLOBAL[[#Headers],[INSS]])-2,0)*($G220-$H220)</f>
        <v>519.95513999999991</v>
      </c>
      <c r="S220" s="21">
        <f>VLOOKUP($A220,tabCustoUnit[],COLUMN(CUSTO_GLOBAL[[#Headers],[SESI OU SESC]])-2,0)*($G220-$H220)</f>
        <v>38.996635499999996</v>
      </c>
      <c r="T220" s="21">
        <f>VLOOKUP($A220,tabCustoUnit[],COLUMN(CUSTO_GLOBAL[[#Headers],[SENAI OU SENAC]])-2,0)*($G220-$H220)</f>
        <v>25.997756999999996</v>
      </c>
      <c r="U220" s="21">
        <f>VLOOKUP($A220,tabCustoUnit[],COLUMN(CUSTO_GLOBAL[[#Headers],[INCRA]])-2,0)*($G220-$H220)</f>
        <v>5.1995513999999998</v>
      </c>
      <c r="V220" s="21">
        <f>VLOOKUP($A220,tabCustoUnit[],COLUMN(CUSTO_GLOBAL[[#Headers],[Salário Educação]])-2,0)*($G220-$H220)</f>
        <v>64.994392499999989</v>
      </c>
      <c r="W220" s="21">
        <f>VLOOKUP($A220,tabCustoUnit[],COLUMN(CUSTO_GLOBAL[[#Headers],[FGTS]])-2,0)*($G220-$H220)</f>
        <v>207.98205599999997</v>
      </c>
      <c r="X220" s="21">
        <f>VLOOKUP($A220,tabCustoUnit[],COLUMN(CUSTO_GLOBAL[[#Headers],[RAT Ajustado]])-2,0)*($G220-$H220)</f>
        <v>103.99102799999999</v>
      </c>
      <c r="Y220" s="21">
        <f>VLOOKUP($A220,tabCustoUnit[],COLUMN(CUSTO_GLOBAL[[#Headers],[SEBRAE]])-2,0)*($G220-$H220)</f>
        <v>15.598654199999999</v>
      </c>
      <c r="Z220" s="21">
        <f>VLOOKUP($A220,tabCustoUnit[],COLUMN(CUSTO_GLOBAL[[#Headers],[Submódulo 2.1]])-2,0)*($G220-$H220)</f>
        <v>982.71521459999985</v>
      </c>
      <c r="AA220" s="21">
        <f>VLOOKUP($A220,tabCustoUnit[],COLUMN(CUSTO_GLOBAL[[#Headers],[13º salário (titular)]])-2,0)*($G220-$H220)</f>
        <v>216.64797499999997</v>
      </c>
      <c r="AB220" s="21">
        <f>VLOOKUP($A220,tabCustoUnit[],COLUMN(CUSTO_GLOBAL[[#Headers],[Férias e Adicional de Férias (titular)]])-2,0)*($G220-$H220)</f>
        <v>288.86396666666661</v>
      </c>
      <c r="AC220" s="21">
        <f>VLOOKUP($A220,tabCustoUnit[],COLUMN(CUSTO_GLOBAL[[#Headers],[Incidência do Submódulo 2.1 sobre 13º Salário, Férias e Adicional de Férias]])-2,0)*($G220-$H220)</f>
        <v>191.08351394999997</v>
      </c>
      <c r="AD220" s="21">
        <f>VLOOKUP($A220,tabCustoUnit[],COLUMN(CUSTO_GLOBAL[[#Headers],[Submódulo 2.2]])-2,0)*($G220-$H220)</f>
        <v>696.59545561666653</v>
      </c>
      <c r="AE220" s="22" t="e">
        <f ca="1">VLOOKUP($A220,tabCustoUnit[],COLUMN(CUSTO_GLOBAL[[#Headers],[Vale - Transporte (Descontada parcela do empregado)]])-2,0)*($G220-$H220)</f>
        <v>#NAME?</v>
      </c>
      <c r="AF220" s="22">
        <f>VLOOKUP($A220,tabCustoUnit[],COLUMN(CUSTO_GLOBAL[[#Headers],[Vale - Alimentação (Descontada parcela do empregado)]])-2,0)*($G220-$H220)</f>
        <v>582</v>
      </c>
      <c r="AG220" s="22">
        <f>VLOOKUP($A220,tabCustoUnit[],COLUMN(CUSTO_GLOBAL[[#Headers],[Cesta Básica]])-2,0)*($G220-$H220)</f>
        <v>0</v>
      </c>
      <c r="AH220" s="22">
        <f>VLOOKUP($A220,tabCustoUnit[],COLUMN(CUSTO_GLOBAL[[#Headers],[PAF]])-2,0)*($G220-$H220)</f>
        <v>51.86</v>
      </c>
      <c r="AI220" s="22">
        <f>VLOOKUP($A220,tabCustoUnit[],COLUMN(CUSTO_GLOBAL[[#Headers],[PQM]])-2,0)*($G220-$H220)</f>
        <v>0</v>
      </c>
      <c r="AJ220" s="22">
        <v>0</v>
      </c>
      <c r="AK220" s="22">
        <f>VLOOKUP($A220,tabCustoUnit[],COLUMN(CUSTO_GLOBAL[[#Headers],[Seguro de Vida]])-2,0)*($G220-$H220)</f>
        <v>3.36</v>
      </c>
      <c r="AL220" s="22">
        <f>VLOOKUP($A220,tabCustoUnit[],COLUMN(CUSTO_GLOBAL[[#Headers],[Despesas de Viagem]])-2,0)*($G220-$H220)</f>
        <v>0</v>
      </c>
      <c r="AM220" s="22" t="e">
        <f ca="1">VLOOKUP($A220,tabCustoUnit[],COLUMN(CUSTO_GLOBAL[[#Headers],[Submódulo 2.3]])-2,0)*($G220-$H220)</f>
        <v>#NAME?</v>
      </c>
      <c r="AN220" s="22" t="e">
        <f ca="1">VLOOKUP($A220,tabCustoUnit[],COLUMN(CUSTO_GLOBAL[[#Headers],[MÓDULO 2 - Total Encargos e Benefícios mensais e diários]])-2,0)*($G220-$H220)</f>
        <v>#NAME?</v>
      </c>
      <c r="AO220" s="22">
        <f>VLOOKUP($A220,tabCustoUnit[],COLUMN(CUSTO_GLOBAL[[#Headers],[Aviso Prévio Indenizado (API) e Reflexo do Aviso Prévio Indenizado]])-2,0)*($G220-$H220)</f>
        <v>18.229021396469907</v>
      </c>
      <c r="AP220" s="22">
        <f>VLOOKUP($A220,tabCustoUnit[],COLUMN(CUSTO_GLOBAL[[#Headers],[Incidência do FGTS sobre API e Reflexo do API]])-2,0)*($G220-$H220)</f>
        <v>1.4583217117175926</v>
      </c>
      <c r="AQ220" s="22">
        <f>VLOOKUP($A220,tabCustoUnit[],COLUMN(CUSTO_GLOBAL[[#Headers],[Multa Rescisória do FGTS sobre o Aviso Prévio Indenizado]])-2,0)*($G220-$H220)</f>
        <v>0.58332868468703702</v>
      </c>
      <c r="AR220" s="22">
        <f>VLOOKUP($A220,tabCustoUnit[],COLUMN(CUSTO_GLOBAL[[#Headers],[Aviso Prévio Trabalhado - APT]])-2,0)*($G220-$H220)</f>
        <v>9.0992149500000004</v>
      </c>
      <c r="AS220" s="22">
        <f>VLOOKUP($A220,tabCustoUnit[],COLUMN(CUSTO_GLOBAL[[#Headers],[Incidência dos encargos do submódulo 2.1 sobre Aviso Prévio Trabalhado]])-2,0)*($G220-$H220)</f>
        <v>3.4395032511000005</v>
      </c>
      <c r="AT220" s="22">
        <f>VLOOKUP($A220,tabCustoUnit[],COLUMN(CUSTO_GLOBAL[[#Headers],[Multa Rescisória do FGTS]])-2,0)*($G220-$H220)</f>
        <v>79.495363626666645</v>
      </c>
      <c r="AU220" s="22">
        <f>VLOOKUP($A220,tabCustoUnit[],COLUMN(CUSTO_GLOBAL[[#Headers],[Indenização Adicional (Art. 9º da Lei nº 7.238/84)]])-2,0)*($G220-$H220)</f>
        <v>2.1664797499999997</v>
      </c>
      <c r="AV220" s="22">
        <f>VLOOKUP($A220,tabCustoUnit[],COLUMN(CUSTO_GLOBAL[[#Headers],[MÓDULO 3 – PROVISÃO PARA RESCISÃO]])-2,0)*($G220-$H220)</f>
        <v>114.47123337064117</v>
      </c>
      <c r="AW220" s="22">
        <f>VLOOKUP($A220,tabCustoUnit[],COLUMN(CUSTO_GLOBAL[[#Headers],[Ausência por Doença]])-2,0)*($G220-$H220)</f>
        <v>21.953661466666663</v>
      </c>
      <c r="AX220" s="22">
        <f>VLOOKUP($A220,tabCustoUnit[],COLUMN(CUSTO_GLOBAL[[#Headers],[Ausências Legais]])-2,0)*($G220-$H220)</f>
        <v>5.2717673916666659</v>
      </c>
      <c r="AY220" s="22">
        <f>VLOOKUP($A220,tabCustoUnit[],COLUMN(CUSTO_GLOBAL[[#Headers],[Licença Paternidade]])-2,0)*($G220-$H220)</f>
        <v>0.44412834874999996</v>
      </c>
      <c r="AZ220" s="22">
        <f>VLOOKUP($A220,tabCustoUnit[],COLUMN(CUSTO_GLOBAL[[#Headers],[Ausência por Acidente de Trabalho]])-2,0)*($G220-$H220)</f>
        <v>0.54161993749999993</v>
      </c>
      <c r="BA220" s="22">
        <f>VLOOKUP($A220,tabCustoUnit[],COLUMN(CUSTO_GLOBAL[[#Headers],[Férias, Adicional de Férias e 13º  com empregada em gozo de Licença Maternidade]])-2,0)*($G220-$H220)</f>
        <v>3.3700796111111107</v>
      </c>
      <c r="BB220" s="22">
        <f>VLOOKUP($A220,tabCustoUnit[],COLUMN(CUSTO_GLOBAL[[#Headers],[Incidência do Submódulo 2.1 sobre Ausências Legais]])-2,0)*($G220-$H220)</f>
        <v>11.9377150536525</v>
      </c>
      <c r="BC220" s="22">
        <f>VLOOKUP($A220,tabCustoUnit[],COLUMN(CUSTO_GLOBAL[[#Headers],[Submódulo 4.1]])-2,0)*($G220-$H220)</f>
        <v>43.518971809346937</v>
      </c>
      <c r="BD220" s="22">
        <f>VLOOKUP($A220,tabCustoUnit[],COLUMN(CUSTO_GLOBAL[[#Headers],[Intervalo para Repouso ou Alimentação]])-2,0)*($G220-$H220)</f>
        <v>0</v>
      </c>
      <c r="BE220" s="22">
        <f>VLOOKUP($A220,tabCustoUnit[],COLUMN(CUSTO_GLOBAL[[#Headers],[Submódulo 4.2]])-2,0)*($G220-$H220)</f>
        <v>0</v>
      </c>
      <c r="BF220" s="22">
        <f>VLOOKUP($A220,tabCustoUnit[],COLUMN(CUSTO_GLOBAL[[#Headers],[Suspensão Temporária do Contrato de Trabalho]])-2,0)*($G220-$H220)</f>
        <v>0</v>
      </c>
      <c r="BG220" s="22">
        <f>VLOOKUP($A220,tabCustoUnit[],COLUMN(CUSTO_GLOBAL[[#Headers],[Submódulo 4.3]])-2,0)*($G220-$H220)</f>
        <v>0</v>
      </c>
      <c r="BH220" s="22">
        <f>VLOOKUP($A220,tabCustoUnit[],COLUMN(CUSTO_GLOBAL[[#Headers],[MÓDULO 4 – CUSTO DE REPOSIÇÃO DO PROFISSIONAL AUSENTE]])-2,0)*($G220-$H220)</f>
        <v>43.518971809346937</v>
      </c>
      <c r="BI220" s="22">
        <f>VLOOKUP($A220,tabCustoUnit[],COLUMN(CUSTO_GLOBAL[[#Headers],[Uniformes e EPIs]])-2,0)*($G220-$H220)</f>
        <v>226.33322732312172</v>
      </c>
      <c r="BJ220" s="22">
        <f>VLOOKUP($A220,tabCustoUnit[],COLUMN(CUSTO_GLOBAL[[#Headers],[Materiais de Consumo]])-2,0)*($G220-$H220)</f>
        <v>441.81099462365592</v>
      </c>
      <c r="BK220" s="22">
        <f>VLOOKUP($A220,tabCustoUnit[],COLUMN(CUSTO_GLOBAL[[#Headers],[Máquinas e Equipamentos (depreciação)]])-2,0)*($G220-$H220)</f>
        <v>113.11309677419354</v>
      </c>
      <c r="BL220" s="22">
        <f>VLOOKUP($A220,tabCustoUnit[],COLUMN(CUSTO_GLOBAL[[#Headers],[Produtos de Limpeza e Materiais de Higiene Pessoal]])-2,0)*($G220-$H220)</f>
        <v>0</v>
      </c>
      <c r="BM220" s="22">
        <f>VLOOKUP($A220,tabCustoUnit[],COLUMN(CUSTO_GLOBAL[[#Headers],[Outros (especificar)]])-2,0)*($G220-$H220)</f>
        <v>0</v>
      </c>
      <c r="BN220" s="22">
        <f>VLOOKUP($A220,tabCustoUnit[],COLUMN(CUSTO_GLOBAL[[#Headers],[MÓDULO 5 – INSUMOS DIVERSOS]])-2,0)*($G220-$H220)</f>
        <v>781.25731872097117</v>
      </c>
      <c r="BO220" s="22" t="e">
        <f ca="1">VLOOKUP($A220,tabCustoUnit[],COLUMN(CUSTO_GLOBAL[[#Headers],[TOTAL MÓDULOS 1+2+3+4+5]])-2,0)*($G220-$H220)</f>
        <v>#NAME?</v>
      </c>
      <c r="BP220" s="22" t="e">
        <f ca="1">VLOOKUP($A220,tabCustoUnit[],COLUMN(CUSTO_GLOBAL[[#Headers],[Custos Indiretos]])-2,0)*($G220-$H220)</f>
        <v>#NAME?</v>
      </c>
      <c r="BQ220" s="22" t="e">
        <f ca="1">VLOOKUP($A220,tabCustoUnit[],COLUMN(CUSTO_GLOBAL[[#Headers],[Lucro]])-2,0)*($G220-$H220)</f>
        <v>#NAME?</v>
      </c>
      <c r="BR220" s="26">
        <f>VLOOKUP($A220,tabCustoUnit[],COLUMN(CUSTO_GLOBAL[[#Headers],[COFINS]])-2,0)</f>
        <v>8.6609686609686695E-2</v>
      </c>
      <c r="BS220" s="26">
        <f>VLOOKUP($A220,tabCustoUnit[],COLUMN(CUSTO_GLOBAL[[#Headers],[PIS]])-2,0)</f>
        <v>1.880341880341882E-2</v>
      </c>
      <c r="BT220" s="28">
        <f>VLOOKUP($A220,tabCustoUnit[],COLUMN(CUSTO_GLOBAL[[#Headers],[ISS]])-2,0)</f>
        <v>0.03</v>
      </c>
      <c r="BU220" s="26">
        <f>VLOOKUP($A220,tabCustoUnit[],COLUMN(CUSTO_GLOBAL[[#Headers],[ISS (Conversão Alíquota s/ fatura)]])-2,0)</f>
        <v>3.4188034188034219E-2</v>
      </c>
      <c r="BV220" s="26">
        <f>VLOOKUP($A220,tabCustoUnit[],COLUMN(CUSTO_GLOBAL[[#Headers],[Resumo de Alíquotas (PIS+CONFINS+ISS)]])-2,0)</f>
        <v>0.1225</v>
      </c>
      <c r="BW220" s="138">
        <f>VLOOKUP($A220,tabCustoUnit[],COLUMN(CUSTO_GLOBAL[[#Headers],[PIS + COFINS + ISS (Total Conversão  Alíquota s/ Fatura)]])-2,0)</f>
        <v>0.13960113960113973</v>
      </c>
      <c r="BX220" s="22" t="e">
        <f ca="1">VLOOKUP($A220,tabCustoUnit[],COLUMN(CUSTO_GLOBAL[[#Headers],[Valor dos Tributos (ISS, PIS, CONFINS)]])-2,0)*($G220-$H220)</f>
        <v>#NAME?</v>
      </c>
      <c r="BY220" s="22" t="e">
        <f ca="1">VLOOKUP($A220,tabCustoUnit[],COLUMN(CUSTO_GLOBAL[[#Headers],[MÓDULO 6 – CUSTOS INDIRETOS, TRIBUTOS E LUCRO]])-2,0)*($G220-$H220)</f>
        <v>#NAME?</v>
      </c>
      <c r="BZ220" s="22" t="e">
        <f ca="1">VLOOKUP($A220,tabCustoUnit[],COLUMN(CUSTO_GLOBAL[[#Headers],[CUSTO TOTAL MENSAL]])-2,0)*($G220-$H220)</f>
        <v>#NAME?</v>
      </c>
      <c r="CA220" s="22" t="e">
        <f ca="1">CUSTO_GLOBAL[[#This Row],[CUSTO TOTAL MENSAL]]*12</f>
        <v>#NAME?</v>
      </c>
      <c r="CB220" s="24">
        <f>VLOOKUP($A220,tabCustoUnit[],COLUMN(CUSTO_GLOBAL[[#Headers],[ANO DA CCT]])-2,0)</f>
        <v>45658</v>
      </c>
      <c r="CC220" s="25" t="str">
        <f>VLOOKUP($A220,tabCustoUnit[],COLUMN(CUSTO_GLOBAL[[#Headers],[Nº DE PEDIDO DA CCT]])-2,0)</f>
        <v>-</v>
      </c>
      <c r="CD220" s="25" t="str">
        <f>VLOOKUP($A220,tabCustoUnit[],COLUMN(CUSTO_GLOBAL[[#Headers],[TERMO ADITIVO ALTERAÇÃO DA CCT]])-2,0)</f>
        <v>-</v>
      </c>
    </row>
    <row r="221" spans="1:82">
      <c r="A221" s="20" t="s">
        <v>1651</v>
      </c>
      <c r="B221" t="s">
        <v>939</v>
      </c>
      <c r="C221" t="s">
        <v>274</v>
      </c>
      <c r="D221" t="s">
        <v>1002</v>
      </c>
      <c r="E221" s="20" t="s">
        <v>1090</v>
      </c>
      <c r="F221" s="20" t="s">
        <v>120</v>
      </c>
      <c r="G221" s="20">
        <v>4</v>
      </c>
      <c r="H221" s="20">
        <v>0</v>
      </c>
      <c r="I221" s="21">
        <f>VLOOKUP($A221,tabCustoUnit[],COLUMN(CUSTO_GLOBAL[[#Headers],[Salário Base]])-2,0)*($G221-$H221)</f>
        <v>17364.080000000002</v>
      </c>
      <c r="J221" s="21">
        <f>VLOOKUP($A221,tabCustoUnit[],COLUMN(CUSTO_GLOBAL[[#Headers],[Adicional Periculosidade]])-2,0)*($G221-$H221)</f>
        <v>0</v>
      </c>
      <c r="K221" s="21">
        <f>VLOOKUP($A221,tabCustoUnit[],COLUMN(CUSTO_GLOBAL[[#Headers],[Adicional Insalubridade]])-2,0)*($G221-$H221)</f>
        <v>0</v>
      </c>
      <c r="L221" s="21">
        <f>VLOOKUP($A221,tabCustoUnit[],COLUMN(CUSTO_GLOBAL[[#Headers],[Adicional Noturno]])-2,0)*($G221-$H221)</f>
        <v>0</v>
      </c>
      <c r="M221" s="21">
        <f>VLOOKUP($A221,tabCustoUnit[],COLUMN(CUSTO_GLOBAL[[#Headers],[Adicional Motorista II (Gratificação)]])-2,0)*($G221-$H221)</f>
        <v>0</v>
      </c>
      <c r="N221" s="21">
        <f>VLOOKUP($A221,tabCustoUnit[],COLUMN(CUSTO_GLOBAL[[#Headers],[Adicional de Sobreaviso]])-2,0)*($G221-$H221)</f>
        <v>0</v>
      </c>
      <c r="O221" s="21">
        <f>VLOOKUP($A221,tabCustoUnit[],COLUMN(CUSTO_GLOBAL[[#Headers],[Horas Extras TI]])-2,0)*($G221-$H221)</f>
        <v>0</v>
      </c>
      <c r="P221" s="21">
        <f>VLOOKUP($A221,tabCustoUnit[],COLUMN(CUSTO_GLOBAL[[#Headers],[Adicional de Acúmulo de função]])-2,0)*($G221-$H221)</f>
        <v>0</v>
      </c>
      <c r="Q221" s="21">
        <f>VLOOKUP($A221,tabCustoUnit[],COLUMN(CUSTO_GLOBAL[[#Headers],[MODULO 1 - REMUNERAÇÃO ]])-2,0)*($G221-$H221)</f>
        <v>17364.080000000002</v>
      </c>
      <c r="R221" s="21">
        <f>VLOOKUP($A221,tabCustoUnit[],COLUMN(CUSTO_GLOBAL[[#Headers],[INSS]])-2,0)*($G221-$H221)</f>
        <v>3472.8160000000007</v>
      </c>
      <c r="S221" s="21">
        <f>VLOOKUP($A221,tabCustoUnit[],COLUMN(CUSTO_GLOBAL[[#Headers],[SESI OU SESC]])-2,0)*($G221-$H221)</f>
        <v>260.46120000000002</v>
      </c>
      <c r="T221" s="21">
        <f>VLOOKUP($A221,tabCustoUnit[],COLUMN(CUSTO_GLOBAL[[#Headers],[SENAI OU SENAC]])-2,0)*($G221-$H221)</f>
        <v>173.64080000000001</v>
      </c>
      <c r="U221" s="21">
        <f>VLOOKUP($A221,tabCustoUnit[],COLUMN(CUSTO_GLOBAL[[#Headers],[INCRA]])-2,0)*($G221-$H221)</f>
        <v>34.728160000000003</v>
      </c>
      <c r="V221" s="21">
        <f>VLOOKUP($A221,tabCustoUnit[],COLUMN(CUSTO_GLOBAL[[#Headers],[Salário Educação]])-2,0)*($G221-$H221)</f>
        <v>434.10200000000009</v>
      </c>
      <c r="W221" s="21">
        <f>VLOOKUP($A221,tabCustoUnit[],COLUMN(CUSTO_GLOBAL[[#Headers],[FGTS]])-2,0)*($G221-$H221)</f>
        <v>1389.1264000000001</v>
      </c>
      <c r="X221" s="21">
        <f>VLOOKUP($A221,tabCustoUnit[],COLUMN(CUSTO_GLOBAL[[#Headers],[RAT Ajustado]])-2,0)*($G221-$H221)</f>
        <v>694.56320000000005</v>
      </c>
      <c r="Y221" s="21">
        <f>VLOOKUP($A221,tabCustoUnit[],COLUMN(CUSTO_GLOBAL[[#Headers],[SEBRAE]])-2,0)*($G221-$H221)</f>
        <v>104.18448000000001</v>
      </c>
      <c r="Z221" s="21">
        <f>VLOOKUP($A221,tabCustoUnit[],COLUMN(CUSTO_GLOBAL[[#Headers],[Submódulo 2.1]])-2,0)*($G221-$H221)</f>
        <v>6563.6222400000006</v>
      </c>
      <c r="AA221" s="21">
        <f>VLOOKUP($A221,tabCustoUnit[],COLUMN(CUSTO_GLOBAL[[#Headers],[13º salário (titular)]])-2,0)*($G221-$H221)</f>
        <v>1447.0066666666667</v>
      </c>
      <c r="AB221" s="21">
        <f>VLOOKUP($A221,tabCustoUnit[],COLUMN(CUSTO_GLOBAL[[#Headers],[Férias e Adicional de Férias (titular)]])-2,0)*($G221-$H221)</f>
        <v>1929.3422222222223</v>
      </c>
      <c r="AC221" s="21">
        <f>VLOOKUP($A221,tabCustoUnit[],COLUMN(CUSTO_GLOBAL[[#Headers],[Incidência do Submódulo 2.1 sobre 13º Salário, Férias e Adicional de Férias]])-2,0)*($G221-$H221)</f>
        <v>1276.2598799999998</v>
      </c>
      <c r="AD221" s="21">
        <f>VLOOKUP($A221,tabCustoUnit[],COLUMN(CUSTO_GLOBAL[[#Headers],[Submódulo 2.2]])-2,0)*($G221-$H221)</f>
        <v>4652.6087688888883</v>
      </c>
      <c r="AE221" s="22" t="e">
        <f ca="1">VLOOKUP($A221,tabCustoUnit[],COLUMN(CUSTO_GLOBAL[[#Headers],[Vale - Transporte (Descontada parcela do empregado)]])-2,0)*($G221-$H221)</f>
        <v>#NAME?</v>
      </c>
      <c r="AF221" s="22">
        <f>VLOOKUP($A221,tabCustoUnit[],COLUMN(CUSTO_GLOBAL[[#Headers],[Vale - Alimentação (Descontada parcela do empregado)]])-2,0)*($G221-$H221)</f>
        <v>2313.6</v>
      </c>
      <c r="AG221" s="22">
        <f>VLOOKUP($A221,tabCustoUnit[],COLUMN(CUSTO_GLOBAL[[#Headers],[Cesta Básica]])-2,0)*($G221-$H221)</f>
        <v>0</v>
      </c>
      <c r="AH221" s="22">
        <f>VLOOKUP($A221,tabCustoUnit[],COLUMN(CUSTO_GLOBAL[[#Headers],[PAF]])-2,0)*($G221-$H221)</f>
        <v>90.08</v>
      </c>
      <c r="AI221" s="22">
        <f>VLOOKUP($A221,tabCustoUnit[],COLUMN(CUSTO_GLOBAL[[#Headers],[PQM]])-2,0)*($G221-$H221)</f>
        <v>0</v>
      </c>
      <c r="AJ221" s="22">
        <v>0</v>
      </c>
      <c r="AK221" s="22">
        <f>VLOOKUP($A221,tabCustoUnit[],COLUMN(CUSTO_GLOBAL[[#Headers],[Seguro de Vida]])-2,0)*($G221-$H221)</f>
        <v>13.44</v>
      </c>
      <c r="AL221" s="22">
        <f>VLOOKUP($A221,tabCustoUnit[],COLUMN(CUSTO_GLOBAL[[#Headers],[Despesas de Viagem]])-2,0)*($G221-$H221)</f>
        <v>2649.68</v>
      </c>
      <c r="AM221" s="22" t="e">
        <f ca="1">VLOOKUP($A221,tabCustoUnit[],COLUMN(CUSTO_GLOBAL[[#Headers],[Submódulo 2.3]])-2,0)*($G221-$H221)</f>
        <v>#NAME?</v>
      </c>
      <c r="AN221" s="22" t="e">
        <f ca="1">VLOOKUP($A221,tabCustoUnit[],COLUMN(CUSTO_GLOBAL[[#Headers],[MÓDULO 2 - Total Encargos e Benefícios mensais e diários]])-2,0)*($G221-$H221)</f>
        <v>#NAME?</v>
      </c>
      <c r="AO221" s="22">
        <f>VLOOKUP($A221,tabCustoUnit[],COLUMN(CUSTO_GLOBAL[[#Headers],[Aviso Prévio Indenizado (API) e Reflexo do Aviso Prévio Indenizado]])-2,0)*($G221-$H221)</f>
        <v>121.75288270061729</v>
      </c>
      <c r="AP221" s="22">
        <f>VLOOKUP($A221,tabCustoUnit[],COLUMN(CUSTO_GLOBAL[[#Headers],[Incidência do FGTS sobre API e Reflexo do API]])-2,0)*($G221-$H221)</f>
        <v>9.7402306160493843</v>
      </c>
      <c r="AQ221" s="22">
        <f>VLOOKUP($A221,tabCustoUnit[],COLUMN(CUSTO_GLOBAL[[#Headers],[Multa Rescisória do FGTS sobre o Aviso Prévio Indenizado]])-2,0)*($G221-$H221)</f>
        <v>3.8960922464197543</v>
      </c>
      <c r="AR221" s="22">
        <f>VLOOKUP($A221,tabCustoUnit[],COLUMN(CUSTO_GLOBAL[[#Headers],[Aviso Prévio Trabalhado - APT]])-2,0)*($G221-$H221)</f>
        <v>60.774280000000012</v>
      </c>
      <c r="AS221" s="22">
        <f>VLOOKUP($A221,tabCustoUnit[],COLUMN(CUSTO_GLOBAL[[#Headers],[Incidência dos encargos do submódulo 2.1 sobre Aviso Prévio Trabalhado]])-2,0)*($G221-$H221)</f>
        <v>22.97267784000001</v>
      </c>
      <c r="AT221" s="22">
        <f>VLOOKUP($A221,tabCustoUnit[],COLUMN(CUSTO_GLOBAL[[#Headers],[Multa Rescisória do FGTS]])-2,0)*($G221-$H221)</f>
        <v>530.9549795555555</v>
      </c>
      <c r="AU221" s="22">
        <f>VLOOKUP($A221,tabCustoUnit[],COLUMN(CUSTO_GLOBAL[[#Headers],[Indenização Adicional (Art. 9º da Lei nº 7.238/84)]])-2,0)*($G221-$H221)</f>
        <v>14.47006666666667</v>
      </c>
      <c r="AV221" s="22">
        <f>VLOOKUP($A221,tabCustoUnit[],COLUMN(CUSTO_GLOBAL[[#Headers],[MÓDULO 3 – PROVISÃO PARA RESCISÃO]])-2,0)*($G221-$H221)</f>
        <v>764.56120962530861</v>
      </c>
      <c r="AW221" s="22">
        <f>VLOOKUP($A221,tabCustoUnit[],COLUMN(CUSTO_GLOBAL[[#Headers],[Ausência por Doença]])-2,0)*($G221-$H221)</f>
        <v>146.63000888888888</v>
      </c>
      <c r="AX221" s="22">
        <f>VLOOKUP($A221,tabCustoUnit[],COLUMN(CUSTO_GLOBAL[[#Headers],[Ausências Legais]])-2,0)*($G221-$H221)</f>
        <v>35.210495555555553</v>
      </c>
      <c r="AY221" s="22">
        <f>VLOOKUP($A221,tabCustoUnit[],COLUMN(CUSTO_GLOBAL[[#Headers],[Licença Paternidade]])-2,0)*($G221-$H221)</f>
        <v>2.9663636666666671</v>
      </c>
      <c r="AZ221" s="22">
        <f>VLOOKUP($A221,tabCustoUnit[],COLUMN(CUSTO_GLOBAL[[#Headers],[Ausência por Acidente de Trabalho]])-2,0)*($G221-$H221)</f>
        <v>3.6175166666666674</v>
      </c>
      <c r="BA221" s="22">
        <f>VLOOKUP($A221,tabCustoUnit[],COLUMN(CUSTO_GLOBAL[[#Headers],[Férias, Adicional de Férias e 13º  com empregada em gozo de Licença Maternidade]])-2,0)*($G221-$H221)</f>
        <v>22.508992592592595</v>
      </c>
      <c r="BB221" s="22">
        <f>VLOOKUP($A221,tabCustoUnit[],COLUMN(CUSTO_GLOBAL[[#Headers],[Incidência do Submódulo 2.1 sobre Ausências Legais]])-2,0)*($G221-$H221)</f>
        <v>79.732816646000018</v>
      </c>
      <c r="BC221" s="22">
        <f>VLOOKUP($A221,tabCustoUnit[],COLUMN(CUSTO_GLOBAL[[#Headers],[Submódulo 4.1]])-2,0)*($G221-$H221)</f>
        <v>290.66619401637035</v>
      </c>
      <c r="BD221" s="22">
        <f>VLOOKUP($A221,tabCustoUnit[],COLUMN(CUSTO_GLOBAL[[#Headers],[Intervalo para Repouso ou Alimentação]])-2,0)*($G221-$H221)</f>
        <v>0</v>
      </c>
      <c r="BE221" s="22">
        <f>VLOOKUP($A221,tabCustoUnit[],COLUMN(CUSTO_GLOBAL[[#Headers],[Submódulo 4.2]])-2,0)*($G221-$H221)</f>
        <v>0</v>
      </c>
      <c r="BF221" s="22">
        <f>VLOOKUP($A221,tabCustoUnit[],COLUMN(CUSTO_GLOBAL[[#Headers],[Suspensão Temporária do Contrato de Trabalho]])-2,0)*($G221-$H221)</f>
        <v>0</v>
      </c>
      <c r="BG221" s="22">
        <f>VLOOKUP($A221,tabCustoUnit[],COLUMN(CUSTO_GLOBAL[[#Headers],[Submódulo 4.3]])-2,0)*($G221-$H221)</f>
        <v>0</v>
      </c>
      <c r="BH221" s="22">
        <f>VLOOKUP($A221,tabCustoUnit[],COLUMN(CUSTO_GLOBAL[[#Headers],[MÓDULO 4 – CUSTO DE REPOSIÇÃO DO PROFISSIONAL AUSENTE]])-2,0)*($G221-$H221)</f>
        <v>290.66619401637035</v>
      </c>
      <c r="BI221" s="22">
        <f>VLOOKUP($A221,tabCustoUnit[],COLUMN(CUSTO_GLOBAL[[#Headers],[Uniformes e EPIs]])-2,0)*($G221-$H221)</f>
        <v>368.40305508628279</v>
      </c>
      <c r="BJ221" s="22">
        <f>VLOOKUP($A221,tabCustoUnit[],COLUMN(CUSTO_GLOBAL[[#Headers],[Materiais de Consumo]])-2,0)*($G221-$H221)</f>
        <v>0</v>
      </c>
      <c r="BK221" s="22">
        <f>VLOOKUP($A221,tabCustoUnit[],COLUMN(CUSTO_GLOBAL[[#Headers],[Máquinas e Equipamentos (depreciação)]])-2,0)*($G221-$H221)</f>
        <v>0</v>
      </c>
      <c r="BL221" s="22">
        <f>VLOOKUP($A221,tabCustoUnit[],COLUMN(CUSTO_GLOBAL[[#Headers],[Produtos de Limpeza e Materiais de Higiene Pessoal]])-2,0)*($G221-$H221)</f>
        <v>0</v>
      </c>
      <c r="BM221" s="22">
        <f>VLOOKUP($A221,tabCustoUnit[],COLUMN(CUSTO_GLOBAL[[#Headers],[Outros (especificar)]])-2,0)*($G221-$H221)</f>
        <v>0</v>
      </c>
      <c r="BN221" s="22">
        <f>VLOOKUP($A221,tabCustoUnit[],COLUMN(CUSTO_GLOBAL[[#Headers],[MÓDULO 5 – INSUMOS DIVERSOS]])-2,0)*($G221-$H221)</f>
        <v>368.40305508628279</v>
      </c>
      <c r="BO221" s="22" t="e">
        <f ca="1">VLOOKUP($A221,tabCustoUnit[],COLUMN(CUSTO_GLOBAL[[#Headers],[TOTAL MÓDULOS 1+2+3+4+5]])-2,0)*($G221-$H221)</f>
        <v>#NAME?</v>
      </c>
      <c r="BP221" s="22" t="e">
        <f ca="1">VLOOKUP($A221,tabCustoUnit[],COLUMN(CUSTO_GLOBAL[[#Headers],[Custos Indiretos]])-2,0)*($G221-$H221)</f>
        <v>#NAME?</v>
      </c>
      <c r="BQ221" s="22" t="e">
        <f ca="1">VLOOKUP($A221,tabCustoUnit[],COLUMN(CUSTO_GLOBAL[[#Headers],[Lucro]])-2,0)*($G221-$H221)</f>
        <v>#NAME?</v>
      </c>
      <c r="BR221" s="26">
        <f>VLOOKUP($A221,tabCustoUnit[],COLUMN(CUSTO_GLOBAL[[#Headers],[COFINS]])-2,0)</f>
        <v>8.6609686609686695E-2</v>
      </c>
      <c r="BS221" s="26">
        <f>VLOOKUP($A221,tabCustoUnit[],COLUMN(CUSTO_GLOBAL[[#Headers],[PIS]])-2,0)</f>
        <v>1.880341880341882E-2</v>
      </c>
      <c r="BT221" s="28">
        <f>VLOOKUP($A221,tabCustoUnit[],COLUMN(CUSTO_GLOBAL[[#Headers],[ISS]])-2,0)</f>
        <v>0.03</v>
      </c>
      <c r="BU221" s="26">
        <f>VLOOKUP($A221,tabCustoUnit[],COLUMN(CUSTO_GLOBAL[[#Headers],[ISS (Conversão Alíquota s/ fatura)]])-2,0)</f>
        <v>3.4188034188034219E-2</v>
      </c>
      <c r="BV221" s="26">
        <f>VLOOKUP($A221,tabCustoUnit[],COLUMN(CUSTO_GLOBAL[[#Headers],[Resumo de Alíquotas (PIS+CONFINS+ISS)]])-2,0)</f>
        <v>0.1225</v>
      </c>
      <c r="BW221" s="138">
        <f>VLOOKUP($A221,tabCustoUnit[],COLUMN(CUSTO_GLOBAL[[#Headers],[PIS + COFINS + ISS (Total Conversão  Alíquota s/ Fatura)]])-2,0)</f>
        <v>0.13960113960113973</v>
      </c>
      <c r="BX221" s="22" t="e">
        <f ca="1">VLOOKUP($A221,tabCustoUnit[],COLUMN(CUSTO_GLOBAL[[#Headers],[Valor dos Tributos (ISS, PIS, CONFINS)]])-2,0)*($G221-$H221)</f>
        <v>#NAME?</v>
      </c>
      <c r="BY221" s="22" t="e">
        <f ca="1">VLOOKUP($A221,tabCustoUnit[],COLUMN(CUSTO_GLOBAL[[#Headers],[MÓDULO 6 – CUSTOS INDIRETOS, TRIBUTOS E LUCRO]])-2,0)*($G221-$H221)</f>
        <v>#NAME?</v>
      </c>
      <c r="BZ221" s="22" t="e">
        <f ca="1">VLOOKUP($A221,tabCustoUnit[],COLUMN(CUSTO_GLOBAL[[#Headers],[CUSTO TOTAL MENSAL]])-2,0)*($G221-$H221)</f>
        <v>#NAME?</v>
      </c>
      <c r="CA221" s="22" t="e">
        <f ca="1">CUSTO_GLOBAL[[#This Row],[CUSTO TOTAL MENSAL]]*12</f>
        <v>#NAME?</v>
      </c>
      <c r="CB221" s="24">
        <f>VLOOKUP($A221,tabCustoUnit[],COLUMN(CUSTO_GLOBAL[[#Headers],[ANO DA CCT]])-2,0)</f>
        <v>45658</v>
      </c>
      <c r="CC221" s="25" t="str">
        <f>VLOOKUP($A221,tabCustoUnit[],COLUMN(CUSTO_GLOBAL[[#Headers],[Nº DE PEDIDO DA CCT]])-2,0)</f>
        <v>-</v>
      </c>
      <c r="CD221" s="25" t="str">
        <f>VLOOKUP($A221,tabCustoUnit[],COLUMN(CUSTO_GLOBAL[[#Headers],[TERMO ADITIVO ALTERAÇÃO DA CCT]])-2,0)</f>
        <v>-</v>
      </c>
    </row>
    <row r="222" spans="1:82">
      <c r="A222" s="20" t="s">
        <v>1652</v>
      </c>
      <c r="B222" t="s">
        <v>939</v>
      </c>
      <c r="C222" t="s">
        <v>304</v>
      </c>
      <c r="D222" t="s">
        <v>939</v>
      </c>
      <c r="E222" s="20" t="s">
        <v>1090</v>
      </c>
      <c r="F222" s="20" t="s">
        <v>120</v>
      </c>
      <c r="G222" s="20">
        <v>2</v>
      </c>
      <c r="H222" s="20">
        <v>0</v>
      </c>
      <c r="I222" s="21">
        <f>VLOOKUP($A222,tabCustoUnit[],COLUMN(CUSTO_GLOBAL[[#Headers],[Salário Base]])-2,0)*($G222-$H222)</f>
        <v>4269.607</v>
      </c>
      <c r="J222" s="21">
        <f>VLOOKUP($A222,tabCustoUnit[],COLUMN(CUSTO_GLOBAL[[#Headers],[Adicional Periculosidade]])-2,0)*($G222-$H222)</f>
        <v>0</v>
      </c>
      <c r="K222" s="21">
        <f>VLOOKUP($A222,tabCustoUnit[],COLUMN(CUSTO_GLOBAL[[#Headers],[Adicional Insalubridade]])-2,0)*($G222-$H222)</f>
        <v>0</v>
      </c>
      <c r="L222" s="21">
        <f>VLOOKUP($A222,tabCustoUnit[],COLUMN(CUSTO_GLOBAL[[#Headers],[Adicional Noturno]])-2,0)*($G222-$H222)</f>
        <v>0</v>
      </c>
      <c r="M222" s="21">
        <f>VLOOKUP($A222,tabCustoUnit[],COLUMN(CUSTO_GLOBAL[[#Headers],[Adicional Motorista II (Gratificação)]])-2,0)*($G222-$H222)</f>
        <v>0</v>
      </c>
      <c r="N222" s="21">
        <f>VLOOKUP($A222,tabCustoUnit[],COLUMN(CUSTO_GLOBAL[[#Headers],[Adicional de Sobreaviso]])-2,0)*($G222-$H222)</f>
        <v>0</v>
      </c>
      <c r="O222" s="21">
        <f>VLOOKUP($A222,tabCustoUnit[],COLUMN(CUSTO_GLOBAL[[#Headers],[Horas Extras TI]])-2,0)*($G222-$H222)</f>
        <v>0</v>
      </c>
      <c r="P222" s="21">
        <f>VLOOKUP($A222,tabCustoUnit[],COLUMN(CUSTO_GLOBAL[[#Headers],[Adicional de Acúmulo de função]])-2,0)*($G222-$H222)</f>
        <v>0</v>
      </c>
      <c r="Q222" s="21">
        <f>VLOOKUP($A222,tabCustoUnit[],COLUMN(CUSTO_GLOBAL[[#Headers],[MODULO 1 - REMUNERAÇÃO ]])-2,0)*($G222-$H222)</f>
        <v>4269.607</v>
      </c>
      <c r="R222" s="21">
        <f>VLOOKUP($A222,tabCustoUnit[],COLUMN(CUSTO_GLOBAL[[#Headers],[INSS]])-2,0)*($G222-$H222)</f>
        <v>853.92140000000006</v>
      </c>
      <c r="S222" s="21">
        <f>VLOOKUP($A222,tabCustoUnit[],COLUMN(CUSTO_GLOBAL[[#Headers],[SESI OU SESC]])-2,0)*($G222-$H222)</f>
        <v>64.044105000000002</v>
      </c>
      <c r="T222" s="21">
        <f>VLOOKUP($A222,tabCustoUnit[],COLUMN(CUSTO_GLOBAL[[#Headers],[SENAI OU SENAC]])-2,0)*($G222-$H222)</f>
        <v>42.696069999999999</v>
      </c>
      <c r="U222" s="21">
        <f>VLOOKUP($A222,tabCustoUnit[],COLUMN(CUSTO_GLOBAL[[#Headers],[INCRA]])-2,0)*($G222-$H222)</f>
        <v>8.5392139999999994</v>
      </c>
      <c r="V222" s="21">
        <f>VLOOKUP($A222,tabCustoUnit[],COLUMN(CUSTO_GLOBAL[[#Headers],[Salário Educação]])-2,0)*($G222-$H222)</f>
        <v>106.74017500000001</v>
      </c>
      <c r="W222" s="21">
        <f>VLOOKUP($A222,tabCustoUnit[],COLUMN(CUSTO_GLOBAL[[#Headers],[FGTS]])-2,0)*($G222-$H222)</f>
        <v>341.56855999999999</v>
      </c>
      <c r="X222" s="21">
        <f>VLOOKUP($A222,tabCustoUnit[],COLUMN(CUSTO_GLOBAL[[#Headers],[RAT Ajustado]])-2,0)*($G222-$H222)</f>
        <v>170.78428</v>
      </c>
      <c r="Y222" s="21">
        <f>VLOOKUP($A222,tabCustoUnit[],COLUMN(CUSTO_GLOBAL[[#Headers],[SEBRAE]])-2,0)*($G222-$H222)</f>
        <v>25.617642</v>
      </c>
      <c r="Z222" s="21">
        <f>VLOOKUP($A222,tabCustoUnit[],COLUMN(CUSTO_GLOBAL[[#Headers],[Submódulo 2.1]])-2,0)*($G222-$H222)</f>
        <v>1613.9114460000001</v>
      </c>
      <c r="AA222" s="21">
        <f>VLOOKUP($A222,tabCustoUnit[],COLUMN(CUSTO_GLOBAL[[#Headers],[13º salário (titular)]])-2,0)*($G222-$H222)</f>
        <v>355.80058333333329</v>
      </c>
      <c r="AB222" s="21">
        <f>VLOOKUP($A222,tabCustoUnit[],COLUMN(CUSTO_GLOBAL[[#Headers],[Férias e Adicional de Férias (titular)]])-2,0)*($G222-$H222)</f>
        <v>474.40077777777776</v>
      </c>
      <c r="AC222" s="21">
        <f>VLOOKUP($A222,tabCustoUnit[],COLUMN(CUSTO_GLOBAL[[#Headers],[Incidência do Submódulo 2.1 sobre 13º Salário, Férias e Adicional de Férias]])-2,0)*($G222-$H222)</f>
        <v>313.81611449999997</v>
      </c>
      <c r="AD222" s="21">
        <f>VLOOKUP($A222,tabCustoUnit[],COLUMN(CUSTO_GLOBAL[[#Headers],[Submódulo 2.2]])-2,0)*($G222-$H222)</f>
        <v>1144.017475611111</v>
      </c>
      <c r="AE222" s="22" t="e">
        <f ca="1">VLOOKUP($A222,tabCustoUnit[],COLUMN(CUSTO_GLOBAL[[#Headers],[Vale - Transporte (Descontada parcela do empregado)]])-2,0)*($G222-$H222)</f>
        <v>#NAME?</v>
      </c>
      <c r="AF222" s="22">
        <f>VLOOKUP($A222,tabCustoUnit[],COLUMN(CUSTO_GLOBAL[[#Headers],[Vale - Alimentação (Descontada parcela do empregado)]])-2,0)*($G222-$H222)</f>
        <v>1164</v>
      </c>
      <c r="AG222" s="22">
        <f>VLOOKUP($A222,tabCustoUnit[],COLUMN(CUSTO_GLOBAL[[#Headers],[Cesta Básica]])-2,0)*($G222-$H222)</f>
        <v>0</v>
      </c>
      <c r="AH222" s="22">
        <f>VLOOKUP($A222,tabCustoUnit[],COLUMN(CUSTO_GLOBAL[[#Headers],[PAF]])-2,0)*($G222-$H222)</f>
        <v>103.72</v>
      </c>
      <c r="AI222" s="22">
        <f>VLOOKUP($A222,tabCustoUnit[],COLUMN(CUSTO_GLOBAL[[#Headers],[PQM]])-2,0)*($G222-$H222)</f>
        <v>0</v>
      </c>
      <c r="AJ222" s="22">
        <v>0</v>
      </c>
      <c r="AK222" s="22">
        <f>VLOOKUP($A222,tabCustoUnit[],COLUMN(CUSTO_GLOBAL[[#Headers],[Seguro de Vida]])-2,0)*($G222-$H222)</f>
        <v>6.72</v>
      </c>
      <c r="AL222" s="22">
        <f>VLOOKUP($A222,tabCustoUnit[],COLUMN(CUSTO_GLOBAL[[#Headers],[Despesas de Viagem]])-2,0)*($G222-$H222)</f>
        <v>0</v>
      </c>
      <c r="AM222" s="22" t="e">
        <f ca="1">VLOOKUP($A222,tabCustoUnit[],COLUMN(CUSTO_GLOBAL[[#Headers],[Submódulo 2.3]])-2,0)*($G222-$H222)</f>
        <v>#NAME?</v>
      </c>
      <c r="AN222" s="22" t="e">
        <f ca="1">VLOOKUP($A222,tabCustoUnit[],COLUMN(CUSTO_GLOBAL[[#Headers],[MÓDULO 2 - Total Encargos e Benefícios mensais e diários]])-2,0)*($G222-$H222)</f>
        <v>#NAME?</v>
      </c>
      <c r="AO222" s="22">
        <f>VLOOKUP($A222,tabCustoUnit[],COLUMN(CUSTO_GLOBAL[[#Headers],[Aviso Prévio Indenizado (API) e Reflexo do Aviso Prévio Indenizado]])-2,0)*($G222-$H222)</f>
        <v>29.937489360146603</v>
      </c>
      <c r="AP222" s="22">
        <f>VLOOKUP($A222,tabCustoUnit[],COLUMN(CUSTO_GLOBAL[[#Headers],[Incidência do FGTS sobre API e Reflexo do API]])-2,0)*($G222-$H222)</f>
        <v>2.3949991488117286</v>
      </c>
      <c r="AQ222" s="22">
        <f>VLOOKUP($A222,tabCustoUnit[],COLUMN(CUSTO_GLOBAL[[#Headers],[Multa Rescisória do FGTS sobre o Aviso Prévio Indenizado]])-2,0)*($G222-$H222)</f>
        <v>0.95799965952469157</v>
      </c>
      <c r="AR222" s="22">
        <f>VLOOKUP($A222,tabCustoUnit[],COLUMN(CUSTO_GLOBAL[[#Headers],[Aviso Prévio Trabalhado - APT]])-2,0)*($G222-$H222)</f>
        <v>14.943624500000002</v>
      </c>
      <c r="AS222" s="22">
        <f>VLOOKUP($A222,tabCustoUnit[],COLUMN(CUSTO_GLOBAL[[#Headers],[Incidência dos encargos do submódulo 2.1 sobre Aviso Prévio Trabalhado]])-2,0)*($G222-$H222)</f>
        <v>5.6486900610000017</v>
      </c>
      <c r="AT222" s="22">
        <f>VLOOKUP($A222,tabCustoUnit[],COLUMN(CUSTO_GLOBAL[[#Headers],[Multa Rescisória do FGTS]])-2,0)*($G222-$H222)</f>
        <v>130.55509404444442</v>
      </c>
      <c r="AU222" s="22">
        <f>VLOOKUP($A222,tabCustoUnit[],COLUMN(CUSTO_GLOBAL[[#Headers],[Indenização Adicional (Art. 9º da Lei nº 7.238/84)]])-2,0)*($G222-$H222)</f>
        <v>3.5580058333333335</v>
      </c>
      <c r="AV222" s="22">
        <f>VLOOKUP($A222,tabCustoUnit[],COLUMN(CUSTO_GLOBAL[[#Headers],[MÓDULO 3 – PROVISÃO PARA RESCISÃO]])-2,0)*($G222-$H222)</f>
        <v>187.99590260726077</v>
      </c>
      <c r="AW222" s="22">
        <f>VLOOKUP($A222,tabCustoUnit[],COLUMN(CUSTO_GLOBAL[[#Headers],[Ausência por Doença]])-2,0)*($G222-$H222)</f>
        <v>36.054459111111107</v>
      </c>
      <c r="AX222" s="22">
        <f>VLOOKUP($A222,tabCustoUnit[],COLUMN(CUSTO_GLOBAL[[#Headers],[Ausências Legais]])-2,0)*($G222-$H222)</f>
        <v>8.6578141944444447</v>
      </c>
      <c r="AY222" s="22">
        <f>VLOOKUP($A222,tabCustoUnit[],COLUMN(CUSTO_GLOBAL[[#Headers],[Licença Paternidade]])-2,0)*($G222-$H222)</f>
        <v>0.72939119583333334</v>
      </c>
      <c r="AZ222" s="22">
        <f>VLOOKUP($A222,tabCustoUnit[],COLUMN(CUSTO_GLOBAL[[#Headers],[Ausência por Acidente de Trabalho]])-2,0)*($G222-$H222)</f>
        <v>0.88950145833333338</v>
      </c>
      <c r="BA222" s="22">
        <f>VLOOKUP($A222,tabCustoUnit[],COLUMN(CUSTO_GLOBAL[[#Headers],[Férias, Adicional de Férias e 13º  com empregada em gozo de Licença Maternidade]])-2,0)*($G222-$H222)</f>
        <v>5.5346757407407408</v>
      </c>
      <c r="BB222" s="22">
        <f>VLOOKUP($A222,tabCustoUnit[],COLUMN(CUSTO_GLOBAL[[#Headers],[Incidência do Submódulo 2.1 sobre Ausências Legais]])-2,0)*($G222-$H222)</f>
        <v>19.605288162775004</v>
      </c>
      <c r="BC222" s="22">
        <f>VLOOKUP($A222,tabCustoUnit[],COLUMN(CUSTO_GLOBAL[[#Headers],[Submódulo 4.1]])-2,0)*($G222-$H222)</f>
        <v>71.471129863237962</v>
      </c>
      <c r="BD222" s="22">
        <f>VLOOKUP($A222,tabCustoUnit[],COLUMN(CUSTO_GLOBAL[[#Headers],[Intervalo para Repouso ou Alimentação]])-2,0)*($G222-$H222)</f>
        <v>472.70648705651831</v>
      </c>
      <c r="BE222" s="22">
        <f>VLOOKUP($A222,tabCustoUnit[],COLUMN(CUSTO_GLOBAL[[#Headers],[Submódulo 4.2]])-2,0)*($G222-$H222)</f>
        <v>472.70648705651831</v>
      </c>
      <c r="BF222" s="22">
        <f>VLOOKUP($A222,tabCustoUnit[],COLUMN(CUSTO_GLOBAL[[#Headers],[Suspensão Temporária do Contrato de Trabalho]])-2,0)*($G222-$H222)</f>
        <v>0</v>
      </c>
      <c r="BG222" s="22">
        <f>VLOOKUP($A222,tabCustoUnit[],COLUMN(CUSTO_GLOBAL[[#Headers],[Submódulo 4.3]])-2,0)*($G222-$H222)</f>
        <v>0</v>
      </c>
      <c r="BH222" s="22">
        <f>VLOOKUP($A222,tabCustoUnit[],COLUMN(CUSTO_GLOBAL[[#Headers],[MÓDULO 4 – CUSTO DE REPOSIÇÃO DO PROFISSIONAL AUSENTE]])-2,0)*($G222-$H222)</f>
        <v>544.17761691975625</v>
      </c>
      <c r="BI222" s="22">
        <f>VLOOKUP($A222,tabCustoUnit[],COLUMN(CUSTO_GLOBAL[[#Headers],[Uniformes e EPIs]])-2,0)*($G222-$H222)</f>
        <v>113.28595792508679</v>
      </c>
      <c r="BJ222" s="22">
        <f>VLOOKUP($A222,tabCustoUnit[],COLUMN(CUSTO_GLOBAL[[#Headers],[Materiais de Consumo]])-2,0)*($G222-$H222)</f>
        <v>0</v>
      </c>
      <c r="BK222" s="22">
        <f>VLOOKUP($A222,tabCustoUnit[],COLUMN(CUSTO_GLOBAL[[#Headers],[Máquinas e Equipamentos (depreciação)]])-2,0)*($G222-$H222)</f>
        <v>0</v>
      </c>
      <c r="BL222" s="22">
        <f>VLOOKUP($A222,tabCustoUnit[],COLUMN(CUSTO_GLOBAL[[#Headers],[Produtos de Limpeza e Materiais de Higiene Pessoal]])-2,0)*($G222-$H222)</f>
        <v>0</v>
      </c>
      <c r="BM222" s="22">
        <f>VLOOKUP($A222,tabCustoUnit[],COLUMN(CUSTO_GLOBAL[[#Headers],[Outros (especificar)]])-2,0)*($G222-$H222)</f>
        <v>0</v>
      </c>
      <c r="BN222" s="22">
        <f>VLOOKUP($A222,tabCustoUnit[],COLUMN(CUSTO_GLOBAL[[#Headers],[MÓDULO 5 – INSUMOS DIVERSOS]])-2,0)*($G222-$H222)</f>
        <v>113.28595792508679</v>
      </c>
      <c r="BO222" s="22" t="e">
        <f ca="1">VLOOKUP($A222,tabCustoUnit[],COLUMN(CUSTO_GLOBAL[[#Headers],[TOTAL MÓDULOS 1+2+3+4+5]])-2,0)*($G222-$H222)</f>
        <v>#NAME?</v>
      </c>
      <c r="BP222" s="22" t="e">
        <f ca="1">VLOOKUP($A222,tabCustoUnit[],COLUMN(CUSTO_GLOBAL[[#Headers],[Custos Indiretos]])-2,0)*($G222-$H222)</f>
        <v>#NAME?</v>
      </c>
      <c r="BQ222" s="22" t="e">
        <f ca="1">VLOOKUP($A222,tabCustoUnit[],COLUMN(CUSTO_GLOBAL[[#Headers],[Lucro]])-2,0)*($G222-$H222)</f>
        <v>#NAME?</v>
      </c>
      <c r="BR222" s="26">
        <f>VLOOKUP($A222,tabCustoUnit[],COLUMN(CUSTO_GLOBAL[[#Headers],[COFINS]])-2,0)</f>
        <v>8.6609686609686695E-2</v>
      </c>
      <c r="BS222" s="26">
        <f>VLOOKUP($A222,tabCustoUnit[],COLUMN(CUSTO_GLOBAL[[#Headers],[PIS]])-2,0)</f>
        <v>1.880341880341882E-2</v>
      </c>
      <c r="BT222" s="28">
        <f>VLOOKUP($A222,tabCustoUnit[],COLUMN(CUSTO_GLOBAL[[#Headers],[ISS]])-2,0)</f>
        <v>0.03</v>
      </c>
      <c r="BU222" s="26">
        <f>VLOOKUP($A222,tabCustoUnit[],COLUMN(CUSTO_GLOBAL[[#Headers],[ISS (Conversão Alíquota s/ fatura)]])-2,0)</f>
        <v>3.4188034188034219E-2</v>
      </c>
      <c r="BV222" s="26">
        <f>VLOOKUP($A222,tabCustoUnit[],COLUMN(CUSTO_GLOBAL[[#Headers],[Resumo de Alíquotas (PIS+CONFINS+ISS)]])-2,0)</f>
        <v>0.1225</v>
      </c>
      <c r="BW222" s="138">
        <f>VLOOKUP($A222,tabCustoUnit[],COLUMN(CUSTO_GLOBAL[[#Headers],[PIS + COFINS + ISS (Total Conversão  Alíquota s/ Fatura)]])-2,0)</f>
        <v>0.13960113960113973</v>
      </c>
      <c r="BX222" s="22" t="e">
        <f ca="1">VLOOKUP($A222,tabCustoUnit[],COLUMN(CUSTO_GLOBAL[[#Headers],[Valor dos Tributos (ISS, PIS, CONFINS)]])-2,0)*($G222-$H222)</f>
        <v>#NAME?</v>
      </c>
      <c r="BY222" s="22" t="e">
        <f ca="1">VLOOKUP($A222,tabCustoUnit[],COLUMN(CUSTO_GLOBAL[[#Headers],[MÓDULO 6 – CUSTOS INDIRETOS, TRIBUTOS E LUCRO]])-2,0)*($G222-$H222)</f>
        <v>#NAME?</v>
      </c>
      <c r="BZ222" s="22" t="e">
        <f ca="1">VLOOKUP($A222,tabCustoUnit[],COLUMN(CUSTO_GLOBAL[[#Headers],[CUSTO TOTAL MENSAL]])-2,0)*($G222-$H222)</f>
        <v>#NAME?</v>
      </c>
      <c r="CA222" s="22" t="e">
        <f ca="1">CUSTO_GLOBAL[[#This Row],[CUSTO TOTAL MENSAL]]*12</f>
        <v>#NAME?</v>
      </c>
      <c r="CB222" s="24">
        <f>VLOOKUP($A222,tabCustoUnit[],COLUMN(CUSTO_GLOBAL[[#Headers],[ANO DA CCT]])-2,0)</f>
        <v>45658</v>
      </c>
      <c r="CC222" s="25" t="str">
        <f>VLOOKUP($A222,tabCustoUnit[],COLUMN(CUSTO_GLOBAL[[#Headers],[Nº DE PEDIDO DA CCT]])-2,0)</f>
        <v>-</v>
      </c>
      <c r="CD222" s="25" t="str">
        <f>VLOOKUP($A222,tabCustoUnit[],COLUMN(CUSTO_GLOBAL[[#Headers],[TERMO ADITIVO ALTERAÇÃO DA CCT]])-2,0)</f>
        <v>-</v>
      </c>
    </row>
    <row r="223" spans="1:82">
      <c r="A223" s="20" t="s">
        <v>1653</v>
      </c>
      <c r="B223" t="s">
        <v>939</v>
      </c>
      <c r="C223" t="s">
        <v>309</v>
      </c>
      <c r="D223" t="s">
        <v>939</v>
      </c>
      <c r="E223" s="20" t="s">
        <v>1090</v>
      </c>
      <c r="F223" s="20" t="s">
        <v>120</v>
      </c>
      <c r="G223" s="20">
        <v>2</v>
      </c>
      <c r="H223" s="20">
        <v>0</v>
      </c>
      <c r="I223" s="21">
        <f>VLOOKUP($A223,tabCustoUnit[],COLUMN(CUSTO_GLOBAL[[#Headers],[Salário Base]])-2,0)*($G223-$H223)</f>
        <v>4269.607</v>
      </c>
      <c r="J223" s="21">
        <f>VLOOKUP($A223,tabCustoUnit[],COLUMN(CUSTO_GLOBAL[[#Headers],[Adicional Periculosidade]])-2,0)*($G223-$H223)</f>
        <v>0</v>
      </c>
      <c r="K223" s="21">
        <f>VLOOKUP($A223,tabCustoUnit[],COLUMN(CUSTO_GLOBAL[[#Headers],[Adicional Insalubridade]])-2,0)*($G223-$H223)</f>
        <v>0</v>
      </c>
      <c r="L223" s="21">
        <f>VLOOKUP($A223,tabCustoUnit[],COLUMN(CUSTO_GLOBAL[[#Headers],[Adicional Noturno]])-2,0)*($G223-$H223)</f>
        <v>860.32579999999996</v>
      </c>
      <c r="M223" s="21">
        <f>VLOOKUP($A223,tabCustoUnit[],COLUMN(CUSTO_GLOBAL[[#Headers],[Adicional Motorista II (Gratificação)]])-2,0)*($G223-$H223)</f>
        <v>0</v>
      </c>
      <c r="N223" s="21">
        <f>VLOOKUP($A223,tabCustoUnit[],COLUMN(CUSTO_GLOBAL[[#Headers],[Adicional de Sobreaviso]])-2,0)*($G223-$H223)</f>
        <v>0</v>
      </c>
      <c r="O223" s="21">
        <f>VLOOKUP($A223,tabCustoUnit[],COLUMN(CUSTO_GLOBAL[[#Headers],[Horas Extras TI]])-2,0)*($G223-$H223)</f>
        <v>0</v>
      </c>
      <c r="P223" s="21">
        <f>VLOOKUP($A223,tabCustoUnit[],COLUMN(CUSTO_GLOBAL[[#Headers],[Adicional de Acúmulo de função]])-2,0)*($G223-$H223)</f>
        <v>0</v>
      </c>
      <c r="Q223" s="21">
        <f>VLOOKUP($A223,tabCustoUnit[],COLUMN(CUSTO_GLOBAL[[#Headers],[MODULO 1 - REMUNERAÇÃO ]])-2,0)*($G223-$H223)</f>
        <v>5129.9327999999996</v>
      </c>
      <c r="R223" s="21">
        <f>VLOOKUP($A223,tabCustoUnit[],COLUMN(CUSTO_GLOBAL[[#Headers],[INSS]])-2,0)*($G223-$H223)</f>
        <v>1025.9865600000001</v>
      </c>
      <c r="S223" s="21">
        <f>VLOOKUP($A223,tabCustoUnit[],COLUMN(CUSTO_GLOBAL[[#Headers],[SESI OU SESC]])-2,0)*($G223-$H223)</f>
        <v>76.94899199999999</v>
      </c>
      <c r="T223" s="21">
        <f>VLOOKUP($A223,tabCustoUnit[],COLUMN(CUSTO_GLOBAL[[#Headers],[SENAI OU SENAC]])-2,0)*($G223-$H223)</f>
        <v>51.299327999999996</v>
      </c>
      <c r="U223" s="21">
        <f>VLOOKUP($A223,tabCustoUnit[],COLUMN(CUSTO_GLOBAL[[#Headers],[INCRA]])-2,0)*($G223-$H223)</f>
        <v>10.259865599999999</v>
      </c>
      <c r="V223" s="21">
        <f>VLOOKUP($A223,tabCustoUnit[],COLUMN(CUSTO_GLOBAL[[#Headers],[Salário Educação]])-2,0)*($G223-$H223)</f>
        <v>128.24832000000001</v>
      </c>
      <c r="W223" s="21">
        <f>VLOOKUP($A223,tabCustoUnit[],COLUMN(CUSTO_GLOBAL[[#Headers],[FGTS]])-2,0)*($G223-$H223)</f>
        <v>410.39462399999996</v>
      </c>
      <c r="X223" s="21">
        <f>VLOOKUP($A223,tabCustoUnit[],COLUMN(CUSTO_GLOBAL[[#Headers],[RAT Ajustado]])-2,0)*($G223-$H223)</f>
        <v>205.19731199999998</v>
      </c>
      <c r="Y223" s="21">
        <f>VLOOKUP($A223,tabCustoUnit[],COLUMN(CUSTO_GLOBAL[[#Headers],[SEBRAE]])-2,0)*($G223-$H223)</f>
        <v>30.779596799999997</v>
      </c>
      <c r="Z223" s="21">
        <f>VLOOKUP($A223,tabCustoUnit[],COLUMN(CUSTO_GLOBAL[[#Headers],[Submódulo 2.1]])-2,0)*($G223-$H223)</f>
        <v>1939.1145984000002</v>
      </c>
      <c r="AA223" s="21">
        <f>VLOOKUP($A223,tabCustoUnit[],COLUMN(CUSTO_GLOBAL[[#Headers],[13º salário (titular)]])-2,0)*($G223-$H223)</f>
        <v>427.49439999999993</v>
      </c>
      <c r="AB223" s="21">
        <f>VLOOKUP($A223,tabCustoUnit[],COLUMN(CUSTO_GLOBAL[[#Headers],[Férias e Adicional de Férias (titular)]])-2,0)*($G223-$H223)</f>
        <v>569.9925333333332</v>
      </c>
      <c r="AC223" s="21">
        <f>VLOOKUP($A223,tabCustoUnit[],COLUMN(CUSTO_GLOBAL[[#Headers],[Incidência do Submódulo 2.1 sobre 13º Salário, Férias e Adicional de Férias]])-2,0)*($G223-$H223)</f>
        <v>377.05006079999998</v>
      </c>
      <c r="AD223" s="21">
        <f>VLOOKUP($A223,tabCustoUnit[],COLUMN(CUSTO_GLOBAL[[#Headers],[Submódulo 2.2]])-2,0)*($G223-$H223)</f>
        <v>1374.5369941333331</v>
      </c>
      <c r="AE223" s="22" t="e">
        <f ca="1">VLOOKUP($A223,tabCustoUnit[],COLUMN(CUSTO_GLOBAL[[#Headers],[Vale - Transporte (Descontada parcela do empregado)]])-2,0)*($G223-$H223)</f>
        <v>#NAME?</v>
      </c>
      <c r="AF223" s="22">
        <f>VLOOKUP($A223,tabCustoUnit[],COLUMN(CUSTO_GLOBAL[[#Headers],[Vale - Alimentação (Descontada parcela do empregado)]])-2,0)*($G223-$H223)</f>
        <v>1164</v>
      </c>
      <c r="AG223" s="22">
        <f>VLOOKUP($A223,tabCustoUnit[],COLUMN(CUSTO_GLOBAL[[#Headers],[Cesta Básica]])-2,0)*($G223-$H223)</f>
        <v>0</v>
      </c>
      <c r="AH223" s="22">
        <f>VLOOKUP($A223,tabCustoUnit[],COLUMN(CUSTO_GLOBAL[[#Headers],[PAF]])-2,0)*($G223-$H223)</f>
        <v>103.72</v>
      </c>
      <c r="AI223" s="22">
        <f>VLOOKUP($A223,tabCustoUnit[],COLUMN(CUSTO_GLOBAL[[#Headers],[PQM]])-2,0)*($G223-$H223)</f>
        <v>0</v>
      </c>
      <c r="AJ223" s="22">
        <v>0</v>
      </c>
      <c r="AK223" s="22">
        <f>VLOOKUP($A223,tabCustoUnit[],COLUMN(CUSTO_GLOBAL[[#Headers],[Seguro de Vida]])-2,0)*($G223-$H223)</f>
        <v>6.72</v>
      </c>
      <c r="AL223" s="22">
        <f>VLOOKUP($A223,tabCustoUnit[],COLUMN(CUSTO_GLOBAL[[#Headers],[Despesas de Viagem]])-2,0)*($G223-$H223)</f>
        <v>0</v>
      </c>
      <c r="AM223" s="22" t="e">
        <f ca="1">VLOOKUP($A223,tabCustoUnit[],COLUMN(CUSTO_GLOBAL[[#Headers],[Submódulo 2.3]])-2,0)*($G223-$H223)</f>
        <v>#NAME?</v>
      </c>
      <c r="AN223" s="22" t="e">
        <f ca="1">VLOOKUP($A223,tabCustoUnit[],COLUMN(CUSTO_GLOBAL[[#Headers],[MÓDULO 2 - Total Encargos e Benefícios mensais e diários]])-2,0)*($G223-$H223)</f>
        <v>#NAME?</v>
      </c>
      <c r="AO223" s="22">
        <f>VLOOKUP($A223,tabCustoUnit[],COLUMN(CUSTO_GLOBAL[[#Headers],[Aviso Prévio Indenizado (API) e Reflexo do Aviso Prévio Indenizado]])-2,0)*($G223-$H223)</f>
        <v>35.969893392592589</v>
      </c>
      <c r="AP223" s="22">
        <f>VLOOKUP($A223,tabCustoUnit[],COLUMN(CUSTO_GLOBAL[[#Headers],[Incidência do FGTS sobre API e Reflexo do API]])-2,0)*($G223-$H223)</f>
        <v>2.8775914714074076</v>
      </c>
      <c r="AQ223" s="22">
        <f>VLOOKUP($A223,tabCustoUnit[],COLUMN(CUSTO_GLOBAL[[#Headers],[Multa Rescisória do FGTS sobre o Aviso Prévio Indenizado]])-2,0)*($G223-$H223)</f>
        <v>1.151036588562963</v>
      </c>
      <c r="AR223" s="22">
        <f>VLOOKUP($A223,tabCustoUnit[],COLUMN(CUSTO_GLOBAL[[#Headers],[Aviso Prévio Trabalhado - APT]])-2,0)*($G223-$H223)</f>
        <v>17.9547648</v>
      </c>
      <c r="AS223" s="22">
        <f>VLOOKUP($A223,tabCustoUnit[],COLUMN(CUSTO_GLOBAL[[#Headers],[Incidência dos encargos do submódulo 2.1 sobre Aviso Prévio Trabalhado]])-2,0)*($G223-$H223)</f>
        <v>6.7869010944000019</v>
      </c>
      <c r="AT223" s="22">
        <f>VLOOKUP($A223,tabCustoUnit[],COLUMN(CUSTO_GLOBAL[[#Headers],[Multa Rescisória do FGTS]])-2,0)*($G223-$H223)</f>
        <v>156.86194517333331</v>
      </c>
      <c r="AU223" s="22">
        <f>VLOOKUP($A223,tabCustoUnit[],COLUMN(CUSTO_GLOBAL[[#Headers],[Indenização Adicional (Art. 9º da Lei nº 7.238/84)]])-2,0)*($G223-$H223)</f>
        <v>4.2749439999999996</v>
      </c>
      <c r="AV223" s="22">
        <f>VLOOKUP($A223,tabCustoUnit[],COLUMN(CUSTO_GLOBAL[[#Headers],[MÓDULO 3 – PROVISÃO PARA RESCISÃO]])-2,0)*($G223-$H223)</f>
        <v>225.87707652029627</v>
      </c>
      <c r="AW223" s="22">
        <f>VLOOKUP($A223,tabCustoUnit[],COLUMN(CUSTO_GLOBAL[[#Headers],[Ausência por Doença]])-2,0)*($G223-$H223)</f>
        <v>43.319432533333327</v>
      </c>
      <c r="AX223" s="22">
        <f>VLOOKUP($A223,tabCustoUnit[],COLUMN(CUSTO_GLOBAL[[#Headers],[Ausências Legais]])-2,0)*($G223-$H223)</f>
        <v>10.402363733333331</v>
      </c>
      <c r="AY223" s="22">
        <f>VLOOKUP($A223,tabCustoUnit[],COLUMN(CUSTO_GLOBAL[[#Headers],[Licença Paternidade]])-2,0)*($G223-$H223)</f>
        <v>0.87636351999999995</v>
      </c>
      <c r="AZ223" s="22">
        <f>VLOOKUP($A223,tabCustoUnit[],COLUMN(CUSTO_GLOBAL[[#Headers],[Ausência por Acidente de Trabalho]])-2,0)*($G223-$H223)</f>
        <v>1.0687359999999999</v>
      </c>
      <c r="BA223" s="22">
        <f>VLOOKUP($A223,tabCustoUnit[],COLUMN(CUSTO_GLOBAL[[#Headers],[Férias, Adicional de Férias e 13º  com empregada em gozo de Licença Maternidade]])-2,0)*($G223-$H223)</f>
        <v>6.6499128888888883</v>
      </c>
      <c r="BB223" s="22">
        <f>VLOOKUP($A223,tabCustoUnit[],COLUMN(CUSTO_GLOBAL[[#Headers],[Incidência do Submódulo 2.1 sobre Ausências Legais]])-2,0)*($G223-$H223)</f>
        <v>23.555753679360002</v>
      </c>
      <c r="BC223" s="22">
        <f>VLOOKUP($A223,tabCustoUnit[],COLUMN(CUSTO_GLOBAL[[#Headers],[Submódulo 4.1]])-2,0)*($G223-$H223)</f>
        <v>85.872562354915544</v>
      </c>
      <c r="BD223" s="22">
        <f>VLOOKUP($A223,tabCustoUnit[],COLUMN(CUSTO_GLOBAL[[#Headers],[Intervalo para Repouso ou Alimentação]])-2,0)*($G223-$H223)</f>
        <v>567.95684419840688</v>
      </c>
      <c r="BE223" s="22">
        <f>VLOOKUP($A223,tabCustoUnit[],COLUMN(CUSTO_GLOBAL[[#Headers],[Submódulo 4.2]])-2,0)*($G223-$H223)</f>
        <v>567.95684419840688</v>
      </c>
      <c r="BF223" s="22">
        <f>VLOOKUP($A223,tabCustoUnit[],COLUMN(CUSTO_GLOBAL[[#Headers],[Suspensão Temporária do Contrato de Trabalho]])-2,0)*($G223-$H223)</f>
        <v>0</v>
      </c>
      <c r="BG223" s="22">
        <f>VLOOKUP($A223,tabCustoUnit[],COLUMN(CUSTO_GLOBAL[[#Headers],[Submódulo 4.3]])-2,0)*($G223-$H223)</f>
        <v>0</v>
      </c>
      <c r="BH223" s="22">
        <f>VLOOKUP($A223,tabCustoUnit[],COLUMN(CUSTO_GLOBAL[[#Headers],[MÓDULO 4 – CUSTO DE REPOSIÇÃO DO PROFISSIONAL AUSENTE]])-2,0)*($G223-$H223)</f>
        <v>653.82940655332243</v>
      </c>
      <c r="BI223" s="22">
        <f>VLOOKUP($A223,tabCustoUnit[],COLUMN(CUSTO_GLOBAL[[#Headers],[Uniformes e EPIs]])-2,0)*($G223-$H223)</f>
        <v>113.28595792508679</v>
      </c>
      <c r="BJ223" s="22">
        <f>VLOOKUP($A223,tabCustoUnit[],COLUMN(CUSTO_GLOBAL[[#Headers],[Materiais de Consumo]])-2,0)*($G223-$H223)</f>
        <v>0</v>
      </c>
      <c r="BK223" s="22">
        <f>VLOOKUP($A223,tabCustoUnit[],COLUMN(CUSTO_GLOBAL[[#Headers],[Máquinas e Equipamentos (depreciação)]])-2,0)*($G223-$H223)</f>
        <v>0</v>
      </c>
      <c r="BL223" s="22">
        <f>VLOOKUP($A223,tabCustoUnit[],COLUMN(CUSTO_GLOBAL[[#Headers],[Produtos de Limpeza e Materiais de Higiene Pessoal]])-2,0)*($G223-$H223)</f>
        <v>0</v>
      </c>
      <c r="BM223" s="22">
        <f>VLOOKUP($A223,tabCustoUnit[],COLUMN(CUSTO_GLOBAL[[#Headers],[Outros (especificar)]])-2,0)*($G223-$H223)</f>
        <v>0</v>
      </c>
      <c r="BN223" s="22">
        <f>VLOOKUP($A223,tabCustoUnit[],COLUMN(CUSTO_GLOBAL[[#Headers],[MÓDULO 5 – INSUMOS DIVERSOS]])-2,0)*($G223-$H223)</f>
        <v>113.28595792508679</v>
      </c>
      <c r="BO223" s="22" t="e">
        <f ca="1">VLOOKUP($A223,tabCustoUnit[],COLUMN(CUSTO_GLOBAL[[#Headers],[TOTAL MÓDULOS 1+2+3+4+5]])-2,0)*($G223-$H223)</f>
        <v>#NAME?</v>
      </c>
      <c r="BP223" s="22" t="e">
        <f ca="1">VLOOKUP($A223,tabCustoUnit[],COLUMN(CUSTO_GLOBAL[[#Headers],[Custos Indiretos]])-2,0)*($G223-$H223)</f>
        <v>#NAME?</v>
      </c>
      <c r="BQ223" s="22" t="e">
        <f ca="1">VLOOKUP($A223,tabCustoUnit[],COLUMN(CUSTO_GLOBAL[[#Headers],[Lucro]])-2,0)*($G223-$H223)</f>
        <v>#NAME?</v>
      </c>
      <c r="BR223" s="26">
        <f>VLOOKUP($A223,tabCustoUnit[],COLUMN(CUSTO_GLOBAL[[#Headers],[COFINS]])-2,0)</f>
        <v>8.6609686609686695E-2</v>
      </c>
      <c r="BS223" s="26">
        <f>VLOOKUP($A223,tabCustoUnit[],COLUMN(CUSTO_GLOBAL[[#Headers],[PIS]])-2,0)</f>
        <v>1.880341880341882E-2</v>
      </c>
      <c r="BT223" s="28">
        <f>VLOOKUP($A223,tabCustoUnit[],COLUMN(CUSTO_GLOBAL[[#Headers],[ISS]])-2,0)</f>
        <v>0.03</v>
      </c>
      <c r="BU223" s="26">
        <f>VLOOKUP($A223,tabCustoUnit[],COLUMN(CUSTO_GLOBAL[[#Headers],[ISS (Conversão Alíquota s/ fatura)]])-2,0)</f>
        <v>3.4188034188034219E-2</v>
      </c>
      <c r="BV223" s="26">
        <f>VLOOKUP($A223,tabCustoUnit[],COLUMN(CUSTO_GLOBAL[[#Headers],[Resumo de Alíquotas (PIS+CONFINS+ISS)]])-2,0)</f>
        <v>0.1225</v>
      </c>
      <c r="BW223" s="138">
        <f>VLOOKUP($A223,tabCustoUnit[],COLUMN(CUSTO_GLOBAL[[#Headers],[PIS + COFINS + ISS (Total Conversão  Alíquota s/ Fatura)]])-2,0)</f>
        <v>0.13960113960113973</v>
      </c>
      <c r="BX223" s="22" t="e">
        <f ca="1">VLOOKUP($A223,tabCustoUnit[],COLUMN(CUSTO_GLOBAL[[#Headers],[Valor dos Tributos (ISS, PIS, CONFINS)]])-2,0)*($G223-$H223)</f>
        <v>#NAME?</v>
      </c>
      <c r="BY223" s="22" t="e">
        <f ca="1">VLOOKUP($A223,tabCustoUnit[],COLUMN(CUSTO_GLOBAL[[#Headers],[MÓDULO 6 – CUSTOS INDIRETOS, TRIBUTOS E LUCRO]])-2,0)*($G223-$H223)</f>
        <v>#NAME?</v>
      </c>
      <c r="BZ223" s="22" t="e">
        <f ca="1">VLOOKUP($A223,tabCustoUnit[],COLUMN(CUSTO_GLOBAL[[#Headers],[CUSTO TOTAL MENSAL]])-2,0)*($G223-$H223)</f>
        <v>#NAME?</v>
      </c>
      <c r="CA223" s="22" t="e">
        <f ca="1">CUSTO_GLOBAL[[#This Row],[CUSTO TOTAL MENSAL]]*12</f>
        <v>#NAME?</v>
      </c>
      <c r="CB223" s="24">
        <f>VLOOKUP($A223,tabCustoUnit[],COLUMN(CUSTO_GLOBAL[[#Headers],[ANO DA CCT]])-2,0)</f>
        <v>45658</v>
      </c>
      <c r="CC223" s="25" t="str">
        <f>VLOOKUP($A223,tabCustoUnit[],COLUMN(CUSTO_GLOBAL[[#Headers],[Nº DE PEDIDO DA CCT]])-2,0)</f>
        <v>-</v>
      </c>
      <c r="CD223" s="25" t="str">
        <f>VLOOKUP($A223,tabCustoUnit[],COLUMN(CUSTO_GLOBAL[[#Headers],[TERMO ADITIVO ALTERAÇÃO DA CCT]])-2,0)</f>
        <v>-</v>
      </c>
    </row>
    <row r="224" spans="1:82">
      <c r="A224" s="20" t="s">
        <v>1654</v>
      </c>
      <c r="B224" t="s">
        <v>939</v>
      </c>
      <c r="C224" t="s">
        <v>324</v>
      </c>
      <c r="D224" t="s">
        <v>939</v>
      </c>
      <c r="E224" s="20" t="s">
        <v>1090</v>
      </c>
      <c r="F224" s="20" t="s">
        <v>120</v>
      </c>
      <c r="G224" s="20">
        <v>1</v>
      </c>
      <c r="H224" s="20">
        <v>0</v>
      </c>
      <c r="I224" s="21">
        <f>VLOOKUP($A224,tabCustoUnit[],COLUMN(CUSTO_GLOBAL[[#Headers],[Salário Base]])-2,0)*($G224-$H224)</f>
        <v>3397.1306</v>
      </c>
      <c r="J224" s="21">
        <f>VLOOKUP($A224,tabCustoUnit[],COLUMN(CUSTO_GLOBAL[[#Headers],[Adicional Periculosidade]])-2,0)*($G224-$H224)</f>
        <v>0</v>
      </c>
      <c r="K224" s="21">
        <f>VLOOKUP($A224,tabCustoUnit[],COLUMN(CUSTO_GLOBAL[[#Headers],[Adicional Insalubridade]])-2,0)*($G224-$H224)</f>
        <v>0</v>
      </c>
      <c r="L224" s="21">
        <f>VLOOKUP($A224,tabCustoUnit[],COLUMN(CUSTO_GLOBAL[[#Headers],[Adicional Noturno]])-2,0)*($G224-$H224)</f>
        <v>0</v>
      </c>
      <c r="M224" s="21">
        <f>VLOOKUP($A224,tabCustoUnit[],COLUMN(CUSTO_GLOBAL[[#Headers],[Adicional Motorista II (Gratificação)]])-2,0)*($G224-$H224)</f>
        <v>0</v>
      </c>
      <c r="N224" s="21">
        <f>VLOOKUP($A224,tabCustoUnit[],COLUMN(CUSTO_GLOBAL[[#Headers],[Adicional de Sobreaviso]])-2,0)*($G224-$H224)</f>
        <v>0</v>
      </c>
      <c r="O224" s="21">
        <f>VLOOKUP($A224,tabCustoUnit[],COLUMN(CUSTO_GLOBAL[[#Headers],[Horas Extras TI]])-2,0)*($G224-$H224)</f>
        <v>0</v>
      </c>
      <c r="P224" s="21">
        <f>VLOOKUP($A224,tabCustoUnit[],COLUMN(CUSTO_GLOBAL[[#Headers],[Adicional de Acúmulo de função]])-2,0)*($G224-$H224)</f>
        <v>0</v>
      </c>
      <c r="Q224" s="21">
        <f>VLOOKUP($A224,tabCustoUnit[],COLUMN(CUSTO_GLOBAL[[#Headers],[MODULO 1 - REMUNERAÇÃO ]])-2,0)*($G224-$H224)</f>
        <v>3397.1306</v>
      </c>
      <c r="R224" s="21">
        <f>VLOOKUP($A224,tabCustoUnit[],COLUMN(CUSTO_GLOBAL[[#Headers],[INSS]])-2,0)*($G224-$H224)</f>
        <v>679.42612000000008</v>
      </c>
      <c r="S224" s="21">
        <f>VLOOKUP($A224,tabCustoUnit[],COLUMN(CUSTO_GLOBAL[[#Headers],[SESI OU SESC]])-2,0)*($G224-$H224)</f>
        <v>50.956958999999998</v>
      </c>
      <c r="T224" s="21">
        <f>VLOOKUP($A224,tabCustoUnit[],COLUMN(CUSTO_GLOBAL[[#Headers],[SENAI OU SENAC]])-2,0)*($G224-$H224)</f>
        <v>33.971305999999998</v>
      </c>
      <c r="U224" s="21">
        <f>VLOOKUP($A224,tabCustoUnit[],COLUMN(CUSTO_GLOBAL[[#Headers],[INCRA]])-2,0)*($G224-$H224)</f>
        <v>6.7942612000000002</v>
      </c>
      <c r="V224" s="21">
        <f>VLOOKUP($A224,tabCustoUnit[],COLUMN(CUSTO_GLOBAL[[#Headers],[Salário Educação]])-2,0)*($G224-$H224)</f>
        <v>84.92826500000001</v>
      </c>
      <c r="W224" s="21">
        <f>VLOOKUP($A224,tabCustoUnit[],COLUMN(CUSTO_GLOBAL[[#Headers],[FGTS]])-2,0)*($G224-$H224)</f>
        <v>271.77044799999999</v>
      </c>
      <c r="X224" s="21">
        <f>VLOOKUP($A224,tabCustoUnit[],COLUMN(CUSTO_GLOBAL[[#Headers],[RAT Ajustado]])-2,0)*($G224-$H224)</f>
        <v>135.88522399999999</v>
      </c>
      <c r="Y224" s="21">
        <f>VLOOKUP($A224,tabCustoUnit[],COLUMN(CUSTO_GLOBAL[[#Headers],[SEBRAE]])-2,0)*($G224-$H224)</f>
        <v>20.3827836</v>
      </c>
      <c r="Z224" s="21">
        <f>VLOOKUP($A224,tabCustoUnit[],COLUMN(CUSTO_GLOBAL[[#Headers],[Submódulo 2.1]])-2,0)*($G224-$H224)</f>
        <v>1284.1153668000002</v>
      </c>
      <c r="AA224" s="21">
        <f>VLOOKUP($A224,tabCustoUnit[],COLUMN(CUSTO_GLOBAL[[#Headers],[13º salário (titular)]])-2,0)*($G224-$H224)</f>
        <v>283.09421666666663</v>
      </c>
      <c r="AB224" s="21">
        <f>VLOOKUP($A224,tabCustoUnit[],COLUMN(CUSTO_GLOBAL[[#Headers],[Férias e Adicional de Férias (titular)]])-2,0)*($G224-$H224)</f>
        <v>377.45895555555552</v>
      </c>
      <c r="AC224" s="21">
        <f>VLOOKUP($A224,tabCustoUnit[],COLUMN(CUSTO_GLOBAL[[#Headers],[Incidência do Submódulo 2.1 sobre 13º Salário, Férias e Adicional de Férias]])-2,0)*($G224-$H224)</f>
        <v>249.68909910000002</v>
      </c>
      <c r="AD224" s="21">
        <f>VLOOKUP($A224,tabCustoUnit[],COLUMN(CUSTO_GLOBAL[[#Headers],[Submódulo 2.2]])-2,0)*($G224-$H224)</f>
        <v>910.24227132222222</v>
      </c>
      <c r="AE224" s="22" t="e">
        <f ca="1">VLOOKUP($A224,tabCustoUnit[],COLUMN(CUSTO_GLOBAL[[#Headers],[Vale - Transporte (Descontada parcela do empregado)]])-2,0)*($G224-$H224)</f>
        <v>#NAME?</v>
      </c>
      <c r="AF224" s="22">
        <f>VLOOKUP($A224,tabCustoUnit[],COLUMN(CUSTO_GLOBAL[[#Headers],[Vale - Alimentação (Descontada parcela do empregado)]])-2,0)*($G224-$H224)</f>
        <v>582</v>
      </c>
      <c r="AG224" s="22">
        <f>VLOOKUP($A224,tabCustoUnit[],COLUMN(CUSTO_GLOBAL[[#Headers],[Cesta Básica]])-2,0)*($G224-$H224)</f>
        <v>0</v>
      </c>
      <c r="AH224" s="22">
        <f>VLOOKUP($A224,tabCustoUnit[],COLUMN(CUSTO_GLOBAL[[#Headers],[PAF]])-2,0)*($G224-$H224)</f>
        <v>51.86</v>
      </c>
      <c r="AI224" s="22">
        <f>VLOOKUP($A224,tabCustoUnit[],COLUMN(CUSTO_GLOBAL[[#Headers],[PQM]])-2,0)*($G224-$H224)</f>
        <v>0</v>
      </c>
      <c r="AJ224" s="22">
        <v>0</v>
      </c>
      <c r="AK224" s="22">
        <f>VLOOKUP($A224,tabCustoUnit[],COLUMN(CUSTO_GLOBAL[[#Headers],[Seguro de Vida]])-2,0)*($G224-$H224)</f>
        <v>3.36</v>
      </c>
      <c r="AL224" s="22">
        <f>VLOOKUP($A224,tabCustoUnit[],COLUMN(CUSTO_GLOBAL[[#Headers],[Despesas de Viagem]])-2,0)*($G224-$H224)</f>
        <v>0</v>
      </c>
      <c r="AM224" s="22" t="e">
        <f ca="1">VLOOKUP($A224,tabCustoUnit[],COLUMN(CUSTO_GLOBAL[[#Headers],[Submódulo 2.3]])-2,0)*($G224-$H224)</f>
        <v>#NAME?</v>
      </c>
      <c r="AN224" s="22" t="e">
        <f ca="1">VLOOKUP($A224,tabCustoUnit[],COLUMN(CUSTO_GLOBAL[[#Headers],[MÓDULO 2 - Total Encargos e Benefícios mensais e diários]])-2,0)*($G224-$H224)</f>
        <v>#NAME?</v>
      </c>
      <c r="AO224" s="22">
        <f>VLOOKUP($A224,tabCustoUnit[],COLUMN(CUSTO_GLOBAL[[#Headers],[Aviso Prévio Indenizado (API) e Reflexo do Aviso Prévio Indenizado]])-2,0)*($G224-$H224)</f>
        <v>23.819888151890432</v>
      </c>
      <c r="AP224" s="22">
        <f>VLOOKUP($A224,tabCustoUnit[],COLUMN(CUSTO_GLOBAL[[#Headers],[Incidência do FGTS sobre API e Reflexo do API]])-2,0)*($G224-$H224)</f>
        <v>1.9055910521512347</v>
      </c>
      <c r="AQ224" s="22">
        <f>VLOOKUP($A224,tabCustoUnit[],COLUMN(CUSTO_GLOBAL[[#Headers],[Multa Rescisória do FGTS sobre o Aviso Prévio Indenizado]])-2,0)*($G224-$H224)</f>
        <v>0.76223642086049392</v>
      </c>
      <c r="AR224" s="22">
        <f>VLOOKUP($A224,tabCustoUnit[],COLUMN(CUSTO_GLOBAL[[#Headers],[Aviso Prévio Trabalhado - APT]])-2,0)*($G224-$H224)</f>
        <v>11.889957100000002</v>
      </c>
      <c r="AS224" s="22">
        <f>VLOOKUP($A224,tabCustoUnit[],COLUMN(CUSTO_GLOBAL[[#Headers],[Incidência dos encargos do submódulo 2.1 sobre Aviso Prévio Trabalhado]])-2,0)*($G224-$H224)</f>
        <v>4.4944037838000011</v>
      </c>
      <c r="AT224" s="22">
        <f>VLOOKUP($A224,tabCustoUnit[],COLUMN(CUSTO_GLOBAL[[#Headers],[Multa Rescisória do FGTS]])-2,0)*($G224-$H224)</f>
        <v>103.87670456888887</v>
      </c>
      <c r="AU224" s="22">
        <f>VLOOKUP($A224,tabCustoUnit[],COLUMN(CUSTO_GLOBAL[[#Headers],[Indenização Adicional (Art. 9º da Lei nº 7.238/84)]])-2,0)*($G224-$H224)</f>
        <v>2.830942166666667</v>
      </c>
      <c r="AV224" s="22">
        <f>VLOOKUP($A224,tabCustoUnit[],COLUMN(CUSTO_GLOBAL[[#Headers],[MÓDULO 3 – PROVISÃO PARA RESCISÃO]])-2,0)*($G224-$H224)</f>
        <v>149.57972324425771</v>
      </c>
      <c r="AW224" s="22">
        <f>VLOOKUP($A224,tabCustoUnit[],COLUMN(CUSTO_GLOBAL[[#Headers],[Ausência por Doença]])-2,0)*($G224-$H224)</f>
        <v>28.686880622222219</v>
      </c>
      <c r="AX224" s="22">
        <f>VLOOKUP($A224,tabCustoUnit[],COLUMN(CUSTO_GLOBAL[[#Headers],[Ausências Legais]])-2,0)*($G224-$H224)</f>
        <v>6.8886259388888886</v>
      </c>
      <c r="AY224" s="22">
        <f>VLOOKUP($A224,tabCustoUnit[],COLUMN(CUSTO_GLOBAL[[#Headers],[Licença Paternidade]])-2,0)*($G224-$H224)</f>
        <v>0.58034314416666666</v>
      </c>
      <c r="AZ224" s="22">
        <f>VLOOKUP($A224,tabCustoUnit[],COLUMN(CUSTO_GLOBAL[[#Headers],[Ausência por Acidente de Trabalho]])-2,0)*($G224-$H224)</f>
        <v>0.70773554166666675</v>
      </c>
      <c r="BA224" s="22">
        <f>VLOOKUP($A224,tabCustoUnit[],COLUMN(CUSTO_GLOBAL[[#Headers],[Férias, Adicional de Férias e 13º  com empregada em gozo de Licença Maternidade]])-2,0)*($G224-$H224)</f>
        <v>4.4036878148148144</v>
      </c>
      <c r="BB224" s="22">
        <f>VLOOKUP($A224,tabCustoUnit[],COLUMN(CUSTO_GLOBAL[[#Headers],[Incidência do Submódulo 2.1 sobre Ausências Legais]])-2,0)*($G224-$H224)</f>
        <v>15.599029217345002</v>
      </c>
      <c r="BC224" s="22">
        <f>VLOOKUP($A224,tabCustoUnit[],COLUMN(CUSTO_GLOBAL[[#Headers],[Submódulo 4.1]])-2,0)*($G224-$H224)</f>
        <v>56.866302279104261</v>
      </c>
      <c r="BD224" s="22">
        <f>VLOOKUP($A224,tabCustoUnit[],COLUMN(CUSTO_GLOBAL[[#Headers],[Intervalo para Repouso ou Alimentação]])-2,0)*($G224-$H224)</f>
        <v>0</v>
      </c>
      <c r="BE224" s="22">
        <f>VLOOKUP($A224,tabCustoUnit[],COLUMN(CUSTO_GLOBAL[[#Headers],[Submódulo 4.2]])-2,0)*($G224-$H224)</f>
        <v>0</v>
      </c>
      <c r="BF224" s="22">
        <f>VLOOKUP($A224,tabCustoUnit[],COLUMN(CUSTO_GLOBAL[[#Headers],[Suspensão Temporária do Contrato de Trabalho]])-2,0)*($G224-$H224)</f>
        <v>0</v>
      </c>
      <c r="BG224" s="22">
        <f>VLOOKUP($A224,tabCustoUnit[],COLUMN(CUSTO_GLOBAL[[#Headers],[Submódulo 4.3]])-2,0)*($G224-$H224)</f>
        <v>0</v>
      </c>
      <c r="BH224" s="22">
        <f>VLOOKUP($A224,tabCustoUnit[],COLUMN(CUSTO_GLOBAL[[#Headers],[MÓDULO 4 – CUSTO DE REPOSIÇÃO DO PROFISSIONAL AUSENTE]])-2,0)*($G224-$H224)</f>
        <v>56.866302279104261</v>
      </c>
      <c r="BI224" s="22">
        <f>VLOOKUP($A224,tabCustoUnit[],COLUMN(CUSTO_GLOBAL[[#Headers],[Uniformes e EPIs]])-2,0)*($G224-$H224)</f>
        <v>56.642978962543395</v>
      </c>
      <c r="BJ224" s="22">
        <f>VLOOKUP($A224,tabCustoUnit[],COLUMN(CUSTO_GLOBAL[[#Headers],[Materiais de Consumo]])-2,0)*($G224-$H224)</f>
        <v>0</v>
      </c>
      <c r="BK224" s="22">
        <f>VLOOKUP($A224,tabCustoUnit[],COLUMN(CUSTO_GLOBAL[[#Headers],[Máquinas e Equipamentos (depreciação)]])-2,0)*($G224-$H224)</f>
        <v>0</v>
      </c>
      <c r="BL224" s="22">
        <f>VLOOKUP($A224,tabCustoUnit[],COLUMN(CUSTO_GLOBAL[[#Headers],[Produtos de Limpeza e Materiais de Higiene Pessoal]])-2,0)*($G224-$H224)</f>
        <v>0</v>
      </c>
      <c r="BM224" s="22">
        <f>VLOOKUP($A224,tabCustoUnit[],COLUMN(CUSTO_GLOBAL[[#Headers],[Outros (especificar)]])-2,0)*($G224-$H224)</f>
        <v>0</v>
      </c>
      <c r="BN224" s="22">
        <f>VLOOKUP($A224,tabCustoUnit[],COLUMN(CUSTO_GLOBAL[[#Headers],[MÓDULO 5 – INSUMOS DIVERSOS]])-2,0)*($G224-$H224)</f>
        <v>56.642978962543395</v>
      </c>
      <c r="BO224" s="22" t="e">
        <f ca="1">VLOOKUP($A224,tabCustoUnit[],COLUMN(CUSTO_GLOBAL[[#Headers],[TOTAL MÓDULOS 1+2+3+4+5]])-2,0)*($G224-$H224)</f>
        <v>#NAME?</v>
      </c>
      <c r="BP224" s="22" t="e">
        <f ca="1">VLOOKUP($A224,tabCustoUnit[],COLUMN(CUSTO_GLOBAL[[#Headers],[Custos Indiretos]])-2,0)*($G224-$H224)</f>
        <v>#NAME?</v>
      </c>
      <c r="BQ224" s="22" t="e">
        <f ca="1">VLOOKUP($A224,tabCustoUnit[],COLUMN(CUSTO_GLOBAL[[#Headers],[Lucro]])-2,0)*($G224-$H224)</f>
        <v>#NAME?</v>
      </c>
      <c r="BR224" s="26">
        <f>VLOOKUP($A224,tabCustoUnit[],COLUMN(CUSTO_GLOBAL[[#Headers],[COFINS]])-2,0)</f>
        <v>8.6609686609686695E-2</v>
      </c>
      <c r="BS224" s="26">
        <f>VLOOKUP($A224,tabCustoUnit[],COLUMN(CUSTO_GLOBAL[[#Headers],[PIS]])-2,0)</f>
        <v>1.880341880341882E-2</v>
      </c>
      <c r="BT224" s="28">
        <f>VLOOKUP($A224,tabCustoUnit[],COLUMN(CUSTO_GLOBAL[[#Headers],[ISS]])-2,0)</f>
        <v>0.03</v>
      </c>
      <c r="BU224" s="26">
        <f>VLOOKUP($A224,tabCustoUnit[],COLUMN(CUSTO_GLOBAL[[#Headers],[ISS (Conversão Alíquota s/ fatura)]])-2,0)</f>
        <v>3.4188034188034219E-2</v>
      </c>
      <c r="BV224" s="26">
        <f>VLOOKUP($A224,tabCustoUnit[],COLUMN(CUSTO_GLOBAL[[#Headers],[Resumo de Alíquotas (PIS+CONFINS+ISS)]])-2,0)</f>
        <v>0.1225</v>
      </c>
      <c r="BW224" s="138">
        <f>VLOOKUP($A224,tabCustoUnit[],COLUMN(CUSTO_GLOBAL[[#Headers],[PIS + COFINS + ISS (Total Conversão  Alíquota s/ Fatura)]])-2,0)</f>
        <v>0.13960113960113973</v>
      </c>
      <c r="BX224" s="22" t="e">
        <f ca="1">VLOOKUP($A224,tabCustoUnit[],COLUMN(CUSTO_GLOBAL[[#Headers],[Valor dos Tributos (ISS, PIS, CONFINS)]])-2,0)*($G224-$H224)</f>
        <v>#NAME?</v>
      </c>
      <c r="BY224" s="22" t="e">
        <f ca="1">VLOOKUP($A224,tabCustoUnit[],COLUMN(CUSTO_GLOBAL[[#Headers],[MÓDULO 6 – CUSTOS INDIRETOS, TRIBUTOS E LUCRO]])-2,0)*($G224-$H224)</f>
        <v>#NAME?</v>
      </c>
      <c r="BZ224" s="22" t="e">
        <f ca="1">VLOOKUP($A224,tabCustoUnit[],COLUMN(CUSTO_GLOBAL[[#Headers],[CUSTO TOTAL MENSAL]])-2,0)*($G224-$H224)</f>
        <v>#NAME?</v>
      </c>
      <c r="CA224" s="22" t="e">
        <f ca="1">CUSTO_GLOBAL[[#This Row],[CUSTO TOTAL MENSAL]]*12</f>
        <v>#NAME?</v>
      </c>
      <c r="CB224" s="24">
        <f>VLOOKUP($A224,tabCustoUnit[],COLUMN(CUSTO_GLOBAL[[#Headers],[ANO DA CCT]])-2,0)</f>
        <v>45658</v>
      </c>
      <c r="CC224" s="25" t="str">
        <f>VLOOKUP($A224,tabCustoUnit[],COLUMN(CUSTO_GLOBAL[[#Headers],[Nº DE PEDIDO DA CCT]])-2,0)</f>
        <v>-</v>
      </c>
      <c r="CD224" s="25" t="str">
        <f>VLOOKUP($A224,tabCustoUnit[],COLUMN(CUSTO_GLOBAL[[#Headers],[TERMO ADITIVO ALTERAÇÃO DA CCT]])-2,0)</f>
        <v>-</v>
      </c>
    </row>
    <row r="225" spans="1:82">
      <c r="A225" s="20" t="s">
        <v>1495</v>
      </c>
      <c r="B225" t="s">
        <v>1169</v>
      </c>
      <c r="C225" t="s">
        <v>200</v>
      </c>
      <c r="D225" t="s">
        <v>905</v>
      </c>
      <c r="E225" s="20" t="s">
        <v>1090</v>
      </c>
      <c r="F225" s="20" t="s">
        <v>120</v>
      </c>
      <c r="G225" s="20">
        <v>2</v>
      </c>
      <c r="H225" s="20">
        <v>0</v>
      </c>
      <c r="I225" s="21">
        <f>VLOOKUP($A225,tabCustoUnit[],COLUMN(CUSTO_GLOBAL[[#Headers],[Salário Base]])-2,0)*($G225-$H225)</f>
        <v>3192.5475999999999</v>
      </c>
      <c r="J225" s="21">
        <f>VLOOKUP($A225,tabCustoUnit[],COLUMN(CUSTO_GLOBAL[[#Headers],[Adicional Periculosidade]])-2,0)*($G225-$H225)</f>
        <v>0</v>
      </c>
      <c r="K225" s="21">
        <f>VLOOKUP($A225,tabCustoUnit[],COLUMN(CUSTO_GLOBAL[[#Headers],[Adicional Insalubridade]])-2,0)*($G225-$H225)</f>
        <v>0</v>
      </c>
      <c r="L225" s="21">
        <f>VLOOKUP($A225,tabCustoUnit[],COLUMN(CUSTO_GLOBAL[[#Headers],[Adicional Noturno]])-2,0)*($G225-$H225)</f>
        <v>0</v>
      </c>
      <c r="M225" s="21">
        <f>VLOOKUP($A225,tabCustoUnit[],COLUMN(CUSTO_GLOBAL[[#Headers],[Adicional Motorista II (Gratificação)]])-2,0)*($G225-$H225)</f>
        <v>0</v>
      </c>
      <c r="N225" s="21">
        <f>VLOOKUP($A225,tabCustoUnit[],COLUMN(CUSTO_GLOBAL[[#Headers],[Adicional de Sobreaviso]])-2,0)*($G225-$H225)</f>
        <v>0</v>
      </c>
      <c r="O225" s="21">
        <f>VLOOKUP($A225,tabCustoUnit[],COLUMN(CUSTO_GLOBAL[[#Headers],[Horas Extras TI]])-2,0)*($G225-$H225)</f>
        <v>0</v>
      </c>
      <c r="P225" s="21">
        <f>VLOOKUP($A225,tabCustoUnit[],COLUMN(CUSTO_GLOBAL[[#Headers],[Adicional de Acúmulo de função]])-2,0)*($G225-$H225)</f>
        <v>0</v>
      </c>
      <c r="Q225" s="21">
        <f>VLOOKUP($A225,tabCustoUnit[],COLUMN(CUSTO_GLOBAL[[#Headers],[MODULO 1 - REMUNERAÇÃO ]])-2,0)*($G225-$H225)</f>
        <v>3192.5475999999999</v>
      </c>
      <c r="R225" s="21">
        <f>VLOOKUP($A225,tabCustoUnit[],COLUMN(CUSTO_GLOBAL[[#Headers],[INSS]])-2,0)*($G225-$H225)</f>
        <v>638.50952000000007</v>
      </c>
      <c r="S225" s="21">
        <f>VLOOKUP($A225,tabCustoUnit[],COLUMN(CUSTO_GLOBAL[[#Headers],[SESI OU SESC]])-2,0)*($G225-$H225)</f>
        <v>47.888213999999998</v>
      </c>
      <c r="T225" s="21">
        <f>VLOOKUP($A225,tabCustoUnit[],COLUMN(CUSTO_GLOBAL[[#Headers],[SENAI OU SENAC]])-2,0)*($G225-$H225)</f>
        <v>31.925476</v>
      </c>
      <c r="U225" s="21">
        <f>VLOOKUP($A225,tabCustoUnit[],COLUMN(CUSTO_GLOBAL[[#Headers],[INCRA]])-2,0)*($G225-$H225)</f>
        <v>6.3850952000000003</v>
      </c>
      <c r="V225" s="21">
        <f>VLOOKUP($A225,tabCustoUnit[],COLUMN(CUSTO_GLOBAL[[#Headers],[Salário Educação]])-2,0)*($G225-$H225)</f>
        <v>79.813690000000008</v>
      </c>
      <c r="W225" s="21">
        <f>VLOOKUP($A225,tabCustoUnit[],COLUMN(CUSTO_GLOBAL[[#Headers],[FGTS]])-2,0)*($G225-$H225)</f>
        <v>255.403808</v>
      </c>
      <c r="X225" s="21">
        <f>VLOOKUP($A225,tabCustoUnit[],COLUMN(CUSTO_GLOBAL[[#Headers],[RAT Ajustado]])-2,0)*($G225-$H225)</f>
        <v>127.701904</v>
      </c>
      <c r="Y225" s="21">
        <f>VLOOKUP($A225,tabCustoUnit[],COLUMN(CUSTO_GLOBAL[[#Headers],[SEBRAE]])-2,0)*($G225-$H225)</f>
        <v>19.155285599999999</v>
      </c>
      <c r="Z225" s="21">
        <f>VLOOKUP($A225,tabCustoUnit[],COLUMN(CUSTO_GLOBAL[[#Headers],[Submódulo 2.1]])-2,0)*($G225-$H225)</f>
        <v>1206.7829928000001</v>
      </c>
      <c r="AA225" s="21">
        <f>VLOOKUP($A225,tabCustoUnit[],COLUMN(CUSTO_GLOBAL[[#Headers],[13º salário (titular)]])-2,0)*($G225-$H225)</f>
        <v>266.04563333333329</v>
      </c>
      <c r="AB225" s="21">
        <f>VLOOKUP($A225,tabCustoUnit[],COLUMN(CUSTO_GLOBAL[[#Headers],[Férias e Adicional de Férias (titular)]])-2,0)*($G225-$H225)</f>
        <v>354.72751111111108</v>
      </c>
      <c r="AC225" s="21">
        <f>VLOOKUP($A225,tabCustoUnit[],COLUMN(CUSTO_GLOBAL[[#Headers],[Incidência do Submódulo 2.1 sobre 13º Salário, Férias e Adicional de Férias]])-2,0)*($G225-$H225)</f>
        <v>234.65224860000001</v>
      </c>
      <c r="AD225" s="21">
        <f>VLOOKUP($A225,tabCustoUnit[],COLUMN(CUSTO_GLOBAL[[#Headers],[Submódulo 2.2]])-2,0)*($G225-$H225)</f>
        <v>855.42539304444438</v>
      </c>
      <c r="AE225" s="22" t="e">
        <f ca="1">VLOOKUP($A225,tabCustoUnit[],COLUMN(CUSTO_GLOBAL[[#Headers],[Vale - Transporte (Descontada parcela do empregado)]])-2,0)*($G225-$H225)</f>
        <v>#NAME?</v>
      </c>
      <c r="AF225" s="22">
        <f>VLOOKUP($A225,tabCustoUnit[],COLUMN(CUSTO_GLOBAL[[#Headers],[Vale - Alimentação (Descontada parcela do empregado)]])-2,0)*($G225-$H225)</f>
        <v>1164</v>
      </c>
      <c r="AG225" s="22">
        <f>VLOOKUP($A225,tabCustoUnit[],COLUMN(CUSTO_GLOBAL[[#Headers],[Cesta Básica]])-2,0)*($G225-$H225)</f>
        <v>0</v>
      </c>
      <c r="AH225" s="22">
        <f>VLOOKUP($A225,tabCustoUnit[],COLUMN(CUSTO_GLOBAL[[#Headers],[PAF]])-2,0)*($G225-$H225)</f>
        <v>114.14</v>
      </c>
      <c r="AI225" s="22">
        <f>VLOOKUP($A225,tabCustoUnit[],COLUMN(CUSTO_GLOBAL[[#Headers],[PQM]])-2,0)*($G225-$H225)</f>
        <v>0</v>
      </c>
      <c r="AJ225" s="22">
        <v>0</v>
      </c>
      <c r="AK225" s="22">
        <f>VLOOKUP($A225,tabCustoUnit[],COLUMN(CUSTO_GLOBAL[[#Headers],[Seguro de Vida]])-2,0)*($G225-$H225)</f>
        <v>6.72</v>
      </c>
      <c r="AL225" s="22">
        <f>VLOOKUP($A225,tabCustoUnit[],COLUMN(CUSTO_GLOBAL[[#Headers],[Despesas de Viagem]])-2,0)*($G225-$H225)</f>
        <v>0</v>
      </c>
      <c r="AM225" s="22" t="e">
        <f ca="1">VLOOKUP($A225,tabCustoUnit[],COLUMN(CUSTO_GLOBAL[[#Headers],[Submódulo 2.3]])-2,0)*($G225-$H225)</f>
        <v>#NAME?</v>
      </c>
      <c r="AN225" s="22" t="e">
        <f ca="1">VLOOKUP($A225,tabCustoUnit[],COLUMN(CUSTO_GLOBAL[[#Headers],[MÓDULO 2 - Total Encargos e Benefícios mensais e diários]])-2,0)*($G225-$H225)</f>
        <v>#NAME?</v>
      </c>
      <c r="AO225" s="22">
        <f>VLOOKUP($A225,tabCustoUnit[],COLUMN(CUSTO_GLOBAL[[#Headers],[Aviso Prévio Indenizado (API) e Reflexo do Aviso Prévio Indenizado]])-2,0)*($G225-$H225)</f>
        <v>22.385399828780862</v>
      </c>
      <c r="AP225" s="22">
        <f>VLOOKUP($A225,tabCustoUnit[],COLUMN(CUSTO_GLOBAL[[#Headers],[Incidência do FGTS sobre API e Reflexo do API]])-2,0)*($G225-$H225)</f>
        <v>1.7908319863024693</v>
      </c>
      <c r="AQ225" s="22">
        <f>VLOOKUP($A225,tabCustoUnit[],COLUMN(CUSTO_GLOBAL[[#Headers],[Multa Rescisória do FGTS sobre o Aviso Prévio Indenizado]])-2,0)*($G225-$H225)</f>
        <v>0.71633279452098775</v>
      </c>
      <c r="AR225" s="22">
        <f>VLOOKUP($A225,tabCustoUnit[],COLUMN(CUSTO_GLOBAL[[#Headers],[Aviso Prévio Trabalhado - APT]])-2,0)*($G225-$H225)</f>
        <v>11.173916600000002</v>
      </c>
      <c r="AS225" s="22">
        <f>VLOOKUP($A225,tabCustoUnit[],COLUMN(CUSTO_GLOBAL[[#Headers],[Incidência dos encargos do submódulo 2.1 sobre Aviso Prévio Trabalhado]])-2,0)*($G225-$H225)</f>
        <v>4.2237404748000014</v>
      </c>
      <c r="AT225" s="22">
        <f>VLOOKUP($A225,tabCustoUnit[],COLUMN(CUSTO_GLOBAL[[#Headers],[Multa Rescisória do FGTS]])-2,0)*($G225-$H225)</f>
        <v>97.621011057777764</v>
      </c>
      <c r="AU225" s="22">
        <f>VLOOKUP($A225,tabCustoUnit[],COLUMN(CUSTO_GLOBAL[[#Headers],[Indenização Adicional (Art. 9º da Lei nº 7.238/84)]])-2,0)*($G225-$H225)</f>
        <v>2.6604563333333333</v>
      </c>
      <c r="AV225" s="22">
        <f>VLOOKUP($A225,tabCustoUnit[],COLUMN(CUSTO_GLOBAL[[#Headers],[MÓDULO 3 – PROVISÃO PARA RESCISÃO]])-2,0)*($G225-$H225)</f>
        <v>140.57168907551542</v>
      </c>
      <c r="AW225" s="22">
        <f>VLOOKUP($A225,tabCustoUnit[],COLUMN(CUSTO_GLOBAL[[#Headers],[Ausência por Doença]])-2,0)*($G225-$H225)</f>
        <v>26.959290844444443</v>
      </c>
      <c r="AX225" s="22">
        <f>VLOOKUP($A225,tabCustoUnit[],COLUMN(CUSTO_GLOBAL[[#Headers],[Ausências Legais]])-2,0)*($G225-$H225)</f>
        <v>6.4737770777777772</v>
      </c>
      <c r="AY225" s="22">
        <f>VLOOKUP($A225,tabCustoUnit[],COLUMN(CUSTO_GLOBAL[[#Headers],[Licença Paternidade]])-2,0)*($G225-$H225)</f>
        <v>0.54539354833333331</v>
      </c>
      <c r="AZ225" s="22">
        <f>VLOOKUP($A225,tabCustoUnit[],COLUMN(CUSTO_GLOBAL[[#Headers],[Ausência por Acidente de Trabalho]])-2,0)*($G225-$H225)</f>
        <v>0.66511408333333333</v>
      </c>
      <c r="BA225" s="22">
        <f>VLOOKUP($A225,tabCustoUnit[],COLUMN(CUSTO_GLOBAL[[#Headers],[Férias, Adicional de Férias e 13º  com empregada em gozo de Licença Maternidade]])-2,0)*($G225-$H225)</f>
        <v>4.1384876296296289</v>
      </c>
      <c r="BB225" s="22">
        <f>VLOOKUP($A225,tabCustoUnit[],COLUMN(CUSTO_GLOBAL[[#Headers],[Incidência do Submódulo 2.1 sobre Ausências Legais]])-2,0)*($G225-$H225)</f>
        <v>14.659619883370002</v>
      </c>
      <c r="BC225" s="22">
        <f>VLOOKUP($A225,tabCustoUnit[],COLUMN(CUSTO_GLOBAL[[#Headers],[Submódulo 4.1]])-2,0)*($G225-$H225)</f>
        <v>53.44168306688853</v>
      </c>
      <c r="BD225" s="22">
        <f>VLOOKUP($A225,tabCustoUnit[],COLUMN(CUSTO_GLOBAL[[#Headers],[Intervalo para Repouso ou Alimentação]])-2,0)*($G225-$H225)</f>
        <v>0</v>
      </c>
      <c r="BE225" s="22">
        <f>VLOOKUP($A225,tabCustoUnit[],COLUMN(CUSTO_GLOBAL[[#Headers],[Submódulo 4.2]])-2,0)*($G225-$H225)</f>
        <v>0</v>
      </c>
      <c r="BF225" s="22">
        <f>VLOOKUP($A225,tabCustoUnit[],COLUMN(CUSTO_GLOBAL[[#Headers],[Suspensão Temporária do Contrato de Trabalho]])-2,0)*($G225-$H225)</f>
        <v>0</v>
      </c>
      <c r="BG225" s="22">
        <f>VLOOKUP($A225,tabCustoUnit[],COLUMN(CUSTO_GLOBAL[[#Headers],[Submódulo 4.3]])-2,0)*($G225-$H225)</f>
        <v>0</v>
      </c>
      <c r="BH225" s="22">
        <f>VLOOKUP($A225,tabCustoUnit[],COLUMN(CUSTO_GLOBAL[[#Headers],[MÓDULO 4 – CUSTO DE REPOSIÇÃO DO PROFISSIONAL AUSENTE]])-2,0)*($G225-$H225)</f>
        <v>53.44168306688853</v>
      </c>
      <c r="BI225" s="22">
        <f>VLOOKUP($A225,tabCustoUnit[],COLUMN(CUSTO_GLOBAL[[#Headers],[Uniformes e EPIs]])-2,0)*($G225-$H225)</f>
        <v>112.28342732397984</v>
      </c>
      <c r="BJ225" s="22">
        <f>VLOOKUP($A225,tabCustoUnit[],COLUMN(CUSTO_GLOBAL[[#Headers],[Materiais de Consumo]])-2,0)*($G225-$H225)</f>
        <v>0</v>
      </c>
      <c r="BK225" s="22">
        <f>VLOOKUP($A225,tabCustoUnit[],COLUMN(CUSTO_GLOBAL[[#Headers],[Máquinas e Equipamentos (depreciação)]])-2,0)*($G225-$H225)</f>
        <v>0</v>
      </c>
      <c r="BL225" s="22">
        <f>VLOOKUP($A225,tabCustoUnit[],COLUMN(CUSTO_GLOBAL[[#Headers],[Produtos de Limpeza e Materiais de Higiene Pessoal]])-2,0)*($G225-$H225)</f>
        <v>0</v>
      </c>
      <c r="BM225" s="22">
        <f>VLOOKUP($A225,tabCustoUnit[],COLUMN(CUSTO_GLOBAL[[#Headers],[Outros (especificar)]])-2,0)*($G225-$H225)</f>
        <v>0</v>
      </c>
      <c r="BN225" s="22">
        <f>VLOOKUP($A225,tabCustoUnit[],COLUMN(CUSTO_GLOBAL[[#Headers],[MÓDULO 5 – INSUMOS DIVERSOS]])-2,0)*($G225-$H225)</f>
        <v>112.28342732397984</v>
      </c>
      <c r="BO225" s="22" t="e">
        <f ca="1">VLOOKUP($A225,tabCustoUnit[],COLUMN(CUSTO_GLOBAL[[#Headers],[TOTAL MÓDULOS 1+2+3+4+5]])-2,0)*($G225-$H225)</f>
        <v>#NAME?</v>
      </c>
      <c r="BP225" s="22" t="e">
        <f ca="1">VLOOKUP($A225,tabCustoUnit[],COLUMN(CUSTO_GLOBAL[[#Headers],[Custos Indiretos]])-2,0)*($G225-$H225)</f>
        <v>#NAME?</v>
      </c>
      <c r="BQ225" s="22" t="e">
        <f ca="1">VLOOKUP($A225,tabCustoUnit[],COLUMN(CUSTO_GLOBAL[[#Headers],[Lucro]])-2,0)*($G225-$H225)</f>
        <v>#NAME?</v>
      </c>
      <c r="BR225" s="26">
        <f>VLOOKUP($A225,tabCustoUnit[],COLUMN(CUSTO_GLOBAL[[#Headers],[COFINS]])-2,0)</f>
        <v>8.6609686609686695E-2</v>
      </c>
      <c r="BS225" s="26">
        <f>VLOOKUP($A225,tabCustoUnit[],COLUMN(CUSTO_GLOBAL[[#Headers],[PIS]])-2,0)</f>
        <v>1.880341880341882E-2</v>
      </c>
      <c r="BT225" s="28">
        <f>VLOOKUP($A225,tabCustoUnit[],COLUMN(CUSTO_GLOBAL[[#Headers],[ISS]])-2,0)</f>
        <v>0.03</v>
      </c>
      <c r="BU225" s="26">
        <f>VLOOKUP($A225,tabCustoUnit[],COLUMN(CUSTO_GLOBAL[[#Headers],[ISS (Conversão Alíquota s/ fatura)]])-2,0)</f>
        <v>3.4188034188034219E-2</v>
      </c>
      <c r="BV225" s="26">
        <f>VLOOKUP($A225,tabCustoUnit[],COLUMN(CUSTO_GLOBAL[[#Headers],[Resumo de Alíquotas (PIS+CONFINS+ISS)]])-2,0)</f>
        <v>0.1225</v>
      </c>
      <c r="BW225" s="138">
        <f>VLOOKUP($A225,tabCustoUnit[],COLUMN(CUSTO_GLOBAL[[#Headers],[PIS + COFINS + ISS (Total Conversão  Alíquota s/ Fatura)]])-2,0)</f>
        <v>0.13960113960113973</v>
      </c>
      <c r="BX225" s="22" t="e">
        <f ca="1">VLOOKUP($A225,tabCustoUnit[],COLUMN(CUSTO_GLOBAL[[#Headers],[Valor dos Tributos (ISS, PIS, CONFINS)]])-2,0)*($G225-$H225)</f>
        <v>#NAME?</v>
      </c>
      <c r="BY225" s="22" t="e">
        <f ca="1">VLOOKUP($A225,tabCustoUnit[],COLUMN(CUSTO_GLOBAL[[#Headers],[MÓDULO 6 – CUSTOS INDIRETOS, TRIBUTOS E LUCRO]])-2,0)*($G225-$H225)</f>
        <v>#NAME?</v>
      </c>
      <c r="BZ225" s="22" t="e">
        <f ca="1">VLOOKUP($A225,tabCustoUnit[],COLUMN(CUSTO_GLOBAL[[#Headers],[CUSTO TOTAL MENSAL]])-2,0)*($G225-$H225)</f>
        <v>#NAME?</v>
      </c>
      <c r="CA225" s="22" t="e">
        <f ca="1">CUSTO_GLOBAL[[#This Row],[CUSTO TOTAL MENSAL]]*12</f>
        <v>#NAME?</v>
      </c>
      <c r="CB225" s="24">
        <f>VLOOKUP($A225,tabCustoUnit[],COLUMN(CUSTO_GLOBAL[[#Headers],[ANO DA CCT]])-2,0)</f>
        <v>45658</v>
      </c>
      <c r="CC225" s="25" t="str">
        <f>VLOOKUP($A225,tabCustoUnit[],COLUMN(CUSTO_GLOBAL[[#Headers],[Nº DE PEDIDO DA CCT]])-2,0)</f>
        <v>-</v>
      </c>
      <c r="CD225" s="25" t="str">
        <f>VLOOKUP($A225,tabCustoUnit[],COLUMN(CUSTO_GLOBAL[[#Headers],[TERMO ADITIVO ALTERAÇÃO DA CCT]])-2,0)</f>
        <v>-</v>
      </c>
    </row>
    <row r="226" spans="1:82">
      <c r="A226" s="20" t="s">
        <v>1655</v>
      </c>
      <c r="B226" t="s">
        <v>1169</v>
      </c>
      <c r="C226" t="s">
        <v>324</v>
      </c>
      <c r="D226" t="s">
        <v>905</v>
      </c>
      <c r="E226" s="20" t="s">
        <v>1090</v>
      </c>
      <c r="F226" s="20" t="s">
        <v>120</v>
      </c>
      <c r="G226" s="20">
        <v>1</v>
      </c>
      <c r="H226" s="20">
        <v>0</v>
      </c>
      <c r="I226" s="21">
        <f>VLOOKUP($A226,tabCustoUnit[],COLUMN(CUSTO_GLOBAL[[#Headers],[Salário Base]])-2,0)*($G226-$H226)</f>
        <v>3397.1306</v>
      </c>
      <c r="J226" s="21">
        <f>VLOOKUP($A226,tabCustoUnit[],COLUMN(CUSTO_GLOBAL[[#Headers],[Adicional Periculosidade]])-2,0)*($G226-$H226)</f>
        <v>0</v>
      </c>
      <c r="K226" s="21">
        <f>VLOOKUP($A226,tabCustoUnit[],COLUMN(CUSTO_GLOBAL[[#Headers],[Adicional Insalubridade]])-2,0)*($G226-$H226)</f>
        <v>0</v>
      </c>
      <c r="L226" s="21">
        <f>VLOOKUP($A226,tabCustoUnit[],COLUMN(CUSTO_GLOBAL[[#Headers],[Adicional Noturno]])-2,0)*($G226-$H226)</f>
        <v>0</v>
      </c>
      <c r="M226" s="21">
        <f>VLOOKUP($A226,tabCustoUnit[],COLUMN(CUSTO_GLOBAL[[#Headers],[Adicional Motorista II (Gratificação)]])-2,0)*($G226-$H226)</f>
        <v>0</v>
      </c>
      <c r="N226" s="21">
        <f>VLOOKUP($A226,tabCustoUnit[],COLUMN(CUSTO_GLOBAL[[#Headers],[Adicional de Sobreaviso]])-2,0)*($G226-$H226)</f>
        <v>0</v>
      </c>
      <c r="O226" s="21">
        <f>VLOOKUP($A226,tabCustoUnit[],COLUMN(CUSTO_GLOBAL[[#Headers],[Horas Extras TI]])-2,0)*($G226-$H226)</f>
        <v>0</v>
      </c>
      <c r="P226" s="21">
        <f>VLOOKUP($A226,tabCustoUnit[],COLUMN(CUSTO_GLOBAL[[#Headers],[Adicional de Acúmulo de função]])-2,0)*($G226-$H226)</f>
        <v>0</v>
      </c>
      <c r="Q226" s="21">
        <f>VLOOKUP($A226,tabCustoUnit[],COLUMN(CUSTO_GLOBAL[[#Headers],[MODULO 1 - REMUNERAÇÃO ]])-2,0)*($G226-$H226)</f>
        <v>3397.1306</v>
      </c>
      <c r="R226" s="21">
        <f>VLOOKUP($A226,tabCustoUnit[],COLUMN(CUSTO_GLOBAL[[#Headers],[INSS]])-2,0)*($G226-$H226)</f>
        <v>679.42612000000008</v>
      </c>
      <c r="S226" s="21">
        <f>VLOOKUP($A226,tabCustoUnit[],COLUMN(CUSTO_GLOBAL[[#Headers],[SESI OU SESC]])-2,0)*($G226-$H226)</f>
        <v>50.956958999999998</v>
      </c>
      <c r="T226" s="21">
        <f>VLOOKUP($A226,tabCustoUnit[],COLUMN(CUSTO_GLOBAL[[#Headers],[SENAI OU SENAC]])-2,0)*($G226-$H226)</f>
        <v>33.971305999999998</v>
      </c>
      <c r="U226" s="21">
        <f>VLOOKUP($A226,tabCustoUnit[],COLUMN(CUSTO_GLOBAL[[#Headers],[INCRA]])-2,0)*($G226-$H226)</f>
        <v>6.7942612000000002</v>
      </c>
      <c r="V226" s="21">
        <f>VLOOKUP($A226,tabCustoUnit[],COLUMN(CUSTO_GLOBAL[[#Headers],[Salário Educação]])-2,0)*($G226-$H226)</f>
        <v>84.92826500000001</v>
      </c>
      <c r="W226" s="21">
        <f>VLOOKUP($A226,tabCustoUnit[],COLUMN(CUSTO_GLOBAL[[#Headers],[FGTS]])-2,0)*($G226-$H226)</f>
        <v>271.77044799999999</v>
      </c>
      <c r="X226" s="21">
        <f>VLOOKUP($A226,tabCustoUnit[],COLUMN(CUSTO_GLOBAL[[#Headers],[RAT Ajustado]])-2,0)*($G226-$H226)</f>
        <v>135.88522399999999</v>
      </c>
      <c r="Y226" s="21">
        <f>VLOOKUP($A226,tabCustoUnit[],COLUMN(CUSTO_GLOBAL[[#Headers],[SEBRAE]])-2,0)*($G226-$H226)</f>
        <v>20.3827836</v>
      </c>
      <c r="Z226" s="21">
        <f>VLOOKUP($A226,tabCustoUnit[],COLUMN(CUSTO_GLOBAL[[#Headers],[Submódulo 2.1]])-2,0)*($G226-$H226)</f>
        <v>1284.1153668000002</v>
      </c>
      <c r="AA226" s="21">
        <f>VLOOKUP($A226,tabCustoUnit[],COLUMN(CUSTO_GLOBAL[[#Headers],[13º salário (titular)]])-2,0)*($G226-$H226)</f>
        <v>283.09421666666663</v>
      </c>
      <c r="AB226" s="21">
        <f>VLOOKUP($A226,tabCustoUnit[],COLUMN(CUSTO_GLOBAL[[#Headers],[Férias e Adicional de Férias (titular)]])-2,0)*($G226-$H226)</f>
        <v>377.45895555555552</v>
      </c>
      <c r="AC226" s="21">
        <f>VLOOKUP($A226,tabCustoUnit[],COLUMN(CUSTO_GLOBAL[[#Headers],[Incidência do Submódulo 2.1 sobre 13º Salário, Férias e Adicional de Férias]])-2,0)*($G226-$H226)</f>
        <v>249.68909910000002</v>
      </c>
      <c r="AD226" s="21">
        <f>VLOOKUP($A226,tabCustoUnit[],COLUMN(CUSTO_GLOBAL[[#Headers],[Submódulo 2.2]])-2,0)*($G226-$H226)</f>
        <v>910.24227132222222</v>
      </c>
      <c r="AE226" s="22" t="e">
        <f ca="1">VLOOKUP($A226,tabCustoUnit[],COLUMN(CUSTO_GLOBAL[[#Headers],[Vale - Transporte (Descontada parcela do empregado)]])-2,0)*($G226-$H226)</f>
        <v>#NAME?</v>
      </c>
      <c r="AF226" s="22">
        <f>VLOOKUP($A226,tabCustoUnit[],COLUMN(CUSTO_GLOBAL[[#Headers],[Vale - Alimentação (Descontada parcela do empregado)]])-2,0)*($G226-$H226)</f>
        <v>582</v>
      </c>
      <c r="AG226" s="22">
        <f>VLOOKUP($A226,tabCustoUnit[],COLUMN(CUSTO_GLOBAL[[#Headers],[Cesta Básica]])-2,0)*($G226-$H226)</f>
        <v>0</v>
      </c>
      <c r="AH226" s="22">
        <f>VLOOKUP($A226,tabCustoUnit[],COLUMN(CUSTO_GLOBAL[[#Headers],[PAF]])-2,0)*($G226-$H226)</f>
        <v>57.07</v>
      </c>
      <c r="AI226" s="22">
        <f>VLOOKUP($A226,tabCustoUnit[],COLUMN(CUSTO_GLOBAL[[#Headers],[PQM]])-2,0)*($G226-$H226)</f>
        <v>0</v>
      </c>
      <c r="AJ226" s="22">
        <v>0</v>
      </c>
      <c r="AK226" s="22">
        <f>VLOOKUP($A226,tabCustoUnit[],COLUMN(CUSTO_GLOBAL[[#Headers],[Seguro de Vida]])-2,0)*($G226-$H226)</f>
        <v>3.36</v>
      </c>
      <c r="AL226" s="22">
        <f>VLOOKUP($A226,tabCustoUnit[],COLUMN(CUSTO_GLOBAL[[#Headers],[Despesas de Viagem]])-2,0)*($G226-$H226)</f>
        <v>0</v>
      </c>
      <c r="AM226" s="22" t="e">
        <f ca="1">VLOOKUP($A226,tabCustoUnit[],COLUMN(CUSTO_GLOBAL[[#Headers],[Submódulo 2.3]])-2,0)*($G226-$H226)</f>
        <v>#NAME?</v>
      </c>
      <c r="AN226" s="22" t="e">
        <f ca="1">VLOOKUP($A226,tabCustoUnit[],COLUMN(CUSTO_GLOBAL[[#Headers],[MÓDULO 2 - Total Encargos e Benefícios mensais e diários]])-2,0)*($G226-$H226)</f>
        <v>#NAME?</v>
      </c>
      <c r="AO226" s="22">
        <f>VLOOKUP($A226,tabCustoUnit[],COLUMN(CUSTO_GLOBAL[[#Headers],[Aviso Prévio Indenizado (API) e Reflexo do Aviso Prévio Indenizado]])-2,0)*($G226-$H226)</f>
        <v>23.819888151890432</v>
      </c>
      <c r="AP226" s="22">
        <f>VLOOKUP($A226,tabCustoUnit[],COLUMN(CUSTO_GLOBAL[[#Headers],[Incidência do FGTS sobre API e Reflexo do API]])-2,0)*($G226-$H226)</f>
        <v>1.9055910521512347</v>
      </c>
      <c r="AQ226" s="22">
        <f>VLOOKUP($A226,tabCustoUnit[],COLUMN(CUSTO_GLOBAL[[#Headers],[Multa Rescisória do FGTS sobre o Aviso Prévio Indenizado]])-2,0)*($G226-$H226)</f>
        <v>0.76223642086049392</v>
      </c>
      <c r="AR226" s="22">
        <f>VLOOKUP($A226,tabCustoUnit[],COLUMN(CUSTO_GLOBAL[[#Headers],[Aviso Prévio Trabalhado - APT]])-2,0)*($G226-$H226)</f>
        <v>11.889957100000002</v>
      </c>
      <c r="AS226" s="22">
        <f>VLOOKUP($A226,tabCustoUnit[],COLUMN(CUSTO_GLOBAL[[#Headers],[Incidência dos encargos do submódulo 2.1 sobre Aviso Prévio Trabalhado]])-2,0)*($G226-$H226)</f>
        <v>4.4944037838000011</v>
      </c>
      <c r="AT226" s="22">
        <f>VLOOKUP($A226,tabCustoUnit[],COLUMN(CUSTO_GLOBAL[[#Headers],[Multa Rescisória do FGTS]])-2,0)*($G226-$H226)</f>
        <v>103.87670456888887</v>
      </c>
      <c r="AU226" s="22">
        <f>VLOOKUP($A226,tabCustoUnit[],COLUMN(CUSTO_GLOBAL[[#Headers],[Indenização Adicional (Art. 9º da Lei nº 7.238/84)]])-2,0)*($G226-$H226)</f>
        <v>2.830942166666667</v>
      </c>
      <c r="AV226" s="22">
        <f>VLOOKUP($A226,tabCustoUnit[],COLUMN(CUSTO_GLOBAL[[#Headers],[MÓDULO 3 – PROVISÃO PARA RESCISÃO]])-2,0)*($G226-$H226)</f>
        <v>149.57972324425771</v>
      </c>
      <c r="AW226" s="22">
        <f>VLOOKUP($A226,tabCustoUnit[],COLUMN(CUSTO_GLOBAL[[#Headers],[Ausência por Doença]])-2,0)*($G226-$H226)</f>
        <v>28.686880622222219</v>
      </c>
      <c r="AX226" s="22">
        <f>VLOOKUP($A226,tabCustoUnit[],COLUMN(CUSTO_GLOBAL[[#Headers],[Ausências Legais]])-2,0)*($G226-$H226)</f>
        <v>6.8886259388888886</v>
      </c>
      <c r="AY226" s="22">
        <f>VLOOKUP($A226,tabCustoUnit[],COLUMN(CUSTO_GLOBAL[[#Headers],[Licença Paternidade]])-2,0)*($G226-$H226)</f>
        <v>0.58034314416666666</v>
      </c>
      <c r="AZ226" s="22">
        <f>VLOOKUP($A226,tabCustoUnit[],COLUMN(CUSTO_GLOBAL[[#Headers],[Ausência por Acidente de Trabalho]])-2,0)*($G226-$H226)</f>
        <v>0.70773554166666675</v>
      </c>
      <c r="BA226" s="22">
        <f>VLOOKUP($A226,tabCustoUnit[],COLUMN(CUSTO_GLOBAL[[#Headers],[Férias, Adicional de Férias e 13º  com empregada em gozo de Licença Maternidade]])-2,0)*($G226-$H226)</f>
        <v>4.4036878148148144</v>
      </c>
      <c r="BB226" s="22">
        <f>VLOOKUP($A226,tabCustoUnit[],COLUMN(CUSTO_GLOBAL[[#Headers],[Incidência do Submódulo 2.1 sobre Ausências Legais]])-2,0)*($G226-$H226)</f>
        <v>15.599029217345002</v>
      </c>
      <c r="BC226" s="22">
        <f>VLOOKUP($A226,tabCustoUnit[],COLUMN(CUSTO_GLOBAL[[#Headers],[Submódulo 4.1]])-2,0)*($G226-$H226)</f>
        <v>56.866302279104261</v>
      </c>
      <c r="BD226" s="22">
        <f>VLOOKUP($A226,tabCustoUnit[],COLUMN(CUSTO_GLOBAL[[#Headers],[Intervalo para Repouso ou Alimentação]])-2,0)*($G226-$H226)</f>
        <v>0</v>
      </c>
      <c r="BE226" s="22">
        <f>VLOOKUP($A226,tabCustoUnit[],COLUMN(CUSTO_GLOBAL[[#Headers],[Submódulo 4.2]])-2,0)*($G226-$H226)</f>
        <v>0</v>
      </c>
      <c r="BF226" s="22">
        <f>VLOOKUP($A226,tabCustoUnit[],COLUMN(CUSTO_GLOBAL[[#Headers],[Suspensão Temporária do Contrato de Trabalho]])-2,0)*($G226-$H226)</f>
        <v>0</v>
      </c>
      <c r="BG226" s="22">
        <f>VLOOKUP($A226,tabCustoUnit[],COLUMN(CUSTO_GLOBAL[[#Headers],[Submódulo 4.3]])-2,0)*($G226-$H226)</f>
        <v>0</v>
      </c>
      <c r="BH226" s="22">
        <f>VLOOKUP($A226,tabCustoUnit[],COLUMN(CUSTO_GLOBAL[[#Headers],[MÓDULO 4 – CUSTO DE REPOSIÇÃO DO PROFISSIONAL AUSENTE]])-2,0)*($G226-$H226)</f>
        <v>56.866302279104261</v>
      </c>
      <c r="BI226" s="22">
        <f>VLOOKUP($A226,tabCustoUnit[],COLUMN(CUSTO_GLOBAL[[#Headers],[Uniformes e EPIs]])-2,0)*($G226-$H226)</f>
        <v>56.642978962543395</v>
      </c>
      <c r="BJ226" s="22">
        <f>VLOOKUP($A226,tabCustoUnit[],COLUMN(CUSTO_GLOBAL[[#Headers],[Materiais de Consumo]])-2,0)*($G226-$H226)</f>
        <v>0</v>
      </c>
      <c r="BK226" s="22">
        <f>VLOOKUP($A226,tabCustoUnit[],COLUMN(CUSTO_GLOBAL[[#Headers],[Máquinas e Equipamentos (depreciação)]])-2,0)*($G226-$H226)</f>
        <v>0</v>
      </c>
      <c r="BL226" s="22">
        <f>VLOOKUP($A226,tabCustoUnit[],COLUMN(CUSTO_GLOBAL[[#Headers],[Produtos de Limpeza e Materiais de Higiene Pessoal]])-2,0)*($G226-$H226)</f>
        <v>0</v>
      </c>
      <c r="BM226" s="22">
        <f>VLOOKUP($A226,tabCustoUnit[],COLUMN(CUSTO_GLOBAL[[#Headers],[Outros (especificar)]])-2,0)*($G226-$H226)</f>
        <v>0</v>
      </c>
      <c r="BN226" s="22">
        <f>VLOOKUP($A226,tabCustoUnit[],COLUMN(CUSTO_GLOBAL[[#Headers],[MÓDULO 5 – INSUMOS DIVERSOS]])-2,0)*($G226-$H226)</f>
        <v>56.642978962543395</v>
      </c>
      <c r="BO226" s="22" t="e">
        <f ca="1">VLOOKUP($A226,tabCustoUnit[],COLUMN(CUSTO_GLOBAL[[#Headers],[TOTAL MÓDULOS 1+2+3+4+5]])-2,0)*($G226-$H226)</f>
        <v>#NAME?</v>
      </c>
      <c r="BP226" s="22" t="e">
        <f ca="1">VLOOKUP($A226,tabCustoUnit[],COLUMN(CUSTO_GLOBAL[[#Headers],[Custos Indiretos]])-2,0)*($G226-$H226)</f>
        <v>#NAME?</v>
      </c>
      <c r="BQ226" s="22" t="e">
        <f ca="1">VLOOKUP($A226,tabCustoUnit[],COLUMN(CUSTO_GLOBAL[[#Headers],[Lucro]])-2,0)*($G226-$H226)</f>
        <v>#NAME?</v>
      </c>
      <c r="BR226" s="26">
        <f>VLOOKUP($A226,tabCustoUnit[],COLUMN(CUSTO_GLOBAL[[#Headers],[COFINS]])-2,0)</f>
        <v>8.6609686609686695E-2</v>
      </c>
      <c r="BS226" s="26">
        <f>VLOOKUP($A226,tabCustoUnit[],COLUMN(CUSTO_GLOBAL[[#Headers],[PIS]])-2,0)</f>
        <v>1.880341880341882E-2</v>
      </c>
      <c r="BT226" s="28">
        <f>VLOOKUP($A226,tabCustoUnit[],COLUMN(CUSTO_GLOBAL[[#Headers],[ISS]])-2,0)</f>
        <v>0.03</v>
      </c>
      <c r="BU226" s="26">
        <f>VLOOKUP($A226,tabCustoUnit[],COLUMN(CUSTO_GLOBAL[[#Headers],[ISS (Conversão Alíquota s/ fatura)]])-2,0)</f>
        <v>3.4188034188034219E-2</v>
      </c>
      <c r="BV226" s="26">
        <f>VLOOKUP($A226,tabCustoUnit[],COLUMN(CUSTO_GLOBAL[[#Headers],[Resumo de Alíquotas (PIS+CONFINS+ISS)]])-2,0)</f>
        <v>0.1225</v>
      </c>
      <c r="BW226" s="138">
        <f>VLOOKUP($A226,tabCustoUnit[],COLUMN(CUSTO_GLOBAL[[#Headers],[PIS + COFINS + ISS (Total Conversão  Alíquota s/ Fatura)]])-2,0)</f>
        <v>0.13960113960113973</v>
      </c>
      <c r="BX226" s="22" t="e">
        <f ca="1">VLOOKUP($A226,tabCustoUnit[],COLUMN(CUSTO_GLOBAL[[#Headers],[Valor dos Tributos (ISS, PIS, CONFINS)]])-2,0)*($G226-$H226)</f>
        <v>#NAME?</v>
      </c>
      <c r="BY226" s="22" t="e">
        <f ca="1">VLOOKUP($A226,tabCustoUnit[],COLUMN(CUSTO_GLOBAL[[#Headers],[MÓDULO 6 – CUSTOS INDIRETOS, TRIBUTOS E LUCRO]])-2,0)*($G226-$H226)</f>
        <v>#NAME?</v>
      </c>
      <c r="BZ226" s="22" t="e">
        <f ca="1">VLOOKUP($A226,tabCustoUnit[],COLUMN(CUSTO_GLOBAL[[#Headers],[CUSTO TOTAL MENSAL]])-2,0)*($G226-$H226)</f>
        <v>#NAME?</v>
      </c>
      <c r="CA226" s="22" t="e">
        <f ca="1">CUSTO_GLOBAL[[#This Row],[CUSTO TOTAL MENSAL]]*12</f>
        <v>#NAME?</v>
      </c>
      <c r="CB226" s="24">
        <f>VLOOKUP($A226,tabCustoUnit[],COLUMN(CUSTO_GLOBAL[[#Headers],[ANO DA CCT]])-2,0)</f>
        <v>45658</v>
      </c>
      <c r="CC226" s="25" t="str">
        <f>VLOOKUP($A226,tabCustoUnit[],COLUMN(CUSTO_GLOBAL[[#Headers],[Nº DE PEDIDO DA CCT]])-2,0)</f>
        <v>-</v>
      </c>
      <c r="CD226" s="25" t="str">
        <f>VLOOKUP($A226,tabCustoUnit[],COLUMN(CUSTO_GLOBAL[[#Headers],[TERMO ADITIVO ALTERAÇÃO DA CCT]])-2,0)</f>
        <v>-</v>
      </c>
    </row>
    <row r="227" spans="1:82">
      <c r="A227" s="20" t="s">
        <v>1656</v>
      </c>
      <c r="B227" t="s">
        <v>1170</v>
      </c>
      <c r="C227" t="s">
        <v>319</v>
      </c>
      <c r="D227" t="s">
        <v>918</v>
      </c>
      <c r="E227" s="20" t="s">
        <v>1090</v>
      </c>
      <c r="F227" s="20" t="s">
        <v>120</v>
      </c>
      <c r="G227" s="20">
        <v>1</v>
      </c>
      <c r="H227" s="20">
        <v>0</v>
      </c>
      <c r="I227" s="21">
        <f>VLOOKUP($A227,tabCustoUnit[],COLUMN(CUSTO_GLOBAL[[#Headers],[Salário Base]])-2,0)*($G227-$H227)</f>
        <v>2316.2296999999999</v>
      </c>
      <c r="J227" s="21">
        <f>VLOOKUP($A227,tabCustoUnit[],COLUMN(CUSTO_GLOBAL[[#Headers],[Adicional Periculosidade]])-2,0)*($G227-$H227)</f>
        <v>0</v>
      </c>
      <c r="K227" s="21">
        <f>VLOOKUP($A227,tabCustoUnit[],COLUMN(CUSTO_GLOBAL[[#Headers],[Adicional Insalubridade]])-2,0)*($G227-$H227)</f>
        <v>0</v>
      </c>
      <c r="L227" s="21">
        <f>VLOOKUP($A227,tabCustoUnit[],COLUMN(CUSTO_GLOBAL[[#Headers],[Adicional Noturno]])-2,0)*($G227-$H227)</f>
        <v>0</v>
      </c>
      <c r="M227" s="21">
        <f>VLOOKUP($A227,tabCustoUnit[],COLUMN(CUSTO_GLOBAL[[#Headers],[Adicional Motorista II (Gratificação)]])-2,0)*($G227-$H227)</f>
        <v>0</v>
      </c>
      <c r="N227" s="21">
        <f>VLOOKUP($A227,tabCustoUnit[],COLUMN(CUSTO_GLOBAL[[#Headers],[Adicional de Sobreaviso]])-2,0)*($G227-$H227)</f>
        <v>0</v>
      </c>
      <c r="O227" s="21">
        <f>VLOOKUP($A227,tabCustoUnit[],COLUMN(CUSTO_GLOBAL[[#Headers],[Horas Extras TI]])-2,0)*($G227-$H227)</f>
        <v>0</v>
      </c>
      <c r="P227" s="21">
        <f>VLOOKUP($A227,tabCustoUnit[],COLUMN(CUSTO_GLOBAL[[#Headers],[Adicional de Acúmulo de função]])-2,0)*($G227-$H227)</f>
        <v>0</v>
      </c>
      <c r="Q227" s="21">
        <f>VLOOKUP($A227,tabCustoUnit[],COLUMN(CUSTO_GLOBAL[[#Headers],[MODULO 1 - REMUNERAÇÃO ]])-2,0)*($G227-$H227)</f>
        <v>2316.2296999999999</v>
      </c>
      <c r="R227" s="21">
        <f>VLOOKUP($A227,tabCustoUnit[],COLUMN(CUSTO_GLOBAL[[#Headers],[INSS]])-2,0)*($G227-$H227)</f>
        <v>463.24594000000002</v>
      </c>
      <c r="S227" s="21">
        <f>VLOOKUP($A227,tabCustoUnit[],COLUMN(CUSTO_GLOBAL[[#Headers],[SESI OU SESC]])-2,0)*($G227-$H227)</f>
        <v>34.7434455</v>
      </c>
      <c r="T227" s="21">
        <f>VLOOKUP($A227,tabCustoUnit[],COLUMN(CUSTO_GLOBAL[[#Headers],[SENAI OU SENAC]])-2,0)*($G227-$H227)</f>
        <v>23.162296999999999</v>
      </c>
      <c r="U227" s="21">
        <f>VLOOKUP($A227,tabCustoUnit[],COLUMN(CUSTO_GLOBAL[[#Headers],[INCRA]])-2,0)*($G227-$H227)</f>
        <v>4.6324594000000001</v>
      </c>
      <c r="V227" s="21">
        <f>VLOOKUP($A227,tabCustoUnit[],COLUMN(CUSTO_GLOBAL[[#Headers],[Salário Educação]])-2,0)*($G227-$H227)</f>
        <v>57.905742500000002</v>
      </c>
      <c r="W227" s="21">
        <f>VLOOKUP($A227,tabCustoUnit[],COLUMN(CUSTO_GLOBAL[[#Headers],[FGTS]])-2,0)*($G227-$H227)</f>
        <v>185.29837599999999</v>
      </c>
      <c r="X227" s="21">
        <f>VLOOKUP($A227,tabCustoUnit[],COLUMN(CUSTO_GLOBAL[[#Headers],[RAT Ajustado]])-2,0)*($G227-$H227)</f>
        <v>92.649187999999995</v>
      </c>
      <c r="Y227" s="21">
        <f>VLOOKUP($A227,tabCustoUnit[],COLUMN(CUSTO_GLOBAL[[#Headers],[SEBRAE]])-2,0)*($G227-$H227)</f>
        <v>13.8973782</v>
      </c>
      <c r="Z227" s="21">
        <f>VLOOKUP($A227,tabCustoUnit[],COLUMN(CUSTO_GLOBAL[[#Headers],[Submódulo 2.1]])-2,0)*($G227-$H227)</f>
        <v>875.53482659999997</v>
      </c>
      <c r="AA227" s="21">
        <f>VLOOKUP($A227,tabCustoUnit[],COLUMN(CUSTO_GLOBAL[[#Headers],[13º salário (titular)]])-2,0)*($G227-$H227)</f>
        <v>193.01914166666666</v>
      </c>
      <c r="AB227" s="21">
        <f>VLOOKUP($A227,tabCustoUnit[],COLUMN(CUSTO_GLOBAL[[#Headers],[Férias e Adicional de Férias (titular)]])-2,0)*($G227-$H227)</f>
        <v>257.35885555555552</v>
      </c>
      <c r="AC227" s="21">
        <f>VLOOKUP($A227,tabCustoUnit[],COLUMN(CUSTO_GLOBAL[[#Headers],[Incidência do Submódulo 2.1 sobre 13º Salário, Férias e Adicional de Férias]])-2,0)*($G227-$H227)</f>
        <v>170.24288294999999</v>
      </c>
      <c r="AD227" s="21">
        <f>VLOOKUP($A227,tabCustoUnit[],COLUMN(CUSTO_GLOBAL[[#Headers],[Submódulo 2.2]])-2,0)*($G227-$H227)</f>
        <v>620.6208801722222</v>
      </c>
      <c r="AE227" s="22" t="e">
        <f ca="1">VLOOKUP($A227,tabCustoUnit[],COLUMN(CUSTO_GLOBAL[[#Headers],[Vale - Transporte (Descontada parcela do empregado)]])-2,0)*($G227-$H227)</f>
        <v>#NAME?</v>
      </c>
      <c r="AF227" s="22">
        <f>VLOOKUP($A227,tabCustoUnit[],COLUMN(CUSTO_GLOBAL[[#Headers],[Vale - Alimentação (Descontada parcela do empregado)]])-2,0)*($G227-$H227)</f>
        <v>582</v>
      </c>
      <c r="AG227" s="22">
        <f>VLOOKUP($A227,tabCustoUnit[],COLUMN(CUSTO_GLOBAL[[#Headers],[Cesta Básica]])-2,0)*($G227-$H227)</f>
        <v>0</v>
      </c>
      <c r="AH227" s="22">
        <f>VLOOKUP($A227,tabCustoUnit[],COLUMN(CUSTO_GLOBAL[[#Headers],[PAF]])-2,0)*($G227-$H227)</f>
        <v>0</v>
      </c>
      <c r="AI227" s="22">
        <f>VLOOKUP($A227,tabCustoUnit[],COLUMN(CUSTO_GLOBAL[[#Headers],[PQM]])-2,0)*($G227-$H227)</f>
        <v>15.07</v>
      </c>
      <c r="AJ227" s="22">
        <v>0</v>
      </c>
      <c r="AK227" s="22">
        <f>VLOOKUP($A227,tabCustoUnit[],COLUMN(CUSTO_GLOBAL[[#Headers],[Seguro de Vida]])-2,0)*($G227-$H227)</f>
        <v>3.36</v>
      </c>
      <c r="AL227" s="22">
        <f>VLOOKUP($A227,tabCustoUnit[],COLUMN(CUSTO_GLOBAL[[#Headers],[Despesas de Viagem]])-2,0)*($G227-$H227)</f>
        <v>0</v>
      </c>
      <c r="AM227" s="22" t="e">
        <f ca="1">VLOOKUP($A227,tabCustoUnit[],COLUMN(CUSTO_GLOBAL[[#Headers],[Submódulo 2.3]])-2,0)*($G227-$H227)</f>
        <v>#NAME?</v>
      </c>
      <c r="AN227" s="22" t="e">
        <f ca="1">VLOOKUP($A227,tabCustoUnit[],COLUMN(CUSTO_GLOBAL[[#Headers],[MÓDULO 2 - Total Encargos e Benefícios mensais e diários]])-2,0)*($G227-$H227)</f>
        <v>#NAME?</v>
      </c>
      <c r="AO227" s="22">
        <f>VLOOKUP($A227,tabCustoUnit[],COLUMN(CUSTO_GLOBAL[[#Headers],[Aviso Prévio Indenizado (API) e Reflexo do Aviso Prévio Indenizado]])-2,0)*($G227-$H227)</f>
        <v>16.240862917689043</v>
      </c>
      <c r="AP227" s="22">
        <f>VLOOKUP($A227,tabCustoUnit[],COLUMN(CUSTO_GLOBAL[[#Headers],[Incidência do FGTS sobre API e Reflexo do API]])-2,0)*($G227-$H227)</f>
        <v>1.2992690334151236</v>
      </c>
      <c r="AQ227" s="22">
        <f>VLOOKUP($A227,tabCustoUnit[],COLUMN(CUSTO_GLOBAL[[#Headers],[Multa Rescisória do FGTS sobre o Aviso Prévio Indenizado]])-2,0)*($G227-$H227)</f>
        <v>0.51970761336604943</v>
      </c>
      <c r="AR227" s="22">
        <f>VLOOKUP($A227,tabCustoUnit[],COLUMN(CUSTO_GLOBAL[[#Headers],[Aviso Prévio Trabalhado - APT]])-2,0)*($G227-$H227)</f>
        <v>8.1068039500000015</v>
      </c>
      <c r="AS227" s="22">
        <f>VLOOKUP($A227,tabCustoUnit[],COLUMN(CUSTO_GLOBAL[[#Headers],[Incidência dos encargos do submódulo 2.1 sobre Aviso Prévio Trabalhado]])-2,0)*($G227-$H227)</f>
        <v>3.0643718931000006</v>
      </c>
      <c r="AT227" s="22">
        <f>VLOOKUP($A227,tabCustoUnit[],COLUMN(CUSTO_GLOBAL[[#Headers],[Multa Rescisória do FGTS]])-2,0)*($G227-$H227)</f>
        <v>70.825157048888869</v>
      </c>
      <c r="AU227" s="22">
        <f>VLOOKUP($A227,tabCustoUnit[],COLUMN(CUSTO_GLOBAL[[#Headers],[Indenização Adicional (Art. 9º da Lei nº 7.238/84)]])-2,0)*($G227-$H227)</f>
        <v>1.9301914166666667</v>
      </c>
      <c r="AV227" s="22">
        <f>VLOOKUP($A227,tabCustoUnit[],COLUMN(CUSTO_GLOBAL[[#Headers],[MÓDULO 3 – PROVISÃO PARA RESCISÃO]])-2,0)*($G227-$H227)</f>
        <v>101.98636387312575</v>
      </c>
      <c r="AW227" s="22">
        <f>VLOOKUP($A227,tabCustoUnit[],COLUMN(CUSTO_GLOBAL[[#Headers],[Ausência por Doença]])-2,0)*($G227-$H227)</f>
        <v>19.559273022222218</v>
      </c>
      <c r="AX227" s="22">
        <f>VLOOKUP($A227,tabCustoUnit[],COLUMN(CUSTO_GLOBAL[[#Headers],[Ausências Legais]])-2,0)*($G227-$H227)</f>
        <v>4.696799113888888</v>
      </c>
      <c r="AY227" s="22">
        <f>VLOOKUP($A227,tabCustoUnit[],COLUMN(CUSTO_GLOBAL[[#Headers],[Licença Paternidade]])-2,0)*($G227-$H227)</f>
        <v>0.39568924041666664</v>
      </c>
      <c r="AZ227" s="22">
        <f>VLOOKUP($A227,tabCustoUnit[],COLUMN(CUSTO_GLOBAL[[#Headers],[Ausência por Acidente de Trabalho]])-2,0)*($G227-$H227)</f>
        <v>0.48254785416666668</v>
      </c>
      <c r="BA227" s="22">
        <f>VLOOKUP($A227,tabCustoUnit[],COLUMN(CUSTO_GLOBAL[[#Headers],[Férias, Adicional de Férias e 13º  com empregada em gozo de Licença Maternidade]])-2,0)*($G227-$H227)</f>
        <v>3.0025199814814814</v>
      </c>
      <c r="BB227" s="22">
        <f>VLOOKUP($A227,tabCustoUnit[],COLUMN(CUSTO_GLOBAL[[#Headers],[Incidência do Submódulo 2.1 sobre Ausências Legais]])-2,0)*($G227-$H227)</f>
        <v>10.635721442202501</v>
      </c>
      <c r="BC227" s="22">
        <f>VLOOKUP($A227,tabCustoUnit[],COLUMN(CUSTO_GLOBAL[[#Headers],[Submódulo 4.1]])-2,0)*($G227-$H227)</f>
        <v>38.772550654378421</v>
      </c>
      <c r="BD227" s="22">
        <f>VLOOKUP($A227,tabCustoUnit[],COLUMN(CUSTO_GLOBAL[[#Headers],[Intervalo para Repouso ou Alimentação]])-2,0)*($G227-$H227)</f>
        <v>0</v>
      </c>
      <c r="BE227" s="22">
        <f>VLOOKUP($A227,tabCustoUnit[],COLUMN(CUSTO_GLOBAL[[#Headers],[Submódulo 4.2]])-2,0)*($G227-$H227)</f>
        <v>0</v>
      </c>
      <c r="BF227" s="22">
        <f>VLOOKUP($A227,tabCustoUnit[],COLUMN(CUSTO_GLOBAL[[#Headers],[Suspensão Temporária do Contrato de Trabalho]])-2,0)*($G227-$H227)</f>
        <v>0</v>
      </c>
      <c r="BG227" s="22">
        <f>VLOOKUP($A227,tabCustoUnit[],COLUMN(CUSTO_GLOBAL[[#Headers],[Submódulo 4.3]])-2,0)*($G227-$H227)</f>
        <v>0</v>
      </c>
      <c r="BH227" s="22">
        <f>VLOOKUP($A227,tabCustoUnit[],COLUMN(CUSTO_GLOBAL[[#Headers],[MÓDULO 4 – CUSTO DE REPOSIÇÃO DO PROFISSIONAL AUSENTE]])-2,0)*($G227-$H227)</f>
        <v>38.772550654378421</v>
      </c>
      <c r="BI227" s="22">
        <f>VLOOKUP($A227,tabCustoUnit[],COLUMN(CUSTO_GLOBAL[[#Headers],[Uniformes e EPIs]])-2,0)*($G227-$H227)</f>
        <v>56.642978962543395</v>
      </c>
      <c r="BJ227" s="22">
        <f>VLOOKUP($A227,tabCustoUnit[],COLUMN(CUSTO_GLOBAL[[#Headers],[Materiais de Consumo]])-2,0)*($G227-$H227)</f>
        <v>0</v>
      </c>
      <c r="BK227" s="22">
        <f>VLOOKUP($A227,tabCustoUnit[],COLUMN(CUSTO_GLOBAL[[#Headers],[Máquinas e Equipamentos (depreciação)]])-2,0)*($G227-$H227)</f>
        <v>0</v>
      </c>
      <c r="BL227" s="22">
        <f>VLOOKUP($A227,tabCustoUnit[],COLUMN(CUSTO_GLOBAL[[#Headers],[Produtos de Limpeza e Materiais de Higiene Pessoal]])-2,0)*($G227-$H227)</f>
        <v>0</v>
      </c>
      <c r="BM227" s="22">
        <f>VLOOKUP($A227,tabCustoUnit[],COLUMN(CUSTO_GLOBAL[[#Headers],[Outros (especificar)]])-2,0)*($G227-$H227)</f>
        <v>0</v>
      </c>
      <c r="BN227" s="22">
        <f>VLOOKUP($A227,tabCustoUnit[],COLUMN(CUSTO_GLOBAL[[#Headers],[MÓDULO 5 – INSUMOS DIVERSOS]])-2,0)*($G227-$H227)</f>
        <v>56.642978962543395</v>
      </c>
      <c r="BO227" s="22" t="e">
        <f ca="1">VLOOKUP($A227,tabCustoUnit[],COLUMN(CUSTO_GLOBAL[[#Headers],[TOTAL MÓDULOS 1+2+3+4+5]])-2,0)*($G227-$H227)</f>
        <v>#NAME?</v>
      </c>
      <c r="BP227" s="22" t="e">
        <f ca="1">VLOOKUP($A227,tabCustoUnit[],COLUMN(CUSTO_GLOBAL[[#Headers],[Custos Indiretos]])-2,0)*($G227-$H227)</f>
        <v>#NAME?</v>
      </c>
      <c r="BQ227" s="22" t="e">
        <f ca="1">VLOOKUP($A227,tabCustoUnit[],COLUMN(CUSTO_GLOBAL[[#Headers],[Lucro]])-2,0)*($G227-$H227)</f>
        <v>#NAME?</v>
      </c>
      <c r="BR227" s="26">
        <f>VLOOKUP($A227,tabCustoUnit[],COLUMN(CUSTO_GLOBAL[[#Headers],[COFINS]])-2,0)</f>
        <v>8.6609686609686695E-2</v>
      </c>
      <c r="BS227" s="26">
        <f>VLOOKUP($A227,tabCustoUnit[],COLUMN(CUSTO_GLOBAL[[#Headers],[PIS]])-2,0)</f>
        <v>1.880341880341882E-2</v>
      </c>
      <c r="BT227" s="28">
        <f>VLOOKUP($A227,tabCustoUnit[],COLUMN(CUSTO_GLOBAL[[#Headers],[ISS]])-2,0)</f>
        <v>0.03</v>
      </c>
      <c r="BU227" s="26">
        <f>VLOOKUP($A227,tabCustoUnit[],COLUMN(CUSTO_GLOBAL[[#Headers],[ISS (Conversão Alíquota s/ fatura)]])-2,0)</f>
        <v>3.4188034188034219E-2</v>
      </c>
      <c r="BV227" s="26">
        <f>VLOOKUP($A227,tabCustoUnit[],COLUMN(CUSTO_GLOBAL[[#Headers],[Resumo de Alíquotas (PIS+CONFINS+ISS)]])-2,0)</f>
        <v>0.1225</v>
      </c>
      <c r="BW227" s="138">
        <f>VLOOKUP($A227,tabCustoUnit[],COLUMN(CUSTO_GLOBAL[[#Headers],[PIS + COFINS + ISS (Total Conversão  Alíquota s/ Fatura)]])-2,0)</f>
        <v>0.13960113960113973</v>
      </c>
      <c r="BX227" s="22" t="e">
        <f ca="1">VLOOKUP($A227,tabCustoUnit[],COLUMN(CUSTO_GLOBAL[[#Headers],[Valor dos Tributos (ISS, PIS, CONFINS)]])-2,0)*($G227-$H227)</f>
        <v>#NAME?</v>
      </c>
      <c r="BY227" s="22" t="e">
        <f ca="1">VLOOKUP($A227,tabCustoUnit[],COLUMN(CUSTO_GLOBAL[[#Headers],[MÓDULO 6 – CUSTOS INDIRETOS, TRIBUTOS E LUCRO]])-2,0)*($G227-$H227)</f>
        <v>#NAME?</v>
      </c>
      <c r="BZ227" s="22" t="e">
        <f ca="1">VLOOKUP($A227,tabCustoUnit[],COLUMN(CUSTO_GLOBAL[[#Headers],[CUSTO TOTAL MENSAL]])-2,0)*($G227-$H227)</f>
        <v>#NAME?</v>
      </c>
      <c r="CA227" s="22" t="e">
        <f ca="1">CUSTO_GLOBAL[[#This Row],[CUSTO TOTAL MENSAL]]*12</f>
        <v>#NAME?</v>
      </c>
      <c r="CB227" s="24">
        <f>VLOOKUP($A227,tabCustoUnit[],COLUMN(CUSTO_GLOBAL[[#Headers],[ANO DA CCT]])-2,0)</f>
        <v>45658</v>
      </c>
      <c r="CC227" s="25" t="str">
        <f>VLOOKUP($A227,tabCustoUnit[],COLUMN(CUSTO_GLOBAL[[#Headers],[Nº DE PEDIDO DA CCT]])-2,0)</f>
        <v>-</v>
      </c>
      <c r="CD227" s="25" t="str">
        <f>VLOOKUP($A227,tabCustoUnit[],COLUMN(CUSTO_GLOBAL[[#Headers],[TERMO ADITIVO ALTERAÇÃO DA CCT]])-2,0)</f>
        <v>-</v>
      </c>
    </row>
    <row r="228" spans="1:82">
      <c r="A228" s="20" t="s">
        <v>1657</v>
      </c>
      <c r="B228" t="s">
        <v>1171</v>
      </c>
      <c r="C228" t="s">
        <v>314</v>
      </c>
      <c r="D228" t="s">
        <v>918</v>
      </c>
      <c r="E228" s="20" t="s">
        <v>1090</v>
      </c>
      <c r="F228" s="20" t="s">
        <v>120</v>
      </c>
      <c r="G228" s="20">
        <v>1</v>
      </c>
      <c r="H228" s="20">
        <v>0</v>
      </c>
      <c r="I228" s="21">
        <f>VLOOKUP($A228,tabCustoUnit[],COLUMN(CUSTO_GLOBAL[[#Headers],[Salário Base]])-2,0)*($G228-$H228)</f>
        <v>1963.4110000000001</v>
      </c>
      <c r="J228" s="21">
        <f>VLOOKUP($A228,tabCustoUnit[],COLUMN(CUSTO_GLOBAL[[#Headers],[Adicional Periculosidade]])-2,0)*($G228-$H228)</f>
        <v>0</v>
      </c>
      <c r="K228" s="21">
        <f>VLOOKUP($A228,tabCustoUnit[],COLUMN(CUSTO_GLOBAL[[#Headers],[Adicional Insalubridade]])-2,0)*($G228-$H228)</f>
        <v>0</v>
      </c>
      <c r="L228" s="21">
        <f>VLOOKUP($A228,tabCustoUnit[],COLUMN(CUSTO_GLOBAL[[#Headers],[Adicional Noturno]])-2,0)*($G228-$H228)</f>
        <v>0</v>
      </c>
      <c r="M228" s="21">
        <f>VLOOKUP($A228,tabCustoUnit[],COLUMN(CUSTO_GLOBAL[[#Headers],[Adicional Motorista II (Gratificação)]])-2,0)*($G228-$H228)</f>
        <v>0</v>
      </c>
      <c r="N228" s="21">
        <f>VLOOKUP($A228,tabCustoUnit[],COLUMN(CUSTO_GLOBAL[[#Headers],[Adicional de Sobreaviso]])-2,0)*($G228-$H228)</f>
        <v>0</v>
      </c>
      <c r="O228" s="21">
        <f>VLOOKUP($A228,tabCustoUnit[],COLUMN(CUSTO_GLOBAL[[#Headers],[Horas Extras TI]])-2,0)*($G228-$H228)</f>
        <v>0</v>
      </c>
      <c r="P228" s="21">
        <f>VLOOKUP($A228,tabCustoUnit[],COLUMN(CUSTO_GLOBAL[[#Headers],[Adicional de Acúmulo de função]])-2,0)*($G228-$H228)</f>
        <v>0</v>
      </c>
      <c r="Q228" s="21">
        <f>VLOOKUP($A228,tabCustoUnit[],COLUMN(CUSTO_GLOBAL[[#Headers],[MODULO 1 - REMUNERAÇÃO ]])-2,0)*($G228-$H228)</f>
        <v>1963.4110000000001</v>
      </c>
      <c r="R228" s="21">
        <f>VLOOKUP($A228,tabCustoUnit[],COLUMN(CUSTO_GLOBAL[[#Headers],[INSS]])-2,0)*($G228-$H228)</f>
        <v>392.68220000000002</v>
      </c>
      <c r="S228" s="21">
        <f>VLOOKUP($A228,tabCustoUnit[],COLUMN(CUSTO_GLOBAL[[#Headers],[SESI OU SESC]])-2,0)*($G228-$H228)</f>
        <v>29.451165</v>
      </c>
      <c r="T228" s="21">
        <f>VLOOKUP($A228,tabCustoUnit[],COLUMN(CUSTO_GLOBAL[[#Headers],[SENAI OU SENAC]])-2,0)*($G228-$H228)</f>
        <v>19.63411</v>
      </c>
      <c r="U228" s="21">
        <f>VLOOKUP($A228,tabCustoUnit[],COLUMN(CUSTO_GLOBAL[[#Headers],[INCRA]])-2,0)*($G228-$H228)</f>
        <v>3.926822</v>
      </c>
      <c r="V228" s="21">
        <f>VLOOKUP($A228,tabCustoUnit[],COLUMN(CUSTO_GLOBAL[[#Headers],[Salário Educação]])-2,0)*($G228-$H228)</f>
        <v>49.085275000000003</v>
      </c>
      <c r="W228" s="21">
        <f>VLOOKUP($A228,tabCustoUnit[],COLUMN(CUSTO_GLOBAL[[#Headers],[FGTS]])-2,0)*($G228-$H228)</f>
        <v>157.07288</v>
      </c>
      <c r="X228" s="21">
        <f>VLOOKUP($A228,tabCustoUnit[],COLUMN(CUSTO_GLOBAL[[#Headers],[RAT Ajustado]])-2,0)*($G228-$H228)</f>
        <v>78.536439999999999</v>
      </c>
      <c r="Y228" s="21">
        <f>VLOOKUP($A228,tabCustoUnit[],COLUMN(CUSTO_GLOBAL[[#Headers],[SEBRAE]])-2,0)*($G228-$H228)</f>
        <v>11.780466000000001</v>
      </c>
      <c r="Z228" s="21">
        <f>VLOOKUP($A228,tabCustoUnit[],COLUMN(CUSTO_GLOBAL[[#Headers],[Submódulo 2.1]])-2,0)*($G228-$H228)</f>
        <v>742.1693580000001</v>
      </c>
      <c r="AA228" s="21">
        <f>VLOOKUP($A228,tabCustoUnit[],COLUMN(CUSTO_GLOBAL[[#Headers],[13º salário (titular)]])-2,0)*($G228-$H228)</f>
        <v>163.61758333333333</v>
      </c>
      <c r="AB228" s="21">
        <f>VLOOKUP($A228,tabCustoUnit[],COLUMN(CUSTO_GLOBAL[[#Headers],[Férias e Adicional de Férias (titular)]])-2,0)*($G228-$H228)</f>
        <v>218.15677777777776</v>
      </c>
      <c r="AC228" s="21">
        <f>VLOOKUP($A228,tabCustoUnit[],COLUMN(CUSTO_GLOBAL[[#Headers],[Incidência do Submódulo 2.1 sobre 13º Salário, Férias e Adicional de Férias]])-2,0)*($G228-$H228)</f>
        <v>144.3107085</v>
      </c>
      <c r="AD228" s="21">
        <f>VLOOKUP($A228,tabCustoUnit[],COLUMN(CUSTO_GLOBAL[[#Headers],[Submódulo 2.2]])-2,0)*($G228-$H228)</f>
        <v>526.08506961111107</v>
      </c>
      <c r="AE228" s="22" t="e">
        <f ca="1">VLOOKUP($A228,tabCustoUnit[],COLUMN(CUSTO_GLOBAL[[#Headers],[Vale - Transporte (Descontada parcela do empregado)]])-2,0)*($G228-$H228)</f>
        <v>#NAME?</v>
      </c>
      <c r="AF228" s="22">
        <f>VLOOKUP($A228,tabCustoUnit[],COLUMN(CUSTO_GLOBAL[[#Headers],[Vale - Alimentação (Descontada parcela do empregado)]])-2,0)*($G228-$H228)</f>
        <v>582</v>
      </c>
      <c r="AG228" s="22">
        <f>VLOOKUP($A228,tabCustoUnit[],COLUMN(CUSTO_GLOBAL[[#Headers],[Cesta Básica]])-2,0)*($G228-$H228)</f>
        <v>0</v>
      </c>
      <c r="AH228" s="22">
        <f>VLOOKUP($A228,tabCustoUnit[],COLUMN(CUSTO_GLOBAL[[#Headers],[PAF]])-2,0)*($G228-$H228)</f>
        <v>0</v>
      </c>
      <c r="AI228" s="22">
        <f>VLOOKUP($A228,tabCustoUnit[],COLUMN(CUSTO_GLOBAL[[#Headers],[PQM]])-2,0)*($G228-$H228)</f>
        <v>15.07</v>
      </c>
      <c r="AJ228" s="22">
        <v>0</v>
      </c>
      <c r="AK228" s="22">
        <f>VLOOKUP($A228,tabCustoUnit[],COLUMN(CUSTO_GLOBAL[[#Headers],[Seguro de Vida]])-2,0)*($G228-$H228)</f>
        <v>3.36</v>
      </c>
      <c r="AL228" s="22">
        <f>VLOOKUP($A228,tabCustoUnit[],COLUMN(CUSTO_GLOBAL[[#Headers],[Despesas de Viagem]])-2,0)*($G228-$H228)</f>
        <v>0</v>
      </c>
      <c r="AM228" s="22" t="e">
        <f ca="1">VLOOKUP($A228,tabCustoUnit[],COLUMN(CUSTO_GLOBAL[[#Headers],[Submódulo 2.3]])-2,0)*($G228-$H228)</f>
        <v>#NAME?</v>
      </c>
      <c r="AN228" s="22" t="e">
        <f ca="1">VLOOKUP($A228,tabCustoUnit[],COLUMN(CUSTO_GLOBAL[[#Headers],[MÓDULO 2 - Total Encargos e Benefícios mensais e diários]])-2,0)*($G228-$H228)</f>
        <v>#NAME?</v>
      </c>
      <c r="AO228" s="22">
        <f>VLOOKUP($A228,tabCustoUnit[],COLUMN(CUSTO_GLOBAL[[#Headers],[Aviso Prévio Indenizado (API) e Reflexo do Aviso Prévio Indenizado]])-2,0)*($G228-$H228)</f>
        <v>13.766980408757716</v>
      </c>
      <c r="AP228" s="22">
        <f>VLOOKUP($A228,tabCustoUnit[],COLUMN(CUSTO_GLOBAL[[#Headers],[Incidência do FGTS sobre API e Reflexo do API]])-2,0)*($G228-$H228)</f>
        <v>1.1013584327006174</v>
      </c>
      <c r="AQ228" s="22">
        <f>VLOOKUP($A228,tabCustoUnit[],COLUMN(CUSTO_GLOBAL[[#Headers],[Multa Rescisória do FGTS sobre o Aviso Prévio Indenizado]])-2,0)*($G228-$H228)</f>
        <v>0.44054337308024699</v>
      </c>
      <c r="AR228" s="22">
        <f>VLOOKUP($A228,tabCustoUnit[],COLUMN(CUSTO_GLOBAL[[#Headers],[Aviso Prévio Trabalhado - APT]])-2,0)*($G228-$H228)</f>
        <v>6.8719385000000015</v>
      </c>
      <c r="AS228" s="22">
        <f>VLOOKUP($A228,tabCustoUnit[],COLUMN(CUSTO_GLOBAL[[#Headers],[Incidência dos encargos do submódulo 2.1 sobre Aviso Prévio Trabalhado]])-2,0)*($G228-$H228)</f>
        <v>2.5975927530000007</v>
      </c>
      <c r="AT228" s="22">
        <f>VLOOKUP($A228,tabCustoUnit[],COLUMN(CUSTO_GLOBAL[[#Headers],[Multa Rescisória do FGTS]])-2,0)*($G228-$H228)</f>
        <v>60.03674524444444</v>
      </c>
      <c r="AU228" s="22">
        <f>VLOOKUP($A228,tabCustoUnit[],COLUMN(CUSTO_GLOBAL[[#Headers],[Indenização Adicional (Art. 9º da Lei nº 7.238/84)]])-2,0)*($G228-$H228)</f>
        <v>1.6361758333333334</v>
      </c>
      <c r="AV228" s="22">
        <f>VLOOKUP($A228,tabCustoUnit[],COLUMN(CUSTO_GLOBAL[[#Headers],[MÓDULO 3 – PROVISÃO PARA RESCISÃO]])-2,0)*($G228-$H228)</f>
        <v>86.451334545316371</v>
      </c>
      <c r="AW228" s="22">
        <f>VLOOKUP($A228,tabCustoUnit[],COLUMN(CUSTO_GLOBAL[[#Headers],[Ausência por Doença]])-2,0)*($G228-$H228)</f>
        <v>16.579915111111109</v>
      </c>
      <c r="AX228" s="22">
        <f>VLOOKUP($A228,tabCustoUnit[],COLUMN(CUSTO_GLOBAL[[#Headers],[Ausências Legais]])-2,0)*($G228-$H228)</f>
        <v>3.9813611944444443</v>
      </c>
      <c r="AY228" s="22">
        <f>VLOOKUP($A228,tabCustoUnit[],COLUMN(CUSTO_GLOBAL[[#Headers],[Licença Paternidade]])-2,0)*($G228-$H228)</f>
        <v>0.33541604583333334</v>
      </c>
      <c r="AZ228" s="22">
        <f>VLOOKUP($A228,tabCustoUnit[],COLUMN(CUSTO_GLOBAL[[#Headers],[Ausência por Acidente de Trabalho]])-2,0)*($G228-$H228)</f>
        <v>0.40904395833333335</v>
      </c>
      <c r="BA228" s="22">
        <f>VLOOKUP($A228,tabCustoUnit[],COLUMN(CUSTO_GLOBAL[[#Headers],[Férias, Adicional de Férias e 13º  com empregada em gozo de Licença Maternidade]])-2,0)*($G228-$H228)</f>
        <v>2.5451624074074073</v>
      </c>
      <c r="BB228" s="22">
        <f>VLOOKUP($A228,tabCustoUnit[],COLUMN(CUSTO_GLOBAL[[#Headers],[Incidência do Submódulo 2.1 sobre Ausências Legais]])-2,0)*($G228-$H228)</f>
        <v>9.0156397150750021</v>
      </c>
      <c r="BC228" s="22">
        <f>VLOOKUP($A228,tabCustoUnit[],COLUMN(CUSTO_GLOBAL[[#Headers],[Submódulo 4.1]])-2,0)*($G228-$H228)</f>
        <v>32.866538432204628</v>
      </c>
      <c r="BD228" s="22">
        <f>VLOOKUP($A228,tabCustoUnit[],COLUMN(CUSTO_GLOBAL[[#Headers],[Intervalo para Repouso ou Alimentação]])-2,0)*($G228-$H228)</f>
        <v>267.73786489195959</v>
      </c>
      <c r="BE228" s="22">
        <f>VLOOKUP($A228,tabCustoUnit[],COLUMN(CUSTO_GLOBAL[[#Headers],[Submódulo 4.2]])-2,0)*($G228-$H228)</f>
        <v>267.73786489195959</v>
      </c>
      <c r="BF228" s="22">
        <f>VLOOKUP($A228,tabCustoUnit[],COLUMN(CUSTO_GLOBAL[[#Headers],[Suspensão Temporária do Contrato de Trabalho]])-2,0)*($G228-$H228)</f>
        <v>0</v>
      </c>
      <c r="BG228" s="22">
        <f>VLOOKUP($A228,tabCustoUnit[],COLUMN(CUSTO_GLOBAL[[#Headers],[Submódulo 4.3]])-2,0)*($G228-$H228)</f>
        <v>0</v>
      </c>
      <c r="BH228" s="22">
        <f>VLOOKUP($A228,tabCustoUnit[],COLUMN(CUSTO_GLOBAL[[#Headers],[MÓDULO 4 – CUSTO DE REPOSIÇÃO DO PROFISSIONAL AUSENTE]])-2,0)*($G228-$H228)</f>
        <v>300.6044033241642</v>
      </c>
      <c r="BI228" s="22">
        <f>VLOOKUP($A228,tabCustoUnit[],COLUMN(CUSTO_GLOBAL[[#Headers],[Uniformes e EPIs]])-2,0)*($G228-$H228)</f>
        <v>56.642978962543395</v>
      </c>
      <c r="BJ228" s="22">
        <f>VLOOKUP($A228,tabCustoUnit[],COLUMN(CUSTO_GLOBAL[[#Headers],[Materiais de Consumo]])-2,0)*($G228-$H228)</f>
        <v>0</v>
      </c>
      <c r="BK228" s="22">
        <f>VLOOKUP($A228,tabCustoUnit[],COLUMN(CUSTO_GLOBAL[[#Headers],[Máquinas e Equipamentos (depreciação)]])-2,0)*($G228-$H228)</f>
        <v>0</v>
      </c>
      <c r="BL228" s="22">
        <f>VLOOKUP($A228,tabCustoUnit[],COLUMN(CUSTO_GLOBAL[[#Headers],[Produtos de Limpeza e Materiais de Higiene Pessoal]])-2,0)*($G228-$H228)</f>
        <v>0</v>
      </c>
      <c r="BM228" s="22">
        <f>VLOOKUP($A228,tabCustoUnit[],COLUMN(CUSTO_GLOBAL[[#Headers],[Outros (especificar)]])-2,0)*($G228-$H228)</f>
        <v>0</v>
      </c>
      <c r="BN228" s="22">
        <f>VLOOKUP($A228,tabCustoUnit[],COLUMN(CUSTO_GLOBAL[[#Headers],[MÓDULO 5 – INSUMOS DIVERSOS]])-2,0)*($G228-$H228)</f>
        <v>56.642978962543395</v>
      </c>
      <c r="BO228" s="22" t="e">
        <f ca="1">VLOOKUP($A228,tabCustoUnit[],COLUMN(CUSTO_GLOBAL[[#Headers],[TOTAL MÓDULOS 1+2+3+4+5]])-2,0)*($G228-$H228)</f>
        <v>#NAME?</v>
      </c>
      <c r="BP228" s="22" t="e">
        <f ca="1">VLOOKUP($A228,tabCustoUnit[],COLUMN(CUSTO_GLOBAL[[#Headers],[Custos Indiretos]])-2,0)*($G228-$H228)</f>
        <v>#NAME?</v>
      </c>
      <c r="BQ228" s="22" t="e">
        <f ca="1">VLOOKUP($A228,tabCustoUnit[],COLUMN(CUSTO_GLOBAL[[#Headers],[Lucro]])-2,0)*($G228-$H228)</f>
        <v>#NAME?</v>
      </c>
      <c r="BR228" s="26">
        <f>VLOOKUP($A228,tabCustoUnit[],COLUMN(CUSTO_GLOBAL[[#Headers],[COFINS]])-2,0)</f>
        <v>8.6609686609686695E-2</v>
      </c>
      <c r="BS228" s="26">
        <f>VLOOKUP($A228,tabCustoUnit[],COLUMN(CUSTO_GLOBAL[[#Headers],[PIS]])-2,0)</f>
        <v>1.880341880341882E-2</v>
      </c>
      <c r="BT228" s="28">
        <f>VLOOKUP($A228,tabCustoUnit[],COLUMN(CUSTO_GLOBAL[[#Headers],[ISS]])-2,0)</f>
        <v>0.03</v>
      </c>
      <c r="BU228" s="26">
        <f>VLOOKUP($A228,tabCustoUnit[],COLUMN(CUSTO_GLOBAL[[#Headers],[ISS (Conversão Alíquota s/ fatura)]])-2,0)</f>
        <v>3.4188034188034219E-2</v>
      </c>
      <c r="BV228" s="26">
        <f>VLOOKUP($A228,tabCustoUnit[],COLUMN(CUSTO_GLOBAL[[#Headers],[Resumo de Alíquotas (PIS+CONFINS+ISS)]])-2,0)</f>
        <v>0.1225</v>
      </c>
      <c r="BW228" s="138">
        <f>VLOOKUP($A228,tabCustoUnit[],COLUMN(CUSTO_GLOBAL[[#Headers],[PIS + COFINS + ISS (Total Conversão  Alíquota s/ Fatura)]])-2,0)</f>
        <v>0.13960113960113973</v>
      </c>
      <c r="BX228" s="22" t="e">
        <f ca="1">VLOOKUP($A228,tabCustoUnit[],COLUMN(CUSTO_GLOBAL[[#Headers],[Valor dos Tributos (ISS, PIS, CONFINS)]])-2,0)*($G228-$H228)</f>
        <v>#NAME?</v>
      </c>
      <c r="BY228" s="22" t="e">
        <f ca="1">VLOOKUP($A228,tabCustoUnit[],COLUMN(CUSTO_GLOBAL[[#Headers],[MÓDULO 6 – CUSTOS INDIRETOS, TRIBUTOS E LUCRO]])-2,0)*($G228-$H228)</f>
        <v>#NAME?</v>
      </c>
      <c r="BZ228" s="22" t="e">
        <f ca="1">VLOOKUP($A228,tabCustoUnit[],COLUMN(CUSTO_GLOBAL[[#Headers],[CUSTO TOTAL MENSAL]])-2,0)*($G228-$H228)</f>
        <v>#NAME?</v>
      </c>
      <c r="CA228" s="22" t="e">
        <f ca="1">CUSTO_GLOBAL[[#This Row],[CUSTO TOTAL MENSAL]]*12</f>
        <v>#NAME?</v>
      </c>
      <c r="CB228" s="24">
        <f>VLOOKUP($A228,tabCustoUnit[],COLUMN(CUSTO_GLOBAL[[#Headers],[ANO DA CCT]])-2,0)</f>
        <v>45658</v>
      </c>
      <c r="CC228" s="25" t="str">
        <f>VLOOKUP($A228,tabCustoUnit[],COLUMN(CUSTO_GLOBAL[[#Headers],[Nº DE PEDIDO DA CCT]])-2,0)</f>
        <v>-</v>
      </c>
      <c r="CD228" s="25" t="str">
        <f>VLOOKUP($A228,tabCustoUnit[],COLUMN(CUSTO_GLOBAL[[#Headers],[TERMO ADITIVO ALTERAÇÃO DA CCT]])-2,0)</f>
        <v>-</v>
      </c>
    </row>
    <row r="229" spans="1:82">
      <c r="A229" s="20" t="s">
        <v>1658</v>
      </c>
      <c r="B229" t="s">
        <v>1172</v>
      </c>
      <c r="C229" t="s">
        <v>274</v>
      </c>
      <c r="D229" t="s">
        <v>977</v>
      </c>
      <c r="E229" s="20" t="s">
        <v>1090</v>
      </c>
      <c r="F229" s="20" t="s">
        <v>120</v>
      </c>
      <c r="G229" s="20">
        <v>1</v>
      </c>
      <c r="H229" s="20">
        <v>0</v>
      </c>
      <c r="I229" s="21">
        <f>VLOOKUP($A229,tabCustoUnit[],COLUMN(CUSTO_GLOBAL[[#Headers],[Salário Base]])-2,0)*($G229-$H229)</f>
        <v>4558.0709999999999</v>
      </c>
      <c r="J229" s="21">
        <f>VLOOKUP($A229,tabCustoUnit[],COLUMN(CUSTO_GLOBAL[[#Headers],[Adicional Periculosidade]])-2,0)*($G229-$H229)</f>
        <v>0</v>
      </c>
      <c r="K229" s="21">
        <f>VLOOKUP($A229,tabCustoUnit[],COLUMN(CUSTO_GLOBAL[[#Headers],[Adicional Insalubridade]])-2,0)*($G229-$H229)</f>
        <v>0</v>
      </c>
      <c r="L229" s="21">
        <f>VLOOKUP($A229,tabCustoUnit[],COLUMN(CUSTO_GLOBAL[[#Headers],[Adicional Noturno]])-2,0)*($G229-$H229)</f>
        <v>0</v>
      </c>
      <c r="M229" s="21">
        <f>VLOOKUP($A229,tabCustoUnit[],COLUMN(CUSTO_GLOBAL[[#Headers],[Adicional Motorista II (Gratificação)]])-2,0)*($G229-$H229)</f>
        <v>0</v>
      </c>
      <c r="N229" s="21">
        <f>VLOOKUP($A229,tabCustoUnit[],COLUMN(CUSTO_GLOBAL[[#Headers],[Adicional de Sobreaviso]])-2,0)*($G229-$H229)</f>
        <v>0</v>
      </c>
      <c r="O229" s="21">
        <f>VLOOKUP($A229,tabCustoUnit[],COLUMN(CUSTO_GLOBAL[[#Headers],[Horas Extras TI]])-2,0)*($G229-$H229)</f>
        <v>0</v>
      </c>
      <c r="P229" s="21">
        <f>VLOOKUP($A229,tabCustoUnit[],COLUMN(CUSTO_GLOBAL[[#Headers],[Adicional de Acúmulo de função]])-2,0)*($G229-$H229)</f>
        <v>0</v>
      </c>
      <c r="Q229" s="21">
        <f>VLOOKUP($A229,tabCustoUnit[],COLUMN(CUSTO_GLOBAL[[#Headers],[MODULO 1 - REMUNERAÇÃO ]])-2,0)*($G229-$H229)</f>
        <v>4558.0709999999999</v>
      </c>
      <c r="R229" s="21">
        <f>VLOOKUP($A229,tabCustoUnit[],COLUMN(CUSTO_GLOBAL[[#Headers],[INSS]])-2,0)*($G229-$H229)</f>
        <v>911.61419999999998</v>
      </c>
      <c r="S229" s="21">
        <f>VLOOKUP($A229,tabCustoUnit[],COLUMN(CUSTO_GLOBAL[[#Headers],[SESI OU SESC]])-2,0)*($G229-$H229)</f>
        <v>68.371065000000002</v>
      </c>
      <c r="T229" s="21">
        <f>VLOOKUP($A229,tabCustoUnit[],COLUMN(CUSTO_GLOBAL[[#Headers],[SENAI OU SENAC]])-2,0)*($G229-$H229)</f>
        <v>45.580710000000003</v>
      </c>
      <c r="U229" s="21">
        <f>VLOOKUP($A229,tabCustoUnit[],COLUMN(CUSTO_GLOBAL[[#Headers],[INCRA]])-2,0)*($G229-$H229)</f>
        <v>9.116142</v>
      </c>
      <c r="V229" s="21">
        <f>VLOOKUP($A229,tabCustoUnit[],COLUMN(CUSTO_GLOBAL[[#Headers],[Salário Educação]])-2,0)*($G229-$H229)</f>
        <v>113.951775</v>
      </c>
      <c r="W229" s="21">
        <f>VLOOKUP($A229,tabCustoUnit[],COLUMN(CUSTO_GLOBAL[[#Headers],[FGTS]])-2,0)*($G229-$H229)</f>
        <v>364.64568000000003</v>
      </c>
      <c r="X229" s="21">
        <f>VLOOKUP($A229,tabCustoUnit[],COLUMN(CUSTO_GLOBAL[[#Headers],[RAT Ajustado]])-2,0)*($G229-$H229)</f>
        <v>182.32284000000001</v>
      </c>
      <c r="Y229" s="21">
        <f>VLOOKUP($A229,tabCustoUnit[],COLUMN(CUSTO_GLOBAL[[#Headers],[SEBRAE]])-2,0)*($G229-$H229)</f>
        <v>27.348426</v>
      </c>
      <c r="Z229" s="21">
        <f>VLOOKUP($A229,tabCustoUnit[],COLUMN(CUSTO_GLOBAL[[#Headers],[Submódulo 2.1]])-2,0)*($G229-$H229)</f>
        <v>1722.9508380000002</v>
      </c>
      <c r="AA229" s="21">
        <f>VLOOKUP($A229,tabCustoUnit[],COLUMN(CUSTO_GLOBAL[[#Headers],[13º salário (titular)]])-2,0)*($G229-$H229)</f>
        <v>379.83924999999999</v>
      </c>
      <c r="AB229" s="21">
        <f>VLOOKUP($A229,tabCustoUnit[],COLUMN(CUSTO_GLOBAL[[#Headers],[Férias e Adicional de Férias (titular)]])-2,0)*($G229-$H229)</f>
        <v>506.45233333333329</v>
      </c>
      <c r="AC229" s="21">
        <f>VLOOKUP($A229,tabCustoUnit[],COLUMN(CUSTO_GLOBAL[[#Headers],[Incidência do Submódulo 2.1 sobre 13º Salário, Férias e Adicional de Férias]])-2,0)*($G229-$H229)</f>
        <v>335.01821850000005</v>
      </c>
      <c r="AD229" s="21">
        <f>VLOOKUP($A229,tabCustoUnit[],COLUMN(CUSTO_GLOBAL[[#Headers],[Submódulo 2.2]])-2,0)*($G229-$H229)</f>
        <v>1221.3098018333333</v>
      </c>
      <c r="AE229" s="22" t="e">
        <f ca="1">VLOOKUP($A229,tabCustoUnit[],COLUMN(CUSTO_GLOBAL[[#Headers],[Vale - Transporte (Descontada parcela do empregado)]])-2,0)*($G229-$H229)</f>
        <v>#NAME?</v>
      </c>
      <c r="AF229" s="22">
        <f>VLOOKUP($A229,tabCustoUnit[],COLUMN(CUSTO_GLOBAL[[#Headers],[Vale - Alimentação (Descontada parcela do empregado)]])-2,0)*($G229-$H229)</f>
        <v>578.4</v>
      </c>
      <c r="AG229" s="22">
        <f>VLOOKUP($A229,tabCustoUnit[],COLUMN(CUSTO_GLOBAL[[#Headers],[Cesta Básica]])-2,0)*($G229-$H229)</f>
        <v>0</v>
      </c>
      <c r="AH229" s="22">
        <f>VLOOKUP($A229,tabCustoUnit[],COLUMN(CUSTO_GLOBAL[[#Headers],[PAF]])-2,0)*($G229-$H229)</f>
        <v>18.350000000000001</v>
      </c>
      <c r="AI229" s="22">
        <f>VLOOKUP($A229,tabCustoUnit[],COLUMN(CUSTO_GLOBAL[[#Headers],[PQM]])-2,0)*($G229-$H229)</f>
        <v>0</v>
      </c>
      <c r="AJ229" s="22">
        <v>0</v>
      </c>
      <c r="AK229" s="22">
        <f>VLOOKUP($A229,tabCustoUnit[],COLUMN(CUSTO_GLOBAL[[#Headers],[Seguro de Vida]])-2,0)*($G229-$H229)</f>
        <v>3.36</v>
      </c>
      <c r="AL229" s="22">
        <f>VLOOKUP($A229,tabCustoUnit[],COLUMN(CUSTO_GLOBAL[[#Headers],[Despesas de Viagem]])-2,0)*($G229-$H229)</f>
        <v>662.42</v>
      </c>
      <c r="AM229" s="22" t="e">
        <f ca="1">VLOOKUP($A229,tabCustoUnit[],COLUMN(CUSTO_GLOBAL[[#Headers],[Submódulo 2.3]])-2,0)*($G229-$H229)</f>
        <v>#NAME?</v>
      </c>
      <c r="AN229" s="22" t="e">
        <f ca="1">VLOOKUP($A229,tabCustoUnit[],COLUMN(CUSTO_GLOBAL[[#Headers],[MÓDULO 2 - Total Encargos e Benefícios mensais e diários]])-2,0)*($G229-$H229)</f>
        <v>#NAME?</v>
      </c>
      <c r="AO229" s="22">
        <f>VLOOKUP($A229,tabCustoUnit[],COLUMN(CUSTO_GLOBAL[[#Headers],[Aviso Prévio Indenizado (API) e Reflexo do Aviso Prévio Indenizado]])-2,0)*($G229-$H229)</f>
        <v>31.960131708912037</v>
      </c>
      <c r="AP229" s="22">
        <f>VLOOKUP($A229,tabCustoUnit[],COLUMN(CUSTO_GLOBAL[[#Headers],[Incidência do FGTS sobre API e Reflexo do API]])-2,0)*($G229-$H229)</f>
        <v>2.556810536712963</v>
      </c>
      <c r="AQ229" s="22">
        <f>VLOOKUP($A229,tabCustoUnit[],COLUMN(CUSTO_GLOBAL[[#Headers],[Multa Rescisória do FGTS sobre o Aviso Prévio Indenizado]])-2,0)*($G229-$H229)</f>
        <v>1.0227242146851854</v>
      </c>
      <c r="AR229" s="22">
        <f>VLOOKUP($A229,tabCustoUnit[],COLUMN(CUSTO_GLOBAL[[#Headers],[Aviso Prévio Trabalhado - APT]])-2,0)*($G229-$H229)</f>
        <v>15.953248500000003</v>
      </c>
      <c r="AS229" s="22">
        <f>VLOOKUP($A229,tabCustoUnit[],COLUMN(CUSTO_GLOBAL[[#Headers],[Incidência dos encargos do submódulo 2.1 sobre Aviso Prévio Trabalhado]])-2,0)*($G229-$H229)</f>
        <v>6.0303279330000015</v>
      </c>
      <c r="AT229" s="22">
        <f>VLOOKUP($A229,tabCustoUnit[],COLUMN(CUSTO_GLOBAL[[#Headers],[Multa Rescisória do FGTS]])-2,0)*($G229-$H229)</f>
        <v>139.3756821333333</v>
      </c>
      <c r="AU229" s="22">
        <f>VLOOKUP($A229,tabCustoUnit[],COLUMN(CUSTO_GLOBAL[[#Headers],[Indenização Adicional (Art. 9º da Lei nº 7.238/84)]])-2,0)*($G229-$H229)</f>
        <v>3.7983925000000003</v>
      </c>
      <c r="AV229" s="22">
        <f>VLOOKUP($A229,tabCustoUnit[],COLUMN(CUSTO_GLOBAL[[#Headers],[MÓDULO 3 – PROVISÃO PARA RESCISÃO]])-2,0)*($G229-$H229)</f>
        <v>200.6973175266435</v>
      </c>
      <c r="AW229" s="22">
        <f>VLOOKUP($A229,tabCustoUnit[],COLUMN(CUSTO_GLOBAL[[#Headers],[Ausência por Doença]])-2,0)*($G229-$H229)</f>
        <v>38.490377333333328</v>
      </c>
      <c r="AX229" s="22">
        <f>VLOOKUP($A229,tabCustoUnit[],COLUMN(CUSTO_GLOBAL[[#Headers],[Ausências Legais]])-2,0)*($G229-$H229)</f>
        <v>9.2427550833333321</v>
      </c>
      <c r="AY229" s="22">
        <f>VLOOKUP($A229,tabCustoUnit[],COLUMN(CUSTO_GLOBAL[[#Headers],[Licença Paternidade]])-2,0)*($G229-$H229)</f>
        <v>0.77867046249999994</v>
      </c>
      <c r="AZ229" s="22">
        <f>VLOOKUP($A229,tabCustoUnit[],COLUMN(CUSTO_GLOBAL[[#Headers],[Ausência por Acidente de Trabalho]])-2,0)*($G229-$H229)</f>
        <v>0.94959812500000007</v>
      </c>
      <c r="BA229" s="22">
        <f>VLOOKUP($A229,tabCustoUnit[],COLUMN(CUSTO_GLOBAL[[#Headers],[Férias, Adicional de Férias e 13º  com empregada em gozo de Licença Maternidade]])-2,0)*($G229-$H229)</f>
        <v>5.9086105555555557</v>
      </c>
      <c r="BB229" s="22">
        <f>VLOOKUP($A229,tabCustoUnit[],COLUMN(CUSTO_GLOBAL[[#Headers],[Incidência do Submódulo 2.1 sobre Ausências Legais]])-2,0)*($G229-$H229)</f>
        <v>20.929864369575004</v>
      </c>
      <c r="BC229" s="22">
        <f>VLOOKUP($A229,tabCustoUnit[],COLUMN(CUSTO_GLOBAL[[#Headers],[Submódulo 4.1]])-2,0)*($G229-$H229)</f>
        <v>76.29987592929723</v>
      </c>
      <c r="BD229" s="22">
        <f>VLOOKUP($A229,tabCustoUnit[],COLUMN(CUSTO_GLOBAL[[#Headers],[Intervalo para Repouso ou Alimentação]])-2,0)*($G229-$H229)</f>
        <v>0</v>
      </c>
      <c r="BE229" s="22">
        <f>VLOOKUP($A229,tabCustoUnit[],COLUMN(CUSTO_GLOBAL[[#Headers],[Submódulo 4.2]])-2,0)*($G229-$H229)</f>
        <v>0</v>
      </c>
      <c r="BF229" s="22">
        <f>VLOOKUP($A229,tabCustoUnit[],COLUMN(CUSTO_GLOBAL[[#Headers],[Suspensão Temporária do Contrato de Trabalho]])-2,0)*($G229-$H229)</f>
        <v>0</v>
      </c>
      <c r="BG229" s="22">
        <f>VLOOKUP($A229,tabCustoUnit[],COLUMN(CUSTO_GLOBAL[[#Headers],[Submódulo 4.3]])-2,0)*($G229-$H229)</f>
        <v>0</v>
      </c>
      <c r="BH229" s="22">
        <f>VLOOKUP($A229,tabCustoUnit[],COLUMN(CUSTO_GLOBAL[[#Headers],[MÓDULO 4 – CUSTO DE REPOSIÇÃO DO PROFISSIONAL AUSENTE]])-2,0)*($G229-$H229)</f>
        <v>76.29987592929723</v>
      </c>
      <c r="BI229" s="22">
        <f>VLOOKUP($A229,tabCustoUnit[],COLUMN(CUSTO_GLOBAL[[#Headers],[Uniformes e EPIs]])-2,0)*($G229-$H229)</f>
        <v>92.100763771570698</v>
      </c>
      <c r="BJ229" s="22">
        <f>VLOOKUP($A229,tabCustoUnit[],COLUMN(CUSTO_GLOBAL[[#Headers],[Materiais de Consumo]])-2,0)*($G229-$H229)</f>
        <v>0</v>
      </c>
      <c r="BK229" s="22">
        <f>VLOOKUP($A229,tabCustoUnit[],COLUMN(CUSTO_GLOBAL[[#Headers],[Máquinas e Equipamentos (depreciação)]])-2,0)*($G229-$H229)</f>
        <v>0</v>
      </c>
      <c r="BL229" s="22">
        <f>VLOOKUP($A229,tabCustoUnit[],COLUMN(CUSTO_GLOBAL[[#Headers],[Produtos de Limpeza e Materiais de Higiene Pessoal]])-2,0)*($G229-$H229)</f>
        <v>0</v>
      </c>
      <c r="BM229" s="22">
        <f>VLOOKUP($A229,tabCustoUnit[],COLUMN(CUSTO_GLOBAL[[#Headers],[Outros (especificar)]])-2,0)*($G229-$H229)</f>
        <v>0</v>
      </c>
      <c r="BN229" s="22">
        <f>VLOOKUP($A229,tabCustoUnit[],COLUMN(CUSTO_GLOBAL[[#Headers],[MÓDULO 5 – INSUMOS DIVERSOS]])-2,0)*($G229-$H229)</f>
        <v>92.100763771570698</v>
      </c>
      <c r="BO229" s="22" t="e">
        <f ca="1">VLOOKUP($A229,tabCustoUnit[],COLUMN(CUSTO_GLOBAL[[#Headers],[TOTAL MÓDULOS 1+2+3+4+5]])-2,0)*($G229-$H229)</f>
        <v>#NAME?</v>
      </c>
      <c r="BP229" s="22" t="e">
        <f ca="1">VLOOKUP($A229,tabCustoUnit[],COLUMN(CUSTO_GLOBAL[[#Headers],[Custos Indiretos]])-2,0)*($G229-$H229)</f>
        <v>#NAME?</v>
      </c>
      <c r="BQ229" s="22" t="e">
        <f ca="1">VLOOKUP($A229,tabCustoUnit[],COLUMN(CUSTO_GLOBAL[[#Headers],[Lucro]])-2,0)*($G229-$H229)</f>
        <v>#NAME?</v>
      </c>
      <c r="BR229" s="26">
        <f>VLOOKUP($A229,tabCustoUnit[],COLUMN(CUSTO_GLOBAL[[#Headers],[COFINS]])-2,0)</f>
        <v>8.6609686609686695E-2</v>
      </c>
      <c r="BS229" s="26">
        <f>VLOOKUP($A229,tabCustoUnit[],COLUMN(CUSTO_GLOBAL[[#Headers],[PIS]])-2,0)</f>
        <v>1.880341880341882E-2</v>
      </c>
      <c r="BT229" s="28">
        <f>VLOOKUP($A229,tabCustoUnit[],COLUMN(CUSTO_GLOBAL[[#Headers],[ISS]])-2,0)</f>
        <v>0.03</v>
      </c>
      <c r="BU229" s="26">
        <f>VLOOKUP($A229,tabCustoUnit[],COLUMN(CUSTO_GLOBAL[[#Headers],[ISS (Conversão Alíquota s/ fatura)]])-2,0)</f>
        <v>3.4188034188034219E-2</v>
      </c>
      <c r="BV229" s="26">
        <f>VLOOKUP($A229,tabCustoUnit[],COLUMN(CUSTO_GLOBAL[[#Headers],[Resumo de Alíquotas (PIS+CONFINS+ISS)]])-2,0)</f>
        <v>0.1225</v>
      </c>
      <c r="BW229" s="138">
        <f>VLOOKUP($A229,tabCustoUnit[],COLUMN(CUSTO_GLOBAL[[#Headers],[PIS + COFINS + ISS (Total Conversão  Alíquota s/ Fatura)]])-2,0)</f>
        <v>0.13960113960113973</v>
      </c>
      <c r="BX229" s="22" t="e">
        <f ca="1">VLOOKUP($A229,tabCustoUnit[],COLUMN(CUSTO_GLOBAL[[#Headers],[Valor dos Tributos (ISS, PIS, CONFINS)]])-2,0)*($G229-$H229)</f>
        <v>#NAME?</v>
      </c>
      <c r="BY229" s="22" t="e">
        <f ca="1">VLOOKUP($A229,tabCustoUnit[],COLUMN(CUSTO_GLOBAL[[#Headers],[MÓDULO 6 – CUSTOS INDIRETOS, TRIBUTOS E LUCRO]])-2,0)*($G229-$H229)</f>
        <v>#NAME?</v>
      </c>
      <c r="BZ229" s="22" t="e">
        <f ca="1">VLOOKUP($A229,tabCustoUnit[],COLUMN(CUSTO_GLOBAL[[#Headers],[CUSTO TOTAL MENSAL]])-2,0)*($G229-$H229)</f>
        <v>#NAME?</v>
      </c>
      <c r="CA229" s="22" t="e">
        <f ca="1">CUSTO_GLOBAL[[#This Row],[CUSTO TOTAL MENSAL]]*12</f>
        <v>#NAME?</v>
      </c>
      <c r="CB229" s="24">
        <f>VLOOKUP($A229,tabCustoUnit[],COLUMN(CUSTO_GLOBAL[[#Headers],[ANO DA CCT]])-2,0)</f>
        <v>45658</v>
      </c>
      <c r="CC229" s="25" t="str">
        <f>VLOOKUP($A229,tabCustoUnit[],COLUMN(CUSTO_GLOBAL[[#Headers],[Nº DE PEDIDO DA CCT]])-2,0)</f>
        <v>-</v>
      </c>
      <c r="CD229" s="25" t="str">
        <f>VLOOKUP($A229,tabCustoUnit[],COLUMN(CUSTO_GLOBAL[[#Headers],[TERMO ADITIVO ALTERAÇÃO DA CCT]])-2,0)</f>
        <v>-</v>
      </c>
    </row>
    <row r="230" spans="1:82">
      <c r="A230" s="20" t="s">
        <v>1659</v>
      </c>
      <c r="B230" t="s">
        <v>1172</v>
      </c>
      <c r="C230" t="s">
        <v>304</v>
      </c>
      <c r="D230" t="s">
        <v>1058</v>
      </c>
      <c r="E230" s="20" t="s">
        <v>1090</v>
      </c>
      <c r="F230" s="20" t="s">
        <v>120</v>
      </c>
      <c r="G230" s="20">
        <v>2</v>
      </c>
      <c r="H230" s="20">
        <v>0</v>
      </c>
      <c r="I230" s="21">
        <f>VLOOKUP($A230,tabCustoUnit[],COLUMN(CUSTO_GLOBAL[[#Headers],[Salário Base]])-2,0)*($G230-$H230)</f>
        <v>4269.607</v>
      </c>
      <c r="J230" s="21">
        <f>VLOOKUP($A230,tabCustoUnit[],COLUMN(CUSTO_GLOBAL[[#Headers],[Adicional Periculosidade]])-2,0)*($G230-$H230)</f>
        <v>0</v>
      </c>
      <c r="K230" s="21">
        <f>VLOOKUP($A230,tabCustoUnit[],COLUMN(CUSTO_GLOBAL[[#Headers],[Adicional Insalubridade]])-2,0)*($G230-$H230)</f>
        <v>0</v>
      </c>
      <c r="L230" s="21">
        <f>VLOOKUP($A230,tabCustoUnit[],COLUMN(CUSTO_GLOBAL[[#Headers],[Adicional Noturno]])-2,0)*($G230-$H230)</f>
        <v>0</v>
      </c>
      <c r="M230" s="21">
        <f>VLOOKUP($A230,tabCustoUnit[],COLUMN(CUSTO_GLOBAL[[#Headers],[Adicional Motorista II (Gratificação)]])-2,0)*($G230-$H230)</f>
        <v>0</v>
      </c>
      <c r="N230" s="21">
        <f>VLOOKUP($A230,tabCustoUnit[],COLUMN(CUSTO_GLOBAL[[#Headers],[Adicional de Sobreaviso]])-2,0)*($G230-$H230)</f>
        <v>0</v>
      </c>
      <c r="O230" s="21">
        <f>VLOOKUP($A230,tabCustoUnit[],COLUMN(CUSTO_GLOBAL[[#Headers],[Horas Extras TI]])-2,0)*($G230-$H230)</f>
        <v>0</v>
      </c>
      <c r="P230" s="21">
        <f>VLOOKUP($A230,tabCustoUnit[],COLUMN(CUSTO_GLOBAL[[#Headers],[Adicional de Acúmulo de função]])-2,0)*($G230-$H230)</f>
        <v>0</v>
      </c>
      <c r="Q230" s="21">
        <f>VLOOKUP($A230,tabCustoUnit[],COLUMN(CUSTO_GLOBAL[[#Headers],[MODULO 1 - REMUNERAÇÃO ]])-2,0)*($G230-$H230)</f>
        <v>4269.607</v>
      </c>
      <c r="R230" s="21">
        <f>VLOOKUP($A230,tabCustoUnit[],COLUMN(CUSTO_GLOBAL[[#Headers],[INSS]])-2,0)*($G230-$H230)</f>
        <v>853.92140000000006</v>
      </c>
      <c r="S230" s="21">
        <f>VLOOKUP($A230,tabCustoUnit[],COLUMN(CUSTO_GLOBAL[[#Headers],[SESI OU SESC]])-2,0)*($G230-$H230)</f>
        <v>64.044105000000002</v>
      </c>
      <c r="T230" s="21">
        <f>VLOOKUP($A230,tabCustoUnit[],COLUMN(CUSTO_GLOBAL[[#Headers],[SENAI OU SENAC]])-2,0)*($G230-$H230)</f>
        <v>42.696069999999999</v>
      </c>
      <c r="U230" s="21">
        <f>VLOOKUP($A230,tabCustoUnit[],COLUMN(CUSTO_GLOBAL[[#Headers],[INCRA]])-2,0)*($G230-$H230)</f>
        <v>8.5392139999999994</v>
      </c>
      <c r="V230" s="21">
        <f>VLOOKUP($A230,tabCustoUnit[],COLUMN(CUSTO_GLOBAL[[#Headers],[Salário Educação]])-2,0)*($G230-$H230)</f>
        <v>106.74017500000001</v>
      </c>
      <c r="W230" s="21">
        <f>VLOOKUP($A230,tabCustoUnit[],COLUMN(CUSTO_GLOBAL[[#Headers],[FGTS]])-2,0)*($G230-$H230)</f>
        <v>341.56855999999999</v>
      </c>
      <c r="X230" s="21">
        <f>VLOOKUP($A230,tabCustoUnit[],COLUMN(CUSTO_GLOBAL[[#Headers],[RAT Ajustado]])-2,0)*($G230-$H230)</f>
        <v>170.78428</v>
      </c>
      <c r="Y230" s="21">
        <f>VLOOKUP($A230,tabCustoUnit[],COLUMN(CUSTO_GLOBAL[[#Headers],[SEBRAE]])-2,0)*($G230-$H230)</f>
        <v>25.617642</v>
      </c>
      <c r="Z230" s="21">
        <f>VLOOKUP($A230,tabCustoUnit[],COLUMN(CUSTO_GLOBAL[[#Headers],[Submódulo 2.1]])-2,0)*($G230-$H230)</f>
        <v>1613.9114460000001</v>
      </c>
      <c r="AA230" s="21">
        <f>VLOOKUP($A230,tabCustoUnit[],COLUMN(CUSTO_GLOBAL[[#Headers],[13º salário (titular)]])-2,0)*($G230-$H230)</f>
        <v>355.80058333333329</v>
      </c>
      <c r="AB230" s="21">
        <f>VLOOKUP($A230,tabCustoUnit[],COLUMN(CUSTO_GLOBAL[[#Headers],[Férias e Adicional de Férias (titular)]])-2,0)*($G230-$H230)</f>
        <v>474.40077777777776</v>
      </c>
      <c r="AC230" s="21">
        <f>VLOOKUP($A230,tabCustoUnit[],COLUMN(CUSTO_GLOBAL[[#Headers],[Incidência do Submódulo 2.1 sobre 13º Salário, Férias e Adicional de Férias]])-2,0)*($G230-$H230)</f>
        <v>313.81611449999997</v>
      </c>
      <c r="AD230" s="21">
        <f>VLOOKUP($A230,tabCustoUnit[],COLUMN(CUSTO_GLOBAL[[#Headers],[Submódulo 2.2]])-2,0)*($G230-$H230)</f>
        <v>1144.017475611111</v>
      </c>
      <c r="AE230" s="22" t="e">
        <f ca="1">VLOOKUP($A230,tabCustoUnit[],COLUMN(CUSTO_GLOBAL[[#Headers],[Vale - Transporte (Descontada parcela do empregado)]])-2,0)*($G230-$H230)</f>
        <v>#NAME?</v>
      </c>
      <c r="AF230" s="22">
        <f>VLOOKUP($A230,tabCustoUnit[],COLUMN(CUSTO_GLOBAL[[#Headers],[Vale - Alimentação (Descontada parcela do empregado)]])-2,0)*($G230-$H230)</f>
        <v>1164</v>
      </c>
      <c r="AG230" s="22">
        <f>VLOOKUP($A230,tabCustoUnit[],COLUMN(CUSTO_GLOBAL[[#Headers],[Cesta Básica]])-2,0)*($G230-$H230)</f>
        <v>0</v>
      </c>
      <c r="AH230" s="22">
        <f>VLOOKUP($A230,tabCustoUnit[],COLUMN(CUSTO_GLOBAL[[#Headers],[PAF]])-2,0)*($G230-$H230)</f>
        <v>154.5</v>
      </c>
      <c r="AI230" s="22">
        <f>VLOOKUP($A230,tabCustoUnit[],COLUMN(CUSTO_GLOBAL[[#Headers],[PQM]])-2,0)*($G230-$H230)</f>
        <v>0</v>
      </c>
      <c r="AJ230" s="22">
        <v>0</v>
      </c>
      <c r="AK230" s="22">
        <f>VLOOKUP($A230,tabCustoUnit[],COLUMN(CUSTO_GLOBAL[[#Headers],[Seguro de Vida]])-2,0)*($G230-$H230)</f>
        <v>6.72</v>
      </c>
      <c r="AL230" s="22">
        <f>VLOOKUP($A230,tabCustoUnit[],COLUMN(CUSTO_GLOBAL[[#Headers],[Despesas de Viagem]])-2,0)*($G230-$H230)</f>
        <v>0</v>
      </c>
      <c r="AM230" s="22" t="e">
        <f ca="1">VLOOKUP($A230,tabCustoUnit[],COLUMN(CUSTO_GLOBAL[[#Headers],[Submódulo 2.3]])-2,0)*($G230-$H230)</f>
        <v>#NAME?</v>
      </c>
      <c r="AN230" s="22" t="e">
        <f ca="1">VLOOKUP($A230,tabCustoUnit[],COLUMN(CUSTO_GLOBAL[[#Headers],[MÓDULO 2 - Total Encargos e Benefícios mensais e diários]])-2,0)*($G230-$H230)</f>
        <v>#NAME?</v>
      </c>
      <c r="AO230" s="22">
        <f>VLOOKUP($A230,tabCustoUnit[],COLUMN(CUSTO_GLOBAL[[#Headers],[Aviso Prévio Indenizado (API) e Reflexo do Aviso Prévio Indenizado]])-2,0)*($G230-$H230)</f>
        <v>29.937489360146603</v>
      </c>
      <c r="AP230" s="22">
        <f>VLOOKUP($A230,tabCustoUnit[],COLUMN(CUSTO_GLOBAL[[#Headers],[Incidência do FGTS sobre API e Reflexo do API]])-2,0)*($G230-$H230)</f>
        <v>2.3949991488117286</v>
      </c>
      <c r="AQ230" s="22">
        <f>VLOOKUP($A230,tabCustoUnit[],COLUMN(CUSTO_GLOBAL[[#Headers],[Multa Rescisória do FGTS sobre o Aviso Prévio Indenizado]])-2,0)*($G230-$H230)</f>
        <v>0.95799965952469157</v>
      </c>
      <c r="AR230" s="22">
        <f>VLOOKUP($A230,tabCustoUnit[],COLUMN(CUSTO_GLOBAL[[#Headers],[Aviso Prévio Trabalhado - APT]])-2,0)*($G230-$H230)</f>
        <v>14.943624500000002</v>
      </c>
      <c r="AS230" s="22">
        <f>VLOOKUP($A230,tabCustoUnit[],COLUMN(CUSTO_GLOBAL[[#Headers],[Incidência dos encargos do submódulo 2.1 sobre Aviso Prévio Trabalhado]])-2,0)*($G230-$H230)</f>
        <v>5.6486900610000017</v>
      </c>
      <c r="AT230" s="22">
        <f>VLOOKUP($A230,tabCustoUnit[],COLUMN(CUSTO_GLOBAL[[#Headers],[Multa Rescisória do FGTS]])-2,0)*($G230-$H230)</f>
        <v>130.55509404444442</v>
      </c>
      <c r="AU230" s="22">
        <f>VLOOKUP($A230,tabCustoUnit[],COLUMN(CUSTO_GLOBAL[[#Headers],[Indenização Adicional (Art. 9º da Lei nº 7.238/84)]])-2,0)*($G230-$H230)</f>
        <v>3.5580058333333335</v>
      </c>
      <c r="AV230" s="22">
        <f>VLOOKUP($A230,tabCustoUnit[],COLUMN(CUSTO_GLOBAL[[#Headers],[MÓDULO 3 – PROVISÃO PARA RESCISÃO]])-2,0)*($G230-$H230)</f>
        <v>187.99590260726077</v>
      </c>
      <c r="AW230" s="22">
        <f>VLOOKUP($A230,tabCustoUnit[],COLUMN(CUSTO_GLOBAL[[#Headers],[Ausência por Doença]])-2,0)*($G230-$H230)</f>
        <v>36.054459111111107</v>
      </c>
      <c r="AX230" s="22">
        <f>VLOOKUP($A230,tabCustoUnit[],COLUMN(CUSTO_GLOBAL[[#Headers],[Ausências Legais]])-2,0)*($G230-$H230)</f>
        <v>8.6578141944444447</v>
      </c>
      <c r="AY230" s="22">
        <f>VLOOKUP($A230,tabCustoUnit[],COLUMN(CUSTO_GLOBAL[[#Headers],[Licença Paternidade]])-2,0)*($G230-$H230)</f>
        <v>0.72939119583333334</v>
      </c>
      <c r="AZ230" s="22">
        <f>VLOOKUP($A230,tabCustoUnit[],COLUMN(CUSTO_GLOBAL[[#Headers],[Ausência por Acidente de Trabalho]])-2,0)*($G230-$H230)</f>
        <v>0.88950145833333338</v>
      </c>
      <c r="BA230" s="22">
        <f>VLOOKUP($A230,tabCustoUnit[],COLUMN(CUSTO_GLOBAL[[#Headers],[Férias, Adicional de Férias e 13º  com empregada em gozo de Licença Maternidade]])-2,0)*($G230-$H230)</f>
        <v>5.5346757407407408</v>
      </c>
      <c r="BB230" s="22">
        <f>VLOOKUP($A230,tabCustoUnit[],COLUMN(CUSTO_GLOBAL[[#Headers],[Incidência do Submódulo 2.1 sobre Ausências Legais]])-2,0)*($G230-$H230)</f>
        <v>19.605288162775004</v>
      </c>
      <c r="BC230" s="22">
        <f>VLOOKUP($A230,tabCustoUnit[],COLUMN(CUSTO_GLOBAL[[#Headers],[Submódulo 4.1]])-2,0)*($G230-$H230)</f>
        <v>71.471129863237962</v>
      </c>
      <c r="BD230" s="22">
        <f>VLOOKUP($A230,tabCustoUnit[],COLUMN(CUSTO_GLOBAL[[#Headers],[Intervalo para Repouso ou Alimentação]])-2,0)*($G230-$H230)</f>
        <v>472.70648705651831</v>
      </c>
      <c r="BE230" s="22">
        <f>VLOOKUP($A230,tabCustoUnit[],COLUMN(CUSTO_GLOBAL[[#Headers],[Submódulo 4.2]])-2,0)*($G230-$H230)</f>
        <v>472.70648705651831</v>
      </c>
      <c r="BF230" s="22">
        <f>VLOOKUP($A230,tabCustoUnit[],COLUMN(CUSTO_GLOBAL[[#Headers],[Suspensão Temporária do Contrato de Trabalho]])-2,0)*($G230-$H230)</f>
        <v>0</v>
      </c>
      <c r="BG230" s="22">
        <f>VLOOKUP($A230,tabCustoUnit[],COLUMN(CUSTO_GLOBAL[[#Headers],[Submódulo 4.3]])-2,0)*($G230-$H230)</f>
        <v>0</v>
      </c>
      <c r="BH230" s="22">
        <f>VLOOKUP($A230,tabCustoUnit[],COLUMN(CUSTO_GLOBAL[[#Headers],[MÓDULO 4 – CUSTO DE REPOSIÇÃO DO PROFISSIONAL AUSENTE]])-2,0)*($G230-$H230)</f>
        <v>544.17761691975625</v>
      </c>
      <c r="BI230" s="22">
        <f>VLOOKUP($A230,tabCustoUnit[],COLUMN(CUSTO_GLOBAL[[#Headers],[Uniformes e EPIs]])-2,0)*($G230-$H230)</f>
        <v>113.28595792508679</v>
      </c>
      <c r="BJ230" s="22">
        <f>VLOOKUP($A230,tabCustoUnit[],COLUMN(CUSTO_GLOBAL[[#Headers],[Materiais de Consumo]])-2,0)*($G230-$H230)</f>
        <v>0</v>
      </c>
      <c r="BK230" s="22">
        <f>VLOOKUP($A230,tabCustoUnit[],COLUMN(CUSTO_GLOBAL[[#Headers],[Máquinas e Equipamentos (depreciação)]])-2,0)*($G230-$H230)</f>
        <v>0</v>
      </c>
      <c r="BL230" s="22">
        <f>VLOOKUP($A230,tabCustoUnit[],COLUMN(CUSTO_GLOBAL[[#Headers],[Produtos de Limpeza e Materiais de Higiene Pessoal]])-2,0)*($G230-$H230)</f>
        <v>0</v>
      </c>
      <c r="BM230" s="22">
        <f>VLOOKUP($A230,tabCustoUnit[],COLUMN(CUSTO_GLOBAL[[#Headers],[Outros (especificar)]])-2,0)*($G230-$H230)</f>
        <v>0</v>
      </c>
      <c r="BN230" s="22">
        <f>VLOOKUP($A230,tabCustoUnit[],COLUMN(CUSTO_GLOBAL[[#Headers],[MÓDULO 5 – INSUMOS DIVERSOS]])-2,0)*($G230-$H230)</f>
        <v>113.28595792508679</v>
      </c>
      <c r="BO230" s="22" t="e">
        <f ca="1">VLOOKUP($A230,tabCustoUnit[],COLUMN(CUSTO_GLOBAL[[#Headers],[TOTAL MÓDULOS 1+2+3+4+5]])-2,0)*($G230-$H230)</f>
        <v>#NAME?</v>
      </c>
      <c r="BP230" s="22" t="e">
        <f ca="1">VLOOKUP($A230,tabCustoUnit[],COLUMN(CUSTO_GLOBAL[[#Headers],[Custos Indiretos]])-2,0)*($G230-$H230)</f>
        <v>#NAME?</v>
      </c>
      <c r="BQ230" s="22" t="e">
        <f ca="1">VLOOKUP($A230,tabCustoUnit[],COLUMN(CUSTO_GLOBAL[[#Headers],[Lucro]])-2,0)*($G230-$H230)</f>
        <v>#NAME?</v>
      </c>
      <c r="BR230" s="26">
        <f>VLOOKUP($A230,tabCustoUnit[],COLUMN(CUSTO_GLOBAL[[#Headers],[COFINS]])-2,0)</f>
        <v>8.6609686609686695E-2</v>
      </c>
      <c r="BS230" s="26">
        <f>VLOOKUP($A230,tabCustoUnit[],COLUMN(CUSTO_GLOBAL[[#Headers],[PIS]])-2,0)</f>
        <v>1.880341880341882E-2</v>
      </c>
      <c r="BT230" s="28">
        <f>VLOOKUP($A230,tabCustoUnit[],COLUMN(CUSTO_GLOBAL[[#Headers],[ISS]])-2,0)</f>
        <v>0.03</v>
      </c>
      <c r="BU230" s="26">
        <f>VLOOKUP($A230,tabCustoUnit[],COLUMN(CUSTO_GLOBAL[[#Headers],[ISS (Conversão Alíquota s/ fatura)]])-2,0)</f>
        <v>3.4188034188034219E-2</v>
      </c>
      <c r="BV230" s="26">
        <f>VLOOKUP($A230,tabCustoUnit[],COLUMN(CUSTO_GLOBAL[[#Headers],[Resumo de Alíquotas (PIS+CONFINS+ISS)]])-2,0)</f>
        <v>0.1225</v>
      </c>
      <c r="BW230" s="138">
        <f>VLOOKUP($A230,tabCustoUnit[],COLUMN(CUSTO_GLOBAL[[#Headers],[PIS + COFINS + ISS (Total Conversão  Alíquota s/ Fatura)]])-2,0)</f>
        <v>0.13960113960113973</v>
      </c>
      <c r="BX230" s="22" t="e">
        <f ca="1">VLOOKUP($A230,tabCustoUnit[],COLUMN(CUSTO_GLOBAL[[#Headers],[Valor dos Tributos (ISS, PIS, CONFINS)]])-2,0)*($G230-$H230)</f>
        <v>#NAME?</v>
      </c>
      <c r="BY230" s="22" t="e">
        <f ca="1">VLOOKUP($A230,tabCustoUnit[],COLUMN(CUSTO_GLOBAL[[#Headers],[MÓDULO 6 – CUSTOS INDIRETOS, TRIBUTOS E LUCRO]])-2,0)*($G230-$H230)</f>
        <v>#NAME?</v>
      </c>
      <c r="BZ230" s="22" t="e">
        <f ca="1">VLOOKUP($A230,tabCustoUnit[],COLUMN(CUSTO_GLOBAL[[#Headers],[CUSTO TOTAL MENSAL]])-2,0)*($G230-$H230)</f>
        <v>#NAME?</v>
      </c>
      <c r="CA230" s="22" t="e">
        <f ca="1">CUSTO_GLOBAL[[#This Row],[CUSTO TOTAL MENSAL]]*12</f>
        <v>#NAME?</v>
      </c>
      <c r="CB230" s="24">
        <f>VLOOKUP($A230,tabCustoUnit[],COLUMN(CUSTO_GLOBAL[[#Headers],[ANO DA CCT]])-2,0)</f>
        <v>45658</v>
      </c>
      <c r="CC230" s="25" t="str">
        <f>VLOOKUP($A230,tabCustoUnit[],COLUMN(CUSTO_GLOBAL[[#Headers],[Nº DE PEDIDO DA CCT]])-2,0)</f>
        <v>-</v>
      </c>
      <c r="CD230" s="25" t="str">
        <f>VLOOKUP($A230,tabCustoUnit[],COLUMN(CUSTO_GLOBAL[[#Headers],[TERMO ADITIVO ALTERAÇÃO DA CCT]])-2,0)</f>
        <v>-</v>
      </c>
    </row>
    <row r="231" spans="1:82">
      <c r="A231" s="20" t="s">
        <v>1496</v>
      </c>
      <c r="B231" t="s">
        <v>1172</v>
      </c>
      <c r="C231" t="s">
        <v>309</v>
      </c>
      <c r="D231" t="s">
        <v>1058</v>
      </c>
      <c r="E231" s="20" t="s">
        <v>1090</v>
      </c>
      <c r="F231" s="20" t="s">
        <v>120</v>
      </c>
      <c r="G231" s="20">
        <v>2</v>
      </c>
      <c r="H231" s="20">
        <v>0</v>
      </c>
      <c r="I231" s="21">
        <f>VLOOKUP($A231,tabCustoUnit[],COLUMN(CUSTO_GLOBAL[[#Headers],[Salário Base]])-2,0)*($G231-$H231)</f>
        <v>4269.607</v>
      </c>
      <c r="J231" s="21">
        <f>VLOOKUP($A231,tabCustoUnit[],COLUMN(CUSTO_GLOBAL[[#Headers],[Adicional Periculosidade]])-2,0)*($G231-$H231)</f>
        <v>0</v>
      </c>
      <c r="K231" s="21">
        <f>VLOOKUP($A231,tabCustoUnit[],COLUMN(CUSTO_GLOBAL[[#Headers],[Adicional Insalubridade]])-2,0)*($G231-$H231)</f>
        <v>0</v>
      </c>
      <c r="L231" s="21">
        <f>VLOOKUP($A231,tabCustoUnit[],COLUMN(CUSTO_GLOBAL[[#Headers],[Adicional Noturno]])-2,0)*($G231-$H231)</f>
        <v>860.32579999999996</v>
      </c>
      <c r="M231" s="21">
        <f>VLOOKUP($A231,tabCustoUnit[],COLUMN(CUSTO_GLOBAL[[#Headers],[Adicional Motorista II (Gratificação)]])-2,0)*($G231-$H231)</f>
        <v>0</v>
      </c>
      <c r="N231" s="21">
        <f>VLOOKUP($A231,tabCustoUnit[],COLUMN(CUSTO_GLOBAL[[#Headers],[Adicional de Sobreaviso]])-2,0)*($G231-$H231)</f>
        <v>0</v>
      </c>
      <c r="O231" s="21">
        <f>VLOOKUP($A231,tabCustoUnit[],COLUMN(CUSTO_GLOBAL[[#Headers],[Horas Extras TI]])-2,0)*($G231-$H231)</f>
        <v>0</v>
      </c>
      <c r="P231" s="21">
        <f>VLOOKUP($A231,tabCustoUnit[],COLUMN(CUSTO_GLOBAL[[#Headers],[Adicional de Acúmulo de função]])-2,0)*($G231-$H231)</f>
        <v>0</v>
      </c>
      <c r="Q231" s="21">
        <f>VLOOKUP($A231,tabCustoUnit[],COLUMN(CUSTO_GLOBAL[[#Headers],[MODULO 1 - REMUNERAÇÃO ]])-2,0)*($G231-$H231)</f>
        <v>5129.9327999999996</v>
      </c>
      <c r="R231" s="21">
        <f>VLOOKUP($A231,tabCustoUnit[],COLUMN(CUSTO_GLOBAL[[#Headers],[INSS]])-2,0)*($G231-$H231)</f>
        <v>1025.9865600000001</v>
      </c>
      <c r="S231" s="21">
        <f>VLOOKUP($A231,tabCustoUnit[],COLUMN(CUSTO_GLOBAL[[#Headers],[SESI OU SESC]])-2,0)*($G231-$H231)</f>
        <v>76.94899199999999</v>
      </c>
      <c r="T231" s="21">
        <f>VLOOKUP($A231,tabCustoUnit[],COLUMN(CUSTO_GLOBAL[[#Headers],[SENAI OU SENAC]])-2,0)*($G231-$H231)</f>
        <v>51.299327999999996</v>
      </c>
      <c r="U231" s="21">
        <f>VLOOKUP($A231,tabCustoUnit[],COLUMN(CUSTO_GLOBAL[[#Headers],[INCRA]])-2,0)*($G231-$H231)</f>
        <v>10.259865599999999</v>
      </c>
      <c r="V231" s="21">
        <f>VLOOKUP($A231,tabCustoUnit[],COLUMN(CUSTO_GLOBAL[[#Headers],[Salário Educação]])-2,0)*($G231-$H231)</f>
        <v>128.24832000000001</v>
      </c>
      <c r="W231" s="21">
        <f>VLOOKUP($A231,tabCustoUnit[],COLUMN(CUSTO_GLOBAL[[#Headers],[FGTS]])-2,0)*($G231-$H231)</f>
        <v>410.39462399999996</v>
      </c>
      <c r="X231" s="21">
        <f>VLOOKUP($A231,tabCustoUnit[],COLUMN(CUSTO_GLOBAL[[#Headers],[RAT Ajustado]])-2,0)*($G231-$H231)</f>
        <v>205.19731199999998</v>
      </c>
      <c r="Y231" s="21">
        <f>VLOOKUP($A231,tabCustoUnit[],COLUMN(CUSTO_GLOBAL[[#Headers],[SEBRAE]])-2,0)*($G231-$H231)</f>
        <v>30.779596799999997</v>
      </c>
      <c r="Z231" s="21">
        <f>VLOOKUP($A231,tabCustoUnit[],COLUMN(CUSTO_GLOBAL[[#Headers],[Submódulo 2.1]])-2,0)*($G231-$H231)</f>
        <v>1939.1145984000002</v>
      </c>
      <c r="AA231" s="21">
        <f>VLOOKUP($A231,tabCustoUnit[],COLUMN(CUSTO_GLOBAL[[#Headers],[13º salário (titular)]])-2,0)*($G231-$H231)</f>
        <v>427.49439999999993</v>
      </c>
      <c r="AB231" s="21">
        <f>VLOOKUP($A231,tabCustoUnit[],COLUMN(CUSTO_GLOBAL[[#Headers],[Férias e Adicional de Férias (titular)]])-2,0)*($G231-$H231)</f>
        <v>569.9925333333332</v>
      </c>
      <c r="AC231" s="21">
        <f>VLOOKUP($A231,tabCustoUnit[],COLUMN(CUSTO_GLOBAL[[#Headers],[Incidência do Submódulo 2.1 sobre 13º Salário, Férias e Adicional de Férias]])-2,0)*($G231-$H231)</f>
        <v>377.05006079999998</v>
      </c>
      <c r="AD231" s="21">
        <f>VLOOKUP($A231,tabCustoUnit[],COLUMN(CUSTO_GLOBAL[[#Headers],[Submódulo 2.2]])-2,0)*($G231-$H231)</f>
        <v>1374.5369941333331</v>
      </c>
      <c r="AE231" s="22" t="e">
        <f ca="1">VLOOKUP($A231,tabCustoUnit[],COLUMN(CUSTO_GLOBAL[[#Headers],[Vale - Transporte (Descontada parcela do empregado)]])-2,0)*($G231-$H231)</f>
        <v>#NAME?</v>
      </c>
      <c r="AF231" s="22">
        <f>VLOOKUP($A231,tabCustoUnit[],COLUMN(CUSTO_GLOBAL[[#Headers],[Vale - Alimentação (Descontada parcela do empregado)]])-2,0)*($G231-$H231)</f>
        <v>1164</v>
      </c>
      <c r="AG231" s="22">
        <f>VLOOKUP($A231,tabCustoUnit[],COLUMN(CUSTO_GLOBAL[[#Headers],[Cesta Básica]])-2,0)*($G231-$H231)</f>
        <v>0</v>
      </c>
      <c r="AH231" s="22">
        <f>VLOOKUP($A231,tabCustoUnit[],COLUMN(CUSTO_GLOBAL[[#Headers],[PAF]])-2,0)*($G231-$H231)</f>
        <v>154.5</v>
      </c>
      <c r="AI231" s="22">
        <f>VLOOKUP($A231,tabCustoUnit[],COLUMN(CUSTO_GLOBAL[[#Headers],[PQM]])-2,0)*($G231-$H231)</f>
        <v>0</v>
      </c>
      <c r="AJ231" s="22">
        <v>0</v>
      </c>
      <c r="AK231" s="22">
        <f>VLOOKUP($A231,tabCustoUnit[],COLUMN(CUSTO_GLOBAL[[#Headers],[Seguro de Vida]])-2,0)*($G231-$H231)</f>
        <v>6.72</v>
      </c>
      <c r="AL231" s="22">
        <f>VLOOKUP($A231,tabCustoUnit[],COLUMN(CUSTO_GLOBAL[[#Headers],[Despesas de Viagem]])-2,0)*($G231-$H231)</f>
        <v>0</v>
      </c>
      <c r="AM231" s="22" t="e">
        <f ca="1">VLOOKUP($A231,tabCustoUnit[],COLUMN(CUSTO_GLOBAL[[#Headers],[Submódulo 2.3]])-2,0)*($G231-$H231)</f>
        <v>#NAME?</v>
      </c>
      <c r="AN231" s="22" t="e">
        <f ca="1">VLOOKUP($A231,tabCustoUnit[],COLUMN(CUSTO_GLOBAL[[#Headers],[MÓDULO 2 - Total Encargos e Benefícios mensais e diários]])-2,0)*($G231-$H231)</f>
        <v>#NAME?</v>
      </c>
      <c r="AO231" s="22">
        <f>VLOOKUP($A231,tabCustoUnit[],COLUMN(CUSTO_GLOBAL[[#Headers],[Aviso Prévio Indenizado (API) e Reflexo do Aviso Prévio Indenizado]])-2,0)*($G231-$H231)</f>
        <v>35.969893392592589</v>
      </c>
      <c r="AP231" s="22">
        <f>VLOOKUP($A231,tabCustoUnit[],COLUMN(CUSTO_GLOBAL[[#Headers],[Incidência do FGTS sobre API e Reflexo do API]])-2,0)*($G231-$H231)</f>
        <v>2.8775914714074076</v>
      </c>
      <c r="AQ231" s="22">
        <f>VLOOKUP($A231,tabCustoUnit[],COLUMN(CUSTO_GLOBAL[[#Headers],[Multa Rescisória do FGTS sobre o Aviso Prévio Indenizado]])-2,0)*($G231-$H231)</f>
        <v>1.151036588562963</v>
      </c>
      <c r="AR231" s="22">
        <f>VLOOKUP($A231,tabCustoUnit[],COLUMN(CUSTO_GLOBAL[[#Headers],[Aviso Prévio Trabalhado - APT]])-2,0)*($G231-$H231)</f>
        <v>17.9547648</v>
      </c>
      <c r="AS231" s="22">
        <f>VLOOKUP($A231,tabCustoUnit[],COLUMN(CUSTO_GLOBAL[[#Headers],[Incidência dos encargos do submódulo 2.1 sobre Aviso Prévio Trabalhado]])-2,0)*($G231-$H231)</f>
        <v>6.7869010944000019</v>
      </c>
      <c r="AT231" s="22">
        <f>VLOOKUP($A231,tabCustoUnit[],COLUMN(CUSTO_GLOBAL[[#Headers],[Multa Rescisória do FGTS]])-2,0)*($G231-$H231)</f>
        <v>156.86194517333331</v>
      </c>
      <c r="AU231" s="22">
        <f>VLOOKUP($A231,tabCustoUnit[],COLUMN(CUSTO_GLOBAL[[#Headers],[Indenização Adicional (Art. 9º da Lei nº 7.238/84)]])-2,0)*($G231-$H231)</f>
        <v>4.2749439999999996</v>
      </c>
      <c r="AV231" s="22">
        <f>VLOOKUP($A231,tabCustoUnit[],COLUMN(CUSTO_GLOBAL[[#Headers],[MÓDULO 3 – PROVISÃO PARA RESCISÃO]])-2,0)*($G231-$H231)</f>
        <v>225.87707652029627</v>
      </c>
      <c r="AW231" s="22">
        <f>VLOOKUP($A231,tabCustoUnit[],COLUMN(CUSTO_GLOBAL[[#Headers],[Ausência por Doença]])-2,0)*($G231-$H231)</f>
        <v>43.319432533333327</v>
      </c>
      <c r="AX231" s="22">
        <f>VLOOKUP($A231,tabCustoUnit[],COLUMN(CUSTO_GLOBAL[[#Headers],[Ausências Legais]])-2,0)*($G231-$H231)</f>
        <v>10.402363733333331</v>
      </c>
      <c r="AY231" s="22">
        <f>VLOOKUP($A231,tabCustoUnit[],COLUMN(CUSTO_GLOBAL[[#Headers],[Licença Paternidade]])-2,0)*($G231-$H231)</f>
        <v>0.87636351999999995</v>
      </c>
      <c r="AZ231" s="22">
        <f>VLOOKUP($A231,tabCustoUnit[],COLUMN(CUSTO_GLOBAL[[#Headers],[Ausência por Acidente de Trabalho]])-2,0)*($G231-$H231)</f>
        <v>1.0687359999999999</v>
      </c>
      <c r="BA231" s="22">
        <f>VLOOKUP($A231,tabCustoUnit[],COLUMN(CUSTO_GLOBAL[[#Headers],[Férias, Adicional de Férias e 13º  com empregada em gozo de Licença Maternidade]])-2,0)*($G231-$H231)</f>
        <v>6.6499128888888883</v>
      </c>
      <c r="BB231" s="22">
        <f>VLOOKUP($A231,tabCustoUnit[],COLUMN(CUSTO_GLOBAL[[#Headers],[Incidência do Submódulo 2.1 sobre Ausências Legais]])-2,0)*($G231-$H231)</f>
        <v>23.555753679360002</v>
      </c>
      <c r="BC231" s="22">
        <f>VLOOKUP($A231,tabCustoUnit[],COLUMN(CUSTO_GLOBAL[[#Headers],[Submódulo 4.1]])-2,0)*($G231-$H231)</f>
        <v>85.872562354915544</v>
      </c>
      <c r="BD231" s="22">
        <f>VLOOKUP($A231,tabCustoUnit[],COLUMN(CUSTO_GLOBAL[[#Headers],[Intervalo para Repouso ou Alimentação]])-2,0)*($G231-$H231)</f>
        <v>567.95684419840688</v>
      </c>
      <c r="BE231" s="22">
        <f>VLOOKUP($A231,tabCustoUnit[],COLUMN(CUSTO_GLOBAL[[#Headers],[Submódulo 4.2]])-2,0)*($G231-$H231)</f>
        <v>567.95684419840688</v>
      </c>
      <c r="BF231" s="22">
        <f>VLOOKUP($A231,tabCustoUnit[],COLUMN(CUSTO_GLOBAL[[#Headers],[Suspensão Temporária do Contrato de Trabalho]])-2,0)*($G231-$H231)</f>
        <v>0</v>
      </c>
      <c r="BG231" s="22">
        <f>VLOOKUP($A231,tabCustoUnit[],COLUMN(CUSTO_GLOBAL[[#Headers],[Submódulo 4.3]])-2,0)*($G231-$H231)</f>
        <v>0</v>
      </c>
      <c r="BH231" s="22">
        <f>VLOOKUP($A231,tabCustoUnit[],COLUMN(CUSTO_GLOBAL[[#Headers],[MÓDULO 4 – CUSTO DE REPOSIÇÃO DO PROFISSIONAL AUSENTE]])-2,0)*($G231-$H231)</f>
        <v>653.82940655332243</v>
      </c>
      <c r="BI231" s="22">
        <f>VLOOKUP($A231,tabCustoUnit[],COLUMN(CUSTO_GLOBAL[[#Headers],[Uniformes e EPIs]])-2,0)*($G231-$H231)</f>
        <v>113.28595792508679</v>
      </c>
      <c r="BJ231" s="22">
        <f>VLOOKUP($A231,tabCustoUnit[],COLUMN(CUSTO_GLOBAL[[#Headers],[Materiais de Consumo]])-2,0)*($G231-$H231)</f>
        <v>0</v>
      </c>
      <c r="BK231" s="22">
        <f>VLOOKUP($A231,tabCustoUnit[],COLUMN(CUSTO_GLOBAL[[#Headers],[Máquinas e Equipamentos (depreciação)]])-2,0)*($G231-$H231)</f>
        <v>0</v>
      </c>
      <c r="BL231" s="22">
        <f>VLOOKUP($A231,tabCustoUnit[],COLUMN(CUSTO_GLOBAL[[#Headers],[Produtos de Limpeza e Materiais de Higiene Pessoal]])-2,0)*($G231-$H231)</f>
        <v>0</v>
      </c>
      <c r="BM231" s="22">
        <f>VLOOKUP($A231,tabCustoUnit[],COLUMN(CUSTO_GLOBAL[[#Headers],[Outros (especificar)]])-2,0)*($G231-$H231)</f>
        <v>0</v>
      </c>
      <c r="BN231" s="22">
        <f>VLOOKUP($A231,tabCustoUnit[],COLUMN(CUSTO_GLOBAL[[#Headers],[MÓDULO 5 – INSUMOS DIVERSOS]])-2,0)*($G231-$H231)</f>
        <v>113.28595792508679</v>
      </c>
      <c r="BO231" s="22" t="e">
        <f ca="1">VLOOKUP($A231,tabCustoUnit[],COLUMN(CUSTO_GLOBAL[[#Headers],[TOTAL MÓDULOS 1+2+3+4+5]])-2,0)*($G231-$H231)</f>
        <v>#NAME?</v>
      </c>
      <c r="BP231" s="22" t="e">
        <f ca="1">VLOOKUP($A231,tabCustoUnit[],COLUMN(CUSTO_GLOBAL[[#Headers],[Custos Indiretos]])-2,0)*($G231-$H231)</f>
        <v>#NAME?</v>
      </c>
      <c r="BQ231" s="22" t="e">
        <f ca="1">VLOOKUP($A231,tabCustoUnit[],COLUMN(CUSTO_GLOBAL[[#Headers],[Lucro]])-2,0)*($G231-$H231)</f>
        <v>#NAME?</v>
      </c>
      <c r="BR231" s="26">
        <f>VLOOKUP($A231,tabCustoUnit[],COLUMN(CUSTO_GLOBAL[[#Headers],[COFINS]])-2,0)</f>
        <v>8.6609686609686695E-2</v>
      </c>
      <c r="BS231" s="26">
        <f>VLOOKUP($A231,tabCustoUnit[],COLUMN(CUSTO_GLOBAL[[#Headers],[PIS]])-2,0)</f>
        <v>1.880341880341882E-2</v>
      </c>
      <c r="BT231" s="28">
        <f>VLOOKUP($A231,tabCustoUnit[],COLUMN(CUSTO_GLOBAL[[#Headers],[ISS]])-2,0)</f>
        <v>0.03</v>
      </c>
      <c r="BU231" s="26">
        <f>VLOOKUP($A231,tabCustoUnit[],COLUMN(CUSTO_GLOBAL[[#Headers],[ISS (Conversão Alíquota s/ fatura)]])-2,0)</f>
        <v>3.4188034188034219E-2</v>
      </c>
      <c r="BV231" s="26">
        <f>VLOOKUP($A231,tabCustoUnit[],COLUMN(CUSTO_GLOBAL[[#Headers],[Resumo de Alíquotas (PIS+CONFINS+ISS)]])-2,0)</f>
        <v>0.1225</v>
      </c>
      <c r="BW231" s="138">
        <f>VLOOKUP($A231,tabCustoUnit[],COLUMN(CUSTO_GLOBAL[[#Headers],[PIS + COFINS + ISS (Total Conversão  Alíquota s/ Fatura)]])-2,0)</f>
        <v>0.13960113960113973</v>
      </c>
      <c r="BX231" s="22" t="e">
        <f ca="1">VLOOKUP($A231,tabCustoUnit[],COLUMN(CUSTO_GLOBAL[[#Headers],[Valor dos Tributos (ISS, PIS, CONFINS)]])-2,0)*($G231-$H231)</f>
        <v>#NAME?</v>
      </c>
      <c r="BY231" s="22" t="e">
        <f ca="1">VLOOKUP($A231,tabCustoUnit[],COLUMN(CUSTO_GLOBAL[[#Headers],[MÓDULO 6 – CUSTOS INDIRETOS, TRIBUTOS E LUCRO]])-2,0)*($G231-$H231)</f>
        <v>#NAME?</v>
      </c>
      <c r="BZ231" s="22" t="e">
        <f ca="1">VLOOKUP($A231,tabCustoUnit[],COLUMN(CUSTO_GLOBAL[[#Headers],[CUSTO TOTAL MENSAL]])-2,0)*($G231-$H231)</f>
        <v>#NAME?</v>
      </c>
      <c r="CA231" s="22" t="e">
        <f ca="1">CUSTO_GLOBAL[[#This Row],[CUSTO TOTAL MENSAL]]*12</f>
        <v>#NAME?</v>
      </c>
      <c r="CB231" s="24">
        <f>VLOOKUP($A231,tabCustoUnit[],COLUMN(CUSTO_GLOBAL[[#Headers],[ANO DA CCT]])-2,0)</f>
        <v>45658</v>
      </c>
      <c r="CC231" s="25" t="str">
        <f>VLOOKUP($A231,tabCustoUnit[],COLUMN(CUSTO_GLOBAL[[#Headers],[Nº DE PEDIDO DA CCT]])-2,0)</f>
        <v>-</v>
      </c>
      <c r="CD231" s="25" t="str">
        <f>VLOOKUP($A231,tabCustoUnit[],COLUMN(CUSTO_GLOBAL[[#Headers],[TERMO ADITIVO ALTERAÇÃO DA CCT]])-2,0)</f>
        <v>-</v>
      </c>
    </row>
    <row r="232" spans="1:82">
      <c r="A232" s="20" t="s">
        <v>1660</v>
      </c>
      <c r="B232" t="s">
        <v>1172</v>
      </c>
      <c r="C232" t="s">
        <v>319</v>
      </c>
      <c r="D232" t="s">
        <v>1058</v>
      </c>
      <c r="E232" s="20" t="s">
        <v>1090</v>
      </c>
      <c r="F232" s="20" t="s">
        <v>120</v>
      </c>
      <c r="G232" s="20">
        <v>1</v>
      </c>
      <c r="H232" s="20">
        <v>0</v>
      </c>
      <c r="I232" s="21">
        <f>VLOOKUP($A232,tabCustoUnit[],COLUMN(CUSTO_GLOBAL[[#Headers],[Salário Base]])-2,0)*($G232-$H232)</f>
        <v>2316.2296999999999</v>
      </c>
      <c r="J232" s="21">
        <f>VLOOKUP($A232,tabCustoUnit[],COLUMN(CUSTO_GLOBAL[[#Headers],[Adicional Periculosidade]])-2,0)*($G232-$H232)</f>
        <v>0</v>
      </c>
      <c r="K232" s="21">
        <f>VLOOKUP($A232,tabCustoUnit[],COLUMN(CUSTO_GLOBAL[[#Headers],[Adicional Insalubridade]])-2,0)*($G232-$H232)</f>
        <v>0</v>
      </c>
      <c r="L232" s="21">
        <f>VLOOKUP($A232,tabCustoUnit[],COLUMN(CUSTO_GLOBAL[[#Headers],[Adicional Noturno]])-2,0)*($G232-$H232)</f>
        <v>0</v>
      </c>
      <c r="M232" s="21">
        <f>VLOOKUP($A232,tabCustoUnit[],COLUMN(CUSTO_GLOBAL[[#Headers],[Adicional Motorista II (Gratificação)]])-2,0)*($G232-$H232)</f>
        <v>0</v>
      </c>
      <c r="N232" s="21">
        <f>VLOOKUP($A232,tabCustoUnit[],COLUMN(CUSTO_GLOBAL[[#Headers],[Adicional de Sobreaviso]])-2,0)*($G232-$H232)</f>
        <v>0</v>
      </c>
      <c r="O232" s="21">
        <f>VLOOKUP($A232,tabCustoUnit[],COLUMN(CUSTO_GLOBAL[[#Headers],[Horas Extras TI]])-2,0)*($G232-$H232)</f>
        <v>0</v>
      </c>
      <c r="P232" s="21">
        <f>VLOOKUP($A232,tabCustoUnit[],COLUMN(CUSTO_GLOBAL[[#Headers],[Adicional de Acúmulo de função]])-2,0)*($G232-$H232)</f>
        <v>0</v>
      </c>
      <c r="Q232" s="21">
        <f>VLOOKUP($A232,tabCustoUnit[],COLUMN(CUSTO_GLOBAL[[#Headers],[MODULO 1 - REMUNERAÇÃO ]])-2,0)*($G232-$H232)</f>
        <v>2316.2296999999999</v>
      </c>
      <c r="R232" s="21">
        <f>VLOOKUP($A232,tabCustoUnit[],COLUMN(CUSTO_GLOBAL[[#Headers],[INSS]])-2,0)*($G232-$H232)</f>
        <v>463.24594000000002</v>
      </c>
      <c r="S232" s="21">
        <f>VLOOKUP($A232,tabCustoUnit[],COLUMN(CUSTO_GLOBAL[[#Headers],[SESI OU SESC]])-2,0)*($G232-$H232)</f>
        <v>34.7434455</v>
      </c>
      <c r="T232" s="21">
        <f>VLOOKUP($A232,tabCustoUnit[],COLUMN(CUSTO_GLOBAL[[#Headers],[SENAI OU SENAC]])-2,0)*($G232-$H232)</f>
        <v>23.162296999999999</v>
      </c>
      <c r="U232" s="21">
        <f>VLOOKUP($A232,tabCustoUnit[],COLUMN(CUSTO_GLOBAL[[#Headers],[INCRA]])-2,0)*($G232-$H232)</f>
        <v>4.6324594000000001</v>
      </c>
      <c r="V232" s="21">
        <f>VLOOKUP($A232,tabCustoUnit[],COLUMN(CUSTO_GLOBAL[[#Headers],[Salário Educação]])-2,0)*($G232-$H232)</f>
        <v>57.905742500000002</v>
      </c>
      <c r="W232" s="21">
        <f>VLOOKUP($A232,tabCustoUnit[],COLUMN(CUSTO_GLOBAL[[#Headers],[FGTS]])-2,0)*($G232-$H232)</f>
        <v>185.29837599999999</v>
      </c>
      <c r="X232" s="21">
        <f>VLOOKUP($A232,tabCustoUnit[],COLUMN(CUSTO_GLOBAL[[#Headers],[RAT Ajustado]])-2,0)*($G232-$H232)</f>
        <v>92.649187999999995</v>
      </c>
      <c r="Y232" s="21">
        <f>VLOOKUP($A232,tabCustoUnit[],COLUMN(CUSTO_GLOBAL[[#Headers],[SEBRAE]])-2,0)*($G232-$H232)</f>
        <v>13.8973782</v>
      </c>
      <c r="Z232" s="21">
        <f>VLOOKUP($A232,tabCustoUnit[],COLUMN(CUSTO_GLOBAL[[#Headers],[Submódulo 2.1]])-2,0)*($G232-$H232)</f>
        <v>875.53482659999997</v>
      </c>
      <c r="AA232" s="21">
        <f>VLOOKUP($A232,tabCustoUnit[],COLUMN(CUSTO_GLOBAL[[#Headers],[13º salário (titular)]])-2,0)*($G232-$H232)</f>
        <v>193.01914166666666</v>
      </c>
      <c r="AB232" s="21">
        <f>VLOOKUP($A232,tabCustoUnit[],COLUMN(CUSTO_GLOBAL[[#Headers],[Férias e Adicional de Férias (titular)]])-2,0)*($G232-$H232)</f>
        <v>257.35885555555552</v>
      </c>
      <c r="AC232" s="21">
        <f>VLOOKUP($A232,tabCustoUnit[],COLUMN(CUSTO_GLOBAL[[#Headers],[Incidência do Submódulo 2.1 sobre 13º Salário, Férias e Adicional de Férias]])-2,0)*($G232-$H232)</f>
        <v>170.24288294999999</v>
      </c>
      <c r="AD232" s="21">
        <f>VLOOKUP($A232,tabCustoUnit[],COLUMN(CUSTO_GLOBAL[[#Headers],[Submódulo 2.2]])-2,0)*($G232-$H232)</f>
        <v>620.6208801722222</v>
      </c>
      <c r="AE232" s="22" t="e">
        <f ca="1">VLOOKUP($A232,tabCustoUnit[],COLUMN(CUSTO_GLOBAL[[#Headers],[Vale - Transporte (Descontada parcela do empregado)]])-2,0)*($G232-$H232)</f>
        <v>#NAME?</v>
      </c>
      <c r="AF232" s="22">
        <f>VLOOKUP($A232,tabCustoUnit[],COLUMN(CUSTO_GLOBAL[[#Headers],[Vale - Alimentação (Descontada parcela do empregado)]])-2,0)*($G232-$H232)</f>
        <v>582</v>
      </c>
      <c r="AG232" s="22">
        <f>VLOOKUP($A232,tabCustoUnit[],COLUMN(CUSTO_GLOBAL[[#Headers],[Cesta Básica]])-2,0)*($G232-$H232)</f>
        <v>0</v>
      </c>
      <c r="AH232" s="22">
        <f>VLOOKUP($A232,tabCustoUnit[],COLUMN(CUSTO_GLOBAL[[#Headers],[PAF]])-2,0)*($G232-$H232)</f>
        <v>77.25</v>
      </c>
      <c r="AI232" s="22">
        <f>VLOOKUP($A232,tabCustoUnit[],COLUMN(CUSTO_GLOBAL[[#Headers],[PQM]])-2,0)*($G232-$H232)</f>
        <v>0</v>
      </c>
      <c r="AJ232" s="22">
        <v>0</v>
      </c>
      <c r="AK232" s="22">
        <f>VLOOKUP($A232,tabCustoUnit[],COLUMN(CUSTO_GLOBAL[[#Headers],[Seguro de Vida]])-2,0)*($G232-$H232)</f>
        <v>3.36</v>
      </c>
      <c r="AL232" s="22">
        <f>VLOOKUP($A232,tabCustoUnit[],COLUMN(CUSTO_GLOBAL[[#Headers],[Despesas de Viagem]])-2,0)*($G232-$H232)</f>
        <v>0</v>
      </c>
      <c r="AM232" s="22" t="e">
        <f ca="1">VLOOKUP($A232,tabCustoUnit[],COLUMN(CUSTO_GLOBAL[[#Headers],[Submódulo 2.3]])-2,0)*($G232-$H232)</f>
        <v>#NAME?</v>
      </c>
      <c r="AN232" s="22" t="e">
        <f ca="1">VLOOKUP($A232,tabCustoUnit[],COLUMN(CUSTO_GLOBAL[[#Headers],[MÓDULO 2 - Total Encargos e Benefícios mensais e diários]])-2,0)*($G232-$H232)</f>
        <v>#NAME?</v>
      </c>
      <c r="AO232" s="22">
        <f>VLOOKUP($A232,tabCustoUnit[],COLUMN(CUSTO_GLOBAL[[#Headers],[Aviso Prévio Indenizado (API) e Reflexo do Aviso Prévio Indenizado]])-2,0)*($G232-$H232)</f>
        <v>16.240862917689043</v>
      </c>
      <c r="AP232" s="22">
        <f>VLOOKUP($A232,tabCustoUnit[],COLUMN(CUSTO_GLOBAL[[#Headers],[Incidência do FGTS sobre API e Reflexo do API]])-2,0)*($G232-$H232)</f>
        <v>1.2992690334151236</v>
      </c>
      <c r="AQ232" s="22">
        <f>VLOOKUP($A232,tabCustoUnit[],COLUMN(CUSTO_GLOBAL[[#Headers],[Multa Rescisória do FGTS sobre o Aviso Prévio Indenizado]])-2,0)*($G232-$H232)</f>
        <v>0.51970761336604943</v>
      </c>
      <c r="AR232" s="22">
        <f>VLOOKUP($A232,tabCustoUnit[],COLUMN(CUSTO_GLOBAL[[#Headers],[Aviso Prévio Trabalhado - APT]])-2,0)*($G232-$H232)</f>
        <v>8.1068039500000015</v>
      </c>
      <c r="AS232" s="22">
        <f>VLOOKUP($A232,tabCustoUnit[],COLUMN(CUSTO_GLOBAL[[#Headers],[Incidência dos encargos do submódulo 2.1 sobre Aviso Prévio Trabalhado]])-2,0)*($G232-$H232)</f>
        <v>3.0643718931000006</v>
      </c>
      <c r="AT232" s="22">
        <f>VLOOKUP($A232,tabCustoUnit[],COLUMN(CUSTO_GLOBAL[[#Headers],[Multa Rescisória do FGTS]])-2,0)*($G232-$H232)</f>
        <v>70.825157048888869</v>
      </c>
      <c r="AU232" s="22">
        <f>VLOOKUP($A232,tabCustoUnit[],COLUMN(CUSTO_GLOBAL[[#Headers],[Indenização Adicional (Art. 9º da Lei nº 7.238/84)]])-2,0)*($G232-$H232)</f>
        <v>1.9301914166666667</v>
      </c>
      <c r="AV232" s="22">
        <f>VLOOKUP($A232,tabCustoUnit[],COLUMN(CUSTO_GLOBAL[[#Headers],[MÓDULO 3 – PROVISÃO PARA RESCISÃO]])-2,0)*($G232-$H232)</f>
        <v>101.98636387312575</v>
      </c>
      <c r="AW232" s="22">
        <f>VLOOKUP($A232,tabCustoUnit[],COLUMN(CUSTO_GLOBAL[[#Headers],[Ausência por Doença]])-2,0)*($G232-$H232)</f>
        <v>19.559273022222218</v>
      </c>
      <c r="AX232" s="22">
        <f>VLOOKUP($A232,tabCustoUnit[],COLUMN(CUSTO_GLOBAL[[#Headers],[Ausências Legais]])-2,0)*($G232-$H232)</f>
        <v>4.696799113888888</v>
      </c>
      <c r="AY232" s="22">
        <f>VLOOKUP($A232,tabCustoUnit[],COLUMN(CUSTO_GLOBAL[[#Headers],[Licença Paternidade]])-2,0)*($G232-$H232)</f>
        <v>0.39568924041666664</v>
      </c>
      <c r="AZ232" s="22">
        <f>VLOOKUP($A232,tabCustoUnit[],COLUMN(CUSTO_GLOBAL[[#Headers],[Ausência por Acidente de Trabalho]])-2,0)*($G232-$H232)</f>
        <v>0.48254785416666668</v>
      </c>
      <c r="BA232" s="22">
        <f>VLOOKUP($A232,tabCustoUnit[],COLUMN(CUSTO_GLOBAL[[#Headers],[Férias, Adicional de Férias e 13º  com empregada em gozo de Licença Maternidade]])-2,0)*($G232-$H232)</f>
        <v>3.0025199814814814</v>
      </c>
      <c r="BB232" s="22">
        <f>VLOOKUP($A232,tabCustoUnit[],COLUMN(CUSTO_GLOBAL[[#Headers],[Incidência do Submódulo 2.1 sobre Ausências Legais]])-2,0)*($G232-$H232)</f>
        <v>10.635721442202501</v>
      </c>
      <c r="BC232" s="22">
        <f>VLOOKUP($A232,tabCustoUnit[],COLUMN(CUSTO_GLOBAL[[#Headers],[Submódulo 4.1]])-2,0)*($G232-$H232)</f>
        <v>38.772550654378421</v>
      </c>
      <c r="BD232" s="22">
        <f>VLOOKUP($A232,tabCustoUnit[],COLUMN(CUSTO_GLOBAL[[#Headers],[Intervalo para Repouso ou Alimentação]])-2,0)*($G232-$H232)</f>
        <v>0</v>
      </c>
      <c r="BE232" s="22">
        <f>VLOOKUP($A232,tabCustoUnit[],COLUMN(CUSTO_GLOBAL[[#Headers],[Submódulo 4.2]])-2,0)*($G232-$H232)</f>
        <v>0</v>
      </c>
      <c r="BF232" s="22">
        <f>VLOOKUP($A232,tabCustoUnit[],COLUMN(CUSTO_GLOBAL[[#Headers],[Suspensão Temporária do Contrato de Trabalho]])-2,0)*($G232-$H232)</f>
        <v>0</v>
      </c>
      <c r="BG232" s="22">
        <f>VLOOKUP($A232,tabCustoUnit[],COLUMN(CUSTO_GLOBAL[[#Headers],[Submódulo 4.3]])-2,0)*($G232-$H232)</f>
        <v>0</v>
      </c>
      <c r="BH232" s="22">
        <f>VLOOKUP($A232,tabCustoUnit[],COLUMN(CUSTO_GLOBAL[[#Headers],[MÓDULO 4 – CUSTO DE REPOSIÇÃO DO PROFISSIONAL AUSENTE]])-2,0)*($G232-$H232)</f>
        <v>38.772550654378421</v>
      </c>
      <c r="BI232" s="22">
        <f>VLOOKUP($A232,tabCustoUnit[],COLUMN(CUSTO_GLOBAL[[#Headers],[Uniformes e EPIs]])-2,0)*($G232-$H232)</f>
        <v>56.642978962543395</v>
      </c>
      <c r="BJ232" s="22">
        <f>VLOOKUP($A232,tabCustoUnit[],COLUMN(CUSTO_GLOBAL[[#Headers],[Materiais de Consumo]])-2,0)*($G232-$H232)</f>
        <v>0</v>
      </c>
      <c r="BK232" s="22">
        <f>VLOOKUP($A232,tabCustoUnit[],COLUMN(CUSTO_GLOBAL[[#Headers],[Máquinas e Equipamentos (depreciação)]])-2,0)*($G232-$H232)</f>
        <v>0</v>
      </c>
      <c r="BL232" s="22">
        <f>VLOOKUP($A232,tabCustoUnit[],COLUMN(CUSTO_GLOBAL[[#Headers],[Produtos de Limpeza e Materiais de Higiene Pessoal]])-2,0)*($G232-$H232)</f>
        <v>0</v>
      </c>
      <c r="BM232" s="22">
        <f>VLOOKUP($A232,tabCustoUnit[],COLUMN(CUSTO_GLOBAL[[#Headers],[Outros (especificar)]])-2,0)*($G232-$H232)</f>
        <v>0</v>
      </c>
      <c r="BN232" s="22">
        <f>VLOOKUP($A232,tabCustoUnit[],COLUMN(CUSTO_GLOBAL[[#Headers],[MÓDULO 5 – INSUMOS DIVERSOS]])-2,0)*($G232-$H232)</f>
        <v>56.642978962543395</v>
      </c>
      <c r="BO232" s="22" t="e">
        <f ca="1">VLOOKUP($A232,tabCustoUnit[],COLUMN(CUSTO_GLOBAL[[#Headers],[TOTAL MÓDULOS 1+2+3+4+5]])-2,0)*($G232-$H232)</f>
        <v>#NAME?</v>
      </c>
      <c r="BP232" s="22" t="e">
        <f ca="1">VLOOKUP($A232,tabCustoUnit[],COLUMN(CUSTO_GLOBAL[[#Headers],[Custos Indiretos]])-2,0)*($G232-$H232)</f>
        <v>#NAME?</v>
      </c>
      <c r="BQ232" s="22" t="e">
        <f ca="1">VLOOKUP($A232,tabCustoUnit[],COLUMN(CUSTO_GLOBAL[[#Headers],[Lucro]])-2,0)*($G232-$H232)</f>
        <v>#NAME?</v>
      </c>
      <c r="BR232" s="26">
        <f>VLOOKUP($A232,tabCustoUnit[],COLUMN(CUSTO_GLOBAL[[#Headers],[COFINS]])-2,0)</f>
        <v>8.6609686609686695E-2</v>
      </c>
      <c r="BS232" s="26">
        <f>VLOOKUP($A232,tabCustoUnit[],COLUMN(CUSTO_GLOBAL[[#Headers],[PIS]])-2,0)</f>
        <v>1.880341880341882E-2</v>
      </c>
      <c r="BT232" s="28">
        <f>VLOOKUP($A232,tabCustoUnit[],COLUMN(CUSTO_GLOBAL[[#Headers],[ISS]])-2,0)</f>
        <v>0.03</v>
      </c>
      <c r="BU232" s="26">
        <f>VLOOKUP($A232,tabCustoUnit[],COLUMN(CUSTO_GLOBAL[[#Headers],[ISS (Conversão Alíquota s/ fatura)]])-2,0)</f>
        <v>3.4188034188034219E-2</v>
      </c>
      <c r="BV232" s="26">
        <f>VLOOKUP($A232,tabCustoUnit[],COLUMN(CUSTO_GLOBAL[[#Headers],[Resumo de Alíquotas (PIS+CONFINS+ISS)]])-2,0)</f>
        <v>0.1225</v>
      </c>
      <c r="BW232" s="138">
        <f>VLOOKUP($A232,tabCustoUnit[],COLUMN(CUSTO_GLOBAL[[#Headers],[PIS + COFINS + ISS (Total Conversão  Alíquota s/ Fatura)]])-2,0)</f>
        <v>0.13960113960113973</v>
      </c>
      <c r="BX232" s="22" t="e">
        <f ca="1">VLOOKUP($A232,tabCustoUnit[],COLUMN(CUSTO_GLOBAL[[#Headers],[Valor dos Tributos (ISS, PIS, CONFINS)]])-2,0)*($G232-$H232)</f>
        <v>#NAME?</v>
      </c>
      <c r="BY232" s="22" t="e">
        <f ca="1">VLOOKUP($A232,tabCustoUnit[],COLUMN(CUSTO_GLOBAL[[#Headers],[MÓDULO 6 – CUSTOS INDIRETOS, TRIBUTOS E LUCRO]])-2,0)*($G232-$H232)</f>
        <v>#NAME?</v>
      </c>
      <c r="BZ232" s="22" t="e">
        <f ca="1">VLOOKUP($A232,tabCustoUnit[],COLUMN(CUSTO_GLOBAL[[#Headers],[CUSTO TOTAL MENSAL]])-2,0)*($G232-$H232)</f>
        <v>#NAME?</v>
      </c>
      <c r="CA232" s="22" t="e">
        <f ca="1">CUSTO_GLOBAL[[#This Row],[CUSTO TOTAL MENSAL]]*12</f>
        <v>#NAME?</v>
      </c>
      <c r="CB232" s="24">
        <f>VLOOKUP($A232,tabCustoUnit[],COLUMN(CUSTO_GLOBAL[[#Headers],[ANO DA CCT]])-2,0)</f>
        <v>45658</v>
      </c>
      <c r="CC232" s="25" t="str">
        <f>VLOOKUP($A232,tabCustoUnit[],COLUMN(CUSTO_GLOBAL[[#Headers],[Nº DE PEDIDO DA CCT]])-2,0)</f>
        <v>-</v>
      </c>
      <c r="CD232" s="25" t="str">
        <f>VLOOKUP($A232,tabCustoUnit[],COLUMN(CUSTO_GLOBAL[[#Headers],[TERMO ADITIVO ALTERAÇÃO DA CCT]])-2,0)</f>
        <v>-</v>
      </c>
    </row>
    <row r="233" spans="1:82">
      <c r="A233" s="20" t="s">
        <v>1661</v>
      </c>
      <c r="B233" t="s">
        <v>1173</v>
      </c>
      <c r="C233" t="s">
        <v>324</v>
      </c>
      <c r="D233" t="s">
        <v>899</v>
      </c>
      <c r="E233" s="20" t="s">
        <v>1090</v>
      </c>
      <c r="F233" s="20" t="s">
        <v>120</v>
      </c>
      <c r="G233" s="20">
        <v>1</v>
      </c>
      <c r="H233" s="20">
        <v>0</v>
      </c>
      <c r="I233" s="21">
        <f>VLOOKUP($A233,tabCustoUnit[],COLUMN(CUSTO_GLOBAL[[#Headers],[Salário Base]])-2,0)*($G233-$H233)</f>
        <v>3397.1305000000002</v>
      </c>
      <c r="J233" s="21">
        <f>VLOOKUP($A233,tabCustoUnit[],COLUMN(CUSTO_GLOBAL[[#Headers],[Adicional Periculosidade]])-2,0)*($G233-$H233)</f>
        <v>0</v>
      </c>
      <c r="K233" s="21">
        <f>VLOOKUP($A233,tabCustoUnit[],COLUMN(CUSTO_GLOBAL[[#Headers],[Adicional Insalubridade]])-2,0)*($G233-$H233)</f>
        <v>0</v>
      </c>
      <c r="L233" s="21">
        <f>VLOOKUP($A233,tabCustoUnit[],COLUMN(CUSTO_GLOBAL[[#Headers],[Adicional Noturno]])-2,0)*($G233-$H233)</f>
        <v>0</v>
      </c>
      <c r="M233" s="21">
        <f>VLOOKUP($A233,tabCustoUnit[],COLUMN(CUSTO_GLOBAL[[#Headers],[Adicional Motorista II (Gratificação)]])-2,0)*($G233-$H233)</f>
        <v>0</v>
      </c>
      <c r="N233" s="21">
        <f>VLOOKUP($A233,tabCustoUnit[],COLUMN(CUSTO_GLOBAL[[#Headers],[Adicional de Sobreaviso]])-2,0)*($G233-$H233)</f>
        <v>0</v>
      </c>
      <c r="O233" s="21">
        <f>VLOOKUP($A233,tabCustoUnit[],COLUMN(CUSTO_GLOBAL[[#Headers],[Horas Extras TI]])-2,0)*($G233-$H233)</f>
        <v>0</v>
      </c>
      <c r="P233" s="21">
        <f>VLOOKUP($A233,tabCustoUnit[],COLUMN(CUSTO_GLOBAL[[#Headers],[Adicional de Acúmulo de função]])-2,0)*($G233-$H233)</f>
        <v>0</v>
      </c>
      <c r="Q233" s="21">
        <f>VLOOKUP($A233,tabCustoUnit[],COLUMN(CUSTO_GLOBAL[[#Headers],[MODULO 1 - REMUNERAÇÃO ]])-2,0)*($G233-$H233)</f>
        <v>3397.1305000000002</v>
      </c>
      <c r="R233" s="21">
        <f>VLOOKUP($A233,tabCustoUnit[],COLUMN(CUSTO_GLOBAL[[#Headers],[INSS]])-2,0)*($G233-$H233)</f>
        <v>679.42610000000013</v>
      </c>
      <c r="S233" s="21">
        <f>VLOOKUP($A233,tabCustoUnit[],COLUMN(CUSTO_GLOBAL[[#Headers],[SESI OU SESC]])-2,0)*($G233-$H233)</f>
        <v>50.956957500000001</v>
      </c>
      <c r="T233" s="21">
        <f>VLOOKUP($A233,tabCustoUnit[],COLUMN(CUSTO_GLOBAL[[#Headers],[SENAI OU SENAC]])-2,0)*($G233-$H233)</f>
        <v>33.971305000000001</v>
      </c>
      <c r="U233" s="21">
        <f>VLOOKUP($A233,tabCustoUnit[],COLUMN(CUSTO_GLOBAL[[#Headers],[INCRA]])-2,0)*($G233-$H233)</f>
        <v>6.7942610000000005</v>
      </c>
      <c r="V233" s="21">
        <f>VLOOKUP($A233,tabCustoUnit[],COLUMN(CUSTO_GLOBAL[[#Headers],[Salário Educação]])-2,0)*($G233-$H233)</f>
        <v>84.928262500000017</v>
      </c>
      <c r="W233" s="21">
        <f>VLOOKUP($A233,tabCustoUnit[],COLUMN(CUSTO_GLOBAL[[#Headers],[FGTS]])-2,0)*($G233-$H233)</f>
        <v>271.77044000000001</v>
      </c>
      <c r="X233" s="21">
        <f>VLOOKUP($A233,tabCustoUnit[],COLUMN(CUSTO_GLOBAL[[#Headers],[RAT Ajustado]])-2,0)*($G233-$H233)</f>
        <v>135.88522</v>
      </c>
      <c r="Y233" s="21">
        <f>VLOOKUP($A233,tabCustoUnit[],COLUMN(CUSTO_GLOBAL[[#Headers],[SEBRAE]])-2,0)*($G233-$H233)</f>
        <v>20.382783000000003</v>
      </c>
      <c r="Z233" s="21">
        <f>VLOOKUP($A233,tabCustoUnit[],COLUMN(CUSTO_GLOBAL[[#Headers],[Submódulo 2.1]])-2,0)*($G233-$H233)</f>
        <v>1284.1153290000002</v>
      </c>
      <c r="AA233" s="21">
        <f>VLOOKUP($A233,tabCustoUnit[],COLUMN(CUSTO_GLOBAL[[#Headers],[13º salário (titular)]])-2,0)*($G233-$H233)</f>
        <v>283.09420833333331</v>
      </c>
      <c r="AB233" s="21">
        <f>VLOOKUP($A233,tabCustoUnit[],COLUMN(CUSTO_GLOBAL[[#Headers],[Férias e Adicional de Férias (titular)]])-2,0)*($G233-$H233)</f>
        <v>377.45894444444446</v>
      </c>
      <c r="AC233" s="21">
        <f>VLOOKUP($A233,tabCustoUnit[],COLUMN(CUSTO_GLOBAL[[#Headers],[Incidência do Submódulo 2.1 sobre 13º Salário, Férias e Adicional de Férias]])-2,0)*($G233-$H233)</f>
        <v>249.68909175000005</v>
      </c>
      <c r="AD233" s="21">
        <f>VLOOKUP($A233,tabCustoUnit[],COLUMN(CUSTO_GLOBAL[[#Headers],[Submódulo 2.2]])-2,0)*($G233-$H233)</f>
        <v>910.24224452777776</v>
      </c>
      <c r="AE233" s="22" t="e">
        <f ca="1">VLOOKUP($A233,tabCustoUnit[],COLUMN(CUSTO_GLOBAL[[#Headers],[Vale - Transporte (Descontada parcela do empregado)]])-2,0)*($G233-$H233)</f>
        <v>#NAME?</v>
      </c>
      <c r="AF233" s="22">
        <f>VLOOKUP($A233,tabCustoUnit[],COLUMN(CUSTO_GLOBAL[[#Headers],[Vale - Alimentação (Descontada parcela do empregado)]])-2,0)*($G233-$H233)</f>
        <v>0</v>
      </c>
      <c r="AG233" s="22">
        <f>VLOOKUP($A233,tabCustoUnit[],COLUMN(CUSTO_GLOBAL[[#Headers],[Cesta Básica]])-2,0)*($G233-$H233)</f>
        <v>387.79</v>
      </c>
      <c r="AH233" s="22">
        <f>VLOOKUP($A233,tabCustoUnit[],COLUMN(CUSTO_GLOBAL[[#Headers],[PAF]])-2,0)*($G233-$H233)</f>
        <v>42.97</v>
      </c>
      <c r="AI233" s="22">
        <f>VLOOKUP($A233,tabCustoUnit[],COLUMN(CUSTO_GLOBAL[[#Headers],[PQM]])-2,0)*($G233-$H233)</f>
        <v>0</v>
      </c>
      <c r="AJ233" s="22">
        <v>0</v>
      </c>
      <c r="AK233" s="22">
        <f>VLOOKUP($A233,tabCustoUnit[],COLUMN(CUSTO_GLOBAL[[#Headers],[Seguro de Vida]])-2,0)*($G233-$H233)</f>
        <v>3.36</v>
      </c>
      <c r="AL233" s="22">
        <f>VLOOKUP($A233,tabCustoUnit[],COLUMN(CUSTO_GLOBAL[[#Headers],[Despesas de Viagem]])-2,0)*($G233-$H233)</f>
        <v>0</v>
      </c>
      <c r="AM233" s="22" t="e">
        <f ca="1">VLOOKUP($A233,tabCustoUnit[],COLUMN(CUSTO_GLOBAL[[#Headers],[Submódulo 2.3]])-2,0)*($G233-$H233)</f>
        <v>#NAME?</v>
      </c>
      <c r="AN233" s="22" t="e">
        <f ca="1">VLOOKUP($A233,tabCustoUnit[],COLUMN(CUSTO_GLOBAL[[#Headers],[MÓDULO 2 - Total Encargos e Benefícios mensais e diários]])-2,0)*($G233-$H233)</f>
        <v>#NAME?</v>
      </c>
      <c r="AO233" s="22">
        <f>VLOOKUP($A233,tabCustoUnit[],COLUMN(CUSTO_GLOBAL[[#Headers],[Aviso Prévio Indenizado (API) e Reflexo do Aviso Prévio Indenizado]])-2,0)*($G233-$H233)</f>
        <v>23.819887450713736</v>
      </c>
      <c r="AP233" s="22">
        <f>VLOOKUP($A233,tabCustoUnit[],COLUMN(CUSTO_GLOBAL[[#Headers],[Incidência do FGTS sobre API e Reflexo do API]])-2,0)*($G233-$H233)</f>
        <v>1.9055909960570991</v>
      </c>
      <c r="AQ233" s="22">
        <f>VLOOKUP($A233,tabCustoUnit[],COLUMN(CUSTO_GLOBAL[[#Headers],[Multa Rescisória do FGTS sobre o Aviso Prévio Indenizado]])-2,0)*($G233-$H233)</f>
        <v>0.76223639842283974</v>
      </c>
      <c r="AR233" s="22">
        <f>VLOOKUP($A233,tabCustoUnit[],COLUMN(CUSTO_GLOBAL[[#Headers],[Aviso Prévio Trabalhado - APT]])-2,0)*($G233-$H233)</f>
        <v>11.889956750000003</v>
      </c>
      <c r="AS233" s="22">
        <f>VLOOKUP($A233,tabCustoUnit[],COLUMN(CUSTO_GLOBAL[[#Headers],[Incidência dos encargos do submódulo 2.1 sobre Aviso Prévio Trabalhado]])-2,0)*($G233-$H233)</f>
        <v>4.4944036515000017</v>
      </c>
      <c r="AT233" s="22">
        <f>VLOOKUP($A233,tabCustoUnit[],COLUMN(CUSTO_GLOBAL[[#Headers],[Multa Rescisória do FGTS]])-2,0)*($G233-$H233)</f>
        <v>103.87670151111111</v>
      </c>
      <c r="AU233" s="22">
        <f>VLOOKUP($A233,tabCustoUnit[],COLUMN(CUSTO_GLOBAL[[#Headers],[Indenização Adicional (Art. 9º da Lei nº 7.238/84)]])-2,0)*($G233-$H233)</f>
        <v>2.8309420833333339</v>
      </c>
      <c r="AV233" s="22">
        <f>VLOOKUP($A233,tabCustoUnit[],COLUMN(CUSTO_GLOBAL[[#Headers],[MÓDULO 3 – PROVISÃO PARA RESCISÃO]])-2,0)*($G233-$H233)</f>
        <v>149.57971884113812</v>
      </c>
      <c r="AW233" s="22">
        <f>VLOOKUP($A233,tabCustoUnit[],COLUMN(CUSTO_GLOBAL[[#Headers],[Ausência por Doença]])-2,0)*($G233-$H233)</f>
        <v>28.686879777777776</v>
      </c>
      <c r="AX233" s="22">
        <f>VLOOKUP($A233,tabCustoUnit[],COLUMN(CUSTO_GLOBAL[[#Headers],[Ausências Legais]])-2,0)*($G233-$H233)</f>
        <v>6.888625736111111</v>
      </c>
      <c r="AY233" s="22">
        <f>VLOOKUP($A233,tabCustoUnit[],COLUMN(CUSTO_GLOBAL[[#Headers],[Licença Paternidade]])-2,0)*($G233-$H233)</f>
        <v>0.58034312708333335</v>
      </c>
      <c r="AZ233" s="22">
        <f>VLOOKUP($A233,tabCustoUnit[],COLUMN(CUSTO_GLOBAL[[#Headers],[Ausência por Acidente de Trabalho]])-2,0)*($G233-$H233)</f>
        <v>0.70773552083333346</v>
      </c>
      <c r="BA233" s="22">
        <f>VLOOKUP($A233,tabCustoUnit[],COLUMN(CUSTO_GLOBAL[[#Headers],[Férias, Adicional de Férias e 13º  com empregada em gozo de Licença Maternidade]])-2,0)*($G233-$H233)</f>
        <v>4.4036876851851856</v>
      </c>
      <c r="BB233" s="22">
        <f>VLOOKUP($A233,tabCustoUnit[],COLUMN(CUSTO_GLOBAL[[#Headers],[Incidência do Submódulo 2.1 sobre Ausências Legais]])-2,0)*($G233-$H233)</f>
        <v>15.599028758162504</v>
      </c>
      <c r="BC233" s="22">
        <f>VLOOKUP($A233,tabCustoUnit[],COLUMN(CUSTO_GLOBAL[[#Headers],[Submódulo 4.1]])-2,0)*($G233-$H233)</f>
        <v>56.866300605153235</v>
      </c>
      <c r="BD233" s="22">
        <f>VLOOKUP($A233,tabCustoUnit[],COLUMN(CUSTO_GLOBAL[[#Headers],[Intervalo para Repouso ou Alimentação]])-2,0)*($G233-$H233)</f>
        <v>0</v>
      </c>
      <c r="BE233" s="22">
        <f>VLOOKUP($A233,tabCustoUnit[],COLUMN(CUSTO_GLOBAL[[#Headers],[Submódulo 4.2]])-2,0)*($G233-$H233)</f>
        <v>0</v>
      </c>
      <c r="BF233" s="22">
        <f>VLOOKUP($A233,tabCustoUnit[],COLUMN(CUSTO_GLOBAL[[#Headers],[Suspensão Temporária do Contrato de Trabalho]])-2,0)*($G233-$H233)</f>
        <v>0</v>
      </c>
      <c r="BG233" s="22">
        <f>VLOOKUP($A233,tabCustoUnit[],COLUMN(CUSTO_GLOBAL[[#Headers],[Submódulo 4.3]])-2,0)*($G233-$H233)</f>
        <v>0</v>
      </c>
      <c r="BH233" s="22">
        <f>VLOOKUP($A233,tabCustoUnit[],COLUMN(CUSTO_GLOBAL[[#Headers],[MÓDULO 4 – CUSTO DE REPOSIÇÃO DO PROFISSIONAL AUSENTE]])-2,0)*($G233-$H233)</f>
        <v>56.866300605153235</v>
      </c>
      <c r="BI233" s="22">
        <f>VLOOKUP($A233,tabCustoUnit[],COLUMN(CUSTO_GLOBAL[[#Headers],[Uniformes e EPIs]])-2,0)*($G233-$H233)</f>
        <v>56.642978962543395</v>
      </c>
      <c r="BJ233" s="22">
        <f>VLOOKUP($A233,tabCustoUnit[],COLUMN(CUSTO_GLOBAL[[#Headers],[Materiais de Consumo]])-2,0)*($G233-$H233)</f>
        <v>0</v>
      </c>
      <c r="BK233" s="22">
        <f>VLOOKUP($A233,tabCustoUnit[],COLUMN(CUSTO_GLOBAL[[#Headers],[Máquinas e Equipamentos (depreciação)]])-2,0)*($G233-$H233)</f>
        <v>0</v>
      </c>
      <c r="BL233" s="22">
        <f>VLOOKUP($A233,tabCustoUnit[],COLUMN(CUSTO_GLOBAL[[#Headers],[Produtos de Limpeza e Materiais de Higiene Pessoal]])-2,0)*($G233-$H233)</f>
        <v>0</v>
      </c>
      <c r="BM233" s="22">
        <f>VLOOKUP($A233,tabCustoUnit[],COLUMN(CUSTO_GLOBAL[[#Headers],[Outros (especificar)]])-2,0)*($G233-$H233)</f>
        <v>0</v>
      </c>
      <c r="BN233" s="22">
        <f>VLOOKUP($A233,tabCustoUnit[],COLUMN(CUSTO_GLOBAL[[#Headers],[MÓDULO 5 – INSUMOS DIVERSOS]])-2,0)*($G233-$H233)</f>
        <v>56.642978962543395</v>
      </c>
      <c r="BO233" s="22" t="e">
        <f ca="1">VLOOKUP($A233,tabCustoUnit[],COLUMN(CUSTO_GLOBAL[[#Headers],[TOTAL MÓDULOS 1+2+3+4+5]])-2,0)*($G233-$H233)</f>
        <v>#NAME?</v>
      </c>
      <c r="BP233" s="22" t="e">
        <f ca="1">VLOOKUP($A233,tabCustoUnit[],COLUMN(CUSTO_GLOBAL[[#Headers],[Custos Indiretos]])-2,0)*($G233-$H233)</f>
        <v>#NAME?</v>
      </c>
      <c r="BQ233" s="22" t="e">
        <f ca="1">VLOOKUP($A233,tabCustoUnit[],COLUMN(CUSTO_GLOBAL[[#Headers],[Lucro]])-2,0)*($G233-$H233)</f>
        <v>#NAME?</v>
      </c>
      <c r="BR233" s="26">
        <f>VLOOKUP($A233,tabCustoUnit[],COLUMN(CUSTO_GLOBAL[[#Headers],[COFINS]])-2,0)</f>
        <v>8.6609686609686695E-2</v>
      </c>
      <c r="BS233" s="26">
        <f>VLOOKUP($A233,tabCustoUnit[],COLUMN(CUSTO_GLOBAL[[#Headers],[PIS]])-2,0)</f>
        <v>1.880341880341882E-2</v>
      </c>
      <c r="BT233" s="28">
        <f>VLOOKUP($A233,tabCustoUnit[],COLUMN(CUSTO_GLOBAL[[#Headers],[ISS]])-2,0)</f>
        <v>0.03</v>
      </c>
      <c r="BU233" s="26">
        <f>VLOOKUP($A233,tabCustoUnit[],COLUMN(CUSTO_GLOBAL[[#Headers],[ISS (Conversão Alíquota s/ fatura)]])-2,0)</f>
        <v>3.4188034188034219E-2</v>
      </c>
      <c r="BV233" s="26">
        <f>VLOOKUP($A233,tabCustoUnit[],COLUMN(CUSTO_GLOBAL[[#Headers],[Resumo de Alíquotas (PIS+CONFINS+ISS)]])-2,0)</f>
        <v>0.1225</v>
      </c>
      <c r="BW233" s="138">
        <f>VLOOKUP($A233,tabCustoUnit[],COLUMN(CUSTO_GLOBAL[[#Headers],[PIS + COFINS + ISS (Total Conversão  Alíquota s/ Fatura)]])-2,0)</f>
        <v>0.13960113960113973</v>
      </c>
      <c r="BX233" s="22" t="e">
        <f ca="1">VLOOKUP($A233,tabCustoUnit[],COLUMN(CUSTO_GLOBAL[[#Headers],[Valor dos Tributos (ISS, PIS, CONFINS)]])-2,0)*($G233-$H233)</f>
        <v>#NAME?</v>
      </c>
      <c r="BY233" s="22" t="e">
        <f ca="1">VLOOKUP($A233,tabCustoUnit[],COLUMN(CUSTO_GLOBAL[[#Headers],[MÓDULO 6 – CUSTOS INDIRETOS, TRIBUTOS E LUCRO]])-2,0)*($G233-$H233)</f>
        <v>#NAME?</v>
      </c>
      <c r="BZ233" s="22" t="e">
        <f ca="1">VLOOKUP($A233,tabCustoUnit[],COLUMN(CUSTO_GLOBAL[[#Headers],[CUSTO TOTAL MENSAL]])-2,0)*($G233-$H233)</f>
        <v>#NAME?</v>
      </c>
      <c r="CA233" s="22" t="e">
        <f ca="1">CUSTO_GLOBAL[[#This Row],[CUSTO TOTAL MENSAL]]*12</f>
        <v>#NAME?</v>
      </c>
      <c r="CB233" s="24">
        <f>VLOOKUP($A233,tabCustoUnit[],COLUMN(CUSTO_GLOBAL[[#Headers],[ANO DA CCT]])-2,0)</f>
        <v>45658</v>
      </c>
      <c r="CC233" s="25" t="str">
        <f>VLOOKUP($A233,tabCustoUnit[],COLUMN(CUSTO_GLOBAL[[#Headers],[Nº DE PEDIDO DA CCT]])-2,0)</f>
        <v>-</v>
      </c>
      <c r="CD233" s="25" t="str">
        <f>VLOOKUP($A233,tabCustoUnit[],COLUMN(CUSTO_GLOBAL[[#Headers],[TERMO ADITIVO ALTERAÇÃO DA CCT]])-2,0)</f>
        <v>-</v>
      </c>
    </row>
    <row r="234" spans="1:82">
      <c r="A234" s="20" t="s">
        <v>1497</v>
      </c>
      <c r="B234" t="s">
        <v>1174</v>
      </c>
      <c r="C234" t="s">
        <v>200</v>
      </c>
      <c r="D234" t="s">
        <v>942</v>
      </c>
      <c r="E234" s="20" t="s">
        <v>1090</v>
      </c>
      <c r="F234" s="20" t="s">
        <v>120</v>
      </c>
      <c r="G234" s="20">
        <v>1</v>
      </c>
      <c r="H234" s="20">
        <v>0</v>
      </c>
      <c r="I234" s="21">
        <f>VLOOKUP($A234,tabCustoUnit[],COLUMN(CUSTO_GLOBAL[[#Headers],[Salário Base]])-2,0)*($G234-$H234)</f>
        <v>1596.2737999999999</v>
      </c>
      <c r="J234" s="21">
        <f>VLOOKUP($A234,tabCustoUnit[],COLUMN(CUSTO_GLOBAL[[#Headers],[Adicional Periculosidade]])-2,0)*($G234-$H234)</f>
        <v>0</v>
      </c>
      <c r="K234" s="21">
        <f>VLOOKUP($A234,tabCustoUnit[],COLUMN(CUSTO_GLOBAL[[#Headers],[Adicional Insalubridade]])-2,0)*($G234-$H234)</f>
        <v>0</v>
      </c>
      <c r="L234" s="21">
        <f>VLOOKUP($A234,tabCustoUnit[],COLUMN(CUSTO_GLOBAL[[#Headers],[Adicional Noturno]])-2,0)*($G234-$H234)</f>
        <v>0</v>
      </c>
      <c r="M234" s="21">
        <f>VLOOKUP($A234,tabCustoUnit[],COLUMN(CUSTO_GLOBAL[[#Headers],[Adicional Motorista II (Gratificação)]])-2,0)*($G234-$H234)</f>
        <v>0</v>
      </c>
      <c r="N234" s="21">
        <f>VLOOKUP($A234,tabCustoUnit[],COLUMN(CUSTO_GLOBAL[[#Headers],[Adicional de Sobreaviso]])-2,0)*($G234-$H234)</f>
        <v>0</v>
      </c>
      <c r="O234" s="21">
        <f>VLOOKUP($A234,tabCustoUnit[],COLUMN(CUSTO_GLOBAL[[#Headers],[Horas Extras TI]])-2,0)*($G234-$H234)</f>
        <v>0</v>
      </c>
      <c r="P234" s="21">
        <f>VLOOKUP($A234,tabCustoUnit[],COLUMN(CUSTO_GLOBAL[[#Headers],[Adicional de Acúmulo de função]])-2,0)*($G234-$H234)</f>
        <v>0</v>
      </c>
      <c r="Q234" s="21">
        <f>VLOOKUP($A234,tabCustoUnit[],COLUMN(CUSTO_GLOBAL[[#Headers],[MODULO 1 - REMUNERAÇÃO ]])-2,0)*($G234-$H234)</f>
        <v>1596.2737999999999</v>
      </c>
      <c r="R234" s="21">
        <f>VLOOKUP($A234,tabCustoUnit[],COLUMN(CUSTO_GLOBAL[[#Headers],[INSS]])-2,0)*($G234-$H234)</f>
        <v>319.25476000000003</v>
      </c>
      <c r="S234" s="21">
        <f>VLOOKUP($A234,tabCustoUnit[],COLUMN(CUSTO_GLOBAL[[#Headers],[SESI OU SESC]])-2,0)*($G234-$H234)</f>
        <v>23.944106999999999</v>
      </c>
      <c r="T234" s="21">
        <f>VLOOKUP($A234,tabCustoUnit[],COLUMN(CUSTO_GLOBAL[[#Headers],[SENAI OU SENAC]])-2,0)*($G234-$H234)</f>
        <v>15.962738</v>
      </c>
      <c r="U234" s="21">
        <f>VLOOKUP($A234,tabCustoUnit[],COLUMN(CUSTO_GLOBAL[[#Headers],[INCRA]])-2,0)*($G234-$H234)</f>
        <v>3.1925476000000002</v>
      </c>
      <c r="V234" s="21">
        <f>VLOOKUP($A234,tabCustoUnit[],COLUMN(CUSTO_GLOBAL[[#Headers],[Salário Educação]])-2,0)*($G234-$H234)</f>
        <v>39.906845000000004</v>
      </c>
      <c r="W234" s="21">
        <f>VLOOKUP($A234,tabCustoUnit[],COLUMN(CUSTO_GLOBAL[[#Headers],[FGTS]])-2,0)*($G234-$H234)</f>
        <v>127.701904</v>
      </c>
      <c r="X234" s="21">
        <f>VLOOKUP($A234,tabCustoUnit[],COLUMN(CUSTO_GLOBAL[[#Headers],[RAT Ajustado]])-2,0)*($G234-$H234)</f>
        <v>63.850951999999999</v>
      </c>
      <c r="Y234" s="21">
        <f>VLOOKUP($A234,tabCustoUnit[],COLUMN(CUSTO_GLOBAL[[#Headers],[SEBRAE]])-2,0)*($G234-$H234)</f>
        <v>9.5776427999999996</v>
      </c>
      <c r="Z234" s="21">
        <f>VLOOKUP($A234,tabCustoUnit[],COLUMN(CUSTO_GLOBAL[[#Headers],[Submódulo 2.1]])-2,0)*($G234-$H234)</f>
        <v>603.39149640000005</v>
      </c>
      <c r="AA234" s="21">
        <f>VLOOKUP($A234,tabCustoUnit[],COLUMN(CUSTO_GLOBAL[[#Headers],[13º salário (titular)]])-2,0)*($G234-$H234)</f>
        <v>133.02281666666664</v>
      </c>
      <c r="AB234" s="21">
        <f>VLOOKUP($A234,tabCustoUnit[],COLUMN(CUSTO_GLOBAL[[#Headers],[Férias e Adicional de Férias (titular)]])-2,0)*($G234-$H234)</f>
        <v>177.36375555555554</v>
      </c>
      <c r="AC234" s="21">
        <f>VLOOKUP($A234,tabCustoUnit[],COLUMN(CUSTO_GLOBAL[[#Headers],[Incidência do Submódulo 2.1 sobre 13º Salário, Férias e Adicional de Férias]])-2,0)*($G234-$H234)</f>
        <v>117.3261243</v>
      </c>
      <c r="AD234" s="21">
        <f>VLOOKUP($A234,tabCustoUnit[],COLUMN(CUSTO_GLOBAL[[#Headers],[Submódulo 2.2]])-2,0)*($G234-$H234)</f>
        <v>427.71269652222219</v>
      </c>
      <c r="AE234" s="22" t="e">
        <f ca="1">VLOOKUP($A234,tabCustoUnit[],COLUMN(CUSTO_GLOBAL[[#Headers],[Vale - Transporte (Descontada parcela do empregado)]])-2,0)*($G234-$H234)</f>
        <v>#NAME?</v>
      </c>
      <c r="AF234" s="22">
        <f>VLOOKUP($A234,tabCustoUnit[],COLUMN(CUSTO_GLOBAL[[#Headers],[Vale - Alimentação (Descontada parcela do empregado)]])-2,0)*($G234-$H234)</f>
        <v>582</v>
      </c>
      <c r="AG234" s="22">
        <f>VLOOKUP($A234,tabCustoUnit[],COLUMN(CUSTO_GLOBAL[[#Headers],[Cesta Básica]])-2,0)*($G234-$H234)</f>
        <v>0</v>
      </c>
      <c r="AH234" s="22">
        <f>VLOOKUP($A234,tabCustoUnit[],COLUMN(CUSTO_GLOBAL[[#Headers],[PAF]])-2,0)*($G234-$H234)</f>
        <v>51.88</v>
      </c>
      <c r="AI234" s="22">
        <f>VLOOKUP($A234,tabCustoUnit[],COLUMN(CUSTO_GLOBAL[[#Headers],[PQM]])-2,0)*($G234-$H234)</f>
        <v>0</v>
      </c>
      <c r="AJ234" s="22">
        <v>0</v>
      </c>
      <c r="AK234" s="22">
        <f>VLOOKUP($A234,tabCustoUnit[],COLUMN(CUSTO_GLOBAL[[#Headers],[Seguro de Vida]])-2,0)*($G234-$H234)</f>
        <v>3.36</v>
      </c>
      <c r="AL234" s="22">
        <f>VLOOKUP($A234,tabCustoUnit[],COLUMN(CUSTO_GLOBAL[[#Headers],[Despesas de Viagem]])-2,0)*($G234-$H234)</f>
        <v>0</v>
      </c>
      <c r="AM234" s="22" t="e">
        <f ca="1">VLOOKUP($A234,tabCustoUnit[],COLUMN(CUSTO_GLOBAL[[#Headers],[Submódulo 2.3]])-2,0)*($G234-$H234)</f>
        <v>#NAME?</v>
      </c>
      <c r="AN234" s="22" t="e">
        <f ca="1">VLOOKUP($A234,tabCustoUnit[],COLUMN(CUSTO_GLOBAL[[#Headers],[MÓDULO 2 - Total Encargos e Benefícios mensais e diários]])-2,0)*($G234-$H234)</f>
        <v>#NAME?</v>
      </c>
      <c r="AO234" s="22">
        <f>VLOOKUP($A234,tabCustoUnit[],COLUMN(CUSTO_GLOBAL[[#Headers],[Aviso Prévio Indenizado (API) e Reflexo do Aviso Prévio Indenizado]])-2,0)*($G234-$H234)</f>
        <v>11.192699914390431</v>
      </c>
      <c r="AP234" s="22">
        <f>VLOOKUP($A234,tabCustoUnit[],COLUMN(CUSTO_GLOBAL[[#Headers],[Incidência do FGTS sobre API e Reflexo do API]])-2,0)*($G234-$H234)</f>
        <v>0.89541599315123466</v>
      </c>
      <c r="AQ234" s="22">
        <f>VLOOKUP($A234,tabCustoUnit[],COLUMN(CUSTO_GLOBAL[[#Headers],[Multa Rescisória do FGTS sobre o Aviso Prévio Indenizado]])-2,0)*($G234-$H234)</f>
        <v>0.35816639726049387</v>
      </c>
      <c r="AR234" s="22">
        <f>VLOOKUP($A234,tabCustoUnit[],COLUMN(CUSTO_GLOBAL[[#Headers],[Aviso Prévio Trabalhado - APT]])-2,0)*($G234-$H234)</f>
        <v>5.5869583000000009</v>
      </c>
      <c r="AS234" s="22">
        <f>VLOOKUP($A234,tabCustoUnit[],COLUMN(CUSTO_GLOBAL[[#Headers],[Incidência dos encargos do submódulo 2.1 sobre Aviso Prévio Trabalhado]])-2,0)*($G234-$H234)</f>
        <v>2.1118702374000007</v>
      </c>
      <c r="AT234" s="22">
        <f>VLOOKUP($A234,tabCustoUnit[],COLUMN(CUSTO_GLOBAL[[#Headers],[Multa Rescisória do FGTS]])-2,0)*($G234-$H234)</f>
        <v>48.810505528888882</v>
      </c>
      <c r="AU234" s="22">
        <f>VLOOKUP($A234,tabCustoUnit[],COLUMN(CUSTO_GLOBAL[[#Headers],[Indenização Adicional (Art. 9º da Lei nº 7.238/84)]])-2,0)*($G234-$H234)</f>
        <v>1.3302281666666667</v>
      </c>
      <c r="AV234" s="22">
        <f>VLOOKUP($A234,tabCustoUnit[],COLUMN(CUSTO_GLOBAL[[#Headers],[MÓDULO 3 – PROVISÃO PARA RESCISÃO]])-2,0)*($G234-$H234)</f>
        <v>70.285844537757711</v>
      </c>
      <c r="AW234" s="22">
        <f>VLOOKUP($A234,tabCustoUnit[],COLUMN(CUSTO_GLOBAL[[#Headers],[Ausência por Doença]])-2,0)*($G234-$H234)</f>
        <v>13.479645422222221</v>
      </c>
      <c r="AX234" s="22">
        <f>VLOOKUP($A234,tabCustoUnit[],COLUMN(CUSTO_GLOBAL[[#Headers],[Ausências Legais]])-2,0)*($G234-$H234)</f>
        <v>3.2368885388888886</v>
      </c>
      <c r="AY234" s="22">
        <f>VLOOKUP($A234,tabCustoUnit[],COLUMN(CUSTO_GLOBAL[[#Headers],[Licença Paternidade]])-2,0)*($G234-$H234)</f>
        <v>0.27269677416666666</v>
      </c>
      <c r="AZ234" s="22">
        <f>VLOOKUP($A234,tabCustoUnit[],COLUMN(CUSTO_GLOBAL[[#Headers],[Ausência por Acidente de Trabalho]])-2,0)*($G234-$H234)</f>
        <v>0.33255704166666666</v>
      </c>
      <c r="BA234" s="22">
        <f>VLOOKUP($A234,tabCustoUnit[],COLUMN(CUSTO_GLOBAL[[#Headers],[Férias, Adicional de Férias e 13º  com empregada em gozo de Licença Maternidade]])-2,0)*($G234-$H234)</f>
        <v>2.0692438148148145</v>
      </c>
      <c r="BB234" s="22">
        <f>VLOOKUP($A234,tabCustoUnit[],COLUMN(CUSTO_GLOBAL[[#Headers],[Incidência do Submódulo 2.1 sobre Ausências Legais]])-2,0)*($G234-$H234)</f>
        <v>7.3298099416850011</v>
      </c>
      <c r="BC234" s="22">
        <f>VLOOKUP($A234,tabCustoUnit[],COLUMN(CUSTO_GLOBAL[[#Headers],[Submódulo 4.1]])-2,0)*($G234-$H234)</f>
        <v>26.720841533444265</v>
      </c>
      <c r="BD234" s="22">
        <f>VLOOKUP($A234,tabCustoUnit[],COLUMN(CUSTO_GLOBAL[[#Headers],[Intervalo para Repouso ou Alimentação]])-2,0)*($G234-$H234)</f>
        <v>0</v>
      </c>
      <c r="BE234" s="22">
        <f>VLOOKUP($A234,tabCustoUnit[],COLUMN(CUSTO_GLOBAL[[#Headers],[Submódulo 4.2]])-2,0)*($G234-$H234)</f>
        <v>0</v>
      </c>
      <c r="BF234" s="22">
        <f>VLOOKUP($A234,tabCustoUnit[],COLUMN(CUSTO_GLOBAL[[#Headers],[Suspensão Temporária do Contrato de Trabalho]])-2,0)*($G234-$H234)</f>
        <v>0</v>
      </c>
      <c r="BG234" s="22">
        <f>VLOOKUP($A234,tabCustoUnit[],COLUMN(CUSTO_GLOBAL[[#Headers],[Submódulo 4.3]])-2,0)*($G234-$H234)</f>
        <v>0</v>
      </c>
      <c r="BH234" s="22">
        <f>VLOOKUP($A234,tabCustoUnit[],COLUMN(CUSTO_GLOBAL[[#Headers],[MÓDULO 4 – CUSTO DE REPOSIÇÃO DO PROFISSIONAL AUSENTE]])-2,0)*($G234-$H234)</f>
        <v>26.720841533444265</v>
      </c>
      <c r="BI234" s="22">
        <f>VLOOKUP($A234,tabCustoUnit[],COLUMN(CUSTO_GLOBAL[[#Headers],[Uniformes e EPIs]])-2,0)*($G234-$H234)</f>
        <v>56.141713661989918</v>
      </c>
      <c r="BJ234" s="22">
        <f>VLOOKUP($A234,tabCustoUnit[],COLUMN(CUSTO_GLOBAL[[#Headers],[Materiais de Consumo]])-2,0)*($G234-$H234)</f>
        <v>0</v>
      </c>
      <c r="BK234" s="22">
        <f>VLOOKUP($A234,tabCustoUnit[],COLUMN(CUSTO_GLOBAL[[#Headers],[Máquinas e Equipamentos (depreciação)]])-2,0)*($G234-$H234)</f>
        <v>0</v>
      </c>
      <c r="BL234" s="22">
        <f>VLOOKUP($A234,tabCustoUnit[],COLUMN(CUSTO_GLOBAL[[#Headers],[Produtos de Limpeza e Materiais de Higiene Pessoal]])-2,0)*($G234-$H234)</f>
        <v>0</v>
      </c>
      <c r="BM234" s="22">
        <f>VLOOKUP($A234,tabCustoUnit[],COLUMN(CUSTO_GLOBAL[[#Headers],[Outros (especificar)]])-2,0)*($G234-$H234)</f>
        <v>0</v>
      </c>
      <c r="BN234" s="22">
        <f>VLOOKUP($A234,tabCustoUnit[],COLUMN(CUSTO_GLOBAL[[#Headers],[MÓDULO 5 – INSUMOS DIVERSOS]])-2,0)*($G234-$H234)</f>
        <v>56.141713661989918</v>
      </c>
      <c r="BO234" s="22" t="e">
        <f ca="1">VLOOKUP($A234,tabCustoUnit[],COLUMN(CUSTO_GLOBAL[[#Headers],[TOTAL MÓDULOS 1+2+3+4+5]])-2,0)*($G234-$H234)</f>
        <v>#NAME?</v>
      </c>
      <c r="BP234" s="22" t="e">
        <f ca="1">VLOOKUP($A234,tabCustoUnit[],COLUMN(CUSTO_GLOBAL[[#Headers],[Custos Indiretos]])-2,0)*($G234-$H234)</f>
        <v>#NAME?</v>
      </c>
      <c r="BQ234" s="22" t="e">
        <f ca="1">VLOOKUP($A234,tabCustoUnit[],COLUMN(CUSTO_GLOBAL[[#Headers],[Lucro]])-2,0)*($G234-$H234)</f>
        <v>#NAME?</v>
      </c>
      <c r="BR234" s="26">
        <f>VLOOKUP($A234,tabCustoUnit[],COLUMN(CUSTO_GLOBAL[[#Headers],[COFINS]])-2,0)</f>
        <v>8.6609686609686695E-2</v>
      </c>
      <c r="BS234" s="26">
        <f>VLOOKUP($A234,tabCustoUnit[],COLUMN(CUSTO_GLOBAL[[#Headers],[PIS]])-2,0)</f>
        <v>1.880341880341882E-2</v>
      </c>
      <c r="BT234" s="28">
        <f>VLOOKUP($A234,tabCustoUnit[],COLUMN(CUSTO_GLOBAL[[#Headers],[ISS]])-2,0)</f>
        <v>0.03</v>
      </c>
      <c r="BU234" s="26">
        <f>VLOOKUP($A234,tabCustoUnit[],COLUMN(CUSTO_GLOBAL[[#Headers],[ISS (Conversão Alíquota s/ fatura)]])-2,0)</f>
        <v>3.4188034188034219E-2</v>
      </c>
      <c r="BV234" s="26">
        <f>VLOOKUP($A234,tabCustoUnit[],COLUMN(CUSTO_GLOBAL[[#Headers],[Resumo de Alíquotas (PIS+CONFINS+ISS)]])-2,0)</f>
        <v>0.1225</v>
      </c>
      <c r="BW234" s="138">
        <f>VLOOKUP($A234,tabCustoUnit[],COLUMN(CUSTO_GLOBAL[[#Headers],[PIS + COFINS + ISS (Total Conversão  Alíquota s/ Fatura)]])-2,0)</f>
        <v>0.13960113960113973</v>
      </c>
      <c r="BX234" s="22" t="e">
        <f ca="1">VLOOKUP($A234,tabCustoUnit[],COLUMN(CUSTO_GLOBAL[[#Headers],[Valor dos Tributos (ISS, PIS, CONFINS)]])-2,0)*($G234-$H234)</f>
        <v>#NAME?</v>
      </c>
      <c r="BY234" s="22" t="e">
        <f ca="1">VLOOKUP($A234,tabCustoUnit[],COLUMN(CUSTO_GLOBAL[[#Headers],[MÓDULO 6 – CUSTOS INDIRETOS, TRIBUTOS E LUCRO]])-2,0)*($G234-$H234)</f>
        <v>#NAME?</v>
      </c>
      <c r="BZ234" s="22" t="e">
        <f ca="1">VLOOKUP($A234,tabCustoUnit[],COLUMN(CUSTO_GLOBAL[[#Headers],[CUSTO TOTAL MENSAL]])-2,0)*($G234-$H234)</f>
        <v>#NAME?</v>
      </c>
      <c r="CA234" s="22" t="e">
        <f ca="1">CUSTO_GLOBAL[[#This Row],[CUSTO TOTAL MENSAL]]*12</f>
        <v>#NAME?</v>
      </c>
      <c r="CB234" s="24">
        <f>VLOOKUP($A234,tabCustoUnit[],COLUMN(CUSTO_GLOBAL[[#Headers],[ANO DA CCT]])-2,0)</f>
        <v>45658</v>
      </c>
      <c r="CC234" s="25" t="str">
        <f>VLOOKUP($A234,tabCustoUnit[],COLUMN(CUSTO_GLOBAL[[#Headers],[Nº DE PEDIDO DA CCT]])-2,0)</f>
        <v>-</v>
      </c>
      <c r="CD234" s="25" t="str">
        <f>VLOOKUP($A234,tabCustoUnit[],COLUMN(CUSTO_GLOBAL[[#Headers],[TERMO ADITIVO ALTERAÇÃO DA CCT]])-2,0)</f>
        <v>-</v>
      </c>
    </row>
    <row r="235" spans="1:82">
      <c r="A235" s="20" t="s">
        <v>1662</v>
      </c>
      <c r="B235" t="s">
        <v>1174</v>
      </c>
      <c r="C235" t="s">
        <v>324</v>
      </c>
      <c r="D235" t="s">
        <v>942</v>
      </c>
      <c r="E235" s="20" t="s">
        <v>1090</v>
      </c>
      <c r="F235" s="20" t="s">
        <v>120</v>
      </c>
      <c r="G235" s="20">
        <v>1</v>
      </c>
      <c r="H235" s="20">
        <v>0</v>
      </c>
      <c r="I235" s="21">
        <f>VLOOKUP($A235,tabCustoUnit[],COLUMN(CUSTO_GLOBAL[[#Headers],[Salário Base]])-2,0)*($G235-$H235)</f>
        <v>3397.1305000000002</v>
      </c>
      <c r="J235" s="21">
        <f>VLOOKUP($A235,tabCustoUnit[],COLUMN(CUSTO_GLOBAL[[#Headers],[Adicional Periculosidade]])-2,0)*($G235-$H235)</f>
        <v>0</v>
      </c>
      <c r="K235" s="21">
        <f>VLOOKUP($A235,tabCustoUnit[],COLUMN(CUSTO_GLOBAL[[#Headers],[Adicional Insalubridade]])-2,0)*($G235-$H235)</f>
        <v>0</v>
      </c>
      <c r="L235" s="21">
        <f>VLOOKUP($A235,tabCustoUnit[],COLUMN(CUSTO_GLOBAL[[#Headers],[Adicional Noturno]])-2,0)*($G235-$H235)</f>
        <v>0</v>
      </c>
      <c r="M235" s="21">
        <f>VLOOKUP($A235,tabCustoUnit[],COLUMN(CUSTO_GLOBAL[[#Headers],[Adicional Motorista II (Gratificação)]])-2,0)*($G235-$H235)</f>
        <v>0</v>
      </c>
      <c r="N235" s="21">
        <f>VLOOKUP($A235,tabCustoUnit[],COLUMN(CUSTO_GLOBAL[[#Headers],[Adicional de Sobreaviso]])-2,0)*($G235-$H235)</f>
        <v>0</v>
      </c>
      <c r="O235" s="21">
        <f>VLOOKUP($A235,tabCustoUnit[],COLUMN(CUSTO_GLOBAL[[#Headers],[Horas Extras TI]])-2,0)*($G235-$H235)</f>
        <v>0</v>
      </c>
      <c r="P235" s="21">
        <f>VLOOKUP($A235,tabCustoUnit[],COLUMN(CUSTO_GLOBAL[[#Headers],[Adicional de Acúmulo de função]])-2,0)*($G235-$H235)</f>
        <v>0</v>
      </c>
      <c r="Q235" s="21">
        <f>VLOOKUP($A235,tabCustoUnit[],COLUMN(CUSTO_GLOBAL[[#Headers],[MODULO 1 - REMUNERAÇÃO ]])-2,0)*($G235-$H235)</f>
        <v>3397.1305000000002</v>
      </c>
      <c r="R235" s="21">
        <f>VLOOKUP($A235,tabCustoUnit[],COLUMN(CUSTO_GLOBAL[[#Headers],[INSS]])-2,0)*($G235-$H235)</f>
        <v>679.42610000000013</v>
      </c>
      <c r="S235" s="21">
        <f>VLOOKUP($A235,tabCustoUnit[],COLUMN(CUSTO_GLOBAL[[#Headers],[SESI OU SESC]])-2,0)*($G235-$H235)</f>
        <v>50.956957500000001</v>
      </c>
      <c r="T235" s="21">
        <f>VLOOKUP($A235,tabCustoUnit[],COLUMN(CUSTO_GLOBAL[[#Headers],[SENAI OU SENAC]])-2,0)*($G235-$H235)</f>
        <v>33.971305000000001</v>
      </c>
      <c r="U235" s="21">
        <f>VLOOKUP($A235,tabCustoUnit[],COLUMN(CUSTO_GLOBAL[[#Headers],[INCRA]])-2,0)*($G235-$H235)</f>
        <v>6.7942610000000005</v>
      </c>
      <c r="V235" s="21">
        <f>VLOOKUP($A235,tabCustoUnit[],COLUMN(CUSTO_GLOBAL[[#Headers],[Salário Educação]])-2,0)*($G235-$H235)</f>
        <v>84.928262500000017</v>
      </c>
      <c r="W235" s="21">
        <f>VLOOKUP($A235,tabCustoUnit[],COLUMN(CUSTO_GLOBAL[[#Headers],[FGTS]])-2,0)*($G235-$H235)</f>
        <v>271.77044000000001</v>
      </c>
      <c r="X235" s="21">
        <f>VLOOKUP($A235,tabCustoUnit[],COLUMN(CUSTO_GLOBAL[[#Headers],[RAT Ajustado]])-2,0)*($G235-$H235)</f>
        <v>135.88522</v>
      </c>
      <c r="Y235" s="21">
        <f>VLOOKUP($A235,tabCustoUnit[],COLUMN(CUSTO_GLOBAL[[#Headers],[SEBRAE]])-2,0)*($G235-$H235)</f>
        <v>20.382783000000003</v>
      </c>
      <c r="Z235" s="21">
        <f>VLOOKUP($A235,tabCustoUnit[],COLUMN(CUSTO_GLOBAL[[#Headers],[Submódulo 2.1]])-2,0)*($G235-$H235)</f>
        <v>1284.1153290000002</v>
      </c>
      <c r="AA235" s="21">
        <f>VLOOKUP($A235,tabCustoUnit[],COLUMN(CUSTO_GLOBAL[[#Headers],[13º salário (titular)]])-2,0)*($G235-$H235)</f>
        <v>283.09420833333331</v>
      </c>
      <c r="AB235" s="21">
        <f>VLOOKUP($A235,tabCustoUnit[],COLUMN(CUSTO_GLOBAL[[#Headers],[Férias e Adicional de Férias (titular)]])-2,0)*($G235-$H235)</f>
        <v>377.45894444444446</v>
      </c>
      <c r="AC235" s="21">
        <f>VLOOKUP($A235,tabCustoUnit[],COLUMN(CUSTO_GLOBAL[[#Headers],[Incidência do Submódulo 2.1 sobre 13º Salário, Férias e Adicional de Férias]])-2,0)*($G235-$H235)</f>
        <v>249.68909175000005</v>
      </c>
      <c r="AD235" s="21">
        <f>VLOOKUP($A235,tabCustoUnit[],COLUMN(CUSTO_GLOBAL[[#Headers],[Submódulo 2.2]])-2,0)*($G235-$H235)</f>
        <v>910.24224452777776</v>
      </c>
      <c r="AE235" s="22" t="e">
        <f ca="1">VLOOKUP($A235,tabCustoUnit[],COLUMN(CUSTO_GLOBAL[[#Headers],[Vale - Transporte (Descontada parcela do empregado)]])-2,0)*($G235-$H235)</f>
        <v>#NAME?</v>
      </c>
      <c r="AF235" s="22">
        <f>VLOOKUP($A235,tabCustoUnit[],COLUMN(CUSTO_GLOBAL[[#Headers],[Vale - Alimentação (Descontada parcela do empregado)]])-2,0)*($G235-$H235)</f>
        <v>582</v>
      </c>
      <c r="AG235" s="22">
        <f>VLOOKUP($A235,tabCustoUnit[],COLUMN(CUSTO_GLOBAL[[#Headers],[Cesta Básica]])-2,0)*($G235-$H235)</f>
        <v>0</v>
      </c>
      <c r="AH235" s="22">
        <f>VLOOKUP($A235,tabCustoUnit[],COLUMN(CUSTO_GLOBAL[[#Headers],[PAF]])-2,0)*($G235-$H235)</f>
        <v>51.88</v>
      </c>
      <c r="AI235" s="22">
        <f>VLOOKUP($A235,tabCustoUnit[],COLUMN(CUSTO_GLOBAL[[#Headers],[PQM]])-2,0)*($G235-$H235)</f>
        <v>0</v>
      </c>
      <c r="AJ235" s="22">
        <v>0</v>
      </c>
      <c r="AK235" s="22">
        <f>VLOOKUP($A235,tabCustoUnit[],COLUMN(CUSTO_GLOBAL[[#Headers],[Seguro de Vida]])-2,0)*($G235-$H235)</f>
        <v>3.36</v>
      </c>
      <c r="AL235" s="22">
        <f>VLOOKUP($A235,tabCustoUnit[],COLUMN(CUSTO_GLOBAL[[#Headers],[Despesas de Viagem]])-2,0)*($G235-$H235)</f>
        <v>0</v>
      </c>
      <c r="AM235" s="22" t="e">
        <f ca="1">VLOOKUP($A235,tabCustoUnit[],COLUMN(CUSTO_GLOBAL[[#Headers],[Submódulo 2.3]])-2,0)*($G235-$H235)</f>
        <v>#NAME?</v>
      </c>
      <c r="AN235" s="22" t="e">
        <f ca="1">VLOOKUP($A235,tabCustoUnit[],COLUMN(CUSTO_GLOBAL[[#Headers],[MÓDULO 2 - Total Encargos e Benefícios mensais e diários]])-2,0)*($G235-$H235)</f>
        <v>#NAME?</v>
      </c>
      <c r="AO235" s="22">
        <f>VLOOKUP($A235,tabCustoUnit[],COLUMN(CUSTO_GLOBAL[[#Headers],[Aviso Prévio Indenizado (API) e Reflexo do Aviso Prévio Indenizado]])-2,0)*($G235-$H235)</f>
        <v>23.819887450713736</v>
      </c>
      <c r="AP235" s="22">
        <f>VLOOKUP($A235,tabCustoUnit[],COLUMN(CUSTO_GLOBAL[[#Headers],[Incidência do FGTS sobre API e Reflexo do API]])-2,0)*($G235-$H235)</f>
        <v>1.9055909960570991</v>
      </c>
      <c r="AQ235" s="22">
        <f>VLOOKUP($A235,tabCustoUnit[],COLUMN(CUSTO_GLOBAL[[#Headers],[Multa Rescisória do FGTS sobre o Aviso Prévio Indenizado]])-2,0)*($G235-$H235)</f>
        <v>0.76223639842283974</v>
      </c>
      <c r="AR235" s="22">
        <f>VLOOKUP($A235,tabCustoUnit[],COLUMN(CUSTO_GLOBAL[[#Headers],[Aviso Prévio Trabalhado - APT]])-2,0)*($G235-$H235)</f>
        <v>11.889956750000003</v>
      </c>
      <c r="AS235" s="22">
        <f>VLOOKUP($A235,tabCustoUnit[],COLUMN(CUSTO_GLOBAL[[#Headers],[Incidência dos encargos do submódulo 2.1 sobre Aviso Prévio Trabalhado]])-2,0)*($G235-$H235)</f>
        <v>4.4944036515000017</v>
      </c>
      <c r="AT235" s="22">
        <f>VLOOKUP($A235,tabCustoUnit[],COLUMN(CUSTO_GLOBAL[[#Headers],[Multa Rescisória do FGTS]])-2,0)*($G235-$H235)</f>
        <v>103.87670151111111</v>
      </c>
      <c r="AU235" s="22">
        <f>VLOOKUP($A235,tabCustoUnit[],COLUMN(CUSTO_GLOBAL[[#Headers],[Indenização Adicional (Art. 9º da Lei nº 7.238/84)]])-2,0)*($G235-$H235)</f>
        <v>2.8309420833333339</v>
      </c>
      <c r="AV235" s="22">
        <f>VLOOKUP($A235,tabCustoUnit[],COLUMN(CUSTO_GLOBAL[[#Headers],[MÓDULO 3 – PROVISÃO PARA RESCISÃO]])-2,0)*($G235-$H235)</f>
        <v>149.57971884113812</v>
      </c>
      <c r="AW235" s="22">
        <f>VLOOKUP($A235,tabCustoUnit[],COLUMN(CUSTO_GLOBAL[[#Headers],[Ausência por Doença]])-2,0)*($G235-$H235)</f>
        <v>28.686879777777776</v>
      </c>
      <c r="AX235" s="22">
        <f>VLOOKUP($A235,tabCustoUnit[],COLUMN(CUSTO_GLOBAL[[#Headers],[Ausências Legais]])-2,0)*($G235-$H235)</f>
        <v>6.888625736111111</v>
      </c>
      <c r="AY235" s="22">
        <f>VLOOKUP($A235,tabCustoUnit[],COLUMN(CUSTO_GLOBAL[[#Headers],[Licença Paternidade]])-2,0)*($G235-$H235)</f>
        <v>0.58034312708333335</v>
      </c>
      <c r="AZ235" s="22">
        <f>VLOOKUP($A235,tabCustoUnit[],COLUMN(CUSTO_GLOBAL[[#Headers],[Ausência por Acidente de Trabalho]])-2,0)*($G235-$H235)</f>
        <v>0.70773552083333346</v>
      </c>
      <c r="BA235" s="22">
        <f>VLOOKUP($A235,tabCustoUnit[],COLUMN(CUSTO_GLOBAL[[#Headers],[Férias, Adicional de Férias e 13º  com empregada em gozo de Licença Maternidade]])-2,0)*($G235-$H235)</f>
        <v>4.4036876851851856</v>
      </c>
      <c r="BB235" s="22">
        <f>VLOOKUP($A235,tabCustoUnit[],COLUMN(CUSTO_GLOBAL[[#Headers],[Incidência do Submódulo 2.1 sobre Ausências Legais]])-2,0)*($G235-$H235)</f>
        <v>15.599028758162504</v>
      </c>
      <c r="BC235" s="22">
        <f>VLOOKUP($A235,tabCustoUnit[],COLUMN(CUSTO_GLOBAL[[#Headers],[Submódulo 4.1]])-2,0)*($G235-$H235)</f>
        <v>56.866300605153235</v>
      </c>
      <c r="BD235" s="22">
        <f>VLOOKUP($A235,tabCustoUnit[],COLUMN(CUSTO_GLOBAL[[#Headers],[Intervalo para Repouso ou Alimentação]])-2,0)*($G235-$H235)</f>
        <v>0</v>
      </c>
      <c r="BE235" s="22">
        <f>VLOOKUP($A235,tabCustoUnit[],COLUMN(CUSTO_GLOBAL[[#Headers],[Submódulo 4.2]])-2,0)*($G235-$H235)</f>
        <v>0</v>
      </c>
      <c r="BF235" s="22">
        <f>VLOOKUP($A235,tabCustoUnit[],COLUMN(CUSTO_GLOBAL[[#Headers],[Suspensão Temporária do Contrato de Trabalho]])-2,0)*($G235-$H235)</f>
        <v>0</v>
      </c>
      <c r="BG235" s="22">
        <f>VLOOKUP($A235,tabCustoUnit[],COLUMN(CUSTO_GLOBAL[[#Headers],[Submódulo 4.3]])-2,0)*($G235-$H235)</f>
        <v>0</v>
      </c>
      <c r="BH235" s="22">
        <f>VLOOKUP($A235,tabCustoUnit[],COLUMN(CUSTO_GLOBAL[[#Headers],[MÓDULO 4 – CUSTO DE REPOSIÇÃO DO PROFISSIONAL AUSENTE]])-2,0)*($G235-$H235)</f>
        <v>56.866300605153235</v>
      </c>
      <c r="BI235" s="22">
        <f>VLOOKUP($A235,tabCustoUnit[],COLUMN(CUSTO_GLOBAL[[#Headers],[Uniformes e EPIs]])-2,0)*($G235-$H235)</f>
        <v>56.642978962543395</v>
      </c>
      <c r="BJ235" s="22">
        <f>VLOOKUP($A235,tabCustoUnit[],COLUMN(CUSTO_GLOBAL[[#Headers],[Materiais de Consumo]])-2,0)*($G235-$H235)</f>
        <v>0</v>
      </c>
      <c r="BK235" s="22">
        <f>VLOOKUP($A235,tabCustoUnit[],COLUMN(CUSTO_GLOBAL[[#Headers],[Máquinas e Equipamentos (depreciação)]])-2,0)*($G235-$H235)</f>
        <v>0</v>
      </c>
      <c r="BL235" s="22">
        <f>VLOOKUP($A235,tabCustoUnit[],COLUMN(CUSTO_GLOBAL[[#Headers],[Produtos de Limpeza e Materiais de Higiene Pessoal]])-2,0)*($G235-$H235)</f>
        <v>0</v>
      </c>
      <c r="BM235" s="22">
        <f>VLOOKUP($A235,tabCustoUnit[],COLUMN(CUSTO_GLOBAL[[#Headers],[Outros (especificar)]])-2,0)*($G235-$H235)</f>
        <v>0</v>
      </c>
      <c r="BN235" s="22">
        <f>VLOOKUP($A235,tabCustoUnit[],COLUMN(CUSTO_GLOBAL[[#Headers],[MÓDULO 5 – INSUMOS DIVERSOS]])-2,0)*($G235-$H235)</f>
        <v>56.642978962543395</v>
      </c>
      <c r="BO235" s="22" t="e">
        <f ca="1">VLOOKUP($A235,tabCustoUnit[],COLUMN(CUSTO_GLOBAL[[#Headers],[TOTAL MÓDULOS 1+2+3+4+5]])-2,0)*($G235-$H235)</f>
        <v>#NAME?</v>
      </c>
      <c r="BP235" s="22" t="e">
        <f ca="1">VLOOKUP($A235,tabCustoUnit[],COLUMN(CUSTO_GLOBAL[[#Headers],[Custos Indiretos]])-2,0)*($G235-$H235)</f>
        <v>#NAME?</v>
      </c>
      <c r="BQ235" s="22" t="e">
        <f ca="1">VLOOKUP($A235,tabCustoUnit[],COLUMN(CUSTO_GLOBAL[[#Headers],[Lucro]])-2,0)*($G235-$H235)</f>
        <v>#NAME?</v>
      </c>
      <c r="BR235" s="26">
        <f>VLOOKUP($A235,tabCustoUnit[],COLUMN(CUSTO_GLOBAL[[#Headers],[COFINS]])-2,0)</f>
        <v>8.6609686609686695E-2</v>
      </c>
      <c r="BS235" s="26">
        <f>VLOOKUP($A235,tabCustoUnit[],COLUMN(CUSTO_GLOBAL[[#Headers],[PIS]])-2,0)</f>
        <v>1.880341880341882E-2</v>
      </c>
      <c r="BT235" s="28">
        <f>VLOOKUP($A235,tabCustoUnit[],COLUMN(CUSTO_GLOBAL[[#Headers],[ISS]])-2,0)</f>
        <v>0.03</v>
      </c>
      <c r="BU235" s="26">
        <f>VLOOKUP($A235,tabCustoUnit[],COLUMN(CUSTO_GLOBAL[[#Headers],[ISS (Conversão Alíquota s/ fatura)]])-2,0)</f>
        <v>3.4188034188034219E-2</v>
      </c>
      <c r="BV235" s="26">
        <f>VLOOKUP($A235,tabCustoUnit[],COLUMN(CUSTO_GLOBAL[[#Headers],[Resumo de Alíquotas (PIS+CONFINS+ISS)]])-2,0)</f>
        <v>0.1225</v>
      </c>
      <c r="BW235" s="138">
        <f>VLOOKUP($A235,tabCustoUnit[],COLUMN(CUSTO_GLOBAL[[#Headers],[PIS + COFINS + ISS (Total Conversão  Alíquota s/ Fatura)]])-2,0)</f>
        <v>0.13960113960113973</v>
      </c>
      <c r="BX235" s="22" t="e">
        <f ca="1">VLOOKUP($A235,tabCustoUnit[],COLUMN(CUSTO_GLOBAL[[#Headers],[Valor dos Tributos (ISS, PIS, CONFINS)]])-2,0)*($G235-$H235)</f>
        <v>#NAME?</v>
      </c>
      <c r="BY235" s="22" t="e">
        <f ca="1">VLOOKUP($A235,tabCustoUnit[],COLUMN(CUSTO_GLOBAL[[#Headers],[MÓDULO 6 – CUSTOS INDIRETOS, TRIBUTOS E LUCRO]])-2,0)*($G235-$H235)</f>
        <v>#NAME?</v>
      </c>
      <c r="BZ235" s="22" t="e">
        <f ca="1">VLOOKUP($A235,tabCustoUnit[],COLUMN(CUSTO_GLOBAL[[#Headers],[CUSTO TOTAL MENSAL]])-2,0)*($G235-$H235)</f>
        <v>#NAME?</v>
      </c>
      <c r="CA235" s="22" t="e">
        <f ca="1">CUSTO_GLOBAL[[#This Row],[CUSTO TOTAL MENSAL]]*12</f>
        <v>#NAME?</v>
      </c>
      <c r="CB235" s="24">
        <f>VLOOKUP($A235,tabCustoUnit[],COLUMN(CUSTO_GLOBAL[[#Headers],[ANO DA CCT]])-2,0)</f>
        <v>45658</v>
      </c>
      <c r="CC235" s="25" t="str">
        <f>VLOOKUP($A235,tabCustoUnit[],COLUMN(CUSTO_GLOBAL[[#Headers],[Nº DE PEDIDO DA CCT]])-2,0)</f>
        <v>-</v>
      </c>
      <c r="CD235" s="25" t="str">
        <f>VLOOKUP($A235,tabCustoUnit[],COLUMN(CUSTO_GLOBAL[[#Headers],[TERMO ADITIVO ALTERAÇÃO DA CCT]])-2,0)</f>
        <v>-</v>
      </c>
    </row>
    <row r="236" spans="1:82">
      <c r="A236" s="20" t="s">
        <v>1498</v>
      </c>
      <c r="B236" t="s">
        <v>1175</v>
      </c>
      <c r="C236" t="s">
        <v>314</v>
      </c>
      <c r="D236" t="s">
        <v>942</v>
      </c>
      <c r="E236" s="20" t="s">
        <v>1090</v>
      </c>
      <c r="F236" s="20" t="s">
        <v>120</v>
      </c>
      <c r="G236" s="20">
        <v>1</v>
      </c>
      <c r="H236" s="20">
        <v>0</v>
      </c>
      <c r="I236" s="21">
        <f>VLOOKUP($A236,tabCustoUnit[],COLUMN(CUSTO_GLOBAL[[#Headers],[Salário Base]])-2,0)*($G236-$H236)</f>
        <v>1963.405</v>
      </c>
      <c r="J236" s="21">
        <f>VLOOKUP($A236,tabCustoUnit[],COLUMN(CUSTO_GLOBAL[[#Headers],[Adicional Periculosidade]])-2,0)*($G236-$H236)</f>
        <v>0</v>
      </c>
      <c r="K236" s="21">
        <f>VLOOKUP($A236,tabCustoUnit[],COLUMN(CUSTO_GLOBAL[[#Headers],[Adicional Insalubridade]])-2,0)*($G236-$H236)</f>
        <v>0</v>
      </c>
      <c r="L236" s="21">
        <f>VLOOKUP($A236,tabCustoUnit[],COLUMN(CUSTO_GLOBAL[[#Headers],[Adicional Noturno]])-2,0)*($G236-$H236)</f>
        <v>0</v>
      </c>
      <c r="M236" s="21">
        <f>VLOOKUP($A236,tabCustoUnit[],COLUMN(CUSTO_GLOBAL[[#Headers],[Adicional Motorista II (Gratificação)]])-2,0)*($G236-$H236)</f>
        <v>0</v>
      </c>
      <c r="N236" s="21">
        <f>VLOOKUP($A236,tabCustoUnit[],COLUMN(CUSTO_GLOBAL[[#Headers],[Adicional de Sobreaviso]])-2,0)*($G236-$H236)</f>
        <v>0</v>
      </c>
      <c r="O236" s="21">
        <f>VLOOKUP($A236,tabCustoUnit[],COLUMN(CUSTO_GLOBAL[[#Headers],[Horas Extras TI]])-2,0)*($G236-$H236)</f>
        <v>0</v>
      </c>
      <c r="P236" s="21">
        <f>VLOOKUP($A236,tabCustoUnit[],COLUMN(CUSTO_GLOBAL[[#Headers],[Adicional de Acúmulo de função]])-2,0)*($G236-$H236)</f>
        <v>0</v>
      </c>
      <c r="Q236" s="21">
        <f>VLOOKUP($A236,tabCustoUnit[],COLUMN(CUSTO_GLOBAL[[#Headers],[MODULO 1 - REMUNERAÇÃO ]])-2,0)*($G236-$H236)</f>
        <v>1963.405</v>
      </c>
      <c r="R236" s="21">
        <f>VLOOKUP($A236,tabCustoUnit[],COLUMN(CUSTO_GLOBAL[[#Headers],[INSS]])-2,0)*($G236-$H236)</f>
        <v>392.68100000000004</v>
      </c>
      <c r="S236" s="21">
        <f>VLOOKUP($A236,tabCustoUnit[],COLUMN(CUSTO_GLOBAL[[#Headers],[SESI OU SESC]])-2,0)*($G236-$H236)</f>
        <v>29.451074999999999</v>
      </c>
      <c r="T236" s="21">
        <f>VLOOKUP($A236,tabCustoUnit[],COLUMN(CUSTO_GLOBAL[[#Headers],[SENAI OU SENAC]])-2,0)*($G236-$H236)</f>
        <v>19.634049999999998</v>
      </c>
      <c r="U236" s="21">
        <f>VLOOKUP($A236,tabCustoUnit[],COLUMN(CUSTO_GLOBAL[[#Headers],[INCRA]])-2,0)*($G236-$H236)</f>
        <v>3.9268100000000001</v>
      </c>
      <c r="V236" s="21">
        <f>VLOOKUP($A236,tabCustoUnit[],COLUMN(CUSTO_GLOBAL[[#Headers],[Salário Educação]])-2,0)*($G236-$H236)</f>
        <v>49.085125000000005</v>
      </c>
      <c r="W236" s="21">
        <f>VLOOKUP($A236,tabCustoUnit[],COLUMN(CUSTO_GLOBAL[[#Headers],[FGTS]])-2,0)*($G236-$H236)</f>
        <v>157.07239999999999</v>
      </c>
      <c r="X236" s="21">
        <f>VLOOKUP($A236,tabCustoUnit[],COLUMN(CUSTO_GLOBAL[[#Headers],[RAT Ajustado]])-2,0)*($G236-$H236)</f>
        <v>78.536199999999994</v>
      </c>
      <c r="Y236" s="21">
        <f>VLOOKUP($A236,tabCustoUnit[],COLUMN(CUSTO_GLOBAL[[#Headers],[SEBRAE]])-2,0)*($G236-$H236)</f>
        <v>11.780430000000001</v>
      </c>
      <c r="Z236" s="21">
        <f>VLOOKUP($A236,tabCustoUnit[],COLUMN(CUSTO_GLOBAL[[#Headers],[Submódulo 2.1]])-2,0)*($G236-$H236)</f>
        <v>742.16709000000003</v>
      </c>
      <c r="AA236" s="21">
        <f>VLOOKUP($A236,tabCustoUnit[],COLUMN(CUSTO_GLOBAL[[#Headers],[13º salário (titular)]])-2,0)*($G236-$H236)</f>
        <v>163.61708333333331</v>
      </c>
      <c r="AB236" s="21">
        <f>VLOOKUP($A236,tabCustoUnit[],COLUMN(CUSTO_GLOBAL[[#Headers],[Férias e Adicional de Férias (titular)]])-2,0)*($G236-$H236)</f>
        <v>218.1561111111111</v>
      </c>
      <c r="AC236" s="21">
        <f>VLOOKUP($A236,tabCustoUnit[],COLUMN(CUSTO_GLOBAL[[#Headers],[Incidência do Submódulo 2.1 sobre 13º Salário, Férias e Adicional de Férias]])-2,0)*($G236-$H236)</f>
        <v>144.31026749999998</v>
      </c>
      <c r="AD236" s="21">
        <f>VLOOKUP($A236,tabCustoUnit[],COLUMN(CUSTO_GLOBAL[[#Headers],[Submódulo 2.2]])-2,0)*($G236-$H236)</f>
        <v>526.08346194444437</v>
      </c>
      <c r="AE236" s="22" t="e">
        <f ca="1">VLOOKUP($A236,tabCustoUnit[],COLUMN(CUSTO_GLOBAL[[#Headers],[Vale - Transporte (Descontada parcela do empregado)]])-2,0)*($G236-$H236)</f>
        <v>#NAME?</v>
      </c>
      <c r="AF236" s="22">
        <f>VLOOKUP($A236,tabCustoUnit[],COLUMN(CUSTO_GLOBAL[[#Headers],[Vale - Alimentação (Descontada parcela do empregado)]])-2,0)*($G236-$H236)</f>
        <v>582</v>
      </c>
      <c r="AG236" s="22">
        <f>VLOOKUP($A236,tabCustoUnit[],COLUMN(CUSTO_GLOBAL[[#Headers],[Cesta Básica]])-2,0)*($G236-$H236)</f>
        <v>0</v>
      </c>
      <c r="AH236" s="22">
        <f>VLOOKUP($A236,tabCustoUnit[],COLUMN(CUSTO_GLOBAL[[#Headers],[PAF]])-2,0)*($G236-$H236)</f>
        <v>51.88</v>
      </c>
      <c r="AI236" s="22">
        <f>VLOOKUP($A236,tabCustoUnit[],COLUMN(CUSTO_GLOBAL[[#Headers],[PQM]])-2,0)*($G236-$H236)</f>
        <v>0</v>
      </c>
      <c r="AJ236" s="22">
        <v>0</v>
      </c>
      <c r="AK236" s="22">
        <f>VLOOKUP($A236,tabCustoUnit[],COLUMN(CUSTO_GLOBAL[[#Headers],[Seguro de Vida]])-2,0)*($G236-$H236)</f>
        <v>3.36</v>
      </c>
      <c r="AL236" s="22">
        <f>VLOOKUP($A236,tabCustoUnit[],COLUMN(CUSTO_GLOBAL[[#Headers],[Despesas de Viagem]])-2,0)*($G236-$H236)</f>
        <v>0</v>
      </c>
      <c r="AM236" s="22" t="e">
        <f ca="1">VLOOKUP($A236,tabCustoUnit[],COLUMN(CUSTO_GLOBAL[[#Headers],[Submódulo 2.3]])-2,0)*($G236-$H236)</f>
        <v>#NAME?</v>
      </c>
      <c r="AN236" s="22" t="e">
        <f ca="1">VLOOKUP($A236,tabCustoUnit[],COLUMN(CUSTO_GLOBAL[[#Headers],[MÓDULO 2 - Total Encargos e Benefícios mensais e diários]])-2,0)*($G236-$H236)</f>
        <v>#NAME?</v>
      </c>
      <c r="AO236" s="22">
        <f>VLOOKUP($A236,tabCustoUnit[],COLUMN(CUSTO_GLOBAL[[#Headers],[Aviso Prévio Indenizado (API) e Reflexo do Aviso Prévio Indenizado]])-2,0)*($G236-$H236)</f>
        <v>13.766938338155864</v>
      </c>
      <c r="AP236" s="22">
        <f>VLOOKUP($A236,tabCustoUnit[],COLUMN(CUSTO_GLOBAL[[#Headers],[Incidência do FGTS sobre API e Reflexo do API]])-2,0)*($G236-$H236)</f>
        <v>1.1013550670524692</v>
      </c>
      <c r="AQ236" s="22">
        <f>VLOOKUP($A236,tabCustoUnit[],COLUMN(CUSTO_GLOBAL[[#Headers],[Multa Rescisória do FGTS sobre o Aviso Prévio Indenizado]])-2,0)*($G236-$H236)</f>
        <v>0.44054202682098775</v>
      </c>
      <c r="AR236" s="22">
        <f>VLOOKUP($A236,tabCustoUnit[],COLUMN(CUSTO_GLOBAL[[#Headers],[Aviso Prévio Trabalhado - APT]])-2,0)*($G236-$H236)</f>
        <v>6.8719175000000012</v>
      </c>
      <c r="AS236" s="22">
        <f>VLOOKUP($A236,tabCustoUnit[],COLUMN(CUSTO_GLOBAL[[#Headers],[Incidência dos encargos do submódulo 2.1 sobre Aviso Prévio Trabalhado]])-2,0)*($G236-$H236)</f>
        <v>2.5975848150000007</v>
      </c>
      <c r="AT236" s="22">
        <f>VLOOKUP($A236,tabCustoUnit[],COLUMN(CUSTO_GLOBAL[[#Headers],[Multa Rescisória do FGTS]])-2,0)*($G236-$H236)</f>
        <v>60.03656177777777</v>
      </c>
      <c r="AU236" s="22">
        <f>VLOOKUP($A236,tabCustoUnit[],COLUMN(CUSTO_GLOBAL[[#Headers],[Indenização Adicional (Art. 9º da Lei nº 7.238/84)]])-2,0)*($G236-$H236)</f>
        <v>1.6361708333333334</v>
      </c>
      <c r="AV236" s="22">
        <f>VLOOKUP($A236,tabCustoUnit[],COLUMN(CUSTO_GLOBAL[[#Headers],[MÓDULO 3 – PROVISÃO PARA RESCISÃO]])-2,0)*($G236-$H236)</f>
        <v>86.451070358140427</v>
      </c>
      <c r="AW236" s="22">
        <f>VLOOKUP($A236,tabCustoUnit[],COLUMN(CUSTO_GLOBAL[[#Headers],[Ausência por Doença]])-2,0)*($G236-$H236)</f>
        <v>16.579864444444443</v>
      </c>
      <c r="AX236" s="22">
        <f>VLOOKUP($A236,tabCustoUnit[],COLUMN(CUSTO_GLOBAL[[#Headers],[Ausências Legais]])-2,0)*($G236-$H236)</f>
        <v>3.9813490277777777</v>
      </c>
      <c r="AY236" s="22">
        <f>VLOOKUP($A236,tabCustoUnit[],COLUMN(CUSTO_GLOBAL[[#Headers],[Licença Paternidade]])-2,0)*($G236-$H236)</f>
        <v>0.3354150208333333</v>
      </c>
      <c r="AZ236" s="22">
        <f>VLOOKUP($A236,tabCustoUnit[],COLUMN(CUSTO_GLOBAL[[#Headers],[Ausência por Acidente de Trabalho]])-2,0)*($G236-$H236)</f>
        <v>0.40904270833333334</v>
      </c>
      <c r="BA236" s="22">
        <f>VLOOKUP($A236,tabCustoUnit[],COLUMN(CUSTO_GLOBAL[[#Headers],[Férias, Adicional de Férias e 13º  com empregada em gozo de Licença Maternidade]])-2,0)*($G236-$H236)</f>
        <v>2.5451546296296295</v>
      </c>
      <c r="BB236" s="22">
        <f>VLOOKUP($A236,tabCustoUnit[],COLUMN(CUSTO_GLOBAL[[#Headers],[Incidência do Submódulo 2.1 sobre Ausências Legais]])-2,0)*($G236-$H236)</f>
        <v>9.0156121641250007</v>
      </c>
      <c r="BC236" s="22">
        <f>VLOOKUP($A236,tabCustoUnit[],COLUMN(CUSTO_GLOBAL[[#Headers],[Submódulo 4.1]])-2,0)*($G236-$H236)</f>
        <v>32.866437995143521</v>
      </c>
      <c r="BD236" s="22">
        <f>VLOOKUP($A236,tabCustoUnit[],COLUMN(CUSTO_GLOBAL[[#Headers],[Intervalo para Repouso ou Alimentação]])-2,0)*($G236-$H236)</f>
        <v>267.73704981301341</v>
      </c>
      <c r="BE236" s="22">
        <f>VLOOKUP($A236,tabCustoUnit[],COLUMN(CUSTO_GLOBAL[[#Headers],[Submódulo 4.2]])-2,0)*($G236-$H236)</f>
        <v>267.73704981301341</v>
      </c>
      <c r="BF236" s="22">
        <f>VLOOKUP($A236,tabCustoUnit[],COLUMN(CUSTO_GLOBAL[[#Headers],[Suspensão Temporária do Contrato de Trabalho]])-2,0)*($G236-$H236)</f>
        <v>0</v>
      </c>
      <c r="BG236" s="22">
        <f>VLOOKUP($A236,tabCustoUnit[],COLUMN(CUSTO_GLOBAL[[#Headers],[Submódulo 4.3]])-2,0)*($G236-$H236)</f>
        <v>0</v>
      </c>
      <c r="BH236" s="22">
        <f>VLOOKUP($A236,tabCustoUnit[],COLUMN(CUSTO_GLOBAL[[#Headers],[MÓDULO 4 – CUSTO DE REPOSIÇÃO DO PROFISSIONAL AUSENTE]])-2,0)*($G236-$H236)</f>
        <v>300.60348780815696</v>
      </c>
      <c r="BI236" s="22">
        <f>VLOOKUP($A236,tabCustoUnit[],COLUMN(CUSTO_GLOBAL[[#Headers],[Uniformes e EPIs]])-2,0)*($G236-$H236)</f>
        <v>56.642978962543395</v>
      </c>
      <c r="BJ236" s="22">
        <f>VLOOKUP($A236,tabCustoUnit[],COLUMN(CUSTO_GLOBAL[[#Headers],[Materiais de Consumo]])-2,0)*($G236-$H236)</f>
        <v>0</v>
      </c>
      <c r="BK236" s="22">
        <f>VLOOKUP($A236,tabCustoUnit[],COLUMN(CUSTO_GLOBAL[[#Headers],[Máquinas e Equipamentos (depreciação)]])-2,0)*($G236-$H236)</f>
        <v>0</v>
      </c>
      <c r="BL236" s="22">
        <f>VLOOKUP($A236,tabCustoUnit[],COLUMN(CUSTO_GLOBAL[[#Headers],[Produtos de Limpeza e Materiais de Higiene Pessoal]])-2,0)*($G236-$H236)</f>
        <v>0</v>
      </c>
      <c r="BM236" s="22">
        <f>VLOOKUP($A236,tabCustoUnit[],COLUMN(CUSTO_GLOBAL[[#Headers],[Outros (especificar)]])-2,0)*($G236-$H236)</f>
        <v>0</v>
      </c>
      <c r="BN236" s="22">
        <f>VLOOKUP($A236,tabCustoUnit[],COLUMN(CUSTO_GLOBAL[[#Headers],[MÓDULO 5 – INSUMOS DIVERSOS]])-2,0)*($G236-$H236)</f>
        <v>56.642978962543395</v>
      </c>
      <c r="BO236" s="22" t="e">
        <f ca="1">VLOOKUP($A236,tabCustoUnit[],COLUMN(CUSTO_GLOBAL[[#Headers],[TOTAL MÓDULOS 1+2+3+4+5]])-2,0)*($G236-$H236)</f>
        <v>#NAME?</v>
      </c>
      <c r="BP236" s="22" t="e">
        <f ca="1">VLOOKUP($A236,tabCustoUnit[],COLUMN(CUSTO_GLOBAL[[#Headers],[Custos Indiretos]])-2,0)*($G236-$H236)</f>
        <v>#NAME?</v>
      </c>
      <c r="BQ236" s="22" t="e">
        <f ca="1">VLOOKUP($A236,tabCustoUnit[],COLUMN(CUSTO_GLOBAL[[#Headers],[Lucro]])-2,0)*($G236-$H236)</f>
        <v>#NAME?</v>
      </c>
      <c r="BR236" s="26">
        <f>VLOOKUP($A236,tabCustoUnit[],COLUMN(CUSTO_GLOBAL[[#Headers],[COFINS]])-2,0)</f>
        <v>8.6609686609686695E-2</v>
      </c>
      <c r="BS236" s="26">
        <f>VLOOKUP($A236,tabCustoUnit[],COLUMN(CUSTO_GLOBAL[[#Headers],[PIS]])-2,0)</f>
        <v>1.880341880341882E-2</v>
      </c>
      <c r="BT236" s="28">
        <f>VLOOKUP($A236,tabCustoUnit[],COLUMN(CUSTO_GLOBAL[[#Headers],[ISS]])-2,0)</f>
        <v>0.03</v>
      </c>
      <c r="BU236" s="26">
        <f>VLOOKUP($A236,tabCustoUnit[],COLUMN(CUSTO_GLOBAL[[#Headers],[ISS (Conversão Alíquota s/ fatura)]])-2,0)</f>
        <v>3.4188034188034219E-2</v>
      </c>
      <c r="BV236" s="26">
        <f>VLOOKUP($A236,tabCustoUnit[],COLUMN(CUSTO_GLOBAL[[#Headers],[Resumo de Alíquotas (PIS+CONFINS+ISS)]])-2,0)</f>
        <v>0.1225</v>
      </c>
      <c r="BW236" s="138">
        <f>VLOOKUP($A236,tabCustoUnit[],COLUMN(CUSTO_GLOBAL[[#Headers],[PIS + COFINS + ISS (Total Conversão  Alíquota s/ Fatura)]])-2,0)</f>
        <v>0.13960113960113973</v>
      </c>
      <c r="BX236" s="22" t="e">
        <f ca="1">VLOOKUP($A236,tabCustoUnit[],COLUMN(CUSTO_GLOBAL[[#Headers],[Valor dos Tributos (ISS, PIS, CONFINS)]])-2,0)*($G236-$H236)</f>
        <v>#NAME?</v>
      </c>
      <c r="BY236" s="22" t="e">
        <f ca="1">VLOOKUP($A236,tabCustoUnit[],COLUMN(CUSTO_GLOBAL[[#Headers],[MÓDULO 6 – CUSTOS INDIRETOS, TRIBUTOS E LUCRO]])-2,0)*($G236-$H236)</f>
        <v>#NAME?</v>
      </c>
      <c r="BZ236" s="22" t="e">
        <f ca="1">VLOOKUP($A236,tabCustoUnit[],COLUMN(CUSTO_GLOBAL[[#Headers],[CUSTO TOTAL MENSAL]])-2,0)*($G236-$H236)</f>
        <v>#NAME?</v>
      </c>
      <c r="CA236" s="22" t="e">
        <f ca="1">CUSTO_GLOBAL[[#This Row],[CUSTO TOTAL MENSAL]]*12</f>
        <v>#NAME?</v>
      </c>
      <c r="CB236" s="24">
        <f>VLOOKUP($A236,tabCustoUnit[],COLUMN(CUSTO_GLOBAL[[#Headers],[ANO DA CCT]])-2,0)</f>
        <v>45658</v>
      </c>
      <c r="CC236" s="25" t="str">
        <f>VLOOKUP($A236,tabCustoUnit[],COLUMN(CUSTO_GLOBAL[[#Headers],[Nº DE PEDIDO DA CCT]])-2,0)</f>
        <v>-</v>
      </c>
      <c r="CD236" s="25" t="str">
        <f>VLOOKUP($A236,tabCustoUnit[],COLUMN(CUSTO_GLOBAL[[#Headers],[TERMO ADITIVO ALTERAÇÃO DA CCT]])-2,0)</f>
        <v>-</v>
      </c>
    </row>
    <row r="237" spans="1:82">
      <c r="A237" s="20" t="s">
        <v>1663</v>
      </c>
      <c r="B237" t="s">
        <v>1175</v>
      </c>
      <c r="C237" t="s">
        <v>324</v>
      </c>
      <c r="D237" t="s">
        <v>942</v>
      </c>
      <c r="E237" s="20" t="s">
        <v>1090</v>
      </c>
      <c r="F237" s="20" t="s">
        <v>120</v>
      </c>
      <c r="G237" s="20">
        <v>1</v>
      </c>
      <c r="H237" s="20">
        <v>0</v>
      </c>
      <c r="I237" s="21">
        <f>VLOOKUP($A237,tabCustoUnit[],COLUMN(CUSTO_GLOBAL[[#Headers],[Salário Base]])-2,0)*($G237-$H237)</f>
        <v>3397.1305000000002</v>
      </c>
      <c r="J237" s="21">
        <f>VLOOKUP($A237,tabCustoUnit[],COLUMN(CUSTO_GLOBAL[[#Headers],[Adicional Periculosidade]])-2,0)*($G237-$H237)</f>
        <v>0</v>
      </c>
      <c r="K237" s="21">
        <f>VLOOKUP($A237,tabCustoUnit[],COLUMN(CUSTO_GLOBAL[[#Headers],[Adicional Insalubridade]])-2,0)*($G237-$H237)</f>
        <v>0</v>
      </c>
      <c r="L237" s="21">
        <f>VLOOKUP($A237,tabCustoUnit[],COLUMN(CUSTO_GLOBAL[[#Headers],[Adicional Noturno]])-2,0)*($G237-$H237)</f>
        <v>0</v>
      </c>
      <c r="M237" s="21">
        <f>VLOOKUP($A237,tabCustoUnit[],COLUMN(CUSTO_GLOBAL[[#Headers],[Adicional Motorista II (Gratificação)]])-2,0)*($G237-$H237)</f>
        <v>0</v>
      </c>
      <c r="N237" s="21">
        <f>VLOOKUP($A237,tabCustoUnit[],COLUMN(CUSTO_GLOBAL[[#Headers],[Adicional de Sobreaviso]])-2,0)*($G237-$H237)</f>
        <v>0</v>
      </c>
      <c r="O237" s="21">
        <f>VLOOKUP($A237,tabCustoUnit[],COLUMN(CUSTO_GLOBAL[[#Headers],[Horas Extras TI]])-2,0)*($G237-$H237)</f>
        <v>0</v>
      </c>
      <c r="P237" s="21">
        <f>VLOOKUP($A237,tabCustoUnit[],COLUMN(CUSTO_GLOBAL[[#Headers],[Adicional de Acúmulo de função]])-2,0)*($G237-$H237)</f>
        <v>0</v>
      </c>
      <c r="Q237" s="21">
        <f>VLOOKUP($A237,tabCustoUnit[],COLUMN(CUSTO_GLOBAL[[#Headers],[MODULO 1 - REMUNERAÇÃO ]])-2,0)*($G237-$H237)</f>
        <v>3397.1305000000002</v>
      </c>
      <c r="R237" s="21">
        <f>VLOOKUP($A237,tabCustoUnit[],COLUMN(CUSTO_GLOBAL[[#Headers],[INSS]])-2,0)*($G237-$H237)</f>
        <v>679.42610000000013</v>
      </c>
      <c r="S237" s="21">
        <f>VLOOKUP($A237,tabCustoUnit[],COLUMN(CUSTO_GLOBAL[[#Headers],[SESI OU SESC]])-2,0)*($G237-$H237)</f>
        <v>50.956957500000001</v>
      </c>
      <c r="T237" s="21">
        <f>VLOOKUP($A237,tabCustoUnit[],COLUMN(CUSTO_GLOBAL[[#Headers],[SENAI OU SENAC]])-2,0)*($G237-$H237)</f>
        <v>33.971305000000001</v>
      </c>
      <c r="U237" s="21">
        <f>VLOOKUP($A237,tabCustoUnit[],COLUMN(CUSTO_GLOBAL[[#Headers],[INCRA]])-2,0)*($G237-$H237)</f>
        <v>6.7942610000000005</v>
      </c>
      <c r="V237" s="21">
        <f>VLOOKUP($A237,tabCustoUnit[],COLUMN(CUSTO_GLOBAL[[#Headers],[Salário Educação]])-2,0)*($G237-$H237)</f>
        <v>84.928262500000017</v>
      </c>
      <c r="W237" s="21">
        <f>VLOOKUP($A237,tabCustoUnit[],COLUMN(CUSTO_GLOBAL[[#Headers],[FGTS]])-2,0)*($G237-$H237)</f>
        <v>271.77044000000001</v>
      </c>
      <c r="X237" s="21">
        <f>VLOOKUP($A237,tabCustoUnit[],COLUMN(CUSTO_GLOBAL[[#Headers],[RAT Ajustado]])-2,0)*($G237-$H237)</f>
        <v>135.88522</v>
      </c>
      <c r="Y237" s="21">
        <f>VLOOKUP($A237,tabCustoUnit[],COLUMN(CUSTO_GLOBAL[[#Headers],[SEBRAE]])-2,0)*($G237-$H237)</f>
        <v>20.382783000000003</v>
      </c>
      <c r="Z237" s="21">
        <f>VLOOKUP($A237,tabCustoUnit[],COLUMN(CUSTO_GLOBAL[[#Headers],[Submódulo 2.1]])-2,0)*($G237-$H237)</f>
        <v>1284.1153290000002</v>
      </c>
      <c r="AA237" s="21">
        <f>VLOOKUP($A237,tabCustoUnit[],COLUMN(CUSTO_GLOBAL[[#Headers],[13º salário (titular)]])-2,0)*($G237-$H237)</f>
        <v>283.09420833333331</v>
      </c>
      <c r="AB237" s="21">
        <f>VLOOKUP($A237,tabCustoUnit[],COLUMN(CUSTO_GLOBAL[[#Headers],[Férias e Adicional de Férias (titular)]])-2,0)*($G237-$H237)</f>
        <v>377.45894444444446</v>
      </c>
      <c r="AC237" s="21">
        <f>VLOOKUP($A237,tabCustoUnit[],COLUMN(CUSTO_GLOBAL[[#Headers],[Incidência do Submódulo 2.1 sobre 13º Salário, Férias e Adicional de Férias]])-2,0)*($G237-$H237)</f>
        <v>249.68909175000005</v>
      </c>
      <c r="AD237" s="21">
        <f>VLOOKUP($A237,tabCustoUnit[],COLUMN(CUSTO_GLOBAL[[#Headers],[Submódulo 2.2]])-2,0)*($G237-$H237)</f>
        <v>910.24224452777776</v>
      </c>
      <c r="AE237" s="22" t="e">
        <f ca="1">VLOOKUP($A237,tabCustoUnit[],COLUMN(CUSTO_GLOBAL[[#Headers],[Vale - Transporte (Descontada parcela do empregado)]])-2,0)*($G237-$H237)</f>
        <v>#NAME?</v>
      </c>
      <c r="AF237" s="22">
        <f>VLOOKUP($A237,tabCustoUnit[],COLUMN(CUSTO_GLOBAL[[#Headers],[Vale - Alimentação (Descontada parcela do empregado)]])-2,0)*($G237-$H237)</f>
        <v>582</v>
      </c>
      <c r="AG237" s="22">
        <f>VLOOKUP($A237,tabCustoUnit[],COLUMN(CUSTO_GLOBAL[[#Headers],[Cesta Básica]])-2,0)*($G237-$H237)</f>
        <v>0</v>
      </c>
      <c r="AH237" s="22">
        <f>VLOOKUP($A237,tabCustoUnit[],COLUMN(CUSTO_GLOBAL[[#Headers],[PAF]])-2,0)*($G237-$H237)</f>
        <v>51.88</v>
      </c>
      <c r="AI237" s="22">
        <f>VLOOKUP($A237,tabCustoUnit[],COLUMN(CUSTO_GLOBAL[[#Headers],[PQM]])-2,0)*($G237-$H237)</f>
        <v>0</v>
      </c>
      <c r="AJ237" s="22">
        <v>0</v>
      </c>
      <c r="AK237" s="22">
        <f>VLOOKUP($A237,tabCustoUnit[],COLUMN(CUSTO_GLOBAL[[#Headers],[Seguro de Vida]])-2,0)*($G237-$H237)</f>
        <v>3.36</v>
      </c>
      <c r="AL237" s="22">
        <f>VLOOKUP($A237,tabCustoUnit[],COLUMN(CUSTO_GLOBAL[[#Headers],[Despesas de Viagem]])-2,0)*($G237-$H237)</f>
        <v>0</v>
      </c>
      <c r="AM237" s="22" t="e">
        <f ca="1">VLOOKUP($A237,tabCustoUnit[],COLUMN(CUSTO_GLOBAL[[#Headers],[Submódulo 2.3]])-2,0)*($G237-$H237)</f>
        <v>#NAME?</v>
      </c>
      <c r="AN237" s="22" t="e">
        <f ca="1">VLOOKUP($A237,tabCustoUnit[],COLUMN(CUSTO_GLOBAL[[#Headers],[MÓDULO 2 - Total Encargos e Benefícios mensais e diários]])-2,0)*($G237-$H237)</f>
        <v>#NAME?</v>
      </c>
      <c r="AO237" s="22">
        <f>VLOOKUP($A237,tabCustoUnit[],COLUMN(CUSTO_GLOBAL[[#Headers],[Aviso Prévio Indenizado (API) e Reflexo do Aviso Prévio Indenizado]])-2,0)*($G237-$H237)</f>
        <v>23.819887450713736</v>
      </c>
      <c r="AP237" s="22">
        <f>VLOOKUP($A237,tabCustoUnit[],COLUMN(CUSTO_GLOBAL[[#Headers],[Incidência do FGTS sobre API e Reflexo do API]])-2,0)*($G237-$H237)</f>
        <v>1.9055909960570991</v>
      </c>
      <c r="AQ237" s="22">
        <f>VLOOKUP($A237,tabCustoUnit[],COLUMN(CUSTO_GLOBAL[[#Headers],[Multa Rescisória do FGTS sobre o Aviso Prévio Indenizado]])-2,0)*($G237-$H237)</f>
        <v>0.76223639842283974</v>
      </c>
      <c r="AR237" s="22">
        <f>VLOOKUP($A237,tabCustoUnit[],COLUMN(CUSTO_GLOBAL[[#Headers],[Aviso Prévio Trabalhado - APT]])-2,0)*($G237-$H237)</f>
        <v>11.889956750000003</v>
      </c>
      <c r="AS237" s="22">
        <f>VLOOKUP($A237,tabCustoUnit[],COLUMN(CUSTO_GLOBAL[[#Headers],[Incidência dos encargos do submódulo 2.1 sobre Aviso Prévio Trabalhado]])-2,0)*($G237-$H237)</f>
        <v>4.4944036515000017</v>
      </c>
      <c r="AT237" s="22">
        <f>VLOOKUP($A237,tabCustoUnit[],COLUMN(CUSTO_GLOBAL[[#Headers],[Multa Rescisória do FGTS]])-2,0)*($G237-$H237)</f>
        <v>103.87670151111111</v>
      </c>
      <c r="AU237" s="22">
        <f>VLOOKUP($A237,tabCustoUnit[],COLUMN(CUSTO_GLOBAL[[#Headers],[Indenização Adicional (Art. 9º da Lei nº 7.238/84)]])-2,0)*($G237-$H237)</f>
        <v>2.8309420833333339</v>
      </c>
      <c r="AV237" s="22">
        <f>VLOOKUP($A237,tabCustoUnit[],COLUMN(CUSTO_GLOBAL[[#Headers],[MÓDULO 3 – PROVISÃO PARA RESCISÃO]])-2,0)*($G237-$H237)</f>
        <v>149.57971884113812</v>
      </c>
      <c r="AW237" s="22">
        <f>VLOOKUP($A237,tabCustoUnit[],COLUMN(CUSTO_GLOBAL[[#Headers],[Ausência por Doença]])-2,0)*($G237-$H237)</f>
        <v>28.686879777777776</v>
      </c>
      <c r="AX237" s="22">
        <f>VLOOKUP($A237,tabCustoUnit[],COLUMN(CUSTO_GLOBAL[[#Headers],[Ausências Legais]])-2,0)*($G237-$H237)</f>
        <v>6.888625736111111</v>
      </c>
      <c r="AY237" s="22">
        <f>VLOOKUP($A237,tabCustoUnit[],COLUMN(CUSTO_GLOBAL[[#Headers],[Licença Paternidade]])-2,0)*($G237-$H237)</f>
        <v>0.58034312708333335</v>
      </c>
      <c r="AZ237" s="22">
        <f>VLOOKUP($A237,tabCustoUnit[],COLUMN(CUSTO_GLOBAL[[#Headers],[Ausência por Acidente de Trabalho]])-2,0)*($G237-$H237)</f>
        <v>0.70773552083333346</v>
      </c>
      <c r="BA237" s="22">
        <f>VLOOKUP($A237,tabCustoUnit[],COLUMN(CUSTO_GLOBAL[[#Headers],[Férias, Adicional de Férias e 13º  com empregada em gozo de Licença Maternidade]])-2,0)*($G237-$H237)</f>
        <v>4.4036876851851856</v>
      </c>
      <c r="BB237" s="22">
        <f>VLOOKUP($A237,tabCustoUnit[],COLUMN(CUSTO_GLOBAL[[#Headers],[Incidência do Submódulo 2.1 sobre Ausências Legais]])-2,0)*($G237-$H237)</f>
        <v>15.599028758162504</v>
      </c>
      <c r="BC237" s="22">
        <f>VLOOKUP($A237,tabCustoUnit[],COLUMN(CUSTO_GLOBAL[[#Headers],[Submódulo 4.1]])-2,0)*($G237-$H237)</f>
        <v>56.866300605153235</v>
      </c>
      <c r="BD237" s="22">
        <f>VLOOKUP($A237,tabCustoUnit[],COLUMN(CUSTO_GLOBAL[[#Headers],[Intervalo para Repouso ou Alimentação]])-2,0)*($G237-$H237)</f>
        <v>0</v>
      </c>
      <c r="BE237" s="22">
        <f>VLOOKUP($A237,tabCustoUnit[],COLUMN(CUSTO_GLOBAL[[#Headers],[Submódulo 4.2]])-2,0)*($G237-$H237)</f>
        <v>0</v>
      </c>
      <c r="BF237" s="22">
        <f>VLOOKUP($A237,tabCustoUnit[],COLUMN(CUSTO_GLOBAL[[#Headers],[Suspensão Temporária do Contrato de Trabalho]])-2,0)*($G237-$H237)</f>
        <v>0</v>
      </c>
      <c r="BG237" s="22">
        <f>VLOOKUP($A237,tabCustoUnit[],COLUMN(CUSTO_GLOBAL[[#Headers],[Submódulo 4.3]])-2,0)*($G237-$H237)</f>
        <v>0</v>
      </c>
      <c r="BH237" s="22">
        <f>VLOOKUP($A237,tabCustoUnit[],COLUMN(CUSTO_GLOBAL[[#Headers],[MÓDULO 4 – CUSTO DE REPOSIÇÃO DO PROFISSIONAL AUSENTE]])-2,0)*($G237-$H237)</f>
        <v>56.866300605153235</v>
      </c>
      <c r="BI237" s="22">
        <f>VLOOKUP($A237,tabCustoUnit[],COLUMN(CUSTO_GLOBAL[[#Headers],[Uniformes e EPIs]])-2,0)*($G237-$H237)</f>
        <v>56.642978962543395</v>
      </c>
      <c r="BJ237" s="22">
        <f>VLOOKUP($A237,tabCustoUnit[],COLUMN(CUSTO_GLOBAL[[#Headers],[Materiais de Consumo]])-2,0)*($G237-$H237)</f>
        <v>0</v>
      </c>
      <c r="BK237" s="22">
        <f>VLOOKUP($A237,tabCustoUnit[],COLUMN(CUSTO_GLOBAL[[#Headers],[Máquinas e Equipamentos (depreciação)]])-2,0)*($G237-$H237)</f>
        <v>0</v>
      </c>
      <c r="BL237" s="22">
        <f>VLOOKUP($A237,tabCustoUnit[],COLUMN(CUSTO_GLOBAL[[#Headers],[Produtos de Limpeza e Materiais de Higiene Pessoal]])-2,0)*($G237-$H237)</f>
        <v>0</v>
      </c>
      <c r="BM237" s="22">
        <f>VLOOKUP($A237,tabCustoUnit[],COLUMN(CUSTO_GLOBAL[[#Headers],[Outros (especificar)]])-2,0)*($G237-$H237)</f>
        <v>0</v>
      </c>
      <c r="BN237" s="22">
        <f>VLOOKUP($A237,tabCustoUnit[],COLUMN(CUSTO_GLOBAL[[#Headers],[MÓDULO 5 – INSUMOS DIVERSOS]])-2,0)*($G237-$H237)</f>
        <v>56.642978962543395</v>
      </c>
      <c r="BO237" s="22" t="e">
        <f ca="1">VLOOKUP($A237,tabCustoUnit[],COLUMN(CUSTO_GLOBAL[[#Headers],[TOTAL MÓDULOS 1+2+3+4+5]])-2,0)*($G237-$H237)</f>
        <v>#NAME?</v>
      </c>
      <c r="BP237" s="22" t="e">
        <f ca="1">VLOOKUP($A237,tabCustoUnit[],COLUMN(CUSTO_GLOBAL[[#Headers],[Custos Indiretos]])-2,0)*($G237-$H237)</f>
        <v>#NAME?</v>
      </c>
      <c r="BQ237" s="22" t="e">
        <f ca="1">VLOOKUP($A237,tabCustoUnit[],COLUMN(CUSTO_GLOBAL[[#Headers],[Lucro]])-2,0)*($G237-$H237)</f>
        <v>#NAME?</v>
      </c>
      <c r="BR237" s="26">
        <f>VLOOKUP($A237,tabCustoUnit[],COLUMN(CUSTO_GLOBAL[[#Headers],[COFINS]])-2,0)</f>
        <v>8.6609686609686695E-2</v>
      </c>
      <c r="BS237" s="26">
        <f>VLOOKUP($A237,tabCustoUnit[],COLUMN(CUSTO_GLOBAL[[#Headers],[PIS]])-2,0)</f>
        <v>1.880341880341882E-2</v>
      </c>
      <c r="BT237" s="28">
        <f>VLOOKUP($A237,tabCustoUnit[],COLUMN(CUSTO_GLOBAL[[#Headers],[ISS]])-2,0)</f>
        <v>0.03</v>
      </c>
      <c r="BU237" s="26">
        <f>VLOOKUP($A237,tabCustoUnit[],COLUMN(CUSTO_GLOBAL[[#Headers],[ISS (Conversão Alíquota s/ fatura)]])-2,0)</f>
        <v>3.4188034188034219E-2</v>
      </c>
      <c r="BV237" s="26">
        <f>VLOOKUP($A237,tabCustoUnit[],COLUMN(CUSTO_GLOBAL[[#Headers],[Resumo de Alíquotas (PIS+CONFINS+ISS)]])-2,0)</f>
        <v>0.1225</v>
      </c>
      <c r="BW237" s="138">
        <f>VLOOKUP($A237,tabCustoUnit[],COLUMN(CUSTO_GLOBAL[[#Headers],[PIS + COFINS + ISS (Total Conversão  Alíquota s/ Fatura)]])-2,0)</f>
        <v>0.13960113960113973</v>
      </c>
      <c r="BX237" s="22" t="e">
        <f ca="1">VLOOKUP($A237,tabCustoUnit[],COLUMN(CUSTO_GLOBAL[[#Headers],[Valor dos Tributos (ISS, PIS, CONFINS)]])-2,0)*($G237-$H237)</f>
        <v>#NAME?</v>
      </c>
      <c r="BY237" s="22" t="e">
        <f ca="1">VLOOKUP($A237,tabCustoUnit[],COLUMN(CUSTO_GLOBAL[[#Headers],[MÓDULO 6 – CUSTOS INDIRETOS, TRIBUTOS E LUCRO]])-2,0)*($G237-$H237)</f>
        <v>#NAME?</v>
      </c>
      <c r="BZ237" s="22" t="e">
        <f ca="1">VLOOKUP($A237,tabCustoUnit[],COLUMN(CUSTO_GLOBAL[[#Headers],[CUSTO TOTAL MENSAL]])-2,0)*($G237-$H237)</f>
        <v>#NAME?</v>
      </c>
      <c r="CA237" s="22" t="e">
        <f ca="1">CUSTO_GLOBAL[[#This Row],[CUSTO TOTAL MENSAL]]*12</f>
        <v>#NAME?</v>
      </c>
      <c r="CB237" s="24">
        <f>VLOOKUP($A237,tabCustoUnit[],COLUMN(CUSTO_GLOBAL[[#Headers],[ANO DA CCT]])-2,0)</f>
        <v>45658</v>
      </c>
      <c r="CC237" s="25" t="str">
        <f>VLOOKUP($A237,tabCustoUnit[],COLUMN(CUSTO_GLOBAL[[#Headers],[Nº DE PEDIDO DA CCT]])-2,0)</f>
        <v>-</v>
      </c>
      <c r="CD237" s="25" t="str">
        <f>VLOOKUP($A237,tabCustoUnit[],COLUMN(CUSTO_GLOBAL[[#Headers],[TERMO ADITIVO ALTERAÇÃO DA CCT]])-2,0)</f>
        <v>-</v>
      </c>
    </row>
    <row r="238" spans="1:82">
      <c r="A238" s="20" t="s">
        <v>1499</v>
      </c>
      <c r="B238" t="s">
        <v>1176</v>
      </c>
      <c r="C238" t="s">
        <v>200</v>
      </c>
      <c r="D238" t="s">
        <v>957</v>
      </c>
      <c r="E238" s="20" t="s">
        <v>1090</v>
      </c>
      <c r="F238" s="20" t="s">
        <v>120</v>
      </c>
      <c r="G238" s="20">
        <v>1</v>
      </c>
      <c r="H238" s="20">
        <v>0</v>
      </c>
      <c r="I238" s="21">
        <f>VLOOKUP($A238,tabCustoUnit[],COLUMN(CUSTO_GLOBAL[[#Headers],[Salário Base]])-2,0)*($G238-$H238)</f>
        <v>1596.2737999999999</v>
      </c>
      <c r="J238" s="21">
        <f>VLOOKUP($A238,tabCustoUnit[],COLUMN(CUSTO_GLOBAL[[#Headers],[Adicional Periculosidade]])-2,0)*($G238-$H238)</f>
        <v>0</v>
      </c>
      <c r="K238" s="21">
        <f>VLOOKUP($A238,tabCustoUnit[],COLUMN(CUSTO_GLOBAL[[#Headers],[Adicional Insalubridade]])-2,0)*($G238-$H238)</f>
        <v>0</v>
      </c>
      <c r="L238" s="21">
        <f>VLOOKUP($A238,tabCustoUnit[],COLUMN(CUSTO_GLOBAL[[#Headers],[Adicional Noturno]])-2,0)*($G238-$H238)</f>
        <v>0</v>
      </c>
      <c r="M238" s="21">
        <f>VLOOKUP($A238,tabCustoUnit[],COLUMN(CUSTO_GLOBAL[[#Headers],[Adicional Motorista II (Gratificação)]])-2,0)*($G238-$H238)</f>
        <v>0</v>
      </c>
      <c r="N238" s="21">
        <f>VLOOKUP($A238,tabCustoUnit[],COLUMN(CUSTO_GLOBAL[[#Headers],[Adicional de Sobreaviso]])-2,0)*($G238-$H238)</f>
        <v>0</v>
      </c>
      <c r="O238" s="21">
        <f>VLOOKUP($A238,tabCustoUnit[],COLUMN(CUSTO_GLOBAL[[#Headers],[Horas Extras TI]])-2,0)*($G238-$H238)</f>
        <v>0</v>
      </c>
      <c r="P238" s="21">
        <f>VLOOKUP($A238,tabCustoUnit[],COLUMN(CUSTO_GLOBAL[[#Headers],[Adicional de Acúmulo de função]])-2,0)*($G238-$H238)</f>
        <v>0</v>
      </c>
      <c r="Q238" s="21">
        <f>VLOOKUP($A238,tabCustoUnit[],COLUMN(CUSTO_GLOBAL[[#Headers],[MODULO 1 - REMUNERAÇÃO ]])-2,0)*($G238-$H238)</f>
        <v>1596.2737999999999</v>
      </c>
      <c r="R238" s="21">
        <f>VLOOKUP($A238,tabCustoUnit[],COLUMN(CUSTO_GLOBAL[[#Headers],[INSS]])-2,0)*($G238-$H238)</f>
        <v>319.25476000000003</v>
      </c>
      <c r="S238" s="21">
        <f>VLOOKUP($A238,tabCustoUnit[],COLUMN(CUSTO_GLOBAL[[#Headers],[SESI OU SESC]])-2,0)*($G238-$H238)</f>
        <v>23.944106999999999</v>
      </c>
      <c r="T238" s="21">
        <f>VLOOKUP($A238,tabCustoUnit[],COLUMN(CUSTO_GLOBAL[[#Headers],[SENAI OU SENAC]])-2,0)*($G238-$H238)</f>
        <v>15.962738</v>
      </c>
      <c r="U238" s="21">
        <f>VLOOKUP($A238,tabCustoUnit[],COLUMN(CUSTO_GLOBAL[[#Headers],[INCRA]])-2,0)*($G238-$H238)</f>
        <v>3.1925476000000002</v>
      </c>
      <c r="V238" s="21">
        <f>VLOOKUP($A238,tabCustoUnit[],COLUMN(CUSTO_GLOBAL[[#Headers],[Salário Educação]])-2,0)*($G238-$H238)</f>
        <v>39.906845000000004</v>
      </c>
      <c r="W238" s="21">
        <f>VLOOKUP($A238,tabCustoUnit[],COLUMN(CUSTO_GLOBAL[[#Headers],[FGTS]])-2,0)*($G238-$H238)</f>
        <v>127.701904</v>
      </c>
      <c r="X238" s="21">
        <f>VLOOKUP($A238,tabCustoUnit[],COLUMN(CUSTO_GLOBAL[[#Headers],[RAT Ajustado]])-2,0)*($G238-$H238)</f>
        <v>63.850951999999999</v>
      </c>
      <c r="Y238" s="21">
        <f>VLOOKUP($A238,tabCustoUnit[],COLUMN(CUSTO_GLOBAL[[#Headers],[SEBRAE]])-2,0)*($G238-$H238)</f>
        <v>9.5776427999999996</v>
      </c>
      <c r="Z238" s="21">
        <f>VLOOKUP($A238,tabCustoUnit[],COLUMN(CUSTO_GLOBAL[[#Headers],[Submódulo 2.1]])-2,0)*($G238-$H238)</f>
        <v>603.39149640000005</v>
      </c>
      <c r="AA238" s="21">
        <f>VLOOKUP($A238,tabCustoUnit[],COLUMN(CUSTO_GLOBAL[[#Headers],[13º salário (titular)]])-2,0)*($G238-$H238)</f>
        <v>133.02281666666664</v>
      </c>
      <c r="AB238" s="21">
        <f>VLOOKUP($A238,tabCustoUnit[],COLUMN(CUSTO_GLOBAL[[#Headers],[Férias e Adicional de Férias (titular)]])-2,0)*($G238-$H238)</f>
        <v>177.36375555555554</v>
      </c>
      <c r="AC238" s="21">
        <f>VLOOKUP($A238,tabCustoUnit[],COLUMN(CUSTO_GLOBAL[[#Headers],[Incidência do Submódulo 2.1 sobre 13º Salário, Férias e Adicional de Férias]])-2,0)*($G238-$H238)</f>
        <v>117.3261243</v>
      </c>
      <c r="AD238" s="21">
        <f>VLOOKUP($A238,tabCustoUnit[],COLUMN(CUSTO_GLOBAL[[#Headers],[Submódulo 2.2]])-2,0)*($G238-$H238)</f>
        <v>427.71269652222219</v>
      </c>
      <c r="AE238" s="22" t="e">
        <f ca="1">VLOOKUP($A238,tabCustoUnit[],COLUMN(CUSTO_GLOBAL[[#Headers],[Vale - Transporte (Descontada parcela do empregado)]])-2,0)*($G238-$H238)</f>
        <v>#NAME?</v>
      </c>
      <c r="AF238" s="22">
        <f>VLOOKUP($A238,tabCustoUnit[],COLUMN(CUSTO_GLOBAL[[#Headers],[Vale - Alimentação (Descontada parcela do empregado)]])-2,0)*($G238-$H238)</f>
        <v>582</v>
      </c>
      <c r="AG238" s="22">
        <f>VLOOKUP($A238,tabCustoUnit[],COLUMN(CUSTO_GLOBAL[[#Headers],[Cesta Básica]])-2,0)*($G238-$H238)</f>
        <v>0</v>
      </c>
      <c r="AH238" s="22">
        <f>VLOOKUP($A238,tabCustoUnit[],COLUMN(CUSTO_GLOBAL[[#Headers],[PAF]])-2,0)*($G238-$H238)</f>
        <v>51.87</v>
      </c>
      <c r="AI238" s="22">
        <f>VLOOKUP($A238,tabCustoUnit[],COLUMN(CUSTO_GLOBAL[[#Headers],[PQM]])-2,0)*($G238-$H238)</f>
        <v>0</v>
      </c>
      <c r="AJ238" s="22">
        <v>0</v>
      </c>
      <c r="AK238" s="22">
        <f>VLOOKUP($A238,tabCustoUnit[],COLUMN(CUSTO_GLOBAL[[#Headers],[Seguro de Vida]])-2,0)*($G238-$H238)</f>
        <v>3.36</v>
      </c>
      <c r="AL238" s="22">
        <f>VLOOKUP($A238,tabCustoUnit[],COLUMN(CUSTO_GLOBAL[[#Headers],[Despesas de Viagem]])-2,0)*($G238-$H238)</f>
        <v>0</v>
      </c>
      <c r="AM238" s="22" t="e">
        <f ca="1">VLOOKUP($A238,tabCustoUnit[],COLUMN(CUSTO_GLOBAL[[#Headers],[Submódulo 2.3]])-2,0)*($G238-$H238)</f>
        <v>#NAME?</v>
      </c>
      <c r="AN238" s="22" t="e">
        <f ca="1">VLOOKUP($A238,tabCustoUnit[],COLUMN(CUSTO_GLOBAL[[#Headers],[MÓDULO 2 - Total Encargos e Benefícios mensais e diários]])-2,0)*($G238-$H238)</f>
        <v>#NAME?</v>
      </c>
      <c r="AO238" s="22">
        <f>VLOOKUP($A238,tabCustoUnit[],COLUMN(CUSTO_GLOBAL[[#Headers],[Aviso Prévio Indenizado (API) e Reflexo do Aviso Prévio Indenizado]])-2,0)*($G238-$H238)</f>
        <v>11.192699914390431</v>
      </c>
      <c r="AP238" s="22">
        <f>VLOOKUP($A238,tabCustoUnit[],COLUMN(CUSTO_GLOBAL[[#Headers],[Incidência do FGTS sobre API e Reflexo do API]])-2,0)*($G238-$H238)</f>
        <v>0.89541599315123466</v>
      </c>
      <c r="AQ238" s="22">
        <f>VLOOKUP($A238,tabCustoUnit[],COLUMN(CUSTO_GLOBAL[[#Headers],[Multa Rescisória do FGTS sobre o Aviso Prévio Indenizado]])-2,0)*($G238-$H238)</f>
        <v>0.35816639726049387</v>
      </c>
      <c r="AR238" s="22">
        <f>VLOOKUP($A238,tabCustoUnit[],COLUMN(CUSTO_GLOBAL[[#Headers],[Aviso Prévio Trabalhado - APT]])-2,0)*($G238-$H238)</f>
        <v>5.5869583000000009</v>
      </c>
      <c r="AS238" s="22">
        <f>VLOOKUP($A238,tabCustoUnit[],COLUMN(CUSTO_GLOBAL[[#Headers],[Incidência dos encargos do submódulo 2.1 sobre Aviso Prévio Trabalhado]])-2,0)*($G238-$H238)</f>
        <v>2.1118702374000007</v>
      </c>
      <c r="AT238" s="22">
        <f>VLOOKUP($A238,tabCustoUnit[],COLUMN(CUSTO_GLOBAL[[#Headers],[Multa Rescisória do FGTS]])-2,0)*($G238-$H238)</f>
        <v>48.810505528888882</v>
      </c>
      <c r="AU238" s="22">
        <f>VLOOKUP($A238,tabCustoUnit[],COLUMN(CUSTO_GLOBAL[[#Headers],[Indenização Adicional (Art. 9º da Lei nº 7.238/84)]])-2,0)*($G238-$H238)</f>
        <v>1.3302281666666667</v>
      </c>
      <c r="AV238" s="22">
        <f>VLOOKUP($A238,tabCustoUnit[],COLUMN(CUSTO_GLOBAL[[#Headers],[MÓDULO 3 – PROVISÃO PARA RESCISÃO]])-2,0)*($G238-$H238)</f>
        <v>70.285844537757711</v>
      </c>
      <c r="AW238" s="22">
        <f>VLOOKUP($A238,tabCustoUnit[],COLUMN(CUSTO_GLOBAL[[#Headers],[Ausência por Doença]])-2,0)*($G238-$H238)</f>
        <v>13.479645422222221</v>
      </c>
      <c r="AX238" s="22">
        <f>VLOOKUP($A238,tabCustoUnit[],COLUMN(CUSTO_GLOBAL[[#Headers],[Ausências Legais]])-2,0)*($G238-$H238)</f>
        <v>3.2368885388888886</v>
      </c>
      <c r="AY238" s="22">
        <f>VLOOKUP($A238,tabCustoUnit[],COLUMN(CUSTO_GLOBAL[[#Headers],[Licença Paternidade]])-2,0)*($G238-$H238)</f>
        <v>0.27269677416666666</v>
      </c>
      <c r="AZ238" s="22">
        <f>VLOOKUP($A238,tabCustoUnit[],COLUMN(CUSTO_GLOBAL[[#Headers],[Ausência por Acidente de Trabalho]])-2,0)*($G238-$H238)</f>
        <v>0.33255704166666666</v>
      </c>
      <c r="BA238" s="22">
        <f>VLOOKUP($A238,tabCustoUnit[],COLUMN(CUSTO_GLOBAL[[#Headers],[Férias, Adicional de Férias e 13º  com empregada em gozo de Licença Maternidade]])-2,0)*($G238-$H238)</f>
        <v>2.0692438148148145</v>
      </c>
      <c r="BB238" s="22">
        <f>VLOOKUP($A238,tabCustoUnit[],COLUMN(CUSTO_GLOBAL[[#Headers],[Incidência do Submódulo 2.1 sobre Ausências Legais]])-2,0)*($G238-$H238)</f>
        <v>7.3298099416850011</v>
      </c>
      <c r="BC238" s="22">
        <f>VLOOKUP($A238,tabCustoUnit[],COLUMN(CUSTO_GLOBAL[[#Headers],[Submódulo 4.1]])-2,0)*($G238-$H238)</f>
        <v>26.720841533444265</v>
      </c>
      <c r="BD238" s="22">
        <f>VLOOKUP($A238,tabCustoUnit[],COLUMN(CUSTO_GLOBAL[[#Headers],[Intervalo para Repouso ou Alimentação]])-2,0)*($G238-$H238)</f>
        <v>0</v>
      </c>
      <c r="BE238" s="22">
        <f>VLOOKUP($A238,tabCustoUnit[],COLUMN(CUSTO_GLOBAL[[#Headers],[Submódulo 4.2]])-2,0)*($G238-$H238)</f>
        <v>0</v>
      </c>
      <c r="BF238" s="22">
        <f>VLOOKUP($A238,tabCustoUnit[],COLUMN(CUSTO_GLOBAL[[#Headers],[Suspensão Temporária do Contrato de Trabalho]])-2,0)*($G238-$H238)</f>
        <v>0</v>
      </c>
      <c r="BG238" s="22">
        <f>VLOOKUP($A238,tabCustoUnit[],COLUMN(CUSTO_GLOBAL[[#Headers],[Submódulo 4.3]])-2,0)*($G238-$H238)</f>
        <v>0</v>
      </c>
      <c r="BH238" s="22">
        <f>VLOOKUP($A238,tabCustoUnit[],COLUMN(CUSTO_GLOBAL[[#Headers],[MÓDULO 4 – CUSTO DE REPOSIÇÃO DO PROFISSIONAL AUSENTE]])-2,0)*($G238-$H238)</f>
        <v>26.720841533444265</v>
      </c>
      <c r="BI238" s="22">
        <f>VLOOKUP($A238,tabCustoUnit[],COLUMN(CUSTO_GLOBAL[[#Headers],[Uniformes e EPIs]])-2,0)*($G238-$H238)</f>
        <v>56.141713661989918</v>
      </c>
      <c r="BJ238" s="22">
        <f>VLOOKUP($A238,tabCustoUnit[],COLUMN(CUSTO_GLOBAL[[#Headers],[Materiais de Consumo]])-2,0)*($G238-$H238)</f>
        <v>0</v>
      </c>
      <c r="BK238" s="22">
        <f>VLOOKUP($A238,tabCustoUnit[],COLUMN(CUSTO_GLOBAL[[#Headers],[Máquinas e Equipamentos (depreciação)]])-2,0)*($G238-$H238)</f>
        <v>0</v>
      </c>
      <c r="BL238" s="22">
        <f>VLOOKUP($A238,tabCustoUnit[],COLUMN(CUSTO_GLOBAL[[#Headers],[Produtos de Limpeza e Materiais de Higiene Pessoal]])-2,0)*($G238-$H238)</f>
        <v>0</v>
      </c>
      <c r="BM238" s="22">
        <f>VLOOKUP($A238,tabCustoUnit[],COLUMN(CUSTO_GLOBAL[[#Headers],[Outros (especificar)]])-2,0)*($G238-$H238)</f>
        <v>0</v>
      </c>
      <c r="BN238" s="22">
        <f>VLOOKUP($A238,tabCustoUnit[],COLUMN(CUSTO_GLOBAL[[#Headers],[MÓDULO 5 – INSUMOS DIVERSOS]])-2,0)*($G238-$H238)</f>
        <v>56.141713661989918</v>
      </c>
      <c r="BO238" s="22" t="e">
        <f ca="1">VLOOKUP($A238,tabCustoUnit[],COLUMN(CUSTO_GLOBAL[[#Headers],[TOTAL MÓDULOS 1+2+3+4+5]])-2,0)*($G238-$H238)</f>
        <v>#NAME?</v>
      </c>
      <c r="BP238" s="22" t="e">
        <f ca="1">VLOOKUP($A238,tabCustoUnit[],COLUMN(CUSTO_GLOBAL[[#Headers],[Custos Indiretos]])-2,0)*($G238-$H238)</f>
        <v>#NAME?</v>
      </c>
      <c r="BQ238" s="22" t="e">
        <f ca="1">VLOOKUP($A238,tabCustoUnit[],COLUMN(CUSTO_GLOBAL[[#Headers],[Lucro]])-2,0)*($G238-$H238)</f>
        <v>#NAME?</v>
      </c>
      <c r="BR238" s="26">
        <f>VLOOKUP($A238,tabCustoUnit[],COLUMN(CUSTO_GLOBAL[[#Headers],[COFINS]])-2,0)</f>
        <v>8.8629737609329504E-2</v>
      </c>
      <c r="BS238" s="26">
        <f>VLOOKUP($A238,tabCustoUnit[],COLUMN(CUSTO_GLOBAL[[#Headers],[PIS]])-2,0)</f>
        <v>1.9241982507288629E-2</v>
      </c>
      <c r="BT238" s="28">
        <f>VLOOKUP($A238,tabCustoUnit[],COLUMN(CUSTO_GLOBAL[[#Headers],[ISS]])-2,0)</f>
        <v>0.05</v>
      </c>
      <c r="BU238" s="26">
        <f>VLOOKUP($A238,tabCustoUnit[],COLUMN(CUSTO_GLOBAL[[#Headers],[ISS (Conversão Alíquota s/ fatura)]])-2,0)</f>
        <v>5.8309037900874633E-2</v>
      </c>
      <c r="BV238" s="26">
        <f>VLOOKUP($A238,tabCustoUnit[],COLUMN(CUSTO_GLOBAL[[#Headers],[Resumo de Alíquotas (PIS+CONFINS+ISS)]])-2,0)</f>
        <v>0.14250000000000002</v>
      </c>
      <c r="BW238" s="138">
        <f>VLOOKUP($A238,tabCustoUnit[],COLUMN(CUSTO_GLOBAL[[#Headers],[PIS + COFINS + ISS (Total Conversão  Alíquota s/ Fatura)]])-2,0)</f>
        <v>0.16618075801749277</v>
      </c>
      <c r="BX238" s="22" t="e">
        <f ca="1">VLOOKUP($A238,tabCustoUnit[],COLUMN(CUSTO_GLOBAL[[#Headers],[Valor dos Tributos (ISS, PIS, CONFINS)]])-2,0)*($G238-$H238)</f>
        <v>#NAME?</v>
      </c>
      <c r="BY238" s="22" t="e">
        <f ca="1">VLOOKUP($A238,tabCustoUnit[],COLUMN(CUSTO_GLOBAL[[#Headers],[MÓDULO 6 – CUSTOS INDIRETOS, TRIBUTOS E LUCRO]])-2,0)*($G238-$H238)</f>
        <v>#NAME?</v>
      </c>
      <c r="BZ238" s="22" t="e">
        <f ca="1">VLOOKUP($A238,tabCustoUnit[],COLUMN(CUSTO_GLOBAL[[#Headers],[CUSTO TOTAL MENSAL]])-2,0)*($G238-$H238)</f>
        <v>#NAME?</v>
      </c>
      <c r="CA238" s="22" t="e">
        <f ca="1">CUSTO_GLOBAL[[#This Row],[CUSTO TOTAL MENSAL]]*12</f>
        <v>#NAME?</v>
      </c>
      <c r="CB238" s="24">
        <f>VLOOKUP($A238,tabCustoUnit[],COLUMN(CUSTO_GLOBAL[[#Headers],[ANO DA CCT]])-2,0)</f>
        <v>45658</v>
      </c>
      <c r="CC238" s="25" t="str">
        <f>VLOOKUP($A238,tabCustoUnit[],COLUMN(CUSTO_GLOBAL[[#Headers],[Nº DE PEDIDO DA CCT]])-2,0)</f>
        <v>-</v>
      </c>
      <c r="CD238" s="25" t="str">
        <f>VLOOKUP($A238,tabCustoUnit[],COLUMN(CUSTO_GLOBAL[[#Headers],[TERMO ADITIVO ALTERAÇÃO DA CCT]])-2,0)</f>
        <v>-</v>
      </c>
    </row>
    <row r="239" spans="1:82">
      <c r="A239" s="20" t="s">
        <v>1664</v>
      </c>
      <c r="B239" t="s">
        <v>1176</v>
      </c>
      <c r="C239" t="s">
        <v>314</v>
      </c>
      <c r="D239" t="s">
        <v>957</v>
      </c>
      <c r="E239" s="20" t="s">
        <v>1090</v>
      </c>
      <c r="F239" s="20" t="s">
        <v>120</v>
      </c>
      <c r="G239" s="20">
        <v>1</v>
      </c>
      <c r="H239" s="20">
        <v>0</v>
      </c>
      <c r="I239" s="21">
        <f>VLOOKUP($A239,tabCustoUnit[],COLUMN(CUSTO_GLOBAL[[#Headers],[Salário Base]])-2,0)*($G239-$H239)</f>
        <v>1963.4110000000001</v>
      </c>
      <c r="J239" s="21">
        <f>VLOOKUP($A239,tabCustoUnit[],COLUMN(CUSTO_GLOBAL[[#Headers],[Adicional Periculosidade]])-2,0)*($G239-$H239)</f>
        <v>0</v>
      </c>
      <c r="K239" s="21">
        <f>VLOOKUP($A239,tabCustoUnit[],COLUMN(CUSTO_GLOBAL[[#Headers],[Adicional Insalubridade]])-2,0)*($G239-$H239)</f>
        <v>0</v>
      </c>
      <c r="L239" s="21">
        <f>VLOOKUP($A239,tabCustoUnit[],COLUMN(CUSTO_GLOBAL[[#Headers],[Adicional Noturno]])-2,0)*($G239-$H239)</f>
        <v>0</v>
      </c>
      <c r="M239" s="21">
        <f>VLOOKUP($A239,tabCustoUnit[],COLUMN(CUSTO_GLOBAL[[#Headers],[Adicional Motorista II (Gratificação)]])-2,0)*($G239-$H239)</f>
        <v>0</v>
      </c>
      <c r="N239" s="21">
        <f>VLOOKUP($A239,tabCustoUnit[],COLUMN(CUSTO_GLOBAL[[#Headers],[Adicional de Sobreaviso]])-2,0)*($G239-$H239)</f>
        <v>0</v>
      </c>
      <c r="O239" s="21">
        <f>VLOOKUP($A239,tabCustoUnit[],COLUMN(CUSTO_GLOBAL[[#Headers],[Horas Extras TI]])-2,0)*($G239-$H239)</f>
        <v>0</v>
      </c>
      <c r="P239" s="21">
        <f>VLOOKUP($A239,tabCustoUnit[],COLUMN(CUSTO_GLOBAL[[#Headers],[Adicional de Acúmulo de função]])-2,0)*($G239-$H239)</f>
        <v>0</v>
      </c>
      <c r="Q239" s="21">
        <f>VLOOKUP($A239,tabCustoUnit[],COLUMN(CUSTO_GLOBAL[[#Headers],[MODULO 1 - REMUNERAÇÃO ]])-2,0)*($G239-$H239)</f>
        <v>1963.4110000000001</v>
      </c>
      <c r="R239" s="21">
        <f>VLOOKUP($A239,tabCustoUnit[],COLUMN(CUSTO_GLOBAL[[#Headers],[INSS]])-2,0)*($G239-$H239)</f>
        <v>392.68220000000002</v>
      </c>
      <c r="S239" s="21">
        <f>VLOOKUP($A239,tabCustoUnit[],COLUMN(CUSTO_GLOBAL[[#Headers],[SESI OU SESC]])-2,0)*($G239-$H239)</f>
        <v>29.451165</v>
      </c>
      <c r="T239" s="21">
        <f>VLOOKUP($A239,tabCustoUnit[],COLUMN(CUSTO_GLOBAL[[#Headers],[SENAI OU SENAC]])-2,0)*($G239-$H239)</f>
        <v>19.63411</v>
      </c>
      <c r="U239" s="21">
        <f>VLOOKUP($A239,tabCustoUnit[],COLUMN(CUSTO_GLOBAL[[#Headers],[INCRA]])-2,0)*($G239-$H239)</f>
        <v>3.926822</v>
      </c>
      <c r="V239" s="21">
        <f>VLOOKUP($A239,tabCustoUnit[],COLUMN(CUSTO_GLOBAL[[#Headers],[Salário Educação]])-2,0)*($G239-$H239)</f>
        <v>49.085275000000003</v>
      </c>
      <c r="W239" s="21">
        <f>VLOOKUP($A239,tabCustoUnit[],COLUMN(CUSTO_GLOBAL[[#Headers],[FGTS]])-2,0)*($G239-$H239)</f>
        <v>157.07288</v>
      </c>
      <c r="X239" s="21">
        <f>VLOOKUP($A239,tabCustoUnit[],COLUMN(CUSTO_GLOBAL[[#Headers],[RAT Ajustado]])-2,0)*($G239-$H239)</f>
        <v>78.536439999999999</v>
      </c>
      <c r="Y239" s="21">
        <f>VLOOKUP($A239,tabCustoUnit[],COLUMN(CUSTO_GLOBAL[[#Headers],[SEBRAE]])-2,0)*($G239-$H239)</f>
        <v>11.780466000000001</v>
      </c>
      <c r="Z239" s="21">
        <f>VLOOKUP($A239,tabCustoUnit[],COLUMN(CUSTO_GLOBAL[[#Headers],[Submódulo 2.1]])-2,0)*($G239-$H239)</f>
        <v>742.1693580000001</v>
      </c>
      <c r="AA239" s="21">
        <f>VLOOKUP($A239,tabCustoUnit[],COLUMN(CUSTO_GLOBAL[[#Headers],[13º salário (titular)]])-2,0)*($G239-$H239)</f>
        <v>163.61758333333333</v>
      </c>
      <c r="AB239" s="21">
        <f>VLOOKUP($A239,tabCustoUnit[],COLUMN(CUSTO_GLOBAL[[#Headers],[Férias e Adicional de Férias (titular)]])-2,0)*($G239-$H239)</f>
        <v>218.15677777777776</v>
      </c>
      <c r="AC239" s="21">
        <f>VLOOKUP($A239,tabCustoUnit[],COLUMN(CUSTO_GLOBAL[[#Headers],[Incidência do Submódulo 2.1 sobre 13º Salário, Férias e Adicional de Férias]])-2,0)*($G239-$H239)</f>
        <v>144.3107085</v>
      </c>
      <c r="AD239" s="21">
        <f>VLOOKUP($A239,tabCustoUnit[],COLUMN(CUSTO_GLOBAL[[#Headers],[Submódulo 2.2]])-2,0)*($G239-$H239)</f>
        <v>526.08506961111107</v>
      </c>
      <c r="AE239" s="22" t="e">
        <f ca="1">VLOOKUP($A239,tabCustoUnit[],COLUMN(CUSTO_GLOBAL[[#Headers],[Vale - Transporte (Descontada parcela do empregado)]])-2,0)*($G239-$H239)</f>
        <v>#NAME?</v>
      </c>
      <c r="AF239" s="22">
        <f>VLOOKUP($A239,tabCustoUnit[],COLUMN(CUSTO_GLOBAL[[#Headers],[Vale - Alimentação (Descontada parcela do empregado)]])-2,0)*($G239-$H239)</f>
        <v>582</v>
      </c>
      <c r="AG239" s="22">
        <f>VLOOKUP($A239,tabCustoUnit[],COLUMN(CUSTO_GLOBAL[[#Headers],[Cesta Básica]])-2,0)*($G239-$H239)</f>
        <v>0</v>
      </c>
      <c r="AH239" s="22">
        <f>VLOOKUP($A239,tabCustoUnit[],COLUMN(CUSTO_GLOBAL[[#Headers],[PAF]])-2,0)*($G239-$H239)</f>
        <v>51.87</v>
      </c>
      <c r="AI239" s="22">
        <f>VLOOKUP($A239,tabCustoUnit[],COLUMN(CUSTO_GLOBAL[[#Headers],[PQM]])-2,0)*($G239-$H239)</f>
        <v>0</v>
      </c>
      <c r="AJ239" s="22">
        <v>0</v>
      </c>
      <c r="AK239" s="22">
        <f>VLOOKUP($A239,tabCustoUnit[],COLUMN(CUSTO_GLOBAL[[#Headers],[Seguro de Vida]])-2,0)*($G239-$H239)</f>
        <v>3.36</v>
      </c>
      <c r="AL239" s="22">
        <f>VLOOKUP($A239,tabCustoUnit[],COLUMN(CUSTO_GLOBAL[[#Headers],[Despesas de Viagem]])-2,0)*($G239-$H239)</f>
        <v>0</v>
      </c>
      <c r="AM239" s="22" t="e">
        <f ca="1">VLOOKUP($A239,tabCustoUnit[],COLUMN(CUSTO_GLOBAL[[#Headers],[Submódulo 2.3]])-2,0)*($G239-$H239)</f>
        <v>#NAME?</v>
      </c>
      <c r="AN239" s="22" t="e">
        <f ca="1">VLOOKUP($A239,tabCustoUnit[],COLUMN(CUSTO_GLOBAL[[#Headers],[MÓDULO 2 - Total Encargos e Benefícios mensais e diários]])-2,0)*($G239-$H239)</f>
        <v>#NAME?</v>
      </c>
      <c r="AO239" s="22">
        <f>VLOOKUP($A239,tabCustoUnit[],COLUMN(CUSTO_GLOBAL[[#Headers],[Aviso Prévio Indenizado (API) e Reflexo do Aviso Prévio Indenizado]])-2,0)*($G239-$H239)</f>
        <v>13.766980408757716</v>
      </c>
      <c r="AP239" s="22">
        <f>VLOOKUP($A239,tabCustoUnit[],COLUMN(CUSTO_GLOBAL[[#Headers],[Incidência do FGTS sobre API e Reflexo do API]])-2,0)*($G239-$H239)</f>
        <v>1.1013584327006174</v>
      </c>
      <c r="AQ239" s="22">
        <f>VLOOKUP($A239,tabCustoUnit[],COLUMN(CUSTO_GLOBAL[[#Headers],[Multa Rescisória do FGTS sobre o Aviso Prévio Indenizado]])-2,0)*($G239-$H239)</f>
        <v>0.44054337308024699</v>
      </c>
      <c r="AR239" s="22">
        <f>VLOOKUP($A239,tabCustoUnit[],COLUMN(CUSTO_GLOBAL[[#Headers],[Aviso Prévio Trabalhado - APT]])-2,0)*($G239-$H239)</f>
        <v>6.8719385000000015</v>
      </c>
      <c r="AS239" s="22">
        <f>VLOOKUP($A239,tabCustoUnit[],COLUMN(CUSTO_GLOBAL[[#Headers],[Incidência dos encargos do submódulo 2.1 sobre Aviso Prévio Trabalhado]])-2,0)*($G239-$H239)</f>
        <v>2.5975927530000007</v>
      </c>
      <c r="AT239" s="22">
        <f>VLOOKUP($A239,tabCustoUnit[],COLUMN(CUSTO_GLOBAL[[#Headers],[Multa Rescisória do FGTS]])-2,0)*($G239-$H239)</f>
        <v>60.03674524444444</v>
      </c>
      <c r="AU239" s="22">
        <f>VLOOKUP($A239,tabCustoUnit[],COLUMN(CUSTO_GLOBAL[[#Headers],[Indenização Adicional (Art. 9º da Lei nº 7.238/84)]])-2,0)*($G239-$H239)</f>
        <v>1.6361758333333334</v>
      </c>
      <c r="AV239" s="22">
        <f>VLOOKUP($A239,tabCustoUnit[],COLUMN(CUSTO_GLOBAL[[#Headers],[MÓDULO 3 – PROVISÃO PARA RESCISÃO]])-2,0)*($G239-$H239)</f>
        <v>86.451334545316371</v>
      </c>
      <c r="AW239" s="22">
        <f>VLOOKUP($A239,tabCustoUnit[],COLUMN(CUSTO_GLOBAL[[#Headers],[Ausência por Doença]])-2,0)*($G239-$H239)</f>
        <v>16.579915111111109</v>
      </c>
      <c r="AX239" s="22">
        <f>VLOOKUP($A239,tabCustoUnit[],COLUMN(CUSTO_GLOBAL[[#Headers],[Ausências Legais]])-2,0)*($G239-$H239)</f>
        <v>3.9813611944444443</v>
      </c>
      <c r="AY239" s="22">
        <f>VLOOKUP($A239,tabCustoUnit[],COLUMN(CUSTO_GLOBAL[[#Headers],[Licença Paternidade]])-2,0)*($G239-$H239)</f>
        <v>0.33541604583333334</v>
      </c>
      <c r="AZ239" s="22">
        <f>VLOOKUP($A239,tabCustoUnit[],COLUMN(CUSTO_GLOBAL[[#Headers],[Ausência por Acidente de Trabalho]])-2,0)*($G239-$H239)</f>
        <v>0.40904395833333335</v>
      </c>
      <c r="BA239" s="22">
        <f>VLOOKUP($A239,tabCustoUnit[],COLUMN(CUSTO_GLOBAL[[#Headers],[Férias, Adicional de Férias e 13º  com empregada em gozo de Licença Maternidade]])-2,0)*($G239-$H239)</f>
        <v>2.5451624074074073</v>
      </c>
      <c r="BB239" s="22">
        <f>VLOOKUP($A239,tabCustoUnit[],COLUMN(CUSTO_GLOBAL[[#Headers],[Incidência do Submódulo 2.1 sobre Ausências Legais]])-2,0)*($G239-$H239)</f>
        <v>9.0156397150750021</v>
      </c>
      <c r="BC239" s="22">
        <f>VLOOKUP($A239,tabCustoUnit[],COLUMN(CUSTO_GLOBAL[[#Headers],[Submódulo 4.1]])-2,0)*($G239-$H239)</f>
        <v>32.866538432204628</v>
      </c>
      <c r="BD239" s="22">
        <f>VLOOKUP($A239,tabCustoUnit[],COLUMN(CUSTO_GLOBAL[[#Headers],[Intervalo para Repouso ou Alimentação]])-2,0)*($G239-$H239)</f>
        <v>267.73786489195959</v>
      </c>
      <c r="BE239" s="22">
        <f>VLOOKUP($A239,tabCustoUnit[],COLUMN(CUSTO_GLOBAL[[#Headers],[Submódulo 4.2]])-2,0)*($G239-$H239)</f>
        <v>267.73786489195959</v>
      </c>
      <c r="BF239" s="22">
        <f>VLOOKUP($A239,tabCustoUnit[],COLUMN(CUSTO_GLOBAL[[#Headers],[Suspensão Temporária do Contrato de Trabalho]])-2,0)*($G239-$H239)</f>
        <v>0</v>
      </c>
      <c r="BG239" s="22">
        <f>VLOOKUP($A239,tabCustoUnit[],COLUMN(CUSTO_GLOBAL[[#Headers],[Submódulo 4.3]])-2,0)*($G239-$H239)</f>
        <v>0</v>
      </c>
      <c r="BH239" s="22">
        <f>VLOOKUP($A239,tabCustoUnit[],COLUMN(CUSTO_GLOBAL[[#Headers],[MÓDULO 4 – CUSTO DE REPOSIÇÃO DO PROFISSIONAL AUSENTE]])-2,0)*($G239-$H239)</f>
        <v>300.6044033241642</v>
      </c>
      <c r="BI239" s="22">
        <f>VLOOKUP($A239,tabCustoUnit[],COLUMN(CUSTO_GLOBAL[[#Headers],[Uniformes e EPIs]])-2,0)*($G239-$H239)</f>
        <v>56.642978962543395</v>
      </c>
      <c r="BJ239" s="22">
        <f>VLOOKUP($A239,tabCustoUnit[],COLUMN(CUSTO_GLOBAL[[#Headers],[Materiais de Consumo]])-2,0)*($G239-$H239)</f>
        <v>0</v>
      </c>
      <c r="BK239" s="22">
        <f>VLOOKUP($A239,tabCustoUnit[],COLUMN(CUSTO_GLOBAL[[#Headers],[Máquinas e Equipamentos (depreciação)]])-2,0)*($G239-$H239)</f>
        <v>0</v>
      </c>
      <c r="BL239" s="22">
        <f>VLOOKUP($A239,tabCustoUnit[],COLUMN(CUSTO_GLOBAL[[#Headers],[Produtos de Limpeza e Materiais de Higiene Pessoal]])-2,0)*($G239-$H239)</f>
        <v>0</v>
      </c>
      <c r="BM239" s="22">
        <f>VLOOKUP($A239,tabCustoUnit[],COLUMN(CUSTO_GLOBAL[[#Headers],[Outros (especificar)]])-2,0)*($G239-$H239)</f>
        <v>0</v>
      </c>
      <c r="BN239" s="22">
        <f>VLOOKUP($A239,tabCustoUnit[],COLUMN(CUSTO_GLOBAL[[#Headers],[MÓDULO 5 – INSUMOS DIVERSOS]])-2,0)*($G239-$H239)</f>
        <v>56.642978962543395</v>
      </c>
      <c r="BO239" s="22" t="e">
        <f ca="1">VLOOKUP($A239,tabCustoUnit[],COLUMN(CUSTO_GLOBAL[[#Headers],[TOTAL MÓDULOS 1+2+3+4+5]])-2,0)*($G239-$H239)</f>
        <v>#NAME?</v>
      </c>
      <c r="BP239" s="22" t="e">
        <f ca="1">VLOOKUP($A239,tabCustoUnit[],COLUMN(CUSTO_GLOBAL[[#Headers],[Custos Indiretos]])-2,0)*($G239-$H239)</f>
        <v>#NAME?</v>
      </c>
      <c r="BQ239" s="22" t="e">
        <f ca="1">VLOOKUP($A239,tabCustoUnit[],COLUMN(CUSTO_GLOBAL[[#Headers],[Lucro]])-2,0)*($G239-$H239)</f>
        <v>#NAME?</v>
      </c>
      <c r="BR239" s="26">
        <f>VLOOKUP($A239,tabCustoUnit[],COLUMN(CUSTO_GLOBAL[[#Headers],[COFINS]])-2,0)</f>
        <v>8.8629737609329504E-2</v>
      </c>
      <c r="BS239" s="26">
        <f>VLOOKUP($A239,tabCustoUnit[],COLUMN(CUSTO_GLOBAL[[#Headers],[PIS]])-2,0)</f>
        <v>1.9241982507288629E-2</v>
      </c>
      <c r="BT239" s="28">
        <f>VLOOKUP($A239,tabCustoUnit[],COLUMN(CUSTO_GLOBAL[[#Headers],[ISS]])-2,0)</f>
        <v>0.05</v>
      </c>
      <c r="BU239" s="26">
        <f>VLOOKUP($A239,tabCustoUnit[],COLUMN(CUSTO_GLOBAL[[#Headers],[ISS (Conversão Alíquota s/ fatura)]])-2,0)</f>
        <v>5.8309037900874633E-2</v>
      </c>
      <c r="BV239" s="26">
        <f>VLOOKUP($A239,tabCustoUnit[],COLUMN(CUSTO_GLOBAL[[#Headers],[Resumo de Alíquotas (PIS+CONFINS+ISS)]])-2,0)</f>
        <v>0.14250000000000002</v>
      </c>
      <c r="BW239" s="138">
        <f>VLOOKUP($A239,tabCustoUnit[],COLUMN(CUSTO_GLOBAL[[#Headers],[PIS + COFINS + ISS (Total Conversão  Alíquota s/ Fatura)]])-2,0)</f>
        <v>0.16618075801749277</v>
      </c>
      <c r="BX239" s="22" t="e">
        <f ca="1">VLOOKUP($A239,tabCustoUnit[],COLUMN(CUSTO_GLOBAL[[#Headers],[Valor dos Tributos (ISS, PIS, CONFINS)]])-2,0)*($G239-$H239)</f>
        <v>#NAME?</v>
      </c>
      <c r="BY239" s="22" t="e">
        <f ca="1">VLOOKUP($A239,tabCustoUnit[],COLUMN(CUSTO_GLOBAL[[#Headers],[MÓDULO 6 – CUSTOS INDIRETOS, TRIBUTOS E LUCRO]])-2,0)*($G239-$H239)</f>
        <v>#NAME?</v>
      </c>
      <c r="BZ239" s="22" t="e">
        <f ca="1">VLOOKUP($A239,tabCustoUnit[],COLUMN(CUSTO_GLOBAL[[#Headers],[CUSTO TOTAL MENSAL]])-2,0)*($G239-$H239)</f>
        <v>#NAME?</v>
      </c>
      <c r="CA239" s="22" t="e">
        <f ca="1">CUSTO_GLOBAL[[#This Row],[CUSTO TOTAL MENSAL]]*12</f>
        <v>#NAME?</v>
      </c>
      <c r="CB239" s="24">
        <f>VLOOKUP($A239,tabCustoUnit[],COLUMN(CUSTO_GLOBAL[[#Headers],[ANO DA CCT]])-2,0)</f>
        <v>45658</v>
      </c>
      <c r="CC239" s="25" t="str">
        <f>VLOOKUP($A239,tabCustoUnit[],COLUMN(CUSTO_GLOBAL[[#Headers],[Nº DE PEDIDO DA CCT]])-2,0)</f>
        <v>-</v>
      </c>
      <c r="CD239" s="25" t="str">
        <f>VLOOKUP($A239,tabCustoUnit[],COLUMN(CUSTO_GLOBAL[[#Headers],[TERMO ADITIVO ALTERAÇÃO DA CCT]])-2,0)</f>
        <v>-</v>
      </c>
    </row>
    <row r="240" spans="1:82">
      <c r="A240" s="20" t="s">
        <v>1665</v>
      </c>
      <c r="B240" t="s">
        <v>1177</v>
      </c>
      <c r="C240" t="s">
        <v>324</v>
      </c>
      <c r="D240" t="s">
        <v>918</v>
      </c>
      <c r="E240" s="20" t="s">
        <v>1090</v>
      </c>
      <c r="F240" s="20" t="s">
        <v>120</v>
      </c>
      <c r="G240" s="20">
        <v>1</v>
      </c>
      <c r="H240" s="20">
        <v>0</v>
      </c>
      <c r="I240" s="21">
        <f>VLOOKUP($A240,tabCustoUnit[],COLUMN(CUSTO_GLOBAL[[#Headers],[Salário Base]])-2,0)*($G240-$H240)</f>
        <v>3397.1306</v>
      </c>
      <c r="J240" s="21">
        <f>VLOOKUP($A240,tabCustoUnit[],COLUMN(CUSTO_GLOBAL[[#Headers],[Adicional Periculosidade]])-2,0)*($G240-$H240)</f>
        <v>0</v>
      </c>
      <c r="K240" s="21">
        <f>VLOOKUP($A240,tabCustoUnit[],COLUMN(CUSTO_GLOBAL[[#Headers],[Adicional Insalubridade]])-2,0)*($G240-$H240)</f>
        <v>0</v>
      </c>
      <c r="L240" s="21">
        <f>VLOOKUP($A240,tabCustoUnit[],COLUMN(CUSTO_GLOBAL[[#Headers],[Adicional Noturno]])-2,0)*($G240-$H240)</f>
        <v>0</v>
      </c>
      <c r="M240" s="21">
        <f>VLOOKUP($A240,tabCustoUnit[],COLUMN(CUSTO_GLOBAL[[#Headers],[Adicional Motorista II (Gratificação)]])-2,0)*($G240-$H240)</f>
        <v>0</v>
      </c>
      <c r="N240" s="21">
        <f>VLOOKUP($A240,tabCustoUnit[],COLUMN(CUSTO_GLOBAL[[#Headers],[Adicional de Sobreaviso]])-2,0)*($G240-$H240)</f>
        <v>0</v>
      </c>
      <c r="O240" s="21">
        <f>VLOOKUP($A240,tabCustoUnit[],COLUMN(CUSTO_GLOBAL[[#Headers],[Horas Extras TI]])-2,0)*($G240-$H240)</f>
        <v>0</v>
      </c>
      <c r="P240" s="21">
        <f>VLOOKUP($A240,tabCustoUnit[],COLUMN(CUSTO_GLOBAL[[#Headers],[Adicional de Acúmulo de função]])-2,0)*($G240-$H240)</f>
        <v>0</v>
      </c>
      <c r="Q240" s="21">
        <f>VLOOKUP($A240,tabCustoUnit[],COLUMN(CUSTO_GLOBAL[[#Headers],[MODULO 1 - REMUNERAÇÃO ]])-2,0)*($G240-$H240)</f>
        <v>3397.1306</v>
      </c>
      <c r="R240" s="21">
        <f>VLOOKUP($A240,tabCustoUnit[],COLUMN(CUSTO_GLOBAL[[#Headers],[INSS]])-2,0)*($G240-$H240)</f>
        <v>679.42612000000008</v>
      </c>
      <c r="S240" s="21">
        <f>VLOOKUP($A240,tabCustoUnit[],COLUMN(CUSTO_GLOBAL[[#Headers],[SESI OU SESC]])-2,0)*($G240-$H240)</f>
        <v>50.956958999999998</v>
      </c>
      <c r="T240" s="21">
        <f>VLOOKUP($A240,tabCustoUnit[],COLUMN(CUSTO_GLOBAL[[#Headers],[SENAI OU SENAC]])-2,0)*($G240-$H240)</f>
        <v>33.971305999999998</v>
      </c>
      <c r="U240" s="21">
        <f>VLOOKUP($A240,tabCustoUnit[],COLUMN(CUSTO_GLOBAL[[#Headers],[INCRA]])-2,0)*($G240-$H240)</f>
        <v>6.7942612000000002</v>
      </c>
      <c r="V240" s="21">
        <f>VLOOKUP($A240,tabCustoUnit[],COLUMN(CUSTO_GLOBAL[[#Headers],[Salário Educação]])-2,0)*($G240-$H240)</f>
        <v>84.92826500000001</v>
      </c>
      <c r="W240" s="21">
        <f>VLOOKUP($A240,tabCustoUnit[],COLUMN(CUSTO_GLOBAL[[#Headers],[FGTS]])-2,0)*($G240-$H240)</f>
        <v>271.77044799999999</v>
      </c>
      <c r="X240" s="21">
        <f>VLOOKUP($A240,tabCustoUnit[],COLUMN(CUSTO_GLOBAL[[#Headers],[RAT Ajustado]])-2,0)*($G240-$H240)</f>
        <v>135.88522399999999</v>
      </c>
      <c r="Y240" s="21">
        <f>VLOOKUP($A240,tabCustoUnit[],COLUMN(CUSTO_GLOBAL[[#Headers],[SEBRAE]])-2,0)*($G240-$H240)</f>
        <v>20.3827836</v>
      </c>
      <c r="Z240" s="21">
        <f>VLOOKUP($A240,tabCustoUnit[],COLUMN(CUSTO_GLOBAL[[#Headers],[Submódulo 2.1]])-2,0)*($G240-$H240)</f>
        <v>1284.1153668000002</v>
      </c>
      <c r="AA240" s="21">
        <f>VLOOKUP($A240,tabCustoUnit[],COLUMN(CUSTO_GLOBAL[[#Headers],[13º salário (titular)]])-2,0)*($G240-$H240)</f>
        <v>283.09421666666663</v>
      </c>
      <c r="AB240" s="21">
        <f>VLOOKUP($A240,tabCustoUnit[],COLUMN(CUSTO_GLOBAL[[#Headers],[Férias e Adicional de Férias (titular)]])-2,0)*($G240-$H240)</f>
        <v>377.45895555555552</v>
      </c>
      <c r="AC240" s="21">
        <f>VLOOKUP($A240,tabCustoUnit[],COLUMN(CUSTO_GLOBAL[[#Headers],[Incidência do Submódulo 2.1 sobre 13º Salário, Férias e Adicional de Férias]])-2,0)*($G240-$H240)</f>
        <v>249.68909910000002</v>
      </c>
      <c r="AD240" s="21">
        <f>VLOOKUP($A240,tabCustoUnit[],COLUMN(CUSTO_GLOBAL[[#Headers],[Submódulo 2.2]])-2,0)*($G240-$H240)</f>
        <v>910.24227132222222</v>
      </c>
      <c r="AE240" s="22" t="e">
        <f ca="1">VLOOKUP($A240,tabCustoUnit[],COLUMN(CUSTO_GLOBAL[[#Headers],[Vale - Transporte (Descontada parcela do empregado)]])-2,0)*($G240-$H240)</f>
        <v>#NAME?</v>
      </c>
      <c r="AF240" s="22">
        <f>VLOOKUP($A240,tabCustoUnit[],COLUMN(CUSTO_GLOBAL[[#Headers],[Vale - Alimentação (Descontada parcela do empregado)]])-2,0)*($G240-$H240)</f>
        <v>582</v>
      </c>
      <c r="AG240" s="22">
        <f>VLOOKUP($A240,tabCustoUnit[],COLUMN(CUSTO_GLOBAL[[#Headers],[Cesta Básica]])-2,0)*($G240-$H240)</f>
        <v>0</v>
      </c>
      <c r="AH240" s="22">
        <f>VLOOKUP($A240,tabCustoUnit[],COLUMN(CUSTO_GLOBAL[[#Headers],[PAF]])-2,0)*($G240-$H240)</f>
        <v>0</v>
      </c>
      <c r="AI240" s="22">
        <f>VLOOKUP($A240,tabCustoUnit[],COLUMN(CUSTO_GLOBAL[[#Headers],[PQM]])-2,0)*($G240-$H240)</f>
        <v>15.07</v>
      </c>
      <c r="AJ240" s="22">
        <v>0</v>
      </c>
      <c r="AK240" s="22">
        <f>VLOOKUP($A240,tabCustoUnit[],COLUMN(CUSTO_GLOBAL[[#Headers],[Seguro de Vida]])-2,0)*($G240-$H240)</f>
        <v>3.36</v>
      </c>
      <c r="AL240" s="22">
        <f>VLOOKUP($A240,tabCustoUnit[],COLUMN(CUSTO_GLOBAL[[#Headers],[Despesas de Viagem]])-2,0)*($G240-$H240)</f>
        <v>0</v>
      </c>
      <c r="AM240" s="22" t="e">
        <f ca="1">VLOOKUP($A240,tabCustoUnit[],COLUMN(CUSTO_GLOBAL[[#Headers],[Submódulo 2.3]])-2,0)*($G240-$H240)</f>
        <v>#NAME?</v>
      </c>
      <c r="AN240" s="22" t="e">
        <f ca="1">VLOOKUP($A240,tabCustoUnit[],COLUMN(CUSTO_GLOBAL[[#Headers],[MÓDULO 2 - Total Encargos e Benefícios mensais e diários]])-2,0)*($G240-$H240)</f>
        <v>#NAME?</v>
      </c>
      <c r="AO240" s="22">
        <f>VLOOKUP($A240,tabCustoUnit[],COLUMN(CUSTO_GLOBAL[[#Headers],[Aviso Prévio Indenizado (API) e Reflexo do Aviso Prévio Indenizado]])-2,0)*($G240-$H240)</f>
        <v>23.819888151890432</v>
      </c>
      <c r="AP240" s="22">
        <f>VLOOKUP($A240,tabCustoUnit[],COLUMN(CUSTO_GLOBAL[[#Headers],[Incidência do FGTS sobre API e Reflexo do API]])-2,0)*($G240-$H240)</f>
        <v>1.9055910521512347</v>
      </c>
      <c r="AQ240" s="22">
        <f>VLOOKUP($A240,tabCustoUnit[],COLUMN(CUSTO_GLOBAL[[#Headers],[Multa Rescisória do FGTS sobre o Aviso Prévio Indenizado]])-2,0)*($G240-$H240)</f>
        <v>0.76223642086049392</v>
      </c>
      <c r="AR240" s="22">
        <f>VLOOKUP($A240,tabCustoUnit[],COLUMN(CUSTO_GLOBAL[[#Headers],[Aviso Prévio Trabalhado - APT]])-2,0)*($G240-$H240)</f>
        <v>11.889957100000002</v>
      </c>
      <c r="AS240" s="22">
        <f>VLOOKUP($A240,tabCustoUnit[],COLUMN(CUSTO_GLOBAL[[#Headers],[Incidência dos encargos do submódulo 2.1 sobre Aviso Prévio Trabalhado]])-2,0)*($G240-$H240)</f>
        <v>4.4944037838000011</v>
      </c>
      <c r="AT240" s="22">
        <f>VLOOKUP($A240,tabCustoUnit[],COLUMN(CUSTO_GLOBAL[[#Headers],[Multa Rescisória do FGTS]])-2,0)*($G240-$H240)</f>
        <v>103.87670456888887</v>
      </c>
      <c r="AU240" s="22">
        <f>VLOOKUP($A240,tabCustoUnit[],COLUMN(CUSTO_GLOBAL[[#Headers],[Indenização Adicional (Art. 9º da Lei nº 7.238/84)]])-2,0)*($G240-$H240)</f>
        <v>2.830942166666667</v>
      </c>
      <c r="AV240" s="22">
        <f>VLOOKUP($A240,tabCustoUnit[],COLUMN(CUSTO_GLOBAL[[#Headers],[MÓDULO 3 – PROVISÃO PARA RESCISÃO]])-2,0)*($G240-$H240)</f>
        <v>149.57972324425771</v>
      </c>
      <c r="AW240" s="22">
        <f>VLOOKUP($A240,tabCustoUnit[],COLUMN(CUSTO_GLOBAL[[#Headers],[Ausência por Doença]])-2,0)*($G240-$H240)</f>
        <v>28.686880622222219</v>
      </c>
      <c r="AX240" s="22">
        <f>VLOOKUP($A240,tabCustoUnit[],COLUMN(CUSTO_GLOBAL[[#Headers],[Ausências Legais]])-2,0)*($G240-$H240)</f>
        <v>6.8886259388888886</v>
      </c>
      <c r="AY240" s="22">
        <f>VLOOKUP($A240,tabCustoUnit[],COLUMN(CUSTO_GLOBAL[[#Headers],[Licença Paternidade]])-2,0)*($G240-$H240)</f>
        <v>0.58034314416666666</v>
      </c>
      <c r="AZ240" s="22">
        <f>VLOOKUP($A240,tabCustoUnit[],COLUMN(CUSTO_GLOBAL[[#Headers],[Ausência por Acidente de Trabalho]])-2,0)*($G240-$H240)</f>
        <v>0.70773554166666675</v>
      </c>
      <c r="BA240" s="22">
        <f>VLOOKUP($A240,tabCustoUnit[],COLUMN(CUSTO_GLOBAL[[#Headers],[Férias, Adicional de Férias e 13º  com empregada em gozo de Licença Maternidade]])-2,0)*($G240-$H240)</f>
        <v>4.4036878148148144</v>
      </c>
      <c r="BB240" s="22">
        <f>VLOOKUP($A240,tabCustoUnit[],COLUMN(CUSTO_GLOBAL[[#Headers],[Incidência do Submódulo 2.1 sobre Ausências Legais]])-2,0)*($G240-$H240)</f>
        <v>15.599029217345002</v>
      </c>
      <c r="BC240" s="22">
        <f>VLOOKUP($A240,tabCustoUnit[],COLUMN(CUSTO_GLOBAL[[#Headers],[Submódulo 4.1]])-2,0)*($G240-$H240)</f>
        <v>56.866302279104261</v>
      </c>
      <c r="BD240" s="22">
        <f>VLOOKUP($A240,tabCustoUnit[],COLUMN(CUSTO_GLOBAL[[#Headers],[Intervalo para Repouso ou Alimentação]])-2,0)*($G240-$H240)</f>
        <v>0</v>
      </c>
      <c r="BE240" s="22">
        <f>VLOOKUP($A240,tabCustoUnit[],COLUMN(CUSTO_GLOBAL[[#Headers],[Submódulo 4.2]])-2,0)*($G240-$H240)</f>
        <v>0</v>
      </c>
      <c r="BF240" s="22">
        <f>VLOOKUP($A240,tabCustoUnit[],COLUMN(CUSTO_GLOBAL[[#Headers],[Suspensão Temporária do Contrato de Trabalho]])-2,0)*($G240-$H240)</f>
        <v>0</v>
      </c>
      <c r="BG240" s="22">
        <f>VLOOKUP($A240,tabCustoUnit[],COLUMN(CUSTO_GLOBAL[[#Headers],[Submódulo 4.3]])-2,0)*($G240-$H240)</f>
        <v>0</v>
      </c>
      <c r="BH240" s="22">
        <f>VLOOKUP($A240,tabCustoUnit[],COLUMN(CUSTO_GLOBAL[[#Headers],[MÓDULO 4 – CUSTO DE REPOSIÇÃO DO PROFISSIONAL AUSENTE]])-2,0)*($G240-$H240)</f>
        <v>56.866302279104261</v>
      </c>
      <c r="BI240" s="22">
        <f>VLOOKUP($A240,tabCustoUnit[],COLUMN(CUSTO_GLOBAL[[#Headers],[Uniformes e EPIs]])-2,0)*($G240-$H240)</f>
        <v>56.642978962543395</v>
      </c>
      <c r="BJ240" s="22">
        <f>VLOOKUP($A240,tabCustoUnit[],COLUMN(CUSTO_GLOBAL[[#Headers],[Materiais de Consumo]])-2,0)*($G240-$H240)</f>
        <v>0</v>
      </c>
      <c r="BK240" s="22">
        <f>VLOOKUP($A240,tabCustoUnit[],COLUMN(CUSTO_GLOBAL[[#Headers],[Máquinas e Equipamentos (depreciação)]])-2,0)*($G240-$H240)</f>
        <v>0</v>
      </c>
      <c r="BL240" s="22">
        <f>VLOOKUP($A240,tabCustoUnit[],COLUMN(CUSTO_GLOBAL[[#Headers],[Produtos de Limpeza e Materiais de Higiene Pessoal]])-2,0)*($G240-$H240)</f>
        <v>0</v>
      </c>
      <c r="BM240" s="22">
        <f>VLOOKUP($A240,tabCustoUnit[],COLUMN(CUSTO_GLOBAL[[#Headers],[Outros (especificar)]])-2,0)*($G240-$H240)</f>
        <v>0</v>
      </c>
      <c r="BN240" s="22">
        <f>VLOOKUP($A240,tabCustoUnit[],COLUMN(CUSTO_GLOBAL[[#Headers],[MÓDULO 5 – INSUMOS DIVERSOS]])-2,0)*($G240-$H240)</f>
        <v>56.642978962543395</v>
      </c>
      <c r="BO240" s="22" t="e">
        <f ca="1">VLOOKUP($A240,tabCustoUnit[],COLUMN(CUSTO_GLOBAL[[#Headers],[TOTAL MÓDULOS 1+2+3+4+5]])-2,0)*($G240-$H240)</f>
        <v>#NAME?</v>
      </c>
      <c r="BP240" s="22" t="e">
        <f ca="1">VLOOKUP($A240,tabCustoUnit[],COLUMN(CUSTO_GLOBAL[[#Headers],[Custos Indiretos]])-2,0)*($G240-$H240)</f>
        <v>#NAME?</v>
      </c>
      <c r="BQ240" s="22" t="e">
        <f ca="1">VLOOKUP($A240,tabCustoUnit[],COLUMN(CUSTO_GLOBAL[[#Headers],[Lucro]])-2,0)*($G240-$H240)</f>
        <v>#NAME?</v>
      </c>
      <c r="BR240" s="26">
        <f>VLOOKUP($A240,tabCustoUnit[],COLUMN(CUSTO_GLOBAL[[#Headers],[COFINS]])-2,0)</f>
        <v>8.7608069164265154E-2</v>
      </c>
      <c r="BS240" s="26">
        <f>VLOOKUP($A240,tabCustoUnit[],COLUMN(CUSTO_GLOBAL[[#Headers],[PIS]])-2,0)</f>
        <v>1.9020172910662814E-2</v>
      </c>
      <c r="BT240" s="28">
        <f>VLOOKUP($A240,tabCustoUnit[],COLUMN(CUSTO_GLOBAL[[#Headers],[ISS]])-2,0)</f>
        <v>0.04</v>
      </c>
      <c r="BU240" s="26">
        <f>VLOOKUP($A240,tabCustoUnit[],COLUMN(CUSTO_GLOBAL[[#Headers],[ISS (Conversão Alíquota s/ fatura)]])-2,0)</f>
        <v>4.6109510086455294E-2</v>
      </c>
      <c r="BV240" s="26">
        <f>VLOOKUP($A240,tabCustoUnit[],COLUMN(CUSTO_GLOBAL[[#Headers],[Resumo de Alíquotas (PIS+CONFINS+ISS)]])-2,0)</f>
        <v>0.13250000000000001</v>
      </c>
      <c r="BW240" s="138">
        <f>VLOOKUP($A240,tabCustoUnit[],COLUMN(CUSTO_GLOBAL[[#Headers],[PIS + COFINS + ISS (Total Conversão  Alíquota s/ Fatura)]])-2,0)</f>
        <v>0.15273775216138324</v>
      </c>
      <c r="BX240" s="22" t="e">
        <f ca="1">VLOOKUP($A240,tabCustoUnit[],COLUMN(CUSTO_GLOBAL[[#Headers],[Valor dos Tributos (ISS, PIS, CONFINS)]])-2,0)*($G240-$H240)</f>
        <v>#NAME?</v>
      </c>
      <c r="BY240" s="22" t="e">
        <f ca="1">VLOOKUP($A240,tabCustoUnit[],COLUMN(CUSTO_GLOBAL[[#Headers],[MÓDULO 6 – CUSTOS INDIRETOS, TRIBUTOS E LUCRO]])-2,0)*($G240-$H240)</f>
        <v>#NAME?</v>
      </c>
      <c r="BZ240" s="22" t="e">
        <f ca="1">VLOOKUP($A240,tabCustoUnit[],COLUMN(CUSTO_GLOBAL[[#Headers],[CUSTO TOTAL MENSAL]])-2,0)*($G240-$H240)</f>
        <v>#NAME?</v>
      </c>
      <c r="CA240" s="22" t="e">
        <f ca="1">CUSTO_GLOBAL[[#This Row],[CUSTO TOTAL MENSAL]]*12</f>
        <v>#NAME?</v>
      </c>
      <c r="CB240" s="24">
        <f>VLOOKUP($A240,tabCustoUnit[],COLUMN(CUSTO_GLOBAL[[#Headers],[ANO DA CCT]])-2,0)</f>
        <v>45658</v>
      </c>
      <c r="CC240" s="25" t="str">
        <f>VLOOKUP($A240,tabCustoUnit[],COLUMN(CUSTO_GLOBAL[[#Headers],[Nº DE PEDIDO DA CCT]])-2,0)</f>
        <v>-</v>
      </c>
      <c r="CD240" s="25" t="str">
        <f>VLOOKUP($A240,tabCustoUnit[],COLUMN(CUSTO_GLOBAL[[#Headers],[TERMO ADITIVO ALTERAÇÃO DA CCT]])-2,0)</f>
        <v>-</v>
      </c>
    </row>
    <row r="241" spans="1:82">
      <c r="A241" s="20" t="s">
        <v>1666</v>
      </c>
      <c r="B241" t="s">
        <v>1178</v>
      </c>
      <c r="C241" t="s">
        <v>314</v>
      </c>
      <c r="D241" t="s">
        <v>961</v>
      </c>
      <c r="E241" s="20" t="s">
        <v>1090</v>
      </c>
      <c r="F241" s="20" t="s">
        <v>120</v>
      </c>
      <c r="G241" s="20">
        <v>1</v>
      </c>
      <c r="H241" s="20">
        <v>0</v>
      </c>
      <c r="I241" s="21">
        <f>VLOOKUP($A241,tabCustoUnit[],COLUMN(CUSTO_GLOBAL[[#Headers],[Salário Base]])-2,0)*($G241-$H241)</f>
        <v>1963.405</v>
      </c>
      <c r="J241" s="21">
        <f>VLOOKUP($A241,tabCustoUnit[],COLUMN(CUSTO_GLOBAL[[#Headers],[Adicional Periculosidade]])-2,0)*($G241-$H241)</f>
        <v>0</v>
      </c>
      <c r="K241" s="21">
        <f>VLOOKUP($A241,tabCustoUnit[],COLUMN(CUSTO_GLOBAL[[#Headers],[Adicional Insalubridade]])-2,0)*($G241-$H241)</f>
        <v>0</v>
      </c>
      <c r="L241" s="21">
        <f>VLOOKUP($A241,tabCustoUnit[],COLUMN(CUSTO_GLOBAL[[#Headers],[Adicional Noturno]])-2,0)*($G241-$H241)</f>
        <v>0</v>
      </c>
      <c r="M241" s="21">
        <f>VLOOKUP($A241,tabCustoUnit[],COLUMN(CUSTO_GLOBAL[[#Headers],[Adicional Motorista II (Gratificação)]])-2,0)*($G241-$H241)</f>
        <v>0</v>
      </c>
      <c r="N241" s="21">
        <f>VLOOKUP($A241,tabCustoUnit[],COLUMN(CUSTO_GLOBAL[[#Headers],[Adicional de Sobreaviso]])-2,0)*($G241-$H241)</f>
        <v>0</v>
      </c>
      <c r="O241" s="21">
        <f>VLOOKUP($A241,tabCustoUnit[],COLUMN(CUSTO_GLOBAL[[#Headers],[Horas Extras TI]])-2,0)*($G241-$H241)</f>
        <v>0</v>
      </c>
      <c r="P241" s="21">
        <f>VLOOKUP($A241,tabCustoUnit[],COLUMN(CUSTO_GLOBAL[[#Headers],[Adicional de Acúmulo de função]])-2,0)*($G241-$H241)</f>
        <v>0</v>
      </c>
      <c r="Q241" s="21">
        <f>VLOOKUP($A241,tabCustoUnit[],COLUMN(CUSTO_GLOBAL[[#Headers],[MODULO 1 - REMUNERAÇÃO ]])-2,0)*($G241-$H241)</f>
        <v>1963.405</v>
      </c>
      <c r="R241" s="21">
        <f>VLOOKUP($A241,tabCustoUnit[],COLUMN(CUSTO_GLOBAL[[#Headers],[INSS]])-2,0)*($G241-$H241)</f>
        <v>392.68100000000004</v>
      </c>
      <c r="S241" s="21">
        <f>VLOOKUP($A241,tabCustoUnit[],COLUMN(CUSTO_GLOBAL[[#Headers],[SESI OU SESC]])-2,0)*($G241-$H241)</f>
        <v>29.451074999999999</v>
      </c>
      <c r="T241" s="21">
        <f>VLOOKUP($A241,tabCustoUnit[],COLUMN(CUSTO_GLOBAL[[#Headers],[SENAI OU SENAC]])-2,0)*($G241-$H241)</f>
        <v>19.634049999999998</v>
      </c>
      <c r="U241" s="21">
        <f>VLOOKUP($A241,tabCustoUnit[],COLUMN(CUSTO_GLOBAL[[#Headers],[INCRA]])-2,0)*($G241-$H241)</f>
        <v>3.9268100000000001</v>
      </c>
      <c r="V241" s="21">
        <f>VLOOKUP($A241,tabCustoUnit[],COLUMN(CUSTO_GLOBAL[[#Headers],[Salário Educação]])-2,0)*($G241-$H241)</f>
        <v>49.085125000000005</v>
      </c>
      <c r="W241" s="21">
        <f>VLOOKUP($A241,tabCustoUnit[],COLUMN(CUSTO_GLOBAL[[#Headers],[FGTS]])-2,0)*($G241-$H241)</f>
        <v>157.07239999999999</v>
      </c>
      <c r="X241" s="21">
        <f>VLOOKUP($A241,tabCustoUnit[],COLUMN(CUSTO_GLOBAL[[#Headers],[RAT Ajustado]])-2,0)*($G241-$H241)</f>
        <v>78.536199999999994</v>
      </c>
      <c r="Y241" s="21">
        <f>VLOOKUP($A241,tabCustoUnit[],COLUMN(CUSTO_GLOBAL[[#Headers],[SEBRAE]])-2,0)*($G241-$H241)</f>
        <v>11.780430000000001</v>
      </c>
      <c r="Z241" s="21">
        <f>VLOOKUP($A241,tabCustoUnit[],COLUMN(CUSTO_GLOBAL[[#Headers],[Submódulo 2.1]])-2,0)*($G241-$H241)</f>
        <v>742.16709000000003</v>
      </c>
      <c r="AA241" s="21">
        <f>VLOOKUP($A241,tabCustoUnit[],COLUMN(CUSTO_GLOBAL[[#Headers],[13º salário (titular)]])-2,0)*($G241-$H241)</f>
        <v>163.61708333333331</v>
      </c>
      <c r="AB241" s="21">
        <f>VLOOKUP($A241,tabCustoUnit[],COLUMN(CUSTO_GLOBAL[[#Headers],[Férias e Adicional de Férias (titular)]])-2,0)*($G241-$H241)</f>
        <v>218.1561111111111</v>
      </c>
      <c r="AC241" s="21">
        <f>VLOOKUP($A241,tabCustoUnit[],COLUMN(CUSTO_GLOBAL[[#Headers],[Incidência do Submódulo 2.1 sobre 13º Salário, Férias e Adicional de Férias]])-2,0)*($G241-$H241)</f>
        <v>144.31026749999998</v>
      </c>
      <c r="AD241" s="21">
        <f>VLOOKUP($A241,tabCustoUnit[],COLUMN(CUSTO_GLOBAL[[#Headers],[Submódulo 2.2]])-2,0)*($G241-$H241)</f>
        <v>526.08346194444437</v>
      </c>
      <c r="AE241" s="22" t="e">
        <f ca="1">VLOOKUP($A241,tabCustoUnit[],COLUMN(CUSTO_GLOBAL[[#Headers],[Vale - Transporte (Descontada parcela do empregado)]])-2,0)*($G241-$H241)</f>
        <v>#NAME?</v>
      </c>
      <c r="AF241" s="22">
        <f>VLOOKUP($A241,tabCustoUnit[],COLUMN(CUSTO_GLOBAL[[#Headers],[Vale - Alimentação (Descontada parcela do empregado)]])-2,0)*($G241-$H241)</f>
        <v>582</v>
      </c>
      <c r="AG241" s="22">
        <f>VLOOKUP($A241,tabCustoUnit[],COLUMN(CUSTO_GLOBAL[[#Headers],[Cesta Básica]])-2,0)*($G241-$H241)</f>
        <v>0</v>
      </c>
      <c r="AH241" s="22">
        <f>VLOOKUP($A241,tabCustoUnit[],COLUMN(CUSTO_GLOBAL[[#Headers],[PAF]])-2,0)*($G241-$H241)</f>
        <v>0</v>
      </c>
      <c r="AI241" s="22">
        <f>VLOOKUP($A241,tabCustoUnit[],COLUMN(CUSTO_GLOBAL[[#Headers],[PQM]])-2,0)*($G241-$H241)</f>
        <v>0</v>
      </c>
      <c r="AJ241" s="22">
        <v>0</v>
      </c>
      <c r="AK241" s="22">
        <f>VLOOKUP($A241,tabCustoUnit[],COLUMN(CUSTO_GLOBAL[[#Headers],[Seguro de Vida]])-2,0)*($G241-$H241)</f>
        <v>3.36</v>
      </c>
      <c r="AL241" s="22">
        <f>VLOOKUP($A241,tabCustoUnit[],COLUMN(CUSTO_GLOBAL[[#Headers],[Despesas de Viagem]])-2,0)*($G241-$H241)</f>
        <v>0</v>
      </c>
      <c r="AM241" s="22" t="e">
        <f ca="1">VLOOKUP($A241,tabCustoUnit[],COLUMN(CUSTO_GLOBAL[[#Headers],[Submódulo 2.3]])-2,0)*($G241-$H241)</f>
        <v>#NAME?</v>
      </c>
      <c r="AN241" s="22" t="e">
        <f ca="1">VLOOKUP($A241,tabCustoUnit[],COLUMN(CUSTO_GLOBAL[[#Headers],[MÓDULO 2 - Total Encargos e Benefícios mensais e diários]])-2,0)*($G241-$H241)</f>
        <v>#NAME?</v>
      </c>
      <c r="AO241" s="22">
        <f>VLOOKUP($A241,tabCustoUnit[],COLUMN(CUSTO_GLOBAL[[#Headers],[Aviso Prévio Indenizado (API) e Reflexo do Aviso Prévio Indenizado]])-2,0)*($G241-$H241)</f>
        <v>13.766938338155864</v>
      </c>
      <c r="AP241" s="22">
        <f>VLOOKUP($A241,tabCustoUnit[],COLUMN(CUSTO_GLOBAL[[#Headers],[Incidência do FGTS sobre API e Reflexo do API]])-2,0)*($G241-$H241)</f>
        <v>1.1013550670524692</v>
      </c>
      <c r="AQ241" s="22">
        <f>VLOOKUP($A241,tabCustoUnit[],COLUMN(CUSTO_GLOBAL[[#Headers],[Multa Rescisória do FGTS sobre o Aviso Prévio Indenizado]])-2,0)*($G241-$H241)</f>
        <v>0.44054202682098775</v>
      </c>
      <c r="AR241" s="22">
        <f>VLOOKUP($A241,tabCustoUnit[],COLUMN(CUSTO_GLOBAL[[#Headers],[Aviso Prévio Trabalhado - APT]])-2,0)*($G241-$H241)</f>
        <v>6.8719175000000012</v>
      </c>
      <c r="AS241" s="22">
        <f>VLOOKUP($A241,tabCustoUnit[],COLUMN(CUSTO_GLOBAL[[#Headers],[Incidência dos encargos do submódulo 2.1 sobre Aviso Prévio Trabalhado]])-2,0)*($G241-$H241)</f>
        <v>2.5975848150000007</v>
      </c>
      <c r="AT241" s="22">
        <f>VLOOKUP($A241,tabCustoUnit[],COLUMN(CUSTO_GLOBAL[[#Headers],[Multa Rescisória do FGTS]])-2,0)*($G241-$H241)</f>
        <v>60.03656177777777</v>
      </c>
      <c r="AU241" s="22">
        <f>VLOOKUP($A241,tabCustoUnit[],COLUMN(CUSTO_GLOBAL[[#Headers],[Indenização Adicional (Art. 9º da Lei nº 7.238/84)]])-2,0)*($G241-$H241)</f>
        <v>1.6361708333333334</v>
      </c>
      <c r="AV241" s="22">
        <f>VLOOKUP($A241,tabCustoUnit[],COLUMN(CUSTO_GLOBAL[[#Headers],[MÓDULO 3 – PROVISÃO PARA RESCISÃO]])-2,0)*($G241-$H241)</f>
        <v>86.451070358140427</v>
      </c>
      <c r="AW241" s="22">
        <f>VLOOKUP($A241,tabCustoUnit[],COLUMN(CUSTO_GLOBAL[[#Headers],[Ausência por Doença]])-2,0)*($G241-$H241)</f>
        <v>16.579864444444443</v>
      </c>
      <c r="AX241" s="22">
        <f>VLOOKUP($A241,tabCustoUnit[],COLUMN(CUSTO_GLOBAL[[#Headers],[Ausências Legais]])-2,0)*($G241-$H241)</f>
        <v>3.9813490277777777</v>
      </c>
      <c r="AY241" s="22">
        <f>VLOOKUP($A241,tabCustoUnit[],COLUMN(CUSTO_GLOBAL[[#Headers],[Licença Paternidade]])-2,0)*($G241-$H241)</f>
        <v>0.3354150208333333</v>
      </c>
      <c r="AZ241" s="22">
        <f>VLOOKUP($A241,tabCustoUnit[],COLUMN(CUSTO_GLOBAL[[#Headers],[Ausência por Acidente de Trabalho]])-2,0)*($G241-$H241)</f>
        <v>0.40904270833333334</v>
      </c>
      <c r="BA241" s="22">
        <f>VLOOKUP($A241,tabCustoUnit[],COLUMN(CUSTO_GLOBAL[[#Headers],[Férias, Adicional de Férias e 13º  com empregada em gozo de Licença Maternidade]])-2,0)*($G241-$H241)</f>
        <v>2.5451546296296295</v>
      </c>
      <c r="BB241" s="22">
        <f>VLOOKUP($A241,tabCustoUnit[],COLUMN(CUSTO_GLOBAL[[#Headers],[Incidência do Submódulo 2.1 sobre Ausências Legais]])-2,0)*($G241-$H241)</f>
        <v>9.0156121641250007</v>
      </c>
      <c r="BC241" s="22">
        <f>VLOOKUP($A241,tabCustoUnit[],COLUMN(CUSTO_GLOBAL[[#Headers],[Submódulo 4.1]])-2,0)*($G241-$H241)</f>
        <v>32.866437995143521</v>
      </c>
      <c r="BD241" s="22">
        <f>VLOOKUP($A241,tabCustoUnit[],COLUMN(CUSTO_GLOBAL[[#Headers],[Intervalo para Repouso ou Alimentação]])-2,0)*($G241-$H241)</f>
        <v>267.73704981301341</v>
      </c>
      <c r="BE241" s="22">
        <f>VLOOKUP($A241,tabCustoUnit[],COLUMN(CUSTO_GLOBAL[[#Headers],[Submódulo 4.2]])-2,0)*($G241-$H241)</f>
        <v>267.73704981301341</v>
      </c>
      <c r="BF241" s="22">
        <f>VLOOKUP($A241,tabCustoUnit[],COLUMN(CUSTO_GLOBAL[[#Headers],[Suspensão Temporária do Contrato de Trabalho]])-2,0)*($G241-$H241)</f>
        <v>0</v>
      </c>
      <c r="BG241" s="22">
        <f>VLOOKUP($A241,tabCustoUnit[],COLUMN(CUSTO_GLOBAL[[#Headers],[Submódulo 4.3]])-2,0)*($G241-$H241)</f>
        <v>0</v>
      </c>
      <c r="BH241" s="22">
        <f>VLOOKUP($A241,tabCustoUnit[],COLUMN(CUSTO_GLOBAL[[#Headers],[MÓDULO 4 – CUSTO DE REPOSIÇÃO DO PROFISSIONAL AUSENTE]])-2,0)*($G241-$H241)</f>
        <v>300.60348780815696</v>
      </c>
      <c r="BI241" s="22">
        <f>VLOOKUP($A241,tabCustoUnit[],COLUMN(CUSTO_GLOBAL[[#Headers],[Uniformes e EPIs]])-2,0)*($G241-$H241)</f>
        <v>56.642978962543395</v>
      </c>
      <c r="BJ241" s="22">
        <f>VLOOKUP($A241,tabCustoUnit[],COLUMN(CUSTO_GLOBAL[[#Headers],[Materiais de Consumo]])-2,0)*($G241-$H241)</f>
        <v>0</v>
      </c>
      <c r="BK241" s="22">
        <f>VLOOKUP($A241,tabCustoUnit[],COLUMN(CUSTO_GLOBAL[[#Headers],[Máquinas e Equipamentos (depreciação)]])-2,0)*($G241-$H241)</f>
        <v>0</v>
      </c>
      <c r="BL241" s="22">
        <f>VLOOKUP($A241,tabCustoUnit[],COLUMN(CUSTO_GLOBAL[[#Headers],[Produtos de Limpeza e Materiais de Higiene Pessoal]])-2,0)*($G241-$H241)</f>
        <v>0</v>
      </c>
      <c r="BM241" s="22">
        <f>VLOOKUP($A241,tabCustoUnit[],COLUMN(CUSTO_GLOBAL[[#Headers],[Outros (especificar)]])-2,0)*($G241-$H241)</f>
        <v>0</v>
      </c>
      <c r="BN241" s="22">
        <f>VLOOKUP($A241,tabCustoUnit[],COLUMN(CUSTO_GLOBAL[[#Headers],[MÓDULO 5 – INSUMOS DIVERSOS]])-2,0)*($G241-$H241)</f>
        <v>56.642978962543395</v>
      </c>
      <c r="BO241" s="22" t="e">
        <f ca="1">VLOOKUP($A241,tabCustoUnit[],COLUMN(CUSTO_GLOBAL[[#Headers],[TOTAL MÓDULOS 1+2+3+4+5]])-2,0)*($G241-$H241)</f>
        <v>#NAME?</v>
      </c>
      <c r="BP241" s="22" t="e">
        <f ca="1">VLOOKUP($A241,tabCustoUnit[],COLUMN(CUSTO_GLOBAL[[#Headers],[Custos Indiretos]])-2,0)*($G241-$H241)</f>
        <v>#NAME?</v>
      </c>
      <c r="BQ241" s="22" t="e">
        <f ca="1">VLOOKUP($A241,tabCustoUnit[],COLUMN(CUSTO_GLOBAL[[#Headers],[Lucro]])-2,0)*($G241-$H241)</f>
        <v>#NAME?</v>
      </c>
      <c r="BR241" s="26">
        <f>VLOOKUP($A241,tabCustoUnit[],COLUMN(CUSTO_GLOBAL[[#Headers],[COFINS]])-2,0)</f>
        <v>8.6609686609686695E-2</v>
      </c>
      <c r="BS241" s="26">
        <f>VLOOKUP($A241,tabCustoUnit[],COLUMN(CUSTO_GLOBAL[[#Headers],[PIS]])-2,0)</f>
        <v>1.880341880341882E-2</v>
      </c>
      <c r="BT241" s="28">
        <f>VLOOKUP($A241,tabCustoUnit[],COLUMN(CUSTO_GLOBAL[[#Headers],[ISS]])-2,0)</f>
        <v>0.03</v>
      </c>
      <c r="BU241" s="26">
        <f>VLOOKUP($A241,tabCustoUnit[],COLUMN(CUSTO_GLOBAL[[#Headers],[ISS (Conversão Alíquota s/ fatura)]])-2,0)</f>
        <v>3.4188034188034219E-2</v>
      </c>
      <c r="BV241" s="26">
        <f>VLOOKUP($A241,tabCustoUnit[],COLUMN(CUSTO_GLOBAL[[#Headers],[Resumo de Alíquotas (PIS+CONFINS+ISS)]])-2,0)</f>
        <v>0.1225</v>
      </c>
      <c r="BW241" s="138">
        <f>VLOOKUP($A241,tabCustoUnit[],COLUMN(CUSTO_GLOBAL[[#Headers],[PIS + COFINS + ISS (Total Conversão  Alíquota s/ Fatura)]])-2,0)</f>
        <v>0.13960113960113973</v>
      </c>
      <c r="BX241" s="22" t="e">
        <f ca="1">VLOOKUP($A241,tabCustoUnit[],COLUMN(CUSTO_GLOBAL[[#Headers],[Valor dos Tributos (ISS, PIS, CONFINS)]])-2,0)*($G241-$H241)</f>
        <v>#NAME?</v>
      </c>
      <c r="BY241" s="22" t="e">
        <f ca="1">VLOOKUP($A241,tabCustoUnit[],COLUMN(CUSTO_GLOBAL[[#Headers],[MÓDULO 6 – CUSTOS INDIRETOS, TRIBUTOS E LUCRO]])-2,0)*($G241-$H241)</f>
        <v>#NAME?</v>
      </c>
      <c r="BZ241" s="22" t="e">
        <f ca="1">VLOOKUP($A241,tabCustoUnit[],COLUMN(CUSTO_GLOBAL[[#Headers],[CUSTO TOTAL MENSAL]])-2,0)*($G241-$H241)</f>
        <v>#NAME?</v>
      </c>
      <c r="CA241" s="22" t="e">
        <f ca="1">CUSTO_GLOBAL[[#This Row],[CUSTO TOTAL MENSAL]]*12</f>
        <v>#NAME?</v>
      </c>
      <c r="CB241" s="24">
        <f>VLOOKUP($A241,tabCustoUnit[],COLUMN(CUSTO_GLOBAL[[#Headers],[ANO DA CCT]])-2,0)</f>
        <v>45658</v>
      </c>
      <c r="CC241" s="25" t="str">
        <f>VLOOKUP($A241,tabCustoUnit[],COLUMN(CUSTO_GLOBAL[[#Headers],[Nº DE PEDIDO DA CCT]])-2,0)</f>
        <v>-</v>
      </c>
      <c r="CD241" s="25" t="str">
        <f>VLOOKUP($A241,tabCustoUnit[],COLUMN(CUSTO_GLOBAL[[#Headers],[TERMO ADITIVO ALTERAÇÃO DA CCT]])-2,0)</f>
        <v>-</v>
      </c>
    </row>
    <row r="242" spans="1:82">
      <c r="A242" s="20" t="s">
        <v>1667</v>
      </c>
      <c r="B242" t="s">
        <v>1179</v>
      </c>
      <c r="C242" t="s">
        <v>314</v>
      </c>
      <c r="D242" t="s">
        <v>1045</v>
      </c>
      <c r="E242" s="20" t="s">
        <v>1090</v>
      </c>
      <c r="F242" s="20" t="s">
        <v>120</v>
      </c>
      <c r="G242" s="20">
        <v>1</v>
      </c>
      <c r="H242" s="20">
        <v>0</v>
      </c>
      <c r="I242" s="21">
        <f>VLOOKUP($A242,tabCustoUnit[],COLUMN(CUSTO_GLOBAL[[#Headers],[Salário Base]])-2,0)*($G242-$H242)</f>
        <v>2134.8035</v>
      </c>
      <c r="J242" s="21">
        <f>VLOOKUP($A242,tabCustoUnit[],COLUMN(CUSTO_GLOBAL[[#Headers],[Adicional Periculosidade]])-2,0)*($G242-$H242)</f>
        <v>0</v>
      </c>
      <c r="K242" s="21">
        <f>VLOOKUP($A242,tabCustoUnit[],COLUMN(CUSTO_GLOBAL[[#Headers],[Adicional Insalubridade]])-2,0)*($G242-$H242)</f>
        <v>0</v>
      </c>
      <c r="L242" s="21">
        <f>VLOOKUP($A242,tabCustoUnit[],COLUMN(CUSTO_GLOBAL[[#Headers],[Adicional Noturno]])-2,0)*($G242-$H242)</f>
        <v>0</v>
      </c>
      <c r="M242" s="21">
        <f>VLOOKUP($A242,tabCustoUnit[],COLUMN(CUSTO_GLOBAL[[#Headers],[Adicional Motorista II (Gratificação)]])-2,0)*($G242-$H242)</f>
        <v>0</v>
      </c>
      <c r="N242" s="21">
        <f>VLOOKUP($A242,tabCustoUnit[],COLUMN(CUSTO_GLOBAL[[#Headers],[Adicional de Sobreaviso]])-2,0)*($G242-$H242)</f>
        <v>0</v>
      </c>
      <c r="O242" s="21">
        <f>VLOOKUP($A242,tabCustoUnit[],COLUMN(CUSTO_GLOBAL[[#Headers],[Horas Extras TI]])-2,0)*($G242-$H242)</f>
        <v>0</v>
      </c>
      <c r="P242" s="21">
        <f>VLOOKUP($A242,tabCustoUnit[],COLUMN(CUSTO_GLOBAL[[#Headers],[Adicional de Acúmulo de função]])-2,0)*($G242-$H242)</f>
        <v>0</v>
      </c>
      <c r="Q242" s="21">
        <f>VLOOKUP($A242,tabCustoUnit[],COLUMN(CUSTO_GLOBAL[[#Headers],[MODULO 1 - REMUNERAÇÃO ]])-2,0)*($G242-$H242)</f>
        <v>2134.8035</v>
      </c>
      <c r="R242" s="21">
        <f>VLOOKUP($A242,tabCustoUnit[],COLUMN(CUSTO_GLOBAL[[#Headers],[INSS]])-2,0)*($G242-$H242)</f>
        <v>426.96070000000003</v>
      </c>
      <c r="S242" s="21">
        <f>VLOOKUP($A242,tabCustoUnit[],COLUMN(CUSTO_GLOBAL[[#Headers],[SESI OU SESC]])-2,0)*($G242-$H242)</f>
        <v>32.022052500000001</v>
      </c>
      <c r="T242" s="21">
        <f>VLOOKUP($A242,tabCustoUnit[],COLUMN(CUSTO_GLOBAL[[#Headers],[SENAI OU SENAC]])-2,0)*($G242-$H242)</f>
        <v>21.348034999999999</v>
      </c>
      <c r="U242" s="21">
        <f>VLOOKUP($A242,tabCustoUnit[],COLUMN(CUSTO_GLOBAL[[#Headers],[INCRA]])-2,0)*($G242-$H242)</f>
        <v>4.2696069999999997</v>
      </c>
      <c r="V242" s="21">
        <f>VLOOKUP($A242,tabCustoUnit[],COLUMN(CUSTO_GLOBAL[[#Headers],[Salário Educação]])-2,0)*($G242-$H242)</f>
        <v>53.370087500000004</v>
      </c>
      <c r="W242" s="21">
        <f>VLOOKUP($A242,tabCustoUnit[],COLUMN(CUSTO_GLOBAL[[#Headers],[FGTS]])-2,0)*($G242-$H242)</f>
        <v>170.78428</v>
      </c>
      <c r="X242" s="21">
        <f>VLOOKUP($A242,tabCustoUnit[],COLUMN(CUSTO_GLOBAL[[#Headers],[RAT Ajustado]])-2,0)*($G242-$H242)</f>
        <v>85.392139999999998</v>
      </c>
      <c r="Y242" s="21">
        <f>VLOOKUP($A242,tabCustoUnit[],COLUMN(CUSTO_GLOBAL[[#Headers],[SEBRAE]])-2,0)*($G242-$H242)</f>
        <v>12.808821</v>
      </c>
      <c r="Z242" s="21">
        <f>VLOOKUP($A242,tabCustoUnit[],COLUMN(CUSTO_GLOBAL[[#Headers],[Submódulo 2.1]])-2,0)*($G242-$H242)</f>
        <v>806.95572300000003</v>
      </c>
      <c r="AA242" s="21">
        <f>VLOOKUP($A242,tabCustoUnit[],COLUMN(CUSTO_GLOBAL[[#Headers],[13º salário (titular)]])-2,0)*($G242-$H242)</f>
        <v>177.90029166666665</v>
      </c>
      <c r="AB242" s="21">
        <f>VLOOKUP($A242,tabCustoUnit[],COLUMN(CUSTO_GLOBAL[[#Headers],[Férias e Adicional de Férias (titular)]])-2,0)*($G242-$H242)</f>
        <v>237.20038888888888</v>
      </c>
      <c r="AC242" s="21">
        <f>VLOOKUP($A242,tabCustoUnit[],COLUMN(CUSTO_GLOBAL[[#Headers],[Incidência do Submódulo 2.1 sobre 13º Salário, Férias e Adicional de Férias]])-2,0)*($G242-$H242)</f>
        <v>156.90805724999998</v>
      </c>
      <c r="AD242" s="21">
        <f>VLOOKUP($A242,tabCustoUnit[],COLUMN(CUSTO_GLOBAL[[#Headers],[Submódulo 2.2]])-2,0)*($G242-$H242)</f>
        <v>572.00873780555548</v>
      </c>
      <c r="AE242" s="22" t="e">
        <f ca="1">VLOOKUP($A242,tabCustoUnit[],COLUMN(CUSTO_GLOBAL[[#Headers],[Vale - Transporte (Descontada parcela do empregado)]])-2,0)*($G242-$H242)</f>
        <v>#NAME?</v>
      </c>
      <c r="AF242" s="22">
        <f>VLOOKUP($A242,tabCustoUnit[],COLUMN(CUSTO_GLOBAL[[#Headers],[Vale - Alimentação (Descontada parcela do empregado)]])-2,0)*($G242-$H242)</f>
        <v>582</v>
      </c>
      <c r="AG242" s="22">
        <f>VLOOKUP($A242,tabCustoUnit[],COLUMN(CUSTO_GLOBAL[[#Headers],[Cesta Básica]])-2,0)*($G242-$H242)</f>
        <v>0</v>
      </c>
      <c r="AH242" s="22">
        <f>VLOOKUP($A242,tabCustoUnit[],COLUMN(CUSTO_GLOBAL[[#Headers],[PAF]])-2,0)*($G242-$H242)</f>
        <v>51.86</v>
      </c>
      <c r="AI242" s="22">
        <f>VLOOKUP($A242,tabCustoUnit[],COLUMN(CUSTO_GLOBAL[[#Headers],[PQM]])-2,0)*($G242-$H242)</f>
        <v>0</v>
      </c>
      <c r="AJ242" s="22">
        <v>0</v>
      </c>
      <c r="AK242" s="22">
        <f>VLOOKUP($A242,tabCustoUnit[],COLUMN(CUSTO_GLOBAL[[#Headers],[Seguro de Vida]])-2,0)*($G242-$H242)</f>
        <v>3.36</v>
      </c>
      <c r="AL242" s="22">
        <f>VLOOKUP($A242,tabCustoUnit[],COLUMN(CUSTO_GLOBAL[[#Headers],[Despesas de Viagem]])-2,0)*($G242-$H242)</f>
        <v>0</v>
      </c>
      <c r="AM242" s="22" t="e">
        <f ca="1">VLOOKUP($A242,tabCustoUnit[],COLUMN(CUSTO_GLOBAL[[#Headers],[Submódulo 2.3]])-2,0)*($G242-$H242)</f>
        <v>#NAME?</v>
      </c>
      <c r="AN242" s="22" t="e">
        <f ca="1">VLOOKUP($A242,tabCustoUnit[],COLUMN(CUSTO_GLOBAL[[#Headers],[MÓDULO 2 - Total Encargos e Benefícios mensais e diários]])-2,0)*($G242-$H242)</f>
        <v>#NAME?</v>
      </c>
      <c r="AO242" s="22">
        <f>VLOOKUP($A242,tabCustoUnit[],COLUMN(CUSTO_GLOBAL[[#Headers],[Aviso Prévio Indenizado (API) e Reflexo do Aviso Prévio Indenizado]])-2,0)*($G242-$H242)</f>
        <v>14.968744680073302</v>
      </c>
      <c r="AP242" s="22">
        <f>VLOOKUP($A242,tabCustoUnit[],COLUMN(CUSTO_GLOBAL[[#Headers],[Incidência do FGTS sobre API e Reflexo do API]])-2,0)*($G242-$H242)</f>
        <v>1.1974995744058643</v>
      </c>
      <c r="AQ242" s="22">
        <f>VLOOKUP($A242,tabCustoUnit[],COLUMN(CUSTO_GLOBAL[[#Headers],[Multa Rescisória do FGTS sobre o Aviso Prévio Indenizado]])-2,0)*($G242-$H242)</f>
        <v>0.47899982976234579</v>
      </c>
      <c r="AR242" s="22">
        <f>VLOOKUP($A242,tabCustoUnit[],COLUMN(CUSTO_GLOBAL[[#Headers],[Aviso Prévio Trabalhado - APT]])-2,0)*($G242-$H242)</f>
        <v>7.471812250000001</v>
      </c>
      <c r="AS242" s="22">
        <f>VLOOKUP($A242,tabCustoUnit[],COLUMN(CUSTO_GLOBAL[[#Headers],[Incidência dos encargos do submódulo 2.1 sobre Aviso Prévio Trabalhado]])-2,0)*($G242-$H242)</f>
        <v>2.8243450305000009</v>
      </c>
      <c r="AT242" s="22">
        <f>VLOOKUP($A242,tabCustoUnit[],COLUMN(CUSTO_GLOBAL[[#Headers],[Multa Rescisória do FGTS]])-2,0)*($G242-$H242)</f>
        <v>65.277547022222208</v>
      </c>
      <c r="AU242" s="22">
        <f>VLOOKUP($A242,tabCustoUnit[],COLUMN(CUSTO_GLOBAL[[#Headers],[Indenização Adicional (Art. 9º da Lei nº 7.238/84)]])-2,0)*($G242-$H242)</f>
        <v>1.7790029166666668</v>
      </c>
      <c r="AV242" s="22">
        <f>VLOOKUP($A242,tabCustoUnit[],COLUMN(CUSTO_GLOBAL[[#Headers],[MÓDULO 3 – PROVISÃO PARA RESCISÃO]])-2,0)*($G242-$H242)</f>
        <v>93.997951303630387</v>
      </c>
      <c r="AW242" s="22">
        <f>VLOOKUP($A242,tabCustoUnit[],COLUMN(CUSTO_GLOBAL[[#Headers],[Ausência por Doença]])-2,0)*($G242-$H242)</f>
        <v>18.027229555555554</v>
      </c>
      <c r="AX242" s="22">
        <f>VLOOKUP($A242,tabCustoUnit[],COLUMN(CUSTO_GLOBAL[[#Headers],[Ausências Legais]])-2,0)*($G242-$H242)</f>
        <v>4.3289070972222223</v>
      </c>
      <c r="AY242" s="22">
        <f>VLOOKUP($A242,tabCustoUnit[],COLUMN(CUSTO_GLOBAL[[#Headers],[Licença Paternidade]])-2,0)*($G242-$H242)</f>
        <v>0.36469559791666667</v>
      </c>
      <c r="AZ242" s="22">
        <f>VLOOKUP($A242,tabCustoUnit[],COLUMN(CUSTO_GLOBAL[[#Headers],[Ausência por Acidente de Trabalho]])-2,0)*($G242-$H242)</f>
        <v>0.44475072916666669</v>
      </c>
      <c r="BA242" s="22">
        <f>VLOOKUP($A242,tabCustoUnit[],COLUMN(CUSTO_GLOBAL[[#Headers],[Férias, Adicional de Férias e 13º  com empregada em gozo de Licença Maternidade]])-2,0)*($G242-$H242)</f>
        <v>2.7673378703703704</v>
      </c>
      <c r="BB242" s="22">
        <f>VLOOKUP($A242,tabCustoUnit[],COLUMN(CUSTO_GLOBAL[[#Headers],[Incidência do Submódulo 2.1 sobre Ausências Legais]])-2,0)*($G242-$H242)</f>
        <v>9.802644081387502</v>
      </c>
      <c r="BC242" s="22">
        <f>VLOOKUP($A242,tabCustoUnit[],COLUMN(CUSTO_GLOBAL[[#Headers],[Submódulo 4.1]])-2,0)*($G242-$H242)</f>
        <v>35.735564931618981</v>
      </c>
      <c r="BD242" s="22">
        <f>VLOOKUP($A242,tabCustoUnit[],COLUMN(CUSTO_GLOBAL[[#Headers],[Intervalo para Repouso ou Alimentação]])-2,0)*($G242-$H242)</f>
        <v>291.10956680899955</v>
      </c>
      <c r="BE242" s="22">
        <f>VLOOKUP($A242,tabCustoUnit[],COLUMN(CUSTO_GLOBAL[[#Headers],[Submódulo 4.2]])-2,0)*($G242-$H242)</f>
        <v>291.10956680899955</v>
      </c>
      <c r="BF242" s="22">
        <f>VLOOKUP($A242,tabCustoUnit[],COLUMN(CUSTO_GLOBAL[[#Headers],[Suspensão Temporária do Contrato de Trabalho]])-2,0)*($G242-$H242)</f>
        <v>0</v>
      </c>
      <c r="BG242" s="22">
        <f>VLOOKUP($A242,tabCustoUnit[],COLUMN(CUSTO_GLOBAL[[#Headers],[Submódulo 4.3]])-2,0)*($G242-$H242)</f>
        <v>0</v>
      </c>
      <c r="BH242" s="22">
        <f>VLOOKUP($A242,tabCustoUnit[],COLUMN(CUSTO_GLOBAL[[#Headers],[MÓDULO 4 – CUSTO DE REPOSIÇÃO DO PROFISSIONAL AUSENTE]])-2,0)*($G242-$H242)</f>
        <v>326.84513174061851</v>
      </c>
      <c r="BI242" s="22">
        <f>VLOOKUP($A242,tabCustoUnit[],COLUMN(CUSTO_GLOBAL[[#Headers],[Uniformes e EPIs]])-2,0)*($G242-$H242)</f>
        <v>56.642978962543395</v>
      </c>
      <c r="BJ242" s="22">
        <f>VLOOKUP($A242,tabCustoUnit[],COLUMN(CUSTO_GLOBAL[[#Headers],[Materiais de Consumo]])-2,0)*($G242-$H242)</f>
        <v>0</v>
      </c>
      <c r="BK242" s="22">
        <f>VLOOKUP($A242,tabCustoUnit[],COLUMN(CUSTO_GLOBAL[[#Headers],[Máquinas e Equipamentos (depreciação)]])-2,0)*($G242-$H242)</f>
        <v>0</v>
      </c>
      <c r="BL242" s="22">
        <f>VLOOKUP($A242,tabCustoUnit[],COLUMN(CUSTO_GLOBAL[[#Headers],[Produtos de Limpeza e Materiais de Higiene Pessoal]])-2,0)*($G242-$H242)</f>
        <v>0</v>
      </c>
      <c r="BM242" s="22">
        <f>VLOOKUP($A242,tabCustoUnit[],COLUMN(CUSTO_GLOBAL[[#Headers],[Outros (especificar)]])-2,0)*($G242-$H242)</f>
        <v>0</v>
      </c>
      <c r="BN242" s="22">
        <f>VLOOKUP($A242,tabCustoUnit[],COLUMN(CUSTO_GLOBAL[[#Headers],[MÓDULO 5 – INSUMOS DIVERSOS]])-2,0)*($G242-$H242)</f>
        <v>56.642978962543395</v>
      </c>
      <c r="BO242" s="22" t="e">
        <f ca="1">VLOOKUP($A242,tabCustoUnit[],COLUMN(CUSTO_GLOBAL[[#Headers],[TOTAL MÓDULOS 1+2+3+4+5]])-2,0)*($G242-$H242)</f>
        <v>#NAME?</v>
      </c>
      <c r="BP242" s="22" t="e">
        <f ca="1">VLOOKUP($A242,tabCustoUnit[],COLUMN(CUSTO_GLOBAL[[#Headers],[Custos Indiretos]])-2,0)*($G242-$H242)</f>
        <v>#NAME?</v>
      </c>
      <c r="BQ242" s="22" t="e">
        <f ca="1">VLOOKUP($A242,tabCustoUnit[],COLUMN(CUSTO_GLOBAL[[#Headers],[Lucro]])-2,0)*($G242-$H242)</f>
        <v>#NAME?</v>
      </c>
      <c r="BR242" s="26">
        <f>VLOOKUP($A242,tabCustoUnit[],COLUMN(CUSTO_GLOBAL[[#Headers],[COFINS]])-2,0)</f>
        <v>8.6609686609686695E-2</v>
      </c>
      <c r="BS242" s="26">
        <f>VLOOKUP($A242,tabCustoUnit[],COLUMN(CUSTO_GLOBAL[[#Headers],[PIS]])-2,0)</f>
        <v>1.880341880341882E-2</v>
      </c>
      <c r="BT242" s="28">
        <f>VLOOKUP($A242,tabCustoUnit[],COLUMN(CUSTO_GLOBAL[[#Headers],[ISS]])-2,0)</f>
        <v>0.03</v>
      </c>
      <c r="BU242" s="26">
        <f>VLOOKUP($A242,tabCustoUnit[],COLUMN(CUSTO_GLOBAL[[#Headers],[ISS (Conversão Alíquota s/ fatura)]])-2,0)</f>
        <v>3.4188034188034219E-2</v>
      </c>
      <c r="BV242" s="26">
        <f>VLOOKUP($A242,tabCustoUnit[],COLUMN(CUSTO_GLOBAL[[#Headers],[Resumo de Alíquotas (PIS+CONFINS+ISS)]])-2,0)</f>
        <v>0.1225</v>
      </c>
      <c r="BW242" s="138">
        <f>VLOOKUP($A242,tabCustoUnit[],COLUMN(CUSTO_GLOBAL[[#Headers],[PIS + COFINS + ISS (Total Conversão  Alíquota s/ Fatura)]])-2,0)</f>
        <v>0.13960113960113973</v>
      </c>
      <c r="BX242" s="22" t="e">
        <f ca="1">VLOOKUP($A242,tabCustoUnit[],COLUMN(CUSTO_GLOBAL[[#Headers],[Valor dos Tributos (ISS, PIS, CONFINS)]])-2,0)*($G242-$H242)</f>
        <v>#NAME?</v>
      </c>
      <c r="BY242" s="22" t="e">
        <f ca="1">VLOOKUP($A242,tabCustoUnit[],COLUMN(CUSTO_GLOBAL[[#Headers],[MÓDULO 6 – CUSTOS INDIRETOS, TRIBUTOS E LUCRO]])-2,0)*($G242-$H242)</f>
        <v>#NAME?</v>
      </c>
      <c r="BZ242" s="22" t="e">
        <f ca="1">VLOOKUP($A242,tabCustoUnit[],COLUMN(CUSTO_GLOBAL[[#Headers],[CUSTO TOTAL MENSAL]])-2,0)*($G242-$H242)</f>
        <v>#NAME?</v>
      </c>
      <c r="CA242" s="22" t="e">
        <f ca="1">CUSTO_GLOBAL[[#This Row],[CUSTO TOTAL MENSAL]]*12</f>
        <v>#NAME?</v>
      </c>
      <c r="CB242" s="24">
        <f>VLOOKUP($A242,tabCustoUnit[],COLUMN(CUSTO_GLOBAL[[#Headers],[ANO DA CCT]])-2,0)</f>
        <v>45658</v>
      </c>
      <c r="CC242" s="25" t="str">
        <f>VLOOKUP($A242,tabCustoUnit[],COLUMN(CUSTO_GLOBAL[[#Headers],[Nº DE PEDIDO DA CCT]])-2,0)</f>
        <v>-</v>
      </c>
      <c r="CD242" s="25" t="str">
        <f>VLOOKUP($A242,tabCustoUnit[],COLUMN(CUSTO_GLOBAL[[#Headers],[TERMO ADITIVO ALTERAÇÃO DA CCT]])-2,0)</f>
        <v>-</v>
      </c>
    </row>
    <row r="243" spans="1:82">
      <c r="A243" s="20" t="s">
        <v>1668</v>
      </c>
      <c r="B243" t="s">
        <v>1180</v>
      </c>
      <c r="C243" t="s">
        <v>274</v>
      </c>
      <c r="D243" t="s">
        <v>1004</v>
      </c>
      <c r="E243" s="20" t="s">
        <v>1090</v>
      </c>
      <c r="F243" s="20" t="s">
        <v>120</v>
      </c>
      <c r="G243" s="20">
        <v>2</v>
      </c>
      <c r="H243" s="20">
        <v>0</v>
      </c>
      <c r="I243" s="21">
        <f>VLOOKUP($A243,tabCustoUnit[],COLUMN(CUSTO_GLOBAL[[#Headers],[Salário Base]])-2,0)*($G243-$H243)</f>
        <v>9199.1905999999999</v>
      </c>
      <c r="J243" s="21">
        <f>VLOOKUP($A243,tabCustoUnit[],COLUMN(CUSTO_GLOBAL[[#Headers],[Adicional Periculosidade]])-2,0)*($G243-$H243)</f>
        <v>0</v>
      </c>
      <c r="K243" s="21">
        <f>VLOOKUP($A243,tabCustoUnit[],COLUMN(CUSTO_GLOBAL[[#Headers],[Adicional Insalubridade]])-2,0)*($G243-$H243)</f>
        <v>0</v>
      </c>
      <c r="L243" s="21">
        <f>VLOOKUP($A243,tabCustoUnit[],COLUMN(CUSTO_GLOBAL[[#Headers],[Adicional Noturno]])-2,0)*($G243-$H243)</f>
        <v>0</v>
      </c>
      <c r="M243" s="21">
        <f>VLOOKUP($A243,tabCustoUnit[],COLUMN(CUSTO_GLOBAL[[#Headers],[Adicional Motorista II (Gratificação)]])-2,0)*($G243-$H243)</f>
        <v>0</v>
      </c>
      <c r="N243" s="21">
        <f>VLOOKUP($A243,tabCustoUnit[],COLUMN(CUSTO_GLOBAL[[#Headers],[Adicional de Sobreaviso]])-2,0)*($G243-$H243)</f>
        <v>0</v>
      </c>
      <c r="O243" s="21">
        <f>VLOOKUP($A243,tabCustoUnit[],COLUMN(CUSTO_GLOBAL[[#Headers],[Horas Extras TI]])-2,0)*($G243-$H243)</f>
        <v>0</v>
      </c>
      <c r="P243" s="21">
        <f>VLOOKUP($A243,tabCustoUnit[],COLUMN(CUSTO_GLOBAL[[#Headers],[Adicional de Acúmulo de função]])-2,0)*($G243-$H243)</f>
        <v>0</v>
      </c>
      <c r="Q243" s="21">
        <f>VLOOKUP($A243,tabCustoUnit[],COLUMN(CUSTO_GLOBAL[[#Headers],[MODULO 1 - REMUNERAÇÃO ]])-2,0)*($G243-$H243)</f>
        <v>9199.1905999999999</v>
      </c>
      <c r="R243" s="21">
        <f>VLOOKUP($A243,tabCustoUnit[],COLUMN(CUSTO_GLOBAL[[#Headers],[INSS]])-2,0)*($G243-$H243)</f>
        <v>1839.8381200000001</v>
      </c>
      <c r="S243" s="21">
        <f>VLOOKUP($A243,tabCustoUnit[],COLUMN(CUSTO_GLOBAL[[#Headers],[SESI OU SESC]])-2,0)*($G243-$H243)</f>
        <v>137.98785899999999</v>
      </c>
      <c r="T243" s="21">
        <f>VLOOKUP($A243,tabCustoUnit[],COLUMN(CUSTO_GLOBAL[[#Headers],[SENAI OU SENAC]])-2,0)*($G243-$H243)</f>
        <v>91.991906</v>
      </c>
      <c r="U243" s="21">
        <f>VLOOKUP($A243,tabCustoUnit[],COLUMN(CUSTO_GLOBAL[[#Headers],[INCRA]])-2,0)*($G243-$H243)</f>
        <v>18.398381199999999</v>
      </c>
      <c r="V243" s="21">
        <f>VLOOKUP($A243,tabCustoUnit[],COLUMN(CUSTO_GLOBAL[[#Headers],[Salário Educação]])-2,0)*($G243-$H243)</f>
        <v>229.97976500000001</v>
      </c>
      <c r="W243" s="21">
        <f>VLOOKUP($A243,tabCustoUnit[],COLUMN(CUSTO_GLOBAL[[#Headers],[FGTS]])-2,0)*($G243-$H243)</f>
        <v>735.935248</v>
      </c>
      <c r="X243" s="21">
        <f>VLOOKUP($A243,tabCustoUnit[],COLUMN(CUSTO_GLOBAL[[#Headers],[RAT Ajustado]])-2,0)*($G243-$H243)</f>
        <v>367.967624</v>
      </c>
      <c r="Y243" s="21">
        <f>VLOOKUP($A243,tabCustoUnit[],COLUMN(CUSTO_GLOBAL[[#Headers],[SEBRAE]])-2,0)*($G243-$H243)</f>
        <v>55.195143600000002</v>
      </c>
      <c r="Z243" s="21">
        <f>VLOOKUP($A243,tabCustoUnit[],COLUMN(CUSTO_GLOBAL[[#Headers],[Submódulo 2.1]])-2,0)*($G243-$H243)</f>
        <v>3477.2940468000006</v>
      </c>
      <c r="AA243" s="21">
        <f>VLOOKUP($A243,tabCustoUnit[],COLUMN(CUSTO_GLOBAL[[#Headers],[13º salário (titular)]])-2,0)*($G243-$H243)</f>
        <v>766.59921666666662</v>
      </c>
      <c r="AB243" s="21">
        <f>VLOOKUP($A243,tabCustoUnit[],COLUMN(CUSTO_GLOBAL[[#Headers],[Férias e Adicional de Férias (titular)]])-2,0)*($G243-$H243)</f>
        <v>1022.1322888888889</v>
      </c>
      <c r="AC243" s="21">
        <f>VLOOKUP($A243,tabCustoUnit[],COLUMN(CUSTO_GLOBAL[[#Headers],[Incidência do Submódulo 2.1 sobre 13º Salário, Férias e Adicional de Férias]])-2,0)*($G243-$H243)</f>
        <v>676.14050910000003</v>
      </c>
      <c r="AD243" s="21">
        <f>VLOOKUP($A243,tabCustoUnit[],COLUMN(CUSTO_GLOBAL[[#Headers],[Submódulo 2.2]])-2,0)*($G243-$H243)</f>
        <v>2464.8720146555556</v>
      </c>
      <c r="AE243" s="22" t="e">
        <f ca="1">VLOOKUP($A243,tabCustoUnit[],COLUMN(CUSTO_GLOBAL[[#Headers],[Vale - Transporte (Descontada parcela do empregado)]])-2,0)*($G243-$H243)</f>
        <v>#NAME?</v>
      </c>
      <c r="AF243" s="22">
        <f>VLOOKUP($A243,tabCustoUnit[],COLUMN(CUSTO_GLOBAL[[#Headers],[Vale - Alimentação (Descontada parcela do empregado)]])-2,0)*($G243-$H243)</f>
        <v>1156.8</v>
      </c>
      <c r="AG243" s="22">
        <f>VLOOKUP($A243,tabCustoUnit[],COLUMN(CUSTO_GLOBAL[[#Headers],[Cesta Básica]])-2,0)*($G243-$H243)</f>
        <v>0</v>
      </c>
      <c r="AH243" s="22">
        <f>VLOOKUP($A243,tabCustoUnit[],COLUMN(CUSTO_GLOBAL[[#Headers],[PAF]])-2,0)*($G243-$H243)</f>
        <v>0</v>
      </c>
      <c r="AI243" s="22">
        <f>VLOOKUP($A243,tabCustoUnit[],COLUMN(CUSTO_GLOBAL[[#Headers],[PQM]])-2,0)*($G243-$H243)</f>
        <v>0</v>
      </c>
      <c r="AJ243" s="22">
        <v>0</v>
      </c>
      <c r="AK243" s="22">
        <f>VLOOKUP($A243,tabCustoUnit[],COLUMN(CUSTO_GLOBAL[[#Headers],[Seguro de Vida]])-2,0)*($G243-$H243)</f>
        <v>6.72</v>
      </c>
      <c r="AL243" s="22">
        <f>VLOOKUP($A243,tabCustoUnit[],COLUMN(CUSTO_GLOBAL[[#Headers],[Despesas de Viagem]])-2,0)*($G243-$H243)</f>
        <v>1324.84</v>
      </c>
      <c r="AM243" s="22" t="e">
        <f ca="1">VLOOKUP($A243,tabCustoUnit[],COLUMN(CUSTO_GLOBAL[[#Headers],[Submódulo 2.3]])-2,0)*($G243-$H243)</f>
        <v>#NAME?</v>
      </c>
      <c r="AN243" s="22" t="e">
        <f ca="1">VLOOKUP($A243,tabCustoUnit[],COLUMN(CUSTO_GLOBAL[[#Headers],[MÓDULO 2 - Total Encargos e Benefícios mensais e diários]])-2,0)*($G243-$H243)</f>
        <v>#NAME?</v>
      </c>
      <c r="AO243" s="22">
        <f>VLOOKUP($A243,tabCustoUnit[],COLUMN(CUSTO_GLOBAL[[#Headers],[Aviso Prévio Indenizado (API) e Reflexo do Aviso Prévio Indenizado]])-2,0)*($G243-$H243)</f>
        <v>64.502580848649686</v>
      </c>
      <c r="AP243" s="22">
        <f>VLOOKUP($A243,tabCustoUnit[],COLUMN(CUSTO_GLOBAL[[#Headers],[Incidência do FGTS sobre API e Reflexo do API]])-2,0)*($G243-$H243)</f>
        <v>5.1602064678919755</v>
      </c>
      <c r="AQ243" s="22">
        <f>VLOOKUP($A243,tabCustoUnit[],COLUMN(CUSTO_GLOBAL[[#Headers],[Multa Rescisória do FGTS sobre o Aviso Prévio Indenizado]])-2,0)*($G243-$H243)</f>
        <v>2.0640825871567903</v>
      </c>
      <c r="AR243" s="22">
        <f>VLOOKUP($A243,tabCustoUnit[],COLUMN(CUSTO_GLOBAL[[#Headers],[Aviso Prévio Trabalhado - APT]])-2,0)*($G243-$H243)</f>
        <v>32.197167100000001</v>
      </c>
      <c r="AS243" s="22">
        <f>VLOOKUP($A243,tabCustoUnit[],COLUMN(CUSTO_GLOBAL[[#Headers],[Incidência dos encargos do submódulo 2.1 sobre Aviso Prévio Trabalhado]])-2,0)*($G243-$H243)</f>
        <v>12.170529163800003</v>
      </c>
      <c r="AT243" s="22">
        <f>VLOOKUP($A243,tabCustoUnit[],COLUMN(CUSTO_GLOBAL[[#Headers],[Multa Rescisória do FGTS]])-2,0)*($G243-$H243)</f>
        <v>281.29080590222219</v>
      </c>
      <c r="AU243" s="22">
        <f>VLOOKUP($A243,tabCustoUnit[],COLUMN(CUSTO_GLOBAL[[#Headers],[Indenização Adicional (Art. 9º da Lei nº 7.238/84)]])-2,0)*($G243-$H243)</f>
        <v>7.6659921666666673</v>
      </c>
      <c r="AV243" s="22">
        <f>VLOOKUP($A243,tabCustoUnit[],COLUMN(CUSTO_GLOBAL[[#Headers],[MÓDULO 3 – PROVISÃO PARA RESCISÃO]])-2,0)*($G243-$H243)</f>
        <v>405.05136423638731</v>
      </c>
      <c r="AW243" s="22">
        <f>VLOOKUP($A243,tabCustoUnit[],COLUMN(CUSTO_GLOBAL[[#Headers],[Ausência por Doença]])-2,0)*($G243-$H243)</f>
        <v>77.682053955555546</v>
      </c>
      <c r="AX243" s="22">
        <f>VLOOKUP($A243,tabCustoUnit[],COLUMN(CUSTO_GLOBAL[[#Headers],[Ausências Legais]])-2,0)*($G243-$H243)</f>
        <v>18.65391427222222</v>
      </c>
      <c r="AY243" s="22">
        <f>VLOOKUP($A243,tabCustoUnit[],COLUMN(CUSTO_GLOBAL[[#Headers],[Licença Paternidade]])-2,0)*($G243-$H243)</f>
        <v>1.5715283941666667</v>
      </c>
      <c r="AZ243" s="22">
        <f>VLOOKUP($A243,tabCustoUnit[],COLUMN(CUSTO_GLOBAL[[#Headers],[Ausência por Acidente de Trabalho]])-2,0)*($G243-$H243)</f>
        <v>1.9164980416666668</v>
      </c>
      <c r="BA243" s="22">
        <f>VLOOKUP($A243,tabCustoUnit[],COLUMN(CUSTO_GLOBAL[[#Headers],[Férias, Adicional de Férias e 13º  com empregada em gozo de Licença Maternidade]])-2,0)*($G243-$H243)</f>
        <v>11.924876703703703</v>
      </c>
      <c r="BB243" s="22">
        <f>VLOOKUP($A243,tabCustoUnit[],COLUMN(CUSTO_GLOBAL[[#Headers],[Incidência do Submódulo 2.1 sobre Ausências Legais]])-2,0)*($G243-$H243)</f>
        <v>42.241073376845009</v>
      </c>
      <c r="BC243" s="22">
        <f>VLOOKUP($A243,tabCustoUnit[],COLUMN(CUSTO_GLOBAL[[#Headers],[Submódulo 4.1]])-2,0)*($G243-$H243)</f>
        <v>153.9899447441598</v>
      </c>
      <c r="BD243" s="22">
        <f>VLOOKUP($A243,tabCustoUnit[],COLUMN(CUSTO_GLOBAL[[#Headers],[Intervalo para Repouso ou Alimentação]])-2,0)*($G243-$H243)</f>
        <v>0</v>
      </c>
      <c r="BE243" s="22">
        <f>VLOOKUP($A243,tabCustoUnit[],COLUMN(CUSTO_GLOBAL[[#Headers],[Submódulo 4.2]])-2,0)*($G243-$H243)</f>
        <v>0</v>
      </c>
      <c r="BF243" s="22">
        <f>VLOOKUP($A243,tabCustoUnit[],COLUMN(CUSTO_GLOBAL[[#Headers],[Suspensão Temporária do Contrato de Trabalho]])-2,0)*($G243-$H243)</f>
        <v>0</v>
      </c>
      <c r="BG243" s="22">
        <f>VLOOKUP($A243,tabCustoUnit[],COLUMN(CUSTO_GLOBAL[[#Headers],[Submódulo 4.3]])-2,0)*($G243-$H243)</f>
        <v>0</v>
      </c>
      <c r="BH243" s="22">
        <f>VLOOKUP($A243,tabCustoUnit[],COLUMN(CUSTO_GLOBAL[[#Headers],[MÓDULO 4 – CUSTO DE REPOSIÇÃO DO PROFISSIONAL AUSENTE]])-2,0)*($G243-$H243)</f>
        <v>153.9899447441598</v>
      </c>
      <c r="BI243" s="22">
        <f>VLOOKUP($A243,tabCustoUnit[],COLUMN(CUSTO_GLOBAL[[#Headers],[Uniformes e EPIs]])-2,0)*($G243-$H243)</f>
        <v>184.2015275431414</v>
      </c>
      <c r="BJ243" s="22">
        <f>VLOOKUP($A243,tabCustoUnit[],COLUMN(CUSTO_GLOBAL[[#Headers],[Materiais de Consumo]])-2,0)*($G243-$H243)</f>
        <v>0</v>
      </c>
      <c r="BK243" s="22">
        <f>VLOOKUP($A243,tabCustoUnit[],COLUMN(CUSTO_GLOBAL[[#Headers],[Máquinas e Equipamentos (depreciação)]])-2,0)*($G243-$H243)</f>
        <v>0</v>
      </c>
      <c r="BL243" s="22">
        <f>VLOOKUP($A243,tabCustoUnit[],COLUMN(CUSTO_GLOBAL[[#Headers],[Produtos de Limpeza e Materiais de Higiene Pessoal]])-2,0)*($G243-$H243)</f>
        <v>0</v>
      </c>
      <c r="BM243" s="22">
        <f>VLOOKUP($A243,tabCustoUnit[],COLUMN(CUSTO_GLOBAL[[#Headers],[Outros (especificar)]])-2,0)*($G243-$H243)</f>
        <v>0</v>
      </c>
      <c r="BN243" s="22">
        <f>VLOOKUP($A243,tabCustoUnit[],COLUMN(CUSTO_GLOBAL[[#Headers],[MÓDULO 5 – INSUMOS DIVERSOS]])-2,0)*($G243-$H243)</f>
        <v>184.2015275431414</v>
      </c>
      <c r="BO243" s="22" t="e">
        <f ca="1">VLOOKUP($A243,tabCustoUnit[],COLUMN(CUSTO_GLOBAL[[#Headers],[TOTAL MÓDULOS 1+2+3+4+5]])-2,0)*($G243-$H243)</f>
        <v>#NAME?</v>
      </c>
      <c r="BP243" s="22" t="e">
        <f ca="1">VLOOKUP($A243,tabCustoUnit[],COLUMN(CUSTO_GLOBAL[[#Headers],[Custos Indiretos]])-2,0)*($G243-$H243)</f>
        <v>#NAME?</v>
      </c>
      <c r="BQ243" s="22" t="e">
        <f ca="1">VLOOKUP($A243,tabCustoUnit[],COLUMN(CUSTO_GLOBAL[[#Headers],[Lucro]])-2,0)*($G243-$H243)</f>
        <v>#NAME?</v>
      </c>
      <c r="BR243" s="26">
        <f>VLOOKUP($A243,tabCustoUnit[],COLUMN(CUSTO_GLOBAL[[#Headers],[COFINS]])-2,0)</f>
        <v>8.6609686609686695E-2</v>
      </c>
      <c r="BS243" s="26">
        <f>VLOOKUP($A243,tabCustoUnit[],COLUMN(CUSTO_GLOBAL[[#Headers],[PIS]])-2,0)</f>
        <v>1.880341880341882E-2</v>
      </c>
      <c r="BT243" s="28">
        <f>VLOOKUP($A243,tabCustoUnit[],COLUMN(CUSTO_GLOBAL[[#Headers],[ISS]])-2,0)</f>
        <v>0.03</v>
      </c>
      <c r="BU243" s="26">
        <f>VLOOKUP($A243,tabCustoUnit[],COLUMN(CUSTO_GLOBAL[[#Headers],[ISS (Conversão Alíquota s/ fatura)]])-2,0)</f>
        <v>3.4188034188034219E-2</v>
      </c>
      <c r="BV243" s="26">
        <f>VLOOKUP($A243,tabCustoUnit[],COLUMN(CUSTO_GLOBAL[[#Headers],[Resumo de Alíquotas (PIS+CONFINS+ISS)]])-2,0)</f>
        <v>0.1225</v>
      </c>
      <c r="BW243" s="138">
        <f>VLOOKUP($A243,tabCustoUnit[],COLUMN(CUSTO_GLOBAL[[#Headers],[PIS + COFINS + ISS (Total Conversão  Alíquota s/ Fatura)]])-2,0)</f>
        <v>0.13960113960113973</v>
      </c>
      <c r="BX243" s="22" t="e">
        <f ca="1">VLOOKUP($A243,tabCustoUnit[],COLUMN(CUSTO_GLOBAL[[#Headers],[Valor dos Tributos (ISS, PIS, CONFINS)]])-2,0)*($G243-$H243)</f>
        <v>#NAME?</v>
      </c>
      <c r="BY243" s="22" t="e">
        <f ca="1">VLOOKUP($A243,tabCustoUnit[],COLUMN(CUSTO_GLOBAL[[#Headers],[MÓDULO 6 – CUSTOS INDIRETOS, TRIBUTOS E LUCRO]])-2,0)*($G243-$H243)</f>
        <v>#NAME?</v>
      </c>
      <c r="BZ243" s="22" t="e">
        <f ca="1">VLOOKUP($A243,tabCustoUnit[],COLUMN(CUSTO_GLOBAL[[#Headers],[CUSTO TOTAL MENSAL]])-2,0)*($G243-$H243)</f>
        <v>#NAME?</v>
      </c>
      <c r="CA243" s="22" t="e">
        <f ca="1">CUSTO_GLOBAL[[#This Row],[CUSTO TOTAL MENSAL]]*12</f>
        <v>#NAME?</v>
      </c>
      <c r="CB243" s="24">
        <f>VLOOKUP($A243,tabCustoUnit[],COLUMN(CUSTO_GLOBAL[[#Headers],[ANO DA CCT]])-2,0)</f>
        <v>45658</v>
      </c>
      <c r="CC243" s="25" t="str">
        <f>VLOOKUP($A243,tabCustoUnit[],COLUMN(CUSTO_GLOBAL[[#Headers],[Nº DE PEDIDO DA CCT]])-2,0)</f>
        <v>-</v>
      </c>
      <c r="CD243" s="25" t="str">
        <f>VLOOKUP($A243,tabCustoUnit[],COLUMN(CUSTO_GLOBAL[[#Headers],[TERMO ADITIVO ALTERAÇÃO DA CCT]])-2,0)</f>
        <v>-</v>
      </c>
    </row>
    <row r="244" spans="1:82">
      <c r="A244" s="20" t="s">
        <v>1669</v>
      </c>
      <c r="B244" t="s">
        <v>1180</v>
      </c>
      <c r="C244" t="s">
        <v>274</v>
      </c>
      <c r="D244" t="s">
        <v>1004</v>
      </c>
      <c r="E244" s="20" t="s">
        <v>1090</v>
      </c>
      <c r="F244" s="20" t="s">
        <v>135</v>
      </c>
      <c r="G244" s="20">
        <v>1</v>
      </c>
      <c r="H244" s="20">
        <v>0</v>
      </c>
      <c r="I244" s="21">
        <f>VLOOKUP($A244,tabCustoUnit[],COLUMN(CUSTO_GLOBAL[[#Headers],[Salário Base]])-2,0)*($G244-$H244)</f>
        <v>4599.5953</v>
      </c>
      <c r="J244" s="21">
        <f>VLOOKUP($A244,tabCustoUnit[],COLUMN(CUSTO_GLOBAL[[#Headers],[Adicional Periculosidade]])-2,0)*($G244-$H244)</f>
        <v>0</v>
      </c>
      <c r="K244" s="21">
        <f>VLOOKUP($A244,tabCustoUnit[],COLUMN(CUSTO_GLOBAL[[#Headers],[Adicional Insalubridade]])-2,0)*($G244-$H244)</f>
        <v>0</v>
      </c>
      <c r="L244" s="21">
        <f>VLOOKUP($A244,tabCustoUnit[],COLUMN(CUSTO_GLOBAL[[#Headers],[Adicional Noturno]])-2,0)*($G244-$H244)</f>
        <v>0</v>
      </c>
      <c r="M244" s="21">
        <f>VLOOKUP($A244,tabCustoUnit[],COLUMN(CUSTO_GLOBAL[[#Headers],[Adicional Motorista II (Gratificação)]])-2,0)*($G244-$H244)</f>
        <v>0</v>
      </c>
      <c r="N244" s="21">
        <f>VLOOKUP($A244,tabCustoUnit[],COLUMN(CUSTO_GLOBAL[[#Headers],[Adicional de Sobreaviso]])-2,0)*($G244-$H244)</f>
        <v>0</v>
      </c>
      <c r="O244" s="21">
        <f>VLOOKUP($A244,tabCustoUnit[],COLUMN(CUSTO_GLOBAL[[#Headers],[Horas Extras TI]])-2,0)*($G244-$H244)</f>
        <v>0</v>
      </c>
      <c r="P244" s="21">
        <f>VLOOKUP($A244,tabCustoUnit[],COLUMN(CUSTO_GLOBAL[[#Headers],[Adicional de Acúmulo de função]])-2,0)*($G244-$H244)</f>
        <v>0</v>
      </c>
      <c r="Q244" s="21">
        <f>VLOOKUP($A244,tabCustoUnit[],COLUMN(CUSTO_GLOBAL[[#Headers],[MODULO 1 - REMUNERAÇÃO ]])-2,0)*($G244-$H244)</f>
        <v>4599.5953</v>
      </c>
      <c r="R244" s="21">
        <f>VLOOKUP($A244,tabCustoUnit[],COLUMN(CUSTO_GLOBAL[[#Headers],[INSS]])-2,0)*($G244-$H244)</f>
        <v>919.91906000000006</v>
      </c>
      <c r="S244" s="21">
        <f>VLOOKUP($A244,tabCustoUnit[],COLUMN(CUSTO_GLOBAL[[#Headers],[SESI OU SESC]])-2,0)*($G244-$H244)</f>
        <v>68.993929499999993</v>
      </c>
      <c r="T244" s="21">
        <f>VLOOKUP($A244,tabCustoUnit[],COLUMN(CUSTO_GLOBAL[[#Headers],[SENAI OU SENAC]])-2,0)*($G244-$H244)</f>
        <v>45.995953</v>
      </c>
      <c r="U244" s="21">
        <f>VLOOKUP($A244,tabCustoUnit[],COLUMN(CUSTO_GLOBAL[[#Headers],[INCRA]])-2,0)*($G244-$H244)</f>
        <v>9.1991905999999997</v>
      </c>
      <c r="V244" s="21">
        <f>VLOOKUP($A244,tabCustoUnit[],COLUMN(CUSTO_GLOBAL[[#Headers],[Salário Educação]])-2,0)*($G244-$H244)</f>
        <v>114.98988250000001</v>
      </c>
      <c r="W244" s="21">
        <f>VLOOKUP($A244,tabCustoUnit[],COLUMN(CUSTO_GLOBAL[[#Headers],[FGTS]])-2,0)*($G244-$H244)</f>
        <v>367.967624</v>
      </c>
      <c r="X244" s="21">
        <f>VLOOKUP($A244,tabCustoUnit[],COLUMN(CUSTO_GLOBAL[[#Headers],[RAT Ajustado]])-2,0)*($G244-$H244)</f>
        <v>183.983812</v>
      </c>
      <c r="Y244" s="21">
        <f>VLOOKUP($A244,tabCustoUnit[],COLUMN(CUSTO_GLOBAL[[#Headers],[SEBRAE]])-2,0)*($G244-$H244)</f>
        <v>27.597571800000001</v>
      </c>
      <c r="Z244" s="21">
        <f>VLOOKUP($A244,tabCustoUnit[],COLUMN(CUSTO_GLOBAL[[#Headers],[Submódulo 2.1]])-2,0)*($G244-$H244)</f>
        <v>1738.6470234000003</v>
      </c>
      <c r="AA244" s="21">
        <f>VLOOKUP($A244,tabCustoUnit[],COLUMN(CUSTO_GLOBAL[[#Headers],[13º salário (titular)]])-2,0)*($G244-$H244)</f>
        <v>383.29960833333331</v>
      </c>
      <c r="AB244" s="21">
        <f>VLOOKUP($A244,tabCustoUnit[],COLUMN(CUSTO_GLOBAL[[#Headers],[Férias e Adicional de Férias (titular)]])-2,0)*($G244-$H244)</f>
        <v>511.06614444444443</v>
      </c>
      <c r="AC244" s="21">
        <f>VLOOKUP($A244,tabCustoUnit[],COLUMN(CUSTO_GLOBAL[[#Headers],[Incidência do Submódulo 2.1 sobre 13º Salário, Férias e Adicional de Férias]])-2,0)*($G244-$H244)</f>
        <v>338.07025455000002</v>
      </c>
      <c r="AD244" s="21">
        <f>VLOOKUP($A244,tabCustoUnit[],COLUMN(CUSTO_GLOBAL[[#Headers],[Submódulo 2.2]])-2,0)*($G244-$H244)</f>
        <v>1232.4360073277778</v>
      </c>
      <c r="AE244" s="22" t="e">
        <f ca="1">VLOOKUP($A244,tabCustoUnit[],COLUMN(CUSTO_GLOBAL[[#Headers],[Vale - Transporte (Descontada parcela do empregado)]])-2,0)*($G244-$H244)</f>
        <v>#NAME?</v>
      </c>
      <c r="AF244" s="22">
        <f>VLOOKUP($A244,tabCustoUnit[],COLUMN(CUSTO_GLOBAL[[#Headers],[Vale - Alimentação (Descontada parcela do empregado)]])-2,0)*($G244-$H244)</f>
        <v>578.4</v>
      </c>
      <c r="AG244" s="22">
        <f>VLOOKUP($A244,tabCustoUnit[],COLUMN(CUSTO_GLOBAL[[#Headers],[Cesta Básica]])-2,0)*($G244-$H244)</f>
        <v>0</v>
      </c>
      <c r="AH244" s="22">
        <f>VLOOKUP($A244,tabCustoUnit[],COLUMN(CUSTO_GLOBAL[[#Headers],[PAF]])-2,0)*($G244-$H244)</f>
        <v>0</v>
      </c>
      <c r="AI244" s="22">
        <f>VLOOKUP($A244,tabCustoUnit[],COLUMN(CUSTO_GLOBAL[[#Headers],[PQM]])-2,0)*($G244-$H244)</f>
        <v>0</v>
      </c>
      <c r="AJ244" s="22">
        <v>0</v>
      </c>
      <c r="AK244" s="22">
        <f>VLOOKUP($A244,tabCustoUnit[],COLUMN(CUSTO_GLOBAL[[#Headers],[Seguro de Vida]])-2,0)*($G244-$H244)</f>
        <v>3.36</v>
      </c>
      <c r="AL244" s="22">
        <f>VLOOKUP($A244,tabCustoUnit[],COLUMN(CUSTO_GLOBAL[[#Headers],[Despesas de Viagem]])-2,0)*($G244-$H244)</f>
        <v>662.42</v>
      </c>
      <c r="AM244" s="22" t="e">
        <f ca="1">VLOOKUP($A244,tabCustoUnit[],COLUMN(CUSTO_GLOBAL[[#Headers],[Submódulo 2.3]])-2,0)*($G244-$H244)</f>
        <v>#NAME?</v>
      </c>
      <c r="AN244" s="22" t="e">
        <f ca="1">VLOOKUP($A244,tabCustoUnit[],COLUMN(CUSTO_GLOBAL[[#Headers],[MÓDULO 2 - Total Encargos e Benefícios mensais e diários]])-2,0)*($G244-$H244)</f>
        <v>#NAME?</v>
      </c>
      <c r="AO244" s="22">
        <f>VLOOKUP($A244,tabCustoUnit[],COLUMN(CUSTO_GLOBAL[[#Headers],[Aviso Prévio Indenizado (API) e Reflexo do Aviso Prévio Indenizado]])-2,0)*($G244-$H244)</f>
        <v>32.251290424324843</v>
      </c>
      <c r="AP244" s="22">
        <f>VLOOKUP($A244,tabCustoUnit[],COLUMN(CUSTO_GLOBAL[[#Headers],[Incidência do FGTS sobre API e Reflexo do API]])-2,0)*($G244-$H244)</f>
        <v>2.5801032339459877</v>
      </c>
      <c r="AQ244" s="22">
        <f>VLOOKUP($A244,tabCustoUnit[],COLUMN(CUSTO_GLOBAL[[#Headers],[Multa Rescisória do FGTS sobre o Aviso Prévio Indenizado]])-2,0)*($G244-$H244)</f>
        <v>1.0320412935783951</v>
      </c>
      <c r="AR244" s="22">
        <f>VLOOKUP($A244,tabCustoUnit[],COLUMN(CUSTO_GLOBAL[[#Headers],[Aviso Prévio Trabalhado - APT]])-2,0)*($G244-$H244)</f>
        <v>16.098583550000001</v>
      </c>
      <c r="AS244" s="22">
        <f>VLOOKUP($A244,tabCustoUnit[],COLUMN(CUSTO_GLOBAL[[#Headers],[Incidência dos encargos do submódulo 2.1 sobre Aviso Prévio Trabalhado]])-2,0)*($G244-$H244)</f>
        <v>6.0852645819000015</v>
      </c>
      <c r="AT244" s="22">
        <f>VLOOKUP($A244,tabCustoUnit[],COLUMN(CUSTO_GLOBAL[[#Headers],[Multa Rescisória do FGTS]])-2,0)*($G244-$H244)</f>
        <v>140.64540295111109</v>
      </c>
      <c r="AU244" s="22">
        <f>VLOOKUP($A244,tabCustoUnit[],COLUMN(CUSTO_GLOBAL[[#Headers],[Indenização Adicional (Art. 9º da Lei nº 7.238/84)]])-2,0)*($G244-$H244)</f>
        <v>3.8329960833333336</v>
      </c>
      <c r="AV244" s="22">
        <f>VLOOKUP($A244,tabCustoUnit[],COLUMN(CUSTO_GLOBAL[[#Headers],[MÓDULO 3 – PROVISÃO PARA RESCISÃO]])-2,0)*($G244-$H244)</f>
        <v>202.52568211819366</v>
      </c>
      <c r="AW244" s="22">
        <f>VLOOKUP($A244,tabCustoUnit[],COLUMN(CUSTO_GLOBAL[[#Headers],[Ausência por Doença]])-2,0)*($G244-$H244)</f>
        <v>38.841026977777773</v>
      </c>
      <c r="AX244" s="22">
        <f>VLOOKUP($A244,tabCustoUnit[],COLUMN(CUSTO_GLOBAL[[#Headers],[Ausências Legais]])-2,0)*($G244-$H244)</f>
        <v>9.3269571361111101</v>
      </c>
      <c r="AY244" s="22">
        <f>VLOOKUP($A244,tabCustoUnit[],COLUMN(CUSTO_GLOBAL[[#Headers],[Licença Paternidade]])-2,0)*($G244-$H244)</f>
        <v>0.78576419708333334</v>
      </c>
      <c r="AZ244" s="22">
        <f>VLOOKUP($A244,tabCustoUnit[],COLUMN(CUSTO_GLOBAL[[#Headers],[Ausência por Acidente de Trabalho]])-2,0)*($G244-$H244)</f>
        <v>0.95824902083333341</v>
      </c>
      <c r="BA244" s="22">
        <f>VLOOKUP($A244,tabCustoUnit[],COLUMN(CUSTO_GLOBAL[[#Headers],[Férias, Adicional de Férias e 13º  com empregada em gozo de Licença Maternidade]])-2,0)*($G244-$H244)</f>
        <v>5.9624383518518513</v>
      </c>
      <c r="BB244" s="22">
        <f>VLOOKUP($A244,tabCustoUnit[],COLUMN(CUSTO_GLOBAL[[#Headers],[Incidência do Submódulo 2.1 sobre Ausências Legais]])-2,0)*($G244-$H244)</f>
        <v>21.120536688422504</v>
      </c>
      <c r="BC244" s="22">
        <f>VLOOKUP($A244,tabCustoUnit[],COLUMN(CUSTO_GLOBAL[[#Headers],[Submódulo 4.1]])-2,0)*($G244-$H244)</f>
        <v>76.9949723720799</v>
      </c>
      <c r="BD244" s="22">
        <f>VLOOKUP($A244,tabCustoUnit[],COLUMN(CUSTO_GLOBAL[[#Headers],[Intervalo para Repouso ou Alimentação]])-2,0)*($G244-$H244)</f>
        <v>0</v>
      </c>
      <c r="BE244" s="22">
        <f>VLOOKUP($A244,tabCustoUnit[],COLUMN(CUSTO_GLOBAL[[#Headers],[Submódulo 4.2]])-2,0)*($G244-$H244)</f>
        <v>0</v>
      </c>
      <c r="BF244" s="22">
        <f>VLOOKUP($A244,tabCustoUnit[],COLUMN(CUSTO_GLOBAL[[#Headers],[Suspensão Temporária do Contrato de Trabalho]])-2,0)*($G244-$H244)</f>
        <v>0</v>
      </c>
      <c r="BG244" s="22">
        <f>VLOOKUP($A244,tabCustoUnit[],COLUMN(CUSTO_GLOBAL[[#Headers],[Submódulo 4.3]])-2,0)*($G244-$H244)</f>
        <v>0</v>
      </c>
      <c r="BH244" s="22">
        <f>VLOOKUP($A244,tabCustoUnit[],COLUMN(CUSTO_GLOBAL[[#Headers],[MÓDULO 4 – CUSTO DE REPOSIÇÃO DO PROFISSIONAL AUSENTE]])-2,0)*($G244-$H244)</f>
        <v>76.9949723720799</v>
      </c>
      <c r="BI244" s="22">
        <f>VLOOKUP($A244,tabCustoUnit[],COLUMN(CUSTO_GLOBAL[[#Headers],[Uniformes e EPIs]])-2,0)*($G244-$H244)</f>
        <v>92.100763771570698</v>
      </c>
      <c r="BJ244" s="22">
        <f>VLOOKUP($A244,tabCustoUnit[],COLUMN(CUSTO_GLOBAL[[#Headers],[Materiais de Consumo]])-2,0)*($G244-$H244)</f>
        <v>0</v>
      </c>
      <c r="BK244" s="22">
        <f>VLOOKUP($A244,tabCustoUnit[],COLUMN(CUSTO_GLOBAL[[#Headers],[Máquinas e Equipamentos (depreciação)]])-2,0)*($G244-$H244)</f>
        <v>0</v>
      </c>
      <c r="BL244" s="22">
        <f>VLOOKUP($A244,tabCustoUnit[],COLUMN(CUSTO_GLOBAL[[#Headers],[Produtos de Limpeza e Materiais de Higiene Pessoal]])-2,0)*($G244-$H244)</f>
        <v>0</v>
      </c>
      <c r="BM244" s="22">
        <f>VLOOKUP($A244,tabCustoUnit[],COLUMN(CUSTO_GLOBAL[[#Headers],[Outros (especificar)]])-2,0)*($G244-$H244)</f>
        <v>0</v>
      </c>
      <c r="BN244" s="22">
        <f>VLOOKUP($A244,tabCustoUnit[],COLUMN(CUSTO_GLOBAL[[#Headers],[MÓDULO 5 – INSUMOS DIVERSOS]])-2,0)*($G244-$H244)</f>
        <v>92.100763771570698</v>
      </c>
      <c r="BO244" s="22" t="e">
        <f ca="1">VLOOKUP($A244,tabCustoUnit[],COLUMN(CUSTO_GLOBAL[[#Headers],[TOTAL MÓDULOS 1+2+3+4+5]])-2,0)*($G244-$H244)</f>
        <v>#NAME?</v>
      </c>
      <c r="BP244" s="22" t="e">
        <f ca="1">VLOOKUP($A244,tabCustoUnit[],COLUMN(CUSTO_GLOBAL[[#Headers],[Custos Indiretos]])-2,0)*($G244-$H244)</f>
        <v>#NAME?</v>
      </c>
      <c r="BQ244" s="22" t="e">
        <f ca="1">VLOOKUP($A244,tabCustoUnit[],COLUMN(CUSTO_GLOBAL[[#Headers],[Lucro]])-2,0)*($G244-$H244)</f>
        <v>#NAME?</v>
      </c>
      <c r="BR244" s="26">
        <f>VLOOKUP($A244,tabCustoUnit[],COLUMN(CUSTO_GLOBAL[[#Headers],[COFINS]])-2,0)</f>
        <v>8.6609686609686695E-2</v>
      </c>
      <c r="BS244" s="26">
        <f>VLOOKUP($A244,tabCustoUnit[],COLUMN(CUSTO_GLOBAL[[#Headers],[PIS]])-2,0)</f>
        <v>1.880341880341882E-2</v>
      </c>
      <c r="BT244" s="28">
        <f>VLOOKUP($A244,tabCustoUnit[],COLUMN(CUSTO_GLOBAL[[#Headers],[ISS]])-2,0)</f>
        <v>0.03</v>
      </c>
      <c r="BU244" s="26">
        <f>VLOOKUP($A244,tabCustoUnit[],COLUMN(CUSTO_GLOBAL[[#Headers],[ISS (Conversão Alíquota s/ fatura)]])-2,0)</f>
        <v>3.4188034188034219E-2</v>
      </c>
      <c r="BV244" s="26">
        <f>VLOOKUP($A244,tabCustoUnit[],COLUMN(CUSTO_GLOBAL[[#Headers],[Resumo de Alíquotas (PIS+CONFINS+ISS)]])-2,0)</f>
        <v>0.1225</v>
      </c>
      <c r="BW244" s="138">
        <f>VLOOKUP($A244,tabCustoUnit[],COLUMN(CUSTO_GLOBAL[[#Headers],[PIS + COFINS + ISS (Total Conversão  Alíquota s/ Fatura)]])-2,0)</f>
        <v>0.13960113960113973</v>
      </c>
      <c r="BX244" s="22" t="e">
        <f ca="1">VLOOKUP($A244,tabCustoUnit[],COLUMN(CUSTO_GLOBAL[[#Headers],[Valor dos Tributos (ISS, PIS, CONFINS)]])-2,0)*($G244-$H244)</f>
        <v>#NAME?</v>
      </c>
      <c r="BY244" s="22" t="e">
        <f ca="1">VLOOKUP($A244,tabCustoUnit[],COLUMN(CUSTO_GLOBAL[[#Headers],[MÓDULO 6 – CUSTOS INDIRETOS, TRIBUTOS E LUCRO]])-2,0)*($G244-$H244)</f>
        <v>#NAME?</v>
      </c>
      <c r="BZ244" s="22" t="e">
        <f ca="1">VLOOKUP($A244,tabCustoUnit[],COLUMN(CUSTO_GLOBAL[[#Headers],[CUSTO TOTAL MENSAL]])-2,0)*($G244-$H244)</f>
        <v>#NAME?</v>
      </c>
      <c r="CA244" s="22" t="e">
        <f ca="1">CUSTO_GLOBAL[[#This Row],[CUSTO TOTAL MENSAL]]*12</f>
        <v>#NAME?</v>
      </c>
      <c r="CB244" s="24">
        <f>VLOOKUP($A244,tabCustoUnit[],COLUMN(CUSTO_GLOBAL[[#Headers],[ANO DA CCT]])-2,0)</f>
        <v>45658</v>
      </c>
      <c r="CC244" s="25" t="str">
        <f>VLOOKUP($A244,tabCustoUnit[],COLUMN(CUSTO_GLOBAL[[#Headers],[Nº DE PEDIDO DA CCT]])-2,0)</f>
        <v>-</v>
      </c>
      <c r="CD244" s="25" t="str">
        <f>VLOOKUP($A244,tabCustoUnit[],COLUMN(CUSTO_GLOBAL[[#Headers],[TERMO ADITIVO ALTERAÇÃO DA CCT]])-2,0)</f>
        <v>-</v>
      </c>
    </row>
    <row r="245" spans="1:82">
      <c r="A245" s="20" t="s">
        <v>1500</v>
      </c>
      <c r="B245" t="s">
        <v>1180</v>
      </c>
      <c r="C245" t="s">
        <v>314</v>
      </c>
      <c r="D245" t="s">
        <v>961</v>
      </c>
      <c r="E245" s="20" t="s">
        <v>1090</v>
      </c>
      <c r="F245" s="20" t="s">
        <v>120</v>
      </c>
      <c r="G245" s="20">
        <v>1</v>
      </c>
      <c r="H245" s="20">
        <v>0</v>
      </c>
      <c r="I245" s="21">
        <f>VLOOKUP($A245,tabCustoUnit[],COLUMN(CUSTO_GLOBAL[[#Headers],[Salário Base]])-2,0)*($G245-$H245)</f>
        <v>1963.405</v>
      </c>
      <c r="J245" s="21">
        <f>VLOOKUP($A245,tabCustoUnit[],COLUMN(CUSTO_GLOBAL[[#Headers],[Adicional Periculosidade]])-2,0)*($G245-$H245)</f>
        <v>0</v>
      </c>
      <c r="K245" s="21">
        <f>VLOOKUP($A245,tabCustoUnit[],COLUMN(CUSTO_GLOBAL[[#Headers],[Adicional Insalubridade]])-2,0)*($G245-$H245)</f>
        <v>0</v>
      </c>
      <c r="L245" s="21">
        <f>VLOOKUP($A245,tabCustoUnit[],COLUMN(CUSTO_GLOBAL[[#Headers],[Adicional Noturno]])-2,0)*($G245-$H245)</f>
        <v>0</v>
      </c>
      <c r="M245" s="21">
        <f>VLOOKUP($A245,tabCustoUnit[],COLUMN(CUSTO_GLOBAL[[#Headers],[Adicional Motorista II (Gratificação)]])-2,0)*($G245-$H245)</f>
        <v>0</v>
      </c>
      <c r="N245" s="21">
        <f>VLOOKUP($A245,tabCustoUnit[],COLUMN(CUSTO_GLOBAL[[#Headers],[Adicional de Sobreaviso]])-2,0)*($G245-$H245)</f>
        <v>0</v>
      </c>
      <c r="O245" s="21">
        <f>VLOOKUP($A245,tabCustoUnit[],COLUMN(CUSTO_GLOBAL[[#Headers],[Horas Extras TI]])-2,0)*($G245-$H245)</f>
        <v>0</v>
      </c>
      <c r="P245" s="21">
        <f>VLOOKUP($A245,tabCustoUnit[],COLUMN(CUSTO_GLOBAL[[#Headers],[Adicional de Acúmulo de função]])-2,0)*($G245-$H245)</f>
        <v>0</v>
      </c>
      <c r="Q245" s="21">
        <f>VLOOKUP($A245,tabCustoUnit[],COLUMN(CUSTO_GLOBAL[[#Headers],[MODULO 1 - REMUNERAÇÃO ]])-2,0)*($G245-$H245)</f>
        <v>1963.405</v>
      </c>
      <c r="R245" s="21">
        <f>VLOOKUP($A245,tabCustoUnit[],COLUMN(CUSTO_GLOBAL[[#Headers],[INSS]])-2,0)*($G245-$H245)</f>
        <v>392.68100000000004</v>
      </c>
      <c r="S245" s="21">
        <f>VLOOKUP($A245,tabCustoUnit[],COLUMN(CUSTO_GLOBAL[[#Headers],[SESI OU SESC]])-2,0)*($G245-$H245)</f>
        <v>29.451074999999999</v>
      </c>
      <c r="T245" s="21">
        <f>VLOOKUP($A245,tabCustoUnit[],COLUMN(CUSTO_GLOBAL[[#Headers],[SENAI OU SENAC]])-2,0)*($G245-$H245)</f>
        <v>19.634049999999998</v>
      </c>
      <c r="U245" s="21">
        <f>VLOOKUP($A245,tabCustoUnit[],COLUMN(CUSTO_GLOBAL[[#Headers],[INCRA]])-2,0)*($G245-$H245)</f>
        <v>3.9268100000000001</v>
      </c>
      <c r="V245" s="21">
        <f>VLOOKUP($A245,tabCustoUnit[],COLUMN(CUSTO_GLOBAL[[#Headers],[Salário Educação]])-2,0)*($G245-$H245)</f>
        <v>49.085125000000005</v>
      </c>
      <c r="W245" s="21">
        <f>VLOOKUP($A245,tabCustoUnit[],COLUMN(CUSTO_GLOBAL[[#Headers],[FGTS]])-2,0)*($G245-$H245)</f>
        <v>157.07239999999999</v>
      </c>
      <c r="X245" s="21">
        <f>VLOOKUP($A245,tabCustoUnit[],COLUMN(CUSTO_GLOBAL[[#Headers],[RAT Ajustado]])-2,0)*($G245-$H245)</f>
        <v>78.536199999999994</v>
      </c>
      <c r="Y245" s="21">
        <f>VLOOKUP($A245,tabCustoUnit[],COLUMN(CUSTO_GLOBAL[[#Headers],[SEBRAE]])-2,0)*($G245-$H245)</f>
        <v>11.780430000000001</v>
      </c>
      <c r="Z245" s="21">
        <f>VLOOKUP($A245,tabCustoUnit[],COLUMN(CUSTO_GLOBAL[[#Headers],[Submódulo 2.1]])-2,0)*($G245-$H245)</f>
        <v>742.16709000000003</v>
      </c>
      <c r="AA245" s="21">
        <f>VLOOKUP($A245,tabCustoUnit[],COLUMN(CUSTO_GLOBAL[[#Headers],[13º salário (titular)]])-2,0)*($G245-$H245)</f>
        <v>163.61708333333331</v>
      </c>
      <c r="AB245" s="21">
        <f>VLOOKUP($A245,tabCustoUnit[],COLUMN(CUSTO_GLOBAL[[#Headers],[Férias e Adicional de Férias (titular)]])-2,0)*($G245-$H245)</f>
        <v>218.1561111111111</v>
      </c>
      <c r="AC245" s="21">
        <f>VLOOKUP($A245,tabCustoUnit[],COLUMN(CUSTO_GLOBAL[[#Headers],[Incidência do Submódulo 2.1 sobre 13º Salário, Férias e Adicional de Férias]])-2,0)*($G245-$H245)</f>
        <v>144.31026749999998</v>
      </c>
      <c r="AD245" s="21">
        <f>VLOOKUP($A245,tabCustoUnit[],COLUMN(CUSTO_GLOBAL[[#Headers],[Submódulo 2.2]])-2,0)*($G245-$H245)</f>
        <v>526.08346194444437</v>
      </c>
      <c r="AE245" s="22" t="e">
        <f ca="1">VLOOKUP($A245,tabCustoUnit[],COLUMN(CUSTO_GLOBAL[[#Headers],[Vale - Transporte (Descontada parcela do empregado)]])-2,0)*($G245-$H245)</f>
        <v>#NAME?</v>
      </c>
      <c r="AF245" s="22">
        <f>VLOOKUP($A245,tabCustoUnit[],COLUMN(CUSTO_GLOBAL[[#Headers],[Vale - Alimentação (Descontada parcela do empregado)]])-2,0)*($G245-$H245)</f>
        <v>582</v>
      </c>
      <c r="AG245" s="22">
        <f>VLOOKUP($A245,tabCustoUnit[],COLUMN(CUSTO_GLOBAL[[#Headers],[Cesta Básica]])-2,0)*($G245-$H245)</f>
        <v>0</v>
      </c>
      <c r="AH245" s="22">
        <f>VLOOKUP($A245,tabCustoUnit[],COLUMN(CUSTO_GLOBAL[[#Headers],[PAF]])-2,0)*($G245-$H245)</f>
        <v>0</v>
      </c>
      <c r="AI245" s="22">
        <f>VLOOKUP($A245,tabCustoUnit[],COLUMN(CUSTO_GLOBAL[[#Headers],[PQM]])-2,0)*($G245-$H245)</f>
        <v>0</v>
      </c>
      <c r="AJ245" s="22">
        <v>0</v>
      </c>
      <c r="AK245" s="22">
        <f>VLOOKUP($A245,tabCustoUnit[],COLUMN(CUSTO_GLOBAL[[#Headers],[Seguro de Vida]])-2,0)*($G245-$H245)</f>
        <v>3.36</v>
      </c>
      <c r="AL245" s="22">
        <f>VLOOKUP($A245,tabCustoUnit[],COLUMN(CUSTO_GLOBAL[[#Headers],[Despesas de Viagem]])-2,0)*($G245-$H245)</f>
        <v>0</v>
      </c>
      <c r="AM245" s="22" t="e">
        <f ca="1">VLOOKUP($A245,tabCustoUnit[],COLUMN(CUSTO_GLOBAL[[#Headers],[Submódulo 2.3]])-2,0)*($G245-$H245)</f>
        <v>#NAME?</v>
      </c>
      <c r="AN245" s="22" t="e">
        <f ca="1">VLOOKUP($A245,tabCustoUnit[],COLUMN(CUSTO_GLOBAL[[#Headers],[MÓDULO 2 - Total Encargos e Benefícios mensais e diários]])-2,0)*($G245-$H245)</f>
        <v>#NAME?</v>
      </c>
      <c r="AO245" s="22">
        <f>VLOOKUP($A245,tabCustoUnit[],COLUMN(CUSTO_GLOBAL[[#Headers],[Aviso Prévio Indenizado (API) e Reflexo do Aviso Prévio Indenizado]])-2,0)*($G245-$H245)</f>
        <v>13.766938338155864</v>
      </c>
      <c r="AP245" s="22">
        <f>VLOOKUP($A245,tabCustoUnit[],COLUMN(CUSTO_GLOBAL[[#Headers],[Incidência do FGTS sobre API e Reflexo do API]])-2,0)*($G245-$H245)</f>
        <v>1.1013550670524692</v>
      </c>
      <c r="AQ245" s="22">
        <f>VLOOKUP($A245,tabCustoUnit[],COLUMN(CUSTO_GLOBAL[[#Headers],[Multa Rescisória do FGTS sobre o Aviso Prévio Indenizado]])-2,0)*($G245-$H245)</f>
        <v>0.44054202682098775</v>
      </c>
      <c r="AR245" s="22">
        <f>VLOOKUP($A245,tabCustoUnit[],COLUMN(CUSTO_GLOBAL[[#Headers],[Aviso Prévio Trabalhado - APT]])-2,0)*($G245-$H245)</f>
        <v>6.8719175000000012</v>
      </c>
      <c r="AS245" s="22">
        <f>VLOOKUP($A245,tabCustoUnit[],COLUMN(CUSTO_GLOBAL[[#Headers],[Incidência dos encargos do submódulo 2.1 sobre Aviso Prévio Trabalhado]])-2,0)*($G245-$H245)</f>
        <v>2.5975848150000007</v>
      </c>
      <c r="AT245" s="22">
        <f>VLOOKUP($A245,tabCustoUnit[],COLUMN(CUSTO_GLOBAL[[#Headers],[Multa Rescisória do FGTS]])-2,0)*($G245-$H245)</f>
        <v>60.03656177777777</v>
      </c>
      <c r="AU245" s="22">
        <f>VLOOKUP($A245,tabCustoUnit[],COLUMN(CUSTO_GLOBAL[[#Headers],[Indenização Adicional (Art. 9º da Lei nº 7.238/84)]])-2,0)*($G245-$H245)</f>
        <v>1.6361708333333334</v>
      </c>
      <c r="AV245" s="22">
        <f>VLOOKUP($A245,tabCustoUnit[],COLUMN(CUSTO_GLOBAL[[#Headers],[MÓDULO 3 – PROVISÃO PARA RESCISÃO]])-2,0)*($G245-$H245)</f>
        <v>86.451070358140427</v>
      </c>
      <c r="AW245" s="22">
        <f>VLOOKUP($A245,tabCustoUnit[],COLUMN(CUSTO_GLOBAL[[#Headers],[Ausência por Doença]])-2,0)*($G245-$H245)</f>
        <v>16.579864444444443</v>
      </c>
      <c r="AX245" s="22">
        <f>VLOOKUP($A245,tabCustoUnit[],COLUMN(CUSTO_GLOBAL[[#Headers],[Ausências Legais]])-2,0)*($G245-$H245)</f>
        <v>3.9813490277777777</v>
      </c>
      <c r="AY245" s="22">
        <f>VLOOKUP($A245,tabCustoUnit[],COLUMN(CUSTO_GLOBAL[[#Headers],[Licença Paternidade]])-2,0)*($G245-$H245)</f>
        <v>0.3354150208333333</v>
      </c>
      <c r="AZ245" s="22">
        <f>VLOOKUP($A245,tabCustoUnit[],COLUMN(CUSTO_GLOBAL[[#Headers],[Ausência por Acidente de Trabalho]])-2,0)*($G245-$H245)</f>
        <v>0.40904270833333334</v>
      </c>
      <c r="BA245" s="22">
        <f>VLOOKUP($A245,tabCustoUnit[],COLUMN(CUSTO_GLOBAL[[#Headers],[Férias, Adicional de Férias e 13º  com empregada em gozo de Licença Maternidade]])-2,0)*($G245-$H245)</f>
        <v>2.5451546296296295</v>
      </c>
      <c r="BB245" s="22">
        <f>VLOOKUP($A245,tabCustoUnit[],COLUMN(CUSTO_GLOBAL[[#Headers],[Incidência do Submódulo 2.1 sobre Ausências Legais]])-2,0)*($G245-$H245)</f>
        <v>9.0156121641250007</v>
      </c>
      <c r="BC245" s="22">
        <f>VLOOKUP($A245,tabCustoUnit[],COLUMN(CUSTO_GLOBAL[[#Headers],[Submódulo 4.1]])-2,0)*($G245-$H245)</f>
        <v>32.866437995143521</v>
      </c>
      <c r="BD245" s="22">
        <f>VLOOKUP($A245,tabCustoUnit[],COLUMN(CUSTO_GLOBAL[[#Headers],[Intervalo para Repouso ou Alimentação]])-2,0)*($G245-$H245)</f>
        <v>267.73704981301341</v>
      </c>
      <c r="BE245" s="22">
        <f>VLOOKUP($A245,tabCustoUnit[],COLUMN(CUSTO_GLOBAL[[#Headers],[Submódulo 4.2]])-2,0)*($G245-$H245)</f>
        <v>267.73704981301341</v>
      </c>
      <c r="BF245" s="22">
        <f>VLOOKUP($A245,tabCustoUnit[],COLUMN(CUSTO_GLOBAL[[#Headers],[Suspensão Temporária do Contrato de Trabalho]])-2,0)*($G245-$H245)</f>
        <v>0</v>
      </c>
      <c r="BG245" s="22">
        <f>VLOOKUP($A245,tabCustoUnit[],COLUMN(CUSTO_GLOBAL[[#Headers],[Submódulo 4.3]])-2,0)*($G245-$H245)</f>
        <v>0</v>
      </c>
      <c r="BH245" s="22">
        <f>VLOOKUP($A245,tabCustoUnit[],COLUMN(CUSTO_GLOBAL[[#Headers],[MÓDULO 4 – CUSTO DE REPOSIÇÃO DO PROFISSIONAL AUSENTE]])-2,0)*($G245-$H245)</f>
        <v>300.60348780815696</v>
      </c>
      <c r="BI245" s="22">
        <f>VLOOKUP($A245,tabCustoUnit[],COLUMN(CUSTO_GLOBAL[[#Headers],[Uniformes e EPIs]])-2,0)*($G245-$H245)</f>
        <v>56.642978962543395</v>
      </c>
      <c r="BJ245" s="22">
        <f>VLOOKUP($A245,tabCustoUnit[],COLUMN(CUSTO_GLOBAL[[#Headers],[Materiais de Consumo]])-2,0)*($G245-$H245)</f>
        <v>0</v>
      </c>
      <c r="BK245" s="22">
        <f>VLOOKUP($A245,tabCustoUnit[],COLUMN(CUSTO_GLOBAL[[#Headers],[Máquinas e Equipamentos (depreciação)]])-2,0)*($G245-$H245)</f>
        <v>0</v>
      </c>
      <c r="BL245" s="22">
        <f>VLOOKUP($A245,tabCustoUnit[],COLUMN(CUSTO_GLOBAL[[#Headers],[Produtos de Limpeza e Materiais de Higiene Pessoal]])-2,0)*($G245-$H245)</f>
        <v>0</v>
      </c>
      <c r="BM245" s="22">
        <f>VLOOKUP($A245,tabCustoUnit[],COLUMN(CUSTO_GLOBAL[[#Headers],[Outros (especificar)]])-2,0)*($G245-$H245)</f>
        <v>0</v>
      </c>
      <c r="BN245" s="22">
        <f>VLOOKUP($A245,tabCustoUnit[],COLUMN(CUSTO_GLOBAL[[#Headers],[MÓDULO 5 – INSUMOS DIVERSOS]])-2,0)*($G245-$H245)</f>
        <v>56.642978962543395</v>
      </c>
      <c r="BO245" s="22" t="e">
        <f ca="1">VLOOKUP($A245,tabCustoUnit[],COLUMN(CUSTO_GLOBAL[[#Headers],[TOTAL MÓDULOS 1+2+3+4+5]])-2,0)*($G245-$H245)</f>
        <v>#NAME?</v>
      </c>
      <c r="BP245" s="22" t="e">
        <f ca="1">VLOOKUP($A245,tabCustoUnit[],COLUMN(CUSTO_GLOBAL[[#Headers],[Custos Indiretos]])-2,0)*($G245-$H245)</f>
        <v>#NAME?</v>
      </c>
      <c r="BQ245" s="22" t="e">
        <f ca="1">VLOOKUP($A245,tabCustoUnit[],COLUMN(CUSTO_GLOBAL[[#Headers],[Lucro]])-2,0)*($G245-$H245)</f>
        <v>#NAME?</v>
      </c>
      <c r="BR245" s="26">
        <f>VLOOKUP($A245,tabCustoUnit[],COLUMN(CUSTO_GLOBAL[[#Headers],[COFINS]])-2,0)</f>
        <v>8.6609686609686695E-2</v>
      </c>
      <c r="BS245" s="26">
        <f>VLOOKUP($A245,tabCustoUnit[],COLUMN(CUSTO_GLOBAL[[#Headers],[PIS]])-2,0)</f>
        <v>1.880341880341882E-2</v>
      </c>
      <c r="BT245" s="28">
        <f>VLOOKUP($A245,tabCustoUnit[],COLUMN(CUSTO_GLOBAL[[#Headers],[ISS]])-2,0)</f>
        <v>0.03</v>
      </c>
      <c r="BU245" s="26">
        <f>VLOOKUP($A245,tabCustoUnit[],COLUMN(CUSTO_GLOBAL[[#Headers],[ISS (Conversão Alíquota s/ fatura)]])-2,0)</f>
        <v>3.4188034188034219E-2</v>
      </c>
      <c r="BV245" s="26">
        <f>VLOOKUP($A245,tabCustoUnit[],COLUMN(CUSTO_GLOBAL[[#Headers],[Resumo de Alíquotas (PIS+CONFINS+ISS)]])-2,0)</f>
        <v>0.1225</v>
      </c>
      <c r="BW245" s="138">
        <f>VLOOKUP($A245,tabCustoUnit[],COLUMN(CUSTO_GLOBAL[[#Headers],[PIS + COFINS + ISS (Total Conversão  Alíquota s/ Fatura)]])-2,0)</f>
        <v>0.13960113960113973</v>
      </c>
      <c r="BX245" s="22" t="e">
        <f ca="1">VLOOKUP($A245,tabCustoUnit[],COLUMN(CUSTO_GLOBAL[[#Headers],[Valor dos Tributos (ISS, PIS, CONFINS)]])-2,0)*($G245-$H245)</f>
        <v>#NAME?</v>
      </c>
      <c r="BY245" s="22" t="e">
        <f ca="1">VLOOKUP($A245,tabCustoUnit[],COLUMN(CUSTO_GLOBAL[[#Headers],[MÓDULO 6 – CUSTOS INDIRETOS, TRIBUTOS E LUCRO]])-2,0)*($G245-$H245)</f>
        <v>#NAME?</v>
      </c>
      <c r="BZ245" s="22" t="e">
        <f ca="1">VLOOKUP($A245,tabCustoUnit[],COLUMN(CUSTO_GLOBAL[[#Headers],[CUSTO TOTAL MENSAL]])-2,0)*($G245-$H245)</f>
        <v>#NAME?</v>
      </c>
      <c r="CA245" s="22" t="e">
        <f ca="1">CUSTO_GLOBAL[[#This Row],[CUSTO TOTAL MENSAL]]*12</f>
        <v>#NAME?</v>
      </c>
      <c r="CB245" s="24">
        <f>VLOOKUP($A245,tabCustoUnit[],COLUMN(CUSTO_GLOBAL[[#Headers],[ANO DA CCT]])-2,0)</f>
        <v>45658</v>
      </c>
      <c r="CC245" s="25" t="str">
        <f>VLOOKUP($A245,tabCustoUnit[],COLUMN(CUSTO_GLOBAL[[#Headers],[Nº DE PEDIDO DA CCT]])-2,0)</f>
        <v>-</v>
      </c>
      <c r="CD245" s="25" t="str">
        <f>VLOOKUP($A245,tabCustoUnit[],COLUMN(CUSTO_GLOBAL[[#Headers],[TERMO ADITIVO ALTERAÇÃO DA CCT]])-2,0)</f>
        <v>-</v>
      </c>
    </row>
    <row r="246" spans="1:82">
      <c r="A246" s="20" t="s">
        <v>1670</v>
      </c>
      <c r="B246" t="s">
        <v>1180</v>
      </c>
      <c r="C246" t="s">
        <v>324</v>
      </c>
      <c r="D246" t="s">
        <v>961</v>
      </c>
      <c r="E246" s="20" t="s">
        <v>1090</v>
      </c>
      <c r="F246" s="20" t="s">
        <v>120</v>
      </c>
      <c r="G246" s="20">
        <v>3</v>
      </c>
      <c r="H246" s="20">
        <v>0</v>
      </c>
      <c r="I246" s="21">
        <f>VLOOKUP($A246,tabCustoUnit[],COLUMN(CUSTO_GLOBAL[[#Headers],[Salário Base]])-2,0)*($G246-$H246)</f>
        <v>10191.391500000002</v>
      </c>
      <c r="J246" s="21">
        <f>VLOOKUP($A246,tabCustoUnit[],COLUMN(CUSTO_GLOBAL[[#Headers],[Adicional Periculosidade]])-2,0)*($G246-$H246)</f>
        <v>0</v>
      </c>
      <c r="K246" s="21">
        <f>VLOOKUP($A246,tabCustoUnit[],COLUMN(CUSTO_GLOBAL[[#Headers],[Adicional Insalubridade]])-2,0)*($G246-$H246)</f>
        <v>0</v>
      </c>
      <c r="L246" s="21">
        <f>VLOOKUP($A246,tabCustoUnit[],COLUMN(CUSTO_GLOBAL[[#Headers],[Adicional Noturno]])-2,0)*($G246-$H246)</f>
        <v>0</v>
      </c>
      <c r="M246" s="21">
        <f>VLOOKUP($A246,tabCustoUnit[],COLUMN(CUSTO_GLOBAL[[#Headers],[Adicional Motorista II (Gratificação)]])-2,0)*($G246-$H246)</f>
        <v>0</v>
      </c>
      <c r="N246" s="21">
        <f>VLOOKUP($A246,tabCustoUnit[],COLUMN(CUSTO_GLOBAL[[#Headers],[Adicional de Sobreaviso]])-2,0)*($G246-$H246)</f>
        <v>0</v>
      </c>
      <c r="O246" s="21">
        <f>VLOOKUP($A246,tabCustoUnit[],COLUMN(CUSTO_GLOBAL[[#Headers],[Horas Extras TI]])-2,0)*($G246-$H246)</f>
        <v>0</v>
      </c>
      <c r="P246" s="21">
        <f>VLOOKUP($A246,tabCustoUnit[],COLUMN(CUSTO_GLOBAL[[#Headers],[Adicional de Acúmulo de função]])-2,0)*($G246-$H246)</f>
        <v>0</v>
      </c>
      <c r="Q246" s="21">
        <f>VLOOKUP($A246,tabCustoUnit[],COLUMN(CUSTO_GLOBAL[[#Headers],[MODULO 1 - REMUNERAÇÃO ]])-2,0)*($G246-$H246)</f>
        <v>10191.391500000002</v>
      </c>
      <c r="R246" s="21">
        <f>VLOOKUP($A246,tabCustoUnit[],COLUMN(CUSTO_GLOBAL[[#Headers],[INSS]])-2,0)*($G246-$H246)</f>
        <v>2038.2783000000004</v>
      </c>
      <c r="S246" s="21">
        <f>VLOOKUP($A246,tabCustoUnit[],COLUMN(CUSTO_GLOBAL[[#Headers],[SESI OU SESC]])-2,0)*($G246-$H246)</f>
        <v>152.87087250000002</v>
      </c>
      <c r="T246" s="21">
        <f>VLOOKUP($A246,tabCustoUnit[],COLUMN(CUSTO_GLOBAL[[#Headers],[SENAI OU SENAC]])-2,0)*($G246-$H246)</f>
        <v>101.913915</v>
      </c>
      <c r="U246" s="21">
        <f>VLOOKUP($A246,tabCustoUnit[],COLUMN(CUSTO_GLOBAL[[#Headers],[INCRA]])-2,0)*($G246-$H246)</f>
        <v>20.382783000000003</v>
      </c>
      <c r="V246" s="21">
        <f>VLOOKUP($A246,tabCustoUnit[],COLUMN(CUSTO_GLOBAL[[#Headers],[Salário Educação]])-2,0)*($G246-$H246)</f>
        <v>254.78478750000005</v>
      </c>
      <c r="W246" s="21">
        <f>VLOOKUP($A246,tabCustoUnit[],COLUMN(CUSTO_GLOBAL[[#Headers],[FGTS]])-2,0)*($G246-$H246)</f>
        <v>815.31132000000002</v>
      </c>
      <c r="X246" s="21">
        <f>VLOOKUP($A246,tabCustoUnit[],COLUMN(CUSTO_GLOBAL[[#Headers],[RAT Ajustado]])-2,0)*($G246-$H246)</f>
        <v>407.65566000000001</v>
      </c>
      <c r="Y246" s="21">
        <f>VLOOKUP($A246,tabCustoUnit[],COLUMN(CUSTO_GLOBAL[[#Headers],[SEBRAE]])-2,0)*($G246-$H246)</f>
        <v>61.14834900000001</v>
      </c>
      <c r="Z246" s="21">
        <f>VLOOKUP($A246,tabCustoUnit[],COLUMN(CUSTO_GLOBAL[[#Headers],[Submódulo 2.1]])-2,0)*($G246-$H246)</f>
        <v>3852.3459870000006</v>
      </c>
      <c r="AA246" s="21">
        <f>VLOOKUP($A246,tabCustoUnit[],COLUMN(CUSTO_GLOBAL[[#Headers],[13º salário (titular)]])-2,0)*($G246-$H246)</f>
        <v>849.28262499999994</v>
      </c>
      <c r="AB246" s="21">
        <f>VLOOKUP($A246,tabCustoUnit[],COLUMN(CUSTO_GLOBAL[[#Headers],[Férias e Adicional de Férias (titular)]])-2,0)*($G246-$H246)</f>
        <v>1132.3768333333333</v>
      </c>
      <c r="AC246" s="21">
        <f>VLOOKUP($A246,tabCustoUnit[],COLUMN(CUSTO_GLOBAL[[#Headers],[Incidência do Submódulo 2.1 sobre 13º Salário, Férias e Adicional de Férias]])-2,0)*($G246-$H246)</f>
        <v>749.06727525000019</v>
      </c>
      <c r="AD246" s="21">
        <f>VLOOKUP($A246,tabCustoUnit[],COLUMN(CUSTO_GLOBAL[[#Headers],[Submódulo 2.2]])-2,0)*($G246-$H246)</f>
        <v>2730.726733583333</v>
      </c>
      <c r="AE246" s="22" t="e">
        <f ca="1">VLOOKUP($A246,tabCustoUnit[],COLUMN(CUSTO_GLOBAL[[#Headers],[Vale - Transporte (Descontada parcela do empregado)]])-2,0)*($G246-$H246)</f>
        <v>#NAME?</v>
      </c>
      <c r="AF246" s="22">
        <f>VLOOKUP($A246,tabCustoUnit[],COLUMN(CUSTO_GLOBAL[[#Headers],[Vale - Alimentação (Descontada parcela do empregado)]])-2,0)*($G246-$H246)</f>
        <v>1746</v>
      </c>
      <c r="AG246" s="22">
        <f>VLOOKUP($A246,tabCustoUnit[],COLUMN(CUSTO_GLOBAL[[#Headers],[Cesta Básica]])-2,0)*($G246-$H246)</f>
        <v>0</v>
      </c>
      <c r="AH246" s="22">
        <f>VLOOKUP($A246,tabCustoUnit[],COLUMN(CUSTO_GLOBAL[[#Headers],[PAF]])-2,0)*($G246-$H246)</f>
        <v>0</v>
      </c>
      <c r="AI246" s="22">
        <f>VLOOKUP($A246,tabCustoUnit[],COLUMN(CUSTO_GLOBAL[[#Headers],[PQM]])-2,0)*($G246-$H246)</f>
        <v>0</v>
      </c>
      <c r="AJ246" s="22">
        <v>0</v>
      </c>
      <c r="AK246" s="22">
        <f>VLOOKUP($A246,tabCustoUnit[],COLUMN(CUSTO_GLOBAL[[#Headers],[Seguro de Vida]])-2,0)*($G246-$H246)</f>
        <v>10.08</v>
      </c>
      <c r="AL246" s="22">
        <f>VLOOKUP($A246,tabCustoUnit[],COLUMN(CUSTO_GLOBAL[[#Headers],[Despesas de Viagem]])-2,0)*($G246-$H246)</f>
        <v>0</v>
      </c>
      <c r="AM246" s="22" t="e">
        <f ca="1">VLOOKUP($A246,tabCustoUnit[],COLUMN(CUSTO_GLOBAL[[#Headers],[Submódulo 2.3]])-2,0)*($G246-$H246)</f>
        <v>#NAME?</v>
      </c>
      <c r="AN246" s="22" t="e">
        <f ca="1">VLOOKUP($A246,tabCustoUnit[],COLUMN(CUSTO_GLOBAL[[#Headers],[MÓDULO 2 - Total Encargos e Benefícios mensais e diários]])-2,0)*($G246-$H246)</f>
        <v>#NAME?</v>
      </c>
      <c r="AO246" s="22">
        <f>VLOOKUP($A246,tabCustoUnit[],COLUMN(CUSTO_GLOBAL[[#Headers],[Aviso Prévio Indenizado (API) e Reflexo do Aviso Prévio Indenizado]])-2,0)*($G246-$H246)</f>
        <v>71.459662352141208</v>
      </c>
      <c r="AP246" s="22">
        <f>VLOOKUP($A246,tabCustoUnit[],COLUMN(CUSTO_GLOBAL[[#Headers],[Incidência do FGTS sobre API e Reflexo do API]])-2,0)*($G246-$H246)</f>
        <v>5.7167729881712974</v>
      </c>
      <c r="AQ246" s="22">
        <f>VLOOKUP($A246,tabCustoUnit[],COLUMN(CUSTO_GLOBAL[[#Headers],[Multa Rescisória do FGTS sobre o Aviso Prévio Indenizado]])-2,0)*($G246-$H246)</f>
        <v>2.2867091952685192</v>
      </c>
      <c r="AR246" s="22">
        <f>VLOOKUP($A246,tabCustoUnit[],COLUMN(CUSTO_GLOBAL[[#Headers],[Aviso Prévio Trabalhado - APT]])-2,0)*($G246-$H246)</f>
        <v>35.66987025000001</v>
      </c>
      <c r="AS246" s="22">
        <f>VLOOKUP($A246,tabCustoUnit[],COLUMN(CUSTO_GLOBAL[[#Headers],[Incidência dos encargos do submódulo 2.1 sobre Aviso Prévio Trabalhado]])-2,0)*($G246-$H246)</f>
        <v>13.483210954500006</v>
      </c>
      <c r="AT246" s="22">
        <f>VLOOKUP($A246,tabCustoUnit[],COLUMN(CUSTO_GLOBAL[[#Headers],[Multa Rescisória do FGTS]])-2,0)*($G246-$H246)</f>
        <v>311.63010453333334</v>
      </c>
      <c r="AU246" s="22">
        <f>VLOOKUP($A246,tabCustoUnit[],COLUMN(CUSTO_GLOBAL[[#Headers],[Indenização Adicional (Art. 9º da Lei nº 7.238/84)]])-2,0)*($G246-$H246)</f>
        <v>8.492826250000002</v>
      </c>
      <c r="AV246" s="22">
        <f>VLOOKUP($A246,tabCustoUnit[],COLUMN(CUSTO_GLOBAL[[#Headers],[MÓDULO 3 – PROVISÃO PARA RESCISÃO]])-2,0)*($G246-$H246)</f>
        <v>448.73915652341435</v>
      </c>
      <c r="AW246" s="22">
        <f>VLOOKUP($A246,tabCustoUnit[],COLUMN(CUSTO_GLOBAL[[#Headers],[Ausência por Doença]])-2,0)*($G246-$H246)</f>
        <v>86.060639333333327</v>
      </c>
      <c r="AX246" s="22">
        <f>VLOOKUP($A246,tabCustoUnit[],COLUMN(CUSTO_GLOBAL[[#Headers],[Ausências Legais]])-2,0)*($G246-$H246)</f>
        <v>20.665877208333335</v>
      </c>
      <c r="AY246" s="22">
        <f>VLOOKUP($A246,tabCustoUnit[],COLUMN(CUSTO_GLOBAL[[#Headers],[Licença Paternidade]])-2,0)*($G246-$H246)</f>
        <v>1.7410293812500002</v>
      </c>
      <c r="AZ246" s="22">
        <f>VLOOKUP($A246,tabCustoUnit[],COLUMN(CUSTO_GLOBAL[[#Headers],[Ausência por Acidente de Trabalho]])-2,0)*($G246-$H246)</f>
        <v>2.1232065625000005</v>
      </c>
      <c r="BA246" s="22">
        <f>VLOOKUP($A246,tabCustoUnit[],COLUMN(CUSTO_GLOBAL[[#Headers],[Férias, Adicional de Férias e 13º  com empregada em gozo de Licença Maternidade]])-2,0)*($G246-$H246)</f>
        <v>13.211063055555556</v>
      </c>
      <c r="BB246" s="22">
        <f>VLOOKUP($A246,tabCustoUnit[],COLUMN(CUSTO_GLOBAL[[#Headers],[Incidência do Submódulo 2.1 sobre Ausências Legais]])-2,0)*($G246-$H246)</f>
        <v>46.797086274487512</v>
      </c>
      <c r="BC246" s="22">
        <f>VLOOKUP($A246,tabCustoUnit[],COLUMN(CUSTO_GLOBAL[[#Headers],[Submódulo 4.1]])-2,0)*($G246-$H246)</f>
        <v>170.5989018154597</v>
      </c>
      <c r="BD246" s="22">
        <f>VLOOKUP($A246,tabCustoUnit[],COLUMN(CUSTO_GLOBAL[[#Headers],[Intervalo para Repouso ou Alimentação]])-2,0)*($G246-$H246)</f>
        <v>0</v>
      </c>
      <c r="BE246" s="22">
        <f>VLOOKUP($A246,tabCustoUnit[],COLUMN(CUSTO_GLOBAL[[#Headers],[Submódulo 4.2]])-2,0)*($G246-$H246)</f>
        <v>0</v>
      </c>
      <c r="BF246" s="22">
        <f>VLOOKUP($A246,tabCustoUnit[],COLUMN(CUSTO_GLOBAL[[#Headers],[Suspensão Temporária do Contrato de Trabalho]])-2,0)*($G246-$H246)</f>
        <v>0</v>
      </c>
      <c r="BG246" s="22">
        <f>VLOOKUP($A246,tabCustoUnit[],COLUMN(CUSTO_GLOBAL[[#Headers],[Submódulo 4.3]])-2,0)*($G246-$H246)</f>
        <v>0</v>
      </c>
      <c r="BH246" s="22">
        <f>VLOOKUP($A246,tabCustoUnit[],COLUMN(CUSTO_GLOBAL[[#Headers],[MÓDULO 4 – CUSTO DE REPOSIÇÃO DO PROFISSIONAL AUSENTE]])-2,0)*($G246-$H246)</f>
        <v>170.5989018154597</v>
      </c>
      <c r="BI246" s="22">
        <f>VLOOKUP($A246,tabCustoUnit[],COLUMN(CUSTO_GLOBAL[[#Headers],[Uniformes e EPIs]])-2,0)*($G246-$H246)</f>
        <v>169.92893688763019</v>
      </c>
      <c r="BJ246" s="22">
        <f>VLOOKUP($A246,tabCustoUnit[],COLUMN(CUSTO_GLOBAL[[#Headers],[Materiais de Consumo]])-2,0)*($G246-$H246)</f>
        <v>0</v>
      </c>
      <c r="BK246" s="22">
        <f>VLOOKUP($A246,tabCustoUnit[],COLUMN(CUSTO_GLOBAL[[#Headers],[Máquinas e Equipamentos (depreciação)]])-2,0)*($G246-$H246)</f>
        <v>0</v>
      </c>
      <c r="BL246" s="22">
        <f>VLOOKUP($A246,tabCustoUnit[],COLUMN(CUSTO_GLOBAL[[#Headers],[Produtos de Limpeza e Materiais de Higiene Pessoal]])-2,0)*($G246-$H246)</f>
        <v>0</v>
      </c>
      <c r="BM246" s="22">
        <f>VLOOKUP($A246,tabCustoUnit[],COLUMN(CUSTO_GLOBAL[[#Headers],[Outros (especificar)]])-2,0)*($G246-$H246)</f>
        <v>0</v>
      </c>
      <c r="BN246" s="22">
        <f>VLOOKUP($A246,tabCustoUnit[],COLUMN(CUSTO_GLOBAL[[#Headers],[MÓDULO 5 – INSUMOS DIVERSOS]])-2,0)*($G246-$H246)</f>
        <v>169.92893688763019</v>
      </c>
      <c r="BO246" s="22" t="e">
        <f ca="1">VLOOKUP($A246,tabCustoUnit[],COLUMN(CUSTO_GLOBAL[[#Headers],[TOTAL MÓDULOS 1+2+3+4+5]])-2,0)*($G246-$H246)</f>
        <v>#NAME?</v>
      </c>
      <c r="BP246" s="22" t="e">
        <f ca="1">VLOOKUP($A246,tabCustoUnit[],COLUMN(CUSTO_GLOBAL[[#Headers],[Custos Indiretos]])-2,0)*($G246-$H246)</f>
        <v>#NAME?</v>
      </c>
      <c r="BQ246" s="22" t="e">
        <f ca="1">VLOOKUP($A246,tabCustoUnit[],COLUMN(CUSTO_GLOBAL[[#Headers],[Lucro]])-2,0)*($G246-$H246)</f>
        <v>#NAME?</v>
      </c>
      <c r="BR246" s="26">
        <f>VLOOKUP($A246,tabCustoUnit[],COLUMN(CUSTO_GLOBAL[[#Headers],[COFINS]])-2,0)</f>
        <v>8.6609686609686695E-2</v>
      </c>
      <c r="BS246" s="26">
        <f>VLOOKUP($A246,tabCustoUnit[],COLUMN(CUSTO_GLOBAL[[#Headers],[PIS]])-2,0)</f>
        <v>1.880341880341882E-2</v>
      </c>
      <c r="BT246" s="28">
        <f>VLOOKUP($A246,tabCustoUnit[],COLUMN(CUSTO_GLOBAL[[#Headers],[ISS]])-2,0)</f>
        <v>0.03</v>
      </c>
      <c r="BU246" s="26">
        <f>VLOOKUP($A246,tabCustoUnit[],COLUMN(CUSTO_GLOBAL[[#Headers],[ISS (Conversão Alíquota s/ fatura)]])-2,0)</f>
        <v>3.4188034188034219E-2</v>
      </c>
      <c r="BV246" s="26">
        <f>VLOOKUP($A246,tabCustoUnit[],COLUMN(CUSTO_GLOBAL[[#Headers],[Resumo de Alíquotas (PIS+CONFINS+ISS)]])-2,0)</f>
        <v>0.1225</v>
      </c>
      <c r="BW246" s="138">
        <f>VLOOKUP($A246,tabCustoUnit[],COLUMN(CUSTO_GLOBAL[[#Headers],[PIS + COFINS + ISS (Total Conversão  Alíquota s/ Fatura)]])-2,0)</f>
        <v>0.13960113960113973</v>
      </c>
      <c r="BX246" s="22" t="e">
        <f ca="1">VLOOKUP($A246,tabCustoUnit[],COLUMN(CUSTO_GLOBAL[[#Headers],[Valor dos Tributos (ISS, PIS, CONFINS)]])-2,0)*($G246-$H246)</f>
        <v>#NAME?</v>
      </c>
      <c r="BY246" s="22" t="e">
        <f ca="1">VLOOKUP($A246,tabCustoUnit[],COLUMN(CUSTO_GLOBAL[[#Headers],[MÓDULO 6 – CUSTOS INDIRETOS, TRIBUTOS E LUCRO]])-2,0)*($G246-$H246)</f>
        <v>#NAME?</v>
      </c>
      <c r="BZ246" s="22" t="e">
        <f ca="1">VLOOKUP($A246,tabCustoUnit[],COLUMN(CUSTO_GLOBAL[[#Headers],[CUSTO TOTAL MENSAL]])-2,0)*($G246-$H246)</f>
        <v>#NAME?</v>
      </c>
      <c r="CA246" s="22" t="e">
        <f ca="1">CUSTO_GLOBAL[[#This Row],[CUSTO TOTAL MENSAL]]*12</f>
        <v>#NAME?</v>
      </c>
      <c r="CB246" s="24">
        <f>VLOOKUP($A246,tabCustoUnit[],COLUMN(CUSTO_GLOBAL[[#Headers],[ANO DA CCT]])-2,0)</f>
        <v>45658</v>
      </c>
      <c r="CC246" s="25" t="str">
        <f>VLOOKUP($A246,tabCustoUnit[],COLUMN(CUSTO_GLOBAL[[#Headers],[Nº DE PEDIDO DA CCT]])-2,0)</f>
        <v>-</v>
      </c>
      <c r="CD246" s="25" t="str">
        <f>VLOOKUP($A246,tabCustoUnit[],COLUMN(CUSTO_GLOBAL[[#Headers],[TERMO ADITIVO ALTERAÇÃO DA CCT]])-2,0)</f>
        <v>-</v>
      </c>
    </row>
    <row r="247" spans="1:82">
      <c r="A247" s="20" t="s">
        <v>1671</v>
      </c>
      <c r="B247" t="s">
        <v>1181</v>
      </c>
      <c r="C247" t="s">
        <v>274</v>
      </c>
      <c r="D247" t="s">
        <v>1007</v>
      </c>
      <c r="E247" s="20" t="s">
        <v>1090</v>
      </c>
      <c r="F247" s="20" t="s">
        <v>120</v>
      </c>
      <c r="G247" s="20">
        <v>2</v>
      </c>
      <c r="H247" s="20">
        <v>0</v>
      </c>
      <c r="I247" s="21">
        <f>VLOOKUP($A247,tabCustoUnit[],COLUMN(CUSTO_GLOBAL[[#Headers],[Salário Base]])-2,0)*($G247-$H247)</f>
        <v>9116.1419999999998</v>
      </c>
      <c r="J247" s="21">
        <f>VLOOKUP($A247,tabCustoUnit[],COLUMN(CUSTO_GLOBAL[[#Headers],[Adicional Periculosidade]])-2,0)*($G247-$H247)</f>
        <v>0</v>
      </c>
      <c r="K247" s="21">
        <f>VLOOKUP($A247,tabCustoUnit[],COLUMN(CUSTO_GLOBAL[[#Headers],[Adicional Insalubridade]])-2,0)*($G247-$H247)</f>
        <v>0</v>
      </c>
      <c r="L247" s="21">
        <f>VLOOKUP($A247,tabCustoUnit[],COLUMN(CUSTO_GLOBAL[[#Headers],[Adicional Noturno]])-2,0)*($G247-$H247)</f>
        <v>0</v>
      </c>
      <c r="M247" s="21">
        <f>VLOOKUP($A247,tabCustoUnit[],COLUMN(CUSTO_GLOBAL[[#Headers],[Adicional Motorista II (Gratificação)]])-2,0)*($G247-$H247)</f>
        <v>0</v>
      </c>
      <c r="N247" s="21">
        <f>VLOOKUP($A247,tabCustoUnit[],COLUMN(CUSTO_GLOBAL[[#Headers],[Adicional de Sobreaviso]])-2,0)*($G247-$H247)</f>
        <v>0</v>
      </c>
      <c r="O247" s="21">
        <f>VLOOKUP($A247,tabCustoUnit[],COLUMN(CUSTO_GLOBAL[[#Headers],[Horas Extras TI]])-2,0)*($G247-$H247)</f>
        <v>0</v>
      </c>
      <c r="P247" s="21">
        <f>VLOOKUP($A247,tabCustoUnit[],COLUMN(CUSTO_GLOBAL[[#Headers],[Adicional de Acúmulo de função]])-2,0)*($G247-$H247)</f>
        <v>0</v>
      </c>
      <c r="Q247" s="21">
        <f>VLOOKUP($A247,tabCustoUnit[],COLUMN(CUSTO_GLOBAL[[#Headers],[MODULO 1 - REMUNERAÇÃO ]])-2,0)*($G247-$H247)</f>
        <v>9116.1419999999998</v>
      </c>
      <c r="R247" s="21">
        <f>VLOOKUP($A247,tabCustoUnit[],COLUMN(CUSTO_GLOBAL[[#Headers],[INSS]])-2,0)*($G247-$H247)</f>
        <v>1823.2284</v>
      </c>
      <c r="S247" s="21">
        <f>VLOOKUP($A247,tabCustoUnit[],COLUMN(CUSTO_GLOBAL[[#Headers],[SESI OU SESC]])-2,0)*($G247-$H247)</f>
        <v>136.74213</v>
      </c>
      <c r="T247" s="21">
        <f>VLOOKUP($A247,tabCustoUnit[],COLUMN(CUSTO_GLOBAL[[#Headers],[SENAI OU SENAC]])-2,0)*($G247-$H247)</f>
        <v>91.161420000000007</v>
      </c>
      <c r="U247" s="21">
        <f>VLOOKUP($A247,tabCustoUnit[],COLUMN(CUSTO_GLOBAL[[#Headers],[INCRA]])-2,0)*($G247-$H247)</f>
        <v>18.232284</v>
      </c>
      <c r="V247" s="21">
        <f>VLOOKUP($A247,tabCustoUnit[],COLUMN(CUSTO_GLOBAL[[#Headers],[Salário Educação]])-2,0)*($G247-$H247)</f>
        <v>227.90355</v>
      </c>
      <c r="W247" s="21">
        <f>VLOOKUP($A247,tabCustoUnit[],COLUMN(CUSTO_GLOBAL[[#Headers],[FGTS]])-2,0)*($G247-$H247)</f>
        <v>729.29136000000005</v>
      </c>
      <c r="X247" s="21">
        <f>VLOOKUP($A247,tabCustoUnit[],COLUMN(CUSTO_GLOBAL[[#Headers],[RAT Ajustado]])-2,0)*($G247-$H247)</f>
        <v>364.64568000000003</v>
      </c>
      <c r="Y247" s="21">
        <f>VLOOKUP($A247,tabCustoUnit[],COLUMN(CUSTO_GLOBAL[[#Headers],[SEBRAE]])-2,0)*($G247-$H247)</f>
        <v>54.696852</v>
      </c>
      <c r="Z247" s="21">
        <f>VLOOKUP($A247,tabCustoUnit[],COLUMN(CUSTO_GLOBAL[[#Headers],[Submódulo 2.1]])-2,0)*($G247-$H247)</f>
        <v>3445.9016760000004</v>
      </c>
      <c r="AA247" s="21">
        <f>VLOOKUP($A247,tabCustoUnit[],COLUMN(CUSTO_GLOBAL[[#Headers],[13º salário (titular)]])-2,0)*($G247-$H247)</f>
        <v>759.67849999999999</v>
      </c>
      <c r="AB247" s="21">
        <f>VLOOKUP($A247,tabCustoUnit[],COLUMN(CUSTO_GLOBAL[[#Headers],[Férias e Adicional de Férias (titular)]])-2,0)*($G247-$H247)</f>
        <v>1012.9046666666666</v>
      </c>
      <c r="AC247" s="21">
        <f>VLOOKUP($A247,tabCustoUnit[],COLUMN(CUSTO_GLOBAL[[#Headers],[Incidência do Submódulo 2.1 sobre 13º Salário, Férias e Adicional de Férias]])-2,0)*($G247-$H247)</f>
        <v>670.03643700000009</v>
      </c>
      <c r="AD247" s="21">
        <f>VLOOKUP($A247,tabCustoUnit[],COLUMN(CUSTO_GLOBAL[[#Headers],[Submódulo 2.2]])-2,0)*($G247-$H247)</f>
        <v>2442.6196036666665</v>
      </c>
      <c r="AE247" s="22" t="e">
        <f ca="1">VLOOKUP($A247,tabCustoUnit[],COLUMN(CUSTO_GLOBAL[[#Headers],[Vale - Transporte (Descontada parcela do empregado)]])-2,0)*($G247-$H247)</f>
        <v>#NAME?</v>
      </c>
      <c r="AF247" s="22">
        <f>VLOOKUP($A247,tabCustoUnit[],COLUMN(CUSTO_GLOBAL[[#Headers],[Vale - Alimentação (Descontada parcela do empregado)]])-2,0)*($G247-$H247)</f>
        <v>1156.8</v>
      </c>
      <c r="AG247" s="22">
        <f>VLOOKUP($A247,tabCustoUnit[],COLUMN(CUSTO_GLOBAL[[#Headers],[Cesta Básica]])-2,0)*($G247-$H247)</f>
        <v>0</v>
      </c>
      <c r="AH247" s="22">
        <f>VLOOKUP($A247,tabCustoUnit[],COLUMN(CUSTO_GLOBAL[[#Headers],[PAF]])-2,0)*($G247-$H247)</f>
        <v>45.04</v>
      </c>
      <c r="AI247" s="22">
        <f>VLOOKUP($A247,tabCustoUnit[],COLUMN(CUSTO_GLOBAL[[#Headers],[PQM]])-2,0)*($G247-$H247)</f>
        <v>0</v>
      </c>
      <c r="AJ247" s="22">
        <v>0</v>
      </c>
      <c r="AK247" s="22">
        <f>VLOOKUP($A247,tabCustoUnit[],COLUMN(CUSTO_GLOBAL[[#Headers],[Seguro de Vida]])-2,0)*($G247-$H247)</f>
        <v>6.72</v>
      </c>
      <c r="AL247" s="22">
        <f>VLOOKUP($A247,tabCustoUnit[],COLUMN(CUSTO_GLOBAL[[#Headers],[Despesas de Viagem]])-2,0)*($G247-$H247)</f>
        <v>1324.84</v>
      </c>
      <c r="AM247" s="22" t="e">
        <f ca="1">VLOOKUP($A247,tabCustoUnit[],COLUMN(CUSTO_GLOBAL[[#Headers],[Submódulo 2.3]])-2,0)*($G247-$H247)</f>
        <v>#NAME?</v>
      </c>
      <c r="AN247" s="22" t="e">
        <f ca="1">VLOOKUP($A247,tabCustoUnit[],COLUMN(CUSTO_GLOBAL[[#Headers],[MÓDULO 2 - Total Encargos e Benefícios mensais e diários]])-2,0)*($G247-$H247)</f>
        <v>#NAME?</v>
      </c>
      <c r="AO247" s="22">
        <f>VLOOKUP($A247,tabCustoUnit[],COLUMN(CUSTO_GLOBAL[[#Headers],[Aviso Prévio Indenizado (API) e Reflexo do Aviso Prévio Indenizado]])-2,0)*($G247-$H247)</f>
        <v>63.920263417824074</v>
      </c>
      <c r="AP247" s="22">
        <f>VLOOKUP($A247,tabCustoUnit[],COLUMN(CUSTO_GLOBAL[[#Headers],[Incidência do FGTS sobre API e Reflexo do API]])-2,0)*($G247-$H247)</f>
        <v>5.113621073425926</v>
      </c>
      <c r="AQ247" s="22">
        <f>VLOOKUP($A247,tabCustoUnit[],COLUMN(CUSTO_GLOBAL[[#Headers],[Multa Rescisória do FGTS sobre o Aviso Prévio Indenizado]])-2,0)*($G247-$H247)</f>
        <v>2.0454484293703707</v>
      </c>
      <c r="AR247" s="22">
        <f>VLOOKUP($A247,tabCustoUnit[],COLUMN(CUSTO_GLOBAL[[#Headers],[Aviso Prévio Trabalhado - APT]])-2,0)*($G247-$H247)</f>
        <v>31.906497000000005</v>
      </c>
      <c r="AS247" s="22">
        <f>VLOOKUP($A247,tabCustoUnit[],COLUMN(CUSTO_GLOBAL[[#Headers],[Incidência dos encargos do submódulo 2.1 sobre Aviso Prévio Trabalhado]])-2,0)*($G247-$H247)</f>
        <v>12.060655866000003</v>
      </c>
      <c r="AT247" s="22">
        <f>VLOOKUP($A247,tabCustoUnit[],COLUMN(CUSTO_GLOBAL[[#Headers],[Multa Rescisória do FGTS]])-2,0)*($G247-$H247)</f>
        <v>278.7513642666666</v>
      </c>
      <c r="AU247" s="22">
        <f>VLOOKUP($A247,tabCustoUnit[],COLUMN(CUSTO_GLOBAL[[#Headers],[Indenização Adicional (Art. 9º da Lei nº 7.238/84)]])-2,0)*($G247-$H247)</f>
        <v>7.5967850000000006</v>
      </c>
      <c r="AV247" s="22">
        <f>VLOOKUP($A247,tabCustoUnit[],COLUMN(CUSTO_GLOBAL[[#Headers],[MÓDULO 3 – PROVISÃO PARA RESCISÃO]])-2,0)*($G247-$H247)</f>
        <v>401.394635053287</v>
      </c>
      <c r="AW247" s="22">
        <f>VLOOKUP($A247,tabCustoUnit[],COLUMN(CUSTO_GLOBAL[[#Headers],[Ausência por Doença]])-2,0)*($G247-$H247)</f>
        <v>76.980754666666655</v>
      </c>
      <c r="AX247" s="22">
        <f>VLOOKUP($A247,tabCustoUnit[],COLUMN(CUSTO_GLOBAL[[#Headers],[Ausências Legais]])-2,0)*($G247-$H247)</f>
        <v>18.485510166666664</v>
      </c>
      <c r="AY247" s="22">
        <f>VLOOKUP($A247,tabCustoUnit[],COLUMN(CUSTO_GLOBAL[[#Headers],[Licença Paternidade]])-2,0)*($G247-$H247)</f>
        <v>1.5573409249999999</v>
      </c>
      <c r="AZ247" s="22">
        <f>VLOOKUP($A247,tabCustoUnit[],COLUMN(CUSTO_GLOBAL[[#Headers],[Ausência por Acidente de Trabalho]])-2,0)*($G247-$H247)</f>
        <v>1.8991962500000001</v>
      </c>
      <c r="BA247" s="22">
        <f>VLOOKUP($A247,tabCustoUnit[],COLUMN(CUSTO_GLOBAL[[#Headers],[Férias, Adicional de Férias e 13º  com empregada em gozo de Licença Maternidade]])-2,0)*($G247-$H247)</f>
        <v>11.817221111111111</v>
      </c>
      <c r="BB247" s="22">
        <f>VLOOKUP($A247,tabCustoUnit[],COLUMN(CUSTO_GLOBAL[[#Headers],[Incidência do Submódulo 2.1 sobre Ausências Legais]])-2,0)*($G247-$H247)</f>
        <v>41.859728739150007</v>
      </c>
      <c r="BC247" s="22">
        <f>VLOOKUP($A247,tabCustoUnit[],COLUMN(CUSTO_GLOBAL[[#Headers],[Submódulo 4.1]])-2,0)*($G247-$H247)</f>
        <v>152.59975185859446</v>
      </c>
      <c r="BD247" s="22">
        <f>VLOOKUP($A247,tabCustoUnit[],COLUMN(CUSTO_GLOBAL[[#Headers],[Intervalo para Repouso ou Alimentação]])-2,0)*($G247-$H247)</f>
        <v>0</v>
      </c>
      <c r="BE247" s="22">
        <f>VLOOKUP($A247,tabCustoUnit[],COLUMN(CUSTO_GLOBAL[[#Headers],[Submódulo 4.2]])-2,0)*($G247-$H247)</f>
        <v>0</v>
      </c>
      <c r="BF247" s="22">
        <f>VLOOKUP($A247,tabCustoUnit[],COLUMN(CUSTO_GLOBAL[[#Headers],[Suspensão Temporária do Contrato de Trabalho]])-2,0)*($G247-$H247)</f>
        <v>0</v>
      </c>
      <c r="BG247" s="22">
        <f>VLOOKUP($A247,tabCustoUnit[],COLUMN(CUSTO_GLOBAL[[#Headers],[Submódulo 4.3]])-2,0)*($G247-$H247)</f>
        <v>0</v>
      </c>
      <c r="BH247" s="22">
        <f>VLOOKUP($A247,tabCustoUnit[],COLUMN(CUSTO_GLOBAL[[#Headers],[MÓDULO 4 – CUSTO DE REPOSIÇÃO DO PROFISSIONAL AUSENTE]])-2,0)*($G247-$H247)</f>
        <v>152.59975185859446</v>
      </c>
      <c r="BI247" s="22">
        <f>VLOOKUP($A247,tabCustoUnit[],COLUMN(CUSTO_GLOBAL[[#Headers],[Uniformes e EPIs]])-2,0)*($G247-$H247)</f>
        <v>184.2015275431414</v>
      </c>
      <c r="BJ247" s="22">
        <f>VLOOKUP($A247,tabCustoUnit[],COLUMN(CUSTO_GLOBAL[[#Headers],[Materiais de Consumo]])-2,0)*($G247-$H247)</f>
        <v>0</v>
      </c>
      <c r="BK247" s="22">
        <f>VLOOKUP($A247,tabCustoUnit[],COLUMN(CUSTO_GLOBAL[[#Headers],[Máquinas e Equipamentos (depreciação)]])-2,0)*($G247-$H247)</f>
        <v>0</v>
      </c>
      <c r="BL247" s="22">
        <f>VLOOKUP($A247,tabCustoUnit[],COLUMN(CUSTO_GLOBAL[[#Headers],[Produtos de Limpeza e Materiais de Higiene Pessoal]])-2,0)*($G247-$H247)</f>
        <v>0</v>
      </c>
      <c r="BM247" s="22">
        <f>VLOOKUP($A247,tabCustoUnit[],COLUMN(CUSTO_GLOBAL[[#Headers],[Outros (especificar)]])-2,0)*($G247-$H247)</f>
        <v>0</v>
      </c>
      <c r="BN247" s="22">
        <f>VLOOKUP($A247,tabCustoUnit[],COLUMN(CUSTO_GLOBAL[[#Headers],[MÓDULO 5 – INSUMOS DIVERSOS]])-2,0)*($G247-$H247)</f>
        <v>184.2015275431414</v>
      </c>
      <c r="BO247" s="22" t="e">
        <f ca="1">VLOOKUP($A247,tabCustoUnit[],COLUMN(CUSTO_GLOBAL[[#Headers],[TOTAL MÓDULOS 1+2+3+4+5]])-2,0)*($G247-$H247)</f>
        <v>#NAME?</v>
      </c>
      <c r="BP247" s="22" t="e">
        <f ca="1">VLOOKUP($A247,tabCustoUnit[],COLUMN(CUSTO_GLOBAL[[#Headers],[Custos Indiretos]])-2,0)*($G247-$H247)</f>
        <v>#NAME?</v>
      </c>
      <c r="BQ247" s="22" t="e">
        <f ca="1">VLOOKUP($A247,tabCustoUnit[],COLUMN(CUSTO_GLOBAL[[#Headers],[Lucro]])-2,0)*($G247-$H247)</f>
        <v>#NAME?</v>
      </c>
      <c r="BR247" s="26">
        <f>VLOOKUP($A247,tabCustoUnit[],COLUMN(CUSTO_GLOBAL[[#Headers],[COFINS]])-2,0)</f>
        <v>8.5633802816901458E-2</v>
      </c>
      <c r="BS247" s="26">
        <f>VLOOKUP($A247,tabCustoUnit[],COLUMN(CUSTO_GLOBAL[[#Headers],[PIS]])-2,0)</f>
        <v>1.8591549295774657E-2</v>
      </c>
      <c r="BT247" s="28">
        <f>VLOOKUP($A247,tabCustoUnit[],COLUMN(CUSTO_GLOBAL[[#Headers],[ISS]])-2,0)</f>
        <v>0.02</v>
      </c>
      <c r="BU247" s="26">
        <f>VLOOKUP($A247,tabCustoUnit[],COLUMN(CUSTO_GLOBAL[[#Headers],[ISS (Conversão Alíquota s/ fatura)]])-2,0)</f>
        <v>2.2535211267605645E-2</v>
      </c>
      <c r="BV247" s="26">
        <f>VLOOKUP($A247,tabCustoUnit[],COLUMN(CUSTO_GLOBAL[[#Headers],[Resumo de Alíquotas (PIS+CONFINS+ISS)]])-2,0)</f>
        <v>0.1125</v>
      </c>
      <c r="BW247" s="138">
        <f>VLOOKUP($A247,tabCustoUnit[],COLUMN(CUSTO_GLOBAL[[#Headers],[PIS + COFINS + ISS (Total Conversão  Alíquota s/ Fatura)]])-2,0)</f>
        <v>0.12676056338028174</v>
      </c>
      <c r="BX247" s="22" t="e">
        <f ca="1">VLOOKUP($A247,tabCustoUnit[],COLUMN(CUSTO_GLOBAL[[#Headers],[Valor dos Tributos (ISS, PIS, CONFINS)]])-2,0)*($G247-$H247)</f>
        <v>#NAME?</v>
      </c>
      <c r="BY247" s="22" t="e">
        <f ca="1">VLOOKUP($A247,tabCustoUnit[],COLUMN(CUSTO_GLOBAL[[#Headers],[MÓDULO 6 – CUSTOS INDIRETOS, TRIBUTOS E LUCRO]])-2,0)*($G247-$H247)</f>
        <v>#NAME?</v>
      </c>
      <c r="BZ247" s="22" t="e">
        <f ca="1">VLOOKUP($A247,tabCustoUnit[],COLUMN(CUSTO_GLOBAL[[#Headers],[CUSTO TOTAL MENSAL]])-2,0)*($G247-$H247)</f>
        <v>#NAME?</v>
      </c>
      <c r="CA247" s="22" t="e">
        <f ca="1">CUSTO_GLOBAL[[#This Row],[CUSTO TOTAL MENSAL]]*12</f>
        <v>#NAME?</v>
      </c>
      <c r="CB247" s="24">
        <f>VLOOKUP($A247,tabCustoUnit[],COLUMN(CUSTO_GLOBAL[[#Headers],[ANO DA CCT]])-2,0)</f>
        <v>45658</v>
      </c>
      <c r="CC247" s="25" t="str">
        <f>VLOOKUP($A247,tabCustoUnit[],COLUMN(CUSTO_GLOBAL[[#Headers],[Nº DE PEDIDO DA CCT]])-2,0)</f>
        <v>-</v>
      </c>
      <c r="CD247" s="25" t="str">
        <f>VLOOKUP($A247,tabCustoUnit[],COLUMN(CUSTO_GLOBAL[[#Headers],[TERMO ADITIVO ALTERAÇÃO DA CCT]])-2,0)</f>
        <v>-</v>
      </c>
    </row>
    <row r="248" spans="1:82">
      <c r="A248" s="20" t="s">
        <v>1672</v>
      </c>
      <c r="B248" t="s">
        <v>1181</v>
      </c>
      <c r="C248" t="s">
        <v>324</v>
      </c>
      <c r="D248" t="s">
        <v>968</v>
      </c>
      <c r="E248" s="20" t="s">
        <v>1090</v>
      </c>
      <c r="F248" s="20" t="s">
        <v>120</v>
      </c>
      <c r="G248" s="20">
        <v>1</v>
      </c>
      <c r="H248" s="20">
        <v>0</v>
      </c>
      <c r="I248" s="21">
        <f>VLOOKUP($A248,tabCustoUnit[],COLUMN(CUSTO_GLOBAL[[#Headers],[Salário Base]])-2,0)*($G248-$H248)</f>
        <v>3397.1305000000002</v>
      </c>
      <c r="J248" s="21">
        <f>VLOOKUP($A248,tabCustoUnit[],COLUMN(CUSTO_GLOBAL[[#Headers],[Adicional Periculosidade]])-2,0)*($G248-$H248)</f>
        <v>0</v>
      </c>
      <c r="K248" s="21">
        <f>VLOOKUP($A248,tabCustoUnit[],COLUMN(CUSTO_GLOBAL[[#Headers],[Adicional Insalubridade]])-2,0)*($G248-$H248)</f>
        <v>0</v>
      </c>
      <c r="L248" s="21">
        <f>VLOOKUP($A248,tabCustoUnit[],COLUMN(CUSTO_GLOBAL[[#Headers],[Adicional Noturno]])-2,0)*($G248-$H248)</f>
        <v>0</v>
      </c>
      <c r="M248" s="21">
        <f>VLOOKUP($A248,tabCustoUnit[],COLUMN(CUSTO_GLOBAL[[#Headers],[Adicional Motorista II (Gratificação)]])-2,0)*($G248-$H248)</f>
        <v>0</v>
      </c>
      <c r="N248" s="21">
        <f>VLOOKUP($A248,tabCustoUnit[],COLUMN(CUSTO_GLOBAL[[#Headers],[Adicional de Sobreaviso]])-2,0)*($G248-$H248)</f>
        <v>0</v>
      </c>
      <c r="O248" s="21">
        <f>VLOOKUP($A248,tabCustoUnit[],COLUMN(CUSTO_GLOBAL[[#Headers],[Horas Extras TI]])-2,0)*($G248-$H248)</f>
        <v>0</v>
      </c>
      <c r="P248" s="21">
        <f>VLOOKUP($A248,tabCustoUnit[],COLUMN(CUSTO_GLOBAL[[#Headers],[Adicional de Acúmulo de função]])-2,0)*($G248-$H248)</f>
        <v>0</v>
      </c>
      <c r="Q248" s="21">
        <f>VLOOKUP($A248,tabCustoUnit[],COLUMN(CUSTO_GLOBAL[[#Headers],[MODULO 1 - REMUNERAÇÃO ]])-2,0)*($G248-$H248)</f>
        <v>3397.1305000000002</v>
      </c>
      <c r="R248" s="21">
        <f>VLOOKUP($A248,tabCustoUnit[],COLUMN(CUSTO_GLOBAL[[#Headers],[INSS]])-2,0)*($G248-$H248)</f>
        <v>679.42610000000013</v>
      </c>
      <c r="S248" s="21">
        <f>VLOOKUP($A248,tabCustoUnit[],COLUMN(CUSTO_GLOBAL[[#Headers],[SESI OU SESC]])-2,0)*($G248-$H248)</f>
        <v>50.956957500000001</v>
      </c>
      <c r="T248" s="21">
        <f>VLOOKUP($A248,tabCustoUnit[],COLUMN(CUSTO_GLOBAL[[#Headers],[SENAI OU SENAC]])-2,0)*($G248-$H248)</f>
        <v>33.971305000000001</v>
      </c>
      <c r="U248" s="21">
        <f>VLOOKUP($A248,tabCustoUnit[],COLUMN(CUSTO_GLOBAL[[#Headers],[INCRA]])-2,0)*($G248-$H248)</f>
        <v>6.7942610000000005</v>
      </c>
      <c r="V248" s="21">
        <f>VLOOKUP($A248,tabCustoUnit[],COLUMN(CUSTO_GLOBAL[[#Headers],[Salário Educação]])-2,0)*($G248-$H248)</f>
        <v>84.928262500000017</v>
      </c>
      <c r="W248" s="21">
        <f>VLOOKUP($A248,tabCustoUnit[],COLUMN(CUSTO_GLOBAL[[#Headers],[FGTS]])-2,0)*($G248-$H248)</f>
        <v>271.77044000000001</v>
      </c>
      <c r="X248" s="21">
        <f>VLOOKUP($A248,tabCustoUnit[],COLUMN(CUSTO_GLOBAL[[#Headers],[RAT Ajustado]])-2,0)*($G248-$H248)</f>
        <v>135.88522</v>
      </c>
      <c r="Y248" s="21">
        <f>VLOOKUP($A248,tabCustoUnit[],COLUMN(CUSTO_GLOBAL[[#Headers],[SEBRAE]])-2,0)*($G248-$H248)</f>
        <v>20.382783000000003</v>
      </c>
      <c r="Z248" s="21">
        <f>VLOOKUP($A248,tabCustoUnit[],COLUMN(CUSTO_GLOBAL[[#Headers],[Submódulo 2.1]])-2,0)*($G248-$H248)</f>
        <v>1284.1153290000002</v>
      </c>
      <c r="AA248" s="21">
        <f>VLOOKUP($A248,tabCustoUnit[],COLUMN(CUSTO_GLOBAL[[#Headers],[13º salário (titular)]])-2,0)*($G248-$H248)</f>
        <v>283.09420833333331</v>
      </c>
      <c r="AB248" s="21">
        <f>VLOOKUP($A248,tabCustoUnit[],COLUMN(CUSTO_GLOBAL[[#Headers],[Férias e Adicional de Férias (titular)]])-2,0)*($G248-$H248)</f>
        <v>377.45894444444446</v>
      </c>
      <c r="AC248" s="21">
        <f>VLOOKUP($A248,tabCustoUnit[],COLUMN(CUSTO_GLOBAL[[#Headers],[Incidência do Submódulo 2.1 sobre 13º Salário, Férias e Adicional de Férias]])-2,0)*($G248-$H248)</f>
        <v>249.68909175000005</v>
      </c>
      <c r="AD248" s="21">
        <f>VLOOKUP($A248,tabCustoUnit[],COLUMN(CUSTO_GLOBAL[[#Headers],[Submódulo 2.2]])-2,0)*($G248-$H248)</f>
        <v>910.24224452777776</v>
      </c>
      <c r="AE248" s="22" t="e">
        <f ca="1">VLOOKUP($A248,tabCustoUnit[],COLUMN(CUSTO_GLOBAL[[#Headers],[Vale - Transporte (Descontada parcela do empregado)]])-2,0)*($G248-$H248)</f>
        <v>#NAME?</v>
      </c>
      <c r="AF248" s="22">
        <f>VLOOKUP($A248,tabCustoUnit[],COLUMN(CUSTO_GLOBAL[[#Headers],[Vale - Alimentação (Descontada parcela do empregado)]])-2,0)*($G248-$H248)</f>
        <v>582</v>
      </c>
      <c r="AG248" s="22">
        <f>VLOOKUP($A248,tabCustoUnit[],COLUMN(CUSTO_GLOBAL[[#Headers],[Cesta Básica]])-2,0)*($G248-$H248)</f>
        <v>0</v>
      </c>
      <c r="AH248" s="22">
        <f>VLOOKUP($A248,tabCustoUnit[],COLUMN(CUSTO_GLOBAL[[#Headers],[PAF]])-2,0)*($G248-$H248)</f>
        <v>51.86</v>
      </c>
      <c r="AI248" s="22">
        <f>VLOOKUP($A248,tabCustoUnit[],COLUMN(CUSTO_GLOBAL[[#Headers],[PQM]])-2,0)*($G248-$H248)</f>
        <v>0</v>
      </c>
      <c r="AJ248" s="22">
        <v>0</v>
      </c>
      <c r="AK248" s="22">
        <f>VLOOKUP($A248,tabCustoUnit[],COLUMN(CUSTO_GLOBAL[[#Headers],[Seguro de Vida]])-2,0)*($G248-$H248)</f>
        <v>3.36</v>
      </c>
      <c r="AL248" s="22">
        <f>VLOOKUP($A248,tabCustoUnit[],COLUMN(CUSTO_GLOBAL[[#Headers],[Despesas de Viagem]])-2,0)*($G248-$H248)</f>
        <v>0</v>
      </c>
      <c r="AM248" s="22" t="e">
        <f ca="1">VLOOKUP($A248,tabCustoUnit[],COLUMN(CUSTO_GLOBAL[[#Headers],[Submódulo 2.3]])-2,0)*($G248-$H248)</f>
        <v>#NAME?</v>
      </c>
      <c r="AN248" s="22" t="e">
        <f ca="1">VLOOKUP($A248,tabCustoUnit[],COLUMN(CUSTO_GLOBAL[[#Headers],[MÓDULO 2 - Total Encargos e Benefícios mensais e diários]])-2,0)*($G248-$H248)</f>
        <v>#NAME?</v>
      </c>
      <c r="AO248" s="22">
        <f>VLOOKUP($A248,tabCustoUnit[],COLUMN(CUSTO_GLOBAL[[#Headers],[Aviso Prévio Indenizado (API) e Reflexo do Aviso Prévio Indenizado]])-2,0)*($G248-$H248)</f>
        <v>23.819887450713736</v>
      </c>
      <c r="AP248" s="22">
        <f>VLOOKUP($A248,tabCustoUnit[],COLUMN(CUSTO_GLOBAL[[#Headers],[Incidência do FGTS sobre API e Reflexo do API]])-2,0)*($G248-$H248)</f>
        <v>1.9055909960570991</v>
      </c>
      <c r="AQ248" s="22">
        <f>VLOOKUP($A248,tabCustoUnit[],COLUMN(CUSTO_GLOBAL[[#Headers],[Multa Rescisória do FGTS sobre o Aviso Prévio Indenizado]])-2,0)*($G248-$H248)</f>
        <v>0.76223639842283974</v>
      </c>
      <c r="AR248" s="22">
        <f>VLOOKUP($A248,tabCustoUnit[],COLUMN(CUSTO_GLOBAL[[#Headers],[Aviso Prévio Trabalhado - APT]])-2,0)*($G248-$H248)</f>
        <v>11.889956750000003</v>
      </c>
      <c r="AS248" s="22">
        <f>VLOOKUP($A248,tabCustoUnit[],COLUMN(CUSTO_GLOBAL[[#Headers],[Incidência dos encargos do submódulo 2.1 sobre Aviso Prévio Trabalhado]])-2,0)*($G248-$H248)</f>
        <v>4.4944036515000017</v>
      </c>
      <c r="AT248" s="22">
        <f>VLOOKUP($A248,tabCustoUnit[],COLUMN(CUSTO_GLOBAL[[#Headers],[Multa Rescisória do FGTS]])-2,0)*($G248-$H248)</f>
        <v>103.87670151111111</v>
      </c>
      <c r="AU248" s="22">
        <f>VLOOKUP($A248,tabCustoUnit[],COLUMN(CUSTO_GLOBAL[[#Headers],[Indenização Adicional (Art. 9º da Lei nº 7.238/84)]])-2,0)*($G248-$H248)</f>
        <v>2.8309420833333339</v>
      </c>
      <c r="AV248" s="22">
        <f>VLOOKUP($A248,tabCustoUnit[],COLUMN(CUSTO_GLOBAL[[#Headers],[MÓDULO 3 – PROVISÃO PARA RESCISÃO]])-2,0)*($G248-$H248)</f>
        <v>149.57971884113812</v>
      </c>
      <c r="AW248" s="22">
        <f>VLOOKUP($A248,tabCustoUnit[],COLUMN(CUSTO_GLOBAL[[#Headers],[Ausência por Doença]])-2,0)*($G248-$H248)</f>
        <v>28.686879777777776</v>
      </c>
      <c r="AX248" s="22">
        <f>VLOOKUP($A248,tabCustoUnit[],COLUMN(CUSTO_GLOBAL[[#Headers],[Ausências Legais]])-2,0)*($G248-$H248)</f>
        <v>6.888625736111111</v>
      </c>
      <c r="AY248" s="22">
        <f>VLOOKUP($A248,tabCustoUnit[],COLUMN(CUSTO_GLOBAL[[#Headers],[Licença Paternidade]])-2,0)*($G248-$H248)</f>
        <v>0.58034312708333335</v>
      </c>
      <c r="AZ248" s="22">
        <f>VLOOKUP($A248,tabCustoUnit[],COLUMN(CUSTO_GLOBAL[[#Headers],[Ausência por Acidente de Trabalho]])-2,0)*($G248-$H248)</f>
        <v>0.70773552083333346</v>
      </c>
      <c r="BA248" s="22">
        <f>VLOOKUP($A248,tabCustoUnit[],COLUMN(CUSTO_GLOBAL[[#Headers],[Férias, Adicional de Férias e 13º  com empregada em gozo de Licença Maternidade]])-2,0)*($G248-$H248)</f>
        <v>4.4036876851851856</v>
      </c>
      <c r="BB248" s="22">
        <f>VLOOKUP($A248,tabCustoUnit[],COLUMN(CUSTO_GLOBAL[[#Headers],[Incidência do Submódulo 2.1 sobre Ausências Legais]])-2,0)*($G248-$H248)</f>
        <v>15.599028758162504</v>
      </c>
      <c r="BC248" s="22">
        <f>VLOOKUP($A248,tabCustoUnit[],COLUMN(CUSTO_GLOBAL[[#Headers],[Submódulo 4.1]])-2,0)*($G248-$H248)</f>
        <v>56.866300605153235</v>
      </c>
      <c r="BD248" s="22">
        <f>VLOOKUP($A248,tabCustoUnit[],COLUMN(CUSTO_GLOBAL[[#Headers],[Intervalo para Repouso ou Alimentação]])-2,0)*($G248-$H248)</f>
        <v>0</v>
      </c>
      <c r="BE248" s="22">
        <f>VLOOKUP($A248,tabCustoUnit[],COLUMN(CUSTO_GLOBAL[[#Headers],[Submódulo 4.2]])-2,0)*($G248-$H248)</f>
        <v>0</v>
      </c>
      <c r="BF248" s="22">
        <f>VLOOKUP($A248,tabCustoUnit[],COLUMN(CUSTO_GLOBAL[[#Headers],[Suspensão Temporária do Contrato de Trabalho]])-2,0)*($G248-$H248)</f>
        <v>0</v>
      </c>
      <c r="BG248" s="22">
        <f>VLOOKUP($A248,tabCustoUnit[],COLUMN(CUSTO_GLOBAL[[#Headers],[Submódulo 4.3]])-2,0)*($G248-$H248)</f>
        <v>0</v>
      </c>
      <c r="BH248" s="22">
        <f>VLOOKUP($A248,tabCustoUnit[],COLUMN(CUSTO_GLOBAL[[#Headers],[MÓDULO 4 – CUSTO DE REPOSIÇÃO DO PROFISSIONAL AUSENTE]])-2,0)*($G248-$H248)</f>
        <v>56.866300605153235</v>
      </c>
      <c r="BI248" s="22">
        <f>VLOOKUP($A248,tabCustoUnit[],COLUMN(CUSTO_GLOBAL[[#Headers],[Uniformes e EPIs]])-2,0)*($G248-$H248)</f>
        <v>56.642978962543395</v>
      </c>
      <c r="BJ248" s="22">
        <f>VLOOKUP($A248,tabCustoUnit[],COLUMN(CUSTO_GLOBAL[[#Headers],[Materiais de Consumo]])-2,0)*($G248-$H248)</f>
        <v>0</v>
      </c>
      <c r="BK248" s="22">
        <f>VLOOKUP($A248,tabCustoUnit[],COLUMN(CUSTO_GLOBAL[[#Headers],[Máquinas e Equipamentos (depreciação)]])-2,0)*($G248-$H248)</f>
        <v>0</v>
      </c>
      <c r="BL248" s="22">
        <f>VLOOKUP($A248,tabCustoUnit[],COLUMN(CUSTO_GLOBAL[[#Headers],[Produtos de Limpeza e Materiais de Higiene Pessoal]])-2,0)*($G248-$H248)</f>
        <v>0</v>
      </c>
      <c r="BM248" s="22">
        <f>VLOOKUP($A248,tabCustoUnit[],COLUMN(CUSTO_GLOBAL[[#Headers],[Outros (especificar)]])-2,0)*($G248-$H248)</f>
        <v>0</v>
      </c>
      <c r="BN248" s="22">
        <f>VLOOKUP($A248,tabCustoUnit[],COLUMN(CUSTO_GLOBAL[[#Headers],[MÓDULO 5 – INSUMOS DIVERSOS]])-2,0)*($G248-$H248)</f>
        <v>56.642978962543395</v>
      </c>
      <c r="BO248" s="22" t="e">
        <f ca="1">VLOOKUP($A248,tabCustoUnit[],COLUMN(CUSTO_GLOBAL[[#Headers],[TOTAL MÓDULOS 1+2+3+4+5]])-2,0)*($G248-$H248)</f>
        <v>#NAME?</v>
      </c>
      <c r="BP248" s="22" t="e">
        <f ca="1">VLOOKUP($A248,tabCustoUnit[],COLUMN(CUSTO_GLOBAL[[#Headers],[Custos Indiretos]])-2,0)*($G248-$H248)</f>
        <v>#NAME?</v>
      </c>
      <c r="BQ248" s="22" t="e">
        <f ca="1">VLOOKUP($A248,tabCustoUnit[],COLUMN(CUSTO_GLOBAL[[#Headers],[Lucro]])-2,0)*($G248-$H248)</f>
        <v>#NAME?</v>
      </c>
      <c r="BR248" s="26">
        <f>VLOOKUP($A248,tabCustoUnit[],COLUMN(CUSTO_GLOBAL[[#Headers],[COFINS]])-2,0)</f>
        <v>8.5633802816901458E-2</v>
      </c>
      <c r="BS248" s="26">
        <f>VLOOKUP($A248,tabCustoUnit[],COLUMN(CUSTO_GLOBAL[[#Headers],[PIS]])-2,0)</f>
        <v>1.8591549295774657E-2</v>
      </c>
      <c r="BT248" s="28">
        <f>VLOOKUP($A248,tabCustoUnit[],COLUMN(CUSTO_GLOBAL[[#Headers],[ISS]])-2,0)</f>
        <v>0.02</v>
      </c>
      <c r="BU248" s="26">
        <f>VLOOKUP($A248,tabCustoUnit[],COLUMN(CUSTO_GLOBAL[[#Headers],[ISS (Conversão Alíquota s/ fatura)]])-2,0)</f>
        <v>2.2535211267605645E-2</v>
      </c>
      <c r="BV248" s="26">
        <f>VLOOKUP($A248,tabCustoUnit[],COLUMN(CUSTO_GLOBAL[[#Headers],[Resumo de Alíquotas (PIS+CONFINS+ISS)]])-2,0)</f>
        <v>0.1125</v>
      </c>
      <c r="BW248" s="138">
        <f>VLOOKUP($A248,tabCustoUnit[],COLUMN(CUSTO_GLOBAL[[#Headers],[PIS + COFINS + ISS (Total Conversão  Alíquota s/ Fatura)]])-2,0)</f>
        <v>0.12676056338028174</v>
      </c>
      <c r="BX248" s="22" t="e">
        <f ca="1">VLOOKUP($A248,tabCustoUnit[],COLUMN(CUSTO_GLOBAL[[#Headers],[Valor dos Tributos (ISS, PIS, CONFINS)]])-2,0)*($G248-$H248)</f>
        <v>#NAME?</v>
      </c>
      <c r="BY248" s="22" t="e">
        <f ca="1">VLOOKUP($A248,tabCustoUnit[],COLUMN(CUSTO_GLOBAL[[#Headers],[MÓDULO 6 – CUSTOS INDIRETOS, TRIBUTOS E LUCRO]])-2,0)*($G248-$H248)</f>
        <v>#NAME?</v>
      </c>
      <c r="BZ248" s="22" t="e">
        <f ca="1">VLOOKUP($A248,tabCustoUnit[],COLUMN(CUSTO_GLOBAL[[#Headers],[CUSTO TOTAL MENSAL]])-2,0)*($G248-$H248)</f>
        <v>#NAME?</v>
      </c>
      <c r="CA248" s="22" t="e">
        <f ca="1">CUSTO_GLOBAL[[#This Row],[CUSTO TOTAL MENSAL]]*12</f>
        <v>#NAME?</v>
      </c>
      <c r="CB248" s="24">
        <f>VLOOKUP($A248,tabCustoUnit[],COLUMN(CUSTO_GLOBAL[[#Headers],[ANO DA CCT]])-2,0)</f>
        <v>45658</v>
      </c>
      <c r="CC248" s="25" t="str">
        <f>VLOOKUP($A248,tabCustoUnit[],COLUMN(CUSTO_GLOBAL[[#Headers],[Nº DE PEDIDO DA CCT]])-2,0)</f>
        <v>-</v>
      </c>
      <c r="CD248" s="25" t="str">
        <f>VLOOKUP($A248,tabCustoUnit[],COLUMN(CUSTO_GLOBAL[[#Headers],[TERMO ADITIVO ALTERAÇÃO DA CCT]])-2,0)</f>
        <v>-</v>
      </c>
    </row>
    <row r="249" spans="1:82">
      <c r="A249" s="20" t="s">
        <v>1673</v>
      </c>
      <c r="B249" t="s">
        <v>1182</v>
      </c>
      <c r="C249" t="s">
        <v>314</v>
      </c>
      <c r="D249" t="s">
        <v>918</v>
      </c>
      <c r="E249" s="20" t="s">
        <v>1090</v>
      </c>
      <c r="F249" s="20" t="s">
        <v>120</v>
      </c>
      <c r="G249" s="20">
        <v>1</v>
      </c>
      <c r="H249" s="20">
        <v>0</v>
      </c>
      <c r="I249" s="21">
        <f>VLOOKUP($A249,tabCustoUnit[],COLUMN(CUSTO_GLOBAL[[#Headers],[Salário Base]])-2,0)*($G249-$H249)</f>
        <v>1963.4110000000001</v>
      </c>
      <c r="J249" s="21">
        <f>VLOOKUP($A249,tabCustoUnit[],COLUMN(CUSTO_GLOBAL[[#Headers],[Adicional Periculosidade]])-2,0)*($G249-$H249)</f>
        <v>0</v>
      </c>
      <c r="K249" s="21">
        <f>VLOOKUP($A249,tabCustoUnit[],COLUMN(CUSTO_GLOBAL[[#Headers],[Adicional Insalubridade]])-2,0)*($G249-$H249)</f>
        <v>0</v>
      </c>
      <c r="L249" s="21">
        <f>VLOOKUP($A249,tabCustoUnit[],COLUMN(CUSTO_GLOBAL[[#Headers],[Adicional Noturno]])-2,0)*($G249-$H249)</f>
        <v>0</v>
      </c>
      <c r="M249" s="21">
        <f>VLOOKUP($A249,tabCustoUnit[],COLUMN(CUSTO_GLOBAL[[#Headers],[Adicional Motorista II (Gratificação)]])-2,0)*($G249-$H249)</f>
        <v>0</v>
      </c>
      <c r="N249" s="21">
        <f>VLOOKUP($A249,tabCustoUnit[],COLUMN(CUSTO_GLOBAL[[#Headers],[Adicional de Sobreaviso]])-2,0)*($G249-$H249)</f>
        <v>0</v>
      </c>
      <c r="O249" s="21">
        <f>VLOOKUP($A249,tabCustoUnit[],COLUMN(CUSTO_GLOBAL[[#Headers],[Horas Extras TI]])-2,0)*($G249-$H249)</f>
        <v>0</v>
      </c>
      <c r="P249" s="21">
        <f>VLOOKUP($A249,tabCustoUnit[],COLUMN(CUSTO_GLOBAL[[#Headers],[Adicional de Acúmulo de função]])-2,0)*($G249-$H249)</f>
        <v>0</v>
      </c>
      <c r="Q249" s="21">
        <f>VLOOKUP($A249,tabCustoUnit[],COLUMN(CUSTO_GLOBAL[[#Headers],[MODULO 1 - REMUNERAÇÃO ]])-2,0)*($G249-$H249)</f>
        <v>1963.4110000000001</v>
      </c>
      <c r="R249" s="21">
        <f>VLOOKUP($A249,tabCustoUnit[],COLUMN(CUSTO_GLOBAL[[#Headers],[INSS]])-2,0)*($G249-$H249)</f>
        <v>392.68220000000002</v>
      </c>
      <c r="S249" s="21">
        <f>VLOOKUP($A249,tabCustoUnit[],COLUMN(CUSTO_GLOBAL[[#Headers],[SESI OU SESC]])-2,0)*($G249-$H249)</f>
        <v>29.451165</v>
      </c>
      <c r="T249" s="21">
        <f>VLOOKUP($A249,tabCustoUnit[],COLUMN(CUSTO_GLOBAL[[#Headers],[SENAI OU SENAC]])-2,0)*($G249-$H249)</f>
        <v>19.63411</v>
      </c>
      <c r="U249" s="21">
        <f>VLOOKUP($A249,tabCustoUnit[],COLUMN(CUSTO_GLOBAL[[#Headers],[INCRA]])-2,0)*($G249-$H249)</f>
        <v>3.926822</v>
      </c>
      <c r="V249" s="21">
        <f>VLOOKUP($A249,tabCustoUnit[],COLUMN(CUSTO_GLOBAL[[#Headers],[Salário Educação]])-2,0)*($G249-$H249)</f>
        <v>49.085275000000003</v>
      </c>
      <c r="W249" s="21">
        <f>VLOOKUP($A249,tabCustoUnit[],COLUMN(CUSTO_GLOBAL[[#Headers],[FGTS]])-2,0)*($G249-$H249)</f>
        <v>157.07288</v>
      </c>
      <c r="X249" s="21">
        <f>VLOOKUP($A249,tabCustoUnit[],COLUMN(CUSTO_GLOBAL[[#Headers],[RAT Ajustado]])-2,0)*($G249-$H249)</f>
        <v>78.536439999999999</v>
      </c>
      <c r="Y249" s="21">
        <f>VLOOKUP($A249,tabCustoUnit[],COLUMN(CUSTO_GLOBAL[[#Headers],[SEBRAE]])-2,0)*($G249-$H249)</f>
        <v>11.780466000000001</v>
      </c>
      <c r="Z249" s="21">
        <f>VLOOKUP($A249,tabCustoUnit[],COLUMN(CUSTO_GLOBAL[[#Headers],[Submódulo 2.1]])-2,0)*($G249-$H249)</f>
        <v>742.1693580000001</v>
      </c>
      <c r="AA249" s="21">
        <f>VLOOKUP($A249,tabCustoUnit[],COLUMN(CUSTO_GLOBAL[[#Headers],[13º salário (titular)]])-2,0)*($G249-$H249)</f>
        <v>163.61758333333333</v>
      </c>
      <c r="AB249" s="21">
        <f>VLOOKUP($A249,tabCustoUnit[],COLUMN(CUSTO_GLOBAL[[#Headers],[Férias e Adicional de Férias (titular)]])-2,0)*($G249-$H249)</f>
        <v>218.15677777777776</v>
      </c>
      <c r="AC249" s="21">
        <f>VLOOKUP($A249,tabCustoUnit[],COLUMN(CUSTO_GLOBAL[[#Headers],[Incidência do Submódulo 2.1 sobre 13º Salário, Férias e Adicional de Férias]])-2,0)*($G249-$H249)</f>
        <v>144.3107085</v>
      </c>
      <c r="AD249" s="21">
        <f>VLOOKUP($A249,tabCustoUnit[],COLUMN(CUSTO_GLOBAL[[#Headers],[Submódulo 2.2]])-2,0)*($G249-$H249)</f>
        <v>526.08506961111107</v>
      </c>
      <c r="AE249" s="22" t="e">
        <f ca="1">VLOOKUP($A249,tabCustoUnit[],COLUMN(CUSTO_GLOBAL[[#Headers],[Vale - Transporte (Descontada parcela do empregado)]])-2,0)*($G249-$H249)</f>
        <v>#NAME?</v>
      </c>
      <c r="AF249" s="22">
        <f>VLOOKUP($A249,tabCustoUnit[],COLUMN(CUSTO_GLOBAL[[#Headers],[Vale - Alimentação (Descontada parcela do empregado)]])-2,0)*($G249-$H249)</f>
        <v>582</v>
      </c>
      <c r="AG249" s="22">
        <f>VLOOKUP($A249,tabCustoUnit[],COLUMN(CUSTO_GLOBAL[[#Headers],[Cesta Básica]])-2,0)*($G249-$H249)</f>
        <v>0</v>
      </c>
      <c r="AH249" s="22">
        <f>VLOOKUP($A249,tabCustoUnit[],COLUMN(CUSTO_GLOBAL[[#Headers],[PAF]])-2,0)*($G249-$H249)</f>
        <v>0</v>
      </c>
      <c r="AI249" s="22">
        <f>VLOOKUP($A249,tabCustoUnit[],COLUMN(CUSTO_GLOBAL[[#Headers],[PQM]])-2,0)*($G249-$H249)</f>
        <v>15.07</v>
      </c>
      <c r="AJ249" s="22">
        <v>0</v>
      </c>
      <c r="AK249" s="22">
        <f>VLOOKUP($A249,tabCustoUnit[],COLUMN(CUSTO_GLOBAL[[#Headers],[Seguro de Vida]])-2,0)*($G249-$H249)</f>
        <v>3.36</v>
      </c>
      <c r="AL249" s="22">
        <f>VLOOKUP($A249,tabCustoUnit[],COLUMN(CUSTO_GLOBAL[[#Headers],[Despesas de Viagem]])-2,0)*($G249-$H249)</f>
        <v>0</v>
      </c>
      <c r="AM249" s="22" t="e">
        <f ca="1">VLOOKUP($A249,tabCustoUnit[],COLUMN(CUSTO_GLOBAL[[#Headers],[Submódulo 2.3]])-2,0)*($G249-$H249)</f>
        <v>#NAME?</v>
      </c>
      <c r="AN249" s="22" t="e">
        <f ca="1">VLOOKUP($A249,tabCustoUnit[],COLUMN(CUSTO_GLOBAL[[#Headers],[MÓDULO 2 - Total Encargos e Benefícios mensais e diários]])-2,0)*($G249-$H249)</f>
        <v>#NAME?</v>
      </c>
      <c r="AO249" s="22">
        <f>VLOOKUP($A249,tabCustoUnit[],COLUMN(CUSTO_GLOBAL[[#Headers],[Aviso Prévio Indenizado (API) e Reflexo do Aviso Prévio Indenizado]])-2,0)*($G249-$H249)</f>
        <v>13.766980408757716</v>
      </c>
      <c r="AP249" s="22">
        <f>VLOOKUP($A249,tabCustoUnit[],COLUMN(CUSTO_GLOBAL[[#Headers],[Incidência do FGTS sobre API e Reflexo do API]])-2,0)*($G249-$H249)</f>
        <v>1.1013584327006174</v>
      </c>
      <c r="AQ249" s="22">
        <f>VLOOKUP($A249,tabCustoUnit[],COLUMN(CUSTO_GLOBAL[[#Headers],[Multa Rescisória do FGTS sobre o Aviso Prévio Indenizado]])-2,0)*($G249-$H249)</f>
        <v>0.44054337308024699</v>
      </c>
      <c r="AR249" s="22">
        <f>VLOOKUP($A249,tabCustoUnit[],COLUMN(CUSTO_GLOBAL[[#Headers],[Aviso Prévio Trabalhado - APT]])-2,0)*($G249-$H249)</f>
        <v>6.8719385000000015</v>
      </c>
      <c r="AS249" s="22">
        <f>VLOOKUP($A249,tabCustoUnit[],COLUMN(CUSTO_GLOBAL[[#Headers],[Incidência dos encargos do submódulo 2.1 sobre Aviso Prévio Trabalhado]])-2,0)*($G249-$H249)</f>
        <v>2.5975927530000007</v>
      </c>
      <c r="AT249" s="22">
        <f>VLOOKUP($A249,tabCustoUnit[],COLUMN(CUSTO_GLOBAL[[#Headers],[Multa Rescisória do FGTS]])-2,0)*($G249-$H249)</f>
        <v>60.03674524444444</v>
      </c>
      <c r="AU249" s="22">
        <f>VLOOKUP($A249,tabCustoUnit[],COLUMN(CUSTO_GLOBAL[[#Headers],[Indenização Adicional (Art. 9º da Lei nº 7.238/84)]])-2,0)*($G249-$H249)</f>
        <v>1.6361758333333334</v>
      </c>
      <c r="AV249" s="22">
        <f>VLOOKUP($A249,tabCustoUnit[],COLUMN(CUSTO_GLOBAL[[#Headers],[MÓDULO 3 – PROVISÃO PARA RESCISÃO]])-2,0)*($G249-$H249)</f>
        <v>86.451334545316371</v>
      </c>
      <c r="AW249" s="22">
        <f>VLOOKUP($A249,tabCustoUnit[],COLUMN(CUSTO_GLOBAL[[#Headers],[Ausência por Doença]])-2,0)*($G249-$H249)</f>
        <v>16.579915111111109</v>
      </c>
      <c r="AX249" s="22">
        <f>VLOOKUP($A249,tabCustoUnit[],COLUMN(CUSTO_GLOBAL[[#Headers],[Ausências Legais]])-2,0)*($G249-$H249)</f>
        <v>3.9813611944444443</v>
      </c>
      <c r="AY249" s="22">
        <f>VLOOKUP($A249,tabCustoUnit[],COLUMN(CUSTO_GLOBAL[[#Headers],[Licença Paternidade]])-2,0)*($G249-$H249)</f>
        <v>0.33541604583333334</v>
      </c>
      <c r="AZ249" s="22">
        <f>VLOOKUP($A249,tabCustoUnit[],COLUMN(CUSTO_GLOBAL[[#Headers],[Ausência por Acidente de Trabalho]])-2,0)*($G249-$H249)</f>
        <v>0.40904395833333335</v>
      </c>
      <c r="BA249" s="22">
        <f>VLOOKUP($A249,tabCustoUnit[],COLUMN(CUSTO_GLOBAL[[#Headers],[Férias, Adicional de Férias e 13º  com empregada em gozo de Licença Maternidade]])-2,0)*($G249-$H249)</f>
        <v>2.5451624074074073</v>
      </c>
      <c r="BB249" s="22">
        <f>VLOOKUP($A249,tabCustoUnit[],COLUMN(CUSTO_GLOBAL[[#Headers],[Incidência do Submódulo 2.1 sobre Ausências Legais]])-2,0)*($G249-$H249)</f>
        <v>9.0156397150750021</v>
      </c>
      <c r="BC249" s="22">
        <f>VLOOKUP($A249,tabCustoUnit[],COLUMN(CUSTO_GLOBAL[[#Headers],[Submódulo 4.1]])-2,0)*($G249-$H249)</f>
        <v>32.866538432204628</v>
      </c>
      <c r="BD249" s="22">
        <f>VLOOKUP($A249,tabCustoUnit[],COLUMN(CUSTO_GLOBAL[[#Headers],[Intervalo para Repouso ou Alimentação]])-2,0)*($G249-$H249)</f>
        <v>267.73786489195959</v>
      </c>
      <c r="BE249" s="22">
        <f>VLOOKUP($A249,tabCustoUnit[],COLUMN(CUSTO_GLOBAL[[#Headers],[Submódulo 4.2]])-2,0)*($G249-$H249)</f>
        <v>267.73786489195959</v>
      </c>
      <c r="BF249" s="22">
        <f>VLOOKUP($A249,tabCustoUnit[],COLUMN(CUSTO_GLOBAL[[#Headers],[Suspensão Temporária do Contrato de Trabalho]])-2,0)*($G249-$H249)</f>
        <v>0</v>
      </c>
      <c r="BG249" s="22">
        <f>VLOOKUP($A249,tabCustoUnit[],COLUMN(CUSTO_GLOBAL[[#Headers],[Submódulo 4.3]])-2,0)*($G249-$H249)</f>
        <v>0</v>
      </c>
      <c r="BH249" s="22">
        <f>VLOOKUP($A249,tabCustoUnit[],COLUMN(CUSTO_GLOBAL[[#Headers],[MÓDULO 4 – CUSTO DE REPOSIÇÃO DO PROFISSIONAL AUSENTE]])-2,0)*($G249-$H249)</f>
        <v>300.6044033241642</v>
      </c>
      <c r="BI249" s="22">
        <f>VLOOKUP($A249,tabCustoUnit[],COLUMN(CUSTO_GLOBAL[[#Headers],[Uniformes e EPIs]])-2,0)*($G249-$H249)</f>
        <v>56.642978962543395</v>
      </c>
      <c r="BJ249" s="22">
        <f>VLOOKUP($A249,tabCustoUnit[],COLUMN(CUSTO_GLOBAL[[#Headers],[Materiais de Consumo]])-2,0)*($G249-$H249)</f>
        <v>0</v>
      </c>
      <c r="BK249" s="22">
        <f>VLOOKUP($A249,tabCustoUnit[],COLUMN(CUSTO_GLOBAL[[#Headers],[Máquinas e Equipamentos (depreciação)]])-2,0)*($G249-$H249)</f>
        <v>0</v>
      </c>
      <c r="BL249" s="22">
        <f>VLOOKUP($A249,tabCustoUnit[],COLUMN(CUSTO_GLOBAL[[#Headers],[Produtos de Limpeza e Materiais de Higiene Pessoal]])-2,0)*($G249-$H249)</f>
        <v>0</v>
      </c>
      <c r="BM249" s="22">
        <f>VLOOKUP($A249,tabCustoUnit[],COLUMN(CUSTO_GLOBAL[[#Headers],[Outros (especificar)]])-2,0)*($G249-$H249)</f>
        <v>0</v>
      </c>
      <c r="BN249" s="22">
        <f>VLOOKUP($A249,tabCustoUnit[],COLUMN(CUSTO_GLOBAL[[#Headers],[MÓDULO 5 – INSUMOS DIVERSOS]])-2,0)*($G249-$H249)</f>
        <v>56.642978962543395</v>
      </c>
      <c r="BO249" s="22" t="e">
        <f ca="1">VLOOKUP($A249,tabCustoUnit[],COLUMN(CUSTO_GLOBAL[[#Headers],[TOTAL MÓDULOS 1+2+3+4+5]])-2,0)*($G249-$H249)</f>
        <v>#NAME?</v>
      </c>
      <c r="BP249" s="22" t="e">
        <f ca="1">VLOOKUP($A249,tabCustoUnit[],COLUMN(CUSTO_GLOBAL[[#Headers],[Custos Indiretos]])-2,0)*($G249-$H249)</f>
        <v>#NAME?</v>
      </c>
      <c r="BQ249" s="22" t="e">
        <f ca="1">VLOOKUP($A249,tabCustoUnit[],COLUMN(CUSTO_GLOBAL[[#Headers],[Lucro]])-2,0)*($G249-$H249)</f>
        <v>#NAME?</v>
      </c>
      <c r="BR249" s="26">
        <f>VLOOKUP($A249,tabCustoUnit[],COLUMN(CUSTO_GLOBAL[[#Headers],[COFINS]])-2,0)</f>
        <v>8.8629737609329504E-2</v>
      </c>
      <c r="BS249" s="26">
        <f>VLOOKUP($A249,tabCustoUnit[],COLUMN(CUSTO_GLOBAL[[#Headers],[PIS]])-2,0)</f>
        <v>1.9241982507288629E-2</v>
      </c>
      <c r="BT249" s="28">
        <f>VLOOKUP($A249,tabCustoUnit[],COLUMN(CUSTO_GLOBAL[[#Headers],[ISS]])-2,0)</f>
        <v>0.05</v>
      </c>
      <c r="BU249" s="26">
        <f>VLOOKUP($A249,tabCustoUnit[],COLUMN(CUSTO_GLOBAL[[#Headers],[ISS (Conversão Alíquota s/ fatura)]])-2,0)</f>
        <v>5.8309037900874633E-2</v>
      </c>
      <c r="BV249" s="26">
        <f>VLOOKUP($A249,tabCustoUnit[],COLUMN(CUSTO_GLOBAL[[#Headers],[Resumo de Alíquotas (PIS+CONFINS+ISS)]])-2,0)</f>
        <v>0.14250000000000002</v>
      </c>
      <c r="BW249" s="138">
        <f>VLOOKUP($A249,tabCustoUnit[],COLUMN(CUSTO_GLOBAL[[#Headers],[PIS + COFINS + ISS (Total Conversão  Alíquota s/ Fatura)]])-2,0)</f>
        <v>0.16618075801749277</v>
      </c>
      <c r="BX249" s="22" t="e">
        <f ca="1">VLOOKUP($A249,tabCustoUnit[],COLUMN(CUSTO_GLOBAL[[#Headers],[Valor dos Tributos (ISS, PIS, CONFINS)]])-2,0)*($G249-$H249)</f>
        <v>#NAME?</v>
      </c>
      <c r="BY249" s="22" t="e">
        <f ca="1">VLOOKUP($A249,tabCustoUnit[],COLUMN(CUSTO_GLOBAL[[#Headers],[MÓDULO 6 – CUSTOS INDIRETOS, TRIBUTOS E LUCRO]])-2,0)*($G249-$H249)</f>
        <v>#NAME?</v>
      </c>
      <c r="BZ249" s="22" t="e">
        <f ca="1">VLOOKUP($A249,tabCustoUnit[],COLUMN(CUSTO_GLOBAL[[#Headers],[CUSTO TOTAL MENSAL]])-2,0)*($G249-$H249)</f>
        <v>#NAME?</v>
      </c>
      <c r="CA249" s="22" t="e">
        <f ca="1">CUSTO_GLOBAL[[#This Row],[CUSTO TOTAL MENSAL]]*12</f>
        <v>#NAME?</v>
      </c>
      <c r="CB249" s="24">
        <f>VLOOKUP($A249,tabCustoUnit[],COLUMN(CUSTO_GLOBAL[[#Headers],[ANO DA CCT]])-2,0)</f>
        <v>45658</v>
      </c>
      <c r="CC249" s="25" t="str">
        <f>VLOOKUP($A249,tabCustoUnit[],COLUMN(CUSTO_GLOBAL[[#Headers],[Nº DE PEDIDO DA CCT]])-2,0)</f>
        <v>-</v>
      </c>
      <c r="CD249" s="25" t="str">
        <f>VLOOKUP($A249,tabCustoUnit[],COLUMN(CUSTO_GLOBAL[[#Headers],[TERMO ADITIVO ALTERAÇÃO DA CCT]])-2,0)</f>
        <v>-</v>
      </c>
    </row>
    <row r="250" spans="1:82">
      <c r="A250" s="20" t="s">
        <v>1501</v>
      </c>
      <c r="B250" t="s">
        <v>1183</v>
      </c>
      <c r="C250" t="s">
        <v>200</v>
      </c>
      <c r="D250" t="s">
        <v>921</v>
      </c>
      <c r="E250" s="20" t="s">
        <v>1090</v>
      </c>
      <c r="F250" s="20" t="s">
        <v>120</v>
      </c>
      <c r="G250" s="20">
        <v>2</v>
      </c>
      <c r="H250" s="20">
        <v>0</v>
      </c>
      <c r="I250" s="21">
        <f>VLOOKUP($A250,tabCustoUnit[],COLUMN(CUSTO_GLOBAL[[#Headers],[Salário Base]])-2,0)*($G250-$H250)</f>
        <v>3298.2305999999999</v>
      </c>
      <c r="J250" s="21">
        <f>VLOOKUP($A250,tabCustoUnit[],COLUMN(CUSTO_GLOBAL[[#Headers],[Adicional Periculosidade]])-2,0)*($G250-$H250)</f>
        <v>0</v>
      </c>
      <c r="K250" s="21">
        <f>VLOOKUP($A250,tabCustoUnit[],COLUMN(CUSTO_GLOBAL[[#Headers],[Adicional Insalubridade]])-2,0)*($G250-$H250)</f>
        <v>0</v>
      </c>
      <c r="L250" s="21">
        <f>VLOOKUP($A250,tabCustoUnit[],COLUMN(CUSTO_GLOBAL[[#Headers],[Adicional Noturno]])-2,0)*($G250-$H250)</f>
        <v>0</v>
      </c>
      <c r="M250" s="21">
        <f>VLOOKUP($A250,tabCustoUnit[],COLUMN(CUSTO_GLOBAL[[#Headers],[Adicional Motorista II (Gratificação)]])-2,0)*($G250-$H250)</f>
        <v>0</v>
      </c>
      <c r="N250" s="21">
        <f>VLOOKUP($A250,tabCustoUnit[],COLUMN(CUSTO_GLOBAL[[#Headers],[Adicional de Sobreaviso]])-2,0)*($G250-$H250)</f>
        <v>0</v>
      </c>
      <c r="O250" s="21">
        <f>VLOOKUP($A250,tabCustoUnit[],COLUMN(CUSTO_GLOBAL[[#Headers],[Horas Extras TI]])-2,0)*($G250-$H250)</f>
        <v>0</v>
      </c>
      <c r="P250" s="21">
        <f>VLOOKUP($A250,tabCustoUnit[],COLUMN(CUSTO_GLOBAL[[#Headers],[Adicional de Acúmulo de função]])-2,0)*($G250-$H250)</f>
        <v>0</v>
      </c>
      <c r="Q250" s="21">
        <f>VLOOKUP($A250,tabCustoUnit[],COLUMN(CUSTO_GLOBAL[[#Headers],[MODULO 1 - REMUNERAÇÃO ]])-2,0)*($G250-$H250)</f>
        <v>3298.2305999999999</v>
      </c>
      <c r="R250" s="21">
        <f>VLOOKUP($A250,tabCustoUnit[],COLUMN(CUSTO_GLOBAL[[#Headers],[INSS]])-2,0)*($G250-$H250)</f>
        <v>659.64612</v>
      </c>
      <c r="S250" s="21">
        <f>VLOOKUP($A250,tabCustoUnit[],COLUMN(CUSTO_GLOBAL[[#Headers],[SESI OU SESC]])-2,0)*($G250-$H250)</f>
        <v>49.473458999999998</v>
      </c>
      <c r="T250" s="21">
        <f>VLOOKUP($A250,tabCustoUnit[],COLUMN(CUSTO_GLOBAL[[#Headers],[SENAI OU SENAC]])-2,0)*($G250-$H250)</f>
        <v>32.982306000000001</v>
      </c>
      <c r="U250" s="21">
        <f>VLOOKUP($A250,tabCustoUnit[],COLUMN(CUSTO_GLOBAL[[#Headers],[INCRA]])-2,0)*($G250-$H250)</f>
        <v>6.5964612000000002</v>
      </c>
      <c r="V250" s="21">
        <f>VLOOKUP($A250,tabCustoUnit[],COLUMN(CUSTO_GLOBAL[[#Headers],[Salário Educação]])-2,0)*($G250-$H250)</f>
        <v>82.455765</v>
      </c>
      <c r="W250" s="21">
        <f>VLOOKUP($A250,tabCustoUnit[],COLUMN(CUSTO_GLOBAL[[#Headers],[FGTS]])-2,0)*($G250-$H250)</f>
        <v>263.85844800000001</v>
      </c>
      <c r="X250" s="21">
        <f>VLOOKUP($A250,tabCustoUnit[],COLUMN(CUSTO_GLOBAL[[#Headers],[RAT Ajustado]])-2,0)*($G250-$H250)</f>
        <v>131.929224</v>
      </c>
      <c r="Y250" s="21">
        <f>VLOOKUP($A250,tabCustoUnit[],COLUMN(CUSTO_GLOBAL[[#Headers],[SEBRAE]])-2,0)*($G250-$H250)</f>
        <v>19.789383600000001</v>
      </c>
      <c r="Z250" s="21">
        <f>VLOOKUP($A250,tabCustoUnit[],COLUMN(CUSTO_GLOBAL[[#Headers],[Submódulo 2.1]])-2,0)*($G250-$H250)</f>
        <v>1246.7311668000002</v>
      </c>
      <c r="AA250" s="21">
        <f>VLOOKUP($A250,tabCustoUnit[],COLUMN(CUSTO_GLOBAL[[#Headers],[13º salário (titular)]])-2,0)*($G250-$H250)</f>
        <v>274.85254999999995</v>
      </c>
      <c r="AB250" s="21">
        <f>VLOOKUP($A250,tabCustoUnit[],COLUMN(CUSTO_GLOBAL[[#Headers],[Férias e Adicional de Férias (titular)]])-2,0)*($G250-$H250)</f>
        <v>366.47006666666664</v>
      </c>
      <c r="AC250" s="21">
        <f>VLOOKUP($A250,tabCustoUnit[],COLUMN(CUSTO_GLOBAL[[#Headers],[Incidência do Submódulo 2.1 sobre 13º Salário, Férias e Adicional de Férias]])-2,0)*($G250-$H250)</f>
        <v>242.4199491</v>
      </c>
      <c r="AD250" s="21">
        <f>VLOOKUP($A250,tabCustoUnit[],COLUMN(CUSTO_GLOBAL[[#Headers],[Submódulo 2.2]])-2,0)*($G250-$H250)</f>
        <v>883.74256576666653</v>
      </c>
      <c r="AE250" s="22" t="e">
        <f ca="1">VLOOKUP($A250,tabCustoUnit[],COLUMN(CUSTO_GLOBAL[[#Headers],[Vale - Transporte (Descontada parcela do empregado)]])-2,0)*($G250-$H250)</f>
        <v>#NAME?</v>
      </c>
      <c r="AF250" s="22">
        <f>VLOOKUP($A250,tabCustoUnit[],COLUMN(CUSTO_GLOBAL[[#Headers],[Vale - Alimentação (Descontada parcela do empregado)]])-2,0)*($G250-$H250)</f>
        <v>1164</v>
      </c>
      <c r="AG250" s="22">
        <f>VLOOKUP($A250,tabCustoUnit[],COLUMN(CUSTO_GLOBAL[[#Headers],[Cesta Básica]])-2,0)*($G250-$H250)</f>
        <v>0</v>
      </c>
      <c r="AH250" s="22">
        <f>VLOOKUP($A250,tabCustoUnit[],COLUMN(CUSTO_GLOBAL[[#Headers],[PAF]])-2,0)*($G250-$H250)</f>
        <v>0</v>
      </c>
      <c r="AI250" s="22">
        <f>VLOOKUP($A250,tabCustoUnit[],COLUMN(CUSTO_GLOBAL[[#Headers],[PQM]])-2,0)*($G250-$H250)</f>
        <v>30.14</v>
      </c>
      <c r="AJ250" s="22">
        <v>0</v>
      </c>
      <c r="AK250" s="22">
        <f>VLOOKUP($A250,tabCustoUnit[],COLUMN(CUSTO_GLOBAL[[#Headers],[Seguro de Vida]])-2,0)*($G250-$H250)</f>
        <v>6.72</v>
      </c>
      <c r="AL250" s="22">
        <f>VLOOKUP($A250,tabCustoUnit[],COLUMN(CUSTO_GLOBAL[[#Headers],[Despesas de Viagem]])-2,0)*($G250-$H250)</f>
        <v>0</v>
      </c>
      <c r="AM250" s="22" t="e">
        <f ca="1">VLOOKUP($A250,tabCustoUnit[],COLUMN(CUSTO_GLOBAL[[#Headers],[Submódulo 2.3]])-2,0)*($G250-$H250)</f>
        <v>#NAME?</v>
      </c>
      <c r="AN250" s="22" t="e">
        <f ca="1">VLOOKUP($A250,tabCustoUnit[],COLUMN(CUSTO_GLOBAL[[#Headers],[MÓDULO 2 - Total Encargos e Benefícios mensais e diários]])-2,0)*($G250-$H250)</f>
        <v>#NAME?</v>
      </c>
      <c r="AO250" s="22">
        <f>VLOOKUP($A250,tabCustoUnit[],COLUMN(CUSTO_GLOBAL[[#Headers],[Aviso Prévio Indenizado (API) e Reflexo do Aviso Prévio Indenizado]])-2,0)*($G250-$H250)</f>
        <v>23.126424398032405</v>
      </c>
      <c r="AP250" s="22">
        <f>VLOOKUP($A250,tabCustoUnit[],COLUMN(CUSTO_GLOBAL[[#Headers],[Incidência do FGTS sobre API e Reflexo do API]])-2,0)*($G250-$H250)</f>
        <v>1.8501139518425926</v>
      </c>
      <c r="AQ250" s="22">
        <f>VLOOKUP($A250,tabCustoUnit[],COLUMN(CUSTO_GLOBAL[[#Headers],[Multa Rescisória do FGTS sobre o Aviso Prévio Indenizado]])-2,0)*($G250-$H250)</f>
        <v>0.74004558073703719</v>
      </c>
      <c r="AR250" s="22">
        <f>VLOOKUP($A250,tabCustoUnit[],COLUMN(CUSTO_GLOBAL[[#Headers],[Aviso Prévio Trabalhado - APT]])-2,0)*($G250-$H250)</f>
        <v>11.5438071</v>
      </c>
      <c r="AS250" s="22">
        <f>VLOOKUP($A250,tabCustoUnit[],COLUMN(CUSTO_GLOBAL[[#Headers],[Incidência dos encargos do submódulo 2.1 sobre Aviso Prévio Trabalhado]])-2,0)*($G250-$H250)</f>
        <v>4.3635590838000011</v>
      </c>
      <c r="AT250" s="22">
        <f>VLOOKUP($A250,tabCustoUnit[],COLUMN(CUSTO_GLOBAL[[#Headers],[Multa Rescisória do FGTS]])-2,0)*($G250-$H250)</f>
        <v>100.85256234666664</v>
      </c>
      <c r="AU250" s="22">
        <f>VLOOKUP($A250,tabCustoUnit[],COLUMN(CUSTO_GLOBAL[[#Headers],[Indenização Adicional (Art. 9º da Lei nº 7.238/84)]])-2,0)*($G250-$H250)</f>
        <v>2.7485255</v>
      </c>
      <c r="AV250" s="22">
        <f>VLOOKUP($A250,tabCustoUnit[],COLUMN(CUSTO_GLOBAL[[#Headers],[MÓDULO 3 – PROVISÃO PARA RESCISÃO]])-2,0)*($G250-$H250)</f>
        <v>145.22503796107867</v>
      </c>
      <c r="AW250" s="22">
        <f>VLOOKUP($A250,tabCustoUnit[],COLUMN(CUSTO_GLOBAL[[#Headers],[Ausência por Doença]])-2,0)*($G250-$H250)</f>
        <v>27.851725066666663</v>
      </c>
      <c r="AX250" s="22">
        <f>VLOOKUP($A250,tabCustoUnit[],COLUMN(CUSTO_GLOBAL[[#Headers],[Ausências Legais]])-2,0)*($G250-$H250)</f>
        <v>6.6880787166666664</v>
      </c>
      <c r="AY250" s="22">
        <f>VLOOKUP($A250,tabCustoUnit[],COLUMN(CUSTO_GLOBAL[[#Headers],[Licença Paternidade]])-2,0)*($G250-$H250)</f>
        <v>0.56344772749999994</v>
      </c>
      <c r="AZ250" s="22">
        <f>VLOOKUP($A250,tabCustoUnit[],COLUMN(CUSTO_GLOBAL[[#Headers],[Ausência por Acidente de Trabalho]])-2,0)*($G250-$H250)</f>
        <v>0.68713137499999999</v>
      </c>
      <c r="BA250" s="22">
        <f>VLOOKUP($A250,tabCustoUnit[],COLUMN(CUSTO_GLOBAL[[#Headers],[Férias, Adicional de Férias e 13º  com empregada em gozo de Licença Maternidade]])-2,0)*($G250-$H250)</f>
        <v>4.275484111111111</v>
      </c>
      <c r="BB250" s="22">
        <f>VLOOKUP($A250,tabCustoUnit[],COLUMN(CUSTO_GLOBAL[[#Headers],[Incidência do Submódulo 2.1 sobre Ausências Legais]])-2,0)*($G250-$H250)</f>
        <v>15.144897724845002</v>
      </c>
      <c r="BC250" s="22">
        <f>VLOOKUP($A250,tabCustoUnit[],COLUMN(CUSTO_GLOBAL[[#Headers],[Submódulo 4.1]])-2,0)*($G250-$H250)</f>
        <v>55.210764721789438</v>
      </c>
      <c r="BD250" s="22">
        <f>VLOOKUP($A250,tabCustoUnit[],COLUMN(CUSTO_GLOBAL[[#Headers],[Intervalo para Repouso ou Alimentação]])-2,0)*($G250-$H250)</f>
        <v>0</v>
      </c>
      <c r="BE250" s="22">
        <f>VLOOKUP($A250,tabCustoUnit[],COLUMN(CUSTO_GLOBAL[[#Headers],[Submódulo 4.2]])-2,0)*($G250-$H250)</f>
        <v>0</v>
      </c>
      <c r="BF250" s="22">
        <f>VLOOKUP($A250,tabCustoUnit[],COLUMN(CUSTO_GLOBAL[[#Headers],[Suspensão Temporária do Contrato de Trabalho]])-2,0)*($G250-$H250)</f>
        <v>0</v>
      </c>
      <c r="BG250" s="22">
        <f>VLOOKUP($A250,tabCustoUnit[],COLUMN(CUSTO_GLOBAL[[#Headers],[Submódulo 4.3]])-2,0)*($G250-$H250)</f>
        <v>0</v>
      </c>
      <c r="BH250" s="22">
        <f>VLOOKUP($A250,tabCustoUnit[],COLUMN(CUSTO_GLOBAL[[#Headers],[MÓDULO 4 – CUSTO DE REPOSIÇÃO DO PROFISSIONAL AUSENTE]])-2,0)*($G250-$H250)</f>
        <v>55.210764721789438</v>
      </c>
      <c r="BI250" s="22">
        <f>VLOOKUP($A250,tabCustoUnit[],COLUMN(CUSTO_GLOBAL[[#Headers],[Uniformes e EPIs]])-2,0)*($G250-$H250)</f>
        <v>112.28342732397984</v>
      </c>
      <c r="BJ250" s="22">
        <f>VLOOKUP($A250,tabCustoUnit[],COLUMN(CUSTO_GLOBAL[[#Headers],[Materiais de Consumo]])-2,0)*($G250-$H250)</f>
        <v>0</v>
      </c>
      <c r="BK250" s="22">
        <f>VLOOKUP($A250,tabCustoUnit[],COLUMN(CUSTO_GLOBAL[[#Headers],[Máquinas e Equipamentos (depreciação)]])-2,0)*($G250-$H250)</f>
        <v>0</v>
      </c>
      <c r="BL250" s="22">
        <f>VLOOKUP($A250,tabCustoUnit[],COLUMN(CUSTO_GLOBAL[[#Headers],[Produtos de Limpeza e Materiais de Higiene Pessoal]])-2,0)*($G250-$H250)</f>
        <v>0</v>
      </c>
      <c r="BM250" s="22">
        <f>VLOOKUP($A250,tabCustoUnit[],COLUMN(CUSTO_GLOBAL[[#Headers],[Outros (especificar)]])-2,0)*($G250-$H250)</f>
        <v>0</v>
      </c>
      <c r="BN250" s="22">
        <f>VLOOKUP($A250,tabCustoUnit[],COLUMN(CUSTO_GLOBAL[[#Headers],[MÓDULO 5 – INSUMOS DIVERSOS]])-2,0)*($G250-$H250)</f>
        <v>112.28342732397984</v>
      </c>
      <c r="BO250" s="22" t="e">
        <f ca="1">VLOOKUP($A250,tabCustoUnit[],COLUMN(CUSTO_GLOBAL[[#Headers],[TOTAL MÓDULOS 1+2+3+4+5]])-2,0)*($G250-$H250)</f>
        <v>#NAME?</v>
      </c>
      <c r="BP250" s="22" t="e">
        <f ca="1">VLOOKUP($A250,tabCustoUnit[],COLUMN(CUSTO_GLOBAL[[#Headers],[Custos Indiretos]])-2,0)*($G250-$H250)</f>
        <v>#NAME?</v>
      </c>
      <c r="BQ250" s="22" t="e">
        <f ca="1">VLOOKUP($A250,tabCustoUnit[],COLUMN(CUSTO_GLOBAL[[#Headers],[Lucro]])-2,0)*($G250-$H250)</f>
        <v>#NAME?</v>
      </c>
      <c r="BR250" s="26">
        <f>VLOOKUP($A250,tabCustoUnit[],COLUMN(CUSTO_GLOBAL[[#Headers],[COFINS]])-2,0)</f>
        <v>8.6314593980692772E-2</v>
      </c>
      <c r="BS250" s="26">
        <f>VLOOKUP($A250,tabCustoUnit[],COLUMN(CUSTO_GLOBAL[[#Headers],[PIS]])-2,0)</f>
        <v>1.8739352640545163E-2</v>
      </c>
      <c r="BT250" s="28">
        <f>VLOOKUP($A250,tabCustoUnit[],COLUMN(CUSTO_GLOBAL[[#Headers],[ISS]])-2,0)</f>
        <v>2.7000000000000003E-2</v>
      </c>
      <c r="BU250" s="26">
        <f>VLOOKUP($A250,tabCustoUnit[],COLUMN(CUSTO_GLOBAL[[#Headers],[ISS (Conversão Alíquota s/ fatura)]])-2,0)</f>
        <v>3.0664395229982992E-2</v>
      </c>
      <c r="BV250" s="26">
        <f>VLOOKUP($A250,tabCustoUnit[],COLUMN(CUSTO_GLOBAL[[#Headers],[Resumo de Alíquotas (PIS+CONFINS+ISS)]])-2,0)</f>
        <v>0.1195</v>
      </c>
      <c r="BW250" s="138">
        <f>VLOOKUP($A250,tabCustoUnit[],COLUMN(CUSTO_GLOBAL[[#Headers],[PIS + COFINS + ISS (Total Conversão  Alíquota s/ Fatura)]])-2,0)</f>
        <v>0.13571834185122092</v>
      </c>
      <c r="BX250" s="22" t="e">
        <f ca="1">VLOOKUP($A250,tabCustoUnit[],COLUMN(CUSTO_GLOBAL[[#Headers],[Valor dos Tributos (ISS, PIS, CONFINS)]])-2,0)*($G250-$H250)</f>
        <v>#NAME?</v>
      </c>
      <c r="BY250" s="22" t="e">
        <f ca="1">VLOOKUP($A250,tabCustoUnit[],COLUMN(CUSTO_GLOBAL[[#Headers],[MÓDULO 6 – CUSTOS INDIRETOS, TRIBUTOS E LUCRO]])-2,0)*($G250-$H250)</f>
        <v>#NAME?</v>
      </c>
      <c r="BZ250" s="22" t="e">
        <f ca="1">VLOOKUP($A250,tabCustoUnit[],COLUMN(CUSTO_GLOBAL[[#Headers],[CUSTO TOTAL MENSAL]])-2,0)*($G250-$H250)</f>
        <v>#NAME?</v>
      </c>
      <c r="CA250" s="22" t="e">
        <f ca="1">CUSTO_GLOBAL[[#This Row],[CUSTO TOTAL MENSAL]]*12</f>
        <v>#NAME?</v>
      </c>
      <c r="CB250" s="24">
        <f>VLOOKUP($A250,tabCustoUnit[],COLUMN(CUSTO_GLOBAL[[#Headers],[ANO DA CCT]])-2,0)</f>
        <v>45658</v>
      </c>
      <c r="CC250" s="25" t="str">
        <f>VLOOKUP($A250,tabCustoUnit[],COLUMN(CUSTO_GLOBAL[[#Headers],[Nº DE PEDIDO DA CCT]])-2,0)</f>
        <v>-</v>
      </c>
      <c r="CD250" s="25" t="str">
        <f>VLOOKUP($A250,tabCustoUnit[],COLUMN(CUSTO_GLOBAL[[#Headers],[TERMO ADITIVO ALTERAÇÃO DA CCT]])-2,0)</f>
        <v>-</v>
      </c>
    </row>
    <row r="251" spans="1:82">
      <c r="A251" s="20" t="s">
        <v>1674</v>
      </c>
      <c r="B251" t="s">
        <v>1183</v>
      </c>
      <c r="C251" t="s">
        <v>324</v>
      </c>
      <c r="D251" t="s">
        <v>921</v>
      </c>
      <c r="E251" s="20" t="s">
        <v>1090</v>
      </c>
      <c r="F251" s="20" t="s">
        <v>120</v>
      </c>
      <c r="G251" s="20">
        <v>1</v>
      </c>
      <c r="H251" s="20">
        <v>0</v>
      </c>
      <c r="I251" s="21">
        <f>VLOOKUP($A251,tabCustoUnit[],COLUMN(CUSTO_GLOBAL[[#Headers],[Salário Base]])-2,0)*($G251-$H251)</f>
        <v>3397.1306</v>
      </c>
      <c r="J251" s="21">
        <f>VLOOKUP($A251,tabCustoUnit[],COLUMN(CUSTO_GLOBAL[[#Headers],[Adicional Periculosidade]])-2,0)*($G251-$H251)</f>
        <v>0</v>
      </c>
      <c r="K251" s="21">
        <f>VLOOKUP($A251,tabCustoUnit[],COLUMN(CUSTO_GLOBAL[[#Headers],[Adicional Insalubridade]])-2,0)*($G251-$H251)</f>
        <v>0</v>
      </c>
      <c r="L251" s="21">
        <f>VLOOKUP($A251,tabCustoUnit[],COLUMN(CUSTO_GLOBAL[[#Headers],[Adicional Noturno]])-2,0)*($G251-$H251)</f>
        <v>0</v>
      </c>
      <c r="M251" s="21">
        <f>VLOOKUP($A251,tabCustoUnit[],COLUMN(CUSTO_GLOBAL[[#Headers],[Adicional Motorista II (Gratificação)]])-2,0)*($G251-$H251)</f>
        <v>0</v>
      </c>
      <c r="N251" s="21">
        <f>VLOOKUP($A251,tabCustoUnit[],COLUMN(CUSTO_GLOBAL[[#Headers],[Adicional de Sobreaviso]])-2,0)*($G251-$H251)</f>
        <v>0</v>
      </c>
      <c r="O251" s="21">
        <f>VLOOKUP($A251,tabCustoUnit[],COLUMN(CUSTO_GLOBAL[[#Headers],[Horas Extras TI]])-2,0)*($G251-$H251)</f>
        <v>0</v>
      </c>
      <c r="P251" s="21">
        <f>VLOOKUP($A251,tabCustoUnit[],COLUMN(CUSTO_GLOBAL[[#Headers],[Adicional de Acúmulo de função]])-2,0)*($G251-$H251)</f>
        <v>0</v>
      </c>
      <c r="Q251" s="21">
        <f>VLOOKUP($A251,tabCustoUnit[],COLUMN(CUSTO_GLOBAL[[#Headers],[MODULO 1 - REMUNERAÇÃO ]])-2,0)*($G251-$H251)</f>
        <v>3397.1306</v>
      </c>
      <c r="R251" s="21">
        <f>VLOOKUP($A251,tabCustoUnit[],COLUMN(CUSTO_GLOBAL[[#Headers],[INSS]])-2,0)*($G251-$H251)</f>
        <v>679.42612000000008</v>
      </c>
      <c r="S251" s="21">
        <f>VLOOKUP($A251,tabCustoUnit[],COLUMN(CUSTO_GLOBAL[[#Headers],[SESI OU SESC]])-2,0)*($G251-$H251)</f>
        <v>50.956958999999998</v>
      </c>
      <c r="T251" s="21">
        <f>VLOOKUP($A251,tabCustoUnit[],COLUMN(CUSTO_GLOBAL[[#Headers],[SENAI OU SENAC]])-2,0)*($G251-$H251)</f>
        <v>33.971305999999998</v>
      </c>
      <c r="U251" s="21">
        <f>VLOOKUP($A251,tabCustoUnit[],COLUMN(CUSTO_GLOBAL[[#Headers],[INCRA]])-2,0)*($G251-$H251)</f>
        <v>6.7942612000000002</v>
      </c>
      <c r="V251" s="21">
        <f>VLOOKUP($A251,tabCustoUnit[],COLUMN(CUSTO_GLOBAL[[#Headers],[Salário Educação]])-2,0)*($G251-$H251)</f>
        <v>84.92826500000001</v>
      </c>
      <c r="W251" s="21">
        <f>VLOOKUP($A251,tabCustoUnit[],COLUMN(CUSTO_GLOBAL[[#Headers],[FGTS]])-2,0)*($G251-$H251)</f>
        <v>271.77044799999999</v>
      </c>
      <c r="X251" s="21">
        <f>VLOOKUP($A251,tabCustoUnit[],COLUMN(CUSTO_GLOBAL[[#Headers],[RAT Ajustado]])-2,0)*($G251-$H251)</f>
        <v>135.88522399999999</v>
      </c>
      <c r="Y251" s="21">
        <f>VLOOKUP($A251,tabCustoUnit[],COLUMN(CUSTO_GLOBAL[[#Headers],[SEBRAE]])-2,0)*($G251-$H251)</f>
        <v>20.3827836</v>
      </c>
      <c r="Z251" s="21">
        <f>VLOOKUP($A251,tabCustoUnit[],COLUMN(CUSTO_GLOBAL[[#Headers],[Submódulo 2.1]])-2,0)*($G251-$H251)</f>
        <v>1284.1153668000002</v>
      </c>
      <c r="AA251" s="21">
        <f>VLOOKUP($A251,tabCustoUnit[],COLUMN(CUSTO_GLOBAL[[#Headers],[13º salário (titular)]])-2,0)*($G251-$H251)</f>
        <v>283.09421666666663</v>
      </c>
      <c r="AB251" s="21">
        <f>VLOOKUP($A251,tabCustoUnit[],COLUMN(CUSTO_GLOBAL[[#Headers],[Férias e Adicional de Férias (titular)]])-2,0)*($G251-$H251)</f>
        <v>377.45895555555552</v>
      </c>
      <c r="AC251" s="21">
        <f>VLOOKUP($A251,tabCustoUnit[],COLUMN(CUSTO_GLOBAL[[#Headers],[Incidência do Submódulo 2.1 sobre 13º Salário, Férias e Adicional de Férias]])-2,0)*($G251-$H251)</f>
        <v>249.68909910000002</v>
      </c>
      <c r="AD251" s="21">
        <f>VLOOKUP($A251,tabCustoUnit[],COLUMN(CUSTO_GLOBAL[[#Headers],[Submódulo 2.2]])-2,0)*($G251-$H251)</f>
        <v>910.24227132222222</v>
      </c>
      <c r="AE251" s="22" t="e">
        <f ca="1">VLOOKUP($A251,tabCustoUnit[],COLUMN(CUSTO_GLOBAL[[#Headers],[Vale - Transporte (Descontada parcela do empregado)]])-2,0)*($G251-$H251)</f>
        <v>#NAME?</v>
      </c>
      <c r="AF251" s="22">
        <f>VLOOKUP($A251,tabCustoUnit[],COLUMN(CUSTO_GLOBAL[[#Headers],[Vale - Alimentação (Descontada parcela do empregado)]])-2,0)*($G251-$H251)</f>
        <v>582</v>
      </c>
      <c r="AG251" s="22">
        <f>VLOOKUP($A251,tabCustoUnit[],COLUMN(CUSTO_GLOBAL[[#Headers],[Cesta Básica]])-2,0)*($G251-$H251)</f>
        <v>0</v>
      </c>
      <c r="AH251" s="22">
        <f>VLOOKUP($A251,tabCustoUnit[],COLUMN(CUSTO_GLOBAL[[#Headers],[PAF]])-2,0)*($G251-$H251)</f>
        <v>0</v>
      </c>
      <c r="AI251" s="22">
        <f>VLOOKUP($A251,tabCustoUnit[],COLUMN(CUSTO_GLOBAL[[#Headers],[PQM]])-2,0)*($G251-$H251)</f>
        <v>15.07</v>
      </c>
      <c r="AJ251" s="22">
        <v>0</v>
      </c>
      <c r="AK251" s="22">
        <f>VLOOKUP($A251,tabCustoUnit[],COLUMN(CUSTO_GLOBAL[[#Headers],[Seguro de Vida]])-2,0)*($G251-$H251)</f>
        <v>3.36</v>
      </c>
      <c r="AL251" s="22">
        <f>VLOOKUP($A251,tabCustoUnit[],COLUMN(CUSTO_GLOBAL[[#Headers],[Despesas de Viagem]])-2,0)*($G251-$H251)</f>
        <v>0</v>
      </c>
      <c r="AM251" s="22" t="e">
        <f ca="1">VLOOKUP($A251,tabCustoUnit[],COLUMN(CUSTO_GLOBAL[[#Headers],[Submódulo 2.3]])-2,0)*($G251-$H251)</f>
        <v>#NAME?</v>
      </c>
      <c r="AN251" s="22" t="e">
        <f ca="1">VLOOKUP($A251,tabCustoUnit[],COLUMN(CUSTO_GLOBAL[[#Headers],[MÓDULO 2 - Total Encargos e Benefícios mensais e diários]])-2,0)*($G251-$H251)</f>
        <v>#NAME?</v>
      </c>
      <c r="AO251" s="22">
        <f>VLOOKUP($A251,tabCustoUnit[],COLUMN(CUSTO_GLOBAL[[#Headers],[Aviso Prévio Indenizado (API) e Reflexo do Aviso Prévio Indenizado]])-2,0)*($G251-$H251)</f>
        <v>23.819888151890432</v>
      </c>
      <c r="AP251" s="22">
        <f>VLOOKUP($A251,tabCustoUnit[],COLUMN(CUSTO_GLOBAL[[#Headers],[Incidência do FGTS sobre API e Reflexo do API]])-2,0)*($G251-$H251)</f>
        <v>1.9055910521512347</v>
      </c>
      <c r="AQ251" s="22">
        <f>VLOOKUP($A251,tabCustoUnit[],COLUMN(CUSTO_GLOBAL[[#Headers],[Multa Rescisória do FGTS sobre o Aviso Prévio Indenizado]])-2,0)*($G251-$H251)</f>
        <v>0.76223642086049392</v>
      </c>
      <c r="AR251" s="22">
        <f>VLOOKUP($A251,tabCustoUnit[],COLUMN(CUSTO_GLOBAL[[#Headers],[Aviso Prévio Trabalhado - APT]])-2,0)*($G251-$H251)</f>
        <v>11.889957100000002</v>
      </c>
      <c r="AS251" s="22">
        <f>VLOOKUP($A251,tabCustoUnit[],COLUMN(CUSTO_GLOBAL[[#Headers],[Incidência dos encargos do submódulo 2.1 sobre Aviso Prévio Trabalhado]])-2,0)*($G251-$H251)</f>
        <v>4.4944037838000011</v>
      </c>
      <c r="AT251" s="22">
        <f>VLOOKUP($A251,tabCustoUnit[],COLUMN(CUSTO_GLOBAL[[#Headers],[Multa Rescisória do FGTS]])-2,0)*($G251-$H251)</f>
        <v>103.87670456888887</v>
      </c>
      <c r="AU251" s="22">
        <f>VLOOKUP($A251,tabCustoUnit[],COLUMN(CUSTO_GLOBAL[[#Headers],[Indenização Adicional (Art. 9º da Lei nº 7.238/84)]])-2,0)*($G251-$H251)</f>
        <v>2.830942166666667</v>
      </c>
      <c r="AV251" s="22">
        <f>VLOOKUP($A251,tabCustoUnit[],COLUMN(CUSTO_GLOBAL[[#Headers],[MÓDULO 3 – PROVISÃO PARA RESCISÃO]])-2,0)*($G251-$H251)</f>
        <v>149.57972324425771</v>
      </c>
      <c r="AW251" s="22">
        <f>VLOOKUP($A251,tabCustoUnit[],COLUMN(CUSTO_GLOBAL[[#Headers],[Ausência por Doença]])-2,0)*($G251-$H251)</f>
        <v>28.686880622222219</v>
      </c>
      <c r="AX251" s="22">
        <f>VLOOKUP($A251,tabCustoUnit[],COLUMN(CUSTO_GLOBAL[[#Headers],[Ausências Legais]])-2,0)*($G251-$H251)</f>
        <v>6.8886259388888886</v>
      </c>
      <c r="AY251" s="22">
        <f>VLOOKUP($A251,tabCustoUnit[],COLUMN(CUSTO_GLOBAL[[#Headers],[Licença Paternidade]])-2,0)*($G251-$H251)</f>
        <v>0.58034314416666666</v>
      </c>
      <c r="AZ251" s="22">
        <f>VLOOKUP($A251,tabCustoUnit[],COLUMN(CUSTO_GLOBAL[[#Headers],[Ausência por Acidente de Trabalho]])-2,0)*($G251-$H251)</f>
        <v>0.70773554166666675</v>
      </c>
      <c r="BA251" s="22">
        <f>VLOOKUP($A251,tabCustoUnit[],COLUMN(CUSTO_GLOBAL[[#Headers],[Férias, Adicional de Férias e 13º  com empregada em gozo de Licença Maternidade]])-2,0)*($G251-$H251)</f>
        <v>4.4036878148148144</v>
      </c>
      <c r="BB251" s="22">
        <f>VLOOKUP($A251,tabCustoUnit[],COLUMN(CUSTO_GLOBAL[[#Headers],[Incidência do Submódulo 2.1 sobre Ausências Legais]])-2,0)*($G251-$H251)</f>
        <v>15.599029217345002</v>
      </c>
      <c r="BC251" s="22">
        <f>VLOOKUP($A251,tabCustoUnit[],COLUMN(CUSTO_GLOBAL[[#Headers],[Submódulo 4.1]])-2,0)*($G251-$H251)</f>
        <v>56.866302279104261</v>
      </c>
      <c r="BD251" s="22">
        <f>VLOOKUP($A251,tabCustoUnit[],COLUMN(CUSTO_GLOBAL[[#Headers],[Intervalo para Repouso ou Alimentação]])-2,0)*($G251-$H251)</f>
        <v>0</v>
      </c>
      <c r="BE251" s="22">
        <f>VLOOKUP($A251,tabCustoUnit[],COLUMN(CUSTO_GLOBAL[[#Headers],[Submódulo 4.2]])-2,0)*($G251-$H251)</f>
        <v>0</v>
      </c>
      <c r="BF251" s="22">
        <f>VLOOKUP($A251,tabCustoUnit[],COLUMN(CUSTO_GLOBAL[[#Headers],[Suspensão Temporária do Contrato de Trabalho]])-2,0)*($G251-$H251)</f>
        <v>0</v>
      </c>
      <c r="BG251" s="22">
        <f>VLOOKUP($A251,tabCustoUnit[],COLUMN(CUSTO_GLOBAL[[#Headers],[Submódulo 4.3]])-2,0)*($G251-$H251)</f>
        <v>0</v>
      </c>
      <c r="BH251" s="22">
        <f>VLOOKUP($A251,tabCustoUnit[],COLUMN(CUSTO_GLOBAL[[#Headers],[MÓDULO 4 – CUSTO DE REPOSIÇÃO DO PROFISSIONAL AUSENTE]])-2,0)*($G251-$H251)</f>
        <v>56.866302279104261</v>
      </c>
      <c r="BI251" s="22">
        <f>VLOOKUP($A251,tabCustoUnit[],COLUMN(CUSTO_GLOBAL[[#Headers],[Uniformes e EPIs]])-2,0)*($G251-$H251)</f>
        <v>56.642978962543395</v>
      </c>
      <c r="BJ251" s="22">
        <f>VLOOKUP($A251,tabCustoUnit[],COLUMN(CUSTO_GLOBAL[[#Headers],[Materiais de Consumo]])-2,0)*($G251-$H251)</f>
        <v>0</v>
      </c>
      <c r="BK251" s="22">
        <f>VLOOKUP($A251,tabCustoUnit[],COLUMN(CUSTO_GLOBAL[[#Headers],[Máquinas e Equipamentos (depreciação)]])-2,0)*($G251-$H251)</f>
        <v>0</v>
      </c>
      <c r="BL251" s="22">
        <f>VLOOKUP($A251,tabCustoUnit[],COLUMN(CUSTO_GLOBAL[[#Headers],[Produtos de Limpeza e Materiais de Higiene Pessoal]])-2,0)*($G251-$H251)</f>
        <v>0</v>
      </c>
      <c r="BM251" s="22">
        <f>VLOOKUP($A251,tabCustoUnit[],COLUMN(CUSTO_GLOBAL[[#Headers],[Outros (especificar)]])-2,0)*($G251-$H251)</f>
        <v>0</v>
      </c>
      <c r="BN251" s="22">
        <f>VLOOKUP($A251,tabCustoUnit[],COLUMN(CUSTO_GLOBAL[[#Headers],[MÓDULO 5 – INSUMOS DIVERSOS]])-2,0)*($G251-$H251)</f>
        <v>56.642978962543395</v>
      </c>
      <c r="BO251" s="22" t="e">
        <f ca="1">VLOOKUP($A251,tabCustoUnit[],COLUMN(CUSTO_GLOBAL[[#Headers],[TOTAL MÓDULOS 1+2+3+4+5]])-2,0)*($G251-$H251)</f>
        <v>#NAME?</v>
      </c>
      <c r="BP251" s="22" t="e">
        <f ca="1">VLOOKUP($A251,tabCustoUnit[],COLUMN(CUSTO_GLOBAL[[#Headers],[Custos Indiretos]])-2,0)*($G251-$H251)</f>
        <v>#NAME?</v>
      </c>
      <c r="BQ251" s="22" t="e">
        <f ca="1">VLOOKUP($A251,tabCustoUnit[],COLUMN(CUSTO_GLOBAL[[#Headers],[Lucro]])-2,0)*($G251-$H251)</f>
        <v>#NAME?</v>
      </c>
      <c r="BR251" s="26">
        <f>VLOOKUP($A251,tabCustoUnit[],COLUMN(CUSTO_GLOBAL[[#Headers],[COFINS]])-2,0)</f>
        <v>8.6314593980692772E-2</v>
      </c>
      <c r="BS251" s="26">
        <f>VLOOKUP($A251,tabCustoUnit[],COLUMN(CUSTO_GLOBAL[[#Headers],[PIS]])-2,0)</f>
        <v>1.8739352640545163E-2</v>
      </c>
      <c r="BT251" s="28">
        <f>VLOOKUP($A251,tabCustoUnit[],COLUMN(CUSTO_GLOBAL[[#Headers],[ISS]])-2,0)</f>
        <v>2.7000000000000003E-2</v>
      </c>
      <c r="BU251" s="26">
        <f>VLOOKUP($A251,tabCustoUnit[],COLUMN(CUSTO_GLOBAL[[#Headers],[ISS (Conversão Alíquota s/ fatura)]])-2,0)</f>
        <v>3.0664395229982992E-2</v>
      </c>
      <c r="BV251" s="26">
        <f>VLOOKUP($A251,tabCustoUnit[],COLUMN(CUSTO_GLOBAL[[#Headers],[Resumo de Alíquotas (PIS+CONFINS+ISS)]])-2,0)</f>
        <v>0.1195</v>
      </c>
      <c r="BW251" s="138">
        <f>VLOOKUP($A251,tabCustoUnit[],COLUMN(CUSTO_GLOBAL[[#Headers],[PIS + COFINS + ISS (Total Conversão  Alíquota s/ Fatura)]])-2,0)</f>
        <v>0.13571834185122092</v>
      </c>
      <c r="BX251" s="22" t="e">
        <f ca="1">VLOOKUP($A251,tabCustoUnit[],COLUMN(CUSTO_GLOBAL[[#Headers],[Valor dos Tributos (ISS, PIS, CONFINS)]])-2,0)*($G251-$H251)</f>
        <v>#NAME?</v>
      </c>
      <c r="BY251" s="22" t="e">
        <f ca="1">VLOOKUP($A251,tabCustoUnit[],COLUMN(CUSTO_GLOBAL[[#Headers],[MÓDULO 6 – CUSTOS INDIRETOS, TRIBUTOS E LUCRO]])-2,0)*($G251-$H251)</f>
        <v>#NAME?</v>
      </c>
      <c r="BZ251" s="22" t="e">
        <f ca="1">VLOOKUP($A251,tabCustoUnit[],COLUMN(CUSTO_GLOBAL[[#Headers],[CUSTO TOTAL MENSAL]])-2,0)*($G251-$H251)</f>
        <v>#NAME?</v>
      </c>
      <c r="CA251" s="22" t="e">
        <f ca="1">CUSTO_GLOBAL[[#This Row],[CUSTO TOTAL MENSAL]]*12</f>
        <v>#NAME?</v>
      </c>
      <c r="CB251" s="24">
        <f>VLOOKUP($A251,tabCustoUnit[],COLUMN(CUSTO_GLOBAL[[#Headers],[ANO DA CCT]])-2,0)</f>
        <v>45658</v>
      </c>
      <c r="CC251" s="25" t="str">
        <f>VLOOKUP($A251,tabCustoUnit[],COLUMN(CUSTO_GLOBAL[[#Headers],[Nº DE PEDIDO DA CCT]])-2,0)</f>
        <v>-</v>
      </c>
      <c r="CD251" s="25" t="str">
        <f>VLOOKUP($A251,tabCustoUnit[],COLUMN(CUSTO_GLOBAL[[#Headers],[TERMO ADITIVO ALTERAÇÃO DA CCT]])-2,0)</f>
        <v>-</v>
      </c>
    </row>
    <row r="252" spans="1:82">
      <c r="A252" s="20" t="s">
        <v>1675</v>
      </c>
      <c r="B252" t="s">
        <v>1184</v>
      </c>
      <c r="C252" t="s">
        <v>319</v>
      </c>
      <c r="D252" t="s">
        <v>957</v>
      </c>
      <c r="E252" s="20" t="s">
        <v>1090</v>
      </c>
      <c r="F252" s="20" t="s">
        <v>120</v>
      </c>
      <c r="G252" s="20">
        <v>1</v>
      </c>
      <c r="H252" s="20">
        <v>0</v>
      </c>
      <c r="I252" s="21">
        <f>VLOOKUP($A252,tabCustoUnit[],COLUMN(CUSTO_GLOBAL[[#Headers],[Salário Base]])-2,0)*($G252-$H252)</f>
        <v>2316.2296999999999</v>
      </c>
      <c r="J252" s="21">
        <f>VLOOKUP($A252,tabCustoUnit[],COLUMN(CUSTO_GLOBAL[[#Headers],[Adicional Periculosidade]])-2,0)*($G252-$H252)</f>
        <v>0</v>
      </c>
      <c r="K252" s="21">
        <f>VLOOKUP($A252,tabCustoUnit[],COLUMN(CUSTO_GLOBAL[[#Headers],[Adicional Insalubridade]])-2,0)*($G252-$H252)</f>
        <v>0</v>
      </c>
      <c r="L252" s="21">
        <f>VLOOKUP($A252,tabCustoUnit[],COLUMN(CUSTO_GLOBAL[[#Headers],[Adicional Noturno]])-2,0)*($G252-$H252)</f>
        <v>0</v>
      </c>
      <c r="M252" s="21">
        <f>VLOOKUP($A252,tabCustoUnit[],COLUMN(CUSTO_GLOBAL[[#Headers],[Adicional Motorista II (Gratificação)]])-2,0)*($G252-$H252)</f>
        <v>0</v>
      </c>
      <c r="N252" s="21">
        <f>VLOOKUP($A252,tabCustoUnit[],COLUMN(CUSTO_GLOBAL[[#Headers],[Adicional de Sobreaviso]])-2,0)*($G252-$H252)</f>
        <v>0</v>
      </c>
      <c r="O252" s="21">
        <f>VLOOKUP($A252,tabCustoUnit[],COLUMN(CUSTO_GLOBAL[[#Headers],[Horas Extras TI]])-2,0)*($G252-$H252)</f>
        <v>0</v>
      </c>
      <c r="P252" s="21">
        <f>VLOOKUP($A252,tabCustoUnit[],COLUMN(CUSTO_GLOBAL[[#Headers],[Adicional de Acúmulo de função]])-2,0)*($G252-$H252)</f>
        <v>0</v>
      </c>
      <c r="Q252" s="21">
        <f>VLOOKUP($A252,tabCustoUnit[],COLUMN(CUSTO_GLOBAL[[#Headers],[MODULO 1 - REMUNERAÇÃO ]])-2,0)*($G252-$H252)</f>
        <v>2316.2296999999999</v>
      </c>
      <c r="R252" s="21">
        <f>VLOOKUP($A252,tabCustoUnit[],COLUMN(CUSTO_GLOBAL[[#Headers],[INSS]])-2,0)*($G252-$H252)</f>
        <v>463.24594000000002</v>
      </c>
      <c r="S252" s="21">
        <f>VLOOKUP($A252,tabCustoUnit[],COLUMN(CUSTO_GLOBAL[[#Headers],[SESI OU SESC]])-2,0)*($G252-$H252)</f>
        <v>34.7434455</v>
      </c>
      <c r="T252" s="21">
        <f>VLOOKUP($A252,tabCustoUnit[],COLUMN(CUSTO_GLOBAL[[#Headers],[SENAI OU SENAC]])-2,0)*($G252-$H252)</f>
        <v>23.162296999999999</v>
      </c>
      <c r="U252" s="21">
        <f>VLOOKUP($A252,tabCustoUnit[],COLUMN(CUSTO_GLOBAL[[#Headers],[INCRA]])-2,0)*($G252-$H252)</f>
        <v>4.6324594000000001</v>
      </c>
      <c r="V252" s="21">
        <f>VLOOKUP($A252,tabCustoUnit[],COLUMN(CUSTO_GLOBAL[[#Headers],[Salário Educação]])-2,0)*($G252-$H252)</f>
        <v>57.905742500000002</v>
      </c>
      <c r="W252" s="21">
        <f>VLOOKUP($A252,tabCustoUnit[],COLUMN(CUSTO_GLOBAL[[#Headers],[FGTS]])-2,0)*($G252-$H252)</f>
        <v>185.29837599999999</v>
      </c>
      <c r="X252" s="21">
        <f>VLOOKUP($A252,tabCustoUnit[],COLUMN(CUSTO_GLOBAL[[#Headers],[RAT Ajustado]])-2,0)*($G252-$H252)</f>
        <v>92.649187999999995</v>
      </c>
      <c r="Y252" s="21">
        <f>VLOOKUP($A252,tabCustoUnit[],COLUMN(CUSTO_GLOBAL[[#Headers],[SEBRAE]])-2,0)*($G252-$H252)</f>
        <v>13.8973782</v>
      </c>
      <c r="Z252" s="21">
        <f>VLOOKUP($A252,tabCustoUnit[],COLUMN(CUSTO_GLOBAL[[#Headers],[Submódulo 2.1]])-2,0)*($G252-$H252)</f>
        <v>875.53482659999997</v>
      </c>
      <c r="AA252" s="21">
        <f>VLOOKUP($A252,tabCustoUnit[],COLUMN(CUSTO_GLOBAL[[#Headers],[13º salário (titular)]])-2,0)*($G252-$H252)</f>
        <v>193.01914166666666</v>
      </c>
      <c r="AB252" s="21">
        <f>VLOOKUP($A252,tabCustoUnit[],COLUMN(CUSTO_GLOBAL[[#Headers],[Férias e Adicional de Férias (titular)]])-2,0)*($G252-$H252)</f>
        <v>257.35885555555552</v>
      </c>
      <c r="AC252" s="21">
        <f>VLOOKUP($A252,tabCustoUnit[],COLUMN(CUSTO_GLOBAL[[#Headers],[Incidência do Submódulo 2.1 sobre 13º Salário, Férias e Adicional de Férias]])-2,0)*($G252-$H252)</f>
        <v>170.24288294999999</v>
      </c>
      <c r="AD252" s="21">
        <f>VLOOKUP($A252,tabCustoUnit[],COLUMN(CUSTO_GLOBAL[[#Headers],[Submódulo 2.2]])-2,0)*($G252-$H252)</f>
        <v>620.6208801722222</v>
      </c>
      <c r="AE252" s="22" t="e">
        <f ca="1">VLOOKUP($A252,tabCustoUnit[],COLUMN(CUSTO_GLOBAL[[#Headers],[Vale - Transporte (Descontada parcela do empregado)]])-2,0)*($G252-$H252)</f>
        <v>#NAME?</v>
      </c>
      <c r="AF252" s="22">
        <f>VLOOKUP($A252,tabCustoUnit[],COLUMN(CUSTO_GLOBAL[[#Headers],[Vale - Alimentação (Descontada parcela do empregado)]])-2,0)*($G252-$H252)</f>
        <v>582</v>
      </c>
      <c r="AG252" s="22">
        <f>VLOOKUP($A252,tabCustoUnit[],COLUMN(CUSTO_GLOBAL[[#Headers],[Cesta Básica]])-2,0)*($G252-$H252)</f>
        <v>0</v>
      </c>
      <c r="AH252" s="22">
        <f>VLOOKUP($A252,tabCustoUnit[],COLUMN(CUSTO_GLOBAL[[#Headers],[PAF]])-2,0)*($G252-$H252)</f>
        <v>0</v>
      </c>
      <c r="AI252" s="22">
        <f>VLOOKUP($A252,tabCustoUnit[],COLUMN(CUSTO_GLOBAL[[#Headers],[PQM]])-2,0)*($G252-$H252)</f>
        <v>0</v>
      </c>
      <c r="AJ252" s="22">
        <v>0</v>
      </c>
      <c r="AK252" s="22">
        <f>VLOOKUP($A252,tabCustoUnit[],COLUMN(CUSTO_GLOBAL[[#Headers],[Seguro de Vida]])-2,0)*($G252-$H252)</f>
        <v>3.36</v>
      </c>
      <c r="AL252" s="22">
        <f>VLOOKUP($A252,tabCustoUnit[],COLUMN(CUSTO_GLOBAL[[#Headers],[Despesas de Viagem]])-2,0)*($G252-$H252)</f>
        <v>0</v>
      </c>
      <c r="AM252" s="22" t="e">
        <f ca="1">VLOOKUP($A252,tabCustoUnit[],COLUMN(CUSTO_GLOBAL[[#Headers],[Submódulo 2.3]])-2,0)*($G252-$H252)</f>
        <v>#NAME?</v>
      </c>
      <c r="AN252" s="22" t="e">
        <f ca="1">VLOOKUP($A252,tabCustoUnit[],COLUMN(CUSTO_GLOBAL[[#Headers],[MÓDULO 2 - Total Encargos e Benefícios mensais e diários]])-2,0)*($G252-$H252)</f>
        <v>#NAME?</v>
      </c>
      <c r="AO252" s="22">
        <f>VLOOKUP($A252,tabCustoUnit[],COLUMN(CUSTO_GLOBAL[[#Headers],[Aviso Prévio Indenizado (API) e Reflexo do Aviso Prévio Indenizado]])-2,0)*($G252-$H252)</f>
        <v>16.240862917689043</v>
      </c>
      <c r="AP252" s="22">
        <f>VLOOKUP($A252,tabCustoUnit[],COLUMN(CUSTO_GLOBAL[[#Headers],[Incidência do FGTS sobre API e Reflexo do API]])-2,0)*($G252-$H252)</f>
        <v>1.2992690334151236</v>
      </c>
      <c r="AQ252" s="22">
        <f>VLOOKUP($A252,tabCustoUnit[],COLUMN(CUSTO_GLOBAL[[#Headers],[Multa Rescisória do FGTS sobre o Aviso Prévio Indenizado]])-2,0)*($G252-$H252)</f>
        <v>0.51970761336604943</v>
      </c>
      <c r="AR252" s="22">
        <f>VLOOKUP($A252,tabCustoUnit[],COLUMN(CUSTO_GLOBAL[[#Headers],[Aviso Prévio Trabalhado - APT]])-2,0)*($G252-$H252)</f>
        <v>8.1068039500000015</v>
      </c>
      <c r="AS252" s="22">
        <f>VLOOKUP($A252,tabCustoUnit[],COLUMN(CUSTO_GLOBAL[[#Headers],[Incidência dos encargos do submódulo 2.1 sobre Aviso Prévio Trabalhado]])-2,0)*($G252-$H252)</f>
        <v>3.0643718931000006</v>
      </c>
      <c r="AT252" s="22">
        <f>VLOOKUP($A252,tabCustoUnit[],COLUMN(CUSTO_GLOBAL[[#Headers],[Multa Rescisória do FGTS]])-2,0)*($G252-$H252)</f>
        <v>70.825157048888869</v>
      </c>
      <c r="AU252" s="22">
        <f>VLOOKUP($A252,tabCustoUnit[],COLUMN(CUSTO_GLOBAL[[#Headers],[Indenização Adicional (Art. 9º da Lei nº 7.238/84)]])-2,0)*($G252-$H252)</f>
        <v>1.9301914166666667</v>
      </c>
      <c r="AV252" s="22">
        <f>VLOOKUP($A252,tabCustoUnit[],COLUMN(CUSTO_GLOBAL[[#Headers],[MÓDULO 3 – PROVISÃO PARA RESCISÃO]])-2,0)*($G252-$H252)</f>
        <v>101.98636387312575</v>
      </c>
      <c r="AW252" s="22">
        <f>VLOOKUP($A252,tabCustoUnit[],COLUMN(CUSTO_GLOBAL[[#Headers],[Ausência por Doença]])-2,0)*($G252-$H252)</f>
        <v>19.559273022222218</v>
      </c>
      <c r="AX252" s="22">
        <f>VLOOKUP($A252,tabCustoUnit[],COLUMN(CUSTO_GLOBAL[[#Headers],[Ausências Legais]])-2,0)*($G252-$H252)</f>
        <v>4.696799113888888</v>
      </c>
      <c r="AY252" s="22">
        <f>VLOOKUP($A252,tabCustoUnit[],COLUMN(CUSTO_GLOBAL[[#Headers],[Licença Paternidade]])-2,0)*($G252-$H252)</f>
        <v>0.39568924041666664</v>
      </c>
      <c r="AZ252" s="22">
        <f>VLOOKUP($A252,tabCustoUnit[],COLUMN(CUSTO_GLOBAL[[#Headers],[Ausência por Acidente de Trabalho]])-2,0)*($G252-$H252)</f>
        <v>0.48254785416666668</v>
      </c>
      <c r="BA252" s="22">
        <f>VLOOKUP($A252,tabCustoUnit[],COLUMN(CUSTO_GLOBAL[[#Headers],[Férias, Adicional de Férias e 13º  com empregada em gozo de Licença Maternidade]])-2,0)*($G252-$H252)</f>
        <v>3.0025199814814814</v>
      </c>
      <c r="BB252" s="22">
        <f>VLOOKUP($A252,tabCustoUnit[],COLUMN(CUSTO_GLOBAL[[#Headers],[Incidência do Submódulo 2.1 sobre Ausências Legais]])-2,0)*($G252-$H252)</f>
        <v>10.635721442202501</v>
      </c>
      <c r="BC252" s="22">
        <f>VLOOKUP($A252,tabCustoUnit[],COLUMN(CUSTO_GLOBAL[[#Headers],[Submódulo 4.1]])-2,0)*($G252-$H252)</f>
        <v>38.772550654378421</v>
      </c>
      <c r="BD252" s="22">
        <f>VLOOKUP($A252,tabCustoUnit[],COLUMN(CUSTO_GLOBAL[[#Headers],[Intervalo para Repouso ou Alimentação]])-2,0)*($G252-$H252)</f>
        <v>0</v>
      </c>
      <c r="BE252" s="22">
        <f>VLOOKUP($A252,tabCustoUnit[],COLUMN(CUSTO_GLOBAL[[#Headers],[Submódulo 4.2]])-2,0)*($G252-$H252)</f>
        <v>0</v>
      </c>
      <c r="BF252" s="22">
        <f>VLOOKUP($A252,tabCustoUnit[],COLUMN(CUSTO_GLOBAL[[#Headers],[Suspensão Temporária do Contrato de Trabalho]])-2,0)*($G252-$H252)</f>
        <v>0</v>
      </c>
      <c r="BG252" s="22">
        <f>VLOOKUP($A252,tabCustoUnit[],COLUMN(CUSTO_GLOBAL[[#Headers],[Submódulo 4.3]])-2,0)*($G252-$H252)</f>
        <v>0</v>
      </c>
      <c r="BH252" s="22">
        <f>VLOOKUP($A252,tabCustoUnit[],COLUMN(CUSTO_GLOBAL[[#Headers],[MÓDULO 4 – CUSTO DE REPOSIÇÃO DO PROFISSIONAL AUSENTE]])-2,0)*($G252-$H252)</f>
        <v>38.772550654378421</v>
      </c>
      <c r="BI252" s="22">
        <f>VLOOKUP($A252,tabCustoUnit[],COLUMN(CUSTO_GLOBAL[[#Headers],[Uniformes e EPIs]])-2,0)*($G252-$H252)</f>
        <v>56.642978962543395</v>
      </c>
      <c r="BJ252" s="22">
        <f>VLOOKUP($A252,tabCustoUnit[],COLUMN(CUSTO_GLOBAL[[#Headers],[Materiais de Consumo]])-2,0)*($G252-$H252)</f>
        <v>0</v>
      </c>
      <c r="BK252" s="22">
        <f>VLOOKUP($A252,tabCustoUnit[],COLUMN(CUSTO_GLOBAL[[#Headers],[Máquinas e Equipamentos (depreciação)]])-2,0)*($G252-$H252)</f>
        <v>0</v>
      </c>
      <c r="BL252" s="22">
        <f>VLOOKUP($A252,tabCustoUnit[],COLUMN(CUSTO_GLOBAL[[#Headers],[Produtos de Limpeza e Materiais de Higiene Pessoal]])-2,0)*($G252-$H252)</f>
        <v>0</v>
      </c>
      <c r="BM252" s="22">
        <f>VLOOKUP($A252,tabCustoUnit[],COLUMN(CUSTO_GLOBAL[[#Headers],[Outros (especificar)]])-2,0)*($G252-$H252)</f>
        <v>0</v>
      </c>
      <c r="BN252" s="22">
        <f>VLOOKUP($A252,tabCustoUnit[],COLUMN(CUSTO_GLOBAL[[#Headers],[MÓDULO 5 – INSUMOS DIVERSOS]])-2,0)*($G252-$H252)</f>
        <v>56.642978962543395</v>
      </c>
      <c r="BO252" s="22" t="e">
        <f ca="1">VLOOKUP($A252,tabCustoUnit[],COLUMN(CUSTO_GLOBAL[[#Headers],[TOTAL MÓDULOS 1+2+3+4+5]])-2,0)*($G252-$H252)</f>
        <v>#NAME?</v>
      </c>
      <c r="BP252" s="22" t="e">
        <f ca="1">VLOOKUP($A252,tabCustoUnit[],COLUMN(CUSTO_GLOBAL[[#Headers],[Custos Indiretos]])-2,0)*($G252-$H252)</f>
        <v>#NAME?</v>
      </c>
      <c r="BQ252" s="22" t="e">
        <f ca="1">VLOOKUP($A252,tabCustoUnit[],COLUMN(CUSTO_GLOBAL[[#Headers],[Lucro]])-2,0)*($G252-$H252)</f>
        <v>#NAME?</v>
      </c>
      <c r="BR252" s="26">
        <f>VLOOKUP($A252,tabCustoUnit[],COLUMN(CUSTO_GLOBAL[[#Headers],[COFINS]])-2,0)</f>
        <v>8.6609686609686695E-2</v>
      </c>
      <c r="BS252" s="26">
        <f>VLOOKUP($A252,tabCustoUnit[],COLUMN(CUSTO_GLOBAL[[#Headers],[PIS]])-2,0)</f>
        <v>1.880341880341882E-2</v>
      </c>
      <c r="BT252" s="28">
        <f>VLOOKUP($A252,tabCustoUnit[],COLUMN(CUSTO_GLOBAL[[#Headers],[ISS]])-2,0)</f>
        <v>0.03</v>
      </c>
      <c r="BU252" s="26">
        <f>VLOOKUP($A252,tabCustoUnit[],COLUMN(CUSTO_GLOBAL[[#Headers],[ISS (Conversão Alíquota s/ fatura)]])-2,0)</f>
        <v>3.4188034188034219E-2</v>
      </c>
      <c r="BV252" s="26">
        <f>VLOOKUP($A252,tabCustoUnit[],COLUMN(CUSTO_GLOBAL[[#Headers],[Resumo de Alíquotas (PIS+CONFINS+ISS)]])-2,0)</f>
        <v>0.1225</v>
      </c>
      <c r="BW252" s="138">
        <f>VLOOKUP($A252,tabCustoUnit[],COLUMN(CUSTO_GLOBAL[[#Headers],[PIS + COFINS + ISS (Total Conversão  Alíquota s/ Fatura)]])-2,0)</f>
        <v>0.13960113960113973</v>
      </c>
      <c r="BX252" s="22" t="e">
        <f ca="1">VLOOKUP($A252,tabCustoUnit[],COLUMN(CUSTO_GLOBAL[[#Headers],[Valor dos Tributos (ISS, PIS, CONFINS)]])-2,0)*($G252-$H252)</f>
        <v>#NAME?</v>
      </c>
      <c r="BY252" s="22" t="e">
        <f ca="1">VLOOKUP($A252,tabCustoUnit[],COLUMN(CUSTO_GLOBAL[[#Headers],[MÓDULO 6 – CUSTOS INDIRETOS, TRIBUTOS E LUCRO]])-2,0)*($G252-$H252)</f>
        <v>#NAME?</v>
      </c>
      <c r="BZ252" s="22" t="e">
        <f ca="1">VLOOKUP($A252,tabCustoUnit[],COLUMN(CUSTO_GLOBAL[[#Headers],[CUSTO TOTAL MENSAL]])-2,0)*($G252-$H252)</f>
        <v>#NAME?</v>
      </c>
      <c r="CA252" s="22" t="e">
        <f ca="1">CUSTO_GLOBAL[[#This Row],[CUSTO TOTAL MENSAL]]*12</f>
        <v>#NAME?</v>
      </c>
      <c r="CB252" s="24">
        <f>VLOOKUP($A252,tabCustoUnit[],COLUMN(CUSTO_GLOBAL[[#Headers],[ANO DA CCT]])-2,0)</f>
        <v>45658</v>
      </c>
      <c r="CC252" s="25" t="str">
        <f>VLOOKUP($A252,tabCustoUnit[],COLUMN(CUSTO_GLOBAL[[#Headers],[Nº DE PEDIDO DA CCT]])-2,0)</f>
        <v>-</v>
      </c>
      <c r="CD252" s="25" t="str">
        <f>VLOOKUP($A252,tabCustoUnit[],COLUMN(CUSTO_GLOBAL[[#Headers],[TERMO ADITIVO ALTERAÇÃO DA CCT]])-2,0)</f>
        <v>-</v>
      </c>
    </row>
    <row r="253" spans="1:82">
      <c r="A253" s="20" t="s">
        <v>1676</v>
      </c>
      <c r="B253" t="s">
        <v>1185</v>
      </c>
      <c r="C253" t="s">
        <v>324</v>
      </c>
      <c r="D253" t="s">
        <v>1048</v>
      </c>
      <c r="E253" s="20" t="s">
        <v>1090</v>
      </c>
      <c r="F253" s="20" t="s">
        <v>120</v>
      </c>
      <c r="G253" s="20">
        <v>1</v>
      </c>
      <c r="H253" s="20">
        <v>0</v>
      </c>
      <c r="I253" s="21">
        <f>VLOOKUP($A253,tabCustoUnit[],COLUMN(CUSTO_GLOBAL[[#Headers],[Salário Base]])-2,0)*($G253-$H253)</f>
        <v>3397.1306</v>
      </c>
      <c r="J253" s="21">
        <f>VLOOKUP($A253,tabCustoUnit[],COLUMN(CUSTO_GLOBAL[[#Headers],[Adicional Periculosidade]])-2,0)*($G253-$H253)</f>
        <v>0</v>
      </c>
      <c r="K253" s="21">
        <f>VLOOKUP($A253,tabCustoUnit[],COLUMN(CUSTO_GLOBAL[[#Headers],[Adicional Insalubridade]])-2,0)*($G253-$H253)</f>
        <v>0</v>
      </c>
      <c r="L253" s="21">
        <f>VLOOKUP($A253,tabCustoUnit[],COLUMN(CUSTO_GLOBAL[[#Headers],[Adicional Noturno]])-2,0)*($G253-$H253)</f>
        <v>0</v>
      </c>
      <c r="M253" s="21">
        <f>VLOOKUP($A253,tabCustoUnit[],COLUMN(CUSTO_GLOBAL[[#Headers],[Adicional Motorista II (Gratificação)]])-2,0)*($G253-$H253)</f>
        <v>0</v>
      </c>
      <c r="N253" s="21">
        <f>VLOOKUP($A253,tabCustoUnit[],COLUMN(CUSTO_GLOBAL[[#Headers],[Adicional de Sobreaviso]])-2,0)*($G253-$H253)</f>
        <v>0</v>
      </c>
      <c r="O253" s="21">
        <f>VLOOKUP($A253,tabCustoUnit[],COLUMN(CUSTO_GLOBAL[[#Headers],[Horas Extras TI]])-2,0)*($G253-$H253)</f>
        <v>0</v>
      </c>
      <c r="P253" s="21">
        <f>VLOOKUP($A253,tabCustoUnit[],COLUMN(CUSTO_GLOBAL[[#Headers],[Adicional de Acúmulo de função]])-2,0)*($G253-$H253)</f>
        <v>0</v>
      </c>
      <c r="Q253" s="21">
        <f>VLOOKUP($A253,tabCustoUnit[],COLUMN(CUSTO_GLOBAL[[#Headers],[MODULO 1 - REMUNERAÇÃO ]])-2,0)*($G253-$H253)</f>
        <v>3397.1306</v>
      </c>
      <c r="R253" s="21">
        <f>VLOOKUP($A253,tabCustoUnit[],COLUMN(CUSTO_GLOBAL[[#Headers],[INSS]])-2,0)*($G253-$H253)</f>
        <v>679.42612000000008</v>
      </c>
      <c r="S253" s="21">
        <f>VLOOKUP($A253,tabCustoUnit[],COLUMN(CUSTO_GLOBAL[[#Headers],[SESI OU SESC]])-2,0)*($G253-$H253)</f>
        <v>50.956958999999998</v>
      </c>
      <c r="T253" s="21">
        <f>VLOOKUP($A253,tabCustoUnit[],COLUMN(CUSTO_GLOBAL[[#Headers],[SENAI OU SENAC]])-2,0)*($G253-$H253)</f>
        <v>33.971305999999998</v>
      </c>
      <c r="U253" s="21">
        <f>VLOOKUP($A253,tabCustoUnit[],COLUMN(CUSTO_GLOBAL[[#Headers],[INCRA]])-2,0)*($G253-$H253)</f>
        <v>6.7942612000000002</v>
      </c>
      <c r="V253" s="21">
        <f>VLOOKUP($A253,tabCustoUnit[],COLUMN(CUSTO_GLOBAL[[#Headers],[Salário Educação]])-2,0)*($G253-$H253)</f>
        <v>84.92826500000001</v>
      </c>
      <c r="W253" s="21">
        <f>VLOOKUP($A253,tabCustoUnit[],COLUMN(CUSTO_GLOBAL[[#Headers],[FGTS]])-2,0)*($G253-$H253)</f>
        <v>271.77044799999999</v>
      </c>
      <c r="X253" s="21">
        <f>VLOOKUP($A253,tabCustoUnit[],COLUMN(CUSTO_GLOBAL[[#Headers],[RAT Ajustado]])-2,0)*($G253-$H253)</f>
        <v>135.88522399999999</v>
      </c>
      <c r="Y253" s="21">
        <f>VLOOKUP($A253,tabCustoUnit[],COLUMN(CUSTO_GLOBAL[[#Headers],[SEBRAE]])-2,0)*($G253-$H253)</f>
        <v>20.3827836</v>
      </c>
      <c r="Z253" s="21">
        <f>VLOOKUP($A253,tabCustoUnit[],COLUMN(CUSTO_GLOBAL[[#Headers],[Submódulo 2.1]])-2,0)*($G253-$H253)</f>
        <v>1284.1153668000002</v>
      </c>
      <c r="AA253" s="21">
        <f>VLOOKUP($A253,tabCustoUnit[],COLUMN(CUSTO_GLOBAL[[#Headers],[13º salário (titular)]])-2,0)*($G253-$H253)</f>
        <v>283.09421666666663</v>
      </c>
      <c r="AB253" s="21">
        <f>VLOOKUP($A253,tabCustoUnit[],COLUMN(CUSTO_GLOBAL[[#Headers],[Férias e Adicional de Férias (titular)]])-2,0)*($G253-$H253)</f>
        <v>377.45895555555552</v>
      </c>
      <c r="AC253" s="21">
        <f>VLOOKUP($A253,tabCustoUnit[],COLUMN(CUSTO_GLOBAL[[#Headers],[Incidência do Submódulo 2.1 sobre 13º Salário, Férias e Adicional de Férias]])-2,0)*($G253-$H253)</f>
        <v>249.68909910000002</v>
      </c>
      <c r="AD253" s="21">
        <f>VLOOKUP($A253,tabCustoUnit[],COLUMN(CUSTO_GLOBAL[[#Headers],[Submódulo 2.2]])-2,0)*($G253-$H253)</f>
        <v>910.24227132222222</v>
      </c>
      <c r="AE253" s="22" t="e">
        <f ca="1">VLOOKUP($A253,tabCustoUnit[],COLUMN(CUSTO_GLOBAL[[#Headers],[Vale - Transporte (Descontada parcela do empregado)]])-2,0)*($G253-$H253)</f>
        <v>#NAME?</v>
      </c>
      <c r="AF253" s="22">
        <f>VLOOKUP($A253,tabCustoUnit[],COLUMN(CUSTO_GLOBAL[[#Headers],[Vale - Alimentação (Descontada parcela do empregado)]])-2,0)*($G253-$H253)</f>
        <v>582</v>
      </c>
      <c r="AG253" s="22">
        <f>VLOOKUP($A253,tabCustoUnit[],COLUMN(CUSTO_GLOBAL[[#Headers],[Cesta Básica]])-2,0)*($G253-$H253)</f>
        <v>0</v>
      </c>
      <c r="AH253" s="22">
        <f>VLOOKUP($A253,tabCustoUnit[],COLUMN(CUSTO_GLOBAL[[#Headers],[PAF]])-2,0)*($G253-$H253)</f>
        <v>51.86</v>
      </c>
      <c r="AI253" s="22">
        <f>VLOOKUP($A253,tabCustoUnit[],COLUMN(CUSTO_GLOBAL[[#Headers],[PQM]])-2,0)*($G253-$H253)</f>
        <v>0</v>
      </c>
      <c r="AJ253" s="22">
        <v>0</v>
      </c>
      <c r="AK253" s="22">
        <f>VLOOKUP($A253,tabCustoUnit[],COLUMN(CUSTO_GLOBAL[[#Headers],[Seguro de Vida]])-2,0)*($G253-$H253)</f>
        <v>3.36</v>
      </c>
      <c r="AL253" s="22">
        <f>VLOOKUP($A253,tabCustoUnit[],COLUMN(CUSTO_GLOBAL[[#Headers],[Despesas de Viagem]])-2,0)*($G253-$H253)</f>
        <v>0</v>
      </c>
      <c r="AM253" s="22" t="e">
        <f ca="1">VLOOKUP($A253,tabCustoUnit[],COLUMN(CUSTO_GLOBAL[[#Headers],[Submódulo 2.3]])-2,0)*($G253-$H253)</f>
        <v>#NAME?</v>
      </c>
      <c r="AN253" s="22" t="e">
        <f ca="1">VLOOKUP($A253,tabCustoUnit[],COLUMN(CUSTO_GLOBAL[[#Headers],[MÓDULO 2 - Total Encargos e Benefícios mensais e diários]])-2,0)*($G253-$H253)</f>
        <v>#NAME?</v>
      </c>
      <c r="AO253" s="22">
        <f>VLOOKUP($A253,tabCustoUnit[],COLUMN(CUSTO_GLOBAL[[#Headers],[Aviso Prévio Indenizado (API) e Reflexo do Aviso Prévio Indenizado]])-2,0)*($G253-$H253)</f>
        <v>23.819888151890432</v>
      </c>
      <c r="AP253" s="22">
        <f>VLOOKUP($A253,tabCustoUnit[],COLUMN(CUSTO_GLOBAL[[#Headers],[Incidência do FGTS sobre API e Reflexo do API]])-2,0)*($G253-$H253)</f>
        <v>1.9055910521512347</v>
      </c>
      <c r="AQ253" s="22">
        <f>VLOOKUP($A253,tabCustoUnit[],COLUMN(CUSTO_GLOBAL[[#Headers],[Multa Rescisória do FGTS sobre o Aviso Prévio Indenizado]])-2,0)*($G253-$H253)</f>
        <v>0.76223642086049392</v>
      </c>
      <c r="AR253" s="22">
        <f>VLOOKUP($A253,tabCustoUnit[],COLUMN(CUSTO_GLOBAL[[#Headers],[Aviso Prévio Trabalhado - APT]])-2,0)*($G253-$H253)</f>
        <v>11.889957100000002</v>
      </c>
      <c r="AS253" s="22">
        <f>VLOOKUP($A253,tabCustoUnit[],COLUMN(CUSTO_GLOBAL[[#Headers],[Incidência dos encargos do submódulo 2.1 sobre Aviso Prévio Trabalhado]])-2,0)*($G253-$H253)</f>
        <v>4.4944037838000011</v>
      </c>
      <c r="AT253" s="22">
        <f>VLOOKUP($A253,tabCustoUnit[],COLUMN(CUSTO_GLOBAL[[#Headers],[Multa Rescisória do FGTS]])-2,0)*($G253-$H253)</f>
        <v>103.87670456888887</v>
      </c>
      <c r="AU253" s="22">
        <f>VLOOKUP($A253,tabCustoUnit[],COLUMN(CUSTO_GLOBAL[[#Headers],[Indenização Adicional (Art. 9º da Lei nº 7.238/84)]])-2,0)*($G253-$H253)</f>
        <v>2.830942166666667</v>
      </c>
      <c r="AV253" s="22">
        <f>VLOOKUP($A253,tabCustoUnit[],COLUMN(CUSTO_GLOBAL[[#Headers],[MÓDULO 3 – PROVISÃO PARA RESCISÃO]])-2,0)*($G253-$H253)</f>
        <v>149.57972324425771</v>
      </c>
      <c r="AW253" s="22">
        <f>VLOOKUP($A253,tabCustoUnit[],COLUMN(CUSTO_GLOBAL[[#Headers],[Ausência por Doença]])-2,0)*($G253-$H253)</f>
        <v>28.686880622222219</v>
      </c>
      <c r="AX253" s="22">
        <f>VLOOKUP($A253,tabCustoUnit[],COLUMN(CUSTO_GLOBAL[[#Headers],[Ausências Legais]])-2,0)*($G253-$H253)</f>
        <v>6.8886259388888886</v>
      </c>
      <c r="AY253" s="22">
        <f>VLOOKUP($A253,tabCustoUnit[],COLUMN(CUSTO_GLOBAL[[#Headers],[Licença Paternidade]])-2,0)*($G253-$H253)</f>
        <v>0.58034314416666666</v>
      </c>
      <c r="AZ253" s="22">
        <f>VLOOKUP($A253,tabCustoUnit[],COLUMN(CUSTO_GLOBAL[[#Headers],[Ausência por Acidente de Trabalho]])-2,0)*($G253-$H253)</f>
        <v>0.70773554166666675</v>
      </c>
      <c r="BA253" s="22">
        <f>VLOOKUP($A253,tabCustoUnit[],COLUMN(CUSTO_GLOBAL[[#Headers],[Férias, Adicional de Férias e 13º  com empregada em gozo de Licença Maternidade]])-2,0)*($G253-$H253)</f>
        <v>4.4036878148148144</v>
      </c>
      <c r="BB253" s="22">
        <f>VLOOKUP($A253,tabCustoUnit[],COLUMN(CUSTO_GLOBAL[[#Headers],[Incidência do Submódulo 2.1 sobre Ausências Legais]])-2,0)*($G253-$H253)</f>
        <v>15.599029217345002</v>
      </c>
      <c r="BC253" s="22">
        <f>VLOOKUP($A253,tabCustoUnit[],COLUMN(CUSTO_GLOBAL[[#Headers],[Submódulo 4.1]])-2,0)*($G253-$H253)</f>
        <v>56.866302279104261</v>
      </c>
      <c r="BD253" s="22">
        <f>VLOOKUP($A253,tabCustoUnit[],COLUMN(CUSTO_GLOBAL[[#Headers],[Intervalo para Repouso ou Alimentação]])-2,0)*($G253-$H253)</f>
        <v>0</v>
      </c>
      <c r="BE253" s="22">
        <f>VLOOKUP($A253,tabCustoUnit[],COLUMN(CUSTO_GLOBAL[[#Headers],[Submódulo 4.2]])-2,0)*($G253-$H253)</f>
        <v>0</v>
      </c>
      <c r="BF253" s="22">
        <f>VLOOKUP($A253,tabCustoUnit[],COLUMN(CUSTO_GLOBAL[[#Headers],[Suspensão Temporária do Contrato de Trabalho]])-2,0)*($G253-$H253)</f>
        <v>0</v>
      </c>
      <c r="BG253" s="22">
        <f>VLOOKUP($A253,tabCustoUnit[],COLUMN(CUSTO_GLOBAL[[#Headers],[Submódulo 4.3]])-2,0)*($G253-$H253)</f>
        <v>0</v>
      </c>
      <c r="BH253" s="22">
        <f>VLOOKUP($A253,tabCustoUnit[],COLUMN(CUSTO_GLOBAL[[#Headers],[MÓDULO 4 – CUSTO DE REPOSIÇÃO DO PROFISSIONAL AUSENTE]])-2,0)*($G253-$H253)</f>
        <v>56.866302279104261</v>
      </c>
      <c r="BI253" s="22">
        <f>VLOOKUP($A253,tabCustoUnit[],COLUMN(CUSTO_GLOBAL[[#Headers],[Uniformes e EPIs]])-2,0)*($G253-$H253)</f>
        <v>56.642978962543395</v>
      </c>
      <c r="BJ253" s="22">
        <f>VLOOKUP($A253,tabCustoUnit[],COLUMN(CUSTO_GLOBAL[[#Headers],[Materiais de Consumo]])-2,0)*($G253-$H253)</f>
        <v>0</v>
      </c>
      <c r="BK253" s="22">
        <f>VLOOKUP($A253,tabCustoUnit[],COLUMN(CUSTO_GLOBAL[[#Headers],[Máquinas e Equipamentos (depreciação)]])-2,0)*($G253-$H253)</f>
        <v>0</v>
      </c>
      <c r="BL253" s="22">
        <f>VLOOKUP($A253,tabCustoUnit[],COLUMN(CUSTO_GLOBAL[[#Headers],[Produtos de Limpeza e Materiais de Higiene Pessoal]])-2,0)*($G253-$H253)</f>
        <v>0</v>
      </c>
      <c r="BM253" s="22">
        <f>VLOOKUP($A253,tabCustoUnit[],COLUMN(CUSTO_GLOBAL[[#Headers],[Outros (especificar)]])-2,0)*($G253-$H253)</f>
        <v>0</v>
      </c>
      <c r="BN253" s="22">
        <f>VLOOKUP($A253,tabCustoUnit[],COLUMN(CUSTO_GLOBAL[[#Headers],[MÓDULO 5 – INSUMOS DIVERSOS]])-2,0)*($G253-$H253)</f>
        <v>56.642978962543395</v>
      </c>
      <c r="BO253" s="22" t="e">
        <f ca="1">VLOOKUP($A253,tabCustoUnit[],COLUMN(CUSTO_GLOBAL[[#Headers],[TOTAL MÓDULOS 1+2+3+4+5]])-2,0)*($G253-$H253)</f>
        <v>#NAME?</v>
      </c>
      <c r="BP253" s="22" t="e">
        <f ca="1">VLOOKUP($A253,tabCustoUnit[],COLUMN(CUSTO_GLOBAL[[#Headers],[Custos Indiretos]])-2,0)*($G253-$H253)</f>
        <v>#NAME?</v>
      </c>
      <c r="BQ253" s="22" t="e">
        <f ca="1">VLOOKUP($A253,tabCustoUnit[],COLUMN(CUSTO_GLOBAL[[#Headers],[Lucro]])-2,0)*($G253-$H253)</f>
        <v>#NAME?</v>
      </c>
      <c r="BR253" s="26">
        <f>VLOOKUP($A253,tabCustoUnit[],COLUMN(CUSTO_GLOBAL[[#Headers],[COFINS]])-2,0)</f>
        <v>8.6609686609686695E-2</v>
      </c>
      <c r="BS253" s="26">
        <f>VLOOKUP($A253,tabCustoUnit[],COLUMN(CUSTO_GLOBAL[[#Headers],[PIS]])-2,0)</f>
        <v>1.880341880341882E-2</v>
      </c>
      <c r="BT253" s="28">
        <f>VLOOKUP($A253,tabCustoUnit[],COLUMN(CUSTO_GLOBAL[[#Headers],[ISS]])-2,0)</f>
        <v>0.03</v>
      </c>
      <c r="BU253" s="26">
        <f>VLOOKUP($A253,tabCustoUnit[],COLUMN(CUSTO_GLOBAL[[#Headers],[ISS (Conversão Alíquota s/ fatura)]])-2,0)</f>
        <v>3.4188034188034219E-2</v>
      </c>
      <c r="BV253" s="26">
        <f>VLOOKUP($A253,tabCustoUnit[],COLUMN(CUSTO_GLOBAL[[#Headers],[Resumo de Alíquotas (PIS+CONFINS+ISS)]])-2,0)</f>
        <v>0.1225</v>
      </c>
      <c r="BW253" s="138">
        <f>VLOOKUP($A253,tabCustoUnit[],COLUMN(CUSTO_GLOBAL[[#Headers],[PIS + COFINS + ISS (Total Conversão  Alíquota s/ Fatura)]])-2,0)</f>
        <v>0.13960113960113973</v>
      </c>
      <c r="BX253" s="22" t="e">
        <f ca="1">VLOOKUP($A253,tabCustoUnit[],COLUMN(CUSTO_GLOBAL[[#Headers],[Valor dos Tributos (ISS, PIS, CONFINS)]])-2,0)*($G253-$H253)</f>
        <v>#NAME?</v>
      </c>
      <c r="BY253" s="22" t="e">
        <f ca="1">VLOOKUP($A253,tabCustoUnit[],COLUMN(CUSTO_GLOBAL[[#Headers],[MÓDULO 6 – CUSTOS INDIRETOS, TRIBUTOS E LUCRO]])-2,0)*($G253-$H253)</f>
        <v>#NAME?</v>
      </c>
      <c r="BZ253" s="22" t="e">
        <f ca="1">VLOOKUP($A253,tabCustoUnit[],COLUMN(CUSTO_GLOBAL[[#Headers],[CUSTO TOTAL MENSAL]])-2,0)*($G253-$H253)</f>
        <v>#NAME?</v>
      </c>
      <c r="CA253" s="22" t="e">
        <f ca="1">CUSTO_GLOBAL[[#This Row],[CUSTO TOTAL MENSAL]]*12</f>
        <v>#NAME?</v>
      </c>
      <c r="CB253" s="24">
        <f>VLOOKUP($A253,tabCustoUnit[],COLUMN(CUSTO_GLOBAL[[#Headers],[ANO DA CCT]])-2,0)</f>
        <v>45658</v>
      </c>
      <c r="CC253" s="25" t="str">
        <f>VLOOKUP($A253,tabCustoUnit[],COLUMN(CUSTO_GLOBAL[[#Headers],[Nº DE PEDIDO DA CCT]])-2,0)</f>
        <v>-</v>
      </c>
      <c r="CD253" s="25" t="str">
        <f>VLOOKUP($A253,tabCustoUnit[],COLUMN(CUSTO_GLOBAL[[#Headers],[TERMO ADITIVO ALTERAÇÃO DA CCT]])-2,0)</f>
        <v>-</v>
      </c>
    </row>
    <row r="254" spans="1:82">
      <c r="A254" s="20" t="s">
        <v>1677</v>
      </c>
      <c r="B254" t="s">
        <v>1186</v>
      </c>
      <c r="C254" t="s">
        <v>319</v>
      </c>
      <c r="D254" t="s">
        <v>942</v>
      </c>
      <c r="E254" s="20" t="s">
        <v>1090</v>
      </c>
      <c r="F254" s="20" t="s">
        <v>120</v>
      </c>
      <c r="G254" s="20">
        <v>1</v>
      </c>
      <c r="H254" s="20">
        <v>0</v>
      </c>
      <c r="I254" s="21">
        <f>VLOOKUP($A254,tabCustoUnit[],COLUMN(CUSTO_GLOBAL[[#Headers],[Salário Base]])-2,0)*($G254-$H254)</f>
        <v>2316.2253000000001</v>
      </c>
      <c r="J254" s="21">
        <f>VLOOKUP($A254,tabCustoUnit[],COLUMN(CUSTO_GLOBAL[[#Headers],[Adicional Periculosidade]])-2,0)*($G254-$H254)</f>
        <v>0</v>
      </c>
      <c r="K254" s="21">
        <f>VLOOKUP($A254,tabCustoUnit[],COLUMN(CUSTO_GLOBAL[[#Headers],[Adicional Insalubridade]])-2,0)*($G254-$H254)</f>
        <v>0</v>
      </c>
      <c r="L254" s="21">
        <f>VLOOKUP($A254,tabCustoUnit[],COLUMN(CUSTO_GLOBAL[[#Headers],[Adicional Noturno]])-2,0)*($G254-$H254)</f>
        <v>0</v>
      </c>
      <c r="M254" s="21">
        <f>VLOOKUP($A254,tabCustoUnit[],COLUMN(CUSTO_GLOBAL[[#Headers],[Adicional Motorista II (Gratificação)]])-2,0)*($G254-$H254)</f>
        <v>0</v>
      </c>
      <c r="N254" s="21">
        <f>VLOOKUP($A254,tabCustoUnit[],COLUMN(CUSTO_GLOBAL[[#Headers],[Adicional de Sobreaviso]])-2,0)*($G254-$H254)</f>
        <v>0</v>
      </c>
      <c r="O254" s="21">
        <f>VLOOKUP($A254,tabCustoUnit[],COLUMN(CUSTO_GLOBAL[[#Headers],[Horas Extras TI]])-2,0)*($G254-$H254)</f>
        <v>0</v>
      </c>
      <c r="P254" s="21">
        <f>VLOOKUP($A254,tabCustoUnit[],COLUMN(CUSTO_GLOBAL[[#Headers],[Adicional de Acúmulo de função]])-2,0)*($G254-$H254)</f>
        <v>0</v>
      </c>
      <c r="Q254" s="21">
        <f>VLOOKUP($A254,tabCustoUnit[],COLUMN(CUSTO_GLOBAL[[#Headers],[MODULO 1 - REMUNERAÇÃO ]])-2,0)*($G254-$H254)</f>
        <v>2316.2253000000001</v>
      </c>
      <c r="R254" s="21">
        <f>VLOOKUP($A254,tabCustoUnit[],COLUMN(CUSTO_GLOBAL[[#Headers],[INSS]])-2,0)*($G254-$H254)</f>
        <v>463.24506000000002</v>
      </c>
      <c r="S254" s="21">
        <f>VLOOKUP($A254,tabCustoUnit[],COLUMN(CUSTO_GLOBAL[[#Headers],[SESI OU SESC]])-2,0)*($G254-$H254)</f>
        <v>34.743379499999996</v>
      </c>
      <c r="T254" s="21">
        <f>VLOOKUP($A254,tabCustoUnit[],COLUMN(CUSTO_GLOBAL[[#Headers],[SENAI OU SENAC]])-2,0)*($G254-$H254)</f>
        <v>23.162253</v>
      </c>
      <c r="U254" s="21">
        <f>VLOOKUP($A254,tabCustoUnit[],COLUMN(CUSTO_GLOBAL[[#Headers],[INCRA]])-2,0)*($G254-$H254)</f>
        <v>4.6324506000000003</v>
      </c>
      <c r="V254" s="21">
        <f>VLOOKUP($A254,tabCustoUnit[],COLUMN(CUSTO_GLOBAL[[#Headers],[Salário Educação]])-2,0)*($G254-$H254)</f>
        <v>57.905632500000003</v>
      </c>
      <c r="W254" s="21">
        <f>VLOOKUP($A254,tabCustoUnit[],COLUMN(CUSTO_GLOBAL[[#Headers],[FGTS]])-2,0)*($G254-$H254)</f>
        <v>185.298024</v>
      </c>
      <c r="X254" s="21">
        <f>VLOOKUP($A254,tabCustoUnit[],COLUMN(CUSTO_GLOBAL[[#Headers],[RAT Ajustado]])-2,0)*($G254-$H254)</f>
        <v>92.649011999999999</v>
      </c>
      <c r="Y254" s="21">
        <f>VLOOKUP($A254,tabCustoUnit[],COLUMN(CUSTO_GLOBAL[[#Headers],[SEBRAE]])-2,0)*($G254-$H254)</f>
        <v>13.897351800000001</v>
      </c>
      <c r="Z254" s="21">
        <f>VLOOKUP($A254,tabCustoUnit[],COLUMN(CUSTO_GLOBAL[[#Headers],[Submódulo 2.1]])-2,0)*($G254-$H254)</f>
        <v>875.53316340000003</v>
      </c>
      <c r="AA254" s="21">
        <f>VLOOKUP($A254,tabCustoUnit[],COLUMN(CUSTO_GLOBAL[[#Headers],[13º salário (titular)]])-2,0)*($G254-$H254)</f>
        <v>193.01877500000001</v>
      </c>
      <c r="AB254" s="21">
        <f>VLOOKUP($A254,tabCustoUnit[],COLUMN(CUSTO_GLOBAL[[#Headers],[Férias e Adicional de Férias (titular)]])-2,0)*($G254-$H254)</f>
        <v>257.35836666666665</v>
      </c>
      <c r="AC254" s="21">
        <f>VLOOKUP($A254,tabCustoUnit[],COLUMN(CUSTO_GLOBAL[[#Headers],[Incidência do Submódulo 2.1 sobre 13º Salário, Férias e Adicional de Férias]])-2,0)*($G254-$H254)</f>
        <v>170.24255955000001</v>
      </c>
      <c r="AD254" s="21">
        <f>VLOOKUP($A254,tabCustoUnit[],COLUMN(CUSTO_GLOBAL[[#Headers],[Submódulo 2.2]])-2,0)*($G254-$H254)</f>
        <v>620.61970121666673</v>
      </c>
      <c r="AE254" s="22" t="e">
        <f ca="1">VLOOKUP($A254,tabCustoUnit[],COLUMN(CUSTO_GLOBAL[[#Headers],[Vale - Transporte (Descontada parcela do empregado)]])-2,0)*($G254-$H254)</f>
        <v>#NAME?</v>
      </c>
      <c r="AF254" s="22">
        <f>VLOOKUP($A254,tabCustoUnit[],COLUMN(CUSTO_GLOBAL[[#Headers],[Vale - Alimentação (Descontada parcela do empregado)]])-2,0)*($G254-$H254)</f>
        <v>582</v>
      </c>
      <c r="AG254" s="22">
        <f>VLOOKUP($A254,tabCustoUnit[],COLUMN(CUSTO_GLOBAL[[#Headers],[Cesta Básica]])-2,0)*($G254-$H254)</f>
        <v>0</v>
      </c>
      <c r="AH254" s="22">
        <f>VLOOKUP($A254,tabCustoUnit[],COLUMN(CUSTO_GLOBAL[[#Headers],[PAF]])-2,0)*($G254-$H254)</f>
        <v>0</v>
      </c>
      <c r="AI254" s="22">
        <f>VLOOKUP($A254,tabCustoUnit[],COLUMN(CUSTO_GLOBAL[[#Headers],[PQM]])-2,0)*($G254-$H254)</f>
        <v>0</v>
      </c>
      <c r="AJ254" s="22">
        <v>0</v>
      </c>
      <c r="AK254" s="22">
        <f>VLOOKUP($A254,tabCustoUnit[],COLUMN(CUSTO_GLOBAL[[#Headers],[Seguro de Vida]])-2,0)*($G254-$H254)</f>
        <v>3.36</v>
      </c>
      <c r="AL254" s="22">
        <f>VLOOKUP($A254,tabCustoUnit[],COLUMN(CUSTO_GLOBAL[[#Headers],[Despesas de Viagem]])-2,0)*($G254-$H254)</f>
        <v>0</v>
      </c>
      <c r="AM254" s="22" t="e">
        <f ca="1">VLOOKUP($A254,tabCustoUnit[],COLUMN(CUSTO_GLOBAL[[#Headers],[Submódulo 2.3]])-2,0)*($G254-$H254)</f>
        <v>#NAME?</v>
      </c>
      <c r="AN254" s="22" t="e">
        <f ca="1">VLOOKUP($A254,tabCustoUnit[],COLUMN(CUSTO_GLOBAL[[#Headers],[MÓDULO 2 - Total Encargos e Benefícios mensais e diários]])-2,0)*($G254-$H254)</f>
        <v>#NAME?</v>
      </c>
      <c r="AO254" s="22">
        <f>VLOOKUP($A254,tabCustoUnit[],COLUMN(CUSTO_GLOBAL[[#Headers],[Aviso Prévio Indenizado (API) e Reflexo do Aviso Prévio Indenizado]])-2,0)*($G254-$H254)</f>
        <v>16.240832065914354</v>
      </c>
      <c r="AP254" s="22">
        <f>VLOOKUP($A254,tabCustoUnit[],COLUMN(CUSTO_GLOBAL[[#Headers],[Incidência do FGTS sobre API e Reflexo do API]])-2,0)*($G254-$H254)</f>
        <v>1.2992665652731483</v>
      </c>
      <c r="AQ254" s="22">
        <f>VLOOKUP($A254,tabCustoUnit[],COLUMN(CUSTO_GLOBAL[[#Headers],[Multa Rescisória do FGTS sobre o Aviso Prévio Indenizado]])-2,0)*($G254-$H254)</f>
        <v>0.51970662610925933</v>
      </c>
      <c r="AR254" s="22">
        <f>VLOOKUP($A254,tabCustoUnit[],COLUMN(CUSTO_GLOBAL[[#Headers],[Aviso Prévio Trabalhado - APT]])-2,0)*($G254-$H254)</f>
        <v>8.106788550000001</v>
      </c>
      <c r="AS254" s="22">
        <f>VLOOKUP($A254,tabCustoUnit[],COLUMN(CUSTO_GLOBAL[[#Headers],[Incidência dos encargos do submódulo 2.1 sobre Aviso Prévio Trabalhado]])-2,0)*($G254-$H254)</f>
        <v>3.0643660719000008</v>
      </c>
      <c r="AT254" s="22">
        <f>VLOOKUP($A254,tabCustoUnit[],COLUMN(CUSTO_GLOBAL[[#Headers],[Multa Rescisória do FGTS]])-2,0)*($G254-$H254)</f>
        <v>70.825022506666656</v>
      </c>
      <c r="AU254" s="22">
        <f>VLOOKUP($A254,tabCustoUnit[],COLUMN(CUSTO_GLOBAL[[#Headers],[Indenização Adicional (Art. 9º da Lei nº 7.238/84)]])-2,0)*($G254-$H254)</f>
        <v>1.9301877500000002</v>
      </c>
      <c r="AV254" s="22">
        <f>VLOOKUP($A254,tabCustoUnit[],COLUMN(CUSTO_GLOBAL[[#Headers],[MÓDULO 3 – PROVISÃO PARA RESCISÃO]])-2,0)*($G254-$H254)</f>
        <v>101.98617013586342</v>
      </c>
      <c r="AW254" s="22">
        <f>VLOOKUP($A254,tabCustoUnit[],COLUMN(CUSTO_GLOBAL[[#Headers],[Ausência por Doença]])-2,0)*($G254-$H254)</f>
        <v>19.559235866666665</v>
      </c>
      <c r="AX254" s="22">
        <f>VLOOKUP($A254,tabCustoUnit[],COLUMN(CUSTO_GLOBAL[[#Headers],[Ausências Legais]])-2,0)*($G254-$H254)</f>
        <v>4.6967901916666666</v>
      </c>
      <c r="AY254" s="22">
        <f>VLOOKUP($A254,tabCustoUnit[],COLUMN(CUSTO_GLOBAL[[#Headers],[Licença Paternidade]])-2,0)*($G254-$H254)</f>
        <v>0.39568848875000001</v>
      </c>
      <c r="AZ254" s="22">
        <f>VLOOKUP($A254,tabCustoUnit[],COLUMN(CUSTO_GLOBAL[[#Headers],[Ausência por Acidente de Trabalho]])-2,0)*($G254-$H254)</f>
        <v>0.48254693750000005</v>
      </c>
      <c r="BA254" s="22">
        <f>VLOOKUP($A254,tabCustoUnit[],COLUMN(CUSTO_GLOBAL[[#Headers],[Férias, Adicional de Férias e 13º  com empregada em gozo de Licença Maternidade]])-2,0)*($G254-$H254)</f>
        <v>3.0025142777777778</v>
      </c>
      <c r="BB254" s="22">
        <f>VLOOKUP($A254,tabCustoUnit[],COLUMN(CUSTO_GLOBAL[[#Headers],[Incidência do Submódulo 2.1 sobre Ausências Legais]])-2,0)*($G254-$H254)</f>
        <v>10.635701238172501</v>
      </c>
      <c r="BC254" s="22">
        <f>VLOOKUP($A254,tabCustoUnit[],COLUMN(CUSTO_GLOBAL[[#Headers],[Submódulo 4.1]])-2,0)*($G254-$H254)</f>
        <v>38.772477000533613</v>
      </c>
      <c r="BD254" s="22">
        <f>VLOOKUP($A254,tabCustoUnit[],COLUMN(CUSTO_GLOBAL[[#Headers],[Intervalo para Repouso ou Alimentação]])-2,0)*($G254-$H254)</f>
        <v>0</v>
      </c>
      <c r="BE254" s="22">
        <f>VLOOKUP($A254,tabCustoUnit[],COLUMN(CUSTO_GLOBAL[[#Headers],[Submódulo 4.2]])-2,0)*($G254-$H254)</f>
        <v>0</v>
      </c>
      <c r="BF254" s="22">
        <f>VLOOKUP($A254,tabCustoUnit[],COLUMN(CUSTO_GLOBAL[[#Headers],[Suspensão Temporária do Contrato de Trabalho]])-2,0)*($G254-$H254)</f>
        <v>0</v>
      </c>
      <c r="BG254" s="22">
        <f>VLOOKUP($A254,tabCustoUnit[],COLUMN(CUSTO_GLOBAL[[#Headers],[Submódulo 4.3]])-2,0)*($G254-$H254)</f>
        <v>0</v>
      </c>
      <c r="BH254" s="22">
        <f>VLOOKUP($A254,tabCustoUnit[],COLUMN(CUSTO_GLOBAL[[#Headers],[MÓDULO 4 – CUSTO DE REPOSIÇÃO DO PROFISSIONAL AUSENTE]])-2,0)*($G254-$H254)</f>
        <v>38.772477000533613</v>
      </c>
      <c r="BI254" s="22">
        <f>VLOOKUP($A254,tabCustoUnit[],COLUMN(CUSTO_GLOBAL[[#Headers],[Uniformes e EPIs]])-2,0)*($G254-$H254)</f>
        <v>56.642978962543395</v>
      </c>
      <c r="BJ254" s="22">
        <f>VLOOKUP($A254,tabCustoUnit[],COLUMN(CUSTO_GLOBAL[[#Headers],[Materiais de Consumo]])-2,0)*($G254-$H254)</f>
        <v>0</v>
      </c>
      <c r="BK254" s="22">
        <f>VLOOKUP($A254,tabCustoUnit[],COLUMN(CUSTO_GLOBAL[[#Headers],[Máquinas e Equipamentos (depreciação)]])-2,0)*($G254-$H254)</f>
        <v>0</v>
      </c>
      <c r="BL254" s="22">
        <f>VLOOKUP($A254,tabCustoUnit[],COLUMN(CUSTO_GLOBAL[[#Headers],[Produtos de Limpeza e Materiais de Higiene Pessoal]])-2,0)*($G254-$H254)</f>
        <v>0</v>
      </c>
      <c r="BM254" s="22">
        <f>VLOOKUP($A254,tabCustoUnit[],COLUMN(CUSTO_GLOBAL[[#Headers],[Outros (especificar)]])-2,0)*($G254-$H254)</f>
        <v>0</v>
      </c>
      <c r="BN254" s="22">
        <f>VLOOKUP($A254,tabCustoUnit[],COLUMN(CUSTO_GLOBAL[[#Headers],[MÓDULO 5 – INSUMOS DIVERSOS]])-2,0)*($G254-$H254)</f>
        <v>56.642978962543395</v>
      </c>
      <c r="BO254" s="22" t="e">
        <f ca="1">VLOOKUP($A254,tabCustoUnit[],COLUMN(CUSTO_GLOBAL[[#Headers],[TOTAL MÓDULOS 1+2+3+4+5]])-2,0)*($G254-$H254)</f>
        <v>#NAME?</v>
      </c>
      <c r="BP254" s="22" t="e">
        <f ca="1">VLOOKUP($A254,tabCustoUnit[],COLUMN(CUSTO_GLOBAL[[#Headers],[Custos Indiretos]])-2,0)*($G254-$H254)</f>
        <v>#NAME?</v>
      </c>
      <c r="BQ254" s="22" t="e">
        <f ca="1">VLOOKUP($A254,tabCustoUnit[],COLUMN(CUSTO_GLOBAL[[#Headers],[Lucro]])-2,0)*($G254-$H254)</f>
        <v>#NAME?</v>
      </c>
      <c r="BR254" s="26">
        <f>VLOOKUP($A254,tabCustoUnit[],COLUMN(CUSTO_GLOBAL[[#Headers],[COFINS]])-2,0)</f>
        <v>8.5633802816901458E-2</v>
      </c>
      <c r="BS254" s="26">
        <f>VLOOKUP($A254,tabCustoUnit[],COLUMN(CUSTO_GLOBAL[[#Headers],[PIS]])-2,0)</f>
        <v>1.8591549295774657E-2</v>
      </c>
      <c r="BT254" s="28">
        <f>VLOOKUP($A254,tabCustoUnit[],COLUMN(CUSTO_GLOBAL[[#Headers],[ISS]])-2,0)</f>
        <v>0.02</v>
      </c>
      <c r="BU254" s="26">
        <f>VLOOKUP($A254,tabCustoUnit[],COLUMN(CUSTO_GLOBAL[[#Headers],[ISS (Conversão Alíquota s/ fatura)]])-2,0)</f>
        <v>2.2535211267605645E-2</v>
      </c>
      <c r="BV254" s="26">
        <f>VLOOKUP($A254,tabCustoUnit[],COLUMN(CUSTO_GLOBAL[[#Headers],[Resumo de Alíquotas (PIS+CONFINS+ISS)]])-2,0)</f>
        <v>0.1125</v>
      </c>
      <c r="BW254" s="138">
        <f>VLOOKUP($A254,tabCustoUnit[],COLUMN(CUSTO_GLOBAL[[#Headers],[PIS + COFINS + ISS (Total Conversão  Alíquota s/ Fatura)]])-2,0)</f>
        <v>0.12676056338028174</v>
      </c>
      <c r="BX254" s="22" t="e">
        <f ca="1">VLOOKUP($A254,tabCustoUnit[],COLUMN(CUSTO_GLOBAL[[#Headers],[Valor dos Tributos (ISS, PIS, CONFINS)]])-2,0)*($G254-$H254)</f>
        <v>#NAME?</v>
      </c>
      <c r="BY254" s="22" t="e">
        <f ca="1">VLOOKUP($A254,tabCustoUnit[],COLUMN(CUSTO_GLOBAL[[#Headers],[MÓDULO 6 – CUSTOS INDIRETOS, TRIBUTOS E LUCRO]])-2,0)*($G254-$H254)</f>
        <v>#NAME?</v>
      </c>
      <c r="BZ254" s="22" t="e">
        <f ca="1">VLOOKUP($A254,tabCustoUnit[],COLUMN(CUSTO_GLOBAL[[#Headers],[CUSTO TOTAL MENSAL]])-2,0)*($G254-$H254)</f>
        <v>#NAME?</v>
      </c>
      <c r="CA254" s="22" t="e">
        <f ca="1">CUSTO_GLOBAL[[#This Row],[CUSTO TOTAL MENSAL]]*12</f>
        <v>#NAME?</v>
      </c>
      <c r="CB254" s="24">
        <f>VLOOKUP($A254,tabCustoUnit[],COLUMN(CUSTO_GLOBAL[[#Headers],[ANO DA CCT]])-2,0)</f>
        <v>45658</v>
      </c>
      <c r="CC254" s="25" t="str">
        <f>VLOOKUP($A254,tabCustoUnit[],COLUMN(CUSTO_GLOBAL[[#Headers],[Nº DE PEDIDO DA CCT]])-2,0)</f>
        <v>-</v>
      </c>
      <c r="CD254" s="25" t="str">
        <f>VLOOKUP($A254,tabCustoUnit[],COLUMN(CUSTO_GLOBAL[[#Headers],[TERMO ADITIVO ALTERAÇÃO DA CCT]])-2,0)</f>
        <v>-</v>
      </c>
    </row>
    <row r="255" spans="1:82">
      <c r="A255" s="20" t="s">
        <v>1502</v>
      </c>
      <c r="B255" t="s">
        <v>1187</v>
      </c>
      <c r="C255" t="s">
        <v>200</v>
      </c>
      <c r="D255" t="s">
        <v>961</v>
      </c>
      <c r="E255" s="20" t="s">
        <v>1090</v>
      </c>
      <c r="F255" s="20" t="s">
        <v>120</v>
      </c>
      <c r="G255" s="20">
        <v>1</v>
      </c>
      <c r="H255" s="20">
        <v>0</v>
      </c>
      <c r="I255" s="21">
        <f>VLOOKUP($A255,tabCustoUnit[],COLUMN(CUSTO_GLOBAL[[#Headers],[Salário Base]])-2,0)*($G255-$H255)</f>
        <v>1596.2737999999999</v>
      </c>
      <c r="J255" s="21">
        <f>VLOOKUP($A255,tabCustoUnit[],COLUMN(CUSTO_GLOBAL[[#Headers],[Adicional Periculosidade]])-2,0)*($G255-$H255)</f>
        <v>0</v>
      </c>
      <c r="K255" s="21">
        <f>VLOOKUP($A255,tabCustoUnit[],COLUMN(CUSTO_GLOBAL[[#Headers],[Adicional Insalubridade]])-2,0)*($G255-$H255)</f>
        <v>0</v>
      </c>
      <c r="L255" s="21">
        <f>VLOOKUP($A255,tabCustoUnit[],COLUMN(CUSTO_GLOBAL[[#Headers],[Adicional Noturno]])-2,0)*($G255-$H255)</f>
        <v>0</v>
      </c>
      <c r="M255" s="21">
        <f>VLOOKUP($A255,tabCustoUnit[],COLUMN(CUSTO_GLOBAL[[#Headers],[Adicional Motorista II (Gratificação)]])-2,0)*($G255-$H255)</f>
        <v>0</v>
      </c>
      <c r="N255" s="21">
        <f>VLOOKUP($A255,tabCustoUnit[],COLUMN(CUSTO_GLOBAL[[#Headers],[Adicional de Sobreaviso]])-2,0)*($G255-$H255)</f>
        <v>0</v>
      </c>
      <c r="O255" s="21">
        <f>VLOOKUP($A255,tabCustoUnit[],COLUMN(CUSTO_GLOBAL[[#Headers],[Horas Extras TI]])-2,0)*($G255-$H255)</f>
        <v>0</v>
      </c>
      <c r="P255" s="21">
        <f>VLOOKUP($A255,tabCustoUnit[],COLUMN(CUSTO_GLOBAL[[#Headers],[Adicional de Acúmulo de função]])-2,0)*($G255-$H255)</f>
        <v>0</v>
      </c>
      <c r="Q255" s="21">
        <f>VLOOKUP($A255,tabCustoUnit[],COLUMN(CUSTO_GLOBAL[[#Headers],[MODULO 1 - REMUNERAÇÃO ]])-2,0)*($G255-$H255)</f>
        <v>1596.2737999999999</v>
      </c>
      <c r="R255" s="21">
        <f>VLOOKUP($A255,tabCustoUnit[],COLUMN(CUSTO_GLOBAL[[#Headers],[INSS]])-2,0)*($G255-$H255)</f>
        <v>319.25476000000003</v>
      </c>
      <c r="S255" s="21">
        <f>VLOOKUP($A255,tabCustoUnit[],COLUMN(CUSTO_GLOBAL[[#Headers],[SESI OU SESC]])-2,0)*($G255-$H255)</f>
        <v>23.944106999999999</v>
      </c>
      <c r="T255" s="21">
        <f>VLOOKUP($A255,tabCustoUnit[],COLUMN(CUSTO_GLOBAL[[#Headers],[SENAI OU SENAC]])-2,0)*($G255-$H255)</f>
        <v>15.962738</v>
      </c>
      <c r="U255" s="21">
        <f>VLOOKUP($A255,tabCustoUnit[],COLUMN(CUSTO_GLOBAL[[#Headers],[INCRA]])-2,0)*($G255-$H255)</f>
        <v>3.1925476000000002</v>
      </c>
      <c r="V255" s="21">
        <f>VLOOKUP($A255,tabCustoUnit[],COLUMN(CUSTO_GLOBAL[[#Headers],[Salário Educação]])-2,0)*($G255-$H255)</f>
        <v>39.906845000000004</v>
      </c>
      <c r="W255" s="21">
        <f>VLOOKUP($A255,tabCustoUnit[],COLUMN(CUSTO_GLOBAL[[#Headers],[FGTS]])-2,0)*($G255-$H255)</f>
        <v>127.701904</v>
      </c>
      <c r="X255" s="21">
        <f>VLOOKUP($A255,tabCustoUnit[],COLUMN(CUSTO_GLOBAL[[#Headers],[RAT Ajustado]])-2,0)*($G255-$H255)</f>
        <v>63.850951999999999</v>
      </c>
      <c r="Y255" s="21">
        <f>VLOOKUP($A255,tabCustoUnit[],COLUMN(CUSTO_GLOBAL[[#Headers],[SEBRAE]])-2,0)*($G255-$H255)</f>
        <v>9.5776427999999996</v>
      </c>
      <c r="Z255" s="21">
        <f>VLOOKUP($A255,tabCustoUnit[],COLUMN(CUSTO_GLOBAL[[#Headers],[Submódulo 2.1]])-2,0)*($G255-$H255)</f>
        <v>603.39149640000005</v>
      </c>
      <c r="AA255" s="21">
        <f>VLOOKUP($A255,tabCustoUnit[],COLUMN(CUSTO_GLOBAL[[#Headers],[13º salário (titular)]])-2,0)*($G255-$H255)</f>
        <v>133.02281666666664</v>
      </c>
      <c r="AB255" s="21">
        <f>VLOOKUP($A255,tabCustoUnit[],COLUMN(CUSTO_GLOBAL[[#Headers],[Férias e Adicional de Férias (titular)]])-2,0)*($G255-$H255)</f>
        <v>177.36375555555554</v>
      </c>
      <c r="AC255" s="21">
        <f>VLOOKUP($A255,tabCustoUnit[],COLUMN(CUSTO_GLOBAL[[#Headers],[Incidência do Submódulo 2.1 sobre 13º Salário, Férias e Adicional de Férias]])-2,0)*($G255-$H255)</f>
        <v>117.3261243</v>
      </c>
      <c r="AD255" s="21">
        <f>VLOOKUP($A255,tabCustoUnit[],COLUMN(CUSTO_GLOBAL[[#Headers],[Submódulo 2.2]])-2,0)*($G255-$H255)</f>
        <v>427.71269652222219</v>
      </c>
      <c r="AE255" s="22" t="e">
        <f ca="1">VLOOKUP($A255,tabCustoUnit[],COLUMN(CUSTO_GLOBAL[[#Headers],[Vale - Transporte (Descontada parcela do empregado)]])-2,0)*($G255-$H255)</f>
        <v>#NAME?</v>
      </c>
      <c r="AF255" s="22">
        <f>VLOOKUP($A255,tabCustoUnit[],COLUMN(CUSTO_GLOBAL[[#Headers],[Vale - Alimentação (Descontada parcela do empregado)]])-2,0)*($G255-$H255)</f>
        <v>582</v>
      </c>
      <c r="AG255" s="22">
        <f>VLOOKUP($A255,tabCustoUnit[],COLUMN(CUSTO_GLOBAL[[#Headers],[Cesta Básica]])-2,0)*($G255-$H255)</f>
        <v>0</v>
      </c>
      <c r="AH255" s="22">
        <f>VLOOKUP($A255,tabCustoUnit[],COLUMN(CUSTO_GLOBAL[[#Headers],[PAF]])-2,0)*($G255-$H255)</f>
        <v>0</v>
      </c>
      <c r="AI255" s="22">
        <f>VLOOKUP($A255,tabCustoUnit[],COLUMN(CUSTO_GLOBAL[[#Headers],[PQM]])-2,0)*($G255-$H255)</f>
        <v>0</v>
      </c>
      <c r="AJ255" s="22">
        <v>0</v>
      </c>
      <c r="AK255" s="22">
        <f>VLOOKUP($A255,tabCustoUnit[],COLUMN(CUSTO_GLOBAL[[#Headers],[Seguro de Vida]])-2,0)*($G255-$H255)</f>
        <v>3.36</v>
      </c>
      <c r="AL255" s="22">
        <f>VLOOKUP($A255,tabCustoUnit[],COLUMN(CUSTO_GLOBAL[[#Headers],[Despesas de Viagem]])-2,0)*($G255-$H255)</f>
        <v>0</v>
      </c>
      <c r="AM255" s="22" t="e">
        <f ca="1">VLOOKUP($A255,tabCustoUnit[],COLUMN(CUSTO_GLOBAL[[#Headers],[Submódulo 2.3]])-2,0)*($G255-$H255)</f>
        <v>#NAME?</v>
      </c>
      <c r="AN255" s="22" t="e">
        <f ca="1">VLOOKUP($A255,tabCustoUnit[],COLUMN(CUSTO_GLOBAL[[#Headers],[MÓDULO 2 - Total Encargos e Benefícios mensais e diários]])-2,0)*($G255-$H255)</f>
        <v>#NAME?</v>
      </c>
      <c r="AO255" s="22">
        <f>VLOOKUP($A255,tabCustoUnit[],COLUMN(CUSTO_GLOBAL[[#Headers],[Aviso Prévio Indenizado (API) e Reflexo do Aviso Prévio Indenizado]])-2,0)*($G255-$H255)</f>
        <v>11.192699914390431</v>
      </c>
      <c r="AP255" s="22">
        <f>VLOOKUP($A255,tabCustoUnit[],COLUMN(CUSTO_GLOBAL[[#Headers],[Incidência do FGTS sobre API e Reflexo do API]])-2,0)*($G255-$H255)</f>
        <v>0.89541599315123466</v>
      </c>
      <c r="AQ255" s="22">
        <f>VLOOKUP($A255,tabCustoUnit[],COLUMN(CUSTO_GLOBAL[[#Headers],[Multa Rescisória do FGTS sobre o Aviso Prévio Indenizado]])-2,0)*($G255-$H255)</f>
        <v>0.35816639726049387</v>
      </c>
      <c r="AR255" s="22">
        <f>VLOOKUP($A255,tabCustoUnit[],COLUMN(CUSTO_GLOBAL[[#Headers],[Aviso Prévio Trabalhado - APT]])-2,0)*($G255-$H255)</f>
        <v>5.5869583000000009</v>
      </c>
      <c r="AS255" s="22">
        <f>VLOOKUP($A255,tabCustoUnit[],COLUMN(CUSTO_GLOBAL[[#Headers],[Incidência dos encargos do submódulo 2.1 sobre Aviso Prévio Trabalhado]])-2,0)*($G255-$H255)</f>
        <v>2.1118702374000007</v>
      </c>
      <c r="AT255" s="22">
        <f>VLOOKUP($A255,tabCustoUnit[],COLUMN(CUSTO_GLOBAL[[#Headers],[Multa Rescisória do FGTS]])-2,0)*($G255-$H255)</f>
        <v>48.810505528888882</v>
      </c>
      <c r="AU255" s="22">
        <f>VLOOKUP($A255,tabCustoUnit[],COLUMN(CUSTO_GLOBAL[[#Headers],[Indenização Adicional (Art. 9º da Lei nº 7.238/84)]])-2,0)*($G255-$H255)</f>
        <v>1.3302281666666667</v>
      </c>
      <c r="AV255" s="22">
        <f>VLOOKUP($A255,tabCustoUnit[],COLUMN(CUSTO_GLOBAL[[#Headers],[MÓDULO 3 – PROVISÃO PARA RESCISÃO]])-2,0)*($G255-$H255)</f>
        <v>70.285844537757711</v>
      </c>
      <c r="AW255" s="22">
        <f>VLOOKUP($A255,tabCustoUnit[],COLUMN(CUSTO_GLOBAL[[#Headers],[Ausência por Doença]])-2,0)*($G255-$H255)</f>
        <v>13.479645422222221</v>
      </c>
      <c r="AX255" s="22">
        <f>VLOOKUP($A255,tabCustoUnit[],COLUMN(CUSTO_GLOBAL[[#Headers],[Ausências Legais]])-2,0)*($G255-$H255)</f>
        <v>3.2368885388888886</v>
      </c>
      <c r="AY255" s="22">
        <f>VLOOKUP($A255,tabCustoUnit[],COLUMN(CUSTO_GLOBAL[[#Headers],[Licença Paternidade]])-2,0)*($G255-$H255)</f>
        <v>0.27269677416666666</v>
      </c>
      <c r="AZ255" s="22">
        <f>VLOOKUP($A255,tabCustoUnit[],COLUMN(CUSTO_GLOBAL[[#Headers],[Ausência por Acidente de Trabalho]])-2,0)*($G255-$H255)</f>
        <v>0.33255704166666666</v>
      </c>
      <c r="BA255" s="22">
        <f>VLOOKUP($A255,tabCustoUnit[],COLUMN(CUSTO_GLOBAL[[#Headers],[Férias, Adicional de Férias e 13º  com empregada em gozo de Licença Maternidade]])-2,0)*($G255-$H255)</f>
        <v>2.0692438148148145</v>
      </c>
      <c r="BB255" s="22">
        <f>VLOOKUP($A255,tabCustoUnit[],COLUMN(CUSTO_GLOBAL[[#Headers],[Incidência do Submódulo 2.1 sobre Ausências Legais]])-2,0)*($G255-$H255)</f>
        <v>7.3298099416850011</v>
      </c>
      <c r="BC255" s="22">
        <f>VLOOKUP($A255,tabCustoUnit[],COLUMN(CUSTO_GLOBAL[[#Headers],[Submódulo 4.1]])-2,0)*($G255-$H255)</f>
        <v>26.720841533444265</v>
      </c>
      <c r="BD255" s="22">
        <f>VLOOKUP($A255,tabCustoUnit[],COLUMN(CUSTO_GLOBAL[[#Headers],[Intervalo para Repouso ou Alimentação]])-2,0)*($G255-$H255)</f>
        <v>0</v>
      </c>
      <c r="BE255" s="22">
        <f>VLOOKUP($A255,tabCustoUnit[],COLUMN(CUSTO_GLOBAL[[#Headers],[Submódulo 4.2]])-2,0)*($G255-$H255)</f>
        <v>0</v>
      </c>
      <c r="BF255" s="22">
        <f>VLOOKUP($A255,tabCustoUnit[],COLUMN(CUSTO_GLOBAL[[#Headers],[Suspensão Temporária do Contrato de Trabalho]])-2,0)*($G255-$H255)</f>
        <v>0</v>
      </c>
      <c r="BG255" s="22">
        <f>VLOOKUP($A255,tabCustoUnit[],COLUMN(CUSTO_GLOBAL[[#Headers],[Submódulo 4.3]])-2,0)*($G255-$H255)</f>
        <v>0</v>
      </c>
      <c r="BH255" s="22">
        <f>VLOOKUP($A255,tabCustoUnit[],COLUMN(CUSTO_GLOBAL[[#Headers],[MÓDULO 4 – CUSTO DE REPOSIÇÃO DO PROFISSIONAL AUSENTE]])-2,0)*($G255-$H255)</f>
        <v>26.720841533444265</v>
      </c>
      <c r="BI255" s="22">
        <f>VLOOKUP($A255,tabCustoUnit[],COLUMN(CUSTO_GLOBAL[[#Headers],[Uniformes e EPIs]])-2,0)*($G255-$H255)</f>
        <v>56.141713661989918</v>
      </c>
      <c r="BJ255" s="22">
        <f>VLOOKUP($A255,tabCustoUnit[],COLUMN(CUSTO_GLOBAL[[#Headers],[Materiais de Consumo]])-2,0)*($G255-$H255)</f>
        <v>0</v>
      </c>
      <c r="BK255" s="22">
        <f>VLOOKUP($A255,tabCustoUnit[],COLUMN(CUSTO_GLOBAL[[#Headers],[Máquinas e Equipamentos (depreciação)]])-2,0)*($G255-$H255)</f>
        <v>0</v>
      </c>
      <c r="BL255" s="22">
        <f>VLOOKUP($A255,tabCustoUnit[],COLUMN(CUSTO_GLOBAL[[#Headers],[Produtos de Limpeza e Materiais de Higiene Pessoal]])-2,0)*($G255-$H255)</f>
        <v>0</v>
      </c>
      <c r="BM255" s="22">
        <f>VLOOKUP($A255,tabCustoUnit[],COLUMN(CUSTO_GLOBAL[[#Headers],[Outros (especificar)]])-2,0)*($G255-$H255)</f>
        <v>0</v>
      </c>
      <c r="BN255" s="22">
        <f>VLOOKUP($A255,tabCustoUnit[],COLUMN(CUSTO_GLOBAL[[#Headers],[MÓDULO 5 – INSUMOS DIVERSOS]])-2,0)*($G255-$H255)</f>
        <v>56.141713661989918</v>
      </c>
      <c r="BO255" s="22" t="e">
        <f ca="1">VLOOKUP($A255,tabCustoUnit[],COLUMN(CUSTO_GLOBAL[[#Headers],[TOTAL MÓDULOS 1+2+3+4+5]])-2,0)*($G255-$H255)</f>
        <v>#NAME?</v>
      </c>
      <c r="BP255" s="22" t="e">
        <f ca="1">VLOOKUP($A255,tabCustoUnit[],COLUMN(CUSTO_GLOBAL[[#Headers],[Custos Indiretos]])-2,0)*($G255-$H255)</f>
        <v>#NAME?</v>
      </c>
      <c r="BQ255" s="22" t="e">
        <f ca="1">VLOOKUP($A255,tabCustoUnit[],COLUMN(CUSTO_GLOBAL[[#Headers],[Lucro]])-2,0)*($G255-$H255)</f>
        <v>#NAME?</v>
      </c>
      <c r="BR255" s="26">
        <f>VLOOKUP($A255,tabCustoUnit[],COLUMN(CUSTO_GLOBAL[[#Headers],[COFINS]])-2,0)</f>
        <v>8.6609686609686695E-2</v>
      </c>
      <c r="BS255" s="26">
        <f>VLOOKUP($A255,tabCustoUnit[],COLUMN(CUSTO_GLOBAL[[#Headers],[PIS]])-2,0)</f>
        <v>1.880341880341882E-2</v>
      </c>
      <c r="BT255" s="28">
        <f>VLOOKUP($A255,tabCustoUnit[],COLUMN(CUSTO_GLOBAL[[#Headers],[ISS]])-2,0)</f>
        <v>0.03</v>
      </c>
      <c r="BU255" s="26">
        <f>VLOOKUP($A255,tabCustoUnit[],COLUMN(CUSTO_GLOBAL[[#Headers],[ISS (Conversão Alíquota s/ fatura)]])-2,0)</f>
        <v>3.4188034188034219E-2</v>
      </c>
      <c r="BV255" s="26">
        <f>VLOOKUP($A255,tabCustoUnit[],COLUMN(CUSTO_GLOBAL[[#Headers],[Resumo de Alíquotas (PIS+CONFINS+ISS)]])-2,0)</f>
        <v>0.1225</v>
      </c>
      <c r="BW255" s="138">
        <f>VLOOKUP($A255,tabCustoUnit[],COLUMN(CUSTO_GLOBAL[[#Headers],[PIS + COFINS + ISS (Total Conversão  Alíquota s/ Fatura)]])-2,0)</f>
        <v>0.13960113960113973</v>
      </c>
      <c r="BX255" s="22" t="e">
        <f ca="1">VLOOKUP($A255,tabCustoUnit[],COLUMN(CUSTO_GLOBAL[[#Headers],[Valor dos Tributos (ISS, PIS, CONFINS)]])-2,0)*($G255-$H255)</f>
        <v>#NAME?</v>
      </c>
      <c r="BY255" s="22" t="e">
        <f ca="1">VLOOKUP($A255,tabCustoUnit[],COLUMN(CUSTO_GLOBAL[[#Headers],[MÓDULO 6 – CUSTOS INDIRETOS, TRIBUTOS E LUCRO]])-2,0)*($G255-$H255)</f>
        <v>#NAME?</v>
      </c>
      <c r="BZ255" s="22" t="e">
        <f ca="1">VLOOKUP($A255,tabCustoUnit[],COLUMN(CUSTO_GLOBAL[[#Headers],[CUSTO TOTAL MENSAL]])-2,0)*($G255-$H255)</f>
        <v>#NAME?</v>
      </c>
      <c r="CA255" s="22" t="e">
        <f ca="1">CUSTO_GLOBAL[[#This Row],[CUSTO TOTAL MENSAL]]*12</f>
        <v>#NAME?</v>
      </c>
      <c r="CB255" s="24">
        <f>VLOOKUP($A255,tabCustoUnit[],COLUMN(CUSTO_GLOBAL[[#Headers],[ANO DA CCT]])-2,0)</f>
        <v>45658</v>
      </c>
      <c r="CC255" s="25" t="str">
        <f>VLOOKUP($A255,tabCustoUnit[],COLUMN(CUSTO_GLOBAL[[#Headers],[Nº DE PEDIDO DA CCT]])-2,0)</f>
        <v>-</v>
      </c>
      <c r="CD255" s="25" t="str">
        <f>VLOOKUP($A255,tabCustoUnit[],COLUMN(CUSTO_GLOBAL[[#Headers],[TERMO ADITIVO ALTERAÇÃO DA CCT]])-2,0)</f>
        <v>-</v>
      </c>
    </row>
    <row r="256" spans="1:82">
      <c r="A256" s="20" t="s">
        <v>1503</v>
      </c>
      <c r="B256" t="s">
        <v>1188</v>
      </c>
      <c r="C256" t="s">
        <v>200</v>
      </c>
      <c r="D256" t="s">
        <v>1052</v>
      </c>
      <c r="E256" s="20" t="s">
        <v>1090</v>
      </c>
      <c r="F256" s="20" t="s">
        <v>120</v>
      </c>
      <c r="G256" s="20">
        <v>1</v>
      </c>
      <c r="H256" s="20">
        <v>0</v>
      </c>
      <c r="I256" s="21">
        <f>VLOOKUP($A256,tabCustoUnit[],COLUMN(CUSTO_GLOBAL[[#Headers],[Salário Base]])-2,0)*($G256-$H256)</f>
        <v>1596.2737999999999</v>
      </c>
      <c r="J256" s="21">
        <f>VLOOKUP($A256,tabCustoUnit[],COLUMN(CUSTO_GLOBAL[[#Headers],[Adicional Periculosidade]])-2,0)*($G256-$H256)</f>
        <v>0</v>
      </c>
      <c r="K256" s="21">
        <f>VLOOKUP($A256,tabCustoUnit[],COLUMN(CUSTO_GLOBAL[[#Headers],[Adicional Insalubridade]])-2,0)*($G256-$H256)</f>
        <v>0</v>
      </c>
      <c r="L256" s="21">
        <f>VLOOKUP($A256,tabCustoUnit[],COLUMN(CUSTO_GLOBAL[[#Headers],[Adicional Noturno]])-2,0)*($G256-$H256)</f>
        <v>0</v>
      </c>
      <c r="M256" s="21">
        <f>VLOOKUP($A256,tabCustoUnit[],COLUMN(CUSTO_GLOBAL[[#Headers],[Adicional Motorista II (Gratificação)]])-2,0)*($G256-$H256)</f>
        <v>0</v>
      </c>
      <c r="N256" s="21">
        <f>VLOOKUP($A256,tabCustoUnit[],COLUMN(CUSTO_GLOBAL[[#Headers],[Adicional de Sobreaviso]])-2,0)*($G256-$H256)</f>
        <v>0</v>
      </c>
      <c r="O256" s="21">
        <f>VLOOKUP($A256,tabCustoUnit[],COLUMN(CUSTO_GLOBAL[[#Headers],[Horas Extras TI]])-2,0)*($G256-$H256)</f>
        <v>0</v>
      </c>
      <c r="P256" s="21">
        <f>VLOOKUP($A256,tabCustoUnit[],COLUMN(CUSTO_GLOBAL[[#Headers],[Adicional de Acúmulo de função]])-2,0)*($G256-$H256)</f>
        <v>0</v>
      </c>
      <c r="Q256" s="21">
        <f>VLOOKUP($A256,tabCustoUnit[],COLUMN(CUSTO_GLOBAL[[#Headers],[MODULO 1 - REMUNERAÇÃO ]])-2,0)*($G256-$H256)</f>
        <v>1596.2737999999999</v>
      </c>
      <c r="R256" s="21">
        <f>VLOOKUP($A256,tabCustoUnit[],COLUMN(CUSTO_GLOBAL[[#Headers],[INSS]])-2,0)*($G256-$H256)</f>
        <v>319.25476000000003</v>
      </c>
      <c r="S256" s="21">
        <f>VLOOKUP($A256,tabCustoUnit[],COLUMN(CUSTO_GLOBAL[[#Headers],[SESI OU SESC]])-2,0)*($G256-$H256)</f>
        <v>23.944106999999999</v>
      </c>
      <c r="T256" s="21">
        <f>VLOOKUP($A256,tabCustoUnit[],COLUMN(CUSTO_GLOBAL[[#Headers],[SENAI OU SENAC]])-2,0)*($G256-$H256)</f>
        <v>15.962738</v>
      </c>
      <c r="U256" s="21">
        <f>VLOOKUP($A256,tabCustoUnit[],COLUMN(CUSTO_GLOBAL[[#Headers],[INCRA]])-2,0)*($G256-$H256)</f>
        <v>3.1925476000000002</v>
      </c>
      <c r="V256" s="21">
        <f>VLOOKUP($A256,tabCustoUnit[],COLUMN(CUSTO_GLOBAL[[#Headers],[Salário Educação]])-2,0)*($G256-$H256)</f>
        <v>39.906845000000004</v>
      </c>
      <c r="W256" s="21">
        <f>VLOOKUP($A256,tabCustoUnit[],COLUMN(CUSTO_GLOBAL[[#Headers],[FGTS]])-2,0)*($G256-$H256)</f>
        <v>127.701904</v>
      </c>
      <c r="X256" s="21">
        <f>VLOOKUP($A256,tabCustoUnit[],COLUMN(CUSTO_GLOBAL[[#Headers],[RAT Ajustado]])-2,0)*($G256-$H256)</f>
        <v>63.850951999999999</v>
      </c>
      <c r="Y256" s="21">
        <f>VLOOKUP($A256,tabCustoUnit[],COLUMN(CUSTO_GLOBAL[[#Headers],[SEBRAE]])-2,0)*($G256-$H256)</f>
        <v>9.5776427999999996</v>
      </c>
      <c r="Z256" s="21">
        <f>VLOOKUP($A256,tabCustoUnit[],COLUMN(CUSTO_GLOBAL[[#Headers],[Submódulo 2.1]])-2,0)*($G256-$H256)</f>
        <v>603.39149640000005</v>
      </c>
      <c r="AA256" s="21">
        <f>VLOOKUP($A256,tabCustoUnit[],COLUMN(CUSTO_GLOBAL[[#Headers],[13º salário (titular)]])-2,0)*($G256-$H256)</f>
        <v>133.02281666666664</v>
      </c>
      <c r="AB256" s="21">
        <f>VLOOKUP($A256,tabCustoUnit[],COLUMN(CUSTO_GLOBAL[[#Headers],[Férias e Adicional de Férias (titular)]])-2,0)*($G256-$H256)</f>
        <v>177.36375555555554</v>
      </c>
      <c r="AC256" s="21">
        <f>VLOOKUP($A256,tabCustoUnit[],COLUMN(CUSTO_GLOBAL[[#Headers],[Incidência do Submódulo 2.1 sobre 13º Salário, Férias e Adicional de Férias]])-2,0)*($G256-$H256)</f>
        <v>117.3261243</v>
      </c>
      <c r="AD256" s="21">
        <f>VLOOKUP($A256,tabCustoUnit[],COLUMN(CUSTO_GLOBAL[[#Headers],[Submódulo 2.2]])-2,0)*($G256-$H256)</f>
        <v>427.71269652222219</v>
      </c>
      <c r="AE256" s="22" t="e">
        <f ca="1">VLOOKUP($A256,tabCustoUnit[],COLUMN(CUSTO_GLOBAL[[#Headers],[Vale - Transporte (Descontada parcela do empregado)]])-2,0)*($G256-$H256)</f>
        <v>#NAME?</v>
      </c>
      <c r="AF256" s="22">
        <f>VLOOKUP($A256,tabCustoUnit[],COLUMN(CUSTO_GLOBAL[[#Headers],[Vale - Alimentação (Descontada parcela do empregado)]])-2,0)*($G256-$H256)</f>
        <v>582</v>
      </c>
      <c r="AG256" s="22">
        <f>VLOOKUP($A256,tabCustoUnit[],COLUMN(CUSTO_GLOBAL[[#Headers],[Cesta Básica]])-2,0)*($G256-$H256)</f>
        <v>0</v>
      </c>
      <c r="AH256" s="22">
        <f>VLOOKUP($A256,tabCustoUnit[],COLUMN(CUSTO_GLOBAL[[#Headers],[PAF]])-2,0)*($G256-$H256)</f>
        <v>51.86</v>
      </c>
      <c r="AI256" s="22">
        <f>VLOOKUP($A256,tabCustoUnit[],COLUMN(CUSTO_GLOBAL[[#Headers],[PQM]])-2,0)*($G256-$H256)</f>
        <v>0</v>
      </c>
      <c r="AJ256" s="22">
        <v>0</v>
      </c>
      <c r="AK256" s="22">
        <f>VLOOKUP($A256,tabCustoUnit[],COLUMN(CUSTO_GLOBAL[[#Headers],[Seguro de Vida]])-2,0)*($G256-$H256)</f>
        <v>3.36</v>
      </c>
      <c r="AL256" s="22">
        <f>VLOOKUP($A256,tabCustoUnit[],COLUMN(CUSTO_GLOBAL[[#Headers],[Despesas de Viagem]])-2,0)*($G256-$H256)</f>
        <v>0</v>
      </c>
      <c r="AM256" s="22" t="e">
        <f ca="1">VLOOKUP($A256,tabCustoUnit[],COLUMN(CUSTO_GLOBAL[[#Headers],[Submódulo 2.3]])-2,0)*($G256-$H256)</f>
        <v>#NAME?</v>
      </c>
      <c r="AN256" s="22" t="e">
        <f ca="1">VLOOKUP($A256,tabCustoUnit[],COLUMN(CUSTO_GLOBAL[[#Headers],[MÓDULO 2 - Total Encargos e Benefícios mensais e diários]])-2,0)*($G256-$H256)</f>
        <v>#NAME?</v>
      </c>
      <c r="AO256" s="22">
        <f>VLOOKUP($A256,tabCustoUnit[],COLUMN(CUSTO_GLOBAL[[#Headers],[Aviso Prévio Indenizado (API) e Reflexo do Aviso Prévio Indenizado]])-2,0)*($G256-$H256)</f>
        <v>11.192699914390431</v>
      </c>
      <c r="AP256" s="22">
        <f>VLOOKUP($A256,tabCustoUnit[],COLUMN(CUSTO_GLOBAL[[#Headers],[Incidência do FGTS sobre API e Reflexo do API]])-2,0)*($G256-$H256)</f>
        <v>0.89541599315123466</v>
      </c>
      <c r="AQ256" s="22">
        <f>VLOOKUP($A256,tabCustoUnit[],COLUMN(CUSTO_GLOBAL[[#Headers],[Multa Rescisória do FGTS sobre o Aviso Prévio Indenizado]])-2,0)*($G256-$H256)</f>
        <v>0.35816639726049387</v>
      </c>
      <c r="AR256" s="22">
        <f>VLOOKUP($A256,tabCustoUnit[],COLUMN(CUSTO_GLOBAL[[#Headers],[Aviso Prévio Trabalhado - APT]])-2,0)*($G256-$H256)</f>
        <v>5.5869583000000009</v>
      </c>
      <c r="AS256" s="22">
        <f>VLOOKUP($A256,tabCustoUnit[],COLUMN(CUSTO_GLOBAL[[#Headers],[Incidência dos encargos do submódulo 2.1 sobre Aviso Prévio Trabalhado]])-2,0)*($G256-$H256)</f>
        <v>2.1118702374000007</v>
      </c>
      <c r="AT256" s="22">
        <f>VLOOKUP($A256,tabCustoUnit[],COLUMN(CUSTO_GLOBAL[[#Headers],[Multa Rescisória do FGTS]])-2,0)*($G256-$H256)</f>
        <v>48.810505528888882</v>
      </c>
      <c r="AU256" s="22">
        <f>VLOOKUP($A256,tabCustoUnit[],COLUMN(CUSTO_GLOBAL[[#Headers],[Indenização Adicional (Art. 9º da Lei nº 7.238/84)]])-2,0)*($G256-$H256)</f>
        <v>1.3302281666666667</v>
      </c>
      <c r="AV256" s="22">
        <f>VLOOKUP($A256,tabCustoUnit[],COLUMN(CUSTO_GLOBAL[[#Headers],[MÓDULO 3 – PROVISÃO PARA RESCISÃO]])-2,0)*($G256-$H256)</f>
        <v>70.285844537757711</v>
      </c>
      <c r="AW256" s="22">
        <f>VLOOKUP($A256,tabCustoUnit[],COLUMN(CUSTO_GLOBAL[[#Headers],[Ausência por Doença]])-2,0)*($G256-$H256)</f>
        <v>13.479645422222221</v>
      </c>
      <c r="AX256" s="22">
        <f>VLOOKUP($A256,tabCustoUnit[],COLUMN(CUSTO_GLOBAL[[#Headers],[Ausências Legais]])-2,0)*($G256-$H256)</f>
        <v>3.2368885388888886</v>
      </c>
      <c r="AY256" s="22">
        <f>VLOOKUP($A256,tabCustoUnit[],COLUMN(CUSTO_GLOBAL[[#Headers],[Licença Paternidade]])-2,0)*($G256-$H256)</f>
        <v>0.27269677416666666</v>
      </c>
      <c r="AZ256" s="22">
        <f>VLOOKUP($A256,tabCustoUnit[],COLUMN(CUSTO_GLOBAL[[#Headers],[Ausência por Acidente de Trabalho]])-2,0)*($G256-$H256)</f>
        <v>0.33255704166666666</v>
      </c>
      <c r="BA256" s="22">
        <f>VLOOKUP($A256,tabCustoUnit[],COLUMN(CUSTO_GLOBAL[[#Headers],[Férias, Adicional de Férias e 13º  com empregada em gozo de Licença Maternidade]])-2,0)*($G256-$H256)</f>
        <v>2.0692438148148145</v>
      </c>
      <c r="BB256" s="22">
        <f>VLOOKUP($A256,tabCustoUnit[],COLUMN(CUSTO_GLOBAL[[#Headers],[Incidência do Submódulo 2.1 sobre Ausências Legais]])-2,0)*($G256-$H256)</f>
        <v>7.3298099416850011</v>
      </c>
      <c r="BC256" s="22">
        <f>VLOOKUP($A256,tabCustoUnit[],COLUMN(CUSTO_GLOBAL[[#Headers],[Submódulo 4.1]])-2,0)*($G256-$H256)</f>
        <v>26.720841533444265</v>
      </c>
      <c r="BD256" s="22">
        <f>VLOOKUP($A256,tabCustoUnit[],COLUMN(CUSTO_GLOBAL[[#Headers],[Intervalo para Repouso ou Alimentação]])-2,0)*($G256-$H256)</f>
        <v>0</v>
      </c>
      <c r="BE256" s="22">
        <f>VLOOKUP($A256,tabCustoUnit[],COLUMN(CUSTO_GLOBAL[[#Headers],[Submódulo 4.2]])-2,0)*($G256-$H256)</f>
        <v>0</v>
      </c>
      <c r="BF256" s="22">
        <f>VLOOKUP($A256,tabCustoUnit[],COLUMN(CUSTO_GLOBAL[[#Headers],[Suspensão Temporária do Contrato de Trabalho]])-2,0)*($G256-$H256)</f>
        <v>0</v>
      </c>
      <c r="BG256" s="22">
        <f>VLOOKUP($A256,tabCustoUnit[],COLUMN(CUSTO_GLOBAL[[#Headers],[Submódulo 4.3]])-2,0)*($G256-$H256)</f>
        <v>0</v>
      </c>
      <c r="BH256" s="22">
        <f>VLOOKUP($A256,tabCustoUnit[],COLUMN(CUSTO_GLOBAL[[#Headers],[MÓDULO 4 – CUSTO DE REPOSIÇÃO DO PROFISSIONAL AUSENTE]])-2,0)*($G256-$H256)</f>
        <v>26.720841533444265</v>
      </c>
      <c r="BI256" s="22">
        <f>VLOOKUP($A256,tabCustoUnit[],COLUMN(CUSTO_GLOBAL[[#Headers],[Uniformes e EPIs]])-2,0)*($G256-$H256)</f>
        <v>56.141713661989918</v>
      </c>
      <c r="BJ256" s="22">
        <f>VLOOKUP($A256,tabCustoUnit[],COLUMN(CUSTO_GLOBAL[[#Headers],[Materiais de Consumo]])-2,0)*($G256-$H256)</f>
        <v>0</v>
      </c>
      <c r="BK256" s="22">
        <f>VLOOKUP($A256,tabCustoUnit[],COLUMN(CUSTO_GLOBAL[[#Headers],[Máquinas e Equipamentos (depreciação)]])-2,0)*($G256-$H256)</f>
        <v>0</v>
      </c>
      <c r="BL256" s="22">
        <f>VLOOKUP($A256,tabCustoUnit[],COLUMN(CUSTO_GLOBAL[[#Headers],[Produtos de Limpeza e Materiais de Higiene Pessoal]])-2,0)*($G256-$H256)</f>
        <v>0</v>
      </c>
      <c r="BM256" s="22">
        <f>VLOOKUP($A256,tabCustoUnit[],COLUMN(CUSTO_GLOBAL[[#Headers],[Outros (especificar)]])-2,0)*($G256-$H256)</f>
        <v>0</v>
      </c>
      <c r="BN256" s="22">
        <f>VLOOKUP($A256,tabCustoUnit[],COLUMN(CUSTO_GLOBAL[[#Headers],[MÓDULO 5 – INSUMOS DIVERSOS]])-2,0)*($G256-$H256)</f>
        <v>56.141713661989918</v>
      </c>
      <c r="BO256" s="22" t="e">
        <f ca="1">VLOOKUP($A256,tabCustoUnit[],COLUMN(CUSTO_GLOBAL[[#Headers],[TOTAL MÓDULOS 1+2+3+4+5]])-2,0)*($G256-$H256)</f>
        <v>#NAME?</v>
      </c>
      <c r="BP256" s="22" t="e">
        <f ca="1">VLOOKUP($A256,tabCustoUnit[],COLUMN(CUSTO_GLOBAL[[#Headers],[Custos Indiretos]])-2,0)*($G256-$H256)</f>
        <v>#NAME?</v>
      </c>
      <c r="BQ256" s="22" t="e">
        <f ca="1">VLOOKUP($A256,tabCustoUnit[],COLUMN(CUSTO_GLOBAL[[#Headers],[Lucro]])-2,0)*($G256-$H256)</f>
        <v>#NAME?</v>
      </c>
      <c r="BR256" s="26">
        <f>VLOOKUP($A256,tabCustoUnit[],COLUMN(CUSTO_GLOBAL[[#Headers],[COFINS]])-2,0)</f>
        <v>8.8629737609329504E-2</v>
      </c>
      <c r="BS256" s="26">
        <f>VLOOKUP($A256,tabCustoUnit[],COLUMN(CUSTO_GLOBAL[[#Headers],[PIS]])-2,0)</f>
        <v>1.9241982507288629E-2</v>
      </c>
      <c r="BT256" s="28">
        <f>VLOOKUP($A256,tabCustoUnit[],COLUMN(CUSTO_GLOBAL[[#Headers],[ISS]])-2,0)</f>
        <v>0.05</v>
      </c>
      <c r="BU256" s="26">
        <f>VLOOKUP($A256,tabCustoUnit[],COLUMN(CUSTO_GLOBAL[[#Headers],[ISS (Conversão Alíquota s/ fatura)]])-2,0)</f>
        <v>5.8309037900874633E-2</v>
      </c>
      <c r="BV256" s="26">
        <f>VLOOKUP($A256,tabCustoUnit[],COLUMN(CUSTO_GLOBAL[[#Headers],[Resumo de Alíquotas (PIS+CONFINS+ISS)]])-2,0)</f>
        <v>0.14250000000000002</v>
      </c>
      <c r="BW256" s="138">
        <f>VLOOKUP($A256,tabCustoUnit[],COLUMN(CUSTO_GLOBAL[[#Headers],[PIS + COFINS + ISS (Total Conversão  Alíquota s/ Fatura)]])-2,0)</f>
        <v>0.16618075801749277</v>
      </c>
      <c r="BX256" s="22" t="e">
        <f ca="1">VLOOKUP($A256,tabCustoUnit[],COLUMN(CUSTO_GLOBAL[[#Headers],[Valor dos Tributos (ISS, PIS, CONFINS)]])-2,0)*($G256-$H256)</f>
        <v>#NAME?</v>
      </c>
      <c r="BY256" s="22" t="e">
        <f ca="1">VLOOKUP($A256,tabCustoUnit[],COLUMN(CUSTO_GLOBAL[[#Headers],[MÓDULO 6 – CUSTOS INDIRETOS, TRIBUTOS E LUCRO]])-2,0)*($G256-$H256)</f>
        <v>#NAME?</v>
      </c>
      <c r="BZ256" s="22" t="e">
        <f ca="1">VLOOKUP($A256,tabCustoUnit[],COLUMN(CUSTO_GLOBAL[[#Headers],[CUSTO TOTAL MENSAL]])-2,0)*($G256-$H256)</f>
        <v>#NAME?</v>
      </c>
      <c r="CA256" s="22" t="e">
        <f ca="1">CUSTO_GLOBAL[[#This Row],[CUSTO TOTAL MENSAL]]*12</f>
        <v>#NAME?</v>
      </c>
      <c r="CB256" s="24">
        <f>VLOOKUP($A256,tabCustoUnit[],COLUMN(CUSTO_GLOBAL[[#Headers],[ANO DA CCT]])-2,0)</f>
        <v>45658</v>
      </c>
      <c r="CC256" s="25" t="str">
        <f>VLOOKUP($A256,tabCustoUnit[],COLUMN(CUSTO_GLOBAL[[#Headers],[Nº DE PEDIDO DA CCT]])-2,0)</f>
        <v>-</v>
      </c>
      <c r="CD256" s="25" t="str">
        <f>VLOOKUP($A256,tabCustoUnit[],COLUMN(CUSTO_GLOBAL[[#Headers],[TERMO ADITIVO ALTERAÇÃO DA CCT]])-2,0)</f>
        <v>-</v>
      </c>
    </row>
    <row r="257" spans="1:82">
      <c r="A257" s="20" t="s">
        <v>1678</v>
      </c>
      <c r="B257" t="s">
        <v>1188</v>
      </c>
      <c r="C257" t="s">
        <v>274</v>
      </c>
      <c r="D257" t="s">
        <v>1010</v>
      </c>
      <c r="E257" s="20" t="s">
        <v>1090</v>
      </c>
      <c r="F257" s="20" t="s">
        <v>120</v>
      </c>
      <c r="G257" s="20">
        <v>1</v>
      </c>
      <c r="H257" s="20">
        <v>0</v>
      </c>
      <c r="I257" s="21">
        <f>VLOOKUP($A257,tabCustoUnit[],COLUMN(CUSTO_GLOBAL[[#Headers],[Salário Base]])-2,0)*($G257-$H257)</f>
        <v>4599.5953</v>
      </c>
      <c r="J257" s="21">
        <f>VLOOKUP($A257,tabCustoUnit[],COLUMN(CUSTO_GLOBAL[[#Headers],[Adicional Periculosidade]])-2,0)*($G257-$H257)</f>
        <v>0</v>
      </c>
      <c r="K257" s="21">
        <f>VLOOKUP($A257,tabCustoUnit[],COLUMN(CUSTO_GLOBAL[[#Headers],[Adicional Insalubridade]])-2,0)*($G257-$H257)</f>
        <v>0</v>
      </c>
      <c r="L257" s="21">
        <f>VLOOKUP($A257,tabCustoUnit[],COLUMN(CUSTO_GLOBAL[[#Headers],[Adicional Noturno]])-2,0)*($G257-$H257)</f>
        <v>0</v>
      </c>
      <c r="M257" s="21">
        <f>VLOOKUP($A257,tabCustoUnit[],COLUMN(CUSTO_GLOBAL[[#Headers],[Adicional Motorista II (Gratificação)]])-2,0)*($G257-$H257)</f>
        <v>0</v>
      </c>
      <c r="N257" s="21">
        <f>VLOOKUP($A257,tabCustoUnit[],COLUMN(CUSTO_GLOBAL[[#Headers],[Adicional de Sobreaviso]])-2,0)*($G257-$H257)</f>
        <v>0</v>
      </c>
      <c r="O257" s="21">
        <f>VLOOKUP($A257,tabCustoUnit[],COLUMN(CUSTO_GLOBAL[[#Headers],[Horas Extras TI]])-2,0)*($G257-$H257)</f>
        <v>0</v>
      </c>
      <c r="P257" s="21">
        <f>VLOOKUP($A257,tabCustoUnit[],COLUMN(CUSTO_GLOBAL[[#Headers],[Adicional de Acúmulo de função]])-2,0)*($G257-$H257)</f>
        <v>0</v>
      </c>
      <c r="Q257" s="21">
        <f>VLOOKUP($A257,tabCustoUnit[],COLUMN(CUSTO_GLOBAL[[#Headers],[MODULO 1 - REMUNERAÇÃO ]])-2,0)*($G257-$H257)</f>
        <v>4599.5953</v>
      </c>
      <c r="R257" s="21">
        <f>VLOOKUP($A257,tabCustoUnit[],COLUMN(CUSTO_GLOBAL[[#Headers],[INSS]])-2,0)*($G257-$H257)</f>
        <v>919.91906000000006</v>
      </c>
      <c r="S257" s="21">
        <f>VLOOKUP($A257,tabCustoUnit[],COLUMN(CUSTO_GLOBAL[[#Headers],[SESI OU SESC]])-2,0)*($G257-$H257)</f>
        <v>68.993929499999993</v>
      </c>
      <c r="T257" s="21">
        <f>VLOOKUP($A257,tabCustoUnit[],COLUMN(CUSTO_GLOBAL[[#Headers],[SENAI OU SENAC]])-2,0)*($G257-$H257)</f>
        <v>45.995953</v>
      </c>
      <c r="U257" s="21">
        <f>VLOOKUP($A257,tabCustoUnit[],COLUMN(CUSTO_GLOBAL[[#Headers],[INCRA]])-2,0)*($G257-$H257)</f>
        <v>9.1991905999999997</v>
      </c>
      <c r="V257" s="21">
        <f>VLOOKUP($A257,tabCustoUnit[],COLUMN(CUSTO_GLOBAL[[#Headers],[Salário Educação]])-2,0)*($G257-$H257)</f>
        <v>114.98988250000001</v>
      </c>
      <c r="W257" s="21">
        <f>VLOOKUP($A257,tabCustoUnit[],COLUMN(CUSTO_GLOBAL[[#Headers],[FGTS]])-2,0)*($G257-$H257)</f>
        <v>367.967624</v>
      </c>
      <c r="X257" s="21">
        <f>VLOOKUP($A257,tabCustoUnit[],COLUMN(CUSTO_GLOBAL[[#Headers],[RAT Ajustado]])-2,0)*($G257-$H257)</f>
        <v>183.983812</v>
      </c>
      <c r="Y257" s="21">
        <f>VLOOKUP($A257,tabCustoUnit[],COLUMN(CUSTO_GLOBAL[[#Headers],[SEBRAE]])-2,0)*($G257-$H257)</f>
        <v>27.597571800000001</v>
      </c>
      <c r="Z257" s="21">
        <f>VLOOKUP($A257,tabCustoUnit[],COLUMN(CUSTO_GLOBAL[[#Headers],[Submódulo 2.1]])-2,0)*($G257-$H257)</f>
        <v>1738.6470234000003</v>
      </c>
      <c r="AA257" s="21">
        <f>VLOOKUP($A257,tabCustoUnit[],COLUMN(CUSTO_GLOBAL[[#Headers],[13º salário (titular)]])-2,0)*($G257-$H257)</f>
        <v>383.29960833333331</v>
      </c>
      <c r="AB257" s="21">
        <f>VLOOKUP($A257,tabCustoUnit[],COLUMN(CUSTO_GLOBAL[[#Headers],[Férias e Adicional de Férias (titular)]])-2,0)*($G257-$H257)</f>
        <v>511.06614444444443</v>
      </c>
      <c r="AC257" s="21">
        <f>VLOOKUP($A257,tabCustoUnit[],COLUMN(CUSTO_GLOBAL[[#Headers],[Incidência do Submódulo 2.1 sobre 13º Salário, Férias e Adicional de Férias]])-2,0)*($G257-$H257)</f>
        <v>338.07025455000002</v>
      </c>
      <c r="AD257" s="21">
        <f>VLOOKUP($A257,tabCustoUnit[],COLUMN(CUSTO_GLOBAL[[#Headers],[Submódulo 2.2]])-2,0)*($G257-$H257)</f>
        <v>1232.4360073277778</v>
      </c>
      <c r="AE257" s="22" t="e">
        <f ca="1">VLOOKUP($A257,tabCustoUnit[],COLUMN(CUSTO_GLOBAL[[#Headers],[Vale - Transporte (Descontada parcela do empregado)]])-2,0)*($G257-$H257)</f>
        <v>#NAME?</v>
      </c>
      <c r="AF257" s="22">
        <f>VLOOKUP($A257,tabCustoUnit[],COLUMN(CUSTO_GLOBAL[[#Headers],[Vale - Alimentação (Descontada parcela do empregado)]])-2,0)*($G257-$H257)</f>
        <v>578.4</v>
      </c>
      <c r="AG257" s="22">
        <f>VLOOKUP($A257,tabCustoUnit[],COLUMN(CUSTO_GLOBAL[[#Headers],[Cesta Básica]])-2,0)*($G257-$H257)</f>
        <v>0</v>
      </c>
      <c r="AH257" s="22">
        <f>VLOOKUP($A257,tabCustoUnit[],COLUMN(CUSTO_GLOBAL[[#Headers],[PAF]])-2,0)*($G257-$H257)</f>
        <v>0</v>
      </c>
      <c r="AI257" s="22">
        <f>VLOOKUP($A257,tabCustoUnit[],COLUMN(CUSTO_GLOBAL[[#Headers],[PQM]])-2,0)*($G257-$H257)</f>
        <v>0</v>
      </c>
      <c r="AJ257" s="22">
        <v>0</v>
      </c>
      <c r="AK257" s="22">
        <f>VLOOKUP($A257,tabCustoUnit[],COLUMN(CUSTO_GLOBAL[[#Headers],[Seguro de Vida]])-2,0)*($G257-$H257)</f>
        <v>3.36</v>
      </c>
      <c r="AL257" s="22">
        <f>VLOOKUP($A257,tabCustoUnit[],COLUMN(CUSTO_GLOBAL[[#Headers],[Despesas de Viagem]])-2,0)*($G257-$H257)</f>
        <v>662.42</v>
      </c>
      <c r="AM257" s="22" t="e">
        <f ca="1">VLOOKUP($A257,tabCustoUnit[],COLUMN(CUSTO_GLOBAL[[#Headers],[Submódulo 2.3]])-2,0)*($G257-$H257)</f>
        <v>#NAME?</v>
      </c>
      <c r="AN257" s="22" t="e">
        <f ca="1">VLOOKUP($A257,tabCustoUnit[],COLUMN(CUSTO_GLOBAL[[#Headers],[MÓDULO 2 - Total Encargos e Benefícios mensais e diários]])-2,0)*($G257-$H257)</f>
        <v>#NAME?</v>
      </c>
      <c r="AO257" s="22">
        <f>VLOOKUP($A257,tabCustoUnit[],COLUMN(CUSTO_GLOBAL[[#Headers],[Aviso Prévio Indenizado (API) e Reflexo do Aviso Prévio Indenizado]])-2,0)*($G257-$H257)</f>
        <v>32.251290424324843</v>
      </c>
      <c r="AP257" s="22">
        <f>VLOOKUP($A257,tabCustoUnit[],COLUMN(CUSTO_GLOBAL[[#Headers],[Incidência do FGTS sobre API e Reflexo do API]])-2,0)*($G257-$H257)</f>
        <v>2.5801032339459877</v>
      </c>
      <c r="AQ257" s="22">
        <f>VLOOKUP($A257,tabCustoUnit[],COLUMN(CUSTO_GLOBAL[[#Headers],[Multa Rescisória do FGTS sobre o Aviso Prévio Indenizado]])-2,0)*($G257-$H257)</f>
        <v>1.0320412935783951</v>
      </c>
      <c r="AR257" s="22">
        <f>VLOOKUP($A257,tabCustoUnit[],COLUMN(CUSTO_GLOBAL[[#Headers],[Aviso Prévio Trabalhado - APT]])-2,0)*($G257-$H257)</f>
        <v>16.098583550000001</v>
      </c>
      <c r="AS257" s="22">
        <f>VLOOKUP($A257,tabCustoUnit[],COLUMN(CUSTO_GLOBAL[[#Headers],[Incidência dos encargos do submódulo 2.1 sobre Aviso Prévio Trabalhado]])-2,0)*($G257-$H257)</f>
        <v>6.0852645819000015</v>
      </c>
      <c r="AT257" s="22">
        <f>VLOOKUP($A257,tabCustoUnit[],COLUMN(CUSTO_GLOBAL[[#Headers],[Multa Rescisória do FGTS]])-2,0)*($G257-$H257)</f>
        <v>140.64540295111109</v>
      </c>
      <c r="AU257" s="22">
        <f>VLOOKUP($A257,tabCustoUnit[],COLUMN(CUSTO_GLOBAL[[#Headers],[Indenização Adicional (Art. 9º da Lei nº 7.238/84)]])-2,0)*($G257-$H257)</f>
        <v>3.8329960833333336</v>
      </c>
      <c r="AV257" s="22">
        <f>VLOOKUP($A257,tabCustoUnit[],COLUMN(CUSTO_GLOBAL[[#Headers],[MÓDULO 3 – PROVISÃO PARA RESCISÃO]])-2,0)*($G257-$H257)</f>
        <v>202.52568211819366</v>
      </c>
      <c r="AW257" s="22">
        <f>VLOOKUP($A257,tabCustoUnit[],COLUMN(CUSTO_GLOBAL[[#Headers],[Ausência por Doença]])-2,0)*($G257-$H257)</f>
        <v>38.841026977777773</v>
      </c>
      <c r="AX257" s="22">
        <f>VLOOKUP($A257,tabCustoUnit[],COLUMN(CUSTO_GLOBAL[[#Headers],[Ausências Legais]])-2,0)*($G257-$H257)</f>
        <v>9.3269571361111101</v>
      </c>
      <c r="AY257" s="22">
        <f>VLOOKUP($A257,tabCustoUnit[],COLUMN(CUSTO_GLOBAL[[#Headers],[Licença Paternidade]])-2,0)*($G257-$H257)</f>
        <v>0.78576419708333334</v>
      </c>
      <c r="AZ257" s="22">
        <f>VLOOKUP($A257,tabCustoUnit[],COLUMN(CUSTO_GLOBAL[[#Headers],[Ausência por Acidente de Trabalho]])-2,0)*($G257-$H257)</f>
        <v>0.95824902083333341</v>
      </c>
      <c r="BA257" s="22">
        <f>VLOOKUP($A257,tabCustoUnit[],COLUMN(CUSTO_GLOBAL[[#Headers],[Férias, Adicional de Férias e 13º  com empregada em gozo de Licença Maternidade]])-2,0)*($G257-$H257)</f>
        <v>5.9624383518518513</v>
      </c>
      <c r="BB257" s="22">
        <f>VLOOKUP($A257,tabCustoUnit[],COLUMN(CUSTO_GLOBAL[[#Headers],[Incidência do Submódulo 2.1 sobre Ausências Legais]])-2,0)*($G257-$H257)</f>
        <v>21.120536688422504</v>
      </c>
      <c r="BC257" s="22">
        <f>VLOOKUP($A257,tabCustoUnit[],COLUMN(CUSTO_GLOBAL[[#Headers],[Submódulo 4.1]])-2,0)*($G257-$H257)</f>
        <v>76.9949723720799</v>
      </c>
      <c r="BD257" s="22">
        <f>VLOOKUP($A257,tabCustoUnit[],COLUMN(CUSTO_GLOBAL[[#Headers],[Intervalo para Repouso ou Alimentação]])-2,0)*($G257-$H257)</f>
        <v>0</v>
      </c>
      <c r="BE257" s="22">
        <f>VLOOKUP($A257,tabCustoUnit[],COLUMN(CUSTO_GLOBAL[[#Headers],[Submódulo 4.2]])-2,0)*($G257-$H257)</f>
        <v>0</v>
      </c>
      <c r="BF257" s="22">
        <f>VLOOKUP($A257,tabCustoUnit[],COLUMN(CUSTO_GLOBAL[[#Headers],[Suspensão Temporária do Contrato de Trabalho]])-2,0)*($G257-$H257)</f>
        <v>0</v>
      </c>
      <c r="BG257" s="22">
        <f>VLOOKUP($A257,tabCustoUnit[],COLUMN(CUSTO_GLOBAL[[#Headers],[Submódulo 4.3]])-2,0)*($G257-$H257)</f>
        <v>0</v>
      </c>
      <c r="BH257" s="22">
        <f>VLOOKUP($A257,tabCustoUnit[],COLUMN(CUSTO_GLOBAL[[#Headers],[MÓDULO 4 – CUSTO DE REPOSIÇÃO DO PROFISSIONAL AUSENTE]])-2,0)*($G257-$H257)</f>
        <v>76.9949723720799</v>
      </c>
      <c r="BI257" s="22">
        <f>VLOOKUP($A257,tabCustoUnit[],COLUMN(CUSTO_GLOBAL[[#Headers],[Uniformes e EPIs]])-2,0)*($G257-$H257)</f>
        <v>92.100763771570698</v>
      </c>
      <c r="BJ257" s="22">
        <f>VLOOKUP($A257,tabCustoUnit[],COLUMN(CUSTO_GLOBAL[[#Headers],[Materiais de Consumo]])-2,0)*($G257-$H257)</f>
        <v>0</v>
      </c>
      <c r="BK257" s="22">
        <f>VLOOKUP($A257,tabCustoUnit[],COLUMN(CUSTO_GLOBAL[[#Headers],[Máquinas e Equipamentos (depreciação)]])-2,0)*($G257-$H257)</f>
        <v>0</v>
      </c>
      <c r="BL257" s="22">
        <f>VLOOKUP($A257,tabCustoUnit[],COLUMN(CUSTO_GLOBAL[[#Headers],[Produtos de Limpeza e Materiais de Higiene Pessoal]])-2,0)*($G257-$H257)</f>
        <v>0</v>
      </c>
      <c r="BM257" s="22">
        <f>VLOOKUP($A257,tabCustoUnit[],COLUMN(CUSTO_GLOBAL[[#Headers],[Outros (especificar)]])-2,0)*($G257-$H257)</f>
        <v>0</v>
      </c>
      <c r="BN257" s="22">
        <f>VLOOKUP($A257,tabCustoUnit[],COLUMN(CUSTO_GLOBAL[[#Headers],[MÓDULO 5 – INSUMOS DIVERSOS]])-2,0)*($G257-$H257)</f>
        <v>92.100763771570698</v>
      </c>
      <c r="BO257" s="22" t="e">
        <f ca="1">VLOOKUP($A257,tabCustoUnit[],COLUMN(CUSTO_GLOBAL[[#Headers],[TOTAL MÓDULOS 1+2+3+4+5]])-2,0)*($G257-$H257)</f>
        <v>#NAME?</v>
      </c>
      <c r="BP257" s="22" t="e">
        <f ca="1">VLOOKUP($A257,tabCustoUnit[],COLUMN(CUSTO_GLOBAL[[#Headers],[Custos Indiretos]])-2,0)*($G257-$H257)</f>
        <v>#NAME?</v>
      </c>
      <c r="BQ257" s="22" t="e">
        <f ca="1">VLOOKUP($A257,tabCustoUnit[],COLUMN(CUSTO_GLOBAL[[#Headers],[Lucro]])-2,0)*($G257-$H257)</f>
        <v>#NAME?</v>
      </c>
      <c r="BR257" s="26">
        <f>VLOOKUP($A257,tabCustoUnit[],COLUMN(CUSTO_GLOBAL[[#Headers],[COFINS]])-2,0)</f>
        <v>8.8629737609329504E-2</v>
      </c>
      <c r="BS257" s="26">
        <f>VLOOKUP($A257,tabCustoUnit[],COLUMN(CUSTO_GLOBAL[[#Headers],[PIS]])-2,0)</f>
        <v>1.9241982507288629E-2</v>
      </c>
      <c r="BT257" s="28">
        <f>VLOOKUP($A257,tabCustoUnit[],COLUMN(CUSTO_GLOBAL[[#Headers],[ISS]])-2,0)</f>
        <v>0.05</v>
      </c>
      <c r="BU257" s="26">
        <f>VLOOKUP($A257,tabCustoUnit[],COLUMN(CUSTO_GLOBAL[[#Headers],[ISS (Conversão Alíquota s/ fatura)]])-2,0)</f>
        <v>5.8309037900874633E-2</v>
      </c>
      <c r="BV257" s="26">
        <f>VLOOKUP($A257,tabCustoUnit[],COLUMN(CUSTO_GLOBAL[[#Headers],[Resumo de Alíquotas (PIS+CONFINS+ISS)]])-2,0)</f>
        <v>0.14250000000000002</v>
      </c>
      <c r="BW257" s="138">
        <f>VLOOKUP($A257,tabCustoUnit[],COLUMN(CUSTO_GLOBAL[[#Headers],[PIS + COFINS + ISS (Total Conversão  Alíquota s/ Fatura)]])-2,0)</f>
        <v>0.16618075801749277</v>
      </c>
      <c r="BX257" s="22" t="e">
        <f ca="1">VLOOKUP($A257,tabCustoUnit[],COLUMN(CUSTO_GLOBAL[[#Headers],[Valor dos Tributos (ISS, PIS, CONFINS)]])-2,0)*($G257-$H257)</f>
        <v>#NAME?</v>
      </c>
      <c r="BY257" s="22" t="e">
        <f ca="1">VLOOKUP($A257,tabCustoUnit[],COLUMN(CUSTO_GLOBAL[[#Headers],[MÓDULO 6 – CUSTOS INDIRETOS, TRIBUTOS E LUCRO]])-2,0)*($G257-$H257)</f>
        <v>#NAME?</v>
      </c>
      <c r="BZ257" s="22" t="e">
        <f ca="1">VLOOKUP($A257,tabCustoUnit[],COLUMN(CUSTO_GLOBAL[[#Headers],[CUSTO TOTAL MENSAL]])-2,0)*($G257-$H257)</f>
        <v>#NAME?</v>
      </c>
      <c r="CA257" s="22" t="e">
        <f ca="1">CUSTO_GLOBAL[[#This Row],[CUSTO TOTAL MENSAL]]*12</f>
        <v>#NAME?</v>
      </c>
      <c r="CB257" s="24">
        <f>VLOOKUP($A257,tabCustoUnit[],COLUMN(CUSTO_GLOBAL[[#Headers],[ANO DA CCT]])-2,0)</f>
        <v>45658</v>
      </c>
      <c r="CC257" s="25" t="str">
        <f>VLOOKUP($A257,tabCustoUnit[],COLUMN(CUSTO_GLOBAL[[#Headers],[Nº DE PEDIDO DA CCT]])-2,0)</f>
        <v>-</v>
      </c>
      <c r="CD257" s="25" t="str">
        <f>VLOOKUP($A257,tabCustoUnit[],COLUMN(CUSTO_GLOBAL[[#Headers],[TERMO ADITIVO ALTERAÇÃO DA CCT]])-2,0)</f>
        <v>-</v>
      </c>
    </row>
    <row r="258" spans="1:82">
      <c r="A258" s="20" t="s">
        <v>1679</v>
      </c>
      <c r="B258" t="s">
        <v>1188</v>
      </c>
      <c r="C258" t="s">
        <v>274</v>
      </c>
      <c r="D258" t="s">
        <v>1010</v>
      </c>
      <c r="E258" s="20" t="s">
        <v>1090</v>
      </c>
      <c r="F258" s="20" t="s">
        <v>135</v>
      </c>
      <c r="G258" s="20">
        <v>1</v>
      </c>
      <c r="H258" s="20">
        <v>0</v>
      </c>
      <c r="I258" s="21">
        <f>VLOOKUP($A258,tabCustoUnit[],COLUMN(CUSTO_GLOBAL[[#Headers],[Salário Base]])-2,0)*($G258-$H258)</f>
        <v>4599.5953</v>
      </c>
      <c r="J258" s="21">
        <f>VLOOKUP($A258,tabCustoUnit[],COLUMN(CUSTO_GLOBAL[[#Headers],[Adicional Periculosidade]])-2,0)*($G258-$H258)</f>
        <v>0</v>
      </c>
      <c r="K258" s="21">
        <f>VLOOKUP($A258,tabCustoUnit[],COLUMN(CUSTO_GLOBAL[[#Headers],[Adicional Insalubridade]])-2,0)*($G258-$H258)</f>
        <v>0</v>
      </c>
      <c r="L258" s="21">
        <f>VLOOKUP($A258,tabCustoUnit[],COLUMN(CUSTO_GLOBAL[[#Headers],[Adicional Noturno]])-2,0)*($G258-$H258)</f>
        <v>0</v>
      </c>
      <c r="M258" s="21">
        <f>VLOOKUP($A258,tabCustoUnit[],COLUMN(CUSTO_GLOBAL[[#Headers],[Adicional Motorista II (Gratificação)]])-2,0)*($G258-$H258)</f>
        <v>0</v>
      </c>
      <c r="N258" s="21">
        <f>VLOOKUP($A258,tabCustoUnit[],COLUMN(CUSTO_GLOBAL[[#Headers],[Adicional de Sobreaviso]])-2,0)*($G258-$H258)</f>
        <v>0</v>
      </c>
      <c r="O258" s="21">
        <f>VLOOKUP($A258,tabCustoUnit[],COLUMN(CUSTO_GLOBAL[[#Headers],[Horas Extras TI]])-2,0)*($G258-$H258)</f>
        <v>0</v>
      </c>
      <c r="P258" s="21">
        <f>VLOOKUP($A258,tabCustoUnit[],COLUMN(CUSTO_GLOBAL[[#Headers],[Adicional de Acúmulo de função]])-2,0)*($G258-$H258)</f>
        <v>0</v>
      </c>
      <c r="Q258" s="21">
        <f>VLOOKUP($A258,tabCustoUnit[],COLUMN(CUSTO_GLOBAL[[#Headers],[MODULO 1 - REMUNERAÇÃO ]])-2,0)*($G258-$H258)</f>
        <v>4599.5953</v>
      </c>
      <c r="R258" s="21">
        <f>VLOOKUP($A258,tabCustoUnit[],COLUMN(CUSTO_GLOBAL[[#Headers],[INSS]])-2,0)*($G258-$H258)</f>
        <v>919.91906000000006</v>
      </c>
      <c r="S258" s="21">
        <f>VLOOKUP($A258,tabCustoUnit[],COLUMN(CUSTO_GLOBAL[[#Headers],[SESI OU SESC]])-2,0)*($G258-$H258)</f>
        <v>68.993929499999993</v>
      </c>
      <c r="T258" s="21">
        <f>VLOOKUP($A258,tabCustoUnit[],COLUMN(CUSTO_GLOBAL[[#Headers],[SENAI OU SENAC]])-2,0)*($G258-$H258)</f>
        <v>45.995953</v>
      </c>
      <c r="U258" s="21">
        <f>VLOOKUP($A258,tabCustoUnit[],COLUMN(CUSTO_GLOBAL[[#Headers],[INCRA]])-2,0)*($G258-$H258)</f>
        <v>9.1991905999999997</v>
      </c>
      <c r="V258" s="21">
        <f>VLOOKUP($A258,tabCustoUnit[],COLUMN(CUSTO_GLOBAL[[#Headers],[Salário Educação]])-2,0)*($G258-$H258)</f>
        <v>114.98988250000001</v>
      </c>
      <c r="W258" s="21">
        <f>VLOOKUP($A258,tabCustoUnit[],COLUMN(CUSTO_GLOBAL[[#Headers],[FGTS]])-2,0)*($G258-$H258)</f>
        <v>367.967624</v>
      </c>
      <c r="X258" s="21">
        <f>VLOOKUP($A258,tabCustoUnit[],COLUMN(CUSTO_GLOBAL[[#Headers],[RAT Ajustado]])-2,0)*($G258-$H258)</f>
        <v>183.983812</v>
      </c>
      <c r="Y258" s="21">
        <f>VLOOKUP($A258,tabCustoUnit[],COLUMN(CUSTO_GLOBAL[[#Headers],[SEBRAE]])-2,0)*($G258-$H258)</f>
        <v>27.597571800000001</v>
      </c>
      <c r="Z258" s="21">
        <f>VLOOKUP($A258,tabCustoUnit[],COLUMN(CUSTO_GLOBAL[[#Headers],[Submódulo 2.1]])-2,0)*($G258-$H258)</f>
        <v>1738.6470234000003</v>
      </c>
      <c r="AA258" s="21">
        <f>VLOOKUP($A258,tabCustoUnit[],COLUMN(CUSTO_GLOBAL[[#Headers],[13º salário (titular)]])-2,0)*($G258-$H258)</f>
        <v>383.29960833333331</v>
      </c>
      <c r="AB258" s="21">
        <f>VLOOKUP($A258,tabCustoUnit[],COLUMN(CUSTO_GLOBAL[[#Headers],[Férias e Adicional de Férias (titular)]])-2,0)*($G258-$H258)</f>
        <v>511.06614444444443</v>
      </c>
      <c r="AC258" s="21">
        <f>VLOOKUP($A258,tabCustoUnit[],COLUMN(CUSTO_GLOBAL[[#Headers],[Incidência do Submódulo 2.1 sobre 13º Salário, Férias e Adicional de Férias]])-2,0)*($G258-$H258)</f>
        <v>338.07025455000002</v>
      </c>
      <c r="AD258" s="21">
        <f>VLOOKUP($A258,tabCustoUnit[],COLUMN(CUSTO_GLOBAL[[#Headers],[Submódulo 2.2]])-2,0)*($G258-$H258)</f>
        <v>1232.4360073277778</v>
      </c>
      <c r="AE258" s="22" t="e">
        <f ca="1">VLOOKUP($A258,tabCustoUnit[],COLUMN(CUSTO_GLOBAL[[#Headers],[Vale - Transporte (Descontada parcela do empregado)]])-2,0)*($G258-$H258)</f>
        <v>#NAME?</v>
      </c>
      <c r="AF258" s="22">
        <f>VLOOKUP($A258,tabCustoUnit[],COLUMN(CUSTO_GLOBAL[[#Headers],[Vale - Alimentação (Descontada parcela do empregado)]])-2,0)*($G258-$H258)</f>
        <v>578.4</v>
      </c>
      <c r="AG258" s="22">
        <f>VLOOKUP($A258,tabCustoUnit[],COLUMN(CUSTO_GLOBAL[[#Headers],[Cesta Básica]])-2,0)*($G258-$H258)</f>
        <v>0</v>
      </c>
      <c r="AH258" s="22">
        <f>VLOOKUP($A258,tabCustoUnit[],COLUMN(CUSTO_GLOBAL[[#Headers],[PAF]])-2,0)*($G258-$H258)</f>
        <v>0</v>
      </c>
      <c r="AI258" s="22">
        <f>VLOOKUP($A258,tabCustoUnit[],COLUMN(CUSTO_GLOBAL[[#Headers],[PQM]])-2,0)*($G258-$H258)</f>
        <v>0</v>
      </c>
      <c r="AJ258" s="22">
        <v>0</v>
      </c>
      <c r="AK258" s="22">
        <f>VLOOKUP($A258,tabCustoUnit[],COLUMN(CUSTO_GLOBAL[[#Headers],[Seguro de Vida]])-2,0)*($G258-$H258)</f>
        <v>3.36</v>
      </c>
      <c r="AL258" s="22">
        <f>VLOOKUP($A258,tabCustoUnit[],COLUMN(CUSTO_GLOBAL[[#Headers],[Despesas de Viagem]])-2,0)*($G258-$H258)</f>
        <v>662.42</v>
      </c>
      <c r="AM258" s="22" t="e">
        <f ca="1">VLOOKUP($A258,tabCustoUnit[],COLUMN(CUSTO_GLOBAL[[#Headers],[Submódulo 2.3]])-2,0)*($G258-$H258)</f>
        <v>#NAME?</v>
      </c>
      <c r="AN258" s="22" t="e">
        <f ca="1">VLOOKUP($A258,tabCustoUnit[],COLUMN(CUSTO_GLOBAL[[#Headers],[MÓDULO 2 - Total Encargos e Benefícios mensais e diários]])-2,0)*($G258-$H258)</f>
        <v>#NAME?</v>
      </c>
      <c r="AO258" s="22">
        <f>VLOOKUP($A258,tabCustoUnit[],COLUMN(CUSTO_GLOBAL[[#Headers],[Aviso Prévio Indenizado (API) e Reflexo do Aviso Prévio Indenizado]])-2,0)*($G258-$H258)</f>
        <v>32.251290424324843</v>
      </c>
      <c r="AP258" s="22">
        <f>VLOOKUP($A258,tabCustoUnit[],COLUMN(CUSTO_GLOBAL[[#Headers],[Incidência do FGTS sobre API e Reflexo do API]])-2,0)*($G258-$H258)</f>
        <v>2.5801032339459877</v>
      </c>
      <c r="AQ258" s="22">
        <f>VLOOKUP($A258,tabCustoUnit[],COLUMN(CUSTO_GLOBAL[[#Headers],[Multa Rescisória do FGTS sobre o Aviso Prévio Indenizado]])-2,0)*($G258-$H258)</f>
        <v>1.0320412935783951</v>
      </c>
      <c r="AR258" s="22">
        <f>VLOOKUP($A258,tabCustoUnit[],COLUMN(CUSTO_GLOBAL[[#Headers],[Aviso Prévio Trabalhado - APT]])-2,0)*($G258-$H258)</f>
        <v>16.098583550000001</v>
      </c>
      <c r="AS258" s="22">
        <f>VLOOKUP($A258,tabCustoUnit[],COLUMN(CUSTO_GLOBAL[[#Headers],[Incidência dos encargos do submódulo 2.1 sobre Aviso Prévio Trabalhado]])-2,0)*($G258-$H258)</f>
        <v>6.0852645819000015</v>
      </c>
      <c r="AT258" s="22">
        <f>VLOOKUP($A258,tabCustoUnit[],COLUMN(CUSTO_GLOBAL[[#Headers],[Multa Rescisória do FGTS]])-2,0)*($G258-$H258)</f>
        <v>140.64540295111109</v>
      </c>
      <c r="AU258" s="22">
        <f>VLOOKUP($A258,tabCustoUnit[],COLUMN(CUSTO_GLOBAL[[#Headers],[Indenização Adicional (Art. 9º da Lei nº 7.238/84)]])-2,0)*($G258-$H258)</f>
        <v>3.8329960833333336</v>
      </c>
      <c r="AV258" s="22">
        <f>VLOOKUP($A258,tabCustoUnit[],COLUMN(CUSTO_GLOBAL[[#Headers],[MÓDULO 3 – PROVISÃO PARA RESCISÃO]])-2,0)*($G258-$H258)</f>
        <v>202.52568211819366</v>
      </c>
      <c r="AW258" s="22">
        <f>VLOOKUP($A258,tabCustoUnit[],COLUMN(CUSTO_GLOBAL[[#Headers],[Ausência por Doença]])-2,0)*($G258-$H258)</f>
        <v>38.841026977777773</v>
      </c>
      <c r="AX258" s="22">
        <f>VLOOKUP($A258,tabCustoUnit[],COLUMN(CUSTO_GLOBAL[[#Headers],[Ausências Legais]])-2,0)*($G258-$H258)</f>
        <v>9.3269571361111101</v>
      </c>
      <c r="AY258" s="22">
        <f>VLOOKUP($A258,tabCustoUnit[],COLUMN(CUSTO_GLOBAL[[#Headers],[Licença Paternidade]])-2,0)*($G258-$H258)</f>
        <v>0.78576419708333334</v>
      </c>
      <c r="AZ258" s="22">
        <f>VLOOKUP($A258,tabCustoUnit[],COLUMN(CUSTO_GLOBAL[[#Headers],[Ausência por Acidente de Trabalho]])-2,0)*($G258-$H258)</f>
        <v>0.95824902083333341</v>
      </c>
      <c r="BA258" s="22">
        <f>VLOOKUP($A258,tabCustoUnit[],COLUMN(CUSTO_GLOBAL[[#Headers],[Férias, Adicional de Férias e 13º  com empregada em gozo de Licença Maternidade]])-2,0)*($G258-$H258)</f>
        <v>5.9624383518518513</v>
      </c>
      <c r="BB258" s="22">
        <f>VLOOKUP($A258,tabCustoUnit[],COLUMN(CUSTO_GLOBAL[[#Headers],[Incidência do Submódulo 2.1 sobre Ausências Legais]])-2,0)*($G258-$H258)</f>
        <v>21.120536688422504</v>
      </c>
      <c r="BC258" s="22">
        <f>VLOOKUP($A258,tabCustoUnit[],COLUMN(CUSTO_GLOBAL[[#Headers],[Submódulo 4.1]])-2,0)*($G258-$H258)</f>
        <v>76.9949723720799</v>
      </c>
      <c r="BD258" s="22">
        <f>VLOOKUP($A258,tabCustoUnit[],COLUMN(CUSTO_GLOBAL[[#Headers],[Intervalo para Repouso ou Alimentação]])-2,0)*($G258-$H258)</f>
        <v>0</v>
      </c>
      <c r="BE258" s="22">
        <f>VLOOKUP($A258,tabCustoUnit[],COLUMN(CUSTO_GLOBAL[[#Headers],[Submódulo 4.2]])-2,0)*($G258-$H258)</f>
        <v>0</v>
      </c>
      <c r="BF258" s="22">
        <f>VLOOKUP($A258,tabCustoUnit[],COLUMN(CUSTO_GLOBAL[[#Headers],[Suspensão Temporária do Contrato de Trabalho]])-2,0)*($G258-$H258)</f>
        <v>0</v>
      </c>
      <c r="BG258" s="22">
        <f>VLOOKUP($A258,tabCustoUnit[],COLUMN(CUSTO_GLOBAL[[#Headers],[Submódulo 4.3]])-2,0)*($G258-$H258)</f>
        <v>0</v>
      </c>
      <c r="BH258" s="22">
        <f>VLOOKUP($A258,tabCustoUnit[],COLUMN(CUSTO_GLOBAL[[#Headers],[MÓDULO 4 – CUSTO DE REPOSIÇÃO DO PROFISSIONAL AUSENTE]])-2,0)*($G258-$H258)</f>
        <v>76.9949723720799</v>
      </c>
      <c r="BI258" s="22">
        <f>VLOOKUP($A258,tabCustoUnit[],COLUMN(CUSTO_GLOBAL[[#Headers],[Uniformes e EPIs]])-2,0)*($G258-$H258)</f>
        <v>92.100763771570698</v>
      </c>
      <c r="BJ258" s="22">
        <f>VLOOKUP($A258,tabCustoUnit[],COLUMN(CUSTO_GLOBAL[[#Headers],[Materiais de Consumo]])-2,0)*($G258-$H258)</f>
        <v>0</v>
      </c>
      <c r="BK258" s="22">
        <f>VLOOKUP($A258,tabCustoUnit[],COLUMN(CUSTO_GLOBAL[[#Headers],[Máquinas e Equipamentos (depreciação)]])-2,0)*($G258-$H258)</f>
        <v>0</v>
      </c>
      <c r="BL258" s="22">
        <f>VLOOKUP($A258,tabCustoUnit[],COLUMN(CUSTO_GLOBAL[[#Headers],[Produtos de Limpeza e Materiais de Higiene Pessoal]])-2,0)*($G258-$H258)</f>
        <v>0</v>
      </c>
      <c r="BM258" s="22">
        <f>VLOOKUP($A258,tabCustoUnit[],COLUMN(CUSTO_GLOBAL[[#Headers],[Outros (especificar)]])-2,0)*($G258-$H258)</f>
        <v>0</v>
      </c>
      <c r="BN258" s="22">
        <f>VLOOKUP($A258,tabCustoUnit[],COLUMN(CUSTO_GLOBAL[[#Headers],[MÓDULO 5 – INSUMOS DIVERSOS]])-2,0)*($G258-$H258)</f>
        <v>92.100763771570698</v>
      </c>
      <c r="BO258" s="22" t="e">
        <f ca="1">VLOOKUP($A258,tabCustoUnit[],COLUMN(CUSTO_GLOBAL[[#Headers],[TOTAL MÓDULOS 1+2+3+4+5]])-2,0)*($G258-$H258)</f>
        <v>#NAME?</v>
      </c>
      <c r="BP258" s="22" t="e">
        <f ca="1">VLOOKUP($A258,tabCustoUnit[],COLUMN(CUSTO_GLOBAL[[#Headers],[Custos Indiretos]])-2,0)*($G258-$H258)</f>
        <v>#NAME?</v>
      </c>
      <c r="BQ258" s="22" t="e">
        <f ca="1">VLOOKUP($A258,tabCustoUnit[],COLUMN(CUSTO_GLOBAL[[#Headers],[Lucro]])-2,0)*($G258-$H258)</f>
        <v>#NAME?</v>
      </c>
      <c r="BR258" s="26">
        <f>VLOOKUP($A258,tabCustoUnit[],COLUMN(CUSTO_GLOBAL[[#Headers],[COFINS]])-2,0)</f>
        <v>8.8629737609329504E-2</v>
      </c>
      <c r="BS258" s="26">
        <f>VLOOKUP($A258,tabCustoUnit[],COLUMN(CUSTO_GLOBAL[[#Headers],[PIS]])-2,0)</f>
        <v>1.9241982507288629E-2</v>
      </c>
      <c r="BT258" s="28">
        <f>VLOOKUP($A258,tabCustoUnit[],COLUMN(CUSTO_GLOBAL[[#Headers],[ISS]])-2,0)</f>
        <v>0.05</v>
      </c>
      <c r="BU258" s="26">
        <f>VLOOKUP($A258,tabCustoUnit[],COLUMN(CUSTO_GLOBAL[[#Headers],[ISS (Conversão Alíquota s/ fatura)]])-2,0)</f>
        <v>5.8309037900874633E-2</v>
      </c>
      <c r="BV258" s="26">
        <f>VLOOKUP($A258,tabCustoUnit[],COLUMN(CUSTO_GLOBAL[[#Headers],[Resumo de Alíquotas (PIS+CONFINS+ISS)]])-2,0)</f>
        <v>0.14250000000000002</v>
      </c>
      <c r="BW258" s="138">
        <f>VLOOKUP($A258,tabCustoUnit[],COLUMN(CUSTO_GLOBAL[[#Headers],[PIS + COFINS + ISS (Total Conversão  Alíquota s/ Fatura)]])-2,0)</f>
        <v>0.16618075801749277</v>
      </c>
      <c r="BX258" s="22" t="e">
        <f ca="1">VLOOKUP($A258,tabCustoUnit[],COLUMN(CUSTO_GLOBAL[[#Headers],[Valor dos Tributos (ISS, PIS, CONFINS)]])-2,0)*($G258-$H258)</f>
        <v>#NAME?</v>
      </c>
      <c r="BY258" s="22" t="e">
        <f ca="1">VLOOKUP($A258,tabCustoUnit[],COLUMN(CUSTO_GLOBAL[[#Headers],[MÓDULO 6 – CUSTOS INDIRETOS, TRIBUTOS E LUCRO]])-2,0)*($G258-$H258)</f>
        <v>#NAME?</v>
      </c>
      <c r="BZ258" s="22" t="e">
        <f ca="1">VLOOKUP($A258,tabCustoUnit[],COLUMN(CUSTO_GLOBAL[[#Headers],[CUSTO TOTAL MENSAL]])-2,0)*($G258-$H258)</f>
        <v>#NAME?</v>
      </c>
      <c r="CA258" s="22" t="e">
        <f ca="1">CUSTO_GLOBAL[[#This Row],[CUSTO TOTAL MENSAL]]*12</f>
        <v>#NAME?</v>
      </c>
      <c r="CB258" s="24">
        <f>VLOOKUP($A258,tabCustoUnit[],COLUMN(CUSTO_GLOBAL[[#Headers],[ANO DA CCT]])-2,0)</f>
        <v>45658</v>
      </c>
      <c r="CC258" s="25" t="str">
        <f>VLOOKUP($A258,tabCustoUnit[],COLUMN(CUSTO_GLOBAL[[#Headers],[Nº DE PEDIDO DA CCT]])-2,0)</f>
        <v>-</v>
      </c>
      <c r="CD258" s="25" t="str">
        <f>VLOOKUP($A258,tabCustoUnit[],COLUMN(CUSTO_GLOBAL[[#Headers],[TERMO ADITIVO ALTERAÇÃO DA CCT]])-2,0)</f>
        <v>-</v>
      </c>
    </row>
    <row r="259" spans="1:82">
      <c r="A259" s="20" t="s">
        <v>1680</v>
      </c>
      <c r="B259" t="s">
        <v>1189</v>
      </c>
      <c r="C259" t="s">
        <v>314</v>
      </c>
      <c r="D259" t="s">
        <v>911</v>
      </c>
      <c r="E259" s="20" t="s">
        <v>1090</v>
      </c>
      <c r="F259" s="20" t="s">
        <v>120</v>
      </c>
      <c r="G259" s="20">
        <v>1</v>
      </c>
      <c r="H259" s="20">
        <v>0</v>
      </c>
      <c r="I259" s="21">
        <f>VLOOKUP($A259,tabCustoUnit[],COLUMN(CUSTO_GLOBAL[[#Headers],[Salário Base]])-2,0)*($G259-$H259)</f>
        <v>1963.4110000000001</v>
      </c>
      <c r="J259" s="21">
        <f>VLOOKUP($A259,tabCustoUnit[],COLUMN(CUSTO_GLOBAL[[#Headers],[Adicional Periculosidade]])-2,0)*($G259-$H259)</f>
        <v>0</v>
      </c>
      <c r="K259" s="21">
        <f>VLOOKUP($A259,tabCustoUnit[],COLUMN(CUSTO_GLOBAL[[#Headers],[Adicional Insalubridade]])-2,0)*($G259-$H259)</f>
        <v>0</v>
      </c>
      <c r="L259" s="21">
        <f>VLOOKUP($A259,tabCustoUnit[],COLUMN(CUSTO_GLOBAL[[#Headers],[Adicional Noturno]])-2,0)*($G259-$H259)</f>
        <v>0</v>
      </c>
      <c r="M259" s="21">
        <f>VLOOKUP($A259,tabCustoUnit[],COLUMN(CUSTO_GLOBAL[[#Headers],[Adicional Motorista II (Gratificação)]])-2,0)*($G259-$H259)</f>
        <v>0</v>
      </c>
      <c r="N259" s="21">
        <f>VLOOKUP($A259,tabCustoUnit[],COLUMN(CUSTO_GLOBAL[[#Headers],[Adicional de Sobreaviso]])-2,0)*($G259-$H259)</f>
        <v>0</v>
      </c>
      <c r="O259" s="21">
        <f>VLOOKUP($A259,tabCustoUnit[],COLUMN(CUSTO_GLOBAL[[#Headers],[Horas Extras TI]])-2,0)*($G259-$H259)</f>
        <v>0</v>
      </c>
      <c r="P259" s="21">
        <f>VLOOKUP($A259,tabCustoUnit[],COLUMN(CUSTO_GLOBAL[[#Headers],[Adicional de Acúmulo de função]])-2,0)*($G259-$H259)</f>
        <v>0</v>
      </c>
      <c r="Q259" s="21">
        <f>VLOOKUP($A259,tabCustoUnit[],COLUMN(CUSTO_GLOBAL[[#Headers],[MODULO 1 - REMUNERAÇÃO ]])-2,0)*($G259-$H259)</f>
        <v>1963.4110000000001</v>
      </c>
      <c r="R259" s="21">
        <f>VLOOKUP($A259,tabCustoUnit[],COLUMN(CUSTO_GLOBAL[[#Headers],[INSS]])-2,0)*($G259-$H259)</f>
        <v>392.68220000000002</v>
      </c>
      <c r="S259" s="21">
        <f>VLOOKUP($A259,tabCustoUnit[],COLUMN(CUSTO_GLOBAL[[#Headers],[SESI OU SESC]])-2,0)*($G259-$H259)</f>
        <v>29.451165</v>
      </c>
      <c r="T259" s="21">
        <f>VLOOKUP($A259,tabCustoUnit[],COLUMN(CUSTO_GLOBAL[[#Headers],[SENAI OU SENAC]])-2,0)*($G259-$H259)</f>
        <v>19.63411</v>
      </c>
      <c r="U259" s="21">
        <f>VLOOKUP($A259,tabCustoUnit[],COLUMN(CUSTO_GLOBAL[[#Headers],[INCRA]])-2,0)*($G259-$H259)</f>
        <v>3.926822</v>
      </c>
      <c r="V259" s="21">
        <f>VLOOKUP($A259,tabCustoUnit[],COLUMN(CUSTO_GLOBAL[[#Headers],[Salário Educação]])-2,0)*($G259-$H259)</f>
        <v>49.085275000000003</v>
      </c>
      <c r="W259" s="21">
        <f>VLOOKUP($A259,tabCustoUnit[],COLUMN(CUSTO_GLOBAL[[#Headers],[FGTS]])-2,0)*($G259-$H259)</f>
        <v>157.07288</v>
      </c>
      <c r="X259" s="21">
        <f>VLOOKUP($A259,tabCustoUnit[],COLUMN(CUSTO_GLOBAL[[#Headers],[RAT Ajustado]])-2,0)*($G259-$H259)</f>
        <v>78.536439999999999</v>
      </c>
      <c r="Y259" s="21">
        <f>VLOOKUP($A259,tabCustoUnit[],COLUMN(CUSTO_GLOBAL[[#Headers],[SEBRAE]])-2,0)*($G259-$H259)</f>
        <v>11.780466000000001</v>
      </c>
      <c r="Z259" s="21">
        <f>VLOOKUP($A259,tabCustoUnit[],COLUMN(CUSTO_GLOBAL[[#Headers],[Submódulo 2.1]])-2,0)*($G259-$H259)</f>
        <v>742.1693580000001</v>
      </c>
      <c r="AA259" s="21">
        <f>VLOOKUP($A259,tabCustoUnit[],COLUMN(CUSTO_GLOBAL[[#Headers],[13º salário (titular)]])-2,0)*($G259-$H259)</f>
        <v>163.61758333333333</v>
      </c>
      <c r="AB259" s="21">
        <f>VLOOKUP($A259,tabCustoUnit[],COLUMN(CUSTO_GLOBAL[[#Headers],[Férias e Adicional de Férias (titular)]])-2,0)*($G259-$H259)</f>
        <v>218.15677777777776</v>
      </c>
      <c r="AC259" s="21">
        <f>VLOOKUP($A259,tabCustoUnit[],COLUMN(CUSTO_GLOBAL[[#Headers],[Incidência do Submódulo 2.1 sobre 13º Salário, Férias e Adicional de Férias]])-2,0)*($G259-$H259)</f>
        <v>144.3107085</v>
      </c>
      <c r="AD259" s="21">
        <f>VLOOKUP($A259,tabCustoUnit[],COLUMN(CUSTO_GLOBAL[[#Headers],[Submódulo 2.2]])-2,0)*($G259-$H259)</f>
        <v>526.08506961111107</v>
      </c>
      <c r="AE259" s="22" t="e">
        <f ca="1">VLOOKUP($A259,tabCustoUnit[],COLUMN(CUSTO_GLOBAL[[#Headers],[Vale - Transporte (Descontada parcela do empregado)]])-2,0)*($G259-$H259)</f>
        <v>#NAME?</v>
      </c>
      <c r="AF259" s="22">
        <f>VLOOKUP($A259,tabCustoUnit[],COLUMN(CUSTO_GLOBAL[[#Headers],[Vale - Alimentação (Descontada parcela do empregado)]])-2,0)*($G259-$H259)</f>
        <v>582</v>
      </c>
      <c r="AG259" s="22">
        <f>VLOOKUP($A259,tabCustoUnit[],COLUMN(CUSTO_GLOBAL[[#Headers],[Cesta Básica]])-2,0)*($G259-$H259)</f>
        <v>0</v>
      </c>
      <c r="AH259" s="22">
        <f>VLOOKUP($A259,tabCustoUnit[],COLUMN(CUSTO_GLOBAL[[#Headers],[PAF]])-2,0)*($G259-$H259)</f>
        <v>0</v>
      </c>
      <c r="AI259" s="22">
        <f>VLOOKUP($A259,tabCustoUnit[],COLUMN(CUSTO_GLOBAL[[#Headers],[PQM]])-2,0)*($G259-$H259)</f>
        <v>0</v>
      </c>
      <c r="AJ259" s="22">
        <v>0</v>
      </c>
      <c r="AK259" s="22">
        <f>VLOOKUP($A259,tabCustoUnit[],COLUMN(CUSTO_GLOBAL[[#Headers],[Seguro de Vida]])-2,0)*($G259-$H259)</f>
        <v>3.36</v>
      </c>
      <c r="AL259" s="22">
        <f>VLOOKUP($A259,tabCustoUnit[],COLUMN(CUSTO_GLOBAL[[#Headers],[Despesas de Viagem]])-2,0)*($G259-$H259)</f>
        <v>0</v>
      </c>
      <c r="AM259" s="22" t="e">
        <f ca="1">VLOOKUP($A259,tabCustoUnit[],COLUMN(CUSTO_GLOBAL[[#Headers],[Submódulo 2.3]])-2,0)*($G259-$H259)</f>
        <v>#NAME?</v>
      </c>
      <c r="AN259" s="22" t="e">
        <f ca="1">VLOOKUP($A259,tabCustoUnit[],COLUMN(CUSTO_GLOBAL[[#Headers],[MÓDULO 2 - Total Encargos e Benefícios mensais e diários]])-2,0)*($G259-$H259)</f>
        <v>#NAME?</v>
      </c>
      <c r="AO259" s="22">
        <f>VLOOKUP($A259,tabCustoUnit[],COLUMN(CUSTO_GLOBAL[[#Headers],[Aviso Prévio Indenizado (API) e Reflexo do Aviso Prévio Indenizado]])-2,0)*($G259-$H259)</f>
        <v>13.766980408757716</v>
      </c>
      <c r="AP259" s="22">
        <f>VLOOKUP($A259,tabCustoUnit[],COLUMN(CUSTO_GLOBAL[[#Headers],[Incidência do FGTS sobre API e Reflexo do API]])-2,0)*($G259-$H259)</f>
        <v>1.1013584327006174</v>
      </c>
      <c r="AQ259" s="22">
        <f>VLOOKUP($A259,tabCustoUnit[],COLUMN(CUSTO_GLOBAL[[#Headers],[Multa Rescisória do FGTS sobre o Aviso Prévio Indenizado]])-2,0)*($G259-$H259)</f>
        <v>0.44054337308024699</v>
      </c>
      <c r="AR259" s="22">
        <f>VLOOKUP($A259,tabCustoUnit[],COLUMN(CUSTO_GLOBAL[[#Headers],[Aviso Prévio Trabalhado - APT]])-2,0)*($G259-$H259)</f>
        <v>6.8719385000000015</v>
      </c>
      <c r="AS259" s="22">
        <f>VLOOKUP($A259,tabCustoUnit[],COLUMN(CUSTO_GLOBAL[[#Headers],[Incidência dos encargos do submódulo 2.1 sobre Aviso Prévio Trabalhado]])-2,0)*($G259-$H259)</f>
        <v>2.5975927530000007</v>
      </c>
      <c r="AT259" s="22">
        <f>VLOOKUP($A259,tabCustoUnit[],COLUMN(CUSTO_GLOBAL[[#Headers],[Multa Rescisória do FGTS]])-2,0)*($G259-$H259)</f>
        <v>60.03674524444444</v>
      </c>
      <c r="AU259" s="22">
        <f>VLOOKUP($A259,tabCustoUnit[],COLUMN(CUSTO_GLOBAL[[#Headers],[Indenização Adicional (Art. 9º da Lei nº 7.238/84)]])-2,0)*($G259-$H259)</f>
        <v>1.6361758333333334</v>
      </c>
      <c r="AV259" s="22">
        <f>VLOOKUP($A259,tabCustoUnit[],COLUMN(CUSTO_GLOBAL[[#Headers],[MÓDULO 3 – PROVISÃO PARA RESCISÃO]])-2,0)*($G259-$H259)</f>
        <v>86.451334545316371</v>
      </c>
      <c r="AW259" s="22">
        <f>VLOOKUP($A259,tabCustoUnit[],COLUMN(CUSTO_GLOBAL[[#Headers],[Ausência por Doença]])-2,0)*($G259-$H259)</f>
        <v>16.579915111111109</v>
      </c>
      <c r="AX259" s="22">
        <f>VLOOKUP($A259,tabCustoUnit[],COLUMN(CUSTO_GLOBAL[[#Headers],[Ausências Legais]])-2,0)*($G259-$H259)</f>
        <v>3.9813611944444443</v>
      </c>
      <c r="AY259" s="22">
        <f>VLOOKUP($A259,tabCustoUnit[],COLUMN(CUSTO_GLOBAL[[#Headers],[Licença Paternidade]])-2,0)*($G259-$H259)</f>
        <v>0.33541604583333334</v>
      </c>
      <c r="AZ259" s="22">
        <f>VLOOKUP($A259,tabCustoUnit[],COLUMN(CUSTO_GLOBAL[[#Headers],[Ausência por Acidente de Trabalho]])-2,0)*($G259-$H259)</f>
        <v>0.40904395833333335</v>
      </c>
      <c r="BA259" s="22">
        <f>VLOOKUP($A259,tabCustoUnit[],COLUMN(CUSTO_GLOBAL[[#Headers],[Férias, Adicional de Férias e 13º  com empregada em gozo de Licença Maternidade]])-2,0)*($G259-$H259)</f>
        <v>2.5451624074074073</v>
      </c>
      <c r="BB259" s="22">
        <f>VLOOKUP($A259,tabCustoUnit[],COLUMN(CUSTO_GLOBAL[[#Headers],[Incidência do Submódulo 2.1 sobre Ausências Legais]])-2,0)*($G259-$H259)</f>
        <v>9.0156397150750021</v>
      </c>
      <c r="BC259" s="22">
        <f>VLOOKUP($A259,tabCustoUnit[],COLUMN(CUSTO_GLOBAL[[#Headers],[Submódulo 4.1]])-2,0)*($G259-$H259)</f>
        <v>32.866538432204628</v>
      </c>
      <c r="BD259" s="22">
        <f>VLOOKUP($A259,tabCustoUnit[],COLUMN(CUSTO_GLOBAL[[#Headers],[Intervalo para Repouso ou Alimentação]])-2,0)*($G259-$H259)</f>
        <v>267.73786489195959</v>
      </c>
      <c r="BE259" s="22">
        <f>VLOOKUP($A259,tabCustoUnit[],COLUMN(CUSTO_GLOBAL[[#Headers],[Submódulo 4.2]])-2,0)*($G259-$H259)</f>
        <v>267.73786489195959</v>
      </c>
      <c r="BF259" s="22">
        <f>VLOOKUP($A259,tabCustoUnit[],COLUMN(CUSTO_GLOBAL[[#Headers],[Suspensão Temporária do Contrato de Trabalho]])-2,0)*($G259-$H259)</f>
        <v>0</v>
      </c>
      <c r="BG259" s="22">
        <f>VLOOKUP($A259,tabCustoUnit[],COLUMN(CUSTO_GLOBAL[[#Headers],[Submódulo 4.3]])-2,0)*($G259-$H259)</f>
        <v>0</v>
      </c>
      <c r="BH259" s="22">
        <f>VLOOKUP($A259,tabCustoUnit[],COLUMN(CUSTO_GLOBAL[[#Headers],[MÓDULO 4 – CUSTO DE REPOSIÇÃO DO PROFISSIONAL AUSENTE]])-2,0)*($G259-$H259)</f>
        <v>300.6044033241642</v>
      </c>
      <c r="BI259" s="22">
        <f>VLOOKUP($A259,tabCustoUnit[],COLUMN(CUSTO_GLOBAL[[#Headers],[Uniformes e EPIs]])-2,0)*($G259-$H259)</f>
        <v>56.642978962543395</v>
      </c>
      <c r="BJ259" s="22">
        <f>VLOOKUP($A259,tabCustoUnit[],COLUMN(CUSTO_GLOBAL[[#Headers],[Materiais de Consumo]])-2,0)*($G259-$H259)</f>
        <v>0</v>
      </c>
      <c r="BK259" s="22">
        <f>VLOOKUP($A259,tabCustoUnit[],COLUMN(CUSTO_GLOBAL[[#Headers],[Máquinas e Equipamentos (depreciação)]])-2,0)*($G259-$H259)</f>
        <v>0</v>
      </c>
      <c r="BL259" s="22">
        <f>VLOOKUP($A259,tabCustoUnit[],COLUMN(CUSTO_GLOBAL[[#Headers],[Produtos de Limpeza e Materiais de Higiene Pessoal]])-2,0)*($G259-$H259)</f>
        <v>0</v>
      </c>
      <c r="BM259" s="22">
        <f>VLOOKUP($A259,tabCustoUnit[],COLUMN(CUSTO_GLOBAL[[#Headers],[Outros (especificar)]])-2,0)*($G259-$H259)</f>
        <v>0</v>
      </c>
      <c r="BN259" s="22">
        <f>VLOOKUP($A259,tabCustoUnit[],COLUMN(CUSTO_GLOBAL[[#Headers],[MÓDULO 5 – INSUMOS DIVERSOS]])-2,0)*($G259-$H259)</f>
        <v>56.642978962543395</v>
      </c>
      <c r="BO259" s="22" t="e">
        <f ca="1">VLOOKUP($A259,tabCustoUnit[],COLUMN(CUSTO_GLOBAL[[#Headers],[TOTAL MÓDULOS 1+2+3+4+5]])-2,0)*($G259-$H259)</f>
        <v>#NAME?</v>
      </c>
      <c r="BP259" s="22" t="e">
        <f ca="1">VLOOKUP($A259,tabCustoUnit[],COLUMN(CUSTO_GLOBAL[[#Headers],[Custos Indiretos]])-2,0)*($G259-$H259)</f>
        <v>#NAME?</v>
      </c>
      <c r="BQ259" s="22" t="e">
        <f ca="1">VLOOKUP($A259,tabCustoUnit[],COLUMN(CUSTO_GLOBAL[[#Headers],[Lucro]])-2,0)*($G259-$H259)</f>
        <v>#NAME?</v>
      </c>
      <c r="BR259" s="26">
        <f>VLOOKUP($A259,tabCustoUnit[],COLUMN(CUSTO_GLOBAL[[#Headers],[COFINS]])-2,0)</f>
        <v>8.5633802816901458E-2</v>
      </c>
      <c r="BS259" s="26">
        <f>VLOOKUP($A259,tabCustoUnit[],COLUMN(CUSTO_GLOBAL[[#Headers],[PIS]])-2,0)</f>
        <v>1.8591549295774657E-2</v>
      </c>
      <c r="BT259" s="28">
        <f>VLOOKUP($A259,tabCustoUnit[],COLUMN(CUSTO_GLOBAL[[#Headers],[ISS]])-2,0)</f>
        <v>0.02</v>
      </c>
      <c r="BU259" s="26">
        <f>VLOOKUP($A259,tabCustoUnit[],COLUMN(CUSTO_GLOBAL[[#Headers],[ISS (Conversão Alíquota s/ fatura)]])-2,0)</f>
        <v>2.2535211267605645E-2</v>
      </c>
      <c r="BV259" s="26">
        <f>VLOOKUP($A259,tabCustoUnit[],COLUMN(CUSTO_GLOBAL[[#Headers],[Resumo de Alíquotas (PIS+CONFINS+ISS)]])-2,0)</f>
        <v>0.1125</v>
      </c>
      <c r="BW259" s="138">
        <f>VLOOKUP($A259,tabCustoUnit[],COLUMN(CUSTO_GLOBAL[[#Headers],[PIS + COFINS + ISS (Total Conversão  Alíquota s/ Fatura)]])-2,0)</f>
        <v>0.12676056338028174</v>
      </c>
      <c r="BX259" s="22" t="e">
        <f ca="1">VLOOKUP($A259,tabCustoUnit[],COLUMN(CUSTO_GLOBAL[[#Headers],[Valor dos Tributos (ISS, PIS, CONFINS)]])-2,0)*($G259-$H259)</f>
        <v>#NAME?</v>
      </c>
      <c r="BY259" s="22" t="e">
        <f ca="1">VLOOKUP($A259,tabCustoUnit[],COLUMN(CUSTO_GLOBAL[[#Headers],[MÓDULO 6 – CUSTOS INDIRETOS, TRIBUTOS E LUCRO]])-2,0)*($G259-$H259)</f>
        <v>#NAME?</v>
      </c>
      <c r="BZ259" s="22" t="e">
        <f ca="1">VLOOKUP($A259,tabCustoUnit[],COLUMN(CUSTO_GLOBAL[[#Headers],[CUSTO TOTAL MENSAL]])-2,0)*($G259-$H259)</f>
        <v>#NAME?</v>
      </c>
      <c r="CA259" s="22" t="e">
        <f ca="1">CUSTO_GLOBAL[[#This Row],[CUSTO TOTAL MENSAL]]*12</f>
        <v>#NAME?</v>
      </c>
      <c r="CB259" s="24">
        <f>VLOOKUP($A259,tabCustoUnit[],COLUMN(CUSTO_GLOBAL[[#Headers],[ANO DA CCT]])-2,0)</f>
        <v>45658</v>
      </c>
      <c r="CC259" s="25" t="str">
        <f>VLOOKUP($A259,tabCustoUnit[],COLUMN(CUSTO_GLOBAL[[#Headers],[Nº DE PEDIDO DA CCT]])-2,0)</f>
        <v>-</v>
      </c>
      <c r="CD259" s="25" t="str">
        <f>VLOOKUP($A259,tabCustoUnit[],COLUMN(CUSTO_GLOBAL[[#Headers],[TERMO ADITIVO ALTERAÇÃO DA CCT]])-2,0)</f>
        <v>-</v>
      </c>
    </row>
    <row r="260" spans="1:82">
      <c r="A260" s="20" t="s">
        <v>1504</v>
      </c>
      <c r="B260" t="s">
        <v>1190</v>
      </c>
      <c r="C260" t="s">
        <v>1367</v>
      </c>
      <c r="D260" t="s">
        <v>957</v>
      </c>
      <c r="E260" s="20" t="s">
        <v>1090</v>
      </c>
      <c r="F260" s="20" t="s">
        <v>120</v>
      </c>
      <c r="G260" s="20">
        <v>1</v>
      </c>
      <c r="H260" s="20">
        <v>0</v>
      </c>
      <c r="I260" s="21">
        <f>VLOOKUP($A260,tabCustoUnit[],COLUMN(CUSTO_GLOBAL[[#Headers],[Salário Base]])-2,0)*($G260-$H260)</f>
        <v>2087.4324000000001</v>
      </c>
      <c r="J260" s="21">
        <f>VLOOKUP($A260,tabCustoUnit[],COLUMN(CUSTO_GLOBAL[[#Headers],[Adicional Periculosidade]])-2,0)*($G260-$H260)</f>
        <v>0</v>
      </c>
      <c r="K260" s="21">
        <f>VLOOKUP($A260,tabCustoUnit[],COLUMN(CUSTO_GLOBAL[[#Headers],[Adicional Insalubridade]])-2,0)*($G260-$H260)</f>
        <v>303.60000000000002</v>
      </c>
      <c r="L260" s="21">
        <f>VLOOKUP($A260,tabCustoUnit[],COLUMN(CUSTO_GLOBAL[[#Headers],[Adicional Noturno]])-2,0)*($G260-$H260)</f>
        <v>0</v>
      </c>
      <c r="M260" s="21">
        <f>VLOOKUP($A260,tabCustoUnit[],COLUMN(CUSTO_GLOBAL[[#Headers],[Adicional Motorista II (Gratificação)]])-2,0)*($G260-$H260)</f>
        <v>0</v>
      </c>
      <c r="N260" s="21">
        <f>VLOOKUP($A260,tabCustoUnit[],COLUMN(CUSTO_GLOBAL[[#Headers],[Adicional de Sobreaviso]])-2,0)*($G260-$H260)</f>
        <v>0</v>
      </c>
      <c r="O260" s="21">
        <f>VLOOKUP($A260,tabCustoUnit[],COLUMN(CUSTO_GLOBAL[[#Headers],[Horas Extras TI]])-2,0)*($G260-$H260)</f>
        <v>0</v>
      </c>
      <c r="P260" s="21">
        <f>VLOOKUP($A260,tabCustoUnit[],COLUMN(CUSTO_GLOBAL[[#Headers],[Adicional de Acúmulo de função]])-2,0)*($G260-$H260)</f>
        <v>0</v>
      </c>
      <c r="Q260" s="21">
        <f>VLOOKUP($A260,tabCustoUnit[],COLUMN(CUSTO_GLOBAL[[#Headers],[MODULO 1 - REMUNERAÇÃO ]])-2,0)*($G260-$H260)</f>
        <v>2391.0324000000001</v>
      </c>
      <c r="R260" s="21">
        <f>VLOOKUP($A260,tabCustoUnit[],COLUMN(CUSTO_GLOBAL[[#Headers],[INSS]])-2,0)*($G260-$H260)</f>
        <v>478.20648000000006</v>
      </c>
      <c r="S260" s="21">
        <f>VLOOKUP($A260,tabCustoUnit[],COLUMN(CUSTO_GLOBAL[[#Headers],[SESI OU SESC]])-2,0)*($G260-$H260)</f>
        <v>35.865485999999997</v>
      </c>
      <c r="T260" s="21">
        <f>VLOOKUP($A260,tabCustoUnit[],COLUMN(CUSTO_GLOBAL[[#Headers],[SENAI OU SENAC]])-2,0)*($G260-$H260)</f>
        <v>23.910324000000003</v>
      </c>
      <c r="U260" s="21">
        <f>VLOOKUP($A260,tabCustoUnit[],COLUMN(CUSTO_GLOBAL[[#Headers],[INCRA]])-2,0)*($G260-$H260)</f>
        <v>4.7820648000000006</v>
      </c>
      <c r="V260" s="21">
        <f>VLOOKUP($A260,tabCustoUnit[],COLUMN(CUSTO_GLOBAL[[#Headers],[Salário Educação]])-2,0)*($G260-$H260)</f>
        <v>59.775810000000007</v>
      </c>
      <c r="W260" s="21">
        <f>VLOOKUP($A260,tabCustoUnit[],COLUMN(CUSTO_GLOBAL[[#Headers],[FGTS]])-2,0)*($G260-$H260)</f>
        <v>191.28259200000002</v>
      </c>
      <c r="X260" s="21">
        <f>VLOOKUP($A260,tabCustoUnit[],COLUMN(CUSTO_GLOBAL[[#Headers],[RAT Ajustado]])-2,0)*($G260-$H260)</f>
        <v>95.641296000000011</v>
      </c>
      <c r="Y260" s="21">
        <f>VLOOKUP($A260,tabCustoUnit[],COLUMN(CUSTO_GLOBAL[[#Headers],[SEBRAE]])-2,0)*($G260-$H260)</f>
        <v>14.3461944</v>
      </c>
      <c r="Z260" s="21">
        <f>VLOOKUP($A260,tabCustoUnit[],COLUMN(CUSTO_GLOBAL[[#Headers],[Submódulo 2.1]])-2,0)*($G260-$H260)</f>
        <v>903.81024720000005</v>
      </c>
      <c r="AA260" s="21">
        <f>VLOOKUP($A260,tabCustoUnit[],COLUMN(CUSTO_GLOBAL[[#Headers],[13º salário (titular)]])-2,0)*($G260-$H260)</f>
        <v>199.2527</v>
      </c>
      <c r="AB260" s="21">
        <f>VLOOKUP($A260,tabCustoUnit[],COLUMN(CUSTO_GLOBAL[[#Headers],[Férias e Adicional de Férias (titular)]])-2,0)*($G260-$H260)</f>
        <v>265.67026666666663</v>
      </c>
      <c r="AC260" s="21">
        <f>VLOOKUP($A260,tabCustoUnit[],COLUMN(CUSTO_GLOBAL[[#Headers],[Incidência do Submódulo 2.1 sobre 13º Salário, Férias e Adicional de Férias]])-2,0)*($G260-$H260)</f>
        <v>175.74088139999998</v>
      </c>
      <c r="AD260" s="21">
        <f>VLOOKUP($A260,tabCustoUnit[],COLUMN(CUSTO_GLOBAL[[#Headers],[Submódulo 2.2]])-2,0)*($G260-$H260)</f>
        <v>640.66384806666656</v>
      </c>
      <c r="AE260" s="22" t="e">
        <f ca="1">VLOOKUP($A260,tabCustoUnit[],COLUMN(CUSTO_GLOBAL[[#Headers],[Vale - Transporte (Descontada parcela do empregado)]])-2,0)*($G260-$H260)</f>
        <v>#NAME?</v>
      </c>
      <c r="AF260" s="22">
        <f>VLOOKUP($A260,tabCustoUnit[],COLUMN(CUSTO_GLOBAL[[#Headers],[Vale - Alimentação (Descontada parcela do empregado)]])-2,0)*($G260-$H260)</f>
        <v>582</v>
      </c>
      <c r="AG260" s="22">
        <f>VLOOKUP($A260,tabCustoUnit[],COLUMN(CUSTO_GLOBAL[[#Headers],[Cesta Básica]])-2,0)*($G260-$H260)</f>
        <v>0</v>
      </c>
      <c r="AH260" s="22">
        <f>VLOOKUP($A260,tabCustoUnit[],COLUMN(CUSTO_GLOBAL[[#Headers],[PAF]])-2,0)*($G260-$H260)</f>
        <v>0</v>
      </c>
      <c r="AI260" s="22">
        <f>VLOOKUP($A260,tabCustoUnit[],COLUMN(CUSTO_GLOBAL[[#Headers],[PQM]])-2,0)*($G260-$H260)</f>
        <v>0</v>
      </c>
      <c r="AJ260" s="22">
        <v>0</v>
      </c>
      <c r="AK260" s="22">
        <f>VLOOKUP($A260,tabCustoUnit[],COLUMN(CUSTO_GLOBAL[[#Headers],[Seguro de Vida]])-2,0)*($G260-$H260)</f>
        <v>3.36</v>
      </c>
      <c r="AL260" s="22">
        <f>VLOOKUP($A260,tabCustoUnit[],COLUMN(CUSTO_GLOBAL[[#Headers],[Despesas de Viagem]])-2,0)*($G260-$H260)</f>
        <v>0</v>
      </c>
      <c r="AM260" s="22" t="e">
        <f ca="1">VLOOKUP($A260,tabCustoUnit[],COLUMN(CUSTO_GLOBAL[[#Headers],[Submódulo 2.3]])-2,0)*($G260-$H260)</f>
        <v>#NAME?</v>
      </c>
      <c r="AN260" s="22" t="e">
        <f ca="1">VLOOKUP($A260,tabCustoUnit[],COLUMN(CUSTO_GLOBAL[[#Headers],[MÓDULO 2 - Total Encargos e Benefícios mensais e diários]])-2,0)*($G260-$H260)</f>
        <v>#NAME?</v>
      </c>
      <c r="AO260" s="22">
        <f>VLOOKUP($A260,tabCustoUnit[],COLUMN(CUSTO_GLOBAL[[#Headers],[Aviso Prévio Indenizado (API) e Reflexo do Aviso Prévio Indenizado]])-2,0)*($G260-$H260)</f>
        <v>16.765362019212965</v>
      </c>
      <c r="AP260" s="22">
        <f>VLOOKUP($A260,tabCustoUnit[],COLUMN(CUSTO_GLOBAL[[#Headers],[Incidência do FGTS sobre API e Reflexo do API]])-2,0)*($G260-$H260)</f>
        <v>1.3412289615370372</v>
      </c>
      <c r="AQ260" s="22">
        <f>VLOOKUP($A260,tabCustoUnit[],COLUMN(CUSTO_GLOBAL[[#Headers],[Multa Rescisória do FGTS sobre o Aviso Prévio Indenizado]])-2,0)*($G260-$H260)</f>
        <v>0.53649158461481494</v>
      </c>
      <c r="AR260" s="22">
        <f>VLOOKUP($A260,tabCustoUnit[],COLUMN(CUSTO_GLOBAL[[#Headers],[Aviso Prévio Trabalhado - APT]])-2,0)*($G260-$H260)</f>
        <v>8.368613400000001</v>
      </c>
      <c r="AS260" s="22">
        <f>VLOOKUP($A260,tabCustoUnit[],COLUMN(CUSTO_GLOBAL[[#Headers],[Incidência dos encargos do submódulo 2.1 sobre Aviso Prévio Trabalhado]])-2,0)*($G260-$H260)</f>
        <v>3.163335865200001</v>
      </c>
      <c r="AT260" s="22">
        <f>VLOOKUP($A260,tabCustoUnit[],COLUMN(CUSTO_GLOBAL[[#Headers],[Multa Rescisória do FGTS]])-2,0)*($G260-$H260)</f>
        <v>73.112457386666662</v>
      </c>
      <c r="AU260" s="22">
        <f>VLOOKUP($A260,tabCustoUnit[],COLUMN(CUSTO_GLOBAL[[#Headers],[Indenização Adicional (Art. 9º da Lei nº 7.238/84)]])-2,0)*($G260-$H260)</f>
        <v>1.9925270000000002</v>
      </c>
      <c r="AV260" s="22">
        <f>VLOOKUP($A260,tabCustoUnit[],COLUMN(CUSTO_GLOBAL[[#Headers],[MÓDULO 3 – PROVISÃO PARA RESCISÃO]])-2,0)*($G260-$H260)</f>
        <v>105.28001621723148</v>
      </c>
      <c r="AW260" s="22">
        <f>VLOOKUP($A260,tabCustoUnit[],COLUMN(CUSTO_GLOBAL[[#Headers],[Ausência por Doença]])-2,0)*($G260-$H260)</f>
        <v>20.190940266666665</v>
      </c>
      <c r="AX260" s="22">
        <f>VLOOKUP($A260,tabCustoUnit[],COLUMN(CUSTO_GLOBAL[[#Headers],[Ausências Legais]])-2,0)*($G260-$H260)</f>
        <v>4.8484823666666665</v>
      </c>
      <c r="AY260" s="22">
        <f>VLOOKUP($A260,tabCustoUnit[],COLUMN(CUSTO_GLOBAL[[#Headers],[Licença Paternidade]])-2,0)*($G260-$H260)</f>
        <v>0.40846803500000001</v>
      </c>
      <c r="AZ260" s="22">
        <f>VLOOKUP($A260,tabCustoUnit[],COLUMN(CUSTO_GLOBAL[[#Headers],[Ausência por Acidente de Trabalho]])-2,0)*($G260-$H260)</f>
        <v>0.49813175000000004</v>
      </c>
      <c r="BA260" s="22">
        <f>VLOOKUP($A260,tabCustoUnit[],COLUMN(CUSTO_GLOBAL[[#Headers],[Férias, Adicional de Férias e 13º  com empregada em gozo de Licença Maternidade]])-2,0)*($G260-$H260)</f>
        <v>3.0994864444444445</v>
      </c>
      <c r="BB260" s="22">
        <f>VLOOKUP($A260,tabCustoUnit[],COLUMN(CUSTO_GLOBAL[[#Headers],[Incidência do Submódulo 2.1 sobre Ausências Legais]])-2,0)*($G260-$H260)</f>
        <v>10.979202350130002</v>
      </c>
      <c r="BC260" s="22">
        <f>VLOOKUP($A260,tabCustoUnit[],COLUMN(CUSTO_GLOBAL[[#Headers],[Submódulo 4.1]])-2,0)*($G260-$H260)</f>
        <v>40.024711212907775</v>
      </c>
      <c r="BD260" s="22">
        <f>VLOOKUP($A260,tabCustoUnit[],COLUMN(CUSTO_GLOBAL[[#Headers],[Intervalo para Repouso ou Alimentação]])-2,0)*($G260-$H260)</f>
        <v>0</v>
      </c>
      <c r="BE260" s="22">
        <f>VLOOKUP($A260,tabCustoUnit[],COLUMN(CUSTO_GLOBAL[[#Headers],[Submódulo 4.2]])-2,0)*($G260-$H260)</f>
        <v>0</v>
      </c>
      <c r="BF260" s="22">
        <f>VLOOKUP($A260,tabCustoUnit[],COLUMN(CUSTO_GLOBAL[[#Headers],[Suspensão Temporária do Contrato de Trabalho]])-2,0)*($G260-$H260)</f>
        <v>0</v>
      </c>
      <c r="BG260" s="22">
        <f>VLOOKUP($A260,tabCustoUnit[],COLUMN(CUSTO_GLOBAL[[#Headers],[Submódulo 4.3]])-2,0)*($G260-$H260)</f>
        <v>0</v>
      </c>
      <c r="BH260" s="22">
        <f>VLOOKUP($A260,tabCustoUnit[],COLUMN(CUSTO_GLOBAL[[#Headers],[MÓDULO 4 – CUSTO DE REPOSIÇÃO DO PROFISSIONAL AUSENTE]])-2,0)*($G260-$H260)</f>
        <v>40.024711212907775</v>
      </c>
      <c r="BI260" s="22">
        <f>VLOOKUP($A260,tabCustoUnit[],COLUMN(CUSTO_GLOBAL[[#Headers],[Uniformes e EPIs]])-2,0)*($G260-$H260)</f>
        <v>253.83572732312174</v>
      </c>
      <c r="BJ260" s="22">
        <f>VLOOKUP($A260,tabCustoUnit[],COLUMN(CUSTO_GLOBAL[[#Headers],[Materiais de Consumo]])-2,0)*($G260-$H260)</f>
        <v>441.81099462365592</v>
      </c>
      <c r="BK260" s="22">
        <f>VLOOKUP($A260,tabCustoUnit[],COLUMN(CUSTO_GLOBAL[[#Headers],[Máquinas e Equipamentos (depreciação)]])-2,0)*($G260-$H260)</f>
        <v>113.11309677419354</v>
      </c>
      <c r="BL260" s="22">
        <f>VLOOKUP($A260,tabCustoUnit[],COLUMN(CUSTO_GLOBAL[[#Headers],[Produtos de Limpeza e Materiais de Higiene Pessoal]])-2,0)*($G260-$H260)</f>
        <v>0</v>
      </c>
      <c r="BM260" s="22">
        <f>VLOOKUP($A260,tabCustoUnit[],COLUMN(CUSTO_GLOBAL[[#Headers],[Outros (especificar)]])-2,0)*($G260-$H260)</f>
        <v>0</v>
      </c>
      <c r="BN260" s="22">
        <f>VLOOKUP($A260,tabCustoUnit[],COLUMN(CUSTO_GLOBAL[[#Headers],[MÓDULO 5 – INSUMOS DIVERSOS]])-2,0)*($G260-$H260)</f>
        <v>808.75981872097123</v>
      </c>
      <c r="BO260" s="22" t="e">
        <f ca="1">VLOOKUP($A260,tabCustoUnit[],COLUMN(CUSTO_GLOBAL[[#Headers],[TOTAL MÓDULOS 1+2+3+4+5]])-2,0)*($G260-$H260)</f>
        <v>#NAME?</v>
      </c>
      <c r="BP260" s="22" t="e">
        <f ca="1">VLOOKUP($A260,tabCustoUnit[],COLUMN(CUSTO_GLOBAL[[#Headers],[Custos Indiretos]])-2,0)*($G260-$H260)</f>
        <v>#NAME?</v>
      </c>
      <c r="BQ260" s="22" t="e">
        <f ca="1">VLOOKUP($A260,tabCustoUnit[],COLUMN(CUSTO_GLOBAL[[#Headers],[Lucro]])-2,0)*($G260-$H260)</f>
        <v>#NAME?</v>
      </c>
      <c r="BR260" s="26">
        <f>VLOOKUP($A260,tabCustoUnit[],COLUMN(CUSTO_GLOBAL[[#Headers],[COFINS]])-2,0)</f>
        <v>8.6609686609686695E-2</v>
      </c>
      <c r="BS260" s="26">
        <f>VLOOKUP($A260,tabCustoUnit[],COLUMN(CUSTO_GLOBAL[[#Headers],[PIS]])-2,0)</f>
        <v>1.880341880341882E-2</v>
      </c>
      <c r="BT260" s="28">
        <f>VLOOKUP($A260,tabCustoUnit[],COLUMN(CUSTO_GLOBAL[[#Headers],[ISS]])-2,0)</f>
        <v>0.03</v>
      </c>
      <c r="BU260" s="26">
        <f>VLOOKUP($A260,tabCustoUnit[],COLUMN(CUSTO_GLOBAL[[#Headers],[ISS (Conversão Alíquota s/ fatura)]])-2,0)</f>
        <v>3.4188034188034219E-2</v>
      </c>
      <c r="BV260" s="26">
        <f>VLOOKUP($A260,tabCustoUnit[],COLUMN(CUSTO_GLOBAL[[#Headers],[Resumo de Alíquotas (PIS+CONFINS+ISS)]])-2,0)</f>
        <v>0.1225</v>
      </c>
      <c r="BW260" s="138">
        <f>VLOOKUP($A260,tabCustoUnit[],COLUMN(CUSTO_GLOBAL[[#Headers],[PIS + COFINS + ISS (Total Conversão  Alíquota s/ Fatura)]])-2,0)</f>
        <v>0.13960113960113973</v>
      </c>
      <c r="BX260" s="22" t="e">
        <f ca="1">VLOOKUP($A260,tabCustoUnit[],COLUMN(CUSTO_GLOBAL[[#Headers],[Valor dos Tributos (ISS, PIS, CONFINS)]])-2,0)*($G260-$H260)</f>
        <v>#NAME?</v>
      </c>
      <c r="BY260" s="22" t="e">
        <f ca="1">VLOOKUP($A260,tabCustoUnit[],COLUMN(CUSTO_GLOBAL[[#Headers],[MÓDULO 6 – CUSTOS INDIRETOS, TRIBUTOS E LUCRO]])-2,0)*($G260-$H260)</f>
        <v>#NAME?</v>
      </c>
      <c r="BZ260" s="22" t="e">
        <f ca="1">VLOOKUP($A260,tabCustoUnit[],COLUMN(CUSTO_GLOBAL[[#Headers],[CUSTO TOTAL MENSAL]])-2,0)*($G260-$H260)</f>
        <v>#NAME?</v>
      </c>
      <c r="CA260" s="22" t="e">
        <f ca="1">CUSTO_GLOBAL[[#This Row],[CUSTO TOTAL MENSAL]]*12</f>
        <v>#NAME?</v>
      </c>
      <c r="CB260" s="24">
        <f>VLOOKUP($A260,tabCustoUnit[],COLUMN(CUSTO_GLOBAL[[#Headers],[ANO DA CCT]])-2,0)</f>
        <v>45658</v>
      </c>
      <c r="CC260" s="25" t="str">
        <f>VLOOKUP($A260,tabCustoUnit[],COLUMN(CUSTO_GLOBAL[[#Headers],[Nº DE PEDIDO DA CCT]])-2,0)</f>
        <v>-</v>
      </c>
      <c r="CD260" s="25" t="str">
        <f>VLOOKUP($A260,tabCustoUnit[],COLUMN(CUSTO_GLOBAL[[#Headers],[TERMO ADITIVO ALTERAÇÃO DA CCT]])-2,0)</f>
        <v>-</v>
      </c>
    </row>
    <row r="261" spans="1:82">
      <c r="A261" s="20" t="s">
        <v>1681</v>
      </c>
      <c r="B261" t="s">
        <v>1190</v>
      </c>
      <c r="C261" t="s">
        <v>1368</v>
      </c>
      <c r="D261" t="s">
        <v>957</v>
      </c>
      <c r="E261" s="20" t="s">
        <v>1090</v>
      </c>
      <c r="F261" s="20" t="s">
        <v>120</v>
      </c>
      <c r="G261" s="20">
        <v>1</v>
      </c>
      <c r="H261" s="20">
        <v>0</v>
      </c>
      <c r="I261" s="21">
        <f>VLOOKUP($A261,tabCustoUnit[],COLUMN(CUSTO_GLOBAL[[#Headers],[Salário Base]])-2,0)*($G261-$H261)</f>
        <v>2296.1756999999998</v>
      </c>
      <c r="J261" s="21">
        <f>VLOOKUP($A261,tabCustoUnit[],COLUMN(CUSTO_GLOBAL[[#Headers],[Adicional Periculosidade]])-2,0)*($G261-$H261)</f>
        <v>0</v>
      </c>
      <c r="K261" s="21">
        <f>VLOOKUP($A261,tabCustoUnit[],COLUMN(CUSTO_GLOBAL[[#Headers],[Adicional Insalubridade]])-2,0)*($G261-$H261)</f>
        <v>303.60000000000002</v>
      </c>
      <c r="L261" s="21">
        <f>VLOOKUP($A261,tabCustoUnit[],COLUMN(CUSTO_GLOBAL[[#Headers],[Adicional Noturno]])-2,0)*($G261-$H261)</f>
        <v>0</v>
      </c>
      <c r="M261" s="21">
        <f>VLOOKUP($A261,tabCustoUnit[],COLUMN(CUSTO_GLOBAL[[#Headers],[Adicional Motorista II (Gratificação)]])-2,0)*($G261-$H261)</f>
        <v>0</v>
      </c>
      <c r="N261" s="21">
        <f>VLOOKUP($A261,tabCustoUnit[],COLUMN(CUSTO_GLOBAL[[#Headers],[Adicional de Sobreaviso]])-2,0)*($G261-$H261)</f>
        <v>0</v>
      </c>
      <c r="O261" s="21">
        <f>VLOOKUP($A261,tabCustoUnit[],COLUMN(CUSTO_GLOBAL[[#Headers],[Horas Extras TI]])-2,0)*($G261-$H261)</f>
        <v>0</v>
      </c>
      <c r="P261" s="21">
        <f>VLOOKUP($A261,tabCustoUnit[],COLUMN(CUSTO_GLOBAL[[#Headers],[Adicional de Acúmulo de função]])-2,0)*($G261-$H261)</f>
        <v>0</v>
      </c>
      <c r="Q261" s="21">
        <f>VLOOKUP($A261,tabCustoUnit[],COLUMN(CUSTO_GLOBAL[[#Headers],[MODULO 1 - REMUNERAÇÃO ]])-2,0)*($G261-$H261)</f>
        <v>2599.7756999999997</v>
      </c>
      <c r="R261" s="21">
        <f>VLOOKUP($A261,tabCustoUnit[],COLUMN(CUSTO_GLOBAL[[#Headers],[INSS]])-2,0)*($G261-$H261)</f>
        <v>519.95513999999991</v>
      </c>
      <c r="S261" s="21">
        <f>VLOOKUP($A261,tabCustoUnit[],COLUMN(CUSTO_GLOBAL[[#Headers],[SESI OU SESC]])-2,0)*($G261-$H261)</f>
        <v>38.996635499999996</v>
      </c>
      <c r="T261" s="21">
        <f>VLOOKUP($A261,tabCustoUnit[],COLUMN(CUSTO_GLOBAL[[#Headers],[SENAI OU SENAC]])-2,0)*($G261-$H261)</f>
        <v>25.997756999999996</v>
      </c>
      <c r="U261" s="21">
        <f>VLOOKUP($A261,tabCustoUnit[],COLUMN(CUSTO_GLOBAL[[#Headers],[INCRA]])-2,0)*($G261-$H261)</f>
        <v>5.1995513999999998</v>
      </c>
      <c r="V261" s="21">
        <f>VLOOKUP($A261,tabCustoUnit[],COLUMN(CUSTO_GLOBAL[[#Headers],[Salário Educação]])-2,0)*($G261-$H261)</f>
        <v>64.994392499999989</v>
      </c>
      <c r="W261" s="21">
        <f>VLOOKUP($A261,tabCustoUnit[],COLUMN(CUSTO_GLOBAL[[#Headers],[FGTS]])-2,0)*($G261-$H261)</f>
        <v>207.98205599999997</v>
      </c>
      <c r="X261" s="21">
        <f>VLOOKUP($A261,tabCustoUnit[],COLUMN(CUSTO_GLOBAL[[#Headers],[RAT Ajustado]])-2,0)*($G261-$H261)</f>
        <v>103.99102799999999</v>
      </c>
      <c r="Y261" s="21">
        <f>VLOOKUP($A261,tabCustoUnit[],COLUMN(CUSTO_GLOBAL[[#Headers],[SEBRAE]])-2,0)*($G261-$H261)</f>
        <v>15.598654199999999</v>
      </c>
      <c r="Z261" s="21">
        <f>VLOOKUP($A261,tabCustoUnit[],COLUMN(CUSTO_GLOBAL[[#Headers],[Submódulo 2.1]])-2,0)*($G261-$H261)</f>
        <v>982.71521459999985</v>
      </c>
      <c r="AA261" s="21">
        <f>VLOOKUP($A261,tabCustoUnit[],COLUMN(CUSTO_GLOBAL[[#Headers],[13º salário (titular)]])-2,0)*($G261-$H261)</f>
        <v>216.64797499999997</v>
      </c>
      <c r="AB261" s="21">
        <f>VLOOKUP($A261,tabCustoUnit[],COLUMN(CUSTO_GLOBAL[[#Headers],[Férias e Adicional de Férias (titular)]])-2,0)*($G261-$H261)</f>
        <v>288.86396666666661</v>
      </c>
      <c r="AC261" s="21">
        <f>VLOOKUP($A261,tabCustoUnit[],COLUMN(CUSTO_GLOBAL[[#Headers],[Incidência do Submódulo 2.1 sobre 13º Salário, Férias e Adicional de Férias]])-2,0)*($G261-$H261)</f>
        <v>191.08351394999997</v>
      </c>
      <c r="AD261" s="21">
        <f>VLOOKUP($A261,tabCustoUnit[],COLUMN(CUSTO_GLOBAL[[#Headers],[Submódulo 2.2]])-2,0)*($G261-$H261)</f>
        <v>696.59545561666653</v>
      </c>
      <c r="AE261" s="22" t="e">
        <f ca="1">VLOOKUP($A261,tabCustoUnit[],COLUMN(CUSTO_GLOBAL[[#Headers],[Vale - Transporte (Descontada parcela do empregado)]])-2,0)*($G261-$H261)</f>
        <v>#NAME?</v>
      </c>
      <c r="AF261" s="22">
        <f>VLOOKUP($A261,tabCustoUnit[],COLUMN(CUSTO_GLOBAL[[#Headers],[Vale - Alimentação (Descontada parcela do empregado)]])-2,0)*($G261-$H261)</f>
        <v>582</v>
      </c>
      <c r="AG261" s="22">
        <f>VLOOKUP($A261,tabCustoUnit[],COLUMN(CUSTO_GLOBAL[[#Headers],[Cesta Básica]])-2,0)*($G261-$H261)</f>
        <v>0</v>
      </c>
      <c r="AH261" s="22">
        <f>VLOOKUP($A261,tabCustoUnit[],COLUMN(CUSTO_GLOBAL[[#Headers],[PAF]])-2,0)*($G261-$H261)</f>
        <v>0</v>
      </c>
      <c r="AI261" s="22">
        <f>VLOOKUP($A261,tabCustoUnit[],COLUMN(CUSTO_GLOBAL[[#Headers],[PQM]])-2,0)*($G261-$H261)</f>
        <v>0</v>
      </c>
      <c r="AJ261" s="22">
        <v>0</v>
      </c>
      <c r="AK261" s="22">
        <f>VLOOKUP($A261,tabCustoUnit[],COLUMN(CUSTO_GLOBAL[[#Headers],[Seguro de Vida]])-2,0)*($G261-$H261)</f>
        <v>3.36</v>
      </c>
      <c r="AL261" s="22">
        <f>VLOOKUP($A261,tabCustoUnit[],COLUMN(CUSTO_GLOBAL[[#Headers],[Despesas de Viagem]])-2,0)*($G261-$H261)</f>
        <v>0</v>
      </c>
      <c r="AM261" s="22" t="e">
        <f ca="1">VLOOKUP($A261,tabCustoUnit[],COLUMN(CUSTO_GLOBAL[[#Headers],[Submódulo 2.3]])-2,0)*($G261-$H261)</f>
        <v>#NAME?</v>
      </c>
      <c r="AN261" s="22" t="e">
        <f ca="1">VLOOKUP($A261,tabCustoUnit[],COLUMN(CUSTO_GLOBAL[[#Headers],[MÓDULO 2 - Total Encargos e Benefícios mensais e diários]])-2,0)*($G261-$H261)</f>
        <v>#NAME?</v>
      </c>
      <c r="AO261" s="22">
        <f>VLOOKUP($A261,tabCustoUnit[],COLUMN(CUSTO_GLOBAL[[#Headers],[Aviso Prévio Indenizado (API) e Reflexo do Aviso Prévio Indenizado]])-2,0)*($G261-$H261)</f>
        <v>18.229021396469907</v>
      </c>
      <c r="AP261" s="22">
        <f>VLOOKUP($A261,tabCustoUnit[],COLUMN(CUSTO_GLOBAL[[#Headers],[Incidência do FGTS sobre API e Reflexo do API]])-2,0)*($G261-$H261)</f>
        <v>1.4583217117175926</v>
      </c>
      <c r="AQ261" s="22">
        <f>VLOOKUP($A261,tabCustoUnit[],COLUMN(CUSTO_GLOBAL[[#Headers],[Multa Rescisória do FGTS sobre o Aviso Prévio Indenizado]])-2,0)*($G261-$H261)</f>
        <v>0.58332868468703702</v>
      </c>
      <c r="AR261" s="22">
        <f>VLOOKUP($A261,tabCustoUnit[],COLUMN(CUSTO_GLOBAL[[#Headers],[Aviso Prévio Trabalhado - APT]])-2,0)*($G261-$H261)</f>
        <v>9.0992149500000004</v>
      </c>
      <c r="AS261" s="22">
        <f>VLOOKUP($A261,tabCustoUnit[],COLUMN(CUSTO_GLOBAL[[#Headers],[Incidência dos encargos do submódulo 2.1 sobre Aviso Prévio Trabalhado]])-2,0)*($G261-$H261)</f>
        <v>3.4395032511000005</v>
      </c>
      <c r="AT261" s="22">
        <f>VLOOKUP($A261,tabCustoUnit[],COLUMN(CUSTO_GLOBAL[[#Headers],[Multa Rescisória do FGTS]])-2,0)*($G261-$H261)</f>
        <v>79.495363626666645</v>
      </c>
      <c r="AU261" s="22">
        <f>VLOOKUP($A261,tabCustoUnit[],COLUMN(CUSTO_GLOBAL[[#Headers],[Indenização Adicional (Art. 9º da Lei nº 7.238/84)]])-2,0)*($G261-$H261)</f>
        <v>2.1664797499999997</v>
      </c>
      <c r="AV261" s="22">
        <f>VLOOKUP($A261,tabCustoUnit[],COLUMN(CUSTO_GLOBAL[[#Headers],[MÓDULO 3 – PROVISÃO PARA RESCISÃO]])-2,0)*($G261-$H261)</f>
        <v>114.47123337064117</v>
      </c>
      <c r="AW261" s="22">
        <f>VLOOKUP($A261,tabCustoUnit[],COLUMN(CUSTO_GLOBAL[[#Headers],[Ausência por Doença]])-2,0)*($G261-$H261)</f>
        <v>21.953661466666663</v>
      </c>
      <c r="AX261" s="22">
        <f>VLOOKUP($A261,tabCustoUnit[],COLUMN(CUSTO_GLOBAL[[#Headers],[Ausências Legais]])-2,0)*($G261-$H261)</f>
        <v>5.2717673916666659</v>
      </c>
      <c r="AY261" s="22">
        <f>VLOOKUP($A261,tabCustoUnit[],COLUMN(CUSTO_GLOBAL[[#Headers],[Licença Paternidade]])-2,0)*($G261-$H261)</f>
        <v>0.44412834874999996</v>
      </c>
      <c r="AZ261" s="22">
        <f>VLOOKUP($A261,tabCustoUnit[],COLUMN(CUSTO_GLOBAL[[#Headers],[Ausência por Acidente de Trabalho]])-2,0)*($G261-$H261)</f>
        <v>0.54161993749999993</v>
      </c>
      <c r="BA261" s="22">
        <f>VLOOKUP($A261,tabCustoUnit[],COLUMN(CUSTO_GLOBAL[[#Headers],[Férias, Adicional de Férias e 13º  com empregada em gozo de Licença Maternidade]])-2,0)*($G261-$H261)</f>
        <v>3.3700796111111107</v>
      </c>
      <c r="BB261" s="22">
        <f>VLOOKUP($A261,tabCustoUnit[],COLUMN(CUSTO_GLOBAL[[#Headers],[Incidência do Submódulo 2.1 sobre Ausências Legais]])-2,0)*($G261-$H261)</f>
        <v>11.9377150536525</v>
      </c>
      <c r="BC261" s="22">
        <f>VLOOKUP($A261,tabCustoUnit[],COLUMN(CUSTO_GLOBAL[[#Headers],[Submódulo 4.1]])-2,0)*($G261-$H261)</f>
        <v>43.518971809346937</v>
      </c>
      <c r="BD261" s="22">
        <f>VLOOKUP($A261,tabCustoUnit[],COLUMN(CUSTO_GLOBAL[[#Headers],[Intervalo para Repouso ou Alimentação]])-2,0)*($G261-$H261)</f>
        <v>0</v>
      </c>
      <c r="BE261" s="22">
        <f>VLOOKUP($A261,tabCustoUnit[],COLUMN(CUSTO_GLOBAL[[#Headers],[Submódulo 4.2]])-2,0)*($G261-$H261)</f>
        <v>0</v>
      </c>
      <c r="BF261" s="22">
        <f>VLOOKUP($A261,tabCustoUnit[],COLUMN(CUSTO_GLOBAL[[#Headers],[Suspensão Temporária do Contrato de Trabalho]])-2,0)*($G261-$H261)</f>
        <v>0</v>
      </c>
      <c r="BG261" s="22">
        <f>VLOOKUP($A261,tabCustoUnit[],COLUMN(CUSTO_GLOBAL[[#Headers],[Submódulo 4.3]])-2,0)*($G261-$H261)</f>
        <v>0</v>
      </c>
      <c r="BH261" s="22">
        <f>VLOOKUP($A261,tabCustoUnit[],COLUMN(CUSTO_GLOBAL[[#Headers],[MÓDULO 4 – CUSTO DE REPOSIÇÃO DO PROFISSIONAL AUSENTE]])-2,0)*($G261-$H261)</f>
        <v>43.518971809346937</v>
      </c>
      <c r="BI261" s="22">
        <f>VLOOKUP($A261,tabCustoUnit[],COLUMN(CUSTO_GLOBAL[[#Headers],[Uniformes e EPIs]])-2,0)*($G261-$H261)</f>
        <v>196.62072732312174</v>
      </c>
      <c r="BJ261" s="22">
        <f>VLOOKUP($A261,tabCustoUnit[],COLUMN(CUSTO_GLOBAL[[#Headers],[Materiais de Consumo]])-2,0)*($G261-$H261)</f>
        <v>441.81099462365592</v>
      </c>
      <c r="BK261" s="22">
        <f>VLOOKUP($A261,tabCustoUnit[],COLUMN(CUSTO_GLOBAL[[#Headers],[Máquinas e Equipamentos (depreciação)]])-2,0)*($G261-$H261)</f>
        <v>113.11309677419354</v>
      </c>
      <c r="BL261" s="22">
        <f>VLOOKUP($A261,tabCustoUnit[],COLUMN(CUSTO_GLOBAL[[#Headers],[Produtos de Limpeza e Materiais de Higiene Pessoal]])-2,0)*($G261-$H261)</f>
        <v>0</v>
      </c>
      <c r="BM261" s="22">
        <f>VLOOKUP($A261,tabCustoUnit[],COLUMN(CUSTO_GLOBAL[[#Headers],[Outros (especificar)]])-2,0)*($G261-$H261)</f>
        <v>0</v>
      </c>
      <c r="BN261" s="22">
        <f>VLOOKUP($A261,tabCustoUnit[],COLUMN(CUSTO_GLOBAL[[#Headers],[MÓDULO 5 – INSUMOS DIVERSOS]])-2,0)*($G261-$H261)</f>
        <v>751.54481872097119</v>
      </c>
      <c r="BO261" s="22" t="e">
        <f ca="1">VLOOKUP($A261,tabCustoUnit[],COLUMN(CUSTO_GLOBAL[[#Headers],[TOTAL MÓDULOS 1+2+3+4+5]])-2,0)*($G261-$H261)</f>
        <v>#NAME?</v>
      </c>
      <c r="BP261" s="22" t="e">
        <f ca="1">VLOOKUP($A261,tabCustoUnit[],COLUMN(CUSTO_GLOBAL[[#Headers],[Custos Indiretos]])-2,0)*($G261-$H261)</f>
        <v>#NAME?</v>
      </c>
      <c r="BQ261" s="22" t="e">
        <f ca="1">VLOOKUP($A261,tabCustoUnit[],COLUMN(CUSTO_GLOBAL[[#Headers],[Lucro]])-2,0)*($G261-$H261)</f>
        <v>#NAME?</v>
      </c>
      <c r="BR261" s="26">
        <f>VLOOKUP($A261,tabCustoUnit[],COLUMN(CUSTO_GLOBAL[[#Headers],[COFINS]])-2,0)</f>
        <v>8.6609686609686695E-2</v>
      </c>
      <c r="BS261" s="26">
        <f>VLOOKUP($A261,tabCustoUnit[],COLUMN(CUSTO_GLOBAL[[#Headers],[PIS]])-2,0)</f>
        <v>1.880341880341882E-2</v>
      </c>
      <c r="BT261" s="28">
        <f>VLOOKUP($A261,tabCustoUnit[],COLUMN(CUSTO_GLOBAL[[#Headers],[ISS]])-2,0)</f>
        <v>0.03</v>
      </c>
      <c r="BU261" s="26">
        <f>VLOOKUP($A261,tabCustoUnit[],COLUMN(CUSTO_GLOBAL[[#Headers],[ISS (Conversão Alíquota s/ fatura)]])-2,0)</f>
        <v>3.4188034188034219E-2</v>
      </c>
      <c r="BV261" s="26">
        <f>VLOOKUP($A261,tabCustoUnit[],COLUMN(CUSTO_GLOBAL[[#Headers],[Resumo de Alíquotas (PIS+CONFINS+ISS)]])-2,0)</f>
        <v>0.1225</v>
      </c>
      <c r="BW261" s="138">
        <f>VLOOKUP($A261,tabCustoUnit[],COLUMN(CUSTO_GLOBAL[[#Headers],[PIS + COFINS + ISS (Total Conversão  Alíquota s/ Fatura)]])-2,0)</f>
        <v>0.13960113960113973</v>
      </c>
      <c r="BX261" s="22" t="e">
        <f ca="1">VLOOKUP($A261,tabCustoUnit[],COLUMN(CUSTO_GLOBAL[[#Headers],[Valor dos Tributos (ISS, PIS, CONFINS)]])-2,0)*($G261-$H261)</f>
        <v>#NAME?</v>
      </c>
      <c r="BY261" s="22" t="e">
        <f ca="1">VLOOKUP($A261,tabCustoUnit[],COLUMN(CUSTO_GLOBAL[[#Headers],[MÓDULO 6 – CUSTOS INDIRETOS, TRIBUTOS E LUCRO]])-2,0)*($G261-$H261)</f>
        <v>#NAME?</v>
      </c>
      <c r="BZ261" s="22" t="e">
        <f ca="1">VLOOKUP($A261,tabCustoUnit[],COLUMN(CUSTO_GLOBAL[[#Headers],[CUSTO TOTAL MENSAL]])-2,0)*($G261-$H261)</f>
        <v>#NAME?</v>
      </c>
      <c r="CA261" s="22" t="e">
        <f ca="1">CUSTO_GLOBAL[[#This Row],[CUSTO TOTAL MENSAL]]*12</f>
        <v>#NAME?</v>
      </c>
      <c r="CB261" s="24">
        <f>VLOOKUP($A261,tabCustoUnit[],COLUMN(CUSTO_GLOBAL[[#Headers],[ANO DA CCT]])-2,0)</f>
        <v>45658</v>
      </c>
      <c r="CC261" s="25" t="str">
        <f>VLOOKUP($A261,tabCustoUnit[],COLUMN(CUSTO_GLOBAL[[#Headers],[Nº DE PEDIDO DA CCT]])-2,0)</f>
        <v>-</v>
      </c>
      <c r="CD261" s="25" t="str">
        <f>VLOOKUP($A261,tabCustoUnit[],COLUMN(CUSTO_GLOBAL[[#Headers],[TERMO ADITIVO ALTERAÇÃO DA CCT]])-2,0)</f>
        <v>-</v>
      </c>
    </row>
    <row r="262" spans="1:82">
      <c r="A262" s="20" t="s">
        <v>1682</v>
      </c>
      <c r="B262" t="s">
        <v>1190</v>
      </c>
      <c r="C262" t="s">
        <v>309</v>
      </c>
      <c r="D262" t="s">
        <v>957</v>
      </c>
      <c r="E262" s="20" t="s">
        <v>1090</v>
      </c>
      <c r="F262" s="20" t="s">
        <v>120</v>
      </c>
      <c r="G262" s="20">
        <v>2</v>
      </c>
      <c r="H262" s="20">
        <v>0</v>
      </c>
      <c r="I262" s="21">
        <f>VLOOKUP($A262,tabCustoUnit[],COLUMN(CUSTO_GLOBAL[[#Headers],[Salário Base]])-2,0)*($G262-$H262)</f>
        <v>3926.8220000000001</v>
      </c>
      <c r="J262" s="21">
        <f>VLOOKUP($A262,tabCustoUnit[],COLUMN(CUSTO_GLOBAL[[#Headers],[Adicional Periculosidade]])-2,0)*($G262-$H262)</f>
        <v>0</v>
      </c>
      <c r="K262" s="21">
        <f>VLOOKUP($A262,tabCustoUnit[],COLUMN(CUSTO_GLOBAL[[#Headers],[Adicional Insalubridade]])-2,0)*($G262-$H262)</f>
        <v>0</v>
      </c>
      <c r="L262" s="21">
        <f>VLOOKUP($A262,tabCustoUnit[],COLUMN(CUSTO_GLOBAL[[#Headers],[Adicional Noturno]])-2,0)*($G262-$H262)</f>
        <v>791.25459999999998</v>
      </c>
      <c r="M262" s="21">
        <f>VLOOKUP($A262,tabCustoUnit[],COLUMN(CUSTO_GLOBAL[[#Headers],[Adicional Motorista II (Gratificação)]])-2,0)*($G262-$H262)</f>
        <v>0</v>
      </c>
      <c r="N262" s="21">
        <f>VLOOKUP($A262,tabCustoUnit[],COLUMN(CUSTO_GLOBAL[[#Headers],[Adicional de Sobreaviso]])-2,0)*($G262-$H262)</f>
        <v>0</v>
      </c>
      <c r="O262" s="21">
        <f>VLOOKUP($A262,tabCustoUnit[],COLUMN(CUSTO_GLOBAL[[#Headers],[Horas Extras TI]])-2,0)*($G262-$H262)</f>
        <v>0</v>
      </c>
      <c r="P262" s="21">
        <f>VLOOKUP($A262,tabCustoUnit[],COLUMN(CUSTO_GLOBAL[[#Headers],[Adicional de Acúmulo de função]])-2,0)*($G262-$H262)</f>
        <v>0</v>
      </c>
      <c r="Q262" s="21">
        <f>VLOOKUP($A262,tabCustoUnit[],COLUMN(CUSTO_GLOBAL[[#Headers],[MODULO 1 - REMUNERAÇÃO ]])-2,0)*($G262-$H262)</f>
        <v>4718.0766000000003</v>
      </c>
      <c r="R262" s="21">
        <f>VLOOKUP($A262,tabCustoUnit[],COLUMN(CUSTO_GLOBAL[[#Headers],[INSS]])-2,0)*($G262-$H262)</f>
        <v>943.61532000000011</v>
      </c>
      <c r="S262" s="21">
        <f>VLOOKUP($A262,tabCustoUnit[],COLUMN(CUSTO_GLOBAL[[#Headers],[SESI OU SESC]])-2,0)*($G262-$H262)</f>
        <v>70.771149000000008</v>
      </c>
      <c r="T262" s="21">
        <f>VLOOKUP($A262,tabCustoUnit[],COLUMN(CUSTO_GLOBAL[[#Headers],[SENAI OU SENAC]])-2,0)*($G262-$H262)</f>
        <v>47.180766000000006</v>
      </c>
      <c r="U262" s="21">
        <f>VLOOKUP($A262,tabCustoUnit[],COLUMN(CUSTO_GLOBAL[[#Headers],[INCRA]])-2,0)*($G262-$H262)</f>
        <v>9.4361532000000015</v>
      </c>
      <c r="V262" s="21">
        <f>VLOOKUP($A262,tabCustoUnit[],COLUMN(CUSTO_GLOBAL[[#Headers],[Salário Educação]])-2,0)*($G262-$H262)</f>
        <v>117.95191500000001</v>
      </c>
      <c r="W262" s="21">
        <f>VLOOKUP($A262,tabCustoUnit[],COLUMN(CUSTO_GLOBAL[[#Headers],[FGTS]])-2,0)*($G262-$H262)</f>
        <v>377.44612800000004</v>
      </c>
      <c r="X262" s="21">
        <f>VLOOKUP($A262,tabCustoUnit[],COLUMN(CUSTO_GLOBAL[[#Headers],[RAT Ajustado]])-2,0)*($G262-$H262)</f>
        <v>188.72306400000002</v>
      </c>
      <c r="Y262" s="21">
        <f>VLOOKUP($A262,tabCustoUnit[],COLUMN(CUSTO_GLOBAL[[#Headers],[SEBRAE]])-2,0)*($G262-$H262)</f>
        <v>28.308459600000003</v>
      </c>
      <c r="Z262" s="21">
        <f>VLOOKUP($A262,tabCustoUnit[],COLUMN(CUSTO_GLOBAL[[#Headers],[Submódulo 2.1]])-2,0)*($G262-$H262)</f>
        <v>1783.4329548000005</v>
      </c>
      <c r="AA262" s="21">
        <f>VLOOKUP($A262,tabCustoUnit[],COLUMN(CUSTO_GLOBAL[[#Headers],[13º salário (titular)]])-2,0)*($G262-$H262)</f>
        <v>393.17304999999999</v>
      </c>
      <c r="AB262" s="21">
        <f>VLOOKUP($A262,tabCustoUnit[],COLUMN(CUSTO_GLOBAL[[#Headers],[Férias e Adicional de Férias (titular)]])-2,0)*($G262-$H262)</f>
        <v>524.23073333333332</v>
      </c>
      <c r="AC262" s="21">
        <f>VLOOKUP($A262,tabCustoUnit[],COLUMN(CUSTO_GLOBAL[[#Headers],[Incidência do Submódulo 2.1 sobre 13º Salário, Férias e Adicional de Férias]])-2,0)*($G262-$H262)</f>
        <v>346.77863010000004</v>
      </c>
      <c r="AD262" s="21">
        <f>VLOOKUP($A262,tabCustoUnit[],COLUMN(CUSTO_GLOBAL[[#Headers],[Submódulo 2.2]])-2,0)*($G262-$H262)</f>
        <v>1264.1824134333333</v>
      </c>
      <c r="AE262" s="22" t="e">
        <f ca="1">VLOOKUP($A262,tabCustoUnit[],COLUMN(CUSTO_GLOBAL[[#Headers],[Vale - Transporte (Descontada parcela do empregado)]])-2,0)*($G262-$H262)</f>
        <v>#NAME?</v>
      </c>
      <c r="AF262" s="22">
        <f>VLOOKUP($A262,tabCustoUnit[],COLUMN(CUSTO_GLOBAL[[#Headers],[Vale - Alimentação (Descontada parcela do empregado)]])-2,0)*($G262-$H262)</f>
        <v>1164</v>
      </c>
      <c r="AG262" s="22">
        <f>VLOOKUP($A262,tabCustoUnit[],COLUMN(CUSTO_GLOBAL[[#Headers],[Cesta Básica]])-2,0)*($G262-$H262)</f>
        <v>0</v>
      </c>
      <c r="AH262" s="22">
        <f>VLOOKUP($A262,tabCustoUnit[],COLUMN(CUSTO_GLOBAL[[#Headers],[PAF]])-2,0)*($G262-$H262)</f>
        <v>0</v>
      </c>
      <c r="AI262" s="22">
        <f>VLOOKUP($A262,tabCustoUnit[],COLUMN(CUSTO_GLOBAL[[#Headers],[PQM]])-2,0)*($G262-$H262)</f>
        <v>0</v>
      </c>
      <c r="AJ262" s="22">
        <v>0</v>
      </c>
      <c r="AK262" s="22">
        <f>VLOOKUP($A262,tabCustoUnit[],COLUMN(CUSTO_GLOBAL[[#Headers],[Seguro de Vida]])-2,0)*($G262-$H262)</f>
        <v>6.72</v>
      </c>
      <c r="AL262" s="22">
        <f>VLOOKUP($A262,tabCustoUnit[],COLUMN(CUSTO_GLOBAL[[#Headers],[Despesas de Viagem]])-2,0)*($G262-$H262)</f>
        <v>0</v>
      </c>
      <c r="AM262" s="22" t="e">
        <f ca="1">VLOOKUP($A262,tabCustoUnit[],COLUMN(CUSTO_GLOBAL[[#Headers],[Submódulo 2.3]])-2,0)*($G262-$H262)</f>
        <v>#NAME?</v>
      </c>
      <c r="AN262" s="22" t="e">
        <f ca="1">VLOOKUP($A262,tabCustoUnit[],COLUMN(CUSTO_GLOBAL[[#Headers],[MÓDULO 2 - Total Encargos e Benefícios mensais e diários]])-2,0)*($G262-$H262)</f>
        <v>#NAME?</v>
      </c>
      <c r="AO262" s="22">
        <f>VLOOKUP($A262,tabCustoUnit[],COLUMN(CUSTO_GLOBAL[[#Headers],[Aviso Prévio Indenizado (API) e Reflexo do Aviso Prévio Indenizado]])-2,0)*($G262-$H262)</f>
        <v>33.082053690856483</v>
      </c>
      <c r="AP262" s="22">
        <f>VLOOKUP($A262,tabCustoUnit[],COLUMN(CUSTO_GLOBAL[[#Headers],[Incidência do FGTS sobre API e Reflexo do API]])-2,0)*($G262-$H262)</f>
        <v>2.6465642952685191</v>
      </c>
      <c r="AQ262" s="22">
        <f>VLOOKUP($A262,tabCustoUnit[],COLUMN(CUSTO_GLOBAL[[#Headers],[Multa Rescisória do FGTS sobre o Aviso Prévio Indenizado]])-2,0)*($G262-$H262)</f>
        <v>1.0586257181074077</v>
      </c>
      <c r="AR262" s="22">
        <f>VLOOKUP($A262,tabCustoUnit[],COLUMN(CUSTO_GLOBAL[[#Headers],[Aviso Prévio Trabalhado - APT]])-2,0)*($G262-$H262)</f>
        <v>16.513268100000005</v>
      </c>
      <c r="AS262" s="22">
        <f>VLOOKUP($A262,tabCustoUnit[],COLUMN(CUSTO_GLOBAL[[#Headers],[Incidência dos encargos do submódulo 2.1 sobre Aviso Prévio Trabalhado]])-2,0)*($G262-$H262)</f>
        <v>6.2420153418000019</v>
      </c>
      <c r="AT262" s="22">
        <f>VLOOKUP($A262,tabCustoUnit[],COLUMN(CUSTO_GLOBAL[[#Headers],[Multa Rescisória do FGTS]])-2,0)*($G262-$H262)</f>
        <v>144.26829781333333</v>
      </c>
      <c r="AU262" s="22">
        <f>VLOOKUP($A262,tabCustoUnit[],COLUMN(CUSTO_GLOBAL[[#Headers],[Indenização Adicional (Art. 9º da Lei nº 7.238/84)]])-2,0)*($G262-$H262)</f>
        <v>3.9317305000000005</v>
      </c>
      <c r="AV262" s="22">
        <f>VLOOKUP($A262,tabCustoUnit[],COLUMN(CUSTO_GLOBAL[[#Headers],[MÓDULO 3 – PROVISÃO PARA RESCISÃO]])-2,0)*($G262-$H262)</f>
        <v>207.74255545936575</v>
      </c>
      <c r="AW262" s="22">
        <f>VLOOKUP($A262,tabCustoUnit[],COLUMN(CUSTO_GLOBAL[[#Headers],[Ausência por Doença]])-2,0)*($G262-$H262)</f>
        <v>39.84153573333333</v>
      </c>
      <c r="AX262" s="22">
        <f>VLOOKUP($A262,tabCustoUnit[],COLUMN(CUSTO_GLOBAL[[#Headers],[Ausências Legais]])-2,0)*($G262-$H262)</f>
        <v>9.5672108833333329</v>
      </c>
      <c r="AY262" s="22">
        <f>VLOOKUP($A262,tabCustoUnit[],COLUMN(CUSTO_GLOBAL[[#Headers],[Licença Paternidade]])-2,0)*($G262-$H262)</f>
        <v>0.80600475250000003</v>
      </c>
      <c r="AZ262" s="22">
        <f>VLOOKUP($A262,tabCustoUnit[],COLUMN(CUSTO_GLOBAL[[#Headers],[Ausência por Acidente de Trabalho]])-2,0)*($G262-$H262)</f>
        <v>0.98293262500000012</v>
      </c>
      <c r="BA262" s="22">
        <f>VLOOKUP($A262,tabCustoUnit[],COLUMN(CUSTO_GLOBAL[[#Headers],[Férias, Adicional de Férias e 13º  com empregada em gozo de Licença Maternidade]])-2,0)*($G262-$H262)</f>
        <v>6.1160252222222224</v>
      </c>
      <c r="BB262" s="22">
        <f>VLOOKUP($A262,tabCustoUnit[],COLUMN(CUSTO_GLOBAL[[#Headers],[Incidência do Submódulo 2.1 sobre Ausências Legais]])-2,0)*($G262-$H262)</f>
        <v>21.664582083795004</v>
      </c>
      <c r="BC262" s="22">
        <f>VLOOKUP($A262,tabCustoUnit[],COLUMN(CUSTO_GLOBAL[[#Headers],[Submódulo 4.1]])-2,0)*($G262-$H262)</f>
        <v>78.978291300183884</v>
      </c>
      <c r="BD262" s="22">
        <f>VLOOKUP($A262,tabCustoUnit[],COLUMN(CUSTO_GLOBAL[[#Headers],[Intervalo para Repouso ou Alimentação]])-2,0)*($G262-$H262)</f>
        <v>522.35848681753384</v>
      </c>
      <c r="BE262" s="22">
        <f>VLOOKUP($A262,tabCustoUnit[],COLUMN(CUSTO_GLOBAL[[#Headers],[Submódulo 4.2]])-2,0)*($G262-$H262)</f>
        <v>522.35848681753384</v>
      </c>
      <c r="BF262" s="22">
        <f>VLOOKUP($A262,tabCustoUnit[],COLUMN(CUSTO_GLOBAL[[#Headers],[Suspensão Temporária do Contrato de Trabalho]])-2,0)*($G262-$H262)</f>
        <v>0</v>
      </c>
      <c r="BG262" s="22">
        <f>VLOOKUP($A262,tabCustoUnit[],COLUMN(CUSTO_GLOBAL[[#Headers],[Submódulo 4.3]])-2,0)*($G262-$H262)</f>
        <v>0</v>
      </c>
      <c r="BH262" s="22">
        <f>VLOOKUP($A262,tabCustoUnit[],COLUMN(CUSTO_GLOBAL[[#Headers],[MÓDULO 4 – CUSTO DE REPOSIÇÃO DO PROFISSIONAL AUSENTE]])-2,0)*($G262-$H262)</f>
        <v>601.3367781177177</v>
      </c>
      <c r="BI262" s="22">
        <f>VLOOKUP($A262,tabCustoUnit[],COLUMN(CUSTO_GLOBAL[[#Headers],[Uniformes e EPIs]])-2,0)*($G262-$H262)</f>
        <v>113.28595792508679</v>
      </c>
      <c r="BJ262" s="22">
        <f>VLOOKUP($A262,tabCustoUnit[],COLUMN(CUSTO_GLOBAL[[#Headers],[Materiais de Consumo]])-2,0)*($G262-$H262)</f>
        <v>0</v>
      </c>
      <c r="BK262" s="22">
        <f>VLOOKUP($A262,tabCustoUnit[],COLUMN(CUSTO_GLOBAL[[#Headers],[Máquinas e Equipamentos (depreciação)]])-2,0)*($G262-$H262)</f>
        <v>0</v>
      </c>
      <c r="BL262" s="22">
        <f>VLOOKUP($A262,tabCustoUnit[],COLUMN(CUSTO_GLOBAL[[#Headers],[Produtos de Limpeza e Materiais de Higiene Pessoal]])-2,0)*($G262-$H262)</f>
        <v>0</v>
      </c>
      <c r="BM262" s="22">
        <f>VLOOKUP($A262,tabCustoUnit[],COLUMN(CUSTO_GLOBAL[[#Headers],[Outros (especificar)]])-2,0)*($G262-$H262)</f>
        <v>0</v>
      </c>
      <c r="BN262" s="22">
        <f>VLOOKUP($A262,tabCustoUnit[],COLUMN(CUSTO_GLOBAL[[#Headers],[MÓDULO 5 – INSUMOS DIVERSOS]])-2,0)*($G262-$H262)</f>
        <v>113.28595792508679</v>
      </c>
      <c r="BO262" s="22" t="e">
        <f ca="1">VLOOKUP($A262,tabCustoUnit[],COLUMN(CUSTO_GLOBAL[[#Headers],[TOTAL MÓDULOS 1+2+3+4+5]])-2,0)*($G262-$H262)</f>
        <v>#NAME?</v>
      </c>
      <c r="BP262" s="22" t="e">
        <f ca="1">VLOOKUP($A262,tabCustoUnit[],COLUMN(CUSTO_GLOBAL[[#Headers],[Custos Indiretos]])-2,0)*($G262-$H262)</f>
        <v>#NAME?</v>
      </c>
      <c r="BQ262" s="22" t="e">
        <f ca="1">VLOOKUP($A262,tabCustoUnit[],COLUMN(CUSTO_GLOBAL[[#Headers],[Lucro]])-2,0)*($G262-$H262)</f>
        <v>#NAME?</v>
      </c>
      <c r="BR262" s="26">
        <f>VLOOKUP($A262,tabCustoUnit[],COLUMN(CUSTO_GLOBAL[[#Headers],[COFINS]])-2,0)</f>
        <v>8.6609686609686695E-2</v>
      </c>
      <c r="BS262" s="26">
        <f>VLOOKUP($A262,tabCustoUnit[],COLUMN(CUSTO_GLOBAL[[#Headers],[PIS]])-2,0)</f>
        <v>1.880341880341882E-2</v>
      </c>
      <c r="BT262" s="28">
        <f>VLOOKUP($A262,tabCustoUnit[],COLUMN(CUSTO_GLOBAL[[#Headers],[ISS]])-2,0)</f>
        <v>0.03</v>
      </c>
      <c r="BU262" s="26">
        <f>VLOOKUP($A262,tabCustoUnit[],COLUMN(CUSTO_GLOBAL[[#Headers],[ISS (Conversão Alíquota s/ fatura)]])-2,0)</f>
        <v>3.4188034188034219E-2</v>
      </c>
      <c r="BV262" s="26">
        <f>VLOOKUP($A262,tabCustoUnit[],COLUMN(CUSTO_GLOBAL[[#Headers],[Resumo de Alíquotas (PIS+CONFINS+ISS)]])-2,0)</f>
        <v>0.1225</v>
      </c>
      <c r="BW262" s="138">
        <f>VLOOKUP($A262,tabCustoUnit[],COLUMN(CUSTO_GLOBAL[[#Headers],[PIS + COFINS + ISS (Total Conversão  Alíquota s/ Fatura)]])-2,0)</f>
        <v>0.13960113960113973</v>
      </c>
      <c r="BX262" s="22" t="e">
        <f ca="1">VLOOKUP($A262,tabCustoUnit[],COLUMN(CUSTO_GLOBAL[[#Headers],[Valor dos Tributos (ISS, PIS, CONFINS)]])-2,0)*($G262-$H262)</f>
        <v>#NAME?</v>
      </c>
      <c r="BY262" s="22" t="e">
        <f ca="1">VLOOKUP($A262,tabCustoUnit[],COLUMN(CUSTO_GLOBAL[[#Headers],[MÓDULO 6 – CUSTOS INDIRETOS, TRIBUTOS E LUCRO]])-2,0)*($G262-$H262)</f>
        <v>#NAME?</v>
      </c>
      <c r="BZ262" s="22" t="e">
        <f ca="1">VLOOKUP($A262,tabCustoUnit[],COLUMN(CUSTO_GLOBAL[[#Headers],[CUSTO TOTAL MENSAL]])-2,0)*($G262-$H262)</f>
        <v>#NAME?</v>
      </c>
      <c r="CA262" s="22" t="e">
        <f ca="1">CUSTO_GLOBAL[[#This Row],[CUSTO TOTAL MENSAL]]*12</f>
        <v>#NAME?</v>
      </c>
      <c r="CB262" s="24">
        <f>VLOOKUP($A262,tabCustoUnit[],COLUMN(CUSTO_GLOBAL[[#Headers],[ANO DA CCT]])-2,0)</f>
        <v>45658</v>
      </c>
      <c r="CC262" s="25" t="str">
        <f>VLOOKUP($A262,tabCustoUnit[],COLUMN(CUSTO_GLOBAL[[#Headers],[Nº DE PEDIDO DA CCT]])-2,0)</f>
        <v>-</v>
      </c>
      <c r="CD262" s="25" t="str">
        <f>VLOOKUP($A262,tabCustoUnit[],COLUMN(CUSTO_GLOBAL[[#Headers],[TERMO ADITIVO ALTERAÇÃO DA CCT]])-2,0)</f>
        <v>-</v>
      </c>
    </row>
    <row r="263" spans="1:82">
      <c r="A263" s="20" t="s">
        <v>1683</v>
      </c>
      <c r="B263" t="s">
        <v>1190</v>
      </c>
      <c r="C263" t="s">
        <v>314</v>
      </c>
      <c r="D263" t="s">
        <v>957</v>
      </c>
      <c r="E263" s="20" t="s">
        <v>1090</v>
      </c>
      <c r="F263" s="20" t="s">
        <v>120</v>
      </c>
      <c r="G263" s="20">
        <v>1</v>
      </c>
      <c r="H263" s="20">
        <v>0</v>
      </c>
      <c r="I263" s="21">
        <f>VLOOKUP($A263,tabCustoUnit[],COLUMN(CUSTO_GLOBAL[[#Headers],[Salário Base]])-2,0)*($G263-$H263)</f>
        <v>1963.4110000000001</v>
      </c>
      <c r="J263" s="21">
        <f>VLOOKUP($A263,tabCustoUnit[],COLUMN(CUSTO_GLOBAL[[#Headers],[Adicional Periculosidade]])-2,0)*($G263-$H263)</f>
        <v>0</v>
      </c>
      <c r="K263" s="21">
        <f>VLOOKUP($A263,tabCustoUnit[],COLUMN(CUSTO_GLOBAL[[#Headers],[Adicional Insalubridade]])-2,0)*($G263-$H263)</f>
        <v>0</v>
      </c>
      <c r="L263" s="21">
        <f>VLOOKUP($A263,tabCustoUnit[],COLUMN(CUSTO_GLOBAL[[#Headers],[Adicional Noturno]])-2,0)*($G263-$H263)</f>
        <v>0</v>
      </c>
      <c r="M263" s="21">
        <f>VLOOKUP($A263,tabCustoUnit[],COLUMN(CUSTO_GLOBAL[[#Headers],[Adicional Motorista II (Gratificação)]])-2,0)*($G263-$H263)</f>
        <v>0</v>
      </c>
      <c r="N263" s="21">
        <f>VLOOKUP($A263,tabCustoUnit[],COLUMN(CUSTO_GLOBAL[[#Headers],[Adicional de Sobreaviso]])-2,0)*($G263-$H263)</f>
        <v>0</v>
      </c>
      <c r="O263" s="21">
        <f>VLOOKUP($A263,tabCustoUnit[],COLUMN(CUSTO_GLOBAL[[#Headers],[Horas Extras TI]])-2,0)*($G263-$H263)</f>
        <v>0</v>
      </c>
      <c r="P263" s="21">
        <f>VLOOKUP($A263,tabCustoUnit[],COLUMN(CUSTO_GLOBAL[[#Headers],[Adicional de Acúmulo de função]])-2,0)*($G263-$H263)</f>
        <v>0</v>
      </c>
      <c r="Q263" s="21">
        <f>VLOOKUP($A263,tabCustoUnit[],COLUMN(CUSTO_GLOBAL[[#Headers],[MODULO 1 - REMUNERAÇÃO ]])-2,0)*($G263-$H263)</f>
        <v>1963.4110000000001</v>
      </c>
      <c r="R263" s="21">
        <f>VLOOKUP($A263,tabCustoUnit[],COLUMN(CUSTO_GLOBAL[[#Headers],[INSS]])-2,0)*($G263-$H263)</f>
        <v>392.68220000000002</v>
      </c>
      <c r="S263" s="21">
        <f>VLOOKUP($A263,tabCustoUnit[],COLUMN(CUSTO_GLOBAL[[#Headers],[SESI OU SESC]])-2,0)*($G263-$H263)</f>
        <v>29.451165</v>
      </c>
      <c r="T263" s="21">
        <f>VLOOKUP($A263,tabCustoUnit[],COLUMN(CUSTO_GLOBAL[[#Headers],[SENAI OU SENAC]])-2,0)*($G263-$H263)</f>
        <v>19.63411</v>
      </c>
      <c r="U263" s="21">
        <f>VLOOKUP($A263,tabCustoUnit[],COLUMN(CUSTO_GLOBAL[[#Headers],[INCRA]])-2,0)*($G263-$H263)</f>
        <v>3.926822</v>
      </c>
      <c r="V263" s="21">
        <f>VLOOKUP($A263,tabCustoUnit[],COLUMN(CUSTO_GLOBAL[[#Headers],[Salário Educação]])-2,0)*($G263-$H263)</f>
        <v>49.085275000000003</v>
      </c>
      <c r="W263" s="21">
        <f>VLOOKUP($A263,tabCustoUnit[],COLUMN(CUSTO_GLOBAL[[#Headers],[FGTS]])-2,0)*($G263-$H263)</f>
        <v>157.07288</v>
      </c>
      <c r="X263" s="21">
        <f>VLOOKUP($A263,tabCustoUnit[],COLUMN(CUSTO_GLOBAL[[#Headers],[RAT Ajustado]])-2,0)*($G263-$H263)</f>
        <v>78.536439999999999</v>
      </c>
      <c r="Y263" s="21">
        <f>VLOOKUP($A263,tabCustoUnit[],COLUMN(CUSTO_GLOBAL[[#Headers],[SEBRAE]])-2,0)*($G263-$H263)</f>
        <v>11.780466000000001</v>
      </c>
      <c r="Z263" s="21">
        <f>VLOOKUP($A263,tabCustoUnit[],COLUMN(CUSTO_GLOBAL[[#Headers],[Submódulo 2.1]])-2,0)*($G263-$H263)</f>
        <v>742.1693580000001</v>
      </c>
      <c r="AA263" s="21">
        <f>VLOOKUP($A263,tabCustoUnit[],COLUMN(CUSTO_GLOBAL[[#Headers],[13º salário (titular)]])-2,0)*($G263-$H263)</f>
        <v>163.61758333333333</v>
      </c>
      <c r="AB263" s="21">
        <f>VLOOKUP($A263,tabCustoUnit[],COLUMN(CUSTO_GLOBAL[[#Headers],[Férias e Adicional de Férias (titular)]])-2,0)*($G263-$H263)</f>
        <v>218.15677777777776</v>
      </c>
      <c r="AC263" s="21">
        <f>VLOOKUP($A263,tabCustoUnit[],COLUMN(CUSTO_GLOBAL[[#Headers],[Incidência do Submódulo 2.1 sobre 13º Salário, Férias e Adicional de Férias]])-2,0)*($G263-$H263)</f>
        <v>144.3107085</v>
      </c>
      <c r="AD263" s="21">
        <f>VLOOKUP($A263,tabCustoUnit[],COLUMN(CUSTO_GLOBAL[[#Headers],[Submódulo 2.2]])-2,0)*($G263-$H263)</f>
        <v>526.08506961111107</v>
      </c>
      <c r="AE263" s="22" t="e">
        <f ca="1">VLOOKUP($A263,tabCustoUnit[],COLUMN(CUSTO_GLOBAL[[#Headers],[Vale - Transporte (Descontada parcela do empregado)]])-2,0)*($G263-$H263)</f>
        <v>#NAME?</v>
      </c>
      <c r="AF263" s="22">
        <f>VLOOKUP($A263,tabCustoUnit[],COLUMN(CUSTO_GLOBAL[[#Headers],[Vale - Alimentação (Descontada parcela do empregado)]])-2,0)*($G263-$H263)</f>
        <v>582</v>
      </c>
      <c r="AG263" s="22">
        <f>VLOOKUP($A263,tabCustoUnit[],COLUMN(CUSTO_GLOBAL[[#Headers],[Cesta Básica]])-2,0)*($G263-$H263)</f>
        <v>0</v>
      </c>
      <c r="AH263" s="22">
        <f>VLOOKUP($A263,tabCustoUnit[],COLUMN(CUSTO_GLOBAL[[#Headers],[PAF]])-2,0)*($G263-$H263)</f>
        <v>0</v>
      </c>
      <c r="AI263" s="22">
        <f>VLOOKUP($A263,tabCustoUnit[],COLUMN(CUSTO_GLOBAL[[#Headers],[PQM]])-2,0)*($G263-$H263)</f>
        <v>0</v>
      </c>
      <c r="AJ263" s="22">
        <v>0</v>
      </c>
      <c r="AK263" s="22">
        <f>VLOOKUP($A263,tabCustoUnit[],COLUMN(CUSTO_GLOBAL[[#Headers],[Seguro de Vida]])-2,0)*($G263-$H263)</f>
        <v>3.36</v>
      </c>
      <c r="AL263" s="22">
        <f>VLOOKUP($A263,tabCustoUnit[],COLUMN(CUSTO_GLOBAL[[#Headers],[Despesas de Viagem]])-2,0)*($G263-$H263)</f>
        <v>0</v>
      </c>
      <c r="AM263" s="22" t="e">
        <f ca="1">VLOOKUP($A263,tabCustoUnit[],COLUMN(CUSTO_GLOBAL[[#Headers],[Submódulo 2.3]])-2,0)*($G263-$H263)</f>
        <v>#NAME?</v>
      </c>
      <c r="AN263" s="22" t="e">
        <f ca="1">VLOOKUP($A263,tabCustoUnit[],COLUMN(CUSTO_GLOBAL[[#Headers],[MÓDULO 2 - Total Encargos e Benefícios mensais e diários]])-2,0)*($G263-$H263)</f>
        <v>#NAME?</v>
      </c>
      <c r="AO263" s="22">
        <f>VLOOKUP($A263,tabCustoUnit[],COLUMN(CUSTO_GLOBAL[[#Headers],[Aviso Prévio Indenizado (API) e Reflexo do Aviso Prévio Indenizado]])-2,0)*($G263-$H263)</f>
        <v>13.766980408757716</v>
      </c>
      <c r="AP263" s="22">
        <f>VLOOKUP($A263,tabCustoUnit[],COLUMN(CUSTO_GLOBAL[[#Headers],[Incidência do FGTS sobre API e Reflexo do API]])-2,0)*($G263-$H263)</f>
        <v>1.1013584327006174</v>
      </c>
      <c r="AQ263" s="22">
        <f>VLOOKUP($A263,tabCustoUnit[],COLUMN(CUSTO_GLOBAL[[#Headers],[Multa Rescisória do FGTS sobre o Aviso Prévio Indenizado]])-2,0)*($G263-$H263)</f>
        <v>0.44054337308024699</v>
      </c>
      <c r="AR263" s="22">
        <f>VLOOKUP($A263,tabCustoUnit[],COLUMN(CUSTO_GLOBAL[[#Headers],[Aviso Prévio Trabalhado - APT]])-2,0)*($G263-$H263)</f>
        <v>6.8719385000000015</v>
      </c>
      <c r="AS263" s="22">
        <f>VLOOKUP($A263,tabCustoUnit[],COLUMN(CUSTO_GLOBAL[[#Headers],[Incidência dos encargos do submódulo 2.1 sobre Aviso Prévio Trabalhado]])-2,0)*($G263-$H263)</f>
        <v>2.5975927530000007</v>
      </c>
      <c r="AT263" s="22">
        <f>VLOOKUP($A263,tabCustoUnit[],COLUMN(CUSTO_GLOBAL[[#Headers],[Multa Rescisória do FGTS]])-2,0)*($G263-$H263)</f>
        <v>60.03674524444444</v>
      </c>
      <c r="AU263" s="22">
        <f>VLOOKUP($A263,tabCustoUnit[],COLUMN(CUSTO_GLOBAL[[#Headers],[Indenização Adicional (Art. 9º da Lei nº 7.238/84)]])-2,0)*($G263-$H263)</f>
        <v>1.6361758333333334</v>
      </c>
      <c r="AV263" s="22">
        <f>VLOOKUP($A263,tabCustoUnit[],COLUMN(CUSTO_GLOBAL[[#Headers],[MÓDULO 3 – PROVISÃO PARA RESCISÃO]])-2,0)*($G263-$H263)</f>
        <v>86.451334545316371</v>
      </c>
      <c r="AW263" s="22">
        <f>VLOOKUP($A263,tabCustoUnit[],COLUMN(CUSTO_GLOBAL[[#Headers],[Ausência por Doença]])-2,0)*($G263-$H263)</f>
        <v>16.579915111111109</v>
      </c>
      <c r="AX263" s="22">
        <f>VLOOKUP($A263,tabCustoUnit[],COLUMN(CUSTO_GLOBAL[[#Headers],[Ausências Legais]])-2,0)*($G263-$H263)</f>
        <v>3.9813611944444443</v>
      </c>
      <c r="AY263" s="22">
        <f>VLOOKUP($A263,tabCustoUnit[],COLUMN(CUSTO_GLOBAL[[#Headers],[Licença Paternidade]])-2,0)*($G263-$H263)</f>
        <v>0.33541604583333334</v>
      </c>
      <c r="AZ263" s="22">
        <f>VLOOKUP($A263,tabCustoUnit[],COLUMN(CUSTO_GLOBAL[[#Headers],[Ausência por Acidente de Trabalho]])-2,0)*($G263-$H263)</f>
        <v>0.40904395833333335</v>
      </c>
      <c r="BA263" s="22">
        <f>VLOOKUP($A263,tabCustoUnit[],COLUMN(CUSTO_GLOBAL[[#Headers],[Férias, Adicional de Férias e 13º  com empregada em gozo de Licença Maternidade]])-2,0)*($G263-$H263)</f>
        <v>2.5451624074074073</v>
      </c>
      <c r="BB263" s="22">
        <f>VLOOKUP($A263,tabCustoUnit[],COLUMN(CUSTO_GLOBAL[[#Headers],[Incidência do Submódulo 2.1 sobre Ausências Legais]])-2,0)*($G263-$H263)</f>
        <v>9.0156397150750021</v>
      </c>
      <c r="BC263" s="22">
        <f>VLOOKUP($A263,tabCustoUnit[],COLUMN(CUSTO_GLOBAL[[#Headers],[Submódulo 4.1]])-2,0)*($G263-$H263)</f>
        <v>32.866538432204628</v>
      </c>
      <c r="BD263" s="22">
        <f>VLOOKUP($A263,tabCustoUnit[],COLUMN(CUSTO_GLOBAL[[#Headers],[Intervalo para Repouso ou Alimentação]])-2,0)*($G263-$H263)</f>
        <v>267.73786489195959</v>
      </c>
      <c r="BE263" s="22">
        <f>VLOOKUP($A263,tabCustoUnit[],COLUMN(CUSTO_GLOBAL[[#Headers],[Submódulo 4.2]])-2,0)*($G263-$H263)</f>
        <v>267.73786489195959</v>
      </c>
      <c r="BF263" s="22">
        <f>VLOOKUP($A263,tabCustoUnit[],COLUMN(CUSTO_GLOBAL[[#Headers],[Suspensão Temporária do Contrato de Trabalho]])-2,0)*($G263-$H263)</f>
        <v>0</v>
      </c>
      <c r="BG263" s="22">
        <f>VLOOKUP($A263,tabCustoUnit[],COLUMN(CUSTO_GLOBAL[[#Headers],[Submódulo 4.3]])-2,0)*($G263-$H263)</f>
        <v>0</v>
      </c>
      <c r="BH263" s="22">
        <f>VLOOKUP($A263,tabCustoUnit[],COLUMN(CUSTO_GLOBAL[[#Headers],[MÓDULO 4 – CUSTO DE REPOSIÇÃO DO PROFISSIONAL AUSENTE]])-2,0)*($G263-$H263)</f>
        <v>300.6044033241642</v>
      </c>
      <c r="BI263" s="22">
        <f>VLOOKUP($A263,tabCustoUnit[],COLUMN(CUSTO_GLOBAL[[#Headers],[Uniformes e EPIs]])-2,0)*($G263-$H263)</f>
        <v>56.642978962543395</v>
      </c>
      <c r="BJ263" s="22">
        <f>VLOOKUP($A263,tabCustoUnit[],COLUMN(CUSTO_GLOBAL[[#Headers],[Materiais de Consumo]])-2,0)*($G263-$H263)</f>
        <v>0</v>
      </c>
      <c r="BK263" s="22">
        <f>VLOOKUP($A263,tabCustoUnit[],COLUMN(CUSTO_GLOBAL[[#Headers],[Máquinas e Equipamentos (depreciação)]])-2,0)*($G263-$H263)</f>
        <v>0</v>
      </c>
      <c r="BL263" s="22">
        <f>VLOOKUP($A263,tabCustoUnit[],COLUMN(CUSTO_GLOBAL[[#Headers],[Produtos de Limpeza e Materiais de Higiene Pessoal]])-2,0)*($G263-$H263)</f>
        <v>0</v>
      </c>
      <c r="BM263" s="22">
        <f>VLOOKUP($A263,tabCustoUnit[],COLUMN(CUSTO_GLOBAL[[#Headers],[Outros (especificar)]])-2,0)*($G263-$H263)</f>
        <v>0</v>
      </c>
      <c r="BN263" s="22">
        <f>VLOOKUP($A263,tabCustoUnit[],COLUMN(CUSTO_GLOBAL[[#Headers],[MÓDULO 5 – INSUMOS DIVERSOS]])-2,0)*($G263-$H263)</f>
        <v>56.642978962543395</v>
      </c>
      <c r="BO263" s="22" t="e">
        <f ca="1">VLOOKUP($A263,tabCustoUnit[],COLUMN(CUSTO_GLOBAL[[#Headers],[TOTAL MÓDULOS 1+2+3+4+5]])-2,0)*($G263-$H263)</f>
        <v>#NAME?</v>
      </c>
      <c r="BP263" s="22" t="e">
        <f ca="1">VLOOKUP($A263,tabCustoUnit[],COLUMN(CUSTO_GLOBAL[[#Headers],[Custos Indiretos]])-2,0)*($G263-$H263)</f>
        <v>#NAME?</v>
      </c>
      <c r="BQ263" s="22" t="e">
        <f ca="1">VLOOKUP($A263,tabCustoUnit[],COLUMN(CUSTO_GLOBAL[[#Headers],[Lucro]])-2,0)*($G263-$H263)</f>
        <v>#NAME?</v>
      </c>
      <c r="BR263" s="26">
        <f>VLOOKUP($A263,tabCustoUnit[],COLUMN(CUSTO_GLOBAL[[#Headers],[COFINS]])-2,0)</f>
        <v>8.6609686609686695E-2</v>
      </c>
      <c r="BS263" s="26">
        <f>VLOOKUP($A263,tabCustoUnit[],COLUMN(CUSTO_GLOBAL[[#Headers],[PIS]])-2,0)</f>
        <v>1.880341880341882E-2</v>
      </c>
      <c r="BT263" s="28">
        <f>VLOOKUP($A263,tabCustoUnit[],COLUMN(CUSTO_GLOBAL[[#Headers],[ISS]])-2,0)</f>
        <v>0.03</v>
      </c>
      <c r="BU263" s="26">
        <f>VLOOKUP($A263,tabCustoUnit[],COLUMN(CUSTO_GLOBAL[[#Headers],[ISS (Conversão Alíquota s/ fatura)]])-2,0)</f>
        <v>3.4188034188034219E-2</v>
      </c>
      <c r="BV263" s="26">
        <f>VLOOKUP($A263,tabCustoUnit[],COLUMN(CUSTO_GLOBAL[[#Headers],[Resumo de Alíquotas (PIS+CONFINS+ISS)]])-2,0)</f>
        <v>0.1225</v>
      </c>
      <c r="BW263" s="138">
        <f>VLOOKUP($A263,tabCustoUnit[],COLUMN(CUSTO_GLOBAL[[#Headers],[PIS + COFINS + ISS (Total Conversão  Alíquota s/ Fatura)]])-2,0)</f>
        <v>0.13960113960113973</v>
      </c>
      <c r="BX263" s="22" t="e">
        <f ca="1">VLOOKUP($A263,tabCustoUnit[],COLUMN(CUSTO_GLOBAL[[#Headers],[Valor dos Tributos (ISS, PIS, CONFINS)]])-2,0)*($G263-$H263)</f>
        <v>#NAME?</v>
      </c>
      <c r="BY263" s="22" t="e">
        <f ca="1">VLOOKUP($A263,tabCustoUnit[],COLUMN(CUSTO_GLOBAL[[#Headers],[MÓDULO 6 – CUSTOS INDIRETOS, TRIBUTOS E LUCRO]])-2,0)*($G263-$H263)</f>
        <v>#NAME?</v>
      </c>
      <c r="BZ263" s="22" t="e">
        <f ca="1">VLOOKUP($A263,tabCustoUnit[],COLUMN(CUSTO_GLOBAL[[#Headers],[CUSTO TOTAL MENSAL]])-2,0)*($G263-$H263)</f>
        <v>#NAME?</v>
      </c>
      <c r="CA263" s="22" t="e">
        <f ca="1">CUSTO_GLOBAL[[#This Row],[CUSTO TOTAL MENSAL]]*12</f>
        <v>#NAME?</v>
      </c>
      <c r="CB263" s="24">
        <f>VLOOKUP($A263,tabCustoUnit[],COLUMN(CUSTO_GLOBAL[[#Headers],[ANO DA CCT]])-2,0)</f>
        <v>45658</v>
      </c>
      <c r="CC263" s="25" t="str">
        <f>VLOOKUP($A263,tabCustoUnit[],COLUMN(CUSTO_GLOBAL[[#Headers],[Nº DE PEDIDO DA CCT]])-2,0)</f>
        <v>-</v>
      </c>
      <c r="CD263" s="25" t="str">
        <f>VLOOKUP($A263,tabCustoUnit[],COLUMN(CUSTO_GLOBAL[[#Headers],[TERMO ADITIVO ALTERAÇÃO DA CCT]])-2,0)</f>
        <v>-</v>
      </c>
    </row>
    <row r="264" spans="1:82">
      <c r="A264" s="20" t="s">
        <v>1684</v>
      </c>
      <c r="B264" t="s">
        <v>1191</v>
      </c>
      <c r="C264" t="s">
        <v>274</v>
      </c>
      <c r="D264" t="s">
        <v>1012</v>
      </c>
      <c r="E264" s="20" t="s">
        <v>1090</v>
      </c>
      <c r="F264" s="20" t="s">
        <v>120</v>
      </c>
      <c r="G264" s="20">
        <v>1</v>
      </c>
      <c r="H264" s="20">
        <v>0</v>
      </c>
      <c r="I264" s="21">
        <f>VLOOKUP($A264,tabCustoUnit[],COLUMN(CUSTO_GLOBAL[[#Headers],[Salário Base]])-2,0)*($G264-$H264)</f>
        <v>4558.0709999999999</v>
      </c>
      <c r="J264" s="21">
        <f>VLOOKUP($A264,tabCustoUnit[],COLUMN(CUSTO_GLOBAL[[#Headers],[Adicional Periculosidade]])-2,0)*($G264-$H264)</f>
        <v>0</v>
      </c>
      <c r="K264" s="21">
        <f>VLOOKUP($A264,tabCustoUnit[],COLUMN(CUSTO_GLOBAL[[#Headers],[Adicional Insalubridade]])-2,0)*($G264-$H264)</f>
        <v>0</v>
      </c>
      <c r="L264" s="21">
        <f>VLOOKUP($A264,tabCustoUnit[],COLUMN(CUSTO_GLOBAL[[#Headers],[Adicional Noturno]])-2,0)*($G264-$H264)</f>
        <v>0</v>
      </c>
      <c r="M264" s="21">
        <f>VLOOKUP($A264,tabCustoUnit[],COLUMN(CUSTO_GLOBAL[[#Headers],[Adicional Motorista II (Gratificação)]])-2,0)*($G264-$H264)</f>
        <v>0</v>
      </c>
      <c r="N264" s="21">
        <f>VLOOKUP($A264,tabCustoUnit[],COLUMN(CUSTO_GLOBAL[[#Headers],[Adicional de Sobreaviso]])-2,0)*($G264-$H264)</f>
        <v>0</v>
      </c>
      <c r="O264" s="21">
        <f>VLOOKUP($A264,tabCustoUnit[],COLUMN(CUSTO_GLOBAL[[#Headers],[Horas Extras TI]])-2,0)*($G264-$H264)</f>
        <v>0</v>
      </c>
      <c r="P264" s="21">
        <f>VLOOKUP($A264,tabCustoUnit[],COLUMN(CUSTO_GLOBAL[[#Headers],[Adicional de Acúmulo de função]])-2,0)*($G264-$H264)</f>
        <v>0</v>
      </c>
      <c r="Q264" s="21">
        <f>VLOOKUP($A264,tabCustoUnit[],COLUMN(CUSTO_GLOBAL[[#Headers],[MODULO 1 - REMUNERAÇÃO ]])-2,0)*($G264-$H264)</f>
        <v>4558.0709999999999</v>
      </c>
      <c r="R264" s="21">
        <f>VLOOKUP($A264,tabCustoUnit[],COLUMN(CUSTO_GLOBAL[[#Headers],[INSS]])-2,0)*($G264-$H264)</f>
        <v>911.61419999999998</v>
      </c>
      <c r="S264" s="21">
        <f>VLOOKUP($A264,tabCustoUnit[],COLUMN(CUSTO_GLOBAL[[#Headers],[SESI OU SESC]])-2,0)*($G264-$H264)</f>
        <v>68.371065000000002</v>
      </c>
      <c r="T264" s="21">
        <f>VLOOKUP($A264,tabCustoUnit[],COLUMN(CUSTO_GLOBAL[[#Headers],[SENAI OU SENAC]])-2,0)*($G264-$H264)</f>
        <v>45.580710000000003</v>
      </c>
      <c r="U264" s="21">
        <f>VLOOKUP($A264,tabCustoUnit[],COLUMN(CUSTO_GLOBAL[[#Headers],[INCRA]])-2,0)*($G264-$H264)</f>
        <v>9.116142</v>
      </c>
      <c r="V264" s="21">
        <f>VLOOKUP($A264,tabCustoUnit[],COLUMN(CUSTO_GLOBAL[[#Headers],[Salário Educação]])-2,0)*($G264-$H264)</f>
        <v>113.951775</v>
      </c>
      <c r="W264" s="21">
        <f>VLOOKUP($A264,tabCustoUnit[],COLUMN(CUSTO_GLOBAL[[#Headers],[FGTS]])-2,0)*($G264-$H264)</f>
        <v>364.64568000000003</v>
      </c>
      <c r="X264" s="21">
        <f>VLOOKUP($A264,tabCustoUnit[],COLUMN(CUSTO_GLOBAL[[#Headers],[RAT Ajustado]])-2,0)*($G264-$H264)</f>
        <v>182.32284000000001</v>
      </c>
      <c r="Y264" s="21">
        <f>VLOOKUP($A264,tabCustoUnit[],COLUMN(CUSTO_GLOBAL[[#Headers],[SEBRAE]])-2,0)*($G264-$H264)</f>
        <v>27.348426</v>
      </c>
      <c r="Z264" s="21">
        <f>VLOOKUP($A264,tabCustoUnit[],COLUMN(CUSTO_GLOBAL[[#Headers],[Submódulo 2.1]])-2,0)*($G264-$H264)</f>
        <v>1722.9508380000002</v>
      </c>
      <c r="AA264" s="21">
        <f>VLOOKUP($A264,tabCustoUnit[],COLUMN(CUSTO_GLOBAL[[#Headers],[13º salário (titular)]])-2,0)*($G264-$H264)</f>
        <v>379.83924999999999</v>
      </c>
      <c r="AB264" s="21">
        <f>VLOOKUP($A264,tabCustoUnit[],COLUMN(CUSTO_GLOBAL[[#Headers],[Férias e Adicional de Férias (titular)]])-2,0)*($G264-$H264)</f>
        <v>506.45233333333329</v>
      </c>
      <c r="AC264" s="21">
        <f>VLOOKUP($A264,tabCustoUnit[],COLUMN(CUSTO_GLOBAL[[#Headers],[Incidência do Submódulo 2.1 sobre 13º Salário, Férias e Adicional de Férias]])-2,0)*($G264-$H264)</f>
        <v>335.01821850000005</v>
      </c>
      <c r="AD264" s="21">
        <f>VLOOKUP($A264,tabCustoUnit[],COLUMN(CUSTO_GLOBAL[[#Headers],[Submódulo 2.2]])-2,0)*($G264-$H264)</f>
        <v>1221.3098018333333</v>
      </c>
      <c r="AE264" s="22" t="e">
        <f ca="1">VLOOKUP($A264,tabCustoUnit[],COLUMN(CUSTO_GLOBAL[[#Headers],[Vale - Transporte (Descontada parcela do empregado)]])-2,0)*($G264-$H264)</f>
        <v>#NAME?</v>
      </c>
      <c r="AF264" s="22">
        <f>VLOOKUP($A264,tabCustoUnit[],COLUMN(CUSTO_GLOBAL[[#Headers],[Vale - Alimentação (Descontada parcela do empregado)]])-2,0)*($G264-$H264)</f>
        <v>578.4</v>
      </c>
      <c r="AG264" s="22">
        <f>VLOOKUP($A264,tabCustoUnit[],COLUMN(CUSTO_GLOBAL[[#Headers],[Cesta Básica]])-2,0)*($G264-$H264)</f>
        <v>0</v>
      </c>
      <c r="AH264" s="22">
        <f>VLOOKUP($A264,tabCustoUnit[],COLUMN(CUSTO_GLOBAL[[#Headers],[PAF]])-2,0)*($G264-$H264)</f>
        <v>0</v>
      </c>
      <c r="AI264" s="22">
        <f>VLOOKUP($A264,tabCustoUnit[],COLUMN(CUSTO_GLOBAL[[#Headers],[PQM]])-2,0)*($G264-$H264)</f>
        <v>0</v>
      </c>
      <c r="AJ264" s="22">
        <v>0</v>
      </c>
      <c r="AK264" s="22">
        <f>VLOOKUP($A264,tabCustoUnit[],COLUMN(CUSTO_GLOBAL[[#Headers],[Seguro de Vida]])-2,0)*($G264-$H264)</f>
        <v>3.36</v>
      </c>
      <c r="AL264" s="22">
        <f>VLOOKUP($A264,tabCustoUnit[],COLUMN(CUSTO_GLOBAL[[#Headers],[Despesas de Viagem]])-2,0)*($G264-$H264)</f>
        <v>662.42</v>
      </c>
      <c r="AM264" s="22" t="e">
        <f ca="1">VLOOKUP($A264,tabCustoUnit[],COLUMN(CUSTO_GLOBAL[[#Headers],[Submódulo 2.3]])-2,0)*($G264-$H264)</f>
        <v>#NAME?</v>
      </c>
      <c r="AN264" s="22" t="e">
        <f ca="1">VLOOKUP($A264,tabCustoUnit[],COLUMN(CUSTO_GLOBAL[[#Headers],[MÓDULO 2 - Total Encargos e Benefícios mensais e diários]])-2,0)*($G264-$H264)</f>
        <v>#NAME?</v>
      </c>
      <c r="AO264" s="22">
        <f>VLOOKUP($A264,tabCustoUnit[],COLUMN(CUSTO_GLOBAL[[#Headers],[Aviso Prévio Indenizado (API) e Reflexo do Aviso Prévio Indenizado]])-2,0)*($G264-$H264)</f>
        <v>31.960131708912037</v>
      </c>
      <c r="AP264" s="22">
        <f>VLOOKUP($A264,tabCustoUnit[],COLUMN(CUSTO_GLOBAL[[#Headers],[Incidência do FGTS sobre API e Reflexo do API]])-2,0)*($G264-$H264)</f>
        <v>2.556810536712963</v>
      </c>
      <c r="AQ264" s="22">
        <f>VLOOKUP($A264,tabCustoUnit[],COLUMN(CUSTO_GLOBAL[[#Headers],[Multa Rescisória do FGTS sobre o Aviso Prévio Indenizado]])-2,0)*($G264-$H264)</f>
        <v>1.0227242146851854</v>
      </c>
      <c r="AR264" s="22">
        <f>VLOOKUP($A264,tabCustoUnit[],COLUMN(CUSTO_GLOBAL[[#Headers],[Aviso Prévio Trabalhado - APT]])-2,0)*($G264-$H264)</f>
        <v>15.953248500000003</v>
      </c>
      <c r="AS264" s="22">
        <f>VLOOKUP($A264,tabCustoUnit[],COLUMN(CUSTO_GLOBAL[[#Headers],[Incidência dos encargos do submódulo 2.1 sobre Aviso Prévio Trabalhado]])-2,0)*($G264-$H264)</f>
        <v>6.0303279330000015</v>
      </c>
      <c r="AT264" s="22">
        <f>VLOOKUP($A264,tabCustoUnit[],COLUMN(CUSTO_GLOBAL[[#Headers],[Multa Rescisória do FGTS]])-2,0)*($G264-$H264)</f>
        <v>139.3756821333333</v>
      </c>
      <c r="AU264" s="22">
        <f>VLOOKUP($A264,tabCustoUnit[],COLUMN(CUSTO_GLOBAL[[#Headers],[Indenização Adicional (Art. 9º da Lei nº 7.238/84)]])-2,0)*($G264-$H264)</f>
        <v>3.7983925000000003</v>
      </c>
      <c r="AV264" s="22">
        <f>VLOOKUP($A264,tabCustoUnit[],COLUMN(CUSTO_GLOBAL[[#Headers],[MÓDULO 3 – PROVISÃO PARA RESCISÃO]])-2,0)*($G264-$H264)</f>
        <v>200.6973175266435</v>
      </c>
      <c r="AW264" s="22">
        <f>VLOOKUP($A264,tabCustoUnit[],COLUMN(CUSTO_GLOBAL[[#Headers],[Ausência por Doença]])-2,0)*($G264-$H264)</f>
        <v>38.490377333333328</v>
      </c>
      <c r="AX264" s="22">
        <f>VLOOKUP($A264,tabCustoUnit[],COLUMN(CUSTO_GLOBAL[[#Headers],[Ausências Legais]])-2,0)*($G264-$H264)</f>
        <v>9.2427550833333321</v>
      </c>
      <c r="AY264" s="22">
        <f>VLOOKUP($A264,tabCustoUnit[],COLUMN(CUSTO_GLOBAL[[#Headers],[Licença Paternidade]])-2,0)*($G264-$H264)</f>
        <v>0.77867046249999994</v>
      </c>
      <c r="AZ264" s="22">
        <f>VLOOKUP($A264,tabCustoUnit[],COLUMN(CUSTO_GLOBAL[[#Headers],[Ausência por Acidente de Trabalho]])-2,0)*($G264-$H264)</f>
        <v>0.94959812500000007</v>
      </c>
      <c r="BA264" s="22">
        <f>VLOOKUP($A264,tabCustoUnit[],COLUMN(CUSTO_GLOBAL[[#Headers],[Férias, Adicional de Férias e 13º  com empregada em gozo de Licença Maternidade]])-2,0)*($G264-$H264)</f>
        <v>5.9086105555555557</v>
      </c>
      <c r="BB264" s="22">
        <f>VLOOKUP($A264,tabCustoUnit[],COLUMN(CUSTO_GLOBAL[[#Headers],[Incidência do Submódulo 2.1 sobre Ausências Legais]])-2,0)*($G264-$H264)</f>
        <v>20.929864369575004</v>
      </c>
      <c r="BC264" s="22">
        <f>VLOOKUP($A264,tabCustoUnit[],COLUMN(CUSTO_GLOBAL[[#Headers],[Submódulo 4.1]])-2,0)*($G264-$H264)</f>
        <v>76.29987592929723</v>
      </c>
      <c r="BD264" s="22">
        <f>VLOOKUP($A264,tabCustoUnit[],COLUMN(CUSTO_GLOBAL[[#Headers],[Intervalo para Repouso ou Alimentação]])-2,0)*($G264-$H264)</f>
        <v>0</v>
      </c>
      <c r="BE264" s="22">
        <f>VLOOKUP($A264,tabCustoUnit[],COLUMN(CUSTO_GLOBAL[[#Headers],[Submódulo 4.2]])-2,0)*($G264-$H264)</f>
        <v>0</v>
      </c>
      <c r="BF264" s="22">
        <f>VLOOKUP($A264,tabCustoUnit[],COLUMN(CUSTO_GLOBAL[[#Headers],[Suspensão Temporária do Contrato de Trabalho]])-2,0)*($G264-$H264)</f>
        <v>0</v>
      </c>
      <c r="BG264" s="22">
        <f>VLOOKUP($A264,tabCustoUnit[],COLUMN(CUSTO_GLOBAL[[#Headers],[Submódulo 4.3]])-2,0)*($G264-$H264)</f>
        <v>0</v>
      </c>
      <c r="BH264" s="22">
        <f>VLOOKUP($A264,tabCustoUnit[],COLUMN(CUSTO_GLOBAL[[#Headers],[MÓDULO 4 – CUSTO DE REPOSIÇÃO DO PROFISSIONAL AUSENTE]])-2,0)*($G264-$H264)</f>
        <v>76.29987592929723</v>
      </c>
      <c r="BI264" s="22">
        <f>VLOOKUP($A264,tabCustoUnit[],COLUMN(CUSTO_GLOBAL[[#Headers],[Uniformes e EPIs]])-2,0)*($G264-$H264)</f>
        <v>92.100763771570698</v>
      </c>
      <c r="BJ264" s="22">
        <f>VLOOKUP($A264,tabCustoUnit[],COLUMN(CUSTO_GLOBAL[[#Headers],[Materiais de Consumo]])-2,0)*($G264-$H264)</f>
        <v>0</v>
      </c>
      <c r="BK264" s="22">
        <f>VLOOKUP($A264,tabCustoUnit[],COLUMN(CUSTO_GLOBAL[[#Headers],[Máquinas e Equipamentos (depreciação)]])-2,0)*($G264-$H264)</f>
        <v>0</v>
      </c>
      <c r="BL264" s="22">
        <f>VLOOKUP($A264,tabCustoUnit[],COLUMN(CUSTO_GLOBAL[[#Headers],[Produtos de Limpeza e Materiais de Higiene Pessoal]])-2,0)*($G264-$H264)</f>
        <v>0</v>
      </c>
      <c r="BM264" s="22">
        <f>VLOOKUP($A264,tabCustoUnit[],COLUMN(CUSTO_GLOBAL[[#Headers],[Outros (especificar)]])-2,0)*($G264-$H264)</f>
        <v>0</v>
      </c>
      <c r="BN264" s="22">
        <f>VLOOKUP($A264,tabCustoUnit[],COLUMN(CUSTO_GLOBAL[[#Headers],[MÓDULO 5 – INSUMOS DIVERSOS]])-2,0)*($G264-$H264)</f>
        <v>92.100763771570698</v>
      </c>
      <c r="BO264" s="22" t="e">
        <f ca="1">VLOOKUP($A264,tabCustoUnit[],COLUMN(CUSTO_GLOBAL[[#Headers],[TOTAL MÓDULOS 1+2+3+4+5]])-2,0)*($G264-$H264)</f>
        <v>#NAME?</v>
      </c>
      <c r="BP264" s="22" t="e">
        <f ca="1">VLOOKUP($A264,tabCustoUnit[],COLUMN(CUSTO_GLOBAL[[#Headers],[Custos Indiretos]])-2,0)*($G264-$H264)</f>
        <v>#NAME?</v>
      </c>
      <c r="BQ264" s="22" t="e">
        <f ca="1">VLOOKUP($A264,tabCustoUnit[],COLUMN(CUSTO_GLOBAL[[#Headers],[Lucro]])-2,0)*($G264-$H264)</f>
        <v>#NAME?</v>
      </c>
      <c r="BR264" s="26">
        <f>VLOOKUP($A264,tabCustoUnit[],COLUMN(CUSTO_GLOBAL[[#Headers],[COFINS]])-2,0)</f>
        <v>8.5633802816901458E-2</v>
      </c>
      <c r="BS264" s="26">
        <f>VLOOKUP($A264,tabCustoUnit[],COLUMN(CUSTO_GLOBAL[[#Headers],[PIS]])-2,0)</f>
        <v>1.8591549295774657E-2</v>
      </c>
      <c r="BT264" s="28">
        <f>VLOOKUP($A264,tabCustoUnit[],COLUMN(CUSTO_GLOBAL[[#Headers],[ISS]])-2,0)</f>
        <v>0.02</v>
      </c>
      <c r="BU264" s="26">
        <f>VLOOKUP($A264,tabCustoUnit[],COLUMN(CUSTO_GLOBAL[[#Headers],[ISS (Conversão Alíquota s/ fatura)]])-2,0)</f>
        <v>2.2535211267605645E-2</v>
      </c>
      <c r="BV264" s="26">
        <f>VLOOKUP($A264,tabCustoUnit[],COLUMN(CUSTO_GLOBAL[[#Headers],[Resumo de Alíquotas (PIS+CONFINS+ISS)]])-2,0)</f>
        <v>0.1125</v>
      </c>
      <c r="BW264" s="138">
        <f>VLOOKUP($A264,tabCustoUnit[],COLUMN(CUSTO_GLOBAL[[#Headers],[PIS + COFINS + ISS (Total Conversão  Alíquota s/ Fatura)]])-2,0)</f>
        <v>0.12676056338028174</v>
      </c>
      <c r="BX264" s="22" t="e">
        <f ca="1">VLOOKUP($A264,tabCustoUnit[],COLUMN(CUSTO_GLOBAL[[#Headers],[Valor dos Tributos (ISS, PIS, CONFINS)]])-2,0)*($G264-$H264)</f>
        <v>#NAME?</v>
      </c>
      <c r="BY264" s="22" t="e">
        <f ca="1">VLOOKUP($A264,tabCustoUnit[],COLUMN(CUSTO_GLOBAL[[#Headers],[MÓDULO 6 – CUSTOS INDIRETOS, TRIBUTOS E LUCRO]])-2,0)*($G264-$H264)</f>
        <v>#NAME?</v>
      </c>
      <c r="BZ264" s="22" t="e">
        <f ca="1">VLOOKUP($A264,tabCustoUnit[],COLUMN(CUSTO_GLOBAL[[#Headers],[CUSTO TOTAL MENSAL]])-2,0)*($G264-$H264)</f>
        <v>#NAME?</v>
      </c>
      <c r="CA264" s="22" t="e">
        <f ca="1">CUSTO_GLOBAL[[#This Row],[CUSTO TOTAL MENSAL]]*12</f>
        <v>#NAME?</v>
      </c>
      <c r="CB264" s="24">
        <f>VLOOKUP($A264,tabCustoUnit[],COLUMN(CUSTO_GLOBAL[[#Headers],[ANO DA CCT]])-2,0)</f>
        <v>45658</v>
      </c>
      <c r="CC264" s="25" t="str">
        <f>VLOOKUP($A264,tabCustoUnit[],COLUMN(CUSTO_GLOBAL[[#Headers],[Nº DE PEDIDO DA CCT]])-2,0)</f>
        <v>-</v>
      </c>
      <c r="CD264" s="25" t="str">
        <f>VLOOKUP($A264,tabCustoUnit[],COLUMN(CUSTO_GLOBAL[[#Headers],[TERMO ADITIVO ALTERAÇÃO DA CCT]])-2,0)</f>
        <v>-</v>
      </c>
    </row>
    <row r="265" spans="1:82">
      <c r="A265" s="20" t="s">
        <v>1685</v>
      </c>
      <c r="B265" t="s">
        <v>1191</v>
      </c>
      <c r="C265" t="s">
        <v>274</v>
      </c>
      <c r="D265" t="s">
        <v>1012</v>
      </c>
      <c r="E265" s="20" t="s">
        <v>1090</v>
      </c>
      <c r="F265" s="20" t="s">
        <v>135</v>
      </c>
      <c r="G265" s="20">
        <v>1</v>
      </c>
      <c r="H265" s="20">
        <v>0</v>
      </c>
      <c r="I265" s="21">
        <f>VLOOKUP($A265,tabCustoUnit[],COLUMN(CUSTO_GLOBAL[[#Headers],[Salário Base]])-2,0)*($G265-$H265)</f>
        <v>4558.0709999999999</v>
      </c>
      <c r="J265" s="21">
        <f>VLOOKUP($A265,tabCustoUnit[],COLUMN(CUSTO_GLOBAL[[#Headers],[Adicional Periculosidade]])-2,0)*($G265-$H265)</f>
        <v>0</v>
      </c>
      <c r="K265" s="21">
        <f>VLOOKUP($A265,tabCustoUnit[],COLUMN(CUSTO_GLOBAL[[#Headers],[Adicional Insalubridade]])-2,0)*($G265-$H265)</f>
        <v>0</v>
      </c>
      <c r="L265" s="21">
        <f>VLOOKUP($A265,tabCustoUnit[],COLUMN(CUSTO_GLOBAL[[#Headers],[Adicional Noturno]])-2,0)*($G265-$H265)</f>
        <v>0</v>
      </c>
      <c r="M265" s="21">
        <f>VLOOKUP($A265,tabCustoUnit[],COLUMN(CUSTO_GLOBAL[[#Headers],[Adicional Motorista II (Gratificação)]])-2,0)*($G265-$H265)</f>
        <v>0</v>
      </c>
      <c r="N265" s="21">
        <f>VLOOKUP($A265,tabCustoUnit[],COLUMN(CUSTO_GLOBAL[[#Headers],[Adicional de Sobreaviso]])-2,0)*($G265-$H265)</f>
        <v>0</v>
      </c>
      <c r="O265" s="21">
        <f>VLOOKUP($A265,tabCustoUnit[],COLUMN(CUSTO_GLOBAL[[#Headers],[Horas Extras TI]])-2,0)*($G265-$H265)</f>
        <v>0</v>
      </c>
      <c r="P265" s="21">
        <f>VLOOKUP($A265,tabCustoUnit[],COLUMN(CUSTO_GLOBAL[[#Headers],[Adicional de Acúmulo de função]])-2,0)*($G265-$H265)</f>
        <v>0</v>
      </c>
      <c r="Q265" s="21">
        <f>VLOOKUP($A265,tabCustoUnit[],COLUMN(CUSTO_GLOBAL[[#Headers],[MODULO 1 - REMUNERAÇÃO ]])-2,0)*($G265-$H265)</f>
        <v>4558.0709999999999</v>
      </c>
      <c r="R265" s="21">
        <f>VLOOKUP($A265,tabCustoUnit[],COLUMN(CUSTO_GLOBAL[[#Headers],[INSS]])-2,0)*($G265-$H265)</f>
        <v>911.61419999999998</v>
      </c>
      <c r="S265" s="21">
        <f>VLOOKUP($A265,tabCustoUnit[],COLUMN(CUSTO_GLOBAL[[#Headers],[SESI OU SESC]])-2,0)*($G265-$H265)</f>
        <v>68.371065000000002</v>
      </c>
      <c r="T265" s="21">
        <f>VLOOKUP($A265,tabCustoUnit[],COLUMN(CUSTO_GLOBAL[[#Headers],[SENAI OU SENAC]])-2,0)*($G265-$H265)</f>
        <v>45.580710000000003</v>
      </c>
      <c r="U265" s="21">
        <f>VLOOKUP($A265,tabCustoUnit[],COLUMN(CUSTO_GLOBAL[[#Headers],[INCRA]])-2,0)*($G265-$H265)</f>
        <v>9.116142</v>
      </c>
      <c r="V265" s="21">
        <f>VLOOKUP($A265,tabCustoUnit[],COLUMN(CUSTO_GLOBAL[[#Headers],[Salário Educação]])-2,0)*($G265-$H265)</f>
        <v>113.951775</v>
      </c>
      <c r="W265" s="21">
        <f>VLOOKUP($A265,tabCustoUnit[],COLUMN(CUSTO_GLOBAL[[#Headers],[FGTS]])-2,0)*($G265-$H265)</f>
        <v>364.64568000000003</v>
      </c>
      <c r="X265" s="21">
        <f>VLOOKUP($A265,tabCustoUnit[],COLUMN(CUSTO_GLOBAL[[#Headers],[RAT Ajustado]])-2,0)*($G265-$H265)</f>
        <v>182.32284000000001</v>
      </c>
      <c r="Y265" s="21">
        <f>VLOOKUP($A265,tabCustoUnit[],COLUMN(CUSTO_GLOBAL[[#Headers],[SEBRAE]])-2,0)*($G265-$H265)</f>
        <v>27.348426</v>
      </c>
      <c r="Z265" s="21">
        <f>VLOOKUP($A265,tabCustoUnit[],COLUMN(CUSTO_GLOBAL[[#Headers],[Submódulo 2.1]])-2,0)*($G265-$H265)</f>
        <v>1722.9508380000002</v>
      </c>
      <c r="AA265" s="21">
        <f>VLOOKUP($A265,tabCustoUnit[],COLUMN(CUSTO_GLOBAL[[#Headers],[13º salário (titular)]])-2,0)*($G265-$H265)</f>
        <v>379.83924999999999</v>
      </c>
      <c r="AB265" s="21">
        <f>VLOOKUP($A265,tabCustoUnit[],COLUMN(CUSTO_GLOBAL[[#Headers],[Férias e Adicional de Férias (titular)]])-2,0)*($G265-$H265)</f>
        <v>506.45233333333329</v>
      </c>
      <c r="AC265" s="21">
        <f>VLOOKUP($A265,tabCustoUnit[],COLUMN(CUSTO_GLOBAL[[#Headers],[Incidência do Submódulo 2.1 sobre 13º Salário, Férias e Adicional de Férias]])-2,0)*($G265-$H265)</f>
        <v>335.01821850000005</v>
      </c>
      <c r="AD265" s="21">
        <f>VLOOKUP($A265,tabCustoUnit[],COLUMN(CUSTO_GLOBAL[[#Headers],[Submódulo 2.2]])-2,0)*($G265-$H265)</f>
        <v>1221.3098018333333</v>
      </c>
      <c r="AE265" s="22" t="e">
        <f ca="1">VLOOKUP($A265,tabCustoUnit[],COLUMN(CUSTO_GLOBAL[[#Headers],[Vale - Transporte (Descontada parcela do empregado)]])-2,0)*($G265-$H265)</f>
        <v>#NAME?</v>
      </c>
      <c r="AF265" s="22">
        <f>VLOOKUP($A265,tabCustoUnit[],COLUMN(CUSTO_GLOBAL[[#Headers],[Vale - Alimentação (Descontada parcela do empregado)]])-2,0)*($G265-$H265)</f>
        <v>578.4</v>
      </c>
      <c r="AG265" s="22">
        <f>VLOOKUP($A265,tabCustoUnit[],COLUMN(CUSTO_GLOBAL[[#Headers],[Cesta Básica]])-2,0)*($G265-$H265)</f>
        <v>0</v>
      </c>
      <c r="AH265" s="22">
        <f>VLOOKUP($A265,tabCustoUnit[],COLUMN(CUSTO_GLOBAL[[#Headers],[PAF]])-2,0)*($G265-$H265)</f>
        <v>0</v>
      </c>
      <c r="AI265" s="22">
        <f>VLOOKUP($A265,tabCustoUnit[],COLUMN(CUSTO_GLOBAL[[#Headers],[PQM]])-2,0)*($G265-$H265)</f>
        <v>0</v>
      </c>
      <c r="AJ265" s="22">
        <v>0</v>
      </c>
      <c r="AK265" s="22">
        <f>VLOOKUP($A265,tabCustoUnit[],COLUMN(CUSTO_GLOBAL[[#Headers],[Seguro de Vida]])-2,0)*($G265-$H265)</f>
        <v>3.36</v>
      </c>
      <c r="AL265" s="22">
        <f>VLOOKUP($A265,tabCustoUnit[],COLUMN(CUSTO_GLOBAL[[#Headers],[Despesas de Viagem]])-2,0)*($G265-$H265)</f>
        <v>662.42</v>
      </c>
      <c r="AM265" s="22" t="e">
        <f ca="1">VLOOKUP($A265,tabCustoUnit[],COLUMN(CUSTO_GLOBAL[[#Headers],[Submódulo 2.3]])-2,0)*($G265-$H265)</f>
        <v>#NAME?</v>
      </c>
      <c r="AN265" s="22" t="e">
        <f ca="1">VLOOKUP($A265,tabCustoUnit[],COLUMN(CUSTO_GLOBAL[[#Headers],[MÓDULO 2 - Total Encargos e Benefícios mensais e diários]])-2,0)*($G265-$H265)</f>
        <v>#NAME?</v>
      </c>
      <c r="AO265" s="22">
        <f>VLOOKUP($A265,tabCustoUnit[],COLUMN(CUSTO_GLOBAL[[#Headers],[Aviso Prévio Indenizado (API) e Reflexo do Aviso Prévio Indenizado]])-2,0)*($G265-$H265)</f>
        <v>31.960131708912037</v>
      </c>
      <c r="AP265" s="22">
        <f>VLOOKUP($A265,tabCustoUnit[],COLUMN(CUSTO_GLOBAL[[#Headers],[Incidência do FGTS sobre API e Reflexo do API]])-2,0)*($G265-$H265)</f>
        <v>2.556810536712963</v>
      </c>
      <c r="AQ265" s="22">
        <f>VLOOKUP($A265,tabCustoUnit[],COLUMN(CUSTO_GLOBAL[[#Headers],[Multa Rescisória do FGTS sobre o Aviso Prévio Indenizado]])-2,0)*($G265-$H265)</f>
        <v>1.0227242146851854</v>
      </c>
      <c r="AR265" s="22">
        <f>VLOOKUP($A265,tabCustoUnit[],COLUMN(CUSTO_GLOBAL[[#Headers],[Aviso Prévio Trabalhado - APT]])-2,0)*($G265-$H265)</f>
        <v>15.953248500000003</v>
      </c>
      <c r="AS265" s="22">
        <f>VLOOKUP($A265,tabCustoUnit[],COLUMN(CUSTO_GLOBAL[[#Headers],[Incidência dos encargos do submódulo 2.1 sobre Aviso Prévio Trabalhado]])-2,0)*($G265-$H265)</f>
        <v>6.0303279330000015</v>
      </c>
      <c r="AT265" s="22">
        <f>VLOOKUP($A265,tabCustoUnit[],COLUMN(CUSTO_GLOBAL[[#Headers],[Multa Rescisória do FGTS]])-2,0)*($G265-$H265)</f>
        <v>139.3756821333333</v>
      </c>
      <c r="AU265" s="22">
        <f>VLOOKUP($A265,tabCustoUnit[],COLUMN(CUSTO_GLOBAL[[#Headers],[Indenização Adicional (Art. 9º da Lei nº 7.238/84)]])-2,0)*($G265-$H265)</f>
        <v>3.7983925000000003</v>
      </c>
      <c r="AV265" s="22">
        <f>VLOOKUP($A265,tabCustoUnit[],COLUMN(CUSTO_GLOBAL[[#Headers],[MÓDULO 3 – PROVISÃO PARA RESCISÃO]])-2,0)*($G265-$H265)</f>
        <v>200.6973175266435</v>
      </c>
      <c r="AW265" s="22">
        <f>VLOOKUP($A265,tabCustoUnit[],COLUMN(CUSTO_GLOBAL[[#Headers],[Ausência por Doença]])-2,0)*($G265-$H265)</f>
        <v>38.490377333333328</v>
      </c>
      <c r="AX265" s="22">
        <f>VLOOKUP($A265,tabCustoUnit[],COLUMN(CUSTO_GLOBAL[[#Headers],[Ausências Legais]])-2,0)*($G265-$H265)</f>
        <v>9.2427550833333321</v>
      </c>
      <c r="AY265" s="22">
        <f>VLOOKUP($A265,tabCustoUnit[],COLUMN(CUSTO_GLOBAL[[#Headers],[Licença Paternidade]])-2,0)*($G265-$H265)</f>
        <v>0.77867046249999994</v>
      </c>
      <c r="AZ265" s="22">
        <f>VLOOKUP($A265,tabCustoUnit[],COLUMN(CUSTO_GLOBAL[[#Headers],[Ausência por Acidente de Trabalho]])-2,0)*($G265-$H265)</f>
        <v>0.94959812500000007</v>
      </c>
      <c r="BA265" s="22">
        <f>VLOOKUP($A265,tabCustoUnit[],COLUMN(CUSTO_GLOBAL[[#Headers],[Férias, Adicional de Férias e 13º  com empregada em gozo de Licença Maternidade]])-2,0)*($G265-$H265)</f>
        <v>5.9086105555555557</v>
      </c>
      <c r="BB265" s="22">
        <f>VLOOKUP($A265,tabCustoUnit[],COLUMN(CUSTO_GLOBAL[[#Headers],[Incidência do Submódulo 2.1 sobre Ausências Legais]])-2,0)*($G265-$H265)</f>
        <v>20.929864369575004</v>
      </c>
      <c r="BC265" s="22">
        <f>VLOOKUP($A265,tabCustoUnit[],COLUMN(CUSTO_GLOBAL[[#Headers],[Submódulo 4.1]])-2,0)*($G265-$H265)</f>
        <v>76.29987592929723</v>
      </c>
      <c r="BD265" s="22">
        <f>VLOOKUP($A265,tabCustoUnit[],COLUMN(CUSTO_GLOBAL[[#Headers],[Intervalo para Repouso ou Alimentação]])-2,0)*($G265-$H265)</f>
        <v>0</v>
      </c>
      <c r="BE265" s="22">
        <f>VLOOKUP($A265,tabCustoUnit[],COLUMN(CUSTO_GLOBAL[[#Headers],[Submódulo 4.2]])-2,0)*($G265-$H265)</f>
        <v>0</v>
      </c>
      <c r="BF265" s="22">
        <f>VLOOKUP($A265,tabCustoUnit[],COLUMN(CUSTO_GLOBAL[[#Headers],[Suspensão Temporária do Contrato de Trabalho]])-2,0)*($G265-$H265)</f>
        <v>0</v>
      </c>
      <c r="BG265" s="22">
        <f>VLOOKUP($A265,tabCustoUnit[],COLUMN(CUSTO_GLOBAL[[#Headers],[Submódulo 4.3]])-2,0)*($G265-$H265)</f>
        <v>0</v>
      </c>
      <c r="BH265" s="22">
        <f>VLOOKUP($A265,tabCustoUnit[],COLUMN(CUSTO_GLOBAL[[#Headers],[MÓDULO 4 – CUSTO DE REPOSIÇÃO DO PROFISSIONAL AUSENTE]])-2,0)*($G265-$H265)</f>
        <v>76.29987592929723</v>
      </c>
      <c r="BI265" s="22">
        <f>VLOOKUP($A265,tabCustoUnit[],COLUMN(CUSTO_GLOBAL[[#Headers],[Uniformes e EPIs]])-2,0)*($G265-$H265)</f>
        <v>92.100763771570698</v>
      </c>
      <c r="BJ265" s="22">
        <f>VLOOKUP($A265,tabCustoUnit[],COLUMN(CUSTO_GLOBAL[[#Headers],[Materiais de Consumo]])-2,0)*($G265-$H265)</f>
        <v>0</v>
      </c>
      <c r="BK265" s="22">
        <f>VLOOKUP($A265,tabCustoUnit[],COLUMN(CUSTO_GLOBAL[[#Headers],[Máquinas e Equipamentos (depreciação)]])-2,0)*($G265-$H265)</f>
        <v>0</v>
      </c>
      <c r="BL265" s="22">
        <f>VLOOKUP($A265,tabCustoUnit[],COLUMN(CUSTO_GLOBAL[[#Headers],[Produtos de Limpeza e Materiais de Higiene Pessoal]])-2,0)*($G265-$H265)</f>
        <v>0</v>
      </c>
      <c r="BM265" s="22">
        <f>VLOOKUP($A265,tabCustoUnit[],COLUMN(CUSTO_GLOBAL[[#Headers],[Outros (especificar)]])-2,0)*($G265-$H265)</f>
        <v>0</v>
      </c>
      <c r="BN265" s="22">
        <f>VLOOKUP($A265,tabCustoUnit[],COLUMN(CUSTO_GLOBAL[[#Headers],[MÓDULO 5 – INSUMOS DIVERSOS]])-2,0)*($G265-$H265)</f>
        <v>92.100763771570698</v>
      </c>
      <c r="BO265" s="22" t="e">
        <f ca="1">VLOOKUP($A265,tabCustoUnit[],COLUMN(CUSTO_GLOBAL[[#Headers],[TOTAL MÓDULOS 1+2+3+4+5]])-2,0)*($G265-$H265)</f>
        <v>#NAME?</v>
      </c>
      <c r="BP265" s="22" t="e">
        <f ca="1">VLOOKUP($A265,tabCustoUnit[],COLUMN(CUSTO_GLOBAL[[#Headers],[Custos Indiretos]])-2,0)*($G265-$H265)</f>
        <v>#NAME?</v>
      </c>
      <c r="BQ265" s="22" t="e">
        <f ca="1">VLOOKUP($A265,tabCustoUnit[],COLUMN(CUSTO_GLOBAL[[#Headers],[Lucro]])-2,0)*($G265-$H265)</f>
        <v>#NAME?</v>
      </c>
      <c r="BR265" s="26">
        <f>VLOOKUP($A265,tabCustoUnit[],COLUMN(CUSTO_GLOBAL[[#Headers],[COFINS]])-2,0)</f>
        <v>8.5633802816901458E-2</v>
      </c>
      <c r="BS265" s="26">
        <f>VLOOKUP($A265,tabCustoUnit[],COLUMN(CUSTO_GLOBAL[[#Headers],[PIS]])-2,0)</f>
        <v>1.8591549295774657E-2</v>
      </c>
      <c r="BT265" s="28">
        <f>VLOOKUP($A265,tabCustoUnit[],COLUMN(CUSTO_GLOBAL[[#Headers],[ISS]])-2,0)</f>
        <v>0.02</v>
      </c>
      <c r="BU265" s="26">
        <f>VLOOKUP($A265,tabCustoUnit[],COLUMN(CUSTO_GLOBAL[[#Headers],[ISS (Conversão Alíquota s/ fatura)]])-2,0)</f>
        <v>2.2535211267605645E-2</v>
      </c>
      <c r="BV265" s="26">
        <f>VLOOKUP($A265,tabCustoUnit[],COLUMN(CUSTO_GLOBAL[[#Headers],[Resumo de Alíquotas (PIS+CONFINS+ISS)]])-2,0)</f>
        <v>0.1125</v>
      </c>
      <c r="BW265" s="138">
        <f>VLOOKUP($A265,tabCustoUnit[],COLUMN(CUSTO_GLOBAL[[#Headers],[PIS + COFINS + ISS (Total Conversão  Alíquota s/ Fatura)]])-2,0)</f>
        <v>0.12676056338028174</v>
      </c>
      <c r="BX265" s="22" t="e">
        <f ca="1">VLOOKUP($A265,tabCustoUnit[],COLUMN(CUSTO_GLOBAL[[#Headers],[Valor dos Tributos (ISS, PIS, CONFINS)]])-2,0)*($G265-$H265)</f>
        <v>#NAME?</v>
      </c>
      <c r="BY265" s="22" t="e">
        <f ca="1">VLOOKUP($A265,tabCustoUnit[],COLUMN(CUSTO_GLOBAL[[#Headers],[MÓDULO 6 – CUSTOS INDIRETOS, TRIBUTOS E LUCRO]])-2,0)*($G265-$H265)</f>
        <v>#NAME?</v>
      </c>
      <c r="BZ265" s="22" t="e">
        <f ca="1">VLOOKUP($A265,tabCustoUnit[],COLUMN(CUSTO_GLOBAL[[#Headers],[CUSTO TOTAL MENSAL]])-2,0)*($G265-$H265)</f>
        <v>#NAME?</v>
      </c>
      <c r="CA265" s="22" t="e">
        <f ca="1">CUSTO_GLOBAL[[#This Row],[CUSTO TOTAL MENSAL]]*12</f>
        <v>#NAME?</v>
      </c>
      <c r="CB265" s="24">
        <f>VLOOKUP($A265,tabCustoUnit[],COLUMN(CUSTO_GLOBAL[[#Headers],[ANO DA CCT]])-2,0)</f>
        <v>45658</v>
      </c>
      <c r="CC265" s="25" t="str">
        <f>VLOOKUP($A265,tabCustoUnit[],COLUMN(CUSTO_GLOBAL[[#Headers],[Nº DE PEDIDO DA CCT]])-2,0)</f>
        <v>-</v>
      </c>
      <c r="CD265" s="25" t="str">
        <f>VLOOKUP($A265,tabCustoUnit[],COLUMN(CUSTO_GLOBAL[[#Headers],[TERMO ADITIVO ALTERAÇÃO DA CCT]])-2,0)</f>
        <v>-</v>
      </c>
    </row>
    <row r="266" spans="1:82">
      <c r="A266" s="20" t="s">
        <v>1686</v>
      </c>
      <c r="B266" t="s">
        <v>1191</v>
      </c>
      <c r="C266" t="s">
        <v>314</v>
      </c>
      <c r="D266" t="s">
        <v>961</v>
      </c>
      <c r="E266" s="20" t="s">
        <v>1090</v>
      </c>
      <c r="F266" s="20" t="s">
        <v>120</v>
      </c>
      <c r="G266" s="20">
        <v>1</v>
      </c>
      <c r="H266" s="20">
        <v>0</v>
      </c>
      <c r="I266" s="21">
        <f>VLOOKUP($A266,tabCustoUnit[],COLUMN(CUSTO_GLOBAL[[#Headers],[Salário Base]])-2,0)*($G266-$H266)</f>
        <v>1963.405</v>
      </c>
      <c r="J266" s="21">
        <f>VLOOKUP($A266,tabCustoUnit[],COLUMN(CUSTO_GLOBAL[[#Headers],[Adicional Periculosidade]])-2,0)*($G266-$H266)</f>
        <v>0</v>
      </c>
      <c r="K266" s="21">
        <f>VLOOKUP($A266,tabCustoUnit[],COLUMN(CUSTO_GLOBAL[[#Headers],[Adicional Insalubridade]])-2,0)*($G266-$H266)</f>
        <v>0</v>
      </c>
      <c r="L266" s="21">
        <f>VLOOKUP($A266,tabCustoUnit[],COLUMN(CUSTO_GLOBAL[[#Headers],[Adicional Noturno]])-2,0)*($G266-$H266)</f>
        <v>0</v>
      </c>
      <c r="M266" s="21">
        <f>VLOOKUP($A266,tabCustoUnit[],COLUMN(CUSTO_GLOBAL[[#Headers],[Adicional Motorista II (Gratificação)]])-2,0)*($G266-$H266)</f>
        <v>0</v>
      </c>
      <c r="N266" s="21">
        <f>VLOOKUP($A266,tabCustoUnit[],COLUMN(CUSTO_GLOBAL[[#Headers],[Adicional de Sobreaviso]])-2,0)*($G266-$H266)</f>
        <v>0</v>
      </c>
      <c r="O266" s="21">
        <f>VLOOKUP($A266,tabCustoUnit[],COLUMN(CUSTO_GLOBAL[[#Headers],[Horas Extras TI]])-2,0)*($G266-$H266)</f>
        <v>0</v>
      </c>
      <c r="P266" s="21">
        <f>VLOOKUP($A266,tabCustoUnit[],COLUMN(CUSTO_GLOBAL[[#Headers],[Adicional de Acúmulo de função]])-2,0)*($G266-$H266)</f>
        <v>0</v>
      </c>
      <c r="Q266" s="21">
        <f>VLOOKUP($A266,tabCustoUnit[],COLUMN(CUSTO_GLOBAL[[#Headers],[MODULO 1 - REMUNERAÇÃO ]])-2,0)*($G266-$H266)</f>
        <v>1963.405</v>
      </c>
      <c r="R266" s="21">
        <f>VLOOKUP($A266,tabCustoUnit[],COLUMN(CUSTO_GLOBAL[[#Headers],[INSS]])-2,0)*($G266-$H266)</f>
        <v>392.68100000000004</v>
      </c>
      <c r="S266" s="21">
        <f>VLOOKUP($A266,tabCustoUnit[],COLUMN(CUSTO_GLOBAL[[#Headers],[SESI OU SESC]])-2,0)*($G266-$H266)</f>
        <v>29.451074999999999</v>
      </c>
      <c r="T266" s="21">
        <f>VLOOKUP($A266,tabCustoUnit[],COLUMN(CUSTO_GLOBAL[[#Headers],[SENAI OU SENAC]])-2,0)*($G266-$H266)</f>
        <v>19.634049999999998</v>
      </c>
      <c r="U266" s="21">
        <f>VLOOKUP($A266,tabCustoUnit[],COLUMN(CUSTO_GLOBAL[[#Headers],[INCRA]])-2,0)*($G266-$H266)</f>
        <v>3.9268100000000001</v>
      </c>
      <c r="V266" s="21">
        <f>VLOOKUP($A266,tabCustoUnit[],COLUMN(CUSTO_GLOBAL[[#Headers],[Salário Educação]])-2,0)*($G266-$H266)</f>
        <v>49.085125000000005</v>
      </c>
      <c r="W266" s="21">
        <f>VLOOKUP($A266,tabCustoUnit[],COLUMN(CUSTO_GLOBAL[[#Headers],[FGTS]])-2,0)*($G266-$H266)</f>
        <v>157.07239999999999</v>
      </c>
      <c r="X266" s="21">
        <f>VLOOKUP($A266,tabCustoUnit[],COLUMN(CUSTO_GLOBAL[[#Headers],[RAT Ajustado]])-2,0)*($G266-$H266)</f>
        <v>78.536199999999994</v>
      </c>
      <c r="Y266" s="21">
        <f>VLOOKUP($A266,tabCustoUnit[],COLUMN(CUSTO_GLOBAL[[#Headers],[SEBRAE]])-2,0)*($G266-$H266)</f>
        <v>11.780430000000001</v>
      </c>
      <c r="Z266" s="21">
        <f>VLOOKUP($A266,tabCustoUnit[],COLUMN(CUSTO_GLOBAL[[#Headers],[Submódulo 2.1]])-2,0)*($G266-$H266)</f>
        <v>742.16709000000003</v>
      </c>
      <c r="AA266" s="21">
        <f>VLOOKUP($A266,tabCustoUnit[],COLUMN(CUSTO_GLOBAL[[#Headers],[13º salário (titular)]])-2,0)*($G266-$H266)</f>
        <v>163.61708333333331</v>
      </c>
      <c r="AB266" s="21">
        <f>VLOOKUP($A266,tabCustoUnit[],COLUMN(CUSTO_GLOBAL[[#Headers],[Férias e Adicional de Férias (titular)]])-2,0)*($G266-$H266)</f>
        <v>218.1561111111111</v>
      </c>
      <c r="AC266" s="21">
        <f>VLOOKUP($A266,tabCustoUnit[],COLUMN(CUSTO_GLOBAL[[#Headers],[Incidência do Submódulo 2.1 sobre 13º Salário, Férias e Adicional de Férias]])-2,0)*($G266-$H266)</f>
        <v>144.31026749999998</v>
      </c>
      <c r="AD266" s="21">
        <f>VLOOKUP($A266,tabCustoUnit[],COLUMN(CUSTO_GLOBAL[[#Headers],[Submódulo 2.2]])-2,0)*($G266-$H266)</f>
        <v>526.08346194444437</v>
      </c>
      <c r="AE266" s="22" t="e">
        <f ca="1">VLOOKUP($A266,tabCustoUnit[],COLUMN(CUSTO_GLOBAL[[#Headers],[Vale - Transporte (Descontada parcela do empregado)]])-2,0)*($G266-$H266)</f>
        <v>#NAME?</v>
      </c>
      <c r="AF266" s="22">
        <f>VLOOKUP($A266,tabCustoUnit[],COLUMN(CUSTO_GLOBAL[[#Headers],[Vale - Alimentação (Descontada parcela do empregado)]])-2,0)*($G266-$H266)</f>
        <v>582</v>
      </c>
      <c r="AG266" s="22">
        <f>VLOOKUP($A266,tabCustoUnit[],COLUMN(CUSTO_GLOBAL[[#Headers],[Cesta Básica]])-2,0)*($G266-$H266)</f>
        <v>0</v>
      </c>
      <c r="AH266" s="22">
        <f>VLOOKUP($A266,tabCustoUnit[],COLUMN(CUSTO_GLOBAL[[#Headers],[PAF]])-2,0)*($G266-$H266)</f>
        <v>53.27</v>
      </c>
      <c r="AI266" s="22">
        <f>VLOOKUP($A266,tabCustoUnit[],COLUMN(CUSTO_GLOBAL[[#Headers],[PQM]])-2,0)*($G266-$H266)</f>
        <v>0</v>
      </c>
      <c r="AJ266" s="22">
        <v>0</v>
      </c>
      <c r="AK266" s="22">
        <f>VLOOKUP($A266,tabCustoUnit[],COLUMN(CUSTO_GLOBAL[[#Headers],[Seguro de Vida]])-2,0)*($G266-$H266)</f>
        <v>3.36</v>
      </c>
      <c r="AL266" s="22">
        <f>VLOOKUP($A266,tabCustoUnit[],COLUMN(CUSTO_GLOBAL[[#Headers],[Despesas de Viagem]])-2,0)*($G266-$H266)</f>
        <v>0</v>
      </c>
      <c r="AM266" s="22" t="e">
        <f ca="1">VLOOKUP($A266,tabCustoUnit[],COLUMN(CUSTO_GLOBAL[[#Headers],[Submódulo 2.3]])-2,0)*($G266-$H266)</f>
        <v>#NAME?</v>
      </c>
      <c r="AN266" s="22" t="e">
        <f ca="1">VLOOKUP($A266,tabCustoUnit[],COLUMN(CUSTO_GLOBAL[[#Headers],[MÓDULO 2 - Total Encargos e Benefícios mensais e diários]])-2,0)*($G266-$H266)</f>
        <v>#NAME?</v>
      </c>
      <c r="AO266" s="22">
        <f>VLOOKUP($A266,tabCustoUnit[],COLUMN(CUSTO_GLOBAL[[#Headers],[Aviso Prévio Indenizado (API) e Reflexo do Aviso Prévio Indenizado]])-2,0)*($G266-$H266)</f>
        <v>13.766938338155864</v>
      </c>
      <c r="AP266" s="22">
        <f>VLOOKUP($A266,tabCustoUnit[],COLUMN(CUSTO_GLOBAL[[#Headers],[Incidência do FGTS sobre API e Reflexo do API]])-2,0)*($G266-$H266)</f>
        <v>1.1013550670524692</v>
      </c>
      <c r="AQ266" s="22">
        <f>VLOOKUP($A266,tabCustoUnit[],COLUMN(CUSTO_GLOBAL[[#Headers],[Multa Rescisória do FGTS sobre o Aviso Prévio Indenizado]])-2,0)*($G266-$H266)</f>
        <v>0.44054202682098775</v>
      </c>
      <c r="AR266" s="22">
        <f>VLOOKUP($A266,tabCustoUnit[],COLUMN(CUSTO_GLOBAL[[#Headers],[Aviso Prévio Trabalhado - APT]])-2,0)*($G266-$H266)</f>
        <v>6.8719175000000012</v>
      </c>
      <c r="AS266" s="22">
        <f>VLOOKUP($A266,tabCustoUnit[],COLUMN(CUSTO_GLOBAL[[#Headers],[Incidência dos encargos do submódulo 2.1 sobre Aviso Prévio Trabalhado]])-2,0)*($G266-$H266)</f>
        <v>2.5975848150000007</v>
      </c>
      <c r="AT266" s="22">
        <f>VLOOKUP($A266,tabCustoUnit[],COLUMN(CUSTO_GLOBAL[[#Headers],[Multa Rescisória do FGTS]])-2,0)*($G266-$H266)</f>
        <v>60.03656177777777</v>
      </c>
      <c r="AU266" s="22">
        <f>VLOOKUP($A266,tabCustoUnit[],COLUMN(CUSTO_GLOBAL[[#Headers],[Indenização Adicional (Art. 9º da Lei nº 7.238/84)]])-2,0)*($G266-$H266)</f>
        <v>1.6361708333333334</v>
      </c>
      <c r="AV266" s="22">
        <f>VLOOKUP($A266,tabCustoUnit[],COLUMN(CUSTO_GLOBAL[[#Headers],[MÓDULO 3 – PROVISÃO PARA RESCISÃO]])-2,0)*($G266-$H266)</f>
        <v>86.451070358140427</v>
      </c>
      <c r="AW266" s="22">
        <f>VLOOKUP($A266,tabCustoUnit[],COLUMN(CUSTO_GLOBAL[[#Headers],[Ausência por Doença]])-2,0)*($G266-$H266)</f>
        <v>16.579864444444443</v>
      </c>
      <c r="AX266" s="22">
        <f>VLOOKUP($A266,tabCustoUnit[],COLUMN(CUSTO_GLOBAL[[#Headers],[Ausências Legais]])-2,0)*($G266-$H266)</f>
        <v>3.9813490277777777</v>
      </c>
      <c r="AY266" s="22">
        <f>VLOOKUP($A266,tabCustoUnit[],COLUMN(CUSTO_GLOBAL[[#Headers],[Licença Paternidade]])-2,0)*($G266-$H266)</f>
        <v>0.3354150208333333</v>
      </c>
      <c r="AZ266" s="22">
        <f>VLOOKUP($A266,tabCustoUnit[],COLUMN(CUSTO_GLOBAL[[#Headers],[Ausência por Acidente de Trabalho]])-2,0)*($G266-$H266)</f>
        <v>0.40904270833333334</v>
      </c>
      <c r="BA266" s="22">
        <f>VLOOKUP($A266,tabCustoUnit[],COLUMN(CUSTO_GLOBAL[[#Headers],[Férias, Adicional de Férias e 13º  com empregada em gozo de Licença Maternidade]])-2,0)*($G266-$H266)</f>
        <v>2.5451546296296295</v>
      </c>
      <c r="BB266" s="22">
        <f>VLOOKUP($A266,tabCustoUnit[],COLUMN(CUSTO_GLOBAL[[#Headers],[Incidência do Submódulo 2.1 sobre Ausências Legais]])-2,0)*($G266-$H266)</f>
        <v>9.0156121641250007</v>
      </c>
      <c r="BC266" s="22">
        <f>VLOOKUP($A266,tabCustoUnit[],COLUMN(CUSTO_GLOBAL[[#Headers],[Submódulo 4.1]])-2,0)*($G266-$H266)</f>
        <v>32.866437995143521</v>
      </c>
      <c r="BD266" s="22">
        <f>VLOOKUP($A266,tabCustoUnit[],COLUMN(CUSTO_GLOBAL[[#Headers],[Intervalo para Repouso ou Alimentação]])-2,0)*($G266-$H266)</f>
        <v>267.73704981301341</v>
      </c>
      <c r="BE266" s="22">
        <f>VLOOKUP($A266,tabCustoUnit[],COLUMN(CUSTO_GLOBAL[[#Headers],[Submódulo 4.2]])-2,0)*($G266-$H266)</f>
        <v>267.73704981301341</v>
      </c>
      <c r="BF266" s="22">
        <f>VLOOKUP($A266,tabCustoUnit[],COLUMN(CUSTO_GLOBAL[[#Headers],[Suspensão Temporária do Contrato de Trabalho]])-2,0)*($G266-$H266)</f>
        <v>0</v>
      </c>
      <c r="BG266" s="22">
        <f>VLOOKUP($A266,tabCustoUnit[],COLUMN(CUSTO_GLOBAL[[#Headers],[Submódulo 4.3]])-2,0)*($G266-$H266)</f>
        <v>0</v>
      </c>
      <c r="BH266" s="22">
        <f>VLOOKUP($A266,tabCustoUnit[],COLUMN(CUSTO_GLOBAL[[#Headers],[MÓDULO 4 – CUSTO DE REPOSIÇÃO DO PROFISSIONAL AUSENTE]])-2,0)*($G266-$H266)</f>
        <v>300.60348780815696</v>
      </c>
      <c r="BI266" s="22">
        <f>VLOOKUP($A266,tabCustoUnit[],COLUMN(CUSTO_GLOBAL[[#Headers],[Uniformes e EPIs]])-2,0)*($G266-$H266)</f>
        <v>56.642978962543395</v>
      </c>
      <c r="BJ266" s="22">
        <f>VLOOKUP($A266,tabCustoUnit[],COLUMN(CUSTO_GLOBAL[[#Headers],[Materiais de Consumo]])-2,0)*($G266-$H266)</f>
        <v>0</v>
      </c>
      <c r="BK266" s="22">
        <f>VLOOKUP($A266,tabCustoUnit[],COLUMN(CUSTO_GLOBAL[[#Headers],[Máquinas e Equipamentos (depreciação)]])-2,0)*($G266-$H266)</f>
        <v>0</v>
      </c>
      <c r="BL266" s="22">
        <f>VLOOKUP($A266,tabCustoUnit[],COLUMN(CUSTO_GLOBAL[[#Headers],[Produtos de Limpeza e Materiais de Higiene Pessoal]])-2,0)*($G266-$H266)</f>
        <v>0</v>
      </c>
      <c r="BM266" s="22">
        <f>VLOOKUP($A266,tabCustoUnit[],COLUMN(CUSTO_GLOBAL[[#Headers],[Outros (especificar)]])-2,0)*($G266-$H266)</f>
        <v>0</v>
      </c>
      <c r="BN266" s="22">
        <f>VLOOKUP($A266,tabCustoUnit[],COLUMN(CUSTO_GLOBAL[[#Headers],[MÓDULO 5 – INSUMOS DIVERSOS]])-2,0)*($G266-$H266)</f>
        <v>56.642978962543395</v>
      </c>
      <c r="BO266" s="22" t="e">
        <f ca="1">VLOOKUP($A266,tabCustoUnit[],COLUMN(CUSTO_GLOBAL[[#Headers],[TOTAL MÓDULOS 1+2+3+4+5]])-2,0)*($G266-$H266)</f>
        <v>#NAME?</v>
      </c>
      <c r="BP266" s="22" t="e">
        <f ca="1">VLOOKUP($A266,tabCustoUnit[],COLUMN(CUSTO_GLOBAL[[#Headers],[Custos Indiretos]])-2,0)*($G266-$H266)</f>
        <v>#NAME?</v>
      </c>
      <c r="BQ266" s="22" t="e">
        <f ca="1">VLOOKUP($A266,tabCustoUnit[],COLUMN(CUSTO_GLOBAL[[#Headers],[Lucro]])-2,0)*($G266-$H266)</f>
        <v>#NAME?</v>
      </c>
      <c r="BR266" s="26">
        <f>VLOOKUP($A266,tabCustoUnit[],COLUMN(CUSTO_GLOBAL[[#Headers],[COFINS]])-2,0)</f>
        <v>8.5633802816901458E-2</v>
      </c>
      <c r="BS266" s="26">
        <f>VLOOKUP($A266,tabCustoUnit[],COLUMN(CUSTO_GLOBAL[[#Headers],[PIS]])-2,0)</f>
        <v>1.8591549295774657E-2</v>
      </c>
      <c r="BT266" s="28">
        <f>VLOOKUP($A266,tabCustoUnit[],COLUMN(CUSTO_GLOBAL[[#Headers],[ISS]])-2,0)</f>
        <v>0.02</v>
      </c>
      <c r="BU266" s="26">
        <f>VLOOKUP($A266,tabCustoUnit[],COLUMN(CUSTO_GLOBAL[[#Headers],[ISS (Conversão Alíquota s/ fatura)]])-2,0)</f>
        <v>2.2535211267605645E-2</v>
      </c>
      <c r="BV266" s="26">
        <f>VLOOKUP($A266,tabCustoUnit[],COLUMN(CUSTO_GLOBAL[[#Headers],[Resumo de Alíquotas (PIS+CONFINS+ISS)]])-2,0)</f>
        <v>0.1125</v>
      </c>
      <c r="BW266" s="138">
        <f>VLOOKUP($A266,tabCustoUnit[],COLUMN(CUSTO_GLOBAL[[#Headers],[PIS + COFINS + ISS (Total Conversão  Alíquota s/ Fatura)]])-2,0)</f>
        <v>0.12676056338028174</v>
      </c>
      <c r="BX266" s="22" t="e">
        <f ca="1">VLOOKUP($A266,tabCustoUnit[],COLUMN(CUSTO_GLOBAL[[#Headers],[Valor dos Tributos (ISS, PIS, CONFINS)]])-2,0)*($G266-$H266)</f>
        <v>#NAME?</v>
      </c>
      <c r="BY266" s="22" t="e">
        <f ca="1">VLOOKUP($A266,tabCustoUnit[],COLUMN(CUSTO_GLOBAL[[#Headers],[MÓDULO 6 – CUSTOS INDIRETOS, TRIBUTOS E LUCRO]])-2,0)*($G266-$H266)</f>
        <v>#NAME?</v>
      </c>
      <c r="BZ266" s="22" t="e">
        <f ca="1">VLOOKUP($A266,tabCustoUnit[],COLUMN(CUSTO_GLOBAL[[#Headers],[CUSTO TOTAL MENSAL]])-2,0)*($G266-$H266)</f>
        <v>#NAME?</v>
      </c>
      <c r="CA266" s="22" t="e">
        <f ca="1">CUSTO_GLOBAL[[#This Row],[CUSTO TOTAL MENSAL]]*12</f>
        <v>#NAME?</v>
      </c>
      <c r="CB266" s="24">
        <f>VLOOKUP($A266,tabCustoUnit[],COLUMN(CUSTO_GLOBAL[[#Headers],[ANO DA CCT]])-2,0)</f>
        <v>45658</v>
      </c>
      <c r="CC266" s="25" t="str">
        <f>VLOOKUP($A266,tabCustoUnit[],COLUMN(CUSTO_GLOBAL[[#Headers],[Nº DE PEDIDO DA CCT]])-2,0)</f>
        <v>-</v>
      </c>
      <c r="CD266" s="25" t="str">
        <f>VLOOKUP($A266,tabCustoUnit[],COLUMN(CUSTO_GLOBAL[[#Headers],[TERMO ADITIVO ALTERAÇÃO DA CCT]])-2,0)</f>
        <v>-</v>
      </c>
    </row>
    <row r="267" spans="1:82">
      <c r="A267" s="20" t="s">
        <v>1505</v>
      </c>
      <c r="B267" t="s">
        <v>1192</v>
      </c>
      <c r="C267" t="s">
        <v>200</v>
      </c>
      <c r="D267" t="s">
        <v>1058</v>
      </c>
      <c r="E267" s="20" t="s">
        <v>1090</v>
      </c>
      <c r="F267" s="20" t="s">
        <v>120</v>
      </c>
      <c r="G267" s="20">
        <v>3</v>
      </c>
      <c r="H267" s="20">
        <v>0</v>
      </c>
      <c r="I267" s="21">
        <f>VLOOKUP($A267,tabCustoUnit[],COLUMN(CUSTO_GLOBAL[[#Headers],[Salário Base]])-2,0)*($G267-$H267)</f>
        <v>4947.3459000000003</v>
      </c>
      <c r="J267" s="21">
        <f>VLOOKUP($A267,tabCustoUnit[],COLUMN(CUSTO_GLOBAL[[#Headers],[Adicional Periculosidade]])-2,0)*($G267-$H267)</f>
        <v>0</v>
      </c>
      <c r="K267" s="21">
        <f>VLOOKUP($A267,tabCustoUnit[],COLUMN(CUSTO_GLOBAL[[#Headers],[Adicional Insalubridade]])-2,0)*($G267-$H267)</f>
        <v>0</v>
      </c>
      <c r="L267" s="21">
        <f>VLOOKUP($A267,tabCustoUnit[],COLUMN(CUSTO_GLOBAL[[#Headers],[Adicional Noturno]])-2,0)*($G267-$H267)</f>
        <v>0</v>
      </c>
      <c r="M267" s="21">
        <f>VLOOKUP($A267,tabCustoUnit[],COLUMN(CUSTO_GLOBAL[[#Headers],[Adicional Motorista II (Gratificação)]])-2,0)*($G267-$H267)</f>
        <v>0</v>
      </c>
      <c r="N267" s="21">
        <f>VLOOKUP($A267,tabCustoUnit[],COLUMN(CUSTO_GLOBAL[[#Headers],[Adicional de Sobreaviso]])-2,0)*($G267-$H267)</f>
        <v>0</v>
      </c>
      <c r="O267" s="21">
        <f>VLOOKUP($A267,tabCustoUnit[],COLUMN(CUSTO_GLOBAL[[#Headers],[Horas Extras TI]])-2,0)*($G267-$H267)</f>
        <v>0</v>
      </c>
      <c r="P267" s="21">
        <f>VLOOKUP($A267,tabCustoUnit[],COLUMN(CUSTO_GLOBAL[[#Headers],[Adicional de Acúmulo de função]])-2,0)*($G267-$H267)</f>
        <v>0</v>
      </c>
      <c r="Q267" s="21">
        <f>VLOOKUP($A267,tabCustoUnit[],COLUMN(CUSTO_GLOBAL[[#Headers],[MODULO 1 - REMUNERAÇÃO ]])-2,0)*($G267-$H267)</f>
        <v>4947.3459000000003</v>
      </c>
      <c r="R267" s="21">
        <f>VLOOKUP($A267,tabCustoUnit[],COLUMN(CUSTO_GLOBAL[[#Headers],[INSS]])-2,0)*($G267-$H267)</f>
        <v>989.46918000000005</v>
      </c>
      <c r="S267" s="21">
        <f>VLOOKUP($A267,tabCustoUnit[],COLUMN(CUSTO_GLOBAL[[#Headers],[SESI OU SESC]])-2,0)*($G267-$H267)</f>
        <v>74.210188500000001</v>
      </c>
      <c r="T267" s="21">
        <f>VLOOKUP($A267,tabCustoUnit[],COLUMN(CUSTO_GLOBAL[[#Headers],[SENAI OU SENAC]])-2,0)*($G267-$H267)</f>
        <v>49.473459000000005</v>
      </c>
      <c r="U267" s="21">
        <f>VLOOKUP($A267,tabCustoUnit[],COLUMN(CUSTO_GLOBAL[[#Headers],[INCRA]])-2,0)*($G267-$H267)</f>
        <v>9.8946918000000004</v>
      </c>
      <c r="V267" s="21">
        <f>VLOOKUP($A267,tabCustoUnit[],COLUMN(CUSTO_GLOBAL[[#Headers],[Salário Educação]])-2,0)*($G267-$H267)</f>
        <v>123.68364750000001</v>
      </c>
      <c r="W267" s="21">
        <f>VLOOKUP($A267,tabCustoUnit[],COLUMN(CUSTO_GLOBAL[[#Headers],[FGTS]])-2,0)*($G267-$H267)</f>
        <v>395.78767200000004</v>
      </c>
      <c r="X267" s="21">
        <f>VLOOKUP($A267,tabCustoUnit[],COLUMN(CUSTO_GLOBAL[[#Headers],[RAT Ajustado]])-2,0)*($G267-$H267)</f>
        <v>197.89383600000002</v>
      </c>
      <c r="Y267" s="21">
        <f>VLOOKUP($A267,tabCustoUnit[],COLUMN(CUSTO_GLOBAL[[#Headers],[SEBRAE]])-2,0)*($G267-$H267)</f>
        <v>29.684075400000001</v>
      </c>
      <c r="Z267" s="21">
        <f>VLOOKUP($A267,tabCustoUnit[],COLUMN(CUSTO_GLOBAL[[#Headers],[Submódulo 2.1]])-2,0)*($G267-$H267)</f>
        <v>1870.0967502000003</v>
      </c>
      <c r="AA267" s="21">
        <f>VLOOKUP($A267,tabCustoUnit[],COLUMN(CUSTO_GLOBAL[[#Headers],[13º salário (titular)]])-2,0)*($G267-$H267)</f>
        <v>412.27882499999993</v>
      </c>
      <c r="AB267" s="21">
        <f>VLOOKUP($A267,tabCustoUnit[],COLUMN(CUSTO_GLOBAL[[#Headers],[Férias e Adicional de Férias (titular)]])-2,0)*($G267-$H267)</f>
        <v>549.7050999999999</v>
      </c>
      <c r="AC267" s="21">
        <f>VLOOKUP($A267,tabCustoUnit[],COLUMN(CUSTO_GLOBAL[[#Headers],[Incidência do Submódulo 2.1 sobre 13º Salário, Férias e Adicional de Férias]])-2,0)*($G267-$H267)</f>
        <v>363.62992365000002</v>
      </c>
      <c r="AD267" s="21">
        <f>VLOOKUP($A267,tabCustoUnit[],COLUMN(CUSTO_GLOBAL[[#Headers],[Submódulo 2.2]])-2,0)*($G267-$H267)</f>
        <v>1325.6138486499999</v>
      </c>
      <c r="AE267" s="22" t="e">
        <f ca="1">VLOOKUP($A267,tabCustoUnit[],COLUMN(CUSTO_GLOBAL[[#Headers],[Vale - Transporte (Descontada parcela do empregado)]])-2,0)*($G267-$H267)</f>
        <v>#NAME?</v>
      </c>
      <c r="AF267" s="22">
        <f>VLOOKUP($A267,tabCustoUnit[],COLUMN(CUSTO_GLOBAL[[#Headers],[Vale - Alimentação (Descontada parcela do empregado)]])-2,0)*($G267-$H267)</f>
        <v>1746</v>
      </c>
      <c r="AG267" s="22">
        <f>VLOOKUP($A267,tabCustoUnit[],COLUMN(CUSTO_GLOBAL[[#Headers],[Cesta Básica]])-2,0)*($G267-$H267)</f>
        <v>0</v>
      </c>
      <c r="AH267" s="22">
        <f>VLOOKUP($A267,tabCustoUnit[],COLUMN(CUSTO_GLOBAL[[#Headers],[PAF]])-2,0)*($G267-$H267)</f>
        <v>231.75</v>
      </c>
      <c r="AI267" s="22">
        <f>VLOOKUP($A267,tabCustoUnit[],COLUMN(CUSTO_GLOBAL[[#Headers],[PQM]])-2,0)*($G267-$H267)</f>
        <v>0</v>
      </c>
      <c r="AJ267" s="22">
        <v>0</v>
      </c>
      <c r="AK267" s="22">
        <f>VLOOKUP($A267,tabCustoUnit[],COLUMN(CUSTO_GLOBAL[[#Headers],[Seguro de Vida]])-2,0)*($G267-$H267)</f>
        <v>10.08</v>
      </c>
      <c r="AL267" s="22">
        <f>VLOOKUP($A267,tabCustoUnit[],COLUMN(CUSTO_GLOBAL[[#Headers],[Despesas de Viagem]])-2,0)*($G267-$H267)</f>
        <v>0</v>
      </c>
      <c r="AM267" s="22" t="e">
        <f ca="1">VLOOKUP($A267,tabCustoUnit[],COLUMN(CUSTO_GLOBAL[[#Headers],[Submódulo 2.3]])-2,0)*($G267-$H267)</f>
        <v>#NAME?</v>
      </c>
      <c r="AN267" s="22" t="e">
        <f ca="1">VLOOKUP($A267,tabCustoUnit[],COLUMN(CUSTO_GLOBAL[[#Headers],[MÓDULO 2 - Total Encargos e Benefícios mensais e diários]])-2,0)*($G267-$H267)</f>
        <v>#NAME?</v>
      </c>
      <c r="AO267" s="22">
        <f>VLOOKUP($A267,tabCustoUnit[],COLUMN(CUSTO_GLOBAL[[#Headers],[Aviso Prévio Indenizado (API) e Reflexo do Aviso Prévio Indenizado]])-2,0)*($G267-$H267)</f>
        <v>34.689636597048604</v>
      </c>
      <c r="AP267" s="22">
        <f>VLOOKUP($A267,tabCustoUnit[],COLUMN(CUSTO_GLOBAL[[#Headers],[Incidência do FGTS sobre API e Reflexo do API]])-2,0)*($G267-$H267)</f>
        <v>2.775170927763889</v>
      </c>
      <c r="AQ267" s="22">
        <f>VLOOKUP($A267,tabCustoUnit[],COLUMN(CUSTO_GLOBAL[[#Headers],[Multa Rescisória do FGTS sobre o Aviso Prévio Indenizado]])-2,0)*($G267-$H267)</f>
        <v>1.1100683711055557</v>
      </c>
      <c r="AR267" s="22">
        <f>VLOOKUP($A267,tabCustoUnit[],COLUMN(CUSTO_GLOBAL[[#Headers],[Aviso Prévio Trabalhado - APT]])-2,0)*($G267-$H267)</f>
        <v>17.31571065</v>
      </c>
      <c r="AS267" s="22">
        <f>VLOOKUP($A267,tabCustoUnit[],COLUMN(CUSTO_GLOBAL[[#Headers],[Incidência dos encargos do submódulo 2.1 sobre Aviso Prévio Trabalhado]])-2,0)*($G267-$H267)</f>
        <v>6.5453386257000012</v>
      </c>
      <c r="AT267" s="22">
        <f>VLOOKUP($A267,tabCustoUnit[],COLUMN(CUSTO_GLOBAL[[#Headers],[Multa Rescisória do FGTS]])-2,0)*($G267-$H267)</f>
        <v>151.27884351999995</v>
      </c>
      <c r="AU267" s="22">
        <f>VLOOKUP($A267,tabCustoUnit[],COLUMN(CUSTO_GLOBAL[[#Headers],[Indenização Adicional (Art. 9º da Lei nº 7.238/84)]])-2,0)*($G267-$H267)</f>
        <v>4.1227882500000002</v>
      </c>
      <c r="AV267" s="22">
        <f>VLOOKUP($A267,tabCustoUnit[],COLUMN(CUSTO_GLOBAL[[#Headers],[MÓDULO 3 – PROVISÃO PARA RESCISÃO]])-2,0)*($G267-$H267)</f>
        <v>217.837556941618</v>
      </c>
      <c r="AW267" s="22">
        <f>VLOOKUP($A267,tabCustoUnit[],COLUMN(CUSTO_GLOBAL[[#Headers],[Ausência por Doença]])-2,0)*($G267-$H267)</f>
        <v>41.777587599999997</v>
      </c>
      <c r="AX267" s="22">
        <f>VLOOKUP($A267,tabCustoUnit[],COLUMN(CUSTO_GLOBAL[[#Headers],[Ausências Legais]])-2,0)*($G267-$H267)</f>
        <v>10.032118075</v>
      </c>
      <c r="AY267" s="22">
        <f>VLOOKUP($A267,tabCustoUnit[],COLUMN(CUSTO_GLOBAL[[#Headers],[Licença Paternidade]])-2,0)*($G267-$H267)</f>
        <v>0.84517159124999997</v>
      </c>
      <c r="AZ267" s="22">
        <f>VLOOKUP($A267,tabCustoUnit[],COLUMN(CUSTO_GLOBAL[[#Headers],[Ausência por Acidente de Trabalho]])-2,0)*($G267-$H267)</f>
        <v>1.0306970625</v>
      </c>
      <c r="BA267" s="22">
        <f>VLOOKUP($A267,tabCustoUnit[],COLUMN(CUSTO_GLOBAL[[#Headers],[Férias, Adicional de Férias e 13º  com empregada em gozo de Licença Maternidade]])-2,0)*($G267-$H267)</f>
        <v>6.4132261666666661</v>
      </c>
      <c r="BB267" s="22">
        <f>VLOOKUP($A267,tabCustoUnit[],COLUMN(CUSTO_GLOBAL[[#Headers],[Incidência do Submódulo 2.1 sobre Ausências Legais]])-2,0)*($G267-$H267)</f>
        <v>22.717346587267503</v>
      </c>
      <c r="BC267" s="22">
        <f>VLOOKUP($A267,tabCustoUnit[],COLUMN(CUSTO_GLOBAL[[#Headers],[Submódulo 4.1]])-2,0)*($G267-$H267)</f>
        <v>82.816147082684154</v>
      </c>
      <c r="BD267" s="22">
        <f>VLOOKUP($A267,tabCustoUnit[],COLUMN(CUSTO_GLOBAL[[#Headers],[Intervalo para Repouso ou Alimentação]])-2,0)*($G267-$H267)</f>
        <v>0</v>
      </c>
      <c r="BE267" s="22">
        <f>VLOOKUP($A267,tabCustoUnit[],COLUMN(CUSTO_GLOBAL[[#Headers],[Submódulo 4.2]])-2,0)*($G267-$H267)</f>
        <v>0</v>
      </c>
      <c r="BF267" s="22">
        <f>VLOOKUP($A267,tabCustoUnit[],COLUMN(CUSTO_GLOBAL[[#Headers],[Suspensão Temporária do Contrato de Trabalho]])-2,0)*($G267-$H267)</f>
        <v>0</v>
      </c>
      <c r="BG267" s="22">
        <f>VLOOKUP($A267,tabCustoUnit[],COLUMN(CUSTO_GLOBAL[[#Headers],[Submódulo 4.3]])-2,0)*($G267-$H267)</f>
        <v>0</v>
      </c>
      <c r="BH267" s="22">
        <f>VLOOKUP($A267,tabCustoUnit[],COLUMN(CUSTO_GLOBAL[[#Headers],[MÓDULO 4 – CUSTO DE REPOSIÇÃO DO PROFISSIONAL AUSENTE]])-2,0)*($G267-$H267)</f>
        <v>82.816147082684154</v>
      </c>
      <c r="BI267" s="22">
        <f>VLOOKUP($A267,tabCustoUnit[],COLUMN(CUSTO_GLOBAL[[#Headers],[Uniformes e EPIs]])-2,0)*($G267-$H267)</f>
        <v>168.42514098596976</v>
      </c>
      <c r="BJ267" s="22">
        <f>VLOOKUP($A267,tabCustoUnit[],COLUMN(CUSTO_GLOBAL[[#Headers],[Materiais de Consumo]])-2,0)*($G267-$H267)</f>
        <v>0</v>
      </c>
      <c r="BK267" s="22">
        <f>VLOOKUP($A267,tabCustoUnit[],COLUMN(CUSTO_GLOBAL[[#Headers],[Máquinas e Equipamentos (depreciação)]])-2,0)*($G267-$H267)</f>
        <v>0</v>
      </c>
      <c r="BL267" s="22">
        <f>VLOOKUP($A267,tabCustoUnit[],COLUMN(CUSTO_GLOBAL[[#Headers],[Produtos de Limpeza e Materiais de Higiene Pessoal]])-2,0)*($G267-$H267)</f>
        <v>0</v>
      </c>
      <c r="BM267" s="22">
        <f>VLOOKUP($A267,tabCustoUnit[],COLUMN(CUSTO_GLOBAL[[#Headers],[Outros (especificar)]])-2,0)*($G267-$H267)</f>
        <v>0</v>
      </c>
      <c r="BN267" s="22">
        <f>VLOOKUP($A267,tabCustoUnit[],COLUMN(CUSTO_GLOBAL[[#Headers],[MÓDULO 5 – INSUMOS DIVERSOS]])-2,0)*($G267-$H267)</f>
        <v>168.42514098596976</v>
      </c>
      <c r="BO267" s="22" t="e">
        <f ca="1">VLOOKUP($A267,tabCustoUnit[],COLUMN(CUSTO_GLOBAL[[#Headers],[TOTAL MÓDULOS 1+2+3+4+5]])-2,0)*($G267-$H267)</f>
        <v>#NAME?</v>
      </c>
      <c r="BP267" s="22" t="e">
        <f ca="1">VLOOKUP($A267,tabCustoUnit[],COLUMN(CUSTO_GLOBAL[[#Headers],[Custos Indiretos]])-2,0)*($G267-$H267)</f>
        <v>#NAME?</v>
      </c>
      <c r="BQ267" s="22" t="e">
        <f ca="1">VLOOKUP($A267,tabCustoUnit[],COLUMN(CUSTO_GLOBAL[[#Headers],[Lucro]])-2,0)*($G267-$H267)</f>
        <v>#NAME?</v>
      </c>
      <c r="BR267" s="26">
        <f>VLOOKUP($A267,tabCustoUnit[],COLUMN(CUSTO_GLOBAL[[#Headers],[COFINS]])-2,0)</f>
        <v>8.8629737609329504E-2</v>
      </c>
      <c r="BS267" s="26">
        <f>VLOOKUP($A267,tabCustoUnit[],COLUMN(CUSTO_GLOBAL[[#Headers],[PIS]])-2,0)</f>
        <v>1.9241982507288629E-2</v>
      </c>
      <c r="BT267" s="28">
        <f>VLOOKUP($A267,tabCustoUnit[],COLUMN(CUSTO_GLOBAL[[#Headers],[ISS]])-2,0)</f>
        <v>0.05</v>
      </c>
      <c r="BU267" s="26">
        <f>VLOOKUP($A267,tabCustoUnit[],COLUMN(CUSTO_GLOBAL[[#Headers],[ISS (Conversão Alíquota s/ fatura)]])-2,0)</f>
        <v>5.8309037900874633E-2</v>
      </c>
      <c r="BV267" s="26">
        <f>VLOOKUP($A267,tabCustoUnit[],COLUMN(CUSTO_GLOBAL[[#Headers],[Resumo de Alíquotas (PIS+CONFINS+ISS)]])-2,0)</f>
        <v>0.14250000000000002</v>
      </c>
      <c r="BW267" s="138">
        <f>VLOOKUP($A267,tabCustoUnit[],COLUMN(CUSTO_GLOBAL[[#Headers],[PIS + COFINS + ISS (Total Conversão  Alíquota s/ Fatura)]])-2,0)</f>
        <v>0.16618075801749277</v>
      </c>
      <c r="BX267" s="22" t="e">
        <f ca="1">VLOOKUP($A267,tabCustoUnit[],COLUMN(CUSTO_GLOBAL[[#Headers],[Valor dos Tributos (ISS, PIS, CONFINS)]])-2,0)*($G267-$H267)</f>
        <v>#NAME?</v>
      </c>
      <c r="BY267" s="22" t="e">
        <f ca="1">VLOOKUP($A267,tabCustoUnit[],COLUMN(CUSTO_GLOBAL[[#Headers],[MÓDULO 6 – CUSTOS INDIRETOS, TRIBUTOS E LUCRO]])-2,0)*($G267-$H267)</f>
        <v>#NAME?</v>
      </c>
      <c r="BZ267" s="22" t="e">
        <f ca="1">VLOOKUP($A267,tabCustoUnit[],COLUMN(CUSTO_GLOBAL[[#Headers],[CUSTO TOTAL MENSAL]])-2,0)*($G267-$H267)</f>
        <v>#NAME?</v>
      </c>
      <c r="CA267" s="22" t="e">
        <f ca="1">CUSTO_GLOBAL[[#This Row],[CUSTO TOTAL MENSAL]]*12</f>
        <v>#NAME?</v>
      </c>
      <c r="CB267" s="24">
        <f>VLOOKUP($A267,tabCustoUnit[],COLUMN(CUSTO_GLOBAL[[#Headers],[ANO DA CCT]])-2,0)</f>
        <v>45658</v>
      </c>
      <c r="CC267" s="25" t="str">
        <f>VLOOKUP($A267,tabCustoUnit[],COLUMN(CUSTO_GLOBAL[[#Headers],[Nº DE PEDIDO DA CCT]])-2,0)</f>
        <v>-</v>
      </c>
      <c r="CD267" s="25" t="str">
        <f>VLOOKUP($A267,tabCustoUnit[],COLUMN(CUSTO_GLOBAL[[#Headers],[TERMO ADITIVO ALTERAÇÃO DA CCT]])-2,0)</f>
        <v>-</v>
      </c>
    </row>
    <row r="268" spans="1:82">
      <c r="A268" s="20" t="s">
        <v>1893</v>
      </c>
      <c r="B268" t="s">
        <v>1192</v>
      </c>
      <c r="C268" t="s">
        <v>254</v>
      </c>
      <c r="D268" t="s">
        <v>1058</v>
      </c>
      <c r="E268" s="20" t="s">
        <v>1090</v>
      </c>
      <c r="F268" s="20" t="s">
        <v>120</v>
      </c>
      <c r="G268" s="20">
        <v>1</v>
      </c>
      <c r="H268" s="20">
        <v>0</v>
      </c>
      <c r="I268" s="21">
        <f>VLOOKUP($A268,tabCustoUnit[],COLUMN(CUSTO_GLOBAL[[#Headers],[Salário Base]])-2,0)*($G268-$H268)</f>
        <v>2463.2934</v>
      </c>
      <c r="J268" s="21">
        <f>VLOOKUP($A268,tabCustoUnit[],COLUMN(CUSTO_GLOBAL[[#Headers],[Adicional Periculosidade]])-2,0)*($G268-$H268)</f>
        <v>0</v>
      </c>
      <c r="K268" s="21">
        <f>VLOOKUP($A268,tabCustoUnit[],COLUMN(CUSTO_GLOBAL[[#Headers],[Adicional Insalubridade]])-2,0)*($G268-$H268)</f>
        <v>0</v>
      </c>
      <c r="L268" s="21">
        <f>VLOOKUP($A268,tabCustoUnit[],COLUMN(CUSTO_GLOBAL[[#Headers],[Adicional Noturno]])-2,0)*($G268-$H268)</f>
        <v>0</v>
      </c>
      <c r="M268" s="21">
        <f>VLOOKUP($A268,tabCustoUnit[],COLUMN(CUSTO_GLOBAL[[#Headers],[Adicional Motorista II (Gratificação)]])-2,0)*($G268-$H268)</f>
        <v>0</v>
      </c>
      <c r="N268" s="21">
        <f>VLOOKUP($A268,tabCustoUnit[],COLUMN(CUSTO_GLOBAL[[#Headers],[Adicional de Sobreaviso]])-2,0)*($G268-$H268)</f>
        <v>0</v>
      </c>
      <c r="O268" s="21">
        <f>VLOOKUP($A268,tabCustoUnit[],COLUMN(CUSTO_GLOBAL[[#Headers],[Horas Extras TI]])-2,0)*($G268-$H268)</f>
        <v>0</v>
      </c>
      <c r="P268" s="21">
        <f>VLOOKUP($A268,tabCustoUnit[],COLUMN(CUSTO_GLOBAL[[#Headers],[Adicional de Acúmulo de função]])-2,0)*($G268-$H268)</f>
        <v>0</v>
      </c>
      <c r="Q268" s="21">
        <f>VLOOKUP($A268,tabCustoUnit[],COLUMN(CUSTO_GLOBAL[[#Headers],[MODULO 1 - REMUNERAÇÃO ]])-2,0)*($G268-$H268)</f>
        <v>2463.2934</v>
      </c>
      <c r="R268" s="21">
        <f>VLOOKUP($A268,tabCustoUnit[],COLUMN(CUSTO_GLOBAL[[#Headers],[INSS]])-2,0)*($G268-$H268)</f>
        <v>492.65868</v>
      </c>
      <c r="S268" s="21">
        <f>VLOOKUP($A268,tabCustoUnit[],COLUMN(CUSTO_GLOBAL[[#Headers],[SESI OU SESC]])-2,0)*($G268-$H268)</f>
        <v>36.949401000000002</v>
      </c>
      <c r="T268" s="21">
        <f>VLOOKUP($A268,tabCustoUnit[],COLUMN(CUSTO_GLOBAL[[#Headers],[SENAI OU SENAC]])-2,0)*($G268-$H268)</f>
        <v>24.632934000000002</v>
      </c>
      <c r="U268" s="21">
        <f>VLOOKUP($A268,tabCustoUnit[],COLUMN(CUSTO_GLOBAL[[#Headers],[INCRA]])-2,0)*($G268-$H268)</f>
        <v>4.9265867999999999</v>
      </c>
      <c r="V268" s="21">
        <f>VLOOKUP($A268,tabCustoUnit[],COLUMN(CUSTO_GLOBAL[[#Headers],[Salário Educação]])-2,0)*($G268-$H268)</f>
        <v>61.582335</v>
      </c>
      <c r="W268" s="21">
        <f>VLOOKUP($A268,tabCustoUnit[],COLUMN(CUSTO_GLOBAL[[#Headers],[FGTS]])-2,0)*($G268-$H268)</f>
        <v>197.06347200000002</v>
      </c>
      <c r="X268" s="21">
        <f>VLOOKUP($A268,tabCustoUnit[],COLUMN(CUSTO_GLOBAL[[#Headers],[RAT Ajustado]])-2,0)*($G268-$H268)</f>
        <v>98.531736000000009</v>
      </c>
      <c r="Y268" s="21">
        <f>VLOOKUP($A268,tabCustoUnit[],COLUMN(CUSTO_GLOBAL[[#Headers],[SEBRAE]])-2,0)*($G268-$H268)</f>
        <v>14.779760400000001</v>
      </c>
      <c r="Z268" s="21">
        <f>VLOOKUP($A268,tabCustoUnit[],COLUMN(CUSTO_GLOBAL[[#Headers],[Submódulo 2.1]])-2,0)*($G268-$H268)</f>
        <v>931.12490519999994</v>
      </c>
      <c r="AA268" s="21">
        <f>VLOOKUP($A268,tabCustoUnit[],COLUMN(CUSTO_GLOBAL[[#Headers],[13º salário (titular)]])-2,0)*($G268-$H268)</f>
        <v>205.27445</v>
      </c>
      <c r="AB268" s="21">
        <f>VLOOKUP($A268,tabCustoUnit[],COLUMN(CUSTO_GLOBAL[[#Headers],[Férias e Adicional de Férias (titular)]])-2,0)*($G268-$H268)</f>
        <v>273.69926666666663</v>
      </c>
      <c r="AC268" s="21">
        <f>VLOOKUP($A268,tabCustoUnit[],COLUMN(CUSTO_GLOBAL[[#Headers],[Incidência do Submódulo 2.1 sobre 13º Salário, Férias e Adicional de Férias]])-2,0)*($G268-$H268)</f>
        <v>181.05206489999995</v>
      </c>
      <c r="AD268" s="21">
        <f>VLOOKUP($A268,tabCustoUnit[],COLUMN(CUSTO_GLOBAL[[#Headers],[Submódulo 2.2]])-2,0)*($G268-$H268)</f>
        <v>660.02578156666664</v>
      </c>
      <c r="AE268" s="22" t="e">
        <f ca="1">VLOOKUP($A268,tabCustoUnit[],COLUMN(CUSTO_GLOBAL[[#Headers],[Vale - Transporte (Descontada parcela do empregado)]])-2,0)*($G268-$H268)</f>
        <v>#NAME?</v>
      </c>
      <c r="AF268" s="22">
        <f>VLOOKUP($A268,tabCustoUnit[],COLUMN(CUSTO_GLOBAL[[#Headers],[Vale - Alimentação (Descontada parcela do empregado)]])-2,0)*($G268-$H268)</f>
        <v>582</v>
      </c>
      <c r="AG268" s="22">
        <f>VLOOKUP($A268,tabCustoUnit[],COLUMN(CUSTO_GLOBAL[[#Headers],[Cesta Básica]])-2,0)*($G268-$H268)</f>
        <v>0</v>
      </c>
      <c r="AH268" s="22">
        <f>VLOOKUP($A268,tabCustoUnit[],COLUMN(CUSTO_GLOBAL[[#Headers],[PAF]])-2,0)*($G268-$H268)</f>
        <v>77.25</v>
      </c>
      <c r="AI268" s="22">
        <f>VLOOKUP($A268,tabCustoUnit[],COLUMN(CUSTO_GLOBAL[[#Headers],[PQM]])-2,0)*($G268-$H268)</f>
        <v>0</v>
      </c>
      <c r="AJ268" s="22">
        <v>0</v>
      </c>
      <c r="AK268" s="22">
        <f>VLOOKUP($A268,tabCustoUnit[],COLUMN(CUSTO_GLOBAL[[#Headers],[Seguro de Vida]])-2,0)*($G268-$H268)</f>
        <v>3.36</v>
      </c>
      <c r="AL268" s="22">
        <f>VLOOKUP($A268,tabCustoUnit[],COLUMN(CUSTO_GLOBAL[[#Headers],[Despesas de Viagem]])-2,0)*($G268-$H268)</f>
        <v>0</v>
      </c>
      <c r="AM268" s="22" t="e">
        <f ca="1">VLOOKUP($A268,tabCustoUnit[],COLUMN(CUSTO_GLOBAL[[#Headers],[Submódulo 2.3]])-2,0)*($G268-$H268)</f>
        <v>#NAME?</v>
      </c>
      <c r="AN268" s="22" t="e">
        <f ca="1">VLOOKUP($A268,tabCustoUnit[],COLUMN(CUSTO_GLOBAL[[#Headers],[MÓDULO 2 - Total Encargos e Benefícios mensais e diários]])-2,0)*($G268-$H268)</f>
        <v>#NAME?</v>
      </c>
      <c r="AO268" s="22">
        <f>VLOOKUP($A268,tabCustoUnit[],COLUMN(CUSTO_GLOBAL[[#Headers],[Aviso Prévio Indenizado (API) e Reflexo do Aviso Prévio Indenizado]])-2,0)*($G268-$H268)</f>
        <v>17.272039312615743</v>
      </c>
      <c r="AP268" s="22">
        <f>VLOOKUP($A268,tabCustoUnit[],COLUMN(CUSTO_GLOBAL[[#Headers],[Incidência do FGTS sobre API e Reflexo do API]])-2,0)*($G268-$H268)</f>
        <v>1.3817631450092593</v>
      </c>
      <c r="AQ268" s="22">
        <f>VLOOKUP($A268,tabCustoUnit[],COLUMN(CUSTO_GLOBAL[[#Headers],[Multa Rescisória do FGTS sobre o Aviso Prévio Indenizado]])-2,0)*($G268-$H268)</f>
        <v>0.55270525800370385</v>
      </c>
      <c r="AR268" s="22">
        <f>VLOOKUP($A268,tabCustoUnit[],COLUMN(CUSTO_GLOBAL[[#Headers],[Aviso Prévio Trabalhado - APT]])-2,0)*($G268-$H268)</f>
        <v>8.621526900000001</v>
      </c>
      <c r="AS268" s="22">
        <f>VLOOKUP($A268,tabCustoUnit[],COLUMN(CUSTO_GLOBAL[[#Headers],[Incidência dos encargos do submódulo 2.1 sobre Aviso Prévio Trabalhado]])-2,0)*($G268-$H268)</f>
        <v>3.258937168200001</v>
      </c>
      <c r="AT268" s="22">
        <f>VLOOKUP($A268,tabCustoUnit[],COLUMN(CUSTO_GLOBAL[[#Headers],[Multa Rescisória do FGTS]])-2,0)*($G268-$H268)</f>
        <v>75.32203818666666</v>
      </c>
      <c r="AU268" s="22">
        <f>VLOOKUP($A268,tabCustoUnit[],COLUMN(CUSTO_GLOBAL[[#Headers],[Indenização Adicional (Art. 9º da Lei nº 7.238/84)]])-2,0)*($G268-$H268)</f>
        <v>2.0527445000000002</v>
      </c>
      <c r="AV268" s="22">
        <f>VLOOKUP($A268,tabCustoUnit[],COLUMN(CUSTO_GLOBAL[[#Headers],[MÓDULO 3 – PROVISÃO PARA RESCISÃO]])-2,0)*($G268-$H268)</f>
        <v>108.46175447049536</v>
      </c>
      <c r="AW268" s="22">
        <f>VLOOKUP($A268,tabCustoUnit[],COLUMN(CUSTO_GLOBAL[[#Headers],[Ausência por Doença]])-2,0)*($G268-$H268)</f>
        <v>20.801144266666665</v>
      </c>
      <c r="AX268" s="22">
        <f>VLOOKUP($A268,tabCustoUnit[],COLUMN(CUSTO_GLOBAL[[#Headers],[Ausências Legais]])-2,0)*($G268-$H268)</f>
        <v>4.995011616666666</v>
      </c>
      <c r="AY268" s="22">
        <f>VLOOKUP($A268,tabCustoUnit[],COLUMN(CUSTO_GLOBAL[[#Headers],[Licença Paternidade]])-2,0)*($G268-$H268)</f>
        <v>0.42081262250000001</v>
      </c>
      <c r="AZ268" s="22">
        <f>VLOOKUP($A268,tabCustoUnit[],COLUMN(CUSTO_GLOBAL[[#Headers],[Ausência por Acidente de Trabalho]])-2,0)*($G268-$H268)</f>
        <v>0.51318612500000005</v>
      </c>
      <c r="BA268" s="22">
        <f>VLOOKUP($A268,tabCustoUnit[],COLUMN(CUSTO_GLOBAL[[#Headers],[Férias, Adicional de Férias e 13º  com empregada em gozo de Licença Maternidade]])-2,0)*($G268-$H268)</f>
        <v>3.1931581111111109</v>
      </c>
      <c r="BB268" s="22">
        <f>VLOOKUP($A268,tabCustoUnit[],COLUMN(CUSTO_GLOBAL[[#Headers],[Incidência do Submódulo 2.1 sobre Ausências Legais]])-2,0)*($G268-$H268)</f>
        <v>11.311012216455001</v>
      </c>
      <c r="BC268" s="22">
        <f>VLOOKUP($A268,tabCustoUnit[],COLUMN(CUSTO_GLOBAL[[#Headers],[Submódulo 4.1]])-2,0)*($G268-$H268)</f>
        <v>41.234324958399441</v>
      </c>
      <c r="BD268" s="22">
        <f>VLOOKUP($A268,tabCustoUnit[],COLUMN(CUSTO_GLOBAL[[#Headers],[Intervalo para Repouso ou Alimentação]])-2,0)*($G268-$H268)</f>
        <v>0</v>
      </c>
      <c r="BE268" s="22">
        <f>VLOOKUP($A268,tabCustoUnit[],COLUMN(CUSTO_GLOBAL[[#Headers],[Submódulo 4.2]])-2,0)*($G268-$H268)</f>
        <v>0</v>
      </c>
      <c r="BF268" s="22">
        <f>VLOOKUP($A268,tabCustoUnit[],COLUMN(CUSTO_GLOBAL[[#Headers],[Suspensão Temporária do Contrato de Trabalho]])-2,0)*($G268-$H268)</f>
        <v>0</v>
      </c>
      <c r="BG268" s="22">
        <f>VLOOKUP($A268,tabCustoUnit[],COLUMN(CUSTO_GLOBAL[[#Headers],[Submódulo 4.3]])-2,0)*($G268-$H268)</f>
        <v>0</v>
      </c>
      <c r="BH268" s="22">
        <f>VLOOKUP($A268,tabCustoUnit[],COLUMN(CUSTO_GLOBAL[[#Headers],[MÓDULO 4 – CUSTO DE REPOSIÇÃO DO PROFISSIONAL AUSENTE]])-2,0)*($G268-$H268)</f>
        <v>41.234324958399441</v>
      </c>
      <c r="BI268" s="22">
        <f>VLOOKUP($A268,tabCustoUnit[],COLUMN(CUSTO_GLOBAL[[#Headers],[Uniformes e EPIs]])-2,0)*($G268-$H268)</f>
        <v>98.712455192002366</v>
      </c>
      <c r="BJ268" s="22">
        <f>VLOOKUP($A268,tabCustoUnit[],COLUMN(CUSTO_GLOBAL[[#Headers],[Materiais de Consumo]])-2,0)*($G268-$H268)</f>
        <v>0</v>
      </c>
      <c r="BK268" s="22">
        <f>VLOOKUP($A268,tabCustoUnit[],COLUMN(CUSTO_GLOBAL[[#Headers],[Máquinas e Equipamentos (depreciação)]])-2,0)*($G268-$H268)</f>
        <v>0</v>
      </c>
      <c r="BL268" s="22">
        <f>VLOOKUP($A268,tabCustoUnit[],COLUMN(CUSTO_GLOBAL[[#Headers],[Produtos de Limpeza e Materiais de Higiene Pessoal]])-2,0)*($G268-$H268)</f>
        <v>0</v>
      </c>
      <c r="BM268" s="22">
        <f>VLOOKUP($A268,tabCustoUnit[],COLUMN(CUSTO_GLOBAL[[#Headers],[Outros (especificar)]])-2,0)*($G268-$H268)</f>
        <v>0</v>
      </c>
      <c r="BN268" s="22">
        <f>VLOOKUP($A268,tabCustoUnit[],COLUMN(CUSTO_GLOBAL[[#Headers],[MÓDULO 5 – INSUMOS DIVERSOS]])-2,0)*($G268-$H268)</f>
        <v>98.712455192002366</v>
      </c>
      <c r="BO268" s="22" t="e">
        <f ca="1">VLOOKUP($A268,tabCustoUnit[],COLUMN(CUSTO_GLOBAL[[#Headers],[TOTAL MÓDULOS 1+2+3+4+5]])-2,0)*($G268-$H268)</f>
        <v>#NAME?</v>
      </c>
      <c r="BP268" s="22" t="e">
        <f ca="1">VLOOKUP($A268,tabCustoUnit[],COLUMN(CUSTO_GLOBAL[[#Headers],[Custos Indiretos]])-2,0)*($G268-$H268)</f>
        <v>#NAME?</v>
      </c>
      <c r="BQ268" s="22" t="e">
        <f ca="1">VLOOKUP($A268,tabCustoUnit[],COLUMN(CUSTO_GLOBAL[[#Headers],[Lucro]])-2,0)*($G268-$H268)</f>
        <v>#NAME?</v>
      </c>
      <c r="BR268" s="26">
        <f>VLOOKUP($A268,tabCustoUnit[],COLUMN(CUSTO_GLOBAL[[#Headers],[COFINS]])-2,0)</f>
        <v>8.8629737609329504E-2</v>
      </c>
      <c r="BS268" s="26">
        <f>VLOOKUP($A268,tabCustoUnit[],COLUMN(CUSTO_GLOBAL[[#Headers],[PIS]])-2,0)</f>
        <v>1.9241982507288629E-2</v>
      </c>
      <c r="BT268" s="28">
        <f>VLOOKUP($A268,tabCustoUnit[],COLUMN(CUSTO_GLOBAL[[#Headers],[ISS]])-2,0)</f>
        <v>0.05</v>
      </c>
      <c r="BU268" s="26">
        <f>VLOOKUP($A268,tabCustoUnit[],COLUMN(CUSTO_GLOBAL[[#Headers],[ISS (Conversão Alíquota s/ fatura)]])-2,0)</f>
        <v>5.8309037900874633E-2</v>
      </c>
      <c r="BV268" s="26">
        <f>VLOOKUP($A268,tabCustoUnit[],COLUMN(CUSTO_GLOBAL[[#Headers],[Resumo de Alíquotas (PIS+CONFINS+ISS)]])-2,0)</f>
        <v>0.14250000000000002</v>
      </c>
      <c r="BW268" s="138">
        <f>VLOOKUP($A268,tabCustoUnit[],COLUMN(CUSTO_GLOBAL[[#Headers],[PIS + COFINS + ISS (Total Conversão  Alíquota s/ Fatura)]])-2,0)</f>
        <v>0.16618075801749277</v>
      </c>
      <c r="BX268" s="22" t="e">
        <f ca="1">VLOOKUP($A268,tabCustoUnit[],COLUMN(CUSTO_GLOBAL[[#Headers],[Valor dos Tributos (ISS, PIS, CONFINS)]])-2,0)*($G268-$H268)</f>
        <v>#NAME?</v>
      </c>
      <c r="BY268" s="22" t="e">
        <f ca="1">VLOOKUP($A268,tabCustoUnit[],COLUMN(CUSTO_GLOBAL[[#Headers],[MÓDULO 6 – CUSTOS INDIRETOS, TRIBUTOS E LUCRO]])-2,0)*($G268-$H268)</f>
        <v>#NAME?</v>
      </c>
      <c r="BZ268" s="22" t="e">
        <f ca="1">VLOOKUP($A268,tabCustoUnit[],COLUMN(CUSTO_GLOBAL[[#Headers],[CUSTO TOTAL MENSAL]])-2,0)*($G268-$H268)</f>
        <v>#NAME?</v>
      </c>
      <c r="CA268" s="22" t="e">
        <f ca="1">CUSTO_GLOBAL[[#This Row],[CUSTO TOTAL MENSAL]]*12</f>
        <v>#NAME?</v>
      </c>
      <c r="CB268" s="24">
        <f>VLOOKUP($A268,tabCustoUnit[],COLUMN(CUSTO_GLOBAL[[#Headers],[ANO DA CCT]])-2,0)</f>
        <v>45658</v>
      </c>
      <c r="CC268" s="25" t="str">
        <f>VLOOKUP($A268,tabCustoUnit[],COLUMN(CUSTO_GLOBAL[[#Headers],[Nº DE PEDIDO DA CCT]])-2,0)</f>
        <v>-</v>
      </c>
      <c r="CD268" s="25" t="str">
        <f>VLOOKUP($A268,tabCustoUnit[],COLUMN(CUSTO_GLOBAL[[#Headers],[TERMO ADITIVO ALTERAÇÃO DA CCT]])-2,0)</f>
        <v>-</v>
      </c>
    </row>
    <row r="269" spans="1:82">
      <c r="A269" s="20" t="s">
        <v>1687</v>
      </c>
      <c r="B269" t="s">
        <v>1192</v>
      </c>
      <c r="C269" t="s">
        <v>274</v>
      </c>
      <c r="D269" t="s">
        <v>1014</v>
      </c>
      <c r="E269" s="20" t="s">
        <v>1090</v>
      </c>
      <c r="F269" s="20" t="s">
        <v>120</v>
      </c>
      <c r="G269" s="20">
        <v>2</v>
      </c>
      <c r="H269" s="20">
        <v>0</v>
      </c>
      <c r="I269" s="21">
        <f>VLOOKUP($A269,tabCustoUnit[],COLUMN(CUSTO_GLOBAL[[#Headers],[Salário Base]])-2,0)*($G269-$H269)</f>
        <v>8931.2564000000002</v>
      </c>
      <c r="J269" s="21">
        <f>VLOOKUP($A269,tabCustoUnit[],COLUMN(CUSTO_GLOBAL[[#Headers],[Adicional Periculosidade]])-2,0)*($G269-$H269)</f>
        <v>0</v>
      </c>
      <c r="K269" s="21">
        <f>VLOOKUP($A269,tabCustoUnit[],COLUMN(CUSTO_GLOBAL[[#Headers],[Adicional Insalubridade]])-2,0)*($G269-$H269)</f>
        <v>0</v>
      </c>
      <c r="L269" s="21">
        <f>VLOOKUP($A269,tabCustoUnit[],COLUMN(CUSTO_GLOBAL[[#Headers],[Adicional Noturno]])-2,0)*($G269-$H269)</f>
        <v>0</v>
      </c>
      <c r="M269" s="21">
        <f>VLOOKUP($A269,tabCustoUnit[],COLUMN(CUSTO_GLOBAL[[#Headers],[Adicional Motorista II (Gratificação)]])-2,0)*($G269-$H269)</f>
        <v>0</v>
      </c>
      <c r="N269" s="21">
        <f>VLOOKUP($A269,tabCustoUnit[],COLUMN(CUSTO_GLOBAL[[#Headers],[Adicional de Sobreaviso]])-2,0)*($G269-$H269)</f>
        <v>0</v>
      </c>
      <c r="O269" s="21">
        <f>VLOOKUP($A269,tabCustoUnit[],COLUMN(CUSTO_GLOBAL[[#Headers],[Horas Extras TI]])-2,0)*($G269-$H269)</f>
        <v>0</v>
      </c>
      <c r="P269" s="21">
        <f>VLOOKUP($A269,tabCustoUnit[],COLUMN(CUSTO_GLOBAL[[#Headers],[Adicional de Acúmulo de função]])-2,0)*($G269-$H269)</f>
        <v>0</v>
      </c>
      <c r="Q269" s="21">
        <f>VLOOKUP($A269,tabCustoUnit[],COLUMN(CUSTO_GLOBAL[[#Headers],[MODULO 1 - REMUNERAÇÃO ]])-2,0)*($G269-$H269)</f>
        <v>8931.2564000000002</v>
      </c>
      <c r="R269" s="21">
        <f>VLOOKUP($A269,tabCustoUnit[],COLUMN(CUSTO_GLOBAL[[#Headers],[INSS]])-2,0)*($G269-$H269)</f>
        <v>1786.2512800000002</v>
      </c>
      <c r="S269" s="21">
        <f>VLOOKUP($A269,tabCustoUnit[],COLUMN(CUSTO_GLOBAL[[#Headers],[SESI OU SESC]])-2,0)*($G269-$H269)</f>
        <v>133.96884599999998</v>
      </c>
      <c r="T269" s="21">
        <f>VLOOKUP($A269,tabCustoUnit[],COLUMN(CUSTO_GLOBAL[[#Headers],[SENAI OU SENAC]])-2,0)*($G269-$H269)</f>
        <v>89.312564000000009</v>
      </c>
      <c r="U269" s="21">
        <f>VLOOKUP($A269,tabCustoUnit[],COLUMN(CUSTO_GLOBAL[[#Headers],[INCRA]])-2,0)*($G269-$H269)</f>
        <v>17.862512800000001</v>
      </c>
      <c r="V269" s="21">
        <f>VLOOKUP($A269,tabCustoUnit[],COLUMN(CUSTO_GLOBAL[[#Headers],[Salário Educação]])-2,0)*($G269-$H269)</f>
        <v>223.28141000000002</v>
      </c>
      <c r="W269" s="21">
        <f>VLOOKUP($A269,tabCustoUnit[],COLUMN(CUSTO_GLOBAL[[#Headers],[FGTS]])-2,0)*($G269-$H269)</f>
        <v>714.50051200000007</v>
      </c>
      <c r="X269" s="21">
        <f>VLOOKUP($A269,tabCustoUnit[],COLUMN(CUSTO_GLOBAL[[#Headers],[RAT Ajustado]])-2,0)*($G269-$H269)</f>
        <v>357.25025600000004</v>
      </c>
      <c r="Y269" s="21">
        <f>VLOOKUP($A269,tabCustoUnit[],COLUMN(CUSTO_GLOBAL[[#Headers],[SEBRAE]])-2,0)*($G269-$H269)</f>
        <v>53.5875384</v>
      </c>
      <c r="Z269" s="21">
        <f>VLOOKUP($A269,tabCustoUnit[],COLUMN(CUSTO_GLOBAL[[#Headers],[Submódulo 2.1]])-2,0)*($G269-$H269)</f>
        <v>3376.0149192000008</v>
      </c>
      <c r="AA269" s="21">
        <f>VLOOKUP($A269,tabCustoUnit[],COLUMN(CUSTO_GLOBAL[[#Headers],[13º salário (titular)]])-2,0)*($G269-$H269)</f>
        <v>744.27136666666661</v>
      </c>
      <c r="AB269" s="21">
        <f>VLOOKUP($A269,tabCustoUnit[],COLUMN(CUSTO_GLOBAL[[#Headers],[Férias e Adicional de Férias (titular)]])-2,0)*($G269-$H269)</f>
        <v>992.36182222222214</v>
      </c>
      <c r="AC269" s="21">
        <f>VLOOKUP($A269,tabCustoUnit[],COLUMN(CUSTO_GLOBAL[[#Headers],[Incidência do Submódulo 2.1 sobre 13º Salário, Férias e Adicional de Férias]])-2,0)*($G269-$H269)</f>
        <v>656.44734540000002</v>
      </c>
      <c r="AD269" s="21">
        <f>VLOOKUP($A269,tabCustoUnit[],COLUMN(CUSTO_GLOBAL[[#Headers],[Submódulo 2.2]])-2,0)*($G269-$H269)</f>
        <v>2393.0805342888889</v>
      </c>
      <c r="AE269" s="22" t="e">
        <f ca="1">VLOOKUP($A269,tabCustoUnit[],COLUMN(CUSTO_GLOBAL[[#Headers],[Vale - Transporte (Descontada parcela do empregado)]])-2,0)*($G269-$H269)</f>
        <v>#NAME?</v>
      </c>
      <c r="AF269" s="22">
        <f>VLOOKUP($A269,tabCustoUnit[],COLUMN(CUSTO_GLOBAL[[#Headers],[Vale - Alimentação (Descontada parcela do empregado)]])-2,0)*($G269-$H269)</f>
        <v>1156.8</v>
      </c>
      <c r="AG269" s="22">
        <f>VLOOKUP($A269,tabCustoUnit[],COLUMN(CUSTO_GLOBAL[[#Headers],[Cesta Básica]])-2,0)*($G269-$H269)</f>
        <v>0</v>
      </c>
      <c r="AH269" s="22">
        <f>VLOOKUP($A269,tabCustoUnit[],COLUMN(CUSTO_GLOBAL[[#Headers],[PAF]])-2,0)*($G269-$H269)</f>
        <v>45.04</v>
      </c>
      <c r="AI269" s="22">
        <f>VLOOKUP($A269,tabCustoUnit[],COLUMN(CUSTO_GLOBAL[[#Headers],[PQM]])-2,0)*($G269-$H269)</f>
        <v>0</v>
      </c>
      <c r="AJ269" s="22">
        <v>0</v>
      </c>
      <c r="AK269" s="22">
        <f>VLOOKUP($A269,tabCustoUnit[],COLUMN(CUSTO_GLOBAL[[#Headers],[Seguro de Vida]])-2,0)*($G269-$H269)</f>
        <v>6.72</v>
      </c>
      <c r="AL269" s="22">
        <f>VLOOKUP($A269,tabCustoUnit[],COLUMN(CUSTO_GLOBAL[[#Headers],[Despesas de Viagem]])-2,0)*($G269-$H269)</f>
        <v>1324.84</v>
      </c>
      <c r="AM269" s="22" t="e">
        <f ca="1">VLOOKUP($A269,tabCustoUnit[],COLUMN(CUSTO_GLOBAL[[#Headers],[Submódulo 2.3]])-2,0)*($G269-$H269)</f>
        <v>#NAME?</v>
      </c>
      <c r="AN269" s="22" t="e">
        <f ca="1">VLOOKUP($A269,tabCustoUnit[],COLUMN(CUSTO_GLOBAL[[#Headers],[MÓDULO 2 - Total Encargos e Benefícios mensais e diários]])-2,0)*($G269-$H269)</f>
        <v>#NAME?</v>
      </c>
      <c r="AO269" s="22">
        <f>VLOOKUP($A269,tabCustoUnit[],COLUMN(CUSTO_GLOBAL[[#Headers],[Aviso Prévio Indenizado (API) e Reflexo do Aviso Prévio Indenizado]])-2,0)*($G269-$H269)</f>
        <v>62.623888673533955</v>
      </c>
      <c r="AP269" s="22">
        <f>VLOOKUP($A269,tabCustoUnit[],COLUMN(CUSTO_GLOBAL[[#Headers],[Incidência do FGTS sobre API e Reflexo do API]])-2,0)*($G269-$H269)</f>
        <v>5.0099110938827165</v>
      </c>
      <c r="AQ269" s="22">
        <f>VLOOKUP($A269,tabCustoUnit[],COLUMN(CUSTO_GLOBAL[[#Headers],[Multa Rescisória do FGTS sobre o Aviso Prévio Indenizado]])-2,0)*($G269-$H269)</f>
        <v>2.003964437553087</v>
      </c>
      <c r="AR269" s="22">
        <f>VLOOKUP($A269,tabCustoUnit[],COLUMN(CUSTO_GLOBAL[[#Headers],[Aviso Prévio Trabalhado - APT]])-2,0)*($G269-$H269)</f>
        <v>31.259397400000005</v>
      </c>
      <c r="AS269" s="22">
        <f>VLOOKUP($A269,tabCustoUnit[],COLUMN(CUSTO_GLOBAL[[#Headers],[Incidência dos encargos do submódulo 2.1 sobre Aviso Prévio Trabalhado]])-2,0)*($G269-$H269)</f>
        <v>11.816052217200005</v>
      </c>
      <c r="AT269" s="22">
        <f>VLOOKUP($A269,tabCustoUnit[],COLUMN(CUSTO_GLOBAL[[#Headers],[Multa Rescisória do FGTS]])-2,0)*($G269-$H269)</f>
        <v>273.09797347555553</v>
      </c>
      <c r="AU269" s="22">
        <f>VLOOKUP($A269,tabCustoUnit[],COLUMN(CUSTO_GLOBAL[[#Headers],[Indenização Adicional (Art. 9º da Lei nº 7.238/84)]])-2,0)*($G269-$H269)</f>
        <v>7.4427136666666671</v>
      </c>
      <c r="AV269" s="22">
        <f>VLOOKUP($A269,tabCustoUnit[],COLUMN(CUSTO_GLOBAL[[#Headers],[MÓDULO 3 – PROVISÃO PARA RESCISÃO]])-2,0)*($G269-$H269)</f>
        <v>393.25390096439202</v>
      </c>
      <c r="AW269" s="22">
        <f>VLOOKUP($A269,tabCustoUnit[],COLUMN(CUSTO_GLOBAL[[#Headers],[Ausência por Doença]])-2,0)*($G269-$H269)</f>
        <v>75.419498488888877</v>
      </c>
      <c r="AX269" s="22">
        <f>VLOOKUP($A269,tabCustoUnit[],COLUMN(CUSTO_GLOBAL[[#Headers],[Ausências Legais]])-2,0)*($G269-$H269)</f>
        <v>18.110603255555557</v>
      </c>
      <c r="AY269" s="22">
        <f>VLOOKUP($A269,tabCustoUnit[],COLUMN(CUSTO_GLOBAL[[#Headers],[Licença Paternidade]])-2,0)*($G269-$H269)</f>
        <v>1.5257563016666666</v>
      </c>
      <c r="AZ269" s="22">
        <f>VLOOKUP($A269,tabCustoUnit[],COLUMN(CUSTO_GLOBAL[[#Headers],[Ausência por Acidente de Trabalho]])-2,0)*($G269-$H269)</f>
        <v>1.8606784166666668</v>
      </c>
      <c r="BA269" s="22">
        <f>VLOOKUP($A269,tabCustoUnit[],COLUMN(CUSTO_GLOBAL[[#Headers],[Férias, Adicional de Férias e 13º  com empregada em gozo de Licença Maternidade]])-2,0)*($G269-$H269)</f>
        <v>11.577554592592593</v>
      </c>
      <c r="BB269" s="22">
        <f>VLOOKUP($A269,tabCustoUnit[],COLUMN(CUSTO_GLOBAL[[#Headers],[Incidência do Submódulo 2.1 sobre Ausências Legais]])-2,0)*($G269-$H269)</f>
        <v>41.010766418930011</v>
      </c>
      <c r="BC269" s="22">
        <f>VLOOKUP($A269,tabCustoUnit[],COLUMN(CUSTO_GLOBAL[[#Headers],[Submódulo 4.1]])-2,0)*($G269-$H269)</f>
        <v>149.50485747430037</v>
      </c>
      <c r="BD269" s="22">
        <f>VLOOKUP($A269,tabCustoUnit[],COLUMN(CUSTO_GLOBAL[[#Headers],[Intervalo para Repouso ou Alimentação]])-2,0)*($G269-$H269)</f>
        <v>0</v>
      </c>
      <c r="BE269" s="22">
        <f>VLOOKUP($A269,tabCustoUnit[],COLUMN(CUSTO_GLOBAL[[#Headers],[Submódulo 4.2]])-2,0)*($G269-$H269)</f>
        <v>0</v>
      </c>
      <c r="BF269" s="22">
        <f>VLOOKUP($A269,tabCustoUnit[],COLUMN(CUSTO_GLOBAL[[#Headers],[Suspensão Temporária do Contrato de Trabalho]])-2,0)*($G269-$H269)</f>
        <v>0</v>
      </c>
      <c r="BG269" s="22">
        <f>VLOOKUP($A269,tabCustoUnit[],COLUMN(CUSTO_GLOBAL[[#Headers],[Submódulo 4.3]])-2,0)*($G269-$H269)</f>
        <v>0</v>
      </c>
      <c r="BH269" s="22">
        <f>VLOOKUP($A269,tabCustoUnit[],COLUMN(CUSTO_GLOBAL[[#Headers],[MÓDULO 4 – CUSTO DE REPOSIÇÃO DO PROFISSIONAL AUSENTE]])-2,0)*($G269-$H269)</f>
        <v>149.50485747430037</v>
      </c>
      <c r="BI269" s="22">
        <f>VLOOKUP($A269,tabCustoUnit[],COLUMN(CUSTO_GLOBAL[[#Headers],[Uniformes e EPIs]])-2,0)*($G269-$H269)</f>
        <v>184.2015275431414</v>
      </c>
      <c r="BJ269" s="22">
        <f>VLOOKUP($A269,tabCustoUnit[],COLUMN(CUSTO_GLOBAL[[#Headers],[Materiais de Consumo]])-2,0)*($G269-$H269)</f>
        <v>0</v>
      </c>
      <c r="BK269" s="22">
        <f>VLOOKUP($A269,tabCustoUnit[],COLUMN(CUSTO_GLOBAL[[#Headers],[Máquinas e Equipamentos (depreciação)]])-2,0)*($G269-$H269)</f>
        <v>0</v>
      </c>
      <c r="BL269" s="22">
        <f>VLOOKUP($A269,tabCustoUnit[],COLUMN(CUSTO_GLOBAL[[#Headers],[Produtos de Limpeza e Materiais de Higiene Pessoal]])-2,0)*($G269-$H269)</f>
        <v>0</v>
      </c>
      <c r="BM269" s="22">
        <f>VLOOKUP($A269,tabCustoUnit[],COLUMN(CUSTO_GLOBAL[[#Headers],[Outros (especificar)]])-2,0)*($G269-$H269)</f>
        <v>0</v>
      </c>
      <c r="BN269" s="22">
        <f>VLOOKUP($A269,tabCustoUnit[],COLUMN(CUSTO_GLOBAL[[#Headers],[MÓDULO 5 – INSUMOS DIVERSOS]])-2,0)*($G269-$H269)</f>
        <v>184.2015275431414</v>
      </c>
      <c r="BO269" s="22" t="e">
        <f ca="1">VLOOKUP($A269,tabCustoUnit[],COLUMN(CUSTO_GLOBAL[[#Headers],[TOTAL MÓDULOS 1+2+3+4+5]])-2,0)*($G269-$H269)</f>
        <v>#NAME?</v>
      </c>
      <c r="BP269" s="22" t="e">
        <f ca="1">VLOOKUP($A269,tabCustoUnit[],COLUMN(CUSTO_GLOBAL[[#Headers],[Custos Indiretos]])-2,0)*($G269-$H269)</f>
        <v>#NAME?</v>
      </c>
      <c r="BQ269" s="22" t="e">
        <f ca="1">VLOOKUP($A269,tabCustoUnit[],COLUMN(CUSTO_GLOBAL[[#Headers],[Lucro]])-2,0)*($G269-$H269)</f>
        <v>#NAME?</v>
      </c>
      <c r="BR269" s="26">
        <f>VLOOKUP($A269,tabCustoUnit[],COLUMN(CUSTO_GLOBAL[[#Headers],[COFINS]])-2,0)</f>
        <v>8.8629737609329504E-2</v>
      </c>
      <c r="BS269" s="26">
        <f>VLOOKUP($A269,tabCustoUnit[],COLUMN(CUSTO_GLOBAL[[#Headers],[PIS]])-2,0)</f>
        <v>1.9241982507288629E-2</v>
      </c>
      <c r="BT269" s="28">
        <f>VLOOKUP($A269,tabCustoUnit[],COLUMN(CUSTO_GLOBAL[[#Headers],[ISS]])-2,0)</f>
        <v>0.05</v>
      </c>
      <c r="BU269" s="26">
        <f>VLOOKUP($A269,tabCustoUnit[],COLUMN(CUSTO_GLOBAL[[#Headers],[ISS (Conversão Alíquota s/ fatura)]])-2,0)</f>
        <v>5.8309037900874633E-2</v>
      </c>
      <c r="BV269" s="26">
        <f>VLOOKUP($A269,tabCustoUnit[],COLUMN(CUSTO_GLOBAL[[#Headers],[Resumo de Alíquotas (PIS+CONFINS+ISS)]])-2,0)</f>
        <v>0.14250000000000002</v>
      </c>
      <c r="BW269" s="138">
        <f>VLOOKUP($A269,tabCustoUnit[],COLUMN(CUSTO_GLOBAL[[#Headers],[PIS + COFINS + ISS (Total Conversão  Alíquota s/ Fatura)]])-2,0)</f>
        <v>0.16618075801749277</v>
      </c>
      <c r="BX269" s="22" t="e">
        <f ca="1">VLOOKUP($A269,tabCustoUnit[],COLUMN(CUSTO_GLOBAL[[#Headers],[Valor dos Tributos (ISS, PIS, CONFINS)]])-2,0)*($G269-$H269)</f>
        <v>#NAME?</v>
      </c>
      <c r="BY269" s="22" t="e">
        <f ca="1">VLOOKUP($A269,tabCustoUnit[],COLUMN(CUSTO_GLOBAL[[#Headers],[MÓDULO 6 – CUSTOS INDIRETOS, TRIBUTOS E LUCRO]])-2,0)*($G269-$H269)</f>
        <v>#NAME?</v>
      </c>
      <c r="BZ269" s="22" t="e">
        <f ca="1">VLOOKUP($A269,tabCustoUnit[],COLUMN(CUSTO_GLOBAL[[#Headers],[CUSTO TOTAL MENSAL]])-2,0)*($G269-$H269)</f>
        <v>#NAME?</v>
      </c>
      <c r="CA269" s="22" t="e">
        <f ca="1">CUSTO_GLOBAL[[#This Row],[CUSTO TOTAL MENSAL]]*12</f>
        <v>#NAME?</v>
      </c>
      <c r="CB269" s="24">
        <f>VLOOKUP($A269,tabCustoUnit[],COLUMN(CUSTO_GLOBAL[[#Headers],[ANO DA CCT]])-2,0)</f>
        <v>45658</v>
      </c>
      <c r="CC269" s="25" t="str">
        <f>VLOOKUP($A269,tabCustoUnit[],COLUMN(CUSTO_GLOBAL[[#Headers],[Nº DE PEDIDO DA CCT]])-2,0)</f>
        <v>-</v>
      </c>
      <c r="CD269" s="25" t="str">
        <f>VLOOKUP($A269,tabCustoUnit[],COLUMN(CUSTO_GLOBAL[[#Headers],[TERMO ADITIVO ALTERAÇÃO DA CCT]])-2,0)</f>
        <v>-</v>
      </c>
    </row>
    <row r="270" spans="1:82">
      <c r="A270" s="20" t="s">
        <v>1506</v>
      </c>
      <c r="B270" t="s">
        <v>1192</v>
      </c>
      <c r="C270" t="s">
        <v>314</v>
      </c>
      <c r="D270" t="s">
        <v>1058</v>
      </c>
      <c r="E270" s="20" t="s">
        <v>1090</v>
      </c>
      <c r="F270" s="20" t="s">
        <v>120</v>
      </c>
      <c r="G270" s="20">
        <v>1</v>
      </c>
      <c r="H270" s="20">
        <v>0</v>
      </c>
      <c r="I270" s="21">
        <f>VLOOKUP($A270,tabCustoUnit[],COLUMN(CUSTO_GLOBAL[[#Headers],[Salário Base]])-2,0)*($G270-$H270)</f>
        <v>2134.8035</v>
      </c>
      <c r="J270" s="21">
        <f>VLOOKUP($A270,tabCustoUnit[],COLUMN(CUSTO_GLOBAL[[#Headers],[Adicional Periculosidade]])-2,0)*($G270-$H270)</f>
        <v>0</v>
      </c>
      <c r="K270" s="21">
        <f>VLOOKUP($A270,tabCustoUnit[],COLUMN(CUSTO_GLOBAL[[#Headers],[Adicional Insalubridade]])-2,0)*($G270-$H270)</f>
        <v>0</v>
      </c>
      <c r="L270" s="21">
        <f>VLOOKUP($A270,tabCustoUnit[],COLUMN(CUSTO_GLOBAL[[#Headers],[Adicional Noturno]])-2,0)*($G270-$H270)</f>
        <v>0</v>
      </c>
      <c r="M270" s="21">
        <f>VLOOKUP($A270,tabCustoUnit[],COLUMN(CUSTO_GLOBAL[[#Headers],[Adicional Motorista II (Gratificação)]])-2,0)*($G270-$H270)</f>
        <v>0</v>
      </c>
      <c r="N270" s="21">
        <f>VLOOKUP($A270,tabCustoUnit[],COLUMN(CUSTO_GLOBAL[[#Headers],[Adicional de Sobreaviso]])-2,0)*($G270-$H270)</f>
        <v>0</v>
      </c>
      <c r="O270" s="21">
        <f>VLOOKUP($A270,tabCustoUnit[],COLUMN(CUSTO_GLOBAL[[#Headers],[Horas Extras TI]])-2,0)*($G270-$H270)</f>
        <v>0</v>
      </c>
      <c r="P270" s="21">
        <f>VLOOKUP($A270,tabCustoUnit[],COLUMN(CUSTO_GLOBAL[[#Headers],[Adicional de Acúmulo de função]])-2,0)*($G270-$H270)</f>
        <v>0</v>
      </c>
      <c r="Q270" s="21">
        <f>VLOOKUP($A270,tabCustoUnit[],COLUMN(CUSTO_GLOBAL[[#Headers],[MODULO 1 - REMUNERAÇÃO ]])-2,0)*($G270-$H270)</f>
        <v>2134.8035</v>
      </c>
      <c r="R270" s="21">
        <f>VLOOKUP($A270,tabCustoUnit[],COLUMN(CUSTO_GLOBAL[[#Headers],[INSS]])-2,0)*($G270-$H270)</f>
        <v>426.96070000000003</v>
      </c>
      <c r="S270" s="21">
        <f>VLOOKUP($A270,tabCustoUnit[],COLUMN(CUSTO_GLOBAL[[#Headers],[SESI OU SESC]])-2,0)*($G270-$H270)</f>
        <v>32.022052500000001</v>
      </c>
      <c r="T270" s="21">
        <f>VLOOKUP($A270,tabCustoUnit[],COLUMN(CUSTO_GLOBAL[[#Headers],[SENAI OU SENAC]])-2,0)*($G270-$H270)</f>
        <v>21.348034999999999</v>
      </c>
      <c r="U270" s="21">
        <f>VLOOKUP($A270,tabCustoUnit[],COLUMN(CUSTO_GLOBAL[[#Headers],[INCRA]])-2,0)*($G270-$H270)</f>
        <v>4.2696069999999997</v>
      </c>
      <c r="V270" s="21">
        <f>VLOOKUP($A270,tabCustoUnit[],COLUMN(CUSTO_GLOBAL[[#Headers],[Salário Educação]])-2,0)*($G270-$H270)</f>
        <v>53.370087500000004</v>
      </c>
      <c r="W270" s="21">
        <f>VLOOKUP($A270,tabCustoUnit[],COLUMN(CUSTO_GLOBAL[[#Headers],[FGTS]])-2,0)*($G270-$H270)</f>
        <v>170.78428</v>
      </c>
      <c r="X270" s="21">
        <f>VLOOKUP($A270,tabCustoUnit[],COLUMN(CUSTO_GLOBAL[[#Headers],[RAT Ajustado]])-2,0)*($G270-$H270)</f>
        <v>85.392139999999998</v>
      </c>
      <c r="Y270" s="21">
        <f>VLOOKUP($A270,tabCustoUnit[],COLUMN(CUSTO_GLOBAL[[#Headers],[SEBRAE]])-2,0)*($G270-$H270)</f>
        <v>12.808821</v>
      </c>
      <c r="Z270" s="21">
        <f>VLOOKUP($A270,tabCustoUnit[],COLUMN(CUSTO_GLOBAL[[#Headers],[Submódulo 2.1]])-2,0)*($G270-$H270)</f>
        <v>806.95572300000003</v>
      </c>
      <c r="AA270" s="21">
        <f>VLOOKUP($A270,tabCustoUnit[],COLUMN(CUSTO_GLOBAL[[#Headers],[13º salário (titular)]])-2,0)*($G270-$H270)</f>
        <v>177.90029166666665</v>
      </c>
      <c r="AB270" s="21">
        <f>VLOOKUP($A270,tabCustoUnit[],COLUMN(CUSTO_GLOBAL[[#Headers],[Férias e Adicional de Férias (titular)]])-2,0)*($G270-$H270)</f>
        <v>237.20038888888888</v>
      </c>
      <c r="AC270" s="21">
        <f>VLOOKUP($A270,tabCustoUnit[],COLUMN(CUSTO_GLOBAL[[#Headers],[Incidência do Submódulo 2.1 sobre 13º Salário, Férias e Adicional de Férias]])-2,0)*($G270-$H270)</f>
        <v>156.90805724999998</v>
      </c>
      <c r="AD270" s="21">
        <f>VLOOKUP($A270,tabCustoUnit[],COLUMN(CUSTO_GLOBAL[[#Headers],[Submódulo 2.2]])-2,0)*($G270-$H270)</f>
        <v>572.00873780555548</v>
      </c>
      <c r="AE270" s="22" t="e">
        <f ca="1">VLOOKUP($A270,tabCustoUnit[],COLUMN(CUSTO_GLOBAL[[#Headers],[Vale - Transporte (Descontada parcela do empregado)]])-2,0)*($G270-$H270)</f>
        <v>#NAME?</v>
      </c>
      <c r="AF270" s="22">
        <f>VLOOKUP($A270,tabCustoUnit[],COLUMN(CUSTO_GLOBAL[[#Headers],[Vale - Alimentação (Descontada parcela do empregado)]])-2,0)*($G270-$H270)</f>
        <v>582</v>
      </c>
      <c r="AG270" s="22">
        <f>VLOOKUP($A270,tabCustoUnit[],COLUMN(CUSTO_GLOBAL[[#Headers],[Cesta Básica]])-2,0)*($G270-$H270)</f>
        <v>0</v>
      </c>
      <c r="AH270" s="22">
        <f>VLOOKUP($A270,tabCustoUnit[],COLUMN(CUSTO_GLOBAL[[#Headers],[PAF]])-2,0)*($G270-$H270)</f>
        <v>77.25</v>
      </c>
      <c r="AI270" s="22">
        <f>VLOOKUP($A270,tabCustoUnit[],COLUMN(CUSTO_GLOBAL[[#Headers],[PQM]])-2,0)*($G270-$H270)</f>
        <v>0</v>
      </c>
      <c r="AJ270" s="22">
        <v>0</v>
      </c>
      <c r="AK270" s="22">
        <f>VLOOKUP($A270,tabCustoUnit[],COLUMN(CUSTO_GLOBAL[[#Headers],[Seguro de Vida]])-2,0)*($G270-$H270)</f>
        <v>3.36</v>
      </c>
      <c r="AL270" s="22">
        <f>VLOOKUP($A270,tabCustoUnit[],COLUMN(CUSTO_GLOBAL[[#Headers],[Despesas de Viagem]])-2,0)*($G270-$H270)</f>
        <v>0</v>
      </c>
      <c r="AM270" s="22" t="e">
        <f ca="1">VLOOKUP($A270,tabCustoUnit[],COLUMN(CUSTO_GLOBAL[[#Headers],[Submódulo 2.3]])-2,0)*($G270-$H270)</f>
        <v>#NAME?</v>
      </c>
      <c r="AN270" s="22" t="e">
        <f ca="1">VLOOKUP($A270,tabCustoUnit[],COLUMN(CUSTO_GLOBAL[[#Headers],[MÓDULO 2 - Total Encargos e Benefícios mensais e diários]])-2,0)*($G270-$H270)</f>
        <v>#NAME?</v>
      </c>
      <c r="AO270" s="22">
        <f>VLOOKUP($A270,tabCustoUnit[],COLUMN(CUSTO_GLOBAL[[#Headers],[Aviso Prévio Indenizado (API) e Reflexo do Aviso Prévio Indenizado]])-2,0)*($G270-$H270)</f>
        <v>14.968744680073302</v>
      </c>
      <c r="AP270" s="22">
        <f>VLOOKUP($A270,tabCustoUnit[],COLUMN(CUSTO_GLOBAL[[#Headers],[Incidência do FGTS sobre API e Reflexo do API]])-2,0)*($G270-$H270)</f>
        <v>1.1974995744058643</v>
      </c>
      <c r="AQ270" s="22">
        <f>VLOOKUP($A270,tabCustoUnit[],COLUMN(CUSTO_GLOBAL[[#Headers],[Multa Rescisória do FGTS sobre o Aviso Prévio Indenizado]])-2,0)*($G270-$H270)</f>
        <v>0.47899982976234579</v>
      </c>
      <c r="AR270" s="22">
        <f>VLOOKUP($A270,tabCustoUnit[],COLUMN(CUSTO_GLOBAL[[#Headers],[Aviso Prévio Trabalhado - APT]])-2,0)*($G270-$H270)</f>
        <v>7.471812250000001</v>
      </c>
      <c r="AS270" s="22">
        <f>VLOOKUP($A270,tabCustoUnit[],COLUMN(CUSTO_GLOBAL[[#Headers],[Incidência dos encargos do submódulo 2.1 sobre Aviso Prévio Trabalhado]])-2,0)*($G270-$H270)</f>
        <v>2.8243450305000009</v>
      </c>
      <c r="AT270" s="22">
        <f>VLOOKUP($A270,tabCustoUnit[],COLUMN(CUSTO_GLOBAL[[#Headers],[Multa Rescisória do FGTS]])-2,0)*($G270-$H270)</f>
        <v>65.277547022222208</v>
      </c>
      <c r="AU270" s="22">
        <f>VLOOKUP($A270,tabCustoUnit[],COLUMN(CUSTO_GLOBAL[[#Headers],[Indenização Adicional (Art. 9º da Lei nº 7.238/84)]])-2,0)*($G270-$H270)</f>
        <v>1.7790029166666668</v>
      </c>
      <c r="AV270" s="22">
        <f>VLOOKUP($A270,tabCustoUnit[],COLUMN(CUSTO_GLOBAL[[#Headers],[MÓDULO 3 – PROVISÃO PARA RESCISÃO]])-2,0)*($G270-$H270)</f>
        <v>93.997951303630387</v>
      </c>
      <c r="AW270" s="22">
        <f>VLOOKUP($A270,tabCustoUnit[],COLUMN(CUSTO_GLOBAL[[#Headers],[Ausência por Doença]])-2,0)*($G270-$H270)</f>
        <v>18.027229555555554</v>
      </c>
      <c r="AX270" s="22">
        <f>VLOOKUP($A270,tabCustoUnit[],COLUMN(CUSTO_GLOBAL[[#Headers],[Ausências Legais]])-2,0)*($G270-$H270)</f>
        <v>4.3289070972222223</v>
      </c>
      <c r="AY270" s="22">
        <f>VLOOKUP($A270,tabCustoUnit[],COLUMN(CUSTO_GLOBAL[[#Headers],[Licença Paternidade]])-2,0)*($G270-$H270)</f>
        <v>0.36469559791666667</v>
      </c>
      <c r="AZ270" s="22">
        <f>VLOOKUP($A270,tabCustoUnit[],COLUMN(CUSTO_GLOBAL[[#Headers],[Ausência por Acidente de Trabalho]])-2,0)*($G270-$H270)</f>
        <v>0.44475072916666669</v>
      </c>
      <c r="BA270" s="22">
        <f>VLOOKUP($A270,tabCustoUnit[],COLUMN(CUSTO_GLOBAL[[#Headers],[Férias, Adicional de Férias e 13º  com empregada em gozo de Licença Maternidade]])-2,0)*($G270-$H270)</f>
        <v>2.7673378703703704</v>
      </c>
      <c r="BB270" s="22">
        <f>VLOOKUP($A270,tabCustoUnit[],COLUMN(CUSTO_GLOBAL[[#Headers],[Incidência do Submódulo 2.1 sobre Ausências Legais]])-2,0)*($G270-$H270)</f>
        <v>9.802644081387502</v>
      </c>
      <c r="BC270" s="22">
        <f>VLOOKUP($A270,tabCustoUnit[],COLUMN(CUSTO_GLOBAL[[#Headers],[Submódulo 4.1]])-2,0)*($G270-$H270)</f>
        <v>35.735564931618981</v>
      </c>
      <c r="BD270" s="22">
        <f>VLOOKUP($A270,tabCustoUnit[],COLUMN(CUSTO_GLOBAL[[#Headers],[Intervalo para Repouso ou Alimentação]])-2,0)*($G270-$H270)</f>
        <v>291.10956680899955</v>
      </c>
      <c r="BE270" s="22">
        <f>VLOOKUP($A270,tabCustoUnit[],COLUMN(CUSTO_GLOBAL[[#Headers],[Submódulo 4.2]])-2,0)*($G270-$H270)</f>
        <v>291.10956680899955</v>
      </c>
      <c r="BF270" s="22">
        <f>VLOOKUP($A270,tabCustoUnit[],COLUMN(CUSTO_GLOBAL[[#Headers],[Suspensão Temporária do Contrato de Trabalho]])-2,0)*($G270-$H270)</f>
        <v>0</v>
      </c>
      <c r="BG270" s="22">
        <f>VLOOKUP($A270,tabCustoUnit[],COLUMN(CUSTO_GLOBAL[[#Headers],[Submódulo 4.3]])-2,0)*($G270-$H270)</f>
        <v>0</v>
      </c>
      <c r="BH270" s="22">
        <f>VLOOKUP($A270,tabCustoUnit[],COLUMN(CUSTO_GLOBAL[[#Headers],[MÓDULO 4 – CUSTO DE REPOSIÇÃO DO PROFISSIONAL AUSENTE]])-2,0)*($G270-$H270)</f>
        <v>326.84513174061851</v>
      </c>
      <c r="BI270" s="22">
        <f>VLOOKUP($A270,tabCustoUnit[],COLUMN(CUSTO_GLOBAL[[#Headers],[Uniformes e EPIs]])-2,0)*($G270-$H270)</f>
        <v>56.642978962543395</v>
      </c>
      <c r="BJ270" s="22">
        <f>VLOOKUP($A270,tabCustoUnit[],COLUMN(CUSTO_GLOBAL[[#Headers],[Materiais de Consumo]])-2,0)*($G270-$H270)</f>
        <v>0</v>
      </c>
      <c r="BK270" s="22">
        <f>VLOOKUP($A270,tabCustoUnit[],COLUMN(CUSTO_GLOBAL[[#Headers],[Máquinas e Equipamentos (depreciação)]])-2,0)*($G270-$H270)</f>
        <v>0</v>
      </c>
      <c r="BL270" s="22">
        <f>VLOOKUP($A270,tabCustoUnit[],COLUMN(CUSTO_GLOBAL[[#Headers],[Produtos de Limpeza e Materiais de Higiene Pessoal]])-2,0)*($G270-$H270)</f>
        <v>0</v>
      </c>
      <c r="BM270" s="22">
        <f>VLOOKUP($A270,tabCustoUnit[],COLUMN(CUSTO_GLOBAL[[#Headers],[Outros (especificar)]])-2,0)*($G270-$H270)</f>
        <v>0</v>
      </c>
      <c r="BN270" s="22">
        <f>VLOOKUP($A270,tabCustoUnit[],COLUMN(CUSTO_GLOBAL[[#Headers],[MÓDULO 5 – INSUMOS DIVERSOS]])-2,0)*($G270-$H270)</f>
        <v>56.642978962543395</v>
      </c>
      <c r="BO270" s="22" t="e">
        <f ca="1">VLOOKUP($A270,tabCustoUnit[],COLUMN(CUSTO_GLOBAL[[#Headers],[TOTAL MÓDULOS 1+2+3+4+5]])-2,0)*($G270-$H270)</f>
        <v>#NAME?</v>
      </c>
      <c r="BP270" s="22" t="e">
        <f ca="1">VLOOKUP($A270,tabCustoUnit[],COLUMN(CUSTO_GLOBAL[[#Headers],[Custos Indiretos]])-2,0)*($G270-$H270)</f>
        <v>#NAME?</v>
      </c>
      <c r="BQ270" s="22" t="e">
        <f ca="1">VLOOKUP($A270,tabCustoUnit[],COLUMN(CUSTO_GLOBAL[[#Headers],[Lucro]])-2,0)*($G270-$H270)</f>
        <v>#NAME?</v>
      </c>
      <c r="BR270" s="26">
        <f>VLOOKUP($A270,tabCustoUnit[],COLUMN(CUSTO_GLOBAL[[#Headers],[COFINS]])-2,0)</f>
        <v>8.8629737609329504E-2</v>
      </c>
      <c r="BS270" s="26">
        <f>VLOOKUP($A270,tabCustoUnit[],COLUMN(CUSTO_GLOBAL[[#Headers],[PIS]])-2,0)</f>
        <v>1.9241982507288629E-2</v>
      </c>
      <c r="BT270" s="28">
        <f>VLOOKUP($A270,tabCustoUnit[],COLUMN(CUSTO_GLOBAL[[#Headers],[ISS]])-2,0)</f>
        <v>0.05</v>
      </c>
      <c r="BU270" s="26">
        <f>VLOOKUP($A270,tabCustoUnit[],COLUMN(CUSTO_GLOBAL[[#Headers],[ISS (Conversão Alíquota s/ fatura)]])-2,0)</f>
        <v>5.8309037900874633E-2</v>
      </c>
      <c r="BV270" s="26">
        <f>VLOOKUP($A270,tabCustoUnit[],COLUMN(CUSTO_GLOBAL[[#Headers],[Resumo de Alíquotas (PIS+CONFINS+ISS)]])-2,0)</f>
        <v>0.14250000000000002</v>
      </c>
      <c r="BW270" s="138">
        <f>VLOOKUP($A270,tabCustoUnit[],COLUMN(CUSTO_GLOBAL[[#Headers],[PIS + COFINS + ISS (Total Conversão  Alíquota s/ Fatura)]])-2,0)</f>
        <v>0.16618075801749277</v>
      </c>
      <c r="BX270" s="22" t="e">
        <f ca="1">VLOOKUP($A270,tabCustoUnit[],COLUMN(CUSTO_GLOBAL[[#Headers],[Valor dos Tributos (ISS, PIS, CONFINS)]])-2,0)*($G270-$H270)</f>
        <v>#NAME?</v>
      </c>
      <c r="BY270" s="22" t="e">
        <f ca="1">VLOOKUP($A270,tabCustoUnit[],COLUMN(CUSTO_GLOBAL[[#Headers],[MÓDULO 6 – CUSTOS INDIRETOS, TRIBUTOS E LUCRO]])-2,0)*($G270-$H270)</f>
        <v>#NAME?</v>
      </c>
      <c r="BZ270" s="22" t="e">
        <f ca="1">VLOOKUP($A270,tabCustoUnit[],COLUMN(CUSTO_GLOBAL[[#Headers],[CUSTO TOTAL MENSAL]])-2,0)*($G270-$H270)</f>
        <v>#NAME?</v>
      </c>
      <c r="CA270" s="22" t="e">
        <f ca="1">CUSTO_GLOBAL[[#This Row],[CUSTO TOTAL MENSAL]]*12</f>
        <v>#NAME?</v>
      </c>
      <c r="CB270" s="24">
        <f>VLOOKUP($A270,tabCustoUnit[],COLUMN(CUSTO_GLOBAL[[#Headers],[ANO DA CCT]])-2,0)</f>
        <v>45658</v>
      </c>
      <c r="CC270" s="25" t="str">
        <f>VLOOKUP($A270,tabCustoUnit[],COLUMN(CUSTO_GLOBAL[[#Headers],[Nº DE PEDIDO DA CCT]])-2,0)</f>
        <v>-</v>
      </c>
      <c r="CD270" s="25" t="str">
        <f>VLOOKUP($A270,tabCustoUnit[],COLUMN(CUSTO_GLOBAL[[#Headers],[TERMO ADITIVO ALTERAÇÃO DA CCT]])-2,0)</f>
        <v>-</v>
      </c>
    </row>
    <row r="271" spans="1:82">
      <c r="A271" s="20" t="s">
        <v>1688</v>
      </c>
      <c r="B271" t="s">
        <v>1192</v>
      </c>
      <c r="C271" t="s">
        <v>324</v>
      </c>
      <c r="D271" t="s">
        <v>1058</v>
      </c>
      <c r="E271" s="20" t="s">
        <v>1090</v>
      </c>
      <c r="F271" s="20" t="s">
        <v>120</v>
      </c>
      <c r="G271" s="20">
        <v>2</v>
      </c>
      <c r="H271" s="20">
        <v>0</v>
      </c>
      <c r="I271" s="21">
        <f>VLOOKUP($A271,tabCustoUnit[],COLUMN(CUSTO_GLOBAL[[#Headers],[Salário Base]])-2,0)*($G271-$H271)</f>
        <v>6794.2611999999999</v>
      </c>
      <c r="J271" s="21">
        <f>VLOOKUP($A271,tabCustoUnit[],COLUMN(CUSTO_GLOBAL[[#Headers],[Adicional Periculosidade]])-2,0)*($G271-$H271)</f>
        <v>0</v>
      </c>
      <c r="K271" s="21">
        <f>VLOOKUP($A271,tabCustoUnit[],COLUMN(CUSTO_GLOBAL[[#Headers],[Adicional Insalubridade]])-2,0)*($G271-$H271)</f>
        <v>0</v>
      </c>
      <c r="L271" s="21">
        <f>VLOOKUP($A271,tabCustoUnit[],COLUMN(CUSTO_GLOBAL[[#Headers],[Adicional Noturno]])-2,0)*($G271-$H271)</f>
        <v>0</v>
      </c>
      <c r="M271" s="21">
        <f>VLOOKUP($A271,tabCustoUnit[],COLUMN(CUSTO_GLOBAL[[#Headers],[Adicional Motorista II (Gratificação)]])-2,0)*($G271-$H271)</f>
        <v>0</v>
      </c>
      <c r="N271" s="21">
        <f>VLOOKUP($A271,tabCustoUnit[],COLUMN(CUSTO_GLOBAL[[#Headers],[Adicional de Sobreaviso]])-2,0)*($G271-$H271)</f>
        <v>0</v>
      </c>
      <c r="O271" s="21">
        <f>VLOOKUP($A271,tabCustoUnit[],COLUMN(CUSTO_GLOBAL[[#Headers],[Horas Extras TI]])-2,0)*($G271-$H271)</f>
        <v>0</v>
      </c>
      <c r="P271" s="21">
        <f>VLOOKUP($A271,tabCustoUnit[],COLUMN(CUSTO_GLOBAL[[#Headers],[Adicional de Acúmulo de função]])-2,0)*($G271-$H271)</f>
        <v>0</v>
      </c>
      <c r="Q271" s="21">
        <f>VLOOKUP($A271,tabCustoUnit[],COLUMN(CUSTO_GLOBAL[[#Headers],[MODULO 1 - REMUNERAÇÃO ]])-2,0)*($G271-$H271)</f>
        <v>6794.2611999999999</v>
      </c>
      <c r="R271" s="21">
        <f>VLOOKUP($A271,tabCustoUnit[],COLUMN(CUSTO_GLOBAL[[#Headers],[INSS]])-2,0)*($G271-$H271)</f>
        <v>1358.8522400000002</v>
      </c>
      <c r="S271" s="21">
        <f>VLOOKUP($A271,tabCustoUnit[],COLUMN(CUSTO_GLOBAL[[#Headers],[SESI OU SESC]])-2,0)*($G271-$H271)</f>
        <v>101.913918</v>
      </c>
      <c r="T271" s="21">
        <f>VLOOKUP($A271,tabCustoUnit[],COLUMN(CUSTO_GLOBAL[[#Headers],[SENAI OU SENAC]])-2,0)*($G271-$H271)</f>
        <v>67.942611999999997</v>
      </c>
      <c r="U271" s="21">
        <f>VLOOKUP($A271,tabCustoUnit[],COLUMN(CUSTO_GLOBAL[[#Headers],[INCRA]])-2,0)*($G271-$H271)</f>
        <v>13.5885224</v>
      </c>
      <c r="V271" s="21">
        <f>VLOOKUP($A271,tabCustoUnit[],COLUMN(CUSTO_GLOBAL[[#Headers],[Salário Educação]])-2,0)*($G271-$H271)</f>
        <v>169.85653000000002</v>
      </c>
      <c r="W271" s="21">
        <f>VLOOKUP($A271,tabCustoUnit[],COLUMN(CUSTO_GLOBAL[[#Headers],[FGTS]])-2,0)*($G271-$H271)</f>
        <v>543.54089599999998</v>
      </c>
      <c r="X271" s="21">
        <f>VLOOKUP($A271,tabCustoUnit[],COLUMN(CUSTO_GLOBAL[[#Headers],[RAT Ajustado]])-2,0)*($G271-$H271)</f>
        <v>271.77044799999999</v>
      </c>
      <c r="Y271" s="21">
        <f>VLOOKUP($A271,tabCustoUnit[],COLUMN(CUSTO_GLOBAL[[#Headers],[SEBRAE]])-2,0)*($G271-$H271)</f>
        <v>40.7655672</v>
      </c>
      <c r="Z271" s="21">
        <f>VLOOKUP($A271,tabCustoUnit[],COLUMN(CUSTO_GLOBAL[[#Headers],[Submódulo 2.1]])-2,0)*($G271-$H271)</f>
        <v>2568.2307336000003</v>
      </c>
      <c r="AA271" s="21">
        <f>VLOOKUP($A271,tabCustoUnit[],COLUMN(CUSTO_GLOBAL[[#Headers],[13º salário (titular)]])-2,0)*($G271-$H271)</f>
        <v>566.18843333333325</v>
      </c>
      <c r="AB271" s="21">
        <f>VLOOKUP($A271,tabCustoUnit[],COLUMN(CUSTO_GLOBAL[[#Headers],[Férias e Adicional de Férias (titular)]])-2,0)*($G271-$H271)</f>
        <v>754.91791111111104</v>
      </c>
      <c r="AC271" s="21">
        <f>VLOOKUP($A271,tabCustoUnit[],COLUMN(CUSTO_GLOBAL[[#Headers],[Incidência do Submódulo 2.1 sobre 13º Salário, Férias e Adicional de Férias]])-2,0)*($G271-$H271)</f>
        <v>499.37819820000004</v>
      </c>
      <c r="AD271" s="21">
        <f>VLOOKUP($A271,tabCustoUnit[],COLUMN(CUSTO_GLOBAL[[#Headers],[Submódulo 2.2]])-2,0)*($G271-$H271)</f>
        <v>1820.4845426444444</v>
      </c>
      <c r="AE271" s="22" t="e">
        <f ca="1">VLOOKUP($A271,tabCustoUnit[],COLUMN(CUSTO_GLOBAL[[#Headers],[Vale - Transporte (Descontada parcela do empregado)]])-2,0)*($G271-$H271)</f>
        <v>#NAME?</v>
      </c>
      <c r="AF271" s="22">
        <f>VLOOKUP($A271,tabCustoUnit[],COLUMN(CUSTO_GLOBAL[[#Headers],[Vale - Alimentação (Descontada parcela do empregado)]])-2,0)*($G271-$H271)</f>
        <v>1164</v>
      </c>
      <c r="AG271" s="22">
        <f>VLOOKUP($A271,tabCustoUnit[],COLUMN(CUSTO_GLOBAL[[#Headers],[Cesta Básica]])-2,0)*($G271-$H271)</f>
        <v>0</v>
      </c>
      <c r="AH271" s="22">
        <f>VLOOKUP($A271,tabCustoUnit[],COLUMN(CUSTO_GLOBAL[[#Headers],[PAF]])-2,0)*($G271-$H271)</f>
        <v>154.5</v>
      </c>
      <c r="AI271" s="22">
        <f>VLOOKUP($A271,tabCustoUnit[],COLUMN(CUSTO_GLOBAL[[#Headers],[PQM]])-2,0)*($G271-$H271)</f>
        <v>0</v>
      </c>
      <c r="AJ271" s="22">
        <v>0</v>
      </c>
      <c r="AK271" s="22">
        <f>VLOOKUP($A271,tabCustoUnit[],COLUMN(CUSTO_GLOBAL[[#Headers],[Seguro de Vida]])-2,0)*($G271-$H271)</f>
        <v>6.72</v>
      </c>
      <c r="AL271" s="22">
        <f>VLOOKUP($A271,tabCustoUnit[],COLUMN(CUSTO_GLOBAL[[#Headers],[Despesas de Viagem]])-2,0)*($G271-$H271)</f>
        <v>0</v>
      </c>
      <c r="AM271" s="22" t="e">
        <f ca="1">VLOOKUP($A271,tabCustoUnit[],COLUMN(CUSTO_GLOBAL[[#Headers],[Submódulo 2.3]])-2,0)*($G271-$H271)</f>
        <v>#NAME?</v>
      </c>
      <c r="AN271" s="22" t="e">
        <f ca="1">VLOOKUP($A271,tabCustoUnit[],COLUMN(CUSTO_GLOBAL[[#Headers],[MÓDULO 2 - Total Encargos e Benefícios mensais e diários]])-2,0)*($G271-$H271)</f>
        <v>#NAME?</v>
      </c>
      <c r="AO271" s="22">
        <f>VLOOKUP($A271,tabCustoUnit[],COLUMN(CUSTO_GLOBAL[[#Headers],[Aviso Prévio Indenizado (API) e Reflexo do Aviso Prévio Indenizado]])-2,0)*($G271-$H271)</f>
        <v>47.639776303780863</v>
      </c>
      <c r="AP271" s="22">
        <f>VLOOKUP($A271,tabCustoUnit[],COLUMN(CUSTO_GLOBAL[[#Headers],[Incidência do FGTS sobre API e Reflexo do API]])-2,0)*($G271-$H271)</f>
        <v>3.8111821043024694</v>
      </c>
      <c r="AQ271" s="22">
        <f>VLOOKUP($A271,tabCustoUnit[],COLUMN(CUSTO_GLOBAL[[#Headers],[Multa Rescisória do FGTS sobre o Aviso Prévio Indenizado]])-2,0)*($G271-$H271)</f>
        <v>1.5244728417209878</v>
      </c>
      <c r="AR271" s="22">
        <f>VLOOKUP($A271,tabCustoUnit[],COLUMN(CUSTO_GLOBAL[[#Headers],[Aviso Prévio Trabalhado - APT]])-2,0)*($G271-$H271)</f>
        <v>23.779914200000004</v>
      </c>
      <c r="AS271" s="22">
        <f>VLOOKUP($A271,tabCustoUnit[],COLUMN(CUSTO_GLOBAL[[#Headers],[Incidência dos encargos do submódulo 2.1 sobre Aviso Prévio Trabalhado]])-2,0)*($G271-$H271)</f>
        <v>8.9888075676000021</v>
      </c>
      <c r="AT271" s="22">
        <f>VLOOKUP($A271,tabCustoUnit[],COLUMN(CUSTO_GLOBAL[[#Headers],[Multa Rescisória do FGTS]])-2,0)*($G271-$H271)</f>
        <v>207.75340913777774</v>
      </c>
      <c r="AU271" s="22">
        <f>VLOOKUP($A271,tabCustoUnit[],COLUMN(CUSTO_GLOBAL[[#Headers],[Indenização Adicional (Art. 9º da Lei nº 7.238/84)]])-2,0)*($G271-$H271)</f>
        <v>5.661884333333334</v>
      </c>
      <c r="AV271" s="22">
        <f>VLOOKUP($A271,tabCustoUnit[],COLUMN(CUSTO_GLOBAL[[#Headers],[MÓDULO 3 – PROVISÃO PARA RESCISÃO]])-2,0)*($G271-$H271)</f>
        <v>299.15944648851541</v>
      </c>
      <c r="AW271" s="22">
        <f>VLOOKUP($A271,tabCustoUnit[],COLUMN(CUSTO_GLOBAL[[#Headers],[Ausência por Doença]])-2,0)*($G271-$H271)</f>
        <v>57.373761244444438</v>
      </c>
      <c r="AX271" s="22">
        <f>VLOOKUP($A271,tabCustoUnit[],COLUMN(CUSTO_GLOBAL[[#Headers],[Ausências Legais]])-2,0)*($G271-$H271)</f>
        <v>13.777251877777777</v>
      </c>
      <c r="AY271" s="22">
        <f>VLOOKUP($A271,tabCustoUnit[],COLUMN(CUSTO_GLOBAL[[#Headers],[Licença Paternidade]])-2,0)*($G271-$H271)</f>
        <v>1.1606862883333333</v>
      </c>
      <c r="AZ271" s="22">
        <f>VLOOKUP($A271,tabCustoUnit[],COLUMN(CUSTO_GLOBAL[[#Headers],[Ausência por Acidente de Trabalho]])-2,0)*($G271-$H271)</f>
        <v>1.4154710833333335</v>
      </c>
      <c r="BA271" s="22">
        <f>VLOOKUP($A271,tabCustoUnit[],COLUMN(CUSTO_GLOBAL[[#Headers],[Férias, Adicional de Férias e 13º  com empregada em gozo de Licença Maternidade]])-2,0)*($G271-$H271)</f>
        <v>8.8073756296296288</v>
      </c>
      <c r="BB271" s="22">
        <f>VLOOKUP($A271,tabCustoUnit[],COLUMN(CUSTO_GLOBAL[[#Headers],[Incidência do Submódulo 2.1 sobre Ausências Legais]])-2,0)*($G271-$H271)</f>
        <v>31.198058434690005</v>
      </c>
      <c r="BC271" s="22">
        <f>VLOOKUP($A271,tabCustoUnit[],COLUMN(CUSTO_GLOBAL[[#Headers],[Submódulo 4.1]])-2,0)*($G271-$H271)</f>
        <v>113.73260455820852</v>
      </c>
      <c r="BD271" s="22">
        <f>VLOOKUP($A271,tabCustoUnit[],COLUMN(CUSTO_GLOBAL[[#Headers],[Intervalo para Repouso ou Alimentação]])-2,0)*($G271-$H271)</f>
        <v>0</v>
      </c>
      <c r="BE271" s="22">
        <f>VLOOKUP($A271,tabCustoUnit[],COLUMN(CUSTO_GLOBAL[[#Headers],[Submódulo 4.2]])-2,0)*($G271-$H271)</f>
        <v>0</v>
      </c>
      <c r="BF271" s="22">
        <f>VLOOKUP($A271,tabCustoUnit[],COLUMN(CUSTO_GLOBAL[[#Headers],[Suspensão Temporária do Contrato de Trabalho]])-2,0)*($G271-$H271)</f>
        <v>0</v>
      </c>
      <c r="BG271" s="22">
        <f>VLOOKUP($A271,tabCustoUnit[],COLUMN(CUSTO_GLOBAL[[#Headers],[Submódulo 4.3]])-2,0)*($G271-$H271)</f>
        <v>0</v>
      </c>
      <c r="BH271" s="22">
        <f>VLOOKUP($A271,tabCustoUnit[],COLUMN(CUSTO_GLOBAL[[#Headers],[MÓDULO 4 – CUSTO DE REPOSIÇÃO DO PROFISSIONAL AUSENTE]])-2,0)*($G271-$H271)</f>
        <v>113.73260455820852</v>
      </c>
      <c r="BI271" s="22">
        <f>VLOOKUP($A271,tabCustoUnit[],COLUMN(CUSTO_GLOBAL[[#Headers],[Uniformes e EPIs]])-2,0)*($G271-$H271)</f>
        <v>113.28595792508679</v>
      </c>
      <c r="BJ271" s="22">
        <f>VLOOKUP($A271,tabCustoUnit[],COLUMN(CUSTO_GLOBAL[[#Headers],[Materiais de Consumo]])-2,0)*($G271-$H271)</f>
        <v>0</v>
      </c>
      <c r="BK271" s="22">
        <f>VLOOKUP($A271,tabCustoUnit[],COLUMN(CUSTO_GLOBAL[[#Headers],[Máquinas e Equipamentos (depreciação)]])-2,0)*($G271-$H271)</f>
        <v>0</v>
      </c>
      <c r="BL271" s="22">
        <f>VLOOKUP($A271,tabCustoUnit[],COLUMN(CUSTO_GLOBAL[[#Headers],[Produtos de Limpeza e Materiais de Higiene Pessoal]])-2,0)*($G271-$H271)</f>
        <v>0</v>
      </c>
      <c r="BM271" s="22">
        <f>VLOOKUP($A271,tabCustoUnit[],COLUMN(CUSTO_GLOBAL[[#Headers],[Outros (especificar)]])-2,0)*($G271-$H271)</f>
        <v>0</v>
      </c>
      <c r="BN271" s="22">
        <f>VLOOKUP($A271,tabCustoUnit[],COLUMN(CUSTO_GLOBAL[[#Headers],[MÓDULO 5 – INSUMOS DIVERSOS]])-2,0)*($G271-$H271)</f>
        <v>113.28595792508679</v>
      </c>
      <c r="BO271" s="22" t="e">
        <f ca="1">VLOOKUP($A271,tabCustoUnit[],COLUMN(CUSTO_GLOBAL[[#Headers],[TOTAL MÓDULOS 1+2+3+4+5]])-2,0)*($G271-$H271)</f>
        <v>#NAME?</v>
      </c>
      <c r="BP271" s="22" t="e">
        <f ca="1">VLOOKUP($A271,tabCustoUnit[],COLUMN(CUSTO_GLOBAL[[#Headers],[Custos Indiretos]])-2,0)*($G271-$H271)</f>
        <v>#NAME?</v>
      </c>
      <c r="BQ271" s="22" t="e">
        <f ca="1">VLOOKUP($A271,tabCustoUnit[],COLUMN(CUSTO_GLOBAL[[#Headers],[Lucro]])-2,0)*($G271-$H271)</f>
        <v>#NAME?</v>
      </c>
      <c r="BR271" s="26">
        <f>VLOOKUP($A271,tabCustoUnit[],COLUMN(CUSTO_GLOBAL[[#Headers],[COFINS]])-2,0)</f>
        <v>8.8629737609329504E-2</v>
      </c>
      <c r="BS271" s="26">
        <f>VLOOKUP($A271,tabCustoUnit[],COLUMN(CUSTO_GLOBAL[[#Headers],[PIS]])-2,0)</f>
        <v>1.9241982507288629E-2</v>
      </c>
      <c r="BT271" s="28">
        <f>VLOOKUP($A271,tabCustoUnit[],COLUMN(CUSTO_GLOBAL[[#Headers],[ISS]])-2,0)</f>
        <v>0.05</v>
      </c>
      <c r="BU271" s="26">
        <f>VLOOKUP($A271,tabCustoUnit[],COLUMN(CUSTO_GLOBAL[[#Headers],[ISS (Conversão Alíquota s/ fatura)]])-2,0)</f>
        <v>5.8309037900874633E-2</v>
      </c>
      <c r="BV271" s="26">
        <f>VLOOKUP($A271,tabCustoUnit[],COLUMN(CUSTO_GLOBAL[[#Headers],[Resumo de Alíquotas (PIS+CONFINS+ISS)]])-2,0)</f>
        <v>0.14250000000000002</v>
      </c>
      <c r="BW271" s="138">
        <f>VLOOKUP($A271,tabCustoUnit[],COLUMN(CUSTO_GLOBAL[[#Headers],[PIS + COFINS + ISS (Total Conversão  Alíquota s/ Fatura)]])-2,0)</f>
        <v>0.16618075801749277</v>
      </c>
      <c r="BX271" s="22" t="e">
        <f ca="1">VLOOKUP($A271,tabCustoUnit[],COLUMN(CUSTO_GLOBAL[[#Headers],[Valor dos Tributos (ISS, PIS, CONFINS)]])-2,0)*($G271-$H271)</f>
        <v>#NAME?</v>
      </c>
      <c r="BY271" s="22" t="e">
        <f ca="1">VLOOKUP($A271,tabCustoUnit[],COLUMN(CUSTO_GLOBAL[[#Headers],[MÓDULO 6 – CUSTOS INDIRETOS, TRIBUTOS E LUCRO]])-2,0)*($G271-$H271)</f>
        <v>#NAME?</v>
      </c>
      <c r="BZ271" s="22" t="e">
        <f ca="1">VLOOKUP($A271,tabCustoUnit[],COLUMN(CUSTO_GLOBAL[[#Headers],[CUSTO TOTAL MENSAL]])-2,0)*($G271-$H271)</f>
        <v>#NAME?</v>
      </c>
      <c r="CA271" s="22" t="e">
        <f ca="1">CUSTO_GLOBAL[[#This Row],[CUSTO TOTAL MENSAL]]*12</f>
        <v>#NAME?</v>
      </c>
      <c r="CB271" s="24">
        <f>VLOOKUP($A271,tabCustoUnit[],COLUMN(CUSTO_GLOBAL[[#Headers],[ANO DA CCT]])-2,0)</f>
        <v>45658</v>
      </c>
      <c r="CC271" s="25" t="str">
        <f>VLOOKUP($A271,tabCustoUnit[],COLUMN(CUSTO_GLOBAL[[#Headers],[Nº DE PEDIDO DA CCT]])-2,0)</f>
        <v>-</v>
      </c>
      <c r="CD271" s="25" t="str">
        <f>VLOOKUP($A271,tabCustoUnit[],COLUMN(CUSTO_GLOBAL[[#Headers],[TERMO ADITIVO ALTERAÇÃO DA CCT]])-2,0)</f>
        <v>-</v>
      </c>
    </row>
    <row r="272" spans="1:82">
      <c r="A272" s="20" t="s">
        <v>1689</v>
      </c>
      <c r="B272" t="s">
        <v>1193</v>
      </c>
      <c r="C272" t="s">
        <v>314</v>
      </c>
      <c r="D272" t="s">
        <v>957</v>
      </c>
      <c r="E272" s="20" t="s">
        <v>1090</v>
      </c>
      <c r="F272" s="20" t="s">
        <v>120</v>
      </c>
      <c r="G272" s="20">
        <v>1</v>
      </c>
      <c r="H272" s="20">
        <v>0</v>
      </c>
      <c r="I272" s="21">
        <f>VLOOKUP($A272,tabCustoUnit[],COLUMN(CUSTO_GLOBAL[[#Headers],[Salário Base]])-2,0)*($G272-$H272)</f>
        <v>1963.4110000000001</v>
      </c>
      <c r="J272" s="21">
        <f>VLOOKUP($A272,tabCustoUnit[],COLUMN(CUSTO_GLOBAL[[#Headers],[Adicional Periculosidade]])-2,0)*($G272-$H272)</f>
        <v>0</v>
      </c>
      <c r="K272" s="21">
        <f>VLOOKUP($A272,tabCustoUnit[],COLUMN(CUSTO_GLOBAL[[#Headers],[Adicional Insalubridade]])-2,0)*($G272-$H272)</f>
        <v>0</v>
      </c>
      <c r="L272" s="21">
        <f>VLOOKUP($A272,tabCustoUnit[],COLUMN(CUSTO_GLOBAL[[#Headers],[Adicional Noturno]])-2,0)*($G272-$H272)</f>
        <v>0</v>
      </c>
      <c r="M272" s="21">
        <f>VLOOKUP($A272,tabCustoUnit[],COLUMN(CUSTO_GLOBAL[[#Headers],[Adicional Motorista II (Gratificação)]])-2,0)*($G272-$H272)</f>
        <v>0</v>
      </c>
      <c r="N272" s="21">
        <f>VLOOKUP($A272,tabCustoUnit[],COLUMN(CUSTO_GLOBAL[[#Headers],[Adicional de Sobreaviso]])-2,0)*($G272-$H272)</f>
        <v>0</v>
      </c>
      <c r="O272" s="21">
        <f>VLOOKUP($A272,tabCustoUnit[],COLUMN(CUSTO_GLOBAL[[#Headers],[Horas Extras TI]])-2,0)*($G272-$H272)</f>
        <v>0</v>
      </c>
      <c r="P272" s="21">
        <f>VLOOKUP($A272,tabCustoUnit[],COLUMN(CUSTO_GLOBAL[[#Headers],[Adicional de Acúmulo de função]])-2,0)*($G272-$H272)</f>
        <v>0</v>
      </c>
      <c r="Q272" s="21">
        <f>VLOOKUP($A272,tabCustoUnit[],COLUMN(CUSTO_GLOBAL[[#Headers],[MODULO 1 - REMUNERAÇÃO ]])-2,0)*($G272-$H272)</f>
        <v>1963.4110000000001</v>
      </c>
      <c r="R272" s="21">
        <f>VLOOKUP($A272,tabCustoUnit[],COLUMN(CUSTO_GLOBAL[[#Headers],[INSS]])-2,0)*($G272-$H272)</f>
        <v>392.68220000000002</v>
      </c>
      <c r="S272" s="21">
        <f>VLOOKUP($A272,tabCustoUnit[],COLUMN(CUSTO_GLOBAL[[#Headers],[SESI OU SESC]])-2,0)*($G272-$H272)</f>
        <v>29.451165</v>
      </c>
      <c r="T272" s="21">
        <f>VLOOKUP($A272,tabCustoUnit[],COLUMN(CUSTO_GLOBAL[[#Headers],[SENAI OU SENAC]])-2,0)*($G272-$H272)</f>
        <v>19.63411</v>
      </c>
      <c r="U272" s="21">
        <f>VLOOKUP($A272,tabCustoUnit[],COLUMN(CUSTO_GLOBAL[[#Headers],[INCRA]])-2,0)*($G272-$H272)</f>
        <v>3.926822</v>
      </c>
      <c r="V272" s="21">
        <f>VLOOKUP($A272,tabCustoUnit[],COLUMN(CUSTO_GLOBAL[[#Headers],[Salário Educação]])-2,0)*($G272-$H272)</f>
        <v>49.085275000000003</v>
      </c>
      <c r="W272" s="21">
        <f>VLOOKUP($A272,tabCustoUnit[],COLUMN(CUSTO_GLOBAL[[#Headers],[FGTS]])-2,0)*($G272-$H272)</f>
        <v>157.07288</v>
      </c>
      <c r="X272" s="21">
        <f>VLOOKUP($A272,tabCustoUnit[],COLUMN(CUSTO_GLOBAL[[#Headers],[RAT Ajustado]])-2,0)*($G272-$H272)</f>
        <v>78.536439999999999</v>
      </c>
      <c r="Y272" s="21">
        <f>VLOOKUP($A272,tabCustoUnit[],COLUMN(CUSTO_GLOBAL[[#Headers],[SEBRAE]])-2,0)*($G272-$H272)</f>
        <v>11.780466000000001</v>
      </c>
      <c r="Z272" s="21">
        <f>VLOOKUP($A272,tabCustoUnit[],COLUMN(CUSTO_GLOBAL[[#Headers],[Submódulo 2.1]])-2,0)*($G272-$H272)</f>
        <v>742.1693580000001</v>
      </c>
      <c r="AA272" s="21">
        <f>VLOOKUP($A272,tabCustoUnit[],COLUMN(CUSTO_GLOBAL[[#Headers],[13º salário (titular)]])-2,0)*($G272-$H272)</f>
        <v>163.61758333333333</v>
      </c>
      <c r="AB272" s="21">
        <f>VLOOKUP($A272,tabCustoUnit[],COLUMN(CUSTO_GLOBAL[[#Headers],[Férias e Adicional de Férias (titular)]])-2,0)*($G272-$H272)</f>
        <v>218.15677777777776</v>
      </c>
      <c r="AC272" s="21">
        <f>VLOOKUP($A272,tabCustoUnit[],COLUMN(CUSTO_GLOBAL[[#Headers],[Incidência do Submódulo 2.1 sobre 13º Salário, Férias e Adicional de Férias]])-2,0)*($G272-$H272)</f>
        <v>144.3107085</v>
      </c>
      <c r="AD272" s="21">
        <f>VLOOKUP($A272,tabCustoUnit[],COLUMN(CUSTO_GLOBAL[[#Headers],[Submódulo 2.2]])-2,0)*($G272-$H272)</f>
        <v>526.08506961111107</v>
      </c>
      <c r="AE272" s="22" t="e">
        <f ca="1">VLOOKUP($A272,tabCustoUnit[],COLUMN(CUSTO_GLOBAL[[#Headers],[Vale - Transporte (Descontada parcela do empregado)]])-2,0)*($G272-$H272)</f>
        <v>#NAME?</v>
      </c>
      <c r="AF272" s="22">
        <f>VLOOKUP($A272,tabCustoUnit[],COLUMN(CUSTO_GLOBAL[[#Headers],[Vale - Alimentação (Descontada parcela do empregado)]])-2,0)*($G272-$H272)</f>
        <v>582</v>
      </c>
      <c r="AG272" s="22">
        <f>VLOOKUP($A272,tabCustoUnit[],COLUMN(CUSTO_GLOBAL[[#Headers],[Cesta Básica]])-2,0)*($G272-$H272)</f>
        <v>0</v>
      </c>
      <c r="AH272" s="22">
        <f>VLOOKUP($A272,tabCustoUnit[],COLUMN(CUSTO_GLOBAL[[#Headers],[PAF]])-2,0)*($G272-$H272)</f>
        <v>0</v>
      </c>
      <c r="AI272" s="22">
        <f>VLOOKUP($A272,tabCustoUnit[],COLUMN(CUSTO_GLOBAL[[#Headers],[PQM]])-2,0)*($G272-$H272)</f>
        <v>0</v>
      </c>
      <c r="AJ272" s="22">
        <v>0</v>
      </c>
      <c r="AK272" s="22">
        <f>VLOOKUP($A272,tabCustoUnit[],COLUMN(CUSTO_GLOBAL[[#Headers],[Seguro de Vida]])-2,0)*($G272-$H272)</f>
        <v>3.36</v>
      </c>
      <c r="AL272" s="22">
        <f>VLOOKUP($A272,tabCustoUnit[],COLUMN(CUSTO_GLOBAL[[#Headers],[Despesas de Viagem]])-2,0)*($G272-$H272)</f>
        <v>0</v>
      </c>
      <c r="AM272" s="22" t="e">
        <f ca="1">VLOOKUP($A272,tabCustoUnit[],COLUMN(CUSTO_GLOBAL[[#Headers],[Submódulo 2.3]])-2,0)*($G272-$H272)</f>
        <v>#NAME?</v>
      </c>
      <c r="AN272" s="22" t="e">
        <f ca="1">VLOOKUP($A272,tabCustoUnit[],COLUMN(CUSTO_GLOBAL[[#Headers],[MÓDULO 2 - Total Encargos e Benefícios mensais e diários]])-2,0)*($G272-$H272)</f>
        <v>#NAME?</v>
      </c>
      <c r="AO272" s="22">
        <f>VLOOKUP($A272,tabCustoUnit[],COLUMN(CUSTO_GLOBAL[[#Headers],[Aviso Prévio Indenizado (API) e Reflexo do Aviso Prévio Indenizado]])-2,0)*($G272-$H272)</f>
        <v>13.766980408757716</v>
      </c>
      <c r="AP272" s="22">
        <f>VLOOKUP($A272,tabCustoUnit[],COLUMN(CUSTO_GLOBAL[[#Headers],[Incidência do FGTS sobre API e Reflexo do API]])-2,0)*($G272-$H272)</f>
        <v>1.1013584327006174</v>
      </c>
      <c r="AQ272" s="22">
        <f>VLOOKUP($A272,tabCustoUnit[],COLUMN(CUSTO_GLOBAL[[#Headers],[Multa Rescisória do FGTS sobre o Aviso Prévio Indenizado]])-2,0)*($G272-$H272)</f>
        <v>0.44054337308024699</v>
      </c>
      <c r="AR272" s="22">
        <f>VLOOKUP($A272,tabCustoUnit[],COLUMN(CUSTO_GLOBAL[[#Headers],[Aviso Prévio Trabalhado - APT]])-2,0)*($G272-$H272)</f>
        <v>6.8719385000000015</v>
      </c>
      <c r="AS272" s="22">
        <f>VLOOKUP($A272,tabCustoUnit[],COLUMN(CUSTO_GLOBAL[[#Headers],[Incidência dos encargos do submódulo 2.1 sobre Aviso Prévio Trabalhado]])-2,0)*($G272-$H272)</f>
        <v>2.5975927530000007</v>
      </c>
      <c r="AT272" s="22">
        <f>VLOOKUP($A272,tabCustoUnit[],COLUMN(CUSTO_GLOBAL[[#Headers],[Multa Rescisória do FGTS]])-2,0)*($G272-$H272)</f>
        <v>60.03674524444444</v>
      </c>
      <c r="AU272" s="22">
        <f>VLOOKUP($A272,tabCustoUnit[],COLUMN(CUSTO_GLOBAL[[#Headers],[Indenização Adicional (Art. 9º da Lei nº 7.238/84)]])-2,0)*($G272-$H272)</f>
        <v>1.6361758333333334</v>
      </c>
      <c r="AV272" s="22">
        <f>VLOOKUP($A272,tabCustoUnit[],COLUMN(CUSTO_GLOBAL[[#Headers],[MÓDULO 3 – PROVISÃO PARA RESCISÃO]])-2,0)*($G272-$H272)</f>
        <v>86.451334545316371</v>
      </c>
      <c r="AW272" s="22">
        <f>VLOOKUP($A272,tabCustoUnit[],COLUMN(CUSTO_GLOBAL[[#Headers],[Ausência por Doença]])-2,0)*($G272-$H272)</f>
        <v>16.579915111111109</v>
      </c>
      <c r="AX272" s="22">
        <f>VLOOKUP($A272,tabCustoUnit[],COLUMN(CUSTO_GLOBAL[[#Headers],[Ausências Legais]])-2,0)*($G272-$H272)</f>
        <v>3.9813611944444443</v>
      </c>
      <c r="AY272" s="22">
        <f>VLOOKUP($A272,tabCustoUnit[],COLUMN(CUSTO_GLOBAL[[#Headers],[Licença Paternidade]])-2,0)*($G272-$H272)</f>
        <v>0.33541604583333334</v>
      </c>
      <c r="AZ272" s="22">
        <f>VLOOKUP($A272,tabCustoUnit[],COLUMN(CUSTO_GLOBAL[[#Headers],[Ausência por Acidente de Trabalho]])-2,0)*($G272-$H272)</f>
        <v>0.40904395833333335</v>
      </c>
      <c r="BA272" s="22">
        <f>VLOOKUP($A272,tabCustoUnit[],COLUMN(CUSTO_GLOBAL[[#Headers],[Férias, Adicional de Férias e 13º  com empregada em gozo de Licença Maternidade]])-2,0)*($G272-$H272)</f>
        <v>2.5451624074074073</v>
      </c>
      <c r="BB272" s="22">
        <f>VLOOKUP($A272,tabCustoUnit[],COLUMN(CUSTO_GLOBAL[[#Headers],[Incidência do Submódulo 2.1 sobre Ausências Legais]])-2,0)*($G272-$H272)</f>
        <v>9.0156397150750021</v>
      </c>
      <c r="BC272" s="22">
        <f>VLOOKUP($A272,tabCustoUnit[],COLUMN(CUSTO_GLOBAL[[#Headers],[Submódulo 4.1]])-2,0)*($G272-$H272)</f>
        <v>32.866538432204628</v>
      </c>
      <c r="BD272" s="22">
        <f>VLOOKUP($A272,tabCustoUnit[],COLUMN(CUSTO_GLOBAL[[#Headers],[Intervalo para Repouso ou Alimentação]])-2,0)*($G272-$H272)</f>
        <v>267.73786489195959</v>
      </c>
      <c r="BE272" s="22">
        <f>VLOOKUP($A272,tabCustoUnit[],COLUMN(CUSTO_GLOBAL[[#Headers],[Submódulo 4.2]])-2,0)*($G272-$H272)</f>
        <v>267.73786489195959</v>
      </c>
      <c r="BF272" s="22">
        <f>VLOOKUP($A272,tabCustoUnit[],COLUMN(CUSTO_GLOBAL[[#Headers],[Suspensão Temporária do Contrato de Trabalho]])-2,0)*($G272-$H272)</f>
        <v>0</v>
      </c>
      <c r="BG272" s="22">
        <f>VLOOKUP($A272,tabCustoUnit[],COLUMN(CUSTO_GLOBAL[[#Headers],[Submódulo 4.3]])-2,0)*($G272-$H272)</f>
        <v>0</v>
      </c>
      <c r="BH272" s="22">
        <f>VLOOKUP($A272,tabCustoUnit[],COLUMN(CUSTO_GLOBAL[[#Headers],[MÓDULO 4 – CUSTO DE REPOSIÇÃO DO PROFISSIONAL AUSENTE]])-2,0)*($G272-$H272)</f>
        <v>300.6044033241642</v>
      </c>
      <c r="BI272" s="22">
        <f>VLOOKUP($A272,tabCustoUnit[],COLUMN(CUSTO_GLOBAL[[#Headers],[Uniformes e EPIs]])-2,0)*($G272-$H272)</f>
        <v>56.642978962543395</v>
      </c>
      <c r="BJ272" s="22">
        <f>VLOOKUP($A272,tabCustoUnit[],COLUMN(CUSTO_GLOBAL[[#Headers],[Materiais de Consumo]])-2,0)*($G272-$H272)</f>
        <v>0</v>
      </c>
      <c r="BK272" s="22">
        <f>VLOOKUP($A272,tabCustoUnit[],COLUMN(CUSTO_GLOBAL[[#Headers],[Máquinas e Equipamentos (depreciação)]])-2,0)*($G272-$H272)</f>
        <v>0</v>
      </c>
      <c r="BL272" s="22">
        <f>VLOOKUP($A272,tabCustoUnit[],COLUMN(CUSTO_GLOBAL[[#Headers],[Produtos de Limpeza e Materiais de Higiene Pessoal]])-2,0)*($G272-$H272)</f>
        <v>0</v>
      </c>
      <c r="BM272" s="22">
        <f>VLOOKUP($A272,tabCustoUnit[],COLUMN(CUSTO_GLOBAL[[#Headers],[Outros (especificar)]])-2,0)*($G272-$H272)</f>
        <v>0</v>
      </c>
      <c r="BN272" s="22">
        <f>VLOOKUP($A272,tabCustoUnit[],COLUMN(CUSTO_GLOBAL[[#Headers],[MÓDULO 5 – INSUMOS DIVERSOS]])-2,0)*($G272-$H272)</f>
        <v>56.642978962543395</v>
      </c>
      <c r="BO272" s="22" t="e">
        <f ca="1">VLOOKUP($A272,tabCustoUnit[],COLUMN(CUSTO_GLOBAL[[#Headers],[TOTAL MÓDULOS 1+2+3+4+5]])-2,0)*($G272-$H272)</f>
        <v>#NAME?</v>
      </c>
      <c r="BP272" s="22" t="e">
        <f ca="1">VLOOKUP($A272,tabCustoUnit[],COLUMN(CUSTO_GLOBAL[[#Headers],[Custos Indiretos]])-2,0)*($G272-$H272)</f>
        <v>#NAME?</v>
      </c>
      <c r="BQ272" s="22" t="e">
        <f ca="1">VLOOKUP($A272,tabCustoUnit[],COLUMN(CUSTO_GLOBAL[[#Headers],[Lucro]])-2,0)*($G272-$H272)</f>
        <v>#NAME?</v>
      </c>
      <c r="BR272" s="26">
        <f>VLOOKUP($A272,tabCustoUnit[],COLUMN(CUSTO_GLOBAL[[#Headers],[COFINS]])-2,0)</f>
        <v>8.8629737609329504E-2</v>
      </c>
      <c r="BS272" s="26">
        <f>VLOOKUP($A272,tabCustoUnit[],COLUMN(CUSTO_GLOBAL[[#Headers],[PIS]])-2,0)</f>
        <v>1.9241982507288629E-2</v>
      </c>
      <c r="BT272" s="28">
        <f>VLOOKUP($A272,tabCustoUnit[],COLUMN(CUSTO_GLOBAL[[#Headers],[ISS]])-2,0)</f>
        <v>0.05</v>
      </c>
      <c r="BU272" s="26">
        <f>VLOOKUP($A272,tabCustoUnit[],COLUMN(CUSTO_GLOBAL[[#Headers],[ISS (Conversão Alíquota s/ fatura)]])-2,0)</f>
        <v>5.8309037900874633E-2</v>
      </c>
      <c r="BV272" s="26">
        <f>VLOOKUP($A272,tabCustoUnit[],COLUMN(CUSTO_GLOBAL[[#Headers],[Resumo de Alíquotas (PIS+CONFINS+ISS)]])-2,0)</f>
        <v>0.14250000000000002</v>
      </c>
      <c r="BW272" s="138">
        <f>VLOOKUP($A272,tabCustoUnit[],COLUMN(CUSTO_GLOBAL[[#Headers],[PIS + COFINS + ISS (Total Conversão  Alíquota s/ Fatura)]])-2,0)</f>
        <v>0.16618075801749277</v>
      </c>
      <c r="BX272" s="22" t="e">
        <f ca="1">VLOOKUP($A272,tabCustoUnit[],COLUMN(CUSTO_GLOBAL[[#Headers],[Valor dos Tributos (ISS, PIS, CONFINS)]])-2,0)*($G272-$H272)</f>
        <v>#NAME?</v>
      </c>
      <c r="BY272" s="22" t="e">
        <f ca="1">VLOOKUP($A272,tabCustoUnit[],COLUMN(CUSTO_GLOBAL[[#Headers],[MÓDULO 6 – CUSTOS INDIRETOS, TRIBUTOS E LUCRO]])-2,0)*($G272-$H272)</f>
        <v>#NAME?</v>
      </c>
      <c r="BZ272" s="22" t="e">
        <f ca="1">VLOOKUP($A272,tabCustoUnit[],COLUMN(CUSTO_GLOBAL[[#Headers],[CUSTO TOTAL MENSAL]])-2,0)*($G272-$H272)</f>
        <v>#NAME?</v>
      </c>
      <c r="CA272" s="22" t="e">
        <f ca="1">CUSTO_GLOBAL[[#This Row],[CUSTO TOTAL MENSAL]]*12</f>
        <v>#NAME?</v>
      </c>
      <c r="CB272" s="24">
        <f>VLOOKUP($A272,tabCustoUnit[],COLUMN(CUSTO_GLOBAL[[#Headers],[ANO DA CCT]])-2,0)</f>
        <v>45658</v>
      </c>
      <c r="CC272" s="25" t="str">
        <f>VLOOKUP($A272,tabCustoUnit[],COLUMN(CUSTO_GLOBAL[[#Headers],[Nº DE PEDIDO DA CCT]])-2,0)</f>
        <v>-</v>
      </c>
      <c r="CD272" s="25" t="str">
        <f>VLOOKUP($A272,tabCustoUnit[],COLUMN(CUSTO_GLOBAL[[#Headers],[TERMO ADITIVO ALTERAÇÃO DA CCT]])-2,0)</f>
        <v>-</v>
      </c>
    </row>
    <row r="273" spans="1:82">
      <c r="A273" s="20" t="s">
        <v>1690</v>
      </c>
      <c r="B273" t="s">
        <v>1194</v>
      </c>
      <c r="C273" t="s">
        <v>314</v>
      </c>
      <c r="D273" t="s">
        <v>899</v>
      </c>
      <c r="E273" s="20" t="s">
        <v>1090</v>
      </c>
      <c r="F273" s="20" t="s">
        <v>120</v>
      </c>
      <c r="G273" s="20">
        <v>1</v>
      </c>
      <c r="H273" s="20">
        <v>0</v>
      </c>
      <c r="I273" s="21">
        <f>VLOOKUP($A273,tabCustoUnit[],COLUMN(CUSTO_GLOBAL[[#Headers],[Salário Base]])-2,0)*($G273-$H273)</f>
        <v>1963.405</v>
      </c>
      <c r="J273" s="21">
        <f>VLOOKUP($A273,tabCustoUnit[],COLUMN(CUSTO_GLOBAL[[#Headers],[Adicional Periculosidade]])-2,0)*($G273-$H273)</f>
        <v>0</v>
      </c>
      <c r="K273" s="21">
        <f>VLOOKUP($A273,tabCustoUnit[],COLUMN(CUSTO_GLOBAL[[#Headers],[Adicional Insalubridade]])-2,0)*($G273-$H273)</f>
        <v>0</v>
      </c>
      <c r="L273" s="21">
        <f>VLOOKUP($A273,tabCustoUnit[],COLUMN(CUSTO_GLOBAL[[#Headers],[Adicional Noturno]])-2,0)*($G273-$H273)</f>
        <v>0</v>
      </c>
      <c r="M273" s="21">
        <f>VLOOKUP($A273,tabCustoUnit[],COLUMN(CUSTO_GLOBAL[[#Headers],[Adicional Motorista II (Gratificação)]])-2,0)*($G273-$H273)</f>
        <v>0</v>
      </c>
      <c r="N273" s="21">
        <f>VLOOKUP($A273,tabCustoUnit[],COLUMN(CUSTO_GLOBAL[[#Headers],[Adicional de Sobreaviso]])-2,0)*($G273-$H273)</f>
        <v>0</v>
      </c>
      <c r="O273" s="21">
        <f>VLOOKUP($A273,tabCustoUnit[],COLUMN(CUSTO_GLOBAL[[#Headers],[Horas Extras TI]])-2,0)*($G273-$H273)</f>
        <v>0</v>
      </c>
      <c r="P273" s="21">
        <f>VLOOKUP($A273,tabCustoUnit[],COLUMN(CUSTO_GLOBAL[[#Headers],[Adicional de Acúmulo de função]])-2,0)*($G273-$H273)</f>
        <v>0</v>
      </c>
      <c r="Q273" s="21">
        <f>VLOOKUP($A273,tabCustoUnit[],COLUMN(CUSTO_GLOBAL[[#Headers],[MODULO 1 - REMUNERAÇÃO ]])-2,0)*($G273-$H273)</f>
        <v>1963.405</v>
      </c>
      <c r="R273" s="21">
        <f>VLOOKUP($A273,tabCustoUnit[],COLUMN(CUSTO_GLOBAL[[#Headers],[INSS]])-2,0)*($G273-$H273)</f>
        <v>392.68100000000004</v>
      </c>
      <c r="S273" s="21">
        <f>VLOOKUP($A273,tabCustoUnit[],COLUMN(CUSTO_GLOBAL[[#Headers],[SESI OU SESC]])-2,0)*($G273-$H273)</f>
        <v>29.451074999999999</v>
      </c>
      <c r="T273" s="21">
        <f>VLOOKUP($A273,tabCustoUnit[],COLUMN(CUSTO_GLOBAL[[#Headers],[SENAI OU SENAC]])-2,0)*($G273-$H273)</f>
        <v>19.634049999999998</v>
      </c>
      <c r="U273" s="21">
        <f>VLOOKUP($A273,tabCustoUnit[],COLUMN(CUSTO_GLOBAL[[#Headers],[INCRA]])-2,0)*($G273-$H273)</f>
        <v>3.9268100000000001</v>
      </c>
      <c r="V273" s="21">
        <f>VLOOKUP($A273,tabCustoUnit[],COLUMN(CUSTO_GLOBAL[[#Headers],[Salário Educação]])-2,0)*($G273-$H273)</f>
        <v>49.085125000000005</v>
      </c>
      <c r="W273" s="21">
        <f>VLOOKUP($A273,tabCustoUnit[],COLUMN(CUSTO_GLOBAL[[#Headers],[FGTS]])-2,0)*($G273-$H273)</f>
        <v>157.07239999999999</v>
      </c>
      <c r="X273" s="21">
        <f>VLOOKUP($A273,tabCustoUnit[],COLUMN(CUSTO_GLOBAL[[#Headers],[RAT Ajustado]])-2,0)*($G273-$H273)</f>
        <v>78.536199999999994</v>
      </c>
      <c r="Y273" s="21">
        <f>VLOOKUP($A273,tabCustoUnit[],COLUMN(CUSTO_GLOBAL[[#Headers],[SEBRAE]])-2,0)*($G273-$H273)</f>
        <v>11.780430000000001</v>
      </c>
      <c r="Z273" s="21">
        <f>VLOOKUP($A273,tabCustoUnit[],COLUMN(CUSTO_GLOBAL[[#Headers],[Submódulo 2.1]])-2,0)*($G273-$H273)</f>
        <v>742.16709000000003</v>
      </c>
      <c r="AA273" s="21">
        <f>VLOOKUP($A273,tabCustoUnit[],COLUMN(CUSTO_GLOBAL[[#Headers],[13º salário (titular)]])-2,0)*($G273-$H273)</f>
        <v>163.61708333333331</v>
      </c>
      <c r="AB273" s="21">
        <f>VLOOKUP($A273,tabCustoUnit[],COLUMN(CUSTO_GLOBAL[[#Headers],[Férias e Adicional de Férias (titular)]])-2,0)*($G273-$H273)</f>
        <v>218.1561111111111</v>
      </c>
      <c r="AC273" s="21">
        <f>VLOOKUP($A273,tabCustoUnit[],COLUMN(CUSTO_GLOBAL[[#Headers],[Incidência do Submódulo 2.1 sobre 13º Salário, Férias e Adicional de Férias]])-2,0)*($G273-$H273)</f>
        <v>144.31026749999998</v>
      </c>
      <c r="AD273" s="21">
        <f>VLOOKUP($A273,tabCustoUnit[],COLUMN(CUSTO_GLOBAL[[#Headers],[Submódulo 2.2]])-2,0)*($G273-$H273)</f>
        <v>526.08346194444437</v>
      </c>
      <c r="AE273" s="22" t="e">
        <f ca="1">VLOOKUP($A273,tabCustoUnit[],COLUMN(CUSTO_GLOBAL[[#Headers],[Vale - Transporte (Descontada parcela do empregado)]])-2,0)*($G273-$H273)</f>
        <v>#NAME?</v>
      </c>
      <c r="AF273" s="22">
        <f>VLOOKUP($A273,tabCustoUnit[],COLUMN(CUSTO_GLOBAL[[#Headers],[Vale - Alimentação (Descontada parcela do empregado)]])-2,0)*($G273-$H273)</f>
        <v>0</v>
      </c>
      <c r="AG273" s="22">
        <f>VLOOKUP($A273,tabCustoUnit[],COLUMN(CUSTO_GLOBAL[[#Headers],[Cesta Básica]])-2,0)*($G273-$H273)</f>
        <v>387.79</v>
      </c>
      <c r="AH273" s="22">
        <f>VLOOKUP($A273,tabCustoUnit[],COLUMN(CUSTO_GLOBAL[[#Headers],[PAF]])-2,0)*($G273-$H273)</f>
        <v>42.97</v>
      </c>
      <c r="AI273" s="22">
        <f>VLOOKUP($A273,tabCustoUnit[],COLUMN(CUSTO_GLOBAL[[#Headers],[PQM]])-2,0)*($G273-$H273)</f>
        <v>0</v>
      </c>
      <c r="AJ273" s="22">
        <v>0</v>
      </c>
      <c r="AK273" s="22">
        <f>VLOOKUP($A273,tabCustoUnit[],COLUMN(CUSTO_GLOBAL[[#Headers],[Seguro de Vida]])-2,0)*($G273-$H273)</f>
        <v>3.36</v>
      </c>
      <c r="AL273" s="22">
        <f>VLOOKUP($A273,tabCustoUnit[],COLUMN(CUSTO_GLOBAL[[#Headers],[Despesas de Viagem]])-2,0)*($G273-$H273)</f>
        <v>0</v>
      </c>
      <c r="AM273" s="22" t="e">
        <f ca="1">VLOOKUP($A273,tabCustoUnit[],COLUMN(CUSTO_GLOBAL[[#Headers],[Submódulo 2.3]])-2,0)*($G273-$H273)</f>
        <v>#NAME?</v>
      </c>
      <c r="AN273" s="22" t="e">
        <f ca="1">VLOOKUP($A273,tabCustoUnit[],COLUMN(CUSTO_GLOBAL[[#Headers],[MÓDULO 2 - Total Encargos e Benefícios mensais e diários]])-2,0)*($G273-$H273)</f>
        <v>#NAME?</v>
      </c>
      <c r="AO273" s="22">
        <f>VLOOKUP($A273,tabCustoUnit[],COLUMN(CUSTO_GLOBAL[[#Headers],[Aviso Prévio Indenizado (API) e Reflexo do Aviso Prévio Indenizado]])-2,0)*($G273-$H273)</f>
        <v>13.766938338155864</v>
      </c>
      <c r="AP273" s="22">
        <f>VLOOKUP($A273,tabCustoUnit[],COLUMN(CUSTO_GLOBAL[[#Headers],[Incidência do FGTS sobre API e Reflexo do API]])-2,0)*($G273-$H273)</f>
        <v>1.1013550670524692</v>
      </c>
      <c r="AQ273" s="22">
        <f>VLOOKUP($A273,tabCustoUnit[],COLUMN(CUSTO_GLOBAL[[#Headers],[Multa Rescisória do FGTS sobre o Aviso Prévio Indenizado]])-2,0)*($G273-$H273)</f>
        <v>0.44054202682098775</v>
      </c>
      <c r="AR273" s="22">
        <f>VLOOKUP($A273,tabCustoUnit[],COLUMN(CUSTO_GLOBAL[[#Headers],[Aviso Prévio Trabalhado - APT]])-2,0)*($G273-$H273)</f>
        <v>6.8719175000000012</v>
      </c>
      <c r="AS273" s="22">
        <f>VLOOKUP($A273,tabCustoUnit[],COLUMN(CUSTO_GLOBAL[[#Headers],[Incidência dos encargos do submódulo 2.1 sobre Aviso Prévio Trabalhado]])-2,0)*($G273-$H273)</f>
        <v>2.5975848150000007</v>
      </c>
      <c r="AT273" s="22">
        <f>VLOOKUP($A273,tabCustoUnit[],COLUMN(CUSTO_GLOBAL[[#Headers],[Multa Rescisória do FGTS]])-2,0)*($G273-$H273)</f>
        <v>60.03656177777777</v>
      </c>
      <c r="AU273" s="22">
        <f>VLOOKUP($A273,tabCustoUnit[],COLUMN(CUSTO_GLOBAL[[#Headers],[Indenização Adicional (Art. 9º da Lei nº 7.238/84)]])-2,0)*($G273-$H273)</f>
        <v>1.6361708333333334</v>
      </c>
      <c r="AV273" s="22">
        <f>VLOOKUP($A273,tabCustoUnit[],COLUMN(CUSTO_GLOBAL[[#Headers],[MÓDULO 3 – PROVISÃO PARA RESCISÃO]])-2,0)*($G273-$H273)</f>
        <v>86.451070358140427</v>
      </c>
      <c r="AW273" s="22">
        <f>VLOOKUP($A273,tabCustoUnit[],COLUMN(CUSTO_GLOBAL[[#Headers],[Ausência por Doença]])-2,0)*($G273-$H273)</f>
        <v>16.579864444444443</v>
      </c>
      <c r="AX273" s="22">
        <f>VLOOKUP($A273,tabCustoUnit[],COLUMN(CUSTO_GLOBAL[[#Headers],[Ausências Legais]])-2,0)*($G273-$H273)</f>
        <v>3.9813490277777777</v>
      </c>
      <c r="AY273" s="22">
        <f>VLOOKUP($A273,tabCustoUnit[],COLUMN(CUSTO_GLOBAL[[#Headers],[Licença Paternidade]])-2,0)*($G273-$H273)</f>
        <v>0.3354150208333333</v>
      </c>
      <c r="AZ273" s="22">
        <f>VLOOKUP($A273,tabCustoUnit[],COLUMN(CUSTO_GLOBAL[[#Headers],[Ausência por Acidente de Trabalho]])-2,0)*($G273-$H273)</f>
        <v>0.40904270833333334</v>
      </c>
      <c r="BA273" s="22">
        <f>VLOOKUP($A273,tabCustoUnit[],COLUMN(CUSTO_GLOBAL[[#Headers],[Férias, Adicional de Férias e 13º  com empregada em gozo de Licença Maternidade]])-2,0)*($G273-$H273)</f>
        <v>2.5451546296296295</v>
      </c>
      <c r="BB273" s="22">
        <f>VLOOKUP($A273,tabCustoUnit[],COLUMN(CUSTO_GLOBAL[[#Headers],[Incidência do Submódulo 2.1 sobre Ausências Legais]])-2,0)*($G273-$H273)</f>
        <v>9.0156121641250007</v>
      </c>
      <c r="BC273" s="22">
        <f>VLOOKUP($A273,tabCustoUnit[],COLUMN(CUSTO_GLOBAL[[#Headers],[Submódulo 4.1]])-2,0)*($G273-$H273)</f>
        <v>32.866437995143521</v>
      </c>
      <c r="BD273" s="22">
        <f>VLOOKUP($A273,tabCustoUnit[],COLUMN(CUSTO_GLOBAL[[#Headers],[Intervalo para Repouso ou Alimentação]])-2,0)*($G273-$H273)</f>
        <v>267.73704981301341</v>
      </c>
      <c r="BE273" s="22">
        <f>VLOOKUP($A273,tabCustoUnit[],COLUMN(CUSTO_GLOBAL[[#Headers],[Submódulo 4.2]])-2,0)*($G273-$H273)</f>
        <v>267.73704981301341</v>
      </c>
      <c r="BF273" s="22">
        <f>VLOOKUP($A273,tabCustoUnit[],COLUMN(CUSTO_GLOBAL[[#Headers],[Suspensão Temporária do Contrato de Trabalho]])-2,0)*($G273-$H273)</f>
        <v>0</v>
      </c>
      <c r="BG273" s="22">
        <f>VLOOKUP($A273,tabCustoUnit[],COLUMN(CUSTO_GLOBAL[[#Headers],[Submódulo 4.3]])-2,0)*($G273-$H273)</f>
        <v>0</v>
      </c>
      <c r="BH273" s="22">
        <f>VLOOKUP($A273,tabCustoUnit[],COLUMN(CUSTO_GLOBAL[[#Headers],[MÓDULO 4 – CUSTO DE REPOSIÇÃO DO PROFISSIONAL AUSENTE]])-2,0)*($G273-$H273)</f>
        <v>300.60348780815696</v>
      </c>
      <c r="BI273" s="22">
        <f>VLOOKUP($A273,tabCustoUnit[],COLUMN(CUSTO_GLOBAL[[#Headers],[Uniformes e EPIs]])-2,0)*($G273-$H273)</f>
        <v>56.642978962543395</v>
      </c>
      <c r="BJ273" s="22">
        <f>VLOOKUP($A273,tabCustoUnit[],COLUMN(CUSTO_GLOBAL[[#Headers],[Materiais de Consumo]])-2,0)*($G273-$H273)</f>
        <v>0</v>
      </c>
      <c r="BK273" s="22">
        <f>VLOOKUP($A273,tabCustoUnit[],COLUMN(CUSTO_GLOBAL[[#Headers],[Máquinas e Equipamentos (depreciação)]])-2,0)*($G273-$H273)</f>
        <v>0</v>
      </c>
      <c r="BL273" s="22">
        <f>VLOOKUP($A273,tabCustoUnit[],COLUMN(CUSTO_GLOBAL[[#Headers],[Produtos de Limpeza e Materiais de Higiene Pessoal]])-2,0)*($G273-$H273)</f>
        <v>0</v>
      </c>
      <c r="BM273" s="22">
        <f>VLOOKUP($A273,tabCustoUnit[],COLUMN(CUSTO_GLOBAL[[#Headers],[Outros (especificar)]])-2,0)*($G273-$H273)</f>
        <v>0</v>
      </c>
      <c r="BN273" s="22">
        <f>VLOOKUP($A273,tabCustoUnit[],COLUMN(CUSTO_GLOBAL[[#Headers],[MÓDULO 5 – INSUMOS DIVERSOS]])-2,0)*($G273-$H273)</f>
        <v>56.642978962543395</v>
      </c>
      <c r="BO273" s="22" t="e">
        <f ca="1">VLOOKUP($A273,tabCustoUnit[],COLUMN(CUSTO_GLOBAL[[#Headers],[TOTAL MÓDULOS 1+2+3+4+5]])-2,0)*($G273-$H273)</f>
        <v>#NAME?</v>
      </c>
      <c r="BP273" s="22" t="e">
        <f ca="1">VLOOKUP($A273,tabCustoUnit[],COLUMN(CUSTO_GLOBAL[[#Headers],[Custos Indiretos]])-2,0)*($G273-$H273)</f>
        <v>#NAME?</v>
      </c>
      <c r="BQ273" s="22" t="e">
        <f ca="1">VLOOKUP($A273,tabCustoUnit[],COLUMN(CUSTO_GLOBAL[[#Headers],[Lucro]])-2,0)*($G273-$H273)</f>
        <v>#NAME?</v>
      </c>
      <c r="BR273" s="26">
        <f>VLOOKUP($A273,tabCustoUnit[],COLUMN(CUSTO_GLOBAL[[#Headers],[COFINS]])-2,0)</f>
        <v>8.6609686609686695E-2</v>
      </c>
      <c r="BS273" s="26">
        <f>VLOOKUP($A273,tabCustoUnit[],COLUMN(CUSTO_GLOBAL[[#Headers],[PIS]])-2,0)</f>
        <v>1.880341880341882E-2</v>
      </c>
      <c r="BT273" s="28">
        <f>VLOOKUP($A273,tabCustoUnit[],COLUMN(CUSTO_GLOBAL[[#Headers],[ISS]])-2,0)</f>
        <v>0.03</v>
      </c>
      <c r="BU273" s="26">
        <f>VLOOKUP($A273,tabCustoUnit[],COLUMN(CUSTO_GLOBAL[[#Headers],[ISS (Conversão Alíquota s/ fatura)]])-2,0)</f>
        <v>3.4188034188034219E-2</v>
      </c>
      <c r="BV273" s="26">
        <f>VLOOKUP($A273,tabCustoUnit[],COLUMN(CUSTO_GLOBAL[[#Headers],[Resumo de Alíquotas (PIS+CONFINS+ISS)]])-2,0)</f>
        <v>0.1225</v>
      </c>
      <c r="BW273" s="138">
        <f>VLOOKUP($A273,tabCustoUnit[],COLUMN(CUSTO_GLOBAL[[#Headers],[PIS + COFINS + ISS (Total Conversão  Alíquota s/ Fatura)]])-2,0)</f>
        <v>0.13960113960113973</v>
      </c>
      <c r="BX273" s="22" t="e">
        <f ca="1">VLOOKUP($A273,tabCustoUnit[],COLUMN(CUSTO_GLOBAL[[#Headers],[Valor dos Tributos (ISS, PIS, CONFINS)]])-2,0)*($G273-$H273)</f>
        <v>#NAME?</v>
      </c>
      <c r="BY273" s="22" t="e">
        <f ca="1">VLOOKUP($A273,tabCustoUnit[],COLUMN(CUSTO_GLOBAL[[#Headers],[MÓDULO 6 – CUSTOS INDIRETOS, TRIBUTOS E LUCRO]])-2,0)*($G273-$H273)</f>
        <v>#NAME?</v>
      </c>
      <c r="BZ273" s="22" t="e">
        <f ca="1">VLOOKUP($A273,tabCustoUnit[],COLUMN(CUSTO_GLOBAL[[#Headers],[CUSTO TOTAL MENSAL]])-2,0)*($G273-$H273)</f>
        <v>#NAME?</v>
      </c>
      <c r="CA273" s="22" t="e">
        <f ca="1">CUSTO_GLOBAL[[#This Row],[CUSTO TOTAL MENSAL]]*12</f>
        <v>#NAME?</v>
      </c>
      <c r="CB273" s="24">
        <f>VLOOKUP($A273,tabCustoUnit[],COLUMN(CUSTO_GLOBAL[[#Headers],[ANO DA CCT]])-2,0)</f>
        <v>45658</v>
      </c>
      <c r="CC273" s="25" t="str">
        <f>VLOOKUP($A273,tabCustoUnit[],COLUMN(CUSTO_GLOBAL[[#Headers],[Nº DE PEDIDO DA CCT]])-2,0)</f>
        <v>-</v>
      </c>
      <c r="CD273" s="25" t="str">
        <f>VLOOKUP($A273,tabCustoUnit[],COLUMN(CUSTO_GLOBAL[[#Headers],[TERMO ADITIVO ALTERAÇÃO DA CCT]])-2,0)</f>
        <v>-</v>
      </c>
    </row>
    <row r="274" spans="1:82">
      <c r="A274" s="20" t="s">
        <v>1691</v>
      </c>
      <c r="B274" t="s">
        <v>1195</v>
      </c>
      <c r="C274" t="s">
        <v>314</v>
      </c>
      <c r="D274" t="s">
        <v>918</v>
      </c>
      <c r="E274" s="20" t="s">
        <v>1090</v>
      </c>
      <c r="F274" s="20" t="s">
        <v>120</v>
      </c>
      <c r="G274" s="20">
        <v>1</v>
      </c>
      <c r="H274" s="20">
        <v>0</v>
      </c>
      <c r="I274" s="21">
        <f>VLOOKUP($A274,tabCustoUnit[],COLUMN(CUSTO_GLOBAL[[#Headers],[Salário Base]])-2,0)*($G274-$H274)</f>
        <v>1963.4110000000001</v>
      </c>
      <c r="J274" s="21">
        <f>VLOOKUP($A274,tabCustoUnit[],COLUMN(CUSTO_GLOBAL[[#Headers],[Adicional Periculosidade]])-2,0)*($G274-$H274)</f>
        <v>0</v>
      </c>
      <c r="K274" s="21">
        <f>VLOOKUP($A274,tabCustoUnit[],COLUMN(CUSTO_GLOBAL[[#Headers],[Adicional Insalubridade]])-2,0)*($G274-$H274)</f>
        <v>0</v>
      </c>
      <c r="L274" s="21">
        <f>VLOOKUP($A274,tabCustoUnit[],COLUMN(CUSTO_GLOBAL[[#Headers],[Adicional Noturno]])-2,0)*($G274-$H274)</f>
        <v>0</v>
      </c>
      <c r="M274" s="21">
        <f>VLOOKUP($A274,tabCustoUnit[],COLUMN(CUSTO_GLOBAL[[#Headers],[Adicional Motorista II (Gratificação)]])-2,0)*($G274-$H274)</f>
        <v>0</v>
      </c>
      <c r="N274" s="21">
        <f>VLOOKUP($A274,tabCustoUnit[],COLUMN(CUSTO_GLOBAL[[#Headers],[Adicional de Sobreaviso]])-2,0)*($G274-$H274)</f>
        <v>0</v>
      </c>
      <c r="O274" s="21">
        <f>VLOOKUP($A274,tabCustoUnit[],COLUMN(CUSTO_GLOBAL[[#Headers],[Horas Extras TI]])-2,0)*($G274-$H274)</f>
        <v>0</v>
      </c>
      <c r="P274" s="21">
        <f>VLOOKUP($A274,tabCustoUnit[],COLUMN(CUSTO_GLOBAL[[#Headers],[Adicional de Acúmulo de função]])-2,0)*($G274-$H274)</f>
        <v>0</v>
      </c>
      <c r="Q274" s="21">
        <f>VLOOKUP($A274,tabCustoUnit[],COLUMN(CUSTO_GLOBAL[[#Headers],[MODULO 1 - REMUNERAÇÃO ]])-2,0)*($G274-$H274)</f>
        <v>1963.4110000000001</v>
      </c>
      <c r="R274" s="21">
        <f>VLOOKUP($A274,tabCustoUnit[],COLUMN(CUSTO_GLOBAL[[#Headers],[INSS]])-2,0)*($G274-$H274)</f>
        <v>392.68220000000002</v>
      </c>
      <c r="S274" s="21">
        <f>VLOOKUP($A274,tabCustoUnit[],COLUMN(CUSTO_GLOBAL[[#Headers],[SESI OU SESC]])-2,0)*($G274-$H274)</f>
        <v>29.451165</v>
      </c>
      <c r="T274" s="21">
        <f>VLOOKUP($A274,tabCustoUnit[],COLUMN(CUSTO_GLOBAL[[#Headers],[SENAI OU SENAC]])-2,0)*($G274-$H274)</f>
        <v>19.63411</v>
      </c>
      <c r="U274" s="21">
        <f>VLOOKUP($A274,tabCustoUnit[],COLUMN(CUSTO_GLOBAL[[#Headers],[INCRA]])-2,0)*($G274-$H274)</f>
        <v>3.926822</v>
      </c>
      <c r="V274" s="21">
        <f>VLOOKUP($A274,tabCustoUnit[],COLUMN(CUSTO_GLOBAL[[#Headers],[Salário Educação]])-2,0)*($G274-$H274)</f>
        <v>49.085275000000003</v>
      </c>
      <c r="W274" s="21">
        <f>VLOOKUP($A274,tabCustoUnit[],COLUMN(CUSTO_GLOBAL[[#Headers],[FGTS]])-2,0)*($G274-$H274)</f>
        <v>157.07288</v>
      </c>
      <c r="X274" s="21">
        <f>VLOOKUP($A274,tabCustoUnit[],COLUMN(CUSTO_GLOBAL[[#Headers],[RAT Ajustado]])-2,0)*($G274-$H274)</f>
        <v>78.536439999999999</v>
      </c>
      <c r="Y274" s="21">
        <f>VLOOKUP($A274,tabCustoUnit[],COLUMN(CUSTO_GLOBAL[[#Headers],[SEBRAE]])-2,0)*($G274-$H274)</f>
        <v>11.780466000000001</v>
      </c>
      <c r="Z274" s="21">
        <f>VLOOKUP($A274,tabCustoUnit[],COLUMN(CUSTO_GLOBAL[[#Headers],[Submódulo 2.1]])-2,0)*($G274-$H274)</f>
        <v>742.1693580000001</v>
      </c>
      <c r="AA274" s="21">
        <f>VLOOKUP($A274,tabCustoUnit[],COLUMN(CUSTO_GLOBAL[[#Headers],[13º salário (titular)]])-2,0)*($G274-$H274)</f>
        <v>163.61758333333333</v>
      </c>
      <c r="AB274" s="21">
        <f>VLOOKUP($A274,tabCustoUnit[],COLUMN(CUSTO_GLOBAL[[#Headers],[Férias e Adicional de Férias (titular)]])-2,0)*($G274-$H274)</f>
        <v>218.15677777777776</v>
      </c>
      <c r="AC274" s="21">
        <f>VLOOKUP($A274,tabCustoUnit[],COLUMN(CUSTO_GLOBAL[[#Headers],[Incidência do Submódulo 2.1 sobre 13º Salário, Férias e Adicional de Férias]])-2,0)*($G274-$H274)</f>
        <v>144.3107085</v>
      </c>
      <c r="AD274" s="21">
        <f>VLOOKUP($A274,tabCustoUnit[],COLUMN(CUSTO_GLOBAL[[#Headers],[Submódulo 2.2]])-2,0)*($G274-$H274)</f>
        <v>526.08506961111107</v>
      </c>
      <c r="AE274" s="22" t="e">
        <f ca="1">VLOOKUP($A274,tabCustoUnit[],COLUMN(CUSTO_GLOBAL[[#Headers],[Vale - Transporte (Descontada parcela do empregado)]])-2,0)*($G274-$H274)</f>
        <v>#NAME?</v>
      </c>
      <c r="AF274" s="22">
        <f>VLOOKUP($A274,tabCustoUnit[],COLUMN(CUSTO_GLOBAL[[#Headers],[Vale - Alimentação (Descontada parcela do empregado)]])-2,0)*($G274-$H274)</f>
        <v>582</v>
      </c>
      <c r="AG274" s="22">
        <f>VLOOKUP($A274,tabCustoUnit[],COLUMN(CUSTO_GLOBAL[[#Headers],[Cesta Básica]])-2,0)*($G274-$H274)</f>
        <v>0</v>
      </c>
      <c r="AH274" s="22">
        <f>VLOOKUP($A274,tabCustoUnit[],COLUMN(CUSTO_GLOBAL[[#Headers],[PAF]])-2,0)*($G274-$H274)</f>
        <v>0</v>
      </c>
      <c r="AI274" s="22">
        <f>VLOOKUP($A274,tabCustoUnit[],COLUMN(CUSTO_GLOBAL[[#Headers],[PQM]])-2,0)*($G274-$H274)</f>
        <v>15.07</v>
      </c>
      <c r="AJ274" s="22">
        <v>0</v>
      </c>
      <c r="AK274" s="22">
        <f>VLOOKUP($A274,tabCustoUnit[],COLUMN(CUSTO_GLOBAL[[#Headers],[Seguro de Vida]])-2,0)*($G274-$H274)</f>
        <v>3.36</v>
      </c>
      <c r="AL274" s="22">
        <f>VLOOKUP($A274,tabCustoUnit[],COLUMN(CUSTO_GLOBAL[[#Headers],[Despesas de Viagem]])-2,0)*($G274-$H274)</f>
        <v>0</v>
      </c>
      <c r="AM274" s="22" t="e">
        <f ca="1">VLOOKUP($A274,tabCustoUnit[],COLUMN(CUSTO_GLOBAL[[#Headers],[Submódulo 2.3]])-2,0)*($G274-$H274)</f>
        <v>#NAME?</v>
      </c>
      <c r="AN274" s="22" t="e">
        <f ca="1">VLOOKUP($A274,tabCustoUnit[],COLUMN(CUSTO_GLOBAL[[#Headers],[MÓDULO 2 - Total Encargos e Benefícios mensais e diários]])-2,0)*($G274-$H274)</f>
        <v>#NAME?</v>
      </c>
      <c r="AO274" s="22">
        <f>VLOOKUP($A274,tabCustoUnit[],COLUMN(CUSTO_GLOBAL[[#Headers],[Aviso Prévio Indenizado (API) e Reflexo do Aviso Prévio Indenizado]])-2,0)*($G274-$H274)</f>
        <v>13.766980408757716</v>
      </c>
      <c r="AP274" s="22">
        <f>VLOOKUP($A274,tabCustoUnit[],COLUMN(CUSTO_GLOBAL[[#Headers],[Incidência do FGTS sobre API e Reflexo do API]])-2,0)*($G274-$H274)</f>
        <v>1.1013584327006174</v>
      </c>
      <c r="AQ274" s="22">
        <f>VLOOKUP($A274,tabCustoUnit[],COLUMN(CUSTO_GLOBAL[[#Headers],[Multa Rescisória do FGTS sobre o Aviso Prévio Indenizado]])-2,0)*($G274-$H274)</f>
        <v>0.44054337308024699</v>
      </c>
      <c r="AR274" s="22">
        <f>VLOOKUP($A274,tabCustoUnit[],COLUMN(CUSTO_GLOBAL[[#Headers],[Aviso Prévio Trabalhado - APT]])-2,0)*($G274-$H274)</f>
        <v>6.8719385000000015</v>
      </c>
      <c r="AS274" s="22">
        <f>VLOOKUP($A274,tabCustoUnit[],COLUMN(CUSTO_GLOBAL[[#Headers],[Incidência dos encargos do submódulo 2.1 sobre Aviso Prévio Trabalhado]])-2,0)*($G274-$H274)</f>
        <v>2.5975927530000007</v>
      </c>
      <c r="AT274" s="22">
        <f>VLOOKUP($A274,tabCustoUnit[],COLUMN(CUSTO_GLOBAL[[#Headers],[Multa Rescisória do FGTS]])-2,0)*($G274-$H274)</f>
        <v>60.03674524444444</v>
      </c>
      <c r="AU274" s="22">
        <f>VLOOKUP($A274,tabCustoUnit[],COLUMN(CUSTO_GLOBAL[[#Headers],[Indenização Adicional (Art. 9º da Lei nº 7.238/84)]])-2,0)*($G274-$H274)</f>
        <v>1.6361758333333334</v>
      </c>
      <c r="AV274" s="22">
        <f>VLOOKUP($A274,tabCustoUnit[],COLUMN(CUSTO_GLOBAL[[#Headers],[MÓDULO 3 – PROVISÃO PARA RESCISÃO]])-2,0)*($G274-$H274)</f>
        <v>86.451334545316371</v>
      </c>
      <c r="AW274" s="22">
        <f>VLOOKUP($A274,tabCustoUnit[],COLUMN(CUSTO_GLOBAL[[#Headers],[Ausência por Doença]])-2,0)*($G274-$H274)</f>
        <v>16.579915111111109</v>
      </c>
      <c r="AX274" s="22">
        <f>VLOOKUP($A274,tabCustoUnit[],COLUMN(CUSTO_GLOBAL[[#Headers],[Ausências Legais]])-2,0)*($G274-$H274)</f>
        <v>3.9813611944444443</v>
      </c>
      <c r="AY274" s="22">
        <f>VLOOKUP($A274,tabCustoUnit[],COLUMN(CUSTO_GLOBAL[[#Headers],[Licença Paternidade]])-2,0)*($G274-$H274)</f>
        <v>0.33541604583333334</v>
      </c>
      <c r="AZ274" s="22">
        <f>VLOOKUP($A274,tabCustoUnit[],COLUMN(CUSTO_GLOBAL[[#Headers],[Ausência por Acidente de Trabalho]])-2,0)*($G274-$H274)</f>
        <v>0.40904395833333335</v>
      </c>
      <c r="BA274" s="22">
        <f>VLOOKUP($A274,tabCustoUnit[],COLUMN(CUSTO_GLOBAL[[#Headers],[Férias, Adicional de Férias e 13º  com empregada em gozo de Licença Maternidade]])-2,0)*($G274-$H274)</f>
        <v>2.5451624074074073</v>
      </c>
      <c r="BB274" s="22">
        <f>VLOOKUP($A274,tabCustoUnit[],COLUMN(CUSTO_GLOBAL[[#Headers],[Incidência do Submódulo 2.1 sobre Ausências Legais]])-2,0)*($G274-$H274)</f>
        <v>9.0156397150750021</v>
      </c>
      <c r="BC274" s="22">
        <f>VLOOKUP($A274,tabCustoUnit[],COLUMN(CUSTO_GLOBAL[[#Headers],[Submódulo 4.1]])-2,0)*($G274-$H274)</f>
        <v>32.866538432204628</v>
      </c>
      <c r="BD274" s="22">
        <f>VLOOKUP($A274,tabCustoUnit[],COLUMN(CUSTO_GLOBAL[[#Headers],[Intervalo para Repouso ou Alimentação]])-2,0)*($G274-$H274)</f>
        <v>267.73786489195959</v>
      </c>
      <c r="BE274" s="22">
        <f>VLOOKUP($A274,tabCustoUnit[],COLUMN(CUSTO_GLOBAL[[#Headers],[Submódulo 4.2]])-2,0)*($G274-$H274)</f>
        <v>267.73786489195959</v>
      </c>
      <c r="BF274" s="22">
        <f>VLOOKUP($A274,tabCustoUnit[],COLUMN(CUSTO_GLOBAL[[#Headers],[Suspensão Temporária do Contrato de Trabalho]])-2,0)*($G274-$H274)</f>
        <v>0</v>
      </c>
      <c r="BG274" s="22">
        <f>VLOOKUP($A274,tabCustoUnit[],COLUMN(CUSTO_GLOBAL[[#Headers],[Submódulo 4.3]])-2,0)*($G274-$H274)</f>
        <v>0</v>
      </c>
      <c r="BH274" s="22">
        <f>VLOOKUP($A274,tabCustoUnit[],COLUMN(CUSTO_GLOBAL[[#Headers],[MÓDULO 4 – CUSTO DE REPOSIÇÃO DO PROFISSIONAL AUSENTE]])-2,0)*($G274-$H274)</f>
        <v>300.6044033241642</v>
      </c>
      <c r="BI274" s="22">
        <f>VLOOKUP($A274,tabCustoUnit[],COLUMN(CUSTO_GLOBAL[[#Headers],[Uniformes e EPIs]])-2,0)*($G274-$H274)</f>
        <v>56.642978962543395</v>
      </c>
      <c r="BJ274" s="22">
        <f>VLOOKUP($A274,tabCustoUnit[],COLUMN(CUSTO_GLOBAL[[#Headers],[Materiais de Consumo]])-2,0)*($G274-$H274)</f>
        <v>0</v>
      </c>
      <c r="BK274" s="22">
        <f>VLOOKUP($A274,tabCustoUnit[],COLUMN(CUSTO_GLOBAL[[#Headers],[Máquinas e Equipamentos (depreciação)]])-2,0)*($G274-$H274)</f>
        <v>0</v>
      </c>
      <c r="BL274" s="22">
        <f>VLOOKUP($A274,tabCustoUnit[],COLUMN(CUSTO_GLOBAL[[#Headers],[Produtos de Limpeza e Materiais de Higiene Pessoal]])-2,0)*($G274-$H274)</f>
        <v>0</v>
      </c>
      <c r="BM274" s="22">
        <f>VLOOKUP($A274,tabCustoUnit[],COLUMN(CUSTO_GLOBAL[[#Headers],[Outros (especificar)]])-2,0)*($G274-$H274)</f>
        <v>0</v>
      </c>
      <c r="BN274" s="22">
        <f>VLOOKUP($A274,tabCustoUnit[],COLUMN(CUSTO_GLOBAL[[#Headers],[MÓDULO 5 – INSUMOS DIVERSOS]])-2,0)*($G274-$H274)</f>
        <v>56.642978962543395</v>
      </c>
      <c r="BO274" s="22" t="e">
        <f ca="1">VLOOKUP($A274,tabCustoUnit[],COLUMN(CUSTO_GLOBAL[[#Headers],[TOTAL MÓDULOS 1+2+3+4+5]])-2,0)*($G274-$H274)</f>
        <v>#NAME?</v>
      </c>
      <c r="BP274" s="22" t="e">
        <f ca="1">VLOOKUP($A274,tabCustoUnit[],COLUMN(CUSTO_GLOBAL[[#Headers],[Custos Indiretos]])-2,0)*($G274-$H274)</f>
        <v>#NAME?</v>
      </c>
      <c r="BQ274" s="22" t="e">
        <f ca="1">VLOOKUP($A274,tabCustoUnit[],COLUMN(CUSTO_GLOBAL[[#Headers],[Lucro]])-2,0)*($G274-$H274)</f>
        <v>#NAME?</v>
      </c>
      <c r="BR274" s="26">
        <f>VLOOKUP($A274,tabCustoUnit[],COLUMN(CUSTO_GLOBAL[[#Headers],[COFINS]])-2,0)</f>
        <v>8.6609686609686695E-2</v>
      </c>
      <c r="BS274" s="26">
        <f>VLOOKUP($A274,tabCustoUnit[],COLUMN(CUSTO_GLOBAL[[#Headers],[PIS]])-2,0)</f>
        <v>1.880341880341882E-2</v>
      </c>
      <c r="BT274" s="28">
        <f>VLOOKUP($A274,tabCustoUnit[],COLUMN(CUSTO_GLOBAL[[#Headers],[ISS]])-2,0)</f>
        <v>0.03</v>
      </c>
      <c r="BU274" s="26">
        <f>VLOOKUP($A274,tabCustoUnit[],COLUMN(CUSTO_GLOBAL[[#Headers],[ISS (Conversão Alíquota s/ fatura)]])-2,0)</f>
        <v>3.4188034188034219E-2</v>
      </c>
      <c r="BV274" s="26">
        <f>VLOOKUP($A274,tabCustoUnit[],COLUMN(CUSTO_GLOBAL[[#Headers],[Resumo de Alíquotas (PIS+CONFINS+ISS)]])-2,0)</f>
        <v>0.1225</v>
      </c>
      <c r="BW274" s="138">
        <f>VLOOKUP($A274,tabCustoUnit[],COLUMN(CUSTO_GLOBAL[[#Headers],[PIS + COFINS + ISS (Total Conversão  Alíquota s/ Fatura)]])-2,0)</f>
        <v>0.13960113960113973</v>
      </c>
      <c r="BX274" s="22" t="e">
        <f ca="1">VLOOKUP($A274,tabCustoUnit[],COLUMN(CUSTO_GLOBAL[[#Headers],[Valor dos Tributos (ISS, PIS, CONFINS)]])-2,0)*($G274-$H274)</f>
        <v>#NAME?</v>
      </c>
      <c r="BY274" s="22" t="e">
        <f ca="1">VLOOKUP($A274,tabCustoUnit[],COLUMN(CUSTO_GLOBAL[[#Headers],[MÓDULO 6 – CUSTOS INDIRETOS, TRIBUTOS E LUCRO]])-2,0)*($G274-$H274)</f>
        <v>#NAME?</v>
      </c>
      <c r="BZ274" s="22" t="e">
        <f ca="1">VLOOKUP($A274,tabCustoUnit[],COLUMN(CUSTO_GLOBAL[[#Headers],[CUSTO TOTAL MENSAL]])-2,0)*($G274-$H274)</f>
        <v>#NAME?</v>
      </c>
      <c r="CA274" s="22" t="e">
        <f ca="1">CUSTO_GLOBAL[[#This Row],[CUSTO TOTAL MENSAL]]*12</f>
        <v>#NAME?</v>
      </c>
      <c r="CB274" s="24">
        <f>VLOOKUP($A274,tabCustoUnit[],COLUMN(CUSTO_GLOBAL[[#Headers],[ANO DA CCT]])-2,0)</f>
        <v>45658</v>
      </c>
      <c r="CC274" s="25" t="str">
        <f>VLOOKUP($A274,tabCustoUnit[],COLUMN(CUSTO_GLOBAL[[#Headers],[Nº DE PEDIDO DA CCT]])-2,0)</f>
        <v>-</v>
      </c>
      <c r="CD274" s="25" t="str">
        <f>VLOOKUP($A274,tabCustoUnit[],COLUMN(CUSTO_GLOBAL[[#Headers],[TERMO ADITIVO ALTERAÇÃO DA CCT]])-2,0)</f>
        <v>-</v>
      </c>
    </row>
    <row r="275" spans="1:82">
      <c r="A275" s="20" t="s">
        <v>1507</v>
      </c>
      <c r="B275" t="s">
        <v>1196</v>
      </c>
      <c r="C275" t="s">
        <v>314</v>
      </c>
      <c r="D275" t="s">
        <v>1058</v>
      </c>
      <c r="E275" s="20" t="s">
        <v>1090</v>
      </c>
      <c r="F275" s="20" t="s">
        <v>120</v>
      </c>
      <c r="G275" s="20">
        <v>1</v>
      </c>
      <c r="H275" s="20">
        <v>0</v>
      </c>
      <c r="I275" s="21">
        <f>VLOOKUP($A275,tabCustoUnit[],COLUMN(CUSTO_GLOBAL[[#Headers],[Salário Base]])-2,0)*($G275-$H275)</f>
        <v>2134.8035</v>
      </c>
      <c r="J275" s="21">
        <f>VLOOKUP($A275,tabCustoUnit[],COLUMN(CUSTO_GLOBAL[[#Headers],[Adicional Periculosidade]])-2,0)*($G275-$H275)</f>
        <v>0</v>
      </c>
      <c r="K275" s="21">
        <f>VLOOKUP($A275,tabCustoUnit[],COLUMN(CUSTO_GLOBAL[[#Headers],[Adicional Insalubridade]])-2,0)*($G275-$H275)</f>
        <v>0</v>
      </c>
      <c r="L275" s="21">
        <f>VLOOKUP($A275,tabCustoUnit[],COLUMN(CUSTO_GLOBAL[[#Headers],[Adicional Noturno]])-2,0)*($G275-$H275)</f>
        <v>0</v>
      </c>
      <c r="M275" s="21">
        <f>VLOOKUP($A275,tabCustoUnit[],COLUMN(CUSTO_GLOBAL[[#Headers],[Adicional Motorista II (Gratificação)]])-2,0)*($G275-$H275)</f>
        <v>0</v>
      </c>
      <c r="N275" s="21">
        <f>VLOOKUP($A275,tabCustoUnit[],COLUMN(CUSTO_GLOBAL[[#Headers],[Adicional de Sobreaviso]])-2,0)*($G275-$H275)</f>
        <v>0</v>
      </c>
      <c r="O275" s="21">
        <f>VLOOKUP($A275,tabCustoUnit[],COLUMN(CUSTO_GLOBAL[[#Headers],[Horas Extras TI]])-2,0)*($G275-$H275)</f>
        <v>0</v>
      </c>
      <c r="P275" s="21">
        <f>VLOOKUP($A275,tabCustoUnit[],COLUMN(CUSTO_GLOBAL[[#Headers],[Adicional de Acúmulo de função]])-2,0)*($G275-$H275)</f>
        <v>0</v>
      </c>
      <c r="Q275" s="21">
        <f>VLOOKUP($A275,tabCustoUnit[],COLUMN(CUSTO_GLOBAL[[#Headers],[MODULO 1 - REMUNERAÇÃO ]])-2,0)*($G275-$H275)</f>
        <v>2134.8035</v>
      </c>
      <c r="R275" s="21">
        <f>VLOOKUP($A275,tabCustoUnit[],COLUMN(CUSTO_GLOBAL[[#Headers],[INSS]])-2,0)*($G275-$H275)</f>
        <v>426.96070000000003</v>
      </c>
      <c r="S275" s="21">
        <f>VLOOKUP($A275,tabCustoUnit[],COLUMN(CUSTO_GLOBAL[[#Headers],[SESI OU SESC]])-2,0)*($G275-$H275)</f>
        <v>32.022052500000001</v>
      </c>
      <c r="T275" s="21">
        <f>VLOOKUP($A275,tabCustoUnit[],COLUMN(CUSTO_GLOBAL[[#Headers],[SENAI OU SENAC]])-2,0)*($G275-$H275)</f>
        <v>21.348034999999999</v>
      </c>
      <c r="U275" s="21">
        <f>VLOOKUP($A275,tabCustoUnit[],COLUMN(CUSTO_GLOBAL[[#Headers],[INCRA]])-2,0)*($G275-$H275)</f>
        <v>4.2696069999999997</v>
      </c>
      <c r="V275" s="21">
        <f>VLOOKUP($A275,tabCustoUnit[],COLUMN(CUSTO_GLOBAL[[#Headers],[Salário Educação]])-2,0)*($G275-$H275)</f>
        <v>53.370087500000004</v>
      </c>
      <c r="W275" s="21">
        <f>VLOOKUP($A275,tabCustoUnit[],COLUMN(CUSTO_GLOBAL[[#Headers],[FGTS]])-2,0)*($G275-$H275)</f>
        <v>170.78428</v>
      </c>
      <c r="X275" s="21">
        <f>VLOOKUP($A275,tabCustoUnit[],COLUMN(CUSTO_GLOBAL[[#Headers],[RAT Ajustado]])-2,0)*($G275-$H275)</f>
        <v>85.392139999999998</v>
      </c>
      <c r="Y275" s="21">
        <f>VLOOKUP($A275,tabCustoUnit[],COLUMN(CUSTO_GLOBAL[[#Headers],[SEBRAE]])-2,0)*($G275-$H275)</f>
        <v>12.808821</v>
      </c>
      <c r="Z275" s="21">
        <f>VLOOKUP($A275,tabCustoUnit[],COLUMN(CUSTO_GLOBAL[[#Headers],[Submódulo 2.1]])-2,0)*($G275-$H275)</f>
        <v>806.95572300000003</v>
      </c>
      <c r="AA275" s="21">
        <f>VLOOKUP($A275,tabCustoUnit[],COLUMN(CUSTO_GLOBAL[[#Headers],[13º salário (titular)]])-2,0)*($G275-$H275)</f>
        <v>177.90029166666665</v>
      </c>
      <c r="AB275" s="21">
        <f>VLOOKUP($A275,tabCustoUnit[],COLUMN(CUSTO_GLOBAL[[#Headers],[Férias e Adicional de Férias (titular)]])-2,0)*($G275-$H275)</f>
        <v>237.20038888888888</v>
      </c>
      <c r="AC275" s="21">
        <f>VLOOKUP($A275,tabCustoUnit[],COLUMN(CUSTO_GLOBAL[[#Headers],[Incidência do Submódulo 2.1 sobre 13º Salário, Férias e Adicional de Férias]])-2,0)*($G275-$H275)</f>
        <v>156.90805724999998</v>
      </c>
      <c r="AD275" s="21">
        <f>VLOOKUP($A275,tabCustoUnit[],COLUMN(CUSTO_GLOBAL[[#Headers],[Submódulo 2.2]])-2,0)*($G275-$H275)</f>
        <v>572.00873780555548</v>
      </c>
      <c r="AE275" s="22" t="e">
        <f ca="1">VLOOKUP($A275,tabCustoUnit[],COLUMN(CUSTO_GLOBAL[[#Headers],[Vale - Transporte (Descontada parcela do empregado)]])-2,0)*($G275-$H275)</f>
        <v>#NAME?</v>
      </c>
      <c r="AF275" s="22">
        <f>VLOOKUP($A275,tabCustoUnit[],COLUMN(CUSTO_GLOBAL[[#Headers],[Vale - Alimentação (Descontada parcela do empregado)]])-2,0)*($G275-$H275)</f>
        <v>582</v>
      </c>
      <c r="AG275" s="22">
        <f>VLOOKUP($A275,tabCustoUnit[],COLUMN(CUSTO_GLOBAL[[#Headers],[Cesta Básica]])-2,0)*($G275-$H275)</f>
        <v>0</v>
      </c>
      <c r="AH275" s="22">
        <f>VLOOKUP($A275,tabCustoUnit[],COLUMN(CUSTO_GLOBAL[[#Headers],[PAF]])-2,0)*($G275-$H275)</f>
        <v>77.25</v>
      </c>
      <c r="AI275" s="22">
        <f>VLOOKUP($A275,tabCustoUnit[],COLUMN(CUSTO_GLOBAL[[#Headers],[PQM]])-2,0)*($G275-$H275)</f>
        <v>0</v>
      </c>
      <c r="AJ275" s="22">
        <v>0</v>
      </c>
      <c r="AK275" s="22">
        <f>VLOOKUP($A275,tabCustoUnit[],COLUMN(CUSTO_GLOBAL[[#Headers],[Seguro de Vida]])-2,0)*($G275-$H275)</f>
        <v>3.36</v>
      </c>
      <c r="AL275" s="22">
        <f>VLOOKUP($A275,tabCustoUnit[],COLUMN(CUSTO_GLOBAL[[#Headers],[Despesas de Viagem]])-2,0)*($G275-$H275)</f>
        <v>0</v>
      </c>
      <c r="AM275" s="22" t="e">
        <f ca="1">VLOOKUP($A275,tabCustoUnit[],COLUMN(CUSTO_GLOBAL[[#Headers],[Submódulo 2.3]])-2,0)*($G275-$H275)</f>
        <v>#NAME?</v>
      </c>
      <c r="AN275" s="22" t="e">
        <f ca="1">VLOOKUP($A275,tabCustoUnit[],COLUMN(CUSTO_GLOBAL[[#Headers],[MÓDULO 2 - Total Encargos e Benefícios mensais e diários]])-2,0)*($G275-$H275)</f>
        <v>#NAME?</v>
      </c>
      <c r="AO275" s="22">
        <f>VLOOKUP($A275,tabCustoUnit[],COLUMN(CUSTO_GLOBAL[[#Headers],[Aviso Prévio Indenizado (API) e Reflexo do Aviso Prévio Indenizado]])-2,0)*($G275-$H275)</f>
        <v>14.968744680073302</v>
      </c>
      <c r="AP275" s="22">
        <f>VLOOKUP($A275,tabCustoUnit[],COLUMN(CUSTO_GLOBAL[[#Headers],[Incidência do FGTS sobre API e Reflexo do API]])-2,0)*($G275-$H275)</f>
        <v>1.1974995744058643</v>
      </c>
      <c r="AQ275" s="22">
        <f>VLOOKUP($A275,tabCustoUnit[],COLUMN(CUSTO_GLOBAL[[#Headers],[Multa Rescisória do FGTS sobre o Aviso Prévio Indenizado]])-2,0)*($G275-$H275)</f>
        <v>0.47899982976234579</v>
      </c>
      <c r="AR275" s="22">
        <f>VLOOKUP($A275,tabCustoUnit[],COLUMN(CUSTO_GLOBAL[[#Headers],[Aviso Prévio Trabalhado - APT]])-2,0)*($G275-$H275)</f>
        <v>7.471812250000001</v>
      </c>
      <c r="AS275" s="22">
        <f>VLOOKUP($A275,tabCustoUnit[],COLUMN(CUSTO_GLOBAL[[#Headers],[Incidência dos encargos do submódulo 2.1 sobre Aviso Prévio Trabalhado]])-2,0)*($G275-$H275)</f>
        <v>2.8243450305000009</v>
      </c>
      <c r="AT275" s="22">
        <f>VLOOKUP($A275,tabCustoUnit[],COLUMN(CUSTO_GLOBAL[[#Headers],[Multa Rescisória do FGTS]])-2,0)*($G275-$H275)</f>
        <v>65.277547022222208</v>
      </c>
      <c r="AU275" s="22">
        <f>VLOOKUP($A275,tabCustoUnit[],COLUMN(CUSTO_GLOBAL[[#Headers],[Indenização Adicional (Art. 9º da Lei nº 7.238/84)]])-2,0)*($G275-$H275)</f>
        <v>1.7790029166666668</v>
      </c>
      <c r="AV275" s="22">
        <f>VLOOKUP($A275,tabCustoUnit[],COLUMN(CUSTO_GLOBAL[[#Headers],[MÓDULO 3 – PROVISÃO PARA RESCISÃO]])-2,0)*($G275-$H275)</f>
        <v>93.997951303630387</v>
      </c>
      <c r="AW275" s="22">
        <f>VLOOKUP($A275,tabCustoUnit[],COLUMN(CUSTO_GLOBAL[[#Headers],[Ausência por Doença]])-2,0)*($G275-$H275)</f>
        <v>18.027229555555554</v>
      </c>
      <c r="AX275" s="22">
        <f>VLOOKUP($A275,tabCustoUnit[],COLUMN(CUSTO_GLOBAL[[#Headers],[Ausências Legais]])-2,0)*($G275-$H275)</f>
        <v>4.3289070972222223</v>
      </c>
      <c r="AY275" s="22">
        <f>VLOOKUP($A275,tabCustoUnit[],COLUMN(CUSTO_GLOBAL[[#Headers],[Licença Paternidade]])-2,0)*($G275-$H275)</f>
        <v>0.36469559791666667</v>
      </c>
      <c r="AZ275" s="22">
        <f>VLOOKUP($A275,tabCustoUnit[],COLUMN(CUSTO_GLOBAL[[#Headers],[Ausência por Acidente de Trabalho]])-2,0)*($G275-$H275)</f>
        <v>0.44475072916666669</v>
      </c>
      <c r="BA275" s="22">
        <f>VLOOKUP($A275,tabCustoUnit[],COLUMN(CUSTO_GLOBAL[[#Headers],[Férias, Adicional de Férias e 13º  com empregada em gozo de Licença Maternidade]])-2,0)*($G275-$H275)</f>
        <v>2.7673378703703704</v>
      </c>
      <c r="BB275" s="22">
        <f>VLOOKUP($A275,tabCustoUnit[],COLUMN(CUSTO_GLOBAL[[#Headers],[Incidência do Submódulo 2.1 sobre Ausências Legais]])-2,0)*($G275-$H275)</f>
        <v>9.802644081387502</v>
      </c>
      <c r="BC275" s="22">
        <f>VLOOKUP($A275,tabCustoUnit[],COLUMN(CUSTO_GLOBAL[[#Headers],[Submódulo 4.1]])-2,0)*($G275-$H275)</f>
        <v>35.735564931618981</v>
      </c>
      <c r="BD275" s="22">
        <f>VLOOKUP($A275,tabCustoUnit[],COLUMN(CUSTO_GLOBAL[[#Headers],[Intervalo para Repouso ou Alimentação]])-2,0)*($G275-$H275)</f>
        <v>291.10956680899955</v>
      </c>
      <c r="BE275" s="22">
        <f>VLOOKUP($A275,tabCustoUnit[],COLUMN(CUSTO_GLOBAL[[#Headers],[Submódulo 4.2]])-2,0)*($G275-$H275)</f>
        <v>291.10956680899955</v>
      </c>
      <c r="BF275" s="22">
        <f>VLOOKUP($A275,tabCustoUnit[],COLUMN(CUSTO_GLOBAL[[#Headers],[Suspensão Temporária do Contrato de Trabalho]])-2,0)*($G275-$H275)</f>
        <v>0</v>
      </c>
      <c r="BG275" s="22">
        <f>VLOOKUP($A275,tabCustoUnit[],COLUMN(CUSTO_GLOBAL[[#Headers],[Submódulo 4.3]])-2,0)*($G275-$H275)</f>
        <v>0</v>
      </c>
      <c r="BH275" s="22">
        <f>VLOOKUP($A275,tabCustoUnit[],COLUMN(CUSTO_GLOBAL[[#Headers],[MÓDULO 4 – CUSTO DE REPOSIÇÃO DO PROFISSIONAL AUSENTE]])-2,0)*($G275-$H275)</f>
        <v>326.84513174061851</v>
      </c>
      <c r="BI275" s="22">
        <f>VLOOKUP($A275,tabCustoUnit[],COLUMN(CUSTO_GLOBAL[[#Headers],[Uniformes e EPIs]])-2,0)*($G275-$H275)</f>
        <v>56.642978962543395</v>
      </c>
      <c r="BJ275" s="22">
        <f>VLOOKUP($A275,tabCustoUnit[],COLUMN(CUSTO_GLOBAL[[#Headers],[Materiais de Consumo]])-2,0)*($G275-$H275)</f>
        <v>0</v>
      </c>
      <c r="BK275" s="22">
        <f>VLOOKUP($A275,tabCustoUnit[],COLUMN(CUSTO_GLOBAL[[#Headers],[Máquinas e Equipamentos (depreciação)]])-2,0)*($G275-$H275)</f>
        <v>0</v>
      </c>
      <c r="BL275" s="22">
        <f>VLOOKUP($A275,tabCustoUnit[],COLUMN(CUSTO_GLOBAL[[#Headers],[Produtos de Limpeza e Materiais de Higiene Pessoal]])-2,0)*($G275-$H275)</f>
        <v>0</v>
      </c>
      <c r="BM275" s="22">
        <f>VLOOKUP($A275,tabCustoUnit[],COLUMN(CUSTO_GLOBAL[[#Headers],[Outros (especificar)]])-2,0)*($G275-$H275)</f>
        <v>0</v>
      </c>
      <c r="BN275" s="22">
        <f>VLOOKUP($A275,tabCustoUnit[],COLUMN(CUSTO_GLOBAL[[#Headers],[MÓDULO 5 – INSUMOS DIVERSOS]])-2,0)*($G275-$H275)</f>
        <v>56.642978962543395</v>
      </c>
      <c r="BO275" s="22" t="e">
        <f ca="1">VLOOKUP($A275,tabCustoUnit[],COLUMN(CUSTO_GLOBAL[[#Headers],[TOTAL MÓDULOS 1+2+3+4+5]])-2,0)*($G275-$H275)</f>
        <v>#NAME?</v>
      </c>
      <c r="BP275" s="22" t="e">
        <f ca="1">VLOOKUP($A275,tabCustoUnit[],COLUMN(CUSTO_GLOBAL[[#Headers],[Custos Indiretos]])-2,0)*($G275-$H275)</f>
        <v>#NAME?</v>
      </c>
      <c r="BQ275" s="22" t="e">
        <f ca="1">VLOOKUP($A275,tabCustoUnit[],COLUMN(CUSTO_GLOBAL[[#Headers],[Lucro]])-2,0)*($G275-$H275)</f>
        <v>#NAME?</v>
      </c>
      <c r="BR275" s="26">
        <f>VLOOKUP($A275,tabCustoUnit[],COLUMN(CUSTO_GLOBAL[[#Headers],[COFINS]])-2,0)</f>
        <v>8.5633802816901458E-2</v>
      </c>
      <c r="BS275" s="26">
        <f>VLOOKUP($A275,tabCustoUnit[],COLUMN(CUSTO_GLOBAL[[#Headers],[PIS]])-2,0)</f>
        <v>1.8591549295774657E-2</v>
      </c>
      <c r="BT275" s="28">
        <f>VLOOKUP($A275,tabCustoUnit[],COLUMN(CUSTO_GLOBAL[[#Headers],[ISS]])-2,0)</f>
        <v>0.02</v>
      </c>
      <c r="BU275" s="26">
        <f>VLOOKUP($A275,tabCustoUnit[],COLUMN(CUSTO_GLOBAL[[#Headers],[ISS (Conversão Alíquota s/ fatura)]])-2,0)</f>
        <v>2.2535211267605645E-2</v>
      </c>
      <c r="BV275" s="26">
        <f>VLOOKUP($A275,tabCustoUnit[],COLUMN(CUSTO_GLOBAL[[#Headers],[Resumo de Alíquotas (PIS+CONFINS+ISS)]])-2,0)</f>
        <v>0.1125</v>
      </c>
      <c r="BW275" s="138">
        <f>VLOOKUP($A275,tabCustoUnit[],COLUMN(CUSTO_GLOBAL[[#Headers],[PIS + COFINS + ISS (Total Conversão  Alíquota s/ Fatura)]])-2,0)</f>
        <v>0.12676056338028174</v>
      </c>
      <c r="BX275" s="22" t="e">
        <f ca="1">VLOOKUP($A275,tabCustoUnit[],COLUMN(CUSTO_GLOBAL[[#Headers],[Valor dos Tributos (ISS, PIS, CONFINS)]])-2,0)*($G275-$H275)</f>
        <v>#NAME?</v>
      </c>
      <c r="BY275" s="22" t="e">
        <f ca="1">VLOOKUP($A275,tabCustoUnit[],COLUMN(CUSTO_GLOBAL[[#Headers],[MÓDULO 6 – CUSTOS INDIRETOS, TRIBUTOS E LUCRO]])-2,0)*($G275-$H275)</f>
        <v>#NAME?</v>
      </c>
      <c r="BZ275" s="22" t="e">
        <f ca="1">VLOOKUP($A275,tabCustoUnit[],COLUMN(CUSTO_GLOBAL[[#Headers],[CUSTO TOTAL MENSAL]])-2,0)*($G275-$H275)</f>
        <v>#NAME?</v>
      </c>
      <c r="CA275" s="22" t="e">
        <f ca="1">CUSTO_GLOBAL[[#This Row],[CUSTO TOTAL MENSAL]]*12</f>
        <v>#NAME?</v>
      </c>
      <c r="CB275" s="24">
        <f>VLOOKUP($A275,tabCustoUnit[],COLUMN(CUSTO_GLOBAL[[#Headers],[ANO DA CCT]])-2,0)</f>
        <v>45658</v>
      </c>
      <c r="CC275" s="25" t="str">
        <f>VLOOKUP($A275,tabCustoUnit[],COLUMN(CUSTO_GLOBAL[[#Headers],[Nº DE PEDIDO DA CCT]])-2,0)</f>
        <v>-</v>
      </c>
      <c r="CD275" s="25" t="str">
        <f>VLOOKUP($A275,tabCustoUnit[],COLUMN(CUSTO_GLOBAL[[#Headers],[TERMO ADITIVO ALTERAÇÃO DA CCT]])-2,0)</f>
        <v>-</v>
      </c>
    </row>
    <row r="276" spans="1:82">
      <c r="A276" s="20" t="s">
        <v>1692</v>
      </c>
      <c r="B276" t="s">
        <v>1196</v>
      </c>
      <c r="C276" t="s">
        <v>324</v>
      </c>
      <c r="D276" t="s">
        <v>1058</v>
      </c>
      <c r="E276" s="20" t="s">
        <v>1090</v>
      </c>
      <c r="F276" s="20" t="s">
        <v>120</v>
      </c>
      <c r="G276" s="20">
        <v>1</v>
      </c>
      <c r="H276" s="20">
        <v>0</v>
      </c>
      <c r="I276" s="21">
        <f>VLOOKUP($A276,tabCustoUnit[],COLUMN(CUSTO_GLOBAL[[#Headers],[Salário Base]])-2,0)*($G276-$H276)</f>
        <v>3397.1306</v>
      </c>
      <c r="J276" s="21">
        <f>VLOOKUP($A276,tabCustoUnit[],COLUMN(CUSTO_GLOBAL[[#Headers],[Adicional Periculosidade]])-2,0)*($G276-$H276)</f>
        <v>0</v>
      </c>
      <c r="K276" s="21">
        <f>VLOOKUP($A276,tabCustoUnit[],COLUMN(CUSTO_GLOBAL[[#Headers],[Adicional Insalubridade]])-2,0)*($G276-$H276)</f>
        <v>0</v>
      </c>
      <c r="L276" s="21">
        <f>VLOOKUP($A276,tabCustoUnit[],COLUMN(CUSTO_GLOBAL[[#Headers],[Adicional Noturno]])-2,0)*($G276-$H276)</f>
        <v>0</v>
      </c>
      <c r="M276" s="21">
        <f>VLOOKUP($A276,tabCustoUnit[],COLUMN(CUSTO_GLOBAL[[#Headers],[Adicional Motorista II (Gratificação)]])-2,0)*($G276-$H276)</f>
        <v>0</v>
      </c>
      <c r="N276" s="21">
        <f>VLOOKUP($A276,tabCustoUnit[],COLUMN(CUSTO_GLOBAL[[#Headers],[Adicional de Sobreaviso]])-2,0)*($G276-$H276)</f>
        <v>0</v>
      </c>
      <c r="O276" s="21">
        <f>VLOOKUP($A276,tabCustoUnit[],COLUMN(CUSTO_GLOBAL[[#Headers],[Horas Extras TI]])-2,0)*($G276-$H276)</f>
        <v>0</v>
      </c>
      <c r="P276" s="21">
        <f>VLOOKUP($A276,tabCustoUnit[],COLUMN(CUSTO_GLOBAL[[#Headers],[Adicional de Acúmulo de função]])-2,0)*($G276-$H276)</f>
        <v>0</v>
      </c>
      <c r="Q276" s="21">
        <f>VLOOKUP($A276,tabCustoUnit[],COLUMN(CUSTO_GLOBAL[[#Headers],[MODULO 1 - REMUNERAÇÃO ]])-2,0)*($G276-$H276)</f>
        <v>3397.1306</v>
      </c>
      <c r="R276" s="21">
        <f>VLOOKUP($A276,tabCustoUnit[],COLUMN(CUSTO_GLOBAL[[#Headers],[INSS]])-2,0)*($G276-$H276)</f>
        <v>679.42612000000008</v>
      </c>
      <c r="S276" s="21">
        <f>VLOOKUP($A276,tabCustoUnit[],COLUMN(CUSTO_GLOBAL[[#Headers],[SESI OU SESC]])-2,0)*($G276-$H276)</f>
        <v>50.956958999999998</v>
      </c>
      <c r="T276" s="21">
        <f>VLOOKUP($A276,tabCustoUnit[],COLUMN(CUSTO_GLOBAL[[#Headers],[SENAI OU SENAC]])-2,0)*($G276-$H276)</f>
        <v>33.971305999999998</v>
      </c>
      <c r="U276" s="21">
        <f>VLOOKUP($A276,tabCustoUnit[],COLUMN(CUSTO_GLOBAL[[#Headers],[INCRA]])-2,0)*($G276-$H276)</f>
        <v>6.7942612000000002</v>
      </c>
      <c r="V276" s="21">
        <f>VLOOKUP($A276,tabCustoUnit[],COLUMN(CUSTO_GLOBAL[[#Headers],[Salário Educação]])-2,0)*($G276-$H276)</f>
        <v>84.92826500000001</v>
      </c>
      <c r="W276" s="21">
        <f>VLOOKUP($A276,tabCustoUnit[],COLUMN(CUSTO_GLOBAL[[#Headers],[FGTS]])-2,0)*($G276-$H276)</f>
        <v>271.77044799999999</v>
      </c>
      <c r="X276" s="21">
        <f>VLOOKUP($A276,tabCustoUnit[],COLUMN(CUSTO_GLOBAL[[#Headers],[RAT Ajustado]])-2,0)*($G276-$H276)</f>
        <v>135.88522399999999</v>
      </c>
      <c r="Y276" s="21">
        <f>VLOOKUP($A276,tabCustoUnit[],COLUMN(CUSTO_GLOBAL[[#Headers],[SEBRAE]])-2,0)*($G276-$H276)</f>
        <v>20.3827836</v>
      </c>
      <c r="Z276" s="21">
        <f>VLOOKUP($A276,tabCustoUnit[],COLUMN(CUSTO_GLOBAL[[#Headers],[Submódulo 2.1]])-2,0)*($G276-$H276)</f>
        <v>1284.1153668000002</v>
      </c>
      <c r="AA276" s="21">
        <f>VLOOKUP($A276,tabCustoUnit[],COLUMN(CUSTO_GLOBAL[[#Headers],[13º salário (titular)]])-2,0)*($G276-$H276)</f>
        <v>283.09421666666663</v>
      </c>
      <c r="AB276" s="21">
        <f>VLOOKUP($A276,tabCustoUnit[],COLUMN(CUSTO_GLOBAL[[#Headers],[Férias e Adicional de Férias (titular)]])-2,0)*($G276-$H276)</f>
        <v>377.45895555555552</v>
      </c>
      <c r="AC276" s="21">
        <f>VLOOKUP($A276,tabCustoUnit[],COLUMN(CUSTO_GLOBAL[[#Headers],[Incidência do Submódulo 2.1 sobre 13º Salário, Férias e Adicional de Férias]])-2,0)*($G276-$H276)</f>
        <v>249.68909910000002</v>
      </c>
      <c r="AD276" s="21">
        <f>VLOOKUP($A276,tabCustoUnit[],COLUMN(CUSTO_GLOBAL[[#Headers],[Submódulo 2.2]])-2,0)*($G276-$H276)</f>
        <v>910.24227132222222</v>
      </c>
      <c r="AE276" s="22" t="e">
        <f ca="1">VLOOKUP($A276,tabCustoUnit[],COLUMN(CUSTO_GLOBAL[[#Headers],[Vale - Transporte (Descontada parcela do empregado)]])-2,0)*($G276-$H276)</f>
        <v>#NAME?</v>
      </c>
      <c r="AF276" s="22">
        <f>VLOOKUP($A276,tabCustoUnit[],COLUMN(CUSTO_GLOBAL[[#Headers],[Vale - Alimentação (Descontada parcela do empregado)]])-2,0)*($G276-$H276)</f>
        <v>582</v>
      </c>
      <c r="AG276" s="22">
        <f>VLOOKUP($A276,tabCustoUnit[],COLUMN(CUSTO_GLOBAL[[#Headers],[Cesta Básica]])-2,0)*($G276-$H276)</f>
        <v>0</v>
      </c>
      <c r="AH276" s="22">
        <f>VLOOKUP($A276,tabCustoUnit[],COLUMN(CUSTO_GLOBAL[[#Headers],[PAF]])-2,0)*($G276-$H276)</f>
        <v>77.25</v>
      </c>
      <c r="AI276" s="22">
        <f>VLOOKUP($A276,tabCustoUnit[],COLUMN(CUSTO_GLOBAL[[#Headers],[PQM]])-2,0)*($G276-$H276)</f>
        <v>0</v>
      </c>
      <c r="AJ276" s="22">
        <v>0</v>
      </c>
      <c r="AK276" s="22">
        <f>VLOOKUP($A276,tabCustoUnit[],COLUMN(CUSTO_GLOBAL[[#Headers],[Seguro de Vida]])-2,0)*($G276-$H276)</f>
        <v>3.36</v>
      </c>
      <c r="AL276" s="22">
        <f>VLOOKUP($A276,tabCustoUnit[],COLUMN(CUSTO_GLOBAL[[#Headers],[Despesas de Viagem]])-2,0)*($G276-$H276)</f>
        <v>0</v>
      </c>
      <c r="AM276" s="22" t="e">
        <f ca="1">VLOOKUP($A276,tabCustoUnit[],COLUMN(CUSTO_GLOBAL[[#Headers],[Submódulo 2.3]])-2,0)*($G276-$H276)</f>
        <v>#NAME?</v>
      </c>
      <c r="AN276" s="22" t="e">
        <f ca="1">VLOOKUP($A276,tabCustoUnit[],COLUMN(CUSTO_GLOBAL[[#Headers],[MÓDULO 2 - Total Encargos e Benefícios mensais e diários]])-2,0)*($G276-$H276)</f>
        <v>#NAME?</v>
      </c>
      <c r="AO276" s="22">
        <f>VLOOKUP($A276,tabCustoUnit[],COLUMN(CUSTO_GLOBAL[[#Headers],[Aviso Prévio Indenizado (API) e Reflexo do Aviso Prévio Indenizado]])-2,0)*($G276-$H276)</f>
        <v>23.819888151890432</v>
      </c>
      <c r="AP276" s="22">
        <f>VLOOKUP($A276,tabCustoUnit[],COLUMN(CUSTO_GLOBAL[[#Headers],[Incidência do FGTS sobre API e Reflexo do API]])-2,0)*($G276-$H276)</f>
        <v>1.9055910521512347</v>
      </c>
      <c r="AQ276" s="22">
        <f>VLOOKUP($A276,tabCustoUnit[],COLUMN(CUSTO_GLOBAL[[#Headers],[Multa Rescisória do FGTS sobre o Aviso Prévio Indenizado]])-2,0)*($G276-$H276)</f>
        <v>0.76223642086049392</v>
      </c>
      <c r="AR276" s="22">
        <f>VLOOKUP($A276,tabCustoUnit[],COLUMN(CUSTO_GLOBAL[[#Headers],[Aviso Prévio Trabalhado - APT]])-2,0)*($G276-$H276)</f>
        <v>11.889957100000002</v>
      </c>
      <c r="AS276" s="22">
        <f>VLOOKUP($A276,tabCustoUnit[],COLUMN(CUSTO_GLOBAL[[#Headers],[Incidência dos encargos do submódulo 2.1 sobre Aviso Prévio Trabalhado]])-2,0)*($G276-$H276)</f>
        <v>4.4944037838000011</v>
      </c>
      <c r="AT276" s="22">
        <f>VLOOKUP($A276,tabCustoUnit[],COLUMN(CUSTO_GLOBAL[[#Headers],[Multa Rescisória do FGTS]])-2,0)*($G276-$H276)</f>
        <v>103.87670456888887</v>
      </c>
      <c r="AU276" s="22">
        <f>VLOOKUP($A276,tabCustoUnit[],COLUMN(CUSTO_GLOBAL[[#Headers],[Indenização Adicional (Art. 9º da Lei nº 7.238/84)]])-2,0)*($G276-$H276)</f>
        <v>2.830942166666667</v>
      </c>
      <c r="AV276" s="22">
        <f>VLOOKUP($A276,tabCustoUnit[],COLUMN(CUSTO_GLOBAL[[#Headers],[MÓDULO 3 – PROVISÃO PARA RESCISÃO]])-2,0)*($G276-$H276)</f>
        <v>149.57972324425771</v>
      </c>
      <c r="AW276" s="22">
        <f>VLOOKUP($A276,tabCustoUnit[],COLUMN(CUSTO_GLOBAL[[#Headers],[Ausência por Doença]])-2,0)*($G276-$H276)</f>
        <v>28.686880622222219</v>
      </c>
      <c r="AX276" s="22">
        <f>VLOOKUP($A276,tabCustoUnit[],COLUMN(CUSTO_GLOBAL[[#Headers],[Ausências Legais]])-2,0)*($G276-$H276)</f>
        <v>6.8886259388888886</v>
      </c>
      <c r="AY276" s="22">
        <f>VLOOKUP($A276,tabCustoUnit[],COLUMN(CUSTO_GLOBAL[[#Headers],[Licença Paternidade]])-2,0)*($G276-$H276)</f>
        <v>0.58034314416666666</v>
      </c>
      <c r="AZ276" s="22">
        <f>VLOOKUP($A276,tabCustoUnit[],COLUMN(CUSTO_GLOBAL[[#Headers],[Ausência por Acidente de Trabalho]])-2,0)*($G276-$H276)</f>
        <v>0.70773554166666675</v>
      </c>
      <c r="BA276" s="22">
        <f>VLOOKUP($A276,tabCustoUnit[],COLUMN(CUSTO_GLOBAL[[#Headers],[Férias, Adicional de Férias e 13º  com empregada em gozo de Licença Maternidade]])-2,0)*($G276-$H276)</f>
        <v>4.4036878148148144</v>
      </c>
      <c r="BB276" s="22">
        <f>VLOOKUP($A276,tabCustoUnit[],COLUMN(CUSTO_GLOBAL[[#Headers],[Incidência do Submódulo 2.1 sobre Ausências Legais]])-2,0)*($G276-$H276)</f>
        <v>15.599029217345002</v>
      </c>
      <c r="BC276" s="22">
        <f>VLOOKUP($A276,tabCustoUnit[],COLUMN(CUSTO_GLOBAL[[#Headers],[Submódulo 4.1]])-2,0)*($G276-$H276)</f>
        <v>56.866302279104261</v>
      </c>
      <c r="BD276" s="22">
        <f>VLOOKUP($A276,tabCustoUnit[],COLUMN(CUSTO_GLOBAL[[#Headers],[Intervalo para Repouso ou Alimentação]])-2,0)*($G276-$H276)</f>
        <v>0</v>
      </c>
      <c r="BE276" s="22">
        <f>VLOOKUP($A276,tabCustoUnit[],COLUMN(CUSTO_GLOBAL[[#Headers],[Submódulo 4.2]])-2,0)*($G276-$H276)</f>
        <v>0</v>
      </c>
      <c r="BF276" s="22">
        <f>VLOOKUP($A276,tabCustoUnit[],COLUMN(CUSTO_GLOBAL[[#Headers],[Suspensão Temporária do Contrato de Trabalho]])-2,0)*($G276-$H276)</f>
        <v>0</v>
      </c>
      <c r="BG276" s="22">
        <f>VLOOKUP($A276,tabCustoUnit[],COLUMN(CUSTO_GLOBAL[[#Headers],[Submódulo 4.3]])-2,0)*($G276-$H276)</f>
        <v>0</v>
      </c>
      <c r="BH276" s="22">
        <f>VLOOKUP($A276,tabCustoUnit[],COLUMN(CUSTO_GLOBAL[[#Headers],[MÓDULO 4 – CUSTO DE REPOSIÇÃO DO PROFISSIONAL AUSENTE]])-2,0)*($G276-$H276)</f>
        <v>56.866302279104261</v>
      </c>
      <c r="BI276" s="22">
        <f>VLOOKUP($A276,tabCustoUnit[],COLUMN(CUSTO_GLOBAL[[#Headers],[Uniformes e EPIs]])-2,0)*($G276-$H276)</f>
        <v>56.642978962543395</v>
      </c>
      <c r="BJ276" s="22">
        <f>VLOOKUP($A276,tabCustoUnit[],COLUMN(CUSTO_GLOBAL[[#Headers],[Materiais de Consumo]])-2,0)*($G276-$H276)</f>
        <v>0</v>
      </c>
      <c r="BK276" s="22">
        <f>VLOOKUP($A276,tabCustoUnit[],COLUMN(CUSTO_GLOBAL[[#Headers],[Máquinas e Equipamentos (depreciação)]])-2,0)*($G276-$H276)</f>
        <v>0</v>
      </c>
      <c r="BL276" s="22">
        <f>VLOOKUP($A276,tabCustoUnit[],COLUMN(CUSTO_GLOBAL[[#Headers],[Produtos de Limpeza e Materiais de Higiene Pessoal]])-2,0)*($G276-$H276)</f>
        <v>0</v>
      </c>
      <c r="BM276" s="22">
        <f>VLOOKUP($A276,tabCustoUnit[],COLUMN(CUSTO_GLOBAL[[#Headers],[Outros (especificar)]])-2,0)*($G276-$H276)</f>
        <v>0</v>
      </c>
      <c r="BN276" s="22">
        <f>VLOOKUP($A276,tabCustoUnit[],COLUMN(CUSTO_GLOBAL[[#Headers],[MÓDULO 5 – INSUMOS DIVERSOS]])-2,0)*($G276-$H276)</f>
        <v>56.642978962543395</v>
      </c>
      <c r="BO276" s="22" t="e">
        <f ca="1">VLOOKUP($A276,tabCustoUnit[],COLUMN(CUSTO_GLOBAL[[#Headers],[TOTAL MÓDULOS 1+2+3+4+5]])-2,0)*($G276-$H276)</f>
        <v>#NAME?</v>
      </c>
      <c r="BP276" s="22" t="e">
        <f ca="1">VLOOKUP($A276,tabCustoUnit[],COLUMN(CUSTO_GLOBAL[[#Headers],[Custos Indiretos]])-2,0)*($G276-$H276)</f>
        <v>#NAME?</v>
      </c>
      <c r="BQ276" s="22" t="e">
        <f ca="1">VLOOKUP($A276,tabCustoUnit[],COLUMN(CUSTO_GLOBAL[[#Headers],[Lucro]])-2,0)*($G276-$H276)</f>
        <v>#NAME?</v>
      </c>
      <c r="BR276" s="26">
        <f>VLOOKUP($A276,tabCustoUnit[],COLUMN(CUSTO_GLOBAL[[#Headers],[COFINS]])-2,0)</f>
        <v>8.5633802816901458E-2</v>
      </c>
      <c r="BS276" s="26">
        <f>VLOOKUP($A276,tabCustoUnit[],COLUMN(CUSTO_GLOBAL[[#Headers],[PIS]])-2,0)</f>
        <v>1.8591549295774657E-2</v>
      </c>
      <c r="BT276" s="28">
        <f>VLOOKUP($A276,tabCustoUnit[],COLUMN(CUSTO_GLOBAL[[#Headers],[ISS]])-2,0)</f>
        <v>0.02</v>
      </c>
      <c r="BU276" s="26">
        <f>VLOOKUP($A276,tabCustoUnit[],COLUMN(CUSTO_GLOBAL[[#Headers],[ISS (Conversão Alíquota s/ fatura)]])-2,0)</f>
        <v>2.2535211267605645E-2</v>
      </c>
      <c r="BV276" s="26">
        <f>VLOOKUP($A276,tabCustoUnit[],COLUMN(CUSTO_GLOBAL[[#Headers],[Resumo de Alíquotas (PIS+CONFINS+ISS)]])-2,0)</f>
        <v>0.1125</v>
      </c>
      <c r="BW276" s="138">
        <f>VLOOKUP($A276,tabCustoUnit[],COLUMN(CUSTO_GLOBAL[[#Headers],[PIS + COFINS + ISS (Total Conversão  Alíquota s/ Fatura)]])-2,0)</f>
        <v>0.12676056338028174</v>
      </c>
      <c r="BX276" s="22" t="e">
        <f ca="1">VLOOKUP($A276,tabCustoUnit[],COLUMN(CUSTO_GLOBAL[[#Headers],[Valor dos Tributos (ISS, PIS, CONFINS)]])-2,0)*($G276-$H276)</f>
        <v>#NAME?</v>
      </c>
      <c r="BY276" s="22" t="e">
        <f ca="1">VLOOKUP($A276,tabCustoUnit[],COLUMN(CUSTO_GLOBAL[[#Headers],[MÓDULO 6 – CUSTOS INDIRETOS, TRIBUTOS E LUCRO]])-2,0)*($G276-$H276)</f>
        <v>#NAME?</v>
      </c>
      <c r="BZ276" s="22" t="e">
        <f ca="1">VLOOKUP($A276,tabCustoUnit[],COLUMN(CUSTO_GLOBAL[[#Headers],[CUSTO TOTAL MENSAL]])-2,0)*($G276-$H276)</f>
        <v>#NAME?</v>
      </c>
      <c r="CA276" s="22" t="e">
        <f ca="1">CUSTO_GLOBAL[[#This Row],[CUSTO TOTAL MENSAL]]*12</f>
        <v>#NAME?</v>
      </c>
      <c r="CB276" s="24">
        <f>VLOOKUP($A276,tabCustoUnit[],COLUMN(CUSTO_GLOBAL[[#Headers],[ANO DA CCT]])-2,0)</f>
        <v>45658</v>
      </c>
      <c r="CC276" s="25" t="str">
        <f>VLOOKUP($A276,tabCustoUnit[],COLUMN(CUSTO_GLOBAL[[#Headers],[Nº DE PEDIDO DA CCT]])-2,0)</f>
        <v>-</v>
      </c>
      <c r="CD276" s="25" t="str">
        <f>VLOOKUP($A276,tabCustoUnit[],COLUMN(CUSTO_GLOBAL[[#Headers],[TERMO ADITIVO ALTERAÇÃO DA CCT]])-2,0)</f>
        <v>-</v>
      </c>
    </row>
    <row r="277" spans="1:82">
      <c r="A277" s="20" t="s">
        <v>1693</v>
      </c>
      <c r="B277" t="s">
        <v>1197</v>
      </c>
      <c r="C277" t="s">
        <v>324</v>
      </c>
      <c r="D277" t="s">
        <v>950</v>
      </c>
      <c r="E277" s="20" t="s">
        <v>1090</v>
      </c>
      <c r="F277" s="20" t="s">
        <v>120</v>
      </c>
      <c r="G277" s="20">
        <v>1</v>
      </c>
      <c r="H277" s="20">
        <v>0</v>
      </c>
      <c r="I277" s="21">
        <f>VLOOKUP($A277,tabCustoUnit[],COLUMN(CUSTO_GLOBAL[[#Headers],[Salário Base]])-2,0)*($G277-$H277)</f>
        <v>2316.2253000000001</v>
      </c>
      <c r="J277" s="21">
        <f>VLOOKUP($A277,tabCustoUnit[],COLUMN(CUSTO_GLOBAL[[#Headers],[Adicional Periculosidade]])-2,0)*($G277-$H277)</f>
        <v>0</v>
      </c>
      <c r="K277" s="21">
        <f>VLOOKUP($A277,tabCustoUnit[],COLUMN(CUSTO_GLOBAL[[#Headers],[Adicional Insalubridade]])-2,0)*($G277-$H277)</f>
        <v>0</v>
      </c>
      <c r="L277" s="21">
        <f>VLOOKUP($A277,tabCustoUnit[],COLUMN(CUSTO_GLOBAL[[#Headers],[Adicional Noturno]])-2,0)*($G277-$H277)</f>
        <v>0</v>
      </c>
      <c r="M277" s="21">
        <f>VLOOKUP($A277,tabCustoUnit[],COLUMN(CUSTO_GLOBAL[[#Headers],[Adicional Motorista II (Gratificação)]])-2,0)*($G277-$H277)</f>
        <v>0</v>
      </c>
      <c r="N277" s="21">
        <f>VLOOKUP($A277,tabCustoUnit[],COLUMN(CUSTO_GLOBAL[[#Headers],[Adicional de Sobreaviso]])-2,0)*($G277-$H277)</f>
        <v>0</v>
      </c>
      <c r="O277" s="21">
        <f>VLOOKUP($A277,tabCustoUnit[],COLUMN(CUSTO_GLOBAL[[#Headers],[Horas Extras TI]])-2,0)*($G277-$H277)</f>
        <v>0</v>
      </c>
      <c r="P277" s="21">
        <f>VLOOKUP($A277,tabCustoUnit[],COLUMN(CUSTO_GLOBAL[[#Headers],[Adicional de Acúmulo de função]])-2,0)*($G277-$H277)</f>
        <v>0</v>
      </c>
      <c r="Q277" s="21">
        <f>VLOOKUP($A277,tabCustoUnit[],COLUMN(CUSTO_GLOBAL[[#Headers],[MODULO 1 - REMUNERAÇÃO ]])-2,0)*($G277-$H277)</f>
        <v>2316.2253000000001</v>
      </c>
      <c r="R277" s="21">
        <f>VLOOKUP($A277,tabCustoUnit[],COLUMN(CUSTO_GLOBAL[[#Headers],[INSS]])-2,0)*($G277-$H277)</f>
        <v>463.24506000000002</v>
      </c>
      <c r="S277" s="21">
        <f>VLOOKUP($A277,tabCustoUnit[],COLUMN(CUSTO_GLOBAL[[#Headers],[SESI OU SESC]])-2,0)*($G277-$H277)</f>
        <v>34.743379499999996</v>
      </c>
      <c r="T277" s="21">
        <f>VLOOKUP($A277,tabCustoUnit[],COLUMN(CUSTO_GLOBAL[[#Headers],[SENAI OU SENAC]])-2,0)*($G277-$H277)</f>
        <v>23.162253</v>
      </c>
      <c r="U277" s="21">
        <f>VLOOKUP($A277,tabCustoUnit[],COLUMN(CUSTO_GLOBAL[[#Headers],[INCRA]])-2,0)*($G277-$H277)</f>
        <v>4.6324506000000003</v>
      </c>
      <c r="V277" s="21">
        <f>VLOOKUP($A277,tabCustoUnit[],COLUMN(CUSTO_GLOBAL[[#Headers],[Salário Educação]])-2,0)*($G277-$H277)</f>
        <v>57.905632500000003</v>
      </c>
      <c r="W277" s="21">
        <f>VLOOKUP($A277,tabCustoUnit[],COLUMN(CUSTO_GLOBAL[[#Headers],[FGTS]])-2,0)*($G277-$H277)</f>
        <v>185.298024</v>
      </c>
      <c r="X277" s="21">
        <f>VLOOKUP($A277,tabCustoUnit[],COLUMN(CUSTO_GLOBAL[[#Headers],[RAT Ajustado]])-2,0)*($G277-$H277)</f>
        <v>92.649011999999999</v>
      </c>
      <c r="Y277" s="21">
        <f>VLOOKUP($A277,tabCustoUnit[],COLUMN(CUSTO_GLOBAL[[#Headers],[SEBRAE]])-2,0)*($G277-$H277)</f>
        <v>13.897351800000001</v>
      </c>
      <c r="Z277" s="21">
        <f>VLOOKUP($A277,tabCustoUnit[],COLUMN(CUSTO_GLOBAL[[#Headers],[Submódulo 2.1]])-2,0)*($G277-$H277)</f>
        <v>875.53316340000003</v>
      </c>
      <c r="AA277" s="21">
        <f>VLOOKUP($A277,tabCustoUnit[],COLUMN(CUSTO_GLOBAL[[#Headers],[13º salário (titular)]])-2,0)*($G277-$H277)</f>
        <v>193.01877500000001</v>
      </c>
      <c r="AB277" s="21">
        <f>VLOOKUP($A277,tabCustoUnit[],COLUMN(CUSTO_GLOBAL[[#Headers],[Férias e Adicional de Férias (titular)]])-2,0)*($G277-$H277)</f>
        <v>257.35836666666665</v>
      </c>
      <c r="AC277" s="21">
        <f>VLOOKUP($A277,tabCustoUnit[],COLUMN(CUSTO_GLOBAL[[#Headers],[Incidência do Submódulo 2.1 sobre 13º Salário, Férias e Adicional de Férias]])-2,0)*($G277-$H277)</f>
        <v>170.24255955000001</v>
      </c>
      <c r="AD277" s="21">
        <f>VLOOKUP($A277,tabCustoUnit[],COLUMN(CUSTO_GLOBAL[[#Headers],[Submódulo 2.2]])-2,0)*($G277-$H277)</f>
        <v>620.61970121666673</v>
      </c>
      <c r="AE277" s="22" t="e">
        <f ca="1">VLOOKUP($A277,tabCustoUnit[],COLUMN(CUSTO_GLOBAL[[#Headers],[Vale - Transporte (Descontada parcela do empregado)]])-2,0)*($G277-$H277)</f>
        <v>#NAME?</v>
      </c>
      <c r="AF277" s="22">
        <f>VLOOKUP($A277,tabCustoUnit[],COLUMN(CUSTO_GLOBAL[[#Headers],[Vale - Alimentação (Descontada parcela do empregado)]])-2,0)*($G277-$H277)</f>
        <v>582</v>
      </c>
      <c r="AG277" s="22">
        <f>VLOOKUP($A277,tabCustoUnit[],COLUMN(CUSTO_GLOBAL[[#Headers],[Cesta Básica]])-2,0)*($G277-$H277)</f>
        <v>0</v>
      </c>
      <c r="AH277" s="22">
        <f>VLOOKUP($A277,tabCustoUnit[],COLUMN(CUSTO_GLOBAL[[#Headers],[PAF]])-2,0)*($G277-$H277)</f>
        <v>50.74</v>
      </c>
      <c r="AI277" s="22">
        <f>VLOOKUP($A277,tabCustoUnit[],COLUMN(CUSTO_GLOBAL[[#Headers],[PQM]])-2,0)*($G277-$H277)</f>
        <v>0</v>
      </c>
      <c r="AJ277" s="22">
        <v>0</v>
      </c>
      <c r="AK277" s="22">
        <f>VLOOKUP($A277,tabCustoUnit[],COLUMN(CUSTO_GLOBAL[[#Headers],[Seguro de Vida]])-2,0)*($G277-$H277)</f>
        <v>3.36</v>
      </c>
      <c r="AL277" s="22">
        <f>VLOOKUP($A277,tabCustoUnit[],COLUMN(CUSTO_GLOBAL[[#Headers],[Despesas de Viagem]])-2,0)*($G277-$H277)</f>
        <v>0</v>
      </c>
      <c r="AM277" s="22" t="e">
        <f ca="1">VLOOKUP($A277,tabCustoUnit[],COLUMN(CUSTO_GLOBAL[[#Headers],[Submódulo 2.3]])-2,0)*($G277-$H277)</f>
        <v>#NAME?</v>
      </c>
      <c r="AN277" s="22" t="e">
        <f ca="1">VLOOKUP($A277,tabCustoUnit[],COLUMN(CUSTO_GLOBAL[[#Headers],[MÓDULO 2 - Total Encargos e Benefícios mensais e diários]])-2,0)*($G277-$H277)</f>
        <v>#NAME?</v>
      </c>
      <c r="AO277" s="22">
        <f>VLOOKUP($A277,tabCustoUnit[],COLUMN(CUSTO_GLOBAL[[#Headers],[Aviso Prévio Indenizado (API) e Reflexo do Aviso Prévio Indenizado]])-2,0)*($G277-$H277)</f>
        <v>16.240832065914354</v>
      </c>
      <c r="AP277" s="22">
        <f>VLOOKUP($A277,tabCustoUnit[],COLUMN(CUSTO_GLOBAL[[#Headers],[Incidência do FGTS sobre API e Reflexo do API]])-2,0)*($G277-$H277)</f>
        <v>1.2992665652731483</v>
      </c>
      <c r="AQ277" s="22">
        <f>VLOOKUP($A277,tabCustoUnit[],COLUMN(CUSTO_GLOBAL[[#Headers],[Multa Rescisória do FGTS sobre o Aviso Prévio Indenizado]])-2,0)*($G277-$H277)</f>
        <v>0.51970662610925933</v>
      </c>
      <c r="AR277" s="22">
        <f>VLOOKUP($A277,tabCustoUnit[],COLUMN(CUSTO_GLOBAL[[#Headers],[Aviso Prévio Trabalhado - APT]])-2,0)*($G277-$H277)</f>
        <v>8.106788550000001</v>
      </c>
      <c r="AS277" s="22">
        <f>VLOOKUP($A277,tabCustoUnit[],COLUMN(CUSTO_GLOBAL[[#Headers],[Incidência dos encargos do submódulo 2.1 sobre Aviso Prévio Trabalhado]])-2,0)*($G277-$H277)</f>
        <v>3.0643660719000008</v>
      </c>
      <c r="AT277" s="22">
        <f>VLOOKUP($A277,tabCustoUnit[],COLUMN(CUSTO_GLOBAL[[#Headers],[Multa Rescisória do FGTS]])-2,0)*($G277-$H277)</f>
        <v>70.825022506666656</v>
      </c>
      <c r="AU277" s="22">
        <f>VLOOKUP($A277,tabCustoUnit[],COLUMN(CUSTO_GLOBAL[[#Headers],[Indenização Adicional (Art. 9º da Lei nº 7.238/84)]])-2,0)*($G277-$H277)</f>
        <v>1.9301877500000002</v>
      </c>
      <c r="AV277" s="22">
        <f>VLOOKUP($A277,tabCustoUnit[],COLUMN(CUSTO_GLOBAL[[#Headers],[MÓDULO 3 – PROVISÃO PARA RESCISÃO]])-2,0)*($G277-$H277)</f>
        <v>101.98617013586342</v>
      </c>
      <c r="AW277" s="22">
        <f>VLOOKUP($A277,tabCustoUnit[],COLUMN(CUSTO_GLOBAL[[#Headers],[Ausência por Doença]])-2,0)*($G277-$H277)</f>
        <v>19.559235866666665</v>
      </c>
      <c r="AX277" s="22">
        <f>VLOOKUP($A277,tabCustoUnit[],COLUMN(CUSTO_GLOBAL[[#Headers],[Ausências Legais]])-2,0)*($G277-$H277)</f>
        <v>4.6967901916666666</v>
      </c>
      <c r="AY277" s="22">
        <f>VLOOKUP($A277,tabCustoUnit[],COLUMN(CUSTO_GLOBAL[[#Headers],[Licença Paternidade]])-2,0)*($G277-$H277)</f>
        <v>0.39568848875000001</v>
      </c>
      <c r="AZ277" s="22">
        <f>VLOOKUP($A277,tabCustoUnit[],COLUMN(CUSTO_GLOBAL[[#Headers],[Ausência por Acidente de Trabalho]])-2,0)*($G277-$H277)</f>
        <v>0.48254693750000005</v>
      </c>
      <c r="BA277" s="22">
        <f>VLOOKUP($A277,tabCustoUnit[],COLUMN(CUSTO_GLOBAL[[#Headers],[Férias, Adicional de Férias e 13º  com empregada em gozo de Licença Maternidade]])-2,0)*($G277-$H277)</f>
        <v>3.0025142777777778</v>
      </c>
      <c r="BB277" s="22">
        <f>VLOOKUP($A277,tabCustoUnit[],COLUMN(CUSTO_GLOBAL[[#Headers],[Incidência do Submódulo 2.1 sobre Ausências Legais]])-2,0)*($G277-$H277)</f>
        <v>10.635701238172501</v>
      </c>
      <c r="BC277" s="22">
        <f>VLOOKUP($A277,tabCustoUnit[],COLUMN(CUSTO_GLOBAL[[#Headers],[Submódulo 4.1]])-2,0)*($G277-$H277)</f>
        <v>38.772477000533613</v>
      </c>
      <c r="BD277" s="22">
        <f>VLOOKUP($A277,tabCustoUnit[],COLUMN(CUSTO_GLOBAL[[#Headers],[Intervalo para Repouso ou Alimentação]])-2,0)*($G277-$H277)</f>
        <v>0</v>
      </c>
      <c r="BE277" s="22">
        <f>VLOOKUP($A277,tabCustoUnit[],COLUMN(CUSTO_GLOBAL[[#Headers],[Submódulo 4.2]])-2,0)*($G277-$H277)</f>
        <v>0</v>
      </c>
      <c r="BF277" s="22">
        <f>VLOOKUP($A277,tabCustoUnit[],COLUMN(CUSTO_GLOBAL[[#Headers],[Suspensão Temporária do Contrato de Trabalho]])-2,0)*($G277-$H277)</f>
        <v>0</v>
      </c>
      <c r="BG277" s="22">
        <f>VLOOKUP($A277,tabCustoUnit[],COLUMN(CUSTO_GLOBAL[[#Headers],[Submódulo 4.3]])-2,0)*($G277-$H277)</f>
        <v>0</v>
      </c>
      <c r="BH277" s="22">
        <f>VLOOKUP($A277,tabCustoUnit[],COLUMN(CUSTO_GLOBAL[[#Headers],[MÓDULO 4 – CUSTO DE REPOSIÇÃO DO PROFISSIONAL AUSENTE]])-2,0)*($G277-$H277)</f>
        <v>38.772477000533613</v>
      </c>
      <c r="BI277" s="22">
        <f>VLOOKUP($A277,tabCustoUnit[],COLUMN(CUSTO_GLOBAL[[#Headers],[Uniformes e EPIs]])-2,0)*($G277-$H277)</f>
        <v>56.642978962543395</v>
      </c>
      <c r="BJ277" s="22">
        <f>VLOOKUP($A277,tabCustoUnit[],COLUMN(CUSTO_GLOBAL[[#Headers],[Materiais de Consumo]])-2,0)*($G277-$H277)</f>
        <v>0</v>
      </c>
      <c r="BK277" s="22">
        <f>VLOOKUP($A277,tabCustoUnit[],COLUMN(CUSTO_GLOBAL[[#Headers],[Máquinas e Equipamentos (depreciação)]])-2,0)*($G277-$H277)</f>
        <v>0</v>
      </c>
      <c r="BL277" s="22">
        <f>VLOOKUP($A277,tabCustoUnit[],COLUMN(CUSTO_GLOBAL[[#Headers],[Produtos de Limpeza e Materiais de Higiene Pessoal]])-2,0)*($G277-$H277)</f>
        <v>0</v>
      </c>
      <c r="BM277" s="22">
        <f>VLOOKUP($A277,tabCustoUnit[],COLUMN(CUSTO_GLOBAL[[#Headers],[Outros (especificar)]])-2,0)*($G277-$H277)</f>
        <v>0</v>
      </c>
      <c r="BN277" s="22">
        <f>VLOOKUP($A277,tabCustoUnit[],COLUMN(CUSTO_GLOBAL[[#Headers],[MÓDULO 5 – INSUMOS DIVERSOS]])-2,0)*($G277-$H277)</f>
        <v>56.642978962543395</v>
      </c>
      <c r="BO277" s="22" t="e">
        <f ca="1">VLOOKUP($A277,tabCustoUnit[],COLUMN(CUSTO_GLOBAL[[#Headers],[TOTAL MÓDULOS 1+2+3+4+5]])-2,0)*($G277-$H277)</f>
        <v>#NAME?</v>
      </c>
      <c r="BP277" s="22" t="e">
        <f ca="1">VLOOKUP($A277,tabCustoUnit[],COLUMN(CUSTO_GLOBAL[[#Headers],[Custos Indiretos]])-2,0)*($G277-$H277)</f>
        <v>#NAME?</v>
      </c>
      <c r="BQ277" s="22" t="e">
        <f ca="1">VLOOKUP($A277,tabCustoUnit[],COLUMN(CUSTO_GLOBAL[[#Headers],[Lucro]])-2,0)*($G277-$H277)</f>
        <v>#NAME?</v>
      </c>
      <c r="BR277" s="26">
        <f>VLOOKUP($A277,tabCustoUnit[],COLUMN(CUSTO_GLOBAL[[#Headers],[COFINS]])-2,0)</f>
        <v>8.5633802816901458E-2</v>
      </c>
      <c r="BS277" s="26">
        <f>VLOOKUP($A277,tabCustoUnit[],COLUMN(CUSTO_GLOBAL[[#Headers],[PIS]])-2,0)</f>
        <v>1.8591549295774657E-2</v>
      </c>
      <c r="BT277" s="28">
        <f>VLOOKUP($A277,tabCustoUnit[],COLUMN(CUSTO_GLOBAL[[#Headers],[ISS]])-2,0)</f>
        <v>0.02</v>
      </c>
      <c r="BU277" s="26">
        <f>VLOOKUP($A277,tabCustoUnit[],COLUMN(CUSTO_GLOBAL[[#Headers],[ISS (Conversão Alíquota s/ fatura)]])-2,0)</f>
        <v>2.2535211267605645E-2</v>
      </c>
      <c r="BV277" s="26">
        <f>VLOOKUP($A277,tabCustoUnit[],COLUMN(CUSTO_GLOBAL[[#Headers],[Resumo de Alíquotas (PIS+CONFINS+ISS)]])-2,0)</f>
        <v>0.1125</v>
      </c>
      <c r="BW277" s="138">
        <f>VLOOKUP($A277,tabCustoUnit[],COLUMN(CUSTO_GLOBAL[[#Headers],[PIS + COFINS + ISS (Total Conversão  Alíquota s/ Fatura)]])-2,0)</f>
        <v>0.12676056338028174</v>
      </c>
      <c r="BX277" s="22" t="e">
        <f ca="1">VLOOKUP($A277,tabCustoUnit[],COLUMN(CUSTO_GLOBAL[[#Headers],[Valor dos Tributos (ISS, PIS, CONFINS)]])-2,0)*($G277-$H277)</f>
        <v>#NAME?</v>
      </c>
      <c r="BY277" s="22" t="e">
        <f ca="1">VLOOKUP($A277,tabCustoUnit[],COLUMN(CUSTO_GLOBAL[[#Headers],[MÓDULO 6 – CUSTOS INDIRETOS, TRIBUTOS E LUCRO]])-2,0)*($G277-$H277)</f>
        <v>#NAME?</v>
      </c>
      <c r="BZ277" s="22" t="e">
        <f ca="1">VLOOKUP($A277,tabCustoUnit[],COLUMN(CUSTO_GLOBAL[[#Headers],[CUSTO TOTAL MENSAL]])-2,0)*($G277-$H277)</f>
        <v>#NAME?</v>
      </c>
      <c r="CA277" s="22" t="e">
        <f ca="1">CUSTO_GLOBAL[[#This Row],[CUSTO TOTAL MENSAL]]*12</f>
        <v>#NAME?</v>
      </c>
      <c r="CB277" s="24">
        <f>VLOOKUP($A277,tabCustoUnit[],COLUMN(CUSTO_GLOBAL[[#Headers],[ANO DA CCT]])-2,0)</f>
        <v>45658</v>
      </c>
      <c r="CC277" s="25" t="str">
        <f>VLOOKUP($A277,tabCustoUnit[],COLUMN(CUSTO_GLOBAL[[#Headers],[Nº DE PEDIDO DA CCT]])-2,0)</f>
        <v>-</v>
      </c>
      <c r="CD277" s="25" t="str">
        <f>VLOOKUP($A277,tabCustoUnit[],COLUMN(CUSTO_GLOBAL[[#Headers],[TERMO ADITIVO ALTERAÇÃO DA CCT]])-2,0)</f>
        <v>-</v>
      </c>
    </row>
    <row r="278" spans="1:82">
      <c r="A278" s="20" t="s">
        <v>1694</v>
      </c>
      <c r="B278" t="s">
        <v>1198</v>
      </c>
      <c r="C278" t="s">
        <v>274</v>
      </c>
      <c r="D278" t="s">
        <v>1014</v>
      </c>
      <c r="E278" s="20" t="s">
        <v>1090</v>
      </c>
      <c r="F278" s="20" t="s">
        <v>120</v>
      </c>
      <c r="G278" s="20">
        <v>1</v>
      </c>
      <c r="H278" s="20">
        <v>0</v>
      </c>
      <c r="I278" s="21">
        <f>VLOOKUP($A278,tabCustoUnit[],COLUMN(CUSTO_GLOBAL[[#Headers],[Salário Base]])-2,0)*($G278-$H278)</f>
        <v>4465.6282000000001</v>
      </c>
      <c r="J278" s="21">
        <f>VLOOKUP($A278,tabCustoUnit[],COLUMN(CUSTO_GLOBAL[[#Headers],[Adicional Periculosidade]])-2,0)*($G278-$H278)</f>
        <v>0</v>
      </c>
      <c r="K278" s="21">
        <f>VLOOKUP($A278,tabCustoUnit[],COLUMN(CUSTO_GLOBAL[[#Headers],[Adicional Insalubridade]])-2,0)*($G278-$H278)</f>
        <v>0</v>
      </c>
      <c r="L278" s="21">
        <f>VLOOKUP($A278,tabCustoUnit[],COLUMN(CUSTO_GLOBAL[[#Headers],[Adicional Noturno]])-2,0)*($G278-$H278)</f>
        <v>0</v>
      </c>
      <c r="M278" s="21">
        <f>VLOOKUP($A278,tabCustoUnit[],COLUMN(CUSTO_GLOBAL[[#Headers],[Adicional Motorista II (Gratificação)]])-2,0)*($G278-$H278)</f>
        <v>0</v>
      </c>
      <c r="N278" s="21">
        <f>VLOOKUP($A278,tabCustoUnit[],COLUMN(CUSTO_GLOBAL[[#Headers],[Adicional de Sobreaviso]])-2,0)*($G278-$H278)</f>
        <v>0</v>
      </c>
      <c r="O278" s="21">
        <f>VLOOKUP($A278,tabCustoUnit[],COLUMN(CUSTO_GLOBAL[[#Headers],[Horas Extras TI]])-2,0)*($G278-$H278)</f>
        <v>0</v>
      </c>
      <c r="P278" s="21">
        <f>VLOOKUP($A278,tabCustoUnit[],COLUMN(CUSTO_GLOBAL[[#Headers],[Adicional de Acúmulo de função]])-2,0)*($G278-$H278)</f>
        <v>0</v>
      </c>
      <c r="Q278" s="21">
        <f>VLOOKUP($A278,tabCustoUnit[],COLUMN(CUSTO_GLOBAL[[#Headers],[MODULO 1 - REMUNERAÇÃO ]])-2,0)*($G278-$H278)</f>
        <v>4465.6282000000001</v>
      </c>
      <c r="R278" s="21">
        <f>VLOOKUP($A278,tabCustoUnit[],COLUMN(CUSTO_GLOBAL[[#Headers],[INSS]])-2,0)*($G278-$H278)</f>
        <v>893.12564000000009</v>
      </c>
      <c r="S278" s="21">
        <f>VLOOKUP($A278,tabCustoUnit[],COLUMN(CUSTO_GLOBAL[[#Headers],[SESI OU SESC]])-2,0)*($G278-$H278)</f>
        <v>66.984422999999992</v>
      </c>
      <c r="T278" s="21">
        <f>VLOOKUP($A278,tabCustoUnit[],COLUMN(CUSTO_GLOBAL[[#Headers],[SENAI OU SENAC]])-2,0)*($G278-$H278)</f>
        <v>44.656282000000004</v>
      </c>
      <c r="U278" s="21">
        <f>VLOOKUP($A278,tabCustoUnit[],COLUMN(CUSTO_GLOBAL[[#Headers],[INCRA]])-2,0)*($G278-$H278)</f>
        <v>8.9312564000000005</v>
      </c>
      <c r="V278" s="21">
        <f>VLOOKUP($A278,tabCustoUnit[],COLUMN(CUSTO_GLOBAL[[#Headers],[Salário Educação]])-2,0)*($G278-$H278)</f>
        <v>111.64070500000001</v>
      </c>
      <c r="W278" s="21">
        <f>VLOOKUP($A278,tabCustoUnit[],COLUMN(CUSTO_GLOBAL[[#Headers],[FGTS]])-2,0)*($G278-$H278)</f>
        <v>357.25025600000004</v>
      </c>
      <c r="X278" s="21">
        <f>VLOOKUP($A278,tabCustoUnit[],COLUMN(CUSTO_GLOBAL[[#Headers],[RAT Ajustado]])-2,0)*($G278-$H278)</f>
        <v>178.62512800000002</v>
      </c>
      <c r="Y278" s="21">
        <f>VLOOKUP($A278,tabCustoUnit[],COLUMN(CUSTO_GLOBAL[[#Headers],[SEBRAE]])-2,0)*($G278-$H278)</f>
        <v>26.7937692</v>
      </c>
      <c r="Z278" s="21">
        <f>VLOOKUP($A278,tabCustoUnit[],COLUMN(CUSTO_GLOBAL[[#Headers],[Submódulo 2.1]])-2,0)*($G278-$H278)</f>
        <v>1688.0074596000004</v>
      </c>
      <c r="AA278" s="21">
        <f>VLOOKUP($A278,tabCustoUnit[],COLUMN(CUSTO_GLOBAL[[#Headers],[13º salário (titular)]])-2,0)*($G278-$H278)</f>
        <v>372.1356833333333</v>
      </c>
      <c r="AB278" s="21">
        <f>VLOOKUP($A278,tabCustoUnit[],COLUMN(CUSTO_GLOBAL[[#Headers],[Férias e Adicional de Férias (titular)]])-2,0)*($G278-$H278)</f>
        <v>496.18091111111107</v>
      </c>
      <c r="AC278" s="21">
        <f>VLOOKUP($A278,tabCustoUnit[],COLUMN(CUSTO_GLOBAL[[#Headers],[Incidência do Submódulo 2.1 sobre 13º Salário, Férias e Adicional de Férias]])-2,0)*($G278-$H278)</f>
        <v>328.22367270000001</v>
      </c>
      <c r="AD278" s="21">
        <f>VLOOKUP($A278,tabCustoUnit[],COLUMN(CUSTO_GLOBAL[[#Headers],[Submódulo 2.2]])-2,0)*($G278-$H278)</f>
        <v>1196.5402671444444</v>
      </c>
      <c r="AE278" s="22" t="e">
        <f ca="1">VLOOKUP($A278,tabCustoUnit[],COLUMN(CUSTO_GLOBAL[[#Headers],[Vale - Transporte (Descontada parcela do empregado)]])-2,0)*($G278-$H278)</f>
        <v>#NAME?</v>
      </c>
      <c r="AF278" s="22">
        <f>VLOOKUP($A278,tabCustoUnit[],COLUMN(CUSTO_GLOBAL[[#Headers],[Vale - Alimentação (Descontada parcela do empregado)]])-2,0)*($G278-$H278)</f>
        <v>578.4</v>
      </c>
      <c r="AG278" s="22">
        <f>VLOOKUP($A278,tabCustoUnit[],COLUMN(CUSTO_GLOBAL[[#Headers],[Cesta Básica]])-2,0)*($G278-$H278)</f>
        <v>0</v>
      </c>
      <c r="AH278" s="22">
        <f>VLOOKUP($A278,tabCustoUnit[],COLUMN(CUSTO_GLOBAL[[#Headers],[PAF]])-2,0)*($G278-$H278)</f>
        <v>22.52</v>
      </c>
      <c r="AI278" s="22">
        <f>VLOOKUP($A278,tabCustoUnit[],COLUMN(CUSTO_GLOBAL[[#Headers],[PQM]])-2,0)*($G278-$H278)</f>
        <v>0</v>
      </c>
      <c r="AJ278" s="22">
        <v>0</v>
      </c>
      <c r="AK278" s="22">
        <f>VLOOKUP($A278,tabCustoUnit[],COLUMN(CUSTO_GLOBAL[[#Headers],[Seguro de Vida]])-2,0)*($G278-$H278)</f>
        <v>3.36</v>
      </c>
      <c r="AL278" s="22">
        <f>VLOOKUP($A278,tabCustoUnit[],COLUMN(CUSTO_GLOBAL[[#Headers],[Despesas de Viagem]])-2,0)*($G278-$H278)</f>
        <v>662.42</v>
      </c>
      <c r="AM278" s="22" t="e">
        <f ca="1">VLOOKUP($A278,tabCustoUnit[],COLUMN(CUSTO_GLOBAL[[#Headers],[Submódulo 2.3]])-2,0)*($G278-$H278)</f>
        <v>#NAME?</v>
      </c>
      <c r="AN278" s="22" t="e">
        <f ca="1">VLOOKUP($A278,tabCustoUnit[],COLUMN(CUSTO_GLOBAL[[#Headers],[MÓDULO 2 - Total Encargos e Benefícios mensais e diários]])-2,0)*($G278-$H278)</f>
        <v>#NAME?</v>
      </c>
      <c r="AO278" s="22">
        <f>VLOOKUP($A278,tabCustoUnit[],COLUMN(CUSTO_GLOBAL[[#Headers],[Aviso Prévio Indenizado (API) e Reflexo do Aviso Prévio Indenizado]])-2,0)*($G278-$H278)</f>
        <v>31.311944336766977</v>
      </c>
      <c r="AP278" s="22">
        <f>VLOOKUP($A278,tabCustoUnit[],COLUMN(CUSTO_GLOBAL[[#Headers],[Incidência do FGTS sobre API e Reflexo do API]])-2,0)*($G278-$H278)</f>
        <v>2.5049555469413582</v>
      </c>
      <c r="AQ278" s="22">
        <f>VLOOKUP($A278,tabCustoUnit[],COLUMN(CUSTO_GLOBAL[[#Headers],[Multa Rescisória do FGTS sobre o Aviso Prévio Indenizado]])-2,0)*($G278-$H278)</f>
        <v>1.0019822187765435</v>
      </c>
      <c r="AR278" s="22">
        <f>VLOOKUP($A278,tabCustoUnit[],COLUMN(CUSTO_GLOBAL[[#Headers],[Aviso Prévio Trabalhado - APT]])-2,0)*($G278-$H278)</f>
        <v>15.629698700000002</v>
      </c>
      <c r="AS278" s="22">
        <f>VLOOKUP($A278,tabCustoUnit[],COLUMN(CUSTO_GLOBAL[[#Headers],[Incidência dos encargos do submódulo 2.1 sobre Aviso Prévio Trabalhado]])-2,0)*($G278-$H278)</f>
        <v>5.9080261086000023</v>
      </c>
      <c r="AT278" s="22">
        <f>VLOOKUP($A278,tabCustoUnit[],COLUMN(CUSTO_GLOBAL[[#Headers],[Multa Rescisória do FGTS]])-2,0)*($G278-$H278)</f>
        <v>136.54898673777777</v>
      </c>
      <c r="AU278" s="22">
        <f>VLOOKUP($A278,tabCustoUnit[],COLUMN(CUSTO_GLOBAL[[#Headers],[Indenização Adicional (Art. 9º da Lei nº 7.238/84)]])-2,0)*($G278-$H278)</f>
        <v>3.7213568333333336</v>
      </c>
      <c r="AV278" s="22">
        <f>VLOOKUP($A278,tabCustoUnit[],COLUMN(CUSTO_GLOBAL[[#Headers],[MÓDULO 3 – PROVISÃO PARA RESCISÃO]])-2,0)*($G278-$H278)</f>
        <v>196.62695048219601</v>
      </c>
      <c r="AW278" s="22">
        <f>VLOOKUP($A278,tabCustoUnit[],COLUMN(CUSTO_GLOBAL[[#Headers],[Ausência por Doença]])-2,0)*($G278-$H278)</f>
        <v>37.709749244444438</v>
      </c>
      <c r="AX278" s="22">
        <f>VLOOKUP($A278,tabCustoUnit[],COLUMN(CUSTO_GLOBAL[[#Headers],[Ausências Legais]])-2,0)*($G278-$H278)</f>
        <v>9.0553016277777783</v>
      </c>
      <c r="AY278" s="22">
        <f>VLOOKUP($A278,tabCustoUnit[],COLUMN(CUSTO_GLOBAL[[#Headers],[Licença Paternidade]])-2,0)*($G278-$H278)</f>
        <v>0.76287815083333332</v>
      </c>
      <c r="AZ278" s="22">
        <f>VLOOKUP($A278,tabCustoUnit[],COLUMN(CUSTO_GLOBAL[[#Headers],[Ausência por Acidente de Trabalho]])-2,0)*($G278-$H278)</f>
        <v>0.93033920833333339</v>
      </c>
      <c r="BA278" s="22">
        <f>VLOOKUP($A278,tabCustoUnit[],COLUMN(CUSTO_GLOBAL[[#Headers],[Férias, Adicional de Férias e 13º  com empregada em gozo de Licença Maternidade]])-2,0)*($G278-$H278)</f>
        <v>5.7887772962962964</v>
      </c>
      <c r="BB278" s="22">
        <f>VLOOKUP($A278,tabCustoUnit[],COLUMN(CUSTO_GLOBAL[[#Headers],[Incidência do Submódulo 2.1 sobre Ausências Legais]])-2,0)*($G278-$H278)</f>
        <v>20.505383209465005</v>
      </c>
      <c r="BC278" s="22">
        <f>VLOOKUP($A278,tabCustoUnit[],COLUMN(CUSTO_GLOBAL[[#Headers],[Submódulo 4.1]])-2,0)*($G278-$H278)</f>
        <v>74.752428737150183</v>
      </c>
      <c r="BD278" s="22">
        <f>VLOOKUP($A278,tabCustoUnit[],COLUMN(CUSTO_GLOBAL[[#Headers],[Intervalo para Repouso ou Alimentação]])-2,0)*($G278-$H278)</f>
        <v>0</v>
      </c>
      <c r="BE278" s="22">
        <f>VLOOKUP($A278,tabCustoUnit[],COLUMN(CUSTO_GLOBAL[[#Headers],[Submódulo 4.2]])-2,0)*($G278-$H278)</f>
        <v>0</v>
      </c>
      <c r="BF278" s="22">
        <f>VLOOKUP($A278,tabCustoUnit[],COLUMN(CUSTO_GLOBAL[[#Headers],[Suspensão Temporária do Contrato de Trabalho]])-2,0)*($G278-$H278)</f>
        <v>0</v>
      </c>
      <c r="BG278" s="22">
        <f>VLOOKUP($A278,tabCustoUnit[],COLUMN(CUSTO_GLOBAL[[#Headers],[Submódulo 4.3]])-2,0)*($G278-$H278)</f>
        <v>0</v>
      </c>
      <c r="BH278" s="22">
        <f>VLOOKUP($A278,tabCustoUnit[],COLUMN(CUSTO_GLOBAL[[#Headers],[MÓDULO 4 – CUSTO DE REPOSIÇÃO DO PROFISSIONAL AUSENTE]])-2,0)*($G278-$H278)</f>
        <v>74.752428737150183</v>
      </c>
      <c r="BI278" s="22">
        <f>VLOOKUP($A278,tabCustoUnit[],COLUMN(CUSTO_GLOBAL[[#Headers],[Uniformes e EPIs]])-2,0)*($G278-$H278)</f>
        <v>92.100763771570698</v>
      </c>
      <c r="BJ278" s="22">
        <f>VLOOKUP($A278,tabCustoUnit[],COLUMN(CUSTO_GLOBAL[[#Headers],[Materiais de Consumo]])-2,0)*($G278-$H278)</f>
        <v>0</v>
      </c>
      <c r="BK278" s="22">
        <f>VLOOKUP($A278,tabCustoUnit[],COLUMN(CUSTO_GLOBAL[[#Headers],[Máquinas e Equipamentos (depreciação)]])-2,0)*($G278-$H278)</f>
        <v>0</v>
      </c>
      <c r="BL278" s="22">
        <f>VLOOKUP($A278,tabCustoUnit[],COLUMN(CUSTO_GLOBAL[[#Headers],[Produtos de Limpeza e Materiais de Higiene Pessoal]])-2,0)*($G278-$H278)</f>
        <v>0</v>
      </c>
      <c r="BM278" s="22">
        <f>VLOOKUP($A278,tabCustoUnit[],COLUMN(CUSTO_GLOBAL[[#Headers],[Outros (especificar)]])-2,0)*($G278-$H278)</f>
        <v>0</v>
      </c>
      <c r="BN278" s="22">
        <f>VLOOKUP($A278,tabCustoUnit[],COLUMN(CUSTO_GLOBAL[[#Headers],[MÓDULO 5 – INSUMOS DIVERSOS]])-2,0)*($G278-$H278)</f>
        <v>92.100763771570698</v>
      </c>
      <c r="BO278" s="22" t="e">
        <f ca="1">VLOOKUP($A278,tabCustoUnit[],COLUMN(CUSTO_GLOBAL[[#Headers],[TOTAL MÓDULOS 1+2+3+4+5]])-2,0)*($G278-$H278)</f>
        <v>#NAME?</v>
      </c>
      <c r="BP278" s="22" t="e">
        <f ca="1">VLOOKUP($A278,tabCustoUnit[],COLUMN(CUSTO_GLOBAL[[#Headers],[Custos Indiretos]])-2,0)*($G278-$H278)</f>
        <v>#NAME?</v>
      </c>
      <c r="BQ278" s="22" t="e">
        <f ca="1">VLOOKUP($A278,tabCustoUnit[],COLUMN(CUSTO_GLOBAL[[#Headers],[Lucro]])-2,0)*($G278-$H278)</f>
        <v>#NAME?</v>
      </c>
      <c r="BR278" s="26">
        <f>VLOOKUP($A278,tabCustoUnit[],COLUMN(CUSTO_GLOBAL[[#Headers],[COFINS]])-2,0)</f>
        <v>8.5633802816901458E-2</v>
      </c>
      <c r="BS278" s="26">
        <f>VLOOKUP($A278,tabCustoUnit[],COLUMN(CUSTO_GLOBAL[[#Headers],[PIS]])-2,0)</f>
        <v>1.8591549295774657E-2</v>
      </c>
      <c r="BT278" s="28">
        <f>VLOOKUP($A278,tabCustoUnit[],COLUMN(CUSTO_GLOBAL[[#Headers],[ISS]])-2,0)</f>
        <v>0.02</v>
      </c>
      <c r="BU278" s="26">
        <f>VLOOKUP($A278,tabCustoUnit[],COLUMN(CUSTO_GLOBAL[[#Headers],[ISS (Conversão Alíquota s/ fatura)]])-2,0)</f>
        <v>2.2535211267605645E-2</v>
      </c>
      <c r="BV278" s="26">
        <f>VLOOKUP($A278,tabCustoUnit[],COLUMN(CUSTO_GLOBAL[[#Headers],[Resumo de Alíquotas (PIS+CONFINS+ISS)]])-2,0)</f>
        <v>0.1125</v>
      </c>
      <c r="BW278" s="138">
        <f>VLOOKUP($A278,tabCustoUnit[],COLUMN(CUSTO_GLOBAL[[#Headers],[PIS + COFINS + ISS (Total Conversão  Alíquota s/ Fatura)]])-2,0)</f>
        <v>0.12676056338028174</v>
      </c>
      <c r="BX278" s="22" t="e">
        <f ca="1">VLOOKUP($A278,tabCustoUnit[],COLUMN(CUSTO_GLOBAL[[#Headers],[Valor dos Tributos (ISS, PIS, CONFINS)]])-2,0)*($G278-$H278)</f>
        <v>#NAME?</v>
      </c>
      <c r="BY278" s="22" t="e">
        <f ca="1">VLOOKUP($A278,tabCustoUnit[],COLUMN(CUSTO_GLOBAL[[#Headers],[MÓDULO 6 – CUSTOS INDIRETOS, TRIBUTOS E LUCRO]])-2,0)*($G278-$H278)</f>
        <v>#NAME?</v>
      </c>
      <c r="BZ278" s="22" t="e">
        <f ca="1">VLOOKUP($A278,tabCustoUnit[],COLUMN(CUSTO_GLOBAL[[#Headers],[CUSTO TOTAL MENSAL]])-2,0)*($G278-$H278)</f>
        <v>#NAME?</v>
      </c>
      <c r="CA278" s="22" t="e">
        <f ca="1">CUSTO_GLOBAL[[#This Row],[CUSTO TOTAL MENSAL]]*12</f>
        <v>#NAME?</v>
      </c>
      <c r="CB278" s="24">
        <f>VLOOKUP($A278,tabCustoUnit[],COLUMN(CUSTO_GLOBAL[[#Headers],[ANO DA CCT]])-2,0)</f>
        <v>45658</v>
      </c>
      <c r="CC278" s="25" t="str">
        <f>VLOOKUP($A278,tabCustoUnit[],COLUMN(CUSTO_GLOBAL[[#Headers],[Nº DE PEDIDO DA CCT]])-2,0)</f>
        <v>-</v>
      </c>
      <c r="CD278" s="25" t="str">
        <f>VLOOKUP($A278,tabCustoUnit[],COLUMN(CUSTO_GLOBAL[[#Headers],[TERMO ADITIVO ALTERAÇÃO DA CCT]])-2,0)</f>
        <v>-</v>
      </c>
    </row>
    <row r="279" spans="1:82">
      <c r="A279" s="20" t="s">
        <v>1695</v>
      </c>
      <c r="B279" t="s">
        <v>1198</v>
      </c>
      <c r="C279" t="s">
        <v>319</v>
      </c>
      <c r="D279" t="s">
        <v>1058</v>
      </c>
      <c r="E279" s="20" t="s">
        <v>1090</v>
      </c>
      <c r="F279" s="20" t="s">
        <v>120</v>
      </c>
      <c r="G279" s="20">
        <v>1</v>
      </c>
      <c r="H279" s="20">
        <v>0</v>
      </c>
      <c r="I279" s="21">
        <f>VLOOKUP($A279,tabCustoUnit[],COLUMN(CUSTO_GLOBAL[[#Headers],[Salário Base]])-2,0)*($G279-$H279)</f>
        <v>2316.2296999999999</v>
      </c>
      <c r="J279" s="21">
        <f>VLOOKUP($A279,tabCustoUnit[],COLUMN(CUSTO_GLOBAL[[#Headers],[Adicional Periculosidade]])-2,0)*($G279-$H279)</f>
        <v>0</v>
      </c>
      <c r="K279" s="21">
        <f>VLOOKUP($A279,tabCustoUnit[],COLUMN(CUSTO_GLOBAL[[#Headers],[Adicional Insalubridade]])-2,0)*($G279-$H279)</f>
        <v>0</v>
      </c>
      <c r="L279" s="21">
        <f>VLOOKUP($A279,tabCustoUnit[],COLUMN(CUSTO_GLOBAL[[#Headers],[Adicional Noturno]])-2,0)*($G279-$H279)</f>
        <v>0</v>
      </c>
      <c r="M279" s="21">
        <f>VLOOKUP($A279,tabCustoUnit[],COLUMN(CUSTO_GLOBAL[[#Headers],[Adicional Motorista II (Gratificação)]])-2,0)*($G279-$H279)</f>
        <v>0</v>
      </c>
      <c r="N279" s="21">
        <f>VLOOKUP($A279,tabCustoUnit[],COLUMN(CUSTO_GLOBAL[[#Headers],[Adicional de Sobreaviso]])-2,0)*($G279-$H279)</f>
        <v>0</v>
      </c>
      <c r="O279" s="21">
        <f>VLOOKUP($A279,tabCustoUnit[],COLUMN(CUSTO_GLOBAL[[#Headers],[Horas Extras TI]])-2,0)*($G279-$H279)</f>
        <v>0</v>
      </c>
      <c r="P279" s="21">
        <f>VLOOKUP($A279,tabCustoUnit[],COLUMN(CUSTO_GLOBAL[[#Headers],[Adicional de Acúmulo de função]])-2,0)*($G279-$H279)</f>
        <v>0</v>
      </c>
      <c r="Q279" s="21">
        <f>VLOOKUP($A279,tabCustoUnit[],COLUMN(CUSTO_GLOBAL[[#Headers],[MODULO 1 - REMUNERAÇÃO ]])-2,0)*($G279-$H279)</f>
        <v>2316.2296999999999</v>
      </c>
      <c r="R279" s="21">
        <f>VLOOKUP($A279,tabCustoUnit[],COLUMN(CUSTO_GLOBAL[[#Headers],[INSS]])-2,0)*($G279-$H279)</f>
        <v>463.24594000000002</v>
      </c>
      <c r="S279" s="21">
        <f>VLOOKUP($A279,tabCustoUnit[],COLUMN(CUSTO_GLOBAL[[#Headers],[SESI OU SESC]])-2,0)*($G279-$H279)</f>
        <v>34.7434455</v>
      </c>
      <c r="T279" s="21">
        <f>VLOOKUP($A279,tabCustoUnit[],COLUMN(CUSTO_GLOBAL[[#Headers],[SENAI OU SENAC]])-2,0)*($G279-$H279)</f>
        <v>23.162296999999999</v>
      </c>
      <c r="U279" s="21">
        <f>VLOOKUP($A279,tabCustoUnit[],COLUMN(CUSTO_GLOBAL[[#Headers],[INCRA]])-2,0)*($G279-$H279)</f>
        <v>4.6324594000000001</v>
      </c>
      <c r="V279" s="21">
        <f>VLOOKUP($A279,tabCustoUnit[],COLUMN(CUSTO_GLOBAL[[#Headers],[Salário Educação]])-2,0)*($G279-$H279)</f>
        <v>57.905742500000002</v>
      </c>
      <c r="W279" s="21">
        <f>VLOOKUP($A279,tabCustoUnit[],COLUMN(CUSTO_GLOBAL[[#Headers],[FGTS]])-2,0)*($G279-$H279)</f>
        <v>185.29837599999999</v>
      </c>
      <c r="X279" s="21">
        <f>VLOOKUP($A279,tabCustoUnit[],COLUMN(CUSTO_GLOBAL[[#Headers],[RAT Ajustado]])-2,0)*($G279-$H279)</f>
        <v>92.649187999999995</v>
      </c>
      <c r="Y279" s="21">
        <f>VLOOKUP($A279,tabCustoUnit[],COLUMN(CUSTO_GLOBAL[[#Headers],[SEBRAE]])-2,0)*($G279-$H279)</f>
        <v>13.8973782</v>
      </c>
      <c r="Z279" s="21">
        <f>VLOOKUP($A279,tabCustoUnit[],COLUMN(CUSTO_GLOBAL[[#Headers],[Submódulo 2.1]])-2,0)*($G279-$H279)</f>
        <v>875.53482659999997</v>
      </c>
      <c r="AA279" s="21">
        <f>VLOOKUP($A279,tabCustoUnit[],COLUMN(CUSTO_GLOBAL[[#Headers],[13º salário (titular)]])-2,0)*($G279-$H279)</f>
        <v>193.01914166666666</v>
      </c>
      <c r="AB279" s="21">
        <f>VLOOKUP($A279,tabCustoUnit[],COLUMN(CUSTO_GLOBAL[[#Headers],[Férias e Adicional de Férias (titular)]])-2,0)*($G279-$H279)</f>
        <v>257.35885555555552</v>
      </c>
      <c r="AC279" s="21">
        <f>VLOOKUP($A279,tabCustoUnit[],COLUMN(CUSTO_GLOBAL[[#Headers],[Incidência do Submódulo 2.1 sobre 13º Salário, Férias e Adicional de Férias]])-2,0)*($G279-$H279)</f>
        <v>170.24288294999999</v>
      </c>
      <c r="AD279" s="21">
        <f>VLOOKUP($A279,tabCustoUnit[],COLUMN(CUSTO_GLOBAL[[#Headers],[Submódulo 2.2]])-2,0)*($G279-$H279)</f>
        <v>620.6208801722222</v>
      </c>
      <c r="AE279" s="22" t="e">
        <f ca="1">VLOOKUP($A279,tabCustoUnit[],COLUMN(CUSTO_GLOBAL[[#Headers],[Vale - Transporte (Descontada parcela do empregado)]])-2,0)*($G279-$H279)</f>
        <v>#NAME?</v>
      </c>
      <c r="AF279" s="22">
        <f>VLOOKUP($A279,tabCustoUnit[],COLUMN(CUSTO_GLOBAL[[#Headers],[Vale - Alimentação (Descontada parcela do empregado)]])-2,0)*($G279-$H279)</f>
        <v>582</v>
      </c>
      <c r="AG279" s="22">
        <f>VLOOKUP($A279,tabCustoUnit[],COLUMN(CUSTO_GLOBAL[[#Headers],[Cesta Básica]])-2,0)*($G279-$H279)</f>
        <v>0</v>
      </c>
      <c r="AH279" s="22">
        <f>VLOOKUP($A279,tabCustoUnit[],COLUMN(CUSTO_GLOBAL[[#Headers],[PAF]])-2,0)*($G279-$H279)</f>
        <v>77.25</v>
      </c>
      <c r="AI279" s="22">
        <f>VLOOKUP($A279,tabCustoUnit[],COLUMN(CUSTO_GLOBAL[[#Headers],[PQM]])-2,0)*($G279-$H279)</f>
        <v>0</v>
      </c>
      <c r="AJ279" s="22">
        <v>0</v>
      </c>
      <c r="AK279" s="22">
        <f>VLOOKUP($A279,tabCustoUnit[],COLUMN(CUSTO_GLOBAL[[#Headers],[Seguro de Vida]])-2,0)*($G279-$H279)</f>
        <v>3.36</v>
      </c>
      <c r="AL279" s="22">
        <f>VLOOKUP($A279,tabCustoUnit[],COLUMN(CUSTO_GLOBAL[[#Headers],[Despesas de Viagem]])-2,0)*($G279-$H279)</f>
        <v>0</v>
      </c>
      <c r="AM279" s="22" t="e">
        <f ca="1">VLOOKUP($A279,tabCustoUnit[],COLUMN(CUSTO_GLOBAL[[#Headers],[Submódulo 2.3]])-2,0)*($G279-$H279)</f>
        <v>#NAME?</v>
      </c>
      <c r="AN279" s="22" t="e">
        <f ca="1">VLOOKUP($A279,tabCustoUnit[],COLUMN(CUSTO_GLOBAL[[#Headers],[MÓDULO 2 - Total Encargos e Benefícios mensais e diários]])-2,0)*($G279-$H279)</f>
        <v>#NAME?</v>
      </c>
      <c r="AO279" s="22">
        <f>VLOOKUP($A279,tabCustoUnit[],COLUMN(CUSTO_GLOBAL[[#Headers],[Aviso Prévio Indenizado (API) e Reflexo do Aviso Prévio Indenizado]])-2,0)*($G279-$H279)</f>
        <v>16.240862917689043</v>
      </c>
      <c r="AP279" s="22">
        <f>VLOOKUP($A279,tabCustoUnit[],COLUMN(CUSTO_GLOBAL[[#Headers],[Incidência do FGTS sobre API e Reflexo do API]])-2,0)*($G279-$H279)</f>
        <v>1.2992690334151236</v>
      </c>
      <c r="AQ279" s="22">
        <f>VLOOKUP($A279,tabCustoUnit[],COLUMN(CUSTO_GLOBAL[[#Headers],[Multa Rescisória do FGTS sobre o Aviso Prévio Indenizado]])-2,0)*($G279-$H279)</f>
        <v>0.51970761336604943</v>
      </c>
      <c r="AR279" s="22">
        <f>VLOOKUP($A279,tabCustoUnit[],COLUMN(CUSTO_GLOBAL[[#Headers],[Aviso Prévio Trabalhado - APT]])-2,0)*($G279-$H279)</f>
        <v>8.1068039500000015</v>
      </c>
      <c r="AS279" s="22">
        <f>VLOOKUP($A279,tabCustoUnit[],COLUMN(CUSTO_GLOBAL[[#Headers],[Incidência dos encargos do submódulo 2.1 sobre Aviso Prévio Trabalhado]])-2,0)*($G279-$H279)</f>
        <v>3.0643718931000006</v>
      </c>
      <c r="AT279" s="22">
        <f>VLOOKUP($A279,tabCustoUnit[],COLUMN(CUSTO_GLOBAL[[#Headers],[Multa Rescisória do FGTS]])-2,0)*($G279-$H279)</f>
        <v>70.825157048888869</v>
      </c>
      <c r="AU279" s="22">
        <f>VLOOKUP($A279,tabCustoUnit[],COLUMN(CUSTO_GLOBAL[[#Headers],[Indenização Adicional (Art. 9º da Lei nº 7.238/84)]])-2,0)*($G279-$H279)</f>
        <v>1.9301914166666667</v>
      </c>
      <c r="AV279" s="22">
        <f>VLOOKUP($A279,tabCustoUnit[],COLUMN(CUSTO_GLOBAL[[#Headers],[MÓDULO 3 – PROVISÃO PARA RESCISÃO]])-2,0)*($G279-$H279)</f>
        <v>101.98636387312575</v>
      </c>
      <c r="AW279" s="22">
        <f>VLOOKUP($A279,tabCustoUnit[],COLUMN(CUSTO_GLOBAL[[#Headers],[Ausência por Doença]])-2,0)*($G279-$H279)</f>
        <v>19.559273022222218</v>
      </c>
      <c r="AX279" s="22">
        <f>VLOOKUP($A279,tabCustoUnit[],COLUMN(CUSTO_GLOBAL[[#Headers],[Ausências Legais]])-2,0)*($G279-$H279)</f>
        <v>4.696799113888888</v>
      </c>
      <c r="AY279" s="22">
        <f>VLOOKUP($A279,tabCustoUnit[],COLUMN(CUSTO_GLOBAL[[#Headers],[Licença Paternidade]])-2,0)*($G279-$H279)</f>
        <v>0.39568924041666664</v>
      </c>
      <c r="AZ279" s="22">
        <f>VLOOKUP($A279,tabCustoUnit[],COLUMN(CUSTO_GLOBAL[[#Headers],[Ausência por Acidente de Trabalho]])-2,0)*($G279-$H279)</f>
        <v>0.48254785416666668</v>
      </c>
      <c r="BA279" s="22">
        <f>VLOOKUP($A279,tabCustoUnit[],COLUMN(CUSTO_GLOBAL[[#Headers],[Férias, Adicional de Férias e 13º  com empregada em gozo de Licença Maternidade]])-2,0)*($G279-$H279)</f>
        <v>3.0025199814814814</v>
      </c>
      <c r="BB279" s="22">
        <f>VLOOKUP($A279,tabCustoUnit[],COLUMN(CUSTO_GLOBAL[[#Headers],[Incidência do Submódulo 2.1 sobre Ausências Legais]])-2,0)*($G279-$H279)</f>
        <v>10.635721442202501</v>
      </c>
      <c r="BC279" s="22">
        <f>VLOOKUP($A279,tabCustoUnit[],COLUMN(CUSTO_GLOBAL[[#Headers],[Submódulo 4.1]])-2,0)*($G279-$H279)</f>
        <v>38.772550654378421</v>
      </c>
      <c r="BD279" s="22">
        <f>VLOOKUP($A279,tabCustoUnit[],COLUMN(CUSTO_GLOBAL[[#Headers],[Intervalo para Repouso ou Alimentação]])-2,0)*($G279-$H279)</f>
        <v>0</v>
      </c>
      <c r="BE279" s="22">
        <f>VLOOKUP($A279,tabCustoUnit[],COLUMN(CUSTO_GLOBAL[[#Headers],[Submódulo 4.2]])-2,0)*($G279-$H279)</f>
        <v>0</v>
      </c>
      <c r="BF279" s="22">
        <f>VLOOKUP($A279,tabCustoUnit[],COLUMN(CUSTO_GLOBAL[[#Headers],[Suspensão Temporária do Contrato de Trabalho]])-2,0)*($G279-$H279)</f>
        <v>0</v>
      </c>
      <c r="BG279" s="22">
        <f>VLOOKUP($A279,tabCustoUnit[],COLUMN(CUSTO_GLOBAL[[#Headers],[Submódulo 4.3]])-2,0)*($G279-$H279)</f>
        <v>0</v>
      </c>
      <c r="BH279" s="22">
        <f>VLOOKUP($A279,tabCustoUnit[],COLUMN(CUSTO_GLOBAL[[#Headers],[MÓDULO 4 – CUSTO DE REPOSIÇÃO DO PROFISSIONAL AUSENTE]])-2,0)*($G279-$H279)</f>
        <v>38.772550654378421</v>
      </c>
      <c r="BI279" s="22">
        <f>VLOOKUP($A279,tabCustoUnit[],COLUMN(CUSTO_GLOBAL[[#Headers],[Uniformes e EPIs]])-2,0)*($G279-$H279)</f>
        <v>56.642978962543395</v>
      </c>
      <c r="BJ279" s="22">
        <f>VLOOKUP($A279,tabCustoUnit[],COLUMN(CUSTO_GLOBAL[[#Headers],[Materiais de Consumo]])-2,0)*($G279-$H279)</f>
        <v>0</v>
      </c>
      <c r="BK279" s="22">
        <f>VLOOKUP($A279,tabCustoUnit[],COLUMN(CUSTO_GLOBAL[[#Headers],[Máquinas e Equipamentos (depreciação)]])-2,0)*($G279-$H279)</f>
        <v>0</v>
      </c>
      <c r="BL279" s="22">
        <f>VLOOKUP($A279,tabCustoUnit[],COLUMN(CUSTO_GLOBAL[[#Headers],[Produtos de Limpeza e Materiais de Higiene Pessoal]])-2,0)*($G279-$H279)</f>
        <v>0</v>
      </c>
      <c r="BM279" s="22">
        <f>VLOOKUP($A279,tabCustoUnit[],COLUMN(CUSTO_GLOBAL[[#Headers],[Outros (especificar)]])-2,0)*($G279-$H279)</f>
        <v>0</v>
      </c>
      <c r="BN279" s="22">
        <f>VLOOKUP($A279,tabCustoUnit[],COLUMN(CUSTO_GLOBAL[[#Headers],[MÓDULO 5 – INSUMOS DIVERSOS]])-2,0)*($G279-$H279)</f>
        <v>56.642978962543395</v>
      </c>
      <c r="BO279" s="22" t="e">
        <f ca="1">VLOOKUP($A279,tabCustoUnit[],COLUMN(CUSTO_GLOBAL[[#Headers],[TOTAL MÓDULOS 1+2+3+4+5]])-2,0)*($G279-$H279)</f>
        <v>#NAME?</v>
      </c>
      <c r="BP279" s="22" t="e">
        <f ca="1">VLOOKUP($A279,tabCustoUnit[],COLUMN(CUSTO_GLOBAL[[#Headers],[Custos Indiretos]])-2,0)*($G279-$H279)</f>
        <v>#NAME?</v>
      </c>
      <c r="BQ279" s="22" t="e">
        <f ca="1">VLOOKUP($A279,tabCustoUnit[],COLUMN(CUSTO_GLOBAL[[#Headers],[Lucro]])-2,0)*($G279-$H279)</f>
        <v>#NAME?</v>
      </c>
      <c r="BR279" s="26">
        <f>VLOOKUP($A279,tabCustoUnit[],COLUMN(CUSTO_GLOBAL[[#Headers],[COFINS]])-2,0)</f>
        <v>8.5633802816901458E-2</v>
      </c>
      <c r="BS279" s="26">
        <f>VLOOKUP($A279,tabCustoUnit[],COLUMN(CUSTO_GLOBAL[[#Headers],[PIS]])-2,0)</f>
        <v>1.8591549295774657E-2</v>
      </c>
      <c r="BT279" s="28">
        <f>VLOOKUP($A279,tabCustoUnit[],COLUMN(CUSTO_GLOBAL[[#Headers],[ISS]])-2,0)</f>
        <v>0.02</v>
      </c>
      <c r="BU279" s="26">
        <f>VLOOKUP($A279,tabCustoUnit[],COLUMN(CUSTO_GLOBAL[[#Headers],[ISS (Conversão Alíquota s/ fatura)]])-2,0)</f>
        <v>2.2535211267605645E-2</v>
      </c>
      <c r="BV279" s="26">
        <f>VLOOKUP($A279,tabCustoUnit[],COLUMN(CUSTO_GLOBAL[[#Headers],[Resumo de Alíquotas (PIS+CONFINS+ISS)]])-2,0)</f>
        <v>0.1125</v>
      </c>
      <c r="BW279" s="138">
        <f>VLOOKUP($A279,tabCustoUnit[],COLUMN(CUSTO_GLOBAL[[#Headers],[PIS + COFINS + ISS (Total Conversão  Alíquota s/ Fatura)]])-2,0)</f>
        <v>0.12676056338028174</v>
      </c>
      <c r="BX279" s="22" t="e">
        <f ca="1">VLOOKUP($A279,tabCustoUnit[],COLUMN(CUSTO_GLOBAL[[#Headers],[Valor dos Tributos (ISS, PIS, CONFINS)]])-2,0)*($G279-$H279)</f>
        <v>#NAME?</v>
      </c>
      <c r="BY279" s="22" t="e">
        <f ca="1">VLOOKUP($A279,tabCustoUnit[],COLUMN(CUSTO_GLOBAL[[#Headers],[MÓDULO 6 – CUSTOS INDIRETOS, TRIBUTOS E LUCRO]])-2,0)*($G279-$H279)</f>
        <v>#NAME?</v>
      </c>
      <c r="BZ279" s="22" t="e">
        <f ca="1">VLOOKUP($A279,tabCustoUnit[],COLUMN(CUSTO_GLOBAL[[#Headers],[CUSTO TOTAL MENSAL]])-2,0)*($G279-$H279)</f>
        <v>#NAME?</v>
      </c>
      <c r="CA279" s="22" t="e">
        <f ca="1">CUSTO_GLOBAL[[#This Row],[CUSTO TOTAL MENSAL]]*12</f>
        <v>#NAME?</v>
      </c>
      <c r="CB279" s="24">
        <f>VLOOKUP($A279,tabCustoUnit[],COLUMN(CUSTO_GLOBAL[[#Headers],[ANO DA CCT]])-2,0)</f>
        <v>45658</v>
      </c>
      <c r="CC279" s="25" t="str">
        <f>VLOOKUP($A279,tabCustoUnit[],COLUMN(CUSTO_GLOBAL[[#Headers],[Nº DE PEDIDO DA CCT]])-2,0)</f>
        <v>-</v>
      </c>
      <c r="CD279" s="25" t="str">
        <f>VLOOKUP($A279,tabCustoUnit[],COLUMN(CUSTO_GLOBAL[[#Headers],[TERMO ADITIVO ALTERAÇÃO DA CCT]])-2,0)</f>
        <v>-</v>
      </c>
    </row>
    <row r="280" spans="1:82">
      <c r="A280" s="20" t="s">
        <v>1696</v>
      </c>
      <c r="B280" t="s">
        <v>1199</v>
      </c>
      <c r="C280" t="s">
        <v>324</v>
      </c>
      <c r="D280" t="s">
        <v>961</v>
      </c>
      <c r="E280" s="20" t="s">
        <v>1090</v>
      </c>
      <c r="F280" s="20" t="s">
        <v>120</v>
      </c>
      <c r="G280" s="20">
        <v>1</v>
      </c>
      <c r="H280" s="20">
        <v>0</v>
      </c>
      <c r="I280" s="21">
        <f>VLOOKUP($A280,tabCustoUnit[],COLUMN(CUSTO_GLOBAL[[#Headers],[Salário Base]])-2,0)*($G280-$H280)</f>
        <v>3397.1305000000002</v>
      </c>
      <c r="J280" s="21">
        <f>VLOOKUP($A280,tabCustoUnit[],COLUMN(CUSTO_GLOBAL[[#Headers],[Adicional Periculosidade]])-2,0)*($G280-$H280)</f>
        <v>0</v>
      </c>
      <c r="K280" s="21">
        <f>VLOOKUP($A280,tabCustoUnit[],COLUMN(CUSTO_GLOBAL[[#Headers],[Adicional Insalubridade]])-2,0)*($G280-$H280)</f>
        <v>0</v>
      </c>
      <c r="L280" s="21">
        <f>VLOOKUP($A280,tabCustoUnit[],COLUMN(CUSTO_GLOBAL[[#Headers],[Adicional Noturno]])-2,0)*($G280-$H280)</f>
        <v>0</v>
      </c>
      <c r="M280" s="21">
        <f>VLOOKUP($A280,tabCustoUnit[],COLUMN(CUSTO_GLOBAL[[#Headers],[Adicional Motorista II (Gratificação)]])-2,0)*($G280-$H280)</f>
        <v>0</v>
      </c>
      <c r="N280" s="21">
        <f>VLOOKUP($A280,tabCustoUnit[],COLUMN(CUSTO_GLOBAL[[#Headers],[Adicional de Sobreaviso]])-2,0)*($G280-$H280)</f>
        <v>0</v>
      </c>
      <c r="O280" s="21">
        <f>VLOOKUP($A280,tabCustoUnit[],COLUMN(CUSTO_GLOBAL[[#Headers],[Horas Extras TI]])-2,0)*($G280-$H280)</f>
        <v>0</v>
      </c>
      <c r="P280" s="21">
        <f>VLOOKUP($A280,tabCustoUnit[],COLUMN(CUSTO_GLOBAL[[#Headers],[Adicional de Acúmulo de função]])-2,0)*($G280-$H280)</f>
        <v>0</v>
      </c>
      <c r="Q280" s="21">
        <f>VLOOKUP($A280,tabCustoUnit[],COLUMN(CUSTO_GLOBAL[[#Headers],[MODULO 1 - REMUNERAÇÃO ]])-2,0)*($G280-$H280)</f>
        <v>3397.1305000000002</v>
      </c>
      <c r="R280" s="21">
        <f>VLOOKUP($A280,tabCustoUnit[],COLUMN(CUSTO_GLOBAL[[#Headers],[INSS]])-2,0)*($G280-$H280)</f>
        <v>679.42610000000013</v>
      </c>
      <c r="S280" s="21">
        <f>VLOOKUP($A280,tabCustoUnit[],COLUMN(CUSTO_GLOBAL[[#Headers],[SESI OU SESC]])-2,0)*($G280-$H280)</f>
        <v>50.956957500000001</v>
      </c>
      <c r="T280" s="21">
        <f>VLOOKUP($A280,tabCustoUnit[],COLUMN(CUSTO_GLOBAL[[#Headers],[SENAI OU SENAC]])-2,0)*($G280-$H280)</f>
        <v>33.971305000000001</v>
      </c>
      <c r="U280" s="21">
        <f>VLOOKUP($A280,tabCustoUnit[],COLUMN(CUSTO_GLOBAL[[#Headers],[INCRA]])-2,0)*($G280-$H280)</f>
        <v>6.7942610000000005</v>
      </c>
      <c r="V280" s="21">
        <f>VLOOKUP($A280,tabCustoUnit[],COLUMN(CUSTO_GLOBAL[[#Headers],[Salário Educação]])-2,0)*($G280-$H280)</f>
        <v>84.928262500000017</v>
      </c>
      <c r="W280" s="21">
        <f>VLOOKUP($A280,tabCustoUnit[],COLUMN(CUSTO_GLOBAL[[#Headers],[FGTS]])-2,0)*($G280-$H280)</f>
        <v>271.77044000000001</v>
      </c>
      <c r="X280" s="21">
        <f>VLOOKUP($A280,tabCustoUnit[],COLUMN(CUSTO_GLOBAL[[#Headers],[RAT Ajustado]])-2,0)*($G280-$H280)</f>
        <v>135.88522</v>
      </c>
      <c r="Y280" s="21">
        <f>VLOOKUP($A280,tabCustoUnit[],COLUMN(CUSTO_GLOBAL[[#Headers],[SEBRAE]])-2,0)*($G280-$H280)</f>
        <v>20.382783000000003</v>
      </c>
      <c r="Z280" s="21">
        <f>VLOOKUP($A280,tabCustoUnit[],COLUMN(CUSTO_GLOBAL[[#Headers],[Submódulo 2.1]])-2,0)*($G280-$H280)</f>
        <v>1284.1153290000002</v>
      </c>
      <c r="AA280" s="21">
        <f>VLOOKUP($A280,tabCustoUnit[],COLUMN(CUSTO_GLOBAL[[#Headers],[13º salário (titular)]])-2,0)*($G280-$H280)</f>
        <v>283.09420833333331</v>
      </c>
      <c r="AB280" s="21">
        <f>VLOOKUP($A280,tabCustoUnit[],COLUMN(CUSTO_GLOBAL[[#Headers],[Férias e Adicional de Férias (titular)]])-2,0)*($G280-$H280)</f>
        <v>377.45894444444446</v>
      </c>
      <c r="AC280" s="21">
        <f>VLOOKUP($A280,tabCustoUnit[],COLUMN(CUSTO_GLOBAL[[#Headers],[Incidência do Submódulo 2.1 sobre 13º Salário, Férias e Adicional de Férias]])-2,0)*($G280-$H280)</f>
        <v>249.68909175000005</v>
      </c>
      <c r="AD280" s="21">
        <f>VLOOKUP($A280,tabCustoUnit[],COLUMN(CUSTO_GLOBAL[[#Headers],[Submódulo 2.2]])-2,0)*($G280-$H280)</f>
        <v>910.24224452777776</v>
      </c>
      <c r="AE280" s="22" t="e">
        <f ca="1">VLOOKUP($A280,tabCustoUnit[],COLUMN(CUSTO_GLOBAL[[#Headers],[Vale - Transporte (Descontada parcela do empregado)]])-2,0)*($G280-$H280)</f>
        <v>#NAME?</v>
      </c>
      <c r="AF280" s="22">
        <f>VLOOKUP($A280,tabCustoUnit[],COLUMN(CUSTO_GLOBAL[[#Headers],[Vale - Alimentação (Descontada parcela do empregado)]])-2,0)*($G280-$H280)</f>
        <v>582</v>
      </c>
      <c r="AG280" s="22">
        <f>VLOOKUP($A280,tabCustoUnit[],COLUMN(CUSTO_GLOBAL[[#Headers],[Cesta Básica]])-2,0)*($G280-$H280)</f>
        <v>0</v>
      </c>
      <c r="AH280" s="22">
        <f>VLOOKUP($A280,tabCustoUnit[],COLUMN(CUSTO_GLOBAL[[#Headers],[PAF]])-2,0)*($G280-$H280)</f>
        <v>0</v>
      </c>
      <c r="AI280" s="22">
        <f>VLOOKUP($A280,tabCustoUnit[],COLUMN(CUSTO_GLOBAL[[#Headers],[PQM]])-2,0)*($G280-$H280)</f>
        <v>0</v>
      </c>
      <c r="AJ280" s="22">
        <v>0</v>
      </c>
      <c r="AK280" s="22">
        <f>VLOOKUP($A280,tabCustoUnit[],COLUMN(CUSTO_GLOBAL[[#Headers],[Seguro de Vida]])-2,0)*($G280-$H280)</f>
        <v>3.36</v>
      </c>
      <c r="AL280" s="22">
        <f>VLOOKUP($A280,tabCustoUnit[],COLUMN(CUSTO_GLOBAL[[#Headers],[Despesas de Viagem]])-2,0)*($G280-$H280)</f>
        <v>0</v>
      </c>
      <c r="AM280" s="22" t="e">
        <f ca="1">VLOOKUP($A280,tabCustoUnit[],COLUMN(CUSTO_GLOBAL[[#Headers],[Submódulo 2.3]])-2,0)*($G280-$H280)</f>
        <v>#NAME?</v>
      </c>
      <c r="AN280" s="22" t="e">
        <f ca="1">VLOOKUP($A280,tabCustoUnit[],COLUMN(CUSTO_GLOBAL[[#Headers],[MÓDULO 2 - Total Encargos e Benefícios mensais e diários]])-2,0)*($G280-$H280)</f>
        <v>#NAME?</v>
      </c>
      <c r="AO280" s="22">
        <f>VLOOKUP($A280,tabCustoUnit[],COLUMN(CUSTO_GLOBAL[[#Headers],[Aviso Prévio Indenizado (API) e Reflexo do Aviso Prévio Indenizado]])-2,0)*($G280-$H280)</f>
        <v>23.819887450713736</v>
      </c>
      <c r="AP280" s="22">
        <f>VLOOKUP($A280,tabCustoUnit[],COLUMN(CUSTO_GLOBAL[[#Headers],[Incidência do FGTS sobre API e Reflexo do API]])-2,0)*($G280-$H280)</f>
        <v>1.9055909960570991</v>
      </c>
      <c r="AQ280" s="22">
        <f>VLOOKUP($A280,tabCustoUnit[],COLUMN(CUSTO_GLOBAL[[#Headers],[Multa Rescisória do FGTS sobre o Aviso Prévio Indenizado]])-2,0)*($G280-$H280)</f>
        <v>0.76223639842283974</v>
      </c>
      <c r="AR280" s="22">
        <f>VLOOKUP($A280,tabCustoUnit[],COLUMN(CUSTO_GLOBAL[[#Headers],[Aviso Prévio Trabalhado - APT]])-2,0)*($G280-$H280)</f>
        <v>11.889956750000003</v>
      </c>
      <c r="AS280" s="22">
        <f>VLOOKUP($A280,tabCustoUnit[],COLUMN(CUSTO_GLOBAL[[#Headers],[Incidência dos encargos do submódulo 2.1 sobre Aviso Prévio Trabalhado]])-2,0)*($G280-$H280)</f>
        <v>4.4944036515000017</v>
      </c>
      <c r="AT280" s="22">
        <f>VLOOKUP($A280,tabCustoUnit[],COLUMN(CUSTO_GLOBAL[[#Headers],[Multa Rescisória do FGTS]])-2,0)*($G280-$H280)</f>
        <v>103.87670151111111</v>
      </c>
      <c r="AU280" s="22">
        <f>VLOOKUP($A280,tabCustoUnit[],COLUMN(CUSTO_GLOBAL[[#Headers],[Indenização Adicional (Art. 9º da Lei nº 7.238/84)]])-2,0)*($G280-$H280)</f>
        <v>2.8309420833333339</v>
      </c>
      <c r="AV280" s="22">
        <f>VLOOKUP($A280,tabCustoUnit[],COLUMN(CUSTO_GLOBAL[[#Headers],[MÓDULO 3 – PROVISÃO PARA RESCISÃO]])-2,0)*($G280-$H280)</f>
        <v>149.57971884113812</v>
      </c>
      <c r="AW280" s="22">
        <f>VLOOKUP($A280,tabCustoUnit[],COLUMN(CUSTO_GLOBAL[[#Headers],[Ausência por Doença]])-2,0)*($G280-$H280)</f>
        <v>28.686879777777776</v>
      </c>
      <c r="AX280" s="22">
        <f>VLOOKUP($A280,tabCustoUnit[],COLUMN(CUSTO_GLOBAL[[#Headers],[Ausências Legais]])-2,0)*($G280-$H280)</f>
        <v>6.888625736111111</v>
      </c>
      <c r="AY280" s="22">
        <f>VLOOKUP($A280,tabCustoUnit[],COLUMN(CUSTO_GLOBAL[[#Headers],[Licença Paternidade]])-2,0)*($G280-$H280)</f>
        <v>0.58034312708333335</v>
      </c>
      <c r="AZ280" s="22">
        <f>VLOOKUP($A280,tabCustoUnit[],COLUMN(CUSTO_GLOBAL[[#Headers],[Ausência por Acidente de Trabalho]])-2,0)*($G280-$H280)</f>
        <v>0.70773552083333346</v>
      </c>
      <c r="BA280" s="22">
        <f>VLOOKUP($A280,tabCustoUnit[],COLUMN(CUSTO_GLOBAL[[#Headers],[Férias, Adicional de Férias e 13º  com empregada em gozo de Licença Maternidade]])-2,0)*($G280-$H280)</f>
        <v>4.4036876851851856</v>
      </c>
      <c r="BB280" s="22">
        <f>VLOOKUP($A280,tabCustoUnit[],COLUMN(CUSTO_GLOBAL[[#Headers],[Incidência do Submódulo 2.1 sobre Ausências Legais]])-2,0)*($G280-$H280)</f>
        <v>15.599028758162504</v>
      </c>
      <c r="BC280" s="22">
        <f>VLOOKUP($A280,tabCustoUnit[],COLUMN(CUSTO_GLOBAL[[#Headers],[Submódulo 4.1]])-2,0)*($G280-$H280)</f>
        <v>56.866300605153235</v>
      </c>
      <c r="BD280" s="22">
        <f>VLOOKUP($A280,tabCustoUnit[],COLUMN(CUSTO_GLOBAL[[#Headers],[Intervalo para Repouso ou Alimentação]])-2,0)*($G280-$H280)</f>
        <v>0</v>
      </c>
      <c r="BE280" s="22">
        <f>VLOOKUP($A280,tabCustoUnit[],COLUMN(CUSTO_GLOBAL[[#Headers],[Submódulo 4.2]])-2,0)*($G280-$H280)</f>
        <v>0</v>
      </c>
      <c r="BF280" s="22">
        <f>VLOOKUP($A280,tabCustoUnit[],COLUMN(CUSTO_GLOBAL[[#Headers],[Suspensão Temporária do Contrato de Trabalho]])-2,0)*($G280-$H280)</f>
        <v>0</v>
      </c>
      <c r="BG280" s="22">
        <f>VLOOKUP($A280,tabCustoUnit[],COLUMN(CUSTO_GLOBAL[[#Headers],[Submódulo 4.3]])-2,0)*($G280-$H280)</f>
        <v>0</v>
      </c>
      <c r="BH280" s="22">
        <f>VLOOKUP($A280,tabCustoUnit[],COLUMN(CUSTO_GLOBAL[[#Headers],[MÓDULO 4 – CUSTO DE REPOSIÇÃO DO PROFISSIONAL AUSENTE]])-2,0)*($G280-$H280)</f>
        <v>56.866300605153235</v>
      </c>
      <c r="BI280" s="22">
        <f>VLOOKUP($A280,tabCustoUnit[],COLUMN(CUSTO_GLOBAL[[#Headers],[Uniformes e EPIs]])-2,0)*($G280-$H280)</f>
        <v>56.642978962543395</v>
      </c>
      <c r="BJ280" s="22">
        <f>VLOOKUP($A280,tabCustoUnit[],COLUMN(CUSTO_GLOBAL[[#Headers],[Materiais de Consumo]])-2,0)*($G280-$H280)</f>
        <v>0</v>
      </c>
      <c r="BK280" s="22">
        <f>VLOOKUP($A280,tabCustoUnit[],COLUMN(CUSTO_GLOBAL[[#Headers],[Máquinas e Equipamentos (depreciação)]])-2,0)*($G280-$H280)</f>
        <v>0</v>
      </c>
      <c r="BL280" s="22">
        <f>VLOOKUP($A280,tabCustoUnit[],COLUMN(CUSTO_GLOBAL[[#Headers],[Produtos de Limpeza e Materiais de Higiene Pessoal]])-2,0)*($G280-$H280)</f>
        <v>0</v>
      </c>
      <c r="BM280" s="22">
        <f>VLOOKUP($A280,tabCustoUnit[],COLUMN(CUSTO_GLOBAL[[#Headers],[Outros (especificar)]])-2,0)*($G280-$H280)</f>
        <v>0</v>
      </c>
      <c r="BN280" s="22">
        <f>VLOOKUP($A280,tabCustoUnit[],COLUMN(CUSTO_GLOBAL[[#Headers],[MÓDULO 5 – INSUMOS DIVERSOS]])-2,0)*($G280-$H280)</f>
        <v>56.642978962543395</v>
      </c>
      <c r="BO280" s="22" t="e">
        <f ca="1">VLOOKUP($A280,tabCustoUnit[],COLUMN(CUSTO_GLOBAL[[#Headers],[TOTAL MÓDULOS 1+2+3+4+5]])-2,0)*($G280-$H280)</f>
        <v>#NAME?</v>
      </c>
      <c r="BP280" s="22" t="e">
        <f ca="1">VLOOKUP($A280,tabCustoUnit[],COLUMN(CUSTO_GLOBAL[[#Headers],[Custos Indiretos]])-2,0)*($G280-$H280)</f>
        <v>#NAME?</v>
      </c>
      <c r="BQ280" s="22" t="e">
        <f ca="1">VLOOKUP($A280,tabCustoUnit[],COLUMN(CUSTO_GLOBAL[[#Headers],[Lucro]])-2,0)*($G280-$H280)</f>
        <v>#NAME?</v>
      </c>
      <c r="BR280" s="26">
        <f>VLOOKUP($A280,tabCustoUnit[],COLUMN(CUSTO_GLOBAL[[#Headers],[COFINS]])-2,0)</f>
        <v>8.6609686609686695E-2</v>
      </c>
      <c r="BS280" s="26">
        <f>VLOOKUP($A280,tabCustoUnit[],COLUMN(CUSTO_GLOBAL[[#Headers],[PIS]])-2,0)</f>
        <v>1.880341880341882E-2</v>
      </c>
      <c r="BT280" s="28">
        <f>VLOOKUP($A280,tabCustoUnit[],COLUMN(CUSTO_GLOBAL[[#Headers],[ISS]])-2,0)</f>
        <v>0.03</v>
      </c>
      <c r="BU280" s="26">
        <f>VLOOKUP($A280,tabCustoUnit[],COLUMN(CUSTO_GLOBAL[[#Headers],[ISS (Conversão Alíquota s/ fatura)]])-2,0)</f>
        <v>3.4188034188034219E-2</v>
      </c>
      <c r="BV280" s="26">
        <f>VLOOKUP($A280,tabCustoUnit[],COLUMN(CUSTO_GLOBAL[[#Headers],[Resumo de Alíquotas (PIS+CONFINS+ISS)]])-2,0)</f>
        <v>0.1225</v>
      </c>
      <c r="BW280" s="138">
        <f>VLOOKUP($A280,tabCustoUnit[],COLUMN(CUSTO_GLOBAL[[#Headers],[PIS + COFINS + ISS (Total Conversão  Alíquota s/ Fatura)]])-2,0)</f>
        <v>0.13960113960113973</v>
      </c>
      <c r="BX280" s="22" t="e">
        <f ca="1">VLOOKUP($A280,tabCustoUnit[],COLUMN(CUSTO_GLOBAL[[#Headers],[Valor dos Tributos (ISS, PIS, CONFINS)]])-2,0)*($G280-$H280)</f>
        <v>#NAME?</v>
      </c>
      <c r="BY280" s="22" t="e">
        <f ca="1">VLOOKUP($A280,tabCustoUnit[],COLUMN(CUSTO_GLOBAL[[#Headers],[MÓDULO 6 – CUSTOS INDIRETOS, TRIBUTOS E LUCRO]])-2,0)*($G280-$H280)</f>
        <v>#NAME?</v>
      </c>
      <c r="BZ280" s="22" t="e">
        <f ca="1">VLOOKUP($A280,tabCustoUnit[],COLUMN(CUSTO_GLOBAL[[#Headers],[CUSTO TOTAL MENSAL]])-2,0)*($G280-$H280)</f>
        <v>#NAME?</v>
      </c>
      <c r="CA280" s="22" t="e">
        <f ca="1">CUSTO_GLOBAL[[#This Row],[CUSTO TOTAL MENSAL]]*12</f>
        <v>#NAME?</v>
      </c>
      <c r="CB280" s="24">
        <f>VLOOKUP($A280,tabCustoUnit[],COLUMN(CUSTO_GLOBAL[[#Headers],[ANO DA CCT]])-2,0)</f>
        <v>45658</v>
      </c>
      <c r="CC280" s="25" t="str">
        <f>VLOOKUP($A280,tabCustoUnit[],COLUMN(CUSTO_GLOBAL[[#Headers],[Nº DE PEDIDO DA CCT]])-2,0)</f>
        <v>-</v>
      </c>
      <c r="CD280" s="25" t="str">
        <f>VLOOKUP($A280,tabCustoUnit[],COLUMN(CUSTO_GLOBAL[[#Headers],[TERMO ADITIVO ALTERAÇÃO DA CCT]])-2,0)</f>
        <v>-</v>
      </c>
    </row>
    <row r="281" spans="1:82">
      <c r="A281" s="20" t="s">
        <v>1697</v>
      </c>
      <c r="B281" t="s">
        <v>1200</v>
      </c>
      <c r="C281" t="s">
        <v>314</v>
      </c>
      <c r="D281" t="s">
        <v>942</v>
      </c>
      <c r="E281" s="20" t="s">
        <v>1090</v>
      </c>
      <c r="F281" s="20" t="s">
        <v>120</v>
      </c>
      <c r="G281" s="20">
        <v>1</v>
      </c>
      <c r="H281" s="20">
        <v>0</v>
      </c>
      <c r="I281" s="21">
        <f>VLOOKUP($A281,tabCustoUnit[],COLUMN(CUSTO_GLOBAL[[#Headers],[Salário Base]])-2,0)*($G281-$H281)</f>
        <v>1963.405</v>
      </c>
      <c r="J281" s="21">
        <f>VLOOKUP($A281,tabCustoUnit[],COLUMN(CUSTO_GLOBAL[[#Headers],[Adicional Periculosidade]])-2,0)*($G281-$H281)</f>
        <v>0</v>
      </c>
      <c r="K281" s="21">
        <f>VLOOKUP($A281,tabCustoUnit[],COLUMN(CUSTO_GLOBAL[[#Headers],[Adicional Insalubridade]])-2,0)*($G281-$H281)</f>
        <v>0</v>
      </c>
      <c r="L281" s="21">
        <f>VLOOKUP($A281,tabCustoUnit[],COLUMN(CUSTO_GLOBAL[[#Headers],[Adicional Noturno]])-2,0)*($G281-$H281)</f>
        <v>0</v>
      </c>
      <c r="M281" s="21">
        <f>VLOOKUP($A281,tabCustoUnit[],COLUMN(CUSTO_GLOBAL[[#Headers],[Adicional Motorista II (Gratificação)]])-2,0)*($G281-$H281)</f>
        <v>0</v>
      </c>
      <c r="N281" s="21">
        <f>VLOOKUP($A281,tabCustoUnit[],COLUMN(CUSTO_GLOBAL[[#Headers],[Adicional de Sobreaviso]])-2,0)*($G281-$H281)</f>
        <v>0</v>
      </c>
      <c r="O281" s="21">
        <f>VLOOKUP($A281,tabCustoUnit[],COLUMN(CUSTO_GLOBAL[[#Headers],[Horas Extras TI]])-2,0)*($G281-$H281)</f>
        <v>0</v>
      </c>
      <c r="P281" s="21">
        <f>VLOOKUP($A281,tabCustoUnit[],COLUMN(CUSTO_GLOBAL[[#Headers],[Adicional de Acúmulo de função]])-2,0)*($G281-$H281)</f>
        <v>0</v>
      </c>
      <c r="Q281" s="21">
        <f>VLOOKUP($A281,tabCustoUnit[],COLUMN(CUSTO_GLOBAL[[#Headers],[MODULO 1 - REMUNERAÇÃO ]])-2,0)*($G281-$H281)</f>
        <v>1963.405</v>
      </c>
      <c r="R281" s="21">
        <f>VLOOKUP($A281,tabCustoUnit[],COLUMN(CUSTO_GLOBAL[[#Headers],[INSS]])-2,0)*($G281-$H281)</f>
        <v>392.68100000000004</v>
      </c>
      <c r="S281" s="21">
        <f>VLOOKUP($A281,tabCustoUnit[],COLUMN(CUSTO_GLOBAL[[#Headers],[SESI OU SESC]])-2,0)*($G281-$H281)</f>
        <v>29.451074999999999</v>
      </c>
      <c r="T281" s="21">
        <f>VLOOKUP($A281,tabCustoUnit[],COLUMN(CUSTO_GLOBAL[[#Headers],[SENAI OU SENAC]])-2,0)*($G281-$H281)</f>
        <v>19.634049999999998</v>
      </c>
      <c r="U281" s="21">
        <f>VLOOKUP($A281,tabCustoUnit[],COLUMN(CUSTO_GLOBAL[[#Headers],[INCRA]])-2,0)*($G281-$H281)</f>
        <v>3.9268100000000001</v>
      </c>
      <c r="V281" s="21">
        <f>VLOOKUP($A281,tabCustoUnit[],COLUMN(CUSTO_GLOBAL[[#Headers],[Salário Educação]])-2,0)*($G281-$H281)</f>
        <v>49.085125000000005</v>
      </c>
      <c r="W281" s="21">
        <f>VLOOKUP($A281,tabCustoUnit[],COLUMN(CUSTO_GLOBAL[[#Headers],[FGTS]])-2,0)*($G281-$H281)</f>
        <v>157.07239999999999</v>
      </c>
      <c r="X281" s="21">
        <f>VLOOKUP($A281,tabCustoUnit[],COLUMN(CUSTO_GLOBAL[[#Headers],[RAT Ajustado]])-2,0)*($G281-$H281)</f>
        <v>78.536199999999994</v>
      </c>
      <c r="Y281" s="21">
        <f>VLOOKUP($A281,tabCustoUnit[],COLUMN(CUSTO_GLOBAL[[#Headers],[SEBRAE]])-2,0)*($G281-$H281)</f>
        <v>11.780430000000001</v>
      </c>
      <c r="Z281" s="21">
        <f>VLOOKUP($A281,tabCustoUnit[],COLUMN(CUSTO_GLOBAL[[#Headers],[Submódulo 2.1]])-2,0)*($G281-$H281)</f>
        <v>742.16709000000003</v>
      </c>
      <c r="AA281" s="21">
        <f>VLOOKUP($A281,tabCustoUnit[],COLUMN(CUSTO_GLOBAL[[#Headers],[13º salário (titular)]])-2,0)*($G281-$H281)</f>
        <v>163.61708333333331</v>
      </c>
      <c r="AB281" s="21">
        <f>VLOOKUP($A281,tabCustoUnit[],COLUMN(CUSTO_GLOBAL[[#Headers],[Férias e Adicional de Férias (titular)]])-2,0)*($G281-$H281)</f>
        <v>218.1561111111111</v>
      </c>
      <c r="AC281" s="21">
        <f>VLOOKUP($A281,tabCustoUnit[],COLUMN(CUSTO_GLOBAL[[#Headers],[Incidência do Submódulo 2.1 sobre 13º Salário, Férias e Adicional de Férias]])-2,0)*($G281-$H281)</f>
        <v>144.31026749999998</v>
      </c>
      <c r="AD281" s="21">
        <f>VLOOKUP($A281,tabCustoUnit[],COLUMN(CUSTO_GLOBAL[[#Headers],[Submódulo 2.2]])-2,0)*($G281-$H281)</f>
        <v>526.08346194444437</v>
      </c>
      <c r="AE281" s="22" t="e">
        <f ca="1">VLOOKUP($A281,tabCustoUnit[],COLUMN(CUSTO_GLOBAL[[#Headers],[Vale - Transporte (Descontada parcela do empregado)]])-2,0)*($G281-$H281)</f>
        <v>#NAME?</v>
      </c>
      <c r="AF281" s="22">
        <f>VLOOKUP($A281,tabCustoUnit[],COLUMN(CUSTO_GLOBAL[[#Headers],[Vale - Alimentação (Descontada parcela do empregado)]])-2,0)*($G281-$H281)</f>
        <v>582</v>
      </c>
      <c r="AG281" s="22">
        <f>VLOOKUP($A281,tabCustoUnit[],COLUMN(CUSTO_GLOBAL[[#Headers],[Cesta Básica]])-2,0)*($G281-$H281)</f>
        <v>0</v>
      </c>
      <c r="AH281" s="22">
        <f>VLOOKUP($A281,tabCustoUnit[],COLUMN(CUSTO_GLOBAL[[#Headers],[PAF]])-2,0)*($G281-$H281)</f>
        <v>51.88</v>
      </c>
      <c r="AI281" s="22">
        <f>VLOOKUP($A281,tabCustoUnit[],COLUMN(CUSTO_GLOBAL[[#Headers],[PQM]])-2,0)*($G281-$H281)</f>
        <v>0</v>
      </c>
      <c r="AJ281" s="22">
        <v>0</v>
      </c>
      <c r="AK281" s="22">
        <f>VLOOKUP($A281,tabCustoUnit[],COLUMN(CUSTO_GLOBAL[[#Headers],[Seguro de Vida]])-2,0)*($G281-$H281)</f>
        <v>3.36</v>
      </c>
      <c r="AL281" s="22">
        <f>VLOOKUP($A281,tabCustoUnit[],COLUMN(CUSTO_GLOBAL[[#Headers],[Despesas de Viagem]])-2,0)*($G281-$H281)</f>
        <v>0</v>
      </c>
      <c r="AM281" s="22" t="e">
        <f ca="1">VLOOKUP($A281,tabCustoUnit[],COLUMN(CUSTO_GLOBAL[[#Headers],[Submódulo 2.3]])-2,0)*($G281-$H281)</f>
        <v>#NAME?</v>
      </c>
      <c r="AN281" s="22" t="e">
        <f ca="1">VLOOKUP($A281,tabCustoUnit[],COLUMN(CUSTO_GLOBAL[[#Headers],[MÓDULO 2 - Total Encargos e Benefícios mensais e diários]])-2,0)*($G281-$H281)</f>
        <v>#NAME?</v>
      </c>
      <c r="AO281" s="22">
        <f>VLOOKUP($A281,tabCustoUnit[],COLUMN(CUSTO_GLOBAL[[#Headers],[Aviso Prévio Indenizado (API) e Reflexo do Aviso Prévio Indenizado]])-2,0)*($G281-$H281)</f>
        <v>13.766938338155864</v>
      </c>
      <c r="AP281" s="22">
        <f>VLOOKUP($A281,tabCustoUnit[],COLUMN(CUSTO_GLOBAL[[#Headers],[Incidência do FGTS sobre API e Reflexo do API]])-2,0)*($G281-$H281)</f>
        <v>1.1013550670524692</v>
      </c>
      <c r="AQ281" s="22">
        <f>VLOOKUP($A281,tabCustoUnit[],COLUMN(CUSTO_GLOBAL[[#Headers],[Multa Rescisória do FGTS sobre o Aviso Prévio Indenizado]])-2,0)*($G281-$H281)</f>
        <v>0.44054202682098775</v>
      </c>
      <c r="AR281" s="22">
        <f>VLOOKUP($A281,tabCustoUnit[],COLUMN(CUSTO_GLOBAL[[#Headers],[Aviso Prévio Trabalhado - APT]])-2,0)*($G281-$H281)</f>
        <v>6.8719175000000012</v>
      </c>
      <c r="AS281" s="22">
        <f>VLOOKUP($A281,tabCustoUnit[],COLUMN(CUSTO_GLOBAL[[#Headers],[Incidência dos encargos do submódulo 2.1 sobre Aviso Prévio Trabalhado]])-2,0)*($G281-$H281)</f>
        <v>2.5975848150000007</v>
      </c>
      <c r="AT281" s="22">
        <f>VLOOKUP($A281,tabCustoUnit[],COLUMN(CUSTO_GLOBAL[[#Headers],[Multa Rescisória do FGTS]])-2,0)*($G281-$H281)</f>
        <v>60.03656177777777</v>
      </c>
      <c r="AU281" s="22">
        <f>VLOOKUP($A281,tabCustoUnit[],COLUMN(CUSTO_GLOBAL[[#Headers],[Indenização Adicional (Art. 9º da Lei nº 7.238/84)]])-2,0)*($G281-$H281)</f>
        <v>1.6361708333333334</v>
      </c>
      <c r="AV281" s="22">
        <f>VLOOKUP($A281,tabCustoUnit[],COLUMN(CUSTO_GLOBAL[[#Headers],[MÓDULO 3 – PROVISÃO PARA RESCISÃO]])-2,0)*($G281-$H281)</f>
        <v>86.451070358140427</v>
      </c>
      <c r="AW281" s="22">
        <f>VLOOKUP($A281,tabCustoUnit[],COLUMN(CUSTO_GLOBAL[[#Headers],[Ausência por Doença]])-2,0)*($G281-$H281)</f>
        <v>16.579864444444443</v>
      </c>
      <c r="AX281" s="22">
        <f>VLOOKUP($A281,tabCustoUnit[],COLUMN(CUSTO_GLOBAL[[#Headers],[Ausências Legais]])-2,0)*($G281-$H281)</f>
        <v>3.9813490277777777</v>
      </c>
      <c r="AY281" s="22">
        <f>VLOOKUP($A281,tabCustoUnit[],COLUMN(CUSTO_GLOBAL[[#Headers],[Licença Paternidade]])-2,0)*($G281-$H281)</f>
        <v>0.3354150208333333</v>
      </c>
      <c r="AZ281" s="22">
        <f>VLOOKUP($A281,tabCustoUnit[],COLUMN(CUSTO_GLOBAL[[#Headers],[Ausência por Acidente de Trabalho]])-2,0)*($G281-$H281)</f>
        <v>0.40904270833333334</v>
      </c>
      <c r="BA281" s="22">
        <f>VLOOKUP($A281,tabCustoUnit[],COLUMN(CUSTO_GLOBAL[[#Headers],[Férias, Adicional de Férias e 13º  com empregada em gozo de Licença Maternidade]])-2,0)*($G281-$H281)</f>
        <v>2.5451546296296295</v>
      </c>
      <c r="BB281" s="22">
        <f>VLOOKUP($A281,tabCustoUnit[],COLUMN(CUSTO_GLOBAL[[#Headers],[Incidência do Submódulo 2.1 sobre Ausências Legais]])-2,0)*($G281-$H281)</f>
        <v>9.0156121641250007</v>
      </c>
      <c r="BC281" s="22">
        <f>VLOOKUP($A281,tabCustoUnit[],COLUMN(CUSTO_GLOBAL[[#Headers],[Submódulo 4.1]])-2,0)*($G281-$H281)</f>
        <v>32.866437995143521</v>
      </c>
      <c r="BD281" s="22">
        <f>VLOOKUP($A281,tabCustoUnit[],COLUMN(CUSTO_GLOBAL[[#Headers],[Intervalo para Repouso ou Alimentação]])-2,0)*($G281-$H281)</f>
        <v>267.73704981301341</v>
      </c>
      <c r="BE281" s="22">
        <f>VLOOKUP($A281,tabCustoUnit[],COLUMN(CUSTO_GLOBAL[[#Headers],[Submódulo 4.2]])-2,0)*($G281-$H281)</f>
        <v>267.73704981301341</v>
      </c>
      <c r="BF281" s="22">
        <f>VLOOKUP($A281,tabCustoUnit[],COLUMN(CUSTO_GLOBAL[[#Headers],[Suspensão Temporária do Contrato de Trabalho]])-2,0)*($G281-$H281)</f>
        <v>0</v>
      </c>
      <c r="BG281" s="22">
        <f>VLOOKUP($A281,tabCustoUnit[],COLUMN(CUSTO_GLOBAL[[#Headers],[Submódulo 4.3]])-2,0)*($G281-$H281)</f>
        <v>0</v>
      </c>
      <c r="BH281" s="22">
        <f>VLOOKUP($A281,tabCustoUnit[],COLUMN(CUSTO_GLOBAL[[#Headers],[MÓDULO 4 – CUSTO DE REPOSIÇÃO DO PROFISSIONAL AUSENTE]])-2,0)*($G281-$H281)</f>
        <v>300.60348780815696</v>
      </c>
      <c r="BI281" s="22">
        <f>VLOOKUP($A281,tabCustoUnit[],COLUMN(CUSTO_GLOBAL[[#Headers],[Uniformes e EPIs]])-2,0)*($G281-$H281)</f>
        <v>56.642978962543395</v>
      </c>
      <c r="BJ281" s="22">
        <f>VLOOKUP($A281,tabCustoUnit[],COLUMN(CUSTO_GLOBAL[[#Headers],[Materiais de Consumo]])-2,0)*($G281-$H281)</f>
        <v>0</v>
      </c>
      <c r="BK281" s="22">
        <f>VLOOKUP($A281,tabCustoUnit[],COLUMN(CUSTO_GLOBAL[[#Headers],[Máquinas e Equipamentos (depreciação)]])-2,0)*($G281-$H281)</f>
        <v>0</v>
      </c>
      <c r="BL281" s="22">
        <f>VLOOKUP($A281,tabCustoUnit[],COLUMN(CUSTO_GLOBAL[[#Headers],[Produtos de Limpeza e Materiais de Higiene Pessoal]])-2,0)*($G281-$H281)</f>
        <v>0</v>
      </c>
      <c r="BM281" s="22">
        <f>VLOOKUP($A281,tabCustoUnit[],COLUMN(CUSTO_GLOBAL[[#Headers],[Outros (especificar)]])-2,0)*($G281-$H281)</f>
        <v>0</v>
      </c>
      <c r="BN281" s="22">
        <f>VLOOKUP($A281,tabCustoUnit[],COLUMN(CUSTO_GLOBAL[[#Headers],[MÓDULO 5 – INSUMOS DIVERSOS]])-2,0)*($G281-$H281)</f>
        <v>56.642978962543395</v>
      </c>
      <c r="BO281" s="22" t="e">
        <f ca="1">VLOOKUP($A281,tabCustoUnit[],COLUMN(CUSTO_GLOBAL[[#Headers],[TOTAL MÓDULOS 1+2+3+4+5]])-2,0)*($G281-$H281)</f>
        <v>#NAME?</v>
      </c>
      <c r="BP281" s="22" t="e">
        <f ca="1">VLOOKUP($A281,tabCustoUnit[],COLUMN(CUSTO_GLOBAL[[#Headers],[Custos Indiretos]])-2,0)*($G281-$H281)</f>
        <v>#NAME?</v>
      </c>
      <c r="BQ281" s="22" t="e">
        <f ca="1">VLOOKUP($A281,tabCustoUnit[],COLUMN(CUSTO_GLOBAL[[#Headers],[Lucro]])-2,0)*($G281-$H281)</f>
        <v>#NAME?</v>
      </c>
      <c r="BR281" s="26">
        <f>VLOOKUP($A281,tabCustoUnit[],COLUMN(CUSTO_GLOBAL[[#Headers],[COFINS]])-2,0)</f>
        <v>8.6609686609686695E-2</v>
      </c>
      <c r="BS281" s="26">
        <f>VLOOKUP($A281,tabCustoUnit[],COLUMN(CUSTO_GLOBAL[[#Headers],[PIS]])-2,0)</f>
        <v>1.880341880341882E-2</v>
      </c>
      <c r="BT281" s="28">
        <f>VLOOKUP($A281,tabCustoUnit[],COLUMN(CUSTO_GLOBAL[[#Headers],[ISS]])-2,0)</f>
        <v>0.03</v>
      </c>
      <c r="BU281" s="26">
        <f>VLOOKUP($A281,tabCustoUnit[],COLUMN(CUSTO_GLOBAL[[#Headers],[ISS (Conversão Alíquota s/ fatura)]])-2,0)</f>
        <v>3.4188034188034219E-2</v>
      </c>
      <c r="BV281" s="26">
        <f>VLOOKUP($A281,tabCustoUnit[],COLUMN(CUSTO_GLOBAL[[#Headers],[Resumo de Alíquotas (PIS+CONFINS+ISS)]])-2,0)</f>
        <v>0.1225</v>
      </c>
      <c r="BW281" s="138">
        <f>VLOOKUP($A281,tabCustoUnit[],COLUMN(CUSTO_GLOBAL[[#Headers],[PIS + COFINS + ISS (Total Conversão  Alíquota s/ Fatura)]])-2,0)</f>
        <v>0.13960113960113973</v>
      </c>
      <c r="BX281" s="22" t="e">
        <f ca="1">VLOOKUP($A281,tabCustoUnit[],COLUMN(CUSTO_GLOBAL[[#Headers],[Valor dos Tributos (ISS, PIS, CONFINS)]])-2,0)*($G281-$H281)</f>
        <v>#NAME?</v>
      </c>
      <c r="BY281" s="22" t="e">
        <f ca="1">VLOOKUP($A281,tabCustoUnit[],COLUMN(CUSTO_GLOBAL[[#Headers],[MÓDULO 6 – CUSTOS INDIRETOS, TRIBUTOS E LUCRO]])-2,0)*($G281-$H281)</f>
        <v>#NAME?</v>
      </c>
      <c r="BZ281" s="22" t="e">
        <f ca="1">VLOOKUP($A281,tabCustoUnit[],COLUMN(CUSTO_GLOBAL[[#Headers],[CUSTO TOTAL MENSAL]])-2,0)*($G281-$H281)</f>
        <v>#NAME?</v>
      </c>
      <c r="CA281" s="22" t="e">
        <f ca="1">CUSTO_GLOBAL[[#This Row],[CUSTO TOTAL MENSAL]]*12</f>
        <v>#NAME?</v>
      </c>
      <c r="CB281" s="24">
        <f>VLOOKUP($A281,tabCustoUnit[],COLUMN(CUSTO_GLOBAL[[#Headers],[ANO DA CCT]])-2,0)</f>
        <v>45658</v>
      </c>
      <c r="CC281" s="25" t="str">
        <f>VLOOKUP($A281,tabCustoUnit[],COLUMN(CUSTO_GLOBAL[[#Headers],[Nº DE PEDIDO DA CCT]])-2,0)</f>
        <v>-</v>
      </c>
      <c r="CD281" s="25" t="str">
        <f>VLOOKUP($A281,tabCustoUnit[],COLUMN(CUSTO_GLOBAL[[#Headers],[TERMO ADITIVO ALTERAÇÃO DA CCT]])-2,0)</f>
        <v>-</v>
      </c>
    </row>
    <row r="282" spans="1:82">
      <c r="A282" s="20" t="s">
        <v>1508</v>
      </c>
      <c r="B282" t="s">
        <v>1201</v>
      </c>
      <c r="C282" t="s">
        <v>200</v>
      </c>
      <c r="D282" t="s">
        <v>954</v>
      </c>
      <c r="E282" s="20" t="s">
        <v>1090</v>
      </c>
      <c r="F282" s="20" t="s">
        <v>120</v>
      </c>
      <c r="G282" s="20">
        <v>1</v>
      </c>
      <c r="H282" s="20">
        <v>0</v>
      </c>
      <c r="I282" s="21">
        <f>VLOOKUP($A282,tabCustoUnit[],COLUMN(CUSTO_GLOBAL[[#Headers],[Salário Base]])-2,0)*($G282-$H282)</f>
        <v>1596.2737999999999</v>
      </c>
      <c r="J282" s="21">
        <f>VLOOKUP($A282,tabCustoUnit[],COLUMN(CUSTO_GLOBAL[[#Headers],[Adicional Periculosidade]])-2,0)*($G282-$H282)</f>
        <v>0</v>
      </c>
      <c r="K282" s="21">
        <f>VLOOKUP($A282,tabCustoUnit[],COLUMN(CUSTO_GLOBAL[[#Headers],[Adicional Insalubridade]])-2,0)*($G282-$H282)</f>
        <v>0</v>
      </c>
      <c r="L282" s="21">
        <f>VLOOKUP($A282,tabCustoUnit[],COLUMN(CUSTO_GLOBAL[[#Headers],[Adicional Noturno]])-2,0)*($G282-$H282)</f>
        <v>0</v>
      </c>
      <c r="M282" s="21">
        <f>VLOOKUP($A282,tabCustoUnit[],COLUMN(CUSTO_GLOBAL[[#Headers],[Adicional Motorista II (Gratificação)]])-2,0)*($G282-$H282)</f>
        <v>0</v>
      </c>
      <c r="N282" s="21">
        <f>VLOOKUP($A282,tabCustoUnit[],COLUMN(CUSTO_GLOBAL[[#Headers],[Adicional de Sobreaviso]])-2,0)*($G282-$H282)</f>
        <v>0</v>
      </c>
      <c r="O282" s="21">
        <f>VLOOKUP($A282,tabCustoUnit[],COLUMN(CUSTO_GLOBAL[[#Headers],[Horas Extras TI]])-2,0)*($G282-$H282)</f>
        <v>0</v>
      </c>
      <c r="P282" s="21">
        <f>VLOOKUP($A282,tabCustoUnit[],COLUMN(CUSTO_GLOBAL[[#Headers],[Adicional de Acúmulo de função]])-2,0)*($G282-$H282)</f>
        <v>0</v>
      </c>
      <c r="Q282" s="21">
        <f>VLOOKUP($A282,tabCustoUnit[],COLUMN(CUSTO_GLOBAL[[#Headers],[MODULO 1 - REMUNERAÇÃO ]])-2,0)*($G282-$H282)</f>
        <v>1596.2737999999999</v>
      </c>
      <c r="R282" s="21">
        <f>VLOOKUP($A282,tabCustoUnit[],COLUMN(CUSTO_GLOBAL[[#Headers],[INSS]])-2,0)*($G282-$H282)</f>
        <v>319.25476000000003</v>
      </c>
      <c r="S282" s="21">
        <f>VLOOKUP($A282,tabCustoUnit[],COLUMN(CUSTO_GLOBAL[[#Headers],[SESI OU SESC]])-2,0)*($G282-$H282)</f>
        <v>23.944106999999999</v>
      </c>
      <c r="T282" s="21">
        <f>VLOOKUP($A282,tabCustoUnit[],COLUMN(CUSTO_GLOBAL[[#Headers],[SENAI OU SENAC]])-2,0)*($G282-$H282)</f>
        <v>15.962738</v>
      </c>
      <c r="U282" s="21">
        <f>VLOOKUP($A282,tabCustoUnit[],COLUMN(CUSTO_GLOBAL[[#Headers],[INCRA]])-2,0)*($G282-$H282)</f>
        <v>3.1925476000000002</v>
      </c>
      <c r="V282" s="21">
        <f>VLOOKUP($A282,tabCustoUnit[],COLUMN(CUSTO_GLOBAL[[#Headers],[Salário Educação]])-2,0)*($G282-$H282)</f>
        <v>39.906845000000004</v>
      </c>
      <c r="W282" s="21">
        <f>VLOOKUP($A282,tabCustoUnit[],COLUMN(CUSTO_GLOBAL[[#Headers],[FGTS]])-2,0)*($G282-$H282)</f>
        <v>127.701904</v>
      </c>
      <c r="X282" s="21">
        <f>VLOOKUP($A282,tabCustoUnit[],COLUMN(CUSTO_GLOBAL[[#Headers],[RAT Ajustado]])-2,0)*($G282-$H282)</f>
        <v>63.850951999999999</v>
      </c>
      <c r="Y282" s="21">
        <f>VLOOKUP($A282,tabCustoUnit[],COLUMN(CUSTO_GLOBAL[[#Headers],[SEBRAE]])-2,0)*($G282-$H282)</f>
        <v>9.5776427999999996</v>
      </c>
      <c r="Z282" s="21">
        <f>VLOOKUP($A282,tabCustoUnit[],COLUMN(CUSTO_GLOBAL[[#Headers],[Submódulo 2.1]])-2,0)*($G282-$H282)</f>
        <v>603.39149640000005</v>
      </c>
      <c r="AA282" s="21">
        <f>VLOOKUP($A282,tabCustoUnit[],COLUMN(CUSTO_GLOBAL[[#Headers],[13º salário (titular)]])-2,0)*($G282-$H282)</f>
        <v>133.02281666666664</v>
      </c>
      <c r="AB282" s="21">
        <f>VLOOKUP($A282,tabCustoUnit[],COLUMN(CUSTO_GLOBAL[[#Headers],[Férias e Adicional de Férias (titular)]])-2,0)*($G282-$H282)</f>
        <v>177.36375555555554</v>
      </c>
      <c r="AC282" s="21">
        <f>VLOOKUP($A282,tabCustoUnit[],COLUMN(CUSTO_GLOBAL[[#Headers],[Incidência do Submódulo 2.1 sobre 13º Salário, Férias e Adicional de Férias]])-2,0)*($G282-$H282)</f>
        <v>117.3261243</v>
      </c>
      <c r="AD282" s="21">
        <f>VLOOKUP($A282,tabCustoUnit[],COLUMN(CUSTO_GLOBAL[[#Headers],[Submódulo 2.2]])-2,0)*($G282-$H282)</f>
        <v>427.71269652222219</v>
      </c>
      <c r="AE282" s="22" t="e">
        <f ca="1">VLOOKUP($A282,tabCustoUnit[],COLUMN(CUSTO_GLOBAL[[#Headers],[Vale - Transporte (Descontada parcela do empregado)]])-2,0)*($G282-$H282)</f>
        <v>#NAME?</v>
      </c>
      <c r="AF282" s="22">
        <f>VLOOKUP($A282,tabCustoUnit[],COLUMN(CUSTO_GLOBAL[[#Headers],[Vale - Alimentação (Descontada parcela do empregado)]])-2,0)*($G282-$H282)</f>
        <v>582</v>
      </c>
      <c r="AG282" s="22">
        <f>VLOOKUP($A282,tabCustoUnit[],COLUMN(CUSTO_GLOBAL[[#Headers],[Cesta Básica]])-2,0)*($G282-$H282)</f>
        <v>0</v>
      </c>
      <c r="AH282" s="22">
        <f>VLOOKUP($A282,tabCustoUnit[],COLUMN(CUSTO_GLOBAL[[#Headers],[PAF]])-2,0)*($G282-$H282)</f>
        <v>51.88</v>
      </c>
      <c r="AI282" s="22">
        <f>VLOOKUP($A282,tabCustoUnit[],COLUMN(CUSTO_GLOBAL[[#Headers],[PQM]])-2,0)*($G282-$H282)</f>
        <v>0</v>
      </c>
      <c r="AJ282" s="22">
        <v>0</v>
      </c>
      <c r="AK282" s="22">
        <f>VLOOKUP($A282,tabCustoUnit[],COLUMN(CUSTO_GLOBAL[[#Headers],[Seguro de Vida]])-2,0)*($G282-$H282)</f>
        <v>3.36</v>
      </c>
      <c r="AL282" s="22">
        <f>VLOOKUP($A282,tabCustoUnit[],COLUMN(CUSTO_GLOBAL[[#Headers],[Despesas de Viagem]])-2,0)*($G282-$H282)</f>
        <v>0</v>
      </c>
      <c r="AM282" s="22" t="e">
        <f ca="1">VLOOKUP($A282,tabCustoUnit[],COLUMN(CUSTO_GLOBAL[[#Headers],[Submódulo 2.3]])-2,0)*($G282-$H282)</f>
        <v>#NAME?</v>
      </c>
      <c r="AN282" s="22" t="e">
        <f ca="1">VLOOKUP($A282,tabCustoUnit[],COLUMN(CUSTO_GLOBAL[[#Headers],[MÓDULO 2 - Total Encargos e Benefícios mensais e diários]])-2,0)*($G282-$H282)</f>
        <v>#NAME?</v>
      </c>
      <c r="AO282" s="22">
        <f>VLOOKUP($A282,tabCustoUnit[],COLUMN(CUSTO_GLOBAL[[#Headers],[Aviso Prévio Indenizado (API) e Reflexo do Aviso Prévio Indenizado]])-2,0)*($G282-$H282)</f>
        <v>11.192699914390431</v>
      </c>
      <c r="AP282" s="22">
        <f>VLOOKUP($A282,tabCustoUnit[],COLUMN(CUSTO_GLOBAL[[#Headers],[Incidência do FGTS sobre API e Reflexo do API]])-2,0)*($G282-$H282)</f>
        <v>0.89541599315123466</v>
      </c>
      <c r="AQ282" s="22">
        <f>VLOOKUP($A282,tabCustoUnit[],COLUMN(CUSTO_GLOBAL[[#Headers],[Multa Rescisória do FGTS sobre o Aviso Prévio Indenizado]])-2,0)*($G282-$H282)</f>
        <v>0.35816639726049387</v>
      </c>
      <c r="AR282" s="22">
        <f>VLOOKUP($A282,tabCustoUnit[],COLUMN(CUSTO_GLOBAL[[#Headers],[Aviso Prévio Trabalhado - APT]])-2,0)*($G282-$H282)</f>
        <v>5.5869583000000009</v>
      </c>
      <c r="AS282" s="22">
        <f>VLOOKUP($A282,tabCustoUnit[],COLUMN(CUSTO_GLOBAL[[#Headers],[Incidência dos encargos do submódulo 2.1 sobre Aviso Prévio Trabalhado]])-2,0)*($G282-$H282)</f>
        <v>2.1118702374000007</v>
      </c>
      <c r="AT282" s="22">
        <f>VLOOKUP($A282,tabCustoUnit[],COLUMN(CUSTO_GLOBAL[[#Headers],[Multa Rescisória do FGTS]])-2,0)*($G282-$H282)</f>
        <v>48.810505528888882</v>
      </c>
      <c r="AU282" s="22">
        <f>VLOOKUP($A282,tabCustoUnit[],COLUMN(CUSTO_GLOBAL[[#Headers],[Indenização Adicional (Art. 9º da Lei nº 7.238/84)]])-2,0)*($G282-$H282)</f>
        <v>1.3302281666666667</v>
      </c>
      <c r="AV282" s="22">
        <f>VLOOKUP($A282,tabCustoUnit[],COLUMN(CUSTO_GLOBAL[[#Headers],[MÓDULO 3 – PROVISÃO PARA RESCISÃO]])-2,0)*($G282-$H282)</f>
        <v>70.285844537757711</v>
      </c>
      <c r="AW282" s="22">
        <f>VLOOKUP($A282,tabCustoUnit[],COLUMN(CUSTO_GLOBAL[[#Headers],[Ausência por Doença]])-2,0)*($G282-$H282)</f>
        <v>13.479645422222221</v>
      </c>
      <c r="AX282" s="22">
        <f>VLOOKUP($A282,tabCustoUnit[],COLUMN(CUSTO_GLOBAL[[#Headers],[Ausências Legais]])-2,0)*($G282-$H282)</f>
        <v>3.2368885388888886</v>
      </c>
      <c r="AY282" s="22">
        <f>VLOOKUP($A282,tabCustoUnit[],COLUMN(CUSTO_GLOBAL[[#Headers],[Licença Paternidade]])-2,0)*($G282-$H282)</f>
        <v>0.27269677416666666</v>
      </c>
      <c r="AZ282" s="22">
        <f>VLOOKUP($A282,tabCustoUnit[],COLUMN(CUSTO_GLOBAL[[#Headers],[Ausência por Acidente de Trabalho]])-2,0)*($G282-$H282)</f>
        <v>0.33255704166666666</v>
      </c>
      <c r="BA282" s="22">
        <f>VLOOKUP($A282,tabCustoUnit[],COLUMN(CUSTO_GLOBAL[[#Headers],[Férias, Adicional de Férias e 13º  com empregada em gozo de Licença Maternidade]])-2,0)*($G282-$H282)</f>
        <v>2.0692438148148145</v>
      </c>
      <c r="BB282" s="22">
        <f>VLOOKUP($A282,tabCustoUnit[],COLUMN(CUSTO_GLOBAL[[#Headers],[Incidência do Submódulo 2.1 sobre Ausências Legais]])-2,0)*($G282-$H282)</f>
        <v>7.3298099416850011</v>
      </c>
      <c r="BC282" s="22">
        <f>VLOOKUP($A282,tabCustoUnit[],COLUMN(CUSTO_GLOBAL[[#Headers],[Submódulo 4.1]])-2,0)*($G282-$H282)</f>
        <v>26.720841533444265</v>
      </c>
      <c r="BD282" s="22">
        <f>VLOOKUP($A282,tabCustoUnit[],COLUMN(CUSTO_GLOBAL[[#Headers],[Intervalo para Repouso ou Alimentação]])-2,0)*($G282-$H282)</f>
        <v>0</v>
      </c>
      <c r="BE282" s="22">
        <f>VLOOKUP($A282,tabCustoUnit[],COLUMN(CUSTO_GLOBAL[[#Headers],[Submódulo 4.2]])-2,0)*($G282-$H282)</f>
        <v>0</v>
      </c>
      <c r="BF282" s="22">
        <f>VLOOKUP($A282,tabCustoUnit[],COLUMN(CUSTO_GLOBAL[[#Headers],[Suspensão Temporária do Contrato de Trabalho]])-2,0)*($G282-$H282)</f>
        <v>0</v>
      </c>
      <c r="BG282" s="22">
        <f>VLOOKUP($A282,tabCustoUnit[],COLUMN(CUSTO_GLOBAL[[#Headers],[Submódulo 4.3]])-2,0)*($G282-$H282)</f>
        <v>0</v>
      </c>
      <c r="BH282" s="22">
        <f>VLOOKUP($A282,tabCustoUnit[],COLUMN(CUSTO_GLOBAL[[#Headers],[MÓDULO 4 – CUSTO DE REPOSIÇÃO DO PROFISSIONAL AUSENTE]])-2,0)*($G282-$H282)</f>
        <v>26.720841533444265</v>
      </c>
      <c r="BI282" s="22">
        <f>VLOOKUP($A282,tabCustoUnit[],COLUMN(CUSTO_GLOBAL[[#Headers],[Uniformes e EPIs]])-2,0)*($G282-$H282)</f>
        <v>56.141713661989918</v>
      </c>
      <c r="BJ282" s="22">
        <f>VLOOKUP($A282,tabCustoUnit[],COLUMN(CUSTO_GLOBAL[[#Headers],[Materiais de Consumo]])-2,0)*($G282-$H282)</f>
        <v>0</v>
      </c>
      <c r="BK282" s="22">
        <f>VLOOKUP($A282,tabCustoUnit[],COLUMN(CUSTO_GLOBAL[[#Headers],[Máquinas e Equipamentos (depreciação)]])-2,0)*($G282-$H282)</f>
        <v>0</v>
      </c>
      <c r="BL282" s="22">
        <f>VLOOKUP($A282,tabCustoUnit[],COLUMN(CUSTO_GLOBAL[[#Headers],[Produtos de Limpeza e Materiais de Higiene Pessoal]])-2,0)*($G282-$H282)</f>
        <v>0</v>
      </c>
      <c r="BM282" s="22">
        <f>VLOOKUP($A282,tabCustoUnit[],COLUMN(CUSTO_GLOBAL[[#Headers],[Outros (especificar)]])-2,0)*($G282-$H282)</f>
        <v>0</v>
      </c>
      <c r="BN282" s="22">
        <f>VLOOKUP($A282,tabCustoUnit[],COLUMN(CUSTO_GLOBAL[[#Headers],[MÓDULO 5 – INSUMOS DIVERSOS]])-2,0)*($G282-$H282)</f>
        <v>56.141713661989918</v>
      </c>
      <c r="BO282" s="22" t="e">
        <f ca="1">VLOOKUP($A282,tabCustoUnit[],COLUMN(CUSTO_GLOBAL[[#Headers],[TOTAL MÓDULOS 1+2+3+4+5]])-2,0)*($G282-$H282)</f>
        <v>#NAME?</v>
      </c>
      <c r="BP282" s="22" t="e">
        <f ca="1">VLOOKUP($A282,tabCustoUnit[],COLUMN(CUSTO_GLOBAL[[#Headers],[Custos Indiretos]])-2,0)*($G282-$H282)</f>
        <v>#NAME?</v>
      </c>
      <c r="BQ282" s="22" t="e">
        <f ca="1">VLOOKUP($A282,tabCustoUnit[],COLUMN(CUSTO_GLOBAL[[#Headers],[Lucro]])-2,0)*($G282-$H282)</f>
        <v>#NAME?</v>
      </c>
      <c r="BR282" s="26">
        <f>VLOOKUP($A282,tabCustoUnit[],COLUMN(CUSTO_GLOBAL[[#Headers],[COFINS]])-2,0)</f>
        <v>8.6609686609686695E-2</v>
      </c>
      <c r="BS282" s="26">
        <f>VLOOKUP($A282,tabCustoUnit[],COLUMN(CUSTO_GLOBAL[[#Headers],[PIS]])-2,0)</f>
        <v>1.880341880341882E-2</v>
      </c>
      <c r="BT282" s="28">
        <f>VLOOKUP($A282,tabCustoUnit[],COLUMN(CUSTO_GLOBAL[[#Headers],[ISS]])-2,0)</f>
        <v>0.03</v>
      </c>
      <c r="BU282" s="26">
        <f>VLOOKUP($A282,tabCustoUnit[],COLUMN(CUSTO_GLOBAL[[#Headers],[ISS (Conversão Alíquota s/ fatura)]])-2,0)</f>
        <v>3.4188034188034219E-2</v>
      </c>
      <c r="BV282" s="26">
        <f>VLOOKUP($A282,tabCustoUnit[],COLUMN(CUSTO_GLOBAL[[#Headers],[Resumo de Alíquotas (PIS+CONFINS+ISS)]])-2,0)</f>
        <v>0.1225</v>
      </c>
      <c r="BW282" s="138">
        <f>VLOOKUP($A282,tabCustoUnit[],COLUMN(CUSTO_GLOBAL[[#Headers],[PIS + COFINS + ISS (Total Conversão  Alíquota s/ Fatura)]])-2,0)</f>
        <v>0.13960113960113973</v>
      </c>
      <c r="BX282" s="22" t="e">
        <f ca="1">VLOOKUP($A282,tabCustoUnit[],COLUMN(CUSTO_GLOBAL[[#Headers],[Valor dos Tributos (ISS, PIS, CONFINS)]])-2,0)*($G282-$H282)</f>
        <v>#NAME?</v>
      </c>
      <c r="BY282" s="22" t="e">
        <f ca="1">VLOOKUP($A282,tabCustoUnit[],COLUMN(CUSTO_GLOBAL[[#Headers],[MÓDULO 6 – CUSTOS INDIRETOS, TRIBUTOS E LUCRO]])-2,0)*($G282-$H282)</f>
        <v>#NAME?</v>
      </c>
      <c r="BZ282" s="22" t="e">
        <f ca="1">VLOOKUP($A282,tabCustoUnit[],COLUMN(CUSTO_GLOBAL[[#Headers],[CUSTO TOTAL MENSAL]])-2,0)*($G282-$H282)</f>
        <v>#NAME?</v>
      </c>
      <c r="CA282" s="22" t="e">
        <f ca="1">CUSTO_GLOBAL[[#This Row],[CUSTO TOTAL MENSAL]]*12</f>
        <v>#NAME?</v>
      </c>
      <c r="CB282" s="24">
        <f>VLOOKUP($A282,tabCustoUnit[],COLUMN(CUSTO_GLOBAL[[#Headers],[ANO DA CCT]])-2,0)</f>
        <v>45658</v>
      </c>
      <c r="CC282" s="25" t="str">
        <f>VLOOKUP($A282,tabCustoUnit[],COLUMN(CUSTO_GLOBAL[[#Headers],[Nº DE PEDIDO DA CCT]])-2,0)</f>
        <v>-</v>
      </c>
      <c r="CD282" s="25" t="str">
        <f>VLOOKUP($A282,tabCustoUnit[],COLUMN(CUSTO_GLOBAL[[#Headers],[TERMO ADITIVO ALTERAÇÃO DA CCT]])-2,0)</f>
        <v>-</v>
      </c>
    </row>
    <row r="283" spans="1:82">
      <c r="A283" s="20" t="s">
        <v>1698</v>
      </c>
      <c r="B283" t="s">
        <v>1202</v>
      </c>
      <c r="C283" t="s">
        <v>244</v>
      </c>
      <c r="D283" t="s">
        <v>1048</v>
      </c>
      <c r="E283" s="20" t="s">
        <v>1090</v>
      </c>
      <c r="F283" s="20" t="s">
        <v>120</v>
      </c>
      <c r="G283" s="20">
        <v>1</v>
      </c>
      <c r="H283" s="20">
        <v>0</v>
      </c>
      <c r="I283" s="21">
        <f>VLOOKUP($A283,tabCustoUnit[],COLUMN(CUSTO_GLOBAL[[#Headers],[Salário Base]])-2,0)*($G283-$H283)</f>
        <v>2296.1756999999998</v>
      </c>
      <c r="J283" s="21">
        <f>VLOOKUP($A283,tabCustoUnit[],COLUMN(CUSTO_GLOBAL[[#Headers],[Adicional Periculosidade]])-2,0)*($G283-$H283)</f>
        <v>0</v>
      </c>
      <c r="K283" s="21">
        <f>VLOOKUP($A283,tabCustoUnit[],COLUMN(CUSTO_GLOBAL[[#Headers],[Adicional Insalubridade]])-2,0)*($G283-$H283)</f>
        <v>303.60000000000002</v>
      </c>
      <c r="L283" s="21">
        <f>VLOOKUP($A283,tabCustoUnit[],COLUMN(CUSTO_GLOBAL[[#Headers],[Adicional Noturno]])-2,0)*($G283-$H283)</f>
        <v>0</v>
      </c>
      <c r="M283" s="21">
        <f>VLOOKUP($A283,tabCustoUnit[],COLUMN(CUSTO_GLOBAL[[#Headers],[Adicional Motorista II (Gratificação)]])-2,0)*($G283-$H283)</f>
        <v>0</v>
      </c>
      <c r="N283" s="21">
        <f>VLOOKUP($A283,tabCustoUnit[],COLUMN(CUSTO_GLOBAL[[#Headers],[Adicional de Sobreaviso]])-2,0)*($G283-$H283)</f>
        <v>0</v>
      </c>
      <c r="O283" s="21">
        <f>VLOOKUP($A283,tabCustoUnit[],COLUMN(CUSTO_GLOBAL[[#Headers],[Horas Extras TI]])-2,0)*($G283-$H283)</f>
        <v>0</v>
      </c>
      <c r="P283" s="21">
        <f>VLOOKUP($A283,tabCustoUnit[],COLUMN(CUSTO_GLOBAL[[#Headers],[Adicional de Acúmulo de função]])-2,0)*($G283-$H283)</f>
        <v>0</v>
      </c>
      <c r="Q283" s="21">
        <f>VLOOKUP($A283,tabCustoUnit[],COLUMN(CUSTO_GLOBAL[[#Headers],[MODULO 1 - REMUNERAÇÃO ]])-2,0)*($G283-$H283)</f>
        <v>2599.7756999999997</v>
      </c>
      <c r="R283" s="21">
        <f>VLOOKUP($A283,tabCustoUnit[],COLUMN(CUSTO_GLOBAL[[#Headers],[INSS]])-2,0)*($G283-$H283)</f>
        <v>519.95513999999991</v>
      </c>
      <c r="S283" s="21">
        <f>VLOOKUP($A283,tabCustoUnit[],COLUMN(CUSTO_GLOBAL[[#Headers],[SESI OU SESC]])-2,0)*($G283-$H283)</f>
        <v>38.996635499999996</v>
      </c>
      <c r="T283" s="21">
        <f>VLOOKUP($A283,tabCustoUnit[],COLUMN(CUSTO_GLOBAL[[#Headers],[SENAI OU SENAC]])-2,0)*($G283-$H283)</f>
        <v>25.997756999999996</v>
      </c>
      <c r="U283" s="21">
        <f>VLOOKUP($A283,tabCustoUnit[],COLUMN(CUSTO_GLOBAL[[#Headers],[INCRA]])-2,0)*($G283-$H283)</f>
        <v>5.1995513999999998</v>
      </c>
      <c r="V283" s="21">
        <f>VLOOKUP($A283,tabCustoUnit[],COLUMN(CUSTO_GLOBAL[[#Headers],[Salário Educação]])-2,0)*($G283-$H283)</f>
        <v>64.994392499999989</v>
      </c>
      <c r="W283" s="21">
        <f>VLOOKUP($A283,tabCustoUnit[],COLUMN(CUSTO_GLOBAL[[#Headers],[FGTS]])-2,0)*($G283-$H283)</f>
        <v>207.98205599999997</v>
      </c>
      <c r="X283" s="21">
        <f>VLOOKUP($A283,tabCustoUnit[],COLUMN(CUSTO_GLOBAL[[#Headers],[RAT Ajustado]])-2,0)*($G283-$H283)</f>
        <v>103.99102799999999</v>
      </c>
      <c r="Y283" s="21">
        <f>VLOOKUP($A283,tabCustoUnit[],COLUMN(CUSTO_GLOBAL[[#Headers],[SEBRAE]])-2,0)*($G283-$H283)</f>
        <v>15.598654199999999</v>
      </c>
      <c r="Z283" s="21">
        <f>VLOOKUP($A283,tabCustoUnit[],COLUMN(CUSTO_GLOBAL[[#Headers],[Submódulo 2.1]])-2,0)*($G283-$H283)</f>
        <v>982.71521459999985</v>
      </c>
      <c r="AA283" s="21">
        <f>VLOOKUP($A283,tabCustoUnit[],COLUMN(CUSTO_GLOBAL[[#Headers],[13º salário (titular)]])-2,0)*($G283-$H283)</f>
        <v>216.64797499999997</v>
      </c>
      <c r="AB283" s="21">
        <f>VLOOKUP($A283,tabCustoUnit[],COLUMN(CUSTO_GLOBAL[[#Headers],[Férias e Adicional de Férias (titular)]])-2,0)*($G283-$H283)</f>
        <v>288.86396666666661</v>
      </c>
      <c r="AC283" s="21">
        <f>VLOOKUP($A283,tabCustoUnit[],COLUMN(CUSTO_GLOBAL[[#Headers],[Incidência do Submódulo 2.1 sobre 13º Salário, Férias e Adicional de Férias]])-2,0)*($G283-$H283)</f>
        <v>191.08351394999997</v>
      </c>
      <c r="AD283" s="21">
        <f>VLOOKUP($A283,tabCustoUnit[],COLUMN(CUSTO_GLOBAL[[#Headers],[Submódulo 2.2]])-2,0)*($G283-$H283)</f>
        <v>696.59545561666653</v>
      </c>
      <c r="AE283" s="22" t="e">
        <f ca="1">VLOOKUP($A283,tabCustoUnit[],COLUMN(CUSTO_GLOBAL[[#Headers],[Vale - Transporte (Descontada parcela do empregado)]])-2,0)*($G283-$H283)</f>
        <v>#NAME?</v>
      </c>
      <c r="AF283" s="22">
        <f>VLOOKUP($A283,tabCustoUnit[],COLUMN(CUSTO_GLOBAL[[#Headers],[Vale - Alimentação (Descontada parcela do empregado)]])-2,0)*($G283-$H283)</f>
        <v>582</v>
      </c>
      <c r="AG283" s="22">
        <f>VLOOKUP($A283,tabCustoUnit[],COLUMN(CUSTO_GLOBAL[[#Headers],[Cesta Básica]])-2,0)*($G283-$H283)</f>
        <v>0</v>
      </c>
      <c r="AH283" s="22">
        <f>VLOOKUP($A283,tabCustoUnit[],COLUMN(CUSTO_GLOBAL[[#Headers],[PAF]])-2,0)*($G283-$H283)</f>
        <v>0</v>
      </c>
      <c r="AI283" s="22">
        <f>VLOOKUP($A283,tabCustoUnit[],COLUMN(CUSTO_GLOBAL[[#Headers],[PQM]])-2,0)*($G283-$H283)</f>
        <v>0</v>
      </c>
      <c r="AJ283" s="22">
        <v>0</v>
      </c>
      <c r="AK283" s="22">
        <f>VLOOKUP($A283,tabCustoUnit[],COLUMN(CUSTO_GLOBAL[[#Headers],[Seguro de Vida]])-2,0)*($G283-$H283)</f>
        <v>3.36</v>
      </c>
      <c r="AL283" s="22">
        <f>VLOOKUP($A283,tabCustoUnit[],COLUMN(CUSTO_GLOBAL[[#Headers],[Despesas de Viagem]])-2,0)*($G283-$H283)</f>
        <v>0</v>
      </c>
      <c r="AM283" s="22" t="e">
        <f ca="1">VLOOKUP($A283,tabCustoUnit[],COLUMN(CUSTO_GLOBAL[[#Headers],[Submódulo 2.3]])-2,0)*($G283-$H283)</f>
        <v>#NAME?</v>
      </c>
      <c r="AN283" s="22" t="e">
        <f ca="1">VLOOKUP($A283,tabCustoUnit[],COLUMN(CUSTO_GLOBAL[[#Headers],[MÓDULO 2 - Total Encargos e Benefícios mensais e diários]])-2,0)*($G283-$H283)</f>
        <v>#NAME?</v>
      </c>
      <c r="AO283" s="22">
        <f>VLOOKUP($A283,tabCustoUnit[],COLUMN(CUSTO_GLOBAL[[#Headers],[Aviso Prévio Indenizado (API) e Reflexo do Aviso Prévio Indenizado]])-2,0)*($G283-$H283)</f>
        <v>18.229021396469907</v>
      </c>
      <c r="AP283" s="22">
        <f>VLOOKUP($A283,tabCustoUnit[],COLUMN(CUSTO_GLOBAL[[#Headers],[Incidência do FGTS sobre API e Reflexo do API]])-2,0)*($G283-$H283)</f>
        <v>1.4583217117175926</v>
      </c>
      <c r="AQ283" s="22">
        <f>VLOOKUP($A283,tabCustoUnit[],COLUMN(CUSTO_GLOBAL[[#Headers],[Multa Rescisória do FGTS sobre o Aviso Prévio Indenizado]])-2,0)*($G283-$H283)</f>
        <v>0.58332868468703702</v>
      </c>
      <c r="AR283" s="22">
        <f>VLOOKUP($A283,tabCustoUnit[],COLUMN(CUSTO_GLOBAL[[#Headers],[Aviso Prévio Trabalhado - APT]])-2,0)*($G283-$H283)</f>
        <v>9.0992149500000004</v>
      </c>
      <c r="AS283" s="22">
        <f>VLOOKUP($A283,tabCustoUnit[],COLUMN(CUSTO_GLOBAL[[#Headers],[Incidência dos encargos do submódulo 2.1 sobre Aviso Prévio Trabalhado]])-2,0)*($G283-$H283)</f>
        <v>3.4395032511000005</v>
      </c>
      <c r="AT283" s="22">
        <f>VLOOKUP($A283,tabCustoUnit[],COLUMN(CUSTO_GLOBAL[[#Headers],[Multa Rescisória do FGTS]])-2,0)*($G283-$H283)</f>
        <v>79.495363626666645</v>
      </c>
      <c r="AU283" s="22">
        <f>VLOOKUP($A283,tabCustoUnit[],COLUMN(CUSTO_GLOBAL[[#Headers],[Indenização Adicional (Art. 9º da Lei nº 7.238/84)]])-2,0)*($G283-$H283)</f>
        <v>2.1664797499999997</v>
      </c>
      <c r="AV283" s="22">
        <f>VLOOKUP($A283,tabCustoUnit[],COLUMN(CUSTO_GLOBAL[[#Headers],[MÓDULO 3 – PROVISÃO PARA RESCISÃO]])-2,0)*($G283-$H283)</f>
        <v>114.47123337064117</v>
      </c>
      <c r="AW283" s="22">
        <f>VLOOKUP($A283,tabCustoUnit[],COLUMN(CUSTO_GLOBAL[[#Headers],[Ausência por Doença]])-2,0)*($G283-$H283)</f>
        <v>21.953661466666663</v>
      </c>
      <c r="AX283" s="22">
        <f>VLOOKUP($A283,tabCustoUnit[],COLUMN(CUSTO_GLOBAL[[#Headers],[Ausências Legais]])-2,0)*($G283-$H283)</f>
        <v>5.2717673916666659</v>
      </c>
      <c r="AY283" s="22">
        <f>VLOOKUP($A283,tabCustoUnit[],COLUMN(CUSTO_GLOBAL[[#Headers],[Licença Paternidade]])-2,0)*($G283-$H283)</f>
        <v>0.44412834874999996</v>
      </c>
      <c r="AZ283" s="22">
        <f>VLOOKUP($A283,tabCustoUnit[],COLUMN(CUSTO_GLOBAL[[#Headers],[Ausência por Acidente de Trabalho]])-2,0)*($G283-$H283)</f>
        <v>0.54161993749999993</v>
      </c>
      <c r="BA283" s="22">
        <f>VLOOKUP($A283,tabCustoUnit[],COLUMN(CUSTO_GLOBAL[[#Headers],[Férias, Adicional de Férias e 13º  com empregada em gozo de Licença Maternidade]])-2,0)*($G283-$H283)</f>
        <v>3.3700796111111107</v>
      </c>
      <c r="BB283" s="22">
        <f>VLOOKUP($A283,tabCustoUnit[],COLUMN(CUSTO_GLOBAL[[#Headers],[Incidência do Submódulo 2.1 sobre Ausências Legais]])-2,0)*($G283-$H283)</f>
        <v>11.9377150536525</v>
      </c>
      <c r="BC283" s="22">
        <f>VLOOKUP($A283,tabCustoUnit[],COLUMN(CUSTO_GLOBAL[[#Headers],[Submódulo 4.1]])-2,0)*($G283-$H283)</f>
        <v>43.518971809346937</v>
      </c>
      <c r="BD283" s="22">
        <f>VLOOKUP($A283,tabCustoUnit[],COLUMN(CUSTO_GLOBAL[[#Headers],[Intervalo para Repouso ou Alimentação]])-2,0)*($G283-$H283)</f>
        <v>0</v>
      </c>
      <c r="BE283" s="22">
        <f>VLOOKUP($A283,tabCustoUnit[],COLUMN(CUSTO_GLOBAL[[#Headers],[Submódulo 4.2]])-2,0)*($G283-$H283)</f>
        <v>0</v>
      </c>
      <c r="BF283" s="22">
        <f>VLOOKUP($A283,tabCustoUnit[],COLUMN(CUSTO_GLOBAL[[#Headers],[Suspensão Temporária do Contrato de Trabalho]])-2,0)*($G283-$H283)</f>
        <v>0</v>
      </c>
      <c r="BG283" s="22">
        <f>VLOOKUP($A283,tabCustoUnit[],COLUMN(CUSTO_GLOBAL[[#Headers],[Submódulo 4.3]])-2,0)*($G283-$H283)</f>
        <v>0</v>
      </c>
      <c r="BH283" s="22">
        <f>VLOOKUP($A283,tabCustoUnit[],COLUMN(CUSTO_GLOBAL[[#Headers],[MÓDULO 4 – CUSTO DE REPOSIÇÃO DO PROFISSIONAL AUSENTE]])-2,0)*($G283-$H283)</f>
        <v>43.518971809346937</v>
      </c>
      <c r="BI283" s="22">
        <f>VLOOKUP($A283,tabCustoUnit[],COLUMN(CUSTO_GLOBAL[[#Headers],[Uniformes e EPIs]])-2,0)*($G283-$H283)</f>
        <v>226.33322732312172</v>
      </c>
      <c r="BJ283" s="22">
        <f>VLOOKUP($A283,tabCustoUnit[],COLUMN(CUSTO_GLOBAL[[#Headers],[Materiais de Consumo]])-2,0)*($G283-$H283)</f>
        <v>441.81099462365592</v>
      </c>
      <c r="BK283" s="22">
        <f>VLOOKUP($A283,tabCustoUnit[],COLUMN(CUSTO_GLOBAL[[#Headers],[Máquinas e Equipamentos (depreciação)]])-2,0)*($G283-$H283)</f>
        <v>113.11309677419354</v>
      </c>
      <c r="BL283" s="22">
        <f>VLOOKUP($A283,tabCustoUnit[],COLUMN(CUSTO_GLOBAL[[#Headers],[Produtos de Limpeza e Materiais de Higiene Pessoal]])-2,0)*($G283-$H283)</f>
        <v>0</v>
      </c>
      <c r="BM283" s="22">
        <f>VLOOKUP($A283,tabCustoUnit[],COLUMN(CUSTO_GLOBAL[[#Headers],[Outros (especificar)]])-2,0)*($G283-$H283)</f>
        <v>0</v>
      </c>
      <c r="BN283" s="22">
        <f>VLOOKUP($A283,tabCustoUnit[],COLUMN(CUSTO_GLOBAL[[#Headers],[MÓDULO 5 – INSUMOS DIVERSOS]])-2,0)*($G283-$H283)</f>
        <v>781.25731872097117</v>
      </c>
      <c r="BO283" s="22" t="e">
        <f ca="1">VLOOKUP($A283,tabCustoUnit[],COLUMN(CUSTO_GLOBAL[[#Headers],[TOTAL MÓDULOS 1+2+3+4+5]])-2,0)*($G283-$H283)</f>
        <v>#NAME?</v>
      </c>
      <c r="BP283" s="22" t="e">
        <f ca="1">VLOOKUP($A283,tabCustoUnit[],COLUMN(CUSTO_GLOBAL[[#Headers],[Custos Indiretos]])-2,0)*($G283-$H283)</f>
        <v>#NAME?</v>
      </c>
      <c r="BQ283" s="22" t="e">
        <f ca="1">VLOOKUP($A283,tabCustoUnit[],COLUMN(CUSTO_GLOBAL[[#Headers],[Lucro]])-2,0)*($G283-$H283)</f>
        <v>#NAME?</v>
      </c>
      <c r="BR283" s="26">
        <f>VLOOKUP($A283,tabCustoUnit[],COLUMN(CUSTO_GLOBAL[[#Headers],[COFINS]])-2,0)</f>
        <v>8.7608069164265154E-2</v>
      </c>
      <c r="BS283" s="26">
        <f>VLOOKUP($A283,tabCustoUnit[],COLUMN(CUSTO_GLOBAL[[#Headers],[PIS]])-2,0)</f>
        <v>1.9020172910662814E-2</v>
      </c>
      <c r="BT283" s="28">
        <f>VLOOKUP($A283,tabCustoUnit[],COLUMN(CUSTO_GLOBAL[[#Headers],[ISS]])-2,0)</f>
        <v>0.04</v>
      </c>
      <c r="BU283" s="26">
        <f>VLOOKUP($A283,tabCustoUnit[],COLUMN(CUSTO_GLOBAL[[#Headers],[ISS (Conversão Alíquota s/ fatura)]])-2,0)</f>
        <v>4.6109510086455294E-2</v>
      </c>
      <c r="BV283" s="26">
        <f>VLOOKUP($A283,tabCustoUnit[],COLUMN(CUSTO_GLOBAL[[#Headers],[Resumo de Alíquotas (PIS+CONFINS+ISS)]])-2,0)</f>
        <v>0.13250000000000001</v>
      </c>
      <c r="BW283" s="138">
        <f>VLOOKUP($A283,tabCustoUnit[],COLUMN(CUSTO_GLOBAL[[#Headers],[PIS + COFINS + ISS (Total Conversão  Alíquota s/ Fatura)]])-2,0)</f>
        <v>0.15273775216138324</v>
      </c>
      <c r="BX283" s="22" t="e">
        <f ca="1">VLOOKUP($A283,tabCustoUnit[],COLUMN(CUSTO_GLOBAL[[#Headers],[Valor dos Tributos (ISS, PIS, CONFINS)]])-2,0)*($G283-$H283)</f>
        <v>#NAME?</v>
      </c>
      <c r="BY283" s="22" t="e">
        <f ca="1">VLOOKUP($A283,tabCustoUnit[],COLUMN(CUSTO_GLOBAL[[#Headers],[MÓDULO 6 – CUSTOS INDIRETOS, TRIBUTOS E LUCRO]])-2,0)*($G283-$H283)</f>
        <v>#NAME?</v>
      </c>
      <c r="BZ283" s="22" t="e">
        <f ca="1">VLOOKUP($A283,tabCustoUnit[],COLUMN(CUSTO_GLOBAL[[#Headers],[CUSTO TOTAL MENSAL]])-2,0)*($G283-$H283)</f>
        <v>#NAME?</v>
      </c>
      <c r="CA283" s="22" t="e">
        <f ca="1">CUSTO_GLOBAL[[#This Row],[CUSTO TOTAL MENSAL]]*12</f>
        <v>#NAME?</v>
      </c>
      <c r="CB283" s="24">
        <f>VLOOKUP($A283,tabCustoUnit[],COLUMN(CUSTO_GLOBAL[[#Headers],[ANO DA CCT]])-2,0)</f>
        <v>45658</v>
      </c>
      <c r="CC283" s="25" t="str">
        <f>VLOOKUP($A283,tabCustoUnit[],COLUMN(CUSTO_GLOBAL[[#Headers],[Nº DE PEDIDO DA CCT]])-2,0)</f>
        <v>-</v>
      </c>
      <c r="CD283" s="25" t="str">
        <f>VLOOKUP($A283,tabCustoUnit[],COLUMN(CUSTO_GLOBAL[[#Headers],[TERMO ADITIVO ALTERAÇÃO DA CCT]])-2,0)</f>
        <v>-</v>
      </c>
    </row>
    <row r="284" spans="1:82">
      <c r="A284" s="20" t="s">
        <v>1699</v>
      </c>
      <c r="B284" t="s">
        <v>1202</v>
      </c>
      <c r="C284" t="s">
        <v>314</v>
      </c>
      <c r="D284" t="s">
        <v>1048</v>
      </c>
      <c r="E284" s="20" t="s">
        <v>1090</v>
      </c>
      <c r="F284" s="20" t="s">
        <v>120</v>
      </c>
      <c r="G284" s="20">
        <v>1</v>
      </c>
      <c r="H284" s="20">
        <v>0</v>
      </c>
      <c r="I284" s="21">
        <f>VLOOKUP($A284,tabCustoUnit[],COLUMN(CUSTO_GLOBAL[[#Headers],[Salário Base]])-2,0)*($G284-$H284)</f>
        <v>1963.4110000000001</v>
      </c>
      <c r="J284" s="21">
        <f>VLOOKUP($A284,tabCustoUnit[],COLUMN(CUSTO_GLOBAL[[#Headers],[Adicional Periculosidade]])-2,0)*($G284-$H284)</f>
        <v>0</v>
      </c>
      <c r="K284" s="21">
        <f>VLOOKUP($A284,tabCustoUnit[],COLUMN(CUSTO_GLOBAL[[#Headers],[Adicional Insalubridade]])-2,0)*($G284-$H284)</f>
        <v>0</v>
      </c>
      <c r="L284" s="21">
        <f>VLOOKUP($A284,tabCustoUnit[],COLUMN(CUSTO_GLOBAL[[#Headers],[Adicional Noturno]])-2,0)*($G284-$H284)</f>
        <v>0</v>
      </c>
      <c r="M284" s="21">
        <f>VLOOKUP($A284,tabCustoUnit[],COLUMN(CUSTO_GLOBAL[[#Headers],[Adicional Motorista II (Gratificação)]])-2,0)*($G284-$H284)</f>
        <v>0</v>
      </c>
      <c r="N284" s="21">
        <f>VLOOKUP($A284,tabCustoUnit[],COLUMN(CUSTO_GLOBAL[[#Headers],[Adicional de Sobreaviso]])-2,0)*($G284-$H284)</f>
        <v>0</v>
      </c>
      <c r="O284" s="21">
        <f>VLOOKUP($A284,tabCustoUnit[],COLUMN(CUSTO_GLOBAL[[#Headers],[Horas Extras TI]])-2,0)*($G284-$H284)</f>
        <v>0</v>
      </c>
      <c r="P284" s="21">
        <f>VLOOKUP($A284,tabCustoUnit[],COLUMN(CUSTO_GLOBAL[[#Headers],[Adicional de Acúmulo de função]])-2,0)*($G284-$H284)</f>
        <v>0</v>
      </c>
      <c r="Q284" s="21">
        <f>VLOOKUP($A284,tabCustoUnit[],COLUMN(CUSTO_GLOBAL[[#Headers],[MODULO 1 - REMUNERAÇÃO ]])-2,0)*($G284-$H284)</f>
        <v>1963.4110000000001</v>
      </c>
      <c r="R284" s="21">
        <f>VLOOKUP($A284,tabCustoUnit[],COLUMN(CUSTO_GLOBAL[[#Headers],[INSS]])-2,0)*($G284-$H284)</f>
        <v>392.68220000000002</v>
      </c>
      <c r="S284" s="21">
        <f>VLOOKUP($A284,tabCustoUnit[],COLUMN(CUSTO_GLOBAL[[#Headers],[SESI OU SESC]])-2,0)*($G284-$H284)</f>
        <v>29.451165</v>
      </c>
      <c r="T284" s="21">
        <f>VLOOKUP($A284,tabCustoUnit[],COLUMN(CUSTO_GLOBAL[[#Headers],[SENAI OU SENAC]])-2,0)*($G284-$H284)</f>
        <v>19.63411</v>
      </c>
      <c r="U284" s="21">
        <f>VLOOKUP($A284,tabCustoUnit[],COLUMN(CUSTO_GLOBAL[[#Headers],[INCRA]])-2,0)*($G284-$H284)</f>
        <v>3.926822</v>
      </c>
      <c r="V284" s="21">
        <f>VLOOKUP($A284,tabCustoUnit[],COLUMN(CUSTO_GLOBAL[[#Headers],[Salário Educação]])-2,0)*($G284-$H284)</f>
        <v>49.085275000000003</v>
      </c>
      <c r="W284" s="21">
        <f>VLOOKUP($A284,tabCustoUnit[],COLUMN(CUSTO_GLOBAL[[#Headers],[FGTS]])-2,0)*($G284-$H284)</f>
        <v>157.07288</v>
      </c>
      <c r="X284" s="21">
        <f>VLOOKUP($A284,tabCustoUnit[],COLUMN(CUSTO_GLOBAL[[#Headers],[RAT Ajustado]])-2,0)*($G284-$H284)</f>
        <v>78.536439999999999</v>
      </c>
      <c r="Y284" s="21">
        <f>VLOOKUP($A284,tabCustoUnit[],COLUMN(CUSTO_GLOBAL[[#Headers],[SEBRAE]])-2,0)*($G284-$H284)</f>
        <v>11.780466000000001</v>
      </c>
      <c r="Z284" s="21">
        <f>VLOOKUP($A284,tabCustoUnit[],COLUMN(CUSTO_GLOBAL[[#Headers],[Submódulo 2.1]])-2,0)*($G284-$H284)</f>
        <v>742.1693580000001</v>
      </c>
      <c r="AA284" s="21">
        <f>VLOOKUP($A284,tabCustoUnit[],COLUMN(CUSTO_GLOBAL[[#Headers],[13º salário (titular)]])-2,0)*($G284-$H284)</f>
        <v>163.61758333333333</v>
      </c>
      <c r="AB284" s="21">
        <f>VLOOKUP($A284,tabCustoUnit[],COLUMN(CUSTO_GLOBAL[[#Headers],[Férias e Adicional de Férias (titular)]])-2,0)*($G284-$H284)</f>
        <v>218.15677777777776</v>
      </c>
      <c r="AC284" s="21">
        <f>VLOOKUP($A284,tabCustoUnit[],COLUMN(CUSTO_GLOBAL[[#Headers],[Incidência do Submódulo 2.1 sobre 13º Salário, Férias e Adicional de Férias]])-2,0)*($G284-$H284)</f>
        <v>144.3107085</v>
      </c>
      <c r="AD284" s="21">
        <f>VLOOKUP($A284,tabCustoUnit[],COLUMN(CUSTO_GLOBAL[[#Headers],[Submódulo 2.2]])-2,0)*($G284-$H284)</f>
        <v>526.08506961111107</v>
      </c>
      <c r="AE284" s="22" t="e">
        <f ca="1">VLOOKUP($A284,tabCustoUnit[],COLUMN(CUSTO_GLOBAL[[#Headers],[Vale - Transporte (Descontada parcela do empregado)]])-2,0)*($G284-$H284)</f>
        <v>#NAME?</v>
      </c>
      <c r="AF284" s="22">
        <f>VLOOKUP($A284,tabCustoUnit[],COLUMN(CUSTO_GLOBAL[[#Headers],[Vale - Alimentação (Descontada parcela do empregado)]])-2,0)*($G284-$H284)</f>
        <v>582</v>
      </c>
      <c r="AG284" s="22">
        <f>VLOOKUP($A284,tabCustoUnit[],COLUMN(CUSTO_GLOBAL[[#Headers],[Cesta Básica]])-2,0)*($G284-$H284)</f>
        <v>0</v>
      </c>
      <c r="AH284" s="22">
        <f>VLOOKUP($A284,tabCustoUnit[],COLUMN(CUSTO_GLOBAL[[#Headers],[PAF]])-2,0)*($G284-$H284)</f>
        <v>0</v>
      </c>
      <c r="AI284" s="22">
        <f>VLOOKUP($A284,tabCustoUnit[],COLUMN(CUSTO_GLOBAL[[#Headers],[PQM]])-2,0)*($G284-$H284)</f>
        <v>0</v>
      </c>
      <c r="AJ284" s="22">
        <v>0</v>
      </c>
      <c r="AK284" s="22">
        <f>VLOOKUP($A284,tabCustoUnit[],COLUMN(CUSTO_GLOBAL[[#Headers],[Seguro de Vida]])-2,0)*($G284-$H284)</f>
        <v>3.36</v>
      </c>
      <c r="AL284" s="22">
        <f>VLOOKUP($A284,tabCustoUnit[],COLUMN(CUSTO_GLOBAL[[#Headers],[Despesas de Viagem]])-2,0)*($G284-$H284)</f>
        <v>0</v>
      </c>
      <c r="AM284" s="22" t="e">
        <f ca="1">VLOOKUP($A284,tabCustoUnit[],COLUMN(CUSTO_GLOBAL[[#Headers],[Submódulo 2.3]])-2,0)*($G284-$H284)</f>
        <v>#NAME?</v>
      </c>
      <c r="AN284" s="22" t="e">
        <f ca="1">VLOOKUP($A284,tabCustoUnit[],COLUMN(CUSTO_GLOBAL[[#Headers],[MÓDULO 2 - Total Encargos e Benefícios mensais e diários]])-2,0)*($G284-$H284)</f>
        <v>#NAME?</v>
      </c>
      <c r="AO284" s="22">
        <f>VLOOKUP($A284,tabCustoUnit[],COLUMN(CUSTO_GLOBAL[[#Headers],[Aviso Prévio Indenizado (API) e Reflexo do Aviso Prévio Indenizado]])-2,0)*($G284-$H284)</f>
        <v>13.766980408757716</v>
      </c>
      <c r="AP284" s="22">
        <f>VLOOKUP($A284,tabCustoUnit[],COLUMN(CUSTO_GLOBAL[[#Headers],[Incidência do FGTS sobre API e Reflexo do API]])-2,0)*($G284-$H284)</f>
        <v>1.1013584327006174</v>
      </c>
      <c r="AQ284" s="22">
        <f>VLOOKUP($A284,tabCustoUnit[],COLUMN(CUSTO_GLOBAL[[#Headers],[Multa Rescisória do FGTS sobre o Aviso Prévio Indenizado]])-2,0)*($G284-$H284)</f>
        <v>0.44054337308024699</v>
      </c>
      <c r="AR284" s="22">
        <f>VLOOKUP($A284,tabCustoUnit[],COLUMN(CUSTO_GLOBAL[[#Headers],[Aviso Prévio Trabalhado - APT]])-2,0)*($G284-$H284)</f>
        <v>6.8719385000000015</v>
      </c>
      <c r="AS284" s="22">
        <f>VLOOKUP($A284,tabCustoUnit[],COLUMN(CUSTO_GLOBAL[[#Headers],[Incidência dos encargos do submódulo 2.1 sobre Aviso Prévio Trabalhado]])-2,0)*($G284-$H284)</f>
        <v>2.5975927530000007</v>
      </c>
      <c r="AT284" s="22">
        <f>VLOOKUP($A284,tabCustoUnit[],COLUMN(CUSTO_GLOBAL[[#Headers],[Multa Rescisória do FGTS]])-2,0)*($G284-$H284)</f>
        <v>60.03674524444444</v>
      </c>
      <c r="AU284" s="22">
        <f>VLOOKUP($A284,tabCustoUnit[],COLUMN(CUSTO_GLOBAL[[#Headers],[Indenização Adicional (Art. 9º da Lei nº 7.238/84)]])-2,0)*($G284-$H284)</f>
        <v>1.6361758333333334</v>
      </c>
      <c r="AV284" s="22">
        <f>VLOOKUP($A284,tabCustoUnit[],COLUMN(CUSTO_GLOBAL[[#Headers],[MÓDULO 3 – PROVISÃO PARA RESCISÃO]])-2,0)*($G284-$H284)</f>
        <v>86.451334545316371</v>
      </c>
      <c r="AW284" s="22">
        <f>VLOOKUP($A284,tabCustoUnit[],COLUMN(CUSTO_GLOBAL[[#Headers],[Ausência por Doença]])-2,0)*($G284-$H284)</f>
        <v>16.579915111111109</v>
      </c>
      <c r="AX284" s="22">
        <f>VLOOKUP($A284,tabCustoUnit[],COLUMN(CUSTO_GLOBAL[[#Headers],[Ausências Legais]])-2,0)*($G284-$H284)</f>
        <v>3.9813611944444443</v>
      </c>
      <c r="AY284" s="22">
        <f>VLOOKUP($A284,tabCustoUnit[],COLUMN(CUSTO_GLOBAL[[#Headers],[Licença Paternidade]])-2,0)*($G284-$H284)</f>
        <v>0.33541604583333334</v>
      </c>
      <c r="AZ284" s="22">
        <f>VLOOKUP($A284,tabCustoUnit[],COLUMN(CUSTO_GLOBAL[[#Headers],[Ausência por Acidente de Trabalho]])-2,0)*($G284-$H284)</f>
        <v>0.40904395833333335</v>
      </c>
      <c r="BA284" s="22">
        <f>VLOOKUP($A284,tabCustoUnit[],COLUMN(CUSTO_GLOBAL[[#Headers],[Férias, Adicional de Férias e 13º  com empregada em gozo de Licença Maternidade]])-2,0)*($G284-$H284)</f>
        <v>2.5451624074074073</v>
      </c>
      <c r="BB284" s="22">
        <f>VLOOKUP($A284,tabCustoUnit[],COLUMN(CUSTO_GLOBAL[[#Headers],[Incidência do Submódulo 2.1 sobre Ausências Legais]])-2,0)*($G284-$H284)</f>
        <v>9.0156397150750021</v>
      </c>
      <c r="BC284" s="22">
        <f>VLOOKUP($A284,tabCustoUnit[],COLUMN(CUSTO_GLOBAL[[#Headers],[Submódulo 4.1]])-2,0)*($G284-$H284)</f>
        <v>32.866538432204628</v>
      </c>
      <c r="BD284" s="22">
        <f>VLOOKUP($A284,tabCustoUnit[],COLUMN(CUSTO_GLOBAL[[#Headers],[Intervalo para Repouso ou Alimentação]])-2,0)*($G284-$H284)</f>
        <v>267.73786489195959</v>
      </c>
      <c r="BE284" s="22">
        <f>VLOOKUP($A284,tabCustoUnit[],COLUMN(CUSTO_GLOBAL[[#Headers],[Submódulo 4.2]])-2,0)*($G284-$H284)</f>
        <v>267.73786489195959</v>
      </c>
      <c r="BF284" s="22">
        <f>VLOOKUP($A284,tabCustoUnit[],COLUMN(CUSTO_GLOBAL[[#Headers],[Suspensão Temporária do Contrato de Trabalho]])-2,0)*($G284-$H284)</f>
        <v>0</v>
      </c>
      <c r="BG284" s="22">
        <f>VLOOKUP($A284,tabCustoUnit[],COLUMN(CUSTO_GLOBAL[[#Headers],[Submódulo 4.3]])-2,0)*($G284-$H284)</f>
        <v>0</v>
      </c>
      <c r="BH284" s="22">
        <f>VLOOKUP($A284,tabCustoUnit[],COLUMN(CUSTO_GLOBAL[[#Headers],[MÓDULO 4 – CUSTO DE REPOSIÇÃO DO PROFISSIONAL AUSENTE]])-2,0)*($G284-$H284)</f>
        <v>300.6044033241642</v>
      </c>
      <c r="BI284" s="22">
        <f>VLOOKUP($A284,tabCustoUnit[],COLUMN(CUSTO_GLOBAL[[#Headers],[Uniformes e EPIs]])-2,0)*($G284-$H284)</f>
        <v>56.642978962543395</v>
      </c>
      <c r="BJ284" s="22">
        <f>VLOOKUP($A284,tabCustoUnit[],COLUMN(CUSTO_GLOBAL[[#Headers],[Materiais de Consumo]])-2,0)*($G284-$H284)</f>
        <v>0</v>
      </c>
      <c r="BK284" s="22">
        <f>VLOOKUP($A284,tabCustoUnit[],COLUMN(CUSTO_GLOBAL[[#Headers],[Máquinas e Equipamentos (depreciação)]])-2,0)*($G284-$H284)</f>
        <v>0</v>
      </c>
      <c r="BL284" s="22">
        <f>VLOOKUP($A284,tabCustoUnit[],COLUMN(CUSTO_GLOBAL[[#Headers],[Produtos de Limpeza e Materiais de Higiene Pessoal]])-2,0)*($G284-$H284)</f>
        <v>0</v>
      </c>
      <c r="BM284" s="22">
        <f>VLOOKUP($A284,tabCustoUnit[],COLUMN(CUSTO_GLOBAL[[#Headers],[Outros (especificar)]])-2,0)*($G284-$H284)</f>
        <v>0</v>
      </c>
      <c r="BN284" s="22">
        <f>VLOOKUP($A284,tabCustoUnit[],COLUMN(CUSTO_GLOBAL[[#Headers],[MÓDULO 5 – INSUMOS DIVERSOS]])-2,0)*($G284-$H284)</f>
        <v>56.642978962543395</v>
      </c>
      <c r="BO284" s="22" t="e">
        <f ca="1">VLOOKUP($A284,tabCustoUnit[],COLUMN(CUSTO_GLOBAL[[#Headers],[TOTAL MÓDULOS 1+2+3+4+5]])-2,0)*($G284-$H284)</f>
        <v>#NAME?</v>
      </c>
      <c r="BP284" s="22" t="e">
        <f ca="1">VLOOKUP($A284,tabCustoUnit[],COLUMN(CUSTO_GLOBAL[[#Headers],[Custos Indiretos]])-2,0)*($G284-$H284)</f>
        <v>#NAME?</v>
      </c>
      <c r="BQ284" s="22" t="e">
        <f ca="1">VLOOKUP($A284,tabCustoUnit[],COLUMN(CUSTO_GLOBAL[[#Headers],[Lucro]])-2,0)*($G284-$H284)</f>
        <v>#NAME?</v>
      </c>
      <c r="BR284" s="26">
        <f>VLOOKUP($A284,tabCustoUnit[],COLUMN(CUSTO_GLOBAL[[#Headers],[COFINS]])-2,0)</f>
        <v>8.7608069164265154E-2</v>
      </c>
      <c r="BS284" s="26">
        <f>VLOOKUP($A284,tabCustoUnit[],COLUMN(CUSTO_GLOBAL[[#Headers],[PIS]])-2,0)</f>
        <v>1.9020172910662814E-2</v>
      </c>
      <c r="BT284" s="28">
        <f>VLOOKUP($A284,tabCustoUnit[],COLUMN(CUSTO_GLOBAL[[#Headers],[ISS]])-2,0)</f>
        <v>0.04</v>
      </c>
      <c r="BU284" s="26">
        <f>VLOOKUP($A284,tabCustoUnit[],COLUMN(CUSTO_GLOBAL[[#Headers],[ISS (Conversão Alíquota s/ fatura)]])-2,0)</f>
        <v>4.6109510086455294E-2</v>
      </c>
      <c r="BV284" s="26">
        <f>VLOOKUP($A284,tabCustoUnit[],COLUMN(CUSTO_GLOBAL[[#Headers],[Resumo de Alíquotas (PIS+CONFINS+ISS)]])-2,0)</f>
        <v>0.13250000000000001</v>
      </c>
      <c r="BW284" s="138">
        <f>VLOOKUP($A284,tabCustoUnit[],COLUMN(CUSTO_GLOBAL[[#Headers],[PIS + COFINS + ISS (Total Conversão  Alíquota s/ Fatura)]])-2,0)</f>
        <v>0.15273775216138324</v>
      </c>
      <c r="BX284" s="22" t="e">
        <f ca="1">VLOOKUP($A284,tabCustoUnit[],COLUMN(CUSTO_GLOBAL[[#Headers],[Valor dos Tributos (ISS, PIS, CONFINS)]])-2,0)*($G284-$H284)</f>
        <v>#NAME?</v>
      </c>
      <c r="BY284" s="22" t="e">
        <f ca="1">VLOOKUP($A284,tabCustoUnit[],COLUMN(CUSTO_GLOBAL[[#Headers],[MÓDULO 6 – CUSTOS INDIRETOS, TRIBUTOS E LUCRO]])-2,0)*($G284-$H284)</f>
        <v>#NAME?</v>
      </c>
      <c r="BZ284" s="22" t="e">
        <f ca="1">VLOOKUP($A284,tabCustoUnit[],COLUMN(CUSTO_GLOBAL[[#Headers],[CUSTO TOTAL MENSAL]])-2,0)*($G284-$H284)</f>
        <v>#NAME?</v>
      </c>
      <c r="CA284" s="22" t="e">
        <f ca="1">CUSTO_GLOBAL[[#This Row],[CUSTO TOTAL MENSAL]]*12</f>
        <v>#NAME?</v>
      </c>
      <c r="CB284" s="24">
        <f>VLOOKUP($A284,tabCustoUnit[],COLUMN(CUSTO_GLOBAL[[#Headers],[ANO DA CCT]])-2,0)</f>
        <v>45658</v>
      </c>
      <c r="CC284" s="25" t="str">
        <f>VLOOKUP($A284,tabCustoUnit[],COLUMN(CUSTO_GLOBAL[[#Headers],[Nº DE PEDIDO DA CCT]])-2,0)</f>
        <v>-</v>
      </c>
      <c r="CD284" s="25" t="str">
        <f>VLOOKUP($A284,tabCustoUnit[],COLUMN(CUSTO_GLOBAL[[#Headers],[TERMO ADITIVO ALTERAÇÃO DA CCT]])-2,0)</f>
        <v>-</v>
      </c>
    </row>
    <row r="285" spans="1:82">
      <c r="A285" s="20" t="s">
        <v>1700</v>
      </c>
      <c r="B285" t="s">
        <v>1203</v>
      </c>
      <c r="C285" t="s">
        <v>324</v>
      </c>
      <c r="D285" t="s">
        <v>899</v>
      </c>
      <c r="E285" s="20" t="s">
        <v>1090</v>
      </c>
      <c r="F285" s="20" t="s">
        <v>120</v>
      </c>
      <c r="G285" s="20">
        <v>1</v>
      </c>
      <c r="H285" s="20">
        <v>0</v>
      </c>
      <c r="I285" s="21">
        <f>VLOOKUP($A285,tabCustoUnit[],COLUMN(CUSTO_GLOBAL[[#Headers],[Salário Base]])-2,0)*($G285-$H285)</f>
        <v>3397.1305000000002</v>
      </c>
      <c r="J285" s="21">
        <f>VLOOKUP($A285,tabCustoUnit[],COLUMN(CUSTO_GLOBAL[[#Headers],[Adicional Periculosidade]])-2,0)*($G285-$H285)</f>
        <v>0</v>
      </c>
      <c r="K285" s="21">
        <f>VLOOKUP($A285,tabCustoUnit[],COLUMN(CUSTO_GLOBAL[[#Headers],[Adicional Insalubridade]])-2,0)*($G285-$H285)</f>
        <v>0</v>
      </c>
      <c r="L285" s="21">
        <f>VLOOKUP($A285,tabCustoUnit[],COLUMN(CUSTO_GLOBAL[[#Headers],[Adicional Noturno]])-2,0)*($G285-$H285)</f>
        <v>0</v>
      </c>
      <c r="M285" s="21">
        <f>VLOOKUP($A285,tabCustoUnit[],COLUMN(CUSTO_GLOBAL[[#Headers],[Adicional Motorista II (Gratificação)]])-2,0)*($G285-$H285)</f>
        <v>0</v>
      </c>
      <c r="N285" s="21">
        <f>VLOOKUP($A285,tabCustoUnit[],COLUMN(CUSTO_GLOBAL[[#Headers],[Adicional de Sobreaviso]])-2,0)*($G285-$H285)</f>
        <v>0</v>
      </c>
      <c r="O285" s="21">
        <f>VLOOKUP($A285,tabCustoUnit[],COLUMN(CUSTO_GLOBAL[[#Headers],[Horas Extras TI]])-2,0)*($G285-$H285)</f>
        <v>0</v>
      </c>
      <c r="P285" s="21">
        <f>VLOOKUP($A285,tabCustoUnit[],COLUMN(CUSTO_GLOBAL[[#Headers],[Adicional de Acúmulo de função]])-2,0)*($G285-$H285)</f>
        <v>0</v>
      </c>
      <c r="Q285" s="21">
        <f>VLOOKUP($A285,tabCustoUnit[],COLUMN(CUSTO_GLOBAL[[#Headers],[MODULO 1 - REMUNERAÇÃO ]])-2,0)*($G285-$H285)</f>
        <v>3397.1305000000002</v>
      </c>
      <c r="R285" s="21">
        <f>VLOOKUP($A285,tabCustoUnit[],COLUMN(CUSTO_GLOBAL[[#Headers],[INSS]])-2,0)*($G285-$H285)</f>
        <v>679.42610000000013</v>
      </c>
      <c r="S285" s="21">
        <f>VLOOKUP($A285,tabCustoUnit[],COLUMN(CUSTO_GLOBAL[[#Headers],[SESI OU SESC]])-2,0)*($G285-$H285)</f>
        <v>50.956957500000001</v>
      </c>
      <c r="T285" s="21">
        <f>VLOOKUP($A285,tabCustoUnit[],COLUMN(CUSTO_GLOBAL[[#Headers],[SENAI OU SENAC]])-2,0)*($G285-$H285)</f>
        <v>33.971305000000001</v>
      </c>
      <c r="U285" s="21">
        <f>VLOOKUP($A285,tabCustoUnit[],COLUMN(CUSTO_GLOBAL[[#Headers],[INCRA]])-2,0)*($G285-$H285)</f>
        <v>6.7942610000000005</v>
      </c>
      <c r="V285" s="21">
        <f>VLOOKUP($A285,tabCustoUnit[],COLUMN(CUSTO_GLOBAL[[#Headers],[Salário Educação]])-2,0)*($G285-$H285)</f>
        <v>84.928262500000017</v>
      </c>
      <c r="W285" s="21">
        <f>VLOOKUP($A285,tabCustoUnit[],COLUMN(CUSTO_GLOBAL[[#Headers],[FGTS]])-2,0)*($G285-$H285)</f>
        <v>271.77044000000001</v>
      </c>
      <c r="X285" s="21">
        <f>VLOOKUP($A285,tabCustoUnit[],COLUMN(CUSTO_GLOBAL[[#Headers],[RAT Ajustado]])-2,0)*($G285-$H285)</f>
        <v>135.88522</v>
      </c>
      <c r="Y285" s="21">
        <f>VLOOKUP($A285,tabCustoUnit[],COLUMN(CUSTO_GLOBAL[[#Headers],[SEBRAE]])-2,0)*($G285-$H285)</f>
        <v>20.382783000000003</v>
      </c>
      <c r="Z285" s="21">
        <f>VLOOKUP($A285,tabCustoUnit[],COLUMN(CUSTO_GLOBAL[[#Headers],[Submódulo 2.1]])-2,0)*($G285-$H285)</f>
        <v>1284.1153290000002</v>
      </c>
      <c r="AA285" s="21">
        <f>VLOOKUP($A285,tabCustoUnit[],COLUMN(CUSTO_GLOBAL[[#Headers],[13º salário (titular)]])-2,0)*($G285-$H285)</f>
        <v>283.09420833333331</v>
      </c>
      <c r="AB285" s="21">
        <f>VLOOKUP($A285,tabCustoUnit[],COLUMN(CUSTO_GLOBAL[[#Headers],[Férias e Adicional de Férias (titular)]])-2,0)*($G285-$H285)</f>
        <v>377.45894444444446</v>
      </c>
      <c r="AC285" s="21">
        <f>VLOOKUP($A285,tabCustoUnit[],COLUMN(CUSTO_GLOBAL[[#Headers],[Incidência do Submódulo 2.1 sobre 13º Salário, Férias e Adicional de Férias]])-2,0)*($G285-$H285)</f>
        <v>249.68909175000005</v>
      </c>
      <c r="AD285" s="21">
        <f>VLOOKUP($A285,tabCustoUnit[],COLUMN(CUSTO_GLOBAL[[#Headers],[Submódulo 2.2]])-2,0)*($G285-$H285)</f>
        <v>910.24224452777776</v>
      </c>
      <c r="AE285" s="22" t="e">
        <f ca="1">VLOOKUP($A285,tabCustoUnit[],COLUMN(CUSTO_GLOBAL[[#Headers],[Vale - Transporte (Descontada parcela do empregado)]])-2,0)*($G285-$H285)</f>
        <v>#NAME?</v>
      </c>
      <c r="AF285" s="22">
        <f>VLOOKUP($A285,tabCustoUnit[],COLUMN(CUSTO_GLOBAL[[#Headers],[Vale - Alimentação (Descontada parcela do empregado)]])-2,0)*($G285-$H285)</f>
        <v>0</v>
      </c>
      <c r="AG285" s="22">
        <f>VLOOKUP($A285,tabCustoUnit[],COLUMN(CUSTO_GLOBAL[[#Headers],[Cesta Básica]])-2,0)*($G285-$H285)</f>
        <v>387.79</v>
      </c>
      <c r="AH285" s="22">
        <f>VLOOKUP($A285,tabCustoUnit[],COLUMN(CUSTO_GLOBAL[[#Headers],[PAF]])-2,0)*($G285-$H285)</f>
        <v>42.97</v>
      </c>
      <c r="AI285" s="22">
        <f>VLOOKUP($A285,tabCustoUnit[],COLUMN(CUSTO_GLOBAL[[#Headers],[PQM]])-2,0)*($G285-$H285)</f>
        <v>0</v>
      </c>
      <c r="AJ285" s="22">
        <v>0</v>
      </c>
      <c r="AK285" s="22">
        <f>VLOOKUP($A285,tabCustoUnit[],COLUMN(CUSTO_GLOBAL[[#Headers],[Seguro de Vida]])-2,0)*($G285-$H285)</f>
        <v>3.36</v>
      </c>
      <c r="AL285" s="22">
        <f>VLOOKUP($A285,tabCustoUnit[],COLUMN(CUSTO_GLOBAL[[#Headers],[Despesas de Viagem]])-2,0)*($G285-$H285)</f>
        <v>0</v>
      </c>
      <c r="AM285" s="22" t="e">
        <f ca="1">VLOOKUP($A285,tabCustoUnit[],COLUMN(CUSTO_GLOBAL[[#Headers],[Submódulo 2.3]])-2,0)*($G285-$H285)</f>
        <v>#NAME?</v>
      </c>
      <c r="AN285" s="22" t="e">
        <f ca="1">VLOOKUP($A285,tabCustoUnit[],COLUMN(CUSTO_GLOBAL[[#Headers],[MÓDULO 2 - Total Encargos e Benefícios mensais e diários]])-2,0)*($G285-$H285)</f>
        <v>#NAME?</v>
      </c>
      <c r="AO285" s="22">
        <f>VLOOKUP($A285,tabCustoUnit[],COLUMN(CUSTO_GLOBAL[[#Headers],[Aviso Prévio Indenizado (API) e Reflexo do Aviso Prévio Indenizado]])-2,0)*($G285-$H285)</f>
        <v>23.819887450713736</v>
      </c>
      <c r="AP285" s="22">
        <f>VLOOKUP($A285,tabCustoUnit[],COLUMN(CUSTO_GLOBAL[[#Headers],[Incidência do FGTS sobre API e Reflexo do API]])-2,0)*($G285-$H285)</f>
        <v>1.9055909960570991</v>
      </c>
      <c r="AQ285" s="22">
        <f>VLOOKUP($A285,tabCustoUnit[],COLUMN(CUSTO_GLOBAL[[#Headers],[Multa Rescisória do FGTS sobre o Aviso Prévio Indenizado]])-2,0)*($G285-$H285)</f>
        <v>0.76223639842283974</v>
      </c>
      <c r="AR285" s="22">
        <f>VLOOKUP($A285,tabCustoUnit[],COLUMN(CUSTO_GLOBAL[[#Headers],[Aviso Prévio Trabalhado - APT]])-2,0)*($G285-$H285)</f>
        <v>11.889956750000003</v>
      </c>
      <c r="AS285" s="22">
        <f>VLOOKUP($A285,tabCustoUnit[],COLUMN(CUSTO_GLOBAL[[#Headers],[Incidência dos encargos do submódulo 2.1 sobre Aviso Prévio Trabalhado]])-2,0)*($G285-$H285)</f>
        <v>4.4944036515000017</v>
      </c>
      <c r="AT285" s="22">
        <f>VLOOKUP($A285,tabCustoUnit[],COLUMN(CUSTO_GLOBAL[[#Headers],[Multa Rescisória do FGTS]])-2,0)*($G285-$H285)</f>
        <v>103.87670151111111</v>
      </c>
      <c r="AU285" s="22">
        <f>VLOOKUP($A285,tabCustoUnit[],COLUMN(CUSTO_GLOBAL[[#Headers],[Indenização Adicional (Art. 9º da Lei nº 7.238/84)]])-2,0)*($G285-$H285)</f>
        <v>2.8309420833333339</v>
      </c>
      <c r="AV285" s="22">
        <f>VLOOKUP($A285,tabCustoUnit[],COLUMN(CUSTO_GLOBAL[[#Headers],[MÓDULO 3 – PROVISÃO PARA RESCISÃO]])-2,0)*($G285-$H285)</f>
        <v>149.57971884113812</v>
      </c>
      <c r="AW285" s="22">
        <f>VLOOKUP($A285,tabCustoUnit[],COLUMN(CUSTO_GLOBAL[[#Headers],[Ausência por Doença]])-2,0)*($G285-$H285)</f>
        <v>28.686879777777776</v>
      </c>
      <c r="AX285" s="22">
        <f>VLOOKUP($A285,tabCustoUnit[],COLUMN(CUSTO_GLOBAL[[#Headers],[Ausências Legais]])-2,0)*($G285-$H285)</f>
        <v>6.888625736111111</v>
      </c>
      <c r="AY285" s="22">
        <f>VLOOKUP($A285,tabCustoUnit[],COLUMN(CUSTO_GLOBAL[[#Headers],[Licença Paternidade]])-2,0)*($G285-$H285)</f>
        <v>0.58034312708333335</v>
      </c>
      <c r="AZ285" s="22">
        <f>VLOOKUP($A285,tabCustoUnit[],COLUMN(CUSTO_GLOBAL[[#Headers],[Ausência por Acidente de Trabalho]])-2,0)*($G285-$H285)</f>
        <v>0.70773552083333346</v>
      </c>
      <c r="BA285" s="22">
        <f>VLOOKUP($A285,tabCustoUnit[],COLUMN(CUSTO_GLOBAL[[#Headers],[Férias, Adicional de Férias e 13º  com empregada em gozo de Licença Maternidade]])-2,0)*($G285-$H285)</f>
        <v>4.4036876851851856</v>
      </c>
      <c r="BB285" s="22">
        <f>VLOOKUP($A285,tabCustoUnit[],COLUMN(CUSTO_GLOBAL[[#Headers],[Incidência do Submódulo 2.1 sobre Ausências Legais]])-2,0)*($G285-$H285)</f>
        <v>15.599028758162504</v>
      </c>
      <c r="BC285" s="22">
        <f>VLOOKUP($A285,tabCustoUnit[],COLUMN(CUSTO_GLOBAL[[#Headers],[Submódulo 4.1]])-2,0)*($G285-$H285)</f>
        <v>56.866300605153235</v>
      </c>
      <c r="BD285" s="22">
        <f>VLOOKUP($A285,tabCustoUnit[],COLUMN(CUSTO_GLOBAL[[#Headers],[Intervalo para Repouso ou Alimentação]])-2,0)*($G285-$H285)</f>
        <v>0</v>
      </c>
      <c r="BE285" s="22">
        <f>VLOOKUP($A285,tabCustoUnit[],COLUMN(CUSTO_GLOBAL[[#Headers],[Submódulo 4.2]])-2,0)*($G285-$H285)</f>
        <v>0</v>
      </c>
      <c r="BF285" s="22">
        <f>VLOOKUP($A285,tabCustoUnit[],COLUMN(CUSTO_GLOBAL[[#Headers],[Suspensão Temporária do Contrato de Trabalho]])-2,0)*($G285-$H285)</f>
        <v>0</v>
      </c>
      <c r="BG285" s="22">
        <f>VLOOKUP($A285,tabCustoUnit[],COLUMN(CUSTO_GLOBAL[[#Headers],[Submódulo 4.3]])-2,0)*($G285-$H285)</f>
        <v>0</v>
      </c>
      <c r="BH285" s="22">
        <f>VLOOKUP($A285,tabCustoUnit[],COLUMN(CUSTO_GLOBAL[[#Headers],[MÓDULO 4 – CUSTO DE REPOSIÇÃO DO PROFISSIONAL AUSENTE]])-2,0)*($G285-$H285)</f>
        <v>56.866300605153235</v>
      </c>
      <c r="BI285" s="22">
        <f>VLOOKUP($A285,tabCustoUnit[],COLUMN(CUSTO_GLOBAL[[#Headers],[Uniformes e EPIs]])-2,0)*($G285-$H285)</f>
        <v>56.642978962543395</v>
      </c>
      <c r="BJ285" s="22">
        <f>VLOOKUP($A285,tabCustoUnit[],COLUMN(CUSTO_GLOBAL[[#Headers],[Materiais de Consumo]])-2,0)*($G285-$H285)</f>
        <v>0</v>
      </c>
      <c r="BK285" s="22">
        <f>VLOOKUP($A285,tabCustoUnit[],COLUMN(CUSTO_GLOBAL[[#Headers],[Máquinas e Equipamentos (depreciação)]])-2,0)*($G285-$H285)</f>
        <v>0</v>
      </c>
      <c r="BL285" s="22">
        <f>VLOOKUP($A285,tabCustoUnit[],COLUMN(CUSTO_GLOBAL[[#Headers],[Produtos de Limpeza e Materiais de Higiene Pessoal]])-2,0)*($G285-$H285)</f>
        <v>0</v>
      </c>
      <c r="BM285" s="22">
        <f>VLOOKUP($A285,tabCustoUnit[],COLUMN(CUSTO_GLOBAL[[#Headers],[Outros (especificar)]])-2,0)*($G285-$H285)</f>
        <v>0</v>
      </c>
      <c r="BN285" s="22">
        <f>VLOOKUP($A285,tabCustoUnit[],COLUMN(CUSTO_GLOBAL[[#Headers],[MÓDULO 5 – INSUMOS DIVERSOS]])-2,0)*($G285-$H285)</f>
        <v>56.642978962543395</v>
      </c>
      <c r="BO285" s="22" t="e">
        <f ca="1">VLOOKUP($A285,tabCustoUnit[],COLUMN(CUSTO_GLOBAL[[#Headers],[TOTAL MÓDULOS 1+2+3+4+5]])-2,0)*($G285-$H285)</f>
        <v>#NAME?</v>
      </c>
      <c r="BP285" s="22" t="e">
        <f ca="1">VLOOKUP($A285,tabCustoUnit[],COLUMN(CUSTO_GLOBAL[[#Headers],[Custos Indiretos]])-2,0)*($G285-$H285)</f>
        <v>#NAME?</v>
      </c>
      <c r="BQ285" s="22" t="e">
        <f ca="1">VLOOKUP($A285,tabCustoUnit[],COLUMN(CUSTO_GLOBAL[[#Headers],[Lucro]])-2,0)*($G285-$H285)</f>
        <v>#NAME?</v>
      </c>
      <c r="BR285" s="26">
        <f>VLOOKUP($A285,tabCustoUnit[],COLUMN(CUSTO_GLOBAL[[#Headers],[COFINS]])-2,0)</f>
        <v>8.5633802816901458E-2</v>
      </c>
      <c r="BS285" s="26">
        <f>VLOOKUP($A285,tabCustoUnit[],COLUMN(CUSTO_GLOBAL[[#Headers],[PIS]])-2,0)</f>
        <v>1.8591549295774657E-2</v>
      </c>
      <c r="BT285" s="28">
        <f>VLOOKUP($A285,tabCustoUnit[],COLUMN(CUSTO_GLOBAL[[#Headers],[ISS]])-2,0)</f>
        <v>0.02</v>
      </c>
      <c r="BU285" s="26">
        <f>VLOOKUP($A285,tabCustoUnit[],COLUMN(CUSTO_GLOBAL[[#Headers],[ISS (Conversão Alíquota s/ fatura)]])-2,0)</f>
        <v>2.2535211267605645E-2</v>
      </c>
      <c r="BV285" s="26">
        <f>VLOOKUP($A285,tabCustoUnit[],COLUMN(CUSTO_GLOBAL[[#Headers],[Resumo de Alíquotas (PIS+CONFINS+ISS)]])-2,0)</f>
        <v>0.1125</v>
      </c>
      <c r="BW285" s="138">
        <f>VLOOKUP($A285,tabCustoUnit[],COLUMN(CUSTO_GLOBAL[[#Headers],[PIS + COFINS + ISS (Total Conversão  Alíquota s/ Fatura)]])-2,0)</f>
        <v>0.12676056338028174</v>
      </c>
      <c r="BX285" s="22" t="e">
        <f ca="1">VLOOKUP($A285,tabCustoUnit[],COLUMN(CUSTO_GLOBAL[[#Headers],[Valor dos Tributos (ISS, PIS, CONFINS)]])-2,0)*($G285-$H285)</f>
        <v>#NAME?</v>
      </c>
      <c r="BY285" s="22" t="e">
        <f ca="1">VLOOKUP($A285,tabCustoUnit[],COLUMN(CUSTO_GLOBAL[[#Headers],[MÓDULO 6 – CUSTOS INDIRETOS, TRIBUTOS E LUCRO]])-2,0)*($G285-$H285)</f>
        <v>#NAME?</v>
      </c>
      <c r="BZ285" s="22" t="e">
        <f ca="1">VLOOKUP($A285,tabCustoUnit[],COLUMN(CUSTO_GLOBAL[[#Headers],[CUSTO TOTAL MENSAL]])-2,0)*($G285-$H285)</f>
        <v>#NAME?</v>
      </c>
      <c r="CA285" s="22" t="e">
        <f ca="1">CUSTO_GLOBAL[[#This Row],[CUSTO TOTAL MENSAL]]*12</f>
        <v>#NAME?</v>
      </c>
      <c r="CB285" s="24">
        <f>VLOOKUP($A285,tabCustoUnit[],COLUMN(CUSTO_GLOBAL[[#Headers],[ANO DA CCT]])-2,0)</f>
        <v>45658</v>
      </c>
      <c r="CC285" s="25" t="str">
        <f>VLOOKUP($A285,tabCustoUnit[],COLUMN(CUSTO_GLOBAL[[#Headers],[Nº DE PEDIDO DA CCT]])-2,0)</f>
        <v>-</v>
      </c>
      <c r="CD285" s="25" t="str">
        <f>VLOOKUP($A285,tabCustoUnit[],COLUMN(CUSTO_GLOBAL[[#Headers],[TERMO ADITIVO ALTERAÇÃO DA CCT]])-2,0)</f>
        <v>-</v>
      </c>
    </row>
    <row r="286" spans="1:82">
      <c r="A286" s="20" t="s">
        <v>1701</v>
      </c>
      <c r="B286" t="s">
        <v>1204</v>
      </c>
      <c r="C286" t="s">
        <v>314</v>
      </c>
      <c r="D286" t="s">
        <v>1048</v>
      </c>
      <c r="E286" s="20" t="s">
        <v>1090</v>
      </c>
      <c r="F286" s="20" t="s">
        <v>120</v>
      </c>
      <c r="G286" s="20">
        <v>1</v>
      </c>
      <c r="H286" s="20">
        <v>0</v>
      </c>
      <c r="I286" s="21">
        <f>VLOOKUP($A286,tabCustoUnit[],COLUMN(CUSTO_GLOBAL[[#Headers],[Salário Base]])-2,0)*($G286-$H286)</f>
        <v>1963.4110000000001</v>
      </c>
      <c r="J286" s="21">
        <f>VLOOKUP($A286,tabCustoUnit[],COLUMN(CUSTO_GLOBAL[[#Headers],[Adicional Periculosidade]])-2,0)*($G286-$H286)</f>
        <v>0</v>
      </c>
      <c r="K286" s="21">
        <f>VLOOKUP($A286,tabCustoUnit[],COLUMN(CUSTO_GLOBAL[[#Headers],[Adicional Insalubridade]])-2,0)*($G286-$H286)</f>
        <v>0</v>
      </c>
      <c r="L286" s="21">
        <f>VLOOKUP($A286,tabCustoUnit[],COLUMN(CUSTO_GLOBAL[[#Headers],[Adicional Noturno]])-2,0)*($G286-$H286)</f>
        <v>0</v>
      </c>
      <c r="M286" s="21">
        <f>VLOOKUP($A286,tabCustoUnit[],COLUMN(CUSTO_GLOBAL[[#Headers],[Adicional Motorista II (Gratificação)]])-2,0)*($G286-$H286)</f>
        <v>0</v>
      </c>
      <c r="N286" s="21">
        <f>VLOOKUP($A286,tabCustoUnit[],COLUMN(CUSTO_GLOBAL[[#Headers],[Adicional de Sobreaviso]])-2,0)*($G286-$H286)</f>
        <v>0</v>
      </c>
      <c r="O286" s="21">
        <f>VLOOKUP($A286,tabCustoUnit[],COLUMN(CUSTO_GLOBAL[[#Headers],[Horas Extras TI]])-2,0)*($G286-$H286)</f>
        <v>0</v>
      </c>
      <c r="P286" s="21">
        <f>VLOOKUP($A286,tabCustoUnit[],COLUMN(CUSTO_GLOBAL[[#Headers],[Adicional de Acúmulo de função]])-2,0)*($G286-$H286)</f>
        <v>0</v>
      </c>
      <c r="Q286" s="21">
        <f>VLOOKUP($A286,tabCustoUnit[],COLUMN(CUSTO_GLOBAL[[#Headers],[MODULO 1 - REMUNERAÇÃO ]])-2,0)*($G286-$H286)</f>
        <v>1963.4110000000001</v>
      </c>
      <c r="R286" s="21">
        <f>VLOOKUP($A286,tabCustoUnit[],COLUMN(CUSTO_GLOBAL[[#Headers],[INSS]])-2,0)*($G286-$H286)</f>
        <v>392.68220000000002</v>
      </c>
      <c r="S286" s="21">
        <f>VLOOKUP($A286,tabCustoUnit[],COLUMN(CUSTO_GLOBAL[[#Headers],[SESI OU SESC]])-2,0)*($G286-$H286)</f>
        <v>29.451165</v>
      </c>
      <c r="T286" s="21">
        <f>VLOOKUP($A286,tabCustoUnit[],COLUMN(CUSTO_GLOBAL[[#Headers],[SENAI OU SENAC]])-2,0)*($G286-$H286)</f>
        <v>19.63411</v>
      </c>
      <c r="U286" s="21">
        <f>VLOOKUP($A286,tabCustoUnit[],COLUMN(CUSTO_GLOBAL[[#Headers],[INCRA]])-2,0)*($G286-$H286)</f>
        <v>3.926822</v>
      </c>
      <c r="V286" s="21">
        <f>VLOOKUP($A286,tabCustoUnit[],COLUMN(CUSTO_GLOBAL[[#Headers],[Salário Educação]])-2,0)*($G286-$H286)</f>
        <v>49.085275000000003</v>
      </c>
      <c r="W286" s="21">
        <f>VLOOKUP($A286,tabCustoUnit[],COLUMN(CUSTO_GLOBAL[[#Headers],[FGTS]])-2,0)*($G286-$H286)</f>
        <v>157.07288</v>
      </c>
      <c r="X286" s="21">
        <f>VLOOKUP($A286,tabCustoUnit[],COLUMN(CUSTO_GLOBAL[[#Headers],[RAT Ajustado]])-2,0)*($G286-$H286)</f>
        <v>78.536439999999999</v>
      </c>
      <c r="Y286" s="21">
        <f>VLOOKUP($A286,tabCustoUnit[],COLUMN(CUSTO_GLOBAL[[#Headers],[SEBRAE]])-2,0)*($G286-$H286)</f>
        <v>11.780466000000001</v>
      </c>
      <c r="Z286" s="21">
        <f>VLOOKUP($A286,tabCustoUnit[],COLUMN(CUSTO_GLOBAL[[#Headers],[Submódulo 2.1]])-2,0)*($G286-$H286)</f>
        <v>742.1693580000001</v>
      </c>
      <c r="AA286" s="21">
        <f>VLOOKUP($A286,tabCustoUnit[],COLUMN(CUSTO_GLOBAL[[#Headers],[13º salário (titular)]])-2,0)*($G286-$H286)</f>
        <v>163.61758333333333</v>
      </c>
      <c r="AB286" s="21">
        <f>VLOOKUP($A286,tabCustoUnit[],COLUMN(CUSTO_GLOBAL[[#Headers],[Férias e Adicional de Férias (titular)]])-2,0)*($G286-$H286)</f>
        <v>218.15677777777776</v>
      </c>
      <c r="AC286" s="21">
        <f>VLOOKUP($A286,tabCustoUnit[],COLUMN(CUSTO_GLOBAL[[#Headers],[Incidência do Submódulo 2.1 sobre 13º Salário, Férias e Adicional de Férias]])-2,0)*($G286-$H286)</f>
        <v>144.3107085</v>
      </c>
      <c r="AD286" s="21">
        <f>VLOOKUP($A286,tabCustoUnit[],COLUMN(CUSTO_GLOBAL[[#Headers],[Submódulo 2.2]])-2,0)*($G286-$H286)</f>
        <v>526.08506961111107</v>
      </c>
      <c r="AE286" s="22" t="e">
        <f ca="1">VLOOKUP($A286,tabCustoUnit[],COLUMN(CUSTO_GLOBAL[[#Headers],[Vale - Transporte (Descontada parcela do empregado)]])-2,0)*($G286-$H286)</f>
        <v>#NAME?</v>
      </c>
      <c r="AF286" s="22">
        <f>VLOOKUP($A286,tabCustoUnit[],COLUMN(CUSTO_GLOBAL[[#Headers],[Vale - Alimentação (Descontada parcela do empregado)]])-2,0)*($G286-$H286)</f>
        <v>582</v>
      </c>
      <c r="AG286" s="22">
        <f>VLOOKUP($A286,tabCustoUnit[],COLUMN(CUSTO_GLOBAL[[#Headers],[Cesta Básica]])-2,0)*($G286-$H286)</f>
        <v>0</v>
      </c>
      <c r="AH286" s="22">
        <f>VLOOKUP($A286,tabCustoUnit[],COLUMN(CUSTO_GLOBAL[[#Headers],[PAF]])-2,0)*($G286-$H286)</f>
        <v>0</v>
      </c>
      <c r="AI286" s="22">
        <f>VLOOKUP($A286,tabCustoUnit[],COLUMN(CUSTO_GLOBAL[[#Headers],[PQM]])-2,0)*($G286-$H286)</f>
        <v>0</v>
      </c>
      <c r="AJ286" s="22">
        <v>0</v>
      </c>
      <c r="AK286" s="22">
        <f>VLOOKUP($A286,tabCustoUnit[],COLUMN(CUSTO_GLOBAL[[#Headers],[Seguro de Vida]])-2,0)*($G286-$H286)</f>
        <v>3.36</v>
      </c>
      <c r="AL286" s="22">
        <f>VLOOKUP($A286,tabCustoUnit[],COLUMN(CUSTO_GLOBAL[[#Headers],[Despesas de Viagem]])-2,0)*($G286-$H286)</f>
        <v>0</v>
      </c>
      <c r="AM286" s="22" t="e">
        <f ca="1">VLOOKUP($A286,tabCustoUnit[],COLUMN(CUSTO_GLOBAL[[#Headers],[Submódulo 2.3]])-2,0)*($G286-$H286)</f>
        <v>#NAME?</v>
      </c>
      <c r="AN286" s="22" t="e">
        <f ca="1">VLOOKUP($A286,tabCustoUnit[],COLUMN(CUSTO_GLOBAL[[#Headers],[MÓDULO 2 - Total Encargos e Benefícios mensais e diários]])-2,0)*($G286-$H286)</f>
        <v>#NAME?</v>
      </c>
      <c r="AO286" s="22">
        <f>VLOOKUP($A286,tabCustoUnit[],COLUMN(CUSTO_GLOBAL[[#Headers],[Aviso Prévio Indenizado (API) e Reflexo do Aviso Prévio Indenizado]])-2,0)*($G286-$H286)</f>
        <v>13.766980408757716</v>
      </c>
      <c r="AP286" s="22">
        <f>VLOOKUP($A286,tabCustoUnit[],COLUMN(CUSTO_GLOBAL[[#Headers],[Incidência do FGTS sobre API e Reflexo do API]])-2,0)*($G286-$H286)</f>
        <v>1.1013584327006174</v>
      </c>
      <c r="AQ286" s="22">
        <f>VLOOKUP($A286,tabCustoUnit[],COLUMN(CUSTO_GLOBAL[[#Headers],[Multa Rescisória do FGTS sobre o Aviso Prévio Indenizado]])-2,0)*($G286-$H286)</f>
        <v>0.44054337308024699</v>
      </c>
      <c r="AR286" s="22">
        <f>VLOOKUP($A286,tabCustoUnit[],COLUMN(CUSTO_GLOBAL[[#Headers],[Aviso Prévio Trabalhado - APT]])-2,0)*($G286-$H286)</f>
        <v>6.8719385000000015</v>
      </c>
      <c r="AS286" s="22">
        <f>VLOOKUP($A286,tabCustoUnit[],COLUMN(CUSTO_GLOBAL[[#Headers],[Incidência dos encargos do submódulo 2.1 sobre Aviso Prévio Trabalhado]])-2,0)*($G286-$H286)</f>
        <v>2.5975927530000007</v>
      </c>
      <c r="AT286" s="22">
        <f>VLOOKUP($A286,tabCustoUnit[],COLUMN(CUSTO_GLOBAL[[#Headers],[Multa Rescisória do FGTS]])-2,0)*($G286-$H286)</f>
        <v>60.03674524444444</v>
      </c>
      <c r="AU286" s="22">
        <f>VLOOKUP($A286,tabCustoUnit[],COLUMN(CUSTO_GLOBAL[[#Headers],[Indenização Adicional (Art. 9º da Lei nº 7.238/84)]])-2,0)*($G286-$H286)</f>
        <v>1.6361758333333334</v>
      </c>
      <c r="AV286" s="22">
        <f>VLOOKUP($A286,tabCustoUnit[],COLUMN(CUSTO_GLOBAL[[#Headers],[MÓDULO 3 – PROVISÃO PARA RESCISÃO]])-2,0)*($G286-$H286)</f>
        <v>86.451334545316371</v>
      </c>
      <c r="AW286" s="22">
        <f>VLOOKUP($A286,tabCustoUnit[],COLUMN(CUSTO_GLOBAL[[#Headers],[Ausência por Doença]])-2,0)*($G286-$H286)</f>
        <v>16.579915111111109</v>
      </c>
      <c r="AX286" s="22">
        <f>VLOOKUP($A286,tabCustoUnit[],COLUMN(CUSTO_GLOBAL[[#Headers],[Ausências Legais]])-2,0)*($G286-$H286)</f>
        <v>3.9813611944444443</v>
      </c>
      <c r="AY286" s="22">
        <f>VLOOKUP($A286,tabCustoUnit[],COLUMN(CUSTO_GLOBAL[[#Headers],[Licença Paternidade]])-2,0)*($G286-$H286)</f>
        <v>0.33541604583333334</v>
      </c>
      <c r="AZ286" s="22">
        <f>VLOOKUP($A286,tabCustoUnit[],COLUMN(CUSTO_GLOBAL[[#Headers],[Ausência por Acidente de Trabalho]])-2,0)*($G286-$H286)</f>
        <v>0.40904395833333335</v>
      </c>
      <c r="BA286" s="22">
        <f>VLOOKUP($A286,tabCustoUnit[],COLUMN(CUSTO_GLOBAL[[#Headers],[Férias, Adicional de Férias e 13º  com empregada em gozo de Licença Maternidade]])-2,0)*($G286-$H286)</f>
        <v>2.5451624074074073</v>
      </c>
      <c r="BB286" s="22">
        <f>VLOOKUP($A286,tabCustoUnit[],COLUMN(CUSTO_GLOBAL[[#Headers],[Incidência do Submódulo 2.1 sobre Ausências Legais]])-2,0)*($G286-$H286)</f>
        <v>9.0156397150750021</v>
      </c>
      <c r="BC286" s="22">
        <f>VLOOKUP($A286,tabCustoUnit[],COLUMN(CUSTO_GLOBAL[[#Headers],[Submódulo 4.1]])-2,0)*($G286-$H286)</f>
        <v>32.866538432204628</v>
      </c>
      <c r="BD286" s="22">
        <f>VLOOKUP($A286,tabCustoUnit[],COLUMN(CUSTO_GLOBAL[[#Headers],[Intervalo para Repouso ou Alimentação]])-2,0)*($G286-$H286)</f>
        <v>267.73786489195959</v>
      </c>
      <c r="BE286" s="22">
        <f>VLOOKUP($A286,tabCustoUnit[],COLUMN(CUSTO_GLOBAL[[#Headers],[Submódulo 4.2]])-2,0)*($G286-$H286)</f>
        <v>267.73786489195959</v>
      </c>
      <c r="BF286" s="22">
        <f>VLOOKUP($A286,tabCustoUnit[],COLUMN(CUSTO_GLOBAL[[#Headers],[Suspensão Temporária do Contrato de Trabalho]])-2,0)*($G286-$H286)</f>
        <v>0</v>
      </c>
      <c r="BG286" s="22">
        <f>VLOOKUP($A286,tabCustoUnit[],COLUMN(CUSTO_GLOBAL[[#Headers],[Submódulo 4.3]])-2,0)*($G286-$H286)</f>
        <v>0</v>
      </c>
      <c r="BH286" s="22">
        <f>VLOOKUP($A286,tabCustoUnit[],COLUMN(CUSTO_GLOBAL[[#Headers],[MÓDULO 4 – CUSTO DE REPOSIÇÃO DO PROFISSIONAL AUSENTE]])-2,0)*($G286-$H286)</f>
        <v>300.6044033241642</v>
      </c>
      <c r="BI286" s="22">
        <f>VLOOKUP($A286,tabCustoUnit[],COLUMN(CUSTO_GLOBAL[[#Headers],[Uniformes e EPIs]])-2,0)*($G286-$H286)</f>
        <v>56.642978962543395</v>
      </c>
      <c r="BJ286" s="22">
        <f>VLOOKUP($A286,tabCustoUnit[],COLUMN(CUSTO_GLOBAL[[#Headers],[Materiais de Consumo]])-2,0)*($G286-$H286)</f>
        <v>0</v>
      </c>
      <c r="BK286" s="22">
        <f>VLOOKUP($A286,tabCustoUnit[],COLUMN(CUSTO_GLOBAL[[#Headers],[Máquinas e Equipamentos (depreciação)]])-2,0)*($G286-$H286)</f>
        <v>0</v>
      </c>
      <c r="BL286" s="22">
        <f>VLOOKUP($A286,tabCustoUnit[],COLUMN(CUSTO_GLOBAL[[#Headers],[Produtos de Limpeza e Materiais de Higiene Pessoal]])-2,0)*($G286-$H286)</f>
        <v>0</v>
      </c>
      <c r="BM286" s="22">
        <f>VLOOKUP($A286,tabCustoUnit[],COLUMN(CUSTO_GLOBAL[[#Headers],[Outros (especificar)]])-2,0)*($G286-$H286)</f>
        <v>0</v>
      </c>
      <c r="BN286" s="22">
        <f>VLOOKUP($A286,tabCustoUnit[],COLUMN(CUSTO_GLOBAL[[#Headers],[MÓDULO 5 – INSUMOS DIVERSOS]])-2,0)*($G286-$H286)</f>
        <v>56.642978962543395</v>
      </c>
      <c r="BO286" s="22" t="e">
        <f ca="1">VLOOKUP($A286,tabCustoUnit[],COLUMN(CUSTO_GLOBAL[[#Headers],[TOTAL MÓDULOS 1+2+3+4+5]])-2,0)*($G286-$H286)</f>
        <v>#NAME?</v>
      </c>
      <c r="BP286" s="22" t="e">
        <f ca="1">VLOOKUP($A286,tabCustoUnit[],COLUMN(CUSTO_GLOBAL[[#Headers],[Custos Indiretos]])-2,0)*($G286-$H286)</f>
        <v>#NAME?</v>
      </c>
      <c r="BQ286" s="22" t="e">
        <f ca="1">VLOOKUP($A286,tabCustoUnit[],COLUMN(CUSTO_GLOBAL[[#Headers],[Lucro]])-2,0)*($G286-$H286)</f>
        <v>#NAME?</v>
      </c>
      <c r="BR286" s="26">
        <f>VLOOKUP($A286,tabCustoUnit[],COLUMN(CUSTO_GLOBAL[[#Headers],[COFINS]])-2,0)</f>
        <v>8.7106017191977067E-2</v>
      </c>
      <c r="BS286" s="26">
        <f>VLOOKUP($A286,tabCustoUnit[],COLUMN(CUSTO_GLOBAL[[#Headers],[PIS]])-2,0)</f>
        <v>1.8911174785100283E-2</v>
      </c>
      <c r="BT286" s="28">
        <f>VLOOKUP($A286,tabCustoUnit[],COLUMN(CUSTO_GLOBAL[[#Headers],[ISS]])-2,0)</f>
        <v>3.5000000000000003E-2</v>
      </c>
      <c r="BU286" s="26">
        <f>VLOOKUP($A286,tabCustoUnit[],COLUMN(CUSTO_GLOBAL[[#Headers],[ISS (Conversão Alíquota s/ fatura)]])-2,0)</f>
        <v>4.0114613180515762E-2</v>
      </c>
      <c r="BV286" s="26">
        <f>VLOOKUP($A286,tabCustoUnit[],COLUMN(CUSTO_GLOBAL[[#Headers],[Resumo de Alíquotas (PIS+CONFINS+ISS)]])-2,0)</f>
        <v>0.1275</v>
      </c>
      <c r="BW286" s="138">
        <f>VLOOKUP($A286,tabCustoUnit[],COLUMN(CUSTO_GLOBAL[[#Headers],[PIS + COFINS + ISS (Total Conversão  Alíquota s/ Fatura)]])-2,0)</f>
        <v>0.14613180515759311</v>
      </c>
      <c r="BX286" s="22" t="e">
        <f ca="1">VLOOKUP($A286,tabCustoUnit[],COLUMN(CUSTO_GLOBAL[[#Headers],[Valor dos Tributos (ISS, PIS, CONFINS)]])-2,0)*($G286-$H286)</f>
        <v>#NAME?</v>
      </c>
      <c r="BY286" s="22" t="e">
        <f ca="1">VLOOKUP($A286,tabCustoUnit[],COLUMN(CUSTO_GLOBAL[[#Headers],[MÓDULO 6 – CUSTOS INDIRETOS, TRIBUTOS E LUCRO]])-2,0)*($G286-$H286)</f>
        <v>#NAME?</v>
      </c>
      <c r="BZ286" s="22" t="e">
        <f ca="1">VLOOKUP($A286,tabCustoUnit[],COLUMN(CUSTO_GLOBAL[[#Headers],[CUSTO TOTAL MENSAL]])-2,0)*($G286-$H286)</f>
        <v>#NAME?</v>
      </c>
      <c r="CA286" s="22" t="e">
        <f ca="1">CUSTO_GLOBAL[[#This Row],[CUSTO TOTAL MENSAL]]*12</f>
        <v>#NAME?</v>
      </c>
      <c r="CB286" s="24">
        <f>VLOOKUP($A286,tabCustoUnit[],COLUMN(CUSTO_GLOBAL[[#Headers],[ANO DA CCT]])-2,0)</f>
        <v>45658</v>
      </c>
      <c r="CC286" s="25" t="str">
        <f>VLOOKUP($A286,tabCustoUnit[],COLUMN(CUSTO_GLOBAL[[#Headers],[Nº DE PEDIDO DA CCT]])-2,0)</f>
        <v>-</v>
      </c>
      <c r="CD286" s="25" t="str">
        <f>VLOOKUP($A286,tabCustoUnit[],COLUMN(CUSTO_GLOBAL[[#Headers],[TERMO ADITIVO ALTERAÇÃO DA CCT]])-2,0)</f>
        <v>-</v>
      </c>
    </row>
    <row r="287" spans="1:82">
      <c r="A287" s="20" t="s">
        <v>1702</v>
      </c>
      <c r="B287" t="s">
        <v>1205</v>
      </c>
      <c r="C287" t="s">
        <v>274</v>
      </c>
      <c r="D287" t="s">
        <v>1017</v>
      </c>
      <c r="E287" s="20" t="s">
        <v>1090</v>
      </c>
      <c r="F287" s="20" t="s">
        <v>120</v>
      </c>
      <c r="G287" s="20">
        <v>1</v>
      </c>
      <c r="H287" s="20">
        <v>0</v>
      </c>
      <c r="I287" s="21">
        <f>VLOOKUP($A287,tabCustoUnit[],COLUMN(CUSTO_GLOBAL[[#Headers],[Salário Base]])-2,0)*($G287-$H287)</f>
        <v>4599.5953</v>
      </c>
      <c r="J287" s="21">
        <f>VLOOKUP($A287,tabCustoUnit[],COLUMN(CUSTO_GLOBAL[[#Headers],[Adicional Periculosidade]])-2,0)*($G287-$H287)</f>
        <v>0</v>
      </c>
      <c r="K287" s="21">
        <f>VLOOKUP($A287,tabCustoUnit[],COLUMN(CUSTO_GLOBAL[[#Headers],[Adicional Insalubridade]])-2,0)*($G287-$H287)</f>
        <v>0</v>
      </c>
      <c r="L287" s="21">
        <f>VLOOKUP($A287,tabCustoUnit[],COLUMN(CUSTO_GLOBAL[[#Headers],[Adicional Noturno]])-2,0)*($G287-$H287)</f>
        <v>0</v>
      </c>
      <c r="M287" s="21">
        <f>VLOOKUP($A287,tabCustoUnit[],COLUMN(CUSTO_GLOBAL[[#Headers],[Adicional Motorista II (Gratificação)]])-2,0)*($G287-$H287)</f>
        <v>0</v>
      </c>
      <c r="N287" s="21">
        <f>VLOOKUP($A287,tabCustoUnit[],COLUMN(CUSTO_GLOBAL[[#Headers],[Adicional de Sobreaviso]])-2,0)*($G287-$H287)</f>
        <v>0</v>
      </c>
      <c r="O287" s="21">
        <f>VLOOKUP($A287,tabCustoUnit[],COLUMN(CUSTO_GLOBAL[[#Headers],[Horas Extras TI]])-2,0)*($G287-$H287)</f>
        <v>0</v>
      </c>
      <c r="P287" s="21">
        <f>VLOOKUP($A287,tabCustoUnit[],COLUMN(CUSTO_GLOBAL[[#Headers],[Adicional de Acúmulo de função]])-2,0)*($G287-$H287)</f>
        <v>0</v>
      </c>
      <c r="Q287" s="21">
        <f>VLOOKUP($A287,tabCustoUnit[],COLUMN(CUSTO_GLOBAL[[#Headers],[MODULO 1 - REMUNERAÇÃO ]])-2,0)*($G287-$H287)</f>
        <v>4599.5953</v>
      </c>
      <c r="R287" s="21">
        <f>VLOOKUP($A287,tabCustoUnit[],COLUMN(CUSTO_GLOBAL[[#Headers],[INSS]])-2,0)*($G287-$H287)</f>
        <v>919.91906000000006</v>
      </c>
      <c r="S287" s="21">
        <f>VLOOKUP($A287,tabCustoUnit[],COLUMN(CUSTO_GLOBAL[[#Headers],[SESI OU SESC]])-2,0)*($G287-$H287)</f>
        <v>68.993929499999993</v>
      </c>
      <c r="T287" s="21">
        <f>VLOOKUP($A287,tabCustoUnit[],COLUMN(CUSTO_GLOBAL[[#Headers],[SENAI OU SENAC]])-2,0)*($G287-$H287)</f>
        <v>45.995953</v>
      </c>
      <c r="U287" s="21">
        <f>VLOOKUP($A287,tabCustoUnit[],COLUMN(CUSTO_GLOBAL[[#Headers],[INCRA]])-2,0)*($G287-$H287)</f>
        <v>9.1991905999999997</v>
      </c>
      <c r="V287" s="21">
        <f>VLOOKUP($A287,tabCustoUnit[],COLUMN(CUSTO_GLOBAL[[#Headers],[Salário Educação]])-2,0)*($G287-$H287)</f>
        <v>114.98988250000001</v>
      </c>
      <c r="W287" s="21">
        <f>VLOOKUP($A287,tabCustoUnit[],COLUMN(CUSTO_GLOBAL[[#Headers],[FGTS]])-2,0)*($G287-$H287)</f>
        <v>367.967624</v>
      </c>
      <c r="X287" s="21">
        <f>VLOOKUP($A287,tabCustoUnit[],COLUMN(CUSTO_GLOBAL[[#Headers],[RAT Ajustado]])-2,0)*($G287-$H287)</f>
        <v>183.983812</v>
      </c>
      <c r="Y287" s="21">
        <f>VLOOKUP($A287,tabCustoUnit[],COLUMN(CUSTO_GLOBAL[[#Headers],[SEBRAE]])-2,0)*($G287-$H287)</f>
        <v>27.597571800000001</v>
      </c>
      <c r="Z287" s="21">
        <f>VLOOKUP($A287,tabCustoUnit[],COLUMN(CUSTO_GLOBAL[[#Headers],[Submódulo 2.1]])-2,0)*($G287-$H287)</f>
        <v>1738.6470234000003</v>
      </c>
      <c r="AA287" s="21">
        <f>VLOOKUP($A287,tabCustoUnit[],COLUMN(CUSTO_GLOBAL[[#Headers],[13º salário (titular)]])-2,0)*($G287-$H287)</f>
        <v>383.29960833333331</v>
      </c>
      <c r="AB287" s="21">
        <f>VLOOKUP($A287,tabCustoUnit[],COLUMN(CUSTO_GLOBAL[[#Headers],[Férias e Adicional de Férias (titular)]])-2,0)*($G287-$H287)</f>
        <v>511.06614444444443</v>
      </c>
      <c r="AC287" s="21">
        <f>VLOOKUP($A287,tabCustoUnit[],COLUMN(CUSTO_GLOBAL[[#Headers],[Incidência do Submódulo 2.1 sobre 13º Salário, Férias e Adicional de Férias]])-2,0)*($G287-$H287)</f>
        <v>338.07025455000002</v>
      </c>
      <c r="AD287" s="21">
        <f>VLOOKUP($A287,tabCustoUnit[],COLUMN(CUSTO_GLOBAL[[#Headers],[Submódulo 2.2]])-2,0)*($G287-$H287)</f>
        <v>1232.4360073277778</v>
      </c>
      <c r="AE287" s="22" t="e">
        <f ca="1">VLOOKUP($A287,tabCustoUnit[],COLUMN(CUSTO_GLOBAL[[#Headers],[Vale - Transporte (Descontada parcela do empregado)]])-2,0)*($G287-$H287)</f>
        <v>#NAME?</v>
      </c>
      <c r="AF287" s="22">
        <f>VLOOKUP($A287,tabCustoUnit[],COLUMN(CUSTO_GLOBAL[[#Headers],[Vale - Alimentação (Descontada parcela do empregado)]])-2,0)*($G287-$H287)</f>
        <v>578.4</v>
      </c>
      <c r="AG287" s="22">
        <f>VLOOKUP($A287,tabCustoUnit[],COLUMN(CUSTO_GLOBAL[[#Headers],[Cesta Básica]])-2,0)*($G287-$H287)</f>
        <v>0</v>
      </c>
      <c r="AH287" s="22">
        <f>VLOOKUP($A287,tabCustoUnit[],COLUMN(CUSTO_GLOBAL[[#Headers],[PAF]])-2,0)*($G287-$H287)</f>
        <v>0</v>
      </c>
      <c r="AI287" s="22">
        <f>VLOOKUP($A287,tabCustoUnit[],COLUMN(CUSTO_GLOBAL[[#Headers],[PQM]])-2,0)*($G287-$H287)</f>
        <v>0</v>
      </c>
      <c r="AJ287" s="22">
        <v>0</v>
      </c>
      <c r="AK287" s="22">
        <f>VLOOKUP($A287,tabCustoUnit[],COLUMN(CUSTO_GLOBAL[[#Headers],[Seguro de Vida]])-2,0)*($G287-$H287)</f>
        <v>3.36</v>
      </c>
      <c r="AL287" s="22">
        <f>VLOOKUP($A287,tabCustoUnit[],COLUMN(CUSTO_GLOBAL[[#Headers],[Despesas de Viagem]])-2,0)*($G287-$H287)</f>
        <v>662.42</v>
      </c>
      <c r="AM287" s="22" t="e">
        <f ca="1">VLOOKUP($A287,tabCustoUnit[],COLUMN(CUSTO_GLOBAL[[#Headers],[Submódulo 2.3]])-2,0)*($G287-$H287)</f>
        <v>#NAME?</v>
      </c>
      <c r="AN287" s="22" t="e">
        <f ca="1">VLOOKUP($A287,tabCustoUnit[],COLUMN(CUSTO_GLOBAL[[#Headers],[MÓDULO 2 - Total Encargos e Benefícios mensais e diários]])-2,0)*($G287-$H287)</f>
        <v>#NAME?</v>
      </c>
      <c r="AO287" s="22">
        <f>VLOOKUP($A287,tabCustoUnit[],COLUMN(CUSTO_GLOBAL[[#Headers],[Aviso Prévio Indenizado (API) e Reflexo do Aviso Prévio Indenizado]])-2,0)*($G287-$H287)</f>
        <v>32.251290424324843</v>
      </c>
      <c r="AP287" s="22">
        <f>VLOOKUP($A287,tabCustoUnit[],COLUMN(CUSTO_GLOBAL[[#Headers],[Incidência do FGTS sobre API e Reflexo do API]])-2,0)*($G287-$H287)</f>
        <v>2.5801032339459877</v>
      </c>
      <c r="AQ287" s="22">
        <f>VLOOKUP($A287,tabCustoUnit[],COLUMN(CUSTO_GLOBAL[[#Headers],[Multa Rescisória do FGTS sobre o Aviso Prévio Indenizado]])-2,0)*($G287-$H287)</f>
        <v>1.0320412935783951</v>
      </c>
      <c r="AR287" s="22">
        <f>VLOOKUP($A287,tabCustoUnit[],COLUMN(CUSTO_GLOBAL[[#Headers],[Aviso Prévio Trabalhado - APT]])-2,0)*($G287-$H287)</f>
        <v>16.098583550000001</v>
      </c>
      <c r="AS287" s="22">
        <f>VLOOKUP($A287,tabCustoUnit[],COLUMN(CUSTO_GLOBAL[[#Headers],[Incidência dos encargos do submódulo 2.1 sobre Aviso Prévio Trabalhado]])-2,0)*($G287-$H287)</f>
        <v>6.0852645819000015</v>
      </c>
      <c r="AT287" s="22">
        <f>VLOOKUP($A287,tabCustoUnit[],COLUMN(CUSTO_GLOBAL[[#Headers],[Multa Rescisória do FGTS]])-2,0)*($G287-$H287)</f>
        <v>140.64540295111109</v>
      </c>
      <c r="AU287" s="22">
        <f>VLOOKUP($A287,tabCustoUnit[],COLUMN(CUSTO_GLOBAL[[#Headers],[Indenização Adicional (Art. 9º da Lei nº 7.238/84)]])-2,0)*($G287-$H287)</f>
        <v>3.8329960833333336</v>
      </c>
      <c r="AV287" s="22">
        <f>VLOOKUP($A287,tabCustoUnit[],COLUMN(CUSTO_GLOBAL[[#Headers],[MÓDULO 3 – PROVISÃO PARA RESCISÃO]])-2,0)*($G287-$H287)</f>
        <v>202.52568211819366</v>
      </c>
      <c r="AW287" s="22">
        <f>VLOOKUP($A287,tabCustoUnit[],COLUMN(CUSTO_GLOBAL[[#Headers],[Ausência por Doença]])-2,0)*($G287-$H287)</f>
        <v>38.841026977777773</v>
      </c>
      <c r="AX287" s="22">
        <f>VLOOKUP($A287,tabCustoUnit[],COLUMN(CUSTO_GLOBAL[[#Headers],[Ausências Legais]])-2,0)*($G287-$H287)</f>
        <v>9.3269571361111101</v>
      </c>
      <c r="AY287" s="22">
        <f>VLOOKUP($A287,tabCustoUnit[],COLUMN(CUSTO_GLOBAL[[#Headers],[Licença Paternidade]])-2,0)*($G287-$H287)</f>
        <v>0.78576419708333334</v>
      </c>
      <c r="AZ287" s="22">
        <f>VLOOKUP($A287,tabCustoUnit[],COLUMN(CUSTO_GLOBAL[[#Headers],[Ausência por Acidente de Trabalho]])-2,0)*($G287-$H287)</f>
        <v>0.95824902083333341</v>
      </c>
      <c r="BA287" s="22">
        <f>VLOOKUP($A287,tabCustoUnit[],COLUMN(CUSTO_GLOBAL[[#Headers],[Férias, Adicional de Férias e 13º  com empregada em gozo de Licença Maternidade]])-2,0)*($G287-$H287)</f>
        <v>5.9624383518518513</v>
      </c>
      <c r="BB287" s="22">
        <f>VLOOKUP($A287,tabCustoUnit[],COLUMN(CUSTO_GLOBAL[[#Headers],[Incidência do Submódulo 2.1 sobre Ausências Legais]])-2,0)*($G287-$H287)</f>
        <v>21.120536688422504</v>
      </c>
      <c r="BC287" s="22">
        <f>VLOOKUP($A287,tabCustoUnit[],COLUMN(CUSTO_GLOBAL[[#Headers],[Submódulo 4.1]])-2,0)*($G287-$H287)</f>
        <v>76.9949723720799</v>
      </c>
      <c r="BD287" s="22">
        <f>VLOOKUP($A287,tabCustoUnit[],COLUMN(CUSTO_GLOBAL[[#Headers],[Intervalo para Repouso ou Alimentação]])-2,0)*($G287-$H287)</f>
        <v>0</v>
      </c>
      <c r="BE287" s="22">
        <f>VLOOKUP($A287,tabCustoUnit[],COLUMN(CUSTO_GLOBAL[[#Headers],[Submódulo 4.2]])-2,0)*($G287-$H287)</f>
        <v>0</v>
      </c>
      <c r="BF287" s="22">
        <f>VLOOKUP($A287,tabCustoUnit[],COLUMN(CUSTO_GLOBAL[[#Headers],[Suspensão Temporária do Contrato de Trabalho]])-2,0)*($G287-$H287)</f>
        <v>0</v>
      </c>
      <c r="BG287" s="22">
        <f>VLOOKUP($A287,tabCustoUnit[],COLUMN(CUSTO_GLOBAL[[#Headers],[Submódulo 4.3]])-2,0)*($G287-$H287)</f>
        <v>0</v>
      </c>
      <c r="BH287" s="22">
        <f>VLOOKUP($A287,tabCustoUnit[],COLUMN(CUSTO_GLOBAL[[#Headers],[MÓDULO 4 – CUSTO DE REPOSIÇÃO DO PROFISSIONAL AUSENTE]])-2,0)*($G287-$H287)</f>
        <v>76.9949723720799</v>
      </c>
      <c r="BI287" s="22">
        <f>VLOOKUP($A287,tabCustoUnit[],COLUMN(CUSTO_GLOBAL[[#Headers],[Uniformes e EPIs]])-2,0)*($G287-$H287)</f>
        <v>92.100763771570698</v>
      </c>
      <c r="BJ287" s="22">
        <f>VLOOKUP($A287,tabCustoUnit[],COLUMN(CUSTO_GLOBAL[[#Headers],[Materiais de Consumo]])-2,0)*($G287-$H287)</f>
        <v>0</v>
      </c>
      <c r="BK287" s="22">
        <f>VLOOKUP($A287,tabCustoUnit[],COLUMN(CUSTO_GLOBAL[[#Headers],[Máquinas e Equipamentos (depreciação)]])-2,0)*($G287-$H287)</f>
        <v>0</v>
      </c>
      <c r="BL287" s="22">
        <f>VLOOKUP($A287,tabCustoUnit[],COLUMN(CUSTO_GLOBAL[[#Headers],[Produtos de Limpeza e Materiais de Higiene Pessoal]])-2,0)*($G287-$H287)</f>
        <v>0</v>
      </c>
      <c r="BM287" s="22">
        <f>VLOOKUP($A287,tabCustoUnit[],COLUMN(CUSTO_GLOBAL[[#Headers],[Outros (especificar)]])-2,0)*($G287-$H287)</f>
        <v>0</v>
      </c>
      <c r="BN287" s="22">
        <f>VLOOKUP($A287,tabCustoUnit[],COLUMN(CUSTO_GLOBAL[[#Headers],[MÓDULO 5 – INSUMOS DIVERSOS]])-2,0)*($G287-$H287)</f>
        <v>92.100763771570698</v>
      </c>
      <c r="BO287" s="22" t="e">
        <f ca="1">VLOOKUP($A287,tabCustoUnit[],COLUMN(CUSTO_GLOBAL[[#Headers],[TOTAL MÓDULOS 1+2+3+4+5]])-2,0)*($G287-$H287)</f>
        <v>#NAME?</v>
      </c>
      <c r="BP287" s="22" t="e">
        <f ca="1">VLOOKUP($A287,tabCustoUnit[],COLUMN(CUSTO_GLOBAL[[#Headers],[Custos Indiretos]])-2,0)*($G287-$H287)</f>
        <v>#NAME?</v>
      </c>
      <c r="BQ287" s="22" t="e">
        <f ca="1">VLOOKUP($A287,tabCustoUnit[],COLUMN(CUSTO_GLOBAL[[#Headers],[Lucro]])-2,0)*($G287-$H287)</f>
        <v>#NAME?</v>
      </c>
      <c r="BR287" s="26">
        <f>VLOOKUP($A287,tabCustoUnit[],COLUMN(CUSTO_GLOBAL[[#Headers],[COFINS]])-2,0)</f>
        <v>8.5633802816901458E-2</v>
      </c>
      <c r="BS287" s="26">
        <f>VLOOKUP($A287,tabCustoUnit[],COLUMN(CUSTO_GLOBAL[[#Headers],[PIS]])-2,0)</f>
        <v>1.8591549295774657E-2</v>
      </c>
      <c r="BT287" s="28">
        <f>VLOOKUP($A287,tabCustoUnit[],COLUMN(CUSTO_GLOBAL[[#Headers],[ISS]])-2,0)</f>
        <v>0.02</v>
      </c>
      <c r="BU287" s="26">
        <f>VLOOKUP($A287,tabCustoUnit[],COLUMN(CUSTO_GLOBAL[[#Headers],[ISS (Conversão Alíquota s/ fatura)]])-2,0)</f>
        <v>2.2535211267605645E-2</v>
      </c>
      <c r="BV287" s="26">
        <f>VLOOKUP($A287,tabCustoUnit[],COLUMN(CUSTO_GLOBAL[[#Headers],[Resumo de Alíquotas (PIS+CONFINS+ISS)]])-2,0)</f>
        <v>0.1125</v>
      </c>
      <c r="BW287" s="138">
        <f>VLOOKUP($A287,tabCustoUnit[],COLUMN(CUSTO_GLOBAL[[#Headers],[PIS + COFINS + ISS (Total Conversão  Alíquota s/ Fatura)]])-2,0)</f>
        <v>0.12676056338028174</v>
      </c>
      <c r="BX287" s="22" t="e">
        <f ca="1">VLOOKUP($A287,tabCustoUnit[],COLUMN(CUSTO_GLOBAL[[#Headers],[Valor dos Tributos (ISS, PIS, CONFINS)]])-2,0)*($G287-$H287)</f>
        <v>#NAME?</v>
      </c>
      <c r="BY287" s="22" t="e">
        <f ca="1">VLOOKUP($A287,tabCustoUnit[],COLUMN(CUSTO_GLOBAL[[#Headers],[MÓDULO 6 – CUSTOS INDIRETOS, TRIBUTOS E LUCRO]])-2,0)*($G287-$H287)</f>
        <v>#NAME?</v>
      </c>
      <c r="BZ287" s="22" t="e">
        <f ca="1">VLOOKUP($A287,tabCustoUnit[],COLUMN(CUSTO_GLOBAL[[#Headers],[CUSTO TOTAL MENSAL]])-2,0)*($G287-$H287)</f>
        <v>#NAME?</v>
      </c>
      <c r="CA287" s="22" t="e">
        <f ca="1">CUSTO_GLOBAL[[#This Row],[CUSTO TOTAL MENSAL]]*12</f>
        <v>#NAME?</v>
      </c>
      <c r="CB287" s="24">
        <f>VLOOKUP($A287,tabCustoUnit[],COLUMN(CUSTO_GLOBAL[[#Headers],[ANO DA CCT]])-2,0)</f>
        <v>45658</v>
      </c>
      <c r="CC287" s="25" t="str">
        <f>VLOOKUP($A287,tabCustoUnit[],COLUMN(CUSTO_GLOBAL[[#Headers],[Nº DE PEDIDO DA CCT]])-2,0)</f>
        <v>-</v>
      </c>
      <c r="CD287" s="25" t="str">
        <f>VLOOKUP($A287,tabCustoUnit[],COLUMN(CUSTO_GLOBAL[[#Headers],[TERMO ADITIVO ALTERAÇÃO DA CCT]])-2,0)</f>
        <v>-</v>
      </c>
    </row>
    <row r="288" spans="1:82">
      <c r="A288" s="20" t="s">
        <v>1703</v>
      </c>
      <c r="B288" t="s">
        <v>1205</v>
      </c>
      <c r="C288" t="s">
        <v>304</v>
      </c>
      <c r="D288" t="s">
        <v>954</v>
      </c>
      <c r="E288" s="20" t="s">
        <v>1090</v>
      </c>
      <c r="F288" s="20" t="s">
        <v>120</v>
      </c>
      <c r="G288" s="20">
        <v>2</v>
      </c>
      <c r="H288" s="20">
        <v>0</v>
      </c>
      <c r="I288" s="21">
        <f>VLOOKUP($A288,tabCustoUnit[],COLUMN(CUSTO_GLOBAL[[#Headers],[Salário Base]])-2,0)*($G288-$H288)</f>
        <v>3926.8220000000001</v>
      </c>
      <c r="J288" s="21">
        <f>VLOOKUP($A288,tabCustoUnit[],COLUMN(CUSTO_GLOBAL[[#Headers],[Adicional Periculosidade]])-2,0)*($G288-$H288)</f>
        <v>0</v>
      </c>
      <c r="K288" s="21">
        <f>VLOOKUP($A288,tabCustoUnit[],COLUMN(CUSTO_GLOBAL[[#Headers],[Adicional Insalubridade]])-2,0)*($G288-$H288)</f>
        <v>0</v>
      </c>
      <c r="L288" s="21">
        <f>VLOOKUP($A288,tabCustoUnit[],COLUMN(CUSTO_GLOBAL[[#Headers],[Adicional Noturno]])-2,0)*($G288-$H288)</f>
        <v>0</v>
      </c>
      <c r="M288" s="21">
        <f>VLOOKUP($A288,tabCustoUnit[],COLUMN(CUSTO_GLOBAL[[#Headers],[Adicional Motorista II (Gratificação)]])-2,0)*($G288-$H288)</f>
        <v>0</v>
      </c>
      <c r="N288" s="21">
        <f>VLOOKUP($A288,tabCustoUnit[],COLUMN(CUSTO_GLOBAL[[#Headers],[Adicional de Sobreaviso]])-2,0)*($G288-$H288)</f>
        <v>0</v>
      </c>
      <c r="O288" s="21">
        <f>VLOOKUP($A288,tabCustoUnit[],COLUMN(CUSTO_GLOBAL[[#Headers],[Horas Extras TI]])-2,0)*($G288-$H288)</f>
        <v>0</v>
      </c>
      <c r="P288" s="21">
        <f>VLOOKUP($A288,tabCustoUnit[],COLUMN(CUSTO_GLOBAL[[#Headers],[Adicional de Acúmulo de função]])-2,0)*($G288-$H288)</f>
        <v>0</v>
      </c>
      <c r="Q288" s="21">
        <f>VLOOKUP($A288,tabCustoUnit[],COLUMN(CUSTO_GLOBAL[[#Headers],[MODULO 1 - REMUNERAÇÃO ]])-2,0)*($G288-$H288)</f>
        <v>3926.8220000000001</v>
      </c>
      <c r="R288" s="21">
        <f>VLOOKUP($A288,tabCustoUnit[],COLUMN(CUSTO_GLOBAL[[#Headers],[INSS]])-2,0)*($G288-$H288)</f>
        <v>785.36440000000005</v>
      </c>
      <c r="S288" s="21">
        <f>VLOOKUP($A288,tabCustoUnit[],COLUMN(CUSTO_GLOBAL[[#Headers],[SESI OU SESC]])-2,0)*($G288-$H288)</f>
        <v>58.902329999999999</v>
      </c>
      <c r="T288" s="21">
        <f>VLOOKUP($A288,tabCustoUnit[],COLUMN(CUSTO_GLOBAL[[#Headers],[SENAI OU SENAC]])-2,0)*($G288-$H288)</f>
        <v>39.268219999999999</v>
      </c>
      <c r="U288" s="21">
        <f>VLOOKUP($A288,tabCustoUnit[],COLUMN(CUSTO_GLOBAL[[#Headers],[INCRA]])-2,0)*($G288-$H288)</f>
        <v>7.8536440000000001</v>
      </c>
      <c r="V288" s="21">
        <f>VLOOKUP($A288,tabCustoUnit[],COLUMN(CUSTO_GLOBAL[[#Headers],[Salário Educação]])-2,0)*($G288-$H288)</f>
        <v>98.170550000000006</v>
      </c>
      <c r="W288" s="21">
        <f>VLOOKUP($A288,tabCustoUnit[],COLUMN(CUSTO_GLOBAL[[#Headers],[FGTS]])-2,0)*($G288-$H288)</f>
        <v>314.14576</v>
      </c>
      <c r="X288" s="21">
        <f>VLOOKUP($A288,tabCustoUnit[],COLUMN(CUSTO_GLOBAL[[#Headers],[RAT Ajustado]])-2,0)*($G288-$H288)</f>
        <v>157.07288</v>
      </c>
      <c r="Y288" s="21">
        <f>VLOOKUP($A288,tabCustoUnit[],COLUMN(CUSTO_GLOBAL[[#Headers],[SEBRAE]])-2,0)*($G288-$H288)</f>
        <v>23.560932000000001</v>
      </c>
      <c r="Z288" s="21">
        <f>VLOOKUP($A288,tabCustoUnit[],COLUMN(CUSTO_GLOBAL[[#Headers],[Submódulo 2.1]])-2,0)*($G288-$H288)</f>
        <v>1484.3387160000002</v>
      </c>
      <c r="AA288" s="21">
        <f>VLOOKUP($A288,tabCustoUnit[],COLUMN(CUSTO_GLOBAL[[#Headers],[13º salário (titular)]])-2,0)*($G288-$H288)</f>
        <v>327.23516666666666</v>
      </c>
      <c r="AB288" s="21">
        <f>VLOOKUP($A288,tabCustoUnit[],COLUMN(CUSTO_GLOBAL[[#Headers],[Férias e Adicional de Férias (titular)]])-2,0)*($G288-$H288)</f>
        <v>436.31355555555552</v>
      </c>
      <c r="AC288" s="21">
        <f>VLOOKUP($A288,tabCustoUnit[],COLUMN(CUSTO_GLOBAL[[#Headers],[Incidência do Submódulo 2.1 sobre 13º Salário, Férias e Adicional de Férias]])-2,0)*($G288-$H288)</f>
        <v>288.62141700000001</v>
      </c>
      <c r="AD288" s="21">
        <f>VLOOKUP($A288,tabCustoUnit[],COLUMN(CUSTO_GLOBAL[[#Headers],[Submódulo 2.2]])-2,0)*($G288-$H288)</f>
        <v>1052.1701392222221</v>
      </c>
      <c r="AE288" s="22" t="e">
        <f ca="1">VLOOKUP($A288,tabCustoUnit[],COLUMN(CUSTO_GLOBAL[[#Headers],[Vale - Transporte (Descontada parcela do empregado)]])-2,0)*($G288-$H288)</f>
        <v>#NAME?</v>
      </c>
      <c r="AF288" s="22">
        <f>VLOOKUP($A288,tabCustoUnit[],COLUMN(CUSTO_GLOBAL[[#Headers],[Vale - Alimentação (Descontada parcela do empregado)]])-2,0)*($G288-$H288)</f>
        <v>1164</v>
      </c>
      <c r="AG288" s="22">
        <f>VLOOKUP($A288,tabCustoUnit[],COLUMN(CUSTO_GLOBAL[[#Headers],[Cesta Básica]])-2,0)*($G288-$H288)</f>
        <v>0</v>
      </c>
      <c r="AH288" s="22">
        <f>VLOOKUP($A288,tabCustoUnit[],COLUMN(CUSTO_GLOBAL[[#Headers],[PAF]])-2,0)*($G288-$H288)</f>
        <v>103.76</v>
      </c>
      <c r="AI288" s="22">
        <f>VLOOKUP($A288,tabCustoUnit[],COLUMN(CUSTO_GLOBAL[[#Headers],[PQM]])-2,0)*($G288-$H288)</f>
        <v>0</v>
      </c>
      <c r="AJ288" s="22">
        <v>0</v>
      </c>
      <c r="AK288" s="22">
        <f>VLOOKUP($A288,tabCustoUnit[],COLUMN(CUSTO_GLOBAL[[#Headers],[Seguro de Vida]])-2,0)*($G288-$H288)</f>
        <v>6.72</v>
      </c>
      <c r="AL288" s="22">
        <f>VLOOKUP($A288,tabCustoUnit[],COLUMN(CUSTO_GLOBAL[[#Headers],[Despesas de Viagem]])-2,0)*($G288-$H288)</f>
        <v>0</v>
      </c>
      <c r="AM288" s="22" t="e">
        <f ca="1">VLOOKUP($A288,tabCustoUnit[],COLUMN(CUSTO_GLOBAL[[#Headers],[Submódulo 2.3]])-2,0)*($G288-$H288)</f>
        <v>#NAME?</v>
      </c>
      <c r="AN288" s="22" t="e">
        <f ca="1">VLOOKUP($A288,tabCustoUnit[],COLUMN(CUSTO_GLOBAL[[#Headers],[MÓDULO 2 - Total Encargos e Benefícios mensais e diários]])-2,0)*($G288-$H288)</f>
        <v>#NAME?</v>
      </c>
      <c r="AO288" s="22">
        <f>VLOOKUP($A288,tabCustoUnit[],COLUMN(CUSTO_GLOBAL[[#Headers],[Aviso Prévio Indenizado (API) e Reflexo do Aviso Prévio Indenizado]])-2,0)*($G288-$H288)</f>
        <v>27.533960817515432</v>
      </c>
      <c r="AP288" s="22">
        <f>VLOOKUP($A288,tabCustoUnit[],COLUMN(CUSTO_GLOBAL[[#Headers],[Incidência do FGTS sobre API e Reflexo do API]])-2,0)*($G288-$H288)</f>
        <v>2.2027168654012348</v>
      </c>
      <c r="AQ288" s="22">
        <f>VLOOKUP($A288,tabCustoUnit[],COLUMN(CUSTO_GLOBAL[[#Headers],[Multa Rescisória do FGTS sobre o Aviso Prévio Indenizado]])-2,0)*($G288-$H288)</f>
        <v>0.88108674616049398</v>
      </c>
      <c r="AR288" s="22">
        <f>VLOOKUP($A288,tabCustoUnit[],COLUMN(CUSTO_GLOBAL[[#Headers],[Aviso Prévio Trabalhado - APT]])-2,0)*($G288-$H288)</f>
        <v>13.743877000000003</v>
      </c>
      <c r="AS288" s="22">
        <f>VLOOKUP($A288,tabCustoUnit[],COLUMN(CUSTO_GLOBAL[[#Headers],[Incidência dos encargos do submódulo 2.1 sobre Aviso Prévio Trabalhado]])-2,0)*($G288-$H288)</f>
        <v>5.1951855060000014</v>
      </c>
      <c r="AT288" s="22">
        <f>VLOOKUP($A288,tabCustoUnit[],COLUMN(CUSTO_GLOBAL[[#Headers],[Multa Rescisória do FGTS]])-2,0)*($G288-$H288)</f>
        <v>120.07349048888888</v>
      </c>
      <c r="AU288" s="22">
        <f>VLOOKUP($A288,tabCustoUnit[],COLUMN(CUSTO_GLOBAL[[#Headers],[Indenização Adicional (Art. 9º da Lei nº 7.238/84)]])-2,0)*($G288-$H288)</f>
        <v>3.2723516666666668</v>
      </c>
      <c r="AV288" s="22">
        <f>VLOOKUP($A288,tabCustoUnit[],COLUMN(CUSTO_GLOBAL[[#Headers],[MÓDULO 3 – PROVISÃO PARA RESCISÃO]])-2,0)*($G288-$H288)</f>
        <v>172.90266909063274</v>
      </c>
      <c r="AW288" s="22">
        <f>VLOOKUP($A288,tabCustoUnit[],COLUMN(CUSTO_GLOBAL[[#Headers],[Ausência por Doença]])-2,0)*($G288-$H288)</f>
        <v>33.159830222222219</v>
      </c>
      <c r="AX288" s="22">
        <f>VLOOKUP($A288,tabCustoUnit[],COLUMN(CUSTO_GLOBAL[[#Headers],[Ausências Legais]])-2,0)*($G288-$H288)</f>
        <v>7.9627223888888885</v>
      </c>
      <c r="AY288" s="22">
        <f>VLOOKUP($A288,tabCustoUnit[],COLUMN(CUSTO_GLOBAL[[#Headers],[Licença Paternidade]])-2,0)*($G288-$H288)</f>
        <v>0.67083209166666669</v>
      </c>
      <c r="AZ288" s="22">
        <f>VLOOKUP($A288,tabCustoUnit[],COLUMN(CUSTO_GLOBAL[[#Headers],[Ausência por Acidente de Trabalho]])-2,0)*($G288-$H288)</f>
        <v>0.81808791666666669</v>
      </c>
      <c r="BA288" s="22">
        <f>VLOOKUP($A288,tabCustoUnit[],COLUMN(CUSTO_GLOBAL[[#Headers],[Férias, Adicional de Férias e 13º  com empregada em gozo de Licença Maternidade]])-2,0)*($G288-$H288)</f>
        <v>5.0903248148148146</v>
      </c>
      <c r="BB288" s="22">
        <f>VLOOKUP($A288,tabCustoUnit[],COLUMN(CUSTO_GLOBAL[[#Headers],[Incidência do Submódulo 2.1 sobre Ausências Legais]])-2,0)*($G288-$H288)</f>
        <v>18.031279430150004</v>
      </c>
      <c r="BC288" s="22">
        <f>VLOOKUP($A288,tabCustoUnit[],COLUMN(CUSTO_GLOBAL[[#Headers],[Submódulo 4.1]])-2,0)*($G288-$H288)</f>
        <v>65.733076864409256</v>
      </c>
      <c r="BD288" s="22">
        <f>VLOOKUP($A288,tabCustoUnit[],COLUMN(CUSTO_GLOBAL[[#Headers],[Intervalo para Repouso ou Alimentação]])-2,0)*($G288-$H288)</f>
        <v>434.75529489599154</v>
      </c>
      <c r="BE288" s="22">
        <f>VLOOKUP($A288,tabCustoUnit[],COLUMN(CUSTO_GLOBAL[[#Headers],[Submódulo 4.2]])-2,0)*($G288-$H288)</f>
        <v>434.75529489599154</v>
      </c>
      <c r="BF288" s="22">
        <f>VLOOKUP($A288,tabCustoUnit[],COLUMN(CUSTO_GLOBAL[[#Headers],[Suspensão Temporária do Contrato de Trabalho]])-2,0)*($G288-$H288)</f>
        <v>0</v>
      </c>
      <c r="BG288" s="22">
        <f>VLOOKUP($A288,tabCustoUnit[],COLUMN(CUSTO_GLOBAL[[#Headers],[Submódulo 4.3]])-2,0)*($G288-$H288)</f>
        <v>0</v>
      </c>
      <c r="BH288" s="22">
        <f>VLOOKUP($A288,tabCustoUnit[],COLUMN(CUSTO_GLOBAL[[#Headers],[MÓDULO 4 – CUSTO DE REPOSIÇÃO DO PROFISSIONAL AUSENTE]])-2,0)*($G288-$H288)</f>
        <v>500.48837176040081</v>
      </c>
      <c r="BI288" s="22">
        <f>VLOOKUP($A288,tabCustoUnit[],COLUMN(CUSTO_GLOBAL[[#Headers],[Uniformes e EPIs]])-2,0)*($G288-$H288)</f>
        <v>113.28595792508679</v>
      </c>
      <c r="BJ288" s="22">
        <f>VLOOKUP($A288,tabCustoUnit[],COLUMN(CUSTO_GLOBAL[[#Headers],[Materiais de Consumo]])-2,0)*($G288-$H288)</f>
        <v>0</v>
      </c>
      <c r="BK288" s="22">
        <f>VLOOKUP($A288,tabCustoUnit[],COLUMN(CUSTO_GLOBAL[[#Headers],[Máquinas e Equipamentos (depreciação)]])-2,0)*($G288-$H288)</f>
        <v>0</v>
      </c>
      <c r="BL288" s="22">
        <f>VLOOKUP($A288,tabCustoUnit[],COLUMN(CUSTO_GLOBAL[[#Headers],[Produtos de Limpeza e Materiais de Higiene Pessoal]])-2,0)*($G288-$H288)</f>
        <v>0</v>
      </c>
      <c r="BM288" s="22">
        <f>VLOOKUP($A288,tabCustoUnit[],COLUMN(CUSTO_GLOBAL[[#Headers],[Outros (especificar)]])-2,0)*($G288-$H288)</f>
        <v>0</v>
      </c>
      <c r="BN288" s="22">
        <f>VLOOKUP($A288,tabCustoUnit[],COLUMN(CUSTO_GLOBAL[[#Headers],[MÓDULO 5 – INSUMOS DIVERSOS]])-2,0)*($G288-$H288)</f>
        <v>113.28595792508679</v>
      </c>
      <c r="BO288" s="22" t="e">
        <f ca="1">VLOOKUP($A288,tabCustoUnit[],COLUMN(CUSTO_GLOBAL[[#Headers],[TOTAL MÓDULOS 1+2+3+4+5]])-2,0)*($G288-$H288)</f>
        <v>#NAME?</v>
      </c>
      <c r="BP288" s="22" t="e">
        <f ca="1">VLOOKUP($A288,tabCustoUnit[],COLUMN(CUSTO_GLOBAL[[#Headers],[Custos Indiretos]])-2,0)*($G288-$H288)</f>
        <v>#NAME?</v>
      </c>
      <c r="BQ288" s="22" t="e">
        <f ca="1">VLOOKUP($A288,tabCustoUnit[],COLUMN(CUSTO_GLOBAL[[#Headers],[Lucro]])-2,0)*($G288-$H288)</f>
        <v>#NAME?</v>
      </c>
      <c r="BR288" s="26">
        <f>VLOOKUP($A288,tabCustoUnit[],COLUMN(CUSTO_GLOBAL[[#Headers],[COFINS]])-2,0)</f>
        <v>8.5633802816901458E-2</v>
      </c>
      <c r="BS288" s="26">
        <f>VLOOKUP($A288,tabCustoUnit[],COLUMN(CUSTO_GLOBAL[[#Headers],[PIS]])-2,0)</f>
        <v>1.8591549295774657E-2</v>
      </c>
      <c r="BT288" s="28">
        <f>VLOOKUP($A288,tabCustoUnit[],COLUMN(CUSTO_GLOBAL[[#Headers],[ISS]])-2,0)</f>
        <v>0.02</v>
      </c>
      <c r="BU288" s="26">
        <f>VLOOKUP($A288,tabCustoUnit[],COLUMN(CUSTO_GLOBAL[[#Headers],[ISS (Conversão Alíquota s/ fatura)]])-2,0)</f>
        <v>2.2535211267605645E-2</v>
      </c>
      <c r="BV288" s="26">
        <f>VLOOKUP($A288,tabCustoUnit[],COLUMN(CUSTO_GLOBAL[[#Headers],[Resumo de Alíquotas (PIS+CONFINS+ISS)]])-2,0)</f>
        <v>0.1125</v>
      </c>
      <c r="BW288" s="138">
        <f>VLOOKUP($A288,tabCustoUnit[],COLUMN(CUSTO_GLOBAL[[#Headers],[PIS + COFINS + ISS (Total Conversão  Alíquota s/ Fatura)]])-2,0)</f>
        <v>0.12676056338028174</v>
      </c>
      <c r="BX288" s="22" t="e">
        <f ca="1">VLOOKUP($A288,tabCustoUnit[],COLUMN(CUSTO_GLOBAL[[#Headers],[Valor dos Tributos (ISS, PIS, CONFINS)]])-2,0)*($G288-$H288)</f>
        <v>#NAME?</v>
      </c>
      <c r="BY288" s="22" t="e">
        <f ca="1">VLOOKUP($A288,tabCustoUnit[],COLUMN(CUSTO_GLOBAL[[#Headers],[MÓDULO 6 – CUSTOS INDIRETOS, TRIBUTOS E LUCRO]])-2,0)*($G288-$H288)</f>
        <v>#NAME?</v>
      </c>
      <c r="BZ288" s="22" t="e">
        <f ca="1">VLOOKUP($A288,tabCustoUnit[],COLUMN(CUSTO_GLOBAL[[#Headers],[CUSTO TOTAL MENSAL]])-2,0)*($G288-$H288)</f>
        <v>#NAME?</v>
      </c>
      <c r="CA288" s="22" t="e">
        <f ca="1">CUSTO_GLOBAL[[#This Row],[CUSTO TOTAL MENSAL]]*12</f>
        <v>#NAME?</v>
      </c>
      <c r="CB288" s="24">
        <f>VLOOKUP($A288,tabCustoUnit[],COLUMN(CUSTO_GLOBAL[[#Headers],[ANO DA CCT]])-2,0)</f>
        <v>45658</v>
      </c>
      <c r="CC288" s="25" t="str">
        <f>VLOOKUP($A288,tabCustoUnit[],COLUMN(CUSTO_GLOBAL[[#Headers],[Nº DE PEDIDO DA CCT]])-2,0)</f>
        <v>-</v>
      </c>
      <c r="CD288" s="25" t="str">
        <f>VLOOKUP($A288,tabCustoUnit[],COLUMN(CUSTO_GLOBAL[[#Headers],[TERMO ADITIVO ALTERAÇÃO DA CCT]])-2,0)</f>
        <v>-</v>
      </c>
    </row>
    <row r="289" spans="1:82">
      <c r="A289" s="20" t="s">
        <v>1704</v>
      </c>
      <c r="B289" t="s">
        <v>1205</v>
      </c>
      <c r="C289" t="s">
        <v>309</v>
      </c>
      <c r="D289" t="s">
        <v>954</v>
      </c>
      <c r="E289" s="20" t="s">
        <v>1090</v>
      </c>
      <c r="F289" s="20" t="s">
        <v>120</v>
      </c>
      <c r="G289" s="20">
        <v>2</v>
      </c>
      <c r="H289" s="20">
        <v>0</v>
      </c>
      <c r="I289" s="21">
        <f>VLOOKUP($A289,tabCustoUnit[],COLUMN(CUSTO_GLOBAL[[#Headers],[Salário Base]])-2,0)*($G289-$H289)</f>
        <v>3926.8220000000001</v>
      </c>
      <c r="J289" s="21">
        <f>VLOOKUP($A289,tabCustoUnit[],COLUMN(CUSTO_GLOBAL[[#Headers],[Adicional Periculosidade]])-2,0)*($G289-$H289)</f>
        <v>0</v>
      </c>
      <c r="K289" s="21">
        <f>VLOOKUP($A289,tabCustoUnit[],COLUMN(CUSTO_GLOBAL[[#Headers],[Adicional Insalubridade]])-2,0)*($G289-$H289)</f>
        <v>0</v>
      </c>
      <c r="L289" s="21">
        <f>VLOOKUP($A289,tabCustoUnit[],COLUMN(CUSTO_GLOBAL[[#Headers],[Adicional Noturno]])-2,0)*($G289-$H289)</f>
        <v>791.25459999999998</v>
      </c>
      <c r="M289" s="21">
        <f>VLOOKUP($A289,tabCustoUnit[],COLUMN(CUSTO_GLOBAL[[#Headers],[Adicional Motorista II (Gratificação)]])-2,0)*($G289-$H289)</f>
        <v>0</v>
      </c>
      <c r="N289" s="21">
        <f>VLOOKUP($A289,tabCustoUnit[],COLUMN(CUSTO_GLOBAL[[#Headers],[Adicional de Sobreaviso]])-2,0)*($G289-$H289)</f>
        <v>0</v>
      </c>
      <c r="O289" s="21">
        <f>VLOOKUP($A289,tabCustoUnit[],COLUMN(CUSTO_GLOBAL[[#Headers],[Horas Extras TI]])-2,0)*($G289-$H289)</f>
        <v>0</v>
      </c>
      <c r="P289" s="21">
        <f>VLOOKUP($A289,tabCustoUnit[],COLUMN(CUSTO_GLOBAL[[#Headers],[Adicional de Acúmulo de função]])-2,0)*($G289-$H289)</f>
        <v>0</v>
      </c>
      <c r="Q289" s="21">
        <f>VLOOKUP($A289,tabCustoUnit[],COLUMN(CUSTO_GLOBAL[[#Headers],[MODULO 1 - REMUNERAÇÃO ]])-2,0)*($G289-$H289)</f>
        <v>4718.0766000000003</v>
      </c>
      <c r="R289" s="21">
        <f>VLOOKUP($A289,tabCustoUnit[],COLUMN(CUSTO_GLOBAL[[#Headers],[INSS]])-2,0)*($G289-$H289)</f>
        <v>943.61532000000011</v>
      </c>
      <c r="S289" s="21">
        <f>VLOOKUP($A289,tabCustoUnit[],COLUMN(CUSTO_GLOBAL[[#Headers],[SESI OU SESC]])-2,0)*($G289-$H289)</f>
        <v>70.771149000000008</v>
      </c>
      <c r="T289" s="21">
        <f>VLOOKUP($A289,tabCustoUnit[],COLUMN(CUSTO_GLOBAL[[#Headers],[SENAI OU SENAC]])-2,0)*($G289-$H289)</f>
        <v>47.180766000000006</v>
      </c>
      <c r="U289" s="21">
        <f>VLOOKUP($A289,tabCustoUnit[],COLUMN(CUSTO_GLOBAL[[#Headers],[INCRA]])-2,0)*($G289-$H289)</f>
        <v>9.4361532000000015</v>
      </c>
      <c r="V289" s="21">
        <f>VLOOKUP($A289,tabCustoUnit[],COLUMN(CUSTO_GLOBAL[[#Headers],[Salário Educação]])-2,0)*($G289-$H289)</f>
        <v>117.95191500000001</v>
      </c>
      <c r="W289" s="21">
        <f>VLOOKUP($A289,tabCustoUnit[],COLUMN(CUSTO_GLOBAL[[#Headers],[FGTS]])-2,0)*($G289-$H289)</f>
        <v>377.44612800000004</v>
      </c>
      <c r="X289" s="21">
        <f>VLOOKUP($A289,tabCustoUnit[],COLUMN(CUSTO_GLOBAL[[#Headers],[RAT Ajustado]])-2,0)*($G289-$H289)</f>
        <v>188.72306400000002</v>
      </c>
      <c r="Y289" s="21">
        <f>VLOOKUP($A289,tabCustoUnit[],COLUMN(CUSTO_GLOBAL[[#Headers],[SEBRAE]])-2,0)*($G289-$H289)</f>
        <v>28.308459600000003</v>
      </c>
      <c r="Z289" s="21">
        <f>VLOOKUP($A289,tabCustoUnit[],COLUMN(CUSTO_GLOBAL[[#Headers],[Submódulo 2.1]])-2,0)*($G289-$H289)</f>
        <v>1783.4329548000005</v>
      </c>
      <c r="AA289" s="21">
        <f>VLOOKUP($A289,tabCustoUnit[],COLUMN(CUSTO_GLOBAL[[#Headers],[13º salário (titular)]])-2,0)*($G289-$H289)</f>
        <v>393.17304999999999</v>
      </c>
      <c r="AB289" s="21">
        <f>VLOOKUP($A289,tabCustoUnit[],COLUMN(CUSTO_GLOBAL[[#Headers],[Férias e Adicional de Férias (titular)]])-2,0)*($G289-$H289)</f>
        <v>524.23073333333332</v>
      </c>
      <c r="AC289" s="21">
        <f>VLOOKUP($A289,tabCustoUnit[],COLUMN(CUSTO_GLOBAL[[#Headers],[Incidência do Submódulo 2.1 sobre 13º Salário, Férias e Adicional de Férias]])-2,0)*($G289-$H289)</f>
        <v>346.77863010000004</v>
      </c>
      <c r="AD289" s="21">
        <f>VLOOKUP($A289,tabCustoUnit[],COLUMN(CUSTO_GLOBAL[[#Headers],[Submódulo 2.2]])-2,0)*($G289-$H289)</f>
        <v>1264.1824134333333</v>
      </c>
      <c r="AE289" s="22" t="e">
        <f ca="1">VLOOKUP($A289,tabCustoUnit[],COLUMN(CUSTO_GLOBAL[[#Headers],[Vale - Transporte (Descontada parcela do empregado)]])-2,0)*($G289-$H289)</f>
        <v>#NAME?</v>
      </c>
      <c r="AF289" s="22">
        <f>VLOOKUP($A289,tabCustoUnit[],COLUMN(CUSTO_GLOBAL[[#Headers],[Vale - Alimentação (Descontada parcela do empregado)]])-2,0)*($G289-$H289)</f>
        <v>1164</v>
      </c>
      <c r="AG289" s="22">
        <f>VLOOKUP($A289,tabCustoUnit[],COLUMN(CUSTO_GLOBAL[[#Headers],[Cesta Básica]])-2,0)*($G289-$H289)</f>
        <v>0</v>
      </c>
      <c r="AH289" s="22">
        <f>VLOOKUP($A289,tabCustoUnit[],COLUMN(CUSTO_GLOBAL[[#Headers],[PAF]])-2,0)*($G289-$H289)</f>
        <v>103.76</v>
      </c>
      <c r="AI289" s="22">
        <f>VLOOKUP($A289,tabCustoUnit[],COLUMN(CUSTO_GLOBAL[[#Headers],[PQM]])-2,0)*($G289-$H289)</f>
        <v>0</v>
      </c>
      <c r="AJ289" s="22">
        <v>0</v>
      </c>
      <c r="AK289" s="22">
        <f>VLOOKUP($A289,tabCustoUnit[],COLUMN(CUSTO_GLOBAL[[#Headers],[Seguro de Vida]])-2,0)*($G289-$H289)</f>
        <v>6.72</v>
      </c>
      <c r="AL289" s="22">
        <f>VLOOKUP($A289,tabCustoUnit[],COLUMN(CUSTO_GLOBAL[[#Headers],[Despesas de Viagem]])-2,0)*($G289-$H289)</f>
        <v>0</v>
      </c>
      <c r="AM289" s="22" t="e">
        <f ca="1">VLOOKUP($A289,tabCustoUnit[],COLUMN(CUSTO_GLOBAL[[#Headers],[Submódulo 2.3]])-2,0)*($G289-$H289)</f>
        <v>#NAME?</v>
      </c>
      <c r="AN289" s="22" t="e">
        <f ca="1">VLOOKUP($A289,tabCustoUnit[],COLUMN(CUSTO_GLOBAL[[#Headers],[MÓDULO 2 - Total Encargos e Benefícios mensais e diários]])-2,0)*($G289-$H289)</f>
        <v>#NAME?</v>
      </c>
      <c r="AO289" s="22">
        <f>VLOOKUP($A289,tabCustoUnit[],COLUMN(CUSTO_GLOBAL[[#Headers],[Aviso Prévio Indenizado (API) e Reflexo do Aviso Prévio Indenizado]])-2,0)*($G289-$H289)</f>
        <v>33.082053690856483</v>
      </c>
      <c r="AP289" s="22">
        <f>VLOOKUP($A289,tabCustoUnit[],COLUMN(CUSTO_GLOBAL[[#Headers],[Incidência do FGTS sobre API e Reflexo do API]])-2,0)*($G289-$H289)</f>
        <v>2.6465642952685191</v>
      </c>
      <c r="AQ289" s="22">
        <f>VLOOKUP($A289,tabCustoUnit[],COLUMN(CUSTO_GLOBAL[[#Headers],[Multa Rescisória do FGTS sobre o Aviso Prévio Indenizado]])-2,0)*($G289-$H289)</f>
        <v>1.0586257181074077</v>
      </c>
      <c r="AR289" s="22">
        <f>VLOOKUP($A289,tabCustoUnit[],COLUMN(CUSTO_GLOBAL[[#Headers],[Aviso Prévio Trabalhado - APT]])-2,0)*($G289-$H289)</f>
        <v>16.513268100000005</v>
      </c>
      <c r="AS289" s="22">
        <f>VLOOKUP($A289,tabCustoUnit[],COLUMN(CUSTO_GLOBAL[[#Headers],[Incidência dos encargos do submódulo 2.1 sobre Aviso Prévio Trabalhado]])-2,0)*($G289-$H289)</f>
        <v>6.2420153418000019</v>
      </c>
      <c r="AT289" s="22">
        <f>VLOOKUP($A289,tabCustoUnit[],COLUMN(CUSTO_GLOBAL[[#Headers],[Multa Rescisória do FGTS]])-2,0)*($G289-$H289)</f>
        <v>144.26829781333333</v>
      </c>
      <c r="AU289" s="22">
        <f>VLOOKUP($A289,tabCustoUnit[],COLUMN(CUSTO_GLOBAL[[#Headers],[Indenização Adicional (Art. 9º da Lei nº 7.238/84)]])-2,0)*($G289-$H289)</f>
        <v>3.9317305000000005</v>
      </c>
      <c r="AV289" s="22">
        <f>VLOOKUP($A289,tabCustoUnit[],COLUMN(CUSTO_GLOBAL[[#Headers],[MÓDULO 3 – PROVISÃO PARA RESCISÃO]])-2,0)*($G289-$H289)</f>
        <v>207.74255545936575</v>
      </c>
      <c r="AW289" s="22">
        <f>VLOOKUP($A289,tabCustoUnit[],COLUMN(CUSTO_GLOBAL[[#Headers],[Ausência por Doença]])-2,0)*($G289-$H289)</f>
        <v>39.84153573333333</v>
      </c>
      <c r="AX289" s="22">
        <f>VLOOKUP($A289,tabCustoUnit[],COLUMN(CUSTO_GLOBAL[[#Headers],[Ausências Legais]])-2,0)*($G289-$H289)</f>
        <v>9.5672108833333329</v>
      </c>
      <c r="AY289" s="22">
        <f>VLOOKUP($A289,tabCustoUnit[],COLUMN(CUSTO_GLOBAL[[#Headers],[Licença Paternidade]])-2,0)*($G289-$H289)</f>
        <v>0.80600475250000003</v>
      </c>
      <c r="AZ289" s="22">
        <f>VLOOKUP($A289,tabCustoUnit[],COLUMN(CUSTO_GLOBAL[[#Headers],[Ausência por Acidente de Trabalho]])-2,0)*($G289-$H289)</f>
        <v>0.98293262500000012</v>
      </c>
      <c r="BA289" s="22">
        <f>VLOOKUP($A289,tabCustoUnit[],COLUMN(CUSTO_GLOBAL[[#Headers],[Férias, Adicional de Férias e 13º  com empregada em gozo de Licença Maternidade]])-2,0)*($G289-$H289)</f>
        <v>6.1160252222222224</v>
      </c>
      <c r="BB289" s="22">
        <f>VLOOKUP($A289,tabCustoUnit[],COLUMN(CUSTO_GLOBAL[[#Headers],[Incidência do Submódulo 2.1 sobre Ausências Legais]])-2,0)*($G289-$H289)</f>
        <v>21.664582083795004</v>
      </c>
      <c r="BC289" s="22">
        <f>VLOOKUP($A289,tabCustoUnit[],COLUMN(CUSTO_GLOBAL[[#Headers],[Submódulo 4.1]])-2,0)*($G289-$H289)</f>
        <v>78.978291300183884</v>
      </c>
      <c r="BD289" s="22">
        <f>VLOOKUP($A289,tabCustoUnit[],COLUMN(CUSTO_GLOBAL[[#Headers],[Intervalo para Repouso ou Alimentação]])-2,0)*($G289-$H289)</f>
        <v>522.35848681753384</v>
      </c>
      <c r="BE289" s="22">
        <f>VLOOKUP($A289,tabCustoUnit[],COLUMN(CUSTO_GLOBAL[[#Headers],[Submódulo 4.2]])-2,0)*($G289-$H289)</f>
        <v>522.35848681753384</v>
      </c>
      <c r="BF289" s="22">
        <f>VLOOKUP($A289,tabCustoUnit[],COLUMN(CUSTO_GLOBAL[[#Headers],[Suspensão Temporária do Contrato de Trabalho]])-2,0)*($G289-$H289)</f>
        <v>0</v>
      </c>
      <c r="BG289" s="22">
        <f>VLOOKUP($A289,tabCustoUnit[],COLUMN(CUSTO_GLOBAL[[#Headers],[Submódulo 4.3]])-2,0)*($G289-$H289)</f>
        <v>0</v>
      </c>
      <c r="BH289" s="22">
        <f>VLOOKUP($A289,tabCustoUnit[],COLUMN(CUSTO_GLOBAL[[#Headers],[MÓDULO 4 – CUSTO DE REPOSIÇÃO DO PROFISSIONAL AUSENTE]])-2,0)*($G289-$H289)</f>
        <v>601.3367781177177</v>
      </c>
      <c r="BI289" s="22">
        <f>VLOOKUP($A289,tabCustoUnit[],COLUMN(CUSTO_GLOBAL[[#Headers],[Uniformes e EPIs]])-2,0)*($G289-$H289)</f>
        <v>113.28595792508679</v>
      </c>
      <c r="BJ289" s="22">
        <f>VLOOKUP($A289,tabCustoUnit[],COLUMN(CUSTO_GLOBAL[[#Headers],[Materiais de Consumo]])-2,0)*($G289-$H289)</f>
        <v>0</v>
      </c>
      <c r="BK289" s="22">
        <f>VLOOKUP($A289,tabCustoUnit[],COLUMN(CUSTO_GLOBAL[[#Headers],[Máquinas e Equipamentos (depreciação)]])-2,0)*($G289-$H289)</f>
        <v>0</v>
      </c>
      <c r="BL289" s="22">
        <f>VLOOKUP($A289,tabCustoUnit[],COLUMN(CUSTO_GLOBAL[[#Headers],[Produtos de Limpeza e Materiais de Higiene Pessoal]])-2,0)*($G289-$H289)</f>
        <v>0</v>
      </c>
      <c r="BM289" s="22">
        <f>VLOOKUP($A289,tabCustoUnit[],COLUMN(CUSTO_GLOBAL[[#Headers],[Outros (especificar)]])-2,0)*($G289-$H289)</f>
        <v>0</v>
      </c>
      <c r="BN289" s="22">
        <f>VLOOKUP($A289,tabCustoUnit[],COLUMN(CUSTO_GLOBAL[[#Headers],[MÓDULO 5 – INSUMOS DIVERSOS]])-2,0)*($G289-$H289)</f>
        <v>113.28595792508679</v>
      </c>
      <c r="BO289" s="22" t="e">
        <f ca="1">VLOOKUP($A289,tabCustoUnit[],COLUMN(CUSTO_GLOBAL[[#Headers],[TOTAL MÓDULOS 1+2+3+4+5]])-2,0)*($G289-$H289)</f>
        <v>#NAME?</v>
      </c>
      <c r="BP289" s="22" t="e">
        <f ca="1">VLOOKUP($A289,tabCustoUnit[],COLUMN(CUSTO_GLOBAL[[#Headers],[Custos Indiretos]])-2,0)*($G289-$H289)</f>
        <v>#NAME?</v>
      </c>
      <c r="BQ289" s="22" t="e">
        <f ca="1">VLOOKUP($A289,tabCustoUnit[],COLUMN(CUSTO_GLOBAL[[#Headers],[Lucro]])-2,0)*($G289-$H289)</f>
        <v>#NAME?</v>
      </c>
      <c r="BR289" s="26">
        <f>VLOOKUP($A289,tabCustoUnit[],COLUMN(CUSTO_GLOBAL[[#Headers],[COFINS]])-2,0)</f>
        <v>8.5633802816901458E-2</v>
      </c>
      <c r="BS289" s="26">
        <f>VLOOKUP($A289,tabCustoUnit[],COLUMN(CUSTO_GLOBAL[[#Headers],[PIS]])-2,0)</f>
        <v>1.8591549295774657E-2</v>
      </c>
      <c r="BT289" s="28">
        <f>VLOOKUP($A289,tabCustoUnit[],COLUMN(CUSTO_GLOBAL[[#Headers],[ISS]])-2,0)</f>
        <v>0.02</v>
      </c>
      <c r="BU289" s="26">
        <f>VLOOKUP($A289,tabCustoUnit[],COLUMN(CUSTO_GLOBAL[[#Headers],[ISS (Conversão Alíquota s/ fatura)]])-2,0)</f>
        <v>2.2535211267605645E-2</v>
      </c>
      <c r="BV289" s="26">
        <f>VLOOKUP($A289,tabCustoUnit[],COLUMN(CUSTO_GLOBAL[[#Headers],[Resumo de Alíquotas (PIS+CONFINS+ISS)]])-2,0)</f>
        <v>0.1125</v>
      </c>
      <c r="BW289" s="138">
        <f>VLOOKUP($A289,tabCustoUnit[],COLUMN(CUSTO_GLOBAL[[#Headers],[PIS + COFINS + ISS (Total Conversão  Alíquota s/ Fatura)]])-2,0)</f>
        <v>0.12676056338028174</v>
      </c>
      <c r="BX289" s="22" t="e">
        <f ca="1">VLOOKUP($A289,tabCustoUnit[],COLUMN(CUSTO_GLOBAL[[#Headers],[Valor dos Tributos (ISS, PIS, CONFINS)]])-2,0)*($G289-$H289)</f>
        <v>#NAME?</v>
      </c>
      <c r="BY289" s="22" t="e">
        <f ca="1">VLOOKUP($A289,tabCustoUnit[],COLUMN(CUSTO_GLOBAL[[#Headers],[MÓDULO 6 – CUSTOS INDIRETOS, TRIBUTOS E LUCRO]])-2,0)*($G289-$H289)</f>
        <v>#NAME?</v>
      </c>
      <c r="BZ289" s="22" t="e">
        <f ca="1">VLOOKUP($A289,tabCustoUnit[],COLUMN(CUSTO_GLOBAL[[#Headers],[CUSTO TOTAL MENSAL]])-2,0)*($G289-$H289)</f>
        <v>#NAME?</v>
      </c>
      <c r="CA289" s="22" t="e">
        <f ca="1">CUSTO_GLOBAL[[#This Row],[CUSTO TOTAL MENSAL]]*12</f>
        <v>#NAME?</v>
      </c>
      <c r="CB289" s="24">
        <f>VLOOKUP($A289,tabCustoUnit[],COLUMN(CUSTO_GLOBAL[[#Headers],[ANO DA CCT]])-2,0)</f>
        <v>45658</v>
      </c>
      <c r="CC289" s="25" t="str">
        <f>VLOOKUP($A289,tabCustoUnit[],COLUMN(CUSTO_GLOBAL[[#Headers],[Nº DE PEDIDO DA CCT]])-2,0)</f>
        <v>-</v>
      </c>
      <c r="CD289" s="25" t="str">
        <f>VLOOKUP($A289,tabCustoUnit[],COLUMN(CUSTO_GLOBAL[[#Headers],[TERMO ADITIVO ALTERAÇÃO DA CCT]])-2,0)</f>
        <v>-</v>
      </c>
    </row>
    <row r="290" spans="1:82">
      <c r="A290" s="20" t="s">
        <v>1705</v>
      </c>
      <c r="B290" t="s">
        <v>1205</v>
      </c>
      <c r="C290" t="s">
        <v>324</v>
      </c>
      <c r="D290" t="s">
        <v>954</v>
      </c>
      <c r="E290" s="20" t="s">
        <v>1090</v>
      </c>
      <c r="F290" s="20" t="s">
        <v>120</v>
      </c>
      <c r="G290" s="20">
        <v>1</v>
      </c>
      <c r="H290" s="20">
        <v>0</v>
      </c>
      <c r="I290" s="21">
        <f>VLOOKUP($A290,tabCustoUnit[],COLUMN(CUSTO_GLOBAL[[#Headers],[Salário Base]])-2,0)*($G290-$H290)</f>
        <v>3397.1306</v>
      </c>
      <c r="J290" s="21">
        <f>VLOOKUP($A290,tabCustoUnit[],COLUMN(CUSTO_GLOBAL[[#Headers],[Adicional Periculosidade]])-2,0)*($G290-$H290)</f>
        <v>0</v>
      </c>
      <c r="K290" s="21">
        <f>VLOOKUP($A290,tabCustoUnit[],COLUMN(CUSTO_GLOBAL[[#Headers],[Adicional Insalubridade]])-2,0)*($G290-$H290)</f>
        <v>0</v>
      </c>
      <c r="L290" s="21">
        <f>VLOOKUP($A290,tabCustoUnit[],COLUMN(CUSTO_GLOBAL[[#Headers],[Adicional Noturno]])-2,0)*($G290-$H290)</f>
        <v>0</v>
      </c>
      <c r="M290" s="21">
        <f>VLOOKUP($A290,tabCustoUnit[],COLUMN(CUSTO_GLOBAL[[#Headers],[Adicional Motorista II (Gratificação)]])-2,0)*($G290-$H290)</f>
        <v>0</v>
      </c>
      <c r="N290" s="21">
        <f>VLOOKUP($A290,tabCustoUnit[],COLUMN(CUSTO_GLOBAL[[#Headers],[Adicional de Sobreaviso]])-2,0)*($G290-$H290)</f>
        <v>0</v>
      </c>
      <c r="O290" s="21">
        <f>VLOOKUP($A290,tabCustoUnit[],COLUMN(CUSTO_GLOBAL[[#Headers],[Horas Extras TI]])-2,0)*($G290-$H290)</f>
        <v>0</v>
      </c>
      <c r="P290" s="21">
        <f>VLOOKUP($A290,tabCustoUnit[],COLUMN(CUSTO_GLOBAL[[#Headers],[Adicional de Acúmulo de função]])-2,0)*($G290-$H290)</f>
        <v>0</v>
      </c>
      <c r="Q290" s="21">
        <f>VLOOKUP($A290,tabCustoUnit[],COLUMN(CUSTO_GLOBAL[[#Headers],[MODULO 1 - REMUNERAÇÃO ]])-2,0)*($G290-$H290)</f>
        <v>3397.1306</v>
      </c>
      <c r="R290" s="21">
        <f>VLOOKUP($A290,tabCustoUnit[],COLUMN(CUSTO_GLOBAL[[#Headers],[INSS]])-2,0)*($G290-$H290)</f>
        <v>679.42612000000008</v>
      </c>
      <c r="S290" s="21">
        <f>VLOOKUP($A290,tabCustoUnit[],COLUMN(CUSTO_GLOBAL[[#Headers],[SESI OU SESC]])-2,0)*($G290-$H290)</f>
        <v>50.956958999999998</v>
      </c>
      <c r="T290" s="21">
        <f>VLOOKUP($A290,tabCustoUnit[],COLUMN(CUSTO_GLOBAL[[#Headers],[SENAI OU SENAC]])-2,0)*($G290-$H290)</f>
        <v>33.971305999999998</v>
      </c>
      <c r="U290" s="21">
        <f>VLOOKUP($A290,tabCustoUnit[],COLUMN(CUSTO_GLOBAL[[#Headers],[INCRA]])-2,0)*($G290-$H290)</f>
        <v>6.7942612000000002</v>
      </c>
      <c r="V290" s="21">
        <f>VLOOKUP($A290,tabCustoUnit[],COLUMN(CUSTO_GLOBAL[[#Headers],[Salário Educação]])-2,0)*($G290-$H290)</f>
        <v>84.92826500000001</v>
      </c>
      <c r="W290" s="21">
        <f>VLOOKUP($A290,tabCustoUnit[],COLUMN(CUSTO_GLOBAL[[#Headers],[FGTS]])-2,0)*($G290-$H290)</f>
        <v>271.77044799999999</v>
      </c>
      <c r="X290" s="21">
        <f>VLOOKUP($A290,tabCustoUnit[],COLUMN(CUSTO_GLOBAL[[#Headers],[RAT Ajustado]])-2,0)*($G290-$H290)</f>
        <v>135.88522399999999</v>
      </c>
      <c r="Y290" s="21">
        <f>VLOOKUP($A290,tabCustoUnit[],COLUMN(CUSTO_GLOBAL[[#Headers],[SEBRAE]])-2,0)*($G290-$H290)</f>
        <v>20.3827836</v>
      </c>
      <c r="Z290" s="21">
        <f>VLOOKUP($A290,tabCustoUnit[],COLUMN(CUSTO_GLOBAL[[#Headers],[Submódulo 2.1]])-2,0)*($G290-$H290)</f>
        <v>1284.1153668000002</v>
      </c>
      <c r="AA290" s="21">
        <f>VLOOKUP($A290,tabCustoUnit[],COLUMN(CUSTO_GLOBAL[[#Headers],[13º salário (titular)]])-2,0)*($G290-$H290)</f>
        <v>283.09421666666663</v>
      </c>
      <c r="AB290" s="21">
        <f>VLOOKUP($A290,tabCustoUnit[],COLUMN(CUSTO_GLOBAL[[#Headers],[Férias e Adicional de Férias (titular)]])-2,0)*($G290-$H290)</f>
        <v>377.45895555555552</v>
      </c>
      <c r="AC290" s="21">
        <f>VLOOKUP($A290,tabCustoUnit[],COLUMN(CUSTO_GLOBAL[[#Headers],[Incidência do Submódulo 2.1 sobre 13º Salário, Férias e Adicional de Férias]])-2,0)*($G290-$H290)</f>
        <v>249.68909910000002</v>
      </c>
      <c r="AD290" s="21">
        <f>VLOOKUP($A290,tabCustoUnit[],COLUMN(CUSTO_GLOBAL[[#Headers],[Submódulo 2.2]])-2,0)*($G290-$H290)</f>
        <v>910.24227132222222</v>
      </c>
      <c r="AE290" s="22" t="e">
        <f ca="1">VLOOKUP($A290,tabCustoUnit[],COLUMN(CUSTO_GLOBAL[[#Headers],[Vale - Transporte (Descontada parcela do empregado)]])-2,0)*($G290-$H290)</f>
        <v>#NAME?</v>
      </c>
      <c r="AF290" s="22">
        <f>VLOOKUP($A290,tabCustoUnit[],COLUMN(CUSTO_GLOBAL[[#Headers],[Vale - Alimentação (Descontada parcela do empregado)]])-2,0)*($G290-$H290)</f>
        <v>582</v>
      </c>
      <c r="AG290" s="22">
        <f>VLOOKUP($A290,tabCustoUnit[],COLUMN(CUSTO_GLOBAL[[#Headers],[Cesta Básica]])-2,0)*($G290-$H290)</f>
        <v>0</v>
      </c>
      <c r="AH290" s="22">
        <f>VLOOKUP($A290,tabCustoUnit[],COLUMN(CUSTO_GLOBAL[[#Headers],[PAF]])-2,0)*($G290-$H290)</f>
        <v>51.88</v>
      </c>
      <c r="AI290" s="22">
        <f>VLOOKUP($A290,tabCustoUnit[],COLUMN(CUSTO_GLOBAL[[#Headers],[PQM]])-2,0)*($G290-$H290)</f>
        <v>0</v>
      </c>
      <c r="AJ290" s="22">
        <v>0</v>
      </c>
      <c r="AK290" s="22">
        <f>VLOOKUP($A290,tabCustoUnit[],COLUMN(CUSTO_GLOBAL[[#Headers],[Seguro de Vida]])-2,0)*($G290-$H290)</f>
        <v>3.36</v>
      </c>
      <c r="AL290" s="22">
        <f>VLOOKUP($A290,tabCustoUnit[],COLUMN(CUSTO_GLOBAL[[#Headers],[Despesas de Viagem]])-2,0)*($G290-$H290)</f>
        <v>0</v>
      </c>
      <c r="AM290" s="22" t="e">
        <f ca="1">VLOOKUP($A290,tabCustoUnit[],COLUMN(CUSTO_GLOBAL[[#Headers],[Submódulo 2.3]])-2,0)*($G290-$H290)</f>
        <v>#NAME?</v>
      </c>
      <c r="AN290" s="22" t="e">
        <f ca="1">VLOOKUP($A290,tabCustoUnit[],COLUMN(CUSTO_GLOBAL[[#Headers],[MÓDULO 2 - Total Encargos e Benefícios mensais e diários]])-2,0)*($G290-$H290)</f>
        <v>#NAME?</v>
      </c>
      <c r="AO290" s="22">
        <f>VLOOKUP($A290,tabCustoUnit[],COLUMN(CUSTO_GLOBAL[[#Headers],[Aviso Prévio Indenizado (API) e Reflexo do Aviso Prévio Indenizado]])-2,0)*($G290-$H290)</f>
        <v>23.819888151890432</v>
      </c>
      <c r="AP290" s="22">
        <f>VLOOKUP($A290,tabCustoUnit[],COLUMN(CUSTO_GLOBAL[[#Headers],[Incidência do FGTS sobre API e Reflexo do API]])-2,0)*($G290-$H290)</f>
        <v>1.9055910521512347</v>
      </c>
      <c r="AQ290" s="22">
        <f>VLOOKUP($A290,tabCustoUnit[],COLUMN(CUSTO_GLOBAL[[#Headers],[Multa Rescisória do FGTS sobre o Aviso Prévio Indenizado]])-2,0)*($G290-$H290)</f>
        <v>0.76223642086049392</v>
      </c>
      <c r="AR290" s="22">
        <f>VLOOKUP($A290,tabCustoUnit[],COLUMN(CUSTO_GLOBAL[[#Headers],[Aviso Prévio Trabalhado - APT]])-2,0)*($G290-$H290)</f>
        <v>11.889957100000002</v>
      </c>
      <c r="AS290" s="22">
        <f>VLOOKUP($A290,tabCustoUnit[],COLUMN(CUSTO_GLOBAL[[#Headers],[Incidência dos encargos do submódulo 2.1 sobre Aviso Prévio Trabalhado]])-2,0)*($G290-$H290)</f>
        <v>4.4944037838000011</v>
      </c>
      <c r="AT290" s="22">
        <f>VLOOKUP($A290,tabCustoUnit[],COLUMN(CUSTO_GLOBAL[[#Headers],[Multa Rescisória do FGTS]])-2,0)*($G290-$H290)</f>
        <v>103.87670456888887</v>
      </c>
      <c r="AU290" s="22">
        <f>VLOOKUP($A290,tabCustoUnit[],COLUMN(CUSTO_GLOBAL[[#Headers],[Indenização Adicional (Art. 9º da Lei nº 7.238/84)]])-2,0)*($G290-$H290)</f>
        <v>2.830942166666667</v>
      </c>
      <c r="AV290" s="22">
        <f>VLOOKUP($A290,tabCustoUnit[],COLUMN(CUSTO_GLOBAL[[#Headers],[MÓDULO 3 – PROVISÃO PARA RESCISÃO]])-2,0)*($G290-$H290)</f>
        <v>149.57972324425771</v>
      </c>
      <c r="AW290" s="22">
        <f>VLOOKUP($A290,tabCustoUnit[],COLUMN(CUSTO_GLOBAL[[#Headers],[Ausência por Doença]])-2,0)*($G290-$H290)</f>
        <v>28.686880622222219</v>
      </c>
      <c r="AX290" s="22">
        <f>VLOOKUP($A290,tabCustoUnit[],COLUMN(CUSTO_GLOBAL[[#Headers],[Ausências Legais]])-2,0)*($G290-$H290)</f>
        <v>6.8886259388888886</v>
      </c>
      <c r="AY290" s="22">
        <f>VLOOKUP($A290,tabCustoUnit[],COLUMN(CUSTO_GLOBAL[[#Headers],[Licença Paternidade]])-2,0)*($G290-$H290)</f>
        <v>0.58034314416666666</v>
      </c>
      <c r="AZ290" s="22">
        <f>VLOOKUP($A290,tabCustoUnit[],COLUMN(CUSTO_GLOBAL[[#Headers],[Ausência por Acidente de Trabalho]])-2,0)*($G290-$H290)</f>
        <v>0.70773554166666675</v>
      </c>
      <c r="BA290" s="22">
        <f>VLOOKUP($A290,tabCustoUnit[],COLUMN(CUSTO_GLOBAL[[#Headers],[Férias, Adicional de Férias e 13º  com empregada em gozo de Licença Maternidade]])-2,0)*($G290-$H290)</f>
        <v>4.4036878148148144</v>
      </c>
      <c r="BB290" s="22">
        <f>VLOOKUP($A290,tabCustoUnit[],COLUMN(CUSTO_GLOBAL[[#Headers],[Incidência do Submódulo 2.1 sobre Ausências Legais]])-2,0)*($G290-$H290)</f>
        <v>15.599029217345002</v>
      </c>
      <c r="BC290" s="22">
        <f>VLOOKUP($A290,tabCustoUnit[],COLUMN(CUSTO_GLOBAL[[#Headers],[Submódulo 4.1]])-2,0)*($G290-$H290)</f>
        <v>56.866302279104261</v>
      </c>
      <c r="BD290" s="22">
        <f>VLOOKUP($A290,tabCustoUnit[],COLUMN(CUSTO_GLOBAL[[#Headers],[Intervalo para Repouso ou Alimentação]])-2,0)*($G290-$H290)</f>
        <v>0</v>
      </c>
      <c r="BE290" s="22">
        <f>VLOOKUP($A290,tabCustoUnit[],COLUMN(CUSTO_GLOBAL[[#Headers],[Submódulo 4.2]])-2,0)*($G290-$H290)</f>
        <v>0</v>
      </c>
      <c r="BF290" s="22">
        <f>VLOOKUP($A290,tabCustoUnit[],COLUMN(CUSTO_GLOBAL[[#Headers],[Suspensão Temporária do Contrato de Trabalho]])-2,0)*($G290-$H290)</f>
        <v>0</v>
      </c>
      <c r="BG290" s="22">
        <f>VLOOKUP($A290,tabCustoUnit[],COLUMN(CUSTO_GLOBAL[[#Headers],[Submódulo 4.3]])-2,0)*($G290-$H290)</f>
        <v>0</v>
      </c>
      <c r="BH290" s="22">
        <f>VLOOKUP($A290,tabCustoUnit[],COLUMN(CUSTO_GLOBAL[[#Headers],[MÓDULO 4 – CUSTO DE REPOSIÇÃO DO PROFISSIONAL AUSENTE]])-2,0)*($G290-$H290)</f>
        <v>56.866302279104261</v>
      </c>
      <c r="BI290" s="22">
        <f>VLOOKUP($A290,tabCustoUnit[],COLUMN(CUSTO_GLOBAL[[#Headers],[Uniformes e EPIs]])-2,0)*($G290-$H290)</f>
        <v>56.642978962543395</v>
      </c>
      <c r="BJ290" s="22">
        <f>VLOOKUP($A290,tabCustoUnit[],COLUMN(CUSTO_GLOBAL[[#Headers],[Materiais de Consumo]])-2,0)*($G290-$H290)</f>
        <v>0</v>
      </c>
      <c r="BK290" s="22">
        <f>VLOOKUP($A290,tabCustoUnit[],COLUMN(CUSTO_GLOBAL[[#Headers],[Máquinas e Equipamentos (depreciação)]])-2,0)*($G290-$H290)</f>
        <v>0</v>
      </c>
      <c r="BL290" s="22">
        <f>VLOOKUP($A290,tabCustoUnit[],COLUMN(CUSTO_GLOBAL[[#Headers],[Produtos de Limpeza e Materiais de Higiene Pessoal]])-2,0)*($G290-$H290)</f>
        <v>0</v>
      </c>
      <c r="BM290" s="22">
        <f>VLOOKUP($A290,tabCustoUnit[],COLUMN(CUSTO_GLOBAL[[#Headers],[Outros (especificar)]])-2,0)*($G290-$H290)</f>
        <v>0</v>
      </c>
      <c r="BN290" s="22">
        <f>VLOOKUP($A290,tabCustoUnit[],COLUMN(CUSTO_GLOBAL[[#Headers],[MÓDULO 5 – INSUMOS DIVERSOS]])-2,0)*($G290-$H290)</f>
        <v>56.642978962543395</v>
      </c>
      <c r="BO290" s="22" t="e">
        <f ca="1">VLOOKUP($A290,tabCustoUnit[],COLUMN(CUSTO_GLOBAL[[#Headers],[TOTAL MÓDULOS 1+2+3+4+5]])-2,0)*($G290-$H290)</f>
        <v>#NAME?</v>
      </c>
      <c r="BP290" s="22" t="e">
        <f ca="1">VLOOKUP($A290,tabCustoUnit[],COLUMN(CUSTO_GLOBAL[[#Headers],[Custos Indiretos]])-2,0)*($G290-$H290)</f>
        <v>#NAME?</v>
      </c>
      <c r="BQ290" s="22" t="e">
        <f ca="1">VLOOKUP($A290,tabCustoUnit[],COLUMN(CUSTO_GLOBAL[[#Headers],[Lucro]])-2,0)*($G290-$H290)</f>
        <v>#NAME?</v>
      </c>
      <c r="BR290" s="26">
        <f>VLOOKUP($A290,tabCustoUnit[],COLUMN(CUSTO_GLOBAL[[#Headers],[COFINS]])-2,0)</f>
        <v>8.5633802816901458E-2</v>
      </c>
      <c r="BS290" s="26">
        <f>VLOOKUP($A290,tabCustoUnit[],COLUMN(CUSTO_GLOBAL[[#Headers],[PIS]])-2,0)</f>
        <v>1.8591549295774657E-2</v>
      </c>
      <c r="BT290" s="28">
        <f>VLOOKUP($A290,tabCustoUnit[],COLUMN(CUSTO_GLOBAL[[#Headers],[ISS]])-2,0)</f>
        <v>0.02</v>
      </c>
      <c r="BU290" s="26">
        <f>VLOOKUP($A290,tabCustoUnit[],COLUMN(CUSTO_GLOBAL[[#Headers],[ISS (Conversão Alíquota s/ fatura)]])-2,0)</f>
        <v>2.2535211267605645E-2</v>
      </c>
      <c r="BV290" s="26">
        <f>VLOOKUP($A290,tabCustoUnit[],COLUMN(CUSTO_GLOBAL[[#Headers],[Resumo de Alíquotas (PIS+CONFINS+ISS)]])-2,0)</f>
        <v>0.1125</v>
      </c>
      <c r="BW290" s="138">
        <f>VLOOKUP($A290,tabCustoUnit[],COLUMN(CUSTO_GLOBAL[[#Headers],[PIS + COFINS + ISS (Total Conversão  Alíquota s/ Fatura)]])-2,0)</f>
        <v>0.12676056338028174</v>
      </c>
      <c r="BX290" s="22" t="e">
        <f ca="1">VLOOKUP($A290,tabCustoUnit[],COLUMN(CUSTO_GLOBAL[[#Headers],[Valor dos Tributos (ISS, PIS, CONFINS)]])-2,0)*($G290-$H290)</f>
        <v>#NAME?</v>
      </c>
      <c r="BY290" s="22" t="e">
        <f ca="1">VLOOKUP($A290,tabCustoUnit[],COLUMN(CUSTO_GLOBAL[[#Headers],[MÓDULO 6 – CUSTOS INDIRETOS, TRIBUTOS E LUCRO]])-2,0)*($G290-$H290)</f>
        <v>#NAME?</v>
      </c>
      <c r="BZ290" s="22" t="e">
        <f ca="1">VLOOKUP($A290,tabCustoUnit[],COLUMN(CUSTO_GLOBAL[[#Headers],[CUSTO TOTAL MENSAL]])-2,0)*($G290-$H290)</f>
        <v>#NAME?</v>
      </c>
      <c r="CA290" s="22" t="e">
        <f ca="1">CUSTO_GLOBAL[[#This Row],[CUSTO TOTAL MENSAL]]*12</f>
        <v>#NAME?</v>
      </c>
      <c r="CB290" s="24">
        <f>VLOOKUP($A290,tabCustoUnit[],COLUMN(CUSTO_GLOBAL[[#Headers],[ANO DA CCT]])-2,0)</f>
        <v>45658</v>
      </c>
      <c r="CC290" s="25" t="str">
        <f>VLOOKUP($A290,tabCustoUnit[],COLUMN(CUSTO_GLOBAL[[#Headers],[Nº DE PEDIDO DA CCT]])-2,0)</f>
        <v>-</v>
      </c>
      <c r="CD290" s="25" t="str">
        <f>VLOOKUP($A290,tabCustoUnit[],COLUMN(CUSTO_GLOBAL[[#Headers],[TERMO ADITIVO ALTERAÇÃO DA CCT]])-2,0)</f>
        <v>-</v>
      </c>
    </row>
    <row r="291" spans="1:82">
      <c r="A291" s="20" t="s">
        <v>1706</v>
      </c>
      <c r="B291" t="s">
        <v>1032</v>
      </c>
      <c r="C291" t="s">
        <v>304</v>
      </c>
      <c r="D291" t="s">
        <v>1032</v>
      </c>
      <c r="E291" s="20" t="s">
        <v>1090</v>
      </c>
      <c r="F291" s="20" t="s">
        <v>120</v>
      </c>
      <c r="G291" s="20">
        <v>2</v>
      </c>
      <c r="H291" s="20">
        <v>0</v>
      </c>
      <c r="I291" s="21">
        <f>VLOOKUP($A291,tabCustoUnit[],COLUMN(CUSTO_GLOBAL[[#Headers],[Salário Base]])-2,0)*($G291-$H291)</f>
        <v>4056.7033999999999</v>
      </c>
      <c r="J291" s="21">
        <f>VLOOKUP($A291,tabCustoUnit[],COLUMN(CUSTO_GLOBAL[[#Headers],[Adicional Periculosidade]])-2,0)*($G291-$H291)</f>
        <v>0</v>
      </c>
      <c r="K291" s="21">
        <f>VLOOKUP($A291,tabCustoUnit[],COLUMN(CUSTO_GLOBAL[[#Headers],[Adicional Insalubridade]])-2,0)*($G291-$H291)</f>
        <v>0</v>
      </c>
      <c r="L291" s="21">
        <f>VLOOKUP($A291,tabCustoUnit[],COLUMN(CUSTO_GLOBAL[[#Headers],[Adicional Noturno]])-2,0)*($G291-$H291)</f>
        <v>0</v>
      </c>
      <c r="M291" s="21">
        <f>VLOOKUP($A291,tabCustoUnit[],COLUMN(CUSTO_GLOBAL[[#Headers],[Adicional Motorista II (Gratificação)]])-2,0)*($G291-$H291)</f>
        <v>0</v>
      </c>
      <c r="N291" s="21">
        <f>VLOOKUP($A291,tabCustoUnit[],COLUMN(CUSTO_GLOBAL[[#Headers],[Adicional de Sobreaviso]])-2,0)*($G291-$H291)</f>
        <v>0</v>
      </c>
      <c r="O291" s="21">
        <f>VLOOKUP($A291,tabCustoUnit[],COLUMN(CUSTO_GLOBAL[[#Headers],[Horas Extras TI]])-2,0)*($G291-$H291)</f>
        <v>0</v>
      </c>
      <c r="P291" s="21">
        <f>VLOOKUP($A291,tabCustoUnit[],COLUMN(CUSTO_GLOBAL[[#Headers],[Adicional de Acúmulo de função]])-2,0)*($G291-$H291)</f>
        <v>0</v>
      </c>
      <c r="Q291" s="21">
        <f>VLOOKUP($A291,tabCustoUnit[],COLUMN(CUSTO_GLOBAL[[#Headers],[MODULO 1 - REMUNERAÇÃO ]])-2,0)*($G291-$H291)</f>
        <v>4056.7033999999999</v>
      </c>
      <c r="R291" s="21">
        <f>VLOOKUP($A291,tabCustoUnit[],COLUMN(CUSTO_GLOBAL[[#Headers],[INSS]])-2,0)*($G291-$H291)</f>
        <v>811.34068000000002</v>
      </c>
      <c r="S291" s="21">
        <f>VLOOKUP($A291,tabCustoUnit[],COLUMN(CUSTO_GLOBAL[[#Headers],[SESI OU SESC]])-2,0)*($G291-$H291)</f>
        <v>60.850550999999996</v>
      </c>
      <c r="T291" s="21">
        <f>VLOOKUP($A291,tabCustoUnit[],COLUMN(CUSTO_GLOBAL[[#Headers],[SENAI OU SENAC]])-2,0)*($G291-$H291)</f>
        <v>40.567034</v>
      </c>
      <c r="U291" s="21">
        <f>VLOOKUP($A291,tabCustoUnit[],COLUMN(CUSTO_GLOBAL[[#Headers],[INCRA]])-2,0)*($G291-$H291)</f>
        <v>8.1134067999999999</v>
      </c>
      <c r="V291" s="21">
        <f>VLOOKUP($A291,tabCustoUnit[],COLUMN(CUSTO_GLOBAL[[#Headers],[Salário Educação]])-2,0)*($G291-$H291)</f>
        <v>101.417585</v>
      </c>
      <c r="W291" s="21">
        <f>VLOOKUP($A291,tabCustoUnit[],COLUMN(CUSTO_GLOBAL[[#Headers],[FGTS]])-2,0)*($G291-$H291)</f>
        <v>324.536272</v>
      </c>
      <c r="X291" s="21">
        <f>VLOOKUP($A291,tabCustoUnit[],COLUMN(CUSTO_GLOBAL[[#Headers],[RAT Ajustado]])-2,0)*($G291-$H291)</f>
        <v>162.268136</v>
      </c>
      <c r="Y291" s="21">
        <f>VLOOKUP($A291,tabCustoUnit[],COLUMN(CUSTO_GLOBAL[[#Headers],[SEBRAE]])-2,0)*($G291-$H291)</f>
        <v>24.3402204</v>
      </c>
      <c r="Z291" s="21">
        <f>VLOOKUP($A291,tabCustoUnit[],COLUMN(CUSTO_GLOBAL[[#Headers],[Submódulo 2.1]])-2,0)*($G291-$H291)</f>
        <v>1533.4338851999998</v>
      </c>
      <c r="AA291" s="21">
        <f>VLOOKUP($A291,tabCustoUnit[],COLUMN(CUSTO_GLOBAL[[#Headers],[13º salário (titular)]])-2,0)*($G291-$H291)</f>
        <v>338.05861666666664</v>
      </c>
      <c r="AB291" s="21">
        <f>VLOOKUP($A291,tabCustoUnit[],COLUMN(CUSTO_GLOBAL[[#Headers],[Férias e Adicional de Férias (titular)]])-2,0)*($G291-$H291)</f>
        <v>450.74482222222218</v>
      </c>
      <c r="AC291" s="21">
        <f>VLOOKUP($A291,tabCustoUnit[],COLUMN(CUSTO_GLOBAL[[#Headers],[Incidência do Submódulo 2.1 sobre 13º Salário, Férias e Adicional de Férias]])-2,0)*($G291-$H291)</f>
        <v>298.16769989999995</v>
      </c>
      <c r="AD291" s="21">
        <f>VLOOKUP($A291,tabCustoUnit[],COLUMN(CUSTO_GLOBAL[[#Headers],[Submódulo 2.2]])-2,0)*($G291-$H291)</f>
        <v>1086.9711387888888</v>
      </c>
      <c r="AE291" s="22" t="e">
        <f ca="1">VLOOKUP($A291,tabCustoUnit[],COLUMN(CUSTO_GLOBAL[[#Headers],[Vale - Transporte (Descontada parcela do empregado)]])-2,0)*($G291-$H291)</f>
        <v>#NAME?</v>
      </c>
      <c r="AF291" s="22">
        <f>VLOOKUP($A291,tabCustoUnit[],COLUMN(CUSTO_GLOBAL[[#Headers],[Vale - Alimentação (Descontada parcela do empregado)]])-2,0)*($G291-$H291)</f>
        <v>1164</v>
      </c>
      <c r="AG291" s="22">
        <f>VLOOKUP($A291,tabCustoUnit[],COLUMN(CUSTO_GLOBAL[[#Headers],[Cesta Básica]])-2,0)*($G291-$H291)</f>
        <v>0</v>
      </c>
      <c r="AH291" s="22">
        <f>VLOOKUP($A291,tabCustoUnit[],COLUMN(CUSTO_GLOBAL[[#Headers],[PAF]])-2,0)*($G291-$H291)</f>
        <v>106.54</v>
      </c>
      <c r="AI291" s="22">
        <f>VLOOKUP($A291,tabCustoUnit[],COLUMN(CUSTO_GLOBAL[[#Headers],[PQM]])-2,0)*($G291-$H291)</f>
        <v>0</v>
      </c>
      <c r="AJ291" s="22">
        <v>0</v>
      </c>
      <c r="AK291" s="22">
        <f>VLOOKUP($A291,tabCustoUnit[],COLUMN(CUSTO_GLOBAL[[#Headers],[Seguro de Vida]])-2,0)*($G291-$H291)</f>
        <v>6.72</v>
      </c>
      <c r="AL291" s="22">
        <f>VLOOKUP($A291,tabCustoUnit[],COLUMN(CUSTO_GLOBAL[[#Headers],[Despesas de Viagem]])-2,0)*($G291-$H291)</f>
        <v>0</v>
      </c>
      <c r="AM291" s="22" t="e">
        <f ca="1">VLOOKUP($A291,tabCustoUnit[],COLUMN(CUSTO_GLOBAL[[#Headers],[Submódulo 2.3]])-2,0)*($G291-$H291)</f>
        <v>#NAME?</v>
      </c>
      <c r="AN291" s="22" t="e">
        <f ca="1">VLOOKUP($A291,tabCustoUnit[],COLUMN(CUSTO_GLOBAL[[#Headers],[MÓDULO 2 - Total Encargos e Benefícios mensais e diários]])-2,0)*($G291-$H291)</f>
        <v>#NAME?</v>
      </c>
      <c r="AO291" s="22">
        <f>VLOOKUP($A291,tabCustoUnit[],COLUMN(CUSTO_GLOBAL[[#Headers],[Aviso Prévio Indenizado (API) e Reflexo do Aviso Prévio Indenizado]])-2,0)*($G291-$H291)</f>
        <v>28.444658928742282</v>
      </c>
      <c r="AP291" s="22">
        <f>VLOOKUP($A291,tabCustoUnit[],COLUMN(CUSTO_GLOBAL[[#Headers],[Incidência do FGTS sobre API e Reflexo do API]])-2,0)*($G291-$H291)</f>
        <v>2.2755727142993827</v>
      </c>
      <c r="AQ291" s="22">
        <f>VLOOKUP($A291,tabCustoUnit[],COLUMN(CUSTO_GLOBAL[[#Headers],[Multa Rescisória do FGTS sobre o Aviso Prévio Indenizado]])-2,0)*($G291-$H291)</f>
        <v>0.91022908571975325</v>
      </c>
      <c r="AR291" s="22">
        <f>VLOOKUP($A291,tabCustoUnit[],COLUMN(CUSTO_GLOBAL[[#Headers],[Aviso Prévio Trabalhado - APT]])-2,0)*($G291-$H291)</f>
        <v>14.198461900000002</v>
      </c>
      <c r="AS291" s="22">
        <f>VLOOKUP($A291,tabCustoUnit[],COLUMN(CUSTO_GLOBAL[[#Headers],[Incidência dos encargos do submódulo 2.1 sobre Aviso Prévio Trabalhado]])-2,0)*($G291-$H291)</f>
        <v>5.3670185982000014</v>
      </c>
      <c r="AT291" s="22">
        <f>VLOOKUP($A291,tabCustoUnit[],COLUMN(CUSTO_GLOBAL[[#Headers],[Multa Rescisória do FGTS]])-2,0)*($G291-$H291)</f>
        <v>124.04497507555553</v>
      </c>
      <c r="AU291" s="22">
        <f>VLOOKUP($A291,tabCustoUnit[],COLUMN(CUSTO_GLOBAL[[#Headers],[Indenização Adicional (Art. 9º da Lei nº 7.238/84)]])-2,0)*($G291-$H291)</f>
        <v>3.3805861666666668</v>
      </c>
      <c r="AV291" s="22">
        <f>VLOOKUP($A291,tabCustoUnit[],COLUMN(CUSTO_GLOBAL[[#Headers],[MÓDULO 3 – PROVISÃO PARA RESCISÃO]])-2,0)*($G291-$H291)</f>
        <v>178.62150246918361</v>
      </c>
      <c r="AW291" s="22">
        <f>VLOOKUP($A291,tabCustoUnit[],COLUMN(CUSTO_GLOBAL[[#Headers],[Ausência por Doença]])-2,0)*($G291-$H291)</f>
        <v>34.256606488888885</v>
      </c>
      <c r="AX291" s="22">
        <f>VLOOKUP($A291,tabCustoUnit[],COLUMN(CUSTO_GLOBAL[[#Headers],[Ausências Legais]])-2,0)*($G291-$H291)</f>
        <v>8.2260930055555548</v>
      </c>
      <c r="AY291" s="22">
        <f>VLOOKUP($A291,tabCustoUnit[],COLUMN(CUSTO_GLOBAL[[#Headers],[Licença Paternidade]])-2,0)*($G291-$H291)</f>
        <v>0.69302016416666667</v>
      </c>
      <c r="AZ291" s="22">
        <f>VLOOKUP($A291,tabCustoUnit[],COLUMN(CUSTO_GLOBAL[[#Headers],[Ausência por Acidente de Trabalho]])-2,0)*($G291-$H291)</f>
        <v>0.8451465416666667</v>
      </c>
      <c r="BA291" s="22">
        <f>VLOOKUP($A291,tabCustoUnit[],COLUMN(CUSTO_GLOBAL[[#Headers],[Férias, Adicional de Férias e 13º  com empregada em gozo de Licença Maternidade]])-2,0)*($G291-$H291)</f>
        <v>5.2586895925925923</v>
      </c>
      <c r="BB291" s="22">
        <f>VLOOKUP($A291,tabCustoUnit[],COLUMN(CUSTO_GLOBAL[[#Headers],[Incidência do Submódulo 2.1 sobre Ausências Legais]])-2,0)*($G291-$H291)</f>
        <v>18.627672089705001</v>
      </c>
      <c r="BC291" s="22">
        <f>VLOOKUP($A291,tabCustoUnit[],COLUMN(CUSTO_GLOBAL[[#Headers],[Submódulo 4.1]])-2,0)*($G291-$H291)</f>
        <v>67.90722788257537</v>
      </c>
      <c r="BD291" s="22">
        <f>VLOOKUP($A291,tabCustoUnit[],COLUMN(CUSTO_GLOBAL[[#Headers],[Intervalo para Repouso ou Alimentação]])-2,0)*($G291-$H291)</f>
        <v>449.1350194510033</v>
      </c>
      <c r="BE291" s="22">
        <f>VLOOKUP($A291,tabCustoUnit[],COLUMN(CUSTO_GLOBAL[[#Headers],[Submódulo 4.2]])-2,0)*($G291-$H291)</f>
        <v>449.1350194510033</v>
      </c>
      <c r="BF291" s="22">
        <f>VLOOKUP($A291,tabCustoUnit[],COLUMN(CUSTO_GLOBAL[[#Headers],[Suspensão Temporária do Contrato de Trabalho]])-2,0)*($G291-$H291)</f>
        <v>0</v>
      </c>
      <c r="BG291" s="22">
        <f>VLOOKUP($A291,tabCustoUnit[],COLUMN(CUSTO_GLOBAL[[#Headers],[Submódulo 4.3]])-2,0)*($G291-$H291)</f>
        <v>0</v>
      </c>
      <c r="BH291" s="22">
        <f>VLOOKUP($A291,tabCustoUnit[],COLUMN(CUSTO_GLOBAL[[#Headers],[MÓDULO 4 – CUSTO DE REPOSIÇÃO DO PROFISSIONAL AUSENTE]])-2,0)*($G291-$H291)</f>
        <v>517.04224733357864</v>
      </c>
      <c r="BI291" s="22">
        <f>VLOOKUP($A291,tabCustoUnit[],COLUMN(CUSTO_GLOBAL[[#Headers],[Uniformes e EPIs]])-2,0)*($G291-$H291)</f>
        <v>113.28595792508679</v>
      </c>
      <c r="BJ291" s="22">
        <f>VLOOKUP($A291,tabCustoUnit[],COLUMN(CUSTO_GLOBAL[[#Headers],[Materiais de Consumo]])-2,0)*($G291-$H291)</f>
        <v>0</v>
      </c>
      <c r="BK291" s="22">
        <f>VLOOKUP($A291,tabCustoUnit[],COLUMN(CUSTO_GLOBAL[[#Headers],[Máquinas e Equipamentos (depreciação)]])-2,0)*($G291-$H291)</f>
        <v>0</v>
      </c>
      <c r="BL291" s="22">
        <f>VLOOKUP($A291,tabCustoUnit[],COLUMN(CUSTO_GLOBAL[[#Headers],[Produtos de Limpeza e Materiais de Higiene Pessoal]])-2,0)*($G291-$H291)</f>
        <v>0</v>
      </c>
      <c r="BM291" s="22">
        <f>VLOOKUP($A291,tabCustoUnit[],COLUMN(CUSTO_GLOBAL[[#Headers],[Outros (especificar)]])-2,0)*($G291-$H291)</f>
        <v>0</v>
      </c>
      <c r="BN291" s="22">
        <f>VLOOKUP($A291,tabCustoUnit[],COLUMN(CUSTO_GLOBAL[[#Headers],[MÓDULO 5 – INSUMOS DIVERSOS]])-2,0)*($G291-$H291)</f>
        <v>113.28595792508679</v>
      </c>
      <c r="BO291" s="22" t="e">
        <f ca="1">VLOOKUP($A291,tabCustoUnit[],COLUMN(CUSTO_GLOBAL[[#Headers],[TOTAL MÓDULOS 1+2+3+4+5]])-2,0)*($G291-$H291)</f>
        <v>#NAME?</v>
      </c>
      <c r="BP291" s="22" t="e">
        <f ca="1">VLOOKUP($A291,tabCustoUnit[],COLUMN(CUSTO_GLOBAL[[#Headers],[Custos Indiretos]])-2,0)*($G291-$H291)</f>
        <v>#NAME?</v>
      </c>
      <c r="BQ291" s="22" t="e">
        <f ca="1">VLOOKUP($A291,tabCustoUnit[],COLUMN(CUSTO_GLOBAL[[#Headers],[Lucro]])-2,0)*($G291-$H291)</f>
        <v>#NAME?</v>
      </c>
      <c r="BR291" s="26">
        <f>VLOOKUP($A291,tabCustoUnit[],COLUMN(CUSTO_GLOBAL[[#Headers],[COFINS]])-2,0)</f>
        <v>8.6609686609686695E-2</v>
      </c>
      <c r="BS291" s="26">
        <f>VLOOKUP($A291,tabCustoUnit[],COLUMN(CUSTO_GLOBAL[[#Headers],[PIS]])-2,0)</f>
        <v>1.880341880341882E-2</v>
      </c>
      <c r="BT291" s="28">
        <f>VLOOKUP($A291,tabCustoUnit[],COLUMN(CUSTO_GLOBAL[[#Headers],[ISS]])-2,0)</f>
        <v>0.03</v>
      </c>
      <c r="BU291" s="26">
        <f>VLOOKUP($A291,tabCustoUnit[],COLUMN(CUSTO_GLOBAL[[#Headers],[ISS (Conversão Alíquota s/ fatura)]])-2,0)</f>
        <v>3.4188034188034219E-2</v>
      </c>
      <c r="BV291" s="26">
        <f>VLOOKUP($A291,tabCustoUnit[],COLUMN(CUSTO_GLOBAL[[#Headers],[Resumo de Alíquotas (PIS+CONFINS+ISS)]])-2,0)</f>
        <v>0.1225</v>
      </c>
      <c r="BW291" s="138">
        <f>VLOOKUP($A291,tabCustoUnit[],COLUMN(CUSTO_GLOBAL[[#Headers],[PIS + COFINS + ISS (Total Conversão  Alíquota s/ Fatura)]])-2,0)</f>
        <v>0.13960113960113973</v>
      </c>
      <c r="BX291" s="22" t="e">
        <f ca="1">VLOOKUP($A291,tabCustoUnit[],COLUMN(CUSTO_GLOBAL[[#Headers],[Valor dos Tributos (ISS, PIS, CONFINS)]])-2,0)*($G291-$H291)</f>
        <v>#NAME?</v>
      </c>
      <c r="BY291" s="22" t="e">
        <f ca="1">VLOOKUP($A291,tabCustoUnit[],COLUMN(CUSTO_GLOBAL[[#Headers],[MÓDULO 6 – CUSTOS INDIRETOS, TRIBUTOS E LUCRO]])-2,0)*($G291-$H291)</f>
        <v>#NAME?</v>
      </c>
      <c r="BZ291" s="22" t="e">
        <f ca="1">VLOOKUP($A291,tabCustoUnit[],COLUMN(CUSTO_GLOBAL[[#Headers],[CUSTO TOTAL MENSAL]])-2,0)*($G291-$H291)</f>
        <v>#NAME?</v>
      </c>
      <c r="CA291" s="22" t="e">
        <f ca="1">CUSTO_GLOBAL[[#This Row],[CUSTO TOTAL MENSAL]]*12</f>
        <v>#NAME?</v>
      </c>
      <c r="CB291" s="24">
        <f>VLOOKUP($A291,tabCustoUnit[],COLUMN(CUSTO_GLOBAL[[#Headers],[ANO DA CCT]])-2,0)</f>
        <v>45658</v>
      </c>
      <c r="CC291" s="25" t="str">
        <f>VLOOKUP($A291,tabCustoUnit[],COLUMN(CUSTO_GLOBAL[[#Headers],[Nº DE PEDIDO DA CCT]])-2,0)</f>
        <v>-</v>
      </c>
      <c r="CD291" s="25" t="str">
        <f>VLOOKUP($A291,tabCustoUnit[],COLUMN(CUSTO_GLOBAL[[#Headers],[TERMO ADITIVO ALTERAÇÃO DA CCT]])-2,0)</f>
        <v>-</v>
      </c>
    </row>
    <row r="292" spans="1:82">
      <c r="A292" s="20" t="s">
        <v>1707</v>
      </c>
      <c r="B292" t="s">
        <v>1032</v>
      </c>
      <c r="C292" t="s">
        <v>309</v>
      </c>
      <c r="D292" t="s">
        <v>1032</v>
      </c>
      <c r="E292" s="20" t="s">
        <v>1090</v>
      </c>
      <c r="F292" s="20" t="s">
        <v>120</v>
      </c>
      <c r="G292" s="20">
        <v>2</v>
      </c>
      <c r="H292" s="20">
        <v>0</v>
      </c>
      <c r="I292" s="21">
        <f>VLOOKUP($A292,tabCustoUnit[],COLUMN(CUSTO_GLOBAL[[#Headers],[Salário Base]])-2,0)*($G292-$H292)</f>
        <v>4056.7033999999999</v>
      </c>
      <c r="J292" s="21">
        <f>VLOOKUP($A292,tabCustoUnit[],COLUMN(CUSTO_GLOBAL[[#Headers],[Adicional Periculosidade]])-2,0)*($G292-$H292)</f>
        <v>0</v>
      </c>
      <c r="K292" s="21">
        <f>VLOOKUP($A292,tabCustoUnit[],COLUMN(CUSTO_GLOBAL[[#Headers],[Adicional Insalubridade]])-2,0)*($G292-$H292)</f>
        <v>0</v>
      </c>
      <c r="L292" s="21">
        <f>VLOOKUP($A292,tabCustoUnit[],COLUMN(CUSTO_GLOBAL[[#Headers],[Adicional Noturno]])-2,0)*($G292-$H292)</f>
        <v>817.42579999999998</v>
      </c>
      <c r="M292" s="21">
        <f>VLOOKUP($A292,tabCustoUnit[],COLUMN(CUSTO_GLOBAL[[#Headers],[Adicional Motorista II (Gratificação)]])-2,0)*($G292-$H292)</f>
        <v>0</v>
      </c>
      <c r="N292" s="21">
        <f>VLOOKUP($A292,tabCustoUnit[],COLUMN(CUSTO_GLOBAL[[#Headers],[Adicional de Sobreaviso]])-2,0)*($G292-$H292)</f>
        <v>0</v>
      </c>
      <c r="O292" s="21">
        <f>VLOOKUP($A292,tabCustoUnit[],COLUMN(CUSTO_GLOBAL[[#Headers],[Horas Extras TI]])-2,0)*($G292-$H292)</f>
        <v>0</v>
      </c>
      <c r="P292" s="21">
        <f>VLOOKUP($A292,tabCustoUnit[],COLUMN(CUSTO_GLOBAL[[#Headers],[Adicional de Acúmulo de função]])-2,0)*($G292-$H292)</f>
        <v>0</v>
      </c>
      <c r="Q292" s="21">
        <f>VLOOKUP($A292,tabCustoUnit[],COLUMN(CUSTO_GLOBAL[[#Headers],[MODULO 1 - REMUNERAÇÃO ]])-2,0)*($G292-$H292)</f>
        <v>4874.1291999999994</v>
      </c>
      <c r="R292" s="21">
        <f>VLOOKUP($A292,tabCustoUnit[],COLUMN(CUSTO_GLOBAL[[#Headers],[INSS]])-2,0)*($G292-$H292)</f>
        <v>974.82583999999997</v>
      </c>
      <c r="S292" s="21">
        <f>VLOOKUP($A292,tabCustoUnit[],COLUMN(CUSTO_GLOBAL[[#Headers],[SESI OU SESC]])-2,0)*($G292-$H292)</f>
        <v>73.111937999999995</v>
      </c>
      <c r="T292" s="21">
        <f>VLOOKUP($A292,tabCustoUnit[],COLUMN(CUSTO_GLOBAL[[#Headers],[SENAI OU SENAC]])-2,0)*($G292-$H292)</f>
        <v>48.741291999999994</v>
      </c>
      <c r="U292" s="21">
        <f>VLOOKUP($A292,tabCustoUnit[],COLUMN(CUSTO_GLOBAL[[#Headers],[INCRA]])-2,0)*($G292-$H292)</f>
        <v>9.7482583999999992</v>
      </c>
      <c r="V292" s="21">
        <f>VLOOKUP($A292,tabCustoUnit[],COLUMN(CUSTO_GLOBAL[[#Headers],[Salário Educação]])-2,0)*($G292-$H292)</f>
        <v>121.85323</v>
      </c>
      <c r="W292" s="21">
        <f>VLOOKUP($A292,tabCustoUnit[],COLUMN(CUSTO_GLOBAL[[#Headers],[FGTS]])-2,0)*($G292-$H292)</f>
        <v>389.93033599999995</v>
      </c>
      <c r="X292" s="21">
        <f>VLOOKUP($A292,tabCustoUnit[],COLUMN(CUSTO_GLOBAL[[#Headers],[RAT Ajustado]])-2,0)*($G292-$H292)</f>
        <v>194.96516799999998</v>
      </c>
      <c r="Y292" s="21">
        <f>VLOOKUP($A292,tabCustoUnit[],COLUMN(CUSTO_GLOBAL[[#Headers],[SEBRAE]])-2,0)*($G292-$H292)</f>
        <v>29.244775199999996</v>
      </c>
      <c r="Z292" s="21">
        <f>VLOOKUP($A292,tabCustoUnit[],COLUMN(CUSTO_GLOBAL[[#Headers],[Submódulo 2.1]])-2,0)*($G292-$H292)</f>
        <v>1842.4208375999997</v>
      </c>
      <c r="AA292" s="21">
        <f>VLOOKUP($A292,tabCustoUnit[],COLUMN(CUSTO_GLOBAL[[#Headers],[13º salário (titular)]])-2,0)*($G292-$H292)</f>
        <v>406.17743333333328</v>
      </c>
      <c r="AB292" s="21">
        <f>VLOOKUP($A292,tabCustoUnit[],COLUMN(CUSTO_GLOBAL[[#Headers],[Férias e Adicional de Férias (titular)]])-2,0)*($G292-$H292)</f>
        <v>541.56991111111097</v>
      </c>
      <c r="AC292" s="21">
        <f>VLOOKUP($A292,tabCustoUnit[],COLUMN(CUSTO_GLOBAL[[#Headers],[Incidência do Submódulo 2.1 sobre 13º Salário, Férias e Adicional de Férias]])-2,0)*($G292-$H292)</f>
        <v>358.24849619999992</v>
      </c>
      <c r="AD292" s="21">
        <f>VLOOKUP($A292,tabCustoUnit[],COLUMN(CUSTO_GLOBAL[[#Headers],[Submódulo 2.2]])-2,0)*($G292-$H292)</f>
        <v>1305.9958406444441</v>
      </c>
      <c r="AE292" s="22" t="e">
        <f ca="1">VLOOKUP($A292,tabCustoUnit[],COLUMN(CUSTO_GLOBAL[[#Headers],[Vale - Transporte (Descontada parcela do empregado)]])-2,0)*($G292-$H292)</f>
        <v>#NAME?</v>
      </c>
      <c r="AF292" s="22">
        <f>VLOOKUP($A292,tabCustoUnit[],COLUMN(CUSTO_GLOBAL[[#Headers],[Vale - Alimentação (Descontada parcela do empregado)]])-2,0)*($G292-$H292)</f>
        <v>1164</v>
      </c>
      <c r="AG292" s="22">
        <f>VLOOKUP($A292,tabCustoUnit[],COLUMN(CUSTO_GLOBAL[[#Headers],[Cesta Básica]])-2,0)*($G292-$H292)</f>
        <v>0</v>
      </c>
      <c r="AH292" s="22">
        <f>VLOOKUP($A292,tabCustoUnit[],COLUMN(CUSTO_GLOBAL[[#Headers],[PAF]])-2,0)*($G292-$H292)</f>
        <v>106.54</v>
      </c>
      <c r="AI292" s="22">
        <f>VLOOKUP($A292,tabCustoUnit[],COLUMN(CUSTO_GLOBAL[[#Headers],[PQM]])-2,0)*($G292-$H292)</f>
        <v>0</v>
      </c>
      <c r="AJ292" s="22">
        <v>0</v>
      </c>
      <c r="AK292" s="22">
        <f>VLOOKUP($A292,tabCustoUnit[],COLUMN(CUSTO_GLOBAL[[#Headers],[Seguro de Vida]])-2,0)*($G292-$H292)</f>
        <v>6.72</v>
      </c>
      <c r="AL292" s="22">
        <f>VLOOKUP($A292,tabCustoUnit[],COLUMN(CUSTO_GLOBAL[[#Headers],[Despesas de Viagem]])-2,0)*($G292-$H292)</f>
        <v>0</v>
      </c>
      <c r="AM292" s="22" t="e">
        <f ca="1">VLOOKUP($A292,tabCustoUnit[],COLUMN(CUSTO_GLOBAL[[#Headers],[Submódulo 2.3]])-2,0)*($G292-$H292)</f>
        <v>#NAME?</v>
      </c>
      <c r="AN292" s="22" t="e">
        <f ca="1">VLOOKUP($A292,tabCustoUnit[],COLUMN(CUSTO_GLOBAL[[#Headers],[MÓDULO 2 - Total Encargos e Benefícios mensais e diários]])-2,0)*($G292-$H292)</f>
        <v>#NAME?</v>
      </c>
      <c r="AO292" s="22">
        <f>VLOOKUP($A292,tabCustoUnit[],COLUMN(CUSTO_GLOBAL[[#Headers],[Aviso Prévio Indenizado (API) e Reflexo do Aviso Prévio Indenizado]])-2,0)*($G292-$H292)</f>
        <v>34.17625815794753</v>
      </c>
      <c r="AP292" s="22">
        <f>VLOOKUP($A292,tabCustoUnit[],COLUMN(CUSTO_GLOBAL[[#Headers],[Incidência do FGTS sobre API e Reflexo do API]])-2,0)*($G292-$H292)</f>
        <v>2.7341006526358025</v>
      </c>
      <c r="AQ292" s="22">
        <f>VLOOKUP($A292,tabCustoUnit[],COLUMN(CUSTO_GLOBAL[[#Headers],[Multa Rescisória do FGTS sobre o Aviso Prévio Indenizado]])-2,0)*($G292-$H292)</f>
        <v>1.093640261054321</v>
      </c>
      <c r="AR292" s="22">
        <f>VLOOKUP($A292,tabCustoUnit[],COLUMN(CUSTO_GLOBAL[[#Headers],[Aviso Prévio Trabalhado - APT]])-2,0)*($G292-$H292)</f>
        <v>17.059452199999999</v>
      </c>
      <c r="AS292" s="22">
        <f>VLOOKUP($A292,tabCustoUnit[],COLUMN(CUSTO_GLOBAL[[#Headers],[Incidência dos encargos do submódulo 2.1 sobre Aviso Prévio Trabalhado]])-2,0)*($G292-$H292)</f>
        <v>6.4484729316000013</v>
      </c>
      <c r="AT292" s="22">
        <f>VLOOKUP($A292,tabCustoUnit[],COLUMN(CUSTO_GLOBAL[[#Headers],[Multa Rescisória do FGTS]])-2,0)*($G292-$H292)</f>
        <v>149.04003953777774</v>
      </c>
      <c r="AU292" s="22">
        <f>VLOOKUP($A292,tabCustoUnit[],COLUMN(CUSTO_GLOBAL[[#Headers],[Indenização Adicional (Art. 9º da Lei nº 7.238/84)]])-2,0)*($G292-$H292)</f>
        <v>4.0617743333333332</v>
      </c>
      <c r="AV292" s="22">
        <f>VLOOKUP($A292,tabCustoUnit[],COLUMN(CUSTO_GLOBAL[[#Headers],[MÓDULO 3 – PROVISÃO PARA RESCISÃO]])-2,0)*($G292-$H292)</f>
        <v>214.61373807434873</v>
      </c>
      <c r="AW292" s="22">
        <f>VLOOKUP($A292,tabCustoUnit[],COLUMN(CUSTO_GLOBAL[[#Headers],[Ausência por Doença]])-2,0)*($G292-$H292)</f>
        <v>41.159313244444434</v>
      </c>
      <c r="AX292" s="22">
        <f>VLOOKUP($A292,tabCustoUnit[],COLUMN(CUSTO_GLOBAL[[#Headers],[Ausências Legais]])-2,0)*($G292-$H292)</f>
        <v>9.8836508777777752</v>
      </c>
      <c r="AY292" s="22">
        <f>VLOOKUP($A292,tabCustoUnit[],COLUMN(CUSTO_GLOBAL[[#Headers],[Licença Paternidade]])-2,0)*($G292-$H292)</f>
        <v>0.83266373833333318</v>
      </c>
      <c r="AZ292" s="22">
        <f>VLOOKUP($A292,tabCustoUnit[],COLUMN(CUSTO_GLOBAL[[#Headers],[Ausência por Acidente de Trabalho]])-2,0)*($G292-$H292)</f>
        <v>1.0154435833333333</v>
      </c>
      <c r="BA292" s="22">
        <f>VLOOKUP($A292,tabCustoUnit[],COLUMN(CUSTO_GLOBAL[[#Headers],[Férias, Adicional de Férias e 13º  com empregada em gozo de Licença Maternidade]])-2,0)*($G292-$H292)</f>
        <v>6.3183156296296286</v>
      </c>
      <c r="BB292" s="22">
        <f>VLOOKUP($A292,tabCustoUnit[],COLUMN(CUSTO_GLOBAL[[#Headers],[Incidência do Submódulo 2.1 sobre Ausências Legais]])-2,0)*($G292-$H292)</f>
        <v>22.38114831379</v>
      </c>
      <c r="BC292" s="22">
        <f>VLOOKUP($A292,tabCustoUnit[],COLUMN(CUSTO_GLOBAL[[#Headers],[Submódulo 4.1]])-2,0)*($G292-$H292)</f>
        <v>81.590535387308506</v>
      </c>
      <c r="BD292" s="22">
        <f>VLOOKUP($A292,tabCustoUnit[],COLUMN(CUSTO_GLOBAL[[#Headers],[Intervalo para Repouso ou Alimentação]])-2,0)*($G292-$H292)</f>
        <v>539.6357258703805</v>
      </c>
      <c r="BE292" s="22">
        <f>VLOOKUP($A292,tabCustoUnit[],COLUMN(CUSTO_GLOBAL[[#Headers],[Submódulo 4.2]])-2,0)*($G292-$H292)</f>
        <v>539.6357258703805</v>
      </c>
      <c r="BF292" s="22">
        <f>VLOOKUP($A292,tabCustoUnit[],COLUMN(CUSTO_GLOBAL[[#Headers],[Suspensão Temporária do Contrato de Trabalho]])-2,0)*($G292-$H292)</f>
        <v>0</v>
      </c>
      <c r="BG292" s="22">
        <f>VLOOKUP($A292,tabCustoUnit[],COLUMN(CUSTO_GLOBAL[[#Headers],[Submódulo 4.3]])-2,0)*($G292-$H292)</f>
        <v>0</v>
      </c>
      <c r="BH292" s="22">
        <f>VLOOKUP($A292,tabCustoUnit[],COLUMN(CUSTO_GLOBAL[[#Headers],[MÓDULO 4 – CUSTO DE REPOSIÇÃO DO PROFISSIONAL AUSENTE]])-2,0)*($G292-$H292)</f>
        <v>621.22626125768898</v>
      </c>
      <c r="BI292" s="22">
        <f>VLOOKUP($A292,tabCustoUnit[],COLUMN(CUSTO_GLOBAL[[#Headers],[Uniformes e EPIs]])-2,0)*($G292-$H292)</f>
        <v>113.28595792508679</v>
      </c>
      <c r="BJ292" s="22">
        <f>VLOOKUP($A292,tabCustoUnit[],COLUMN(CUSTO_GLOBAL[[#Headers],[Materiais de Consumo]])-2,0)*($G292-$H292)</f>
        <v>0</v>
      </c>
      <c r="BK292" s="22">
        <f>VLOOKUP($A292,tabCustoUnit[],COLUMN(CUSTO_GLOBAL[[#Headers],[Máquinas e Equipamentos (depreciação)]])-2,0)*($G292-$H292)</f>
        <v>0</v>
      </c>
      <c r="BL292" s="22">
        <f>VLOOKUP($A292,tabCustoUnit[],COLUMN(CUSTO_GLOBAL[[#Headers],[Produtos de Limpeza e Materiais de Higiene Pessoal]])-2,0)*($G292-$H292)</f>
        <v>0</v>
      </c>
      <c r="BM292" s="22">
        <f>VLOOKUP($A292,tabCustoUnit[],COLUMN(CUSTO_GLOBAL[[#Headers],[Outros (especificar)]])-2,0)*($G292-$H292)</f>
        <v>0</v>
      </c>
      <c r="BN292" s="22">
        <f>VLOOKUP($A292,tabCustoUnit[],COLUMN(CUSTO_GLOBAL[[#Headers],[MÓDULO 5 – INSUMOS DIVERSOS]])-2,0)*($G292-$H292)</f>
        <v>113.28595792508679</v>
      </c>
      <c r="BO292" s="22" t="e">
        <f ca="1">VLOOKUP($A292,tabCustoUnit[],COLUMN(CUSTO_GLOBAL[[#Headers],[TOTAL MÓDULOS 1+2+3+4+5]])-2,0)*($G292-$H292)</f>
        <v>#NAME?</v>
      </c>
      <c r="BP292" s="22" t="e">
        <f ca="1">VLOOKUP($A292,tabCustoUnit[],COLUMN(CUSTO_GLOBAL[[#Headers],[Custos Indiretos]])-2,0)*($G292-$H292)</f>
        <v>#NAME?</v>
      </c>
      <c r="BQ292" s="22" t="e">
        <f ca="1">VLOOKUP($A292,tabCustoUnit[],COLUMN(CUSTO_GLOBAL[[#Headers],[Lucro]])-2,0)*($G292-$H292)</f>
        <v>#NAME?</v>
      </c>
      <c r="BR292" s="26">
        <f>VLOOKUP($A292,tabCustoUnit[],COLUMN(CUSTO_GLOBAL[[#Headers],[COFINS]])-2,0)</f>
        <v>8.6609686609686695E-2</v>
      </c>
      <c r="BS292" s="26">
        <f>VLOOKUP($A292,tabCustoUnit[],COLUMN(CUSTO_GLOBAL[[#Headers],[PIS]])-2,0)</f>
        <v>1.880341880341882E-2</v>
      </c>
      <c r="BT292" s="28">
        <f>VLOOKUP($A292,tabCustoUnit[],COLUMN(CUSTO_GLOBAL[[#Headers],[ISS]])-2,0)</f>
        <v>0.03</v>
      </c>
      <c r="BU292" s="26">
        <f>VLOOKUP($A292,tabCustoUnit[],COLUMN(CUSTO_GLOBAL[[#Headers],[ISS (Conversão Alíquota s/ fatura)]])-2,0)</f>
        <v>3.4188034188034219E-2</v>
      </c>
      <c r="BV292" s="26">
        <f>VLOOKUP($A292,tabCustoUnit[],COLUMN(CUSTO_GLOBAL[[#Headers],[Resumo de Alíquotas (PIS+CONFINS+ISS)]])-2,0)</f>
        <v>0.1225</v>
      </c>
      <c r="BW292" s="138">
        <f>VLOOKUP($A292,tabCustoUnit[],COLUMN(CUSTO_GLOBAL[[#Headers],[PIS + COFINS + ISS (Total Conversão  Alíquota s/ Fatura)]])-2,0)</f>
        <v>0.13960113960113973</v>
      </c>
      <c r="BX292" s="22" t="e">
        <f ca="1">VLOOKUP($A292,tabCustoUnit[],COLUMN(CUSTO_GLOBAL[[#Headers],[Valor dos Tributos (ISS, PIS, CONFINS)]])-2,0)*($G292-$H292)</f>
        <v>#NAME?</v>
      </c>
      <c r="BY292" s="22" t="e">
        <f ca="1">VLOOKUP($A292,tabCustoUnit[],COLUMN(CUSTO_GLOBAL[[#Headers],[MÓDULO 6 – CUSTOS INDIRETOS, TRIBUTOS E LUCRO]])-2,0)*($G292-$H292)</f>
        <v>#NAME?</v>
      </c>
      <c r="BZ292" s="22" t="e">
        <f ca="1">VLOOKUP($A292,tabCustoUnit[],COLUMN(CUSTO_GLOBAL[[#Headers],[CUSTO TOTAL MENSAL]])-2,0)*($G292-$H292)</f>
        <v>#NAME?</v>
      </c>
      <c r="CA292" s="22" t="e">
        <f ca="1">CUSTO_GLOBAL[[#This Row],[CUSTO TOTAL MENSAL]]*12</f>
        <v>#NAME?</v>
      </c>
      <c r="CB292" s="24">
        <f>VLOOKUP($A292,tabCustoUnit[],COLUMN(CUSTO_GLOBAL[[#Headers],[ANO DA CCT]])-2,0)</f>
        <v>45658</v>
      </c>
      <c r="CC292" s="25" t="str">
        <f>VLOOKUP($A292,tabCustoUnit[],COLUMN(CUSTO_GLOBAL[[#Headers],[Nº DE PEDIDO DA CCT]])-2,0)</f>
        <v>-</v>
      </c>
      <c r="CD292" s="25" t="str">
        <f>VLOOKUP($A292,tabCustoUnit[],COLUMN(CUSTO_GLOBAL[[#Headers],[TERMO ADITIVO ALTERAÇÃO DA CCT]])-2,0)</f>
        <v>-</v>
      </c>
    </row>
    <row r="293" spans="1:82">
      <c r="A293" s="20" t="s">
        <v>1708</v>
      </c>
      <c r="B293" t="s">
        <v>1206</v>
      </c>
      <c r="C293" t="s">
        <v>314</v>
      </c>
      <c r="D293" t="s">
        <v>1048</v>
      </c>
      <c r="E293" s="20" t="s">
        <v>1090</v>
      </c>
      <c r="F293" s="20" t="s">
        <v>120</v>
      </c>
      <c r="G293" s="20">
        <v>1</v>
      </c>
      <c r="H293" s="20">
        <v>0</v>
      </c>
      <c r="I293" s="21">
        <f>VLOOKUP($A293,tabCustoUnit[],COLUMN(CUSTO_GLOBAL[[#Headers],[Salário Base]])-2,0)*($G293-$H293)</f>
        <v>1963.4110000000001</v>
      </c>
      <c r="J293" s="21">
        <f>VLOOKUP($A293,tabCustoUnit[],COLUMN(CUSTO_GLOBAL[[#Headers],[Adicional Periculosidade]])-2,0)*($G293-$H293)</f>
        <v>0</v>
      </c>
      <c r="K293" s="21">
        <f>VLOOKUP($A293,tabCustoUnit[],COLUMN(CUSTO_GLOBAL[[#Headers],[Adicional Insalubridade]])-2,0)*($G293-$H293)</f>
        <v>0</v>
      </c>
      <c r="L293" s="21">
        <f>VLOOKUP($A293,tabCustoUnit[],COLUMN(CUSTO_GLOBAL[[#Headers],[Adicional Noturno]])-2,0)*($G293-$H293)</f>
        <v>0</v>
      </c>
      <c r="M293" s="21">
        <f>VLOOKUP($A293,tabCustoUnit[],COLUMN(CUSTO_GLOBAL[[#Headers],[Adicional Motorista II (Gratificação)]])-2,0)*($G293-$H293)</f>
        <v>0</v>
      </c>
      <c r="N293" s="21">
        <f>VLOOKUP($A293,tabCustoUnit[],COLUMN(CUSTO_GLOBAL[[#Headers],[Adicional de Sobreaviso]])-2,0)*($G293-$H293)</f>
        <v>0</v>
      </c>
      <c r="O293" s="21">
        <f>VLOOKUP($A293,tabCustoUnit[],COLUMN(CUSTO_GLOBAL[[#Headers],[Horas Extras TI]])-2,0)*($G293-$H293)</f>
        <v>0</v>
      </c>
      <c r="P293" s="21">
        <f>VLOOKUP($A293,tabCustoUnit[],COLUMN(CUSTO_GLOBAL[[#Headers],[Adicional de Acúmulo de função]])-2,0)*($G293-$H293)</f>
        <v>0</v>
      </c>
      <c r="Q293" s="21">
        <f>VLOOKUP($A293,tabCustoUnit[],COLUMN(CUSTO_GLOBAL[[#Headers],[MODULO 1 - REMUNERAÇÃO ]])-2,0)*($G293-$H293)</f>
        <v>1963.4110000000001</v>
      </c>
      <c r="R293" s="21">
        <f>VLOOKUP($A293,tabCustoUnit[],COLUMN(CUSTO_GLOBAL[[#Headers],[INSS]])-2,0)*($G293-$H293)</f>
        <v>392.68220000000002</v>
      </c>
      <c r="S293" s="21">
        <f>VLOOKUP($A293,tabCustoUnit[],COLUMN(CUSTO_GLOBAL[[#Headers],[SESI OU SESC]])-2,0)*($G293-$H293)</f>
        <v>29.451165</v>
      </c>
      <c r="T293" s="21">
        <f>VLOOKUP($A293,tabCustoUnit[],COLUMN(CUSTO_GLOBAL[[#Headers],[SENAI OU SENAC]])-2,0)*($G293-$H293)</f>
        <v>19.63411</v>
      </c>
      <c r="U293" s="21">
        <f>VLOOKUP($A293,tabCustoUnit[],COLUMN(CUSTO_GLOBAL[[#Headers],[INCRA]])-2,0)*($G293-$H293)</f>
        <v>3.926822</v>
      </c>
      <c r="V293" s="21">
        <f>VLOOKUP($A293,tabCustoUnit[],COLUMN(CUSTO_GLOBAL[[#Headers],[Salário Educação]])-2,0)*($G293-$H293)</f>
        <v>49.085275000000003</v>
      </c>
      <c r="W293" s="21">
        <f>VLOOKUP($A293,tabCustoUnit[],COLUMN(CUSTO_GLOBAL[[#Headers],[FGTS]])-2,0)*($G293-$H293)</f>
        <v>157.07288</v>
      </c>
      <c r="X293" s="21">
        <f>VLOOKUP($A293,tabCustoUnit[],COLUMN(CUSTO_GLOBAL[[#Headers],[RAT Ajustado]])-2,0)*($G293-$H293)</f>
        <v>78.536439999999999</v>
      </c>
      <c r="Y293" s="21">
        <f>VLOOKUP($A293,tabCustoUnit[],COLUMN(CUSTO_GLOBAL[[#Headers],[SEBRAE]])-2,0)*($G293-$H293)</f>
        <v>11.780466000000001</v>
      </c>
      <c r="Z293" s="21">
        <f>VLOOKUP($A293,tabCustoUnit[],COLUMN(CUSTO_GLOBAL[[#Headers],[Submódulo 2.1]])-2,0)*($G293-$H293)</f>
        <v>742.1693580000001</v>
      </c>
      <c r="AA293" s="21">
        <f>VLOOKUP($A293,tabCustoUnit[],COLUMN(CUSTO_GLOBAL[[#Headers],[13º salário (titular)]])-2,0)*($G293-$H293)</f>
        <v>163.61758333333333</v>
      </c>
      <c r="AB293" s="21">
        <f>VLOOKUP($A293,tabCustoUnit[],COLUMN(CUSTO_GLOBAL[[#Headers],[Férias e Adicional de Férias (titular)]])-2,0)*($G293-$H293)</f>
        <v>218.15677777777776</v>
      </c>
      <c r="AC293" s="21">
        <f>VLOOKUP($A293,tabCustoUnit[],COLUMN(CUSTO_GLOBAL[[#Headers],[Incidência do Submódulo 2.1 sobre 13º Salário, Férias e Adicional de Férias]])-2,0)*($G293-$H293)</f>
        <v>144.3107085</v>
      </c>
      <c r="AD293" s="21">
        <f>VLOOKUP($A293,tabCustoUnit[],COLUMN(CUSTO_GLOBAL[[#Headers],[Submódulo 2.2]])-2,0)*($G293-$H293)</f>
        <v>526.08506961111107</v>
      </c>
      <c r="AE293" s="22" t="e">
        <f ca="1">VLOOKUP($A293,tabCustoUnit[],COLUMN(CUSTO_GLOBAL[[#Headers],[Vale - Transporte (Descontada parcela do empregado)]])-2,0)*($G293-$H293)</f>
        <v>#NAME?</v>
      </c>
      <c r="AF293" s="22">
        <f>VLOOKUP($A293,tabCustoUnit[],COLUMN(CUSTO_GLOBAL[[#Headers],[Vale - Alimentação (Descontada parcela do empregado)]])-2,0)*($G293-$H293)</f>
        <v>582</v>
      </c>
      <c r="AG293" s="22">
        <f>VLOOKUP($A293,tabCustoUnit[],COLUMN(CUSTO_GLOBAL[[#Headers],[Cesta Básica]])-2,0)*($G293-$H293)</f>
        <v>0</v>
      </c>
      <c r="AH293" s="22">
        <f>VLOOKUP($A293,tabCustoUnit[],COLUMN(CUSTO_GLOBAL[[#Headers],[PAF]])-2,0)*($G293-$H293)</f>
        <v>0</v>
      </c>
      <c r="AI293" s="22">
        <f>VLOOKUP($A293,tabCustoUnit[],COLUMN(CUSTO_GLOBAL[[#Headers],[PQM]])-2,0)*($G293-$H293)</f>
        <v>0</v>
      </c>
      <c r="AJ293" s="22">
        <v>0</v>
      </c>
      <c r="AK293" s="22">
        <f>VLOOKUP($A293,tabCustoUnit[],COLUMN(CUSTO_GLOBAL[[#Headers],[Seguro de Vida]])-2,0)*($G293-$H293)</f>
        <v>3.36</v>
      </c>
      <c r="AL293" s="22">
        <f>VLOOKUP($A293,tabCustoUnit[],COLUMN(CUSTO_GLOBAL[[#Headers],[Despesas de Viagem]])-2,0)*($G293-$H293)</f>
        <v>0</v>
      </c>
      <c r="AM293" s="22" t="e">
        <f ca="1">VLOOKUP($A293,tabCustoUnit[],COLUMN(CUSTO_GLOBAL[[#Headers],[Submódulo 2.3]])-2,0)*($G293-$H293)</f>
        <v>#NAME?</v>
      </c>
      <c r="AN293" s="22" t="e">
        <f ca="1">VLOOKUP($A293,tabCustoUnit[],COLUMN(CUSTO_GLOBAL[[#Headers],[MÓDULO 2 - Total Encargos e Benefícios mensais e diários]])-2,0)*($G293-$H293)</f>
        <v>#NAME?</v>
      </c>
      <c r="AO293" s="22">
        <f>VLOOKUP($A293,tabCustoUnit[],COLUMN(CUSTO_GLOBAL[[#Headers],[Aviso Prévio Indenizado (API) e Reflexo do Aviso Prévio Indenizado]])-2,0)*($G293-$H293)</f>
        <v>13.766980408757716</v>
      </c>
      <c r="AP293" s="22">
        <f>VLOOKUP($A293,tabCustoUnit[],COLUMN(CUSTO_GLOBAL[[#Headers],[Incidência do FGTS sobre API e Reflexo do API]])-2,0)*($G293-$H293)</f>
        <v>1.1013584327006174</v>
      </c>
      <c r="AQ293" s="22">
        <f>VLOOKUP($A293,tabCustoUnit[],COLUMN(CUSTO_GLOBAL[[#Headers],[Multa Rescisória do FGTS sobre o Aviso Prévio Indenizado]])-2,0)*($G293-$H293)</f>
        <v>0.44054337308024699</v>
      </c>
      <c r="AR293" s="22">
        <f>VLOOKUP($A293,tabCustoUnit[],COLUMN(CUSTO_GLOBAL[[#Headers],[Aviso Prévio Trabalhado - APT]])-2,0)*($G293-$H293)</f>
        <v>6.8719385000000015</v>
      </c>
      <c r="AS293" s="22">
        <f>VLOOKUP($A293,tabCustoUnit[],COLUMN(CUSTO_GLOBAL[[#Headers],[Incidência dos encargos do submódulo 2.1 sobre Aviso Prévio Trabalhado]])-2,0)*($G293-$H293)</f>
        <v>2.5975927530000007</v>
      </c>
      <c r="AT293" s="22">
        <f>VLOOKUP($A293,tabCustoUnit[],COLUMN(CUSTO_GLOBAL[[#Headers],[Multa Rescisória do FGTS]])-2,0)*($G293-$H293)</f>
        <v>60.03674524444444</v>
      </c>
      <c r="AU293" s="22">
        <f>VLOOKUP($A293,tabCustoUnit[],COLUMN(CUSTO_GLOBAL[[#Headers],[Indenização Adicional (Art. 9º da Lei nº 7.238/84)]])-2,0)*($G293-$H293)</f>
        <v>1.6361758333333334</v>
      </c>
      <c r="AV293" s="22">
        <f>VLOOKUP($A293,tabCustoUnit[],COLUMN(CUSTO_GLOBAL[[#Headers],[MÓDULO 3 – PROVISÃO PARA RESCISÃO]])-2,0)*($G293-$H293)</f>
        <v>86.451334545316371</v>
      </c>
      <c r="AW293" s="22">
        <f>VLOOKUP($A293,tabCustoUnit[],COLUMN(CUSTO_GLOBAL[[#Headers],[Ausência por Doença]])-2,0)*($G293-$H293)</f>
        <v>16.579915111111109</v>
      </c>
      <c r="AX293" s="22">
        <f>VLOOKUP($A293,tabCustoUnit[],COLUMN(CUSTO_GLOBAL[[#Headers],[Ausências Legais]])-2,0)*($G293-$H293)</f>
        <v>3.9813611944444443</v>
      </c>
      <c r="AY293" s="22">
        <f>VLOOKUP($A293,tabCustoUnit[],COLUMN(CUSTO_GLOBAL[[#Headers],[Licença Paternidade]])-2,0)*($G293-$H293)</f>
        <v>0.33541604583333334</v>
      </c>
      <c r="AZ293" s="22">
        <f>VLOOKUP($A293,tabCustoUnit[],COLUMN(CUSTO_GLOBAL[[#Headers],[Ausência por Acidente de Trabalho]])-2,0)*($G293-$H293)</f>
        <v>0.40904395833333335</v>
      </c>
      <c r="BA293" s="22">
        <f>VLOOKUP($A293,tabCustoUnit[],COLUMN(CUSTO_GLOBAL[[#Headers],[Férias, Adicional de Férias e 13º  com empregada em gozo de Licença Maternidade]])-2,0)*($G293-$H293)</f>
        <v>2.5451624074074073</v>
      </c>
      <c r="BB293" s="22">
        <f>VLOOKUP($A293,tabCustoUnit[],COLUMN(CUSTO_GLOBAL[[#Headers],[Incidência do Submódulo 2.1 sobre Ausências Legais]])-2,0)*($G293-$H293)</f>
        <v>9.0156397150750021</v>
      </c>
      <c r="BC293" s="22">
        <f>VLOOKUP($A293,tabCustoUnit[],COLUMN(CUSTO_GLOBAL[[#Headers],[Submódulo 4.1]])-2,0)*($G293-$H293)</f>
        <v>32.866538432204628</v>
      </c>
      <c r="BD293" s="22">
        <f>VLOOKUP($A293,tabCustoUnit[],COLUMN(CUSTO_GLOBAL[[#Headers],[Intervalo para Repouso ou Alimentação]])-2,0)*($G293-$H293)</f>
        <v>267.73786489195959</v>
      </c>
      <c r="BE293" s="22">
        <f>VLOOKUP($A293,tabCustoUnit[],COLUMN(CUSTO_GLOBAL[[#Headers],[Submódulo 4.2]])-2,0)*($G293-$H293)</f>
        <v>267.73786489195959</v>
      </c>
      <c r="BF293" s="22">
        <f>VLOOKUP($A293,tabCustoUnit[],COLUMN(CUSTO_GLOBAL[[#Headers],[Suspensão Temporária do Contrato de Trabalho]])-2,0)*($G293-$H293)</f>
        <v>0</v>
      </c>
      <c r="BG293" s="22">
        <f>VLOOKUP($A293,tabCustoUnit[],COLUMN(CUSTO_GLOBAL[[#Headers],[Submódulo 4.3]])-2,0)*($G293-$H293)</f>
        <v>0</v>
      </c>
      <c r="BH293" s="22">
        <f>VLOOKUP($A293,tabCustoUnit[],COLUMN(CUSTO_GLOBAL[[#Headers],[MÓDULO 4 – CUSTO DE REPOSIÇÃO DO PROFISSIONAL AUSENTE]])-2,0)*($G293-$H293)</f>
        <v>300.6044033241642</v>
      </c>
      <c r="BI293" s="22">
        <f>VLOOKUP($A293,tabCustoUnit[],COLUMN(CUSTO_GLOBAL[[#Headers],[Uniformes e EPIs]])-2,0)*($G293-$H293)</f>
        <v>56.642978962543395</v>
      </c>
      <c r="BJ293" s="22">
        <f>VLOOKUP($A293,tabCustoUnit[],COLUMN(CUSTO_GLOBAL[[#Headers],[Materiais de Consumo]])-2,0)*($G293-$H293)</f>
        <v>0</v>
      </c>
      <c r="BK293" s="22">
        <f>VLOOKUP($A293,tabCustoUnit[],COLUMN(CUSTO_GLOBAL[[#Headers],[Máquinas e Equipamentos (depreciação)]])-2,0)*($G293-$H293)</f>
        <v>0</v>
      </c>
      <c r="BL293" s="22">
        <f>VLOOKUP($A293,tabCustoUnit[],COLUMN(CUSTO_GLOBAL[[#Headers],[Produtos de Limpeza e Materiais de Higiene Pessoal]])-2,0)*($G293-$H293)</f>
        <v>0</v>
      </c>
      <c r="BM293" s="22">
        <f>VLOOKUP($A293,tabCustoUnit[],COLUMN(CUSTO_GLOBAL[[#Headers],[Outros (especificar)]])-2,0)*($G293-$H293)</f>
        <v>0</v>
      </c>
      <c r="BN293" s="22">
        <f>VLOOKUP($A293,tabCustoUnit[],COLUMN(CUSTO_GLOBAL[[#Headers],[MÓDULO 5 – INSUMOS DIVERSOS]])-2,0)*($G293-$H293)</f>
        <v>56.642978962543395</v>
      </c>
      <c r="BO293" s="22" t="e">
        <f ca="1">VLOOKUP($A293,tabCustoUnit[],COLUMN(CUSTO_GLOBAL[[#Headers],[TOTAL MÓDULOS 1+2+3+4+5]])-2,0)*($G293-$H293)</f>
        <v>#NAME?</v>
      </c>
      <c r="BP293" s="22" t="e">
        <f ca="1">VLOOKUP($A293,tabCustoUnit[],COLUMN(CUSTO_GLOBAL[[#Headers],[Custos Indiretos]])-2,0)*($G293-$H293)</f>
        <v>#NAME?</v>
      </c>
      <c r="BQ293" s="22" t="e">
        <f ca="1">VLOOKUP($A293,tabCustoUnit[],COLUMN(CUSTO_GLOBAL[[#Headers],[Lucro]])-2,0)*($G293-$H293)</f>
        <v>#NAME?</v>
      </c>
      <c r="BR293" s="26">
        <f>VLOOKUP($A293,tabCustoUnit[],COLUMN(CUSTO_GLOBAL[[#Headers],[COFINS]])-2,0)</f>
        <v>8.6609686609686695E-2</v>
      </c>
      <c r="BS293" s="26">
        <f>VLOOKUP($A293,tabCustoUnit[],COLUMN(CUSTO_GLOBAL[[#Headers],[PIS]])-2,0)</f>
        <v>1.880341880341882E-2</v>
      </c>
      <c r="BT293" s="28">
        <f>VLOOKUP($A293,tabCustoUnit[],COLUMN(CUSTO_GLOBAL[[#Headers],[ISS]])-2,0)</f>
        <v>0.03</v>
      </c>
      <c r="BU293" s="26">
        <f>VLOOKUP($A293,tabCustoUnit[],COLUMN(CUSTO_GLOBAL[[#Headers],[ISS (Conversão Alíquota s/ fatura)]])-2,0)</f>
        <v>3.4188034188034219E-2</v>
      </c>
      <c r="BV293" s="26">
        <f>VLOOKUP($A293,tabCustoUnit[],COLUMN(CUSTO_GLOBAL[[#Headers],[Resumo de Alíquotas (PIS+CONFINS+ISS)]])-2,0)</f>
        <v>0.1225</v>
      </c>
      <c r="BW293" s="138">
        <f>VLOOKUP($A293,tabCustoUnit[],COLUMN(CUSTO_GLOBAL[[#Headers],[PIS + COFINS + ISS (Total Conversão  Alíquota s/ Fatura)]])-2,0)</f>
        <v>0.13960113960113973</v>
      </c>
      <c r="BX293" s="22" t="e">
        <f ca="1">VLOOKUP($A293,tabCustoUnit[],COLUMN(CUSTO_GLOBAL[[#Headers],[Valor dos Tributos (ISS, PIS, CONFINS)]])-2,0)*($G293-$H293)</f>
        <v>#NAME?</v>
      </c>
      <c r="BY293" s="22" t="e">
        <f ca="1">VLOOKUP($A293,tabCustoUnit[],COLUMN(CUSTO_GLOBAL[[#Headers],[MÓDULO 6 – CUSTOS INDIRETOS, TRIBUTOS E LUCRO]])-2,0)*($G293-$H293)</f>
        <v>#NAME?</v>
      </c>
      <c r="BZ293" s="22" t="e">
        <f ca="1">VLOOKUP($A293,tabCustoUnit[],COLUMN(CUSTO_GLOBAL[[#Headers],[CUSTO TOTAL MENSAL]])-2,0)*($G293-$H293)</f>
        <v>#NAME?</v>
      </c>
      <c r="CA293" s="22" t="e">
        <f ca="1">CUSTO_GLOBAL[[#This Row],[CUSTO TOTAL MENSAL]]*12</f>
        <v>#NAME?</v>
      </c>
      <c r="CB293" s="24">
        <f>VLOOKUP($A293,tabCustoUnit[],COLUMN(CUSTO_GLOBAL[[#Headers],[ANO DA CCT]])-2,0)</f>
        <v>45658</v>
      </c>
      <c r="CC293" s="25" t="str">
        <f>VLOOKUP($A293,tabCustoUnit[],COLUMN(CUSTO_GLOBAL[[#Headers],[Nº DE PEDIDO DA CCT]])-2,0)</f>
        <v>-</v>
      </c>
      <c r="CD293" s="25" t="str">
        <f>VLOOKUP($A293,tabCustoUnit[],COLUMN(CUSTO_GLOBAL[[#Headers],[TERMO ADITIVO ALTERAÇÃO DA CCT]])-2,0)</f>
        <v>-</v>
      </c>
    </row>
    <row r="294" spans="1:82">
      <c r="A294" s="20" t="s">
        <v>1509</v>
      </c>
      <c r="B294" t="s">
        <v>1207</v>
      </c>
      <c r="C294" t="s">
        <v>200</v>
      </c>
      <c r="D294" t="s">
        <v>961</v>
      </c>
      <c r="E294" s="20" t="s">
        <v>1090</v>
      </c>
      <c r="F294" s="20" t="s">
        <v>120</v>
      </c>
      <c r="G294" s="20">
        <v>1</v>
      </c>
      <c r="H294" s="20">
        <v>0</v>
      </c>
      <c r="I294" s="21">
        <f>VLOOKUP($A294,tabCustoUnit[],COLUMN(CUSTO_GLOBAL[[#Headers],[Salário Base]])-2,0)*($G294-$H294)</f>
        <v>1596.2737999999999</v>
      </c>
      <c r="J294" s="21">
        <f>VLOOKUP($A294,tabCustoUnit[],COLUMN(CUSTO_GLOBAL[[#Headers],[Adicional Periculosidade]])-2,0)*($G294-$H294)</f>
        <v>0</v>
      </c>
      <c r="K294" s="21">
        <f>VLOOKUP($A294,tabCustoUnit[],COLUMN(CUSTO_GLOBAL[[#Headers],[Adicional Insalubridade]])-2,0)*($G294-$H294)</f>
        <v>0</v>
      </c>
      <c r="L294" s="21">
        <f>VLOOKUP($A294,tabCustoUnit[],COLUMN(CUSTO_GLOBAL[[#Headers],[Adicional Noturno]])-2,0)*($G294-$H294)</f>
        <v>0</v>
      </c>
      <c r="M294" s="21">
        <f>VLOOKUP($A294,tabCustoUnit[],COLUMN(CUSTO_GLOBAL[[#Headers],[Adicional Motorista II (Gratificação)]])-2,0)*($G294-$H294)</f>
        <v>0</v>
      </c>
      <c r="N294" s="21">
        <f>VLOOKUP($A294,tabCustoUnit[],COLUMN(CUSTO_GLOBAL[[#Headers],[Adicional de Sobreaviso]])-2,0)*($G294-$H294)</f>
        <v>0</v>
      </c>
      <c r="O294" s="21">
        <f>VLOOKUP($A294,tabCustoUnit[],COLUMN(CUSTO_GLOBAL[[#Headers],[Horas Extras TI]])-2,0)*($G294-$H294)</f>
        <v>0</v>
      </c>
      <c r="P294" s="21">
        <f>VLOOKUP($A294,tabCustoUnit[],COLUMN(CUSTO_GLOBAL[[#Headers],[Adicional de Acúmulo de função]])-2,0)*($G294-$H294)</f>
        <v>0</v>
      </c>
      <c r="Q294" s="21">
        <f>VLOOKUP($A294,tabCustoUnit[],COLUMN(CUSTO_GLOBAL[[#Headers],[MODULO 1 - REMUNERAÇÃO ]])-2,0)*($G294-$H294)</f>
        <v>1596.2737999999999</v>
      </c>
      <c r="R294" s="21">
        <f>VLOOKUP($A294,tabCustoUnit[],COLUMN(CUSTO_GLOBAL[[#Headers],[INSS]])-2,0)*($G294-$H294)</f>
        <v>319.25476000000003</v>
      </c>
      <c r="S294" s="21">
        <f>VLOOKUP($A294,tabCustoUnit[],COLUMN(CUSTO_GLOBAL[[#Headers],[SESI OU SESC]])-2,0)*($G294-$H294)</f>
        <v>23.944106999999999</v>
      </c>
      <c r="T294" s="21">
        <f>VLOOKUP($A294,tabCustoUnit[],COLUMN(CUSTO_GLOBAL[[#Headers],[SENAI OU SENAC]])-2,0)*($G294-$H294)</f>
        <v>15.962738</v>
      </c>
      <c r="U294" s="21">
        <f>VLOOKUP($A294,tabCustoUnit[],COLUMN(CUSTO_GLOBAL[[#Headers],[INCRA]])-2,0)*($G294-$H294)</f>
        <v>3.1925476000000002</v>
      </c>
      <c r="V294" s="21">
        <f>VLOOKUP($A294,tabCustoUnit[],COLUMN(CUSTO_GLOBAL[[#Headers],[Salário Educação]])-2,0)*($G294-$H294)</f>
        <v>39.906845000000004</v>
      </c>
      <c r="W294" s="21">
        <f>VLOOKUP($A294,tabCustoUnit[],COLUMN(CUSTO_GLOBAL[[#Headers],[FGTS]])-2,0)*($G294-$H294)</f>
        <v>127.701904</v>
      </c>
      <c r="X294" s="21">
        <f>VLOOKUP($A294,tabCustoUnit[],COLUMN(CUSTO_GLOBAL[[#Headers],[RAT Ajustado]])-2,0)*($G294-$H294)</f>
        <v>63.850951999999999</v>
      </c>
      <c r="Y294" s="21">
        <f>VLOOKUP($A294,tabCustoUnit[],COLUMN(CUSTO_GLOBAL[[#Headers],[SEBRAE]])-2,0)*($G294-$H294)</f>
        <v>9.5776427999999996</v>
      </c>
      <c r="Z294" s="21">
        <f>VLOOKUP($A294,tabCustoUnit[],COLUMN(CUSTO_GLOBAL[[#Headers],[Submódulo 2.1]])-2,0)*($G294-$H294)</f>
        <v>603.39149640000005</v>
      </c>
      <c r="AA294" s="21">
        <f>VLOOKUP($A294,tabCustoUnit[],COLUMN(CUSTO_GLOBAL[[#Headers],[13º salário (titular)]])-2,0)*($G294-$H294)</f>
        <v>133.02281666666664</v>
      </c>
      <c r="AB294" s="21">
        <f>VLOOKUP($A294,tabCustoUnit[],COLUMN(CUSTO_GLOBAL[[#Headers],[Férias e Adicional de Férias (titular)]])-2,0)*($G294-$H294)</f>
        <v>177.36375555555554</v>
      </c>
      <c r="AC294" s="21">
        <f>VLOOKUP($A294,tabCustoUnit[],COLUMN(CUSTO_GLOBAL[[#Headers],[Incidência do Submódulo 2.1 sobre 13º Salário, Férias e Adicional de Férias]])-2,0)*($G294-$H294)</f>
        <v>117.3261243</v>
      </c>
      <c r="AD294" s="21">
        <f>VLOOKUP($A294,tabCustoUnit[],COLUMN(CUSTO_GLOBAL[[#Headers],[Submódulo 2.2]])-2,0)*($G294-$H294)</f>
        <v>427.71269652222219</v>
      </c>
      <c r="AE294" s="22" t="e">
        <f ca="1">VLOOKUP($A294,tabCustoUnit[],COLUMN(CUSTO_GLOBAL[[#Headers],[Vale - Transporte (Descontada parcela do empregado)]])-2,0)*($G294-$H294)</f>
        <v>#NAME?</v>
      </c>
      <c r="AF294" s="22">
        <f>VLOOKUP($A294,tabCustoUnit[],COLUMN(CUSTO_GLOBAL[[#Headers],[Vale - Alimentação (Descontada parcela do empregado)]])-2,0)*($G294-$H294)</f>
        <v>582</v>
      </c>
      <c r="AG294" s="22">
        <f>VLOOKUP($A294,tabCustoUnit[],COLUMN(CUSTO_GLOBAL[[#Headers],[Cesta Básica]])-2,0)*($G294-$H294)</f>
        <v>0</v>
      </c>
      <c r="AH294" s="22">
        <f>VLOOKUP($A294,tabCustoUnit[],COLUMN(CUSTO_GLOBAL[[#Headers],[PAF]])-2,0)*($G294-$H294)</f>
        <v>0</v>
      </c>
      <c r="AI294" s="22">
        <f>VLOOKUP($A294,tabCustoUnit[],COLUMN(CUSTO_GLOBAL[[#Headers],[PQM]])-2,0)*($G294-$H294)</f>
        <v>0</v>
      </c>
      <c r="AJ294" s="22">
        <v>0</v>
      </c>
      <c r="AK294" s="22">
        <f>VLOOKUP($A294,tabCustoUnit[],COLUMN(CUSTO_GLOBAL[[#Headers],[Seguro de Vida]])-2,0)*($G294-$H294)</f>
        <v>3.36</v>
      </c>
      <c r="AL294" s="22">
        <f>VLOOKUP($A294,tabCustoUnit[],COLUMN(CUSTO_GLOBAL[[#Headers],[Despesas de Viagem]])-2,0)*($G294-$H294)</f>
        <v>0</v>
      </c>
      <c r="AM294" s="22" t="e">
        <f ca="1">VLOOKUP($A294,tabCustoUnit[],COLUMN(CUSTO_GLOBAL[[#Headers],[Submódulo 2.3]])-2,0)*($G294-$H294)</f>
        <v>#NAME?</v>
      </c>
      <c r="AN294" s="22" t="e">
        <f ca="1">VLOOKUP($A294,tabCustoUnit[],COLUMN(CUSTO_GLOBAL[[#Headers],[MÓDULO 2 - Total Encargos e Benefícios mensais e diários]])-2,0)*($G294-$H294)</f>
        <v>#NAME?</v>
      </c>
      <c r="AO294" s="22">
        <f>VLOOKUP($A294,tabCustoUnit[],COLUMN(CUSTO_GLOBAL[[#Headers],[Aviso Prévio Indenizado (API) e Reflexo do Aviso Prévio Indenizado]])-2,0)*($G294-$H294)</f>
        <v>11.192699914390431</v>
      </c>
      <c r="AP294" s="22">
        <f>VLOOKUP($A294,tabCustoUnit[],COLUMN(CUSTO_GLOBAL[[#Headers],[Incidência do FGTS sobre API e Reflexo do API]])-2,0)*($G294-$H294)</f>
        <v>0.89541599315123466</v>
      </c>
      <c r="AQ294" s="22">
        <f>VLOOKUP($A294,tabCustoUnit[],COLUMN(CUSTO_GLOBAL[[#Headers],[Multa Rescisória do FGTS sobre o Aviso Prévio Indenizado]])-2,0)*($G294-$H294)</f>
        <v>0.35816639726049387</v>
      </c>
      <c r="AR294" s="22">
        <f>VLOOKUP($A294,tabCustoUnit[],COLUMN(CUSTO_GLOBAL[[#Headers],[Aviso Prévio Trabalhado - APT]])-2,0)*($G294-$H294)</f>
        <v>5.5869583000000009</v>
      </c>
      <c r="AS294" s="22">
        <f>VLOOKUP($A294,tabCustoUnit[],COLUMN(CUSTO_GLOBAL[[#Headers],[Incidência dos encargos do submódulo 2.1 sobre Aviso Prévio Trabalhado]])-2,0)*($G294-$H294)</f>
        <v>2.1118702374000007</v>
      </c>
      <c r="AT294" s="22">
        <f>VLOOKUP($A294,tabCustoUnit[],COLUMN(CUSTO_GLOBAL[[#Headers],[Multa Rescisória do FGTS]])-2,0)*($G294-$H294)</f>
        <v>48.810505528888882</v>
      </c>
      <c r="AU294" s="22">
        <f>VLOOKUP($A294,tabCustoUnit[],COLUMN(CUSTO_GLOBAL[[#Headers],[Indenização Adicional (Art. 9º da Lei nº 7.238/84)]])-2,0)*($G294-$H294)</f>
        <v>1.3302281666666667</v>
      </c>
      <c r="AV294" s="22">
        <f>VLOOKUP($A294,tabCustoUnit[],COLUMN(CUSTO_GLOBAL[[#Headers],[MÓDULO 3 – PROVISÃO PARA RESCISÃO]])-2,0)*($G294-$H294)</f>
        <v>70.285844537757711</v>
      </c>
      <c r="AW294" s="22">
        <f>VLOOKUP($A294,tabCustoUnit[],COLUMN(CUSTO_GLOBAL[[#Headers],[Ausência por Doença]])-2,0)*($G294-$H294)</f>
        <v>13.479645422222221</v>
      </c>
      <c r="AX294" s="22">
        <f>VLOOKUP($A294,tabCustoUnit[],COLUMN(CUSTO_GLOBAL[[#Headers],[Ausências Legais]])-2,0)*($G294-$H294)</f>
        <v>3.2368885388888886</v>
      </c>
      <c r="AY294" s="22">
        <f>VLOOKUP($A294,tabCustoUnit[],COLUMN(CUSTO_GLOBAL[[#Headers],[Licença Paternidade]])-2,0)*($G294-$H294)</f>
        <v>0.27269677416666666</v>
      </c>
      <c r="AZ294" s="22">
        <f>VLOOKUP($A294,tabCustoUnit[],COLUMN(CUSTO_GLOBAL[[#Headers],[Ausência por Acidente de Trabalho]])-2,0)*($G294-$H294)</f>
        <v>0.33255704166666666</v>
      </c>
      <c r="BA294" s="22">
        <f>VLOOKUP($A294,tabCustoUnit[],COLUMN(CUSTO_GLOBAL[[#Headers],[Férias, Adicional de Férias e 13º  com empregada em gozo de Licença Maternidade]])-2,0)*($G294-$H294)</f>
        <v>2.0692438148148145</v>
      </c>
      <c r="BB294" s="22">
        <f>VLOOKUP($A294,tabCustoUnit[],COLUMN(CUSTO_GLOBAL[[#Headers],[Incidência do Submódulo 2.1 sobre Ausências Legais]])-2,0)*($G294-$H294)</f>
        <v>7.3298099416850011</v>
      </c>
      <c r="BC294" s="22">
        <f>VLOOKUP($A294,tabCustoUnit[],COLUMN(CUSTO_GLOBAL[[#Headers],[Submódulo 4.1]])-2,0)*($G294-$H294)</f>
        <v>26.720841533444265</v>
      </c>
      <c r="BD294" s="22">
        <f>VLOOKUP($A294,tabCustoUnit[],COLUMN(CUSTO_GLOBAL[[#Headers],[Intervalo para Repouso ou Alimentação]])-2,0)*($G294-$H294)</f>
        <v>0</v>
      </c>
      <c r="BE294" s="22">
        <f>VLOOKUP($A294,tabCustoUnit[],COLUMN(CUSTO_GLOBAL[[#Headers],[Submódulo 4.2]])-2,0)*($G294-$H294)</f>
        <v>0</v>
      </c>
      <c r="BF294" s="22">
        <f>VLOOKUP($A294,tabCustoUnit[],COLUMN(CUSTO_GLOBAL[[#Headers],[Suspensão Temporária do Contrato de Trabalho]])-2,0)*($G294-$H294)</f>
        <v>0</v>
      </c>
      <c r="BG294" s="22">
        <f>VLOOKUP($A294,tabCustoUnit[],COLUMN(CUSTO_GLOBAL[[#Headers],[Submódulo 4.3]])-2,0)*($G294-$H294)</f>
        <v>0</v>
      </c>
      <c r="BH294" s="22">
        <f>VLOOKUP($A294,tabCustoUnit[],COLUMN(CUSTO_GLOBAL[[#Headers],[MÓDULO 4 – CUSTO DE REPOSIÇÃO DO PROFISSIONAL AUSENTE]])-2,0)*($G294-$H294)</f>
        <v>26.720841533444265</v>
      </c>
      <c r="BI294" s="22">
        <f>VLOOKUP($A294,tabCustoUnit[],COLUMN(CUSTO_GLOBAL[[#Headers],[Uniformes e EPIs]])-2,0)*($G294-$H294)</f>
        <v>56.141713661989918</v>
      </c>
      <c r="BJ294" s="22">
        <f>VLOOKUP($A294,tabCustoUnit[],COLUMN(CUSTO_GLOBAL[[#Headers],[Materiais de Consumo]])-2,0)*($G294-$H294)</f>
        <v>0</v>
      </c>
      <c r="BK294" s="22">
        <f>VLOOKUP($A294,tabCustoUnit[],COLUMN(CUSTO_GLOBAL[[#Headers],[Máquinas e Equipamentos (depreciação)]])-2,0)*($G294-$H294)</f>
        <v>0</v>
      </c>
      <c r="BL294" s="22">
        <f>VLOOKUP($A294,tabCustoUnit[],COLUMN(CUSTO_GLOBAL[[#Headers],[Produtos de Limpeza e Materiais de Higiene Pessoal]])-2,0)*($G294-$H294)</f>
        <v>0</v>
      </c>
      <c r="BM294" s="22">
        <f>VLOOKUP($A294,tabCustoUnit[],COLUMN(CUSTO_GLOBAL[[#Headers],[Outros (especificar)]])-2,0)*($G294-$H294)</f>
        <v>0</v>
      </c>
      <c r="BN294" s="22">
        <f>VLOOKUP($A294,tabCustoUnit[],COLUMN(CUSTO_GLOBAL[[#Headers],[MÓDULO 5 – INSUMOS DIVERSOS]])-2,0)*($G294-$H294)</f>
        <v>56.141713661989918</v>
      </c>
      <c r="BO294" s="22" t="e">
        <f ca="1">VLOOKUP($A294,tabCustoUnit[],COLUMN(CUSTO_GLOBAL[[#Headers],[TOTAL MÓDULOS 1+2+3+4+5]])-2,0)*($G294-$H294)</f>
        <v>#NAME?</v>
      </c>
      <c r="BP294" s="22" t="e">
        <f ca="1">VLOOKUP($A294,tabCustoUnit[],COLUMN(CUSTO_GLOBAL[[#Headers],[Custos Indiretos]])-2,0)*($G294-$H294)</f>
        <v>#NAME?</v>
      </c>
      <c r="BQ294" s="22" t="e">
        <f ca="1">VLOOKUP($A294,tabCustoUnit[],COLUMN(CUSTO_GLOBAL[[#Headers],[Lucro]])-2,0)*($G294-$H294)</f>
        <v>#NAME?</v>
      </c>
      <c r="BR294" s="26">
        <f>VLOOKUP($A294,tabCustoUnit[],COLUMN(CUSTO_GLOBAL[[#Headers],[COFINS]])-2,0)</f>
        <v>8.6609686609686695E-2</v>
      </c>
      <c r="BS294" s="26">
        <f>VLOOKUP($A294,tabCustoUnit[],COLUMN(CUSTO_GLOBAL[[#Headers],[PIS]])-2,0)</f>
        <v>1.880341880341882E-2</v>
      </c>
      <c r="BT294" s="28">
        <f>VLOOKUP($A294,tabCustoUnit[],COLUMN(CUSTO_GLOBAL[[#Headers],[ISS]])-2,0)</f>
        <v>0.03</v>
      </c>
      <c r="BU294" s="26">
        <f>VLOOKUP($A294,tabCustoUnit[],COLUMN(CUSTO_GLOBAL[[#Headers],[ISS (Conversão Alíquota s/ fatura)]])-2,0)</f>
        <v>3.4188034188034219E-2</v>
      </c>
      <c r="BV294" s="26">
        <f>VLOOKUP($A294,tabCustoUnit[],COLUMN(CUSTO_GLOBAL[[#Headers],[Resumo de Alíquotas (PIS+CONFINS+ISS)]])-2,0)</f>
        <v>0.1225</v>
      </c>
      <c r="BW294" s="138">
        <f>VLOOKUP($A294,tabCustoUnit[],COLUMN(CUSTO_GLOBAL[[#Headers],[PIS + COFINS + ISS (Total Conversão  Alíquota s/ Fatura)]])-2,0)</f>
        <v>0.13960113960113973</v>
      </c>
      <c r="BX294" s="22" t="e">
        <f ca="1">VLOOKUP($A294,tabCustoUnit[],COLUMN(CUSTO_GLOBAL[[#Headers],[Valor dos Tributos (ISS, PIS, CONFINS)]])-2,0)*($G294-$H294)</f>
        <v>#NAME?</v>
      </c>
      <c r="BY294" s="22" t="e">
        <f ca="1">VLOOKUP($A294,tabCustoUnit[],COLUMN(CUSTO_GLOBAL[[#Headers],[MÓDULO 6 – CUSTOS INDIRETOS, TRIBUTOS E LUCRO]])-2,0)*($G294-$H294)</f>
        <v>#NAME?</v>
      </c>
      <c r="BZ294" s="22" t="e">
        <f ca="1">VLOOKUP($A294,tabCustoUnit[],COLUMN(CUSTO_GLOBAL[[#Headers],[CUSTO TOTAL MENSAL]])-2,0)*($G294-$H294)</f>
        <v>#NAME?</v>
      </c>
      <c r="CA294" s="22" t="e">
        <f ca="1">CUSTO_GLOBAL[[#This Row],[CUSTO TOTAL MENSAL]]*12</f>
        <v>#NAME?</v>
      </c>
      <c r="CB294" s="24">
        <f>VLOOKUP($A294,tabCustoUnit[],COLUMN(CUSTO_GLOBAL[[#Headers],[ANO DA CCT]])-2,0)</f>
        <v>45658</v>
      </c>
      <c r="CC294" s="25" t="str">
        <f>VLOOKUP($A294,tabCustoUnit[],COLUMN(CUSTO_GLOBAL[[#Headers],[Nº DE PEDIDO DA CCT]])-2,0)</f>
        <v>-</v>
      </c>
      <c r="CD294" s="25" t="str">
        <f>VLOOKUP($A294,tabCustoUnit[],COLUMN(CUSTO_GLOBAL[[#Headers],[TERMO ADITIVO ALTERAÇÃO DA CCT]])-2,0)</f>
        <v>-</v>
      </c>
    </row>
    <row r="295" spans="1:82">
      <c r="A295" s="20" t="s">
        <v>1709</v>
      </c>
      <c r="B295" t="s">
        <v>1207</v>
      </c>
      <c r="C295" t="s">
        <v>314</v>
      </c>
      <c r="D295" t="s">
        <v>961</v>
      </c>
      <c r="E295" s="20" t="s">
        <v>1090</v>
      </c>
      <c r="F295" s="20" t="s">
        <v>120</v>
      </c>
      <c r="G295" s="20">
        <v>1</v>
      </c>
      <c r="H295" s="20">
        <v>0</v>
      </c>
      <c r="I295" s="21">
        <f>VLOOKUP($A295,tabCustoUnit[],COLUMN(CUSTO_GLOBAL[[#Headers],[Salário Base]])-2,0)*($G295-$H295)</f>
        <v>1963.405</v>
      </c>
      <c r="J295" s="21">
        <f>VLOOKUP($A295,tabCustoUnit[],COLUMN(CUSTO_GLOBAL[[#Headers],[Adicional Periculosidade]])-2,0)*($G295-$H295)</f>
        <v>0</v>
      </c>
      <c r="K295" s="21">
        <f>VLOOKUP($A295,tabCustoUnit[],COLUMN(CUSTO_GLOBAL[[#Headers],[Adicional Insalubridade]])-2,0)*($G295-$H295)</f>
        <v>0</v>
      </c>
      <c r="L295" s="21">
        <f>VLOOKUP($A295,tabCustoUnit[],COLUMN(CUSTO_GLOBAL[[#Headers],[Adicional Noturno]])-2,0)*($G295-$H295)</f>
        <v>0</v>
      </c>
      <c r="M295" s="21">
        <f>VLOOKUP($A295,tabCustoUnit[],COLUMN(CUSTO_GLOBAL[[#Headers],[Adicional Motorista II (Gratificação)]])-2,0)*($G295-$H295)</f>
        <v>0</v>
      </c>
      <c r="N295" s="21">
        <f>VLOOKUP($A295,tabCustoUnit[],COLUMN(CUSTO_GLOBAL[[#Headers],[Adicional de Sobreaviso]])-2,0)*($G295-$H295)</f>
        <v>0</v>
      </c>
      <c r="O295" s="21">
        <f>VLOOKUP($A295,tabCustoUnit[],COLUMN(CUSTO_GLOBAL[[#Headers],[Horas Extras TI]])-2,0)*($G295-$H295)</f>
        <v>0</v>
      </c>
      <c r="P295" s="21">
        <f>VLOOKUP($A295,tabCustoUnit[],COLUMN(CUSTO_GLOBAL[[#Headers],[Adicional de Acúmulo de função]])-2,0)*($G295-$H295)</f>
        <v>0</v>
      </c>
      <c r="Q295" s="21">
        <f>VLOOKUP($A295,tabCustoUnit[],COLUMN(CUSTO_GLOBAL[[#Headers],[MODULO 1 - REMUNERAÇÃO ]])-2,0)*($G295-$H295)</f>
        <v>1963.405</v>
      </c>
      <c r="R295" s="21">
        <f>VLOOKUP($A295,tabCustoUnit[],COLUMN(CUSTO_GLOBAL[[#Headers],[INSS]])-2,0)*($G295-$H295)</f>
        <v>392.68100000000004</v>
      </c>
      <c r="S295" s="21">
        <f>VLOOKUP($A295,tabCustoUnit[],COLUMN(CUSTO_GLOBAL[[#Headers],[SESI OU SESC]])-2,0)*($G295-$H295)</f>
        <v>29.451074999999999</v>
      </c>
      <c r="T295" s="21">
        <f>VLOOKUP($A295,tabCustoUnit[],COLUMN(CUSTO_GLOBAL[[#Headers],[SENAI OU SENAC]])-2,0)*($G295-$H295)</f>
        <v>19.634049999999998</v>
      </c>
      <c r="U295" s="21">
        <f>VLOOKUP($A295,tabCustoUnit[],COLUMN(CUSTO_GLOBAL[[#Headers],[INCRA]])-2,0)*($G295-$H295)</f>
        <v>3.9268100000000001</v>
      </c>
      <c r="V295" s="21">
        <f>VLOOKUP($A295,tabCustoUnit[],COLUMN(CUSTO_GLOBAL[[#Headers],[Salário Educação]])-2,0)*($G295-$H295)</f>
        <v>49.085125000000005</v>
      </c>
      <c r="W295" s="21">
        <f>VLOOKUP($A295,tabCustoUnit[],COLUMN(CUSTO_GLOBAL[[#Headers],[FGTS]])-2,0)*($G295-$H295)</f>
        <v>157.07239999999999</v>
      </c>
      <c r="X295" s="21">
        <f>VLOOKUP($A295,tabCustoUnit[],COLUMN(CUSTO_GLOBAL[[#Headers],[RAT Ajustado]])-2,0)*($G295-$H295)</f>
        <v>78.536199999999994</v>
      </c>
      <c r="Y295" s="21">
        <f>VLOOKUP($A295,tabCustoUnit[],COLUMN(CUSTO_GLOBAL[[#Headers],[SEBRAE]])-2,0)*($G295-$H295)</f>
        <v>11.780430000000001</v>
      </c>
      <c r="Z295" s="21">
        <f>VLOOKUP($A295,tabCustoUnit[],COLUMN(CUSTO_GLOBAL[[#Headers],[Submódulo 2.1]])-2,0)*($G295-$H295)</f>
        <v>742.16709000000003</v>
      </c>
      <c r="AA295" s="21">
        <f>VLOOKUP($A295,tabCustoUnit[],COLUMN(CUSTO_GLOBAL[[#Headers],[13º salário (titular)]])-2,0)*($G295-$H295)</f>
        <v>163.61708333333331</v>
      </c>
      <c r="AB295" s="21">
        <f>VLOOKUP($A295,tabCustoUnit[],COLUMN(CUSTO_GLOBAL[[#Headers],[Férias e Adicional de Férias (titular)]])-2,0)*($G295-$H295)</f>
        <v>218.1561111111111</v>
      </c>
      <c r="AC295" s="21">
        <f>VLOOKUP($A295,tabCustoUnit[],COLUMN(CUSTO_GLOBAL[[#Headers],[Incidência do Submódulo 2.1 sobre 13º Salário, Férias e Adicional de Férias]])-2,0)*($G295-$H295)</f>
        <v>144.31026749999998</v>
      </c>
      <c r="AD295" s="21">
        <f>VLOOKUP($A295,tabCustoUnit[],COLUMN(CUSTO_GLOBAL[[#Headers],[Submódulo 2.2]])-2,0)*($G295-$H295)</f>
        <v>526.08346194444437</v>
      </c>
      <c r="AE295" s="22" t="e">
        <f ca="1">VLOOKUP($A295,tabCustoUnit[],COLUMN(CUSTO_GLOBAL[[#Headers],[Vale - Transporte (Descontada parcela do empregado)]])-2,0)*($G295-$H295)</f>
        <v>#NAME?</v>
      </c>
      <c r="AF295" s="22">
        <f>VLOOKUP($A295,tabCustoUnit[],COLUMN(CUSTO_GLOBAL[[#Headers],[Vale - Alimentação (Descontada parcela do empregado)]])-2,0)*($G295-$H295)</f>
        <v>582</v>
      </c>
      <c r="AG295" s="22">
        <f>VLOOKUP($A295,tabCustoUnit[],COLUMN(CUSTO_GLOBAL[[#Headers],[Cesta Básica]])-2,0)*($G295-$H295)</f>
        <v>0</v>
      </c>
      <c r="AH295" s="22">
        <f>VLOOKUP($A295,tabCustoUnit[],COLUMN(CUSTO_GLOBAL[[#Headers],[PAF]])-2,0)*($G295-$H295)</f>
        <v>0</v>
      </c>
      <c r="AI295" s="22">
        <f>VLOOKUP($A295,tabCustoUnit[],COLUMN(CUSTO_GLOBAL[[#Headers],[PQM]])-2,0)*($G295-$H295)</f>
        <v>0</v>
      </c>
      <c r="AJ295" s="22">
        <v>0</v>
      </c>
      <c r="AK295" s="22">
        <f>VLOOKUP($A295,tabCustoUnit[],COLUMN(CUSTO_GLOBAL[[#Headers],[Seguro de Vida]])-2,0)*($G295-$H295)</f>
        <v>3.36</v>
      </c>
      <c r="AL295" s="22">
        <f>VLOOKUP($A295,tabCustoUnit[],COLUMN(CUSTO_GLOBAL[[#Headers],[Despesas de Viagem]])-2,0)*($G295-$H295)</f>
        <v>0</v>
      </c>
      <c r="AM295" s="22" t="e">
        <f ca="1">VLOOKUP($A295,tabCustoUnit[],COLUMN(CUSTO_GLOBAL[[#Headers],[Submódulo 2.3]])-2,0)*($G295-$H295)</f>
        <v>#NAME?</v>
      </c>
      <c r="AN295" s="22" t="e">
        <f ca="1">VLOOKUP($A295,tabCustoUnit[],COLUMN(CUSTO_GLOBAL[[#Headers],[MÓDULO 2 - Total Encargos e Benefícios mensais e diários]])-2,0)*($G295-$H295)</f>
        <v>#NAME?</v>
      </c>
      <c r="AO295" s="22">
        <f>VLOOKUP($A295,tabCustoUnit[],COLUMN(CUSTO_GLOBAL[[#Headers],[Aviso Prévio Indenizado (API) e Reflexo do Aviso Prévio Indenizado]])-2,0)*($G295-$H295)</f>
        <v>13.766938338155864</v>
      </c>
      <c r="AP295" s="22">
        <f>VLOOKUP($A295,tabCustoUnit[],COLUMN(CUSTO_GLOBAL[[#Headers],[Incidência do FGTS sobre API e Reflexo do API]])-2,0)*($G295-$H295)</f>
        <v>1.1013550670524692</v>
      </c>
      <c r="AQ295" s="22">
        <f>VLOOKUP($A295,tabCustoUnit[],COLUMN(CUSTO_GLOBAL[[#Headers],[Multa Rescisória do FGTS sobre o Aviso Prévio Indenizado]])-2,0)*($G295-$H295)</f>
        <v>0.44054202682098775</v>
      </c>
      <c r="AR295" s="22">
        <f>VLOOKUP($A295,tabCustoUnit[],COLUMN(CUSTO_GLOBAL[[#Headers],[Aviso Prévio Trabalhado - APT]])-2,0)*($G295-$H295)</f>
        <v>6.8719175000000012</v>
      </c>
      <c r="AS295" s="22">
        <f>VLOOKUP($A295,tabCustoUnit[],COLUMN(CUSTO_GLOBAL[[#Headers],[Incidência dos encargos do submódulo 2.1 sobre Aviso Prévio Trabalhado]])-2,0)*($G295-$H295)</f>
        <v>2.5975848150000007</v>
      </c>
      <c r="AT295" s="22">
        <f>VLOOKUP($A295,tabCustoUnit[],COLUMN(CUSTO_GLOBAL[[#Headers],[Multa Rescisória do FGTS]])-2,0)*($G295-$H295)</f>
        <v>60.03656177777777</v>
      </c>
      <c r="AU295" s="22">
        <f>VLOOKUP($A295,tabCustoUnit[],COLUMN(CUSTO_GLOBAL[[#Headers],[Indenização Adicional (Art. 9º da Lei nº 7.238/84)]])-2,0)*($G295-$H295)</f>
        <v>1.6361708333333334</v>
      </c>
      <c r="AV295" s="22">
        <f>VLOOKUP($A295,tabCustoUnit[],COLUMN(CUSTO_GLOBAL[[#Headers],[MÓDULO 3 – PROVISÃO PARA RESCISÃO]])-2,0)*($G295-$H295)</f>
        <v>86.451070358140427</v>
      </c>
      <c r="AW295" s="22">
        <f>VLOOKUP($A295,tabCustoUnit[],COLUMN(CUSTO_GLOBAL[[#Headers],[Ausência por Doença]])-2,0)*($G295-$H295)</f>
        <v>16.579864444444443</v>
      </c>
      <c r="AX295" s="22">
        <f>VLOOKUP($A295,tabCustoUnit[],COLUMN(CUSTO_GLOBAL[[#Headers],[Ausências Legais]])-2,0)*($G295-$H295)</f>
        <v>3.9813490277777777</v>
      </c>
      <c r="AY295" s="22">
        <f>VLOOKUP($A295,tabCustoUnit[],COLUMN(CUSTO_GLOBAL[[#Headers],[Licença Paternidade]])-2,0)*($G295-$H295)</f>
        <v>0.3354150208333333</v>
      </c>
      <c r="AZ295" s="22">
        <f>VLOOKUP($A295,tabCustoUnit[],COLUMN(CUSTO_GLOBAL[[#Headers],[Ausência por Acidente de Trabalho]])-2,0)*($G295-$H295)</f>
        <v>0.40904270833333334</v>
      </c>
      <c r="BA295" s="22">
        <f>VLOOKUP($A295,tabCustoUnit[],COLUMN(CUSTO_GLOBAL[[#Headers],[Férias, Adicional de Férias e 13º  com empregada em gozo de Licença Maternidade]])-2,0)*($G295-$H295)</f>
        <v>2.5451546296296295</v>
      </c>
      <c r="BB295" s="22">
        <f>VLOOKUP($A295,tabCustoUnit[],COLUMN(CUSTO_GLOBAL[[#Headers],[Incidência do Submódulo 2.1 sobre Ausências Legais]])-2,0)*($G295-$H295)</f>
        <v>9.0156121641250007</v>
      </c>
      <c r="BC295" s="22">
        <f>VLOOKUP($A295,tabCustoUnit[],COLUMN(CUSTO_GLOBAL[[#Headers],[Submódulo 4.1]])-2,0)*($G295-$H295)</f>
        <v>32.866437995143521</v>
      </c>
      <c r="BD295" s="22">
        <f>VLOOKUP($A295,tabCustoUnit[],COLUMN(CUSTO_GLOBAL[[#Headers],[Intervalo para Repouso ou Alimentação]])-2,0)*($G295-$H295)</f>
        <v>267.73704981301341</v>
      </c>
      <c r="BE295" s="22">
        <f>VLOOKUP($A295,tabCustoUnit[],COLUMN(CUSTO_GLOBAL[[#Headers],[Submódulo 4.2]])-2,0)*($G295-$H295)</f>
        <v>267.73704981301341</v>
      </c>
      <c r="BF295" s="22">
        <f>VLOOKUP($A295,tabCustoUnit[],COLUMN(CUSTO_GLOBAL[[#Headers],[Suspensão Temporária do Contrato de Trabalho]])-2,0)*($G295-$H295)</f>
        <v>0</v>
      </c>
      <c r="BG295" s="22">
        <f>VLOOKUP($A295,tabCustoUnit[],COLUMN(CUSTO_GLOBAL[[#Headers],[Submódulo 4.3]])-2,0)*($G295-$H295)</f>
        <v>0</v>
      </c>
      <c r="BH295" s="22">
        <f>VLOOKUP($A295,tabCustoUnit[],COLUMN(CUSTO_GLOBAL[[#Headers],[MÓDULO 4 – CUSTO DE REPOSIÇÃO DO PROFISSIONAL AUSENTE]])-2,0)*($G295-$H295)</f>
        <v>300.60348780815696</v>
      </c>
      <c r="BI295" s="22">
        <f>VLOOKUP($A295,tabCustoUnit[],COLUMN(CUSTO_GLOBAL[[#Headers],[Uniformes e EPIs]])-2,0)*($G295-$H295)</f>
        <v>56.642978962543395</v>
      </c>
      <c r="BJ295" s="22">
        <f>VLOOKUP($A295,tabCustoUnit[],COLUMN(CUSTO_GLOBAL[[#Headers],[Materiais de Consumo]])-2,0)*($G295-$H295)</f>
        <v>0</v>
      </c>
      <c r="BK295" s="22">
        <f>VLOOKUP($A295,tabCustoUnit[],COLUMN(CUSTO_GLOBAL[[#Headers],[Máquinas e Equipamentos (depreciação)]])-2,0)*($G295-$H295)</f>
        <v>0</v>
      </c>
      <c r="BL295" s="22">
        <f>VLOOKUP($A295,tabCustoUnit[],COLUMN(CUSTO_GLOBAL[[#Headers],[Produtos de Limpeza e Materiais de Higiene Pessoal]])-2,0)*($G295-$H295)</f>
        <v>0</v>
      </c>
      <c r="BM295" s="22">
        <f>VLOOKUP($A295,tabCustoUnit[],COLUMN(CUSTO_GLOBAL[[#Headers],[Outros (especificar)]])-2,0)*($G295-$H295)</f>
        <v>0</v>
      </c>
      <c r="BN295" s="22">
        <f>VLOOKUP($A295,tabCustoUnit[],COLUMN(CUSTO_GLOBAL[[#Headers],[MÓDULO 5 – INSUMOS DIVERSOS]])-2,0)*($G295-$H295)</f>
        <v>56.642978962543395</v>
      </c>
      <c r="BO295" s="22" t="e">
        <f ca="1">VLOOKUP($A295,tabCustoUnit[],COLUMN(CUSTO_GLOBAL[[#Headers],[TOTAL MÓDULOS 1+2+3+4+5]])-2,0)*($G295-$H295)</f>
        <v>#NAME?</v>
      </c>
      <c r="BP295" s="22" t="e">
        <f ca="1">VLOOKUP($A295,tabCustoUnit[],COLUMN(CUSTO_GLOBAL[[#Headers],[Custos Indiretos]])-2,0)*($G295-$H295)</f>
        <v>#NAME?</v>
      </c>
      <c r="BQ295" s="22" t="e">
        <f ca="1">VLOOKUP($A295,tabCustoUnit[],COLUMN(CUSTO_GLOBAL[[#Headers],[Lucro]])-2,0)*($G295-$H295)</f>
        <v>#NAME?</v>
      </c>
      <c r="BR295" s="26">
        <f>VLOOKUP($A295,tabCustoUnit[],COLUMN(CUSTO_GLOBAL[[#Headers],[COFINS]])-2,0)</f>
        <v>8.6609686609686695E-2</v>
      </c>
      <c r="BS295" s="26">
        <f>VLOOKUP($A295,tabCustoUnit[],COLUMN(CUSTO_GLOBAL[[#Headers],[PIS]])-2,0)</f>
        <v>1.880341880341882E-2</v>
      </c>
      <c r="BT295" s="28">
        <f>VLOOKUP($A295,tabCustoUnit[],COLUMN(CUSTO_GLOBAL[[#Headers],[ISS]])-2,0)</f>
        <v>0.03</v>
      </c>
      <c r="BU295" s="26">
        <f>VLOOKUP($A295,tabCustoUnit[],COLUMN(CUSTO_GLOBAL[[#Headers],[ISS (Conversão Alíquota s/ fatura)]])-2,0)</f>
        <v>3.4188034188034219E-2</v>
      </c>
      <c r="BV295" s="26">
        <f>VLOOKUP($A295,tabCustoUnit[],COLUMN(CUSTO_GLOBAL[[#Headers],[Resumo de Alíquotas (PIS+CONFINS+ISS)]])-2,0)</f>
        <v>0.1225</v>
      </c>
      <c r="BW295" s="138">
        <f>VLOOKUP($A295,tabCustoUnit[],COLUMN(CUSTO_GLOBAL[[#Headers],[PIS + COFINS + ISS (Total Conversão  Alíquota s/ Fatura)]])-2,0)</f>
        <v>0.13960113960113973</v>
      </c>
      <c r="BX295" s="22" t="e">
        <f ca="1">VLOOKUP($A295,tabCustoUnit[],COLUMN(CUSTO_GLOBAL[[#Headers],[Valor dos Tributos (ISS, PIS, CONFINS)]])-2,0)*($G295-$H295)</f>
        <v>#NAME?</v>
      </c>
      <c r="BY295" s="22" t="e">
        <f ca="1">VLOOKUP($A295,tabCustoUnit[],COLUMN(CUSTO_GLOBAL[[#Headers],[MÓDULO 6 – CUSTOS INDIRETOS, TRIBUTOS E LUCRO]])-2,0)*($G295-$H295)</f>
        <v>#NAME?</v>
      </c>
      <c r="BZ295" s="22" t="e">
        <f ca="1">VLOOKUP($A295,tabCustoUnit[],COLUMN(CUSTO_GLOBAL[[#Headers],[CUSTO TOTAL MENSAL]])-2,0)*($G295-$H295)</f>
        <v>#NAME?</v>
      </c>
      <c r="CA295" s="22" t="e">
        <f ca="1">CUSTO_GLOBAL[[#This Row],[CUSTO TOTAL MENSAL]]*12</f>
        <v>#NAME?</v>
      </c>
      <c r="CB295" s="24">
        <f>VLOOKUP($A295,tabCustoUnit[],COLUMN(CUSTO_GLOBAL[[#Headers],[ANO DA CCT]])-2,0)</f>
        <v>45658</v>
      </c>
      <c r="CC295" s="25" t="str">
        <f>VLOOKUP($A295,tabCustoUnit[],COLUMN(CUSTO_GLOBAL[[#Headers],[Nº DE PEDIDO DA CCT]])-2,0)</f>
        <v>-</v>
      </c>
      <c r="CD295" s="25" t="str">
        <f>VLOOKUP($A295,tabCustoUnit[],COLUMN(CUSTO_GLOBAL[[#Headers],[TERMO ADITIVO ALTERAÇÃO DA CCT]])-2,0)</f>
        <v>-</v>
      </c>
    </row>
    <row r="296" spans="1:82">
      <c r="A296" s="20" t="s">
        <v>1710</v>
      </c>
      <c r="B296" t="s">
        <v>1208</v>
      </c>
      <c r="C296" t="s">
        <v>314</v>
      </c>
      <c r="D296" t="s">
        <v>911</v>
      </c>
      <c r="E296" s="20" t="s">
        <v>1090</v>
      </c>
      <c r="F296" s="20" t="s">
        <v>120</v>
      </c>
      <c r="G296" s="20">
        <v>1</v>
      </c>
      <c r="H296" s="20">
        <v>0</v>
      </c>
      <c r="I296" s="21">
        <f>VLOOKUP($A296,tabCustoUnit[],COLUMN(CUSTO_GLOBAL[[#Headers],[Salário Base]])-2,0)*($G296-$H296)</f>
        <v>1963.4110000000001</v>
      </c>
      <c r="J296" s="21">
        <f>VLOOKUP($A296,tabCustoUnit[],COLUMN(CUSTO_GLOBAL[[#Headers],[Adicional Periculosidade]])-2,0)*($G296-$H296)</f>
        <v>0</v>
      </c>
      <c r="K296" s="21">
        <f>VLOOKUP($A296,tabCustoUnit[],COLUMN(CUSTO_GLOBAL[[#Headers],[Adicional Insalubridade]])-2,0)*($G296-$H296)</f>
        <v>0</v>
      </c>
      <c r="L296" s="21">
        <f>VLOOKUP($A296,tabCustoUnit[],COLUMN(CUSTO_GLOBAL[[#Headers],[Adicional Noturno]])-2,0)*($G296-$H296)</f>
        <v>0</v>
      </c>
      <c r="M296" s="21">
        <f>VLOOKUP($A296,tabCustoUnit[],COLUMN(CUSTO_GLOBAL[[#Headers],[Adicional Motorista II (Gratificação)]])-2,0)*($G296-$H296)</f>
        <v>0</v>
      </c>
      <c r="N296" s="21">
        <f>VLOOKUP($A296,tabCustoUnit[],COLUMN(CUSTO_GLOBAL[[#Headers],[Adicional de Sobreaviso]])-2,0)*($G296-$H296)</f>
        <v>0</v>
      </c>
      <c r="O296" s="21">
        <f>VLOOKUP($A296,tabCustoUnit[],COLUMN(CUSTO_GLOBAL[[#Headers],[Horas Extras TI]])-2,0)*($G296-$H296)</f>
        <v>0</v>
      </c>
      <c r="P296" s="21">
        <f>VLOOKUP($A296,tabCustoUnit[],COLUMN(CUSTO_GLOBAL[[#Headers],[Adicional de Acúmulo de função]])-2,0)*($G296-$H296)</f>
        <v>0</v>
      </c>
      <c r="Q296" s="21">
        <f>VLOOKUP($A296,tabCustoUnit[],COLUMN(CUSTO_GLOBAL[[#Headers],[MODULO 1 - REMUNERAÇÃO ]])-2,0)*($G296-$H296)</f>
        <v>1963.4110000000001</v>
      </c>
      <c r="R296" s="21">
        <f>VLOOKUP($A296,tabCustoUnit[],COLUMN(CUSTO_GLOBAL[[#Headers],[INSS]])-2,0)*($G296-$H296)</f>
        <v>392.68220000000002</v>
      </c>
      <c r="S296" s="21">
        <f>VLOOKUP($A296,tabCustoUnit[],COLUMN(CUSTO_GLOBAL[[#Headers],[SESI OU SESC]])-2,0)*($G296-$H296)</f>
        <v>29.451165</v>
      </c>
      <c r="T296" s="21">
        <f>VLOOKUP($A296,tabCustoUnit[],COLUMN(CUSTO_GLOBAL[[#Headers],[SENAI OU SENAC]])-2,0)*($G296-$H296)</f>
        <v>19.63411</v>
      </c>
      <c r="U296" s="21">
        <f>VLOOKUP($A296,tabCustoUnit[],COLUMN(CUSTO_GLOBAL[[#Headers],[INCRA]])-2,0)*($G296-$H296)</f>
        <v>3.926822</v>
      </c>
      <c r="V296" s="21">
        <f>VLOOKUP($A296,tabCustoUnit[],COLUMN(CUSTO_GLOBAL[[#Headers],[Salário Educação]])-2,0)*($G296-$H296)</f>
        <v>49.085275000000003</v>
      </c>
      <c r="W296" s="21">
        <f>VLOOKUP($A296,tabCustoUnit[],COLUMN(CUSTO_GLOBAL[[#Headers],[FGTS]])-2,0)*($G296-$H296)</f>
        <v>157.07288</v>
      </c>
      <c r="X296" s="21">
        <f>VLOOKUP($A296,tabCustoUnit[],COLUMN(CUSTO_GLOBAL[[#Headers],[RAT Ajustado]])-2,0)*($G296-$H296)</f>
        <v>78.536439999999999</v>
      </c>
      <c r="Y296" s="21">
        <f>VLOOKUP($A296,tabCustoUnit[],COLUMN(CUSTO_GLOBAL[[#Headers],[SEBRAE]])-2,0)*($G296-$H296)</f>
        <v>11.780466000000001</v>
      </c>
      <c r="Z296" s="21">
        <f>VLOOKUP($A296,tabCustoUnit[],COLUMN(CUSTO_GLOBAL[[#Headers],[Submódulo 2.1]])-2,0)*($G296-$H296)</f>
        <v>742.1693580000001</v>
      </c>
      <c r="AA296" s="21">
        <f>VLOOKUP($A296,tabCustoUnit[],COLUMN(CUSTO_GLOBAL[[#Headers],[13º salário (titular)]])-2,0)*($G296-$H296)</f>
        <v>163.61758333333333</v>
      </c>
      <c r="AB296" s="21">
        <f>VLOOKUP($A296,tabCustoUnit[],COLUMN(CUSTO_GLOBAL[[#Headers],[Férias e Adicional de Férias (titular)]])-2,0)*($G296-$H296)</f>
        <v>218.15677777777776</v>
      </c>
      <c r="AC296" s="21">
        <f>VLOOKUP($A296,tabCustoUnit[],COLUMN(CUSTO_GLOBAL[[#Headers],[Incidência do Submódulo 2.1 sobre 13º Salário, Férias e Adicional de Férias]])-2,0)*($G296-$H296)</f>
        <v>144.3107085</v>
      </c>
      <c r="AD296" s="21">
        <f>VLOOKUP($A296,tabCustoUnit[],COLUMN(CUSTO_GLOBAL[[#Headers],[Submódulo 2.2]])-2,0)*($G296-$H296)</f>
        <v>526.08506961111107</v>
      </c>
      <c r="AE296" s="22" t="e">
        <f ca="1">VLOOKUP($A296,tabCustoUnit[],COLUMN(CUSTO_GLOBAL[[#Headers],[Vale - Transporte (Descontada parcela do empregado)]])-2,0)*($G296-$H296)</f>
        <v>#NAME?</v>
      </c>
      <c r="AF296" s="22">
        <f>VLOOKUP($A296,tabCustoUnit[],COLUMN(CUSTO_GLOBAL[[#Headers],[Vale - Alimentação (Descontada parcela do empregado)]])-2,0)*($G296-$H296)</f>
        <v>582</v>
      </c>
      <c r="AG296" s="22">
        <f>VLOOKUP($A296,tabCustoUnit[],COLUMN(CUSTO_GLOBAL[[#Headers],[Cesta Básica]])-2,0)*($G296-$H296)</f>
        <v>0</v>
      </c>
      <c r="AH296" s="22">
        <f>VLOOKUP($A296,tabCustoUnit[],COLUMN(CUSTO_GLOBAL[[#Headers],[PAF]])-2,0)*($G296-$H296)</f>
        <v>51.74</v>
      </c>
      <c r="AI296" s="22">
        <f>VLOOKUP($A296,tabCustoUnit[],COLUMN(CUSTO_GLOBAL[[#Headers],[PQM]])-2,0)*($G296-$H296)</f>
        <v>0</v>
      </c>
      <c r="AJ296" s="22">
        <v>0</v>
      </c>
      <c r="AK296" s="22">
        <f>VLOOKUP($A296,tabCustoUnit[],COLUMN(CUSTO_GLOBAL[[#Headers],[Seguro de Vida]])-2,0)*($G296-$H296)</f>
        <v>3.36</v>
      </c>
      <c r="AL296" s="22">
        <f>VLOOKUP($A296,tabCustoUnit[],COLUMN(CUSTO_GLOBAL[[#Headers],[Despesas de Viagem]])-2,0)*($G296-$H296)</f>
        <v>0</v>
      </c>
      <c r="AM296" s="22" t="e">
        <f ca="1">VLOOKUP($A296,tabCustoUnit[],COLUMN(CUSTO_GLOBAL[[#Headers],[Submódulo 2.3]])-2,0)*($G296-$H296)</f>
        <v>#NAME?</v>
      </c>
      <c r="AN296" s="22" t="e">
        <f ca="1">VLOOKUP($A296,tabCustoUnit[],COLUMN(CUSTO_GLOBAL[[#Headers],[MÓDULO 2 - Total Encargos e Benefícios mensais e diários]])-2,0)*($G296-$H296)</f>
        <v>#NAME?</v>
      </c>
      <c r="AO296" s="22">
        <f>VLOOKUP($A296,tabCustoUnit[],COLUMN(CUSTO_GLOBAL[[#Headers],[Aviso Prévio Indenizado (API) e Reflexo do Aviso Prévio Indenizado]])-2,0)*($G296-$H296)</f>
        <v>13.766980408757716</v>
      </c>
      <c r="AP296" s="22">
        <f>VLOOKUP($A296,tabCustoUnit[],COLUMN(CUSTO_GLOBAL[[#Headers],[Incidência do FGTS sobre API e Reflexo do API]])-2,0)*($G296-$H296)</f>
        <v>1.1013584327006174</v>
      </c>
      <c r="AQ296" s="22">
        <f>VLOOKUP($A296,tabCustoUnit[],COLUMN(CUSTO_GLOBAL[[#Headers],[Multa Rescisória do FGTS sobre o Aviso Prévio Indenizado]])-2,0)*($G296-$H296)</f>
        <v>0.44054337308024699</v>
      </c>
      <c r="AR296" s="22">
        <f>VLOOKUP($A296,tabCustoUnit[],COLUMN(CUSTO_GLOBAL[[#Headers],[Aviso Prévio Trabalhado - APT]])-2,0)*($G296-$H296)</f>
        <v>6.8719385000000015</v>
      </c>
      <c r="AS296" s="22">
        <f>VLOOKUP($A296,tabCustoUnit[],COLUMN(CUSTO_GLOBAL[[#Headers],[Incidência dos encargos do submódulo 2.1 sobre Aviso Prévio Trabalhado]])-2,0)*($G296-$H296)</f>
        <v>2.5975927530000007</v>
      </c>
      <c r="AT296" s="22">
        <f>VLOOKUP($A296,tabCustoUnit[],COLUMN(CUSTO_GLOBAL[[#Headers],[Multa Rescisória do FGTS]])-2,0)*($G296-$H296)</f>
        <v>60.03674524444444</v>
      </c>
      <c r="AU296" s="22">
        <f>VLOOKUP($A296,tabCustoUnit[],COLUMN(CUSTO_GLOBAL[[#Headers],[Indenização Adicional (Art. 9º da Lei nº 7.238/84)]])-2,0)*($G296-$H296)</f>
        <v>1.6361758333333334</v>
      </c>
      <c r="AV296" s="22">
        <f>VLOOKUP($A296,tabCustoUnit[],COLUMN(CUSTO_GLOBAL[[#Headers],[MÓDULO 3 – PROVISÃO PARA RESCISÃO]])-2,0)*($G296-$H296)</f>
        <v>86.451334545316371</v>
      </c>
      <c r="AW296" s="22">
        <f>VLOOKUP($A296,tabCustoUnit[],COLUMN(CUSTO_GLOBAL[[#Headers],[Ausência por Doença]])-2,0)*($G296-$H296)</f>
        <v>16.579915111111109</v>
      </c>
      <c r="AX296" s="22">
        <f>VLOOKUP($A296,tabCustoUnit[],COLUMN(CUSTO_GLOBAL[[#Headers],[Ausências Legais]])-2,0)*($G296-$H296)</f>
        <v>3.9813611944444443</v>
      </c>
      <c r="AY296" s="22">
        <f>VLOOKUP($A296,tabCustoUnit[],COLUMN(CUSTO_GLOBAL[[#Headers],[Licença Paternidade]])-2,0)*($G296-$H296)</f>
        <v>0.33541604583333334</v>
      </c>
      <c r="AZ296" s="22">
        <f>VLOOKUP($A296,tabCustoUnit[],COLUMN(CUSTO_GLOBAL[[#Headers],[Ausência por Acidente de Trabalho]])-2,0)*($G296-$H296)</f>
        <v>0.40904395833333335</v>
      </c>
      <c r="BA296" s="22">
        <f>VLOOKUP($A296,tabCustoUnit[],COLUMN(CUSTO_GLOBAL[[#Headers],[Férias, Adicional de Férias e 13º  com empregada em gozo de Licença Maternidade]])-2,0)*($G296-$H296)</f>
        <v>2.5451624074074073</v>
      </c>
      <c r="BB296" s="22">
        <f>VLOOKUP($A296,tabCustoUnit[],COLUMN(CUSTO_GLOBAL[[#Headers],[Incidência do Submódulo 2.1 sobre Ausências Legais]])-2,0)*($G296-$H296)</f>
        <v>9.0156397150750021</v>
      </c>
      <c r="BC296" s="22">
        <f>VLOOKUP($A296,tabCustoUnit[],COLUMN(CUSTO_GLOBAL[[#Headers],[Submódulo 4.1]])-2,0)*($G296-$H296)</f>
        <v>32.866538432204628</v>
      </c>
      <c r="BD296" s="22">
        <f>VLOOKUP($A296,tabCustoUnit[],COLUMN(CUSTO_GLOBAL[[#Headers],[Intervalo para Repouso ou Alimentação]])-2,0)*($G296-$H296)</f>
        <v>267.73786489195959</v>
      </c>
      <c r="BE296" s="22">
        <f>VLOOKUP($A296,tabCustoUnit[],COLUMN(CUSTO_GLOBAL[[#Headers],[Submódulo 4.2]])-2,0)*($G296-$H296)</f>
        <v>267.73786489195959</v>
      </c>
      <c r="BF296" s="22">
        <f>VLOOKUP($A296,tabCustoUnit[],COLUMN(CUSTO_GLOBAL[[#Headers],[Suspensão Temporária do Contrato de Trabalho]])-2,0)*($G296-$H296)</f>
        <v>0</v>
      </c>
      <c r="BG296" s="22">
        <f>VLOOKUP($A296,tabCustoUnit[],COLUMN(CUSTO_GLOBAL[[#Headers],[Submódulo 4.3]])-2,0)*($G296-$H296)</f>
        <v>0</v>
      </c>
      <c r="BH296" s="22">
        <f>VLOOKUP($A296,tabCustoUnit[],COLUMN(CUSTO_GLOBAL[[#Headers],[MÓDULO 4 – CUSTO DE REPOSIÇÃO DO PROFISSIONAL AUSENTE]])-2,0)*($G296-$H296)</f>
        <v>300.6044033241642</v>
      </c>
      <c r="BI296" s="22">
        <f>VLOOKUP($A296,tabCustoUnit[],COLUMN(CUSTO_GLOBAL[[#Headers],[Uniformes e EPIs]])-2,0)*($G296-$H296)</f>
        <v>56.642978962543395</v>
      </c>
      <c r="BJ296" s="22">
        <f>VLOOKUP($A296,tabCustoUnit[],COLUMN(CUSTO_GLOBAL[[#Headers],[Materiais de Consumo]])-2,0)*($G296-$H296)</f>
        <v>0</v>
      </c>
      <c r="BK296" s="22">
        <f>VLOOKUP($A296,tabCustoUnit[],COLUMN(CUSTO_GLOBAL[[#Headers],[Máquinas e Equipamentos (depreciação)]])-2,0)*($G296-$H296)</f>
        <v>0</v>
      </c>
      <c r="BL296" s="22">
        <f>VLOOKUP($A296,tabCustoUnit[],COLUMN(CUSTO_GLOBAL[[#Headers],[Produtos de Limpeza e Materiais de Higiene Pessoal]])-2,0)*($G296-$H296)</f>
        <v>0</v>
      </c>
      <c r="BM296" s="22">
        <f>VLOOKUP($A296,tabCustoUnit[],COLUMN(CUSTO_GLOBAL[[#Headers],[Outros (especificar)]])-2,0)*($G296-$H296)</f>
        <v>0</v>
      </c>
      <c r="BN296" s="22">
        <f>VLOOKUP($A296,tabCustoUnit[],COLUMN(CUSTO_GLOBAL[[#Headers],[MÓDULO 5 – INSUMOS DIVERSOS]])-2,0)*($G296-$H296)</f>
        <v>56.642978962543395</v>
      </c>
      <c r="BO296" s="22" t="e">
        <f ca="1">VLOOKUP($A296,tabCustoUnit[],COLUMN(CUSTO_GLOBAL[[#Headers],[TOTAL MÓDULOS 1+2+3+4+5]])-2,0)*($G296-$H296)</f>
        <v>#NAME?</v>
      </c>
      <c r="BP296" s="22" t="e">
        <f ca="1">VLOOKUP($A296,tabCustoUnit[],COLUMN(CUSTO_GLOBAL[[#Headers],[Custos Indiretos]])-2,0)*($G296-$H296)</f>
        <v>#NAME?</v>
      </c>
      <c r="BQ296" s="22" t="e">
        <f ca="1">VLOOKUP($A296,tabCustoUnit[],COLUMN(CUSTO_GLOBAL[[#Headers],[Lucro]])-2,0)*($G296-$H296)</f>
        <v>#NAME?</v>
      </c>
      <c r="BR296" s="26">
        <f>VLOOKUP($A296,tabCustoUnit[],COLUMN(CUSTO_GLOBAL[[#Headers],[COFINS]])-2,0)</f>
        <v>8.6609686609686695E-2</v>
      </c>
      <c r="BS296" s="26">
        <f>VLOOKUP($A296,tabCustoUnit[],COLUMN(CUSTO_GLOBAL[[#Headers],[PIS]])-2,0)</f>
        <v>1.880341880341882E-2</v>
      </c>
      <c r="BT296" s="28">
        <f>VLOOKUP($A296,tabCustoUnit[],COLUMN(CUSTO_GLOBAL[[#Headers],[ISS]])-2,0)</f>
        <v>0.03</v>
      </c>
      <c r="BU296" s="26">
        <f>VLOOKUP($A296,tabCustoUnit[],COLUMN(CUSTO_GLOBAL[[#Headers],[ISS (Conversão Alíquota s/ fatura)]])-2,0)</f>
        <v>3.4188034188034219E-2</v>
      </c>
      <c r="BV296" s="26">
        <f>VLOOKUP($A296,tabCustoUnit[],COLUMN(CUSTO_GLOBAL[[#Headers],[Resumo de Alíquotas (PIS+CONFINS+ISS)]])-2,0)</f>
        <v>0.1225</v>
      </c>
      <c r="BW296" s="138">
        <f>VLOOKUP($A296,tabCustoUnit[],COLUMN(CUSTO_GLOBAL[[#Headers],[PIS + COFINS + ISS (Total Conversão  Alíquota s/ Fatura)]])-2,0)</f>
        <v>0.13960113960113973</v>
      </c>
      <c r="BX296" s="22" t="e">
        <f ca="1">VLOOKUP($A296,tabCustoUnit[],COLUMN(CUSTO_GLOBAL[[#Headers],[Valor dos Tributos (ISS, PIS, CONFINS)]])-2,0)*($G296-$H296)</f>
        <v>#NAME?</v>
      </c>
      <c r="BY296" s="22" t="e">
        <f ca="1">VLOOKUP($A296,tabCustoUnit[],COLUMN(CUSTO_GLOBAL[[#Headers],[MÓDULO 6 – CUSTOS INDIRETOS, TRIBUTOS E LUCRO]])-2,0)*($G296-$H296)</f>
        <v>#NAME?</v>
      </c>
      <c r="BZ296" s="22" t="e">
        <f ca="1">VLOOKUP($A296,tabCustoUnit[],COLUMN(CUSTO_GLOBAL[[#Headers],[CUSTO TOTAL MENSAL]])-2,0)*($G296-$H296)</f>
        <v>#NAME?</v>
      </c>
      <c r="CA296" s="22" t="e">
        <f ca="1">CUSTO_GLOBAL[[#This Row],[CUSTO TOTAL MENSAL]]*12</f>
        <v>#NAME?</v>
      </c>
      <c r="CB296" s="24">
        <f>VLOOKUP($A296,tabCustoUnit[],COLUMN(CUSTO_GLOBAL[[#Headers],[ANO DA CCT]])-2,0)</f>
        <v>45658</v>
      </c>
      <c r="CC296" s="25" t="str">
        <f>VLOOKUP($A296,tabCustoUnit[],COLUMN(CUSTO_GLOBAL[[#Headers],[Nº DE PEDIDO DA CCT]])-2,0)</f>
        <v>-</v>
      </c>
      <c r="CD296" s="25" t="str">
        <f>VLOOKUP($A296,tabCustoUnit[],COLUMN(CUSTO_GLOBAL[[#Headers],[TERMO ADITIVO ALTERAÇÃO DA CCT]])-2,0)</f>
        <v>-</v>
      </c>
    </row>
    <row r="297" spans="1:82">
      <c r="A297" s="20" t="s">
        <v>1510</v>
      </c>
      <c r="B297" t="s">
        <v>1045</v>
      </c>
      <c r="C297" t="s">
        <v>200</v>
      </c>
      <c r="D297" t="s">
        <v>1045</v>
      </c>
      <c r="E297" s="20" t="s">
        <v>1090</v>
      </c>
      <c r="F297" s="20" t="s">
        <v>120</v>
      </c>
      <c r="G297" s="20">
        <v>1</v>
      </c>
      <c r="H297" s="20">
        <v>0</v>
      </c>
      <c r="I297" s="21">
        <f>VLOOKUP($A297,tabCustoUnit[],COLUMN(CUSTO_GLOBAL[[#Headers],[Salário Base]])-2,0)*($G297-$H297)</f>
        <v>1649.1152999999999</v>
      </c>
      <c r="J297" s="21">
        <f>VLOOKUP($A297,tabCustoUnit[],COLUMN(CUSTO_GLOBAL[[#Headers],[Adicional Periculosidade]])-2,0)*($G297-$H297)</f>
        <v>0</v>
      </c>
      <c r="K297" s="21">
        <f>VLOOKUP($A297,tabCustoUnit[],COLUMN(CUSTO_GLOBAL[[#Headers],[Adicional Insalubridade]])-2,0)*($G297-$H297)</f>
        <v>0</v>
      </c>
      <c r="L297" s="21">
        <f>VLOOKUP($A297,tabCustoUnit[],COLUMN(CUSTO_GLOBAL[[#Headers],[Adicional Noturno]])-2,0)*($G297-$H297)</f>
        <v>0</v>
      </c>
      <c r="M297" s="21">
        <f>VLOOKUP($A297,tabCustoUnit[],COLUMN(CUSTO_GLOBAL[[#Headers],[Adicional Motorista II (Gratificação)]])-2,0)*($G297-$H297)</f>
        <v>0</v>
      </c>
      <c r="N297" s="21">
        <f>VLOOKUP($A297,tabCustoUnit[],COLUMN(CUSTO_GLOBAL[[#Headers],[Adicional de Sobreaviso]])-2,0)*($G297-$H297)</f>
        <v>0</v>
      </c>
      <c r="O297" s="21">
        <f>VLOOKUP($A297,tabCustoUnit[],COLUMN(CUSTO_GLOBAL[[#Headers],[Horas Extras TI]])-2,0)*($G297-$H297)</f>
        <v>0</v>
      </c>
      <c r="P297" s="21">
        <f>VLOOKUP($A297,tabCustoUnit[],COLUMN(CUSTO_GLOBAL[[#Headers],[Adicional de Acúmulo de função]])-2,0)*($G297-$H297)</f>
        <v>0</v>
      </c>
      <c r="Q297" s="21">
        <f>VLOOKUP($A297,tabCustoUnit[],COLUMN(CUSTO_GLOBAL[[#Headers],[MODULO 1 - REMUNERAÇÃO ]])-2,0)*($G297-$H297)</f>
        <v>1649.1152999999999</v>
      </c>
      <c r="R297" s="21">
        <f>VLOOKUP($A297,tabCustoUnit[],COLUMN(CUSTO_GLOBAL[[#Headers],[INSS]])-2,0)*($G297-$H297)</f>
        <v>329.82306</v>
      </c>
      <c r="S297" s="21">
        <f>VLOOKUP($A297,tabCustoUnit[],COLUMN(CUSTO_GLOBAL[[#Headers],[SESI OU SESC]])-2,0)*($G297-$H297)</f>
        <v>24.736729499999999</v>
      </c>
      <c r="T297" s="21">
        <f>VLOOKUP($A297,tabCustoUnit[],COLUMN(CUSTO_GLOBAL[[#Headers],[SENAI OU SENAC]])-2,0)*($G297-$H297)</f>
        <v>16.491153000000001</v>
      </c>
      <c r="U297" s="21">
        <f>VLOOKUP($A297,tabCustoUnit[],COLUMN(CUSTO_GLOBAL[[#Headers],[INCRA]])-2,0)*($G297-$H297)</f>
        <v>3.2982306000000001</v>
      </c>
      <c r="V297" s="21">
        <f>VLOOKUP($A297,tabCustoUnit[],COLUMN(CUSTO_GLOBAL[[#Headers],[Salário Educação]])-2,0)*($G297-$H297)</f>
        <v>41.2278825</v>
      </c>
      <c r="W297" s="21">
        <f>VLOOKUP($A297,tabCustoUnit[],COLUMN(CUSTO_GLOBAL[[#Headers],[FGTS]])-2,0)*($G297-$H297)</f>
        <v>131.929224</v>
      </c>
      <c r="X297" s="21">
        <f>VLOOKUP($A297,tabCustoUnit[],COLUMN(CUSTO_GLOBAL[[#Headers],[RAT Ajustado]])-2,0)*($G297-$H297)</f>
        <v>65.964612000000002</v>
      </c>
      <c r="Y297" s="21">
        <f>VLOOKUP($A297,tabCustoUnit[],COLUMN(CUSTO_GLOBAL[[#Headers],[SEBRAE]])-2,0)*($G297-$H297)</f>
        <v>9.8946918000000004</v>
      </c>
      <c r="Z297" s="21">
        <f>VLOOKUP($A297,tabCustoUnit[],COLUMN(CUSTO_GLOBAL[[#Headers],[Submódulo 2.1]])-2,0)*($G297-$H297)</f>
        <v>623.36558340000011</v>
      </c>
      <c r="AA297" s="21">
        <f>VLOOKUP($A297,tabCustoUnit[],COLUMN(CUSTO_GLOBAL[[#Headers],[13º salário (titular)]])-2,0)*($G297-$H297)</f>
        <v>137.42627499999998</v>
      </c>
      <c r="AB297" s="21">
        <f>VLOOKUP($A297,tabCustoUnit[],COLUMN(CUSTO_GLOBAL[[#Headers],[Férias e Adicional de Férias (titular)]])-2,0)*($G297-$H297)</f>
        <v>183.23503333333332</v>
      </c>
      <c r="AC297" s="21">
        <f>VLOOKUP($A297,tabCustoUnit[],COLUMN(CUSTO_GLOBAL[[#Headers],[Incidência do Submódulo 2.1 sobre 13º Salário, Férias e Adicional de Férias]])-2,0)*($G297-$H297)</f>
        <v>121.20997455</v>
      </c>
      <c r="AD297" s="21">
        <f>VLOOKUP($A297,tabCustoUnit[],COLUMN(CUSTO_GLOBAL[[#Headers],[Submódulo 2.2]])-2,0)*($G297-$H297)</f>
        <v>441.87128288333327</v>
      </c>
      <c r="AE297" s="22" t="e">
        <f ca="1">VLOOKUP($A297,tabCustoUnit[],COLUMN(CUSTO_GLOBAL[[#Headers],[Vale - Transporte (Descontada parcela do empregado)]])-2,0)*($G297-$H297)</f>
        <v>#NAME?</v>
      </c>
      <c r="AF297" s="22">
        <f>VLOOKUP($A297,tabCustoUnit[],COLUMN(CUSTO_GLOBAL[[#Headers],[Vale - Alimentação (Descontada parcela do empregado)]])-2,0)*($G297-$H297)</f>
        <v>582</v>
      </c>
      <c r="AG297" s="22">
        <f>VLOOKUP($A297,tabCustoUnit[],COLUMN(CUSTO_GLOBAL[[#Headers],[Cesta Básica]])-2,0)*($G297-$H297)</f>
        <v>0</v>
      </c>
      <c r="AH297" s="22">
        <f>VLOOKUP($A297,tabCustoUnit[],COLUMN(CUSTO_GLOBAL[[#Headers],[PAF]])-2,0)*($G297-$H297)</f>
        <v>51.86</v>
      </c>
      <c r="AI297" s="22">
        <f>VLOOKUP($A297,tabCustoUnit[],COLUMN(CUSTO_GLOBAL[[#Headers],[PQM]])-2,0)*($G297-$H297)</f>
        <v>0</v>
      </c>
      <c r="AJ297" s="22">
        <v>0</v>
      </c>
      <c r="AK297" s="22">
        <f>VLOOKUP($A297,tabCustoUnit[],COLUMN(CUSTO_GLOBAL[[#Headers],[Seguro de Vida]])-2,0)*($G297-$H297)</f>
        <v>3.36</v>
      </c>
      <c r="AL297" s="22">
        <f>VLOOKUP($A297,tabCustoUnit[],COLUMN(CUSTO_GLOBAL[[#Headers],[Despesas de Viagem]])-2,0)*($G297-$H297)</f>
        <v>0</v>
      </c>
      <c r="AM297" s="22" t="e">
        <f ca="1">VLOOKUP($A297,tabCustoUnit[],COLUMN(CUSTO_GLOBAL[[#Headers],[Submódulo 2.3]])-2,0)*($G297-$H297)</f>
        <v>#NAME?</v>
      </c>
      <c r="AN297" s="22" t="e">
        <f ca="1">VLOOKUP($A297,tabCustoUnit[],COLUMN(CUSTO_GLOBAL[[#Headers],[MÓDULO 2 - Total Encargos e Benefícios mensais e diários]])-2,0)*($G297-$H297)</f>
        <v>#NAME?</v>
      </c>
      <c r="AO297" s="22">
        <f>VLOOKUP($A297,tabCustoUnit[],COLUMN(CUSTO_GLOBAL[[#Headers],[Aviso Prévio Indenizado (API) e Reflexo do Aviso Prévio Indenizado]])-2,0)*($G297-$H297)</f>
        <v>11.563212199016203</v>
      </c>
      <c r="AP297" s="22">
        <f>VLOOKUP($A297,tabCustoUnit[],COLUMN(CUSTO_GLOBAL[[#Headers],[Incidência do FGTS sobre API e Reflexo do API]])-2,0)*($G297-$H297)</f>
        <v>0.92505697592129632</v>
      </c>
      <c r="AQ297" s="22">
        <f>VLOOKUP($A297,tabCustoUnit[],COLUMN(CUSTO_GLOBAL[[#Headers],[Multa Rescisória do FGTS sobre o Aviso Prévio Indenizado]])-2,0)*($G297-$H297)</f>
        <v>0.37002279036851859</v>
      </c>
      <c r="AR297" s="22">
        <f>VLOOKUP($A297,tabCustoUnit[],COLUMN(CUSTO_GLOBAL[[#Headers],[Aviso Prévio Trabalhado - APT]])-2,0)*($G297-$H297)</f>
        <v>5.7719035500000002</v>
      </c>
      <c r="AS297" s="22">
        <f>VLOOKUP($A297,tabCustoUnit[],COLUMN(CUSTO_GLOBAL[[#Headers],[Incidência dos encargos do submódulo 2.1 sobre Aviso Prévio Trabalhado]])-2,0)*($G297-$H297)</f>
        <v>2.1817795419000006</v>
      </c>
      <c r="AT297" s="22">
        <f>VLOOKUP($A297,tabCustoUnit[],COLUMN(CUSTO_GLOBAL[[#Headers],[Multa Rescisória do FGTS]])-2,0)*($G297-$H297)</f>
        <v>50.426281173333322</v>
      </c>
      <c r="AU297" s="22">
        <f>VLOOKUP($A297,tabCustoUnit[],COLUMN(CUSTO_GLOBAL[[#Headers],[Indenização Adicional (Art. 9º da Lei nº 7.238/84)]])-2,0)*($G297-$H297)</f>
        <v>1.37426275</v>
      </c>
      <c r="AV297" s="22">
        <f>VLOOKUP($A297,tabCustoUnit[],COLUMN(CUSTO_GLOBAL[[#Headers],[MÓDULO 3 – PROVISÃO PARA RESCISÃO]])-2,0)*($G297-$H297)</f>
        <v>72.612518980539335</v>
      </c>
      <c r="AW297" s="22">
        <f>VLOOKUP($A297,tabCustoUnit[],COLUMN(CUSTO_GLOBAL[[#Headers],[Ausência por Doença]])-2,0)*($G297-$H297)</f>
        <v>13.925862533333332</v>
      </c>
      <c r="AX297" s="22">
        <f>VLOOKUP($A297,tabCustoUnit[],COLUMN(CUSTO_GLOBAL[[#Headers],[Ausências Legais]])-2,0)*($G297-$H297)</f>
        <v>3.3440393583333332</v>
      </c>
      <c r="AY297" s="22">
        <f>VLOOKUP($A297,tabCustoUnit[],COLUMN(CUSTO_GLOBAL[[#Headers],[Licença Paternidade]])-2,0)*($G297-$H297)</f>
        <v>0.28172386374999997</v>
      </c>
      <c r="AZ297" s="22">
        <f>VLOOKUP($A297,tabCustoUnit[],COLUMN(CUSTO_GLOBAL[[#Headers],[Ausência por Acidente de Trabalho]])-2,0)*($G297-$H297)</f>
        <v>0.34356568749999999</v>
      </c>
      <c r="BA297" s="22">
        <f>VLOOKUP($A297,tabCustoUnit[],COLUMN(CUSTO_GLOBAL[[#Headers],[Férias, Adicional de Férias e 13º  com empregada em gozo de Licença Maternidade]])-2,0)*($G297-$H297)</f>
        <v>2.1377420555555555</v>
      </c>
      <c r="BB297" s="22">
        <f>VLOOKUP($A297,tabCustoUnit[],COLUMN(CUSTO_GLOBAL[[#Headers],[Incidência do Submódulo 2.1 sobre Ausências Legais]])-2,0)*($G297-$H297)</f>
        <v>7.572448862422501</v>
      </c>
      <c r="BC297" s="22">
        <f>VLOOKUP($A297,tabCustoUnit[],COLUMN(CUSTO_GLOBAL[[#Headers],[Submódulo 4.1]])-2,0)*($G297-$H297)</f>
        <v>27.605382360894719</v>
      </c>
      <c r="BD297" s="22">
        <f>VLOOKUP($A297,tabCustoUnit[],COLUMN(CUSTO_GLOBAL[[#Headers],[Intervalo para Repouso ou Alimentação]])-2,0)*($G297-$H297)</f>
        <v>0</v>
      </c>
      <c r="BE297" s="22">
        <f>VLOOKUP($A297,tabCustoUnit[],COLUMN(CUSTO_GLOBAL[[#Headers],[Submódulo 4.2]])-2,0)*($G297-$H297)</f>
        <v>0</v>
      </c>
      <c r="BF297" s="22">
        <f>VLOOKUP($A297,tabCustoUnit[],COLUMN(CUSTO_GLOBAL[[#Headers],[Suspensão Temporária do Contrato de Trabalho]])-2,0)*($G297-$H297)</f>
        <v>0</v>
      </c>
      <c r="BG297" s="22">
        <f>VLOOKUP($A297,tabCustoUnit[],COLUMN(CUSTO_GLOBAL[[#Headers],[Submódulo 4.3]])-2,0)*($G297-$H297)</f>
        <v>0</v>
      </c>
      <c r="BH297" s="22">
        <f>VLOOKUP($A297,tabCustoUnit[],COLUMN(CUSTO_GLOBAL[[#Headers],[MÓDULO 4 – CUSTO DE REPOSIÇÃO DO PROFISSIONAL AUSENTE]])-2,0)*($G297-$H297)</f>
        <v>27.605382360894719</v>
      </c>
      <c r="BI297" s="22">
        <f>VLOOKUP($A297,tabCustoUnit[],COLUMN(CUSTO_GLOBAL[[#Headers],[Uniformes e EPIs]])-2,0)*($G297-$H297)</f>
        <v>56.141713661989918</v>
      </c>
      <c r="BJ297" s="22">
        <f>VLOOKUP($A297,tabCustoUnit[],COLUMN(CUSTO_GLOBAL[[#Headers],[Materiais de Consumo]])-2,0)*($G297-$H297)</f>
        <v>0</v>
      </c>
      <c r="BK297" s="22">
        <f>VLOOKUP($A297,tabCustoUnit[],COLUMN(CUSTO_GLOBAL[[#Headers],[Máquinas e Equipamentos (depreciação)]])-2,0)*($G297-$H297)</f>
        <v>0</v>
      </c>
      <c r="BL297" s="22">
        <f>VLOOKUP($A297,tabCustoUnit[],COLUMN(CUSTO_GLOBAL[[#Headers],[Produtos de Limpeza e Materiais de Higiene Pessoal]])-2,0)*($G297-$H297)</f>
        <v>0</v>
      </c>
      <c r="BM297" s="22">
        <f>VLOOKUP($A297,tabCustoUnit[],COLUMN(CUSTO_GLOBAL[[#Headers],[Outros (especificar)]])-2,0)*($G297-$H297)</f>
        <v>0</v>
      </c>
      <c r="BN297" s="22">
        <f>VLOOKUP($A297,tabCustoUnit[],COLUMN(CUSTO_GLOBAL[[#Headers],[MÓDULO 5 – INSUMOS DIVERSOS]])-2,0)*($G297-$H297)</f>
        <v>56.141713661989918</v>
      </c>
      <c r="BO297" s="22" t="e">
        <f ca="1">VLOOKUP($A297,tabCustoUnit[],COLUMN(CUSTO_GLOBAL[[#Headers],[TOTAL MÓDULOS 1+2+3+4+5]])-2,0)*($G297-$H297)</f>
        <v>#NAME?</v>
      </c>
      <c r="BP297" s="22" t="e">
        <f ca="1">VLOOKUP($A297,tabCustoUnit[],COLUMN(CUSTO_GLOBAL[[#Headers],[Custos Indiretos]])-2,0)*($G297-$H297)</f>
        <v>#NAME?</v>
      </c>
      <c r="BQ297" s="22" t="e">
        <f ca="1">VLOOKUP($A297,tabCustoUnit[],COLUMN(CUSTO_GLOBAL[[#Headers],[Lucro]])-2,0)*($G297-$H297)</f>
        <v>#NAME?</v>
      </c>
      <c r="BR297" s="26">
        <f>VLOOKUP($A297,tabCustoUnit[],COLUMN(CUSTO_GLOBAL[[#Headers],[COFINS]])-2,0)</f>
        <v>8.6609686609686695E-2</v>
      </c>
      <c r="BS297" s="26">
        <f>VLOOKUP($A297,tabCustoUnit[],COLUMN(CUSTO_GLOBAL[[#Headers],[PIS]])-2,0)</f>
        <v>1.880341880341882E-2</v>
      </c>
      <c r="BT297" s="28">
        <f>VLOOKUP($A297,tabCustoUnit[],COLUMN(CUSTO_GLOBAL[[#Headers],[ISS]])-2,0)</f>
        <v>0.03</v>
      </c>
      <c r="BU297" s="26">
        <f>VLOOKUP($A297,tabCustoUnit[],COLUMN(CUSTO_GLOBAL[[#Headers],[ISS (Conversão Alíquota s/ fatura)]])-2,0)</f>
        <v>3.4188034188034219E-2</v>
      </c>
      <c r="BV297" s="26">
        <f>VLOOKUP($A297,tabCustoUnit[],COLUMN(CUSTO_GLOBAL[[#Headers],[Resumo de Alíquotas (PIS+CONFINS+ISS)]])-2,0)</f>
        <v>0.1225</v>
      </c>
      <c r="BW297" s="138">
        <f>VLOOKUP($A297,tabCustoUnit[],COLUMN(CUSTO_GLOBAL[[#Headers],[PIS + COFINS + ISS (Total Conversão  Alíquota s/ Fatura)]])-2,0)</f>
        <v>0.13960113960113973</v>
      </c>
      <c r="BX297" s="22" t="e">
        <f ca="1">VLOOKUP($A297,tabCustoUnit[],COLUMN(CUSTO_GLOBAL[[#Headers],[Valor dos Tributos (ISS, PIS, CONFINS)]])-2,0)*($G297-$H297)</f>
        <v>#NAME?</v>
      </c>
      <c r="BY297" s="22" t="e">
        <f ca="1">VLOOKUP($A297,tabCustoUnit[],COLUMN(CUSTO_GLOBAL[[#Headers],[MÓDULO 6 – CUSTOS INDIRETOS, TRIBUTOS E LUCRO]])-2,0)*($G297-$H297)</f>
        <v>#NAME?</v>
      </c>
      <c r="BZ297" s="22" t="e">
        <f ca="1">VLOOKUP($A297,tabCustoUnit[],COLUMN(CUSTO_GLOBAL[[#Headers],[CUSTO TOTAL MENSAL]])-2,0)*($G297-$H297)</f>
        <v>#NAME?</v>
      </c>
      <c r="CA297" s="22" t="e">
        <f ca="1">CUSTO_GLOBAL[[#This Row],[CUSTO TOTAL MENSAL]]*12</f>
        <v>#NAME?</v>
      </c>
      <c r="CB297" s="24">
        <f>VLOOKUP($A297,tabCustoUnit[],COLUMN(CUSTO_GLOBAL[[#Headers],[ANO DA CCT]])-2,0)</f>
        <v>45658</v>
      </c>
      <c r="CC297" s="25" t="str">
        <f>VLOOKUP($A297,tabCustoUnit[],COLUMN(CUSTO_GLOBAL[[#Headers],[Nº DE PEDIDO DA CCT]])-2,0)</f>
        <v>-</v>
      </c>
      <c r="CD297" s="25" t="str">
        <f>VLOOKUP($A297,tabCustoUnit[],COLUMN(CUSTO_GLOBAL[[#Headers],[TERMO ADITIVO ALTERAÇÃO DA CCT]])-2,0)</f>
        <v>-</v>
      </c>
    </row>
    <row r="298" spans="1:82">
      <c r="A298" s="20" t="s">
        <v>1711</v>
      </c>
      <c r="B298" t="s">
        <v>1045</v>
      </c>
      <c r="C298" t="s">
        <v>274</v>
      </c>
      <c r="D298" t="s">
        <v>1019</v>
      </c>
      <c r="E298" s="20" t="s">
        <v>1090</v>
      </c>
      <c r="F298" s="20" t="s">
        <v>120</v>
      </c>
      <c r="G298" s="20">
        <v>1</v>
      </c>
      <c r="H298" s="20">
        <v>0</v>
      </c>
      <c r="I298" s="21">
        <f>VLOOKUP($A298,tabCustoUnit[],COLUMN(CUSTO_GLOBAL[[#Headers],[Salário Base]])-2,0)*($G298-$H298)</f>
        <v>4599.5953</v>
      </c>
      <c r="J298" s="21">
        <f>VLOOKUP($A298,tabCustoUnit[],COLUMN(CUSTO_GLOBAL[[#Headers],[Adicional Periculosidade]])-2,0)*($G298-$H298)</f>
        <v>0</v>
      </c>
      <c r="K298" s="21">
        <f>VLOOKUP($A298,tabCustoUnit[],COLUMN(CUSTO_GLOBAL[[#Headers],[Adicional Insalubridade]])-2,0)*($G298-$H298)</f>
        <v>0</v>
      </c>
      <c r="L298" s="21">
        <f>VLOOKUP($A298,tabCustoUnit[],COLUMN(CUSTO_GLOBAL[[#Headers],[Adicional Noturno]])-2,0)*($G298-$H298)</f>
        <v>0</v>
      </c>
      <c r="M298" s="21">
        <f>VLOOKUP($A298,tabCustoUnit[],COLUMN(CUSTO_GLOBAL[[#Headers],[Adicional Motorista II (Gratificação)]])-2,0)*($G298-$H298)</f>
        <v>0</v>
      </c>
      <c r="N298" s="21">
        <f>VLOOKUP($A298,tabCustoUnit[],COLUMN(CUSTO_GLOBAL[[#Headers],[Adicional de Sobreaviso]])-2,0)*($G298-$H298)</f>
        <v>0</v>
      </c>
      <c r="O298" s="21">
        <f>VLOOKUP($A298,tabCustoUnit[],COLUMN(CUSTO_GLOBAL[[#Headers],[Horas Extras TI]])-2,0)*($G298-$H298)</f>
        <v>0</v>
      </c>
      <c r="P298" s="21">
        <f>VLOOKUP($A298,tabCustoUnit[],COLUMN(CUSTO_GLOBAL[[#Headers],[Adicional de Acúmulo de função]])-2,0)*($G298-$H298)</f>
        <v>0</v>
      </c>
      <c r="Q298" s="21">
        <f>VLOOKUP($A298,tabCustoUnit[],COLUMN(CUSTO_GLOBAL[[#Headers],[MODULO 1 - REMUNERAÇÃO ]])-2,0)*($G298-$H298)</f>
        <v>4599.5953</v>
      </c>
      <c r="R298" s="21">
        <f>VLOOKUP($A298,tabCustoUnit[],COLUMN(CUSTO_GLOBAL[[#Headers],[INSS]])-2,0)*($G298-$H298)</f>
        <v>919.91906000000006</v>
      </c>
      <c r="S298" s="21">
        <f>VLOOKUP($A298,tabCustoUnit[],COLUMN(CUSTO_GLOBAL[[#Headers],[SESI OU SESC]])-2,0)*($G298-$H298)</f>
        <v>68.993929499999993</v>
      </c>
      <c r="T298" s="21">
        <f>VLOOKUP($A298,tabCustoUnit[],COLUMN(CUSTO_GLOBAL[[#Headers],[SENAI OU SENAC]])-2,0)*($G298-$H298)</f>
        <v>45.995953</v>
      </c>
      <c r="U298" s="21">
        <f>VLOOKUP($A298,tabCustoUnit[],COLUMN(CUSTO_GLOBAL[[#Headers],[INCRA]])-2,0)*($G298-$H298)</f>
        <v>9.1991905999999997</v>
      </c>
      <c r="V298" s="21">
        <f>VLOOKUP($A298,tabCustoUnit[],COLUMN(CUSTO_GLOBAL[[#Headers],[Salário Educação]])-2,0)*($G298-$H298)</f>
        <v>114.98988250000001</v>
      </c>
      <c r="W298" s="21">
        <f>VLOOKUP($A298,tabCustoUnit[],COLUMN(CUSTO_GLOBAL[[#Headers],[FGTS]])-2,0)*($G298-$H298)</f>
        <v>367.967624</v>
      </c>
      <c r="X298" s="21">
        <f>VLOOKUP($A298,tabCustoUnit[],COLUMN(CUSTO_GLOBAL[[#Headers],[RAT Ajustado]])-2,0)*($G298-$H298)</f>
        <v>183.983812</v>
      </c>
      <c r="Y298" s="21">
        <f>VLOOKUP($A298,tabCustoUnit[],COLUMN(CUSTO_GLOBAL[[#Headers],[SEBRAE]])-2,0)*($G298-$H298)</f>
        <v>27.597571800000001</v>
      </c>
      <c r="Z298" s="21">
        <f>VLOOKUP($A298,tabCustoUnit[],COLUMN(CUSTO_GLOBAL[[#Headers],[Submódulo 2.1]])-2,0)*($G298-$H298)</f>
        <v>1738.6470234000003</v>
      </c>
      <c r="AA298" s="21">
        <f>VLOOKUP($A298,tabCustoUnit[],COLUMN(CUSTO_GLOBAL[[#Headers],[13º salário (titular)]])-2,0)*($G298-$H298)</f>
        <v>383.29960833333331</v>
      </c>
      <c r="AB298" s="21">
        <f>VLOOKUP($A298,tabCustoUnit[],COLUMN(CUSTO_GLOBAL[[#Headers],[Férias e Adicional de Férias (titular)]])-2,0)*($G298-$H298)</f>
        <v>511.06614444444443</v>
      </c>
      <c r="AC298" s="21">
        <f>VLOOKUP($A298,tabCustoUnit[],COLUMN(CUSTO_GLOBAL[[#Headers],[Incidência do Submódulo 2.1 sobre 13º Salário, Férias e Adicional de Férias]])-2,0)*($G298-$H298)</f>
        <v>338.07025455000002</v>
      </c>
      <c r="AD298" s="21">
        <f>VLOOKUP($A298,tabCustoUnit[],COLUMN(CUSTO_GLOBAL[[#Headers],[Submódulo 2.2]])-2,0)*($G298-$H298)</f>
        <v>1232.4360073277778</v>
      </c>
      <c r="AE298" s="22" t="e">
        <f ca="1">VLOOKUP($A298,tabCustoUnit[],COLUMN(CUSTO_GLOBAL[[#Headers],[Vale - Transporte (Descontada parcela do empregado)]])-2,0)*($G298-$H298)</f>
        <v>#NAME?</v>
      </c>
      <c r="AF298" s="22">
        <f>VLOOKUP($A298,tabCustoUnit[],COLUMN(CUSTO_GLOBAL[[#Headers],[Vale - Alimentação (Descontada parcela do empregado)]])-2,0)*($G298-$H298)</f>
        <v>578.4</v>
      </c>
      <c r="AG298" s="22">
        <f>VLOOKUP($A298,tabCustoUnit[],COLUMN(CUSTO_GLOBAL[[#Headers],[Cesta Básica]])-2,0)*($G298-$H298)</f>
        <v>0</v>
      </c>
      <c r="AH298" s="22">
        <f>VLOOKUP($A298,tabCustoUnit[],COLUMN(CUSTO_GLOBAL[[#Headers],[PAF]])-2,0)*($G298-$H298)</f>
        <v>0</v>
      </c>
      <c r="AI298" s="22">
        <f>VLOOKUP($A298,tabCustoUnit[],COLUMN(CUSTO_GLOBAL[[#Headers],[PQM]])-2,0)*($G298-$H298)</f>
        <v>0</v>
      </c>
      <c r="AJ298" s="22">
        <v>0</v>
      </c>
      <c r="AK298" s="22">
        <f>VLOOKUP($A298,tabCustoUnit[],COLUMN(CUSTO_GLOBAL[[#Headers],[Seguro de Vida]])-2,0)*($G298-$H298)</f>
        <v>3.36</v>
      </c>
      <c r="AL298" s="22">
        <f>VLOOKUP($A298,tabCustoUnit[],COLUMN(CUSTO_GLOBAL[[#Headers],[Despesas de Viagem]])-2,0)*($G298-$H298)</f>
        <v>662.42</v>
      </c>
      <c r="AM298" s="22" t="e">
        <f ca="1">VLOOKUP($A298,tabCustoUnit[],COLUMN(CUSTO_GLOBAL[[#Headers],[Submódulo 2.3]])-2,0)*($G298-$H298)</f>
        <v>#NAME?</v>
      </c>
      <c r="AN298" s="22" t="e">
        <f ca="1">VLOOKUP($A298,tabCustoUnit[],COLUMN(CUSTO_GLOBAL[[#Headers],[MÓDULO 2 - Total Encargos e Benefícios mensais e diários]])-2,0)*($G298-$H298)</f>
        <v>#NAME?</v>
      </c>
      <c r="AO298" s="22">
        <f>VLOOKUP($A298,tabCustoUnit[],COLUMN(CUSTO_GLOBAL[[#Headers],[Aviso Prévio Indenizado (API) e Reflexo do Aviso Prévio Indenizado]])-2,0)*($G298-$H298)</f>
        <v>32.251290424324843</v>
      </c>
      <c r="AP298" s="22">
        <f>VLOOKUP($A298,tabCustoUnit[],COLUMN(CUSTO_GLOBAL[[#Headers],[Incidência do FGTS sobre API e Reflexo do API]])-2,0)*($G298-$H298)</f>
        <v>2.5801032339459877</v>
      </c>
      <c r="AQ298" s="22">
        <f>VLOOKUP($A298,tabCustoUnit[],COLUMN(CUSTO_GLOBAL[[#Headers],[Multa Rescisória do FGTS sobre o Aviso Prévio Indenizado]])-2,0)*($G298-$H298)</f>
        <v>1.0320412935783951</v>
      </c>
      <c r="AR298" s="22">
        <f>VLOOKUP($A298,tabCustoUnit[],COLUMN(CUSTO_GLOBAL[[#Headers],[Aviso Prévio Trabalhado - APT]])-2,0)*($G298-$H298)</f>
        <v>16.098583550000001</v>
      </c>
      <c r="AS298" s="22">
        <f>VLOOKUP($A298,tabCustoUnit[],COLUMN(CUSTO_GLOBAL[[#Headers],[Incidência dos encargos do submódulo 2.1 sobre Aviso Prévio Trabalhado]])-2,0)*($G298-$H298)</f>
        <v>6.0852645819000015</v>
      </c>
      <c r="AT298" s="22">
        <f>VLOOKUP($A298,tabCustoUnit[],COLUMN(CUSTO_GLOBAL[[#Headers],[Multa Rescisória do FGTS]])-2,0)*($G298-$H298)</f>
        <v>140.64540295111109</v>
      </c>
      <c r="AU298" s="22">
        <f>VLOOKUP($A298,tabCustoUnit[],COLUMN(CUSTO_GLOBAL[[#Headers],[Indenização Adicional (Art. 9º da Lei nº 7.238/84)]])-2,0)*($G298-$H298)</f>
        <v>3.8329960833333336</v>
      </c>
      <c r="AV298" s="22">
        <f>VLOOKUP($A298,tabCustoUnit[],COLUMN(CUSTO_GLOBAL[[#Headers],[MÓDULO 3 – PROVISÃO PARA RESCISÃO]])-2,0)*($G298-$H298)</f>
        <v>202.52568211819366</v>
      </c>
      <c r="AW298" s="22">
        <f>VLOOKUP($A298,tabCustoUnit[],COLUMN(CUSTO_GLOBAL[[#Headers],[Ausência por Doença]])-2,0)*($G298-$H298)</f>
        <v>38.841026977777773</v>
      </c>
      <c r="AX298" s="22">
        <f>VLOOKUP($A298,tabCustoUnit[],COLUMN(CUSTO_GLOBAL[[#Headers],[Ausências Legais]])-2,0)*($G298-$H298)</f>
        <v>9.3269571361111101</v>
      </c>
      <c r="AY298" s="22">
        <f>VLOOKUP($A298,tabCustoUnit[],COLUMN(CUSTO_GLOBAL[[#Headers],[Licença Paternidade]])-2,0)*($G298-$H298)</f>
        <v>0.78576419708333334</v>
      </c>
      <c r="AZ298" s="22">
        <f>VLOOKUP($A298,tabCustoUnit[],COLUMN(CUSTO_GLOBAL[[#Headers],[Ausência por Acidente de Trabalho]])-2,0)*($G298-$H298)</f>
        <v>0.95824902083333341</v>
      </c>
      <c r="BA298" s="22">
        <f>VLOOKUP($A298,tabCustoUnit[],COLUMN(CUSTO_GLOBAL[[#Headers],[Férias, Adicional de Férias e 13º  com empregada em gozo de Licença Maternidade]])-2,0)*($G298-$H298)</f>
        <v>5.9624383518518513</v>
      </c>
      <c r="BB298" s="22">
        <f>VLOOKUP($A298,tabCustoUnit[],COLUMN(CUSTO_GLOBAL[[#Headers],[Incidência do Submódulo 2.1 sobre Ausências Legais]])-2,0)*($G298-$H298)</f>
        <v>21.120536688422504</v>
      </c>
      <c r="BC298" s="22">
        <f>VLOOKUP($A298,tabCustoUnit[],COLUMN(CUSTO_GLOBAL[[#Headers],[Submódulo 4.1]])-2,0)*($G298-$H298)</f>
        <v>76.9949723720799</v>
      </c>
      <c r="BD298" s="22">
        <f>VLOOKUP($A298,tabCustoUnit[],COLUMN(CUSTO_GLOBAL[[#Headers],[Intervalo para Repouso ou Alimentação]])-2,0)*($G298-$H298)</f>
        <v>0</v>
      </c>
      <c r="BE298" s="22">
        <f>VLOOKUP($A298,tabCustoUnit[],COLUMN(CUSTO_GLOBAL[[#Headers],[Submódulo 4.2]])-2,0)*($G298-$H298)</f>
        <v>0</v>
      </c>
      <c r="BF298" s="22">
        <f>VLOOKUP($A298,tabCustoUnit[],COLUMN(CUSTO_GLOBAL[[#Headers],[Suspensão Temporária do Contrato de Trabalho]])-2,0)*($G298-$H298)</f>
        <v>0</v>
      </c>
      <c r="BG298" s="22">
        <f>VLOOKUP($A298,tabCustoUnit[],COLUMN(CUSTO_GLOBAL[[#Headers],[Submódulo 4.3]])-2,0)*($G298-$H298)</f>
        <v>0</v>
      </c>
      <c r="BH298" s="22">
        <f>VLOOKUP($A298,tabCustoUnit[],COLUMN(CUSTO_GLOBAL[[#Headers],[MÓDULO 4 – CUSTO DE REPOSIÇÃO DO PROFISSIONAL AUSENTE]])-2,0)*($G298-$H298)</f>
        <v>76.9949723720799</v>
      </c>
      <c r="BI298" s="22">
        <f>VLOOKUP($A298,tabCustoUnit[],COLUMN(CUSTO_GLOBAL[[#Headers],[Uniformes e EPIs]])-2,0)*($G298-$H298)</f>
        <v>92.100763771570698</v>
      </c>
      <c r="BJ298" s="22">
        <f>VLOOKUP($A298,tabCustoUnit[],COLUMN(CUSTO_GLOBAL[[#Headers],[Materiais de Consumo]])-2,0)*($G298-$H298)</f>
        <v>0</v>
      </c>
      <c r="BK298" s="22">
        <f>VLOOKUP($A298,tabCustoUnit[],COLUMN(CUSTO_GLOBAL[[#Headers],[Máquinas e Equipamentos (depreciação)]])-2,0)*($G298-$H298)</f>
        <v>0</v>
      </c>
      <c r="BL298" s="22">
        <f>VLOOKUP($A298,tabCustoUnit[],COLUMN(CUSTO_GLOBAL[[#Headers],[Produtos de Limpeza e Materiais de Higiene Pessoal]])-2,0)*($G298-$H298)</f>
        <v>0</v>
      </c>
      <c r="BM298" s="22">
        <f>VLOOKUP($A298,tabCustoUnit[],COLUMN(CUSTO_GLOBAL[[#Headers],[Outros (especificar)]])-2,0)*($G298-$H298)</f>
        <v>0</v>
      </c>
      <c r="BN298" s="22">
        <f>VLOOKUP($A298,tabCustoUnit[],COLUMN(CUSTO_GLOBAL[[#Headers],[MÓDULO 5 – INSUMOS DIVERSOS]])-2,0)*($G298-$H298)</f>
        <v>92.100763771570698</v>
      </c>
      <c r="BO298" s="22" t="e">
        <f ca="1">VLOOKUP($A298,tabCustoUnit[],COLUMN(CUSTO_GLOBAL[[#Headers],[TOTAL MÓDULOS 1+2+3+4+5]])-2,0)*($G298-$H298)</f>
        <v>#NAME?</v>
      </c>
      <c r="BP298" s="22" t="e">
        <f ca="1">VLOOKUP($A298,tabCustoUnit[],COLUMN(CUSTO_GLOBAL[[#Headers],[Custos Indiretos]])-2,0)*($G298-$H298)</f>
        <v>#NAME?</v>
      </c>
      <c r="BQ298" s="22" t="e">
        <f ca="1">VLOOKUP($A298,tabCustoUnit[],COLUMN(CUSTO_GLOBAL[[#Headers],[Lucro]])-2,0)*($G298-$H298)</f>
        <v>#NAME?</v>
      </c>
      <c r="BR298" s="26">
        <f>VLOOKUP($A298,tabCustoUnit[],COLUMN(CUSTO_GLOBAL[[#Headers],[COFINS]])-2,0)</f>
        <v>8.6609686609686695E-2</v>
      </c>
      <c r="BS298" s="26">
        <f>VLOOKUP($A298,tabCustoUnit[],COLUMN(CUSTO_GLOBAL[[#Headers],[PIS]])-2,0)</f>
        <v>1.880341880341882E-2</v>
      </c>
      <c r="BT298" s="28">
        <f>VLOOKUP($A298,tabCustoUnit[],COLUMN(CUSTO_GLOBAL[[#Headers],[ISS]])-2,0)</f>
        <v>0.03</v>
      </c>
      <c r="BU298" s="26">
        <f>VLOOKUP($A298,tabCustoUnit[],COLUMN(CUSTO_GLOBAL[[#Headers],[ISS (Conversão Alíquota s/ fatura)]])-2,0)</f>
        <v>3.4188034188034219E-2</v>
      </c>
      <c r="BV298" s="26">
        <f>VLOOKUP($A298,tabCustoUnit[],COLUMN(CUSTO_GLOBAL[[#Headers],[Resumo de Alíquotas (PIS+CONFINS+ISS)]])-2,0)</f>
        <v>0.1225</v>
      </c>
      <c r="BW298" s="138">
        <f>VLOOKUP($A298,tabCustoUnit[],COLUMN(CUSTO_GLOBAL[[#Headers],[PIS + COFINS + ISS (Total Conversão  Alíquota s/ Fatura)]])-2,0)</f>
        <v>0.13960113960113973</v>
      </c>
      <c r="BX298" s="22" t="e">
        <f ca="1">VLOOKUP($A298,tabCustoUnit[],COLUMN(CUSTO_GLOBAL[[#Headers],[Valor dos Tributos (ISS, PIS, CONFINS)]])-2,0)*($G298-$H298)</f>
        <v>#NAME?</v>
      </c>
      <c r="BY298" s="22" t="e">
        <f ca="1">VLOOKUP($A298,tabCustoUnit[],COLUMN(CUSTO_GLOBAL[[#Headers],[MÓDULO 6 – CUSTOS INDIRETOS, TRIBUTOS E LUCRO]])-2,0)*($G298-$H298)</f>
        <v>#NAME?</v>
      </c>
      <c r="BZ298" s="22" t="e">
        <f ca="1">VLOOKUP($A298,tabCustoUnit[],COLUMN(CUSTO_GLOBAL[[#Headers],[CUSTO TOTAL MENSAL]])-2,0)*($G298-$H298)</f>
        <v>#NAME?</v>
      </c>
      <c r="CA298" s="22" t="e">
        <f ca="1">CUSTO_GLOBAL[[#This Row],[CUSTO TOTAL MENSAL]]*12</f>
        <v>#NAME?</v>
      </c>
      <c r="CB298" s="24">
        <f>VLOOKUP($A298,tabCustoUnit[],COLUMN(CUSTO_GLOBAL[[#Headers],[ANO DA CCT]])-2,0)</f>
        <v>45658</v>
      </c>
      <c r="CC298" s="25" t="str">
        <f>VLOOKUP($A298,tabCustoUnit[],COLUMN(CUSTO_GLOBAL[[#Headers],[Nº DE PEDIDO DA CCT]])-2,0)</f>
        <v>-</v>
      </c>
      <c r="CD298" s="25" t="str">
        <f>VLOOKUP($A298,tabCustoUnit[],COLUMN(CUSTO_GLOBAL[[#Headers],[TERMO ADITIVO ALTERAÇÃO DA CCT]])-2,0)</f>
        <v>-</v>
      </c>
    </row>
    <row r="299" spans="1:82">
      <c r="A299" s="20" t="s">
        <v>1712</v>
      </c>
      <c r="B299" t="s">
        <v>1045</v>
      </c>
      <c r="C299" t="s">
        <v>304</v>
      </c>
      <c r="D299" t="s">
        <v>1045</v>
      </c>
      <c r="E299" s="20" t="s">
        <v>1090</v>
      </c>
      <c r="F299" s="20" t="s">
        <v>120</v>
      </c>
      <c r="G299" s="20">
        <v>2</v>
      </c>
      <c r="H299" s="20">
        <v>0</v>
      </c>
      <c r="I299" s="21">
        <f>VLOOKUP($A299,tabCustoUnit[],COLUMN(CUSTO_GLOBAL[[#Headers],[Salário Base]])-2,0)*($G299-$H299)</f>
        <v>4269.607</v>
      </c>
      <c r="J299" s="21">
        <f>VLOOKUP($A299,tabCustoUnit[],COLUMN(CUSTO_GLOBAL[[#Headers],[Adicional Periculosidade]])-2,0)*($G299-$H299)</f>
        <v>0</v>
      </c>
      <c r="K299" s="21">
        <f>VLOOKUP($A299,tabCustoUnit[],COLUMN(CUSTO_GLOBAL[[#Headers],[Adicional Insalubridade]])-2,0)*($G299-$H299)</f>
        <v>0</v>
      </c>
      <c r="L299" s="21">
        <f>VLOOKUP($A299,tabCustoUnit[],COLUMN(CUSTO_GLOBAL[[#Headers],[Adicional Noturno]])-2,0)*($G299-$H299)</f>
        <v>0</v>
      </c>
      <c r="M299" s="21">
        <f>VLOOKUP($A299,tabCustoUnit[],COLUMN(CUSTO_GLOBAL[[#Headers],[Adicional Motorista II (Gratificação)]])-2,0)*($G299-$H299)</f>
        <v>0</v>
      </c>
      <c r="N299" s="21">
        <f>VLOOKUP($A299,tabCustoUnit[],COLUMN(CUSTO_GLOBAL[[#Headers],[Adicional de Sobreaviso]])-2,0)*($G299-$H299)</f>
        <v>0</v>
      </c>
      <c r="O299" s="21">
        <f>VLOOKUP($A299,tabCustoUnit[],COLUMN(CUSTO_GLOBAL[[#Headers],[Horas Extras TI]])-2,0)*($G299-$H299)</f>
        <v>0</v>
      </c>
      <c r="P299" s="21">
        <f>VLOOKUP($A299,tabCustoUnit[],COLUMN(CUSTO_GLOBAL[[#Headers],[Adicional de Acúmulo de função]])-2,0)*($G299-$H299)</f>
        <v>0</v>
      </c>
      <c r="Q299" s="21">
        <f>VLOOKUP($A299,tabCustoUnit[],COLUMN(CUSTO_GLOBAL[[#Headers],[MODULO 1 - REMUNERAÇÃO ]])-2,0)*($G299-$H299)</f>
        <v>4269.607</v>
      </c>
      <c r="R299" s="21">
        <f>VLOOKUP($A299,tabCustoUnit[],COLUMN(CUSTO_GLOBAL[[#Headers],[INSS]])-2,0)*($G299-$H299)</f>
        <v>853.92140000000006</v>
      </c>
      <c r="S299" s="21">
        <f>VLOOKUP($A299,tabCustoUnit[],COLUMN(CUSTO_GLOBAL[[#Headers],[SESI OU SESC]])-2,0)*($G299-$H299)</f>
        <v>64.044105000000002</v>
      </c>
      <c r="T299" s="21">
        <f>VLOOKUP($A299,tabCustoUnit[],COLUMN(CUSTO_GLOBAL[[#Headers],[SENAI OU SENAC]])-2,0)*($G299-$H299)</f>
        <v>42.696069999999999</v>
      </c>
      <c r="U299" s="21">
        <f>VLOOKUP($A299,tabCustoUnit[],COLUMN(CUSTO_GLOBAL[[#Headers],[INCRA]])-2,0)*($G299-$H299)</f>
        <v>8.5392139999999994</v>
      </c>
      <c r="V299" s="21">
        <f>VLOOKUP($A299,tabCustoUnit[],COLUMN(CUSTO_GLOBAL[[#Headers],[Salário Educação]])-2,0)*($G299-$H299)</f>
        <v>106.74017500000001</v>
      </c>
      <c r="W299" s="21">
        <f>VLOOKUP($A299,tabCustoUnit[],COLUMN(CUSTO_GLOBAL[[#Headers],[FGTS]])-2,0)*($G299-$H299)</f>
        <v>341.56855999999999</v>
      </c>
      <c r="X299" s="21">
        <f>VLOOKUP($A299,tabCustoUnit[],COLUMN(CUSTO_GLOBAL[[#Headers],[RAT Ajustado]])-2,0)*($G299-$H299)</f>
        <v>170.78428</v>
      </c>
      <c r="Y299" s="21">
        <f>VLOOKUP($A299,tabCustoUnit[],COLUMN(CUSTO_GLOBAL[[#Headers],[SEBRAE]])-2,0)*($G299-$H299)</f>
        <v>25.617642</v>
      </c>
      <c r="Z299" s="21">
        <f>VLOOKUP($A299,tabCustoUnit[],COLUMN(CUSTO_GLOBAL[[#Headers],[Submódulo 2.1]])-2,0)*($G299-$H299)</f>
        <v>1613.9114460000001</v>
      </c>
      <c r="AA299" s="21">
        <f>VLOOKUP($A299,tabCustoUnit[],COLUMN(CUSTO_GLOBAL[[#Headers],[13º salário (titular)]])-2,0)*($G299-$H299)</f>
        <v>355.80058333333329</v>
      </c>
      <c r="AB299" s="21">
        <f>VLOOKUP($A299,tabCustoUnit[],COLUMN(CUSTO_GLOBAL[[#Headers],[Férias e Adicional de Férias (titular)]])-2,0)*($G299-$H299)</f>
        <v>474.40077777777776</v>
      </c>
      <c r="AC299" s="21">
        <f>VLOOKUP($A299,tabCustoUnit[],COLUMN(CUSTO_GLOBAL[[#Headers],[Incidência do Submódulo 2.1 sobre 13º Salário, Férias e Adicional de Férias]])-2,0)*($G299-$H299)</f>
        <v>313.81611449999997</v>
      </c>
      <c r="AD299" s="21">
        <f>VLOOKUP($A299,tabCustoUnit[],COLUMN(CUSTO_GLOBAL[[#Headers],[Submódulo 2.2]])-2,0)*($G299-$H299)</f>
        <v>1144.017475611111</v>
      </c>
      <c r="AE299" s="22" t="e">
        <f ca="1">VLOOKUP($A299,tabCustoUnit[],COLUMN(CUSTO_GLOBAL[[#Headers],[Vale - Transporte (Descontada parcela do empregado)]])-2,0)*($G299-$H299)</f>
        <v>#NAME?</v>
      </c>
      <c r="AF299" s="22">
        <f>VLOOKUP($A299,tabCustoUnit[],COLUMN(CUSTO_GLOBAL[[#Headers],[Vale - Alimentação (Descontada parcela do empregado)]])-2,0)*($G299-$H299)</f>
        <v>1164</v>
      </c>
      <c r="AG299" s="22">
        <f>VLOOKUP($A299,tabCustoUnit[],COLUMN(CUSTO_GLOBAL[[#Headers],[Cesta Básica]])-2,0)*($G299-$H299)</f>
        <v>0</v>
      </c>
      <c r="AH299" s="22">
        <f>VLOOKUP($A299,tabCustoUnit[],COLUMN(CUSTO_GLOBAL[[#Headers],[PAF]])-2,0)*($G299-$H299)</f>
        <v>103.72</v>
      </c>
      <c r="AI299" s="22">
        <f>VLOOKUP($A299,tabCustoUnit[],COLUMN(CUSTO_GLOBAL[[#Headers],[PQM]])-2,0)*($G299-$H299)</f>
        <v>0</v>
      </c>
      <c r="AJ299" s="22">
        <v>0</v>
      </c>
      <c r="AK299" s="22">
        <f>VLOOKUP($A299,tabCustoUnit[],COLUMN(CUSTO_GLOBAL[[#Headers],[Seguro de Vida]])-2,0)*($G299-$H299)</f>
        <v>6.72</v>
      </c>
      <c r="AL299" s="22">
        <f>VLOOKUP($A299,tabCustoUnit[],COLUMN(CUSTO_GLOBAL[[#Headers],[Despesas de Viagem]])-2,0)*($G299-$H299)</f>
        <v>0</v>
      </c>
      <c r="AM299" s="22" t="e">
        <f ca="1">VLOOKUP($A299,tabCustoUnit[],COLUMN(CUSTO_GLOBAL[[#Headers],[Submódulo 2.3]])-2,0)*($G299-$H299)</f>
        <v>#NAME?</v>
      </c>
      <c r="AN299" s="22" t="e">
        <f ca="1">VLOOKUP($A299,tabCustoUnit[],COLUMN(CUSTO_GLOBAL[[#Headers],[MÓDULO 2 - Total Encargos e Benefícios mensais e diários]])-2,0)*($G299-$H299)</f>
        <v>#NAME?</v>
      </c>
      <c r="AO299" s="22">
        <f>VLOOKUP($A299,tabCustoUnit[],COLUMN(CUSTO_GLOBAL[[#Headers],[Aviso Prévio Indenizado (API) e Reflexo do Aviso Prévio Indenizado]])-2,0)*($G299-$H299)</f>
        <v>29.937489360146603</v>
      </c>
      <c r="AP299" s="22">
        <f>VLOOKUP($A299,tabCustoUnit[],COLUMN(CUSTO_GLOBAL[[#Headers],[Incidência do FGTS sobre API e Reflexo do API]])-2,0)*($G299-$H299)</f>
        <v>2.3949991488117286</v>
      </c>
      <c r="AQ299" s="22">
        <f>VLOOKUP($A299,tabCustoUnit[],COLUMN(CUSTO_GLOBAL[[#Headers],[Multa Rescisória do FGTS sobre o Aviso Prévio Indenizado]])-2,0)*($G299-$H299)</f>
        <v>0.95799965952469157</v>
      </c>
      <c r="AR299" s="22">
        <f>VLOOKUP($A299,tabCustoUnit[],COLUMN(CUSTO_GLOBAL[[#Headers],[Aviso Prévio Trabalhado - APT]])-2,0)*($G299-$H299)</f>
        <v>14.943624500000002</v>
      </c>
      <c r="AS299" s="22">
        <f>VLOOKUP($A299,tabCustoUnit[],COLUMN(CUSTO_GLOBAL[[#Headers],[Incidência dos encargos do submódulo 2.1 sobre Aviso Prévio Trabalhado]])-2,0)*($G299-$H299)</f>
        <v>5.6486900610000017</v>
      </c>
      <c r="AT299" s="22">
        <f>VLOOKUP($A299,tabCustoUnit[],COLUMN(CUSTO_GLOBAL[[#Headers],[Multa Rescisória do FGTS]])-2,0)*($G299-$H299)</f>
        <v>130.55509404444442</v>
      </c>
      <c r="AU299" s="22">
        <f>VLOOKUP($A299,tabCustoUnit[],COLUMN(CUSTO_GLOBAL[[#Headers],[Indenização Adicional (Art. 9º da Lei nº 7.238/84)]])-2,0)*($G299-$H299)</f>
        <v>3.5580058333333335</v>
      </c>
      <c r="AV299" s="22">
        <f>VLOOKUP($A299,tabCustoUnit[],COLUMN(CUSTO_GLOBAL[[#Headers],[MÓDULO 3 – PROVISÃO PARA RESCISÃO]])-2,0)*($G299-$H299)</f>
        <v>187.99590260726077</v>
      </c>
      <c r="AW299" s="22">
        <f>VLOOKUP($A299,tabCustoUnit[],COLUMN(CUSTO_GLOBAL[[#Headers],[Ausência por Doença]])-2,0)*($G299-$H299)</f>
        <v>36.054459111111107</v>
      </c>
      <c r="AX299" s="22">
        <f>VLOOKUP($A299,tabCustoUnit[],COLUMN(CUSTO_GLOBAL[[#Headers],[Ausências Legais]])-2,0)*($G299-$H299)</f>
        <v>8.6578141944444447</v>
      </c>
      <c r="AY299" s="22">
        <f>VLOOKUP($A299,tabCustoUnit[],COLUMN(CUSTO_GLOBAL[[#Headers],[Licença Paternidade]])-2,0)*($G299-$H299)</f>
        <v>0.72939119583333334</v>
      </c>
      <c r="AZ299" s="22">
        <f>VLOOKUP($A299,tabCustoUnit[],COLUMN(CUSTO_GLOBAL[[#Headers],[Ausência por Acidente de Trabalho]])-2,0)*($G299-$H299)</f>
        <v>0.88950145833333338</v>
      </c>
      <c r="BA299" s="22">
        <f>VLOOKUP($A299,tabCustoUnit[],COLUMN(CUSTO_GLOBAL[[#Headers],[Férias, Adicional de Férias e 13º  com empregada em gozo de Licença Maternidade]])-2,0)*($G299-$H299)</f>
        <v>5.5346757407407408</v>
      </c>
      <c r="BB299" s="22">
        <f>VLOOKUP($A299,tabCustoUnit[],COLUMN(CUSTO_GLOBAL[[#Headers],[Incidência do Submódulo 2.1 sobre Ausências Legais]])-2,0)*($G299-$H299)</f>
        <v>19.605288162775004</v>
      </c>
      <c r="BC299" s="22">
        <f>VLOOKUP($A299,tabCustoUnit[],COLUMN(CUSTO_GLOBAL[[#Headers],[Submódulo 4.1]])-2,0)*($G299-$H299)</f>
        <v>71.471129863237962</v>
      </c>
      <c r="BD299" s="22">
        <f>VLOOKUP($A299,tabCustoUnit[],COLUMN(CUSTO_GLOBAL[[#Headers],[Intervalo para Repouso ou Alimentação]])-2,0)*($G299-$H299)</f>
        <v>472.70648705651831</v>
      </c>
      <c r="BE299" s="22">
        <f>VLOOKUP($A299,tabCustoUnit[],COLUMN(CUSTO_GLOBAL[[#Headers],[Submódulo 4.2]])-2,0)*($G299-$H299)</f>
        <v>472.70648705651831</v>
      </c>
      <c r="BF299" s="22">
        <f>VLOOKUP($A299,tabCustoUnit[],COLUMN(CUSTO_GLOBAL[[#Headers],[Suspensão Temporária do Contrato de Trabalho]])-2,0)*($G299-$H299)</f>
        <v>0</v>
      </c>
      <c r="BG299" s="22">
        <f>VLOOKUP($A299,tabCustoUnit[],COLUMN(CUSTO_GLOBAL[[#Headers],[Submódulo 4.3]])-2,0)*($G299-$H299)</f>
        <v>0</v>
      </c>
      <c r="BH299" s="22">
        <f>VLOOKUP($A299,tabCustoUnit[],COLUMN(CUSTO_GLOBAL[[#Headers],[MÓDULO 4 – CUSTO DE REPOSIÇÃO DO PROFISSIONAL AUSENTE]])-2,0)*($G299-$H299)</f>
        <v>544.17761691975625</v>
      </c>
      <c r="BI299" s="22">
        <f>VLOOKUP($A299,tabCustoUnit[],COLUMN(CUSTO_GLOBAL[[#Headers],[Uniformes e EPIs]])-2,0)*($G299-$H299)</f>
        <v>113.28595792508679</v>
      </c>
      <c r="BJ299" s="22">
        <f>VLOOKUP($A299,tabCustoUnit[],COLUMN(CUSTO_GLOBAL[[#Headers],[Materiais de Consumo]])-2,0)*($G299-$H299)</f>
        <v>0</v>
      </c>
      <c r="BK299" s="22">
        <f>VLOOKUP($A299,tabCustoUnit[],COLUMN(CUSTO_GLOBAL[[#Headers],[Máquinas e Equipamentos (depreciação)]])-2,0)*($G299-$H299)</f>
        <v>0</v>
      </c>
      <c r="BL299" s="22">
        <f>VLOOKUP($A299,tabCustoUnit[],COLUMN(CUSTO_GLOBAL[[#Headers],[Produtos de Limpeza e Materiais de Higiene Pessoal]])-2,0)*($G299-$H299)</f>
        <v>0</v>
      </c>
      <c r="BM299" s="22">
        <f>VLOOKUP($A299,tabCustoUnit[],COLUMN(CUSTO_GLOBAL[[#Headers],[Outros (especificar)]])-2,0)*($G299-$H299)</f>
        <v>0</v>
      </c>
      <c r="BN299" s="22">
        <f>VLOOKUP($A299,tabCustoUnit[],COLUMN(CUSTO_GLOBAL[[#Headers],[MÓDULO 5 – INSUMOS DIVERSOS]])-2,0)*($G299-$H299)</f>
        <v>113.28595792508679</v>
      </c>
      <c r="BO299" s="22" t="e">
        <f ca="1">VLOOKUP($A299,tabCustoUnit[],COLUMN(CUSTO_GLOBAL[[#Headers],[TOTAL MÓDULOS 1+2+3+4+5]])-2,0)*($G299-$H299)</f>
        <v>#NAME?</v>
      </c>
      <c r="BP299" s="22" t="e">
        <f ca="1">VLOOKUP($A299,tabCustoUnit[],COLUMN(CUSTO_GLOBAL[[#Headers],[Custos Indiretos]])-2,0)*($G299-$H299)</f>
        <v>#NAME?</v>
      </c>
      <c r="BQ299" s="22" t="e">
        <f ca="1">VLOOKUP($A299,tabCustoUnit[],COLUMN(CUSTO_GLOBAL[[#Headers],[Lucro]])-2,0)*($G299-$H299)</f>
        <v>#NAME?</v>
      </c>
      <c r="BR299" s="26">
        <f>VLOOKUP($A299,tabCustoUnit[],COLUMN(CUSTO_GLOBAL[[#Headers],[COFINS]])-2,0)</f>
        <v>8.6609686609686695E-2</v>
      </c>
      <c r="BS299" s="26">
        <f>VLOOKUP($A299,tabCustoUnit[],COLUMN(CUSTO_GLOBAL[[#Headers],[PIS]])-2,0)</f>
        <v>1.880341880341882E-2</v>
      </c>
      <c r="BT299" s="28">
        <f>VLOOKUP($A299,tabCustoUnit[],COLUMN(CUSTO_GLOBAL[[#Headers],[ISS]])-2,0)</f>
        <v>0.03</v>
      </c>
      <c r="BU299" s="26">
        <f>VLOOKUP($A299,tabCustoUnit[],COLUMN(CUSTO_GLOBAL[[#Headers],[ISS (Conversão Alíquota s/ fatura)]])-2,0)</f>
        <v>3.4188034188034219E-2</v>
      </c>
      <c r="BV299" s="26">
        <f>VLOOKUP($A299,tabCustoUnit[],COLUMN(CUSTO_GLOBAL[[#Headers],[Resumo de Alíquotas (PIS+CONFINS+ISS)]])-2,0)</f>
        <v>0.1225</v>
      </c>
      <c r="BW299" s="138">
        <f>VLOOKUP($A299,tabCustoUnit[],COLUMN(CUSTO_GLOBAL[[#Headers],[PIS + COFINS + ISS (Total Conversão  Alíquota s/ Fatura)]])-2,0)</f>
        <v>0.13960113960113973</v>
      </c>
      <c r="BX299" s="22" t="e">
        <f ca="1">VLOOKUP($A299,tabCustoUnit[],COLUMN(CUSTO_GLOBAL[[#Headers],[Valor dos Tributos (ISS, PIS, CONFINS)]])-2,0)*($G299-$H299)</f>
        <v>#NAME?</v>
      </c>
      <c r="BY299" s="22" t="e">
        <f ca="1">VLOOKUP($A299,tabCustoUnit[],COLUMN(CUSTO_GLOBAL[[#Headers],[MÓDULO 6 – CUSTOS INDIRETOS, TRIBUTOS E LUCRO]])-2,0)*($G299-$H299)</f>
        <v>#NAME?</v>
      </c>
      <c r="BZ299" s="22" t="e">
        <f ca="1">VLOOKUP($A299,tabCustoUnit[],COLUMN(CUSTO_GLOBAL[[#Headers],[CUSTO TOTAL MENSAL]])-2,0)*($G299-$H299)</f>
        <v>#NAME?</v>
      </c>
      <c r="CA299" s="22" t="e">
        <f ca="1">CUSTO_GLOBAL[[#This Row],[CUSTO TOTAL MENSAL]]*12</f>
        <v>#NAME?</v>
      </c>
      <c r="CB299" s="24">
        <f>VLOOKUP($A299,tabCustoUnit[],COLUMN(CUSTO_GLOBAL[[#Headers],[ANO DA CCT]])-2,0)</f>
        <v>45658</v>
      </c>
      <c r="CC299" s="25" t="str">
        <f>VLOOKUP($A299,tabCustoUnit[],COLUMN(CUSTO_GLOBAL[[#Headers],[Nº DE PEDIDO DA CCT]])-2,0)</f>
        <v>-</v>
      </c>
      <c r="CD299" s="25" t="str">
        <f>VLOOKUP($A299,tabCustoUnit[],COLUMN(CUSTO_GLOBAL[[#Headers],[TERMO ADITIVO ALTERAÇÃO DA CCT]])-2,0)</f>
        <v>-</v>
      </c>
    </row>
    <row r="300" spans="1:82">
      <c r="A300" s="20" t="s">
        <v>1713</v>
      </c>
      <c r="B300" t="s">
        <v>1045</v>
      </c>
      <c r="C300" t="s">
        <v>309</v>
      </c>
      <c r="D300" t="s">
        <v>1045</v>
      </c>
      <c r="E300" s="20" t="s">
        <v>1090</v>
      </c>
      <c r="F300" s="20" t="s">
        <v>120</v>
      </c>
      <c r="G300" s="20">
        <v>2</v>
      </c>
      <c r="H300" s="20">
        <v>0</v>
      </c>
      <c r="I300" s="21">
        <f>VLOOKUP($A300,tabCustoUnit[],COLUMN(CUSTO_GLOBAL[[#Headers],[Salário Base]])-2,0)*($G300-$H300)</f>
        <v>4269.607</v>
      </c>
      <c r="J300" s="21">
        <f>VLOOKUP($A300,tabCustoUnit[],COLUMN(CUSTO_GLOBAL[[#Headers],[Adicional Periculosidade]])-2,0)*($G300-$H300)</f>
        <v>0</v>
      </c>
      <c r="K300" s="21">
        <f>VLOOKUP($A300,tabCustoUnit[],COLUMN(CUSTO_GLOBAL[[#Headers],[Adicional Insalubridade]])-2,0)*($G300-$H300)</f>
        <v>0</v>
      </c>
      <c r="L300" s="21">
        <f>VLOOKUP($A300,tabCustoUnit[],COLUMN(CUSTO_GLOBAL[[#Headers],[Adicional Noturno]])-2,0)*($G300-$H300)</f>
        <v>860.32579999999996</v>
      </c>
      <c r="M300" s="21">
        <f>VLOOKUP($A300,tabCustoUnit[],COLUMN(CUSTO_GLOBAL[[#Headers],[Adicional Motorista II (Gratificação)]])-2,0)*($G300-$H300)</f>
        <v>0</v>
      </c>
      <c r="N300" s="21">
        <f>VLOOKUP($A300,tabCustoUnit[],COLUMN(CUSTO_GLOBAL[[#Headers],[Adicional de Sobreaviso]])-2,0)*($G300-$H300)</f>
        <v>0</v>
      </c>
      <c r="O300" s="21">
        <f>VLOOKUP($A300,tabCustoUnit[],COLUMN(CUSTO_GLOBAL[[#Headers],[Horas Extras TI]])-2,0)*($G300-$H300)</f>
        <v>0</v>
      </c>
      <c r="P300" s="21">
        <f>VLOOKUP($A300,tabCustoUnit[],COLUMN(CUSTO_GLOBAL[[#Headers],[Adicional de Acúmulo de função]])-2,0)*($G300-$H300)</f>
        <v>0</v>
      </c>
      <c r="Q300" s="21">
        <f>VLOOKUP($A300,tabCustoUnit[],COLUMN(CUSTO_GLOBAL[[#Headers],[MODULO 1 - REMUNERAÇÃO ]])-2,0)*($G300-$H300)</f>
        <v>5129.9327999999996</v>
      </c>
      <c r="R300" s="21">
        <f>VLOOKUP($A300,tabCustoUnit[],COLUMN(CUSTO_GLOBAL[[#Headers],[INSS]])-2,0)*($G300-$H300)</f>
        <v>1025.9865600000001</v>
      </c>
      <c r="S300" s="21">
        <f>VLOOKUP($A300,tabCustoUnit[],COLUMN(CUSTO_GLOBAL[[#Headers],[SESI OU SESC]])-2,0)*($G300-$H300)</f>
        <v>76.94899199999999</v>
      </c>
      <c r="T300" s="21">
        <f>VLOOKUP($A300,tabCustoUnit[],COLUMN(CUSTO_GLOBAL[[#Headers],[SENAI OU SENAC]])-2,0)*($G300-$H300)</f>
        <v>51.299327999999996</v>
      </c>
      <c r="U300" s="21">
        <f>VLOOKUP($A300,tabCustoUnit[],COLUMN(CUSTO_GLOBAL[[#Headers],[INCRA]])-2,0)*($G300-$H300)</f>
        <v>10.259865599999999</v>
      </c>
      <c r="V300" s="21">
        <f>VLOOKUP($A300,tabCustoUnit[],COLUMN(CUSTO_GLOBAL[[#Headers],[Salário Educação]])-2,0)*($G300-$H300)</f>
        <v>128.24832000000001</v>
      </c>
      <c r="W300" s="21">
        <f>VLOOKUP($A300,tabCustoUnit[],COLUMN(CUSTO_GLOBAL[[#Headers],[FGTS]])-2,0)*($G300-$H300)</f>
        <v>410.39462399999996</v>
      </c>
      <c r="X300" s="21">
        <f>VLOOKUP($A300,tabCustoUnit[],COLUMN(CUSTO_GLOBAL[[#Headers],[RAT Ajustado]])-2,0)*($G300-$H300)</f>
        <v>205.19731199999998</v>
      </c>
      <c r="Y300" s="21">
        <f>VLOOKUP($A300,tabCustoUnit[],COLUMN(CUSTO_GLOBAL[[#Headers],[SEBRAE]])-2,0)*($G300-$H300)</f>
        <v>30.779596799999997</v>
      </c>
      <c r="Z300" s="21">
        <f>VLOOKUP($A300,tabCustoUnit[],COLUMN(CUSTO_GLOBAL[[#Headers],[Submódulo 2.1]])-2,0)*($G300-$H300)</f>
        <v>1939.1145984000002</v>
      </c>
      <c r="AA300" s="21">
        <f>VLOOKUP($A300,tabCustoUnit[],COLUMN(CUSTO_GLOBAL[[#Headers],[13º salário (titular)]])-2,0)*($G300-$H300)</f>
        <v>427.49439999999993</v>
      </c>
      <c r="AB300" s="21">
        <f>VLOOKUP($A300,tabCustoUnit[],COLUMN(CUSTO_GLOBAL[[#Headers],[Férias e Adicional de Férias (titular)]])-2,0)*($G300-$H300)</f>
        <v>569.9925333333332</v>
      </c>
      <c r="AC300" s="21">
        <f>VLOOKUP($A300,tabCustoUnit[],COLUMN(CUSTO_GLOBAL[[#Headers],[Incidência do Submódulo 2.1 sobre 13º Salário, Férias e Adicional de Férias]])-2,0)*($G300-$H300)</f>
        <v>377.05006079999998</v>
      </c>
      <c r="AD300" s="21">
        <f>VLOOKUP($A300,tabCustoUnit[],COLUMN(CUSTO_GLOBAL[[#Headers],[Submódulo 2.2]])-2,0)*($G300-$H300)</f>
        <v>1374.5369941333331</v>
      </c>
      <c r="AE300" s="22" t="e">
        <f ca="1">VLOOKUP($A300,tabCustoUnit[],COLUMN(CUSTO_GLOBAL[[#Headers],[Vale - Transporte (Descontada parcela do empregado)]])-2,0)*($G300-$H300)</f>
        <v>#NAME?</v>
      </c>
      <c r="AF300" s="22">
        <f>VLOOKUP($A300,tabCustoUnit[],COLUMN(CUSTO_GLOBAL[[#Headers],[Vale - Alimentação (Descontada parcela do empregado)]])-2,0)*($G300-$H300)</f>
        <v>1164</v>
      </c>
      <c r="AG300" s="22">
        <f>VLOOKUP($A300,tabCustoUnit[],COLUMN(CUSTO_GLOBAL[[#Headers],[Cesta Básica]])-2,0)*($G300-$H300)</f>
        <v>0</v>
      </c>
      <c r="AH300" s="22">
        <f>VLOOKUP($A300,tabCustoUnit[],COLUMN(CUSTO_GLOBAL[[#Headers],[PAF]])-2,0)*($G300-$H300)</f>
        <v>103.72</v>
      </c>
      <c r="AI300" s="22">
        <f>VLOOKUP($A300,tabCustoUnit[],COLUMN(CUSTO_GLOBAL[[#Headers],[PQM]])-2,0)*($G300-$H300)</f>
        <v>0</v>
      </c>
      <c r="AJ300" s="22">
        <v>0</v>
      </c>
      <c r="AK300" s="22">
        <f>VLOOKUP($A300,tabCustoUnit[],COLUMN(CUSTO_GLOBAL[[#Headers],[Seguro de Vida]])-2,0)*($G300-$H300)</f>
        <v>6.72</v>
      </c>
      <c r="AL300" s="22">
        <f>VLOOKUP($A300,tabCustoUnit[],COLUMN(CUSTO_GLOBAL[[#Headers],[Despesas de Viagem]])-2,0)*($G300-$H300)</f>
        <v>0</v>
      </c>
      <c r="AM300" s="22" t="e">
        <f ca="1">VLOOKUP($A300,tabCustoUnit[],COLUMN(CUSTO_GLOBAL[[#Headers],[Submódulo 2.3]])-2,0)*($G300-$H300)</f>
        <v>#NAME?</v>
      </c>
      <c r="AN300" s="22" t="e">
        <f ca="1">VLOOKUP($A300,tabCustoUnit[],COLUMN(CUSTO_GLOBAL[[#Headers],[MÓDULO 2 - Total Encargos e Benefícios mensais e diários]])-2,0)*($G300-$H300)</f>
        <v>#NAME?</v>
      </c>
      <c r="AO300" s="22">
        <f>VLOOKUP($A300,tabCustoUnit[],COLUMN(CUSTO_GLOBAL[[#Headers],[Aviso Prévio Indenizado (API) e Reflexo do Aviso Prévio Indenizado]])-2,0)*($G300-$H300)</f>
        <v>35.969893392592589</v>
      </c>
      <c r="AP300" s="22">
        <f>VLOOKUP($A300,tabCustoUnit[],COLUMN(CUSTO_GLOBAL[[#Headers],[Incidência do FGTS sobre API e Reflexo do API]])-2,0)*($G300-$H300)</f>
        <v>2.8775914714074076</v>
      </c>
      <c r="AQ300" s="22">
        <f>VLOOKUP($A300,tabCustoUnit[],COLUMN(CUSTO_GLOBAL[[#Headers],[Multa Rescisória do FGTS sobre o Aviso Prévio Indenizado]])-2,0)*($G300-$H300)</f>
        <v>1.151036588562963</v>
      </c>
      <c r="AR300" s="22">
        <f>VLOOKUP($A300,tabCustoUnit[],COLUMN(CUSTO_GLOBAL[[#Headers],[Aviso Prévio Trabalhado - APT]])-2,0)*($G300-$H300)</f>
        <v>17.9547648</v>
      </c>
      <c r="AS300" s="22">
        <f>VLOOKUP($A300,tabCustoUnit[],COLUMN(CUSTO_GLOBAL[[#Headers],[Incidência dos encargos do submódulo 2.1 sobre Aviso Prévio Trabalhado]])-2,0)*($G300-$H300)</f>
        <v>6.7869010944000019</v>
      </c>
      <c r="AT300" s="22">
        <f>VLOOKUP($A300,tabCustoUnit[],COLUMN(CUSTO_GLOBAL[[#Headers],[Multa Rescisória do FGTS]])-2,0)*($G300-$H300)</f>
        <v>156.86194517333331</v>
      </c>
      <c r="AU300" s="22">
        <f>VLOOKUP($A300,tabCustoUnit[],COLUMN(CUSTO_GLOBAL[[#Headers],[Indenização Adicional (Art. 9º da Lei nº 7.238/84)]])-2,0)*($G300-$H300)</f>
        <v>4.2749439999999996</v>
      </c>
      <c r="AV300" s="22">
        <f>VLOOKUP($A300,tabCustoUnit[],COLUMN(CUSTO_GLOBAL[[#Headers],[MÓDULO 3 – PROVISÃO PARA RESCISÃO]])-2,0)*($G300-$H300)</f>
        <v>225.87707652029627</v>
      </c>
      <c r="AW300" s="22">
        <f>VLOOKUP($A300,tabCustoUnit[],COLUMN(CUSTO_GLOBAL[[#Headers],[Ausência por Doença]])-2,0)*($G300-$H300)</f>
        <v>43.319432533333327</v>
      </c>
      <c r="AX300" s="22">
        <f>VLOOKUP($A300,tabCustoUnit[],COLUMN(CUSTO_GLOBAL[[#Headers],[Ausências Legais]])-2,0)*($G300-$H300)</f>
        <v>10.402363733333331</v>
      </c>
      <c r="AY300" s="22">
        <f>VLOOKUP($A300,tabCustoUnit[],COLUMN(CUSTO_GLOBAL[[#Headers],[Licença Paternidade]])-2,0)*($G300-$H300)</f>
        <v>0.87636351999999995</v>
      </c>
      <c r="AZ300" s="22">
        <f>VLOOKUP($A300,tabCustoUnit[],COLUMN(CUSTO_GLOBAL[[#Headers],[Ausência por Acidente de Trabalho]])-2,0)*($G300-$H300)</f>
        <v>1.0687359999999999</v>
      </c>
      <c r="BA300" s="22">
        <f>VLOOKUP($A300,tabCustoUnit[],COLUMN(CUSTO_GLOBAL[[#Headers],[Férias, Adicional de Férias e 13º  com empregada em gozo de Licença Maternidade]])-2,0)*($G300-$H300)</f>
        <v>6.6499128888888883</v>
      </c>
      <c r="BB300" s="22">
        <f>VLOOKUP($A300,tabCustoUnit[],COLUMN(CUSTO_GLOBAL[[#Headers],[Incidência do Submódulo 2.1 sobre Ausências Legais]])-2,0)*($G300-$H300)</f>
        <v>23.555753679360002</v>
      </c>
      <c r="BC300" s="22">
        <f>VLOOKUP($A300,tabCustoUnit[],COLUMN(CUSTO_GLOBAL[[#Headers],[Submódulo 4.1]])-2,0)*($G300-$H300)</f>
        <v>85.872562354915544</v>
      </c>
      <c r="BD300" s="22">
        <f>VLOOKUP($A300,tabCustoUnit[],COLUMN(CUSTO_GLOBAL[[#Headers],[Intervalo para Repouso ou Alimentação]])-2,0)*($G300-$H300)</f>
        <v>567.95684419840688</v>
      </c>
      <c r="BE300" s="22">
        <f>VLOOKUP($A300,tabCustoUnit[],COLUMN(CUSTO_GLOBAL[[#Headers],[Submódulo 4.2]])-2,0)*($G300-$H300)</f>
        <v>567.95684419840688</v>
      </c>
      <c r="BF300" s="22">
        <f>VLOOKUP($A300,tabCustoUnit[],COLUMN(CUSTO_GLOBAL[[#Headers],[Suspensão Temporária do Contrato de Trabalho]])-2,0)*($G300-$H300)</f>
        <v>0</v>
      </c>
      <c r="BG300" s="22">
        <f>VLOOKUP($A300,tabCustoUnit[],COLUMN(CUSTO_GLOBAL[[#Headers],[Submódulo 4.3]])-2,0)*($G300-$H300)</f>
        <v>0</v>
      </c>
      <c r="BH300" s="22">
        <f>VLOOKUP($A300,tabCustoUnit[],COLUMN(CUSTO_GLOBAL[[#Headers],[MÓDULO 4 – CUSTO DE REPOSIÇÃO DO PROFISSIONAL AUSENTE]])-2,0)*($G300-$H300)</f>
        <v>653.82940655332243</v>
      </c>
      <c r="BI300" s="22">
        <f>VLOOKUP($A300,tabCustoUnit[],COLUMN(CUSTO_GLOBAL[[#Headers],[Uniformes e EPIs]])-2,0)*($G300-$H300)</f>
        <v>113.28595792508679</v>
      </c>
      <c r="BJ300" s="22">
        <f>VLOOKUP($A300,tabCustoUnit[],COLUMN(CUSTO_GLOBAL[[#Headers],[Materiais de Consumo]])-2,0)*($G300-$H300)</f>
        <v>0</v>
      </c>
      <c r="BK300" s="22">
        <f>VLOOKUP($A300,tabCustoUnit[],COLUMN(CUSTO_GLOBAL[[#Headers],[Máquinas e Equipamentos (depreciação)]])-2,0)*($G300-$H300)</f>
        <v>0</v>
      </c>
      <c r="BL300" s="22">
        <f>VLOOKUP($A300,tabCustoUnit[],COLUMN(CUSTO_GLOBAL[[#Headers],[Produtos de Limpeza e Materiais de Higiene Pessoal]])-2,0)*($G300-$H300)</f>
        <v>0</v>
      </c>
      <c r="BM300" s="22">
        <f>VLOOKUP($A300,tabCustoUnit[],COLUMN(CUSTO_GLOBAL[[#Headers],[Outros (especificar)]])-2,0)*($G300-$H300)</f>
        <v>0</v>
      </c>
      <c r="BN300" s="22">
        <f>VLOOKUP($A300,tabCustoUnit[],COLUMN(CUSTO_GLOBAL[[#Headers],[MÓDULO 5 – INSUMOS DIVERSOS]])-2,0)*($G300-$H300)</f>
        <v>113.28595792508679</v>
      </c>
      <c r="BO300" s="22" t="e">
        <f ca="1">VLOOKUP($A300,tabCustoUnit[],COLUMN(CUSTO_GLOBAL[[#Headers],[TOTAL MÓDULOS 1+2+3+4+5]])-2,0)*($G300-$H300)</f>
        <v>#NAME?</v>
      </c>
      <c r="BP300" s="22" t="e">
        <f ca="1">VLOOKUP($A300,tabCustoUnit[],COLUMN(CUSTO_GLOBAL[[#Headers],[Custos Indiretos]])-2,0)*($G300-$H300)</f>
        <v>#NAME?</v>
      </c>
      <c r="BQ300" s="22" t="e">
        <f ca="1">VLOOKUP($A300,tabCustoUnit[],COLUMN(CUSTO_GLOBAL[[#Headers],[Lucro]])-2,0)*($G300-$H300)</f>
        <v>#NAME?</v>
      </c>
      <c r="BR300" s="26">
        <f>VLOOKUP($A300,tabCustoUnit[],COLUMN(CUSTO_GLOBAL[[#Headers],[COFINS]])-2,0)</f>
        <v>8.6609686609686695E-2</v>
      </c>
      <c r="BS300" s="26">
        <f>VLOOKUP($A300,tabCustoUnit[],COLUMN(CUSTO_GLOBAL[[#Headers],[PIS]])-2,0)</f>
        <v>1.880341880341882E-2</v>
      </c>
      <c r="BT300" s="28">
        <f>VLOOKUP($A300,tabCustoUnit[],COLUMN(CUSTO_GLOBAL[[#Headers],[ISS]])-2,0)</f>
        <v>0.03</v>
      </c>
      <c r="BU300" s="26">
        <f>VLOOKUP($A300,tabCustoUnit[],COLUMN(CUSTO_GLOBAL[[#Headers],[ISS (Conversão Alíquota s/ fatura)]])-2,0)</f>
        <v>3.4188034188034219E-2</v>
      </c>
      <c r="BV300" s="26">
        <f>VLOOKUP($A300,tabCustoUnit[],COLUMN(CUSTO_GLOBAL[[#Headers],[Resumo de Alíquotas (PIS+CONFINS+ISS)]])-2,0)</f>
        <v>0.1225</v>
      </c>
      <c r="BW300" s="138">
        <f>VLOOKUP($A300,tabCustoUnit[],COLUMN(CUSTO_GLOBAL[[#Headers],[PIS + COFINS + ISS (Total Conversão  Alíquota s/ Fatura)]])-2,0)</f>
        <v>0.13960113960113973</v>
      </c>
      <c r="BX300" s="22" t="e">
        <f ca="1">VLOOKUP($A300,tabCustoUnit[],COLUMN(CUSTO_GLOBAL[[#Headers],[Valor dos Tributos (ISS, PIS, CONFINS)]])-2,0)*($G300-$H300)</f>
        <v>#NAME?</v>
      </c>
      <c r="BY300" s="22" t="e">
        <f ca="1">VLOOKUP($A300,tabCustoUnit[],COLUMN(CUSTO_GLOBAL[[#Headers],[MÓDULO 6 – CUSTOS INDIRETOS, TRIBUTOS E LUCRO]])-2,0)*($G300-$H300)</f>
        <v>#NAME?</v>
      </c>
      <c r="BZ300" s="22" t="e">
        <f ca="1">VLOOKUP($A300,tabCustoUnit[],COLUMN(CUSTO_GLOBAL[[#Headers],[CUSTO TOTAL MENSAL]])-2,0)*($G300-$H300)</f>
        <v>#NAME?</v>
      </c>
      <c r="CA300" s="22" t="e">
        <f ca="1">CUSTO_GLOBAL[[#This Row],[CUSTO TOTAL MENSAL]]*12</f>
        <v>#NAME?</v>
      </c>
      <c r="CB300" s="24">
        <f>VLOOKUP($A300,tabCustoUnit[],COLUMN(CUSTO_GLOBAL[[#Headers],[ANO DA CCT]])-2,0)</f>
        <v>45658</v>
      </c>
      <c r="CC300" s="25" t="str">
        <f>VLOOKUP($A300,tabCustoUnit[],COLUMN(CUSTO_GLOBAL[[#Headers],[Nº DE PEDIDO DA CCT]])-2,0)</f>
        <v>-</v>
      </c>
      <c r="CD300" s="25" t="str">
        <f>VLOOKUP($A300,tabCustoUnit[],COLUMN(CUSTO_GLOBAL[[#Headers],[TERMO ADITIVO ALTERAÇÃO DA CCT]])-2,0)</f>
        <v>-</v>
      </c>
    </row>
    <row r="301" spans="1:82">
      <c r="A301" s="20" t="s">
        <v>1714</v>
      </c>
      <c r="B301" t="s">
        <v>1209</v>
      </c>
      <c r="C301" t="s">
        <v>314</v>
      </c>
      <c r="D301" t="s">
        <v>1048</v>
      </c>
      <c r="E301" s="20" t="s">
        <v>1090</v>
      </c>
      <c r="F301" s="20" t="s">
        <v>120</v>
      </c>
      <c r="G301" s="20">
        <v>1</v>
      </c>
      <c r="H301" s="20">
        <v>0</v>
      </c>
      <c r="I301" s="21">
        <f>VLOOKUP($A301,tabCustoUnit[],COLUMN(CUSTO_GLOBAL[[#Headers],[Salário Base]])-2,0)*($G301-$H301)</f>
        <v>1963.4110000000001</v>
      </c>
      <c r="J301" s="21">
        <f>VLOOKUP($A301,tabCustoUnit[],COLUMN(CUSTO_GLOBAL[[#Headers],[Adicional Periculosidade]])-2,0)*($G301-$H301)</f>
        <v>0</v>
      </c>
      <c r="K301" s="21">
        <f>VLOOKUP($A301,tabCustoUnit[],COLUMN(CUSTO_GLOBAL[[#Headers],[Adicional Insalubridade]])-2,0)*($G301-$H301)</f>
        <v>0</v>
      </c>
      <c r="L301" s="21">
        <f>VLOOKUP($A301,tabCustoUnit[],COLUMN(CUSTO_GLOBAL[[#Headers],[Adicional Noturno]])-2,0)*($G301-$H301)</f>
        <v>0</v>
      </c>
      <c r="M301" s="21">
        <f>VLOOKUP($A301,tabCustoUnit[],COLUMN(CUSTO_GLOBAL[[#Headers],[Adicional Motorista II (Gratificação)]])-2,0)*($G301-$H301)</f>
        <v>0</v>
      </c>
      <c r="N301" s="21">
        <f>VLOOKUP($A301,tabCustoUnit[],COLUMN(CUSTO_GLOBAL[[#Headers],[Adicional de Sobreaviso]])-2,0)*($G301-$H301)</f>
        <v>0</v>
      </c>
      <c r="O301" s="21">
        <f>VLOOKUP($A301,tabCustoUnit[],COLUMN(CUSTO_GLOBAL[[#Headers],[Horas Extras TI]])-2,0)*($G301-$H301)</f>
        <v>0</v>
      </c>
      <c r="P301" s="21">
        <f>VLOOKUP($A301,tabCustoUnit[],COLUMN(CUSTO_GLOBAL[[#Headers],[Adicional de Acúmulo de função]])-2,0)*($G301-$H301)</f>
        <v>0</v>
      </c>
      <c r="Q301" s="21">
        <f>VLOOKUP($A301,tabCustoUnit[],COLUMN(CUSTO_GLOBAL[[#Headers],[MODULO 1 - REMUNERAÇÃO ]])-2,0)*($G301-$H301)</f>
        <v>1963.4110000000001</v>
      </c>
      <c r="R301" s="21">
        <f>VLOOKUP($A301,tabCustoUnit[],COLUMN(CUSTO_GLOBAL[[#Headers],[INSS]])-2,0)*($G301-$H301)</f>
        <v>392.68220000000002</v>
      </c>
      <c r="S301" s="21">
        <f>VLOOKUP($A301,tabCustoUnit[],COLUMN(CUSTO_GLOBAL[[#Headers],[SESI OU SESC]])-2,0)*($G301-$H301)</f>
        <v>29.451165</v>
      </c>
      <c r="T301" s="21">
        <f>VLOOKUP($A301,tabCustoUnit[],COLUMN(CUSTO_GLOBAL[[#Headers],[SENAI OU SENAC]])-2,0)*($G301-$H301)</f>
        <v>19.63411</v>
      </c>
      <c r="U301" s="21">
        <f>VLOOKUP($A301,tabCustoUnit[],COLUMN(CUSTO_GLOBAL[[#Headers],[INCRA]])-2,0)*($G301-$H301)</f>
        <v>3.926822</v>
      </c>
      <c r="V301" s="21">
        <f>VLOOKUP($A301,tabCustoUnit[],COLUMN(CUSTO_GLOBAL[[#Headers],[Salário Educação]])-2,0)*($G301-$H301)</f>
        <v>49.085275000000003</v>
      </c>
      <c r="W301" s="21">
        <f>VLOOKUP($A301,tabCustoUnit[],COLUMN(CUSTO_GLOBAL[[#Headers],[FGTS]])-2,0)*($G301-$H301)</f>
        <v>157.07288</v>
      </c>
      <c r="X301" s="21">
        <f>VLOOKUP($A301,tabCustoUnit[],COLUMN(CUSTO_GLOBAL[[#Headers],[RAT Ajustado]])-2,0)*($G301-$H301)</f>
        <v>78.536439999999999</v>
      </c>
      <c r="Y301" s="21">
        <f>VLOOKUP($A301,tabCustoUnit[],COLUMN(CUSTO_GLOBAL[[#Headers],[SEBRAE]])-2,0)*($G301-$H301)</f>
        <v>11.780466000000001</v>
      </c>
      <c r="Z301" s="21">
        <f>VLOOKUP($A301,tabCustoUnit[],COLUMN(CUSTO_GLOBAL[[#Headers],[Submódulo 2.1]])-2,0)*($G301-$H301)</f>
        <v>742.1693580000001</v>
      </c>
      <c r="AA301" s="21">
        <f>VLOOKUP($A301,tabCustoUnit[],COLUMN(CUSTO_GLOBAL[[#Headers],[13º salário (titular)]])-2,0)*($G301-$H301)</f>
        <v>163.61758333333333</v>
      </c>
      <c r="AB301" s="21">
        <f>VLOOKUP($A301,tabCustoUnit[],COLUMN(CUSTO_GLOBAL[[#Headers],[Férias e Adicional de Férias (titular)]])-2,0)*($G301-$H301)</f>
        <v>218.15677777777776</v>
      </c>
      <c r="AC301" s="21">
        <f>VLOOKUP($A301,tabCustoUnit[],COLUMN(CUSTO_GLOBAL[[#Headers],[Incidência do Submódulo 2.1 sobre 13º Salário, Férias e Adicional de Férias]])-2,0)*($G301-$H301)</f>
        <v>144.3107085</v>
      </c>
      <c r="AD301" s="21">
        <f>VLOOKUP($A301,tabCustoUnit[],COLUMN(CUSTO_GLOBAL[[#Headers],[Submódulo 2.2]])-2,0)*($G301-$H301)</f>
        <v>526.08506961111107</v>
      </c>
      <c r="AE301" s="22" t="e">
        <f ca="1">VLOOKUP($A301,tabCustoUnit[],COLUMN(CUSTO_GLOBAL[[#Headers],[Vale - Transporte (Descontada parcela do empregado)]])-2,0)*($G301-$H301)</f>
        <v>#NAME?</v>
      </c>
      <c r="AF301" s="22">
        <f>VLOOKUP($A301,tabCustoUnit[],COLUMN(CUSTO_GLOBAL[[#Headers],[Vale - Alimentação (Descontada parcela do empregado)]])-2,0)*($G301-$H301)</f>
        <v>582</v>
      </c>
      <c r="AG301" s="22">
        <f>VLOOKUP($A301,tabCustoUnit[],COLUMN(CUSTO_GLOBAL[[#Headers],[Cesta Básica]])-2,0)*($G301-$H301)</f>
        <v>0</v>
      </c>
      <c r="AH301" s="22">
        <f>VLOOKUP($A301,tabCustoUnit[],COLUMN(CUSTO_GLOBAL[[#Headers],[PAF]])-2,0)*($G301-$H301)</f>
        <v>0</v>
      </c>
      <c r="AI301" s="22">
        <f>VLOOKUP($A301,tabCustoUnit[],COLUMN(CUSTO_GLOBAL[[#Headers],[PQM]])-2,0)*($G301-$H301)</f>
        <v>0</v>
      </c>
      <c r="AJ301" s="22">
        <v>0</v>
      </c>
      <c r="AK301" s="22">
        <f>VLOOKUP($A301,tabCustoUnit[],COLUMN(CUSTO_GLOBAL[[#Headers],[Seguro de Vida]])-2,0)*($G301-$H301)</f>
        <v>3.36</v>
      </c>
      <c r="AL301" s="22">
        <f>VLOOKUP($A301,tabCustoUnit[],COLUMN(CUSTO_GLOBAL[[#Headers],[Despesas de Viagem]])-2,0)*($G301-$H301)</f>
        <v>0</v>
      </c>
      <c r="AM301" s="22" t="e">
        <f ca="1">VLOOKUP($A301,tabCustoUnit[],COLUMN(CUSTO_GLOBAL[[#Headers],[Submódulo 2.3]])-2,0)*($G301-$H301)</f>
        <v>#NAME?</v>
      </c>
      <c r="AN301" s="22" t="e">
        <f ca="1">VLOOKUP($A301,tabCustoUnit[],COLUMN(CUSTO_GLOBAL[[#Headers],[MÓDULO 2 - Total Encargos e Benefícios mensais e diários]])-2,0)*($G301-$H301)</f>
        <v>#NAME?</v>
      </c>
      <c r="AO301" s="22">
        <f>VLOOKUP($A301,tabCustoUnit[],COLUMN(CUSTO_GLOBAL[[#Headers],[Aviso Prévio Indenizado (API) e Reflexo do Aviso Prévio Indenizado]])-2,0)*($G301-$H301)</f>
        <v>13.766980408757716</v>
      </c>
      <c r="AP301" s="22">
        <f>VLOOKUP($A301,tabCustoUnit[],COLUMN(CUSTO_GLOBAL[[#Headers],[Incidência do FGTS sobre API e Reflexo do API]])-2,0)*($G301-$H301)</f>
        <v>1.1013584327006174</v>
      </c>
      <c r="AQ301" s="22">
        <f>VLOOKUP($A301,tabCustoUnit[],COLUMN(CUSTO_GLOBAL[[#Headers],[Multa Rescisória do FGTS sobre o Aviso Prévio Indenizado]])-2,0)*($G301-$H301)</f>
        <v>0.44054337308024699</v>
      </c>
      <c r="AR301" s="22">
        <f>VLOOKUP($A301,tabCustoUnit[],COLUMN(CUSTO_GLOBAL[[#Headers],[Aviso Prévio Trabalhado - APT]])-2,0)*($G301-$H301)</f>
        <v>6.8719385000000015</v>
      </c>
      <c r="AS301" s="22">
        <f>VLOOKUP($A301,tabCustoUnit[],COLUMN(CUSTO_GLOBAL[[#Headers],[Incidência dos encargos do submódulo 2.1 sobre Aviso Prévio Trabalhado]])-2,0)*($G301-$H301)</f>
        <v>2.5975927530000007</v>
      </c>
      <c r="AT301" s="22">
        <f>VLOOKUP($A301,tabCustoUnit[],COLUMN(CUSTO_GLOBAL[[#Headers],[Multa Rescisória do FGTS]])-2,0)*($G301-$H301)</f>
        <v>60.03674524444444</v>
      </c>
      <c r="AU301" s="22">
        <f>VLOOKUP($A301,tabCustoUnit[],COLUMN(CUSTO_GLOBAL[[#Headers],[Indenização Adicional (Art. 9º da Lei nº 7.238/84)]])-2,0)*($G301-$H301)</f>
        <v>1.6361758333333334</v>
      </c>
      <c r="AV301" s="22">
        <f>VLOOKUP($A301,tabCustoUnit[],COLUMN(CUSTO_GLOBAL[[#Headers],[MÓDULO 3 – PROVISÃO PARA RESCISÃO]])-2,0)*($G301-$H301)</f>
        <v>86.451334545316371</v>
      </c>
      <c r="AW301" s="22">
        <f>VLOOKUP($A301,tabCustoUnit[],COLUMN(CUSTO_GLOBAL[[#Headers],[Ausência por Doença]])-2,0)*($G301-$H301)</f>
        <v>16.579915111111109</v>
      </c>
      <c r="AX301" s="22">
        <f>VLOOKUP($A301,tabCustoUnit[],COLUMN(CUSTO_GLOBAL[[#Headers],[Ausências Legais]])-2,0)*($G301-$H301)</f>
        <v>3.9813611944444443</v>
      </c>
      <c r="AY301" s="22">
        <f>VLOOKUP($A301,tabCustoUnit[],COLUMN(CUSTO_GLOBAL[[#Headers],[Licença Paternidade]])-2,0)*($G301-$H301)</f>
        <v>0.33541604583333334</v>
      </c>
      <c r="AZ301" s="22">
        <f>VLOOKUP($A301,tabCustoUnit[],COLUMN(CUSTO_GLOBAL[[#Headers],[Ausência por Acidente de Trabalho]])-2,0)*($G301-$H301)</f>
        <v>0.40904395833333335</v>
      </c>
      <c r="BA301" s="22">
        <f>VLOOKUP($A301,tabCustoUnit[],COLUMN(CUSTO_GLOBAL[[#Headers],[Férias, Adicional de Férias e 13º  com empregada em gozo de Licença Maternidade]])-2,0)*($G301-$H301)</f>
        <v>2.5451624074074073</v>
      </c>
      <c r="BB301" s="22">
        <f>VLOOKUP($A301,tabCustoUnit[],COLUMN(CUSTO_GLOBAL[[#Headers],[Incidência do Submódulo 2.1 sobre Ausências Legais]])-2,0)*($G301-$H301)</f>
        <v>9.0156397150750021</v>
      </c>
      <c r="BC301" s="22">
        <f>VLOOKUP($A301,tabCustoUnit[],COLUMN(CUSTO_GLOBAL[[#Headers],[Submódulo 4.1]])-2,0)*($G301-$H301)</f>
        <v>32.866538432204628</v>
      </c>
      <c r="BD301" s="22">
        <f>VLOOKUP($A301,tabCustoUnit[],COLUMN(CUSTO_GLOBAL[[#Headers],[Intervalo para Repouso ou Alimentação]])-2,0)*($G301-$H301)</f>
        <v>267.73786489195959</v>
      </c>
      <c r="BE301" s="22">
        <f>VLOOKUP($A301,tabCustoUnit[],COLUMN(CUSTO_GLOBAL[[#Headers],[Submódulo 4.2]])-2,0)*($G301-$H301)</f>
        <v>267.73786489195959</v>
      </c>
      <c r="BF301" s="22">
        <f>VLOOKUP($A301,tabCustoUnit[],COLUMN(CUSTO_GLOBAL[[#Headers],[Suspensão Temporária do Contrato de Trabalho]])-2,0)*($G301-$H301)</f>
        <v>0</v>
      </c>
      <c r="BG301" s="22">
        <f>VLOOKUP($A301,tabCustoUnit[],COLUMN(CUSTO_GLOBAL[[#Headers],[Submódulo 4.3]])-2,0)*($G301-$H301)</f>
        <v>0</v>
      </c>
      <c r="BH301" s="22">
        <f>VLOOKUP($A301,tabCustoUnit[],COLUMN(CUSTO_GLOBAL[[#Headers],[MÓDULO 4 – CUSTO DE REPOSIÇÃO DO PROFISSIONAL AUSENTE]])-2,0)*($G301-$H301)</f>
        <v>300.6044033241642</v>
      </c>
      <c r="BI301" s="22">
        <f>VLOOKUP($A301,tabCustoUnit[],COLUMN(CUSTO_GLOBAL[[#Headers],[Uniformes e EPIs]])-2,0)*($G301-$H301)</f>
        <v>56.642978962543395</v>
      </c>
      <c r="BJ301" s="22">
        <f>VLOOKUP($A301,tabCustoUnit[],COLUMN(CUSTO_GLOBAL[[#Headers],[Materiais de Consumo]])-2,0)*($G301-$H301)</f>
        <v>0</v>
      </c>
      <c r="BK301" s="22">
        <f>VLOOKUP($A301,tabCustoUnit[],COLUMN(CUSTO_GLOBAL[[#Headers],[Máquinas e Equipamentos (depreciação)]])-2,0)*($G301-$H301)</f>
        <v>0</v>
      </c>
      <c r="BL301" s="22">
        <f>VLOOKUP($A301,tabCustoUnit[],COLUMN(CUSTO_GLOBAL[[#Headers],[Produtos de Limpeza e Materiais de Higiene Pessoal]])-2,0)*($G301-$H301)</f>
        <v>0</v>
      </c>
      <c r="BM301" s="22">
        <f>VLOOKUP($A301,tabCustoUnit[],COLUMN(CUSTO_GLOBAL[[#Headers],[Outros (especificar)]])-2,0)*($G301-$H301)</f>
        <v>0</v>
      </c>
      <c r="BN301" s="22">
        <f>VLOOKUP($A301,tabCustoUnit[],COLUMN(CUSTO_GLOBAL[[#Headers],[MÓDULO 5 – INSUMOS DIVERSOS]])-2,0)*($G301-$H301)</f>
        <v>56.642978962543395</v>
      </c>
      <c r="BO301" s="22" t="e">
        <f ca="1">VLOOKUP($A301,tabCustoUnit[],COLUMN(CUSTO_GLOBAL[[#Headers],[TOTAL MÓDULOS 1+2+3+4+5]])-2,0)*($G301-$H301)</f>
        <v>#NAME?</v>
      </c>
      <c r="BP301" s="22" t="e">
        <f ca="1">VLOOKUP($A301,tabCustoUnit[],COLUMN(CUSTO_GLOBAL[[#Headers],[Custos Indiretos]])-2,0)*($G301-$H301)</f>
        <v>#NAME?</v>
      </c>
      <c r="BQ301" s="22" t="e">
        <f ca="1">VLOOKUP($A301,tabCustoUnit[],COLUMN(CUSTO_GLOBAL[[#Headers],[Lucro]])-2,0)*($G301-$H301)</f>
        <v>#NAME?</v>
      </c>
      <c r="BR301" s="26">
        <f>VLOOKUP($A301,tabCustoUnit[],COLUMN(CUSTO_GLOBAL[[#Headers],[COFINS]])-2,0)</f>
        <v>8.6609686609686695E-2</v>
      </c>
      <c r="BS301" s="26">
        <f>VLOOKUP($A301,tabCustoUnit[],COLUMN(CUSTO_GLOBAL[[#Headers],[PIS]])-2,0)</f>
        <v>1.880341880341882E-2</v>
      </c>
      <c r="BT301" s="28">
        <f>VLOOKUP($A301,tabCustoUnit[],COLUMN(CUSTO_GLOBAL[[#Headers],[ISS]])-2,0)</f>
        <v>0.03</v>
      </c>
      <c r="BU301" s="26">
        <f>VLOOKUP($A301,tabCustoUnit[],COLUMN(CUSTO_GLOBAL[[#Headers],[ISS (Conversão Alíquota s/ fatura)]])-2,0)</f>
        <v>3.4188034188034219E-2</v>
      </c>
      <c r="BV301" s="26">
        <f>VLOOKUP($A301,tabCustoUnit[],COLUMN(CUSTO_GLOBAL[[#Headers],[Resumo de Alíquotas (PIS+CONFINS+ISS)]])-2,0)</f>
        <v>0.1225</v>
      </c>
      <c r="BW301" s="138">
        <f>VLOOKUP($A301,tabCustoUnit[],COLUMN(CUSTO_GLOBAL[[#Headers],[PIS + COFINS + ISS (Total Conversão  Alíquota s/ Fatura)]])-2,0)</f>
        <v>0.13960113960113973</v>
      </c>
      <c r="BX301" s="22" t="e">
        <f ca="1">VLOOKUP($A301,tabCustoUnit[],COLUMN(CUSTO_GLOBAL[[#Headers],[Valor dos Tributos (ISS, PIS, CONFINS)]])-2,0)*($G301-$H301)</f>
        <v>#NAME?</v>
      </c>
      <c r="BY301" s="22" t="e">
        <f ca="1">VLOOKUP($A301,tabCustoUnit[],COLUMN(CUSTO_GLOBAL[[#Headers],[MÓDULO 6 – CUSTOS INDIRETOS, TRIBUTOS E LUCRO]])-2,0)*($G301-$H301)</f>
        <v>#NAME?</v>
      </c>
      <c r="BZ301" s="22" t="e">
        <f ca="1">VLOOKUP($A301,tabCustoUnit[],COLUMN(CUSTO_GLOBAL[[#Headers],[CUSTO TOTAL MENSAL]])-2,0)*($G301-$H301)</f>
        <v>#NAME?</v>
      </c>
      <c r="CA301" s="22" t="e">
        <f ca="1">CUSTO_GLOBAL[[#This Row],[CUSTO TOTAL MENSAL]]*12</f>
        <v>#NAME?</v>
      </c>
      <c r="CB301" s="24">
        <f>VLOOKUP($A301,tabCustoUnit[],COLUMN(CUSTO_GLOBAL[[#Headers],[ANO DA CCT]])-2,0)</f>
        <v>45658</v>
      </c>
      <c r="CC301" s="25" t="str">
        <f>VLOOKUP($A301,tabCustoUnit[],COLUMN(CUSTO_GLOBAL[[#Headers],[Nº DE PEDIDO DA CCT]])-2,0)</f>
        <v>-</v>
      </c>
      <c r="CD301" s="25" t="str">
        <f>VLOOKUP($A301,tabCustoUnit[],COLUMN(CUSTO_GLOBAL[[#Headers],[TERMO ADITIVO ALTERAÇÃO DA CCT]])-2,0)</f>
        <v>-</v>
      </c>
    </row>
    <row r="302" spans="1:82">
      <c r="A302" s="20" t="s">
        <v>1715</v>
      </c>
      <c r="B302" t="s">
        <v>1066</v>
      </c>
      <c r="C302" t="s">
        <v>244</v>
      </c>
      <c r="D302" t="s">
        <v>1066</v>
      </c>
      <c r="E302" s="20" t="s">
        <v>1090</v>
      </c>
      <c r="F302" s="20" t="s">
        <v>120</v>
      </c>
      <c r="G302" s="20">
        <v>1</v>
      </c>
      <c r="H302" s="20">
        <v>0</v>
      </c>
      <c r="I302" s="21">
        <f>VLOOKUP($A302,tabCustoUnit[],COLUMN(CUSTO_GLOBAL[[#Headers],[Salário Base]])-2,0)*($G302-$H302)</f>
        <v>2296.1756999999998</v>
      </c>
      <c r="J302" s="21">
        <f>VLOOKUP($A302,tabCustoUnit[],COLUMN(CUSTO_GLOBAL[[#Headers],[Adicional Periculosidade]])-2,0)*($G302-$H302)</f>
        <v>0</v>
      </c>
      <c r="K302" s="21">
        <f>VLOOKUP($A302,tabCustoUnit[],COLUMN(CUSTO_GLOBAL[[#Headers],[Adicional Insalubridade]])-2,0)*($G302-$H302)</f>
        <v>303.60000000000002</v>
      </c>
      <c r="L302" s="21">
        <f>VLOOKUP($A302,tabCustoUnit[],COLUMN(CUSTO_GLOBAL[[#Headers],[Adicional Noturno]])-2,0)*($G302-$H302)</f>
        <v>0</v>
      </c>
      <c r="M302" s="21">
        <f>VLOOKUP($A302,tabCustoUnit[],COLUMN(CUSTO_GLOBAL[[#Headers],[Adicional Motorista II (Gratificação)]])-2,0)*($G302-$H302)</f>
        <v>0</v>
      </c>
      <c r="N302" s="21">
        <f>VLOOKUP($A302,tabCustoUnit[],COLUMN(CUSTO_GLOBAL[[#Headers],[Adicional de Sobreaviso]])-2,0)*($G302-$H302)</f>
        <v>0</v>
      </c>
      <c r="O302" s="21">
        <f>VLOOKUP($A302,tabCustoUnit[],COLUMN(CUSTO_GLOBAL[[#Headers],[Horas Extras TI]])-2,0)*($G302-$H302)</f>
        <v>0</v>
      </c>
      <c r="P302" s="21">
        <f>VLOOKUP($A302,tabCustoUnit[],COLUMN(CUSTO_GLOBAL[[#Headers],[Adicional de Acúmulo de função]])-2,0)*($G302-$H302)</f>
        <v>0</v>
      </c>
      <c r="Q302" s="21">
        <f>VLOOKUP($A302,tabCustoUnit[],COLUMN(CUSTO_GLOBAL[[#Headers],[MODULO 1 - REMUNERAÇÃO ]])-2,0)*($G302-$H302)</f>
        <v>2599.7756999999997</v>
      </c>
      <c r="R302" s="21">
        <f>VLOOKUP($A302,tabCustoUnit[],COLUMN(CUSTO_GLOBAL[[#Headers],[INSS]])-2,0)*($G302-$H302)</f>
        <v>519.95513999999991</v>
      </c>
      <c r="S302" s="21">
        <f>VLOOKUP($A302,tabCustoUnit[],COLUMN(CUSTO_GLOBAL[[#Headers],[SESI OU SESC]])-2,0)*($G302-$H302)</f>
        <v>38.996635499999996</v>
      </c>
      <c r="T302" s="21">
        <f>VLOOKUP($A302,tabCustoUnit[],COLUMN(CUSTO_GLOBAL[[#Headers],[SENAI OU SENAC]])-2,0)*($G302-$H302)</f>
        <v>25.997756999999996</v>
      </c>
      <c r="U302" s="21">
        <f>VLOOKUP($A302,tabCustoUnit[],COLUMN(CUSTO_GLOBAL[[#Headers],[INCRA]])-2,0)*($G302-$H302)</f>
        <v>5.1995513999999998</v>
      </c>
      <c r="V302" s="21">
        <f>VLOOKUP($A302,tabCustoUnit[],COLUMN(CUSTO_GLOBAL[[#Headers],[Salário Educação]])-2,0)*($G302-$H302)</f>
        <v>64.994392499999989</v>
      </c>
      <c r="W302" s="21">
        <f>VLOOKUP($A302,tabCustoUnit[],COLUMN(CUSTO_GLOBAL[[#Headers],[FGTS]])-2,0)*($G302-$H302)</f>
        <v>207.98205599999997</v>
      </c>
      <c r="X302" s="21">
        <f>VLOOKUP($A302,tabCustoUnit[],COLUMN(CUSTO_GLOBAL[[#Headers],[RAT Ajustado]])-2,0)*($G302-$H302)</f>
        <v>103.99102799999999</v>
      </c>
      <c r="Y302" s="21">
        <f>VLOOKUP($A302,tabCustoUnit[],COLUMN(CUSTO_GLOBAL[[#Headers],[SEBRAE]])-2,0)*($G302-$H302)</f>
        <v>15.598654199999999</v>
      </c>
      <c r="Z302" s="21">
        <f>VLOOKUP($A302,tabCustoUnit[],COLUMN(CUSTO_GLOBAL[[#Headers],[Submódulo 2.1]])-2,0)*($G302-$H302)</f>
        <v>982.71521459999985</v>
      </c>
      <c r="AA302" s="21">
        <f>VLOOKUP($A302,tabCustoUnit[],COLUMN(CUSTO_GLOBAL[[#Headers],[13º salário (titular)]])-2,0)*($G302-$H302)</f>
        <v>216.64797499999997</v>
      </c>
      <c r="AB302" s="21">
        <f>VLOOKUP($A302,tabCustoUnit[],COLUMN(CUSTO_GLOBAL[[#Headers],[Férias e Adicional de Férias (titular)]])-2,0)*($G302-$H302)</f>
        <v>288.86396666666661</v>
      </c>
      <c r="AC302" s="21">
        <f>VLOOKUP($A302,tabCustoUnit[],COLUMN(CUSTO_GLOBAL[[#Headers],[Incidência do Submódulo 2.1 sobre 13º Salário, Férias e Adicional de Férias]])-2,0)*($G302-$H302)</f>
        <v>191.08351394999997</v>
      </c>
      <c r="AD302" s="21">
        <f>VLOOKUP($A302,tabCustoUnit[],COLUMN(CUSTO_GLOBAL[[#Headers],[Submódulo 2.2]])-2,0)*($G302-$H302)</f>
        <v>696.59545561666653</v>
      </c>
      <c r="AE302" s="22" t="e">
        <f ca="1">VLOOKUP($A302,tabCustoUnit[],COLUMN(CUSTO_GLOBAL[[#Headers],[Vale - Transporte (Descontada parcela do empregado)]])-2,0)*($G302-$H302)</f>
        <v>#NAME?</v>
      </c>
      <c r="AF302" s="22">
        <f>VLOOKUP($A302,tabCustoUnit[],COLUMN(CUSTO_GLOBAL[[#Headers],[Vale - Alimentação (Descontada parcela do empregado)]])-2,0)*($G302-$H302)</f>
        <v>582</v>
      </c>
      <c r="AG302" s="22">
        <f>VLOOKUP($A302,tabCustoUnit[],COLUMN(CUSTO_GLOBAL[[#Headers],[Cesta Básica]])-2,0)*($G302-$H302)</f>
        <v>0</v>
      </c>
      <c r="AH302" s="22">
        <f>VLOOKUP($A302,tabCustoUnit[],COLUMN(CUSTO_GLOBAL[[#Headers],[PAF]])-2,0)*($G302-$H302)</f>
        <v>0</v>
      </c>
      <c r="AI302" s="22">
        <f>VLOOKUP($A302,tabCustoUnit[],COLUMN(CUSTO_GLOBAL[[#Headers],[PQM]])-2,0)*($G302-$H302)</f>
        <v>15.07</v>
      </c>
      <c r="AJ302" s="22">
        <v>0</v>
      </c>
      <c r="AK302" s="22">
        <f>VLOOKUP($A302,tabCustoUnit[],COLUMN(CUSTO_GLOBAL[[#Headers],[Seguro de Vida]])-2,0)*($G302-$H302)</f>
        <v>3.36</v>
      </c>
      <c r="AL302" s="22">
        <f>VLOOKUP($A302,tabCustoUnit[],COLUMN(CUSTO_GLOBAL[[#Headers],[Despesas de Viagem]])-2,0)*($G302-$H302)</f>
        <v>0</v>
      </c>
      <c r="AM302" s="22" t="e">
        <f ca="1">VLOOKUP($A302,tabCustoUnit[],COLUMN(CUSTO_GLOBAL[[#Headers],[Submódulo 2.3]])-2,0)*($G302-$H302)</f>
        <v>#NAME?</v>
      </c>
      <c r="AN302" s="22" t="e">
        <f ca="1">VLOOKUP($A302,tabCustoUnit[],COLUMN(CUSTO_GLOBAL[[#Headers],[MÓDULO 2 - Total Encargos e Benefícios mensais e diários]])-2,0)*($G302-$H302)</f>
        <v>#NAME?</v>
      </c>
      <c r="AO302" s="22">
        <f>VLOOKUP($A302,tabCustoUnit[],COLUMN(CUSTO_GLOBAL[[#Headers],[Aviso Prévio Indenizado (API) e Reflexo do Aviso Prévio Indenizado]])-2,0)*($G302-$H302)</f>
        <v>18.229021396469907</v>
      </c>
      <c r="AP302" s="22">
        <f>VLOOKUP($A302,tabCustoUnit[],COLUMN(CUSTO_GLOBAL[[#Headers],[Incidência do FGTS sobre API e Reflexo do API]])-2,0)*($G302-$H302)</f>
        <v>1.4583217117175926</v>
      </c>
      <c r="AQ302" s="22">
        <f>VLOOKUP($A302,tabCustoUnit[],COLUMN(CUSTO_GLOBAL[[#Headers],[Multa Rescisória do FGTS sobre o Aviso Prévio Indenizado]])-2,0)*($G302-$H302)</f>
        <v>0.58332868468703702</v>
      </c>
      <c r="AR302" s="22">
        <f>VLOOKUP($A302,tabCustoUnit[],COLUMN(CUSTO_GLOBAL[[#Headers],[Aviso Prévio Trabalhado - APT]])-2,0)*($G302-$H302)</f>
        <v>9.0992149500000004</v>
      </c>
      <c r="AS302" s="22">
        <f>VLOOKUP($A302,tabCustoUnit[],COLUMN(CUSTO_GLOBAL[[#Headers],[Incidência dos encargos do submódulo 2.1 sobre Aviso Prévio Trabalhado]])-2,0)*($G302-$H302)</f>
        <v>3.4395032511000005</v>
      </c>
      <c r="AT302" s="22">
        <f>VLOOKUP($A302,tabCustoUnit[],COLUMN(CUSTO_GLOBAL[[#Headers],[Multa Rescisória do FGTS]])-2,0)*($G302-$H302)</f>
        <v>79.495363626666645</v>
      </c>
      <c r="AU302" s="22">
        <f>VLOOKUP($A302,tabCustoUnit[],COLUMN(CUSTO_GLOBAL[[#Headers],[Indenização Adicional (Art. 9º da Lei nº 7.238/84)]])-2,0)*($G302-$H302)</f>
        <v>2.1664797499999997</v>
      </c>
      <c r="AV302" s="22">
        <f>VLOOKUP($A302,tabCustoUnit[],COLUMN(CUSTO_GLOBAL[[#Headers],[MÓDULO 3 – PROVISÃO PARA RESCISÃO]])-2,0)*($G302-$H302)</f>
        <v>114.47123337064117</v>
      </c>
      <c r="AW302" s="22">
        <f>VLOOKUP($A302,tabCustoUnit[],COLUMN(CUSTO_GLOBAL[[#Headers],[Ausência por Doença]])-2,0)*($G302-$H302)</f>
        <v>21.953661466666663</v>
      </c>
      <c r="AX302" s="22">
        <f>VLOOKUP($A302,tabCustoUnit[],COLUMN(CUSTO_GLOBAL[[#Headers],[Ausências Legais]])-2,0)*($G302-$H302)</f>
        <v>5.2717673916666659</v>
      </c>
      <c r="AY302" s="22">
        <f>VLOOKUP($A302,tabCustoUnit[],COLUMN(CUSTO_GLOBAL[[#Headers],[Licença Paternidade]])-2,0)*($G302-$H302)</f>
        <v>0.44412834874999996</v>
      </c>
      <c r="AZ302" s="22">
        <f>VLOOKUP($A302,tabCustoUnit[],COLUMN(CUSTO_GLOBAL[[#Headers],[Ausência por Acidente de Trabalho]])-2,0)*($G302-$H302)</f>
        <v>0.54161993749999993</v>
      </c>
      <c r="BA302" s="22">
        <f>VLOOKUP($A302,tabCustoUnit[],COLUMN(CUSTO_GLOBAL[[#Headers],[Férias, Adicional de Férias e 13º  com empregada em gozo de Licença Maternidade]])-2,0)*($G302-$H302)</f>
        <v>3.3700796111111107</v>
      </c>
      <c r="BB302" s="22">
        <f>VLOOKUP($A302,tabCustoUnit[],COLUMN(CUSTO_GLOBAL[[#Headers],[Incidência do Submódulo 2.1 sobre Ausências Legais]])-2,0)*($G302-$H302)</f>
        <v>11.9377150536525</v>
      </c>
      <c r="BC302" s="22">
        <f>VLOOKUP($A302,tabCustoUnit[],COLUMN(CUSTO_GLOBAL[[#Headers],[Submódulo 4.1]])-2,0)*($G302-$H302)</f>
        <v>43.518971809346937</v>
      </c>
      <c r="BD302" s="22">
        <f>VLOOKUP($A302,tabCustoUnit[],COLUMN(CUSTO_GLOBAL[[#Headers],[Intervalo para Repouso ou Alimentação]])-2,0)*($G302-$H302)</f>
        <v>0</v>
      </c>
      <c r="BE302" s="22">
        <f>VLOOKUP($A302,tabCustoUnit[],COLUMN(CUSTO_GLOBAL[[#Headers],[Submódulo 4.2]])-2,0)*($G302-$H302)</f>
        <v>0</v>
      </c>
      <c r="BF302" s="22">
        <f>VLOOKUP($A302,tabCustoUnit[],COLUMN(CUSTO_GLOBAL[[#Headers],[Suspensão Temporária do Contrato de Trabalho]])-2,0)*($G302-$H302)</f>
        <v>0</v>
      </c>
      <c r="BG302" s="22">
        <f>VLOOKUP($A302,tabCustoUnit[],COLUMN(CUSTO_GLOBAL[[#Headers],[Submódulo 4.3]])-2,0)*($G302-$H302)</f>
        <v>0</v>
      </c>
      <c r="BH302" s="22">
        <f>VLOOKUP($A302,tabCustoUnit[],COLUMN(CUSTO_GLOBAL[[#Headers],[MÓDULO 4 – CUSTO DE REPOSIÇÃO DO PROFISSIONAL AUSENTE]])-2,0)*($G302-$H302)</f>
        <v>43.518971809346937</v>
      </c>
      <c r="BI302" s="22">
        <f>VLOOKUP($A302,tabCustoUnit[],COLUMN(CUSTO_GLOBAL[[#Headers],[Uniformes e EPIs]])-2,0)*($G302-$H302)</f>
        <v>226.33322732312172</v>
      </c>
      <c r="BJ302" s="22">
        <f>VLOOKUP($A302,tabCustoUnit[],COLUMN(CUSTO_GLOBAL[[#Headers],[Materiais de Consumo]])-2,0)*($G302-$H302)</f>
        <v>441.81099462365592</v>
      </c>
      <c r="BK302" s="22">
        <f>VLOOKUP($A302,tabCustoUnit[],COLUMN(CUSTO_GLOBAL[[#Headers],[Máquinas e Equipamentos (depreciação)]])-2,0)*($G302-$H302)</f>
        <v>113.11309677419354</v>
      </c>
      <c r="BL302" s="22">
        <f>VLOOKUP($A302,tabCustoUnit[],COLUMN(CUSTO_GLOBAL[[#Headers],[Produtos de Limpeza e Materiais de Higiene Pessoal]])-2,0)*($G302-$H302)</f>
        <v>0</v>
      </c>
      <c r="BM302" s="22">
        <f>VLOOKUP($A302,tabCustoUnit[],COLUMN(CUSTO_GLOBAL[[#Headers],[Outros (especificar)]])-2,0)*($G302-$H302)</f>
        <v>0</v>
      </c>
      <c r="BN302" s="22">
        <f>VLOOKUP($A302,tabCustoUnit[],COLUMN(CUSTO_GLOBAL[[#Headers],[MÓDULO 5 – INSUMOS DIVERSOS]])-2,0)*($G302-$H302)</f>
        <v>781.25731872097117</v>
      </c>
      <c r="BO302" s="22" t="e">
        <f ca="1">VLOOKUP($A302,tabCustoUnit[],COLUMN(CUSTO_GLOBAL[[#Headers],[TOTAL MÓDULOS 1+2+3+4+5]])-2,0)*($G302-$H302)</f>
        <v>#NAME?</v>
      </c>
      <c r="BP302" s="22" t="e">
        <f ca="1">VLOOKUP($A302,tabCustoUnit[],COLUMN(CUSTO_GLOBAL[[#Headers],[Custos Indiretos]])-2,0)*($G302-$H302)</f>
        <v>#NAME?</v>
      </c>
      <c r="BQ302" s="22" t="e">
        <f ca="1">VLOOKUP($A302,tabCustoUnit[],COLUMN(CUSTO_GLOBAL[[#Headers],[Lucro]])-2,0)*($G302-$H302)</f>
        <v>#NAME?</v>
      </c>
      <c r="BR302" s="26">
        <f>VLOOKUP($A302,tabCustoUnit[],COLUMN(CUSTO_GLOBAL[[#Headers],[COFINS]])-2,0)</f>
        <v>8.5633802816901458E-2</v>
      </c>
      <c r="BS302" s="26">
        <f>VLOOKUP($A302,tabCustoUnit[],COLUMN(CUSTO_GLOBAL[[#Headers],[PIS]])-2,0)</f>
        <v>1.8591549295774657E-2</v>
      </c>
      <c r="BT302" s="28">
        <f>VLOOKUP($A302,tabCustoUnit[],COLUMN(CUSTO_GLOBAL[[#Headers],[ISS]])-2,0)</f>
        <v>0.02</v>
      </c>
      <c r="BU302" s="26">
        <f>VLOOKUP($A302,tabCustoUnit[],COLUMN(CUSTO_GLOBAL[[#Headers],[ISS (Conversão Alíquota s/ fatura)]])-2,0)</f>
        <v>2.2535211267605645E-2</v>
      </c>
      <c r="BV302" s="26">
        <f>VLOOKUP($A302,tabCustoUnit[],COLUMN(CUSTO_GLOBAL[[#Headers],[Resumo de Alíquotas (PIS+CONFINS+ISS)]])-2,0)</f>
        <v>0.1125</v>
      </c>
      <c r="BW302" s="138">
        <f>VLOOKUP($A302,tabCustoUnit[],COLUMN(CUSTO_GLOBAL[[#Headers],[PIS + COFINS + ISS (Total Conversão  Alíquota s/ Fatura)]])-2,0)</f>
        <v>0.12676056338028174</v>
      </c>
      <c r="BX302" s="22" t="e">
        <f ca="1">VLOOKUP($A302,tabCustoUnit[],COLUMN(CUSTO_GLOBAL[[#Headers],[Valor dos Tributos (ISS, PIS, CONFINS)]])-2,0)*($G302-$H302)</f>
        <v>#NAME?</v>
      </c>
      <c r="BY302" s="22" t="e">
        <f ca="1">VLOOKUP($A302,tabCustoUnit[],COLUMN(CUSTO_GLOBAL[[#Headers],[MÓDULO 6 – CUSTOS INDIRETOS, TRIBUTOS E LUCRO]])-2,0)*($G302-$H302)</f>
        <v>#NAME?</v>
      </c>
      <c r="BZ302" s="22" t="e">
        <f ca="1">VLOOKUP($A302,tabCustoUnit[],COLUMN(CUSTO_GLOBAL[[#Headers],[CUSTO TOTAL MENSAL]])-2,0)*($G302-$H302)</f>
        <v>#NAME?</v>
      </c>
      <c r="CA302" s="22" t="e">
        <f ca="1">CUSTO_GLOBAL[[#This Row],[CUSTO TOTAL MENSAL]]*12</f>
        <v>#NAME?</v>
      </c>
      <c r="CB302" s="24">
        <f>VLOOKUP($A302,tabCustoUnit[],COLUMN(CUSTO_GLOBAL[[#Headers],[ANO DA CCT]])-2,0)</f>
        <v>45658</v>
      </c>
      <c r="CC302" s="25" t="str">
        <f>VLOOKUP($A302,tabCustoUnit[],COLUMN(CUSTO_GLOBAL[[#Headers],[Nº DE PEDIDO DA CCT]])-2,0)</f>
        <v>-</v>
      </c>
      <c r="CD302" s="25" t="str">
        <f>VLOOKUP($A302,tabCustoUnit[],COLUMN(CUSTO_GLOBAL[[#Headers],[TERMO ADITIVO ALTERAÇÃO DA CCT]])-2,0)</f>
        <v>-</v>
      </c>
    </row>
    <row r="303" spans="1:82">
      <c r="A303" s="20" t="s">
        <v>1716</v>
      </c>
      <c r="B303" t="s">
        <v>1066</v>
      </c>
      <c r="C303" t="s">
        <v>274</v>
      </c>
      <c r="D303" t="s">
        <v>1022</v>
      </c>
      <c r="E303" s="20" t="s">
        <v>1090</v>
      </c>
      <c r="F303" s="20" t="s">
        <v>120</v>
      </c>
      <c r="G303" s="20">
        <v>3</v>
      </c>
      <c r="H303" s="20">
        <v>0</v>
      </c>
      <c r="I303" s="21">
        <f>VLOOKUP($A303,tabCustoUnit[],COLUMN(CUSTO_GLOBAL[[#Headers],[Salário Base]])-2,0)*($G303-$H303)</f>
        <v>13023.060000000001</v>
      </c>
      <c r="J303" s="21">
        <f>VLOOKUP($A303,tabCustoUnit[],COLUMN(CUSTO_GLOBAL[[#Headers],[Adicional Periculosidade]])-2,0)*($G303-$H303)</f>
        <v>0</v>
      </c>
      <c r="K303" s="21">
        <f>VLOOKUP($A303,tabCustoUnit[],COLUMN(CUSTO_GLOBAL[[#Headers],[Adicional Insalubridade]])-2,0)*($G303-$H303)</f>
        <v>0</v>
      </c>
      <c r="L303" s="21">
        <f>VLOOKUP($A303,tabCustoUnit[],COLUMN(CUSTO_GLOBAL[[#Headers],[Adicional Noturno]])-2,0)*($G303-$H303)</f>
        <v>0</v>
      </c>
      <c r="M303" s="21">
        <f>VLOOKUP($A303,tabCustoUnit[],COLUMN(CUSTO_GLOBAL[[#Headers],[Adicional Motorista II (Gratificação)]])-2,0)*($G303-$H303)</f>
        <v>0</v>
      </c>
      <c r="N303" s="21">
        <f>VLOOKUP($A303,tabCustoUnit[],COLUMN(CUSTO_GLOBAL[[#Headers],[Adicional de Sobreaviso]])-2,0)*($G303-$H303)</f>
        <v>0</v>
      </c>
      <c r="O303" s="21">
        <f>VLOOKUP($A303,tabCustoUnit[],COLUMN(CUSTO_GLOBAL[[#Headers],[Horas Extras TI]])-2,0)*($G303-$H303)</f>
        <v>0</v>
      </c>
      <c r="P303" s="21">
        <f>VLOOKUP($A303,tabCustoUnit[],COLUMN(CUSTO_GLOBAL[[#Headers],[Adicional de Acúmulo de função]])-2,0)*($G303-$H303)</f>
        <v>0</v>
      </c>
      <c r="Q303" s="21">
        <f>VLOOKUP($A303,tabCustoUnit[],COLUMN(CUSTO_GLOBAL[[#Headers],[MODULO 1 - REMUNERAÇÃO ]])-2,0)*($G303-$H303)</f>
        <v>13023.060000000001</v>
      </c>
      <c r="R303" s="21">
        <f>VLOOKUP($A303,tabCustoUnit[],COLUMN(CUSTO_GLOBAL[[#Headers],[INSS]])-2,0)*($G303-$H303)</f>
        <v>2604.6120000000005</v>
      </c>
      <c r="S303" s="21">
        <f>VLOOKUP($A303,tabCustoUnit[],COLUMN(CUSTO_GLOBAL[[#Headers],[SESI OU SESC]])-2,0)*($G303-$H303)</f>
        <v>195.34590000000003</v>
      </c>
      <c r="T303" s="21">
        <f>VLOOKUP($A303,tabCustoUnit[],COLUMN(CUSTO_GLOBAL[[#Headers],[SENAI OU SENAC]])-2,0)*($G303-$H303)</f>
        <v>130.23060000000001</v>
      </c>
      <c r="U303" s="21">
        <f>VLOOKUP($A303,tabCustoUnit[],COLUMN(CUSTO_GLOBAL[[#Headers],[INCRA]])-2,0)*($G303-$H303)</f>
        <v>26.046120000000002</v>
      </c>
      <c r="V303" s="21">
        <f>VLOOKUP($A303,tabCustoUnit[],COLUMN(CUSTO_GLOBAL[[#Headers],[Salário Educação]])-2,0)*($G303-$H303)</f>
        <v>325.57650000000007</v>
      </c>
      <c r="W303" s="21">
        <f>VLOOKUP($A303,tabCustoUnit[],COLUMN(CUSTO_GLOBAL[[#Headers],[FGTS]])-2,0)*($G303-$H303)</f>
        <v>1041.8448000000001</v>
      </c>
      <c r="X303" s="21">
        <f>VLOOKUP($A303,tabCustoUnit[],COLUMN(CUSTO_GLOBAL[[#Headers],[RAT Ajustado]])-2,0)*($G303-$H303)</f>
        <v>520.92240000000004</v>
      </c>
      <c r="Y303" s="21">
        <f>VLOOKUP($A303,tabCustoUnit[],COLUMN(CUSTO_GLOBAL[[#Headers],[SEBRAE]])-2,0)*($G303-$H303)</f>
        <v>78.138360000000006</v>
      </c>
      <c r="Z303" s="21">
        <f>VLOOKUP($A303,tabCustoUnit[],COLUMN(CUSTO_GLOBAL[[#Headers],[Submódulo 2.1]])-2,0)*($G303-$H303)</f>
        <v>4922.7166800000005</v>
      </c>
      <c r="AA303" s="21">
        <f>VLOOKUP($A303,tabCustoUnit[],COLUMN(CUSTO_GLOBAL[[#Headers],[13º salário (titular)]])-2,0)*($G303-$H303)</f>
        <v>1085.2550000000001</v>
      </c>
      <c r="AB303" s="21">
        <f>VLOOKUP($A303,tabCustoUnit[],COLUMN(CUSTO_GLOBAL[[#Headers],[Férias e Adicional de Férias (titular)]])-2,0)*($G303-$H303)</f>
        <v>1447.0066666666667</v>
      </c>
      <c r="AC303" s="21">
        <f>VLOOKUP($A303,tabCustoUnit[],COLUMN(CUSTO_GLOBAL[[#Headers],[Incidência do Submódulo 2.1 sobre 13º Salário, Férias e Adicional de Férias]])-2,0)*($G303-$H303)</f>
        <v>957.19490999999994</v>
      </c>
      <c r="AD303" s="21">
        <f>VLOOKUP($A303,tabCustoUnit[],COLUMN(CUSTO_GLOBAL[[#Headers],[Submódulo 2.2]])-2,0)*($G303-$H303)</f>
        <v>3489.4565766666665</v>
      </c>
      <c r="AE303" s="22" t="e">
        <f ca="1">VLOOKUP($A303,tabCustoUnit[],COLUMN(CUSTO_GLOBAL[[#Headers],[Vale - Transporte (Descontada parcela do empregado)]])-2,0)*($G303-$H303)</f>
        <v>#NAME?</v>
      </c>
      <c r="AF303" s="22">
        <f>VLOOKUP($A303,tabCustoUnit[],COLUMN(CUSTO_GLOBAL[[#Headers],[Vale - Alimentação (Descontada parcela do empregado)]])-2,0)*($G303-$H303)</f>
        <v>1735.1999999999998</v>
      </c>
      <c r="AG303" s="22">
        <f>VLOOKUP($A303,tabCustoUnit[],COLUMN(CUSTO_GLOBAL[[#Headers],[Cesta Básica]])-2,0)*($G303-$H303)</f>
        <v>0</v>
      </c>
      <c r="AH303" s="22">
        <f>VLOOKUP($A303,tabCustoUnit[],COLUMN(CUSTO_GLOBAL[[#Headers],[PAF]])-2,0)*($G303-$H303)</f>
        <v>67.56</v>
      </c>
      <c r="AI303" s="22">
        <f>VLOOKUP($A303,tabCustoUnit[],COLUMN(CUSTO_GLOBAL[[#Headers],[PQM]])-2,0)*($G303-$H303)</f>
        <v>0</v>
      </c>
      <c r="AJ303" s="22">
        <v>0</v>
      </c>
      <c r="AK303" s="22">
        <f>VLOOKUP($A303,tabCustoUnit[],COLUMN(CUSTO_GLOBAL[[#Headers],[Seguro de Vida]])-2,0)*($G303-$H303)</f>
        <v>10.08</v>
      </c>
      <c r="AL303" s="22">
        <f>VLOOKUP($A303,tabCustoUnit[],COLUMN(CUSTO_GLOBAL[[#Headers],[Despesas de Viagem]])-2,0)*($G303-$H303)</f>
        <v>1987.2599999999998</v>
      </c>
      <c r="AM303" s="22" t="e">
        <f ca="1">VLOOKUP($A303,tabCustoUnit[],COLUMN(CUSTO_GLOBAL[[#Headers],[Submódulo 2.3]])-2,0)*($G303-$H303)</f>
        <v>#NAME?</v>
      </c>
      <c r="AN303" s="22" t="e">
        <f ca="1">VLOOKUP($A303,tabCustoUnit[],COLUMN(CUSTO_GLOBAL[[#Headers],[MÓDULO 2 - Total Encargos e Benefícios mensais e diários]])-2,0)*($G303-$H303)</f>
        <v>#NAME?</v>
      </c>
      <c r="AO303" s="22">
        <f>VLOOKUP($A303,tabCustoUnit[],COLUMN(CUSTO_GLOBAL[[#Headers],[Aviso Prévio Indenizado (API) e Reflexo do Aviso Prévio Indenizado]])-2,0)*($G303-$H303)</f>
        <v>91.314662025462965</v>
      </c>
      <c r="AP303" s="22">
        <f>VLOOKUP($A303,tabCustoUnit[],COLUMN(CUSTO_GLOBAL[[#Headers],[Incidência do FGTS sobre API e Reflexo do API]])-2,0)*($G303-$H303)</f>
        <v>7.3051729620370383</v>
      </c>
      <c r="AQ303" s="22">
        <f>VLOOKUP($A303,tabCustoUnit[],COLUMN(CUSTO_GLOBAL[[#Headers],[Multa Rescisória do FGTS sobre o Aviso Prévio Indenizado]])-2,0)*($G303-$H303)</f>
        <v>2.9220691848148155</v>
      </c>
      <c r="AR303" s="22">
        <f>VLOOKUP($A303,tabCustoUnit[],COLUMN(CUSTO_GLOBAL[[#Headers],[Aviso Prévio Trabalhado - APT]])-2,0)*($G303-$H303)</f>
        <v>45.58071000000001</v>
      </c>
      <c r="AS303" s="22">
        <f>VLOOKUP($A303,tabCustoUnit[],COLUMN(CUSTO_GLOBAL[[#Headers],[Incidência dos encargos do submódulo 2.1 sobre Aviso Prévio Trabalhado]])-2,0)*($G303-$H303)</f>
        <v>17.229508380000006</v>
      </c>
      <c r="AT303" s="22">
        <f>VLOOKUP($A303,tabCustoUnit[],COLUMN(CUSTO_GLOBAL[[#Headers],[Multa Rescisória do FGTS]])-2,0)*($G303-$H303)</f>
        <v>398.21623466666665</v>
      </c>
      <c r="AU303" s="22">
        <f>VLOOKUP($A303,tabCustoUnit[],COLUMN(CUSTO_GLOBAL[[#Headers],[Indenização Adicional (Art. 9º da Lei nº 7.238/84)]])-2,0)*($G303-$H303)</f>
        <v>10.852550000000003</v>
      </c>
      <c r="AV303" s="22">
        <f>VLOOKUP($A303,tabCustoUnit[],COLUMN(CUSTO_GLOBAL[[#Headers],[MÓDULO 3 – PROVISÃO PARA RESCISÃO]])-2,0)*($G303-$H303)</f>
        <v>573.42090721898148</v>
      </c>
      <c r="AW303" s="22">
        <f>VLOOKUP($A303,tabCustoUnit[],COLUMN(CUSTO_GLOBAL[[#Headers],[Ausência por Doença]])-2,0)*($G303-$H303)</f>
        <v>109.97250666666666</v>
      </c>
      <c r="AX303" s="22">
        <f>VLOOKUP($A303,tabCustoUnit[],COLUMN(CUSTO_GLOBAL[[#Headers],[Ausências Legais]])-2,0)*($G303-$H303)</f>
        <v>26.407871666666665</v>
      </c>
      <c r="AY303" s="22">
        <f>VLOOKUP($A303,tabCustoUnit[],COLUMN(CUSTO_GLOBAL[[#Headers],[Licença Paternidade]])-2,0)*($G303-$H303)</f>
        <v>2.2247727500000005</v>
      </c>
      <c r="AZ303" s="22">
        <f>VLOOKUP($A303,tabCustoUnit[],COLUMN(CUSTO_GLOBAL[[#Headers],[Ausência por Acidente de Trabalho]])-2,0)*($G303-$H303)</f>
        <v>2.7131375000000006</v>
      </c>
      <c r="BA303" s="22">
        <f>VLOOKUP($A303,tabCustoUnit[],COLUMN(CUSTO_GLOBAL[[#Headers],[Férias, Adicional de Férias e 13º  com empregada em gozo de Licença Maternidade]])-2,0)*($G303-$H303)</f>
        <v>16.881744444444447</v>
      </c>
      <c r="BB303" s="22">
        <f>VLOOKUP($A303,tabCustoUnit[],COLUMN(CUSTO_GLOBAL[[#Headers],[Incidência do Submódulo 2.1 sobre Ausências Legais]])-2,0)*($G303-$H303)</f>
        <v>59.799612484500017</v>
      </c>
      <c r="BC303" s="22">
        <f>VLOOKUP($A303,tabCustoUnit[],COLUMN(CUSTO_GLOBAL[[#Headers],[Submódulo 4.1]])-2,0)*($G303-$H303)</f>
        <v>217.99964551227777</v>
      </c>
      <c r="BD303" s="22">
        <f>VLOOKUP($A303,tabCustoUnit[],COLUMN(CUSTO_GLOBAL[[#Headers],[Intervalo para Repouso ou Alimentação]])-2,0)*($G303-$H303)</f>
        <v>0</v>
      </c>
      <c r="BE303" s="22">
        <f>VLOOKUP($A303,tabCustoUnit[],COLUMN(CUSTO_GLOBAL[[#Headers],[Submódulo 4.2]])-2,0)*($G303-$H303)</f>
        <v>0</v>
      </c>
      <c r="BF303" s="22">
        <f>VLOOKUP($A303,tabCustoUnit[],COLUMN(CUSTO_GLOBAL[[#Headers],[Suspensão Temporária do Contrato de Trabalho]])-2,0)*($G303-$H303)</f>
        <v>0</v>
      </c>
      <c r="BG303" s="22">
        <f>VLOOKUP($A303,tabCustoUnit[],COLUMN(CUSTO_GLOBAL[[#Headers],[Submódulo 4.3]])-2,0)*($G303-$H303)</f>
        <v>0</v>
      </c>
      <c r="BH303" s="22">
        <f>VLOOKUP($A303,tabCustoUnit[],COLUMN(CUSTO_GLOBAL[[#Headers],[MÓDULO 4 – CUSTO DE REPOSIÇÃO DO PROFISSIONAL AUSENTE]])-2,0)*($G303-$H303)</f>
        <v>217.99964551227777</v>
      </c>
      <c r="BI303" s="22">
        <f>VLOOKUP($A303,tabCustoUnit[],COLUMN(CUSTO_GLOBAL[[#Headers],[Uniformes e EPIs]])-2,0)*($G303-$H303)</f>
        <v>276.30229131471208</v>
      </c>
      <c r="BJ303" s="22">
        <f>VLOOKUP($A303,tabCustoUnit[],COLUMN(CUSTO_GLOBAL[[#Headers],[Materiais de Consumo]])-2,0)*($G303-$H303)</f>
        <v>0</v>
      </c>
      <c r="BK303" s="22">
        <f>VLOOKUP($A303,tabCustoUnit[],COLUMN(CUSTO_GLOBAL[[#Headers],[Máquinas e Equipamentos (depreciação)]])-2,0)*($G303-$H303)</f>
        <v>0</v>
      </c>
      <c r="BL303" s="22">
        <f>VLOOKUP($A303,tabCustoUnit[],COLUMN(CUSTO_GLOBAL[[#Headers],[Produtos de Limpeza e Materiais de Higiene Pessoal]])-2,0)*($G303-$H303)</f>
        <v>0</v>
      </c>
      <c r="BM303" s="22">
        <f>VLOOKUP($A303,tabCustoUnit[],COLUMN(CUSTO_GLOBAL[[#Headers],[Outros (especificar)]])-2,0)*($G303-$H303)</f>
        <v>0</v>
      </c>
      <c r="BN303" s="22">
        <f>VLOOKUP($A303,tabCustoUnit[],COLUMN(CUSTO_GLOBAL[[#Headers],[MÓDULO 5 – INSUMOS DIVERSOS]])-2,0)*($G303-$H303)</f>
        <v>276.30229131471208</v>
      </c>
      <c r="BO303" s="22" t="e">
        <f ca="1">VLOOKUP($A303,tabCustoUnit[],COLUMN(CUSTO_GLOBAL[[#Headers],[TOTAL MÓDULOS 1+2+3+4+5]])-2,0)*($G303-$H303)</f>
        <v>#NAME?</v>
      </c>
      <c r="BP303" s="22" t="e">
        <f ca="1">VLOOKUP($A303,tabCustoUnit[],COLUMN(CUSTO_GLOBAL[[#Headers],[Custos Indiretos]])-2,0)*($G303-$H303)</f>
        <v>#NAME?</v>
      </c>
      <c r="BQ303" s="22" t="e">
        <f ca="1">VLOOKUP($A303,tabCustoUnit[],COLUMN(CUSTO_GLOBAL[[#Headers],[Lucro]])-2,0)*($G303-$H303)</f>
        <v>#NAME?</v>
      </c>
      <c r="BR303" s="26">
        <f>VLOOKUP($A303,tabCustoUnit[],COLUMN(CUSTO_GLOBAL[[#Headers],[COFINS]])-2,0)</f>
        <v>8.5633802816901458E-2</v>
      </c>
      <c r="BS303" s="26">
        <f>VLOOKUP($A303,tabCustoUnit[],COLUMN(CUSTO_GLOBAL[[#Headers],[PIS]])-2,0)</f>
        <v>1.8591549295774657E-2</v>
      </c>
      <c r="BT303" s="28">
        <f>VLOOKUP($A303,tabCustoUnit[],COLUMN(CUSTO_GLOBAL[[#Headers],[ISS]])-2,0)</f>
        <v>0.02</v>
      </c>
      <c r="BU303" s="26">
        <f>VLOOKUP($A303,tabCustoUnit[],COLUMN(CUSTO_GLOBAL[[#Headers],[ISS (Conversão Alíquota s/ fatura)]])-2,0)</f>
        <v>2.2535211267605645E-2</v>
      </c>
      <c r="BV303" s="26">
        <f>VLOOKUP($A303,tabCustoUnit[],COLUMN(CUSTO_GLOBAL[[#Headers],[Resumo de Alíquotas (PIS+CONFINS+ISS)]])-2,0)</f>
        <v>0.1125</v>
      </c>
      <c r="BW303" s="138">
        <f>VLOOKUP($A303,tabCustoUnit[],COLUMN(CUSTO_GLOBAL[[#Headers],[PIS + COFINS + ISS (Total Conversão  Alíquota s/ Fatura)]])-2,0)</f>
        <v>0.12676056338028174</v>
      </c>
      <c r="BX303" s="22" t="e">
        <f ca="1">VLOOKUP($A303,tabCustoUnit[],COLUMN(CUSTO_GLOBAL[[#Headers],[Valor dos Tributos (ISS, PIS, CONFINS)]])-2,0)*($G303-$H303)</f>
        <v>#NAME?</v>
      </c>
      <c r="BY303" s="22" t="e">
        <f ca="1">VLOOKUP($A303,tabCustoUnit[],COLUMN(CUSTO_GLOBAL[[#Headers],[MÓDULO 6 – CUSTOS INDIRETOS, TRIBUTOS E LUCRO]])-2,0)*($G303-$H303)</f>
        <v>#NAME?</v>
      </c>
      <c r="BZ303" s="22" t="e">
        <f ca="1">VLOOKUP($A303,tabCustoUnit[],COLUMN(CUSTO_GLOBAL[[#Headers],[CUSTO TOTAL MENSAL]])-2,0)*($G303-$H303)</f>
        <v>#NAME?</v>
      </c>
      <c r="CA303" s="22" t="e">
        <f ca="1">CUSTO_GLOBAL[[#This Row],[CUSTO TOTAL MENSAL]]*12</f>
        <v>#NAME?</v>
      </c>
      <c r="CB303" s="24">
        <f>VLOOKUP($A303,tabCustoUnit[],COLUMN(CUSTO_GLOBAL[[#Headers],[ANO DA CCT]])-2,0)</f>
        <v>45658</v>
      </c>
      <c r="CC303" s="25" t="str">
        <f>VLOOKUP($A303,tabCustoUnit[],COLUMN(CUSTO_GLOBAL[[#Headers],[Nº DE PEDIDO DA CCT]])-2,0)</f>
        <v>-</v>
      </c>
      <c r="CD303" s="25" t="str">
        <f>VLOOKUP($A303,tabCustoUnit[],COLUMN(CUSTO_GLOBAL[[#Headers],[TERMO ADITIVO ALTERAÇÃO DA CCT]])-2,0)</f>
        <v>-</v>
      </c>
    </row>
    <row r="304" spans="1:82">
      <c r="A304" s="20" t="s">
        <v>1717</v>
      </c>
      <c r="B304" t="s">
        <v>1066</v>
      </c>
      <c r="C304" t="s">
        <v>274</v>
      </c>
      <c r="D304" t="s">
        <v>1022</v>
      </c>
      <c r="E304" s="20" t="s">
        <v>1090</v>
      </c>
      <c r="F304" s="20" t="s">
        <v>135</v>
      </c>
      <c r="G304" s="20">
        <v>1</v>
      </c>
      <c r="H304" s="20">
        <v>0</v>
      </c>
      <c r="I304" s="21">
        <f>VLOOKUP($A304,tabCustoUnit[],COLUMN(CUSTO_GLOBAL[[#Headers],[Salário Base]])-2,0)*($G304-$H304)</f>
        <v>4341.0200000000004</v>
      </c>
      <c r="J304" s="21">
        <f>VLOOKUP($A304,tabCustoUnit[],COLUMN(CUSTO_GLOBAL[[#Headers],[Adicional Periculosidade]])-2,0)*($G304-$H304)</f>
        <v>0</v>
      </c>
      <c r="K304" s="21">
        <f>VLOOKUP($A304,tabCustoUnit[],COLUMN(CUSTO_GLOBAL[[#Headers],[Adicional Insalubridade]])-2,0)*($G304-$H304)</f>
        <v>0</v>
      </c>
      <c r="L304" s="21">
        <f>VLOOKUP($A304,tabCustoUnit[],COLUMN(CUSTO_GLOBAL[[#Headers],[Adicional Noturno]])-2,0)*($G304-$H304)</f>
        <v>0</v>
      </c>
      <c r="M304" s="21">
        <f>VLOOKUP($A304,tabCustoUnit[],COLUMN(CUSTO_GLOBAL[[#Headers],[Adicional Motorista II (Gratificação)]])-2,0)*($G304-$H304)</f>
        <v>0</v>
      </c>
      <c r="N304" s="21">
        <f>VLOOKUP($A304,tabCustoUnit[],COLUMN(CUSTO_GLOBAL[[#Headers],[Adicional de Sobreaviso]])-2,0)*($G304-$H304)</f>
        <v>0</v>
      </c>
      <c r="O304" s="21">
        <f>VLOOKUP($A304,tabCustoUnit[],COLUMN(CUSTO_GLOBAL[[#Headers],[Horas Extras TI]])-2,0)*($G304-$H304)</f>
        <v>0</v>
      </c>
      <c r="P304" s="21">
        <f>VLOOKUP($A304,tabCustoUnit[],COLUMN(CUSTO_GLOBAL[[#Headers],[Adicional de Acúmulo de função]])-2,0)*($G304-$H304)</f>
        <v>0</v>
      </c>
      <c r="Q304" s="21">
        <f>VLOOKUP($A304,tabCustoUnit[],COLUMN(CUSTO_GLOBAL[[#Headers],[MODULO 1 - REMUNERAÇÃO ]])-2,0)*($G304-$H304)</f>
        <v>4341.0200000000004</v>
      </c>
      <c r="R304" s="21">
        <f>VLOOKUP($A304,tabCustoUnit[],COLUMN(CUSTO_GLOBAL[[#Headers],[INSS]])-2,0)*($G304-$H304)</f>
        <v>868.20400000000018</v>
      </c>
      <c r="S304" s="21">
        <f>VLOOKUP($A304,tabCustoUnit[],COLUMN(CUSTO_GLOBAL[[#Headers],[SESI OU SESC]])-2,0)*($G304-$H304)</f>
        <v>65.115300000000005</v>
      </c>
      <c r="T304" s="21">
        <f>VLOOKUP($A304,tabCustoUnit[],COLUMN(CUSTO_GLOBAL[[#Headers],[SENAI OU SENAC]])-2,0)*($G304-$H304)</f>
        <v>43.410200000000003</v>
      </c>
      <c r="U304" s="21">
        <f>VLOOKUP($A304,tabCustoUnit[],COLUMN(CUSTO_GLOBAL[[#Headers],[INCRA]])-2,0)*($G304-$H304)</f>
        <v>8.6820400000000006</v>
      </c>
      <c r="V304" s="21">
        <f>VLOOKUP($A304,tabCustoUnit[],COLUMN(CUSTO_GLOBAL[[#Headers],[Salário Educação]])-2,0)*($G304-$H304)</f>
        <v>108.52550000000002</v>
      </c>
      <c r="W304" s="21">
        <f>VLOOKUP($A304,tabCustoUnit[],COLUMN(CUSTO_GLOBAL[[#Headers],[FGTS]])-2,0)*($G304-$H304)</f>
        <v>347.28160000000003</v>
      </c>
      <c r="X304" s="21">
        <f>VLOOKUP($A304,tabCustoUnit[],COLUMN(CUSTO_GLOBAL[[#Headers],[RAT Ajustado]])-2,0)*($G304-$H304)</f>
        <v>173.64080000000001</v>
      </c>
      <c r="Y304" s="21">
        <f>VLOOKUP($A304,tabCustoUnit[],COLUMN(CUSTO_GLOBAL[[#Headers],[SEBRAE]])-2,0)*($G304-$H304)</f>
        <v>26.046120000000002</v>
      </c>
      <c r="Z304" s="21">
        <f>VLOOKUP($A304,tabCustoUnit[],COLUMN(CUSTO_GLOBAL[[#Headers],[Submódulo 2.1]])-2,0)*($G304-$H304)</f>
        <v>1640.9055600000002</v>
      </c>
      <c r="AA304" s="21">
        <f>VLOOKUP($A304,tabCustoUnit[],COLUMN(CUSTO_GLOBAL[[#Headers],[13º salário (titular)]])-2,0)*($G304-$H304)</f>
        <v>361.75166666666667</v>
      </c>
      <c r="AB304" s="21">
        <f>VLOOKUP($A304,tabCustoUnit[],COLUMN(CUSTO_GLOBAL[[#Headers],[Férias e Adicional de Férias (titular)]])-2,0)*($G304-$H304)</f>
        <v>482.33555555555557</v>
      </c>
      <c r="AC304" s="21">
        <f>VLOOKUP($A304,tabCustoUnit[],COLUMN(CUSTO_GLOBAL[[#Headers],[Incidência do Submódulo 2.1 sobre 13º Salário, Férias e Adicional de Férias]])-2,0)*($G304-$H304)</f>
        <v>319.06496999999996</v>
      </c>
      <c r="AD304" s="21">
        <f>VLOOKUP($A304,tabCustoUnit[],COLUMN(CUSTO_GLOBAL[[#Headers],[Submódulo 2.2]])-2,0)*($G304-$H304)</f>
        <v>1163.1521922222221</v>
      </c>
      <c r="AE304" s="22" t="e">
        <f ca="1">VLOOKUP($A304,tabCustoUnit[],COLUMN(CUSTO_GLOBAL[[#Headers],[Vale - Transporte (Descontada parcela do empregado)]])-2,0)*($G304-$H304)</f>
        <v>#NAME?</v>
      </c>
      <c r="AF304" s="22">
        <f>VLOOKUP($A304,tabCustoUnit[],COLUMN(CUSTO_GLOBAL[[#Headers],[Vale - Alimentação (Descontada parcela do empregado)]])-2,0)*($G304-$H304)</f>
        <v>578.4</v>
      </c>
      <c r="AG304" s="22">
        <f>VLOOKUP($A304,tabCustoUnit[],COLUMN(CUSTO_GLOBAL[[#Headers],[Cesta Básica]])-2,0)*($G304-$H304)</f>
        <v>0</v>
      </c>
      <c r="AH304" s="22">
        <f>VLOOKUP($A304,tabCustoUnit[],COLUMN(CUSTO_GLOBAL[[#Headers],[PAF]])-2,0)*($G304-$H304)</f>
        <v>22.52</v>
      </c>
      <c r="AI304" s="22">
        <f>VLOOKUP($A304,tabCustoUnit[],COLUMN(CUSTO_GLOBAL[[#Headers],[PQM]])-2,0)*($G304-$H304)</f>
        <v>0</v>
      </c>
      <c r="AJ304" s="22">
        <v>0</v>
      </c>
      <c r="AK304" s="22">
        <f>VLOOKUP($A304,tabCustoUnit[],COLUMN(CUSTO_GLOBAL[[#Headers],[Seguro de Vida]])-2,0)*($G304-$H304)</f>
        <v>3.36</v>
      </c>
      <c r="AL304" s="22">
        <f>VLOOKUP($A304,tabCustoUnit[],COLUMN(CUSTO_GLOBAL[[#Headers],[Despesas de Viagem]])-2,0)*($G304-$H304)</f>
        <v>662.42</v>
      </c>
      <c r="AM304" s="22" t="e">
        <f ca="1">VLOOKUP($A304,tabCustoUnit[],COLUMN(CUSTO_GLOBAL[[#Headers],[Submódulo 2.3]])-2,0)*($G304-$H304)</f>
        <v>#NAME?</v>
      </c>
      <c r="AN304" s="22" t="e">
        <f ca="1">VLOOKUP($A304,tabCustoUnit[],COLUMN(CUSTO_GLOBAL[[#Headers],[MÓDULO 2 - Total Encargos e Benefícios mensais e diários]])-2,0)*($G304-$H304)</f>
        <v>#NAME?</v>
      </c>
      <c r="AO304" s="22">
        <f>VLOOKUP($A304,tabCustoUnit[],COLUMN(CUSTO_GLOBAL[[#Headers],[Aviso Prévio Indenizado (API) e Reflexo do Aviso Prévio Indenizado]])-2,0)*($G304-$H304)</f>
        <v>30.438220675154323</v>
      </c>
      <c r="AP304" s="22">
        <f>VLOOKUP($A304,tabCustoUnit[],COLUMN(CUSTO_GLOBAL[[#Headers],[Incidência do FGTS sobre API e Reflexo do API]])-2,0)*($G304-$H304)</f>
        <v>2.4350576540123461</v>
      </c>
      <c r="AQ304" s="22">
        <f>VLOOKUP($A304,tabCustoUnit[],COLUMN(CUSTO_GLOBAL[[#Headers],[Multa Rescisória do FGTS sobre o Aviso Prévio Indenizado]])-2,0)*($G304-$H304)</f>
        <v>0.97402306160493857</v>
      </c>
      <c r="AR304" s="22">
        <f>VLOOKUP($A304,tabCustoUnit[],COLUMN(CUSTO_GLOBAL[[#Headers],[Aviso Prévio Trabalhado - APT]])-2,0)*($G304-$H304)</f>
        <v>15.193570000000003</v>
      </c>
      <c r="AS304" s="22">
        <f>VLOOKUP($A304,tabCustoUnit[],COLUMN(CUSTO_GLOBAL[[#Headers],[Incidência dos encargos do submódulo 2.1 sobre Aviso Prévio Trabalhado]])-2,0)*($G304-$H304)</f>
        <v>5.7431694600000025</v>
      </c>
      <c r="AT304" s="22">
        <f>VLOOKUP($A304,tabCustoUnit[],COLUMN(CUSTO_GLOBAL[[#Headers],[Multa Rescisória do FGTS]])-2,0)*($G304-$H304)</f>
        <v>132.73874488888887</v>
      </c>
      <c r="AU304" s="22">
        <f>VLOOKUP($A304,tabCustoUnit[],COLUMN(CUSTO_GLOBAL[[#Headers],[Indenização Adicional (Art. 9º da Lei nº 7.238/84)]])-2,0)*($G304-$H304)</f>
        <v>3.6175166666666674</v>
      </c>
      <c r="AV304" s="22">
        <f>VLOOKUP($A304,tabCustoUnit[],COLUMN(CUSTO_GLOBAL[[#Headers],[MÓDULO 3 – PROVISÃO PARA RESCISÃO]])-2,0)*($G304-$H304)</f>
        <v>191.14030240632715</v>
      </c>
      <c r="AW304" s="22">
        <f>VLOOKUP($A304,tabCustoUnit[],COLUMN(CUSTO_GLOBAL[[#Headers],[Ausência por Doença]])-2,0)*($G304-$H304)</f>
        <v>36.65750222222222</v>
      </c>
      <c r="AX304" s="22">
        <f>VLOOKUP($A304,tabCustoUnit[],COLUMN(CUSTO_GLOBAL[[#Headers],[Ausências Legais]])-2,0)*($G304-$H304)</f>
        <v>8.8026238888888884</v>
      </c>
      <c r="AY304" s="22">
        <f>VLOOKUP($A304,tabCustoUnit[],COLUMN(CUSTO_GLOBAL[[#Headers],[Licença Paternidade]])-2,0)*($G304-$H304)</f>
        <v>0.74159091666666677</v>
      </c>
      <c r="AZ304" s="22">
        <f>VLOOKUP($A304,tabCustoUnit[],COLUMN(CUSTO_GLOBAL[[#Headers],[Ausência por Acidente de Trabalho]])-2,0)*($G304-$H304)</f>
        <v>0.90437916666666684</v>
      </c>
      <c r="BA304" s="22">
        <f>VLOOKUP($A304,tabCustoUnit[],COLUMN(CUSTO_GLOBAL[[#Headers],[Férias, Adicional de Férias e 13º  com empregada em gozo de Licença Maternidade]])-2,0)*($G304-$H304)</f>
        <v>5.6272481481481487</v>
      </c>
      <c r="BB304" s="22">
        <f>VLOOKUP($A304,tabCustoUnit[],COLUMN(CUSTO_GLOBAL[[#Headers],[Incidência do Submódulo 2.1 sobre Ausências Legais]])-2,0)*($G304-$H304)</f>
        <v>19.933204161500004</v>
      </c>
      <c r="BC304" s="22">
        <f>VLOOKUP($A304,tabCustoUnit[],COLUMN(CUSTO_GLOBAL[[#Headers],[Submódulo 4.1]])-2,0)*($G304-$H304)</f>
        <v>72.666548504092589</v>
      </c>
      <c r="BD304" s="22">
        <f>VLOOKUP($A304,tabCustoUnit[],COLUMN(CUSTO_GLOBAL[[#Headers],[Intervalo para Repouso ou Alimentação]])-2,0)*($G304-$H304)</f>
        <v>0</v>
      </c>
      <c r="BE304" s="22">
        <f>VLOOKUP($A304,tabCustoUnit[],COLUMN(CUSTO_GLOBAL[[#Headers],[Submódulo 4.2]])-2,0)*($G304-$H304)</f>
        <v>0</v>
      </c>
      <c r="BF304" s="22">
        <f>VLOOKUP($A304,tabCustoUnit[],COLUMN(CUSTO_GLOBAL[[#Headers],[Suspensão Temporária do Contrato de Trabalho]])-2,0)*($G304-$H304)</f>
        <v>0</v>
      </c>
      <c r="BG304" s="22">
        <f>VLOOKUP($A304,tabCustoUnit[],COLUMN(CUSTO_GLOBAL[[#Headers],[Submódulo 4.3]])-2,0)*($G304-$H304)</f>
        <v>0</v>
      </c>
      <c r="BH304" s="22">
        <f>VLOOKUP($A304,tabCustoUnit[],COLUMN(CUSTO_GLOBAL[[#Headers],[MÓDULO 4 – CUSTO DE REPOSIÇÃO DO PROFISSIONAL AUSENTE]])-2,0)*($G304-$H304)</f>
        <v>72.666548504092589</v>
      </c>
      <c r="BI304" s="22">
        <f>VLOOKUP($A304,tabCustoUnit[],COLUMN(CUSTO_GLOBAL[[#Headers],[Uniformes e EPIs]])-2,0)*($G304-$H304)</f>
        <v>92.100763771570698</v>
      </c>
      <c r="BJ304" s="22">
        <f>VLOOKUP($A304,tabCustoUnit[],COLUMN(CUSTO_GLOBAL[[#Headers],[Materiais de Consumo]])-2,0)*($G304-$H304)</f>
        <v>0</v>
      </c>
      <c r="BK304" s="22">
        <f>VLOOKUP($A304,tabCustoUnit[],COLUMN(CUSTO_GLOBAL[[#Headers],[Máquinas e Equipamentos (depreciação)]])-2,0)*($G304-$H304)</f>
        <v>0</v>
      </c>
      <c r="BL304" s="22">
        <f>VLOOKUP($A304,tabCustoUnit[],COLUMN(CUSTO_GLOBAL[[#Headers],[Produtos de Limpeza e Materiais de Higiene Pessoal]])-2,0)*($G304-$H304)</f>
        <v>0</v>
      </c>
      <c r="BM304" s="22">
        <f>VLOOKUP($A304,tabCustoUnit[],COLUMN(CUSTO_GLOBAL[[#Headers],[Outros (especificar)]])-2,0)*($G304-$H304)</f>
        <v>0</v>
      </c>
      <c r="BN304" s="22">
        <f>VLOOKUP($A304,tabCustoUnit[],COLUMN(CUSTO_GLOBAL[[#Headers],[MÓDULO 5 – INSUMOS DIVERSOS]])-2,0)*($G304-$H304)</f>
        <v>92.100763771570698</v>
      </c>
      <c r="BO304" s="22" t="e">
        <f ca="1">VLOOKUP($A304,tabCustoUnit[],COLUMN(CUSTO_GLOBAL[[#Headers],[TOTAL MÓDULOS 1+2+3+4+5]])-2,0)*($G304-$H304)</f>
        <v>#NAME?</v>
      </c>
      <c r="BP304" s="22" t="e">
        <f ca="1">VLOOKUP($A304,tabCustoUnit[],COLUMN(CUSTO_GLOBAL[[#Headers],[Custos Indiretos]])-2,0)*($G304-$H304)</f>
        <v>#NAME?</v>
      </c>
      <c r="BQ304" s="22" t="e">
        <f ca="1">VLOOKUP($A304,tabCustoUnit[],COLUMN(CUSTO_GLOBAL[[#Headers],[Lucro]])-2,0)*($G304-$H304)</f>
        <v>#NAME?</v>
      </c>
      <c r="BR304" s="26">
        <f>VLOOKUP($A304,tabCustoUnit[],COLUMN(CUSTO_GLOBAL[[#Headers],[COFINS]])-2,0)</f>
        <v>8.5633802816901458E-2</v>
      </c>
      <c r="BS304" s="26">
        <f>VLOOKUP($A304,tabCustoUnit[],COLUMN(CUSTO_GLOBAL[[#Headers],[PIS]])-2,0)</f>
        <v>1.8591549295774657E-2</v>
      </c>
      <c r="BT304" s="28">
        <f>VLOOKUP($A304,tabCustoUnit[],COLUMN(CUSTO_GLOBAL[[#Headers],[ISS]])-2,0)</f>
        <v>0.02</v>
      </c>
      <c r="BU304" s="26">
        <f>VLOOKUP($A304,tabCustoUnit[],COLUMN(CUSTO_GLOBAL[[#Headers],[ISS (Conversão Alíquota s/ fatura)]])-2,0)</f>
        <v>2.2535211267605645E-2</v>
      </c>
      <c r="BV304" s="26">
        <f>VLOOKUP($A304,tabCustoUnit[],COLUMN(CUSTO_GLOBAL[[#Headers],[Resumo de Alíquotas (PIS+CONFINS+ISS)]])-2,0)</f>
        <v>0.1125</v>
      </c>
      <c r="BW304" s="138">
        <f>VLOOKUP($A304,tabCustoUnit[],COLUMN(CUSTO_GLOBAL[[#Headers],[PIS + COFINS + ISS (Total Conversão  Alíquota s/ Fatura)]])-2,0)</f>
        <v>0.12676056338028174</v>
      </c>
      <c r="BX304" s="22" t="e">
        <f ca="1">VLOOKUP($A304,tabCustoUnit[],COLUMN(CUSTO_GLOBAL[[#Headers],[Valor dos Tributos (ISS, PIS, CONFINS)]])-2,0)*($G304-$H304)</f>
        <v>#NAME?</v>
      </c>
      <c r="BY304" s="22" t="e">
        <f ca="1">VLOOKUP($A304,tabCustoUnit[],COLUMN(CUSTO_GLOBAL[[#Headers],[MÓDULO 6 – CUSTOS INDIRETOS, TRIBUTOS E LUCRO]])-2,0)*($G304-$H304)</f>
        <v>#NAME?</v>
      </c>
      <c r="BZ304" s="22" t="e">
        <f ca="1">VLOOKUP($A304,tabCustoUnit[],COLUMN(CUSTO_GLOBAL[[#Headers],[CUSTO TOTAL MENSAL]])-2,0)*($G304-$H304)</f>
        <v>#NAME?</v>
      </c>
      <c r="CA304" s="22" t="e">
        <f ca="1">CUSTO_GLOBAL[[#This Row],[CUSTO TOTAL MENSAL]]*12</f>
        <v>#NAME?</v>
      </c>
      <c r="CB304" s="24">
        <f>VLOOKUP($A304,tabCustoUnit[],COLUMN(CUSTO_GLOBAL[[#Headers],[ANO DA CCT]])-2,0)</f>
        <v>45658</v>
      </c>
      <c r="CC304" s="25" t="str">
        <f>VLOOKUP($A304,tabCustoUnit[],COLUMN(CUSTO_GLOBAL[[#Headers],[Nº DE PEDIDO DA CCT]])-2,0)</f>
        <v>-</v>
      </c>
      <c r="CD304" s="25" t="str">
        <f>VLOOKUP($A304,tabCustoUnit[],COLUMN(CUSTO_GLOBAL[[#Headers],[TERMO ADITIVO ALTERAÇÃO DA CCT]])-2,0)</f>
        <v>-</v>
      </c>
    </row>
    <row r="305" spans="1:82">
      <c r="A305" s="20" t="s">
        <v>1718</v>
      </c>
      <c r="B305" t="s">
        <v>1066</v>
      </c>
      <c r="C305" t="s">
        <v>304</v>
      </c>
      <c r="D305" t="s">
        <v>1066</v>
      </c>
      <c r="E305" s="20" t="s">
        <v>1090</v>
      </c>
      <c r="F305" s="20" t="s">
        <v>120</v>
      </c>
      <c r="G305" s="20">
        <v>4</v>
      </c>
      <c r="H305" s="20">
        <v>0</v>
      </c>
      <c r="I305" s="21">
        <f>VLOOKUP($A305,tabCustoUnit[],COLUMN(CUSTO_GLOBAL[[#Headers],[Salário Base]])-2,0)*($G305-$H305)</f>
        <v>8539.2168000000001</v>
      </c>
      <c r="J305" s="21">
        <f>VLOOKUP($A305,tabCustoUnit[],COLUMN(CUSTO_GLOBAL[[#Headers],[Adicional Periculosidade]])-2,0)*($G305-$H305)</f>
        <v>0</v>
      </c>
      <c r="K305" s="21">
        <f>VLOOKUP($A305,tabCustoUnit[],COLUMN(CUSTO_GLOBAL[[#Headers],[Adicional Insalubridade]])-2,0)*($G305-$H305)</f>
        <v>0</v>
      </c>
      <c r="L305" s="21">
        <f>VLOOKUP($A305,tabCustoUnit[],COLUMN(CUSTO_GLOBAL[[#Headers],[Adicional Noturno]])-2,0)*($G305-$H305)</f>
        <v>0</v>
      </c>
      <c r="M305" s="21">
        <f>VLOOKUP($A305,tabCustoUnit[],COLUMN(CUSTO_GLOBAL[[#Headers],[Adicional Motorista II (Gratificação)]])-2,0)*($G305-$H305)</f>
        <v>0</v>
      </c>
      <c r="N305" s="21">
        <f>VLOOKUP($A305,tabCustoUnit[],COLUMN(CUSTO_GLOBAL[[#Headers],[Adicional de Sobreaviso]])-2,0)*($G305-$H305)</f>
        <v>0</v>
      </c>
      <c r="O305" s="21">
        <f>VLOOKUP($A305,tabCustoUnit[],COLUMN(CUSTO_GLOBAL[[#Headers],[Horas Extras TI]])-2,0)*($G305-$H305)</f>
        <v>0</v>
      </c>
      <c r="P305" s="21">
        <f>VLOOKUP($A305,tabCustoUnit[],COLUMN(CUSTO_GLOBAL[[#Headers],[Adicional de Acúmulo de função]])-2,0)*($G305-$H305)</f>
        <v>0</v>
      </c>
      <c r="Q305" s="21">
        <f>VLOOKUP($A305,tabCustoUnit[],COLUMN(CUSTO_GLOBAL[[#Headers],[MODULO 1 - REMUNERAÇÃO ]])-2,0)*($G305-$H305)</f>
        <v>8539.2168000000001</v>
      </c>
      <c r="R305" s="21">
        <f>VLOOKUP($A305,tabCustoUnit[],COLUMN(CUSTO_GLOBAL[[#Headers],[INSS]])-2,0)*($G305-$H305)</f>
        <v>1707.8433600000001</v>
      </c>
      <c r="S305" s="21">
        <f>VLOOKUP($A305,tabCustoUnit[],COLUMN(CUSTO_GLOBAL[[#Headers],[SESI OU SESC]])-2,0)*($G305-$H305)</f>
        <v>128.08825200000001</v>
      </c>
      <c r="T305" s="21">
        <f>VLOOKUP($A305,tabCustoUnit[],COLUMN(CUSTO_GLOBAL[[#Headers],[SENAI OU SENAC]])-2,0)*($G305-$H305)</f>
        <v>85.392167999999998</v>
      </c>
      <c r="U305" s="21">
        <f>VLOOKUP($A305,tabCustoUnit[],COLUMN(CUSTO_GLOBAL[[#Headers],[INCRA]])-2,0)*($G305-$H305)</f>
        <v>17.0784336</v>
      </c>
      <c r="V305" s="21">
        <f>VLOOKUP($A305,tabCustoUnit[],COLUMN(CUSTO_GLOBAL[[#Headers],[Salário Educação]])-2,0)*($G305-$H305)</f>
        <v>213.48042000000001</v>
      </c>
      <c r="W305" s="21">
        <f>VLOOKUP($A305,tabCustoUnit[],COLUMN(CUSTO_GLOBAL[[#Headers],[FGTS]])-2,0)*($G305-$H305)</f>
        <v>683.13734399999998</v>
      </c>
      <c r="X305" s="21">
        <f>VLOOKUP($A305,tabCustoUnit[],COLUMN(CUSTO_GLOBAL[[#Headers],[RAT Ajustado]])-2,0)*($G305-$H305)</f>
        <v>341.56867199999999</v>
      </c>
      <c r="Y305" s="21">
        <f>VLOOKUP($A305,tabCustoUnit[],COLUMN(CUSTO_GLOBAL[[#Headers],[SEBRAE]])-2,0)*($G305-$H305)</f>
        <v>51.235300800000005</v>
      </c>
      <c r="Z305" s="21">
        <f>VLOOKUP($A305,tabCustoUnit[],COLUMN(CUSTO_GLOBAL[[#Headers],[Submódulo 2.1]])-2,0)*($G305-$H305)</f>
        <v>3227.8239503999998</v>
      </c>
      <c r="AA305" s="21">
        <f>VLOOKUP($A305,tabCustoUnit[],COLUMN(CUSTO_GLOBAL[[#Headers],[13º salário (titular)]])-2,0)*($G305-$H305)</f>
        <v>711.60140000000001</v>
      </c>
      <c r="AB305" s="21">
        <f>VLOOKUP($A305,tabCustoUnit[],COLUMN(CUSTO_GLOBAL[[#Headers],[Férias e Adicional de Férias (titular)]])-2,0)*($G305-$H305)</f>
        <v>948.80186666666668</v>
      </c>
      <c r="AC305" s="21">
        <f>VLOOKUP($A305,tabCustoUnit[],COLUMN(CUSTO_GLOBAL[[#Headers],[Incidência do Submódulo 2.1 sobre 13º Salário, Férias e Adicional de Férias]])-2,0)*($G305-$H305)</f>
        <v>627.63243479999994</v>
      </c>
      <c r="AD305" s="21">
        <f>VLOOKUP($A305,tabCustoUnit[],COLUMN(CUSTO_GLOBAL[[#Headers],[Submódulo 2.2]])-2,0)*($G305-$H305)</f>
        <v>2288.0357014666665</v>
      </c>
      <c r="AE305" s="22" t="e">
        <f ca="1">VLOOKUP($A305,tabCustoUnit[],COLUMN(CUSTO_GLOBAL[[#Headers],[Vale - Transporte (Descontada parcela do empregado)]])-2,0)*($G305-$H305)</f>
        <v>#NAME?</v>
      </c>
      <c r="AF305" s="22">
        <f>VLOOKUP($A305,tabCustoUnit[],COLUMN(CUSTO_GLOBAL[[#Headers],[Vale - Alimentação (Descontada parcela do empregado)]])-2,0)*($G305-$H305)</f>
        <v>2328</v>
      </c>
      <c r="AG305" s="22">
        <f>VLOOKUP($A305,tabCustoUnit[],COLUMN(CUSTO_GLOBAL[[#Headers],[Cesta Básica]])-2,0)*($G305-$H305)</f>
        <v>0</v>
      </c>
      <c r="AH305" s="22">
        <f>VLOOKUP($A305,tabCustoUnit[],COLUMN(CUSTO_GLOBAL[[#Headers],[PAF]])-2,0)*($G305-$H305)</f>
        <v>0</v>
      </c>
      <c r="AI305" s="22">
        <f>VLOOKUP($A305,tabCustoUnit[],COLUMN(CUSTO_GLOBAL[[#Headers],[PQM]])-2,0)*($G305-$H305)</f>
        <v>60.28</v>
      </c>
      <c r="AJ305" s="22">
        <v>0</v>
      </c>
      <c r="AK305" s="22">
        <f>VLOOKUP($A305,tabCustoUnit[],COLUMN(CUSTO_GLOBAL[[#Headers],[Seguro de Vida]])-2,0)*($G305-$H305)</f>
        <v>13.44</v>
      </c>
      <c r="AL305" s="22">
        <f>VLOOKUP($A305,tabCustoUnit[],COLUMN(CUSTO_GLOBAL[[#Headers],[Despesas de Viagem]])-2,0)*($G305-$H305)</f>
        <v>0</v>
      </c>
      <c r="AM305" s="22" t="e">
        <f ca="1">VLOOKUP($A305,tabCustoUnit[],COLUMN(CUSTO_GLOBAL[[#Headers],[Submódulo 2.3]])-2,0)*($G305-$H305)</f>
        <v>#NAME?</v>
      </c>
      <c r="AN305" s="22" t="e">
        <f ca="1">VLOOKUP($A305,tabCustoUnit[],COLUMN(CUSTO_GLOBAL[[#Headers],[MÓDULO 2 - Total Encargos e Benefícios mensais e diários]])-2,0)*($G305-$H305)</f>
        <v>#NAME?</v>
      </c>
      <c r="AO305" s="22">
        <f>VLOOKUP($A305,tabCustoUnit[],COLUMN(CUSTO_GLOBAL[[#Headers],[Aviso Prévio Indenizado (API) e Reflexo do Aviso Prévio Indenizado]])-2,0)*($G305-$H305)</f>
        <v>59.874998353240741</v>
      </c>
      <c r="AP305" s="22">
        <f>VLOOKUP($A305,tabCustoUnit[],COLUMN(CUSTO_GLOBAL[[#Headers],[Incidência do FGTS sobre API e Reflexo do API]])-2,0)*($G305-$H305)</f>
        <v>4.7899998682592599</v>
      </c>
      <c r="AQ305" s="22">
        <f>VLOOKUP($A305,tabCustoUnit[],COLUMN(CUSTO_GLOBAL[[#Headers],[Multa Rescisória do FGTS sobre o Aviso Prévio Indenizado]])-2,0)*($G305-$H305)</f>
        <v>1.9159999473037042</v>
      </c>
      <c r="AR305" s="22">
        <f>VLOOKUP($A305,tabCustoUnit[],COLUMN(CUSTO_GLOBAL[[#Headers],[Aviso Prévio Trabalhado - APT]])-2,0)*($G305-$H305)</f>
        <v>29.887258800000005</v>
      </c>
      <c r="AS305" s="22">
        <f>VLOOKUP($A305,tabCustoUnit[],COLUMN(CUSTO_GLOBAL[[#Headers],[Incidência dos encargos do submódulo 2.1 sobre Aviso Prévio Trabalhado]])-2,0)*($G305-$H305)</f>
        <v>11.297383826400004</v>
      </c>
      <c r="AT305" s="22">
        <f>VLOOKUP($A305,tabCustoUnit[],COLUMN(CUSTO_GLOBAL[[#Headers],[Multa Rescisória do FGTS]])-2,0)*($G305-$H305)</f>
        <v>261.11027370666665</v>
      </c>
      <c r="AU305" s="22">
        <f>VLOOKUP($A305,tabCustoUnit[],COLUMN(CUSTO_GLOBAL[[#Headers],[Indenização Adicional (Art. 9º da Lei nº 7.238/84)]])-2,0)*($G305-$H305)</f>
        <v>7.1160140000000007</v>
      </c>
      <c r="AV305" s="22">
        <f>VLOOKUP($A305,tabCustoUnit[],COLUMN(CUSTO_GLOBAL[[#Headers],[MÓDULO 3 – PROVISÃO PARA RESCISÃO]])-2,0)*($G305-$H305)</f>
        <v>375.99192850187035</v>
      </c>
      <c r="AW305" s="22">
        <f>VLOOKUP($A305,tabCustoUnit[],COLUMN(CUSTO_GLOBAL[[#Headers],[Ausência por Doença]])-2,0)*($G305-$H305)</f>
        <v>72.108941866666655</v>
      </c>
      <c r="AX305" s="22">
        <f>VLOOKUP($A305,tabCustoUnit[],COLUMN(CUSTO_GLOBAL[[#Headers],[Ausências Legais]])-2,0)*($G305-$H305)</f>
        <v>17.315634066666664</v>
      </c>
      <c r="AY305" s="22">
        <f>VLOOKUP($A305,tabCustoUnit[],COLUMN(CUSTO_GLOBAL[[#Headers],[Licença Paternidade]])-2,0)*($G305-$H305)</f>
        <v>1.4587828700000001</v>
      </c>
      <c r="AZ305" s="22">
        <f>VLOOKUP($A305,tabCustoUnit[],COLUMN(CUSTO_GLOBAL[[#Headers],[Ausência por Acidente de Trabalho]])-2,0)*($G305-$H305)</f>
        <v>1.7790035000000002</v>
      </c>
      <c r="BA305" s="22">
        <f>VLOOKUP($A305,tabCustoUnit[],COLUMN(CUSTO_GLOBAL[[#Headers],[Férias, Adicional de Férias e 13º  com empregada em gozo de Licença Maternidade]])-2,0)*($G305-$H305)</f>
        <v>11.069355111111111</v>
      </c>
      <c r="BB305" s="22">
        <f>VLOOKUP($A305,tabCustoUnit[],COLUMN(CUSTO_GLOBAL[[#Headers],[Incidência do Submódulo 2.1 sobre Ausências Legais]])-2,0)*($G305-$H305)</f>
        <v>39.210589182660009</v>
      </c>
      <c r="BC305" s="22">
        <f>VLOOKUP($A305,tabCustoUnit[],COLUMN(CUSTO_GLOBAL[[#Headers],[Submódulo 4.1]])-2,0)*($G305-$H305)</f>
        <v>142.94230659710442</v>
      </c>
      <c r="BD305" s="22">
        <f>VLOOKUP($A305,tabCustoUnit[],COLUMN(CUSTO_GLOBAL[[#Headers],[Intervalo para Repouso ou Alimentação]])-2,0)*($G305-$H305)</f>
        <v>945.41327153617294</v>
      </c>
      <c r="BE305" s="22">
        <f>VLOOKUP($A305,tabCustoUnit[],COLUMN(CUSTO_GLOBAL[[#Headers],[Submódulo 4.2]])-2,0)*($G305-$H305)</f>
        <v>945.41327153617294</v>
      </c>
      <c r="BF305" s="22">
        <f>VLOOKUP($A305,tabCustoUnit[],COLUMN(CUSTO_GLOBAL[[#Headers],[Suspensão Temporária do Contrato de Trabalho]])-2,0)*($G305-$H305)</f>
        <v>0</v>
      </c>
      <c r="BG305" s="22">
        <f>VLOOKUP($A305,tabCustoUnit[],COLUMN(CUSTO_GLOBAL[[#Headers],[Submódulo 4.3]])-2,0)*($G305-$H305)</f>
        <v>0</v>
      </c>
      <c r="BH305" s="22">
        <f>VLOOKUP($A305,tabCustoUnit[],COLUMN(CUSTO_GLOBAL[[#Headers],[MÓDULO 4 – CUSTO DE REPOSIÇÃO DO PROFISSIONAL AUSENTE]])-2,0)*($G305-$H305)</f>
        <v>1088.3555781332773</v>
      </c>
      <c r="BI305" s="22">
        <f>VLOOKUP($A305,tabCustoUnit[],COLUMN(CUSTO_GLOBAL[[#Headers],[Uniformes e EPIs]])-2,0)*($G305-$H305)</f>
        <v>226.57191585017358</v>
      </c>
      <c r="BJ305" s="22">
        <f>VLOOKUP($A305,tabCustoUnit[],COLUMN(CUSTO_GLOBAL[[#Headers],[Materiais de Consumo]])-2,0)*($G305-$H305)</f>
        <v>0</v>
      </c>
      <c r="BK305" s="22">
        <f>VLOOKUP($A305,tabCustoUnit[],COLUMN(CUSTO_GLOBAL[[#Headers],[Máquinas e Equipamentos (depreciação)]])-2,0)*($G305-$H305)</f>
        <v>0</v>
      </c>
      <c r="BL305" s="22">
        <f>VLOOKUP($A305,tabCustoUnit[],COLUMN(CUSTO_GLOBAL[[#Headers],[Produtos de Limpeza e Materiais de Higiene Pessoal]])-2,0)*($G305-$H305)</f>
        <v>0</v>
      </c>
      <c r="BM305" s="22">
        <f>VLOOKUP($A305,tabCustoUnit[],COLUMN(CUSTO_GLOBAL[[#Headers],[Outros (especificar)]])-2,0)*($G305-$H305)</f>
        <v>0</v>
      </c>
      <c r="BN305" s="22">
        <f>VLOOKUP($A305,tabCustoUnit[],COLUMN(CUSTO_GLOBAL[[#Headers],[MÓDULO 5 – INSUMOS DIVERSOS]])-2,0)*($G305-$H305)</f>
        <v>226.57191585017358</v>
      </c>
      <c r="BO305" s="22" t="e">
        <f ca="1">VLOOKUP($A305,tabCustoUnit[],COLUMN(CUSTO_GLOBAL[[#Headers],[TOTAL MÓDULOS 1+2+3+4+5]])-2,0)*($G305-$H305)</f>
        <v>#NAME?</v>
      </c>
      <c r="BP305" s="22" t="e">
        <f ca="1">VLOOKUP($A305,tabCustoUnit[],COLUMN(CUSTO_GLOBAL[[#Headers],[Custos Indiretos]])-2,0)*($G305-$H305)</f>
        <v>#NAME?</v>
      </c>
      <c r="BQ305" s="22" t="e">
        <f ca="1">VLOOKUP($A305,tabCustoUnit[],COLUMN(CUSTO_GLOBAL[[#Headers],[Lucro]])-2,0)*($G305-$H305)</f>
        <v>#NAME?</v>
      </c>
      <c r="BR305" s="26">
        <f>VLOOKUP($A305,tabCustoUnit[],COLUMN(CUSTO_GLOBAL[[#Headers],[COFINS]])-2,0)</f>
        <v>8.5633802816901458E-2</v>
      </c>
      <c r="BS305" s="26">
        <f>VLOOKUP($A305,tabCustoUnit[],COLUMN(CUSTO_GLOBAL[[#Headers],[PIS]])-2,0)</f>
        <v>1.8591549295774657E-2</v>
      </c>
      <c r="BT305" s="28">
        <f>VLOOKUP($A305,tabCustoUnit[],COLUMN(CUSTO_GLOBAL[[#Headers],[ISS]])-2,0)</f>
        <v>0.02</v>
      </c>
      <c r="BU305" s="26">
        <f>VLOOKUP($A305,tabCustoUnit[],COLUMN(CUSTO_GLOBAL[[#Headers],[ISS (Conversão Alíquota s/ fatura)]])-2,0)</f>
        <v>2.2535211267605645E-2</v>
      </c>
      <c r="BV305" s="26">
        <f>VLOOKUP($A305,tabCustoUnit[],COLUMN(CUSTO_GLOBAL[[#Headers],[Resumo de Alíquotas (PIS+CONFINS+ISS)]])-2,0)</f>
        <v>0.1125</v>
      </c>
      <c r="BW305" s="138">
        <f>VLOOKUP($A305,tabCustoUnit[],COLUMN(CUSTO_GLOBAL[[#Headers],[PIS + COFINS + ISS (Total Conversão  Alíquota s/ Fatura)]])-2,0)</f>
        <v>0.12676056338028174</v>
      </c>
      <c r="BX305" s="22" t="e">
        <f ca="1">VLOOKUP($A305,tabCustoUnit[],COLUMN(CUSTO_GLOBAL[[#Headers],[Valor dos Tributos (ISS, PIS, CONFINS)]])-2,0)*($G305-$H305)</f>
        <v>#NAME?</v>
      </c>
      <c r="BY305" s="22" t="e">
        <f ca="1">VLOOKUP($A305,tabCustoUnit[],COLUMN(CUSTO_GLOBAL[[#Headers],[MÓDULO 6 – CUSTOS INDIRETOS, TRIBUTOS E LUCRO]])-2,0)*($G305-$H305)</f>
        <v>#NAME?</v>
      </c>
      <c r="BZ305" s="22" t="e">
        <f ca="1">VLOOKUP($A305,tabCustoUnit[],COLUMN(CUSTO_GLOBAL[[#Headers],[CUSTO TOTAL MENSAL]])-2,0)*($G305-$H305)</f>
        <v>#NAME?</v>
      </c>
      <c r="CA305" s="22" t="e">
        <f ca="1">CUSTO_GLOBAL[[#This Row],[CUSTO TOTAL MENSAL]]*12</f>
        <v>#NAME?</v>
      </c>
      <c r="CB305" s="24">
        <f>VLOOKUP($A305,tabCustoUnit[],COLUMN(CUSTO_GLOBAL[[#Headers],[ANO DA CCT]])-2,0)</f>
        <v>45658</v>
      </c>
      <c r="CC305" s="25" t="str">
        <f>VLOOKUP($A305,tabCustoUnit[],COLUMN(CUSTO_GLOBAL[[#Headers],[Nº DE PEDIDO DA CCT]])-2,0)</f>
        <v>-</v>
      </c>
      <c r="CD305" s="25" t="str">
        <f>VLOOKUP($A305,tabCustoUnit[],COLUMN(CUSTO_GLOBAL[[#Headers],[TERMO ADITIVO ALTERAÇÃO DA CCT]])-2,0)</f>
        <v>-</v>
      </c>
    </row>
    <row r="306" spans="1:82">
      <c r="A306" s="20" t="s">
        <v>1719</v>
      </c>
      <c r="B306" t="s">
        <v>1066</v>
      </c>
      <c r="C306" t="s">
        <v>309</v>
      </c>
      <c r="D306" t="s">
        <v>1066</v>
      </c>
      <c r="E306" s="20" t="s">
        <v>1090</v>
      </c>
      <c r="F306" s="20" t="s">
        <v>120</v>
      </c>
      <c r="G306" s="20">
        <v>4</v>
      </c>
      <c r="H306" s="20">
        <v>0</v>
      </c>
      <c r="I306" s="21">
        <f>VLOOKUP($A306,tabCustoUnit[],COLUMN(CUSTO_GLOBAL[[#Headers],[Salário Base]])-2,0)*($G306-$H306)</f>
        <v>8539.2168000000001</v>
      </c>
      <c r="J306" s="21">
        <f>VLOOKUP($A306,tabCustoUnit[],COLUMN(CUSTO_GLOBAL[[#Headers],[Adicional Periculosidade]])-2,0)*($G306-$H306)</f>
        <v>0</v>
      </c>
      <c r="K306" s="21">
        <f>VLOOKUP($A306,tabCustoUnit[],COLUMN(CUSTO_GLOBAL[[#Headers],[Adicional Insalubridade]])-2,0)*($G306-$H306)</f>
        <v>0</v>
      </c>
      <c r="L306" s="21">
        <f>VLOOKUP($A306,tabCustoUnit[],COLUMN(CUSTO_GLOBAL[[#Headers],[Adicional Noturno]])-2,0)*($G306-$H306)</f>
        <v>1720.652</v>
      </c>
      <c r="M306" s="21">
        <f>VLOOKUP($A306,tabCustoUnit[],COLUMN(CUSTO_GLOBAL[[#Headers],[Adicional Motorista II (Gratificação)]])-2,0)*($G306-$H306)</f>
        <v>0</v>
      </c>
      <c r="N306" s="21">
        <f>VLOOKUP($A306,tabCustoUnit[],COLUMN(CUSTO_GLOBAL[[#Headers],[Adicional de Sobreaviso]])-2,0)*($G306-$H306)</f>
        <v>0</v>
      </c>
      <c r="O306" s="21">
        <f>VLOOKUP($A306,tabCustoUnit[],COLUMN(CUSTO_GLOBAL[[#Headers],[Horas Extras TI]])-2,0)*($G306-$H306)</f>
        <v>0</v>
      </c>
      <c r="P306" s="21">
        <f>VLOOKUP($A306,tabCustoUnit[],COLUMN(CUSTO_GLOBAL[[#Headers],[Adicional de Acúmulo de função]])-2,0)*($G306-$H306)</f>
        <v>0</v>
      </c>
      <c r="Q306" s="21">
        <f>VLOOKUP($A306,tabCustoUnit[],COLUMN(CUSTO_GLOBAL[[#Headers],[MODULO 1 - REMUNERAÇÃO ]])-2,0)*($G306-$H306)</f>
        <v>10259.8688</v>
      </c>
      <c r="R306" s="21">
        <f>VLOOKUP($A306,tabCustoUnit[],COLUMN(CUSTO_GLOBAL[[#Headers],[INSS]])-2,0)*($G306-$H306)</f>
        <v>2051.9737600000003</v>
      </c>
      <c r="S306" s="21">
        <f>VLOOKUP($A306,tabCustoUnit[],COLUMN(CUSTO_GLOBAL[[#Headers],[SESI OU SESC]])-2,0)*($G306-$H306)</f>
        <v>153.898032</v>
      </c>
      <c r="T306" s="21">
        <f>VLOOKUP($A306,tabCustoUnit[],COLUMN(CUSTO_GLOBAL[[#Headers],[SENAI OU SENAC]])-2,0)*($G306-$H306)</f>
        <v>102.59868800000001</v>
      </c>
      <c r="U306" s="21">
        <f>VLOOKUP($A306,tabCustoUnit[],COLUMN(CUSTO_GLOBAL[[#Headers],[INCRA]])-2,0)*($G306-$H306)</f>
        <v>20.519737599999999</v>
      </c>
      <c r="V306" s="21">
        <f>VLOOKUP($A306,tabCustoUnit[],COLUMN(CUSTO_GLOBAL[[#Headers],[Salário Educação]])-2,0)*($G306-$H306)</f>
        <v>256.49672000000004</v>
      </c>
      <c r="W306" s="21">
        <f>VLOOKUP($A306,tabCustoUnit[],COLUMN(CUSTO_GLOBAL[[#Headers],[FGTS]])-2,0)*($G306-$H306)</f>
        <v>820.78950400000008</v>
      </c>
      <c r="X306" s="21">
        <f>VLOOKUP($A306,tabCustoUnit[],COLUMN(CUSTO_GLOBAL[[#Headers],[RAT Ajustado]])-2,0)*($G306-$H306)</f>
        <v>410.39475200000004</v>
      </c>
      <c r="Y306" s="21">
        <f>VLOOKUP($A306,tabCustoUnit[],COLUMN(CUSTO_GLOBAL[[#Headers],[SEBRAE]])-2,0)*($G306-$H306)</f>
        <v>61.559212800000005</v>
      </c>
      <c r="Z306" s="21">
        <f>VLOOKUP($A306,tabCustoUnit[],COLUMN(CUSTO_GLOBAL[[#Headers],[Submódulo 2.1]])-2,0)*($G306-$H306)</f>
        <v>3878.2304064000009</v>
      </c>
      <c r="AA306" s="21">
        <f>VLOOKUP($A306,tabCustoUnit[],COLUMN(CUSTO_GLOBAL[[#Headers],[13º salário (titular)]])-2,0)*($G306-$H306)</f>
        <v>854.98906666666664</v>
      </c>
      <c r="AB306" s="21">
        <f>VLOOKUP($A306,tabCustoUnit[],COLUMN(CUSTO_GLOBAL[[#Headers],[Férias e Adicional de Férias (titular)]])-2,0)*($G306-$H306)</f>
        <v>1139.9854222222223</v>
      </c>
      <c r="AC306" s="21">
        <f>VLOOKUP($A306,tabCustoUnit[],COLUMN(CUSTO_GLOBAL[[#Headers],[Incidência do Submódulo 2.1 sobre 13º Salário, Férias e Adicional de Férias]])-2,0)*($G306-$H306)</f>
        <v>754.10035680000021</v>
      </c>
      <c r="AD306" s="21">
        <f>VLOOKUP($A306,tabCustoUnit[],COLUMN(CUSTO_GLOBAL[[#Headers],[Submódulo 2.2]])-2,0)*($G306-$H306)</f>
        <v>2749.0748456888891</v>
      </c>
      <c r="AE306" s="22" t="e">
        <f ca="1">VLOOKUP($A306,tabCustoUnit[],COLUMN(CUSTO_GLOBAL[[#Headers],[Vale - Transporte (Descontada parcela do empregado)]])-2,0)*($G306-$H306)</f>
        <v>#NAME?</v>
      </c>
      <c r="AF306" s="22">
        <f>VLOOKUP($A306,tabCustoUnit[],COLUMN(CUSTO_GLOBAL[[#Headers],[Vale - Alimentação (Descontada parcela do empregado)]])-2,0)*($G306-$H306)</f>
        <v>2328</v>
      </c>
      <c r="AG306" s="22">
        <f>VLOOKUP($A306,tabCustoUnit[],COLUMN(CUSTO_GLOBAL[[#Headers],[Cesta Básica]])-2,0)*($G306-$H306)</f>
        <v>0</v>
      </c>
      <c r="AH306" s="22">
        <f>VLOOKUP($A306,tabCustoUnit[],COLUMN(CUSTO_GLOBAL[[#Headers],[PAF]])-2,0)*($G306-$H306)</f>
        <v>0</v>
      </c>
      <c r="AI306" s="22">
        <f>VLOOKUP($A306,tabCustoUnit[],COLUMN(CUSTO_GLOBAL[[#Headers],[PQM]])-2,0)*($G306-$H306)</f>
        <v>60.28</v>
      </c>
      <c r="AJ306" s="22">
        <v>0</v>
      </c>
      <c r="AK306" s="22">
        <f>VLOOKUP($A306,tabCustoUnit[],COLUMN(CUSTO_GLOBAL[[#Headers],[Seguro de Vida]])-2,0)*($G306-$H306)</f>
        <v>13.44</v>
      </c>
      <c r="AL306" s="22">
        <f>VLOOKUP($A306,tabCustoUnit[],COLUMN(CUSTO_GLOBAL[[#Headers],[Despesas de Viagem]])-2,0)*($G306-$H306)</f>
        <v>0</v>
      </c>
      <c r="AM306" s="22" t="e">
        <f ca="1">VLOOKUP($A306,tabCustoUnit[],COLUMN(CUSTO_GLOBAL[[#Headers],[Submódulo 2.3]])-2,0)*($G306-$H306)</f>
        <v>#NAME?</v>
      </c>
      <c r="AN306" s="22" t="e">
        <f ca="1">VLOOKUP($A306,tabCustoUnit[],COLUMN(CUSTO_GLOBAL[[#Headers],[MÓDULO 2 - Total Encargos e Benefícios mensais e diários]])-2,0)*($G306-$H306)</f>
        <v>#NAME?</v>
      </c>
      <c r="AO306" s="22">
        <f>VLOOKUP($A306,tabCustoUnit[],COLUMN(CUSTO_GLOBAL[[#Headers],[Aviso Prévio Indenizado (API) e Reflexo do Aviso Prévio Indenizado]])-2,0)*($G306-$H306)</f>
        <v>71.939809222839514</v>
      </c>
      <c r="AP306" s="22">
        <f>VLOOKUP($A306,tabCustoUnit[],COLUMN(CUSTO_GLOBAL[[#Headers],[Incidência do FGTS sobre API e Reflexo do API]])-2,0)*($G306-$H306)</f>
        <v>5.755184737827161</v>
      </c>
      <c r="AQ306" s="22">
        <f>VLOOKUP($A306,tabCustoUnit[],COLUMN(CUSTO_GLOBAL[[#Headers],[Multa Rescisória do FGTS sobre o Aviso Prévio Indenizado]])-2,0)*($G306-$H306)</f>
        <v>2.3020738951308646</v>
      </c>
      <c r="AR306" s="22">
        <f>VLOOKUP($A306,tabCustoUnit[],COLUMN(CUSTO_GLOBAL[[#Headers],[Aviso Prévio Trabalhado - APT]])-2,0)*($G306-$H306)</f>
        <v>35.909540800000009</v>
      </c>
      <c r="AS306" s="22">
        <f>VLOOKUP($A306,tabCustoUnit[],COLUMN(CUSTO_GLOBAL[[#Headers],[Incidência dos encargos do submódulo 2.1 sobre Aviso Prévio Trabalhado]])-2,0)*($G306-$H306)</f>
        <v>13.573806422400004</v>
      </c>
      <c r="AT306" s="22">
        <f>VLOOKUP($A306,tabCustoUnit[],COLUMN(CUSTO_GLOBAL[[#Headers],[Multa Rescisória do FGTS]])-2,0)*($G306-$H306)</f>
        <v>313.72398819555553</v>
      </c>
      <c r="AU306" s="22">
        <f>VLOOKUP($A306,tabCustoUnit[],COLUMN(CUSTO_GLOBAL[[#Headers],[Indenização Adicional (Art. 9º da Lei nº 7.238/84)]])-2,0)*($G306-$H306)</f>
        <v>8.5498906666666681</v>
      </c>
      <c r="AV306" s="22">
        <f>VLOOKUP($A306,tabCustoUnit[],COLUMN(CUSTO_GLOBAL[[#Headers],[MÓDULO 3 – PROVISÃO PARA RESCISÃO]])-2,0)*($G306-$H306)</f>
        <v>451.75429394041976</v>
      </c>
      <c r="AW306" s="22">
        <f>VLOOKUP($A306,tabCustoUnit[],COLUMN(CUSTO_GLOBAL[[#Headers],[Ausência por Doença]])-2,0)*($G306-$H306)</f>
        <v>86.63889208888888</v>
      </c>
      <c r="AX306" s="22">
        <f>VLOOKUP($A306,tabCustoUnit[],COLUMN(CUSTO_GLOBAL[[#Headers],[Ausências Legais]])-2,0)*($G306-$H306)</f>
        <v>20.804733955555555</v>
      </c>
      <c r="AY306" s="22">
        <f>VLOOKUP($A306,tabCustoUnit[],COLUMN(CUSTO_GLOBAL[[#Headers],[Licença Paternidade]])-2,0)*($G306-$H306)</f>
        <v>1.7527275866666667</v>
      </c>
      <c r="AZ306" s="22">
        <f>VLOOKUP($A306,tabCustoUnit[],COLUMN(CUSTO_GLOBAL[[#Headers],[Ausência por Acidente de Trabalho]])-2,0)*($G306-$H306)</f>
        <v>2.137472666666667</v>
      </c>
      <c r="BA306" s="22">
        <f>VLOOKUP($A306,tabCustoUnit[],COLUMN(CUSTO_GLOBAL[[#Headers],[Férias, Adicional de Férias e 13º  com empregada em gozo de Licença Maternidade]])-2,0)*($G306-$H306)</f>
        <v>13.299829925925925</v>
      </c>
      <c r="BB306" s="22">
        <f>VLOOKUP($A306,tabCustoUnit[],COLUMN(CUSTO_GLOBAL[[#Headers],[Incidência do Submódulo 2.1 sobre Ausências Legais]])-2,0)*($G306-$H306)</f>
        <v>47.111522052560012</v>
      </c>
      <c r="BC306" s="22">
        <f>VLOOKUP($A306,tabCustoUnit[],COLUMN(CUSTO_GLOBAL[[#Headers],[Submódulo 4.1]])-2,0)*($G306-$H306)</f>
        <v>171.74517827626372</v>
      </c>
      <c r="BD306" s="22">
        <f>VLOOKUP($A306,tabCustoUnit[],COLUMN(CUSTO_GLOBAL[[#Headers],[Intervalo para Repouso ou Alimentação]])-2,0)*($G306-$H306)</f>
        <v>1135.9140457507119</v>
      </c>
      <c r="BE306" s="22">
        <f>VLOOKUP($A306,tabCustoUnit[],COLUMN(CUSTO_GLOBAL[[#Headers],[Submódulo 4.2]])-2,0)*($G306-$H306)</f>
        <v>1135.9140457507119</v>
      </c>
      <c r="BF306" s="22">
        <f>VLOOKUP($A306,tabCustoUnit[],COLUMN(CUSTO_GLOBAL[[#Headers],[Suspensão Temporária do Contrato de Trabalho]])-2,0)*($G306-$H306)</f>
        <v>0</v>
      </c>
      <c r="BG306" s="22">
        <f>VLOOKUP($A306,tabCustoUnit[],COLUMN(CUSTO_GLOBAL[[#Headers],[Submódulo 4.3]])-2,0)*($G306-$H306)</f>
        <v>0</v>
      </c>
      <c r="BH306" s="22">
        <f>VLOOKUP($A306,tabCustoUnit[],COLUMN(CUSTO_GLOBAL[[#Headers],[MÓDULO 4 – CUSTO DE REPOSIÇÃO DO PROFISSIONAL AUSENTE]])-2,0)*($G306-$H306)</f>
        <v>1307.6592240269756</v>
      </c>
      <c r="BI306" s="22">
        <f>VLOOKUP($A306,tabCustoUnit[],COLUMN(CUSTO_GLOBAL[[#Headers],[Uniformes e EPIs]])-2,0)*($G306-$H306)</f>
        <v>226.57191585017358</v>
      </c>
      <c r="BJ306" s="22">
        <f>VLOOKUP($A306,tabCustoUnit[],COLUMN(CUSTO_GLOBAL[[#Headers],[Materiais de Consumo]])-2,0)*($G306-$H306)</f>
        <v>0</v>
      </c>
      <c r="BK306" s="22">
        <f>VLOOKUP($A306,tabCustoUnit[],COLUMN(CUSTO_GLOBAL[[#Headers],[Máquinas e Equipamentos (depreciação)]])-2,0)*($G306-$H306)</f>
        <v>0</v>
      </c>
      <c r="BL306" s="22">
        <f>VLOOKUP($A306,tabCustoUnit[],COLUMN(CUSTO_GLOBAL[[#Headers],[Produtos de Limpeza e Materiais de Higiene Pessoal]])-2,0)*($G306-$H306)</f>
        <v>0</v>
      </c>
      <c r="BM306" s="22">
        <f>VLOOKUP($A306,tabCustoUnit[],COLUMN(CUSTO_GLOBAL[[#Headers],[Outros (especificar)]])-2,0)*($G306-$H306)</f>
        <v>0</v>
      </c>
      <c r="BN306" s="22">
        <f>VLOOKUP($A306,tabCustoUnit[],COLUMN(CUSTO_GLOBAL[[#Headers],[MÓDULO 5 – INSUMOS DIVERSOS]])-2,0)*($G306-$H306)</f>
        <v>226.57191585017358</v>
      </c>
      <c r="BO306" s="22" t="e">
        <f ca="1">VLOOKUP($A306,tabCustoUnit[],COLUMN(CUSTO_GLOBAL[[#Headers],[TOTAL MÓDULOS 1+2+3+4+5]])-2,0)*($G306-$H306)</f>
        <v>#NAME?</v>
      </c>
      <c r="BP306" s="22" t="e">
        <f ca="1">VLOOKUP($A306,tabCustoUnit[],COLUMN(CUSTO_GLOBAL[[#Headers],[Custos Indiretos]])-2,0)*($G306-$H306)</f>
        <v>#NAME?</v>
      </c>
      <c r="BQ306" s="22" t="e">
        <f ca="1">VLOOKUP($A306,tabCustoUnit[],COLUMN(CUSTO_GLOBAL[[#Headers],[Lucro]])-2,0)*($G306-$H306)</f>
        <v>#NAME?</v>
      </c>
      <c r="BR306" s="26">
        <f>VLOOKUP($A306,tabCustoUnit[],COLUMN(CUSTO_GLOBAL[[#Headers],[COFINS]])-2,0)</f>
        <v>8.5633802816901458E-2</v>
      </c>
      <c r="BS306" s="26">
        <f>VLOOKUP($A306,tabCustoUnit[],COLUMN(CUSTO_GLOBAL[[#Headers],[PIS]])-2,0)</f>
        <v>1.8591549295774657E-2</v>
      </c>
      <c r="BT306" s="28">
        <f>VLOOKUP($A306,tabCustoUnit[],COLUMN(CUSTO_GLOBAL[[#Headers],[ISS]])-2,0)</f>
        <v>0.02</v>
      </c>
      <c r="BU306" s="26">
        <f>VLOOKUP($A306,tabCustoUnit[],COLUMN(CUSTO_GLOBAL[[#Headers],[ISS (Conversão Alíquota s/ fatura)]])-2,0)</f>
        <v>2.2535211267605645E-2</v>
      </c>
      <c r="BV306" s="26">
        <f>VLOOKUP($A306,tabCustoUnit[],COLUMN(CUSTO_GLOBAL[[#Headers],[Resumo de Alíquotas (PIS+CONFINS+ISS)]])-2,0)</f>
        <v>0.1125</v>
      </c>
      <c r="BW306" s="138">
        <f>VLOOKUP($A306,tabCustoUnit[],COLUMN(CUSTO_GLOBAL[[#Headers],[PIS + COFINS + ISS (Total Conversão  Alíquota s/ Fatura)]])-2,0)</f>
        <v>0.12676056338028174</v>
      </c>
      <c r="BX306" s="22" t="e">
        <f ca="1">VLOOKUP($A306,tabCustoUnit[],COLUMN(CUSTO_GLOBAL[[#Headers],[Valor dos Tributos (ISS, PIS, CONFINS)]])-2,0)*($G306-$H306)</f>
        <v>#NAME?</v>
      </c>
      <c r="BY306" s="22" t="e">
        <f ca="1">VLOOKUP($A306,tabCustoUnit[],COLUMN(CUSTO_GLOBAL[[#Headers],[MÓDULO 6 – CUSTOS INDIRETOS, TRIBUTOS E LUCRO]])-2,0)*($G306-$H306)</f>
        <v>#NAME?</v>
      </c>
      <c r="BZ306" s="22" t="e">
        <f ca="1">VLOOKUP($A306,tabCustoUnit[],COLUMN(CUSTO_GLOBAL[[#Headers],[CUSTO TOTAL MENSAL]])-2,0)*($G306-$H306)</f>
        <v>#NAME?</v>
      </c>
      <c r="CA306" s="22" t="e">
        <f ca="1">CUSTO_GLOBAL[[#This Row],[CUSTO TOTAL MENSAL]]*12</f>
        <v>#NAME?</v>
      </c>
      <c r="CB306" s="24">
        <f>VLOOKUP($A306,tabCustoUnit[],COLUMN(CUSTO_GLOBAL[[#Headers],[ANO DA CCT]])-2,0)</f>
        <v>45658</v>
      </c>
      <c r="CC306" s="25" t="str">
        <f>VLOOKUP($A306,tabCustoUnit[],COLUMN(CUSTO_GLOBAL[[#Headers],[Nº DE PEDIDO DA CCT]])-2,0)</f>
        <v>-</v>
      </c>
      <c r="CD306" s="25" t="str">
        <f>VLOOKUP($A306,tabCustoUnit[],COLUMN(CUSTO_GLOBAL[[#Headers],[TERMO ADITIVO ALTERAÇÃO DA CCT]])-2,0)</f>
        <v>-</v>
      </c>
    </row>
    <row r="307" spans="1:82">
      <c r="A307" s="20" t="s">
        <v>1720</v>
      </c>
      <c r="B307" t="s">
        <v>1210</v>
      </c>
      <c r="C307" t="s">
        <v>324</v>
      </c>
      <c r="D307" t="s">
        <v>1041</v>
      </c>
      <c r="E307" s="20" t="s">
        <v>1090</v>
      </c>
      <c r="F307" s="20" t="s">
        <v>120</v>
      </c>
      <c r="G307" s="20">
        <v>1</v>
      </c>
      <c r="H307" s="20">
        <v>0</v>
      </c>
      <c r="I307" s="21">
        <f>VLOOKUP($A307,tabCustoUnit[],COLUMN(CUSTO_GLOBAL[[#Headers],[Salário Base]])-2,0)*($G307-$H307)</f>
        <v>3397.1306</v>
      </c>
      <c r="J307" s="21">
        <f>VLOOKUP($A307,tabCustoUnit[],COLUMN(CUSTO_GLOBAL[[#Headers],[Adicional Periculosidade]])-2,0)*($G307-$H307)</f>
        <v>0</v>
      </c>
      <c r="K307" s="21">
        <f>VLOOKUP($A307,tabCustoUnit[],COLUMN(CUSTO_GLOBAL[[#Headers],[Adicional Insalubridade]])-2,0)*($G307-$H307)</f>
        <v>0</v>
      </c>
      <c r="L307" s="21">
        <f>VLOOKUP($A307,tabCustoUnit[],COLUMN(CUSTO_GLOBAL[[#Headers],[Adicional Noturno]])-2,0)*($G307-$H307)</f>
        <v>0</v>
      </c>
      <c r="M307" s="21">
        <f>VLOOKUP($A307,tabCustoUnit[],COLUMN(CUSTO_GLOBAL[[#Headers],[Adicional Motorista II (Gratificação)]])-2,0)*($G307-$H307)</f>
        <v>0</v>
      </c>
      <c r="N307" s="21">
        <f>VLOOKUP($A307,tabCustoUnit[],COLUMN(CUSTO_GLOBAL[[#Headers],[Adicional de Sobreaviso]])-2,0)*($G307-$H307)</f>
        <v>0</v>
      </c>
      <c r="O307" s="21">
        <f>VLOOKUP($A307,tabCustoUnit[],COLUMN(CUSTO_GLOBAL[[#Headers],[Horas Extras TI]])-2,0)*($G307-$H307)</f>
        <v>0</v>
      </c>
      <c r="P307" s="21">
        <f>VLOOKUP($A307,tabCustoUnit[],COLUMN(CUSTO_GLOBAL[[#Headers],[Adicional de Acúmulo de função]])-2,0)*($G307-$H307)</f>
        <v>0</v>
      </c>
      <c r="Q307" s="21">
        <f>VLOOKUP($A307,tabCustoUnit[],COLUMN(CUSTO_GLOBAL[[#Headers],[MODULO 1 - REMUNERAÇÃO ]])-2,0)*($G307-$H307)</f>
        <v>3397.1306</v>
      </c>
      <c r="R307" s="21">
        <f>VLOOKUP($A307,tabCustoUnit[],COLUMN(CUSTO_GLOBAL[[#Headers],[INSS]])-2,0)*($G307-$H307)</f>
        <v>679.42612000000008</v>
      </c>
      <c r="S307" s="21">
        <f>VLOOKUP($A307,tabCustoUnit[],COLUMN(CUSTO_GLOBAL[[#Headers],[SESI OU SESC]])-2,0)*($G307-$H307)</f>
        <v>50.956958999999998</v>
      </c>
      <c r="T307" s="21">
        <f>VLOOKUP($A307,tabCustoUnit[],COLUMN(CUSTO_GLOBAL[[#Headers],[SENAI OU SENAC]])-2,0)*($G307-$H307)</f>
        <v>33.971305999999998</v>
      </c>
      <c r="U307" s="21">
        <f>VLOOKUP($A307,tabCustoUnit[],COLUMN(CUSTO_GLOBAL[[#Headers],[INCRA]])-2,0)*($G307-$H307)</f>
        <v>6.7942612000000002</v>
      </c>
      <c r="V307" s="21">
        <f>VLOOKUP($A307,tabCustoUnit[],COLUMN(CUSTO_GLOBAL[[#Headers],[Salário Educação]])-2,0)*($G307-$H307)</f>
        <v>84.92826500000001</v>
      </c>
      <c r="W307" s="21">
        <f>VLOOKUP($A307,tabCustoUnit[],COLUMN(CUSTO_GLOBAL[[#Headers],[FGTS]])-2,0)*($G307-$H307)</f>
        <v>271.77044799999999</v>
      </c>
      <c r="X307" s="21">
        <f>VLOOKUP($A307,tabCustoUnit[],COLUMN(CUSTO_GLOBAL[[#Headers],[RAT Ajustado]])-2,0)*($G307-$H307)</f>
        <v>135.88522399999999</v>
      </c>
      <c r="Y307" s="21">
        <f>VLOOKUP($A307,tabCustoUnit[],COLUMN(CUSTO_GLOBAL[[#Headers],[SEBRAE]])-2,0)*($G307-$H307)</f>
        <v>20.3827836</v>
      </c>
      <c r="Z307" s="21">
        <f>VLOOKUP($A307,tabCustoUnit[],COLUMN(CUSTO_GLOBAL[[#Headers],[Submódulo 2.1]])-2,0)*($G307-$H307)</f>
        <v>1284.1153668000002</v>
      </c>
      <c r="AA307" s="21">
        <f>VLOOKUP($A307,tabCustoUnit[],COLUMN(CUSTO_GLOBAL[[#Headers],[13º salário (titular)]])-2,0)*($G307-$H307)</f>
        <v>283.09421666666663</v>
      </c>
      <c r="AB307" s="21">
        <f>VLOOKUP($A307,tabCustoUnit[],COLUMN(CUSTO_GLOBAL[[#Headers],[Férias e Adicional de Férias (titular)]])-2,0)*($G307-$H307)</f>
        <v>377.45895555555552</v>
      </c>
      <c r="AC307" s="21">
        <f>VLOOKUP($A307,tabCustoUnit[],COLUMN(CUSTO_GLOBAL[[#Headers],[Incidência do Submódulo 2.1 sobre 13º Salário, Férias e Adicional de Férias]])-2,0)*($G307-$H307)</f>
        <v>249.68909910000002</v>
      </c>
      <c r="AD307" s="21">
        <f>VLOOKUP($A307,tabCustoUnit[],COLUMN(CUSTO_GLOBAL[[#Headers],[Submódulo 2.2]])-2,0)*($G307-$H307)</f>
        <v>910.24227132222222</v>
      </c>
      <c r="AE307" s="22" t="e">
        <f ca="1">VLOOKUP($A307,tabCustoUnit[],COLUMN(CUSTO_GLOBAL[[#Headers],[Vale - Transporte (Descontada parcela do empregado)]])-2,0)*($G307-$H307)</f>
        <v>#NAME?</v>
      </c>
      <c r="AF307" s="22">
        <f>VLOOKUP($A307,tabCustoUnit[],COLUMN(CUSTO_GLOBAL[[#Headers],[Vale - Alimentação (Descontada parcela do empregado)]])-2,0)*($G307-$H307)</f>
        <v>582</v>
      </c>
      <c r="AG307" s="22">
        <f>VLOOKUP($A307,tabCustoUnit[],COLUMN(CUSTO_GLOBAL[[#Headers],[Cesta Básica]])-2,0)*($G307-$H307)</f>
        <v>0</v>
      </c>
      <c r="AH307" s="22">
        <f>VLOOKUP($A307,tabCustoUnit[],COLUMN(CUSTO_GLOBAL[[#Headers],[PAF]])-2,0)*($G307-$H307)</f>
        <v>51.86</v>
      </c>
      <c r="AI307" s="22">
        <f>VLOOKUP($A307,tabCustoUnit[],COLUMN(CUSTO_GLOBAL[[#Headers],[PQM]])-2,0)*($G307-$H307)</f>
        <v>0</v>
      </c>
      <c r="AJ307" s="22">
        <v>0</v>
      </c>
      <c r="AK307" s="22">
        <f>VLOOKUP($A307,tabCustoUnit[],COLUMN(CUSTO_GLOBAL[[#Headers],[Seguro de Vida]])-2,0)*($G307-$H307)</f>
        <v>3.36</v>
      </c>
      <c r="AL307" s="22">
        <f>VLOOKUP($A307,tabCustoUnit[],COLUMN(CUSTO_GLOBAL[[#Headers],[Despesas de Viagem]])-2,0)*($G307-$H307)</f>
        <v>0</v>
      </c>
      <c r="AM307" s="22" t="e">
        <f ca="1">VLOOKUP($A307,tabCustoUnit[],COLUMN(CUSTO_GLOBAL[[#Headers],[Submódulo 2.3]])-2,0)*($G307-$H307)</f>
        <v>#NAME?</v>
      </c>
      <c r="AN307" s="22" t="e">
        <f ca="1">VLOOKUP($A307,tabCustoUnit[],COLUMN(CUSTO_GLOBAL[[#Headers],[MÓDULO 2 - Total Encargos e Benefícios mensais e diários]])-2,0)*($G307-$H307)</f>
        <v>#NAME?</v>
      </c>
      <c r="AO307" s="22">
        <f>VLOOKUP($A307,tabCustoUnit[],COLUMN(CUSTO_GLOBAL[[#Headers],[Aviso Prévio Indenizado (API) e Reflexo do Aviso Prévio Indenizado]])-2,0)*($G307-$H307)</f>
        <v>23.819888151890432</v>
      </c>
      <c r="AP307" s="22">
        <f>VLOOKUP($A307,tabCustoUnit[],COLUMN(CUSTO_GLOBAL[[#Headers],[Incidência do FGTS sobre API e Reflexo do API]])-2,0)*($G307-$H307)</f>
        <v>1.9055910521512347</v>
      </c>
      <c r="AQ307" s="22">
        <f>VLOOKUP($A307,tabCustoUnit[],COLUMN(CUSTO_GLOBAL[[#Headers],[Multa Rescisória do FGTS sobre o Aviso Prévio Indenizado]])-2,0)*($G307-$H307)</f>
        <v>0.76223642086049392</v>
      </c>
      <c r="AR307" s="22">
        <f>VLOOKUP($A307,tabCustoUnit[],COLUMN(CUSTO_GLOBAL[[#Headers],[Aviso Prévio Trabalhado - APT]])-2,0)*($G307-$H307)</f>
        <v>11.889957100000002</v>
      </c>
      <c r="AS307" s="22">
        <f>VLOOKUP($A307,tabCustoUnit[],COLUMN(CUSTO_GLOBAL[[#Headers],[Incidência dos encargos do submódulo 2.1 sobre Aviso Prévio Trabalhado]])-2,0)*($G307-$H307)</f>
        <v>4.4944037838000011</v>
      </c>
      <c r="AT307" s="22">
        <f>VLOOKUP($A307,tabCustoUnit[],COLUMN(CUSTO_GLOBAL[[#Headers],[Multa Rescisória do FGTS]])-2,0)*($G307-$H307)</f>
        <v>103.87670456888887</v>
      </c>
      <c r="AU307" s="22">
        <f>VLOOKUP($A307,tabCustoUnit[],COLUMN(CUSTO_GLOBAL[[#Headers],[Indenização Adicional (Art. 9º da Lei nº 7.238/84)]])-2,0)*($G307-$H307)</f>
        <v>2.830942166666667</v>
      </c>
      <c r="AV307" s="22">
        <f>VLOOKUP($A307,tabCustoUnit[],COLUMN(CUSTO_GLOBAL[[#Headers],[MÓDULO 3 – PROVISÃO PARA RESCISÃO]])-2,0)*($G307-$H307)</f>
        <v>149.57972324425771</v>
      </c>
      <c r="AW307" s="22">
        <f>VLOOKUP($A307,tabCustoUnit[],COLUMN(CUSTO_GLOBAL[[#Headers],[Ausência por Doença]])-2,0)*($G307-$H307)</f>
        <v>28.686880622222219</v>
      </c>
      <c r="AX307" s="22">
        <f>VLOOKUP($A307,tabCustoUnit[],COLUMN(CUSTO_GLOBAL[[#Headers],[Ausências Legais]])-2,0)*($G307-$H307)</f>
        <v>6.8886259388888886</v>
      </c>
      <c r="AY307" s="22">
        <f>VLOOKUP($A307,tabCustoUnit[],COLUMN(CUSTO_GLOBAL[[#Headers],[Licença Paternidade]])-2,0)*($G307-$H307)</f>
        <v>0.58034314416666666</v>
      </c>
      <c r="AZ307" s="22">
        <f>VLOOKUP($A307,tabCustoUnit[],COLUMN(CUSTO_GLOBAL[[#Headers],[Ausência por Acidente de Trabalho]])-2,0)*($G307-$H307)</f>
        <v>0.70773554166666675</v>
      </c>
      <c r="BA307" s="22">
        <f>VLOOKUP($A307,tabCustoUnit[],COLUMN(CUSTO_GLOBAL[[#Headers],[Férias, Adicional de Férias e 13º  com empregada em gozo de Licença Maternidade]])-2,0)*($G307-$H307)</f>
        <v>4.4036878148148144</v>
      </c>
      <c r="BB307" s="22">
        <f>VLOOKUP($A307,tabCustoUnit[],COLUMN(CUSTO_GLOBAL[[#Headers],[Incidência do Submódulo 2.1 sobre Ausências Legais]])-2,0)*($G307-$H307)</f>
        <v>15.599029217345002</v>
      </c>
      <c r="BC307" s="22">
        <f>VLOOKUP($A307,tabCustoUnit[],COLUMN(CUSTO_GLOBAL[[#Headers],[Submódulo 4.1]])-2,0)*($G307-$H307)</f>
        <v>56.866302279104261</v>
      </c>
      <c r="BD307" s="22">
        <f>VLOOKUP($A307,tabCustoUnit[],COLUMN(CUSTO_GLOBAL[[#Headers],[Intervalo para Repouso ou Alimentação]])-2,0)*($G307-$H307)</f>
        <v>0</v>
      </c>
      <c r="BE307" s="22">
        <f>VLOOKUP($A307,tabCustoUnit[],COLUMN(CUSTO_GLOBAL[[#Headers],[Submódulo 4.2]])-2,0)*($G307-$H307)</f>
        <v>0</v>
      </c>
      <c r="BF307" s="22">
        <f>VLOOKUP($A307,tabCustoUnit[],COLUMN(CUSTO_GLOBAL[[#Headers],[Suspensão Temporária do Contrato de Trabalho]])-2,0)*($G307-$H307)</f>
        <v>0</v>
      </c>
      <c r="BG307" s="22">
        <f>VLOOKUP($A307,tabCustoUnit[],COLUMN(CUSTO_GLOBAL[[#Headers],[Submódulo 4.3]])-2,0)*($G307-$H307)</f>
        <v>0</v>
      </c>
      <c r="BH307" s="22">
        <f>VLOOKUP($A307,tabCustoUnit[],COLUMN(CUSTO_GLOBAL[[#Headers],[MÓDULO 4 – CUSTO DE REPOSIÇÃO DO PROFISSIONAL AUSENTE]])-2,0)*($G307-$H307)</f>
        <v>56.866302279104261</v>
      </c>
      <c r="BI307" s="22">
        <f>VLOOKUP($A307,tabCustoUnit[],COLUMN(CUSTO_GLOBAL[[#Headers],[Uniformes e EPIs]])-2,0)*($G307-$H307)</f>
        <v>56.642978962543395</v>
      </c>
      <c r="BJ307" s="22">
        <f>VLOOKUP($A307,tabCustoUnit[],COLUMN(CUSTO_GLOBAL[[#Headers],[Materiais de Consumo]])-2,0)*($G307-$H307)</f>
        <v>0</v>
      </c>
      <c r="BK307" s="22">
        <f>VLOOKUP($A307,tabCustoUnit[],COLUMN(CUSTO_GLOBAL[[#Headers],[Máquinas e Equipamentos (depreciação)]])-2,0)*($G307-$H307)</f>
        <v>0</v>
      </c>
      <c r="BL307" s="22">
        <f>VLOOKUP($A307,tabCustoUnit[],COLUMN(CUSTO_GLOBAL[[#Headers],[Produtos de Limpeza e Materiais de Higiene Pessoal]])-2,0)*($G307-$H307)</f>
        <v>0</v>
      </c>
      <c r="BM307" s="22">
        <f>VLOOKUP($A307,tabCustoUnit[],COLUMN(CUSTO_GLOBAL[[#Headers],[Outros (especificar)]])-2,0)*($G307-$H307)</f>
        <v>0</v>
      </c>
      <c r="BN307" s="22">
        <f>VLOOKUP($A307,tabCustoUnit[],COLUMN(CUSTO_GLOBAL[[#Headers],[MÓDULO 5 – INSUMOS DIVERSOS]])-2,0)*($G307-$H307)</f>
        <v>56.642978962543395</v>
      </c>
      <c r="BO307" s="22" t="e">
        <f ca="1">VLOOKUP($A307,tabCustoUnit[],COLUMN(CUSTO_GLOBAL[[#Headers],[TOTAL MÓDULOS 1+2+3+4+5]])-2,0)*($G307-$H307)</f>
        <v>#NAME?</v>
      </c>
      <c r="BP307" s="22" t="e">
        <f ca="1">VLOOKUP($A307,tabCustoUnit[],COLUMN(CUSTO_GLOBAL[[#Headers],[Custos Indiretos]])-2,0)*($G307-$H307)</f>
        <v>#NAME?</v>
      </c>
      <c r="BQ307" s="22" t="e">
        <f ca="1">VLOOKUP($A307,tabCustoUnit[],COLUMN(CUSTO_GLOBAL[[#Headers],[Lucro]])-2,0)*($G307-$H307)</f>
        <v>#NAME?</v>
      </c>
      <c r="BR307" s="26">
        <f>VLOOKUP($A307,tabCustoUnit[],COLUMN(CUSTO_GLOBAL[[#Headers],[COFINS]])-2,0)</f>
        <v>8.6609686609686695E-2</v>
      </c>
      <c r="BS307" s="26">
        <f>VLOOKUP($A307,tabCustoUnit[],COLUMN(CUSTO_GLOBAL[[#Headers],[PIS]])-2,0)</f>
        <v>1.880341880341882E-2</v>
      </c>
      <c r="BT307" s="28">
        <f>VLOOKUP($A307,tabCustoUnit[],COLUMN(CUSTO_GLOBAL[[#Headers],[ISS]])-2,0)</f>
        <v>0.03</v>
      </c>
      <c r="BU307" s="26">
        <f>VLOOKUP($A307,tabCustoUnit[],COLUMN(CUSTO_GLOBAL[[#Headers],[ISS (Conversão Alíquota s/ fatura)]])-2,0)</f>
        <v>3.4188034188034219E-2</v>
      </c>
      <c r="BV307" s="26">
        <f>VLOOKUP($A307,tabCustoUnit[],COLUMN(CUSTO_GLOBAL[[#Headers],[Resumo de Alíquotas (PIS+CONFINS+ISS)]])-2,0)</f>
        <v>0.1225</v>
      </c>
      <c r="BW307" s="138">
        <f>VLOOKUP($A307,tabCustoUnit[],COLUMN(CUSTO_GLOBAL[[#Headers],[PIS + COFINS + ISS (Total Conversão  Alíquota s/ Fatura)]])-2,0)</f>
        <v>0.13960113960113973</v>
      </c>
      <c r="BX307" s="22" t="e">
        <f ca="1">VLOOKUP($A307,tabCustoUnit[],COLUMN(CUSTO_GLOBAL[[#Headers],[Valor dos Tributos (ISS, PIS, CONFINS)]])-2,0)*($G307-$H307)</f>
        <v>#NAME?</v>
      </c>
      <c r="BY307" s="22" t="e">
        <f ca="1">VLOOKUP($A307,tabCustoUnit[],COLUMN(CUSTO_GLOBAL[[#Headers],[MÓDULO 6 – CUSTOS INDIRETOS, TRIBUTOS E LUCRO]])-2,0)*($G307-$H307)</f>
        <v>#NAME?</v>
      </c>
      <c r="BZ307" s="22" t="e">
        <f ca="1">VLOOKUP($A307,tabCustoUnit[],COLUMN(CUSTO_GLOBAL[[#Headers],[CUSTO TOTAL MENSAL]])-2,0)*($G307-$H307)</f>
        <v>#NAME?</v>
      </c>
      <c r="CA307" s="22" t="e">
        <f ca="1">CUSTO_GLOBAL[[#This Row],[CUSTO TOTAL MENSAL]]*12</f>
        <v>#NAME?</v>
      </c>
      <c r="CB307" s="24">
        <f>VLOOKUP($A307,tabCustoUnit[],COLUMN(CUSTO_GLOBAL[[#Headers],[ANO DA CCT]])-2,0)</f>
        <v>45658</v>
      </c>
      <c r="CC307" s="25" t="str">
        <f>VLOOKUP($A307,tabCustoUnit[],COLUMN(CUSTO_GLOBAL[[#Headers],[Nº DE PEDIDO DA CCT]])-2,0)</f>
        <v>-</v>
      </c>
      <c r="CD307" s="25" t="str">
        <f>VLOOKUP($A307,tabCustoUnit[],COLUMN(CUSTO_GLOBAL[[#Headers],[TERMO ADITIVO ALTERAÇÃO DA CCT]])-2,0)</f>
        <v>-</v>
      </c>
    </row>
    <row r="308" spans="1:82">
      <c r="A308" s="20" t="s">
        <v>1721</v>
      </c>
      <c r="B308" t="s">
        <v>1211</v>
      </c>
      <c r="C308" t="s">
        <v>314</v>
      </c>
      <c r="D308" t="s">
        <v>954</v>
      </c>
      <c r="E308" s="20" t="s">
        <v>1090</v>
      </c>
      <c r="F308" s="20" t="s">
        <v>120</v>
      </c>
      <c r="G308" s="20">
        <v>1</v>
      </c>
      <c r="H308" s="20">
        <v>0</v>
      </c>
      <c r="I308" s="21">
        <f>VLOOKUP($A308,tabCustoUnit[],COLUMN(CUSTO_GLOBAL[[#Headers],[Salário Base]])-2,0)*($G308-$H308)</f>
        <v>1963.4110000000001</v>
      </c>
      <c r="J308" s="21">
        <f>VLOOKUP($A308,tabCustoUnit[],COLUMN(CUSTO_GLOBAL[[#Headers],[Adicional Periculosidade]])-2,0)*($G308-$H308)</f>
        <v>0</v>
      </c>
      <c r="K308" s="21">
        <f>VLOOKUP($A308,tabCustoUnit[],COLUMN(CUSTO_GLOBAL[[#Headers],[Adicional Insalubridade]])-2,0)*($G308-$H308)</f>
        <v>0</v>
      </c>
      <c r="L308" s="21">
        <f>VLOOKUP($A308,tabCustoUnit[],COLUMN(CUSTO_GLOBAL[[#Headers],[Adicional Noturno]])-2,0)*($G308-$H308)</f>
        <v>0</v>
      </c>
      <c r="M308" s="21">
        <f>VLOOKUP($A308,tabCustoUnit[],COLUMN(CUSTO_GLOBAL[[#Headers],[Adicional Motorista II (Gratificação)]])-2,0)*($G308-$H308)</f>
        <v>0</v>
      </c>
      <c r="N308" s="21">
        <f>VLOOKUP($A308,tabCustoUnit[],COLUMN(CUSTO_GLOBAL[[#Headers],[Adicional de Sobreaviso]])-2,0)*($G308-$H308)</f>
        <v>0</v>
      </c>
      <c r="O308" s="21">
        <f>VLOOKUP($A308,tabCustoUnit[],COLUMN(CUSTO_GLOBAL[[#Headers],[Horas Extras TI]])-2,0)*($G308-$H308)</f>
        <v>0</v>
      </c>
      <c r="P308" s="21">
        <f>VLOOKUP($A308,tabCustoUnit[],COLUMN(CUSTO_GLOBAL[[#Headers],[Adicional de Acúmulo de função]])-2,0)*($G308-$H308)</f>
        <v>0</v>
      </c>
      <c r="Q308" s="21">
        <f>VLOOKUP($A308,tabCustoUnit[],COLUMN(CUSTO_GLOBAL[[#Headers],[MODULO 1 - REMUNERAÇÃO ]])-2,0)*($G308-$H308)</f>
        <v>1963.4110000000001</v>
      </c>
      <c r="R308" s="21">
        <f>VLOOKUP($A308,tabCustoUnit[],COLUMN(CUSTO_GLOBAL[[#Headers],[INSS]])-2,0)*($G308-$H308)</f>
        <v>392.68220000000002</v>
      </c>
      <c r="S308" s="21">
        <f>VLOOKUP($A308,tabCustoUnit[],COLUMN(CUSTO_GLOBAL[[#Headers],[SESI OU SESC]])-2,0)*($G308-$H308)</f>
        <v>29.451165</v>
      </c>
      <c r="T308" s="21">
        <f>VLOOKUP($A308,tabCustoUnit[],COLUMN(CUSTO_GLOBAL[[#Headers],[SENAI OU SENAC]])-2,0)*($G308-$H308)</f>
        <v>19.63411</v>
      </c>
      <c r="U308" s="21">
        <f>VLOOKUP($A308,tabCustoUnit[],COLUMN(CUSTO_GLOBAL[[#Headers],[INCRA]])-2,0)*($G308-$H308)</f>
        <v>3.926822</v>
      </c>
      <c r="V308" s="21">
        <f>VLOOKUP($A308,tabCustoUnit[],COLUMN(CUSTO_GLOBAL[[#Headers],[Salário Educação]])-2,0)*($G308-$H308)</f>
        <v>49.085275000000003</v>
      </c>
      <c r="W308" s="21">
        <f>VLOOKUP($A308,tabCustoUnit[],COLUMN(CUSTO_GLOBAL[[#Headers],[FGTS]])-2,0)*($G308-$H308)</f>
        <v>157.07288</v>
      </c>
      <c r="X308" s="21">
        <f>VLOOKUP($A308,tabCustoUnit[],COLUMN(CUSTO_GLOBAL[[#Headers],[RAT Ajustado]])-2,0)*($G308-$H308)</f>
        <v>78.536439999999999</v>
      </c>
      <c r="Y308" s="21">
        <f>VLOOKUP($A308,tabCustoUnit[],COLUMN(CUSTO_GLOBAL[[#Headers],[SEBRAE]])-2,0)*($G308-$H308)</f>
        <v>11.780466000000001</v>
      </c>
      <c r="Z308" s="21">
        <f>VLOOKUP($A308,tabCustoUnit[],COLUMN(CUSTO_GLOBAL[[#Headers],[Submódulo 2.1]])-2,0)*($G308-$H308)</f>
        <v>742.1693580000001</v>
      </c>
      <c r="AA308" s="21">
        <f>VLOOKUP($A308,tabCustoUnit[],COLUMN(CUSTO_GLOBAL[[#Headers],[13º salário (titular)]])-2,0)*($G308-$H308)</f>
        <v>163.61758333333333</v>
      </c>
      <c r="AB308" s="21">
        <f>VLOOKUP($A308,tabCustoUnit[],COLUMN(CUSTO_GLOBAL[[#Headers],[Férias e Adicional de Férias (titular)]])-2,0)*($G308-$H308)</f>
        <v>218.15677777777776</v>
      </c>
      <c r="AC308" s="21">
        <f>VLOOKUP($A308,tabCustoUnit[],COLUMN(CUSTO_GLOBAL[[#Headers],[Incidência do Submódulo 2.1 sobre 13º Salário, Férias e Adicional de Férias]])-2,0)*($G308-$H308)</f>
        <v>144.3107085</v>
      </c>
      <c r="AD308" s="21">
        <f>VLOOKUP($A308,tabCustoUnit[],COLUMN(CUSTO_GLOBAL[[#Headers],[Submódulo 2.2]])-2,0)*($G308-$H308)</f>
        <v>526.08506961111107</v>
      </c>
      <c r="AE308" s="22" t="e">
        <f ca="1">VLOOKUP($A308,tabCustoUnit[],COLUMN(CUSTO_GLOBAL[[#Headers],[Vale - Transporte (Descontada parcela do empregado)]])-2,0)*($G308-$H308)</f>
        <v>#NAME?</v>
      </c>
      <c r="AF308" s="22">
        <f>VLOOKUP($A308,tabCustoUnit[],COLUMN(CUSTO_GLOBAL[[#Headers],[Vale - Alimentação (Descontada parcela do empregado)]])-2,0)*($G308-$H308)</f>
        <v>582</v>
      </c>
      <c r="AG308" s="22">
        <f>VLOOKUP($A308,tabCustoUnit[],COLUMN(CUSTO_GLOBAL[[#Headers],[Cesta Básica]])-2,0)*($G308-$H308)</f>
        <v>0</v>
      </c>
      <c r="AH308" s="22">
        <f>VLOOKUP($A308,tabCustoUnit[],COLUMN(CUSTO_GLOBAL[[#Headers],[PAF]])-2,0)*($G308-$H308)</f>
        <v>51.88</v>
      </c>
      <c r="AI308" s="22">
        <f>VLOOKUP($A308,tabCustoUnit[],COLUMN(CUSTO_GLOBAL[[#Headers],[PQM]])-2,0)*($G308-$H308)</f>
        <v>0</v>
      </c>
      <c r="AJ308" s="22">
        <v>0</v>
      </c>
      <c r="AK308" s="22">
        <f>VLOOKUP($A308,tabCustoUnit[],COLUMN(CUSTO_GLOBAL[[#Headers],[Seguro de Vida]])-2,0)*($G308-$H308)</f>
        <v>3.36</v>
      </c>
      <c r="AL308" s="22">
        <f>VLOOKUP($A308,tabCustoUnit[],COLUMN(CUSTO_GLOBAL[[#Headers],[Despesas de Viagem]])-2,0)*($G308-$H308)</f>
        <v>0</v>
      </c>
      <c r="AM308" s="22" t="e">
        <f ca="1">VLOOKUP($A308,tabCustoUnit[],COLUMN(CUSTO_GLOBAL[[#Headers],[Submódulo 2.3]])-2,0)*($G308-$H308)</f>
        <v>#NAME?</v>
      </c>
      <c r="AN308" s="22" t="e">
        <f ca="1">VLOOKUP($A308,tabCustoUnit[],COLUMN(CUSTO_GLOBAL[[#Headers],[MÓDULO 2 - Total Encargos e Benefícios mensais e diários]])-2,0)*($G308-$H308)</f>
        <v>#NAME?</v>
      </c>
      <c r="AO308" s="22">
        <f>VLOOKUP($A308,tabCustoUnit[],COLUMN(CUSTO_GLOBAL[[#Headers],[Aviso Prévio Indenizado (API) e Reflexo do Aviso Prévio Indenizado]])-2,0)*($G308-$H308)</f>
        <v>13.766980408757716</v>
      </c>
      <c r="AP308" s="22">
        <f>VLOOKUP($A308,tabCustoUnit[],COLUMN(CUSTO_GLOBAL[[#Headers],[Incidência do FGTS sobre API e Reflexo do API]])-2,0)*($G308-$H308)</f>
        <v>1.1013584327006174</v>
      </c>
      <c r="AQ308" s="22">
        <f>VLOOKUP($A308,tabCustoUnit[],COLUMN(CUSTO_GLOBAL[[#Headers],[Multa Rescisória do FGTS sobre o Aviso Prévio Indenizado]])-2,0)*($G308-$H308)</f>
        <v>0.44054337308024699</v>
      </c>
      <c r="AR308" s="22">
        <f>VLOOKUP($A308,tabCustoUnit[],COLUMN(CUSTO_GLOBAL[[#Headers],[Aviso Prévio Trabalhado - APT]])-2,0)*($G308-$H308)</f>
        <v>6.8719385000000015</v>
      </c>
      <c r="AS308" s="22">
        <f>VLOOKUP($A308,tabCustoUnit[],COLUMN(CUSTO_GLOBAL[[#Headers],[Incidência dos encargos do submódulo 2.1 sobre Aviso Prévio Trabalhado]])-2,0)*($G308-$H308)</f>
        <v>2.5975927530000007</v>
      </c>
      <c r="AT308" s="22">
        <f>VLOOKUP($A308,tabCustoUnit[],COLUMN(CUSTO_GLOBAL[[#Headers],[Multa Rescisória do FGTS]])-2,0)*($G308-$H308)</f>
        <v>60.03674524444444</v>
      </c>
      <c r="AU308" s="22">
        <f>VLOOKUP($A308,tabCustoUnit[],COLUMN(CUSTO_GLOBAL[[#Headers],[Indenização Adicional (Art. 9º da Lei nº 7.238/84)]])-2,0)*($G308-$H308)</f>
        <v>1.6361758333333334</v>
      </c>
      <c r="AV308" s="22">
        <f>VLOOKUP($A308,tabCustoUnit[],COLUMN(CUSTO_GLOBAL[[#Headers],[MÓDULO 3 – PROVISÃO PARA RESCISÃO]])-2,0)*($G308-$H308)</f>
        <v>86.451334545316371</v>
      </c>
      <c r="AW308" s="22">
        <f>VLOOKUP($A308,tabCustoUnit[],COLUMN(CUSTO_GLOBAL[[#Headers],[Ausência por Doença]])-2,0)*($G308-$H308)</f>
        <v>16.579915111111109</v>
      </c>
      <c r="AX308" s="22">
        <f>VLOOKUP($A308,tabCustoUnit[],COLUMN(CUSTO_GLOBAL[[#Headers],[Ausências Legais]])-2,0)*($G308-$H308)</f>
        <v>3.9813611944444443</v>
      </c>
      <c r="AY308" s="22">
        <f>VLOOKUP($A308,tabCustoUnit[],COLUMN(CUSTO_GLOBAL[[#Headers],[Licença Paternidade]])-2,0)*($G308-$H308)</f>
        <v>0.33541604583333334</v>
      </c>
      <c r="AZ308" s="22">
        <f>VLOOKUP($A308,tabCustoUnit[],COLUMN(CUSTO_GLOBAL[[#Headers],[Ausência por Acidente de Trabalho]])-2,0)*($G308-$H308)</f>
        <v>0.40904395833333335</v>
      </c>
      <c r="BA308" s="22">
        <f>VLOOKUP($A308,tabCustoUnit[],COLUMN(CUSTO_GLOBAL[[#Headers],[Férias, Adicional de Férias e 13º  com empregada em gozo de Licença Maternidade]])-2,0)*($G308-$H308)</f>
        <v>2.5451624074074073</v>
      </c>
      <c r="BB308" s="22">
        <f>VLOOKUP($A308,tabCustoUnit[],COLUMN(CUSTO_GLOBAL[[#Headers],[Incidência do Submódulo 2.1 sobre Ausências Legais]])-2,0)*($G308-$H308)</f>
        <v>9.0156397150750021</v>
      </c>
      <c r="BC308" s="22">
        <f>VLOOKUP($A308,tabCustoUnit[],COLUMN(CUSTO_GLOBAL[[#Headers],[Submódulo 4.1]])-2,0)*($G308-$H308)</f>
        <v>32.866538432204628</v>
      </c>
      <c r="BD308" s="22">
        <f>VLOOKUP($A308,tabCustoUnit[],COLUMN(CUSTO_GLOBAL[[#Headers],[Intervalo para Repouso ou Alimentação]])-2,0)*($G308-$H308)</f>
        <v>267.73786489195959</v>
      </c>
      <c r="BE308" s="22">
        <f>VLOOKUP($A308,tabCustoUnit[],COLUMN(CUSTO_GLOBAL[[#Headers],[Submódulo 4.2]])-2,0)*($G308-$H308)</f>
        <v>267.73786489195959</v>
      </c>
      <c r="BF308" s="22">
        <f>VLOOKUP($A308,tabCustoUnit[],COLUMN(CUSTO_GLOBAL[[#Headers],[Suspensão Temporária do Contrato de Trabalho]])-2,0)*($G308-$H308)</f>
        <v>0</v>
      </c>
      <c r="BG308" s="22">
        <f>VLOOKUP($A308,tabCustoUnit[],COLUMN(CUSTO_GLOBAL[[#Headers],[Submódulo 4.3]])-2,0)*($G308-$H308)</f>
        <v>0</v>
      </c>
      <c r="BH308" s="22">
        <f>VLOOKUP($A308,tabCustoUnit[],COLUMN(CUSTO_GLOBAL[[#Headers],[MÓDULO 4 – CUSTO DE REPOSIÇÃO DO PROFISSIONAL AUSENTE]])-2,0)*($G308-$H308)</f>
        <v>300.6044033241642</v>
      </c>
      <c r="BI308" s="22">
        <f>VLOOKUP($A308,tabCustoUnit[],COLUMN(CUSTO_GLOBAL[[#Headers],[Uniformes e EPIs]])-2,0)*($G308-$H308)</f>
        <v>56.642978962543395</v>
      </c>
      <c r="BJ308" s="22">
        <f>VLOOKUP($A308,tabCustoUnit[],COLUMN(CUSTO_GLOBAL[[#Headers],[Materiais de Consumo]])-2,0)*($G308-$H308)</f>
        <v>0</v>
      </c>
      <c r="BK308" s="22">
        <f>VLOOKUP($A308,tabCustoUnit[],COLUMN(CUSTO_GLOBAL[[#Headers],[Máquinas e Equipamentos (depreciação)]])-2,0)*($G308-$H308)</f>
        <v>0</v>
      </c>
      <c r="BL308" s="22">
        <f>VLOOKUP($A308,tabCustoUnit[],COLUMN(CUSTO_GLOBAL[[#Headers],[Produtos de Limpeza e Materiais de Higiene Pessoal]])-2,0)*($G308-$H308)</f>
        <v>0</v>
      </c>
      <c r="BM308" s="22">
        <f>VLOOKUP($A308,tabCustoUnit[],COLUMN(CUSTO_GLOBAL[[#Headers],[Outros (especificar)]])-2,0)*($G308-$H308)</f>
        <v>0</v>
      </c>
      <c r="BN308" s="22">
        <f>VLOOKUP($A308,tabCustoUnit[],COLUMN(CUSTO_GLOBAL[[#Headers],[MÓDULO 5 – INSUMOS DIVERSOS]])-2,0)*($G308-$H308)</f>
        <v>56.642978962543395</v>
      </c>
      <c r="BO308" s="22" t="e">
        <f ca="1">VLOOKUP($A308,tabCustoUnit[],COLUMN(CUSTO_GLOBAL[[#Headers],[TOTAL MÓDULOS 1+2+3+4+5]])-2,0)*($G308-$H308)</f>
        <v>#NAME?</v>
      </c>
      <c r="BP308" s="22" t="e">
        <f ca="1">VLOOKUP($A308,tabCustoUnit[],COLUMN(CUSTO_GLOBAL[[#Headers],[Custos Indiretos]])-2,0)*($G308-$H308)</f>
        <v>#NAME?</v>
      </c>
      <c r="BQ308" s="22" t="e">
        <f ca="1">VLOOKUP($A308,tabCustoUnit[],COLUMN(CUSTO_GLOBAL[[#Headers],[Lucro]])-2,0)*($G308-$H308)</f>
        <v>#NAME?</v>
      </c>
      <c r="BR308" s="26">
        <f>VLOOKUP($A308,tabCustoUnit[],COLUMN(CUSTO_GLOBAL[[#Headers],[COFINS]])-2,0)</f>
        <v>8.6609686609686695E-2</v>
      </c>
      <c r="BS308" s="26">
        <f>VLOOKUP($A308,tabCustoUnit[],COLUMN(CUSTO_GLOBAL[[#Headers],[PIS]])-2,0)</f>
        <v>1.880341880341882E-2</v>
      </c>
      <c r="BT308" s="28">
        <f>VLOOKUP($A308,tabCustoUnit[],COLUMN(CUSTO_GLOBAL[[#Headers],[ISS]])-2,0)</f>
        <v>0.03</v>
      </c>
      <c r="BU308" s="26">
        <f>VLOOKUP($A308,tabCustoUnit[],COLUMN(CUSTO_GLOBAL[[#Headers],[ISS (Conversão Alíquota s/ fatura)]])-2,0)</f>
        <v>3.4188034188034219E-2</v>
      </c>
      <c r="BV308" s="26">
        <f>VLOOKUP($A308,tabCustoUnit[],COLUMN(CUSTO_GLOBAL[[#Headers],[Resumo de Alíquotas (PIS+CONFINS+ISS)]])-2,0)</f>
        <v>0.1225</v>
      </c>
      <c r="BW308" s="138">
        <f>VLOOKUP($A308,tabCustoUnit[],COLUMN(CUSTO_GLOBAL[[#Headers],[PIS + COFINS + ISS (Total Conversão  Alíquota s/ Fatura)]])-2,0)</f>
        <v>0.13960113960113973</v>
      </c>
      <c r="BX308" s="22" t="e">
        <f ca="1">VLOOKUP($A308,tabCustoUnit[],COLUMN(CUSTO_GLOBAL[[#Headers],[Valor dos Tributos (ISS, PIS, CONFINS)]])-2,0)*($G308-$H308)</f>
        <v>#NAME?</v>
      </c>
      <c r="BY308" s="22" t="e">
        <f ca="1">VLOOKUP($A308,tabCustoUnit[],COLUMN(CUSTO_GLOBAL[[#Headers],[MÓDULO 6 – CUSTOS INDIRETOS, TRIBUTOS E LUCRO]])-2,0)*($G308-$H308)</f>
        <v>#NAME?</v>
      </c>
      <c r="BZ308" s="22" t="e">
        <f ca="1">VLOOKUP($A308,tabCustoUnit[],COLUMN(CUSTO_GLOBAL[[#Headers],[CUSTO TOTAL MENSAL]])-2,0)*($G308-$H308)</f>
        <v>#NAME?</v>
      </c>
      <c r="CA308" s="22" t="e">
        <f ca="1">CUSTO_GLOBAL[[#This Row],[CUSTO TOTAL MENSAL]]*12</f>
        <v>#NAME?</v>
      </c>
      <c r="CB308" s="24">
        <f>VLOOKUP($A308,tabCustoUnit[],COLUMN(CUSTO_GLOBAL[[#Headers],[ANO DA CCT]])-2,0)</f>
        <v>45658</v>
      </c>
      <c r="CC308" s="25" t="str">
        <f>VLOOKUP($A308,tabCustoUnit[],COLUMN(CUSTO_GLOBAL[[#Headers],[Nº DE PEDIDO DA CCT]])-2,0)</f>
        <v>-</v>
      </c>
      <c r="CD308" s="25" t="str">
        <f>VLOOKUP($A308,tabCustoUnit[],COLUMN(CUSTO_GLOBAL[[#Headers],[TERMO ADITIVO ALTERAÇÃO DA CCT]])-2,0)</f>
        <v>-</v>
      </c>
    </row>
    <row r="309" spans="1:82">
      <c r="A309" s="20" t="s">
        <v>1722</v>
      </c>
      <c r="B309" t="s">
        <v>1212</v>
      </c>
      <c r="C309" t="s">
        <v>324</v>
      </c>
      <c r="D309" t="s">
        <v>961</v>
      </c>
      <c r="E309" s="20" t="s">
        <v>1090</v>
      </c>
      <c r="F309" s="20" t="s">
        <v>120</v>
      </c>
      <c r="G309" s="20">
        <v>1</v>
      </c>
      <c r="H309" s="20">
        <v>0</v>
      </c>
      <c r="I309" s="21">
        <f>VLOOKUP($A309,tabCustoUnit[],COLUMN(CUSTO_GLOBAL[[#Headers],[Salário Base]])-2,0)*($G309-$H309)</f>
        <v>3397.1305000000002</v>
      </c>
      <c r="J309" s="21">
        <f>VLOOKUP($A309,tabCustoUnit[],COLUMN(CUSTO_GLOBAL[[#Headers],[Adicional Periculosidade]])-2,0)*($G309-$H309)</f>
        <v>0</v>
      </c>
      <c r="K309" s="21">
        <f>VLOOKUP($A309,tabCustoUnit[],COLUMN(CUSTO_GLOBAL[[#Headers],[Adicional Insalubridade]])-2,0)*($G309-$H309)</f>
        <v>0</v>
      </c>
      <c r="L309" s="21">
        <f>VLOOKUP($A309,tabCustoUnit[],COLUMN(CUSTO_GLOBAL[[#Headers],[Adicional Noturno]])-2,0)*($G309-$H309)</f>
        <v>0</v>
      </c>
      <c r="M309" s="21">
        <f>VLOOKUP($A309,tabCustoUnit[],COLUMN(CUSTO_GLOBAL[[#Headers],[Adicional Motorista II (Gratificação)]])-2,0)*($G309-$H309)</f>
        <v>0</v>
      </c>
      <c r="N309" s="21">
        <f>VLOOKUP($A309,tabCustoUnit[],COLUMN(CUSTO_GLOBAL[[#Headers],[Adicional de Sobreaviso]])-2,0)*($G309-$H309)</f>
        <v>0</v>
      </c>
      <c r="O309" s="21">
        <f>VLOOKUP($A309,tabCustoUnit[],COLUMN(CUSTO_GLOBAL[[#Headers],[Horas Extras TI]])-2,0)*($G309-$H309)</f>
        <v>0</v>
      </c>
      <c r="P309" s="21">
        <f>VLOOKUP($A309,tabCustoUnit[],COLUMN(CUSTO_GLOBAL[[#Headers],[Adicional de Acúmulo de função]])-2,0)*($G309-$H309)</f>
        <v>0</v>
      </c>
      <c r="Q309" s="21">
        <f>VLOOKUP($A309,tabCustoUnit[],COLUMN(CUSTO_GLOBAL[[#Headers],[MODULO 1 - REMUNERAÇÃO ]])-2,0)*($G309-$H309)</f>
        <v>3397.1305000000002</v>
      </c>
      <c r="R309" s="21">
        <f>VLOOKUP($A309,tabCustoUnit[],COLUMN(CUSTO_GLOBAL[[#Headers],[INSS]])-2,0)*($G309-$H309)</f>
        <v>679.42610000000013</v>
      </c>
      <c r="S309" s="21">
        <f>VLOOKUP($A309,tabCustoUnit[],COLUMN(CUSTO_GLOBAL[[#Headers],[SESI OU SESC]])-2,0)*($G309-$H309)</f>
        <v>50.956957500000001</v>
      </c>
      <c r="T309" s="21">
        <f>VLOOKUP($A309,tabCustoUnit[],COLUMN(CUSTO_GLOBAL[[#Headers],[SENAI OU SENAC]])-2,0)*($G309-$H309)</f>
        <v>33.971305000000001</v>
      </c>
      <c r="U309" s="21">
        <f>VLOOKUP($A309,tabCustoUnit[],COLUMN(CUSTO_GLOBAL[[#Headers],[INCRA]])-2,0)*($G309-$H309)</f>
        <v>6.7942610000000005</v>
      </c>
      <c r="V309" s="21">
        <f>VLOOKUP($A309,tabCustoUnit[],COLUMN(CUSTO_GLOBAL[[#Headers],[Salário Educação]])-2,0)*($G309-$H309)</f>
        <v>84.928262500000017</v>
      </c>
      <c r="W309" s="21">
        <f>VLOOKUP($A309,tabCustoUnit[],COLUMN(CUSTO_GLOBAL[[#Headers],[FGTS]])-2,0)*($G309-$H309)</f>
        <v>271.77044000000001</v>
      </c>
      <c r="X309" s="21">
        <f>VLOOKUP($A309,tabCustoUnit[],COLUMN(CUSTO_GLOBAL[[#Headers],[RAT Ajustado]])-2,0)*($G309-$H309)</f>
        <v>135.88522</v>
      </c>
      <c r="Y309" s="21">
        <f>VLOOKUP($A309,tabCustoUnit[],COLUMN(CUSTO_GLOBAL[[#Headers],[SEBRAE]])-2,0)*($G309-$H309)</f>
        <v>20.382783000000003</v>
      </c>
      <c r="Z309" s="21">
        <f>VLOOKUP($A309,tabCustoUnit[],COLUMN(CUSTO_GLOBAL[[#Headers],[Submódulo 2.1]])-2,0)*($G309-$H309)</f>
        <v>1284.1153290000002</v>
      </c>
      <c r="AA309" s="21">
        <f>VLOOKUP($A309,tabCustoUnit[],COLUMN(CUSTO_GLOBAL[[#Headers],[13º salário (titular)]])-2,0)*($G309-$H309)</f>
        <v>283.09420833333331</v>
      </c>
      <c r="AB309" s="21">
        <f>VLOOKUP($A309,tabCustoUnit[],COLUMN(CUSTO_GLOBAL[[#Headers],[Férias e Adicional de Férias (titular)]])-2,0)*($G309-$H309)</f>
        <v>377.45894444444446</v>
      </c>
      <c r="AC309" s="21">
        <f>VLOOKUP($A309,tabCustoUnit[],COLUMN(CUSTO_GLOBAL[[#Headers],[Incidência do Submódulo 2.1 sobre 13º Salário, Férias e Adicional de Férias]])-2,0)*($G309-$H309)</f>
        <v>249.68909175000005</v>
      </c>
      <c r="AD309" s="21">
        <f>VLOOKUP($A309,tabCustoUnit[],COLUMN(CUSTO_GLOBAL[[#Headers],[Submódulo 2.2]])-2,0)*($G309-$H309)</f>
        <v>910.24224452777776</v>
      </c>
      <c r="AE309" s="22" t="e">
        <f ca="1">VLOOKUP($A309,tabCustoUnit[],COLUMN(CUSTO_GLOBAL[[#Headers],[Vale - Transporte (Descontada parcela do empregado)]])-2,0)*($G309-$H309)</f>
        <v>#NAME?</v>
      </c>
      <c r="AF309" s="22">
        <f>VLOOKUP($A309,tabCustoUnit[],COLUMN(CUSTO_GLOBAL[[#Headers],[Vale - Alimentação (Descontada parcela do empregado)]])-2,0)*($G309-$H309)</f>
        <v>582</v>
      </c>
      <c r="AG309" s="22">
        <f>VLOOKUP($A309,tabCustoUnit[],COLUMN(CUSTO_GLOBAL[[#Headers],[Cesta Básica]])-2,0)*($G309-$H309)</f>
        <v>0</v>
      </c>
      <c r="AH309" s="22">
        <f>VLOOKUP($A309,tabCustoUnit[],COLUMN(CUSTO_GLOBAL[[#Headers],[PAF]])-2,0)*($G309-$H309)</f>
        <v>53.27</v>
      </c>
      <c r="AI309" s="22">
        <f>VLOOKUP($A309,tabCustoUnit[],COLUMN(CUSTO_GLOBAL[[#Headers],[PQM]])-2,0)*($G309-$H309)</f>
        <v>0</v>
      </c>
      <c r="AJ309" s="22">
        <v>0</v>
      </c>
      <c r="AK309" s="22">
        <f>VLOOKUP($A309,tabCustoUnit[],COLUMN(CUSTO_GLOBAL[[#Headers],[Seguro de Vida]])-2,0)*($G309-$H309)</f>
        <v>3.36</v>
      </c>
      <c r="AL309" s="22">
        <f>VLOOKUP($A309,tabCustoUnit[],COLUMN(CUSTO_GLOBAL[[#Headers],[Despesas de Viagem]])-2,0)*($G309-$H309)</f>
        <v>0</v>
      </c>
      <c r="AM309" s="22" t="e">
        <f ca="1">VLOOKUP($A309,tabCustoUnit[],COLUMN(CUSTO_GLOBAL[[#Headers],[Submódulo 2.3]])-2,0)*($G309-$H309)</f>
        <v>#NAME?</v>
      </c>
      <c r="AN309" s="22" t="e">
        <f ca="1">VLOOKUP($A309,tabCustoUnit[],COLUMN(CUSTO_GLOBAL[[#Headers],[MÓDULO 2 - Total Encargos e Benefícios mensais e diários]])-2,0)*($G309-$H309)</f>
        <v>#NAME?</v>
      </c>
      <c r="AO309" s="22">
        <f>VLOOKUP($A309,tabCustoUnit[],COLUMN(CUSTO_GLOBAL[[#Headers],[Aviso Prévio Indenizado (API) e Reflexo do Aviso Prévio Indenizado]])-2,0)*($G309-$H309)</f>
        <v>23.819887450713736</v>
      </c>
      <c r="AP309" s="22">
        <f>VLOOKUP($A309,tabCustoUnit[],COLUMN(CUSTO_GLOBAL[[#Headers],[Incidência do FGTS sobre API e Reflexo do API]])-2,0)*($G309-$H309)</f>
        <v>1.9055909960570991</v>
      </c>
      <c r="AQ309" s="22">
        <f>VLOOKUP($A309,tabCustoUnit[],COLUMN(CUSTO_GLOBAL[[#Headers],[Multa Rescisória do FGTS sobre o Aviso Prévio Indenizado]])-2,0)*($G309-$H309)</f>
        <v>0.76223639842283974</v>
      </c>
      <c r="AR309" s="22">
        <f>VLOOKUP($A309,tabCustoUnit[],COLUMN(CUSTO_GLOBAL[[#Headers],[Aviso Prévio Trabalhado - APT]])-2,0)*($G309-$H309)</f>
        <v>11.889956750000003</v>
      </c>
      <c r="AS309" s="22">
        <f>VLOOKUP($A309,tabCustoUnit[],COLUMN(CUSTO_GLOBAL[[#Headers],[Incidência dos encargos do submódulo 2.1 sobre Aviso Prévio Trabalhado]])-2,0)*($G309-$H309)</f>
        <v>4.4944036515000017</v>
      </c>
      <c r="AT309" s="22">
        <f>VLOOKUP($A309,tabCustoUnit[],COLUMN(CUSTO_GLOBAL[[#Headers],[Multa Rescisória do FGTS]])-2,0)*($G309-$H309)</f>
        <v>103.87670151111111</v>
      </c>
      <c r="AU309" s="22">
        <f>VLOOKUP($A309,tabCustoUnit[],COLUMN(CUSTO_GLOBAL[[#Headers],[Indenização Adicional (Art. 9º da Lei nº 7.238/84)]])-2,0)*($G309-$H309)</f>
        <v>2.8309420833333339</v>
      </c>
      <c r="AV309" s="22">
        <f>VLOOKUP($A309,tabCustoUnit[],COLUMN(CUSTO_GLOBAL[[#Headers],[MÓDULO 3 – PROVISÃO PARA RESCISÃO]])-2,0)*($G309-$H309)</f>
        <v>149.57971884113812</v>
      </c>
      <c r="AW309" s="22">
        <f>VLOOKUP($A309,tabCustoUnit[],COLUMN(CUSTO_GLOBAL[[#Headers],[Ausência por Doença]])-2,0)*($G309-$H309)</f>
        <v>28.686879777777776</v>
      </c>
      <c r="AX309" s="22">
        <f>VLOOKUP($A309,tabCustoUnit[],COLUMN(CUSTO_GLOBAL[[#Headers],[Ausências Legais]])-2,0)*($G309-$H309)</f>
        <v>6.888625736111111</v>
      </c>
      <c r="AY309" s="22">
        <f>VLOOKUP($A309,tabCustoUnit[],COLUMN(CUSTO_GLOBAL[[#Headers],[Licença Paternidade]])-2,0)*($G309-$H309)</f>
        <v>0.58034312708333335</v>
      </c>
      <c r="AZ309" s="22">
        <f>VLOOKUP($A309,tabCustoUnit[],COLUMN(CUSTO_GLOBAL[[#Headers],[Ausência por Acidente de Trabalho]])-2,0)*($G309-$H309)</f>
        <v>0.70773552083333346</v>
      </c>
      <c r="BA309" s="22">
        <f>VLOOKUP($A309,tabCustoUnit[],COLUMN(CUSTO_GLOBAL[[#Headers],[Férias, Adicional de Férias e 13º  com empregada em gozo de Licença Maternidade]])-2,0)*($G309-$H309)</f>
        <v>4.4036876851851856</v>
      </c>
      <c r="BB309" s="22">
        <f>VLOOKUP($A309,tabCustoUnit[],COLUMN(CUSTO_GLOBAL[[#Headers],[Incidência do Submódulo 2.1 sobre Ausências Legais]])-2,0)*($G309-$H309)</f>
        <v>15.599028758162504</v>
      </c>
      <c r="BC309" s="22">
        <f>VLOOKUP($A309,tabCustoUnit[],COLUMN(CUSTO_GLOBAL[[#Headers],[Submódulo 4.1]])-2,0)*($G309-$H309)</f>
        <v>56.866300605153235</v>
      </c>
      <c r="BD309" s="22">
        <f>VLOOKUP($A309,tabCustoUnit[],COLUMN(CUSTO_GLOBAL[[#Headers],[Intervalo para Repouso ou Alimentação]])-2,0)*($G309-$H309)</f>
        <v>0</v>
      </c>
      <c r="BE309" s="22">
        <f>VLOOKUP($A309,tabCustoUnit[],COLUMN(CUSTO_GLOBAL[[#Headers],[Submódulo 4.2]])-2,0)*($G309-$H309)</f>
        <v>0</v>
      </c>
      <c r="BF309" s="22">
        <f>VLOOKUP($A309,tabCustoUnit[],COLUMN(CUSTO_GLOBAL[[#Headers],[Suspensão Temporária do Contrato de Trabalho]])-2,0)*($G309-$H309)</f>
        <v>0</v>
      </c>
      <c r="BG309" s="22">
        <f>VLOOKUP($A309,tabCustoUnit[],COLUMN(CUSTO_GLOBAL[[#Headers],[Submódulo 4.3]])-2,0)*($G309-$H309)</f>
        <v>0</v>
      </c>
      <c r="BH309" s="22">
        <f>VLOOKUP($A309,tabCustoUnit[],COLUMN(CUSTO_GLOBAL[[#Headers],[MÓDULO 4 – CUSTO DE REPOSIÇÃO DO PROFISSIONAL AUSENTE]])-2,0)*($G309-$H309)</f>
        <v>56.866300605153235</v>
      </c>
      <c r="BI309" s="22">
        <f>VLOOKUP($A309,tabCustoUnit[],COLUMN(CUSTO_GLOBAL[[#Headers],[Uniformes e EPIs]])-2,0)*($G309-$H309)</f>
        <v>56.642978962543395</v>
      </c>
      <c r="BJ309" s="22">
        <f>VLOOKUP($A309,tabCustoUnit[],COLUMN(CUSTO_GLOBAL[[#Headers],[Materiais de Consumo]])-2,0)*($G309-$H309)</f>
        <v>0</v>
      </c>
      <c r="BK309" s="22">
        <f>VLOOKUP($A309,tabCustoUnit[],COLUMN(CUSTO_GLOBAL[[#Headers],[Máquinas e Equipamentos (depreciação)]])-2,0)*($G309-$H309)</f>
        <v>0</v>
      </c>
      <c r="BL309" s="22">
        <f>VLOOKUP($A309,tabCustoUnit[],COLUMN(CUSTO_GLOBAL[[#Headers],[Produtos de Limpeza e Materiais de Higiene Pessoal]])-2,0)*($G309-$H309)</f>
        <v>0</v>
      </c>
      <c r="BM309" s="22">
        <f>VLOOKUP($A309,tabCustoUnit[],COLUMN(CUSTO_GLOBAL[[#Headers],[Outros (especificar)]])-2,0)*($G309-$H309)</f>
        <v>0</v>
      </c>
      <c r="BN309" s="22">
        <f>VLOOKUP($A309,tabCustoUnit[],COLUMN(CUSTO_GLOBAL[[#Headers],[MÓDULO 5 – INSUMOS DIVERSOS]])-2,0)*($G309-$H309)</f>
        <v>56.642978962543395</v>
      </c>
      <c r="BO309" s="22" t="e">
        <f ca="1">VLOOKUP($A309,tabCustoUnit[],COLUMN(CUSTO_GLOBAL[[#Headers],[TOTAL MÓDULOS 1+2+3+4+5]])-2,0)*($G309-$H309)</f>
        <v>#NAME?</v>
      </c>
      <c r="BP309" s="22" t="e">
        <f ca="1">VLOOKUP($A309,tabCustoUnit[],COLUMN(CUSTO_GLOBAL[[#Headers],[Custos Indiretos]])-2,0)*($G309-$H309)</f>
        <v>#NAME?</v>
      </c>
      <c r="BQ309" s="22" t="e">
        <f ca="1">VLOOKUP($A309,tabCustoUnit[],COLUMN(CUSTO_GLOBAL[[#Headers],[Lucro]])-2,0)*($G309-$H309)</f>
        <v>#NAME?</v>
      </c>
      <c r="BR309" s="26">
        <f>VLOOKUP($A309,tabCustoUnit[],COLUMN(CUSTO_GLOBAL[[#Headers],[COFINS]])-2,0)</f>
        <v>8.6609686609686695E-2</v>
      </c>
      <c r="BS309" s="26">
        <f>VLOOKUP($A309,tabCustoUnit[],COLUMN(CUSTO_GLOBAL[[#Headers],[PIS]])-2,0)</f>
        <v>1.880341880341882E-2</v>
      </c>
      <c r="BT309" s="28">
        <f>VLOOKUP($A309,tabCustoUnit[],COLUMN(CUSTO_GLOBAL[[#Headers],[ISS]])-2,0)</f>
        <v>0.03</v>
      </c>
      <c r="BU309" s="26">
        <f>VLOOKUP($A309,tabCustoUnit[],COLUMN(CUSTO_GLOBAL[[#Headers],[ISS (Conversão Alíquota s/ fatura)]])-2,0)</f>
        <v>3.4188034188034219E-2</v>
      </c>
      <c r="BV309" s="26">
        <f>VLOOKUP($A309,tabCustoUnit[],COLUMN(CUSTO_GLOBAL[[#Headers],[Resumo de Alíquotas (PIS+CONFINS+ISS)]])-2,0)</f>
        <v>0.1225</v>
      </c>
      <c r="BW309" s="138">
        <f>VLOOKUP($A309,tabCustoUnit[],COLUMN(CUSTO_GLOBAL[[#Headers],[PIS + COFINS + ISS (Total Conversão  Alíquota s/ Fatura)]])-2,0)</f>
        <v>0.13960113960113973</v>
      </c>
      <c r="BX309" s="22" t="e">
        <f ca="1">VLOOKUP($A309,tabCustoUnit[],COLUMN(CUSTO_GLOBAL[[#Headers],[Valor dos Tributos (ISS, PIS, CONFINS)]])-2,0)*($G309-$H309)</f>
        <v>#NAME?</v>
      </c>
      <c r="BY309" s="22" t="e">
        <f ca="1">VLOOKUP($A309,tabCustoUnit[],COLUMN(CUSTO_GLOBAL[[#Headers],[MÓDULO 6 – CUSTOS INDIRETOS, TRIBUTOS E LUCRO]])-2,0)*($G309-$H309)</f>
        <v>#NAME?</v>
      </c>
      <c r="BZ309" s="22" t="e">
        <f ca="1">VLOOKUP($A309,tabCustoUnit[],COLUMN(CUSTO_GLOBAL[[#Headers],[CUSTO TOTAL MENSAL]])-2,0)*($G309-$H309)</f>
        <v>#NAME?</v>
      </c>
      <c r="CA309" s="22" t="e">
        <f ca="1">CUSTO_GLOBAL[[#This Row],[CUSTO TOTAL MENSAL]]*12</f>
        <v>#NAME?</v>
      </c>
      <c r="CB309" s="24">
        <f>VLOOKUP($A309,tabCustoUnit[],COLUMN(CUSTO_GLOBAL[[#Headers],[ANO DA CCT]])-2,0)</f>
        <v>45658</v>
      </c>
      <c r="CC309" s="25" t="str">
        <f>VLOOKUP($A309,tabCustoUnit[],COLUMN(CUSTO_GLOBAL[[#Headers],[Nº DE PEDIDO DA CCT]])-2,0)</f>
        <v>-</v>
      </c>
      <c r="CD309" s="25" t="str">
        <f>VLOOKUP($A309,tabCustoUnit[],COLUMN(CUSTO_GLOBAL[[#Headers],[TERMO ADITIVO ALTERAÇÃO DA CCT]])-2,0)</f>
        <v>-</v>
      </c>
    </row>
    <row r="310" spans="1:82">
      <c r="A310" s="20" t="s">
        <v>1723</v>
      </c>
      <c r="B310" t="s">
        <v>1213</v>
      </c>
      <c r="C310" t="s">
        <v>319</v>
      </c>
      <c r="D310" t="s">
        <v>899</v>
      </c>
      <c r="E310" s="20" t="s">
        <v>1090</v>
      </c>
      <c r="F310" s="20" t="s">
        <v>120</v>
      </c>
      <c r="G310" s="20">
        <v>1</v>
      </c>
      <c r="H310" s="20">
        <v>0</v>
      </c>
      <c r="I310" s="21">
        <f>VLOOKUP($A310,tabCustoUnit[],COLUMN(CUSTO_GLOBAL[[#Headers],[Salário Base]])-2,0)*($G310-$H310)</f>
        <v>2316.2253000000001</v>
      </c>
      <c r="J310" s="21">
        <f>VLOOKUP($A310,tabCustoUnit[],COLUMN(CUSTO_GLOBAL[[#Headers],[Adicional Periculosidade]])-2,0)*($G310-$H310)</f>
        <v>0</v>
      </c>
      <c r="K310" s="21">
        <f>VLOOKUP($A310,tabCustoUnit[],COLUMN(CUSTO_GLOBAL[[#Headers],[Adicional Insalubridade]])-2,0)*($G310-$H310)</f>
        <v>0</v>
      </c>
      <c r="L310" s="21">
        <f>VLOOKUP($A310,tabCustoUnit[],COLUMN(CUSTO_GLOBAL[[#Headers],[Adicional Noturno]])-2,0)*($G310-$H310)</f>
        <v>0</v>
      </c>
      <c r="M310" s="21">
        <f>VLOOKUP($A310,tabCustoUnit[],COLUMN(CUSTO_GLOBAL[[#Headers],[Adicional Motorista II (Gratificação)]])-2,0)*($G310-$H310)</f>
        <v>0</v>
      </c>
      <c r="N310" s="21">
        <f>VLOOKUP($A310,tabCustoUnit[],COLUMN(CUSTO_GLOBAL[[#Headers],[Adicional de Sobreaviso]])-2,0)*($G310-$H310)</f>
        <v>0</v>
      </c>
      <c r="O310" s="21">
        <f>VLOOKUP($A310,tabCustoUnit[],COLUMN(CUSTO_GLOBAL[[#Headers],[Horas Extras TI]])-2,0)*($G310-$H310)</f>
        <v>0</v>
      </c>
      <c r="P310" s="21">
        <f>VLOOKUP($A310,tabCustoUnit[],COLUMN(CUSTO_GLOBAL[[#Headers],[Adicional de Acúmulo de função]])-2,0)*($G310-$H310)</f>
        <v>0</v>
      </c>
      <c r="Q310" s="21">
        <f>VLOOKUP($A310,tabCustoUnit[],COLUMN(CUSTO_GLOBAL[[#Headers],[MODULO 1 - REMUNERAÇÃO ]])-2,0)*($G310-$H310)</f>
        <v>2316.2253000000001</v>
      </c>
      <c r="R310" s="21">
        <f>VLOOKUP($A310,tabCustoUnit[],COLUMN(CUSTO_GLOBAL[[#Headers],[INSS]])-2,0)*($G310-$H310)</f>
        <v>463.24506000000002</v>
      </c>
      <c r="S310" s="21">
        <f>VLOOKUP($A310,tabCustoUnit[],COLUMN(CUSTO_GLOBAL[[#Headers],[SESI OU SESC]])-2,0)*($G310-$H310)</f>
        <v>34.743379499999996</v>
      </c>
      <c r="T310" s="21">
        <f>VLOOKUP($A310,tabCustoUnit[],COLUMN(CUSTO_GLOBAL[[#Headers],[SENAI OU SENAC]])-2,0)*($G310-$H310)</f>
        <v>23.162253</v>
      </c>
      <c r="U310" s="21">
        <f>VLOOKUP($A310,tabCustoUnit[],COLUMN(CUSTO_GLOBAL[[#Headers],[INCRA]])-2,0)*($G310-$H310)</f>
        <v>4.6324506000000003</v>
      </c>
      <c r="V310" s="21">
        <f>VLOOKUP($A310,tabCustoUnit[],COLUMN(CUSTO_GLOBAL[[#Headers],[Salário Educação]])-2,0)*($G310-$H310)</f>
        <v>57.905632500000003</v>
      </c>
      <c r="W310" s="21">
        <f>VLOOKUP($A310,tabCustoUnit[],COLUMN(CUSTO_GLOBAL[[#Headers],[FGTS]])-2,0)*($G310-$H310)</f>
        <v>185.298024</v>
      </c>
      <c r="X310" s="21">
        <f>VLOOKUP($A310,tabCustoUnit[],COLUMN(CUSTO_GLOBAL[[#Headers],[RAT Ajustado]])-2,0)*($G310-$H310)</f>
        <v>92.649011999999999</v>
      </c>
      <c r="Y310" s="21">
        <f>VLOOKUP($A310,tabCustoUnit[],COLUMN(CUSTO_GLOBAL[[#Headers],[SEBRAE]])-2,0)*($G310-$H310)</f>
        <v>13.897351800000001</v>
      </c>
      <c r="Z310" s="21">
        <f>VLOOKUP($A310,tabCustoUnit[],COLUMN(CUSTO_GLOBAL[[#Headers],[Submódulo 2.1]])-2,0)*($G310-$H310)</f>
        <v>875.53316340000003</v>
      </c>
      <c r="AA310" s="21">
        <f>VLOOKUP($A310,tabCustoUnit[],COLUMN(CUSTO_GLOBAL[[#Headers],[13º salário (titular)]])-2,0)*($G310-$H310)</f>
        <v>193.01877500000001</v>
      </c>
      <c r="AB310" s="21">
        <f>VLOOKUP($A310,tabCustoUnit[],COLUMN(CUSTO_GLOBAL[[#Headers],[Férias e Adicional de Férias (titular)]])-2,0)*($G310-$H310)</f>
        <v>257.35836666666665</v>
      </c>
      <c r="AC310" s="21">
        <f>VLOOKUP($A310,tabCustoUnit[],COLUMN(CUSTO_GLOBAL[[#Headers],[Incidência do Submódulo 2.1 sobre 13º Salário, Férias e Adicional de Férias]])-2,0)*($G310-$H310)</f>
        <v>170.24255955000001</v>
      </c>
      <c r="AD310" s="21">
        <f>VLOOKUP($A310,tabCustoUnit[],COLUMN(CUSTO_GLOBAL[[#Headers],[Submódulo 2.2]])-2,0)*($G310-$H310)</f>
        <v>620.61970121666673</v>
      </c>
      <c r="AE310" s="22" t="e">
        <f ca="1">VLOOKUP($A310,tabCustoUnit[],COLUMN(CUSTO_GLOBAL[[#Headers],[Vale - Transporte (Descontada parcela do empregado)]])-2,0)*($G310-$H310)</f>
        <v>#NAME?</v>
      </c>
      <c r="AF310" s="22">
        <f>VLOOKUP($A310,tabCustoUnit[],COLUMN(CUSTO_GLOBAL[[#Headers],[Vale - Alimentação (Descontada parcela do empregado)]])-2,0)*($G310-$H310)</f>
        <v>0</v>
      </c>
      <c r="AG310" s="22">
        <f>VLOOKUP($A310,tabCustoUnit[],COLUMN(CUSTO_GLOBAL[[#Headers],[Cesta Básica]])-2,0)*($G310-$H310)</f>
        <v>387.79</v>
      </c>
      <c r="AH310" s="22">
        <f>VLOOKUP($A310,tabCustoUnit[],COLUMN(CUSTO_GLOBAL[[#Headers],[PAF]])-2,0)*($G310-$H310)</f>
        <v>42.97</v>
      </c>
      <c r="AI310" s="22">
        <f>VLOOKUP($A310,tabCustoUnit[],COLUMN(CUSTO_GLOBAL[[#Headers],[PQM]])-2,0)*($G310-$H310)</f>
        <v>0</v>
      </c>
      <c r="AJ310" s="22">
        <v>0</v>
      </c>
      <c r="AK310" s="22">
        <f>VLOOKUP($A310,tabCustoUnit[],COLUMN(CUSTO_GLOBAL[[#Headers],[Seguro de Vida]])-2,0)*($G310-$H310)</f>
        <v>3.36</v>
      </c>
      <c r="AL310" s="22">
        <f>VLOOKUP($A310,tabCustoUnit[],COLUMN(CUSTO_GLOBAL[[#Headers],[Despesas de Viagem]])-2,0)*($G310-$H310)</f>
        <v>0</v>
      </c>
      <c r="AM310" s="22" t="e">
        <f ca="1">VLOOKUP($A310,tabCustoUnit[],COLUMN(CUSTO_GLOBAL[[#Headers],[Submódulo 2.3]])-2,0)*($G310-$H310)</f>
        <v>#NAME?</v>
      </c>
      <c r="AN310" s="22" t="e">
        <f ca="1">VLOOKUP($A310,tabCustoUnit[],COLUMN(CUSTO_GLOBAL[[#Headers],[MÓDULO 2 - Total Encargos e Benefícios mensais e diários]])-2,0)*($G310-$H310)</f>
        <v>#NAME?</v>
      </c>
      <c r="AO310" s="22">
        <f>VLOOKUP($A310,tabCustoUnit[],COLUMN(CUSTO_GLOBAL[[#Headers],[Aviso Prévio Indenizado (API) e Reflexo do Aviso Prévio Indenizado]])-2,0)*($G310-$H310)</f>
        <v>16.240832065914354</v>
      </c>
      <c r="AP310" s="22">
        <f>VLOOKUP($A310,tabCustoUnit[],COLUMN(CUSTO_GLOBAL[[#Headers],[Incidência do FGTS sobre API e Reflexo do API]])-2,0)*($G310-$H310)</f>
        <v>1.2992665652731483</v>
      </c>
      <c r="AQ310" s="22">
        <f>VLOOKUP($A310,tabCustoUnit[],COLUMN(CUSTO_GLOBAL[[#Headers],[Multa Rescisória do FGTS sobre o Aviso Prévio Indenizado]])-2,0)*($G310-$H310)</f>
        <v>0.51970662610925933</v>
      </c>
      <c r="AR310" s="22">
        <f>VLOOKUP($A310,tabCustoUnit[],COLUMN(CUSTO_GLOBAL[[#Headers],[Aviso Prévio Trabalhado - APT]])-2,0)*($G310-$H310)</f>
        <v>8.106788550000001</v>
      </c>
      <c r="AS310" s="22">
        <f>VLOOKUP($A310,tabCustoUnit[],COLUMN(CUSTO_GLOBAL[[#Headers],[Incidência dos encargos do submódulo 2.1 sobre Aviso Prévio Trabalhado]])-2,0)*($G310-$H310)</f>
        <v>3.0643660719000008</v>
      </c>
      <c r="AT310" s="22">
        <f>VLOOKUP($A310,tabCustoUnit[],COLUMN(CUSTO_GLOBAL[[#Headers],[Multa Rescisória do FGTS]])-2,0)*($G310-$H310)</f>
        <v>70.825022506666656</v>
      </c>
      <c r="AU310" s="22">
        <f>VLOOKUP($A310,tabCustoUnit[],COLUMN(CUSTO_GLOBAL[[#Headers],[Indenização Adicional (Art. 9º da Lei nº 7.238/84)]])-2,0)*($G310-$H310)</f>
        <v>1.9301877500000002</v>
      </c>
      <c r="AV310" s="22">
        <f>VLOOKUP($A310,tabCustoUnit[],COLUMN(CUSTO_GLOBAL[[#Headers],[MÓDULO 3 – PROVISÃO PARA RESCISÃO]])-2,0)*($G310-$H310)</f>
        <v>101.98617013586342</v>
      </c>
      <c r="AW310" s="22">
        <f>VLOOKUP($A310,tabCustoUnit[],COLUMN(CUSTO_GLOBAL[[#Headers],[Ausência por Doença]])-2,0)*($G310-$H310)</f>
        <v>19.559235866666665</v>
      </c>
      <c r="AX310" s="22">
        <f>VLOOKUP($A310,tabCustoUnit[],COLUMN(CUSTO_GLOBAL[[#Headers],[Ausências Legais]])-2,0)*($G310-$H310)</f>
        <v>4.6967901916666666</v>
      </c>
      <c r="AY310" s="22">
        <f>VLOOKUP($A310,tabCustoUnit[],COLUMN(CUSTO_GLOBAL[[#Headers],[Licença Paternidade]])-2,0)*($G310-$H310)</f>
        <v>0.39568848875000001</v>
      </c>
      <c r="AZ310" s="22">
        <f>VLOOKUP($A310,tabCustoUnit[],COLUMN(CUSTO_GLOBAL[[#Headers],[Ausência por Acidente de Trabalho]])-2,0)*($G310-$H310)</f>
        <v>0.48254693750000005</v>
      </c>
      <c r="BA310" s="22">
        <f>VLOOKUP($A310,tabCustoUnit[],COLUMN(CUSTO_GLOBAL[[#Headers],[Férias, Adicional de Férias e 13º  com empregada em gozo de Licença Maternidade]])-2,0)*($G310-$H310)</f>
        <v>3.0025142777777778</v>
      </c>
      <c r="BB310" s="22">
        <f>VLOOKUP($A310,tabCustoUnit[],COLUMN(CUSTO_GLOBAL[[#Headers],[Incidência do Submódulo 2.1 sobre Ausências Legais]])-2,0)*($G310-$H310)</f>
        <v>10.635701238172501</v>
      </c>
      <c r="BC310" s="22">
        <f>VLOOKUP($A310,tabCustoUnit[],COLUMN(CUSTO_GLOBAL[[#Headers],[Submódulo 4.1]])-2,0)*($G310-$H310)</f>
        <v>38.772477000533613</v>
      </c>
      <c r="BD310" s="22">
        <f>VLOOKUP($A310,tabCustoUnit[],COLUMN(CUSTO_GLOBAL[[#Headers],[Intervalo para Repouso ou Alimentação]])-2,0)*($G310-$H310)</f>
        <v>0</v>
      </c>
      <c r="BE310" s="22">
        <f>VLOOKUP($A310,tabCustoUnit[],COLUMN(CUSTO_GLOBAL[[#Headers],[Submódulo 4.2]])-2,0)*($G310-$H310)</f>
        <v>0</v>
      </c>
      <c r="BF310" s="22">
        <f>VLOOKUP($A310,tabCustoUnit[],COLUMN(CUSTO_GLOBAL[[#Headers],[Suspensão Temporária do Contrato de Trabalho]])-2,0)*($G310-$H310)</f>
        <v>0</v>
      </c>
      <c r="BG310" s="22">
        <f>VLOOKUP($A310,tabCustoUnit[],COLUMN(CUSTO_GLOBAL[[#Headers],[Submódulo 4.3]])-2,0)*($G310-$H310)</f>
        <v>0</v>
      </c>
      <c r="BH310" s="22">
        <f>VLOOKUP($A310,tabCustoUnit[],COLUMN(CUSTO_GLOBAL[[#Headers],[MÓDULO 4 – CUSTO DE REPOSIÇÃO DO PROFISSIONAL AUSENTE]])-2,0)*($G310-$H310)</f>
        <v>38.772477000533613</v>
      </c>
      <c r="BI310" s="22">
        <f>VLOOKUP($A310,tabCustoUnit[],COLUMN(CUSTO_GLOBAL[[#Headers],[Uniformes e EPIs]])-2,0)*($G310-$H310)</f>
        <v>56.642978962543395</v>
      </c>
      <c r="BJ310" s="22">
        <f>VLOOKUP($A310,tabCustoUnit[],COLUMN(CUSTO_GLOBAL[[#Headers],[Materiais de Consumo]])-2,0)*($G310-$H310)</f>
        <v>0</v>
      </c>
      <c r="BK310" s="22">
        <f>VLOOKUP($A310,tabCustoUnit[],COLUMN(CUSTO_GLOBAL[[#Headers],[Máquinas e Equipamentos (depreciação)]])-2,0)*($G310-$H310)</f>
        <v>0</v>
      </c>
      <c r="BL310" s="22">
        <f>VLOOKUP($A310,tabCustoUnit[],COLUMN(CUSTO_GLOBAL[[#Headers],[Produtos de Limpeza e Materiais de Higiene Pessoal]])-2,0)*($G310-$H310)</f>
        <v>0</v>
      </c>
      <c r="BM310" s="22">
        <f>VLOOKUP($A310,tabCustoUnit[],COLUMN(CUSTO_GLOBAL[[#Headers],[Outros (especificar)]])-2,0)*($G310-$H310)</f>
        <v>0</v>
      </c>
      <c r="BN310" s="22">
        <f>VLOOKUP($A310,tabCustoUnit[],COLUMN(CUSTO_GLOBAL[[#Headers],[MÓDULO 5 – INSUMOS DIVERSOS]])-2,0)*($G310-$H310)</f>
        <v>56.642978962543395</v>
      </c>
      <c r="BO310" s="22" t="e">
        <f ca="1">VLOOKUP($A310,tabCustoUnit[],COLUMN(CUSTO_GLOBAL[[#Headers],[TOTAL MÓDULOS 1+2+3+4+5]])-2,0)*($G310-$H310)</f>
        <v>#NAME?</v>
      </c>
      <c r="BP310" s="22" t="e">
        <f ca="1">VLOOKUP($A310,tabCustoUnit[],COLUMN(CUSTO_GLOBAL[[#Headers],[Custos Indiretos]])-2,0)*($G310-$H310)</f>
        <v>#NAME?</v>
      </c>
      <c r="BQ310" s="22" t="e">
        <f ca="1">VLOOKUP($A310,tabCustoUnit[],COLUMN(CUSTO_GLOBAL[[#Headers],[Lucro]])-2,0)*($G310-$H310)</f>
        <v>#NAME?</v>
      </c>
      <c r="BR310" s="26">
        <f>VLOOKUP($A310,tabCustoUnit[],COLUMN(CUSTO_GLOBAL[[#Headers],[COFINS]])-2,0)</f>
        <v>8.5633802816901458E-2</v>
      </c>
      <c r="BS310" s="26">
        <f>VLOOKUP($A310,tabCustoUnit[],COLUMN(CUSTO_GLOBAL[[#Headers],[PIS]])-2,0)</f>
        <v>1.8591549295774657E-2</v>
      </c>
      <c r="BT310" s="28">
        <f>VLOOKUP($A310,tabCustoUnit[],COLUMN(CUSTO_GLOBAL[[#Headers],[ISS]])-2,0)</f>
        <v>0.02</v>
      </c>
      <c r="BU310" s="26">
        <f>VLOOKUP($A310,tabCustoUnit[],COLUMN(CUSTO_GLOBAL[[#Headers],[ISS (Conversão Alíquota s/ fatura)]])-2,0)</f>
        <v>2.2535211267605645E-2</v>
      </c>
      <c r="BV310" s="26">
        <f>VLOOKUP($A310,tabCustoUnit[],COLUMN(CUSTO_GLOBAL[[#Headers],[Resumo de Alíquotas (PIS+CONFINS+ISS)]])-2,0)</f>
        <v>0.1125</v>
      </c>
      <c r="BW310" s="138">
        <f>VLOOKUP($A310,tabCustoUnit[],COLUMN(CUSTO_GLOBAL[[#Headers],[PIS + COFINS + ISS (Total Conversão  Alíquota s/ Fatura)]])-2,0)</f>
        <v>0.12676056338028174</v>
      </c>
      <c r="BX310" s="22" t="e">
        <f ca="1">VLOOKUP($A310,tabCustoUnit[],COLUMN(CUSTO_GLOBAL[[#Headers],[Valor dos Tributos (ISS, PIS, CONFINS)]])-2,0)*($G310-$H310)</f>
        <v>#NAME?</v>
      </c>
      <c r="BY310" s="22" t="e">
        <f ca="1">VLOOKUP($A310,tabCustoUnit[],COLUMN(CUSTO_GLOBAL[[#Headers],[MÓDULO 6 – CUSTOS INDIRETOS, TRIBUTOS E LUCRO]])-2,0)*($G310-$H310)</f>
        <v>#NAME?</v>
      </c>
      <c r="BZ310" s="22" t="e">
        <f ca="1">VLOOKUP($A310,tabCustoUnit[],COLUMN(CUSTO_GLOBAL[[#Headers],[CUSTO TOTAL MENSAL]])-2,0)*($G310-$H310)</f>
        <v>#NAME?</v>
      </c>
      <c r="CA310" s="22" t="e">
        <f ca="1">CUSTO_GLOBAL[[#This Row],[CUSTO TOTAL MENSAL]]*12</f>
        <v>#NAME?</v>
      </c>
      <c r="CB310" s="24">
        <f>VLOOKUP($A310,tabCustoUnit[],COLUMN(CUSTO_GLOBAL[[#Headers],[ANO DA CCT]])-2,0)</f>
        <v>45658</v>
      </c>
      <c r="CC310" s="25" t="str">
        <f>VLOOKUP($A310,tabCustoUnit[],COLUMN(CUSTO_GLOBAL[[#Headers],[Nº DE PEDIDO DA CCT]])-2,0)</f>
        <v>-</v>
      </c>
      <c r="CD310" s="25" t="str">
        <f>VLOOKUP($A310,tabCustoUnit[],COLUMN(CUSTO_GLOBAL[[#Headers],[TERMO ADITIVO ALTERAÇÃO DA CCT]])-2,0)</f>
        <v>-</v>
      </c>
    </row>
    <row r="311" spans="1:82">
      <c r="A311" s="20" t="s">
        <v>1724</v>
      </c>
      <c r="B311" t="s">
        <v>1214</v>
      </c>
      <c r="C311" t="s">
        <v>274</v>
      </c>
      <c r="D311" t="s">
        <v>997</v>
      </c>
      <c r="E311" s="20" t="s">
        <v>1090</v>
      </c>
      <c r="F311" s="20" t="s">
        <v>120</v>
      </c>
      <c r="G311" s="20">
        <v>1</v>
      </c>
      <c r="H311" s="20">
        <v>0</v>
      </c>
      <c r="I311" s="21">
        <f>VLOOKUP($A311,tabCustoUnit[],COLUMN(CUSTO_GLOBAL[[#Headers],[Salário Base]])-2,0)*($G311-$H311)</f>
        <v>4599.5953</v>
      </c>
      <c r="J311" s="21">
        <f>VLOOKUP($A311,tabCustoUnit[],COLUMN(CUSTO_GLOBAL[[#Headers],[Adicional Periculosidade]])-2,0)*($G311-$H311)</f>
        <v>0</v>
      </c>
      <c r="K311" s="21">
        <f>VLOOKUP($A311,tabCustoUnit[],COLUMN(CUSTO_GLOBAL[[#Headers],[Adicional Insalubridade]])-2,0)*($G311-$H311)</f>
        <v>0</v>
      </c>
      <c r="L311" s="21">
        <f>VLOOKUP($A311,tabCustoUnit[],COLUMN(CUSTO_GLOBAL[[#Headers],[Adicional Noturno]])-2,0)*($G311-$H311)</f>
        <v>0</v>
      </c>
      <c r="M311" s="21">
        <f>VLOOKUP($A311,tabCustoUnit[],COLUMN(CUSTO_GLOBAL[[#Headers],[Adicional Motorista II (Gratificação)]])-2,0)*($G311-$H311)</f>
        <v>0</v>
      </c>
      <c r="N311" s="21">
        <f>VLOOKUP($A311,tabCustoUnit[],COLUMN(CUSTO_GLOBAL[[#Headers],[Adicional de Sobreaviso]])-2,0)*($G311-$H311)</f>
        <v>0</v>
      </c>
      <c r="O311" s="21">
        <f>VLOOKUP($A311,tabCustoUnit[],COLUMN(CUSTO_GLOBAL[[#Headers],[Horas Extras TI]])-2,0)*($G311-$H311)</f>
        <v>0</v>
      </c>
      <c r="P311" s="21">
        <f>VLOOKUP($A311,tabCustoUnit[],COLUMN(CUSTO_GLOBAL[[#Headers],[Adicional de Acúmulo de função]])-2,0)*($G311-$H311)</f>
        <v>0</v>
      </c>
      <c r="Q311" s="21">
        <f>VLOOKUP($A311,tabCustoUnit[],COLUMN(CUSTO_GLOBAL[[#Headers],[MODULO 1 - REMUNERAÇÃO ]])-2,0)*($G311-$H311)</f>
        <v>4599.5953</v>
      </c>
      <c r="R311" s="21">
        <f>VLOOKUP($A311,tabCustoUnit[],COLUMN(CUSTO_GLOBAL[[#Headers],[INSS]])-2,0)*($G311-$H311)</f>
        <v>919.91906000000006</v>
      </c>
      <c r="S311" s="21">
        <f>VLOOKUP($A311,tabCustoUnit[],COLUMN(CUSTO_GLOBAL[[#Headers],[SESI OU SESC]])-2,0)*($G311-$H311)</f>
        <v>68.993929499999993</v>
      </c>
      <c r="T311" s="21">
        <f>VLOOKUP($A311,tabCustoUnit[],COLUMN(CUSTO_GLOBAL[[#Headers],[SENAI OU SENAC]])-2,0)*($G311-$H311)</f>
        <v>45.995953</v>
      </c>
      <c r="U311" s="21">
        <f>VLOOKUP($A311,tabCustoUnit[],COLUMN(CUSTO_GLOBAL[[#Headers],[INCRA]])-2,0)*($G311-$H311)</f>
        <v>9.1991905999999997</v>
      </c>
      <c r="V311" s="21">
        <f>VLOOKUP($A311,tabCustoUnit[],COLUMN(CUSTO_GLOBAL[[#Headers],[Salário Educação]])-2,0)*($G311-$H311)</f>
        <v>114.98988250000001</v>
      </c>
      <c r="W311" s="21">
        <f>VLOOKUP($A311,tabCustoUnit[],COLUMN(CUSTO_GLOBAL[[#Headers],[FGTS]])-2,0)*($G311-$H311)</f>
        <v>367.967624</v>
      </c>
      <c r="X311" s="21">
        <f>VLOOKUP($A311,tabCustoUnit[],COLUMN(CUSTO_GLOBAL[[#Headers],[RAT Ajustado]])-2,0)*($G311-$H311)</f>
        <v>183.983812</v>
      </c>
      <c r="Y311" s="21">
        <f>VLOOKUP($A311,tabCustoUnit[],COLUMN(CUSTO_GLOBAL[[#Headers],[SEBRAE]])-2,0)*($G311-$H311)</f>
        <v>27.597571800000001</v>
      </c>
      <c r="Z311" s="21">
        <f>VLOOKUP($A311,tabCustoUnit[],COLUMN(CUSTO_GLOBAL[[#Headers],[Submódulo 2.1]])-2,0)*($G311-$H311)</f>
        <v>1738.6470234000003</v>
      </c>
      <c r="AA311" s="21">
        <f>VLOOKUP($A311,tabCustoUnit[],COLUMN(CUSTO_GLOBAL[[#Headers],[13º salário (titular)]])-2,0)*($G311-$H311)</f>
        <v>383.29960833333331</v>
      </c>
      <c r="AB311" s="21">
        <f>VLOOKUP($A311,tabCustoUnit[],COLUMN(CUSTO_GLOBAL[[#Headers],[Férias e Adicional de Férias (titular)]])-2,0)*($G311-$H311)</f>
        <v>511.06614444444443</v>
      </c>
      <c r="AC311" s="21">
        <f>VLOOKUP($A311,tabCustoUnit[],COLUMN(CUSTO_GLOBAL[[#Headers],[Incidência do Submódulo 2.1 sobre 13º Salário, Férias e Adicional de Férias]])-2,0)*($G311-$H311)</f>
        <v>338.07025455000002</v>
      </c>
      <c r="AD311" s="21">
        <f>VLOOKUP($A311,tabCustoUnit[],COLUMN(CUSTO_GLOBAL[[#Headers],[Submódulo 2.2]])-2,0)*($G311-$H311)</f>
        <v>1232.4360073277778</v>
      </c>
      <c r="AE311" s="22" t="e">
        <f ca="1">VLOOKUP($A311,tabCustoUnit[],COLUMN(CUSTO_GLOBAL[[#Headers],[Vale - Transporte (Descontada parcela do empregado)]])-2,0)*($G311-$H311)</f>
        <v>#NAME?</v>
      </c>
      <c r="AF311" s="22">
        <f>VLOOKUP($A311,tabCustoUnit[],COLUMN(CUSTO_GLOBAL[[#Headers],[Vale - Alimentação (Descontada parcela do empregado)]])-2,0)*($G311-$H311)</f>
        <v>578.4</v>
      </c>
      <c r="AG311" s="22">
        <f>VLOOKUP($A311,tabCustoUnit[],COLUMN(CUSTO_GLOBAL[[#Headers],[Cesta Básica]])-2,0)*($G311-$H311)</f>
        <v>0</v>
      </c>
      <c r="AH311" s="22">
        <f>VLOOKUP($A311,tabCustoUnit[],COLUMN(CUSTO_GLOBAL[[#Headers],[PAF]])-2,0)*($G311-$H311)</f>
        <v>0</v>
      </c>
      <c r="AI311" s="22">
        <f>VLOOKUP($A311,tabCustoUnit[],COLUMN(CUSTO_GLOBAL[[#Headers],[PQM]])-2,0)*($G311-$H311)</f>
        <v>0</v>
      </c>
      <c r="AJ311" s="22">
        <v>0</v>
      </c>
      <c r="AK311" s="22">
        <f>VLOOKUP($A311,tabCustoUnit[],COLUMN(CUSTO_GLOBAL[[#Headers],[Seguro de Vida]])-2,0)*($G311-$H311)</f>
        <v>3.36</v>
      </c>
      <c r="AL311" s="22">
        <f>VLOOKUP($A311,tabCustoUnit[],COLUMN(CUSTO_GLOBAL[[#Headers],[Despesas de Viagem]])-2,0)*($G311-$H311)</f>
        <v>662.42</v>
      </c>
      <c r="AM311" s="22" t="e">
        <f ca="1">VLOOKUP($A311,tabCustoUnit[],COLUMN(CUSTO_GLOBAL[[#Headers],[Submódulo 2.3]])-2,0)*($G311-$H311)</f>
        <v>#NAME?</v>
      </c>
      <c r="AN311" s="22" t="e">
        <f ca="1">VLOOKUP($A311,tabCustoUnit[],COLUMN(CUSTO_GLOBAL[[#Headers],[MÓDULO 2 - Total Encargos e Benefícios mensais e diários]])-2,0)*($G311-$H311)</f>
        <v>#NAME?</v>
      </c>
      <c r="AO311" s="22">
        <f>VLOOKUP($A311,tabCustoUnit[],COLUMN(CUSTO_GLOBAL[[#Headers],[Aviso Prévio Indenizado (API) e Reflexo do Aviso Prévio Indenizado]])-2,0)*($G311-$H311)</f>
        <v>32.251290424324843</v>
      </c>
      <c r="AP311" s="22">
        <f>VLOOKUP($A311,tabCustoUnit[],COLUMN(CUSTO_GLOBAL[[#Headers],[Incidência do FGTS sobre API e Reflexo do API]])-2,0)*($G311-$H311)</f>
        <v>2.5801032339459877</v>
      </c>
      <c r="AQ311" s="22">
        <f>VLOOKUP($A311,tabCustoUnit[],COLUMN(CUSTO_GLOBAL[[#Headers],[Multa Rescisória do FGTS sobre o Aviso Prévio Indenizado]])-2,0)*($G311-$H311)</f>
        <v>1.0320412935783951</v>
      </c>
      <c r="AR311" s="22">
        <f>VLOOKUP($A311,tabCustoUnit[],COLUMN(CUSTO_GLOBAL[[#Headers],[Aviso Prévio Trabalhado - APT]])-2,0)*($G311-$H311)</f>
        <v>16.098583550000001</v>
      </c>
      <c r="AS311" s="22">
        <f>VLOOKUP($A311,tabCustoUnit[],COLUMN(CUSTO_GLOBAL[[#Headers],[Incidência dos encargos do submódulo 2.1 sobre Aviso Prévio Trabalhado]])-2,0)*($G311-$H311)</f>
        <v>6.0852645819000015</v>
      </c>
      <c r="AT311" s="22">
        <f>VLOOKUP($A311,tabCustoUnit[],COLUMN(CUSTO_GLOBAL[[#Headers],[Multa Rescisória do FGTS]])-2,0)*($G311-$H311)</f>
        <v>140.64540295111109</v>
      </c>
      <c r="AU311" s="22">
        <f>VLOOKUP($A311,tabCustoUnit[],COLUMN(CUSTO_GLOBAL[[#Headers],[Indenização Adicional (Art. 9º da Lei nº 7.238/84)]])-2,0)*($G311-$H311)</f>
        <v>3.8329960833333336</v>
      </c>
      <c r="AV311" s="22">
        <f>VLOOKUP($A311,tabCustoUnit[],COLUMN(CUSTO_GLOBAL[[#Headers],[MÓDULO 3 – PROVISÃO PARA RESCISÃO]])-2,0)*($G311-$H311)</f>
        <v>202.52568211819366</v>
      </c>
      <c r="AW311" s="22">
        <f>VLOOKUP($A311,tabCustoUnit[],COLUMN(CUSTO_GLOBAL[[#Headers],[Ausência por Doença]])-2,0)*($G311-$H311)</f>
        <v>38.841026977777773</v>
      </c>
      <c r="AX311" s="22">
        <f>VLOOKUP($A311,tabCustoUnit[],COLUMN(CUSTO_GLOBAL[[#Headers],[Ausências Legais]])-2,0)*($G311-$H311)</f>
        <v>9.3269571361111101</v>
      </c>
      <c r="AY311" s="22">
        <f>VLOOKUP($A311,tabCustoUnit[],COLUMN(CUSTO_GLOBAL[[#Headers],[Licença Paternidade]])-2,0)*($G311-$H311)</f>
        <v>0.78576419708333334</v>
      </c>
      <c r="AZ311" s="22">
        <f>VLOOKUP($A311,tabCustoUnit[],COLUMN(CUSTO_GLOBAL[[#Headers],[Ausência por Acidente de Trabalho]])-2,0)*($G311-$H311)</f>
        <v>0.95824902083333341</v>
      </c>
      <c r="BA311" s="22">
        <f>VLOOKUP($A311,tabCustoUnit[],COLUMN(CUSTO_GLOBAL[[#Headers],[Férias, Adicional de Férias e 13º  com empregada em gozo de Licença Maternidade]])-2,0)*($G311-$H311)</f>
        <v>5.9624383518518513</v>
      </c>
      <c r="BB311" s="22">
        <f>VLOOKUP($A311,tabCustoUnit[],COLUMN(CUSTO_GLOBAL[[#Headers],[Incidência do Submódulo 2.1 sobre Ausências Legais]])-2,0)*($G311-$H311)</f>
        <v>21.120536688422504</v>
      </c>
      <c r="BC311" s="22">
        <f>VLOOKUP($A311,tabCustoUnit[],COLUMN(CUSTO_GLOBAL[[#Headers],[Submódulo 4.1]])-2,0)*($G311-$H311)</f>
        <v>76.9949723720799</v>
      </c>
      <c r="BD311" s="22">
        <f>VLOOKUP($A311,tabCustoUnit[],COLUMN(CUSTO_GLOBAL[[#Headers],[Intervalo para Repouso ou Alimentação]])-2,0)*($G311-$H311)</f>
        <v>0</v>
      </c>
      <c r="BE311" s="22">
        <f>VLOOKUP($A311,tabCustoUnit[],COLUMN(CUSTO_GLOBAL[[#Headers],[Submódulo 4.2]])-2,0)*($G311-$H311)</f>
        <v>0</v>
      </c>
      <c r="BF311" s="22">
        <f>VLOOKUP($A311,tabCustoUnit[],COLUMN(CUSTO_GLOBAL[[#Headers],[Suspensão Temporária do Contrato de Trabalho]])-2,0)*($G311-$H311)</f>
        <v>0</v>
      </c>
      <c r="BG311" s="22">
        <f>VLOOKUP($A311,tabCustoUnit[],COLUMN(CUSTO_GLOBAL[[#Headers],[Submódulo 4.3]])-2,0)*($G311-$H311)</f>
        <v>0</v>
      </c>
      <c r="BH311" s="22">
        <f>VLOOKUP($A311,tabCustoUnit[],COLUMN(CUSTO_GLOBAL[[#Headers],[MÓDULO 4 – CUSTO DE REPOSIÇÃO DO PROFISSIONAL AUSENTE]])-2,0)*($G311-$H311)</f>
        <v>76.9949723720799</v>
      </c>
      <c r="BI311" s="22">
        <f>VLOOKUP($A311,tabCustoUnit[],COLUMN(CUSTO_GLOBAL[[#Headers],[Uniformes e EPIs]])-2,0)*($G311-$H311)</f>
        <v>92.100763771570698</v>
      </c>
      <c r="BJ311" s="22">
        <f>VLOOKUP($A311,tabCustoUnit[],COLUMN(CUSTO_GLOBAL[[#Headers],[Materiais de Consumo]])-2,0)*($G311-$H311)</f>
        <v>0</v>
      </c>
      <c r="BK311" s="22">
        <f>VLOOKUP($A311,tabCustoUnit[],COLUMN(CUSTO_GLOBAL[[#Headers],[Máquinas e Equipamentos (depreciação)]])-2,0)*($G311-$H311)</f>
        <v>0</v>
      </c>
      <c r="BL311" s="22">
        <f>VLOOKUP($A311,tabCustoUnit[],COLUMN(CUSTO_GLOBAL[[#Headers],[Produtos de Limpeza e Materiais de Higiene Pessoal]])-2,0)*($G311-$H311)</f>
        <v>0</v>
      </c>
      <c r="BM311" s="22">
        <f>VLOOKUP($A311,tabCustoUnit[],COLUMN(CUSTO_GLOBAL[[#Headers],[Outros (especificar)]])-2,0)*($G311-$H311)</f>
        <v>0</v>
      </c>
      <c r="BN311" s="22">
        <f>VLOOKUP($A311,tabCustoUnit[],COLUMN(CUSTO_GLOBAL[[#Headers],[MÓDULO 5 – INSUMOS DIVERSOS]])-2,0)*($G311-$H311)</f>
        <v>92.100763771570698</v>
      </c>
      <c r="BO311" s="22" t="e">
        <f ca="1">VLOOKUP($A311,tabCustoUnit[],COLUMN(CUSTO_GLOBAL[[#Headers],[TOTAL MÓDULOS 1+2+3+4+5]])-2,0)*($G311-$H311)</f>
        <v>#NAME?</v>
      </c>
      <c r="BP311" s="22" t="e">
        <f ca="1">VLOOKUP($A311,tabCustoUnit[],COLUMN(CUSTO_GLOBAL[[#Headers],[Custos Indiretos]])-2,0)*($G311-$H311)</f>
        <v>#NAME?</v>
      </c>
      <c r="BQ311" s="22" t="e">
        <f ca="1">VLOOKUP($A311,tabCustoUnit[],COLUMN(CUSTO_GLOBAL[[#Headers],[Lucro]])-2,0)*($G311-$H311)</f>
        <v>#NAME?</v>
      </c>
      <c r="BR311" s="26">
        <f>VLOOKUP($A311,tabCustoUnit[],COLUMN(CUSTO_GLOBAL[[#Headers],[COFINS]])-2,0)</f>
        <v>8.6609686609686695E-2</v>
      </c>
      <c r="BS311" s="26">
        <f>VLOOKUP($A311,tabCustoUnit[],COLUMN(CUSTO_GLOBAL[[#Headers],[PIS]])-2,0)</f>
        <v>1.880341880341882E-2</v>
      </c>
      <c r="BT311" s="28">
        <f>VLOOKUP($A311,tabCustoUnit[],COLUMN(CUSTO_GLOBAL[[#Headers],[ISS]])-2,0)</f>
        <v>0.03</v>
      </c>
      <c r="BU311" s="26">
        <f>VLOOKUP($A311,tabCustoUnit[],COLUMN(CUSTO_GLOBAL[[#Headers],[ISS (Conversão Alíquota s/ fatura)]])-2,0)</f>
        <v>3.4188034188034219E-2</v>
      </c>
      <c r="BV311" s="26">
        <f>VLOOKUP($A311,tabCustoUnit[],COLUMN(CUSTO_GLOBAL[[#Headers],[Resumo de Alíquotas (PIS+CONFINS+ISS)]])-2,0)</f>
        <v>0.1225</v>
      </c>
      <c r="BW311" s="138">
        <f>VLOOKUP($A311,tabCustoUnit[],COLUMN(CUSTO_GLOBAL[[#Headers],[PIS + COFINS + ISS (Total Conversão  Alíquota s/ Fatura)]])-2,0)</f>
        <v>0.13960113960113973</v>
      </c>
      <c r="BX311" s="22" t="e">
        <f ca="1">VLOOKUP($A311,tabCustoUnit[],COLUMN(CUSTO_GLOBAL[[#Headers],[Valor dos Tributos (ISS, PIS, CONFINS)]])-2,0)*($G311-$H311)</f>
        <v>#NAME?</v>
      </c>
      <c r="BY311" s="22" t="e">
        <f ca="1">VLOOKUP($A311,tabCustoUnit[],COLUMN(CUSTO_GLOBAL[[#Headers],[MÓDULO 6 – CUSTOS INDIRETOS, TRIBUTOS E LUCRO]])-2,0)*($G311-$H311)</f>
        <v>#NAME?</v>
      </c>
      <c r="BZ311" s="22" t="e">
        <f ca="1">VLOOKUP($A311,tabCustoUnit[],COLUMN(CUSTO_GLOBAL[[#Headers],[CUSTO TOTAL MENSAL]])-2,0)*($G311-$H311)</f>
        <v>#NAME?</v>
      </c>
      <c r="CA311" s="22" t="e">
        <f ca="1">CUSTO_GLOBAL[[#This Row],[CUSTO TOTAL MENSAL]]*12</f>
        <v>#NAME?</v>
      </c>
      <c r="CB311" s="24">
        <f>VLOOKUP($A311,tabCustoUnit[],COLUMN(CUSTO_GLOBAL[[#Headers],[ANO DA CCT]])-2,0)</f>
        <v>45658</v>
      </c>
      <c r="CC311" s="25" t="str">
        <f>VLOOKUP($A311,tabCustoUnit[],COLUMN(CUSTO_GLOBAL[[#Headers],[Nº DE PEDIDO DA CCT]])-2,0)</f>
        <v>-</v>
      </c>
      <c r="CD311" s="25" t="str">
        <f>VLOOKUP($A311,tabCustoUnit[],COLUMN(CUSTO_GLOBAL[[#Headers],[TERMO ADITIVO ALTERAÇÃO DA CCT]])-2,0)</f>
        <v>-</v>
      </c>
    </row>
    <row r="312" spans="1:82">
      <c r="A312" s="20" t="s">
        <v>1725</v>
      </c>
      <c r="B312" t="s">
        <v>1214</v>
      </c>
      <c r="C312" t="s">
        <v>314</v>
      </c>
      <c r="D312" t="s">
        <v>905</v>
      </c>
      <c r="E312" s="20" t="s">
        <v>1090</v>
      </c>
      <c r="F312" s="20" t="s">
        <v>120</v>
      </c>
      <c r="G312" s="20">
        <v>1</v>
      </c>
      <c r="H312" s="20">
        <v>0</v>
      </c>
      <c r="I312" s="21">
        <f>VLOOKUP($A312,tabCustoUnit[],COLUMN(CUSTO_GLOBAL[[#Headers],[Salário Base]])-2,0)*($G312-$H312)</f>
        <v>1963.4110000000001</v>
      </c>
      <c r="J312" s="21">
        <f>VLOOKUP($A312,tabCustoUnit[],COLUMN(CUSTO_GLOBAL[[#Headers],[Adicional Periculosidade]])-2,0)*($G312-$H312)</f>
        <v>0</v>
      </c>
      <c r="K312" s="21">
        <f>VLOOKUP($A312,tabCustoUnit[],COLUMN(CUSTO_GLOBAL[[#Headers],[Adicional Insalubridade]])-2,0)*($G312-$H312)</f>
        <v>0</v>
      </c>
      <c r="L312" s="21">
        <f>VLOOKUP($A312,tabCustoUnit[],COLUMN(CUSTO_GLOBAL[[#Headers],[Adicional Noturno]])-2,0)*($G312-$H312)</f>
        <v>0</v>
      </c>
      <c r="M312" s="21">
        <f>VLOOKUP($A312,tabCustoUnit[],COLUMN(CUSTO_GLOBAL[[#Headers],[Adicional Motorista II (Gratificação)]])-2,0)*($G312-$H312)</f>
        <v>0</v>
      </c>
      <c r="N312" s="21">
        <f>VLOOKUP($A312,tabCustoUnit[],COLUMN(CUSTO_GLOBAL[[#Headers],[Adicional de Sobreaviso]])-2,0)*($G312-$H312)</f>
        <v>0</v>
      </c>
      <c r="O312" s="21">
        <f>VLOOKUP($A312,tabCustoUnit[],COLUMN(CUSTO_GLOBAL[[#Headers],[Horas Extras TI]])-2,0)*($G312-$H312)</f>
        <v>0</v>
      </c>
      <c r="P312" s="21">
        <f>VLOOKUP($A312,tabCustoUnit[],COLUMN(CUSTO_GLOBAL[[#Headers],[Adicional de Acúmulo de função]])-2,0)*($G312-$H312)</f>
        <v>0</v>
      </c>
      <c r="Q312" s="21">
        <f>VLOOKUP($A312,tabCustoUnit[],COLUMN(CUSTO_GLOBAL[[#Headers],[MODULO 1 - REMUNERAÇÃO ]])-2,0)*($G312-$H312)</f>
        <v>1963.4110000000001</v>
      </c>
      <c r="R312" s="21">
        <f>VLOOKUP($A312,tabCustoUnit[],COLUMN(CUSTO_GLOBAL[[#Headers],[INSS]])-2,0)*($G312-$H312)</f>
        <v>392.68220000000002</v>
      </c>
      <c r="S312" s="21">
        <f>VLOOKUP($A312,tabCustoUnit[],COLUMN(CUSTO_GLOBAL[[#Headers],[SESI OU SESC]])-2,0)*($G312-$H312)</f>
        <v>29.451165</v>
      </c>
      <c r="T312" s="21">
        <f>VLOOKUP($A312,tabCustoUnit[],COLUMN(CUSTO_GLOBAL[[#Headers],[SENAI OU SENAC]])-2,0)*($G312-$H312)</f>
        <v>19.63411</v>
      </c>
      <c r="U312" s="21">
        <f>VLOOKUP($A312,tabCustoUnit[],COLUMN(CUSTO_GLOBAL[[#Headers],[INCRA]])-2,0)*($G312-$H312)</f>
        <v>3.926822</v>
      </c>
      <c r="V312" s="21">
        <f>VLOOKUP($A312,tabCustoUnit[],COLUMN(CUSTO_GLOBAL[[#Headers],[Salário Educação]])-2,0)*($G312-$H312)</f>
        <v>49.085275000000003</v>
      </c>
      <c r="W312" s="21">
        <f>VLOOKUP($A312,tabCustoUnit[],COLUMN(CUSTO_GLOBAL[[#Headers],[FGTS]])-2,0)*($G312-$H312)</f>
        <v>157.07288</v>
      </c>
      <c r="X312" s="21">
        <f>VLOOKUP($A312,tabCustoUnit[],COLUMN(CUSTO_GLOBAL[[#Headers],[RAT Ajustado]])-2,0)*($G312-$H312)</f>
        <v>78.536439999999999</v>
      </c>
      <c r="Y312" s="21">
        <f>VLOOKUP($A312,tabCustoUnit[],COLUMN(CUSTO_GLOBAL[[#Headers],[SEBRAE]])-2,0)*($G312-$H312)</f>
        <v>11.780466000000001</v>
      </c>
      <c r="Z312" s="21">
        <f>VLOOKUP($A312,tabCustoUnit[],COLUMN(CUSTO_GLOBAL[[#Headers],[Submódulo 2.1]])-2,0)*($G312-$H312)</f>
        <v>742.1693580000001</v>
      </c>
      <c r="AA312" s="21">
        <f>VLOOKUP($A312,tabCustoUnit[],COLUMN(CUSTO_GLOBAL[[#Headers],[13º salário (titular)]])-2,0)*($G312-$H312)</f>
        <v>163.61758333333333</v>
      </c>
      <c r="AB312" s="21">
        <f>VLOOKUP($A312,tabCustoUnit[],COLUMN(CUSTO_GLOBAL[[#Headers],[Férias e Adicional de Férias (titular)]])-2,0)*($G312-$H312)</f>
        <v>218.15677777777776</v>
      </c>
      <c r="AC312" s="21">
        <f>VLOOKUP($A312,tabCustoUnit[],COLUMN(CUSTO_GLOBAL[[#Headers],[Incidência do Submódulo 2.1 sobre 13º Salário, Férias e Adicional de Férias]])-2,0)*($G312-$H312)</f>
        <v>144.3107085</v>
      </c>
      <c r="AD312" s="21">
        <f>VLOOKUP($A312,tabCustoUnit[],COLUMN(CUSTO_GLOBAL[[#Headers],[Submódulo 2.2]])-2,0)*($G312-$H312)</f>
        <v>526.08506961111107</v>
      </c>
      <c r="AE312" s="22" t="e">
        <f ca="1">VLOOKUP($A312,tabCustoUnit[],COLUMN(CUSTO_GLOBAL[[#Headers],[Vale - Transporte (Descontada parcela do empregado)]])-2,0)*($G312-$H312)</f>
        <v>#NAME?</v>
      </c>
      <c r="AF312" s="22">
        <f>VLOOKUP($A312,tabCustoUnit[],COLUMN(CUSTO_GLOBAL[[#Headers],[Vale - Alimentação (Descontada parcela do empregado)]])-2,0)*($G312-$H312)</f>
        <v>582</v>
      </c>
      <c r="AG312" s="22">
        <f>VLOOKUP($A312,tabCustoUnit[],COLUMN(CUSTO_GLOBAL[[#Headers],[Cesta Básica]])-2,0)*($G312-$H312)</f>
        <v>0</v>
      </c>
      <c r="AH312" s="22">
        <f>VLOOKUP($A312,tabCustoUnit[],COLUMN(CUSTO_GLOBAL[[#Headers],[PAF]])-2,0)*($G312-$H312)</f>
        <v>57.07</v>
      </c>
      <c r="AI312" s="22">
        <f>VLOOKUP($A312,tabCustoUnit[],COLUMN(CUSTO_GLOBAL[[#Headers],[PQM]])-2,0)*($G312-$H312)</f>
        <v>0</v>
      </c>
      <c r="AJ312" s="22">
        <v>0</v>
      </c>
      <c r="AK312" s="22">
        <f>VLOOKUP($A312,tabCustoUnit[],COLUMN(CUSTO_GLOBAL[[#Headers],[Seguro de Vida]])-2,0)*($G312-$H312)</f>
        <v>3.36</v>
      </c>
      <c r="AL312" s="22">
        <f>VLOOKUP($A312,tabCustoUnit[],COLUMN(CUSTO_GLOBAL[[#Headers],[Despesas de Viagem]])-2,0)*($G312-$H312)</f>
        <v>0</v>
      </c>
      <c r="AM312" s="22" t="e">
        <f ca="1">VLOOKUP($A312,tabCustoUnit[],COLUMN(CUSTO_GLOBAL[[#Headers],[Submódulo 2.3]])-2,0)*($G312-$H312)</f>
        <v>#NAME?</v>
      </c>
      <c r="AN312" s="22" t="e">
        <f ca="1">VLOOKUP($A312,tabCustoUnit[],COLUMN(CUSTO_GLOBAL[[#Headers],[MÓDULO 2 - Total Encargos e Benefícios mensais e diários]])-2,0)*($G312-$H312)</f>
        <v>#NAME?</v>
      </c>
      <c r="AO312" s="22">
        <f>VLOOKUP($A312,tabCustoUnit[],COLUMN(CUSTO_GLOBAL[[#Headers],[Aviso Prévio Indenizado (API) e Reflexo do Aviso Prévio Indenizado]])-2,0)*($G312-$H312)</f>
        <v>13.766980408757716</v>
      </c>
      <c r="AP312" s="22">
        <f>VLOOKUP($A312,tabCustoUnit[],COLUMN(CUSTO_GLOBAL[[#Headers],[Incidência do FGTS sobre API e Reflexo do API]])-2,0)*($G312-$H312)</f>
        <v>1.1013584327006174</v>
      </c>
      <c r="AQ312" s="22">
        <f>VLOOKUP($A312,tabCustoUnit[],COLUMN(CUSTO_GLOBAL[[#Headers],[Multa Rescisória do FGTS sobre o Aviso Prévio Indenizado]])-2,0)*($G312-$H312)</f>
        <v>0.44054337308024699</v>
      </c>
      <c r="AR312" s="22">
        <f>VLOOKUP($A312,tabCustoUnit[],COLUMN(CUSTO_GLOBAL[[#Headers],[Aviso Prévio Trabalhado - APT]])-2,0)*($G312-$H312)</f>
        <v>6.8719385000000015</v>
      </c>
      <c r="AS312" s="22">
        <f>VLOOKUP($A312,tabCustoUnit[],COLUMN(CUSTO_GLOBAL[[#Headers],[Incidência dos encargos do submódulo 2.1 sobre Aviso Prévio Trabalhado]])-2,0)*($G312-$H312)</f>
        <v>2.5975927530000007</v>
      </c>
      <c r="AT312" s="22">
        <f>VLOOKUP($A312,tabCustoUnit[],COLUMN(CUSTO_GLOBAL[[#Headers],[Multa Rescisória do FGTS]])-2,0)*($G312-$H312)</f>
        <v>60.03674524444444</v>
      </c>
      <c r="AU312" s="22">
        <f>VLOOKUP($A312,tabCustoUnit[],COLUMN(CUSTO_GLOBAL[[#Headers],[Indenização Adicional (Art. 9º da Lei nº 7.238/84)]])-2,0)*($G312-$H312)</f>
        <v>1.6361758333333334</v>
      </c>
      <c r="AV312" s="22">
        <f>VLOOKUP($A312,tabCustoUnit[],COLUMN(CUSTO_GLOBAL[[#Headers],[MÓDULO 3 – PROVISÃO PARA RESCISÃO]])-2,0)*($G312-$H312)</f>
        <v>86.451334545316371</v>
      </c>
      <c r="AW312" s="22">
        <f>VLOOKUP($A312,tabCustoUnit[],COLUMN(CUSTO_GLOBAL[[#Headers],[Ausência por Doença]])-2,0)*($G312-$H312)</f>
        <v>16.579915111111109</v>
      </c>
      <c r="AX312" s="22">
        <f>VLOOKUP($A312,tabCustoUnit[],COLUMN(CUSTO_GLOBAL[[#Headers],[Ausências Legais]])-2,0)*($G312-$H312)</f>
        <v>3.9813611944444443</v>
      </c>
      <c r="AY312" s="22">
        <f>VLOOKUP($A312,tabCustoUnit[],COLUMN(CUSTO_GLOBAL[[#Headers],[Licença Paternidade]])-2,0)*($G312-$H312)</f>
        <v>0.33541604583333334</v>
      </c>
      <c r="AZ312" s="22">
        <f>VLOOKUP($A312,tabCustoUnit[],COLUMN(CUSTO_GLOBAL[[#Headers],[Ausência por Acidente de Trabalho]])-2,0)*($G312-$H312)</f>
        <v>0.40904395833333335</v>
      </c>
      <c r="BA312" s="22">
        <f>VLOOKUP($A312,tabCustoUnit[],COLUMN(CUSTO_GLOBAL[[#Headers],[Férias, Adicional de Férias e 13º  com empregada em gozo de Licença Maternidade]])-2,0)*($G312-$H312)</f>
        <v>2.5451624074074073</v>
      </c>
      <c r="BB312" s="22">
        <f>VLOOKUP($A312,tabCustoUnit[],COLUMN(CUSTO_GLOBAL[[#Headers],[Incidência do Submódulo 2.1 sobre Ausências Legais]])-2,0)*($G312-$H312)</f>
        <v>9.0156397150750021</v>
      </c>
      <c r="BC312" s="22">
        <f>VLOOKUP($A312,tabCustoUnit[],COLUMN(CUSTO_GLOBAL[[#Headers],[Submódulo 4.1]])-2,0)*($G312-$H312)</f>
        <v>32.866538432204628</v>
      </c>
      <c r="BD312" s="22">
        <f>VLOOKUP($A312,tabCustoUnit[],COLUMN(CUSTO_GLOBAL[[#Headers],[Intervalo para Repouso ou Alimentação]])-2,0)*($G312-$H312)</f>
        <v>267.73786489195959</v>
      </c>
      <c r="BE312" s="22">
        <f>VLOOKUP($A312,tabCustoUnit[],COLUMN(CUSTO_GLOBAL[[#Headers],[Submódulo 4.2]])-2,0)*($G312-$H312)</f>
        <v>267.73786489195959</v>
      </c>
      <c r="BF312" s="22">
        <f>VLOOKUP($A312,tabCustoUnit[],COLUMN(CUSTO_GLOBAL[[#Headers],[Suspensão Temporária do Contrato de Trabalho]])-2,0)*($G312-$H312)</f>
        <v>0</v>
      </c>
      <c r="BG312" s="22">
        <f>VLOOKUP($A312,tabCustoUnit[],COLUMN(CUSTO_GLOBAL[[#Headers],[Submódulo 4.3]])-2,0)*($G312-$H312)</f>
        <v>0</v>
      </c>
      <c r="BH312" s="22">
        <f>VLOOKUP($A312,tabCustoUnit[],COLUMN(CUSTO_GLOBAL[[#Headers],[MÓDULO 4 – CUSTO DE REPOSIÇÃO DO PROFISSIONAL AUSENTE]])-2,0)*($G312-$H312)</f>
        <v>300.6044033241642</v>
      </c>
      <c r="BI312" s="22">
        <f>VLOOKUP($A312,tabCustoUnit[],COLUMN(CUSTO_GLOBAL[[#Headers],[Uniformes e EPIs]])-2,0)*($G312-$H312)</f>
        <v>56.642978962543395</v>
      </c>
      <c r="BJ312" s="22">
        <f>VLOOKUP($A312,tabCustoUnit[],COLUMN(CUSTO_GLOBAL[[#Headers],[Materiais de Consumo]])-2,0)*($G312-$H312)</f>
        <v>0</v>
      </c>
      <c r="BK312" s="22">
        <f>VLOOKUP($A312,tabCustoUnit[],COLUMN(CUSTO_GLOBAL[[#Headers],[Máquinas e Equipamentos (depreciação)]])-2,0)*($G312-$H312)</f>
        <v>0</v>
      </c>
      <c r="BL312" s="22">
        <f>VLOOKUP($A312,tabCustoUnit[],COLUMN(CUSTO_GLOBAL[[#Headers],[Produtos de Limpeza e Materiais de Higiene Pessoal]])-2,0)*($G312-$H312)</f>
        <v>0</v>
      </c>
      <c r="BM312" s="22">
        <f>VLOOKUP($A312,tabCustoUnit[],COLUMN(CUSTO_GLOBAL[[#Headers],[Outros (especificar)]])-2,0)*($G312-$H312)</f>
        <v>0</v>
      </c>
      <c r="BN312" s="22">
        <f>VLOOKUP($A312,tabCustoUnit[],COLUMN(CUSTO_GLOBAL[[#Headers],[MÓDULO 5 – INSUMOS DIVERSOS]])-2,0)*($G312-$H312)</f>
        <v>56.642978962543395</v>
      </c>
      <c r="BO312" s="22" t="e">
        <f ca="1">VLOOKUP($A312,tabCustoUnit[],COLUMN(CUSTO_GLOBAL[[#Headers],[TOTAL MÓDULOS 1+2+3+4+5]])-2,0)*($G312-$H312)</f>
        <v>#NAME?</v>
      </c>
      <c r="BP312" s="22" t="e">
        <f ca="1">VLOOKUP($A312,tabCustoUnit[],COLUMN(CUSTO_GLOBAL[[#Headers],[Custos Indiretos]])-2,0)*($G312-$H312)</f>
        <v>#NAME?</v>
      </c>
      <c r="BQ312" s="22" t="e">
        <f ca="1">VLOOKUP($A312,tabCustoUnit[],COLUMN(CUSTO_GLOBAL[[#Headers],[Lucro]])-2,0)*($G312-$H312)</f>
        <v>#NAME?</v>
      </c>
      <c r="BR312" s="26">
        <f>VLOOKUP($A312,tabCustoUnit[],COLUMN(CUSTO_GLOBAL[[#Headers],[COFINS]])-2,0)</f>
        <v>8.6609686609686695E-2</v>
      </c>
      <c r="BS312" s="26">
        <f>VLOOKUP($A312,tabCustoUnit[],COLUMN(CUSTO_GLOBAL[[#Headers],[PIS]])-2,0)</f>
        <v>1.880341880341882E-2</v>
      </c>
      <c r="BT312" s="28">
        <f>VLOOKUP($A312,tabCustoUnit[],COLUMN(CUSTO_GLOBAL[[#Headers],[ISS]])-2,0)</f>
        <v>0.03</v>
      </c>
      <c r="BU312" s="26">
        <f>VLOOKUP($A312,tabCustoUnit[],COLUMN(CUSTO_GLOBAL[[#Headers],[ISS (Conversão Alíquota s/ fatura)]])-2,0)</f>
        <v>3.4188034188034219E-2</v>
      </c>
      <c r="BV312" s="26">
        <f>VLOOKUP($A312,tabCustoUnit[],COLUMN(CUSTO_GLOBAL[[#Headers],[Resumo de Alíquotas (PIS+CONFINS+ISS)]])-2,0)</f>
        <v>0.1225</v>
      </c>
      <c r="BW312" s="138">
        <f>VLOOKUP($A312,tabCustoUnit[],COLUMN(CUSTO_GLOBAL[[#Headers],[PIS + COFINS + ISS (Total Conversão  Alíquota s/ Fatura)]])-2,0)</f>
        <v>0.13960113960113973</v>
      </c>
      <c r="BX312" s="22" t="e">
        <f ca="1">VLOOKUP($A312,tabCustoUnit[],COLUMN(CUSTO_GLOBAL[[#Headers],[Valor dos Tributos (ISS, PIS, CONFINS)]])-2,0)*($G312-$H312)</f>
        <v>#NAME?</v>
      </c>
      <c r="BY312" s="22" t="e">
        <f ca="1">VLOOKUP($A312,tabCustoUnit[],COLUMN(CUSTO_GLOBAL[[#Headers],[MÓDULO 6 – CUSTOS INDIRETOS, TRIBUTOS E LUCRO]])-2,0)*($G312-$H312)</f>
        <v>#NAME?</v>
      </c>
      <c r="BZ312" s="22" t="e">
        <f ca="1">VLOOKUP($A312,tabCustoUnit[],COLUMN(CUSTO_GLOBAL[[#Headers],[CUSTO TOTAL MENSAL]])-2,0)*($G312-$H312)</f>
        <v>#NAME?</v>
      </c>
      <c r="CA312" s="22" t="e">
        <f ca="1">CUSTO_GLOBAL[[#This Row],[CUSTO TOTAL MENSAL]]*12</f>
        <v>#NAME?</v>
      </c>
      <c r="CB312" s="24">
        <f>VLOOKUP($A312,tabCustoUnit[],COLUMN(CUSTO_GLOBAL[[#Headers],[ANO DA CCT]])-2,0)</f>
        <v>45658</v>
      </c>
      <c r="CC312" s="25" t="str">
        <f>VLOOKUP($A312,tabCustoUnit[],COLUMN(CUSTO_GLOBAL[[#Headers],[Nº DE PEDIDO DA CCT]])-2,0)</f>
        <v>-</v>
      </c>
      <c r="CD312" s="25" t="str">
        <f>VLOOKUP($A312,tabCustoUnit[],COLUMN(CUSTO_GLOBAL[[#Headers],[TERMO ADITIVO ALTERAÇÃO DA CCT]])-2,0)</f>
        <v>-</v>
      </c>
    </row>
    <row r="313" spans="1:82">
      <c r="A313" s="20" t="s">
        <v>1511</v>
      </c>
      <c r="B313" t="s">
        <v>1069</v>
      </c>
      <c r="C313" t="s">
        <v>200</v>
      </c>
      <c r="D313" t="s">
        <v>1069</v>
      </c>
      <c r="E313" s="20" t="s">
        <v>1090</v>
      </c>
      <c r="F313" s="20" t="s">
        <v>120</v>
      </c>
      <c r="G313" s="20">
        <v>1</v>
      </c>
      <c r="H313" s="20">
        <v>0</v>
      </c>
      <c r="I313" s="21">
        <f>VLOOKUP($A313,tabCustoUnit[],COLUMN(CUSTO_GLOBAL[[#Headers],[Salário Base]])-2,0)*($G313-$H313)</f>
        <v>1649.1152999999999</v>
      </c>
      <c r="J313" s="21">
        <f>VLOOKUP($A313,tabCustoUnit[],COLUMN(CUSTO_GLOBAL[[#Headers],[Adicional Periculosidade]])-2,0)*($G313-$H313)</f>
        <v>0</v>
      </c>
      <c r="K313" s="21">
        <f>VLOOKUP($A313,tabCustoUnit[],COLUMN(CUSTO_GLOBAL[[#Headers],[Adicional Insalubridade]])-2,0)*($G313-$H313)</f>
        <v>0</v>
      </c>
      <c r="L313" s="21">
        <f>VLOOKUP($A313,tabCustoUnit[],COLUMN(CUSTO_GLOBAL[[#Headers],[Adicional Noturno]])-2,0)*($G313-$H313)</f>
        <v>0</v>
      </c>
      <c r="M313" s="21">
        <f>VLOOKUP($A313,tabCustoUnit[],COLUMN(CUSTO_GLOBAL[[#Headers],[Adicional Motorista II (Gratificação)]])-2,0)*($G313-$H313)</f>
        <v>0</v>
      </c>
      <c r="N313" s="21">
        <f>VLOOKUP($A313,tabCustoUnit[],COLUMN(CUSTO_GLOBAL[[#Headers],[Adicional de Sobreaviso]])-2,0)*($G313-$H313)</f>
        <v>0</v>
      </c>
      <c r="O313" s="21">
        <f>VLOOKUP($A313,tabCustoUnit[],COLUMN(CUSTO_GLOBAL[[#Headers],[Horas Extras TI]])-2,0)*($G313-$H313)</f>
        <v>0</v>
      </c>
      <c r="P313" s="21">
        <f>VLOOKUP($A313,tabCustoUnit[],COLUMN(CUSTO_GLOBAL[[#Headers],[Adicional de Acúmulo de função]])-2,0)*($G313-$H313)</f>
        <v>0</v>
      </c>
      <c r="Q313" s="21">
        <f>VLOOKUP($A313,tabCustoUnit[],COLUMN(CUSTO_GLOBAL[[#Headers],[MODULO 1 - REMUNERAÇÃO ]])-2,0)*($G313-$H313)</f>
        <v>1649.1152999999999</v>
      </c>
      <c r="R313" s="21">
        <f>VLOOKUP($A313,tabCustoUnit[],COLUMN(CUSTO_GLOBAL[[#Headers],[INSS]])-2,0)*($G313-$H313)</f>
        <v>329.82306</v>
      </c>
      <c r="S313" s="21">
        <f>VLOOKUP($A313,tabCustoUnit[],COLUMN(CUSTO_GLOBAL[[#Headers],[SESI OU SESC]])-2,0)*($G313-$H313)</f>
        <v>24.736729499999999</v>
      </c>
      <c r="T313" s="21">
        <f>VLOOKUP($A313,tabCustoUnit[],COLUMN(CUSTO_GLOBAL[[#Headers],[SENAI OU SENAC]])-2,0)*($G313-$H313)</f>
        <v>16.491153000000001</v>
      </c>
      <c r="U313" s="21">
        <f>VLOOKUP($A313,tabCustoUnit[],COLUMN(CUSTO_GLOBAL[[#Headers],[INCRA]])-2,0)*($G313-$H313)</f>
        <v>3.2982306000000001</v>
      </c>
      <c r="V313" s="21">
        <f>VLOOKUP($A313,tabCustoUnit[],COLUMN(CUSTO_GLOBAL[[#Headers],[Salário Educação]])-2,0)*($G313-$H313)</f>
        <v>41.2278825</v>
      </c>
      <c r="W313" s="21">
        <f>VLOOKUP($A313,tabCustoUnit[],COLUMN(CUSTO_GLOBAL[[#Headers],[FGTS]])-2,0)*($G313-$H313)</f>
        <v>131.929224</v>
      </c>
      <c r="X313" s="21">
        <f>VLOOKUP($A313,tabCustoUnit[],COLUMN(CUSTO_GLOBAL[[#Headers],[RAT Ajustado]])-2,0)*($G313-$H313)</f>
        <v>65.964612000000002</v>
      </c>
      <c r="Y313" s="21">
        <f>VLOOKUP($A313,tabCustoUnit[],COLUMN(CUSTO_GLOBAL[[#Headers],[SEBRAE]])-2,0)*($G313-$H313)</f>
        <v>9.8946918000000004</v>
      </c>
      <c r="Z313" s="21">
        <f>VLOOKUP($A313,tabCustoUnit[],COLUMN(CUSTO_GLOBAL[[#Headers],[Submódulo 2.1]])-2,0)*($G313-$H313)</f>
        <v>623.36558340000011</v>
      </c>
      <c r="AA313" s="21">
        <f>VLOOKUP($A313,tabCustoUnit[],COLUMN(CUSTO_GLOBAL[[#Headers],[13º salário (titular)]])-2,0)*($G313-$H313)</f>
        <v>137.42627499999998</v>
      </c>
      <c r="AB313" s="21">
        <f>VLOOKUP($A313,tabCustoUnit[],COLUMN(CUSTO_GLOBAL[[#Headers],[Férias e Adicional de Férias (titular)]])-2,0)*($G313-$H313)</f>
        <v>183.23503333333332</v>
      </c>
      <c r="AC313" s="21">
        <f>VLOOKUP($A313,tabCustoUnit[],COLUMN(CUSTO_GLOBAL[[#Headers],[Incidência do Submódulo 2.1 sobre 13º Salário, Férias e Adicional de Férias]])-2,0)*($G313-$H313)</f>
        <v>121.20997455</v>
      </c>
      <c r="AD313" s="21">
        <f>VLOOKUP($A313,tabCustoUnit[],COLUMN(CUSTO_GLOBAL[[#Headers],[Submódulo 2.2]])-2,0)*($G313-$H313)</f>
        <v>441.87128288333327</v>
      </c>
      <c r="AE313" s="22" t="e">
        <f ca="1">VLOOKUP($A313,tabCustoUnit[],COLUMN(CUSTO_GLOBAL[[#Headers],[Vale - Transporte (Descontada parcela do empregado)]])-2,0)*($G313-$H313)</f>
        <v>#NAME?</v>
      </c>
      <c r="AF313" s="22">
        <f>VLOOKUP($A313,tabCustoUnit[],COLUMN(CUSTO_GLOBAL[[#Headers],[Vale - Alimentação (Descontada parcela do empregado)]])-2,0)*($G313-$H313)</f>
        <v>582</v>
      </c>
      <c r="AG313" s="22">
        <f>VLOOKUP($A313,tabCustoUnit[],COLUMN(CUSTO_GLOBAL[[#Headers],[Cesta Básica]])-2,0)*($G313-$H313)</f>
        <v>0</v>
      </c>
      <c r="AH313" s="22">
        <f>VLOOKUP($A313,tabCustoUnit[],COLUMN(CUSTO_GLOBAL[[#Headers],[PAF]])-2,0)*($G313-$H313)</f>
        <v>51.86</v>
      </c>
      <c r="AI313" s="22">
        <f>VLOOKUP($A313,tabCustoUnit[],COLUMN(CUSTO_GLOBAL[[#Headers],[PQM]])-2,0)*($G313-$H313)</f>
        <v>0</v>
      </c>
      <c r="AJ313" s="22">
        <v>0</v>
      </c>
      <c r="AK313" s="22">
        <f>VLOOKUP($A313,tabCustoUnit[],COLUMN(CUSTO_GLOBAL[[#Headers],[Seguro de Vida]])-2,0)*($G313-$H313)</f>
        <v>3.36</v>
      </c>
      <c r="AL313" s="22">
        <f>VLOOKUP($A313,tabCustoUnit[],COLUMN(CUSTO_GLOBAL[[#Headers],[Despesas de Viagem]])-2,0)*($G313-$H313)</f>
        <v>0</v>
      </c>
      <c r="AM313" s="22" t="e">
        <f ca="1">VLOOKUP($A313,tabCustoUnit[],COLUMN(CUSTO_GLOBAL[[#Headers],[Submódulo 2.3]])-2,0)*($G313-$H313)</f>
        <v>#NAME?</v>
      </c>
      <c r="AN313" s="22" t="e">
        <f ca="1">VLOOKUP($A313,tabCustoUnit[],COLUMN(CUSTO_GLOBAL[[#Headers],[MÓDULO 2 - Total Encargos e Benefícios mensais e diários]])-2,0)*($G313-$H313)</f>
        <v>#NAME?</v>
      </c>
      <c r="AO313" s="22">
        <f>VLOOKUP($A313,tabCustoUnit[],COLUMN(CUSTO_GLOBAL[[#Headers],[Aviso Prévio Indenizado (API) e Reflexo do Aviso Prévio Indenizado]])-2,0)*($G313-$H313)</f>
        <v>11.563212199016203</v>
      </c>
      <c r="AP313" s="22">
        <f>VLOOKUP($A313,tabCustoUnit[],COLUMN(CUSTO_GLOBAL[[#Headers],[Incidência do FGTS sobre API e Reflexo do API]])-2,0)*($G313-$H313)</f>
        <v>0.92505697592129632</v>
      </c>
      <c r="AQ313" s="22">
        <f>VLOOKUP($A313,tabCustoUnit[],COLUMN(CUSTO_GLOBAL[[#Headers],[Multa Rescisória do FGTS sobre o Aviso Prévio Indenizado]])-2,0)*($G313-$H313)</f>
        <v>0.37002279036851859</v>
      </c>
      <c r="AR313" s="22">
        <f>VLOOKUP($A313,tabCustoUnit[],COLUMN(CUSTO_GLOBAL[[#Headers],[Aviso Prévio Trabalhado - APT]])-2,0)*($G313-$H313)</f>
        <v>5.7719035500000002</v>
      </c>
      <c r="AS313" s="22">
        <f>VLOOKUP($A313,tabCustoUnit[],COLUMN(CUSTO_GLOBAL[[#Headers],[Incidência dos encargos do submódulo 2.1 sobre Aviso Prévio Trabalhado]])-2,0)*($G313-$H313)</f>
        <v>2.1817795419000006</v>
      </c>
      <c r="AT313" s="22">
        <f>VLOOKUP($A313,tabCustoUnit[],COLUMN(CUSTO_GLOBAL[[#Headers],[Multa Rescisória do FGTS]])-2,0)*($G313-$H313)</f>
        <v>50.426281173333322</v>
      </c>
      <c r="AU313" s="22">
        <f>VLOOKUP($A313,tabCustoUnit[],COLUMN(CUSTO_GLOBAL[[#Headers],[Indenização Adicional (Art. 9º da Lei nº 7.238/84)]])-2,0)*($G313-$H313)</f>
        <v>1.37426275</v>
      </c>
      <c r="AV313" s="22">
        <f>VLOOKUP($A313,tabCustoUnit[],COLUMN(CUSTO_GLOBAL[[#Headers],[MÓDULO 3 – PROVISÃO PARA RESCISÃO]])-2,0)*($G313-$H313)</f>
        <v>72.612518980539335</v>
      </c>
      <c r="AW313" s="22">
        <f>VLOOKUP($A313,tabCustoUnit[],COLUMN(CUSTO_GLOBAL[[#Headers],[Ausência por Doença]])-2,0)*($G313-$H313)</f>
        <v>13.925862533333332</v>
      </c>
      <c r="AX313" s="22">
        <f>VLOOKUP($A313,tabCustoUnit[],COLUMN(CUSTO_GLOBAL[[#Headers],[Ausências Legais]])-2,0)*($G313-$H313)</f>
        <v>3.3440393583333332</v>
      </c>
      <c r="AY313" s="22">
        <f>VLOOKUP($A313,tabCustoUnit[],COLUMN(CUSTO_GLOBAL[[#Headers],[Licença Paternidade]])-2,0)*($G313-$H313)</f>
        <v>0.28172386374999997</v>
      </c>
      <c r="AZ313" s="22">
        <f>VLOOKUP($A313,tabCustoUnit[],COLUMN(CUSTO_GLOBAL[[#Headers],[Ausência por Acidente de Trabalho]])-2,0)*($G313-$H313)</f>
        <v>0.34356568749999999</v>
      </c>
      <c r="BA313" s="22">
        <f>VLOOKUP($A313,tabCustoUnit[],COLUMN(CUSTO_GLOBAL[[#Headers],[Férias, Adicional de Férias e 13º  com empregada em gozo de Licença Maternidade]])-2,0)*($G313-$H313)</f>
        <v>2.1377420555555555</v>
      </c>
      <c r="BB313" s="22">
        <f>VLOOKUP($A313,tabCustoUnit[],COLUMN(CUSTO_GLOBAL[[#Headers],[Incidência do Submódulo 2.1 sobre Ausências Legais]])-2,0)*($G313-$H313)</f>
        <v>7.572448862422501</v>
      </c>
      <c r="BC313" s="22">
        <f>VLOOKUP($A313,tabCustoUnit[],COLUMN(CUSTO_GLOBAL[[#Headers],[Submódulo 4.1]])-2,0)*($G313-$H313)</f>
        <v>27.605382360894719</v>
      </c>
      <c r="BD313" s="22">
        <f>VLOOKUP($A313,tabCustoUnit[],COLUMN(CUSTO_GLOBAL[[#Headers],[Intervalo para Repouso ou Alimentação]])-2,0)*($G313-$H313)</f>
        <v>0</v>
      </c>
      <c r="BE313" s="22">
        <f>VLOOKUP($A313,tabCustoUnit[],COLUMN(CUSTO_GLOBAL[[#Headers],[Submódulo 4.2]])-2,0)*($G313-$H313)</f>
        <v>0</v>
      </c>
      <c r="BF313" s="22">
        <f>VLOOKUP($A313,tabCustoUnit[],COLUMN(CUSTO_GLOBAL[[#Headers],[Suspensão Temporária do Contrato de Trabalho]])-2,0)*($G313-$H313)</f>
        <v>0</v>
      </c>
      <c r="BG313" s="22">
        <f>VLOOKUP($A313,tabCustoUnit[],COLUMN(CUSTO_GLOBAL[[#Headers],[Submódulo 4.3]])-2,0)*($G313-$H313)</f>
        <v>0</v>
      </c>
      <c r="BH313" s="22">
        <f>VLOOKUP($A313,tabCustoUnit[],COLUMN(CUSTO_GLOBAL[[#Headers],[MÓDULO 4 – CUSTO DE REPOSIÇÃO DO PROFISSIONAL AUSENTE]])-2,0)*($G313-$H313)</f>
        <v>27.605382360894719</v>
      </c>
      <c r="BI313" s="22">
        <f>VLOOKUP($A313,tabCustoUnit[],COLUMN(CUSTO_GLOBAL[[#Headers],[Uniformes e EPIs]])-2,0)*($G313-$H313)</f>
        <v>56.141713661989918</v>
      </c>
      <c r="BJ313" s="22">
        <f>VLOOKUP($A313,tabCustoUnit[],COLUMN(CUSTO_GLOBAL[[#Headers],[Materiais de Consumo]])-2,0)*($G313-$H313)</f>
        <v>0</v>
      </c>
      <c r="BK313" s="22">
        <f>VLOOKUP($A313,tabCustoUnit[],COLUMN(CUSTO_GLOBAL[[#Headers],[Máquinas e Equipamentos (depreciação)]])-2,0)*($G313-$H313)</f>
        <v>0</v>
      </c>
      <c r="BL313" s="22">
        <f>VLOOKUP($A313,tabCustoUnit[],COLUMN(CUSTO_GLOBAL[[#Headers],[Produtos de Limpeza e Materiais de Higiene Pessoal]])-2,0)*($G313-$H313)</f>
        <v>0</v>
      </c>
      <c r="BM313" s="22">
        <f>VLOOKUP($A313,tabCustoUnit[],COLUMN(CUSTO_GLOBAL[[#Headers],[Outros (especificar)]])-2,0)*($G313-$H313)</f>
        <v>0</v>
      </c>
      <c r="BN313" s="22">
        <f>VLOOKUP($A313,tabCustoUnit[],COLUMN(CUSTO_GLOBAL[[#Headers],[MÓDULO 5 – INSUMOS DIVERSOS]])-2,0)*($G313-$H313)</f>
        <v>56.141713661989918</v>
      </c>
      <c r="BO313" s="22" t="e">
        <f ca="1">VLOOKUP($A313,tabCustoUnit[],COLUMN(CUSTO_GLOBAL[[#Headers],[TOTAL MÓDULOS 1+2+3+4+5]])-2,0)*($G313-$H313)</f>
        <v>#NAME?</v>
      </c>
      <c r="BP313" s="22" t="e">
        <f ca="1">VLOOKUP($A313,tabCustoUnit[],COLUMN(CUSTO_GLOBAL[[#Headers],[Custos Indiretos]])-2,0)*($G313-$H313)</f>
        <v>#NAME?</v>
      </c>
      <c r="BQ313" s="22" t="e">
        <f ca="1">VLOOKUP($A313,tabCustoUnit[],COLUMN(CUSTO_GLOBAL[[#Headers],[Lucro]])-2,0)*($G313-$H313)</f>
        <v>#NAME?</v>
      </c>
      <c r="BR313" s="26">
        <f>VLOOKUP($A313,tabCustoUnit[],COLUMN(CUSTO_GLOBAL[[#Headers],[COFINS]])-2,0)</f>
        <v>8.6609686609686695E-2</v>
      </c>
      <c r="BS313" s="26">
        <f>VLOOKUP($A313,tabCustoUnit[],COLUMN(CUSTO_GLOBAL[[#Headers],[PIS]])-2,0)</f>
        <v>1.880341880341882E-2</v>
      </c>
      <c r="BT313" s="28">
        <f>VLOOKUP($A313,tabCustoUnit[],COLUMN(CUSTO_GLOBAL[[#Headers],[ISS]])-2,0)</f>
        <v>0.03</v>
      </c>
      <c r="BU313" s="26">
        <f>VLOOKUP($A313,tabCustoUnit[],COLUMN(CUSTO_GLOBAL[[#Headers],[ISS (Conversão Alíquota s/ fatura)]])-2,0)</f>
        <v>3.4188034188034219E-2</v>
      </c>
      <c r="BV313" s="26">
        <f>VLOOKUP($A313,tabCustoUnit[],COLUMN(CUSTO_GLOBAL[[#Headers],[Resumo de Alíquotas (PIS+CONFINS+ISS)]])-2,0)</f>
        <v>0.1225</v>
      </c>
      <c r="BW313" s="138">
        <f>VLOOKUP($A313,tabCustoUnit[],COLUMN(CUSTO_GLOBAL[[#Headers],[PIS + COFINS + ISS (Total Conversão  Alíquota s/ Fatura)]])-2,0)</f>
        <v>0.13960113960113973</v>
      </c>
      <c r="BX313" s="22" t="e">
        <f ca="1">VLOOKUP($A313,tabCustoUnit[],COLUMN(CUSTO_GLOBAL[[#Headers],[Valor dos Tributos (ISS, PIS, CONFINS)]])-2,0)*($G313-$H313)</f>
        <v>#NAME?</v>
      </c>
      <c r="BY313" s="22" t="e">
        <f ca="1">VLOOKUP($A313,tabCustoUnit[],COLUMN(CUSTO_GLOBAL[[#Headers],[MÓDULO 6 – CUSTOS INDIRETOS, TRIBUTOS E LUCRO]])-2,0)*($G313-$H313)</f>
        <v>#NAME?</v>
      </c>
      <c r="BZ313" s="22" t="e">
        <f ca="1">VLOOKUP($A313,tabCustoUnit[],COLUMN(CUSTO_GLOBAL[[#Headers],[CUSTO TOTAL MENSAL]])-2,0)*($G313-$H313)</f>
        <v>#NAME?</v>
      </c>
      <c r="CA313" s="22" t="e">
        <f ca="1">CUSTO_GLOBAL[[#This Row],[CUSTO TOTAL MENSAL]]*12</f>
        <v>#NAME?</v>
      </c>
      <c r="CB313" s="24">
        <f>VLOOKUP($A313,tabCustoUnit[],COLUMN(CUSTO_GLOBAL[[#Headers],[ANO DA CCT]])-2,0)</f>
        <v>45658</v>
      </c>
      <c r="CC313" s="25" t="str">
        <f>VLOOKUP($A313,tabCustoUnit[],COLUMN(CUSTO_GLOBAL[[#Headers],[Nº DE PEDIDO DA CCT]])-2,0)</f>
        <v>-</v>
      </c>
      <c r="CD313" s="25" t="str">
        <f>VLOOKUP($A313,tabCustoUnit[],COLUMN(CUSTO_GLOBAL[[#Headers],[TERMO ADITIVO ALTERAÇÃO DA CCT]])-2,0)</f>
        <v>-</v>
      </c>
    </row>
    <row r="314" spans="1:82">
      <c r="A314" s="20" t="s">
        <v>1512</v>
      </c>
      <c r="B314" t="s">
        <v>1069</v>
      </c>
      <c r="C314" t="s">
        <v>214</v>
      </c>
      <c r="D314" t="s">
        <v>1054</v>
      </c>
      <c r="E314" s="20" t="s">
        <v>1090</v>
      </c>
      <c r="F314" s="20" t="s">
        <v>120</v>
      </c>
      <c r="G314" s="20">
        <v>5</v>
      </c>
      <c r="H314" s="20">
        <v>0</v>
      </c>
      <c r="I314" s="21">
        <f>VLOOKUP($A314,tabCustoUnit[],COLUMN(CUSTO_GLOBAL[[#Headers],[Salário Base]])-2,0)*($G314-$H314)</f>
        <v>9182.9925000000003</v>
      </c>
      <c r="J314" s="21">
        <f>VLOOKUP($A314,tabCustoUnit[],COLUMN(CUSTO_GLOBAL[[#Headers],[Adicional Periculosidade]])-2,0)*($G314-$H314)</f>
        <v>0</v>
      </c>
      <c r="K314" s="21">
        <f>VLOOKUP($A314,tabCustoUnit[],COLUMN(CUSTO_GLOBAL[[#Headers],[Adicional Insalubridade]])-2,0)*($G314-$H314)</f>
        <v>0</v>
      </c>
      <c r="L314" s="21">
        <f>VLOOKUP($A314,tabCustoUnit[],COLUMN(CUSTO_GLOBAL[[#Headers],[Adicional Noturno]])-2,0)*($G314-$H314)</f>
        <v>0</v>
      </c>
      <c r="M314" s="21">
        <f>VLOOKUP($A314,tabCustoUnit[],COLUMN(CUSTO_GLOBAL[[#Headers],[Adicional Motorista II (Gratificação)]])-2,0)*($G314-$H314)</f>
        <v>0</v>
      </c>
      <c r="N314" s="21">
        <f>VLOOKUP($A314,tabCustoUnit[],COLUMN(CUSTO_GLOBAL[[#Headers],[Adicional de Sobreaviso]])-2,0)*($G314-$H314)</f>
        <v>0</v>
      </c>
      <c r="O314" s="21">
        <f>VLOOKUP($A314,tabCustoUnit[],COLUMN(CUSTO_GLOBAL[[#Headers],[Horas Extras TI]])-2,0)*($G314-$H314)</f>
        <v>0</v>
      </c>
      <c r="P314" s="21">
        <f>VLOOKUP($A314,tabCustoUnit[],COLUMN(CUSTO_GLOBAL[[#Headers],[Adicional de Acúmulo de função]])-2,0)*($G314-$H314)</f>
        <v>0</v>
      </c>
      <c r="Q314" s="21">
        <f>VLOOKUP($A314,tabCustoUnit[],COLUMN(CUSTO_GLOBAL[[#Headers],[MODULO 1 - REMUNERAÇÃO ]])-2,0)*($G314-$H314)</f>
        <v>9182.9925000000003</v>
      </c>
      <c r="R314" s="21">
        <f>VLOOKUP($A314,tabCustoUnit[],COLUMN(CUSTO_GLOBAL[[#Headers],[INSS]])-2,0)*($G314-$H314)</f>
        <v>1836.5985000000001</v>
      </c>
      <c r="S314" s="21">
        <f>VLOOKUP($A314,tabCustoUnit[],COLUMN(CUSTO_GLOBAL[[#Headers],[SESI OU SESC]])-2,0)*($G314-$H314)</f>
        <v>137.7448875</v>
      </c>
      <c r="T314" s="21">
        <f>VLOOKUP($A314,tabCustoUnit[],COLUMN(CUSTO_GLOBAL[[#Headers],[SENAI OU SENAC]])-2,0)*($G314-$H314)</f>
        <v>91.829925000000003</v>
      </c>
      <c r="U314" s="21">
        <f>VLOOKUP($A314,tabCustoUnit[],COLUMN(CUSTO_GLOBAL[[#Headers],[INCRA]])-2,0)*($G314-$H314)</f>
        <v>18.365985000000002</v>
      </c>
      <c r="V314" s="21">
        <f>VLOOKUP($A314,tabCustoUnit[],COLUMN(CUSTO_GLOBAL[[#Headers],[Salário Educação]])-2,0)*($G314-$H314)</f>
        <v>229.57481250000001</v>
      </c>
      <c r="W314" s="21">
        <f>VLOOKUP($A314,tabCustoUnit[],COLUMN(CUSTO_GLOBAL[[#Headers],[FGTS]])-2,0)*($G314-$H314)</f>
        <v>734.63940000000002</v>
      </c>
      <c r="X314" s="21">
        <f>VLOOKUP($A314,tabCustoUnit[],COLUMN(CUSTO_GLOBAL[[#Headers],[RAT Ajustado]])-2,0)*($G314-$H314)</f>
        <v>367.31970000000001</v>
      </c>
      <c r="Y314" s="21">
        <f>VLOOKUP($A314,tabCustoUnit[],COLUMN(CUSTO_GLOBAL[[#Headers],[SEBRAE]])-2,0)*($G314-$H314)</f>
        <v>55.097954999999999</v>
      </c>
      <c r="Z314" s="21">
        <f>VLOOKUP($A314,tabCustoUnit[],COLUMN(CUSTO_GLOBAL[[#Headers],[Submódulo 2.1]])-2,0)*($G314-$H314)</f>
        <v>3471.1711650000002</v>
      </c>
      <c r="AA314" s="21">
        <f>VLOOKUP($A314,tabCustoUnit[],COLUMN(CUSTO_GLOBAL[[#Headers],[13º salário (titular)]])-2,0)*($G314-$H314)</f>
        <v>765.24937499999987</v>
      </c>
      <c r="AB314" s="21">
        <f>VLOOKUP($A314,tabCustoUnit[],COLUMN(CUSTO_GLOBAL[[#Headers],[Férias e Adicional de Férias (titular)]])-2,0)*($G314-$H314)</f>
        <v>1020.3325</v>
      </c>
      <c r="AC314" s="21">
        <f>VLOOKUP($A314,tabCustoUnit[],COLUMN(CUSTO_GLOBAL[[#Headers],[Incidência do Submódulo 2.1 sobre 13º Salário, Férias e Adicional de Férias]])-2,0)*($G314-$H314)</f>
        <v>674.94994874999986</v>
      </c>
      <c r="AD314" s="21">
        <f>VLOOKUP($A314,tabCustoUnit[],COLUMN(CUSTO_GLOBAL[[#Headers],[Submódulo 2.2]])-2,0)*($G314-$H314)</f>
        <v>2460.5318237499996</v>
      </c>
      <c r="AE314" s="22" t="e">
        <f ca="1">VLOOKUP($A314,tabCustoUnit[],COLUMN(CUSTO_GLOBAL[[#Headers],[Vale - Transporte (Descontada parcela do empregado)]])-2,0)*($G314-$H314)</f>
        <v>#NAME?</v>
      </c>
      <c r="AF314" s="22">
        <f>VLOOKUP($A314,tabCustoUnit[],COLUMN(CUSTO_GLOBAL[[#Headers],[Vale - Alimentação (Descontada parcela do empregado)]])-2,0)*($G314-$H314)</f>
        <v>2909</v>
      </c>
      <c r="AG314" s="22">
        <f>VLOOKUP($A314,tabCustoUnit[],COLUMN(CUSTO_GLOBAL[[#Headers],[Cesta Básica]])-2,0)*($G314-$H314)</f>
        <v>0</v>
      </c>
      <c r="AH314" s="22">
        <f>VLOOKUP($A314,tabCustoUnit[],COLUMN(CUSTO_GLOBAL[[#Headers],[PAF]])-2,0)*($G314-$H314)</f>
        <v>258.64999999999998</v>
      </c>
      <c r="AI314" s="22">
        <f>VLOOKUP($A314,tabCustoUnit[],COLUMN(CUSTO_GLOBAL[[#Headers],[PQM]])-2,0)*($G314-$H314)</f>
        <v>0</v>
      </c>
      <c r="AJ314" s="22">
        <v>0</v>
      </c>
      <c r="AK314" s="22">
        <f>VLOOKUP($A314,tabCustoUnit[],COLUMN(CUSTO_GLOBAL[[#Headers],[Seguro de Vida]])-2,0)*($G314-$H314)</f>
        <v>16.8</v>
      </c>
      <c r="AL314" s="22">
        <f>VLOOKUP($A314,tabCustoUnit[],COLUMN(CUSTO_GLOBAL[[#Headers],[Despesas de Viagem]])-2,0)*($G314-$H314)</f>
        <v>0</v>
      </c>
      <c r="AM314" s="22" t="e">
        <f ca="1">VLOOKUP($A314,tabCustoUnit[],COLUMN(CUSTO_GLOBAL[[#Headers],[Submódulo 2.3]])-2,0)*($G314-$H314)</f>
        <v>#NAME?</v>
      </c>
      <c r="AN314" s="22" t="e">
        <f ca="1">VLOOKUP($A314,tabCustoUnit[],COLUMN(CUSTO_GLOBAL[[#Headers],[MÓDULO 2 - Total Encargos e Benefícios mensais e diários]])-2,0)*($G314-$H314)</f>
        <v>#NAME?</v>
      </c>
      <c r="AO314" s="22">
        <f>VLOOKUP($A314,tabCustoUnit[],COLUMN(CUSTO_GLOBAL[[#Headers],[Aviso Prévio Indenizado (API) e Reflexo do Aviso Prévio Indenizado]])-2,0)*($G314-$H314)</f>
        <v>64.389003546006947</v>
      </c>
      <c r="AP314" s="22">
        <f>VLOOKUP($A314,tabCustoUnit[],COLUMN(CUSTO_GLOBAL[[#Headers],[Incidência do FGTS sobre API e Reflexo do API]])-2,0)*($G314-$H314)</f>
        <v>5.1511202836805561</v>
      </c>
      <c r="AQ314" s="22">
        <f>VLOOKUP($A314,tabCustoUnit[],COLUMN(CUSTO_GLOBAL[[#Headers],[Multa Rescisória do FGTS sobre o Aviso Prévio Indenizado]])-2,0)*($G314-$H314)</f>
        <v>2.0604481134722228</v>
      </c>
      <c r="AR314" s="22">
        <f>VLOOKUP($A314,tabCustoUnit[],COLUMN(CUSTO_GLOBAL[[#Headers],[Aviso Prévio Trabalhado - APT]])-2,0)*($G314-$H314)</f>
        <v>32.140473750000005</v>
      </c>
      <c r="AS314" s="22">
        <f>VLOOKUP($A314,tabCustoUnit[],COLUMN(CUSTO_GLOBAL[[#Headers],[Incidência dos encargos do submódulo 2.1 sobre Aviso Prévio Trabalhado]])-2,0)*($G314-$H314)</f>
        <v>12.149099077500003</v>
      </c>
      <c r="AT314" s="22">
        <f>VLOOKUP($A314,tabCustoUnit[],COLUMN(CUSTO_GLOBAL[[#Headers],[Multa Rescisória do FGTS]])-2,0)*($G314-$H314)</f>
        <v>280.79550399999994</v>
      </c>
      <c r="AU314" s="22">
        <f>VLOOKUP($A314,tabCustoUnit[],COLUMN(CUSTO_GLOBAL[[#Headers],[Indenização Adicional (Art. 9º da Lei nº 7.238/84)]])-2,0)*($G314-$H314)</f>
        <v>7.6524937500000014</v>
      </c>
      <c r="AV314" s="22">
        <f>VLOOKUP($A314,tabCustoUnit[],COLUMN(CUSTO_GLOBAL[[#Headers],[MÓDULO 3 – PROVISÃO PARA RESCISÃO]])-2,0)*($G314-$H314)</f>
        <v>404.33814252065974</v>
      </c>
      <c r="AW314" s="22">
        <f>VLOOKUP($A314,tabCustoUnit[],COLUMN(CUSTO_GLOBAL[[#Headers],[Ausência por Doença]])-2,0)*($G314-$H314)</f>
        <v>77.545269999999988</v>
      </c>
      <c r="AX314" s="22">
        <f>VLOOKUP($A314,tabCustoUnit[],COLUMN(CUSTO_GLOBAL[[#Headers],[Ausências Legais]])-2,0)*($G314-$H314)</f>
        <v>18.621068125000001</v>
      </c>
      <c r="AY314" s="22">
        <f>VLOOKUP($A314,tabCustoUnit[],COLUMN(CUSTO_GLOBAL[[#Headers],[Licença Paternidade]])-2,0)*($G314-$H314)</f>
        <v>1.56876121875</v>
      </c>
      <c r="AZ314" s="22">
        <f>VLOOKUP($A314,tabCustoUnit[],COLUMN(CUSTO_GLOBAL[[#Headers],[Ausência por Acidente de Trabalho]])-2,0)*($G314-$H314)</f>
        <v>1.9131234375000004</v>
      </c>
      <c r="BA314" s="22">
        <f>VLOOKUP($A314,tabCustoUnit[],COLUMN(CUSTO_GLOBAL[[#Headers],[Férias, Adicional de Férias e 13º  com empregada em gozo de Licença Maternidade]])-2,0)*($G314-$H314)</f>
        <v>11.903879166666666</v>
      </c>
      <c r="BB314" s="22">
        <f>VLOOKUP($A314,tabCustoUnit[],COLUMN(CUSTO_GLOBAL[[#Headers],[Incidência do Submódulo 2.1 sobre Ausências Legais]])-2,0)*($G314-$H314)</f>
        <v>42.166694536312512</v>
      </c>
      <c r="BC314" s="22">
        <f>VLOOKUP($A314,tabCustoUnit[],COLUMN(CUSTO_GLOBAL[[#Headers],[Submódulo 4.1]])-2,0)*($G314-$H314)</f>
        <v>153.71879648422919</v>
      </c>
      <c r="BD314" s="22">
        <f>VLOOKUP($A314,tabCustoUnit[],COLUMN(CUSTO_GLOBAL[[#Headers],[Intervalo para Repouso ou Alimentação]])-2,0)*($G314-$H314)</f>
        <v>0</v>
      </c>
      <c r="BE314" s="22">
        <f>VLOOKUP($A314,tabCustoUnit[],COLUMN(CUSTO_GLOBAL[[#Headers],[Submódulo 4.2]])-2,0)*($G314-$H314)</f>
        <v>0</v>
      </c>
      <c r="BF314" s="22">
        <f>VLOOKUP($A314,tabCustoUnit[],COLUMN(CUSTO_GLOBAL[[#Headers],[Suspensão Temporária do Contrato de Trabalho]])-2,0)*($G314-$H314)</f>
        <v>0</v>
      </c>
      <c r="BG314" s="22">
        <f>VLOOKUP($A314,tabCustoUnit[],COLUMN(CUSTO_GLOBAL[[#Headers],[Submódulo 4.3]])-2,0)*($G314-$H314)</f>
        <v>0</v>
      </c>
      <c r="BH314" s="22">
        <f>VLOOKUP($A314,tabCustoUnit[],COLUMN(CUSTO_GLOBAL[[#Headers],[MÓDULO 4 – CUSTO DE REPOSIÇÃO DO PROFISSIONAL AUSENTE]])-2,0)*($G314-$H314)</f>
        <v>153.71879648422919</v>
      </c>
      <c r="BI314" s="22">
        <f>VLOOKUP($A314,tabCustoUnit[],COLUMN(CUSTO_GLOBAL[[#Headers],[Uniformes e EPIs]])-2,0)*($G314-$H314)</f>
        <v>220.55673224353177</v>
      </c>
      <c r="BJ314" s="22">
        <f>VLOOKUP($A314,tabCustoUnit[],COLUMN(CUSTO_GLOBAL[[#Headers],[Materiais de Consumo]])-2,0)*($G314-$H314)</f>
        <v>0</v>
      </c>
      <c r="BK314" s="22">
        <f>VLOOKUP($A314,tabCustoUnit[],COLUMN(CUSTO_GLOBAL[[#Headers],[Máquinas e Equipamentos (depreciação)]])-2,0)*($G314-$H314)</f>
        <v>0</v>
      </c>
      <c r="BL314" s="22">
        <f>VLOOKUP($A314,tabCustoUnit[],COLUMN(CUSTO_GLOBAL[[#Headers],[Produtos de Limpeza e Materiais de Higiene Pessoal]])-2,0)*($G314-$H314)</f>
        <v>0</v>
      </c>
      <c r="BM314" s="22">
        <f>VLOOKUP($A314,tabCustoUnit[],COLUMN(CUSTO_GLOBAL[[#Headers],[Outros (especificar)]])-2,0)*($G314-$H314)</f>
        <v>0</v>
      </c>
      <c r="BN314" s="22">
        <f>VLOOKUP($A314,tabCustoUnit[],COLUMN(CUSTO_GLOBAL[[#Headers],[MÓDULO 5 – INSUMOS DIVERSOS]])-2,0)*($G314-$H314)</f>
        <v>220.55673224353177</v>
      </c>
      <c r="BO314" s="22" t="e">
        <f ca="1">VLOOKUP($A314,tabCustoUnit[],COLUMN(CUSTO_GLOBAL[[#Headers],[TOTAL MÓDULOS 1+2+3+4+5]])-2,0)*($G314-$H314)</f>
        <v>#NAME?</v>
      </c>
      <c r="BP314" s="22" t="e">
        <f ca="1">VLOOKUP($A314,tabCustoUnit[],COLUMN(CUSTO_GLOBAL[[#Headers],[Custos Indiretos]])-2,0)*($G314-$H314)</f>
        <v>#NAME?</v>
      </c>
      <c r="BQ314" s="22" t="e">
        <f ca="1">VLOOKUP($A314,tabCustoUnit[],COLUMN(CUSTO_GLOBAL[[#Headers],[Lucro]])-2,0)*($G314-$H314)</f>
        <v>#NAME?</v>
      </c>
      <c r="BR314" s="26">
        <f>VLOOKUP($A314,tabCustoUnit[],COLUMN(CUSTO_GLOBAL[[#Headers],[COFINS]])-2,0)</f>
        <v>8.6609686609686695E-2</v>
      </c>
      <c r="BS314" s="26">
        <f>VLOOKUP($A314,tabCustoUnit[],COLUMN(CUSTO_GLOBAL[[#Headers],[PIS]])-2,0)</f>
        <v>1.880341880341882E-2</v>
      </c>
      <c r="BT314" s="28">
        <f>VLOOKUP($A314,tabCustoUnit[],COLUMN(CUSTO_GLOBAL[[#Headers],[ISS]])-2,0)</f>
        <v>0.03</v>
      </c>
      <c r="BU314" s="26">
        <f>VLOOKUP($A314,tabCustoUnit[],COLUMN(CUSTO_GLOBAL[[#Headers],[ISS (Conversão Alíquota s/ fatura)]])-2,0)</f>
        <v>3.4188034188034219E-2</v>
      </c>
      <c r="BV314" s="26">
        <f>VLOOKUP($A314,tabCustoUnit[],COLUMN(CUSTO_GLOBAL[[#Headers],[Resumo de Alíquotas (PIS+CONFINS+ISS)]])-2,0)</f>
        <v>0.1225</v>
      </c>
      <c r="BW314" s="138">
        <f>VLOOKUP($A314,tabCustoUnit[],COLUMN(CUSTO_GLOBAL[[#Headers],[PIS + COFINS + ISS (Total Conversão  Alíquota s/ Fatura)]])-2,0)</f>
        <v>0.13960113960113973</v>
      </c>
      <c r="BX314" s="22" t="e">
        <f ca="1">VLOOKUP($A314,tabCustoUnit[],COLUMN(CUSTO_GLOBAL[[#Headers],[Valor dos Tributos (ISS, PIS, CONFINS)]])-2,0)*($G314-$H314)</f>
        <v>#NAME?</v>
      </c>
      <c r="BY314" s="22" t="e">
        <f ca="1">VLOOKUP($A314,tabCustoUnit[],COLUMN(CUSTO_GLOBAL[[#Headers],[MÓDULO 6 – CUSTOS INDIRETOS, TRIBUTOS E LUCRO]])-2,0)*($G314-$H314)</f>
        <v>#NAME?</v>
      </c>
      <c r="BZ314" s="22" t="e">
        <f ca="1">VLOOKUP($A314,tabCustoUnit[],COLUMN(CUSTO_GLOBAL[[#Headers],[CUSTO TOTAL MENSAL]])-2,0)*($G314-$H314)</f>
        <v>#NAME?</v>
      </c>
      <c r="CA314" s="22" t="e">
        <f ca="1">CUSTO_GLOBAL[[#This Row],[CUSTO TOTAL MENSAL]]*12</f>
        <v>#NAME?</v>
      </c>
      <c r="CB314" s="24">
        <f>VLOOKUP($A314,tabCustoUnit[],COLUMN(CUSTO_GLOBAL[[#Headers],[ANO DA CCT]])-2,0)</f>
        <v>45658</v>
      </c>
      <c r="CC314" s="25" t="str">
        <f>VLOOKUP($A314,tabCustoUnit[],COLUMN(CUSTO_GLOBAL[[#Headers],[Nº DE PEDIDO DA CCT]])-2,0)</f>
        <v>-</v>
      </c>
      <c r="CD314" s="25" t="str">
        <f>VLOOKUP($A314,tabCustoUnit[],COLUMN(CUSTO_GLOBAL[[#Headers],[TERMO ADITIVO ALTERAÇÃO DA CCT]])-2,0)</f>
        <v>-</v>
      </c>
    </row>
    <row r="315" spans="1:82">
      <c r="A315" s="20" t="s">
        <v>1726</v>
      </c>
      <c r="B315" t="s">
        <v>1069</v>
      </c>
      <c r="C315" t="s">
        <v>244</v>
      </c>
      <c r="D315" t="s">
        <v>1069</v>
      </c>
      <c r="E315" s="20" t="s">
        <v>1090</v>
      </c>
      <c r="F315" s="20" t="s">
        <v>120</v>
      </c>
      <c r="G315" s="20">
        <v>1</v>
      </c>
      <c r="H315" s="20">
        <v>0</v>
      </c>
      <c r="I315" s="21">
        <f>VLOOKUP($A315,tabCustoUnit[],COLUMN(CUSTO_GLOBAL[[#Headers],[Salário Base]])-2,0)*($G315-$H315)</f>
        <v>2296.1756999999998</v>
      </c>
      <c r="J315" s="21">
        <f>VLOOKUP($A315,tabCustoUnit[],COLUMN(CUSTO_GLOBAL[[#Headers],[Adicional Periculosidade]])-2,0)*($G315-$H315)</f>
        <v>0</v>
      </c>
      <c r="K315" s="21">
        <f>VLOOKUP($A315,tabCustoUnit[],COLUMN(CUSTO_GLOBAL[[#Headers],[Adicional Insalubridade]])-2,0)*($G315-$H315)</f>
        <v>303.60000000000002</v>
      </c>
      <c r="L315" s="21">
        <f>VLOOKUP($A315,tabCustoUnit[],COLUMN(CUSTO_GLOBAL[[#Headers],[Adicional Noturno]])-2,0)*($G315-$H315)</f>
        <v>0</v>
      </c>
      <c r="M315" s="21">
        <f>VLOOKUP($A315,tabCustoUnit[],COLUMN(CUSTO_GLOBAL[[#Headers],[Adicional Motorista II (Gratificação)]])-2,0)*($G315-$H315)</f>
        <v>0</v>
      </c>
      <c r="N315" s="21">
        <f>VLOOKUP($A315,tabCustoUnit[],COLUMN(CUSTO_GLOBAL[[#Headers],[Adicional de Sobreaviso]])-2,0)*($G315-$H315)</f>
        <v>0</v>
      </c>
      <c r="O315" s="21">
        <f>VLOOKUP($A315,tabCustoUnit[],COLUMN(CUSTO_GLOBAL[[#Headers],[Horas Extras TI]])-2,0)*($G315-$H315)</f>
        <v>0</v>
      </c>
      <c r="P315" s="21">
        <f>VLOOKUP($A315,tabCustoUnit[],COLUMN(CUSTO_GLOBAL[[#Headers],[Adicional de Acúmulo de função]])-2,0)*($G315-$H315)</f>
        <v>0</v>
      </c>
      <c r="Q315" s="21">
        <f>VLOOKUP($A315,tabCustoUnit[],COLUMN(CUSTO_GLOBAL[[#Headers],[MODULO 1 - REMUNERAÇÃO ]])-2,0)*($G315-$H315)</f>
        <v>2599.7756999999997</v>
      </c>
      <c r="R315" s="21">
        <f>VLOOKUP($A315,tabCustoUnit[],COLUMN(CUSTO_GLOBAL[[#Headers],[INSS]])-2,0)*($G315-$H315)</f>
        <v>519.95513999999991</v>
      </c>
      <c r="S315" s="21">
        <f>VLOOKUP($A315,tabCustoUnit[],COLUMN(CUSTO_GLOBAL[[#Headers],[SESI OU SESC]])-2,0)*($G315-$H315)</f>
        <v>38.996635499999996</v>
      </c>
      <c r="T315" s="21">
        <f>VLOOKUP($A315,tabCustoUnit[],COLUMN(CUSTO_GLOBAL[[#Headers],[SENAI OU SENAC]])-2,0)*($G315-$H315)</f>
        <v>25.997756999999996</v>
      </c>
      <c r="U315" s="21">
        <f>VLOOKUP($A315,tabCustoUnit[],COLUMN(CUSTO_GLOBAL[[#Headers],[INCRA]])-2,0)*($G315-$H315)</f>
        <v>5.1995513999999998</v>
      </c>
      <c r="V315" s="21">
        <f>VLOOKUP($A315,tabCustoUnit[],COLUMN(CUSTO_GLOBAL[[#Headers],[Salário Educação]])-2,0)*($G315-$H315)</f>
        <v>64.994392499999989</v>
      </c>
      <c r="W315" s="21">
        <f>VLOOKUP($A315,tabCustoUnit[],COLUMN(CUSTO_GLOBAL[[#Headers],[FGTS]])-2,0)*($G315-$H315)</f>
        <v>207.98205599999997</v>
      </c>
      <c r="X315" s="21">
        <f>VLOOKUP($A315,tabCustoUnit[],COLUMN(CUSTO_GLOBAL[[#Headers],[RAT Ajustado]])-2,0)*($G315-$H315)</f>
        <v>103.99102799999999</v>
      </c>
      <c r="Y315" s="21">
        <f>VLOOKUP($A315,tabCustoUnit[],COLUMN(CUSTO_GLOBAL[[#Headers],[SEBRAE]])-2,0)*($G315-$H315)</f>
        <v>15.598654199999999</v>
      </c>
      <c r="Z315" s="21">
        <f>VLOOKUP($A315,tabCustoUnit[],COLUMN(CUSTO_GLOBAL[[#Headers],[Submódulo 2.1]])-2,0)*($G315-$H315)</f>
        <v>982.71521459999985</v>
      </c>
      <c r="AA315" s="21">
        <f>VLOOKUP($A315,tabCustoUnit[],COLUMN(CUSTO_GLOBAL[[#Headers],[13º salário (titular)]])-2,0)*($G315-$H315)</f>
        <v>216.64797499999997</v>
      </c>
      <c r="AB315" s="21">
        <f>VLOOKUP($A315,tabCustoUnit[],COLUMN(CUSTO_GLOBAL[[#Headers],[Férias e Adicional de Férias (titular)]])-2,0)*($G315-$H315)</f>
        <v>288.86396666666661</v>
      </c>
      <c r="AC315" s="21">
        <f>VLOOKUP($A315,tabCustoUnit[],COLUMN(CUSTO_GLOBAL[[#Headers],[Incidência do Submódulo 2.1 sobre 13º Salário, Férias e Adicional de Férias]])-2,0)*($G315-$H315)</f>
        <v>191.08351394999997</v>
      </c>
      <c r="AD315" s="21">
        <f>VLOOKUP($A315,tabCustoUnit[],COLUMN(CUSTO_GLOBAL[[#Headers],[Submódulo 2.2]])-2,0)*($G315-$H315)</f>
        <v>696.59545561666653</v>
      </c>
      <c r="AE315" s="22" t="e">
        <f ca="1">VLOOKUP($A315,tabCustoUnit[],COLUMN(CUSTO_GLOBAL[[#Headers],[Vale - Transporte (Descontada parcela do empregado)]])-2,0)*($G315-$H315)</f>
        <v>#NAME?</v>
      </c>
      <c r="AF315" s="22">
        <f>VLOOKUP($A315,tabCustoUnit[],COLUMN(CUSTO_GLOBAL[[#Headers],[Vale - Alimentação (Descontada parcela do empregado)]])-2,0)*($G315-$H315)</f>
        <v>582</v>
      </c>
      <c r="AG315" s="22">
        <f>VLOOKUP($A315,tabCustoUnit[],COLUMN(CUSTO_GLOBAL[[#Headers],[Cesta Básica]])-2,0)*($G315-$H315)</f>
        <v>0</v>
      </c>
      <c r="AH315" s="22">
        <f>VLOOKUP($A315,tabCustoUnit[],COLUMN(CUSTO_GLOBAL[[#Headers],[PAF]])-2,0)*($G315-$H315)</f>
        <v>51.86</v>
      </c>
      <c r="AI315" s="22">
        <f>VLOOKUP($A315,tabCustoUnit[],COLUMN(CUSTO_GLOBAL[[#Headers],[PQM]])-2,0)*($G315-$H315)</f>
        <v>0</v>
      </c>
      <c r="AJ315" s="22">
        <v>0</v>
      </c>
      <c r="AK315" s="22">
        <f>VLOOKUP($A315,tabCustoUnit[],COLUMN(CUSTO_GLOBAL[[#Headers],[Seguro de Vida]])-2,0)*($G315-$H315)</f>
        <v>3.36</v>
      </c>
      <c r="AL315" s="22">
        <f>VLOOKUP($A315,tabCustoUnit[],COLUMN(CUSTO_GLOBAL[[#Headers],[Despesas de Viagem]])-2,0)*($G315-$H315)</f>
        <v>0</v>
      </c>
      <c r="AM315" s="22" t="e">
        <f ca="1">VLOOKUP($A315,tabCustoUnit[],COLUMN(CUSTO_GLOBAL[[#Headers],[Submódulo 2.3]])-2,0)*($G315-$H315)</f>
        <v>#NAME?</v>
      </c>
      <c r="AN315" s="22" t="e">
        <f ca="1">VLOOKUP($A315,tabCustoUnit[],COLUMN(CUSTO_GLOBAL[[#Headers],[MÓDULO 2 - Total Encargos e Benefícios mensais e diários]])-2,0)*($G315-$H315)</f>
        <v>#NAME?</v>
      </c>
      <c r="AO315" s="22">
        <f>VLOOKUP($A315,tabCustoUnit[],COLUMN(CUSTO_GLOBAL[[#Headers],[Aviso Prévio Indenizado (API) e Reflexo do Aviso Prévio Indenizado]])-2,0)*($G315-$H315)</f>
        <v>18.229021396469907</v>
      </c>
      <c r="AP315" s="22">
        <f>VLOOKUP($A315,tabCustoUnit[],COLUMN(CUSTO_GLOBAL[[#Headers],[Incidência do FGTS sobre API e Reflexo do API]])-2,0)*($G315-$H315)</f>
        <v>1.4583217117175926</v>
      </c>
      <c r="AQ315" s="22">
        <f>VLOOKUP($A315,tabCustoUnit[],COLUMN(CUSTO_GLOBAL[[#Headers],[Multa Rescisória do FGTS sobre o Aviso Prévio Indenizado]])-2,0)*($G315-$H315)</f>
        <v>0.58332868468703702</v>
      </c>
      <c r="AR315" s="22">
        <f>VLOOKUP($A315,tabCustoUnit[],COLUMN(CUSTO_GLOBAL[[#Headers],[Aviso Prévio Trabalhado - APT]])-2,0)*($G315-$H315)</f>
        <v>9.0992149500000004</v>
      </c>
      <c r="AS315" s="22">
        <f>VLOOKUP($A315,tabCustoUnit[],COLUMN(CUSTO_GLOBAL[[#Headers],[Incidência dos encargos do submódulo 2.1 sobre Aviso Prévio Trabalhado]])-2,0)*($G315-$H315)</f>
        <v>3.4395032511000005</v>
      </c>
      <c r="AT315" s="22">
        <f>VLOOKUP($A315,tabCustoUnit[],COLUMN(CUSTO_GLOBAL[[#Headers],[Multa Rescisória do FGTS]])-2,0)*($G315-$H315)</f>
        <v>79.495363626666645</v>
      </c>
      <c r="AU315" s="22">
        <f>VLOOKUP($A315,tabCustoUnit[],COLUMN(CUSTO_GLOBAL[[#Headers],[Indenização Adicional (Art. 9º da Lei nº 7.238/84)]])-2,0)*($G315-$H315)</f>
        <v>2.1664797499999997</v>
      </c>
      <c r="AV315" s="22">
        <f>VLOOKUP($A315,tabCustoUnit[],COLUMN(CUSTO_GLOBAL[[#Headers],[MÓDULO 3 – PROVISÃO PARA RESCISÃO]])-2,0)*($G315-$H315)</f>
        <v>114.47123337064117</v>
      </c>
      <c r="AW315" s="22">
        <f>VLOOKUP($A315,tabCustoUnit[],COLUMN(CUSTO_GLOBAL[[#Headers],[Ausência por Doença]])-2,0)*($G315-$H315)</f>
        <v>21.953661466666663</v>
      </c>
      <c r="AX315" s="22">
        <f>VLOOKUP($A315,tabCustoUnit[],COLUMN(CUSTO_GLOBAL[[#Headers],[Ausências Legais]])-2,0)*($G315-$H315)</f>
        <v>5.2717673916666659</v>
      </c>
      <c r="AY315" s="22">
        <f>VLOOKUP($A315,tabCustoUnit[],COLUMN(CUSTO_GLOBAL[[#Headers],[Licença Paternidade]])-2,0)*($G315-$H315)</f>
        <v>0.44412834874999996</v>
      </c>
      <c r="AZ315" s="22">
        <f>VLOOKUP($A315,tabCustoUnit[],COLUMN(CUSTO_GLOBAL[[#Headers],[Ausência por Acidente de Trabalho]])-2,0)*($G315-$H315)</f>
        <v>0.54161993749999993</v>
      </c>
      <c r="BA315" s="22">
        <f>VLOOKUP($A315,tabCustoUnit[],COLUMN(CUSTO_GLOBAL[[#Headers],[Férias, Adicional de Férias e 13º  com empregada em gozo de Licença Maternidade]])-2,0)*($G315-$H315)</f>
        <v>3.3700796111111107</v>
      </c>
      <c r="BB315" s="22">
        <f>VLOOKUP($A315,tabCustoUnit[],COLUMN(CUSTO_GLOBAL[[#Headers],[Incidência do Submódulo 2.1 sobre Ausências Legais]])-2,0)*($G315-$H315)</f>
        <v>11.9377150536525</v>
      </c>
      <c r="BC315" s="22">
        <f>VLOOKUP($A315,tabCustoUnit[],COLUMN(CUSTO_GLOBAL[[#Headers],[Submódulo 4.1]])-2,0)*($G315-$H315)</f>
        <v>43.518971809346937</v>
      </c>
      <c r="BD315" s="22">
        <f>VLOOKUP($A315,tabCustoUnit[],COLUMN(CUSTO_GLOBAL[[#Headers],[Intervalo para Repouso ou Alimentação]])-2,0)*($G315-$H315)</f>
        <v>0</v>
      </c>
      <c r="BE315" s="22">
        <f>VLOOKUP($A315,tabCustoUnit[],COLUMN(CUSTO_GLOBAL[[#Headers],[Submódulo 4.2]])-2,0)*($G315-$H315)</f>
        <v>0</v>
      </c>
      <c r="BF315" s="22">
        <f>VLOOKUP($A315,tabCustoUnit[],COLUMN(CUSTO_GLOBAL[[#Headers],[Suspensão Temporária do Contrato de Trabalho]])-2,0)*($G315-$H315)</f>
        <v>0</v>
      </c>
      <c r="BG315" s="22">
        <f>VLOOKUP($A315,tabCustoUnit[],COLUMN(CUSTO_GLOBAL[[#Headers],[Submódulo 4.3]])-2,0)*($G315-$H315)</f>
        <v>0</v>
      </c>
      <c r="BH315" s="22">
        <f>VLOOKUP($A315,tabCustoUnit[],COLUMN(CUSTO_GLOBAL[[#Headers],[MÓDULO 4 – CUSTO DE REPOSIÇÃO DO PROFISSIONAL AUSENTE]])-2,0)*($G315-$H315)</f>
        <v>43.518971809346937</v>
      </c>
      <c r="BI315" s="22">
        <f>VLOOKUP($A315,tabCustoUnit[],COLUMN(CUSTO_GLOBAL[[#Headers],[Uniformes e EPIs]])-2,0)*($G315-$H315)</f>
        <v>226.33322732312172</v>
      </c>
      <c r="BJ315" s="22">
        <f>VLOOKUP($A315,tabCustoUnit[],COLUMN(CUSTO_GLOBAL[[#Headers],[Materiais de Consumo]])-2,0)*($G315-$H315)</f>
        <v>441.81099462365592</v>
      </c>
      <c r="BK315" s="22">
        <f>VLOOKUP($A315,tabCustoUnit[],COLUMN(CUSTO_GLOBAL[[#Headers],[Máquinas e Equipamentos (depreciação)]])-2,0)*($G315-$H315)</f>
        <v>113.11309677419354</v>
      </c>
      <c r="BL315" s="22">
        <f>VLOOKUP($A315,tabCustoUnit[],COLUMN(CUSTO_GLOBAL[[#Headers],[Produtos de Limpeza e Materiais de Higiene Pessoal]])-2,0)*($G315-$H315)</f>
        <v>0</v>
      </c>
      <c r="BM315" s="22">
        <f>VLOOKUP($A315,tabCustoUnit[],COLUMN(CUSTO_GLOBAL[[#Headers],[Outros (especificar)]])-2,0)*($G315-$H315)</f>
        <v>0</v>
      </c>
      <c r="BN315" s="22">
        <f>VLOOKUP($A315,tabCustoUnit[],COLUMN(CUSTO_GLOBAL[[#Headers],[MÓDULO 5 – INSUMOS DIVERSOS]])-2,0)*($G315-$H315)</f>
        <v>781.25731872097117</v>
      </c>
      <c r="BO315" s="22" t="e">
        <f ca="1">VLOOKUP($A315,tabCustoUnit[],COLUMN(CUSTO_GLOBAL[[#Headers],[TOTAL MÓDULOS 1+2+3+4+5]])-2,0)*($G315-$H315)</f>
        <v>#NAME?</v>
      </c>
      <c r="BP315" s="22" t="e">
        <f ca="1">VLOOKUP($A315,tabCustoUnit[],COLUMN(CUSTO_GLOBAL[[#Headers],[Custos Indiretos]])-2,0)*($G315-$H315)</f>
        <v>#NAME?</v>
      </c>
      <c r="BQ315" s="22" t="e">
        <f ca="1">VLOOKUP($A315,tabCustoUnit[],COLUMN(CUSTO_GLOBAL[[#Headers],[Lucro]])-2,0)*($G315-$H315)</f>
        <v>#NAME?</v>
      </c>
      <c r="BR315" s="26">
        <f>VLOOKUP($A315,tabCustoUnit[],COLUMN(CUSTO_GLOBAL[[#Headers],[COFINS]])-2,0)</f>
        <v>8.6609686609686695E-2</v>
      </c>
      <c r="BS315" s="26">
        <f>VLOOKUP($A315,tabCustoUnit[],COLUMN(CUSTO_GLOBAL[[#Headers],[PIS]])-2,0)</f>
        <v>1.880341880341882E-2</v>
      </c>
      <c r="BT315" s="28">
        <f>VLOOKUP($A315,tabCustoUnit[],COLUMN(CUSTO_GLOBAL[[#Headers],[ISS]])-2,0)</f>
        <v>0.03</v>
      </c>
      <c r="BU315" s="26">
        <f>VLOOKUP($A315,tabCustoUnit[],COLUMN(CUSTO_GLOBAL[[#Headers],[ISS (Conversão Alíquota s/ fatura)]])-2,0)</f>
        <v>3.4188034188034219E-2</v>
      </c>
      <c r="BV315" s="26">
        <f>VLOOKUP($A315,tabCustoUnit[],COLUMN(CUSTO_GLOBAL[[#Headers],[Resumo de Alíquotas (PIS+CONFINS+ISS)]])-2,0)</f>
        <v>0.1225</v>
      </c>
      <c r="BW315" s="138">
        <f>VLOOKUP($A315,tabCustoUnit[],COLUMN(CUSTO_GLOBAL[[#Headers],[PIS + COFINS + ISS (Total Conversão  Alíquota s/ Fatura)]])-2,0)</f>
        <v>0.13960113960113973</v>
      </c>
      <c r="BX315" s="22" t="e">
        <f ca="1">VLOOKUP($A315,tabCustoUnit[],COLUMN(CUSTO_GLOBAL[[#Headers],[Valor dos Tributos (ISS, PIS, CONFINS)]])-2,0)*($G315-$H315)</f>
        <v>#NAME?</v>
      </c>
      <c r="BY315" s="22" t="e">
        <f ca="1">VLOOKUP($A315,tabCustoUnit[],COLUMN(CUSTO_GLOBAL[[#Headers],[MÓDULO 6 – CUSTOS INDIRETOS, TRIBUTOS E LUCRO]])-2,0)*($G315-$H315)</f>
        <v>#NAME?</v>
      </c>
      <c r="BZ315" s="22" t="e">
        <f ca="1">VLOOKUP($A315,tabCustoUnit[],COLUMN(CUSTO_GLOBAL[[#Headers],[CUSTO TOTAL MENSAL]])-2,0)*($G315-$H315)</f>
        <v>#NAME?</v>
      </c>
      <c r="CA315" s="22" t="e">
        <f ca="1">CUSTO_GLOBAL[[#This Row],[CUSTO TOTAL MENSAL]]*12</f>
        <v>#NAME?</v>
      </c>
      <c r="CB315" s="24">
        <f>VLOOKUP($A315,tabCustoUnit[],COLUMN(CUSTO_GLOBAL[[#Headers],[ANO DA CCT]])-2,0)</f>
        <v>45658</v>
      </c>
      <c r="CC315" s="25" t="str">
        <f>VLOOKUP($A315,tabCustoUnit[],COLUMN(CUSTO_GLOBAL[[#Headers],[Nº DE PEDIDO DA CCT]])-2,0)</f>
        <v>-</v>
      </c>
      <c r="CD315" s="25" t="str">
        <f>VLOOKUP($A315,tabCustoUnit[],COLUMN(CUSTO_GLOBAL[[#Headers],[TERMO ADITIVO ALTERAÇÃO DA CCT]])-2,0)</f>
        <v>-</v>
      </c>
    </row>
    <row r="316" spans="1:82">
      <c r="A316" s="20" t="s">
        <v>1727</v>
      </c>
      <c r="B316" t="s">
        <v>1069</v>
      </c>
      <c r="C316" t="s">
        <v>274</v>
      </c>
      <c r="D316" t="s">
        <v>1024</v>
      </c>
      <c r="E316" s="20" t="s">
        <v>1090</v>
      </c>
      <c r="F316" s="20" t="s">
        <v>120</v>
      </c>
      <c r="G316" s="20">
        <v>4</v>
      </c>
      <c r="H316" s="20">
        <v>0</v>
      </c>
      <c r="I316" s="21">
        <f>VLOOKUP($A316,tabCustoUnit[],COLUMN(CUSTO_GLOBAL[[#Headers],[Salário Base]])-2,0)*($G316-$H316)</f>
        <v>18398.3812</v>
      </c>
      <c r="J316" s="21">
        <f>VLOOKUP($A316,tabCustoUnit[],COLUMN(CUSTO_GLOBAL[[#Headers],[Adicional Periculosidade]])-2,0)*($G316-$H316)</f>
        <v>0</v>
      </c>
      <c r="K316" s="21">
        <f>VLOOKUP($A316,tabCustoUnit[],COLUMN(CUSTO_GLOBAL[[#Headers],[Adicional Insalubridade]])-2,0)*($G316-$H316)</f>
        <v>0</v>
      </c>
      <c r="L316" s="21">
        <f>VLOOKUP($A316,tabCustoUnit[],COLUMN(CUSTO_GLOBAL[[#Headers],[Adicional Noturno]])-2,0)*($G316-$H316)</f>
        <v>0</v>
      </c>
      <c r="M316" s="21">
        <f>VLOOKUP($A316,tabCustoUnit[],COLUMN(CUSTO_GLOBAL[[#Headers],[Adicional Motorista II (Gratificação)]])-2,0)*($G316-$H316)</f>
        <v>0</v>
      </c>
      <c r="N316" s="21">
        <f>VLOOKUP($A316,tabCustoUnit[],COLUMN(CUSTO_GLOBAL[[#Headers],[Adicional de Sobreaviso]])-2,0)*($G316-$H316)</f>
        <v>0</v>
      </c>
      <c r="O316" s="21">
        <f>VLOOKUP($A316,tabCustoUnit[],COLUMN(CUSTO_GLOBAL[[#Headers],[Horas Extras TI]])-2,0)*($G316-$H316)</f>
        <v>0</v>
      </c>
      <c r="P316" s="21">
        <f>VLOOKUP($A316,tabCustoUnit[],COLUMN(CUSTO_GLOBAL[[#Headers],[Adicional de Acúmulo de função]])-2,0)*($G316-$H316)</f>
        <v>0</v>
      </c>
      <c r="Q316" s="21">
        <f>VLOOKUP($A316,tabCustoUnit[],COLUMN(CUSTO_GLOBAL[[#Headers],[MODULO 1 - REMUNERAÇÃO ]])-2,0)*($G316-$H316)</f>
        <v>18398.3812</v>
      </c>
      <c r="R316" s="21">
        <f>VLOOKUP($A316,tabCustoUnit[],COLUMN(CUSTO_GLOBAL[[#Headers],[INSS]])-2,0)*($G316-$H316)</f>
        <v>3679.6762400000002</v>
      </c>
      <c r="S316" s="21">
        <f>VLOOKUP($A316,tabCustoUnit[],COLUMN(CUSTO_GLOBAL[[#Headers],[SESI OU SESC]])-2,0)*($G316-$H316)</f>
        <v>275.97571799999997</v>
      </c>
      <c r="T316" s="21">
        <f>VLOOKUP($A316,tabCustoUnit[],COLUMN(CUSTO_GLOBAL[[#Headers],[SENAI OU SENAC]])-2,0)*($G316-$H316)</f>
        <v>183.983812</v>
      </c>
      <c r="U316" s="21">
        <f>VLOOKUP($A316,tabCustoUnit[],COLUMN(CUSTO_GLOBAL[[#Headers],[INCRA]])-2,0)*($G316-$H316)</f>
        <v>36.796762399999999</v>
      </c>
      <c r="V316" s="21">
        <f>VLOOKUP($A316,tabCustoUnit[],COLUMN(CUSTO_GLOBAL[[#Headers],[Salário Educação]])-2,0)*($G316-$H316)</f>
        <v>459.95953000000003</v>
      </c>
      <c r="W316" s="21">
        <f>VLOOKUP($A316,tabCustoUnit[],COLUMN(CUSTO_GLOBAL[[#Headers],[FGTS]])-2,0)*($G316-$H316)</f>
        <v>1471.870496</v>
      </c>
      <c r="X316" s="21">
        <f>VLOOKUP($A316,tabCustoUnit[],COLUMN(CUSTO_GLOBAL[[#Headers],[RAT Ajustado]])-2,0)*($G316-$H316)</f>
        <v>735.935248</v>
      </c>
      <c r="Y316" s="21">
        <f>VLOOKUP($A316,tabCustoUnit[],COLUMN(CUSTO_GLOBAL[[#Headers],[SEBRAE]])-2,0)*($G316-$H316)</f>
        <v>110.3902872</v>
      </c>
      <c r="Z316" s="21">
        <f>VLOOKUP($A316,tabCustoUnit[],COLUMN(CUSTO_GLOBAL[[#Headers],[Submódulo 2.1]])-2,0)*($G316-$H316)</f>
        <v>6954.5880936000012</v>
      </c>
      <c r="AA316" s="21">
        <f>VLOOKUP($A316,tabCustoUnit[],COLUMN(CUSTO_GLOBAL[[#Headers],[13º salário (titular)]])-2,0)*($G316-$H316)</f>
        <v>1533.1984333333332</v>
      </c>
      <c r="AB316" s="21">
        <f>VLOOKUP($A316,tabCustoUnit[],COLUMN(CUSTO_GLOBAL[[#Headers],[Férias e Adicional de Férias (titular)]])-2,0)*($G316-$H316)</f>
        <v>2044.2645777777777</v>
      </c>
      <c r="AC316" s="21">
        <f>VLOOKUP($A316,tabCustoUnit[],COLUMN(CUSTO_GLOBAL[[#Headers],[Incidência do Submódulo 2.1 sobre 13º Salário, Férias e Adicional de Férias]])-2,0)*($G316-$H316)</f>
        <v>1352.2810182000001</v>
      </c>
      <c r="AD316" s="21">
        <f>VLOOKUP($A316,tabCustoUnit[],COLUMN(CUSTO_GLOBAL[[#Headers],[Submódulo 2.2]])-2,0)*($G316-$H316)</f>
        <v>4929.7440293111113</v>
      </c>
      <c r="AE316" s="22" t="e">
        <f ca="1">VLOOKUP($A316,tabCustoUnit[],COLUMN(CUSTO_GLOBAL[[#Headers],[Vale - Transporte (Descontada parcela do empregado)]])-2,0)*($G316-$H316)</f>
        <v>#NAME?</v>
      </c>
      <c r="AF316" s="22">
        <f>VLOOKUP($A316,tabCustoUnit[],COLUMN(CUSTO_GLOBAL[[#Headers],[Vale - Alimentação (Descontada parcela do empregado)]])-2,0)*($G316-$H316)</f>
        <v>2313.6</v>
      </c>
      <c r="AG316" s="22">
        <f>VLOOKUP($A316,tabCustoUnit[],COLUMN(CUSTO_GLOBAL[[#Headers],[Cesta Básica]])-2,0)*($G316-$H316)</f>
        <v>0</v>
      </c>
      <c r="AH316" s="22">
        <f>VLOOKUP($A316,tabCustoUnit[],COLUMN(CUSTO_GLOBAL[[#Headers],[PAF]])-2,0)*($G316-$H316)</f>
        <v>0</v>
      </c>
      <c r="AI316" s="22">
        <f>VLOOKUP($A316,tabCustoUnit[],COLUMN(CUSTO_GLOBAL[[#Headers],[PQM]])-2,0)*($G316-$H316)</f>
        <v>0</v>
      </c>
      <c r="AJ316" s="22">
        <v>0</v>
      </c>
      <c r="AK316" s="22">
        <f>VLOOKUP($A316,tabCustoUnit[],COLUMN(CUSTO_GLOBAL[[#Headers],[Seguro de Vida]])-2,0)*($G316-$H316)</f>
        <v>13.44</v>
      </c>
      <c r="AL316" s="22">
        <f>VLOOKUP($A316,tabCustoUnit[],COLUMN(CUSTO_GLOBAL[[#Headers],[Despesas de Viagem]])-2,0)*($G316-$H316)</f>
        <v>2649.68</v>
      </c>
      <c r="AM316" s="22" t="e">
        <f ca="1">VLOOKUP($A316,tabCustoUnit[],COLUMN(CUSTO_GLOBAL[[#Headers],[Submódulo 2.3]])-2,0)*($G316-$H316)</f>
        <v>#NAME?</v>
      </c>
      <c r="AN316" s="22" t="e">
        <f ca="1">VLOOKUP($A316,tabCustoUnit[],COLUMN(CUSTO_GLOBAL[[#Headers],[MÓDULO 2 - Total Encargos e Benefícios mensais e diários]])-2,0)*($G316-$H316)</f>
        <v>#NAME?</v>
      </c>
      <c r="AO316" s="22">
        <f>VLOOKUP($A316,tabCustoUnit[],COLUMN(CUSTO_GLOBAL[[#Headers],[Aviso Prévio Indenizado (API) e Reflexo do Aviso Prévio Indenizado]])-2,0)*($G316-$H316)</f>
        <v>129.00516169729937</v>
      </c>
      <c r="AP316" s="22">
        <f>VLOOKUP($A316,tabCustoUnit[],COLUMN(CUSTO_GLOBAL[[#Headers],[Incidência do FGTS sobre API e Reflexo do API]])-2,0)*($G316-$H316)</f>
        <v>10.320412935783951</v>
      </c>
      <c r="AQ316" s="22">
        <f>VLOOKUP($A316,tabCustoUnit[],COLUMN(CUSTO_GLOBAL[[#Headers],[Multa Rescisória do FGTS sobre o Aviso Prévio Indenizado]])-2,0)*($G316-$H316)</f>
        <v>4.1281651743135805</v>
      </c>
      <c r="AR316" s="22">
        <f>VLOOKUP($A316,tabCustoUnit[],COLUMN(CUSTO_GLOBAL[[#Headers],[Aviso Prévio Trabalhado - APT]])-2,0)*($G316-$H316)</f>
        <v>64.394334200000003</v>
      </c>
      <c r="AS316" s="22">
        <f>VLOOKUP($A316,tabCustoUnit[],COLUMN(CUSTO_GLOBAL[[#Headers],[Incidência dos encargos do submódulo 2.1 sobre Aviso Prévio Trabalhado]])-2,0)*($G316-$H316)</f>
        <v>24.341058327600006</v>
      </c>
      <c r="AT316" s="22">
        <f>VLOOKUP($A316,tabCustoUnit[],COLUMN(CUSTO_GLOBAL[[#Headers],[Multa Rescisória do FGTS]])-2,0)*($G316-$H316)</f>
        <v>562.58161180444438</v>
      </c>
      <c r="AU316" s="22">
        <f>VLOOKUP($A316,tabCustoUnit[],COLUMN(CUSTO_GLOBAL[[#Headers],[Indenização Adicional (Art. 9º da Lei nº 7.238/84)]])-2,0)*($G316-$H316)</f>
        <v>15.331984333333335</v>
      </c>
      <c r="AV316" s="22">
        <f>VLOOKUP($A316,tabCustoUnit[],COLUMN(CUSTO_GLOBAL[[#Headers],[MÓDULO 3 – PROVISÃO PARA RESCISÃO]])-2,0)*($G316-$H316)</f>
        <v>810.10272847277463</v>
      </c>
      <c r="AW316" s="22">
        <f>VLOOKUP($A316,tabCustoUnit[],COLUMN(CUSTO_GLOBAL[[#Headers],[Ausência por Doença]])-2,0)*($G316-$H316)</f>
        <v>155.36410791111109</v>
      </c>
      <c r="AX316" s="22">
        <f>VLOOKUP($A316,tabCustoUnit[],COLUMN(CUSTO_GLOBAL[[#Headers],[Ausências Legais]])-2,0)*($G316-$H316)</f>
        <v>37.30782854444444</v>
      </c>
      <c r="AY316" s="22">
        <f>VLOOKUP($A316,tabCustoUnit[],COLUMN(CUSTO_GLOBAL[[#Headers],[Licença Paternidade]])-2,0)*($G316-$H316)</f>
        <v>3.1430567883333334</v>
      </c>
      <c r="AZ316" s="22">
        <f>VLOOKUP($A316,tabCustoUnit[],COLUMN(CUSTO_GLOBAL[[#Headers],[Ausência por Acidente de Trabalho]])-2,0)*($G316-$H316)</f>
        <v>3.8329960833333336</v>
      </c>
      <c r="BA316" s="22">
        <f>VLOOKUP($A316,tabCustoUnit[],COLUMN(CUSTO_GLOBAL[[#Headers],[Férias, Adicional de Férias e 13º  com empregada em gozo de Licença Maternidade]])-2,0)*($G316-$H316)</f>
        <v>23.849753407407405</v>
      </c>
      <c r="BB316" s="22">
        <f>VLOOKUP($A316,tabCustoUnit[],COLUMN(CUSTO_GLOBAL[[#Headers],[Incidência do Submódulo 2.1 sobre Ausências Legais]])-2,0)*($G316-$H316)</f>
        <v>84.482146753690017</v>
      </c>
      <c r="BC316" s="22">
        <f>VLOOKUP($A316,tabCustoUnit[],COLUMN(CUSTO_GLOBAL[[#Headers],[Submódulo 4.1]])-2,0)*($G316-$H316)</f>
        <v>307.9798894883196</v>
      </c>
      <c r="BD316" s="22">
        <f>VLOOKUP($A316,tabCustoUnit[],COLUMN(CUSTO_GLOBAL[[#Headers],[Intervalo para Repouso ou Alimentação]])-2,0)*($G316-$H316)</f>
        <v>0</v>
      </c>
      <c r="BE316" s="22">
        <f>VLOOKUP($A316,tabCustoUnit[],COLUMN(CUSTO_GLOBAL[[#Headers],[Submódulo 4.2]])-2,0)*($G316-$H316)</f>
        <v>0</v>
      </c>
      <c r="BF316" s="22">
        <f>VLOOKUP($A316,tabCustoUnit[],COLUMN(CUSTO_GLOBAL[[#Headers],[Suspensão Temporária do Contrato de Trabalho]])-2,0)*($G316-$H316)</f>
        <v>0</v>
      </c>
      <c r="BG316" s="22">
        <f>VLOOKUP($A316,tabCustoUnit[],COLUMN(CUSTO_GLOBAL[[#Headers],[Submódulo 4.3]])-2,0)*($G316-$H316)</f>
        <v>0</v>
      </c>
      <c r="BH316" s="22">
        <f>VLOOKUP($A316,tabCustoUnit[],COLUMN(CUSTO_GLOBAL[[#Headers],[MÓDULO 4 – CUSTO DE REPOSIÇÃO DO PROFISSIONAL AUSENTE]])-2,0)*($G316-$H316)</f>
        <v>307.9798894883196</v>
      </c>
      <c r="BI316" s="22">
        <f>VLOOKUP($A316,tabCustoUnit[],COLUMN(CUSTO_GLOBAL[[#Headers],[Uniformes e EPIs]])-2,0)*($G316-$H316)</f>
        <v>368.40305508628279</v>
      </c>
      <c r="BJ316" s="22">
        <f>VLOOKUP($A316,tabCustoUnit[],COLUMN(CUSTO_GLOBAL[[#Headers],[Materiais de Consumo]])-2,0)*($G316-$H316)</f>
        <v>0</v>
      </c>
      <c r="BK316" s="22">
        <f>VLOOKUP($A316,tabCustoUnit[],COLUMN(CUSTO_GLOBAL[[#Headers],[Máquinas e Equipamentos (depreciação)]])-2,0)*($G316-$H316)</f>
        <v>0</v>
      </c>
      <c r="BL316" s="22">
        <f>VLOOKUP($A316,tabCustoUnit[],COLUMN(CUSTO_GLOBAL[[#Headers],[Produtos de Limpeza e Materiais de Higiene Pessoal]])-2,0)*($G316-$H316)</f>
        <v>0</v>
      </c>
      <c r="BM316" s="22">
        <f>VLOOKUP($A316,tabCustoUnit[],COLUMN(CUSTO_GLOBAL[[#Headers],[Outros (especificar)]])-2,0)*($G316-$H316)</f>
        <v>0</v>
      </c>
      <c r="BN316" s="22">
        <f>VLOOKUP($A316,tabCustoUnit[],COLUMN(CUSTO_GLOBAL[[#Headers],[MÓDULO 5 – INSUMOS DIVERSOS]])-2,0)*($G316-$H316)</f>
        <v>368.40305508628279</v>
      </c>
      <c r="BO316" s="22" t="e">
        <f ca="1">VLOOKUP($A316,tabCustoUnit[],COLUMN(CUSTO_GLOBAL[[#Headers],[TOTAL MÓDULOS 1+2+3+4+5]])-2,0)*($G316-$H316)</f>
        <v>#NAME?</v>
      </c>
      <c r="BP316" s="22" t="e">
        <f ca="1">VLOOKUP($A316,tabCustoUnit[],COLUMN(CUSTO_GLOBAL[[#Headers],[Custos Indiretos]])-2,0)*($G316-$H316)</f>
        <v>#NAME?</v>
      </c>
      <c r="BQ316" s="22" t="e">
        <f ca="1">VLOOKUP($A316,tabCustoUnit[],COLUMN(CUSTO_GLOBAL[[#Headers],[Lucro]])-2,0)*($G316-$H316)</f>
        <v>#NAME?</v>
      </c>
      <c r="BR316" s="26">
        <f>VLOOKUP($A316,tabCustoUnit[],COLUMN(CUSTO_GLOBAL[[#Headers],[COFINS]])-2,0)</f>
        <v>8.6609686609686695E-2</v>
      </c>
      <c r="BS316" s="26">
        <f>VLOOKUP($A316,tabCustoUnit[],COLUMN(CUSTO_GLOBAL[[#Headers],[PIS]])-2,0)</f>
        <v>1.880341880341882E-2</v>
      </c>
      <c r="BT316" s="28">
        <f>VLOOKUP($A316,tabCustoUnit[],COLUMN(CUSTO_GLOBAL[[#Headers],[ISS]])-2,0)</f>
        <v>0.03</v>
      </c>
      <c r="BU316" s="26">
        <f>VLOOKUP($A316,tabCustoUnit[],COLUMN(CUSTO_GLOBAL[[#Headers],[ISS (Conversão Alíquota s/ fatura)]])-2,0)</f>
        <v>3.4188034188034219E-2</v>
      </c>
      <c r="BV316" s="26">
        <f>VLOOKUP($A316,tabCustoUnit[],COLUMN(CUSTO_GLOBAL[[#Headers],[Resumo de Alíquotas (PIS+CONFINS+ISS)]])-2,0)</f>
        <v>0.1225</v>
      </c>
      <c r="BW316" s="138">
        <f>VLOOKUP($A316,tabCustoUnit[],COLUMN(CUSTO_GLOBAL[[#Headers],[PIS + COFINS + ISS (Total Conversão  Alíquota s/ Fatura)]])-2,0)</f>
        <v>0.13960113960113973</v>
      </c>
      <c r="BX316" s="22" t="e">
        <f ca="1">VLOOKUP($A316,tabCustoUnit[],COLUMN(CUSTO_GLOBAL[[#Headers],[Valor dos Tributos (ISS, PIS, CONFINS)]])-2,0)*($G316-$H316)</f>
        <v>#NAME?</v>
      </c>
      <c r="BY316" s="22" t="e">
        <f ca="1">VLOOKUP($A316,tabCustoUnit[],COLUMN(CUSTO_GLOBAL[[#Headers],[MÓDULO 6 – CUSTOS INDIRETOS, TRIBUTOS E LUCRO]])-2,0)*($G316-$H316)</f>
        <v>#NAME?</v>
      </c>
      <c r="BZ316" s="22" t="e">
        <f ca="1">VLOOKUP($A316,tabCustoUnit[],COLUMN(CUSTO_GLOBAL[[#Headers],[CUSTO TOTAL MENSAL]])-2,0)*($G316-$H316)</f>
        <v>#NAME?</v>
      </c>
      <c r="CA316" s="22" t="e">
        <f ca="1">CUSTO_GLOBAL[[#This Row],[CUSTO TOTAL MENSAL]]*12</f>
        <v>#NAME?</v>
      </c>
      <c r="CB316" s="24">
        <f>VLOOKUP($A316,tabCustoUnit[],COLUMN(CUSTO_GLOBAL[[#Headers],[ANO DA CCT]])-2,0)</f>
        <v>45658</v>
      </c>
      <c r="CC316" s="25" t="str">
        <f>VLOOKUP($A316,tabCustoUnit[],COLUMN(CUSTO_GLOBAL[[#Headers],[Nº DE PEDIDO DA CCT]])-2,0)</f>
        <v>-</v>
      </c>
      <c r="CD316" s="25" t="str">
        <f>VLOOKUP($A316,tabCustoUnit[],COLUMN(CUSTO_GLOBAL[[#Headers],[TERMO ADITIVO ALTERAÇÃO DA CCT]])-2,0)</f>
        <v>-</v>
      </c>
    </row>
    <row r="317" spans="1:82">
      <c r="A317" s="20" t="s">
        <v>1513</v>
      </c>
      <c r="B317" t="s">
        <v>1069</v>
      </c>
      <c r="C317" t="s">
        <v>314</v>
      </c>
      <c r="D317" t="s">
        <v>1069</v>
      </c>
      <c r="E317" s="20" t="s">
        <v>1090</v>
      </c>
      <c r="F317" s="20" t="s">
        <v>120</v>
      </c>
      <c r="G317" s="20">
        <v>1</v>
      </c>
      <c r="H317" s="20">
        <v>0</v>
      </c>
      <c r="I317" s="21">
        <f>VLOOKUP($A317,tabCustoUnit[],COLUMN(CUSTO_GLOBAL[[#Headers],[Salário Base]])-2,0)*($G317-$H317)</f>
        <v>2134.8042</v>
      </c>
      <c r="J317" s="21">
        <f>VLOOKUP($A317,tabCustoUnit[],COLUMN(CUSTO_GLOBAL[[#Headers],[Adicional Periculosidade]])-2,0)*($G317-$H317)</f>
        <v>0</v>
      </c>
      <c r="K317" s="21">
        <f>VLOOKUP($A317,tabCustoUnit[],COLUMN(CUSTO_GLOBAL[[#Headers],[Adicional Insalubridade]])-2,0)*($G317-$H317)</f>
        <v>0</v>
      </c>
      <c r="L317" s="21">
        <f>VLOOKUP($A317,tabCustoUnit[],COLUMN(CUSTO_GLOBAL[[#Headers],[Adicional Noturno]])-2,0)*($G317-$H317)</f>
        <v>0</v>
      </c>
      <c r="M317" s="21">
        <f>VLOOKUP($A317,tabCustoUnit[],COLUMN(CUSTO_GLOBAL[[#Headers],[Adicional Motorista II (Gratificação)]])-2,0)*($G317-$H317)</f>
        <v>0</v>
      </c>
      <c r="N317" s="21">
        <f>VLOOKUP($A317,tabCustoUnit[],COLUMN(CUSTO_GLOBAL[[#Headers],[Adicional de Sobreaviso]])-2,0)*($G317-$H317)</f>
        <v>0</v>
      </c>
      <c r="O317" s="21">
        <f>VLOOKUP($A317,tabCustoUnit[],COLUMN(CUSTO_GLOBAL[[#Headers],[Horas Extras TI]])-2,0)*($G317-$H317)</f>
        <v>0</v>
      </c>
      <c r="P317" s="21">
        <f>VLOOKUP($A317,tabCustoUnit[],COLUMN(CUSTO_GLOBAL[[#Headers],[Adicional de Acúmulo de função]])-2,0)*($G317-$H317)</f>
        <v>0</v>
      </c>
      <c r="Q317" s="21">
        <f>VLOOKUP($A317,tabCustoUnit[],COLUMN(CUSTO_GLOBAL[[#Headers],[MODULO 1 - REMUNERAÇÃO ]])-2,0)*($G317-$H317)</f>
        <v>2134.8042</v>
      </c>
      <c r="R317" s="21">
        <f>VLOOKUP($A317,tabCustoUnit[],COLUMN(CUSTO_GLOBAL[[#Headers],[INSS]])-2,0)*($G317-$H317)</f>
        <v>426.96084000000002</v>
      </c>
      <c r="S317" s="21">
        <f>VLOOKUP($A317,tabCustoUnit[],COLUMN(CUSTO_GLOBAL[[#Headers],[SESI OU SESC]])-2,0)*($G317-$H317)</f>
        <v>32.022063000000003</v>
      </c>
      <c r="T317" s="21">
        <f>VLOOKUP($A317,tabCustoUnit[],COLUMN(CUSTO_GLOBAL[[#Headers],[SENAI OU SENAC]])-2,0)*($G317-$H317)</f>
        <v>21.348042</v>
      </c>
      <c r="U317" s="21">
        <f>VLOOKUP($A317,tabCustoUnit[],COLUMN(CUSTO_GLOBAL[[#Headers],[INCRA]])-2,0)*($G317-$H317)</f>
        <v>4.2696084000000001</v>
      </c>
      <c r="V317" s="21">
        <f>VLOOKUP($A317,tabCustoUnit[],COLUMN(CUSTO_GLOBAL[[#Headers],[Salário Educação]])-2,0)*($G317-$H317)</f>
        <v>53.370105000000002</v>
      </c>
      <c r="W317" s="21">
        <f>VLOOKUP($A317,tabCustoUnit[],COLUMN(CUSTO_GLOBAL[[#Headers],[FGTS]])-2,0)*($G317-$H317)</f>
        <v>170.784336</v>
      </c>
      <c r="X317" s="21">
        <f>VLOOKUP($A317,tabCustoUnit[],COLUMN(CUSTO_GLOBAL[[#Headers],[RAT Ajustado]])-2,0)*($G317-$H317)</f>
        <v>85.392167999999998</v>
      </c>
      <c r="Y317" s="21">
        <f>VLOOKUP($A317,tabCustoUnit[],COLUMN(CUSTO_GLOBAL[[#Headers],[SEBRAE]])-2,0)*($G317-$H317)</f>
        <v>12.808825200000001</v>
      </c>
      <c r="Z317" s="21">
        <f>VLOOKUP($A317,tabCustoUnit[],COLUMN(CUSTO_GLOBAL[[#Headers],[Submódulo 2.1]])-2,0)*($G317-$H317)</f>
        <v>806.95598759999996</v>
      </c>
      <c r="AA317" s="21">
        <f>VLOOKUP($A317,tabCustoUnit[],COLUMN(CUSTO_GLOBAL[[#Headers],[13º salário (titular)]])-2,0)*($G317-$H317)</f>
        <v>177.90035</v>
      </c>
      <c r="AB317" s="21">
        <f>VLOOKUP($A317,tabCustoUnit[],COLUMN(CUSTO_GLOBAL[[#Headers],[Férias e Adicional de Férias (titular)]])-2,0)*($G317-$H317)</f>
        <v>237.20046666666667</v>
      </c>
      <c r="AC317" s="21">
        <f>VLOOKUP($A317,tabCustoUnit[],COLUMN(CUSTO_GLOBAL[[#Headers],[Incidência do Submódulo 2.1 sobre 13º Salário, Férias e Adicional de Férias]])-2,0)*($G317-$H317)</f>
        <v>156.90810869999999</v>
      </c>
      <c r="AD317" s="21">
        <f>VLOOKUP($A317,tabCustoUnit[],COLUMN(CUSTO_GLOBAL[[#Headers],[Submódulo 2.2]])-2,0)*($G317-$H317)</f>
        <v>572.00892536666663</v>
      </c>
      <c r="AE317" s="22" t="e">
        <f ca="1">VLOOKUP($A317,tabCustoUnit[],COLUMN(CUSTO_GLOBAL[[#Headers],[Vale - Transporte (Descontada parcela do empregado)]])-2,0)*($G317-$H317)</f>
        <v>#NAME?</v>
      </c>
      <c r="AF317" s="22">
        <f>VLOOKUP($A317,tabCustoUnit[],COLUMN(CUSTO_GLOBAL[[#Headers],[Vale - Alimentação (Descontada parcela do empregado)]])-2,0)*($G317-$H317)</f>
        <v>582</v>
      </c>
      <c r="AG317" s="22">
        <f>VLOOKUP($A317,tabCustoUnit[],COLUMN(CUSTO_GLOBAL[[#Headers],[Cesta Básica]])-2,0)*($G317-$H317)</f>
        <v>0</v>
      </c>
      <c r="AH317" s="22">
        <f>VLOOKUP($A317,tabCustoUnit[],COLUMN(CUSTO_GLOBAL[[#Headers],[PAF]])-2,0)*($G317-$H317)</f>
        <v>51.86</v>
      </c>
      <c r="AI317" s="22">
        <f>VLOOKUP($A317,tabCustoUnit[],COLUMN(CUSTO_GLOBAL[[#Headers],[PQM]])-2,0)*($G317-$H317)</f>
        <v>0</v>
      </c>
      <c r="AJ317" s="22">
        <v>0</v>
      </c>
      <c r="AK317" s="22">
        <f>VLOOKUP($A317,tabCustoUnit[],COLUMN(CUSTO_GLOBAL[[#Headers],[Seguro de Vida]])-2,0)*($G317-$H317)</f>
        <v>3.36</v>
      </c>
      <c r="AL317" s="22">
        <f>VLOOKUP($A317,tabCustoUnit[],COLUMN(CUSTO_GLOBAL[[#Headers],[Despesas de Viagem]])-2,0)*($G317-$H317)</f>
        <v>0</v>
      </c>
      <c r="AM317" s="22" t="e">
        <f ca="1">VLOOKUP($A317,tabCustoUnit[],COLUMN(CUSTO_GLOBAL[[#Headers],[Submódulo 2.3]])-2,0)*($G317-$H317)</f>
        <v>#NAME?</v>
      </c>
      <c r="AN317" s="22" t="e">
        <f ca="1">VLOOKUP($A317,tabCustoUnit[],COLUMN(CUSTO_GLOBAL[[#Headers],[MÓDULO 2 - Total Encargos e Benefícios mensais e diários]])-2,0)*($G317-$H317)</f>
        <v>#NAME?</v>
      </c>
      <c r="AO317" s="22">
        <f>VLOOKUP($A317,tabCustoUnit[],COLUMN(CUSTO_GLOBAL[[#Headers],[Aviso Prévio Indenizado (API) e Reflexo do Aviso Prévio Indenizado]])-2,0)*($G317-$H317)</f>
        <v>14.968749588310185</v>
      </c>
      <c r="AP317" s="22">
        <f>VLOOKUP($A317,tabCustoUnit[],COLUMN(CUSTO_GLOBAL[[#Headers],[Incidência do FGTS sobre API e Reflexo do API]])-2,0)*($G317-$H317)</f>
        <v>1.197499967064815</v>
      </c>
      <c r="AQ317" s="22">
        <f>VLOOKUP($A317,tabCustoUnit[],COLUMN(CUSTO_GLOBAL[[#Headers],[Multa Rescisória do FGTS sobre o Aviso Prévio Indenizado]])-2,0)*($G317-$H317)</f>
        <v>0.47899998682592604</v>
      </c>
      <c r="AR317" s="22">
        <f>VLOOKUP($A317,tabCustoUnit[],COLUMN(CUSTO_GLOBAL[[#Headers],[Aviso Prévio Trabalhado - APT]])-2,0)*($G317-$H317)</f>
        <v>7.4718147000000013</v>
      </c>
      <c r="AS317" s="22">
        <f>VLOOKUP($A317,tabCustoUnit[],COLUMN(CUSTO_GLOBAL[[#Headers],[Incidência dos encargos do submódulo 2.1 sobre Aviso Prévio Trabalhado]])-2,0)*($G317-$H317)</f>
        <v>2.8243459566000011</v>
      </c>
      <c r="AT317" s="22">
        <f>VLOOKUP($A317,tabCustoUnit[],COLUMN(CUSTO_GLOBAL[[#Headers],[Multa Rescisória do FGTS]])-2,0)*($G317-$H317)</f>
        <v>65.277568426666662</v>
      </c>
      <c r="AU317" s="22">
        <f>VLOOKUP($A317,tabCustoUnit[],COLUMN(CUSTO_GLOBAL[[#Headers],[Indenização Adicional (Art. 9º da Lei nº 7.238/84)]])-2,0)*($G317-$H317)</f>
        <v>1.7790035000000002</v>
      </c>
      <c r="AV317" s="22">
        <f>VLOOKUP($A317,tabCustoUnit[],COLUMN(CUSTO_GLOBAL[[#Headers],[MÓDULO 3 – PROVISÃO PARA RESCISÃO]])-2,0)*($G317-$H317)</f>
        <v>93.997982125467587</v>
      </c>
      <c r="AW317" s="22">
        <f>VLOOKUP($A317,tabCustoUnit[],COLUMN(CUSTO_GLOBAL[[#Headers],[Ausência por Doença]])-2,0)*($G317-$H317)</f>
        <v>18.027235466666664</v>
      </c>
      <c r="AX317" s="22">
        <f>VLOOKUP($A317,tabCustoUnit[],COLUMN(CUSTO_GLOBAL[[#Headers],[Ausências Legais]])-2,0)*($G317-$H317)</f>
        <v>4.3289085166666661</v>
      </c>
      <c r="AY317" s="22">
        <f>VLOOKUP($A317,tabCustoUnit[],COLUMN(CUSTO_GLOBAL[[#Headers],[Licença Paternidade]])-2,0)*($G317-$H317)</f>
        <v>0.36469571750000002</v>
      </c>
      <c r="AZ317" s="22">
        <f>VLOOKUP($A317,tabCustoUnit[],COLUMN(CUSTO_GLOBAL[[#Headers],[Ausência por Acidente de Trabalho]])-2,0)*($G317-$H317)</f>
        <v>0.44475087500000005</v>
      </c>
      <c r="BA317" s="22">
        <f>VLOOKUP($A317,tabCustoUnit[],COLUMN(CUSTO_GLOBAL[[#Headers],[Férias, Adicional de Férias e 13º  com empregada em gozo de Licença Maternidade]])-2,0)*($G317-$H317)</f>
        <v>2.7673387777777778</v>
      </c>
      <c r="BB317" s="22">
        <f>VLOOKUP($A317,tabCustoUnit[],COLUMN(CUSTO_GLOBAL[[#Headers],[Incidência do Submódulo 2.1 sobre Ausências Legais]])-2,0)*($G317-$H317)</f>
        <v>9.8026472956650021</v>
      </c>
      <c r="BC317" s="22">
        <f>VLOOKUP($A317,tabCustoUnit[],COLUMN(CUSTO_GLOBAL[[#Headers],[Submódulo 4.1]])-2,0)*($G317-$H317)</f>
        <v>35.735576649276105</v>
      </c>
      <c r="BD317" s="22">
        <f>VLOOKUP($A317,tabCustoUnit[],COLUMN(CUSTO_GLOBAL[[#Headers],[Intervalo para Repouso ou Alimentação]])-2,0)*($G317-$H317)</f>
        <v>291.10965839090369</v>
      </c>
      <c r="BE317" s="22">
        <f>VLOOKUP($A317,tabCustoUnit[],COLUMN(CUSTO_GLOBAL[[#Headers],[Submódulo 4.2]])-2,0)*($G317-$H317)</f>
        <v>291.10965839090369</v>
      </c>
      <c r="BF317" s="22">
        <f>VLOOKUP($A317,tabCustoUnit[],COLUMN(CUSTO_GLOBAL[[#Headers],[Suspensão Temporária do Contrato de Trabalho]])-2,0)*($G317-$H317)</f>
        <v>0</v>
      </c>
      <c r="BG317" s="22">
        <f>VLOOKUP($A317,tabCustoUnit[],COLUMN(CUSTO_GLOBAL[[#Headers],[Submódulo 4.3]])-2,0)*($G317-$H317)</f>
        <v>0</v>
      </c>
      <c r="BH317" s="22">
        <f>VLOOKUP($A317,tabCustoUnit[],COLUMN(CUSTO_GLOBAL[[#Headers],[MÓDULO 4 – CUSTO DE REPOSIÇÃO DO PROFISSIONAL AUSENTE]])-2,0)*($G317-$H317)</f>
        <v>326.84523504017977</v>
      </c>
      <c r="BI317" s="22">
        <f>VLOOKUP($A317,tabCustoUnit[],COLUMN(CUSTO_GLOBAL[[#Headers],[Uniformes e EPIs]])-2,0)*($G317-$H317)</f>
        <v>56.642978962543395</v>
      </c>
      <c r="BJ317" s="22">
        <f>VLOOKUP($A317,tabCustoUnit[],COLUMN(CUSTO_GLOBAL[[#Headers],[Materiais de Consumo]])-2,0)*($G317-$H317)</f>
        <v>0</v>
      </c>
      <c r="BK317" s="22">
        <f>VLOOKUP($A317,tabCustoUnit[],COLUMN(CUSTO_GLOBAL[[#Headers],[Máquinas e Equipamentos (depreciação)]])-2,0)*($G317-$H317)</f>
        <v>0</v>
      </c>
      <c r="BL317" s="22">
        <f>VLOOKUP($A317,tabCustoUnit[],COLUMN(CUSTO_GLOBAL[[#Headers],[Produtos de Limpeza e Materiais de Higiene Pessoal]])-2,0)*($G317-$H317)</f>
        <v>0</v>
      </c>
      <c r="BM317" s="22">
        <f>VLOOKUP($A317,tabCustoUnit[],COLUMN(CUSTO_GLOBAL[[#Headers],[Outros (especificar)]])-2,0)*($G317-$H317)</f>
        <v>0</v>
      </c>
      <c r="BN317" s="22">
        <f>VLOOKUP($A317,tabCustoUnit[],COLUMN(CUSTO_GLOBAL[[#Headers],[MÓDULO 5 – INSUMOS DIVERSOS]])-2,0)*($G317-$H317)</f>
        <v>56.642978962543395</v>
      </c>
      <c r="BO317" s="22" t="e">
        <f ca="1">VLOOKUP($A317,tabCustoUnit[],COLUMN(CUSTO_GLOBAL[[#Headers],[TOTAL MÓDULOS 1+2+3+4+5]])-2,0)*($G317-$H317)</f>
        <v>#NAME?</v>
      </c>
      <c r="BP317" s="22" t="e">
        <f ca="1">VLOOKUP($A317,tabCustoUnit[],COLUMN(CUSTO_GLOBAL[[#Headers],[Custos Indiretos]])-2,0)*($G317-$H317)</f>
        <v>#NAME?</v>
      </c>
      <c r="BQ317" s="22" t="e">
        <f ca="1">VLOOKUP($A317,tabCustoUnit[],COLUMN(CUSTO_GLOBAL[[#Headers],[Lucro]])-2,0)*($G317-$H317)</f>
        <v>#NAME?</v>
      </c>
      <c r="BR317" s="26">
        <f>VLOOKUP($A317,tabCustoUnit[],COLUMN(CUSTO_GLOBAL[[#Headers],[COFINS]])-2,0)</f>
        <v>8.6609686609686695E-2</v>
      </c>
      <c r="BS317" s="26">
        <f>VLOOKUP($A317,tabCustoUnit[],COLUMN(CUSTO_GLOBAL[[#Headers],[PIS]])-2,0)</f>
        <v>1.880341880341882E-2</v>
      </c>
      <c r="BT317" s="28">
        <f>VLOOKUP($A317,tabCustoUnit[],COLUMN(CUSTO_GLOBAL[[#Headers],[ISS]])-2,0)</f>
        <v>0.03</v>
      </c>
      <c r="BU317" s="26">
        <f>VLOOKUP($A317,tabCustoUnit[],COLUMN(CUSTO_GLOBAL[[#Headers],[ISS (Conversão Alíquota s/ fatura)]])-2,0)</f>
        <v>3.4188034188034219E-2</v>
      </c>
      <c r="BV317" s="26">
        <f>VLOOKUP($A317,tabCustoUnit[],COLUMN(CUSTO_GLOBAL[[#Headers],[Resumo de Alíquotas (PIS+CONFINS+ISS)]])-2,0)</f>
        <v>0.1225</v>
      </c>
      <c r="BW317" s="138">
        <f>VLOOKUP($A317,tabCustoUnit[],COLUMN(CUSTO_GLOBAL[[#Headers],[PIS + COFINS + ISS (Total Conversão  Alíquota s/ Fatura)]])-2,0)</f>
        <v>0.13960113960113973</v>
      </c>
      <c r="BX317" s="22" t="e">
        <f ca="1">VLOOKUP($A317,tabCustoUnit[],COLUMN(CUSTO_GLOBAL[[#Headers],[Valor dos Tributos (ISS, PIS, CONFINS)]])-2,0)*($G317-$H317)</f>
        <v>#NAME?</v>
      </c>
      <c r="BY317" s="22" t="e">
        <f ca="1">VLOOKUP($A317,tabCustoUnit[],COLUMN(CUSTO_GLOBAL[[#Headers],[MÓDULO 6 – CUSTOS INDIRETOS, TRIBUTOS E LUCRO]])-2,0)*($G317-$H317)</f>
        <v>#NAME?</v>
      </c>
      <c r="BZ317" s="22" t="e">
        <f ca="1">VLOOKUP($A317,tabCustoUnit[],COLUMN(CUSTO_GLOBAL[[#Headers],[CUSTO TOTAL MENSAL]])-2,0)*($G317-$H317)</f>
        <v>#NAME?</v>
      </c>
      <c r="CA317" s="22" t="e">
        <f ca="1">CUSTO_GLOBAL[[#This Row],[CUSTO TOTAL MENSAL]]*12</f>
        <v>#NAME?</v>
      </c>
      <c r="CB317" s="24">
        <f>VLOOKUP($A317,tabCustoUnit[],COLUMN(CUSTO_GLOBAL[[#Headers],[ANO DA CCT]])-2,0)</f>
        <v>45658</v>
      </c>
      <c r="CC317" s="25" t="str">
        <f>VLOOKUP($A317,tabCustoUnit[],COLUMN(CUSTO_GLOBAL[[#Headers],[Nº DE PEDIDO DA CCT]])-2,0)</f>
        <v>-</v>
      </c>
      <c r="CD317" s="25" t="str">
        <f>VLOOKUP($A317,tabCustoUnit[],COLUMN(CUSTO_GLOBAL[[#Headers],[TERMO ADITIVO ALTERAÇÃO DA CCT]])-2,0)</f>
        <v>-</v>
      </c>
    </row>
    <row r="318" spans="1:82">
      <c r="A318" s="20" t="s">
        <v>1728</v>
      </c>
      <c r="B318" t="s">
        <v>1069</v>
      </c>
      <c r="C318" t="s">
        <v>324</v>
      </c>
      <c r="D318" t="s">
        <v>1069</v>
      </c>
      <c r="E318" s="20" t="s">
        <v>1090</v>
      </c>
      <c r="F318" s="20" t="s">
        <v>120</v>
      </c>
      <c r="G318" s="20">
        <v>1</v>
      </c>
      <c r="H318" s="20">
        <v>0</v>
      </c>
      <c r="I318" s="21">
        <f>VLOOKUP($A318,tabCustoUnit[],COLUMN(CUSTO_GLOBAL[[#Headers],[Salário Base]])-2,0)*($G318-$H318)</f>
        <v>3397.1305000000002</v>
      </c>
      <c r="J318" s="21">
        <f>VLOOKUP($A318,tabCustoUnit[],COLUMN(CUSTO_GLOBAL[[#Headers],[Adicional Periculosidade]])-2,0)*($G318-$H318)</f>
        <v>0</v>
      </c>
      <c r="K318" s="21">
        <f>VLOOKUP($A318,tabCustoUnit[],COLUMN(CUSTO_GLOBAL[[#Headers],[Adicional Insalubridade]])-2,0)*($G318-$H318)</f>
        <v>0</v>
      </c>
      <c r="L318" s="21">
        <f>VLOOKUP($A318,tabCustoUnit[],COLUMN(CUSTO_GLOBAL[[#Headers],[Adicional Noturno]])-2,0)*($G318-$H318)</f>
        <v>0</v>
      </c>
      <c r="M318" s="21">
        <f>VLOOKUP($A318,tabCustoUnit[],COLUMN(CUSTO_GLOBAL[[#Headers],[Adicional Motorista II (Gratificação)]])-2,0)*($G318-$H318)</f>
        <v>0</v>
      </c>
      <c r="N318" s="21">
        <f>VLOOKUP($A318,tabCustoUnit[],COLUMN(CUSTO_GLOBAL[[#Headers],[Adicional de Sobreaviso]])-2,0)*($G318-$H318)</f>
        <v>0</v>
      </c>
      <c r="O318" s="21">
        <f>VLOOKUP($A318,tabCustoUnit[],COLUMN(CUSTO_GLOBAL[[#Headers],[Horas Extras TI]])-2,0)*($G318-$H318)</f>
        <v>0</v>
      </c>
      <c r="P318" s="21">
        <f>VLOOKUP($A318,tabCustoUnit[],COLUMN(CUSTO_GLOBAL[[#Headers],[Adicional de Acúmulo de função]])-2,0)*($G318-$H318)</f>
        <v>0</v>
      </c>
      <c r="Q318" s="21">
        <f>VLOOKUP($A318,tabCustoUnit[],COLUMN(CUSTO_GLOBAL[[#Headers],[MODULO 1 - REMUNERAÇÃO ]])-2,0)*($G318-$H318)</f>
        <v>3397.1305000000002</v>
      </c>
      <c r="R318" s="21">
        <f>VLOOKUP($A318,tabCustoUnit[],COLUMN(CUSTO_GLOBAL[[#Headers],[INSS]])-2,0)*($G318-$H318)</f>
        <v>679.42610000000013</v>
      </c>
      <c r="S318" s="21">
        <f>VLOOKUP($A318,tabCustoUnit[],COLUMN(CUSTO_GLOBAL[[#Headers],[SESI OU SESC]])-2,0)*($G318-$H318)</f>
        <v>50.956957500000001</v>
      </c>
      <c r="T318" s="21">
        <f>VLOOKUP($A318,tabCustoUnit[],COLUMN(CUSTO_GLOBAL[[#Headers],[SENAI OU SENAC]])-2,0)*($G318-$H318)</f>
        <v>33.971305000000001</v>
      </c>
      <c r="U318" s="21">
        <f>VLOOKUP($A318,tabCustoUnit[],COLUMN(CUSTO_GLOBAL[[#Headers],[INCRA]])-2,0)*($G318-$H318)</f>
        <v>6.7942610000000005</v>
      </c>
      <c r="V318" s="21">
        <f>VLOOKUP($A318,tabCustoUnit[],COLUMN(CUSTO_GLOBAL[[#Headers],[Salário Educação]])-2,0)*($G318-$H318)</f>
        <v>84.928262500000017</v>
      </c>
      <c r="W318" s="21">
        <f>VLOOKUP($A318,tabCustoUnit[],COLUMN(CUSTO_GLOBAL[[#Headers],[FGTS]])-2,0)*($G318-$H318)</f>
        <v>271.77044000000001</v>
      </c>
      <c r="X318" s="21">
        <f>VLOOKUP($A318,tabCustoUnit[],COLUMN(CUSTO_GLOBAL[[#Headers],[RAT Ajustado]])-2,0)*($G318-$H318)</f>
        <v>135.88522</v>
      </c>
      <c r="Y318" s="21">
        <f>VLOOKUP($A318,tabCustoUnit[],COLUMN(CUSTO_GLOBAL[[#Headers],[SEBRAE]])-2,0)*($G318-$H318)</f>
        <v>20.382783000000003</v>
      </c>
      <c r="Z318" s="21">
        <f>VLOOKUP($A318,tabCustoUnit[],COLUMN(CUSTO_GLOBAL[[#Headers],[Submódulo 2.1]])-2,0)*($G318-$H318)</f>
        <v>1284.1153290000002</v>
      </c>
      <c r="AA318" s="21">
        <f>VLOOKUP($A318,tabCustoUnit[],COLUMN(CUSTO_GLOBAL[[#Headers],[13º salário (titular)]])-2,0)*($G318-$H318)</f>
        <v>283.09420833333331</v>
      </c>
      <c r="AB318" s="21">
        <f>VLOOKUP($A318,tabCustoUnit[],COLUMN(CUSTO_GLOBAL[[#Headers],[Férias e Adicional de Férias (titular)]])-2,0)*($G318-$H318)</f>
        <v>377.45894444444446</v>
      </c>
      <c r="AC318" s="21">
        <f>VLOOKUP($A318,tabCustoUnit[],COLUMN(CUSTO_GLOBAL[[#Headers],[Incidência do Submódulo 2.1 sobre 13º Salário, Férias e Adicional de Férias]])-2,0)*($G318-$H318)</f>
        <v>249.68909175000005</v>
      </c>
      <c r="AD318" s="21">
        <f>VLOOKUP($A318,tabCustoUnit[],COLUMN(CUSTO_GLOBAL[[#Headers],[Submódulo 2.2]])-2,0)*($G318-$H318)</f>
        <v>910.24224452777776</v>
      </c>
      <c r="AE318" s="22" t="e">
        <f ca="1">VLOOKUP($A318,tabCustoUnit[],COLUMN(CUSTO_GLOBAL[[#Headers],[Vale - Transporte (Descontada parcela do empregado)]])-2,0)*($G318-$H318)</f>
        <v>#NAME?</v>
      </c>
      <c r="AF318" s="22">
        <f>VLOOKUP($A318,tabCustoUnit[],COLUMN(CUSTO_GLOBAL[[#Headers],[Vale - Alimentação (Descontada parcela do empregado)]])-2,0)*($G318-$H318)</f>
        <v>582</v>
      </c>
      <c r="AG318" s="22">
        <f>VLOOKUP($A318,tabCustoUnit[],COLUMN(CUSTO_GLOBAL[[#Headers],[Cesta Básica]])-2,0)*($G318-$H318)</f>
        <v>0</v>
      </c>
      <c r="AH318" s="22">
        <f>VLOOKUP($A318,tabCustoUnit[],COLUMN(CUSTO_GLOBAL[[#Headers],[PAF]])-2,0)*($G318-$H318)</f>
        <v>51.86</v>
      </c>
      <c r="AI318" s="22">
        <f>VLOOKUP($A318,tabCustoUnit[],COLUMN(CUSTO_GLOBAL[[#Headers],[PQM]])-2,0)*($G318-$H318)</f>
        <v>0</v>
      </c>
      <c r="AJ318" s="22">
        <v>0</v>
      </c>
      <c r="AK318" s="22">
        <f>VLOOKUP($A318,tabCustoUnit[],COLUMN(CUSTO_GLOBAL[[#Headers],[Seguro de Vida]])-2,0)*($G318-$H318)</f>
        <v>3.36</v>
      </c>
      <c r="AL318" s="22">
        <f>VLOOKUP($A318,tabCustoUnit[],COLUMN(CUSTO_GLOBAL[[#Headers],[Despesas de Viagem]])-2,0)*($G318-$H318)</f>
        <v>0</v>
      </c>
      <c r="AM318" s="22" t="e">
        <f ca="1">VLOOKUP($A318,tabCustoUnit[],COLUMN(CUSTO_GLOBAL[[#Headers],[Submódulo 2.3]])-2,0)*($G318-$H318)</f>
        <v>#NAME?</v>
      </c>
      <c r="AN318" s="22" t="e">
        <f ca="1">VLOOKUP($A318,tabCustoUnit[],COLUMN(CUSTO_GLOBAL[[#Headers],[MÓDULO 2 - Total Encargos e Benefícios mensais e diários]])-2,0)*($G318-$H318)</f>
        <v>#NAME?</v>
      </c>
      <c r="AO318" s="22">
        <f>VLOOKUP($A318,tabCustoUnit[],COLUMN(CUSTO_GLOBAL[[#Headers],[Aviso Prévio Indenizado (API) e Reflexo do Aviso Prévio Indenizado]])-2,0)*($G318-$H318)</f>
        <v>23.819887450713736</v>
      </c>
      <c r="AP318" s="22">
        <f>VLOOKUP($A318,tabCustoUnit[],COLUMN(CUSTO_GLOBAL[[#Headers],[Incidência do FGTS sobre API e Reflexo do API]])-2,0)*($G318-$H318)</f>
        <v>1.9055909960570991</v>
      </c>
      <c r="AQ318" s="22">
        <f>VLOOKUP($A318,tabCustoUnit[],COLUMN(CUSTO_GLOBAL[[#Headers],[Multa Rescisória do FGTS sobre o Aviso Prévio Indenizado]])-2,0)*($G318-$H318)</f>
        <v>0.76223639842283974</v>
      </c>
      <c r="AR318" s="22">
        <f>VLOOKUP($A318,tabCustoUnit[],COLUMN(CUSTO_GLOBAL[[#Headers],[Aviso Prévio Trabalhado - APT]])-2,0)*($G318-$H318)</f>
        <v>11.889956750000003</v>
      </c>
      <c r="AS318" s="22">
        <f>VLOOKUP($A318,tabCustoUnit[],COLUMN(CUSTO_GLOBAL[[#Headers],[Incidência dos encargos do submódulo 2.1 sobre Aviso Prévio Trabalhado]])-2,0)*($G318-$H318)</f>
        <v>4.4944036515000017</v>
      </c>
      <c r="AT318" s="22">
        <f>VLOOKUP($A318,tabCustoUnit[],COLUMN(CUSTO_GLOBAL[[#Headers],[Multa Rescisória do FGTS]])-2,0)*($G318-$H318)</f>
        <v>103.87670151111111</v>
      </c>
      <c r="AU318" s="22">
        <f>VLOOKUP($A318,tabCustoUnit[],COLUMN(CUSTO_GLOBAL[[#Headers],[Indenização Adicional (Art. 9º da Lei nº 7.238/84)]])-2,0)*($G318-$H318)</f>
        <v>2.8309420833333339</v>
      </c>
      <c r="AV318" s="22">
        <f>VLOOKUP($A318,tabCustoUnit[],COLUMN(CUSTO_GLOBAL[[#Headers],[MÓDULO 3 – PROVISÃO PARA RESCISÃO]])-2,0)*($G318-$H318)</f>
        <v>149.57971884113812</v>
      </c>
      <c r="AW318" s="22">
        <f>VLOOKUP($A318,tabCustoUnit[],COLUMN(CUSTO_GLOBAL[[#Headers],[Ausência por Doença]])-2,0)*($G318-$H318)</f>
        <v>28.686879777777776</v>
      </c>
      <c r="AX318" s="22">
        <f>VLOOKUP($A318,tabCustoUnit[],COLUMN(CUSTO_GLOBAL[[#Headers],[Ausências Legais]])-2,0)*($G318-$H318)</f>
        <v>6.888625736111111</v>
      </c>
      <c r="AY318" s="22">
        <f>VLOOKUP($A318,tabCustoUnit[],COLUMN(CUSTO_GLOBAL[[#Headers],[Licença Paternidade]])-2,0)*($G318-$H318)</f>
        <v>0.58034312708333335</v>
      </c>
      <c r="AZ318" s="22">
        <f>VLOOKUP($A318,tabCustoUnit[],COLUMN(CUSTO_GLOBAL[[#Headers],[Ausência por Acidente de Trabalho]])-2,0)*($G318-$H318)</f>
        <v>0.70773552083333346</v>
      </c>
      <c r="BA318" s="22">
        <f>VLOOKUP($A318,tabCustoUnit[],COLUMN(CUSTO_GLOBAL[[#Headers],[Férias, Adicional de Férias e 13º  com empregada em gozo de Licença Maternidade]])-2,0)*($G318-$H318)</f>
        <v>4.4036876851851856</v>
      </c>
      <c r="BB318" s="22">
        <f>VLOOKUP($A318,tabCustoUnit[],COLUMN(CUSTO_GLOBAL[[#Headers],[Incidência do Submódulo 2.1 sobre Ausências Legais]])-2,0)*($G318-$H318)</f>
        <v>15.599028758162504</v>
      </c>
      <c r="BC318" s="22">
        <f>VLOOKUP($A318,tabCustoUnit[],COLUMN(CUSTO_GLOBAL[[#Headers],[Submódulo 4.1]])-2,0)*($G318-$H318)</f>
        <v>56.866300605153235</v>
      </c>
      <c r="BD318" s="22">
        <f>VLOOKUP($A318,tabCustoUnit[],COLUMN(CUSTO_GLOBAL[[#Headers],[Intervalo para Repouso ou Alimentação]])-2,0)*($G318-$H318)</f>
        <v>0</v>
      </c>
      <c r="BE318" s="22">
        <f>VLOOKUP($A318,tabCustoUnit[],COLUMN(CUSTO_GLOBAL[[#Headers],[Submódulo 4.2]])-2,0)*($G318-$H318)</f>
        <v>0</v>
      </c>
      <c r="BF318" s="22">
        <f>VLOOKUP($A318,tabCustoUnit[],COLUMN(CUSTO_GLOBAL[[#Headers],[Suspensão Temporária do Contrato de Trabalho]])-2,0)*($G318-$H318)</f>
        <v>0</v>
      </c>
      <c r="BG318" s="22">
        <f>VLOOKUP($A318,tabCustoUnit[],COLUMN(CUSTO_GLOBAL[[#Headers],[Submódulo 4.3]])-2,0)*($G318-$H318)</f>
        <v>0</v>
      </c>
      <c r="BH318" s="22">
        <f>VLOOKUP($A318,tabCustoUnit[],COLUMN(CUSTO_GLOBAL[[#Headers],[MÓDULO 4 – CUSTO DE REPOSIÇÃO DO PROFISSIONAL AUSENTE]])-2,0)*($G318-$H318)</f>
        <v>56.866300605153235</v>
      </c>
      <c r="BI318" s="22">
        <f>VLOOKUP($A318,tabCustoUnit[],COLUMN(CUSTO_GLOBAL[[#Headers],[Uniformes e EPIs]])-2,0)*($G318-$H318)</f>
        <v>56.642978962543395</v>
      </c>
      <c r="BJ318" s="22">
        <f>VLOOKUP($A318,tabCustoUnit[],COLUMN(CUSTO_GLOBAL[[#Headers],[Materiais de Consumo]])-2,0)*($G318-$H318)</f>
        <v>0</v>
      </c>
      <c r="BK318" s="22">
        <f>VLOOKUP($A318,tabCustoUnit[],COLUMN(CUSTO_GLOBAL[[#Headers],[Máquinas e Equipamentos (depreciação)]])-2,0)*($G318-$H318)</f>
        <v>0</v>
      </c>
      <c r="BL318" s="22">
        <f>VLOOKUP($A318,tabCustoUnit[],COLUMN(CUSTO_GLOBAL[[#Headers],[Produtos de Limpeza e Materiais de Higiene Pessoal]])-2,0)*($G318-$H318)</f>
        <v>0</v>
      </c>
      <c r="BM318" s="22">
        <f>VLOOKUP($A318,tabCustoUnit[],COLUMN(CUSTO_GLOBAL[[#Headers],[Outros (especificar)]])-2,0)*($G318-$H318)</f>
        <v>0</v>
      </c>
      <c r="BN318" s="22">
        <f>VLOOKUP($A318,tabCustoUnit[],COLUMN(CUSTO_GLOBAL[[#Headers],[MÓDULO 5 – INSUMOS DIVERSOS]])-2,0)*($G318-$H318)</f>
        <v>56.642978962543395</v>
      </c>
      <c r="BO318" s="22" t="e">
        <f ca="1">VLOOKUP($A318,tabCustoUnit[],COLUMN(CUSTO_GLOBAL[[#Headers],[TOTAL MÓDULOS 1+2+3+4+5]])-2,0)*($G318-$H318)</f>
        <v>#NAME?</v>
      </c>
      <c r="BP318" s="22" t="e">
        <f ca="1">VLOOKUP($A318,tabCustoUnit[],COLUMN(CUSTO_GLOBAL[[#Headers],[Custos Indiretos]])-2,0)*($G318-$H318)</f>
        <v>#NAME?</v>
      </c>
      <c r="BQ318" s="22" t="e">
        <f ca="1">VLOOKUP($A318,tabCustoUnit[],COLUMN(CUSTO_GLOBAL[[#Headers],[Lucro]])-2,0)*($G318-$H318)</f>
        <v>#NAME?</v>
      </c>
      <c r="BR318" s="26">
        <f>VLOOKUP($A318,tabCustoUnit[],COLUMN(CUSTO_GLOBAL[[#Headers],[COFINS]])-2,0)</f>
        <v>8.6609686609686695E-2</v>
      </c>
      <c r="BS318" s="26">
        <f>VLOOKUP($A318,tabCustoUnit[],COLUMN(CUSTO_GLOBAL[[#Headers],[PIS]])-2,0)</f>
        <v>1.880341880341882E-2</v>
      </c>
      <c r="BT318" s="28">
        <f>VLOOKUP($A318,tabCustoUnit[],COLUMN(CUSTO_GLOBAL[[#Headers],[ISS]])-2,0)</f>
        <v>0.03</v>
      </c>
      <c r="BU318" s="26">
        <f>VLOOKUP($A318,tabCustoUnit[],COLUMN(CUSTO_GLOBAL[[#Headers],[ISS (Conversão Alíquota s/ fatura)]])-2,0)</f>
        <v>3.4188034188034219E-2</v>
      </c>
      <c r="BV318" s="26">
        <f>VLOOKUP($A318,tabCustoUnit[],COLUMN(CUSTO_GLOBAL[[#Headers],[Resumo de Alíquotas (PIS+CONFINS+ISS)]])-2,0)</f>
        <v>0.1225</v>
      </c>
      <c r="BW318" s="138">
        <f>VLOOKUP($A318,tabCustoUnit[],COLUMN(CUSTO_GLOBAL[[#Headers],[PIS + COFINS + ISS (Total Conversão  Alíquota s/ Fatura)]])-2,0)</f>
        <v>0.13960113960113973</v>
      </c>
      <c r="BX318" s="22" t="e">
        <f ca="1">VLOOKUP($A318,tabCustoUnit[],COLUMN(CUSTO_GLOBAL[[#Headers],[Valor dos Tributos (ISS, PIS, CONFINS)]])-2,0)*($G318-$H318)</f>
        <v>#NAME?</v>
      </c>
      <c r="BY318" s="22" t="e">
        <f ca="1">VLOOKUP($A318,tabCustoUnit[],COLUMN(CUSTO_GLOBAL[[#Headers],[MÓDULO 6 – CUSTOS INDIRETOS, TRIBUTOS E LUCRO]])-2,0)*($G318-$H318)</f>
        <v>#NAME?</v>
      </c>
      <c r="BZ318" s="22" t="e">
        <f ca="1">VLOOKUP($A318,tabCustoUnit[],COLUMN(CUSTO_GLOBAL[[#Headers],[CUSTO TOTAL MENSAL]])-2,0)*($G318-$H318)</f>
        <v>#NAME?</v>
      </c>
      <c r="CA318" s="22" t="e">
        <f ca="1">CUSTO_GLOBAL[[#This Row],[CUSTO TOTAL MENSAL]]*12</f>
        <v>#NAME?</v>
      </c>
      <c r="CB318" s="24">
        <f>VLOOKUP($A318,tabCustoUnit[],COLUMN(CUSTO_GLOBAL[[#Headers],[ANO DA CCT]])-2,0)</f>
        <v>45658</v>
      </c>
      <c r="CC318" s="25" t="str">
        <f>VLOOKUP($A318,tabCustoUnit[],COLUMN(CUSTO_GLOBAL[[#Headers],[Nº DE PEDIDO DA CCT]])-2,0)</f>
        <v>-</v>
      </c>
      <c r="CD318" s="25" t="str">
        <f>VLOOKUP($A318,tabCustoUnit[],COLUMN(CUSTO_GLOBAL[[#Headers],[TERMO ADITIVO ALTERAÇÃO DA CCT]])-2,0)</f>
        <v>-</v>
      </c>
    </row>
    <row r="319" spans="1:82">
      <c r="A319" s="20" t="s">
        <v>1802</v>
      </c>
      <c r="B319" t="s">
        <v>1071</v>
      </c>
      <c r="C319" t="s">
        <v>165</v>
      </c>
      <c r="D319" t="s">
        <v>1071</v>
      </c>
      <c r="E319" s="20" t="s">
        <v>1090</v>
      </c>
      <c r="F319" s="20" t="s">
        <v>120</v>
      </c>
      <c r="G319" s="20">
        <v>1</v>
      </c>
      <c r="H319" s="20">
        <v>0</v>
      </c>
      <c r="I319" s="21">
        <f>VLOOKUP($A319,tabCustoUnit[],COLUMN(CUSTO_GLOBAL[[#Headers],[Salário Base]])-2,0)*($G319-$H319)</f>
        <v>2443.5248999999999</v>
      </c>
      <c r="J319" s="21">
        <f>VLOOKUP($A319,tabCustoUnit[],COLUMN(CUSTO_GLOBAL[[#Headers],[Adicional Periculosidade]])-2,0)*($G319-$H319)</f>
        <v>0</v>
      </c>
      <c r="K319" s="21">
        <f>VLOOKUP($A319,tabCustoUnit[],COLUMN(CUSTO_GLOBAL[[#Headers],[Adicional Insalubridade]])-2,0)*($G319-$H319)</f>
        <v>0</v>
      </c>
      <c r="L319" s="21">
        <f>VLOOKUP($A319,tabCustoUnit[],COLUMN(CUSTO_GLOBAL[[#Headers],[Adicional Noturno]])-2,0)*($G319-$H319)</f>
        <v>0</v>
      </c>
      <c r="M319" s="21">
        <f>VLOOKUP($A319,tabCustoUnit[],COLUMN(CUSTO_GLOBAL[[#Headers],[Adicional Motorista II (Gratificação)]])-2,0)*($G319-$H319)</f>
        <v>0</v>
      </c>
      <c r="N319" s="21">
        <f>VLOOKUP($A319,tabCustoUnit[],COLUMN(CUSTO_GLOBAL[[#Headers],[Adicional de Sobreaviso]])-2,0)*($G319-$H319)</f>
        <v>0</v>
      </c>
      <c r="O319" s="21">
        <f>VLOOKUP($A319,tabCustoUnit[],COLUMN(CUSTO_GLOBAL[[#Headers],[Horas Extras TI]])-2,0)*($G319-$H319)</f>
        <v>0</v>
      </c>
      <c r="P319" s="21">
        <f>VLOOKUP($A319,tabCustoUnit[],COLUMN(CUSTO_GLOBAL[[#Headers],[Adicional de Acúmulo de função]])-2,0)*($G319-$H319)</f>
        <v>0</v>
      </c>
      <c r="Q319" s="21">
        <f>VLOOKUP($A319,tabCustoUnit[],COLUMN(CUSTO_GLOBAL[[#Headers],[MODULO 1 - REMUNERAÇÃO ]])-2,0)*($G319-$H319)</f>
        <v>2443.5248999999999</v>
      </c>
      <c r="R319" s="21">
        <f>VLOOKUP($A319,tabCustoUnit[],COLUMN(CUSTO_GLOBAL[[#Headers],[INSS]])-2,0)*($G319-$H319)</f>
        <v>488.70497999999998</v>
      </c>
      <c r="S319" s="21">
        <f>VLOOKUP($A319,tabCustoUnit[],COLUMN(CUSTO_GLOBAL[[#Headers],[SESI OU SESC]])-2,0)*($G319-$H319)</f>
        <v>36.652873499999998</v>
      </c>
      <c r="T319" s="21">
        <f>VLOOKUP($A319,tabCustoUnit[],COLUMN(CUSTO_GLOBAL[[#Headers],[SENAI OU SENAC]])-2,0)*($G319-$H319)</f>
        <v>24.435248999999999</v>
      </c>
      <c r="U319" s="21">
        <f>VLOOKUP($A319,tabCustoUnit[],COLUMN(CUSTO_GLOBAL[[#Headers],[INCRA]])-2,0)*($G319-$H319)</f>
        <v>4.8870497999999998</v>
      </c>
      <c r="V319" s="21">
        <f>VLOOKUP($A319,tabCustoUnit[],COLUMN(CUSTO_GLOBAL[[#Headers],[Salário Educação]])-2,0)*($G319-$H319)</f>
        <v>61.088122499999997</v>
      </c>
      <c r="W319" s="21">
        <f>VLOOKUP($A319,tabCustoUnit[],COLUMN(CUSTO_GLOBAL[[#Headers],[FGTS]])-2,0)*($G319-$H319)</f>
        <v>195.48199199999999</v>
      </c>
      <c r="X319" s="21">
        <f>VLOOKUP($A319,tabCustoUnit[],COLUMN(CUSTO_GLOBAL[[#Headers],[RAT Ajustado]])-2,0)*($G319-$H319)</f>
        <v>97.740995999999996</v>
      </c>
      <c r="Y319" s="21">
        <f>VLOOKUP($A319,tabCustoUnit[],COLUMN(CUSTO_GLOBAL[[#Headers],[SEBRAE]])-2,0)*($G319-$H319)</f>
        <v>14.661149399999999</v>
      </c>
      <c r="Z319" s="21">
        <f>VLOOKUP($A319,tabCustoUnit[],COLUMN(CUSTO_GLOBAL[[#Headers],[Submódulo 2.1]])-2,0)*($G319-$H319)</f>
        <v>923.65241219999996</v>
      </c>
      <c r="AA319" s="21">
        <f>VLOOKUP($A319,tabCustoUnit[],COLUMN(CUSTO_GLOBAL[[#Headers],[13º salário (titular)]])-2,0)*($G319-$H319)</f>
        <v>203.62707499999999</v>
      </c>
      <c r="AB319" s="21">
        <f>VLOOKUP($A319,tabCustoUnit[],COLUMN(CUSTO_GLOBAL[[#Headers],[Férias e Adicional de Férias (titular)]])-2,0)*($G319-$H319)</f>
        <v>271.50276666666662</v>
      </c>
      <c r="AC319" s="21">
        <f>VLOOKUP($A319,tabCustoUnit[],COLUMN(CUSTO_GLOBAL[[#Headers],[Incidência do Submódulo 2.1 sobre 13º Salário, Férias e Adicional de Férias]])-2,0)*($G319-$H319)</f>
        <v>179.59908014999999</v>
      </c>
      <c r="AD319" s="21">
        <f>VLOOKUP($A319,tabCustoUnit[],COLUMN(CUSTO_GLOBAL[[#Headers],[Submódulo 2.2]])-2,0)*($G319-$H319)</f>
        <v>654.72892181666657</v>
      </c>
      <c r="AE319" s="22" t="e">
        <f ca="1">VLOOKUP($A319,tabCustoUnit[],COLUMN(CUSTO_GLOBAL[[#Headers],[Vale - Transporte (Descontada parcela do empregado)]])-2,0)*($G319-$H319)</f>
        <v>#NAME?</v>
      </c>
      <c r="AF319" s="22">
        <f>VLOOKUP($A319,tabCustoUnit[],COLUMN(CUSTO_GLOBAL[[#Headers],[Vale - Alimentação (Descontada parcela do empregado)]])-2,0)*($G319-$H319)</f>
        <v>0</v>
      </c>
      <c r="AG319" s="22">
        <f>VLOOKUP($A319,tabCustoUnit[],COLUMN(CUSTO_GLOBAL[[#Headers],[Cesta Básica]])-2,0)*($G319-$H319)</f>
        <v>387.79</v>
      </c>
      <c r="AH319" s="22">
        <f>VLOOKUP($A319,tabCustoUnit[],COLUMN(CUSTO_GLOBAL[[#Headers],[PAF]])-2,0)*($G319-$H319)</f>
        <v>42.97</v>
      </c>
      <c r="AI319" s="22">
        <f>VLOOKUP($A319,tabCustoUnit[],COLUMN(CUSTO_GLOBAL[[#Headers],[PQM]])-2,0)*($G319-$H319)</f>
        <v>0</v>
      </c>
      <c r="AJ319" s="22">
        <v>0</v>
      </c>
      <c r="AK319" s="22">
        <f>VLOOKUP($A319,tabCustoUnit[],COLUMN(CUSTO_GLOBAL[[#Headers],[Seguro de Vida]])-2,0)*($G319-$H319)</f>
        <v>3.36</v>
      </c>
      <c r="AL319" s="22">
        <f>VLOOKUP($A319,tabCustoUnit[],COLUMN(CUSTO_GLOBAL[[#Headers],[Despesas de Viagem]])-2,0)*($G319-$H319)</f>
        <v>0</v>
      </c>
      <c r="AM319" s="22" t="e">
        <f ca="1">VLOOKUP($A319,tabCustoUnit[],COLUMN(CUSTO_GLOBAL[[#Headers],[Submódulo 2.3]])-2,0)*($G319-$H319)</f>
        <v>#NAME?</v>
      </c>
      <c r="AN319" s="22" t="e">
        <f ca="1">VLOOKUP($A319,tabCustoUnit[],COLUMN(CUSTO_GLOBAL[[#Headers],[MÓDULO 2 - Total Encargos e Benefícios mensais e diários]])-2,0)*($G319-$H319)</f>
        <v>#NAME?</v>
      </c>
      <c r="AO319" s="22">
        <f>VLOOKUP($A319,tabCustoUnit[],COLUMN(CUSTO_GLOBAL[[#Headers],[Aviso Prévio Indenizado (API) e Reflexo do Aviso Prévio Indenizado]])-2,0)*($G319-$H319)</f>
        <v>17.133427197164352</v>
      </c>
      <c r="AP319" s="22">
        <f>VLOOKUP($A319,tabCustoUnit[],COLUMN(CUSTO_GLOBAL[[#Headers],[Incidência do FGTS sobre API e Reflexo do API]])-2,0)*($G319-$H319)</f>
        <v>1.3706741757731482</v>
      </c>
      <c r="AQ319" s="22">
        <f>VLOOKUP($A319,tabCustoUnit[],COLUMN(CUSTO_GLOBAL[[#Headers],[Multa Rescisória do FGTS sobre o Aviso Prévio Indenizado]])-2,0)*($G319-$H319)</f>
        <v>0.54826967030925933</v>
      </c>
      <c r="AR319" s="22">
        <f>VLOOKUP($A319,tabCustoUnit[],COLUMN(CUSTO_GLOBAL[[#Headers],[Aviso Prévio Trabalhado - APT]])-2,0)*($G319-$H319)</f>
        <v>8.5523371500000014</v>
      </c>
      <c r="AS319" s="22">
        <f>VLOOKUP($A319,tabCustoUnit[],COLUMN(CUSTO_GLOBAL[[#Headers],[Incidência dos encargos do submódulo 2.1 sobre Aviso Prévio Trabalhado]])-2,0)*($G319-$H319)</f>
        <v>3.2327834427000006</v>
      </c>
      <c r="AT319" s="22">
        <f>VLOOKUP($A319,tabCustoUnit[],COLUMN(CUSTO_GLOBAL[[#Headers],[Multa Rescisória do FGTS]])-2,0)*($G319-$H319)</f>
        <v>74.717561386666645</v>
      </c>
      <c r="AU319" s="22">
        <f>VLOOKUP($A319,tabCustoUnit[],COLUMN(CUSTO_GLOBAL[[#Headers],[Indenização Adicional (Art. 9º da Lei nº 7.238/84)]])-2,0)*($G319-$H319)</f>
        <v>2.0362707499999999</v>
      </c>
      <c r="AV319" s="22">
        <f>VLOOKUP($A319,tabCustoUnit[],COLUMN(CUSTO_GLOBAL[[#Headers],[MÓDULO 3 – PROVISÃO PARA RESCISÃO]])-2,0)*($G319-$H319)</f>
        <v>107.59132377261341</v>
      </c>
      <c r="AW319" s="22">
        <f>VLOOKUP($A319,tabCustoUnit[],COLUMN(CUSTO_GLOBAL[[#Headers],[Ausência por Doença]])-2,0)*($G319-$H319)</f>
        <v>20.634210266666663</v>
      </c>
      <c r="AX319" s="22">
        <f>VLOOKUP($A319,tabCustoUnit[],COLUMN(CUSTO_GLOBAL[[#Headers],[Ausências Legais]])-2,0)*($G319-$H319)</f>
        <v>4.9549254916666658</v>
      </c>
      <c r="AY319" s="22">
        <f>VLOOKUP($A319,tabCustoUnit[],COLUMN(CUSTO_GLOBAL[[#Headers],[Licença Paternidade]])-2,0)*($G319-$H319)</f>
        <v>0.41743550374999999</v>
      </c>
      <c r="AZ319" s="22">
        <f>VLOOKUP($A319,tabCustoUnit[],COLUMN(CUSTO_GLOBAL[[#Headers],[Ausência por Acidente de Trabalho]])-2,0)*($G319-$H319)</f>
        <v>0.50906768749999998</v>
      </c>
      <c r="BA319" s="22">
        <f>VLOOKUP($A319,tabCustoUnit[],COLUMN(CUSTO_GLOBAL[[#Headers],[Férias, Adicional de Férias e 13º  com empregada em gozo de Licença Maternidade]])-2,0)*($G319-$H319)</f>
        <v>3.1675322777777777</v>
      </c>
      <c r="BB319" s="22">
        <f>VLOOKUP($A319,tabCustoUnit[],COLUMN(CUSTO_GLOBAL[[#Headers],[Incidência do Submódulo 2.1 sobre Ausências Legais]])-2,0)*($G319-$H319)</f>
        <v>11.220238723942501</v>
      </c>
      <c r="BC319" s="22">
        <f>VLOOKUP($A319,tabCustoUnit[],COLUMN(CUSTO_GLOBAL[[#Headers],[Submódulo 4.1]])-2,0)*($G319-$H319)</f>
        <v>40.903409951303601</v>
      </c>
      <c r="BD319" s="22">
        <f>VLOOKUP($A319,tabCustoUnit[],COLUMN(CUSTO_GLOBAL[[#Headers],[Intervalo para Repouso ou Alimentação]])-2,0)*($G319-$H319)</f>
        <v>0</v>
      </c>
      <c r="BE319" s="22">
        <f>VLOOKUP($A319,tabCustoUnit[],COLUMN(CUSTO_GLOBAL[[#Headers],[Submódulo 4.2]])-2,0)*($G319-$H319)</f>
        <v>0</v>
      </c>
      <c r="BF319" s="22">
        <f>VLOOKUP($A319,tabCustoUnit[],COLUMN(CUSTO_GLOBAL[[#Headers],[Suspensão Temporária do Contrato de Trabalho]])-2,0)*($G319-$H319)</f>
        <v>0</v>
      </c>
      <c r="BG319" s="22">
        <f>VLOOKUP($A319,tabCustoUnit[],COLUMN(CUSTO_GLOBAL[[#Headers],[Submódulo 4.3]])-2,0)*($G319-$H319)</f>
        <v>0</v>
      </c>
      <c r="BH319" s="22">
        <f>VLOOKUP($A319,tabCustoUnit[],COLUMN(CUSTO_GLOBAL[[#Headers],[MÓDULO 4 – CUSTO DE REPOSIÇÃO DO PROFISSIONAL AUSENTE]])-2,0)*($G319-$H319)</f>
        <v>40.903409951303601</v>
      </c>
      <c r="BI319" s="22">
        <f>VLOOKUP($A319,tabCustoUnit[],COLUMN(CUSTO_GLOBAL[[#Headers],[Uniformes e EPIs]])-2,0)*($G319-$H319)</f>
        <v>190.56060491869394</v>
      </c>
      <c r="BJ319" s="22">
        <f>VLOOKUP($A319,tabCustoUnit[],COLUMN(CUSTO_GLOBAL[[#Headers],[Materiais de Consumo]])-2,0)*($G319-$H319)</f>
        <v>0</v>
      </c>
      <c r="BK319" s="22">
        <f>VLOOKUP($A319,tabCustoUnit[],COLUMN(CUSTO_GLOBAL[[#Headers],[Máquinas e Equipamentos (depreciação)]])-2,0)*($G319-$H319)</f>
        <v>0</v>
      </c>
      <c r="BL319" s="22">
        <f>VLOOKUP($A319,tabCustoUnit[],COLUMN(CUSTO_GLOBAL[[#Headers],[Produtos de Limpeza e Materiais de Higiene Pessoal]])-2,0)*($G319-$H319)</f>
        <v>0</v>
      </c>
      <c r="BM319" s="22">
        <f>VLOOKUP($A319,tabCustoUnit[],COLUMN(CUSTO_GLOBAL[[#Headers],[Outros (especificar)]])-2,0)*($G319-$H319)</f>
        <v>0</v>
      </c>
      <c r="BN319" s="22">
        <f>VLOOKUP($A319,tabCustoUnit[],COLUMN(CUSTO_GLOBAL[[#Headers],[MÓDULO 5 – INSUMOS DIVERSOS]])-2,0)*($G319-$H319)</f>
        <v>190.56060491869394</v>
      </c>
      <c r="BO319" s="22" t="e">
        <f ca="1">VLOOKUP($A319,tabCustoUnit[],COLUMN(CUSTO_GLOBAL[[#Headers],[TOTAL MÓDULOS 1+2+3+4+5]])-2,0)*($G319-$H319)</f>
        <v>#NAME?</v>
      </c>
      <c r="BP319" s="22" t="e">
        <f ca="1">VLOOKUP($A319,tabCustoUnit[],COLUMN(CUSTO_GLOBAL[[#Headers],[Custos Indiretos]])-2,0)*($G319-$H319)</f>
        <v>#NAME?</v>
      </c>
      <c r="BQ319" s="22" t="e">
        <f ca="1">VLOOKUP($A319,tabCustoUnit[],COLUMN(CUSTO_GLOBAL[[#Headers],[Lucro]])-2,0)*($G319-$H319)</f>
        <v>#NAME?</v>
      </c>
      <c r="BR319" s="26">
        <f>VLOOKUP($A319,tabCustoUnit[],COLUMN(CUSTO_GLOBAL[[#Headers],[COFINS]])-2,0)</f>
        <v>8.5633802816901458E-2</v>
      </c>
      <c r="BS319" s="26">
        <f>VLOOKUP($A319,tabCustoUnit[],COLUMN(CUSTO_GLOBAL[[#Headers],[PIS]])-2,0)</f>
        <v>1.8591549295774657E-2</v>
      </c>
      <c r="BT319" s="28">
        <f>VLOOKUP($A319,tabCustoUnit[],COLUMN(CUSTO_GLOBAL[[#Headers],[ISS]])-2,0)</f>
        <v>0.02</v>
      </c>
      <c r="BU319" s="26">
        <f>VLOOKUP($A319,tabCustoUnit[],COLUMN(CUSTO_GLOBAL[[#Headers],[ISS (Conversão Alíquota s/ fatura)]])-2,0)</f>
        <v>2.2535211267605645E-2</v>
      </c>
      <c r="BV319" s="26">
        <f>VLOOKUP($A319,tabCustoUnit[],COLUMN(CUSTO_GLOBAL[[#Headers],[Resumo de Alíquotas (PIS+CONFINS+ISS)]])-2,0)</f>
        <v>0.1125</v>
      </c>
      <c r="BW319" s="138">
        <f>VLOOKUP($A319,tabCustoUnit[],COLUMN(CUSTO_GLOBAL[[#Headers],[PIS + COFINS + ISS (Total Conversão  Alíquota s/ Fatura)]])-2,0)</f>
        <v>0.12676056338028174</v>
      </c>
      <c r="BX319" s="22" t="e">
        <f ca="1">VLOOKUP($A319,tabCustoUnit[],COLUMN(CUSTO_GLOBAL[[#Headers],[Valor dos Tributos (ISS, PIS, CONFINS)]])-2,0)*($G319-$H319)</f>
        <v>#NAME?</v>
      </c>
      <c r="BY319" s="22" t="e">
        <f ca="1">VLOOKUP($A319,tabCustoUnit[],COLUMN(CUSTO_GLOBAL[[#Headers],[MÓDULO 6 – CUSTOS INDIRETOS, TRIBUTOS E LUCRO]])-2,0)*($G319-$H319)</f>
        <v>#NAME?</v>
      </c>
      <c r="BZ319" s="22" t="e">
        <f ca="1">VLOOKUP($A319,tabCustoUnit[],COLUMN(CUSTO_GLOBAL[[#Headers],[CUSTO TOTAL MENSAL]])-2,0)*($G319-$H319)</f>
        <v>#NAME?</v>
      </c>
      <c r="CA319" s="22" t="e">
        <f ca="1">CUSTO_GLOBAL[[#This Row],[CUSTO TOTAL MENSAL]]*12</f>
        <v>#NAME?</v>
      </c>
      <c r="CB319" s="24">
        <f>VLOOKUP($A319,tabCustoUnit[],COLUMN(CUSTO_GLOBAL[[#Headers],[ANO DA CCT]])-2,0)</f>
        <v>45658</v>
      </c>
      <c r="CC319" s="25" t="str">
        <f>VLOOKUP($A319,tabCustoUnit[],COLUMN(CUSTO_GLOBAL[[#Headers],[Nº DE PEDIDO DA CCT]])-2,0)</f>
        <v>-</v>
      </c>
      <c r="CD319" s="25" t="str">
        <f>VLOOKUP($A319,tabCustoUnit[],COLUMN(CUSTO_GLOBAL[[#Headers],[TERMO ADITIVO ALTERAÇÃO DA CCT]])-2,0)</f>
        <v>-</v>
      </c>
    </row>
    <row r="320" spans="1:82">
      <c r="A320" s="20" t="s">
        <v>1514</v>
      </c>
      <c r="B320" t="s">
        <v>1071</v>
      </c>
      <c r="C320" t="s">
        <v>200</v>
      </c>
      <c r="D320" t="s">
        <v>1071</v>
      </c>
      <c r="E320" s="20" t="s">
        <v>1090</v>
      </c>
      <c r="F320" s="20" t="s">
        <v>120</v>
      </c>
      <c r="G320" s="20">
        <v>6</v>
      </c>
      <c r="H320" s="20">
        <v>0</v>
      </c>
      <c r="I320" s="21">
        <f>VLOOKUP($A320,tabCustoUnit[],COLUMN(CUSTO_GLOBAL[[#Headers],[Salário Base]])-2,0)*($G320-$H320)</f>
        <v>9894.7488000000012</v>
      </c>
      <c r="J320" s="21">
        <f>VLOOKUP($A320,tabCustoUnit[],COLUMN(CUSTO_GLOBAL[[#Headers],[Adicional Periculosidade]])-2,0)*($G320-$H320)</f>
        <v>0</v>
      </c>
      <c r="K320" s="21">
        <f>VLOOKUP($A320,tabCustoUnit[],COLUMN(CUSTO_GLOBAL[[#Headers],[Adicional Insalubridade]])-2,0)*($G320-$H320)</f>
        <v>0</v>
      </c>
      <c r="L320" s="21">
        <f>VLOOKUP($A320,tabCustoUnit[],COLUMN(CUSTO_GLOBAL[[#Headers],[Adicional Noturno]])-2,0)*($G320-$H320)</f>
        <v>0</v>
      </c>
      <c r="M320" s="21">
        <f>VLOOKUP($A320,tabCustoUnit[],COLUMN(CUSTO_GLOBAL[[#Headers],[Adicional Motorista II (Gratificação)]])-2,0)*($G320-$H320)</f>
        <v>0</v>
      </c>
      <c r="N320" s="21">
        <f>VLOOKUP($A320,tabCustoUnit[],COLUMN(CUSTO_GLOBAL[[#Headers],[Adicional de Sobreaviso]])-2,0)*($G320-$H320)</f>
        <v>0</v>
      </c>
      <c r="O320" s="21">
        <f>VLOOKUP($A320,tabCustoUnit[],COLUMN(CUSTO_GLOBAL[[#Headers],[Horas Extras TI]])-2,0)*($G320-$H320)</f>
        <v>0</v>
      </c>
      <c r="P320" s="21">
        <f>VLOOKUP($A320,tabCustoUnit[],COLUMN(CUSTO_GLOBAL[[#Headers],[Adicional de Acúmulo de função]])-2,0)*($G320-$H320)</f>
        <v>0</v>
      </c>
      <c r="Q320" s="21">
        <f>VLOOKUP($A320,tabCustoUnit[],COLUMN(CUSTO_GLOBAL[[#Headers],[MODULO 1 - REMUNERAÇÃO ]])-2,0)*($G320-$H320)</f>
        <v>9894.7488000000012</v>
      </c>
      <c r="R320" s="21">
        <f>VLOOKUP($A320,tabCustoUnit[],COLUMN(CUSTO_GLOBAL[[#Headers],[INSS]])-2,0)*($G320-$H320)</f>
        <v>1978.9497600000002</v>
      </c>
      <c r="S320" s="21">
        <f>VLOOKUP($A320,tabCustoUnit[],COLUMN(CUSTO_GLOBAL[[#Headers],[SESI OU SESC]])-2,0)*($G320-$H320)</f>
        <v>148.42123199999997</v>
      </c>
      <c r="T320" s="21">
        <f>VLOOKUP($A320,tabCustoUnit[],COLUMN(CUSTO_GLOBAL[[#Headers],[SENAI OU SENAC]])-2,0)*($G320-$H320)</f>
        <v>98.947488000000021</v>
      </c>
      <c r="U320" s="21">
        <f>VLOOKUP($A320,tabCustoUnit[],COLUMN(CUSTO_GLOBAL[[#Headers],[INCRA]])-2,0)*($G320-$H320)</f>
        <v>19.789497600000001</v>
      </c>
      <c r="V320" s="21">
        <f>VLOOKUP($A320,tabCustoUnit[],COLUMN(CUSTO_GLOBAL[[#Headers],[Salário Educação]])-2,0)*($G320-$H320)</f>
        <v>247.36872000000002</v>
      </c>
      <c r="W320" s="21">
        <f>VLOOKUP($A320,tabCustoUnit[],COLUMN(CUSTO_GLOBAL[[#Headers],[FGTS]])-2,0)*($G320-$H320)</f>
        <v>791.57990400000017</v>
      </c>
      <c r="X320" s="21">
        <f>VLOOKUP($A320,tabCustoUnit[],COLUMN(CUSTO_GLOBAL[[#Headers],[RAT Ajustado]])-2,0)*($G320-$H320)</f>
        <v>395.78995200000008</v>
      </c>
      <c r="Y320" s="21">
        <f>VLOOKUP($A320,tabCustoUnit[],COLUMN(CUSTO_GLOBAL[[#Headers],[SEBRAE]])-2,0)*($G320-$H320)</f>
        <v>59.368492799999999</v>
      </c>
      <c r="Z320" s="21">
        <f>VLOOKUP($A320,tabCustoUnit[],COLUMN(CUSTO_GLOBAL[[#Headers],[Submódulo 2.1]])-2,0)*($G320-$H320)</f>
        <v>3740.2150464000006</v>
      </c>
      <c r="AA320" s="21">
        <f>VLOOKUP($A320,tabCustoUnit[],COLUMN(CUSTO_GLOBAL[[#Headers],[13º salário (titular)]])-2,0)*($G320-$H320)</f>
        <v>824.56240000000003</v>
      </c>
      <c r="AB320" s="21">
        <f>VLOOKUP($A320,tabCustoUnit[],COLUMN(CUSTO_GLOBAL[[#Headers],[Férias e Adicional de Férias (titular)]])-2,0)*($G320-$H320)</f>
        <v>1099.4165333333333</v>
      </c>
      <c r="AC320" s="21">
        <f>VLOOKUP($A320,tabCustoUnit[],COLUMN(CUSTO_GLOBAL[[#Headers],[Incidência do Submódulo 2.1 sobre 13º Salário, Férias e Adicional de Férias]])-2,0)*($G320-$H320)</f>
        <v>727.2640368000001</v>
      </c>
      <c r="AD320" s="21">
        <f>VLOOKUP($A320,tabCustoUnit[],COLUMN(CUSTO_GLOBAL[[#Headers],[Submódulo 2.2]])-2,0)*($G320-$H320)</f>
        <v>2651.2429701333331</v>
      </c>
      <c r="AE320" s="22" t="e">
        <f ca="1">VLOOKUP($A320,tabCustoUnit[],COLUMN(CUSTO_GLOBAL[[#Headers],[Vale - Transporte (Descontada parcela do empregado)]])-2,0)*($G320-$H320)</f>
        <v>#NAME?</v>
      </c>
      <c r="AF320" s="22">
        <f>VLOOKUP($A320,tabCustoUnit[],COLUMN(CUSTO_GLOBAL[[#Headers],[Vale - Alimentação (Descontada parcela do empregado)]])-2,0)*($G320-$H320)</f>
        <v>0</v>
      </c>
      <c r="AG320" s="22">
        <f>VLOOKUP($A320,tabCustoUnit[],COLUMN(CUSTO_GLOBAL[[#Headers],[Cesta Básica]])-2,0)*($G320-$H320)</f>
        <v>2326.7400000000002</v>
      </c>
      <c r="AH320" s="22">
        <f>VLOOKUP($A320,tabCustoUnit[],COLUMN(CUSTO_GLOBAL[[#Headers],[PAF]])-2,0)*($G320-$H320)</f>
        <v>257.82</v>
      </c>
      <c r="AI320" s="22">
        <f>VLOOKUP($A320,tabCustoUnit[],COLUMN(CUSTO_GLOBAL[[#Headers],[PQM]])-2,0)*($G320-$H320)</f>
        <v>0</v>
      </c>
      <c r="AJ320" s="22">
        <v>0</v>
      </c>
      <c r="AK320" s="22">
        <f>VLOOKUP($A320,tabCustoUnit[],COLUMN(CUSTO_GLOBAL[[#Headers],[Seguro de Vida]])-2,0)*($G320-$H320)</f>
        <v>20.16</v>
      </c>
      <c r="AL320" s="22">
        <f>VLOOKUP($A320,tabCustoUnit[],COLUMN(CUSTO_GLOBAL[[#Headers],[Despesas de Viagem]])-2,0)*($G320-$H320)</f>
        <v>0</v>
      </c>
      <c r="AM320" s="22" t="e">
        <f ca="1">VLOOKUP($A320,tabCustoUnit[],COLUMN(CUSTO_GLOBAL[[#Headers],[Submódulo 2.3]])-2,0)*($G320-$H320)</f>
        <v>#NAME?</v>
      </c>
      <c r="AN320" s="22" t="e">
        <f ca="1">VLOOKUP($A320,tabCustoUnit[],COLUMN(CUSTO_GLOBAL[[#Headers],[MÓDULO 2 - Total Encargos e Benefícios mensais e diários]])-2,0)*($G320-$H320)</f>
        <v>#NAME?</v>
      </c>
      <c r="AO320" s="22">
        <f>VLOOKUP($A320,tabCustoUnit[],COLUMN(CUSTO_GLOBAL[[#Headers],[Aviso Prévio Indenizado (API) e Reflexo do Aviso Prévio Indenizado]])-2,0)*($G320-$H320)</f>
        <v>69.379672864814808</v>
      </c>
      <c r="AP320" s="22">
        <f>VLOOKUP($A320,tabCustoUnit[],COLUMN(CUSTO_GLOBAL[[#Headers],[Incidência do FGTS sobre API e Reflexo do API]])-2,0)*($G320-$H320)</f>
        <v>5.5503738291851858</v>
      </c>
      <c r="AQ320" s="22">
        <f>VLOOKUP($A320,tabCustoUnit[],COLUMN(CUSTO_GLOBAL[[#Headers],[Multa Rescisória do FGTS sobre o Aviso Prévio Indenizado]])-2,0)*($G320-$H320)</f>
        <v>2.2201495316740747</v>
      </c>
      <c r="AR320" s="22">
        <f>VLOOKUP($A320,tabCustoUnit[],COLUMN(CUSTO_GLOBAL[[#Headers],[Aviso Prévio Trabalhado - APT]])-2,0)*($G320-$H320)</f>
        <v>34.631620800000007</v>
      </c>
      <c r="AS320" s="22">
        <f>VLOOKUP($A320,tabCustoUnit[],COLUMN(CUSTO_GLOBAL[[#Headers],[Incidência dos encargos do submódulo 2.1 sobre Aviso Prévio Trabalhado]])-2,0)*($G320-$H320)</f>
        <v>13.090752662400005</v>
      </c>
      <c r="AT320" s="22">
        <f>VLOOKUP($A320,tabCustoUnit[],COLUMN(CUSTO_GLOBAL[[#Headers],[Multa Rescisória do FGTS]])-2,0)*($G320-$H320)</f>
        <v>302.55942997333329</v>
      </c>
      <c r="AU320" s="22">
        <f>VLOOKUP($A320,tabCustoUnit[],COLUMN(CUSTO_GLOBAL[[#Headers],[Indenização Adicional (Art. 9º da Lei nº 7.238/84)]])-2,0)*($G320-$H320)</f>
        <v>8.2456240000000012</v>
      </c>
      <c r="AV320" s="22">
        <f>VLOOKUP($A320,tabCustoUnit[],COLUMN(CUSTO_GLOBAL[[#Headers],[MÓDULO 3 – PROVISÃO PARA RESCISÃO]])-2,0)*($G320-$H320)</f>
        <v>435.67762366140732</v>
      </c>
      <c r="AW320" s="22">
        <f>VLOOKUP($A320,tabCustoUnit[],COLUMN(CUSTO_GLOBAL[[#Headers],[Ausência por Doença]])-2,0)*($G320-$H320)</f>
        <v>83.555656533333334</v>
      </c>
      <c r="AX320" s="22">
        <f>VLOOKUP($A320,tabCustoUnit[],COLUMN(CUSTO_GLOBAL[[#Headers],[Ausências Legais]])-2,0)*($G320-$H320)</f>
        <v>20.064351733333332</v>
      </c>
      <c r="AY320" s="22">
        <f>VLOOKUP($A320,tabCustoUnit[],COLUMN(CUSTO_GLOBAL[[#Headers],[Licença Paternidade]])-2,0)*($G320-$H320)</f>
        <v>1.69035292</v>
      </c>
      <c r="AZ320" s="22">
        <f>VLOOKUP($A320,tabCustoUnit[],COLUMN(CUSTO_GLOBAL[[#Headers],[Ausência por Acidente de Trabalho]])-2,0)*($G320-$H320)</f>
        <v>2.0614060000000003</v>
      </c>
      <c r="BA320" s="22">
        <f>VLOOKUP($A320,tabCustoUnit[],COLUMN(CUSTO_GLOBAL[[#Headers],[Férias, Adicional de Férias e 13º  com empregada em gozo de Licença Maternidade]])-2,0)*($G320-$H320)</f>
        <v>12.826526222222224</v>
      </c>
      <c r="BB320" s="22">
        <f>VLOOKUP($A320,tabCustoUnit[],COLUMN(CUSTO_GLOBAL[[#Headers],[Incidência do Submódulo 2.1 sobre Ausências Legais]])-2,0)*($G320-$H320)</f>
        <v>45.434954908560009</v>
      </c>
      <c r="BC320" s="22">
        <f>VLOOKUP($A320,tabCustoUnit[],COLUMN(CUSTO_GLOBAL[[#Headers],[Submódulo 4.1]])-2,0)*($G320-$H320)</f>
        <v>165.63324831744887</v>
      </c>
      <c r="BD320" s="22">
        <f>VLOOKUP($A320,tabCustoUnit[],COLUMN(CUSTO_GLOBAL[[#Headers],[Intervalo para Repouso ou Alimentação]])-2,0)*($G320-$H320)</f>
        <v>0</v>
      </c>
      <c r="BE320" s="22">
        <f>VLOOKUP($A320,tabCustoUnit[],COLUMN(CUSTO_GLOBAL[[#Headers],[Submódulo 4.2]])-2,0)*($G320-$H320)</f>
        <v>0</v>
      </c>
      <c r="BF320" s="22">
        <f>VLOOKUP($A320,tabCustoUnit[],COLUMN(CUSTO_GLOBAL[[#Headers],[Suspensão Temporária do Contrato de Trabalho]])-2,0)*($G320-$H320)</f>
        <v>0</v>
      </c>
      <c r="BG320" s="22">
        <f>VLOOKUP($A320,tabCustoUnit[],COLUMN(CUSTO_GLOBAL[[#Headers],[Submódulo 4.3]])-2,0)*($G320-$H320)</f>
        <v>0</v>
      </c>
      <c r="BH320" s="22">
        <f>VLOOKUP($A320,tabCustoUnit[],COLUMN(CUSTO_GLOBAL[[#Headers],[MÓDULO 4 – CUSTO DE REPOSIÇÃO DO PROFISSIONAL AUSENTE]])-2,0)*($G320-$H320)</f>
        <v>165.63324831744887</v>
      </c>
      <c r="BI320" s="22">
        <f>VLOOKUP($A320,tabCustoUnit[],COLUMN(CUSTO_GLOBAL[[#Headers],[Uniformes e EPIs]])-2,0)*($G320-$H320)</f>
        <v>336.85028197193952</v>
      </c>
      <c r="BJ320" s="22">
        <f>VLOOKUP($A320,tabCustoUnit[],COLUMN(CUSTO_GLOBAL[[#Headers],[Materiais de Consumo]])-2,0)*($G320-$H320)</f>
        <v>0</v>
      </c>
      <c r="BK320" s="22">
        <f>VLOOKUP($A320,tabCustoUnit[],COLUMN(CUSTO_GLOBAL[[#Headers],[Máquinas e Equipamentos (depreciação)]])-2,0)*($G320-$H320)</f>
        <v>0</v>
      </c>
      <c r="BL320" s="22">
        <f>VLOOKUP($A320,tabCustoUnit[],COLUMN(CUSTO_GLOBAL[[#Headers],[Produtos de Limpeza e Materiais de Higiene Pessoal]])-2,0)*($G320-$H320)</f>
        <v>0</v>
      </c>
      <c r="BM320" s="22">
        <f>VLOOKUP($A320,tabCustoUnit[],COLUMN(CUSTO_GLOBAL[[#Headers],[Outros (especificar)]])-2,0)*($G320-$H320)</f>
        <v>0</v>
      </c>
      <c r="BN320" s="22">
        <f>VLOOKUP($A320,tabCustoUnit[],COLUMN(CUSTO_GLOBAL[[#Headers],[MÓDULO 5 – INSUMOS DIVERSOS]])-2,0)*($G320-$H320)</f>
        <v>336.85028197193952</v>
      </c>
      <c r="BO320" s="22" t="e">
        <f ca="1">VLOOKUP($A320,tabCustoUnit[],COLUMN(CUSTO_GLOBAL[[#Headers],[TOTAL MÓDULOS 1+2+3+4+5]])-2,0)*($G320-$H320)</f>
        <v>#NAME?</v>
      </c>
      <c r="BP320" s="22" t="e">
        <f ca="1">VLOOKUP($A320,tabCustoUnit[],COLUMN(CUSTO_GLOBAL[[#Headers],[Custos Indiretos]])-2,0)*($G320-$H320)</f>
        <v>#NAME?</v>
      </c>
      <c r="BQ320" s="22" t="e">
        <f ca="1">VLOOKUP($A320,tabCustoUnit[],COLUMN(CUSTO_GLOBAL[[#Headers],[Lucro]])-2,0)*($G320-$H320)</f>
        <v>#NAME?</v>
      </c>
      <c r="BR320" s="26">
        <f>VLOOKUP($A320,tabCustoUnit[],COLUMN(CUSTO_GLOBAL[[#Headers],[COFINS]])-2,0)</f>
        <v>8.5633802816901458E-2</v>
      </c>
      <c r="BS320" s="26">
        <f>VLOOKUP($A320,tabCustoUnit[],COLUMN(CUSTO_GLOBAL[[#Headers],[PIS]])-2,0)</f>
        <v>1.8591549295774657E-2</v>
      </c>
      <c r="BT320" s="28">
        <f>VLOOKUP($A320,tabCustoUnit[],COLUMN(CUSTO_GLOBAL[[#Headers],[ISS]])-2,0)</f>
        <v>0.02</v>
      </c>
      <c r="BU320" s="26">
        <f>VLOOKUP($A320,tabCustoUnit[],COLUMN(CUSTO_GLOBAL[[#Headers],[ISS (Conversão Alíquota s/ fatura)]])-2,0)</f>
        <v>2.2535211267605645E-2</v>
      </c>
      <c r="BV320" s="26">
        <f>VLOOKUP($A320,tabCustoUnit[],COLUMN(CUSTO_GLOBAL[[#Headers],[Resumo de Alíquotas (PIS+CONFINS+ISS)]])-2,0)</f>
        <v>0.1125</v>
      </c>
      <c r="BW320" s="138">
        <f>VLOOKUP($A320,tabCustoUnit[],COLUMN(CUSTO_GLOBAL[[#Headers],[PIS + COFINS + ISS (Total Conversão  Alíquota s/ Fatura)]])-2,0)</f>
        <v>0.12676056338028174</v>
      </c>
      <c r="BX320" s="22" t="e">
        <f ca="1">VLOOKUP($A320,tabCustoUnit[],COLUMN(CUSTO_GLOBAL[[#Headers],[Valor dos Tributos (ISS, PIS, CONFINS)]])-2,0)*($G320-$H320)</f>
        <v>#NAME?</v>
      </c>
      <c r="BY320" s="22" t="e">
        <f ca="1">VLOOKUP($A320,tabCustoUnit[],COLUMN(CUSTO_GLOBAL[[#Headers],[MÓDULO 6 – CUSTOS INDIRETOS, TRIBUTOS E LUCRO]])-2,0)*($G320-$H320)</f>
        <v>#NAME?</v>
      </c>
      <c r="BZ320" s="22" t="e">
        <f ca="1">VLOOKUP($A320,tabCustoUnit[],COLUMN(CUSTO_GLOBAL[[#Headers],[CUSTO TOTAL MENSAL]])-2,0)*($G320-$H320)</f>
        <v>#NAME?</v>
      </c>
      <c r="CA320" s="22" t="e">
        <f ca="1">CUSTO_GLOBAL[[#This Row],[CUSTO TOTAL MENSAL]]*12</f>
        <v>#NAME?</v>
      </c>
      <c r="CB320" s="24">
        <f>VLOOKUP($A320,tabCustoUnit[],COLUMN(CUSTO_GLOBAL[[#Headers],[ANO DA CCT]])-2,0)</f>
        <v>45658</v>
      </c>
      <c r="CC320" s="25" t="str">
        <f>VLOOKUP($A320,tabCustoUnit[],COLUMN(CUSTO_GLOBAL[[#Headers],[Nº DE PEDIDO DA CCT]])-2,0)</f>
        <v>-</v>
      </c>
      <c r="CD320" s="25" t="str">
        <f>VLOOKUP($A320,tabCustoUnit[],COLUMN(CUSTO_GLOBAL[[#Headers],[TERMO ADITIVO ALTERAÇÃO DA CCT]])-2,0)</f>
        <v>-</v>
      </c>
    </row>
    <row r="321" spans="1:82">
      <c r="A321" s="20" t="s">
        <v>1515</v>
      </c>
      <c r="B321" t="s">
        <v>1071</v>
      </c>
      <c r="C321" t="s">
        <v>214</v>
      </c>
      <c r="D321" t="s">
        <v>1054</v>
      </c>
      <c r="E321" s="20" t="s">
        <v>1090</v>
      </c>
      <c r="F321" s="20" t="s">
        <v>120</v>
      </c>
      <c r="G321" s="20">
        <v>2</v>
      </c>
      <c r="H321" s="20">
        <v>0</v>
      </c>
      <c r="I321" s="21">
        <f>VLOOKUP($A321,tabCustoUnit[],COLUMN(CUSTO_GLOBAL[[#Headers],[Salário Base]])-2,0)*($G321-$H321)</f>
        <v>3673.1970000000001</v>
      </c>
      <c r="J321" s="21">
        <f>VLOOKUP($A321,tabCustoUnit[],COLUMN(CUSTO_GLOBAL[[#Headers],[Adicional Periculosidade]])-2,0)*($G321-$H321)</f>
        <v>0</v>
      </c>
      <c r="K321" s="21">
        <f>VLOOKUP($A321,tabCustoUnit[],COLUMN(CUSTO_GLOBAL[[#Headers],[Adicional Insalubridade]])-2,0)*($G321-$H321)</f>
        <v>0</v>
      </c>
      <c r="L321" s="21">
        <f>VLOOKUP($A321,tabCustoUnit[],COLUMN(CUSTO_GLOBAL[[#Headers],[Adicional Noturno]])-2,0)*($G321-$H321)</f>
        <v>0</v>
      </c>
      <c r="M321" s="21">
        <f>VLOOKUP($A321,tabCustoUnit[],COLUMN(CUSTO_GLOBAL[[#Headers],[Adicional Motorista II (Gratificação)]])-2,0)*($G321-$H321)</f>
        <v>0</v>
      </c>
      <c r="N321" s="21">
        <f>VLOOKUP($A321,tabCustoUnit[],COLUMN(CUSTO_GLOBAL[[#Headers],[Adicional de Sobreaviso]])-2,0)*($G321-$H321)</f>
        <v>0</v>
      </c>
      <c r="O321" s="21">
        <f>VLOOKUP($A321,tabCustoUnit[],COLUMN(CUSTO_GLOBAL[[#Headers],[Horas Extras TI]])-2,0)*($G321-$H321)</f>
        <v>0</v>
      </c>
      <c r="P321" s="21">
        <f>VLOOKUP($A321,tabCustoUnit[],COLUMN(CUSTO_GLOBAL[[#Headers],[Adicional de Acúmulo de função]])-2,0)*($G321-$H321)</f>
        <v>0</v>
      </c>
      <c r="Q321" s="21">
        <f>VLOOKUP($A321,tabCustoUnit[],COLUMN(CUSTO_GLOBAL[[#Headers],[MODULO 1 - REMUNERAÇÃO ]])-2,0)*($G321-$H321)</f>
        <v>3673.1970000000001</v>
      </c>
      <c r="R321" s="21">
        <f>VLOOKUP($A321,tabCustoUnit[],COLUMN(CUSTO_GLOBAL[[#Headers],[INSS]])-2,0)*($G321-$H321)</f>
        <v>734.63940000000002</v>
      </c>
      <c r="S321" s="21">
        <f>VLOOKUP($A321,tabCustoUnit[],COLUMN(CUSTO_GLOBAL[[#Headers],[SESI OU SESC]])-2,0)*($G321-$H321)</f>
        <v>55.097954999999999</v>
      </c>
      <c r="T321" s="21">
        <f>VLOOKUP($A321,tabCustoUnit[],COLUMN(CUSTO_GLOBAL[[#Headers],[SENAI OU SENAC]])-2,0)*($G321-$H321)</f>
        <v>36.731970000000004</v>
      </c>
      <c r="U321" s="21">
        <f>VLOOKUP($A321,tabCustoUnit[],COLUMN(CUSTO_GLOBAL[[#Headers],[INCRA]])-2,0)*($G321-$H321)</f>
        <v>7.3463940000000001</v>
      </c>
      <c r="V321" s="21">
        <f>VLOOKUP($A321,tabCustoUnit[],COLUMN(CUSTO_GLOBAL[[#Headers],[Salário Educação]])-2,0)*($G321-$H321)</f>
        <v>91.829925000000003</v>
      </c>
      <c r="W321" s="21">
        <f>VLOOKUP($A321,tabCustoUnit[],COLUMN(CUSTO_GLOBAL[[#Headers],[FGTS]])-2,0)*($G321-$H321)</f>
        <v>293.85576000000003</v>
      </c>
      <c r="X321" s="21">
        <f>VLOOKUP($A321,tabCustoUnit[],COLUMN(CUSTO_GLOBAL[[#Headers],[RAT Ajustado]])-2,0)*($G321-$H321)</f>
        <v>146.92788000000002</v>
      </c>
      <c r="Y321" s="21">
        <f>VLOOKUP($A321,tabCustoUnit[],COLUMN(CUSTO_GLOBAL[[#Headers],[SEBRAE]])-2,0)*($G321-$H321)</f>
        <v>22.039182</v>
      </c>
      <c r="Z321" s="21">
        <f>VLOOKUP($A321,tabCustoUnit[],COLUMN(CUSTO_GLOBAL[[#Headers],[Submódulo 2.1]])-2,0)*($G321-$H321)</f>
        <v>1388.468466</v>
      </c>
      <c r="AA321" s="21">
        <f>VLOOKUP($A321,tabCustoUnit[],COLUMN(CUSTO_GLOBAL[[#Headers],[13º salário (titular)]])-2,0)*($G321-$H321)</f>
        <v>306.09974999999997</v>
      </c>
      <c r="AB321" s="21">
        <f>VLOOKUP($A321,tabCustoUnit[],COLUMN(CUSTO_GLOBAL[[#Headers],[Férias e Adicional de Férias (titular)]])-2,0)*($G321-$H321)</f>
        <v>408.13299999999998</v>
      </c>
      <c r="AC321" s="21">
        <f>VLOOKUP($A321,tabCustoUnit[],COLUMN(CUSTO_GLOBAL[[#Headers],[Incidência do Submódulo 2.1 sobre 13º Salário, Férias e Adicional de Férias]])-2,0)*($G321-$H321)</f>
        <v>269.97997949999996</v>
      </c>
      <c r="AD321" s="21">
        <f>VLOOKUP($A321,tabCustoUnit[],COLUMN(CUSTO_GLOBAL[[#Headers],[Submódulo 2.2]])-2,0)*($G321-$H321)</f>
        <v>984.2127294999998</v>
      </c>
      <c r="AE321" s="22" t="e">
        <f ca="1">VLOOKUP($A321,tabCustoUnit[],COLUMN(CUSTO_GLOBAL[[#Headers],[Vale - Transporte (Descontada parcela do empregado)]])-2,0)*($G321-$H321)</f>
        <v>#NAME?</v>
      </c>
      <c r="AF321" s="22">
        <f>VLOOKUP($A321,tabCustoUnit[],COLUMN(CUSTO_GLOBAL[[#Headers],[Vale - Alimentação (Descontada parcela do empregado)]])-2,0)*($G321-$H321)</f>
        <v>1163.5999999999999</v>
      </c>
      <c r="AG321" s="22">
        <f>VLOOKUP($A321,tabCustoUnit[],COLUMN(CUSTO_GLOBAL[[#Headers],[Cesta Básica]])-2,0)*($G321-$H321)</f>
        <v>0</v>
      </c>
      <c r="AH321" s="22">
        <f>VLOOKUP($A321,tabCustoUnit[],COLUMN(CUSTO_GLOBAL[[#Headers],[PAF]])-2,0)*($G321-$H321)</f>
        <v>103.46</v>
      </c>
      <c r="AI321" s="22">
        <f>VLOOKUP($A321,tabCustoUnit[],COLUMN(CUSTO_GLOBAL[[#Headers],[PQM]])-2,0)*($G321-$H321)</f>
        <v>0</v>
      </c>
      <c r="AJ321" s="22">
        <v>0</v>
      </c>
      <c r="AK321" s="22">
        <f>VLOOKUP($A321,tabCustoUnit[],COLUMN(CUSTO_GLOBAL[[#Headers],[Seguro de Vida]])-2,0)*($G321-$H321)</f>
        <v>6.72</v>
      </c>
      <c r="AL321" s="22">
        <f>VLOOKUP($A321,tabCustoUnit[],COLUMN(CUSTO_GLOBAL[[#Headers],[Despesas de Viagem]])-2,0)*($G321-$H321)</f>
        <v>0</v>
      </c>
      <c r="AM321" s="22" t="e">
        <f ca="1">VLOOKUP($A321,tabCustoUnit[],COLUMN(CUSTO_GLOBAL[[#Headers],[Submódulo 2.3]])-2,0)*($G321-$H321)</f>
        <v>#NAME?</v>
      </c>
      <c r="AN321" s="22" t="e">
        <f ca="1">VLOOKUP($A321,tabCustoUnit[],COLUMN(CUSTO_GLOBAL[[#Headers],[MÓDULO 2 - Total Encargos e Benefícios mensais e diários]])-2,0)*($G321-$H321)</f>
        <v>#NAME?</v>
      </c>
      <c r="AO321" s="22">
        <f>VLOOKUP($A321,tabCustoUnit[],COLUMN(CUSTO_GLOBAL[[#Headers],[Aviso Prévio Indenizado (API) e Reflexo do Aviso Prévio Indenizado]])-2,0)*($G321-$H321)</f>
        <v>25.75560141840278</v>
      </c>
      <c r="AP321" s="22">
        <f>VLOOKUP($A321,tabCustoUnit[],COLUMN(CUSTO_GLOBAL[[#Headers],[Incidência do FGTS sobre API e Reflexo do API]])-2,0)*($G321-$H321)</f>
        <v>2.0604481134722223</v>
      </c>
      <c r="AQ321" s="22">
        <f>VLOOKUP($A321,tabCustoUnit[],COLUMN(CUSTO_GLOBAL[[#Headers],[Multa Rescisória do FGTS sobre o Aviso Prévio Indenizado]])-2,0)*($G321-$H321)</f>
        <v>0.82417924538888909</v>
      </c>
      <c r="AR321" s="22">
        <f>VLOOKUP($A321,tabCustoUnit[],COLUMN(CUSTO_GLOBAL[[#Headers],[Aviso Prévio Trabalhado - APT]])-2,0)*($G321-$H321)</f>
        <v>12.856189500000003</v>
      </c>
      <c r="AS321" s="22">
        <f>VLOOKUP($A321,tabCustoUnit[],COLUMN(CUSTO_GLOBAL[[#Headers],[Incidência dos encargos do submódulo 2.1 sobre Aviso Prévio Trabalhado]])-2,0)*($G321-$H321)</f>
        <v>4.8596396310000012</v>
      </c>
      <c r="AT321" s="22">
        <f>VLOOKUP($A321,tabCustoUnit[],COLUMN(CUSTO_GLOBAL[[#Headers],[Multa Rescisória do FGTS]])-2,0)*($G321-$H321)</f>
        <v>112.31820159999998</v>
      </c>
      <c r="AU321" s="22">
        <f>VLOOKUP($A321,tabCustoUnit[],COLUMN(CUSTO_GLOBAL[[#Headers],[Indenização Adicional (Art. 9º da Lei nº 7.238/84)]])-2,0)*($G321-$H321)</f>
        <v>3.0609975000000005</v>
      </c>
      <c r="AV321" s="22">
        <f>VLOOKUP($A321,tabCustoUnit[],COLUMN(CUSTO_GLOBAL[[#Headers],[MÓDULO 3 – PROVISÃO PARA RESCISÃO]])-2,0)*($G321-$H321)</f>
        <v>161.73525700826389</v>
      </c>
      <c r="AW321" s="22">
        <f>VLOOKUP($A321,tabCustoUnit[],COLUMN(CUSTO_GLOBAL[[#Headers],[Ausência por Doença]])-2,0)*($G321-$H321)</f>
        <v>31.018107999999998</v>
      </c>
      <c r="AX321" s="22">
        <f>VLOOKUP($A321,tabCustoUnit[],COLUMN(CUSTO_GLOBAL[[#Headers],[Ausências Legais]])-2,0)*($G321-$H321)</f>
        <v>7.4484272499999999</v>
      </c>
      <c r="AY321" s="22">
        <f>VLOOKUP($A321,tabCustoUnit[],COLUMN(CUSTO_GLOBAL[[#Headers],[Licença Paternidade]])-2,0)*($G321-$H321)</f>
        <v>0.62750448749999999</v>
      </c>
      <c r="AZ321" s="22">
        <f>VLOOKUP($A321,tabCustoUnit[],COLUMN(CUSTO_GLOBAL[[#Headers],[Ausência por Acidente de Trabalho]])-2,0)*($G321-$H321)</f>
        <v>0.76524937500000012</v>
      </c>
      <c r="BA321" s="22">
        <f>VLOOKUP($A321,tabCustoUnit[],COLUMN(CUSTO_GLOBAL[[#Headers],[Férias, Adicional de Férias e 13º  com empregada em gozo de Licença Maternidade]])-2,0)*($G321-$H321)</f>
        <v>4.7615516666666666</v>
      </c>
      <c r="BB321" s="22">
        <f>VLOOKUP($A321,tabCustoUnit[],COLUMN(CUSTO_GLOBAL[[#Headers],[Incidência do Submódulo 2.1 sobre Ausências Legais]])-2,0)*($G321-$H321)</f>
        <v>16.866677814525005</v>
      </c>
      <c r="BC321" s="22">
        <f>VLOOKUP($A321,tabCustoUnit[],COLUMN(CUSTO_GLOBAL[[#Headers],[Submódulo 4.1]])-2,0)*($G321-$H321)</f>
        <v>61.487518593691675</v>
      </c>
      <c r="BD321" s="22">
        <f>VLOOKUP($A321,tabCustoUnit[],COLUMN(CUSTO_GLOBAL[[#Headers],[Intervalo para Repouso ou Alimentação]])-2,0)*($G321-$H321)</f>
        <v>0</v>
      </c>
      <c r="BE321" s="22">
        <f>VLOOKUP($A321,tabCustoUnit[],COLUMN(CUSTO_GLOBAL[[#Headers],[Submódulo 4.2]])-2,0)*($G321-$H321)</f>
        <v>0</v>
      </c>
      <c r="BF321" s="22">
        <f>VLOOKUP($A321,tabCustoUnit[],COLUMN(CUSTO_GLOBAL[[#Headers],[Suspensão Temporária do Contrato de Trabalho]])-2,0)*($G321-$H321)</f>
        <v>0</v>
      </c>
      <c r="BG321" s="22">
        <f>VLOOKUP($A321,tabCustoUnit[],COLUMN(CUSTO_GLOBAL[[#Headers],[Submódulo 4.3]])-2,0)*($G321-$H321)</f>
        <v>0</v>
      </c>
      <c r="BH321" s="22">
        <f>VLOOKUP($A321,tabCustoUnit[],COLUMN(CUSTO_GLOBAL[[#Headers],[MÓDULO 4 – CUSTO DE REPOSIÇÃO DO PROFISSIONAL AUSENTE]])-2,0)*($G321-$H321)</f>
        <v>61.487518593691675</v>
      </c>
      <c r="BI321" s="22">
        <f>VLOOKUP($A321,tabCustoUnit[],COLUMN(CUSTO_GLOBAL[[#Headers],[Uniformes e EPIs]])-2,0)*($G321-$H321)</f>
        <v>88.222692897412713</v>
      </c>
      <c r="BJ321" s="22">
        <f>VLOOKUP($A321,tabCustoUnit[],COLUMN(CUSTO_GLOBAL[[#Headers],[Materiais de Consumo]])-2,0)*($G321-$H321)</f>
        <v>0</v>
      </c>
      <c r="BK321" s="22">
        <f>VLOOKUP($A321,tabCustoUnit[],COLUMN(CUSTO_GLOBAL[[#Headers],[Máquinas e Equipamentos (depreciação)]])-2,0)*($G321-$H321)</f>
        <v>0</v>
      </c>
      <c r="BL321" s="22">
        <f>VLOOKUP($A321,tabCustoUnit[],COLUMN(CUSTO_GLOBAL[[#Headers],[Produtos de Limpeza e Materiais de Higiene Pessoal]])-2,0)*($G321-$H321)</f>
        <v>0</v>
      </c>
      <c r="BM321" s="22">
        <f>VLOOKUP($A321,tabCustoUnit[],COLUMN(CUSTO_GLOBAL[[#Headers],[Outros (especificar)]])-2,0)*($G321-$H321)</f>
        <v>0</v>
      </c>
      <c r="BN321" s="22">
        <f>VLOOKUP($A321,tabCustoUnit[],COLUMN(CUSTO_GLOBAL[[#Headers],[MÓDULO 5 – INSUMOS DIVERSOS]])-2,0)*($G321-$H321)</f>
        <v>88.222692897412713</v>
      </c>
      <c r="BO321" s="22" t="e">
        <f ca="1">VLOOKUP($A321,tabCustoUnit[],COLUMN(CUSTO_GLOBAL[[#Headers],[TOTAL MÓDULOS 1+2+3+4+5]])-2,0)*($G321-$H321)</f>
        <v>#NAME?</v>
      </c>
      <c r="BP321" s="22" t="e">
        <f ca="1">VLOOKUP($A321,tabCustoUnit[],COLUMN(CUSTO_GLOBAL[[#Headers],[Custos Indiretos]])-2,0)*($G321-$H321)</f>
        <v>#NAME?</v>
      </c>
      <c r="BQ321" s="22" t="e">
        <f ca="1">VLOOKUP($A321,tabCustoUnit[],COLUMN(CUSTO_GLOBAL[[#Headers],[Lucro]])-2,0)*($G321-$H321)</f>
        <v>#NAME?</v>
      </c>
      <c r="BR321" s="26">
        <f>VLOOKUP($A321,tabCustoUnit[],COLUMN(CUSTO_GLOBAL[[#Headers],[COFINS]])-2,0)</f>
        <v>8.5633802816901458E-2</v>
      </c>
      <c r="BS321" s="26">
        <f>VLOOKUP($A321,tabCustoUnit[],COLUMN(CUSTO_GLOBAL[[#Headers],[PIS]])-2,0)</f>
        <v>1.8591549295774657E-2</v>
      </c>
      <c r="BT321" s="28">
        <f>VLOOKUP($A321,tabCustoUnit[],COLUMN(CUSTO_GLOBAL[[#Headers],[ISS]])-2,0)</f>
        <v>0.02</v>
      </c>
      <c r="BU321" s="26">
        <f>VLOOKUP($A321,tabCustoUnit[],COLUMN(CUSTO_GLOBAL[[#Headers],[ISS (Conversão Alíquota s/ fatura)]])-2,0)</f>
        <v>2.2535211267605645E-2</v>
      </c>
      <c r="BV321" s="26">
        <f>VLOOKUP($A321,tabCustoUnit[],COLUMN(CUSTO_GLOBAL[[#Headers],[Resumo de Alíquotas (PIS+CONFINS+ISS)]])-2,0)</f>
        <v>0.1125</v>
      </c>
      <c r="BW321" s="138">
        <f>VLOOKUP($A321,tabCustoUnit[],COLUMN(CUSTO_GLOBAL[[#Headers],[PIS + COFINS + ISS (Total Conversão  Alíquota s/ Fatura)]])-2,0)</f>
        <v>0.12676056338028174</v>
      </c>
      <c r="BX321" s="22" t="e">
        <f ca="1">VLOOKUP($A321,tabCustoUnit[],COLUMN(CUSTO_GLOBAL[[#Headers],[Valor dos Tributos (ISS, PIS, CONFINS)]])-2,0)*($G321-$H321)</f>
        <v>#NAME?</v>
      </c>
      <c r="BY321" s="22" t="e">
        <f ca="1">VLOOKUP($A321,tabCustoUnit[],COLUMN(CUSTO_GLOBAL[[#Headers],[MÓDULO 6 – CUSTOS INDIRETOS, TRIBUTOS E LUCRO]])-2,0)*($G321-$H321)</f>
        <v>#NAME?</v>
      </c>
      <c r="BZ321" s="22" t="e">
        <f ca="1">VLOOKUP($A321,tabCustoUnit[],COLUMN(CUSTO_GLOBAL[[#Headers],[CUSTO TOTAL MENSAL]])-2,0)*($G321-$H321)</f>
        <v>#NAME?</v>
      </c>
      <c r="CA321" s="22" t="e">
        <f ca="1">CUSTO_GLOBAL[[#This Row],[CUSTO TOTAL MENSAL]]*12</f>
        <v>#NAME?</v>
      </c>
      <c r="CB321" s="24">
        <f>VLOOKUP($A321,tabCustoUnit[],COLUMN(CUSTO_GLOBAL[[#Headers],[ANO DA CCT]])-2,0)</f>
        <v>45658</v>
      </c>
      <c r="CC321" s="25" t="str">
        <f>VLOOKUP($A321,tabCustoUnit[],COLUMN(CUSTO_GLOBAL[[#Headers],[Nº DE PEDIDO DA CCT]])-2,0)</f>
        <v>-</v>
      </c>
      <c r="CD321" s="25" t="str">
        <f>VLOOKUP($A321,tabCustoUnit[],COLUMN(CUSTO_GLOBAL[[#Headers],[TERMO ADITIVO ALTERAÇÃO DA CCT]])-2,0)</f>
        <v>-</v>
      </c>
    </row>
    <row r="322" spans="1:82">
      <c r="A322" s="20" t="s">
        <v>1729</v>
      </c>
      <c r="B322" t="s">
        <v>1071</v>
      </c>
      <c r="C322" t="s">
        <v>244</v>
      </c>
      <c r="D322" t="s">
        <v>1071</v>
      </c>
      <c r="E322" s="20" t="s">
        <v>1090</v>
      </c>
      <c r="F322" s="20" t="s">
        <v>120</v>
      </c>
      <c r="G322" s="20">
        <v>1</v>
      </c>
      <c r="H322" s="20">
        <v>0</v>
      </c>
      <c r="I322" s="21">
        <f>VLOOKUP($A322,tabCustoUnit[],COLUMN(CUSTO_GLOBAL[[#Headers],[Salário Base]])-2,0)*($G322-$H322)</f>
        <v>2296.1756999999998</v>
      </c>
      <c r="J322" s="21">
        <f>VLOOKUP($A322,tabCustoUnit[],COLUMN(CUSTO_GLOBAL[[#Headers],[Adicional Periculosidade]])-2,0)*($G322-$H322)</f>
        <v>0</v>
      </c>
      <c r="K322" s="21">
        <f>VLOOKUP($A322,tabCustoUnit[],COLUMN(CUSTO_GLOBAL[[#Headers],[Adicional Insalubridade]])-2,0)*($G322-$H322)</f>
        <v>303.60000000000002</v>
      </c>
      <c r="L322" s="21">
        <f>VLOOKUP($A322,tabCustoUnit[],COLUMN(CUSTO_GLOBAL[[#Headers],[Adicional Noturno]])-2,0)*($G322-$H322)</f>
        <v>0</v>
      </c>
      <c r="M322" s="21">
        <f>VLOOKUP($A322,tabCustoUnit[],COLUMN(CUSTO_GLOBAL[[#Headers],[Adicional Motorista II (Gratificação)]])-2,0)*($G322-$H322)</f>
        <v>0</v>
      </c>
      <c r="N322" s="21">
        <f>VLOOKUP($A322,tabCustoUnit[],COLUMN(CUSTO_GLOBAL[[#Headers],[Adicional de Sobreaviso]])-2,0)*($G322-$H322)</f>
        <v>0</v>
      </c>
      <c r="O322" s="21">
        <f>VLOOKUP($A322,tabCustoUnit[],COLUMN(CUSTO_GLOBAL[[#Headers],[Horas Extras TI]])-2,0)*($G322-$H322)</f>
        <v>0</v>
      </c>
      <c r="P322" s="21">
        <f>VLOOKUP($A322,tabCustoUnit[],COLUMN(CUSTO_GLOBAL[[#Headers],[Adicional de Acúmulo de função]])-2,0)*($G322-$H322)</f>
        <v>0</v>
      </c>
      <c r="Q322" s="21">
        <f>VLOOKUP($A322,tabCustoUnit[],COLUMN(CUSTO_GLOBAL[[#Headers],[MODULO 1 - REMUNERAÇÃO ]])-2,0)*($G322-$H322)</f>
        <v>2599.7756999999997</v>
      </c>
      <c r="R322" s="21">
        <f>VLOOKUP($A322,tabCustoUnit[],COLUMN(CUSTO_GLOBAL[[#Headers],[INSS]])-2,0)*($G322-$H322)</f>
        <v>519.95513999999991</v>
      </c>
      <c r="S322" s="21">
        <f>VLOOKUP($A322,tabCustoUnit[],COLUMN(CUSTO_GLOBAL[[#Headers],[SESI OU SESC]])-2,0)*($G322-$H322)</f>
        <v>38.996635499999996</v>
      </c>
      <c r="T322" s="21">
        <f>VLOOKUP($A322,tabCustoUnit[],COLUMN(CUSTO_GLOBAL[[#Headers],[SENAI OU SENAC]])-2,0)*($G322-$H322)</f>
        <v>25.997756999999996</v>
      </c>
      <c r="U322" s="21">
        <f>VLOOKUP($A322,tabCustoUnit[],COLUMN(CUSTO_GLOBAL[[#Headers],[INCRA]])-2,0)*($G322-$H322)</f>
        <v>5.1995513999999998</v>
      </c>
      <c r="V322" s="21">
        <f>VLOOKUP($A322,tabCustoUnit[],COLUMN(CUSTO_GLOBAL[[#Headers],[Salário Educação]])-2,0)*($G322-$H322)</f>
        <v>64.994392499999989</v>
      </c>
      <c r="W322" s="21">
        <f>VLOOKUP($A322,tabCustoUnit[],COLUMN(CUSTO_GLOBAL[[#Headers],[FGTS]])-2,0)*($G322-$H322)</f>
        <v>207.98205599999997</v>
      </c>
      <c r="X322" s="21">
        <f>VLOOKUP($A322,tabCustoUnit[],COLUMN(CUSTO_GLOBAL[[#Headers],[RAT Ajustado]])-2,0)*($G322-$H322)</f>
        <v>103.99102799999999</v>
      </c>
      <c r="Y322" s="21">
        <f>VLOOKUP($A322,tabCustoUnit[],COLUMN(CUSTO_GLOBAL[[#Headers],[SEBRAE]])-2,0)*($G322-$H322)</f>
        <v>15.598654199999999</v>
      </c>
      <c r="Z322" s="21">
        <f>VLOOKUP($A322,tabCustoUnit[],COLUMN(CUSTO_GLOBAL[[#Headers],[Submódulo 2.1]])-2,0)*($G322-$H322)</f>
        <v>982.71521459999985</v>
      </c>
      <c r="AA322" s="21">
        <f>VLOOKUP($A322,tabCustoUnit[],COLUMN(CUSTO_GLOBAL[[#Headers],[13º salário (titular)]])-2,0)*($G322-$H322)</f>
        <v>216.64797499999997</v>
      </c>
      <c r="AB322" s="21">
        <f>VLOOKUP($A322,tabCustoUnit[],COLUMN(CUSTO_GLOBAL[[#Headers],[Férias e Adicional de Férias (titular)]])-2,0)*($G322-$H322)</f>
        <v>288.86396666666661</v>
      </c>
      <c r="AC322" s="21">
        <f>VLOOKUP($A322,tabCustoUnit[],COLUMN(CUSTO_GLOBAL[[#Headers],[Incidência do Submódulo 2.1 sobre 13º Salário, Férias e Adicional de Férias]])-2,0)*($G322-$H322)</f>
        <v>191.08351394999997</v>
      </c>
      <c r="AD322" s="21">
        <f>VLOOKUP($A322,tabCustoUnit[],COLUMN(CUSTO_GLOBAL[[#Headers],[Submódulo 2.2]])-2,0)*($G322-$H322)</f>
        <v>696.59545561666653</v>
      </c>
      <c r="AE322" s="22" t="e">
        <f ca="1">VLOOKUP($A322,tabCustoUnit[],COLUMN(CUSTO_GLOBAL[[#Headers],[Vale - Transporte (Descontada parcela do empregado)]])-2,0)*($G322-$H322)</f>
        <v>#NAME?</v>
      </c>
      <c r="AF322" s="22">
        <f>VLOOKUP($A322,tabCustoUnit[],COLUMN(CUSTO_GLOBAL[[#Headers],[Vale - Alimentação (Descontada parcela do empregado)]])-2,0)*($G322-$H322)</f>
        <v>0</v>
      </c>
      <c r="AG322" s="22">
        <f>VLOOKUP($A322,tabCustoUnit[],COLUMN(CUSTO_GLOBAL[[#Headers],[Cesta Básica]])-2,0)*($G322-$H322)</f>
        <v>387.79</v>
      </c>
      <c r="AH322" s="22">
        <f>VLOOKUP($A322,tabCustoUnit[],COLUMN(CUSTO_GLOBAL[[#Headers],[PAF]])-2,0)*($G322-$H322)</f>
        <v>42.97</v>
      </c>
      <c r="AI322" s="22">
        <f>VLOOKUP($A322,tabCustoUnit[],COLUMN(CUSTO_GLOBAL[[#Headers],[PQM]])-2,0)*($G322-$H322)</f>
        <v>0</v>
      </c>
      <c r="AJ322" s="22">
        <v>0</v>
      </c>
      <c r="AK322" s="22">
        <f>VLOOKUP($A322,tabCustoUnit[],COLUMN(CUSTO_GLOBAL[[#Headers],[Seguro de Vida]])-2,0)*($G322-$H322)</f>
        <v>3.36</v>
      </c>
      <c r="AL322" s="22">
        <f>VLOOKUP($A322,tabCustoUnit[],COLUMN(CUSTO_GLOBAL[[#Headers],[Despesas de Viagem]])-2,0)*($G322-$H322)</f>
        <v>0</v>
      </c>
      <c r="AM322" s="22" t="e">
        <f ca="1">VLOOKUP($A322,tabCustoUnit[],COLUMN(CUSTO_GLOBAL[[#Headers],[Submódulo 2.3]])-2,0)*($G322-$H322)</f>
        <v>#NAME?</v>
      </c>
      <c r="AN322" s="22" t="e">
        <f ca="1">VLOOKUP($A322,tabCustoUnit[],COLUMN(CUSTO_GLOBAL[[#Headers],[MÓDULO 2 - Total Encargos e Benefícios mensais e diários]])-2,0)*($G322-$H322)</f>
        <v>#NAME?</v>
      </c>
      <c r="AO322" s="22">
        <f>VLOOKUP($A322,tabCustoUnit[],COLUMN(CUSTO_GLOBAL[[#Headers],[Aviso Prévio Indenizado (API) e Reflexo do Aviso Prévio Indenizado]])-2,0)*($G322-$H322)</f>
        <v>18.229021396469907</v>
      </c>
      <c r="AP322" s="22">
        <f>VLOOKUP($A322,tabCustoUnit[],COLUMN(CUSTO_GLOBAL[[#Headers],[Incidência do FGTS sobre API e Reflexo do API]])-2,0)*($G322-$H322)</f>
        <v>1.4583217117175926</v>
      </c>
      <c r="AQ322" s="22">
        <f>VLOOKUP($A322,tabCustoUnit[],COLUMN(CUSTO_GLOBAL[[#Headers],[Multa Rescisória do FGTS sobre o Aviso Prévio Indenizado]])-2,0)*($G322-$H322)</f>
        <v>0.58332868468703702</v>
      </c>
      <c r="AR322" s="22">
        <f>VLOOKUP($A322,tabCustoUnit[],COLUMN(CUSTO_GLOBAL[[#Headers],[Aviso Prévio Trabalhado - APT]])-2,0)*($G322-$H322)</f>
        <v>9.0992149500000004</v>
      </c>
      <c r="AS322" s="22">
        <f>VLOOKUP($A322,tabCustoUnit[],COLUMN(CUSTO_GLOBAL[[#Headers],[Incidência dos encargos do submódulo 2.1 sobre Aviso Prévio Trabalhado]])-2,0)*($G322-$H322)</f>
        <v>3.4395032511000005</v>
      </c>
      <c r="AT322" s="22">
        <f>VLOOKUP($A322,tabCustoUnit[],COLUMN(CUSTO_GLOBAL[[#Headers],[Multa Rescisória do FGTS]])-2,0)*($G322-$H322)</f>
        <v>79.495363626666645</v>
      </c>
      <c r="AU322" s="22">
        <f>VLOOKUP($A322,tabCustoUnit[],COLUMN(CUSTO_GLOBAL[[#Headers],[Indenização Adicional (Art. 9º da Lei nº 7.238/84)]])-2,0)*($G322-$H322)</f>
        <v>2.1664797499999997</v>
      </c>
      <c r="AV322" s="22">
        <f>VLOOKUP($A322,tabCustoUnit[],COLUMN(CUSTO_GLOBAL[[#Headers],[MÓDULO 3 – PROVISÃO PARA RESCISÃO]])-2,0)*($G322-$H322)</f>
        <v>114.47123337064117</v>
      </c>
      <c r="AW322" s="22">
        <f>VLOOKUP($A322,tabCustoUnit[],COLUMN(CUSTO_GLOBAL[[#Headers],[Ausência por Doença]])-2,0)*($G322-$H322)</f>
        <v>21.953661466666663</v>
      </c>
      <c r="AX322" s="22">
        <f>VLOOKUP($A322,tabCustoUnit[],COLUMN(CUSTO_GLOBAL[[#Headers],[Ausências Legais]])-2,0)*($G322-$H322)</f>
        <v>5.2717673916666659</v>
      </c>
      <c r="AY322" s="22">
        <f>VLOOKUP($A322,tabCustoUnit[],COLUMN(CUSTO_GLOBAL[[#Headers],[Licença Paternidade]])-2,0)*($G322-$H322)</f>
        <v>0.44412834874999996</v>
      </c>
      <c r="AZ322" s="22">
        <f>VLOOKUP($A322,tabCustoUnit[],COLUMN(CUSTO_GLOBAL[[#Headers],[Ausência por Acidente de Trabalho]])-2,0)*($G322-$H322)</f>
        <v>0.54161993749999993</v>
      </c>
      <c r="BA322" s="22">
        <f>VLOOKUP($A322,tabCustoUnit[],COLUMN(CUSTO_GLOBAL[[#Headers],[Férias, Adicional de Férias e 13º  com empregada em gozo de Licença Maternidade]])-2,0)*($G322-$H322)</f>
        <v>3.3700796111111107</v>
      </c>
      <c r="BB322" s="22">
        <f>VLOOKUP($A322,tabCustoUnit[],COLUMN(CUSTO_GLOBAL[[#Headers],[Incidência do Submódulo 2.1 sobre Ausências Legais]])-2,0)*($G322-$H322)</f>
        <v>11.9377150536525</v>
      </c>
      <c r="BC322" s="22">
        <f>VLOOKUP($A322,tabCustoUnit[],COLUMN(CUSTO_GLOBAL[[#Headers],[Submódulo 4.1]])-2,0)*($G322-$H322)</f>
        <v>43.518971809346937</v>
      </c>
      <c r="BD322" s="22">
        <f>VLOOKUP($A322,tabCustoUnit[],COLUMN(CUSTO_GLOBAL[[#Headers],[Intervalo para Repouso ou Alimentação]])-2,0)*($G322-$H322)</f>
        <v>0</v>
      </c>
      <c r="BE322" s="22">
        <f>VLOOKUP($A322,tabCustoUnit[],COLUMN(CUSTO_GLOBAL[[#Headers],[Submódulo 4.2]])-2,0)*($G322-$H322)</f>
        <v>0</v>
      </c>
      <c r="BF322" s="22">
        <f>VLOOKUP($A322,tabCustoUnit[],COLUMN(CUSTO_GLOBAL[[#Headers],[Suspensão Temporária do Contrato de Trabalho]])-2,0)*($G322-$H322)</f>
        <v>0</v>
      </c>
      <c r="BG322" s="22">
        <f>VLOOKUP($A322,tabCustoUnit[],COLUMN(CUSTO_GLOBAL[[#Headers],[Submódulo 4.3]])-2,0)*($G322-$H322)</f>
        <v>0</v>
      </c>
      <c r="BH322" s="22">
        <f>VLOOKUP($A322,tabCustoUnit[],COLUMN(CUSTO_GLOBAL[[#Headers],[MÓDULO 4 – CUSTO DE REPOSIÇÃO DO PROFISSIONAL AUSENTE]])-2,0)*($G322-$H322)</f>
        <v>43.518971809346937</v>
      </c>
      <c r="BI322" s="22">
        <f>VLOOKUP($A322,tabCustoUnit[],COLUMN(CUSTO_GLOBAL[[#Headers],[Uniformes e EPIs]])-2,0)*($G322-$H322)</f>
        <v>226.33322732312172</v>
      </c>
      <c r="BJ322" s="22">
        <f>VLOOKUP($A322,tabCustoUnit[],COLUMN(CUSTO_GLOBAL[[#Headers],[Materiais de Consumo]])-2,0)*($G322-$H322)</f>
        <v>441.81099462365592</v>
      </c>
      <c r="BK322" s="22">
        <f>VLOOKUP($A322,tabCustoUnit[],COLUMN(CUSTO_GLOBAL[[#Headers],[Máquinas e Equipamentos (depreciação)]])-2,0)*($G322-$H322)</f>
        <v>113.11309677419354</v>
      </c>
      <c r="BL322" s="22">
        <f>VLOOKUP($A322,tabCustoUnit[],COLUMN(CUSTO_GLOBAL[[#Headers],[Produtos de Limpeza e Materiais de Higiene Pessoal]])-2,0)*($G322-$H322)</f>
        <v>0</v>
      </c>
      <c r="BM322" s="22">
        <f>VLOOKUP($A322,tabCustoUnit[],COLUMN(CUSTO_GLOBAL[[#Headers],[Outros (especificar)]])-2,0)*($G322-$H322)</f>
        <v>0</v>
      </c>
      <c r="BN322" s="22">
        <f>VLOOKUP($A322,tabCustoUnit[],COLUMN(CUSTO_GLOBAL[[#Headers],[MÓDULO 5 – INSUMOS DIVERSOS]])-2,0)*($G322-$H322)</f>
        <v>781.25731872097117</v>
      </c>
      <c r="BO322" s="22" t="e">
        <f ca="1">VLOOKUP($A322,tabCustoUnit[],COLUMN(CUSTO_GLOBAL[[#Headers],[TOTAL MÓDULOS 1+2+3+4+5]])-2,0)*($G322-$H322)</f>
        <v>#NAME?</v>
      </c>
      <c r="BP322" s="22" t="e">
        <f ca="1">VLOOKUP($A322,tabCustoUnit[],COLUMN(CUSTO_GLOBAL[[#Headers],[Custos Indiretos]])-2,0)*($G322-$H322)</f>
        <v>#NAME?</v>
      </c>
      <c r="BQ322" s="22" t="e">
        <f ca="1">VLOOKUP($A322,tabCustoUnit[],COLUMN(CUSTO_GLOBAL[[#Headers],[Lucro]])-2,0)*($G322-$H322)</f>
        <v>#NAME?</v>
      </c>
      <c r="BR322" s="26">
        <f>VLOOKUP($A322,tabCustoUnit[],COLUMN(CUSTO_GLOBAL[[#Headers],[COFINS]])-2,0)</f>
        <v>8.5633802816901458E-2</v>
      </c>
      <c r="BS322" s="26">
        <f>VLOOKUP($A322,tabCustoUnit[],COLUMN(CUSTO_GLOBAL[[#Headers],[PIS]])-2,0)</f>
        <v>1.8591549295774657E-2</v>
      </c>
      <c r="BT322" s="28">
        <f>VLOOKUP($A322,tabCustoUnit[],COLUMN(CUSTO_GLOBAL[[#Headers],[ISS]])-2,0)</f>
        <v>0.02</v>
      </c>
      <c r="BU322" s="26">
        <f>VLOOKUP($A322,tabCustoUnit[],COLUMN(CUSTO_GLOBAL[[#Headers],[ISS (Conversão Alíquota s/ fatura)]])-2,0)</f>
        <v>2.2535211267605645E-2</v>
      </c>
      <c r="BV322" s="26">
        <f>VLOOKUP($A322,tabCustoUnit[],COLUMN(CUSTO_GLOBAL[[#Headers],[Resumo de Alíquotas (PIS+CONFINS+ISS)]])-2,0)</f>
        <v>0.1125</v>
      </c>
      <c r="BW322" s="138">
        <f>VLOOKUP($A322,tabCustoUnit[],COLUMN(CUSTO_GLOBAL[[#Headers],[PIS + COFINS + ISS (Total Conversão  Alíquota s/ Fatura)]])-2,0)</f>
        <v>0.12676056338028174</v>
      </c>
      <c r="BX322" s="22" t="e">
        <f ca="1">VLOOKUP($A322,tabCustoUnit[],COLUMN(CUSTO_GLOBAL[[#Headers],[Valor dos Tributos (ISS, PIS, CONFINS)]])-2,0)*($G322-$H322)</f>
        <v>#NAME?</v>
      </c>
      <c r="BY322" s="22" t="e">
        <f ca="1">VLOOKUP($A322,tabCustoUnit[],COLUMN(CUSTO_GLOBAL[[#Headers],[MÓDULO 6 – CUSTOS INDIRETOS, TRIBUTOS E LUCRO]])-2,0)*($G322-$H322)</f>
        <v>#NAME?</v>
      </c>
      <c r="BZ322" s="22" t="e">
        <f ca="1">VLOOKUP($A322,tabCustoUnit[],COLUMN(CUSTO_GLOBAL[[#Headers],[CUSTO TOTAL MENSAL]])-2,0)*($G322-$H322)</f>
        <v>#NAME?</v>
      </c>
      <c r="CA322" s="22" t="e">
        <f ca="1">CUSTO_GLOBAL[[#This Row],[CUSTO TOTAL MENSAL]]*12</f>
        <v>#NAME?</v>
      </c>
      <c r="CB322" s="24">
        <f>VLOOKUP($A322,tabCustoUnit[],COLUMN(CUSTO_GLOBAL[[#Headers],[ANO DA CCT]])-2,0)</f>
        <v>45658</v>
      </c>
      <c r="CC322" s="25" t="str">
        <f>VLOOKUP($A322,tabCustoUnit[],COLUMN(CUSTO_GLOBAL[[#Headers],[Nº DE PEDIDO DA CCT]])-2,0)</f>
        <v>-</v>
      </c>
      <c r="CD322" s="25" t="str">
        <f>VLOOKUP($A322,tabCustoUnit[],COLUMN(CUSTO_GLOBAL[[#Headers],[TERMO ADITIVO ALTERAÇÃO DA CCT]])-2,0)</f>
        <v>-</v>
      </c>
    </row>
    <row r="323" spans="1:82">
      <c r="A323" s="20" t="s">
        <v>1730</v>
      </c>
      <c r="B323" t="s">
        <v>1071</v>
      </c>
      <c r="C323" t="s">
        <v>274</v>
      </c>
      <c r="D323" t="s">
        <v>1027</v>
      </c>
      <c r="E323" s="20" t="s">
        <v>1090</v>
      </c>
      <c r="F323" s="20" t="s">
        <v>120</v>
      </c>
      <c r="G323" s="20">
        <v>5</v>
      </c>
      <c r="H323" s="20">
        <v>0</v>
      </c>
      <c r="I323" s="21">
        <f>VLOOKUP($A323,tabCustoUnit[],COLUMN(CUSTO_GLOBAL[[#Headers],[Salário Base]])-2,0)*($G323-$H323)</f>
        <v>22790.355</v>
      </c>
      <c r="J323" s="21">
        <f>VLOOKUP($A323,tabCustoUnit[],COLUMN(CUSTO_GLOBAL[[#Headers],[Adicional Periculosidade]])-2,0)*($G323-$H323)</f>
        <v>0</v>
      </c>
      <c r="K323" s="21">
        <f>VLOOKUP($A323,tabCustoUnit[],COLUMN(CUSTO_GLOBAL[[#Headers],[Adicional Insalubridade]])-2,0)*($G323-$H323)</f>
        <v>0</v>
      </c>
      <c r="L323" s="21">
        <f>VLOOKUP($A323,tabCustoUnit[],COLUMN(CUSTO_GLOBAL[[#Headers],[Adicional Noturno]])-2,0)*($G323-$H323)</f>
        <v>0</v>
      </c>
      <c r="M323" s="21">
        <f>VLOOKUP($A323,tabCustoUnit[],COLUMN(CUSTO_GLOBAL[[#Headers],[Adicional Motorista II (Gratificação)]])-2,0)*($G323-$H323)</f>
        <v>0</v>
      </c>
      <c r="N323" s="21">
        <f>VLOOKUP($A323,tabCustoUnit[],COLUMN(CUSTO_GLOBAL[[#Headers],[Adicional de Sobreaviso]])-2,0)*($G323-$H323)</f>
        <v>0</v>
      </c>
      <c r="O323" s="21">
        <f>VLOOKUP($A323,tabCustoUnit[],COLUMN(CUSTO_GLOBAL[[#Headers],[Horas Extras TI]])-2,0)*($G323-$H323)</f>
        <v>0</v>
      </c>
      <c r="P323" s="21">
        <f>VLOOKUP($A323,tabCustoUnit[],COLUMN(CUSTO_GLOBAL[[#Headers],[Adicional de Acúmulo de função]])-2,0)*($G323-$H323)</f>
        <v>0</v>
      </c>
      <c r="Q323" s="21">
        <f>VLOOKUP($A323,tabCustoUnit[],COLUMN(CUSTO_GLOBAL[[#Headers],[MODULO 1 - REMUNERAÇÃO ]])-2,0)*($G323-$H323)</f>
        <v>22790.355</v>
      </c>
      <c r="R323" s="21">
        <f>VLOOKUP($A323,tabCustoUnit[],COLUMN(CUSTO_GLOBAL[[#Headers],[INSS]])-2,0)*($G323-$H323)</f>
        <v>4558.0709999999999</v>
      </c>
      <c r="S323" s="21">
        <f>VLOOKUP($A323,tabCustoUnit[],COLUMN(CUSTO_GLOBAL[[#Headers],[SESI OU SESC]])-2,0)*($G323-$H323)</f>
        <v>341.85532499999999</v>
      </c>
      <c r="T323" s="21">
        <f>VLOOKUP($A323,tabCustoUnit[],COLUMN(CUSTO_GLOBAL[[#Headers],[SENAI OU SENAC]])-2,0)*($G323-$H323)</f>
        <v>227.90355000000002</v>
      </c>
      <c r="U323" s="21">
        <f>VLOOKUP($A323,tabCustoUnit[],COLUMN(CUSTO_GLOBAL[[#Headers],[INCRA]])-2,0)*($G323-$H323)</f>
        <v>45.580709999999996</v>
      </c>
      <c r="V323" s="21">
        <f>VLOOKUP($A323,tabCustoUnit[],COLUMN(CUSTO_GLOBAL[[#Headers],[Salário Educação]])-2,0)*($G323-$H323)</f>
        <v>569.75887499999999</v>
      </c>
      <c r="W323" s="21">
        <f>VLOOKUP($A323,tabCustoUnit[],COLUMN(CUSTO_GLOBAL[[#Headers],[FGTS]])-2,0)*($G323-$H323)</f>
        <v>1823.2284000000002</v>
      </c>
      <c r="X323" s="21">
        <f>VLOOKUP($A323,tabCustoUnit[],COLUMN(CUSTO_GLOBAL[[#Headers],[RAT Ajustado]])-2,0)*($G323-$H323)</f>
        <v>911.6142000000001</v>
      </c>
      <c r="Y323" s="21">
        <f>VLOOKUP($A323,tabCustoUnit[],COLUMN(CUSTO_GLOBAL[[#Headers],[SEBRAE]])-2,0)*($G323-$H323)</f>
        <v>136.74213</v>
      </c>
      <c r="Z323" s="21">
        <f>VLOOKUP($A323,tabCustoUnit[],COLUMN(CUSTO_GLOBAL[[#Headers],[Submódulo 2.1]])-2,0)*($G323-$H323)</f>
        <v>8614.7541900000015</v>
      </c>
      <c r="AA323" s="21">
        <f>VLOOKUP($A323,tabCustoUnit[],COLUMN(CUSTO_GLOBAL[[#Headers],[13º salário (titular)]])-2,0)*($G323-$H323)</f>
        <v>1899.19625</v>
      </c>
      <c r="AB323" s="21">
        <f>VLOOKUP($A323,tabCustoUnit[],COLUMN(CUSTO_GLOBAL[[#Headers],[Férias e Adicional de Férias (titular)]])-2,0)*($G323-$H323)</f>
        <v>2532.2616666666663</v>
      </c>
      <c r="AC323" s="21">
        <f>VLOOKUP($A323,tabCustoUnit[],COLUMN(CUSTO_GLOBAL[[#Headers],[Incidência do Submódulo 2.1 sobre 13º Salário, Férias e Adicional de Férias]])-2,0)*($G323-$H323)</f>
        <v>1675.0910925000003</v>
      </c>
      <c r="AD323" s="21">
        <f>VLOOKUP($A323,tabCustoUnit[],COLUMN(CUSTO_GLOBAL[[#Headers],[Submódulo 2.2]])-2,0)*($G323-$H323)</f>
        <v>6106.5490091666661</v>
      </c>
      <c r="AE323" s="22" t="e">
        <f ca="1">VLOOKUP($A323,tabCustoUnit[],COLUMN(CUSTO_GLOBAL[[#Headers],[Vale - Transporte (Descontada parcela do empregado)]])-2,0)*($G323-$H323)</f>
        <v>#NAME?</v>
      </c>
      <c r="AF323" s="22">
        <f>VLOOKUP($A323,tabCustoUnit[],COLUMN(CUSTO_GLOBAL[[#Headers],[Vale - Alimentação (Descontada parcela do empregado)]])-2,0)*($G323-$H323)</f>
        <v>2892</v>
      </c>
      <c r="AG323" s="22">
        <f>VLOOKUP($A323,tabCustoUnit[],COLUMN(CUSTO_GLOBAL[[#Headers],[Cesta Básica]])-2,0)*($G323-$H323)</f>
        <v>0</v>
      </c>
      <c r="AH323" s="22">
        <f>VLOOKUP($A323,tabCustoUnit[],COLUMN(CUSTO_GLOBAL[[#Headers],[PAF]])-2,0)*($G323-$H323)</f>
        <v>112.6</v>
      </c>
      <c r="AI323" s="22">
        <f>VLOOKUP($A323,tabCustoUnit[],COLUMN(CUSTO_GLOBAL[[#Headers],[PQM]])-2,0)*($G323-$H323)</f>
        <v>0</v>
      </c>
      <c r="AJ323" s="22">
        <v>0</v>
      </c>
      <c r="AK323" s="22">
        <f>VLOOKUP($A323,tabCustoUnit[],COLUMN(CUSTO_GLOBAL[[#Headers],[Seguro de Vida]])-2,0)*($G323-$H323)</f>
        <v>16.8</v>
      </c>
      <c r="AL323" s="22">
        <f>VLOOKUP($A323,tabCustoUnit[],COLUMN(CUSTO_GLOBAL[[#Headers],[Despesas de Viagem]])-2,0)*($G323-$H323)</f>
        <v>3312.1</v>
      </c>
      <c r="AM323" s="22" t="e">
        <f ca="1">VLOOKUP($A323,tabCustoUnit[],COLUMN(CUSTO_GLOBAL[[#Headers],[Submódulo 2.3]])-2,0)*($G323-$H323)</f>
        <v>#NAME?</v>
      </c>
      <c r="AN323" s="22" t="e">
        <f ca="1">VLOOKUP($A323,tabCustoUnit[],COLUMN(CUSTO_GLOBAL[[#Headers],[MÓDULO 2 - Total Encargos e Benefícios mensais e diários]])-2,0)*($G323-$H323)</f>
        <v>#NAME?</v>
      </c>
      <c r="AO323" s="22">
        <f>VLOOKUP($A323,tabCustoUnit[],COLUMN(CUSTO_GLOBAL[[#Headers],[Aviso Prévio Indenizado (API) e Reflexo do Aviso Prévio Indenizado]])-2,0)*($G323-$H323)</f>
        <v>159.80065854456018</v>
      </c>
      <c r="AP323" s="22">
        <f>VLOOKUP($A323,tabCustoUnit[],COLUMN(CUSTO_GLOBAL[[#Headers],[Incidência do FGTS sobre API e Reflexo do API]])-2,0)*($G323-$H323)</f>
        <v>12.784052683564815</v>
      </c>
      <c r="AQ323" s="22">
        <f>VLOOKUP($A323,tabCustoUnit[],COLUMN(CUSTO_GLOBAL[[#Headers],[Multa Rescisória do FGTS sobre o Aviso Prévio Indenizado]])-2,0)*($G323-$H323)</f>
        <v>5.1136210734259269</v>
      </c>
      <c r="AR323" s="22">
        <f>VLOOKUP($A323,tabCustoUnit[],COLUMN(CUSTO_GLOBAL[[#Headers],[Aviso Prévio Trabalhado - APT]])-2,0)*($G323-$H323)</f>
        <v>79.766242500000018</v>
      </c>
      <c r="AS323" s="22">
        <f>VLOOKUP($A323,tabCustoUnit[],COLUMN(CUSTO_GLOBAL[[#Headers],[Incidência dos encargos do submódulo 2.1 sobre Aviso Prévio Trabalhado]])-2,0)*($G323-$H323)</f>
        <v>30.151639665000008</v>
      </c>
      <c r="AT323" s="22">
        <f>VLOOKUP($A323,tabCustoUnit[],COLUMN(CUSTO_GLOBAL[[#Headers],[Multa Rescisória do FGTS]])-2,0)*($G323-$H323)</f>
        <v>696.87841066666647</v>
      </c>
      <c r="AU323" s="22">
        <f>VLOOKUP($A323,tabCustoUnit[],COLUMN(CUSTO_GLOBAL[[#Headers],[Indenização Adicional (Art. 9º da Lei nº 7.238/84)]])-2,0)*($G323-$H323)</f>
        <v>18.9919625</v>
      </c>
      <c r="AV323" s="22">
        <f>VLOOKUP($A323,tabCustoUnit[],COLUMN(CUSTO_GLOBAL[[#Headers],[MÓDULO 3 – PROVISÃO PARA RESCISÃO]])-2,0)*($G323-$H323)</f>
        <v>1003.4865876332175</v>
      </c>
      <c r="AW323" s="22">
        <f>VLOOKUP($A323,tabCustoUnit[],COLUMN(CUSTO_GLOBAL[[#Headers],[Ausência por Doença]])-2,0)*($G323-$H323)</f>
        <v>192.45188666666664</v>
      </c>
      <c r="AX323" s="22">
        <f>VLOOKUP($A323,tabCustoUnit[],COLUMN(CUSTO_GLOBAL[[#Headers],[Ausências Legais]])-2,0)*($G323-$H323)</f>
        <v>46.213775416666664</v>
      </c>
      <c r="AY323" s="22">
        <f>VLOOKUP($A323,tabCustoUnit[],COLUMN(CUSTO_GLOBAL[[#Headers],[Licença Paternidade]])-2,0)*($G323-$H323)</f>
        <v>3.8933523124999998</v>
      </c>
      <c r="AZ323" s="22">
        <f>VLOOKUP($A323,tabCustoUnit[],COLUMN(CUSTO_GLOBAL[[#Headers],[Ausência por Acidente de Trabalho]])-2,0)*($G323-$H323)</f>
        <v>4.7479906249999999</v>
      </c>
      <c r="BA323" s="22">
        <f>VLOOKUP($A323,tabCustoUnit[],COLUMN(CUSTO_GLOBAL[[#Headers],[Férias, Adicional de Férias e 13º  com empregada em gozo de Licença Maternidade]])-2,0)*($G323-$H323)</f>
        <v>29.543052777777778</v>
      </c>
      <c r="BB323" s="22">
        <f>VLOOKUP($A323,tabCustoUnit[],COLUMN(CUSTO_GLOBAL[[#Headers],[Incidência do Submódulo 2.1 sobre Ausências Legais]])-2,0)*($G323-$H323)</f>
        <v>104.64932184787502</v>
      </c>
      <c r="BC323" s="22">
        <f>VLOOKUP($A323,tabCustoUnit[],COLUMN(CUSTO_GLOBAL[[#Headers],[Submódulo 4.1]])-2,0)*($G323-$H323)</f>
        <v>381.49937964648615</v>
      </c>
      <c r="BD323" s="22">
        <f>VLOOKUP($A323,tabCustoUnit[],COLUMN(CUSTO_GLOBAL[[#Headers],[Intervalo para Repouso ou Alimentação]])-2,0)*($G323-$H323)</f>
        <v>0</v>
      </c>
      <c r="BE323" s="22">
        <f>VLOOKUP($A323,tabCustoUnit[],COLUMN(CUSTO_GLOBAL[[#Headers],[Submódulo 4.2]])-2,0)*($G323-$H323)</f>
        <v>0</v>
      </c>
      <c r="BF323" s="22">
        <f>VLOOKUP($A323,tabCustoUnit[],COLUMN(CUSTO_GLOBAL[[#Headers],[Suspensão Temporária do Contrato de Trabalho]])-2,0)*($G323-$H323)</f>
        <v>0</v>
      </c>
      <c r="BG323" s="22">
        <f>VLOOKUP($A323,tabCustoUnit[],COLUMN(CUSTO_GLOBAL[[#Headers],[Submódulo 4.3]])-2,0)*($G323-$H323)</f>
        <v>0</v>
      </c>
      <c r="BH323" s="22">
        <f>VLOOKUP($A323,tabCustoUnit[],COLUMN(CUSTO_GLOBAL[[#Headers],[MÓDULO 4 – CUSTO DE REPOSIÇÃO DO PROFISSIONAL AUSENTE]])-2,0)*($G323-$H323)</f>
        <v>381.49937964648615</v>
      </c>
      <c r="BI323" s="22">
        <f>VLOOKUP($A323,tabCustoUnit[],COLUMN(CUSTO_GLOBAL[[#Headers],[Uniformes e EPIs]])-2,0)*($G323-$H323)</f>
        <v>460.5038188578535</v>
      </c>
      <c r="BJ323" s="22">
        <f>VLOOKUP($A323,tabCustoUnit[],COLUMN(CUSTO_GLOBAL[[#Headers],[Materiais de Consumo]])-2,0)*($G323-$H323)</f>
        <v>0</v>
      </c>
      <c r="BK323" s="22">
        <f>VLOOKUP($A323,tabCustoUnit[],COLUMN(CUSTO_GLOBAL[[#Headers],[Máquinas e Equipamentos (depreciação)]])-2,0)*($G323-$H323)</f>
        <v>0</v>
      </c>
      <c r="BL323" s="22">
        <f>VLOOKUP($A323,tabCustoUnit[],COLUMN(CUSTO_GLOBAL[[#Headers],[Produtos de Limpeza e Materiais de Higiene Pessoal]])-2,0)*($G323-$H323)</f>
        <v>0</v>
      </c>
      <c r="BM323" s="22">
        <f>VLOOKUP($A323,tabCustoUnit[],COLUMN(CUSTO_GLOBAL[[#Headers],[Outros (especificar)]])-2,0)*($G323-$H323)</f>
        <v>0</v>
      </c>
      <c r="BN323" s="22">
        <f>VLOOKUP($A323,tabCustoUnit[],COLUMN(CUSTO_GLOBAL[[#Headers],[MÓDULO 5 – INSUMOS DIVERSOS]])-2,0)*($G323-$H323)</f>
        <v>460.5038188578535</v>
      </c>
      <c r="BO323" s="22" t="e">
        <f ca="1">VLOOKUP($A323,tabCustoUnit[],COLUMN(CUSTO_GLOBAL[[#Headers],[TOTAL MÓDULOS 1+2+3+4+5]])-2,0)*($G323-$H323)</f>
        <v>#NAME?</v>
      </c>
      <c r="BP323" s="22" t="e">
        <f ca="1">VLOOKUP($A323,tabCustoUnit[],COLUMN(CUSTO_GLOBAL[[#Headers],[Custos Indiretos]])-2,0)*($G323-$H323)</f>
        <v>#NAME?</v>
      </c>
      <c r="BQ323" s="22" t="e">
        <f ca="1">VLOOKUP($A323,tabCustoUnit[],COLUMN(CUSTO_GLOBAL[[#Headers],[Lucro]])-2,0)*($G323-$H323)</f>
        <v>#NAME?</v>
      </c>
      <c r="BR323" s="26">
        <f>VLOOKUP($A323,tabCustoUnit[],COLUMN(CUSTO_GLOBAL[[#Headers],[COFINS]])-2,0)</f>
        <v>8.5633802816901458E-2</v>
      </c>
      <c r="BS323" s="26">
        <f>VLOOKUP($A323,tabCustoUnit[],COLUMN(CUSTO_GLOBAL[[#Headers],[PIS]])-2,0)</f>
        <v>1.8591549295774657E-2</v>
      </c>
      <c r="BT323" s="28">
        <f>VLOOKUP($A323,tabCustoUnit[],COLUMN(CUSTO_GLOBAL[[#Headers],[ISS]])-2,0)</f>
        <v>0.02</v>
      </c>
      <c r="BU323" s="26">
        <f>VLOOKUP($A323,tabCustoUnit[],COLUMN(CUSTO_GLOBAL[[#Headers],[ISS (Conversão Alíquota s/ fatura)]])-2,0)</f>
        <v>2.2535211267605645E-2</v>
      </c>
      <c r="BV323" s="26">
        <f>VLOOKUP($A323,tabCustoUnit[],COLUMN(CUSTO_GLOBAL[[#Headers],[Resumo de Alíquotas (PIS+CONFINS+ISS)]])-2,0)</f>
        <v>0.1125</v>
      </c>
      <c r="BW323" s="138">
        <f>VLOOKUP($A323,tabCustoUnit[],COLUMN(CUSTO_GLOBAL[[#Headers],[PIS + COFINS + ISS (Total Conversão  Alíquota s/ Fatura)]])-2,0)</f>
        <v>0.12676056338028174</v>
      </c>
      <c r="BX323" s="22" t="e">
        <f ca="1">VLOOKUP($A323,tabCustoUnit[],COLUMN(CUSTO_GLOBAL[[#Headers],[Valor dos Tributos (ISS, PIS, CONFINS)]])-2,0)*($G323-$H323)</f>
        <v>#NAME?</v>
      </c>
      <c r="BY323" s="22" t="e">
        <f ca="1">VLOOKUP($A323,tabCustoUnit[],COLUMN(CUSTO_GLOBAL[[#Headers],[MÓDULO 6 – CUSTOS INDIRETOS, TRIBUTOS E LUCRO]])-2,0)*($G323-$H323)</f>
        <v>#NAME?</v>
      </c>
      <c r="BZ323" s="22" t="e">
        <f ca="1">VLOOKUP($A323,tabCustoUnit[],COLUMN(CUSTO_GLOBAL[[#Headers],[CUSTO TOTAL MENSAL]])-2,0)*($G323-$H323)</f>
        <v>#NAME?</v>
      </c>
      <c r="CA323" s="22" t="e">
        <f ca="1">CUSTO_GLOBAL[[#This Row],[CUSTO TOTAL MENSAL]]*12</f>
        <v>#NAME?</v>
      </c>
      <c r="CB323" s="24">
        <f>VLOOKUP($A323,tabCustoUnit[],COLUMN(CUSTO_GLOBAL[[#Headers],[ANO DA CCT]])-2,0)</f>
        <v>45658</v>
      </c>
      <c r="CC323" s="25" t="str">
        <f>VLOOKUP($A323,tabCustoUnit[],COLUMN(CUSTO_GLOBAL[[#Headers],[Nº DE PEDIDO DA CCT]])-2,0)</f>
        <v>-</v>
      </c>
      <c r="CD323" s="25" t="str">
        <f>VLOOKUP($A323,tabCustoUnit[],COLUMN(CUSTO_GLOBAL[[#Headers],[TERMO ADITIVO ALTERAÇÃO DA CCT]])-2,0)</f>
        <v>-</v>
      </c>
    </row>
    <row r="324" spans="1:82">
      <c r="A324" s="20" t="s">
        <v>1731</v>
      </c>
      <c r="B324" t="s">
        <v>1071</v>
      </c>
      <c r="C324" t="s">
        <v>274</v>
      </c>
      <c r="D324" t="s">
        <v>1027</v>
      </c>
      <c r="E324" s="20" t="s">
        <v>1090</v>
      </c>
      <c r="F324" s="20" t="s">
        <v>135</v>
      </c>
      <c r="G324" s="20">
        <v>1</v>
      </c>
      <c r="H324" s="20">
        <v>0</v>
      </c>
      <c r="I324" s="21">
        <f>VLOOKUP($A324,tabCustoUnit[],COLUMN(CUSTO_GLOBAL[[#Headers],[Salário Base]])-2,0)*($G324-$H324)</f>
        <v>4558.0709999999999</v>
      </c>
      <c r="J324" s="21">
        <f>VLOOKUP($A324,tabCustoUnit[],COLUMN(CUSTO_GLOBAL[[#Headers],[Adicional Periculosidade]])-2,0)*($G324-$H324)</f>
        <v>0</v>
      </c>
      <c r="K324" s="21">
        <f>VLOOKUP($A324,tabCustoUnit[],COLUMN(CUSTO_GLOBAL[[#Headers],[Adicional Insalubridade]])-2,0)*($G324-$H324)</f>
        <v>0</v>
      </c>
      <c r="L324" s="21">
        <f>VLOOKUP($A324,tabCustoUnit[],COLUMN(CUSTO_GLOBAL[[#Headers],[Adicional Noturno]])-2,0)*($G324-$H324)</f>
        <v>0</v>
      </c>
      <c r="M324" s="21">
        <f>VLOOKUP($A324,tabCustoUnit[],COLUMN(CUSTO_GLOBAL[[#Headers],[Adicional Motorista II (Gratificação)]])-2,0)*($G324-$H324)</f>
        <v>0</v>
      </c>
      <c r="N324" s="21">
        <f>VLOOKUP($A324,tabCustoUnit[],COLUMN(CUSTO_GLOBAL[[#Headers],[Adicional de Sobreaviso]])-2,0)*($G324-$H324)</f>
        <v>0</v>
      </c>
      <c r="O324" s="21">
        <f>VLOOKUP($A324,tabCustoUnit[],COLUMN(CUSTO_GLOBAL[[#Headers],[Horas Extras TI]])-2,0)*($G324-$H324)</f>
        <v>0</v>
      </c>
      <c r="P324" s="21">
        <f>VLOOKUP($A324,tabCustoUnit[],COLUMN(CUSTO_GLOBAL[[#Headers],[Adicional de Acúmulo de função]])-2,0)*($G324-$H324)</f>
        <v>0</v>
      </c>
      <c r="Q324" s="21">
        <f>VLOOKUP($A324,tabCustoUnit[],COLUMN(CUSTO_GLOBAL[[#Headers],[MODULO 1 - REMUNERAÇÃO ]])-2,0)*($G324-$H324)</f>
        <v>4558.0709999999999</v>
      </c>
      <c r="R324" s="21">
        <f>VLOOKUP($A324,tabCustoUnit[],COLUMN(CUSTO_GLOBAL[[#Headers],[INSS]])-2,0)*($G324-$H324)</f>
        <v>911.61419999999998</v>
      </c>
      <c r="S324" s="21">
        <f>VLOOKUP($A324,tabCustoUnit[],COLUMN(CUSTO_GLOBAL[[#Headers],[SESI OU SESC]])-2,0)*($G324-$H324)</f>
        <v>68.371065000000002</v>
      </c>
      <c r="T324" s="21">
        <f>VLOOKUP($A324,tabCustoUnit[],COLUMN(CUSTO_GLOBAL[[#Headers],[SENAI OU SENAC]])-2,0)*($G324-$H324)</f>
        <v>45.580710000000003</v>
      </c>
      <c r="U324" s="21">
        <f>VLOOKUP($A324,tabCustoUnit[],COLUMN(CUSTO_GLOBAL[[#Headers],[INCRA]])-2,0)*($G324-$H324)</f>
        <v>9.116142</v>
      </c>
      <c r="V324" s="21">
        <f>VLOOKUP($A324,tabCustoUnit[],COLUMN(CUSTO_GLOBAL[[#Headers],[Salário Educação]])-2,0)*($G324-$H324)</f>
        <v>113.951775</v>
      </c>
      <c r="W324" s="21">
        <f>VLOOKUP($A324,tabCustoUnit[],COLUMN(CUSTO_GLOBAL[[#Headers],[FGTS]])-2,0)*($G324-$H324)</f>
        <v>364.64568000000003</v>
      </c>
      <c r="X324" s="21">
        <f>VLOOKUP($A324,tabCustoUnit[],COLUMN(CUSTO_GLOBAL[[#Headers],[RAT Ajustado]])-2,0)*($G324-$H324)</f>
        <v>182.32284000000001</v>
      </c>
      <c r="Y324" s="21">
        <f>VLOOKUP($A324,tabCustoUnit[],COLUMN(CUSTO_GLOBAL[[#Headers],[SEBRAE]])-2,0)*($G324-$H324)</f>
        <v>27.348426</v>
      </c>
      <c r="Z324" s="21">
        <f>VLOOKUP($A324,tabCustoUnit[],COLUMN(CUSTO_GLOBAL[[#Headers],[Submódulo 2.1]])-2,0)*($G324-$H324)</f>
        <v>1722.9508380000002</v>
      </c>
      <c r="AA324" s="21">
        <f>VLOOKUP($A324,tabCustoUnit[],COLUMN(CUSTO_GLOBAL[[#Headers],[13º salário (titular)]])-2,0)*($G324-$H324)</f>
        <v>379.83924999999999</v>
      </c>
      <c r="AB324" s="21">
        <f>VLOOKUP($A324,tabCustoUnit[],COLUMN(CUSTO_GLOBAL[[#Headers],[Férias e Adicional de Férias (titular)]])-2,0)*($G324-$H324)</f>
        <v>506.45233333333329</v>
      </c>
      <c r="AC324" s="21">
        <f>VLOOKUP($A324,tabCustoUnit[],COLUMN(CUSTO_GLOBAL[[#Headers],[Incidência do Submódulo 2.1 sobre 13º Salário, Férias e Adicional de Férias]])-2,0)*($G324-$H324)</f>
        <v>335.01821850000005</v>
      </c>
      <c r="AD324" s="21">
        <f>VLOOKUP($A324,tabCustoUnit[],COLUMN(CUSTO_GLOBAL[[#Headers],[Submódulo 2.2]])-2,0)*($G324-$H324)</f>
        <v>1221.3098018333333</v>
      </c>
      <c r="AE324" s="22" t="e">
        <f ca="1">VLOOKUP($A324,tabCustoUnit[],COLUMN(CUSTO_GLOBAL[[#Headers],[Vale - Transporte (Descontada parcela do empregado)]])-2,0)*($G324-$H324)</f>
        <v>#NAME?</v>
      </c>
      <c r="AF324" s="22">
        <f>VLOOKUP($A324,tabCustoUnit[],COLUMN(CUSTO_GLOBAL[[#Headers],[Vale - Alimentação (Descontada parcela do empregado)]])-2,0)*($G324-$H324)</f>
        <v>578.4</v>
      </c>
      <c r="AG324" s="22">
        <f>VLOOKUP($A324,tabCustoUnit[],COLUMN(CUSTO_GLOBAL[[#Headers],[Cesta Básica]])-2,0)*($G324-$H324)</f>
        <v>0</v>
      </c>
      <c r="AH324" s="22">
        <f>VLOOKUP($A324,tabCustoUnit[],COLUMN(CUSTO_GLOBAL[[#Headers],[PAF]])-2,0)*($G324-$H324)</f>
        <v>22.52</v>
      </c>
      <c r="AI324" s="22">
        <f>VLOOKUP($A324,tabCustoUnit[],COLUMN(CUSTO_GLOBAL[[#Headers],[PQM]])-2,0)*($G324-$H324)</f>
        <v>0</v>
      </c>
      <c r="AJ324" s="22">
        <v>0</v>
      </c>
      <c r="AK324" s="22">
        <f>VLOOKUP($A324,tabCustoUnit[],COLUMN(CUSTO_GLOBAL[[#Headers],[Seguro de Vida]])-2,0)*($G324-$H324)</f>
        <v>3.36</v>
      </c>
      <c r="AL324" s="22">
        <f>VLOOKUP($A324,tabCustoUnit[],COLUMN(CUSTO_GLOBAL[[#Headers],[Despesas de Viagem]])-2,0)*($G324-$H324)</f>
        <v>662.42</v>
      </c>
      <c r="AM324" s="22" t="e">
        <f ca="1">VLOOKUP($A324,tabCustoUnit[],COLUMN(CUSTO_GLOBAL[[#Headers],[Submódulo 2.3]])-2,0)*($G324-$H324)</f>
        <v>#NAME?</v>
      </c>
      <c r="AN324" s="22" t="e">
        <f ca="1">VLOOKUP($A324,tabCustoUnit[],COLUMN(CUSTO_GLOBAL[[#Headers],[MÓDULO 2 - Total Encargos e Benefícios mensais e diários]])-2,0)*($G324-$H324)</f>
        <v>#NAME?</v>
      </c>
      <c r="AO324" s="22">
        <f>VLOOKUP($A324,tabCustoUnit[],COLUMN(CUSTO_GLOBAL[[#Headers],[Aviso Prévio Indenizado (API) e Reflexo do Aviso Prévio Indenizado]])-2,0)*($G324-$H324)</f>
        <v>31.960131708912037</v>
      </c>
      <c r="AP324" s="22">
        <f>VLOOKUP($A324,tabCustoUnit[],COLUMN(CUSTO_GLOBAL[[#Headers],[Incidência do FGTS sobre API e Reflexo do API]])-2,0)*($G324-$H324)</f>
        <v>2.556810536712963</v>
      </c>
      <c r="AQ324" s="22">
        <f>VLOOKUP($A324,tabCustoUnit[],COLUMN(CUSTO_GLOBAL[[#Headers],[Multa Rescisória do FGTS sobre o Aviso Prévio Indenizado]])-2,0)*($G324-$H324)</f>
        <v>1.0227242146851854</v>
      </c>
      <c r="AR324" s="22">
        <f>VLOOKUP($A324,tabCustoUnit[],COLUMN(CUSTO_GLOBAL[[#Headers],[Aviso Prévio Trabalhado - APT]])-2,0)*($G324-$H324)</f>
        <v>15.953248500000003</v>
      </c>
      <c r="AS324" s="22">
        <f>VLOOKUP($A324,tabCustoUnit[],COLUMN(CUSTO_GLOBAL[[#Headers],[Incidência dos encargos do submódulo 2.1 sobre Aviso Prévio Trabalhado]])-2,0)*($G324-$H324)</f>
        <v>6.0303279330000015</v>
      </c>
      <c r="AT324" s="22">
        <f>VLOOKUP($A324,tabCustoUnit[],COLUMN(CUSTO_GLOBAL[[#Headers],[Multa Rescisória do FGTS]])-2,0)*($G324-$H324)</f>
        <v>139.3756821333333</v>
      </c>
      <c r="AU324" s="22">
        <f>VLOOKUP($A324,tabCustoUnit[],COLUMN(CUSTO_GLOBAL[[#Headers],[Indenização Adicional (Art. 9º da Lei nº 7.238/84)]])-2,0)*($G324-$H324)</f>
        <v>3.7983925000000003</v>
      </c>
      <c r="AV324" s="22">
        <f>VLOOKUP($A324,tabCustoUnit[],COLUMN(CUSTO_GLOBAL[[#Headers],[MÓDULO 3 – PROVISÃO PARA RESCISÃO]])-2,0)*($G324-$H324)</f>
        <v>200.6973175266435</v>
      </c>
      <c r="AW324" s="22">
        <f>VLOOKUP($A324,tabCustoUnit[],COLUMN(CUSTO_GLOBAL[[#Headers],[Ausência por Doença]])-2,0)*($G324-$H324)</f>
        <v>38.490377333333328</v>
      </c>
      <c r="AX324" s="22">
        <f>VLOOKUP($A324,tabCustoUnit[],COLUMN(CUSTO_GLOBAL[[#Headers],[Ausências Legais]])-2,0)*($G324-$H324)</f>
        <v>9.2427550833333321</v>
      </c>
      <c r="AY324" s="22">
        <f>VLOOKUP($A324,tabCustoUnit[],COLUMN(CUSTO_GLOBAL[[#Headers],[Licença Paternidade]])-2,0)*($G324-$H324)</f>
        <v>0.77867046249999994</v>
      </c>
      <c r="AZ324" s="22">
        <f>VLOOKUP($A324,tabCustoUnit[],COLUMN(CUSTO_GLOBAL[[#Headers],[Ausência por Acidente de Trabalho]])-2,0)*($G324-$H324)</f>
        <v>0.94959812500000007</v>
      </c>
      <c r="BA324" s="22">
        <f>VLOOKUP($A324,tabCustoUnit[],COLUMN(CUSTO_GLOBAL[[#Headers],[Férias, Adicional de Férias e 13º  com empregada em gozo de Licença Maternidade]])-2,0)*($G324-$H324)</f>
        <v>5.9086105555555557</v>
      </c>
      <c r="BB324" s="22">
        <f>VLOOKUP($A324,tabCustoUnit[],COLUMN(CUSTO_GLOBAL[[#Headers],[Incidência do Submódulo 2.1 sobre Ausências Legais]])-2,0)*($G324-$H324)</f>
        <v>20.929864369575004</v>
      </c>
      <c r="BC324" s="22">
        <f>VLOOKUP($A324,tabCustoUnit[],COLUMN(CUSTO_GLOBAL[[#Headers],[Submódulo 4.1]])-2,0)*($G324-$H324)</f>
        <v>76.29987592929723</v>
      </c>
      <c r="BD324" s="22">
        <f>VLOOKUP($A324,tabCustoUnit[],COLUMN(CUSTO_GLOBAL[[#Headers],[Intervalo para Repouso ou Alimentação]])-2,0)*($G324-$H324)</f>
        <v>0</v>
      </c>
      <c r="BE324" s="22">
        <f>VLOOKUP($A324,tabCustoUnit[],COLUMN(CUSTO_GLOBAL[[#Headers],[Submódulo 4.2]])-2,0)*($G324-$H324)</f>
        <v>0</v>
      </c>
      <c r="BF324" s="22">
        <f>VLOOKUP($A324,tabCustoUnit[],COLUMN(CUSTO_GLOBAL[[#Headers],[Suspensão Temporária do Contrato de Trabalho]])-2,0)*($G324-$H324)</f>
        <v>0</v>
      </c>
      <c r="BG324" s="22">
        <f>VLOOKUP($A324,tabCustoUnit[],COLUMN(CUSTO_GLOBAL[[#Headers],[Submódulo 4.3]])-2,0)*($G324-$H324)</f>
        <v>0</v>
      </c>
      <c r="BH324" s="22">
        <f>VLOOKUP($A324,tabCustoUnit[],COLUMN(CUSTO_GLOBAL[[#Headers],[MÓDULO 4 – CUSTO DE REPOSIÇÃO DO PROFISSIONAL AUSENTE]])-2,0)*($G324-$H324)</f>
        <v>76.29987592929723</v>
      </c>
      <c r="BI324" s="22">
        <f>VLOOKUP($A324,tabCustoUnit[],COLUMN(CUSTO_GLOBAL[[#Headers],[Uniformes e EPIs]])-2,0)*($G324-$H324)</f>
        <v>92.100763771570698</v>
      </c>
      <c r="BJ324" s="22">
        <f>VLOOKUP($A324,tabCustoUnit[],COLUMN(CUSTO_GLOBAL[[#Headers],[Materiais de Consumo]])-2,0)*($G324-$H324)</f>
        <v>0</v>
      </c>
      <c r="BK324" s="22">
        <f>VLOOKUP($A324,tabCustoUnit[],COLUMN(CUSTO_GLOBAL[[#Headers],[Máquinas e Equipamentos (depreciação)]])-2,0)*($G324-$H324)</f>
        <v>0</v>
      </c>
      <c r="BL324" s="22">
        <f>VLOOKUP($A324,tabCustoUnit[],COLUMN(CUSTO_GLOBAL[[#Headers],[Produtos de Limpeza e Materiais de Higiene Pessoal]])-2,0)*($G324-$H324)</f>
        <v>0</v>
      </c>
      <c r="BM324" s="22">
        <f>VLOOKUP($A324,tabCustoUnit[],COLUMN(CUSTO_GLOBAL[[#Headers],[Outros (especificar)]])-2,0)*($G324-$H324)</f>
        <v>0</v>
      </c>
      <c r="BN324" s="22">
        <f>VLOOKUP($A324,tabCustoUnit[],COLUMN(CUSTO_GLOBAL[[#Headers],[MÓDULO 5 – INSUMOS DIVERSOS]])-2,0)*($G324-$H324)</f>
        <v>92.100763771570698</v>
      </c>
      <c r="BO324" s="22" t="e">
        <f ca="1">VLOOKUP($A324,tabCustoUnit[],COLUMN(CUSTO_GLOBAL[[#Headers],[TOTAL MÓDULOS 1+2+3+4+5]])-2,0)*($G324-$H324)</f>
        <v>#NAME?</v>
      </c>
      <c r="BP324" s="22" t="e">
        <f ca="1">VLOOKUP($A324,tabCustoUnit[],COLUMN(CUSTO_GLOBAL[[#Headers],[Custos Indiretos]])-2,0)*($G324-$H324)</f>
        <v>#NAME?</v>
      </c>
      <c r="BQ324" s="22" t="e">
        <f ca="1">VLOOKUP($A324,tabCustoUnit[],COLUMN(CUSTO_GLOBAL[[#Headers],[Lucro]])-2,0)*($G324-$H324)</f>
        <v>#NAME?</v>
      </c>
      <c r="BR324" s="26">
        <f>VLOOKUP($A324,tabCustoUnit[],COLUMN(CUSTO_GLOBAL[[#Headers],[COFINS]])-2,0)</f>
        <v>8.5633802816901458E-2</v>
      </c>
      <c r="BS324" s="26">
        <f>VLOOKUP($A324,tabCustoUnit[],COLUMN(CUSTO_GLOBAL[[#Headers],[PIS]])-2,0)</f>
        <v>1.8591549295774657E-2</v>
      </c>
      <c r="BT324" s="28">
        <f>VLOOKUP($A324,tabCustoUnit[],COLUMN(CUSTO_GLOBAL[[#Headers],[ISS]])-2,0)</f>
        <v>0.02</v>
      </c>
      <c r="BU324" s="26">
        <f>VLOOKUP($A324,tabCustoUnit[],COLUMN(CUSTO_GLOBAL[[#Headers],[ISS (Conversão Alíquota s/ fatura)]])-2,0)</f>
        <v>2.2535211267605645E-2</v>
      </c>
      <c r="BV324" s="26">
        <f>VLOOKUP($A324,tabCustoUnit[],COLUMN(CUSTO_GLOBAL[[#Headers],[Resumo de Alíquotas (PIS+CONFINS+ISS)]])-2,0)</f>
        <v>0.1125</v>
      </c>
      <c r="BW324" s="138">
        <f>VLOOKUP($A324,tabCustoUnit[],COLUMN(CUSTO_GLOBAL[[#Headers],[PIS + COFINS + ISS (Total Conversão  Alíquota s/ Fatura)]])-2,0)</f>
        <v>0.12676056338028174</v>
      </c>
      <c r="BX324" s="22" t="e">
        <f ca="1">VLOOKUP($A324,tabCustoUnit[],COLUMN(CUSTO_GLOBAL[[#Headers],[Valor dos Tributos (ISS, PIS, CONFINS)]])-2,0)*($G324-$H324)</f>
        <v>#NAME?</v>
      </c>
      <c r="BY324" s="22" t="e">
        <f ca="1">VLOOKUP($A324,tabCustoUnit[],COLUMN(CUSTO_GLOBAL[[#Headers],[MÓDULO 6 – CUSTOS INDIRETOS, TRIBUTOS E LUCRO]])-2,0)*($G324-$H324)</f>
        <v>#NAME?</v>
      </c>
      <c r="BZ324" s="22" t="e">
        <f ca="1">VLOOKUP($A324,tabCustoUnit[],COLUMN(CUSTO_GLOBAL[[#Headers],[CUSTO TOTAL MENSAL]])-2,0)*($G324-$H324)</f>
        <v>#NAME?</v>
      </c>
      <c r="CA324" s="22" t="e">
        <f ca="1">CUSTO_GLOBAL[[#This Row],[CUSTO TOTAL MENSAL]]*12</f>
        <v>#NAME?</v>
      </c>
      <c r="CB324" s="24">
        <f>VLOOKUP($A324,tabCustoUnit[],COLUMN(CUSTO_GLOBAL[[#Headers],[ANO DA CCT]])-2,0)</f>
        <v>45658</v>
      </c>
      <c r="CC324" s="25" t="str">
        <f>VLOOKUP($A324,tabCustoUnit[],COLUMN(CUSTO_GLOBAL[[#Headers],[Nº DE PEDIDO DA CCT]])-2,0)</f>
        <v>-</v>
      </c>
      <c r="CD324" s="25" t="str">
        <f>VLOOKUP($A324,tabCustoUnit[],COLUMN(CUSTO_GLOBAL[[#Headers],[TERMO ADITIVO ALTERAÇÃO DA CCT]])-2,0)</f>
        <v>-</v>
      </c>
    </row>
    <row r="325" spans="1:82">
      <c r="A325" s="20" t="s">
        <v>1516</v>
      </c>
      <c r="B325" t="s">
        <v>1071</v>
      </c>
      <c r="C325" t="s">
        <v>314</v>
      </c>
      <c r="D325" t="s">
        <v>1071</v>
      </c>
      <c r="E325" s="20" t="s">
        <v>1090</v>
      </c>
      <c r="F325" s="20" t="s">
        <v>120</v>
      </c>
      <c r="G325" s="20">
        <v>1</v>
      </c>
      <c r="H325" s="20">
        <v>0</v>
      </c>
      <c r="I325" s="21">
        <f>VLOOKUP($A325,tabCustoUnit[],COLUMN(CUSTO_GLOBAL[[#Headers],[Salário Base]])-2,0)*($G325-$H325)</f>
        <v>2134.8042</v>
      </c>
      <c r="J325" s="21">
        <f>VLOOKUP($A325,tabCustoUnit[],COLUMN(CUSTO_GLOBAL[[#Headers],[Adicional Periculosidade]])-2,0)*($G325-$H325)</f>
        <v>0</v>
      </c>
      <c r="K325" s="21">
        <f>VLOOKUP($A325,tabCustoUnit[],COLUMN(CUSTO_GLOBAL[[#Headers],[Adicional Insalubridade]])-2,0)*($G325-$H325)</f>
        <v>0</v>
      </c>
      <c r="L325" s="21">
        <f>VLOOKUP($A325,tabCustoUnit[],COLUMN(CUSTO_GLOBAL[[#Headers],[Adicional Noturno]])-2,0)*($G325-$H325)</f>
        <v>0</v>
      </c>
      <c r="M325" s="21">
        <f>VLOOKUP($A325,tabCustoUnit[],COLUMN(CUSTO_GLOBAL[[#Headers],[Adicional Motorista II (Gratificação)]])-2,0)*($G325-$H325)</f>
        <v>0</v>
      </c>
      <c r="N325" s="21">
        <f>VLOOKUP($A325,tabCustoUnit[],COLUMN(CUSTO_GLOBAL[[#Headers],[Adicional de Sobreaviso]])-2,0)*($G325-$H325)</f>
        <v>0</v>
      </c>
      <c r="O325" s="21">
        <f>VLOOKUP($A325,tabCustoUnit[],COLUMN(CUSTO_GLOBAL[[#Headers],[Horas Extras TI]])-2,0)*($G325-$H325)</f>
        <v>0</v>
      </c>
      <c r="P325" s="21">
        <f>VLOOKUP($A325,tabCustoUnit[],COLUMN(CUSTO_GLOBAL[[#Headers],[Adicional de Acúmulo de função]])-2,0)*($G325-$H325)</f>
        <v>0</v>
      </c>
      <c r="Q325" s="21">
        <f>VLOOKUP($A325,tabCustoUnit[],COLUMN(CUSTO_GLOBAL[[#Headers],[MODULO 1 - REMUNERAÇÃO ]])-2,0)*($G325-$H325)</f>
        <v>2134.8042</v>
      </c>
      <c r="R325" s="21">
        <f>VLOOKUP($A325,tabCustoUnit[],COLUMN(CUSTO_GLOBAL[[#Headers],[INSS]])-2,0)*($G325-$H325)</f>
        <v>426.96084000000002</v>
      </c>
      <c r="S325" s="21">
        <f>VLOOKUP($A325,tabCustoUnit[],COLUMN(CUSTO_GLOBAL[[#Headers],[SESI OU SESC]])-2,0)*($G325-$H325)</f>
        <v>32.022063000000003</v>
      </c>
      <c r="T325" s="21">
        <f>VLOOKUP($A325,tabCustoUnit[],COLUMN(CUSTO_GLOBAL[[#Headers],[SENAI OU SENAC]])-2,0)*($G325-$H325)</f>
        <v>21.348042</v>
      </c>
      <c r="U325" s="21">
        <f>VLOOKUP($A325,tabCustoUnit[],COLUMN(CUSTO_GLOBAL[[#Headers],[INCRA]])-2,0)*($G325-$H325)</f>
        <v>4.2696084000000001</v>
      </c>
      <c r="V325" s="21">
        <f>VLOOKUP($A325,tabCustoUnit[],COLUMN(CUSTO_GLOBAL[[#Headers],[Salário Educação]])-2,0)*($G325-$H325)</f>
        <v>53.370105000000002</v>
      </c>
      <c r="W325" s="21">
        <f>VLOOKUP($A325,tabCustoUnit[],COLUMN(CUSTO_GLOBAL[[#Headers],[FGTS]])-2,0)*($G325-$H325)</f>
        <v>170.784336</v>
      </c>
      <c r="X325" s="21">
        <f>VLOOKUP($A325,tabCustoUnit[],COLUMN(CUSTO_GLOBAL[[#Headers],[RAT Ajustado]])-2,0)*($G325-$H325)</f>
        <v>85.392167999999998</v>
      </c>
      <c r="Y325" s="21">
        <f>VLOOKUP($A325,tabCustoUnit[],COLUMN(CUSTO_GLOBAL[[#Headers],[SEBRAE]])-2,0)*($G325-$H325)</f>
        <v>12.808825200000001</v>
      </c>
      <c r="Z325" s="21">
        <f>VLOOKUP($A325,tabCustoUnit[],COLUMN(CUSTO_GLOBAL[[#Headers],[Submódulo 2.1]])-2,0)*($G325-$H325)</f>
        <v>806.95598759999996</v>
      </c>
      <c r="AA325" s="21">
        <f>VLOOKUP($A325,tabCustoUnit[],COLUMN(CUSTO_GLOBAL[[#Headers],[13º salário (titular)]])-2,0)*($G325-$H325)</f>
        <v>177.90035</v>
      </c>
      <c r="AB325" s="21">
        <f>VLOOKUP($A325,tabCustoUnit[],COLUMN(CUSTO_GLOBAL[[#Headers],[Férias e Adicional de Férias (titular)]])-2,0)*($G325-$H325)</f>
        <v>237.20046666666667</v>
      </c>
      <c r="AC325" s="21">
        <f>VLOOKUP($A325,tabCustoUnit[],COLUMN(CUSTO_GLOBAL[[#Headers],[Incidência do Submódulo 2.1 sobre 13º Salário, Férias e Adicional de Férias]])-2,0)*($G325-$H325)</f>
        <v>156.90810869999999</v>
      </c>
      <c r="AD325" s="21">
        <f>VLOOKUP($A325,tabCustoUnit[],COLUMN(CUSTO_GLOBAL[[#Headers],[Submódulo 2.2]])-2,0)*($G325-$H325)</f>
        <v>572.00892536666663</v>
      </c>
      <c r="AE325" s="22" t="e">
        <f ca="1">VLOOKUP($A325,tabCustoUnit[],COLUMN(CUSTO_GLOBAL[[#Headers],[Vale - Transporte (Descontada parcela do empregado)]])-2,0)*($G325-$H325)</f>
        <v>#NAME?</v>
      </c>
      <c r="AF325" s="22">
        <f>VLOOKUP($A325,tabCustoUnit[],COLUMN(CUSTO_GLOBAL[[#Headers],[Vale - Alimentação (Descontada parcela do empregado)]])-2,0)*($G325-$H325)</f>
        <v>0</v>
      </c>
      <c r="AG325" s="22">
        <f>VLOOKUP($A325,tabCustoUnit[],COLUMN(CUSTO_GLOBAL[[#Headers],[Cesta Básica]])-2,0)*($G325-$H325)</f>
        <v>387.79</v>
      </c>
      <c r="AH325" s="22">
        <f>VLOOKUP($A325,tabCustoUnit[],COLUMN(CUSTO_GLOBAL[[#Headers],[PAF]])-2,0)*($G325-$H325)</f>
        <v>42.97</v>
      </c>
      <c r="AI325" s="22">
        <f>VLOOKUP($A325,tabCustoUnit[],COLUMN(CUSTO_GLOBAL[[#Headers],[PQM]])-2,0)*($G325-$H325)</f>
        <v>0</v>
      </c>
      <c r="AJ325" s="22">
        <v>0</v>
      </c>
      <c r="AK325" s="22">
        <f>VLOOKUP($A325,tabCustoUnit[],COLUMN(CUSTO_GLOBAL[[#Headers],[Seguro de Vida]])-2,0)*($G325-$H325)</f>
        <v>3.36</v>
      </c>
      <c r="AL325" s="22">
        <f>VLOOKUP($A325,tabCustoUnit[],COLUMN(CUSTO_GLOBAL[[#Headers],[Despesas de Viagem]])-2,0)*($G325-$H325)</f>
        <v>0</v>
      </c>
      <c r="AM325" s="22" t="e">
        <f ca="1">VLOOKUP($A325,tabCustoUnit[],COLUMN(CUSTO_GLOBAL[[#Headers],[Submódulo 2.3]])-2,0)*($G325-$H325)</f>
        <v>#NAME?</v>
      </c>
      <c r="AN325" s="22" t="e">
        <f ca="1">VLOOKUP($A325,tabCustoUnit[],COLUMN(CUSTO_GLOBAL[[#Headers],[MÓDULO 2 - Total Encargos e Benefícios mensais e diários]])-2,0)*($G325-$H325)</f>
        <v>#NAME?</v>
      </c>
      <c r="AO325" s="22">
        <f>VLOOKUP($A325,tabCustoUnit[],COLUMN(CUSTO_GLOBAL[[#Headers],[Aviso Prévio Indenizado (API) e Reflexo do Aviso Prévio Indenizado]])-2,0)*($G325-$H325)</f>
        <v>14.968749588310185</v>
      </c>
      <c r="AP325" s="22">
        <f>VLOOKUP($A325,tabCustoUnit[],COLUMN(CUSTO_GLOBAL[[#Headers],[Incidência do FGTS sobre API e Reflexo do API]])-2,0)*($G325-$H325)</f>
        <v>1.197499967064815</v>
      </c>
      <c r="AQ325" s="22">
        <f>VLOOKUP($A325,tabCustoUnit[],COLUMN(CUSTO_GLOBAL[[#Headers],[Multa Rescisória do FGTS sobre o Aviso Prévio Indenizado]])-2,0)*($G325-$H325)</f>
        <v>0.47899998682592604</v>
      </c>
      <c r="AR325" s="22">
        <f>VLOOKUP($A325,tabCustoUnit[],COLUMN(CUSTO_GLOBAL[[#Headers],[Aviso Prévio Trabalhado - APT]])-2,0)*($G325-$H325)</f>
        <v>7.4718147000000013</v>
      </c>
      <c r="AS325" s="22">
        <f>VLOOKUP($A325,tabCustoUnit[],COLUMN(CUSTO_GLOBAL[[#Headers],[Incidência dos encargos do submódulo 2.1 sobre Aviso Prévio Trabalhado]])-2,0)*($G325-$H325)</f>
        <v>2.8243459566000011</v>
      </c>
      <c r="AT325" s="22">
        <f>VLOOKUP($A325,tabCustoUnit[],COLUMN(CUSTO_GLOBAL[[#Headers],[Multa Rescisória do FGTS]])-2,0)*($G325-$H325)</f>
        <v>65.277568426666662</v>
      </c>
      <c r="AU325" s="22">
        <f>VLOOKUP($A325,tabCustoUnit[],COLUMN(CUSTO_GLOBAL[[#Headers],[Indenização Adicional (Art. 9º da Lei nº 7.238/84)]])-2,0)*($G325-$H325)</f>
        <v>1.7790035000000002</v>
      </c>
      <c r="AV325" s="22">
        <f>VLOOKUP($A325,tabCustoUnit[],COLUMN(CUSTO_GLOBAL[[#Headers],[MÓDULO 3 – PROVISÃO PARA RESCISÃO]])-2,0)*($G325-$H325)</f>
        <v>93.997982125467587</v>
      </c>
      <c r="AW325" s="22">
        <f>VLOOKUP($A325,tabCustoUnit[],COLUMN(CUSTO_GLOBAL[[#Headers],[Ausência por Doença]])-2,0)*($G325-$H325)</f>
        <v>18.027235466666664</v>
      </c>
      <c r="AX325" s="22">
        <f>VLOOKUP($A325,tabCustoUnit[],COLUMN(CUSTO_GLOBAL[[#Headers],[Ausências Legais]])-2,0)*($G325-$H325)</f>
        <v>4.3289085166666661</v>
      </c>
      <c r="AY325" s="22">
        <f>VLOOKUP($A325,tabCustoUnit[],COLUMN(CUSTO_GLOBAL[[#Headers],[Licença Paternidade]])-2,0)*($G325-$H325)</f>
        <v>0.36469571750000002</v>
      </c>
      <c r="AZ325" s="22">
        <f>VLOOKUP($A325,tabCustoUnit[],COLUMN(CUSTO_GLOBAL[[#Headers],[Ausência por Acidente de Trabalho]])-2,0)*($G325-$H325)</f>
        <v>0.44475087500000005</v>
      </c>
      <c r="BA325" s="22">
        <f>VLOOKUP($A325,tabCustoUnit[],COLUMN(CUSTO_GLOBAL[[#Headers],[Férias, Adicional de Férias e 13º  com empregada em gozo de Licença Maternidade]])-2,0)*($G325-$H325)</f>
        <v>2.7673387777777778</v>
      </c>
      <c r="BB325" s="22">
        <f>VLOOKUP($A325,tabCustoUnit[],COLUMN(CUSTO_GLOBAL[[#Headers],[Incidência do Submódulo 2.1 sobre Ausências Legais]])-2,0)*($G325-$H325)</f>
        <v>9.8026472956650021</v>
      </c>
      <c r="BC325" s="22">
        <f>VLOOKUP($A325,tabCustoUnit[],COLUMN(CUSTO_GLOBAL[[#Headers],[Submódulo 4.1]])-2,0)*($G325-$H325)</f>
        <v>35.735576649276105</v>
      </c>
      <c r="BD325" s="22">
        <f>VLOOKUP($A325,tabCustoUnit[],COLUMN(CUSTO_GLOBAL[[#Headers],[Intervalo para Repouso ou Alimentação]])-2,0)*($G325-$H325)</f>
        <v>291.10965839090369</v>
      </c>
      <c r="BE325" s="22">
        <f>VLOOKUP($A325,tabCustoUnit[],COLUMN(CUSTO_GLOBAL[[#Headers],[Submódulo 4.2]])-2,0)*($G325-$H325)</f>
        <v>291.10965839090369</v>
      </c>
      <c r="BF325" s="22">
        <f>VLOOKUP($A325,tabCustoUnit[],COLUMN(CUSTO_GLOBAL[[#Headers],[Suspensão Temporária do Contrato de Trabalho]])-2,0)*($G325-$H325)</f>
        <v>0</v>
      </c>
      <c r="BG325" s="22">
        <f>VLOOKUP($A325,tabCustoUnit[],COLUMN(CUSTO_GLOBAL[[#Headers],[Submódulo 4.3]])-2,0)*($G325-$H325)</f>
        <v>0</v>
      </c>
      <c r="BH325" s="22">
        <f>VLOOKUP($A325,tabCustoUnit[],COLUMN(CUSTO_GLOBAL[[#Headers],[MÓDULO 4 – CUSTO DE REPOSIÇÃO DO PROFISSIONAL AUSENTE]])-2,0)*($G325-$H325)</f>
        <v>326.84523504017977</v>
      </c>
      <c r="BI325" s="22">
        <f>VLOOKUP($A325,tabCustoUnit[],COLUMN(CUSTO_GLOBAL[[#Headers],[Uniformes e EPIs]])-2,0)*($G325-$H325)</f>
        <v>56.642978962543395</v>
      </c>
      <c r="BJ325" s="22">
        <f>VLOOKUP($A325,tabCustoUnit[],COLUMN(CUSTO_GLOBAL[[#Headers],[Materiais de Consumo]])-2,0)*($G325-$H325)</f>
        <v>0</v>
      </c>
      <c r="BK325" s="22">
        <f>VLOOKUP($A325,tabCustoUnit[],COLUMN(CUSTO_GLOBAL[[#Headers],[Máquinas e Equipamentos (depreciação)]])-2,0)*($G325-$H325)</f>
        <v>0</v>
      </c>
      <c r="BL325" s="22">
        <f>VLOOKUP($A325,tabCustoUnit[],COLUMN(CUSTO_GLOBAL[[#Headers],[Produtos de Limpeza e Materiais de Higiene Pessoal]])-2,0)*($G325-$H325)</f>
        <v>0</v>
      </c>
      <c r="BM325" s="22">
        <f>VLOOKUP($A325,tabCustoUnit[],COLUMN(CUSTO_GLOBAL[[#Headers],[Outros (especificar)]])-2,0)*($G325-$H325)</f>
        <v>0</v>
      </c>
      <c r="BN325" s="22">
        <f>VLOOKUP($A325,tabCustoUnit[],COLUMN(CUSTO_GLOBAL[[#Headers],[MÓDULO 5 – INSUMOS DIVERSOS]])-2,0)*($G325-$H325)</f>
        <v>56.642978962543395</v>
      </c>
      <c r="BO325" s="22" t="e">
        <f ca="1">VLOOKUP($A325,tabCustoUnit[],COLUMN(CUSTO_GLOBAL[[#Headers],[TOTAL MÓDULOS 1+2+3+4+5]])-2,0)*($G325-$H325)</f>
        <v>#NAME?</v>
      </c>
      <c r="BP325" s="22" t="e">
        <f ca="1">VLOOKUP($A325,tabCustoUnit[],COLUMN(CUSTO_GLOBAL[[#Headers],[Custos Indiretos]])-2,0)*($G325-$H325)</f>
        <v>#NAME?</v>
      </c>
      <c r="BQ325" s="22" t="e">
        <f ca="1">VLOOKUP($A325,tabCustoUnit[],COLUMN(CUSTO_GLOBAL[[#Headers],[Lucro]])-2,0)*($G325-$H325)</f>
        <v>#NAME?</v>
      </c>
      <c r="BR325" s="26">
        <f>VLOOKUP($A325,tabCustoUnit[],COLUMN(CUSTO_GLOBAL[[#Headers],[COFINS]])-2,0)</f>
        <v>8.5633802816901458E-2</v>
      </c>
      <c r="BS325" s="26">
        <f>VLOOKUP($A325,tabCustoUnit[],COLUMN(CUSTO_GLOBAL[[#Headers],[PIS]])-2,0)</f>
        <v>1.8591549295774657E-2</v>
      </c>
      <c r="BT325" s="28">
        <f>VLOOKUP($A325,tabCustoUnit[],COLUMN(CUSTO_GLOBAL[[#Headers],[ISS]])-2,0)</f>
        <v>0.02</v>
      </c>
      <c r="BU325" s="26">
        <f>VLOOKUP($A325,tabCustoUnit[],COLUMN(CUSTO_GLOBAL[[#Headers],[ISS (Conversão Alíquota s/ fatura)]])-2,0)</f>
        <v>2.2535211267605645E-2</v>
      </c>
      <c r="BV325" s="26">
        <f>VLOOKUP($A325,tabCustoUnit[],COLUMN(CUSTO_GLOBAL[[#Headers],[Resumo de Alíquotas (PIS+CONFINS+ISS)]])-2,0)</f>
        <v>0.1125</v>
      </c>
      <c r="BW325" s="138">
        <f>VLOOKUP($A325,tabCustoUnit[],COLUMN(CUSTO_GLOBAL[[#Headers],[PIS + COFINS + ISS (Total Conversão  Alíquota s/ Fatura)]])-2,0)</f>
        <v>0.12676056338028174</v>
      </c>
      <c r="BX325" s="22" t="e">
        <f ca="1">VLOOKUP($A325,tabCustoUnit[],COLUMN(CUSTO_GLOBAL[[#Headers],[Valor dos Tributos (ISS, PIS, CONFINS)]])-2,0)*($G325-$H325)</f>
        <v>#NAME?</v>
      </c>
      <c r="BY325" s="22" t="e">
        <f ca="1">VLOOKUP($A325,tabCustoUnit[],COLUMN(CUSTO_GLOBAL[[#Headers],[MÓDULO 6 – CUSTOS INDIRETOS, TRIBUTOS E LUCRO]])-2,0)*($G325-$H325)</f>
        <v>#NAME?</v>
      </c>
      <c r="BZ325" s="22" t="e">
        <f ca="1">VLOOKUP($A325,tabCustoUnit[],COLUMN(CUSTO_GLOBAL[[#Headers],[CUSTO TOTAL MENSAL]])-2,0)*($G325-$H325)</f>
        <v>#NAME?</v>
      </c>
      <c r="CA325" s="22" t="e">
        <f ca="1">CUSTO_GLOBAL[[#This Row],[CUSTO TOTAL MENSAL]]*12</f>
        <v>#NAME?</v>
      </c>
      <c r="CB325" s="24">
        <f>VLOOKUP($A325,tabCustoUnit[],COLUMN(CUSTO_GLOBAL[[#Headers],[ANO DA CCT]])-2,0)</f>
        <v>45658</v>
      </c>
      <c r="CC325" s="25" t="str">
        <f>VLOOKUP($A325,tabCustoUnit[],COLUMN(CUSTO_GLOBAL[[#Headers],[Nº DE PEDIDO DA CCT]])-2,0)</f>
        <v>-</v>
      </c>
      <c r="CD325" s="25" t="str">
        <f>VLOOKUP($A325,tabCustoUnit[],COLUMN(CUSTO_GLOBAL[[#Headers],[TERMO ADITIVO ALTERAÇÃO DA CCT]])-2,0)</f>
        <v>-</v>
      </c>
    </row>
    <row r="326" spans="1:82">
      <c r="A326" s="20" t="s">
        <v>1732</v>
      </c>
      <c r="B326" t="s">
        <v>1071</v>
      </c>
      <c r="C326" t="s">
        <v>324</v>
      </c>
      <c r="D326" t="s">
        <v>1071</v>
      </c>
      <c r="E326" s="20" t="s">
        <v>1090</v>
      </c>
      <c r="F326" s="20" t="s">
        <v>120</v>
      </c>
      <c r="G326" s="20">
        <v>5</v>
      </c>
      <c r="H326" s="20">
        <v>0</v>
      </c>
      <c r="I326" s="21">
        <f>VLOOKUP($A326,tabCustoUnit[],COLUMN(CUSTO_GLOBAL[[#Headers],[Salário Base]])-2,0)*($G326-$H326)</f>
        <v>16985.6525</v>
      </c>
      <c r="J326" s="21">
        <f>VLOOKUP($A326,tabCustoUnit[],COLUMN(CUSTO_GLOBAL[[#Headers],[Adicional Periculosidade]])-2,0)*($G326-$H326)</f>
        <v>0</v>
      </c>
      <c r="K326" s="21">
        <f>VLOOKUP($A326,tabCustoUnit[],COLUMN(CUSTO_GLOBAL[[#Headers],[Adicional Insalubridade]])-2,0)*($G326-$H326)</f>
        <v>0</v>
      </c>
      <c r="L326" s="21">
        <f>VLOOKUP($A326,tabCustoUnit[],COLUMN(CUSTO_GLOBAL[[#Headers],[Adicional Noturno]])-2,0)*($G326-$H326)</f>
        <v>0</v>
      </c>
      <c r="M326" s="21">
        <f>VLOOKUP($A326,tabCustoUnit[],COLUMN(CUSTO_GLOBAL[[#Headers],[Adicional Motorista II (Gratificação)]])-2,0)*($G326-$H326)</f>
        <v>0</v>
      </c>
      <c r="N326" s="21">
        <f>VLOOKUP($A326,tabCustoUnit[],COLUMN(CUSTO_GLOBAL[[#Headers],[Adicional de Sobreaviso]])-2,0)*($G326-$H326)</f>
        <v>0</v>
      </c>
      <c r="O326" s="21">
        <f>VLOOKUP($A326,tabCustoUnit[],COLUMN(CUSTO_GLOBAL[[#Headers],[Horas Extras TI]])-2,0)*($G326-$H326)</f>
        <v>0</v>
      </c>
      <c r="P326" s="21">
        <f>VLOOKUP($A326,tabCustoUnit[],COLUMN(CUSTO_GLOBAL[[#Headers],[Adicional de Acúmulo de função]])-2,0)*($G326-$H326)</f>
        <v>0</v>
      </c>
      <c r="Q326" s="21">
        <f>VLOOKUP($A326,tabCustoUnit[],COLUMN(CUSTO_GLOBAL[[#Headers],[MODULO 1 - REMUNERAÇÃO ]])-2,0)*($G326-$H326)</f>
        <v>16985.6525</v>
      </c>
      <c r="R326" s="21">
        <f>VLOOKUP($A326,tabCustoUnit[],COLUMN(CUSTO_GLOBAL[[#Headers],[INSS]])-2,0)*($G326-$H326)</f>
        <v>3397.1305000000007</v>
      </c>
      <c r="S326" s="21">
        <f>VLOOKUP($A326,tabCustoUnit[],COLUMN(CUSTO_GLOBAL[[#Headers],[SESI OU SESC]])-2,0)*($G326-$H326)</f>
        <v>254.78478749999999</v>
      </c>
      <c r="T326" s="21">
        <f>VLOOKUP($A326,tabCustoUnit[],COLUMN(CUSTO_GLOBAL[[#Headers],[SENAI OU SENAC]])-2,0)*($G326-$H326)</f>
        <v>169.856525</v>
      </c>
      <c r="U326" s="21">
        <f>VLOOKUP($A326,tabCustoUnit[],COLUMN(CUSTO_GLOBAL[[#Headers],[INCRA]])-2,0)*($G326-$H326)</f>
        <v>33.971305000000001</v>
      </c>
      <c r="V326" s="21">
        <f>VLOOKUP($A326,tabCustoUnit[],COLUMN(CUSTO_GLOBAL[[#Headers],[Salário Educação]])-2,0)*($G326-$H326)</f>
        <v>424.64131250000008</v>
      </c>
      <c r="W326" s="21">
        <f>VLOOKUP($A326,tabCustoUnit[],COLUMN(CUSTO_GLOBAL[[#Headers],[FGTS]])-2,0)*($G326-$H326)</f>
        <v>1358.8522</v>
      </c>
      <c r="X326" s="21">
        <f>VLOOKUP($A326,tabCustoUnit[],COLUMN(CUSTO_GLOBAL[[#Headers],[RAT Ajustado]])-2,0)*($G326-$H326)</f>
        <v>679.42610000000002</v>
      </c>
      <c r="Y326" s="21">
        <f>VLOOKUP($A326,tabCustoUnit[],COLUMN(CUSTO_GLOBAL[[#Headers],[SEBRAE]])-2,0)*($G326-$H326)</f>
        <v>101.91391500000002</v>
      </c>
      <c r="Z326" s="21">
        <f>VLOOKUP($A326,tabCustoUnit[],COLUMN(CUSTO_GLOBAL[[#Headers],[Submódulo 2.1]])-2,0)*($G326-$H326)</f>
        <v>6420.576645000001</v>
      </c>
      <c r="AA326" s="21">
        <f>VLOOKUP($A326,tabCustoUnit[],COLUMN(CUSTO_GLOBAL[[#Headers],[13º salário (titular)]])-2,0)*($G326-$H326)</f>
        <v>1415.4710416666667</v>
      </c>
      <c r="AB326" s="21">
        <f>VLOOKUP($A326,tabCustoUnit[],COLUMN(CUSTO_GLOBAL[[#Headers],[Férias e Adicional de Férias (titular)]])-2,0)*($G326-$H326)</f>
        <v>1887.2947222222224</v>
      </c>
      <c r="AC326" s="21">
        <f>VLOOKUP($A326,tabCustoUnit[],COLUMN(CUSTO_GLOBAL[[#Headers],[Incidência do Submódulo 2.1 sobre 13º Salário, Férias e Adicional de Férias]])-2,0)*($G326-$H326)</f>
        <v>1248.4454587500002</v>
      </c>
      <c r="AD326" s="21">
        <f>VLOOKUP($A326,tabCustoUnit[],COLUMN(CUSTO_GLOBAL[[#Headers],[Submódulo 2.2]])-2,0)*($G326-$H326)</f>
        <v>4551.211222638889</v>
      </c>
      <c r="AE326" s="22" t="e">
        <f ca="1">VLOOKUP($A326,tabCustoUnit[],COLUMN(CUSTO_GLOBAL[[#Headers],[Vale - Transporte (Descontada parcela do empregado)]])-2,0)*($G326-$H326)</f>
        <v>#NAME?</v>
      </c>
      <c r="AF326" s="22">
        <f>VLOOKUP($A326,tabCustoUnit[],COLUMN(CUSTO_GLOBAL[[#Headers],[Vale - Alimentação (Descontada parcela do empregado)]])-2,0)*($G326-$H326)</f>
        <v>0</v>
      </c>
      <c r="AG326" s="22">
        <f>VLOOKUP($A326,tabCustoUnit[],COLUMN(CUSTO_GLOBAL[[#Headers],[Cesta Básica]])-2,0)*($G326-$H326)</f>
        <v>1938.95</v>
      </c>
      <c r="AH326" s="22">
        <f>VLOOKUP($A326,tabCustoUnit[],COLUMN(CUSTO_GLOBAL[[#Headers],[PAF]])-2,0)*($G326-$H326)</f>
        <v>214.85</v>
      </c>
      <c r="AI326" s="22">
        <f>VLOOKUP($A326,tabCustoUnit[],COLUMN(CUSTO_GLOBAL[[#Headers],[PQM]])-2,0)*($G326-$H326)</f>
        <v>0</v>
      </c>
      <c r="AJ326" s="22">
        <v>0</v>
      </c>
      <c r="AK326" s="22">
        <f>VLOOKUP($A326,tabCustoUnit[],COLUMN(CUSTO_GLOBAL[[#Headers],[Seguro de Vida]])-2,0)*($G326-$H326)</f>
        <v>16.8</v>
      </c>
      <c r="AL326" s="22">
        <f>VLOOKUP($A326,tabCustoUnit[],COLUMN(CUSTO_GLOBAL[[#Headers],[Despesas de Viagem]])-2,0)*($G326-$H326)</f>
        <v>0</v>
      </c>
      <c r="AM326" s="22" t="e">
        <f ca="1">VLOOKUP($A326,tabCustoUnit[],COLUMN(CUSTO_GLOBAL[[#Headers],[Submódulo 2.3]])-2,0)*($G326-$H326)</f>
        <v>#NAME?</v>
      </c>
      <c r="AN326" s="22" t="e">
        <f ca="1">VLOOKUP($A326,tabCustoUnit[],COLUMN(CUSTO_GLOBAL[[#Headers],[MÓDULO 2 - Total Encargos e Benefícios mensais e diários]])-2,0)*($G326-$H326)</f>
        <v>#NAME?</v>
      </c>
      <c r="AO326" s="22">
        <f>VLOOKUP($A326,tabCustoUnit[],COLUMN(CUSTO_GLOBAL[[#Headers],[Aviso Prévio Indenizado (API) e Reflexo do Aviso Prévio Indenizado]])-2,0)*($G326-$H326)</f>
        <v>119.09943725356868</v>
      </c>
      <c r="AP326" s="22">
        <f>VLOOKUP($A326,tabCustoUnit[],COLUMN(CUSTO_GLOBAL[[#Headers],[Incidência do FGTS sobre API e Reflexo do API]])-2,0)*($G326-$H326)</f>
        <v>9.5279549802854966</v>
      </c>
      <c r="AQ326" s="22">
        <f>VLOOKUP($A326,tabCustoUnit[],COLUMN(CUSTO_GLOBAL[[#Headers],[Multa Rescisória do FGTS sobre o Aviso Prévio Indenizado]])-2,0)*($G326-$H326)</f>
        <v>3.8111819921141987</v>
      </c>
      <c r="AR326" s="22">
        <f>VLOOKUP($A326,tabCustoUnit[],COLUMN(CUSTO_GLOBAL[[#Headers],[Aviso Prévio Trabalhado - APT]])-2,0)*($G326-$H326)</f>
        <v>59.449783750000016</v>
      </c>
      <c r="AS326" s="22">
        <f>VLOOKUP($A326,tabCustoUnit[],COLUMN(CUSTO_GLOBAL[[#Headers],[Incidência dos encargos do submódulo 2.1 sobre Aviso Prévio Trabalhado]])-2,0)*($G326-$H326)</f>
        <v>22.472018257500007</v>
      </c>
      <c r="AT326" s="22">
        <f>VLOOKUP($A326,tabCustoUnit[],COLUMN(CUSTO_GLOBAL[[#Headers],[Multa Rescisória do FGTS]])-2,0)*($G326-$H326)</f>
        <v>519.38350755555552</v>
      </c>
      <c r="AU326" s="22">
        <f>VLOOKUP($A326,tabCustoUnit[],COLUMN(CUSTO_GLOBAL[[#Headers],[Indenização Adicional (Art. 9º da Lei nº 7.238/84)]])-2,0)*($G326-$H326)</f>
        <v>14.154710416666669</v>
      </c>
      <c r="AV326" s="22">
        <f>VLOOKUP($A326,tabCustoUnit[],COLUMN(CUSTO_GLOBAL[[#Headers],[MÓDULO 3 – PROVISÃO PARA RESCISÃO]])-2,0)*($G326-$H326)</f>
        <v>747.89859420569064</v>
      </c>
      <c r="AW326" s="22">
        <f>VLOOKUP($A326,tabCustoUnit[],COLUMN(CUSTO_GLOBAL[[#Headers],[Ausência por Doença]])-2,0)*($G326-$H326)</f>
        <v>143.43439888888889</v>
      </c>
      <c r="AX326" s="22">
        <f>VLOOKUP($A326,tabCustoUnit[],COLUMN(CUSTO_GLOBAL[[#Headers],[Ausências Legais]])-2,0)*($G326-$H326)</f>
        <v>34.443128680555553</v>
      </c>
      <c r="AY326" s="22">
        <f>VLOOKUP($A326,tabCustoUnit[],COLUMN(CUSTO_GLOBAL[[#Headers],[Licença Paternidade]])-2,0)*($G326-$H326)</f>
        <v>2.9017156354166667</v>
      </c>
      <c r="AZ326" s="22">
        <f>VLOOKUP($A326,tabCustoUnit[],COLUMN(CUSTO_GLOBAL[[#Headers],[Ausência por Acidente de Trabalho]])-2,0)*($G326-$H326)</f>
        <v>3.5386776041666672</v>
      </c>
      <c r="BA326" s="22">
        <f>VLOOKUP($A326,tabCustoUnit[],COLUMN(CUSTO_GLOBAL[[#Headers],[Férias, Adicional de Férias e 13º  com empregada em gozo de Licença Maternidade]])-2,0)*($G326-$H326)</f>
        <v>22.018438425925929</v>
      </c>
      <c r="BB326" s="22">
        <f>VLOOKUP($A326,tabCustoUnit[],COLUMN(CUSTO_GLOBAL[[#Headers],[Incidência do Submódulo 2.1 sobre Ausências Legais]])-2,0)*($G326-$H326)</f>
        <v>77.99514379081252</v>
      </c>
      <c r="BC326" s="22">
        <f>VLOOKUP($A326,tabCustoUnit[],COLUMN(CUSTO_GLOBAL[[#Headers],[Submódulo 4.1]])-2,0)*($G326-$H326)</f>
        <v>284.33150302576615</v>
      </c>
      <c r="BD326" s="22">
        <f>VLOOKUP($A326,tabCustoUnit[],COLUMN(CUSTO_GLOBAL[[#Headers],[Intervalo para Repouso ou Alimentação]])-2,0)*($G326-$H326)</f>
        <v>0</v>
      </c>
      <c r="BE326" s="22">
        <f>VLOOKUP($A326,tabCustoUnit[],COLUMN(CUSTO_GLOBAL[[#Headers],[Submódulo 4.2]])-2,0)*($G326-$H326)</f>
        <v>0</v>
      </c>
      <c r="BF326" s="22">
        <f>VLOOKUP($A326,tabCustoUnit[],COLUMN(CUSTO_GLOBAL[[#Headers],[Suspensão Temporária do Contrato de Trabalho]])-2,0)*($G326-$H326)</f>
        <v>0</v>
      </c>
      <c r="BG326" s="22">
        <f>VLOOKUP($A326,tabCustoUnit[],COLUMN(CUSTO_GLOBAL[[#Headers],[Submódulo 4.3]])-2,0)*($G326-$H326)</f>
        <v>0</v>
      </c>
      <c r="BH326" s="22">
        <f>VLOOKUP($A326,tabCustoUnit[],COLUMN(CUSTO_GLOBAL[[#Headers],[MÓDULO 4 – CUSTO DE REPOSIÇÃO DO PROFISSIONAL AUSENTE]])-2,0)*($G326-$H326)</f>
        <v>284.33150302576615</v>
      </c>
      <c r="BI326" s="22">
        <f>VLOOKUP($A326,tabCustoUnit[],COLUMN(CUSTO_GLOBAL[[#Headers],[Uniformes e EPIs]])-2,0)*($G326-$H326)</f>
        <v>283.21489481271698</v>
      </c>
      <c r="BJ326" s="22">
        <f>VLOOKUP($A326,tabCustoUnit[],COLUMN(CUSTO_GLOBAL[[#Headers],[Materiais de Consumo]])-2,0)*($G326-$H326)</f>
        <v>0</v>
      </c>
      <c r="BK326" s="22">
        <f>VLOOKUP($A326,tabCustoUnit[],COLUMN(CUSTO_GLOBAL[[#Headers],[Máquinas e Equipamentos (depreciação)]])-2,0)*($G326-$H326)</f>
        <v>0</v>
      </c>
      <c r="BL326" s="22">
        <f>VLOOKUP($A326,tabCustoUnit[],COLUMN(CUSTO_GLOBAL[[#Headers],[Produtos de Limpeza e Materiais de Higiene Pessoal]])-2,0)*($G326-$H326)</f>
        <v>0</v>
      </c>
      <c r="BM326" s="22">
        <f>VLOOKUP($A326,tabCustoUnit[],COLUMN(CUSTO_GLOBAL[[#Headers],[Outros (especificar)]])-2,0)*($G326-$H326)</f>
        <v>0</v>
      </c>
      <c r="BN326" s="22">
        <f>VLOOKUP($A326,tabCustoUnit[],COLUMN(CUSTO_GLOBAL[[#Headers],[MÓDULO 5 – INSUMOS DIVERSOS]])-2,0)*($G326-$H326)</f>
        <v>283.21489481271698</v>
      </c>
      <c r="BO326" s="22" t="e">
        <f ca="1">VLOOKUP($A326,tabCustoUnit[],COLUMN(CUSTO_GLOBAL[[#Headers],[TOTAL MÓDULOS 1+2+3+4+5]])-2,0)*($G326-$H326)</f>
        <v>#NAME?</v>
      </c>
      <c r="BP326" s="22" t="e">
        <f ca="1">VLOOKUP($A326,tabCustoUnit[],COLUMN(CUSTO_GLOBAL[[#Headers],[Custos Indiretos]])-2,0)*($G326-$H326)</f>
        <v>#NAME?</v>
      </c>
      <c r="BQ326" s="22" t="e">
        <f ca="1">VLOOKUP($A326,tabCustoUnit[],COLUMN(CUSTO_GLOBAL[[#Headers],[Lucro]])-2,0)*($G326-$H326)</f>
        <v>#NAME?</v>
      </c>
      <c r="BR326" s="26">
        <f>VLOOKUP($A326,tabCustoUnit[],COLUMN(CUSTO_GLOBAL[[#Headers],[COFINS]])-2,0)</f>
        <v>8.5633802816901458E-2</v>
      </c>
      <c r="BS326" s="26">
        <f>VLOOKUP($A326,tabCustoUnit[],COLUMN(CUSTO_GLOBAL[[#Headers],[PIS]])-2,0)</f>
        <v>1.8591549295774657E-2</v>
      </c>
      <c r="BT326" s="28">
        <f>VLOOKUP($A326,tabCustoUnit[],COLUMN(CUSTO_GLOBAL[[#Headers],[ISS]])-2,0)</f>
        <v>0.02</v>
      </c>
      <c r="BU326" s="26">
        <f>VLOOKUP($A326,tabCustoUnit[],COLUMN(CUSTO_GLOBAL[[#Headers],[ISS (Conversão Alíquota s/ fatura)]])-2,0)</f>
        <v>2.2535211267605645E-2</v>
      </c>
      <c r="BV326" s="26">
        <f>VLOOKUP($A326,tabCustoUnit[],COLUMN(CUSTO_GLOBAL[[#Headers],[Resumo de Alíquotas (PIS+CONFINS+ISS)]])-2,0)</f>
        <v>0.1125</v>
      </c>
      <c r="BW326" s="138">
        <f>VLOOKUP($A326,tabCustoUnit[],COLUMN(CUSTO_GLOBAL[[#Headers],[PIS + COFINS + ISS (Total Conversão  Alíquota s/ Fatura)]])-2,0)</f>
        <v>0.12676056338028174</v>
      </c>
      <c r="BX326" s="22" t="e">
        <f ca="1">VLOOKUP($A326,tabCustoUnit[],COLUMN(CUSTO_GLOBAL[[#Headers],[Valor dos Tributos (ISS, PIS, CONFINS)]])-2,0)*($G326-$H326)</f>
        <v>#NAME?</v>
      </c>
      <c r="BY326" s="22" t="e">
        <f ca="1">VLOOKUP($A326,tabCustoUnit[],COLUMN(CUSTO_GLOBAL[[#Headers],[MÓDULO 6 – CUSTOS INDIRETOS, TRIBUTOS E LUCRO]])-2,0)*($G326-$H326)</f>
        <v>#NAME?</v>
      </c>
      <c r="BZ326" s="22" t="e">
        <f ca="1">VLOOKUP($A326,tabCustoUnit[],COLUMN(CUSTO_GLOBAL[[#Headers],[CUSTO TOTAL MENSAL]])-2,0)*($G326-$H326)</f>
        <v>#NAME?</v>
      </c>
      <c r="CA326" s="22" t="e">
        <f ca="1">CUSTO_GLOBAL[[#This Row],[CUSTO TOTAL MENSAL]]*12</f>
        <v>#NAME?</v>
      </c>
      <c r="CB326" s="24">
        <f>VLOOKUP($A326,tabCustoUnit[],COLUMN(CUSTO_GLOBAL[[#Headers],[ANO DA CCT]])-2,0)</f>
        <v>45658</v>
      </c>
      <c r="CC326" s="25" t="str">
        <f>VLOOKUP($A326,tabCustoUnit[],COLUMN(CUSTO_GLOBAL[[#Headers],[Nº DE PEDIDO DA CCT]])-2,0)</f>
        <v>-</v>
      </c>
      <c r="CD326" s="25" t="str">
        <f>VLOOKUP($A326,tabCustoUnit[],COLUMN(CUSTO_GLOBAL[[#Headers],[TERMO ADITIVO ALTERAÇÃO DA CCT]])-2,0)</f>
        <v>-</v>
      </c>
    </row>
    <row r="327" spans="1:82">
      <c r="A327" s="20" t="s">
        <v>1733</v>
      </c>
      <c r="B327" t="s">
        <v>1071</v>
      </c>
      <c r="C327" t="s">
        <v>394</v>
      </c>
      <c r="D327" t="s">
        <v>1063</v>
      </c>
      <c r="E327" s="20" t="s">
        <v>1090</v>
      </c>
      <c r="F327" s="20" t="s">
        <v>120</v>
      </c>
      <c r="G327" s="20">
        <v>1</v>
      </c>
      <c r="H327" s="20">
        <v>0</v>
      </c>
      <c r="I327" s="21">
        <f>VLOOKUP($A327,tabCustoUnit[],COLUMN(CUSTO_GLOBAL[[#Headers],[Salário Base]])-2,0)*($G327-$H327)</f>
        <v>2404.7339999999999</v>
      </c>
      <c r="J327" s="21">
        <f>VLOOKUP($A327,tabCustoUnit[],COLUMN(CUSTO_GLOBAL[[#Headers],[Adicional Periculosidade]])-2,0)*($G327-$H327)</f>
        <v>0</v>
      </c>
      <c r="K327" s="21">
        <f>VLOOKUP($A327,tabCustoUnit[],COLUMN(CUSTO_GLOBAL[[#Headers],[Adicional Insalubridade]])-2,0)*($G327-$H327)</f>
        <v>0</v>
      </c>
      <c r="L327" s="21">
        <f>VLOOKUP($A327,tabCustoUnit[],COLUMN(CUSTO_GLOBAL[[#Headers],[Adicional Noturno]])-2,0)*($G327-$H327)</f>
        <v>0</v>
      </c>
      <c r="M327" s="21">
        <f>VLOOKUP($A327,tabCustoUnit[],COLUMN(CUSTO_GLOBAL[[#Headers],[Adicional Motorista II (Gratificação)]])-2,0)*($G327-$H327)</f>
        <v>0</v>
      </c>
      <c r="N327" s="21">
        <f>VLOOKUP($A327,tabCustoUnit[],COLUMN(CUSTO_GLOBAL[[#Headers],[Adicional de Sobreaviso]])-2,0)*($G327-$H327)</f>
        <v>0</v>
      </c>
      <c r="O327" s="21">
        <f>VLOOKUP($A327,tabCustoUnit[],COLUMN(CUSTO_GLOBAL[[#Headers],[Horas Extras TI]])-2,0)*($G327-$H327)</f>
        <v>0</v>
      </c>
      <c r="P327" s="21">
        <f>VLOOKUP($A327,tabCustoUnit[],COLUMN(CUSTO_GLOBAL[[#Headers],[Adicional de Acúmulo de função]])-2,0)*($G327-$H327)</f>
        <v>0</v>
      </c>
      <c r="Q327" s="21">
        <f>VLOOKUP($A327,tabCustoUnit[],COLUMN(CUSTO_GLOBAL[[#Headers],[MODULO 1 - REMUNERAÇÃO ]])-2,0)*($G327-$H327)</f>
        <v>2404.7339999999999</v>
      </c>
      <c r="R327" s="21">
        <f>VLOOKUP($A327,tabCustoUnit[],COLUMN(CUSTO_GLOBAL[[#Headers],[INSS]])-2,0)*($G327-$H327)</f>
        <v>480.9468</v>
      </c>
      <c r="S327" s="21">
        <f>VLOOKUP($A327,tabCustoUnit[],COLUMN(CUSTO_GLOBAL[[#Headers],[SESI OU SESC]])-2,0)*($G327-$H327)</f>
        <v>36.071009999999994</v>
      </c>
      <c r="T327" s="21">
        <f>VLOOKUP($A327,tabCustoUnit[],COLUMN(CUSTO_GLOBAL[[#Headers],[SENAI OU SENAC]])-2,0)*($G327-$H327)</f>
        <v>24.047339999999998</v>
      </c>
      <c r="U327" s="21">
        <f>VLOOKUP($A327,tabCustoUnit[],COLUMN(CUSTO_GLOBAL[[#Headers],[INCRA]])-2,0)*($G327-$H327)</f>
        <v>4.8094679999999999</v>
      </c>
      <c r="V327" s="21">
        <f>VLOOKUP($A327,tabCustoUnit[],COLUMN(CUSTO_GLOBAL[[#Headers],[Salário Educação]])-2,0)*($G327-$H327)</f>
        <v>60.11835</v>
      </c>
      <c r="W327" s="21">
        <f>VLOOKUP($A327,tabCustoUnit[],COLUMN(CUSTO_GLOBAL[[#Headers],[FGTS]])-2,0)*($G327-$H327)</f>
        <v>192.37871999999999</v>
      </c>
      <c r="X327" s="21">
        <f>VLOOKUP($A327,tabCustoUnit[],COLUMN(CUSTO_GLOBAL[[#Headers],[RAT Ajustado]])-2,0)*($G327-$H327)</f>
        <v>96.189359999999994</v>
      </c>
      <c r="Y327" s="21">
        <f>VLOOKUP($A327,tabCustoUnit[],COLUMN(CUSTO_GLOBAL[[#Headers],[SEBRAE]])-2,0)*($G327-$H327)</f>
        <v>14.428404</v>
      </c>
      <c r="Z327" s="21">
        <f>VLOOKUP($A327,tabCustoUnit[],COLUMN(CUSTO_GLOBAL[[#Headers],[Submódulo 2.1]])-2,0)*($G327-$H327)</f>
        <v>908.98945199999991</v>
      </c>
      <c r="AA327" s="21">
        <f>VLOOKUP($A327,tabCustoUnit[],COLUMN(CUSTO_GLOBAL[[#Headers],[13º salário (titular)]])-2,0)*($G327-$H327)</f>
        <v>200.39449999999999</v>
      </c>
      <c r="AB327" s="21">
        <f>VLOOKUP($A327,tabCustoUnit[],COLUMN(CUSTO_GLOBAL[[#Headers],[Férias e Adicional de Férias (titular)]])-2,0)*($G327-$H327)</f>
        <v>267.19266666666664</v>
      </c>
      <c r="AC327" s="21">
        <f>VLOOKUP($A327,tabCustoUnit[],COLUMN(CUSTO_GLOBAL[[#Headers],[Incidência do Submódulo 2.1 sobre 13º Salário, Férias e Adicional de Férias]])-2,0)*($G327-$H327)</f>
        <v>176.74794899999998</v>
      </c>
      <c r="AD327" s="21">
        <f>VLOOKUP($A327,tabCustoUnit[],COLUMN(CUSTO_GLOBAL[[#Headers],[Submódulo 2.2]])-2,0)*($G327-$H327)</f>
        <v>644.33511566666664</v>
      </c>
      <c r="AE327" s="22" t="e">
        <f ca="1">VLOOKUP($A327,tabCustoUnit[],COLUMN(CUSTO_GLOBAL[[#Headers],[Vale - Transporte (Descontada parcela do empregado)]])-2,0)*($G327-$H327)</f>
        <v>#NAME?</v>
      </c>
      <c r="AF327" s="22">
        <f>VLOOKUP($A327,tabCustoUnit[],COLUMN(CUSTO_GLOBAL[[#Headers],[Vale - Alimentação (Descontada parcela do empregado)]])-2,0)*($G327-$H327)</f>
        <v>502</v>
      </c>
      <c r="AG327" s="22">
        <f>VLOOKUP($A327,tabCustoUnit[],COLUMN(CUSTO_GLOBAL[[#Headers],[Cesta Básica]])-2,0)*($G327-$H327)</f>
        <v>0</v>
      </c>
      <c r="AH327" s="22">
        <f>VLOOKUP($A327,tabCustoUnit[],COLUMN(CUSTO_GLOBAL[[#Headers],[PAF]])-2,0)*($G327-$H327)</f>
        <v>0</v>
      </c>
      <c r="AI327" s="22">
        <f>VLOOKUP($A327,tabCustoUnit[],COLUMN(CUSTO_GLOBAL[[#Headers],[PQM]])-2,0)*($G327-$H327)</f>
        <v>0</v>
      </c>
      <c r="AJ327" s="22">
        <v>0</v>
      </c>
      <c r="AK327" s="22">
        <f>VLOOKUP($A327,tabCustoUnit[],COLUMN(CUSTO_GLOBAL[[#Headers],[Seguro de Vida]])-2,0)*($G327-$H327)</f>
        <v>3.36</v>
      </c>
      <c r="AL327" s="22">
        <f>VLOOKUP($A327,tabCustoUnit[],COLUMN(CUSTO_GLOBAL[[#Headers],[Despesas de Viagem]])-2,0)*($G327-$H327)</f>
        <v>0</v>
      </c>
      <c r="AM327" s="22" t="e">
        <f ca="1">VLOOKUP($A327,tabCustoUnit[],COLUMN(CUSTO_GLOBAL[[#Headers],[Submódulo 2.3]])-2,0)*($G327-$H327)</f>
        <v>#NAME?</v>
      </c>
      <c r="AN327" s="22" t="e">
        <f ca="1">VLOOKUP($A327,tabCustoUnit[],COLUMN(CUSTO_GLOBAL[[#Headers],[MÓDULO 2 - Total Encargos e Benefícios mensais e diários]])-2,0)*($G327-$H327)</f>
        <v>#NAME?</v>
      </c>
      <c r="AO327" s="22">
        <f>VLOOKUP($A327,tabCustoUnit[],COLUMN(CUSTO_GLOBAL[[#Headers],[Aviso Prévio Indenizado (API) e Reflexo do Aviso Prévio Indenizado]])-2,0)*($G327-$H327)</f>
        <v>16.861434445601851</v>
      </c>
      <c r="AP327" s="22">
        <f>VLOOKUP($A327,tabCustoUnit[],COLUMN(CUSTO_GLOBAL[[#Headers],[Incidência do FGTS sobre API e Reflexo do API]])-2,0)*($G327-$H327)</f>
        <v>1.3489147556481482</v>
      </c>
      <c r="AQ327" s="22">
        <f>VLOOKUP($A327,tabCustoUnit[],COLUMN(CUSTO_GLOBAL[[#Headers],[Multa Rescisória do FGTS sobre o Aviso Prévio Indenizado]])-2,0)*($G327-$H327)</f>
        <v>0.53956590225925938</v>
      </c>
      <c r="AR327" s="22">
        <f>VLOOKUP($A327,tabCustoUnit[],COLUMN(CUSTO_GLOBAL[[#Headers],[Aviso Prévio Trabalhado - APT]])-2,0)*($G327-$H327)</f>
        <v>8.4165690000000009</v>
      </c>
      <c r="AS327" s="22">
        <f>VLOOKUP($A327,tabCustoUnit[],COLUMN(CUSTO_GLOBAL[[#Headers],[Incidência dos encargos do submódulo 2.1 sobre Aviso Prévio Trabalhado]])-2,0)*($G327-$H327)</f>
        <v>3.1814630820000009</v>
      </c>
      <c r="AT327" s="22">
        <f>VLOOKUP($A327,tabCustoUnit[],COLUMN(CUSTO_GLOBAL[[#Headers],[Multa Rescisória do FGTS]])-2,0)*($G327-$H327)</f>
        <v>73.531421866666648</v>
      </c>
      <c r="AU327" s="22">
        <f>VLOOKUP($A327,tabCustoUnit[],COLUMN(CUSTO_GLOBAL[[#Headers],[Indenização Adicional (Art. 9º da Lei nº 7.238/84)]])-2,0)*($G327-$H327)</f>
        <v>2.0039449999999999</v>
      </c>
      <c r="AV327" s="22">
        <f>VLOOKUP($A327,tabCustoUnit[],COLUMN(CUSTO_GLOBAL[[#Headers],[MÓDULO 3 – PROVISÃO PARA RESCISÃO]])-2,0)*($G327-$H327)</f>
        <v>105.88331405217592</v>
      </c>
      <c r="AW327" s="22">
        <f>VLOOKUP($A327,tabCustoUnit[],COLUMN(CUSTO_GLOBAL[[#Headers],[Ausência por Doença]])-2,0)*($G327-$H327)</f>
        <v>20.306642666666665</v>
      </c>
      <c r="AX327" s="22">
        <f>VLOOKUP($A327,tabCustoUnit[],COLUMN(CUSTO_GLOBAL[[#Headers],[Ausências Legais]])-2,0)*($G327-$H327)</f>
        <v>4.8762661666666665</v>
      </c>
      <c r="AY327" s="22">
        <f>VLOOKUP($A327,tabCustoUnit[],COLUMN(CUSTO_GLOBAL[[#Headers],[Licença Paternidade]])-2,0)*($G327-$H327)</f>
        <v>0.41080872499999999</v>
      </c>
      <c r="AZ327" s="22">
        <f>VLOOKUP($A327,tabCustoUnit[],COLUMN(CUSTO_GLOBAL[[#Headers],[Ausência por Acidente de Trabalho]])-2,0)*($G327-$H327)</f>
        <v>0.50098624999999997</v>
      </c>
      <c r="BA327" s="22">
        <f>VLOOKUP($A327,tabCustoUnit[],COLUMN(CUSTO_GLOBAL[[#Headers],[Férias, Adicional de Férias e 13º  com empregada em gozo de Licença Maternidade]])-2,0)*($G327-$H327)</f>
        <v>3.1172477777777776</v>
      </c>
      <c r="BB327" s="22">
        <f>VLOOKUP($A327,tabCustoUnit[],COLUMN(CUSTO_GLOBAL[[#Headers],[Incidência do Submódulo 2.1 sobre Ausências Legais]])-2,0)*($G327-$H327)</f>
        <v>11.042117699550001</v>
      </c>
      <c r="BC327" s="22">
        <f>VLOOKUP($A327,tabCustoUnit[],COLUMN(CUSTO_GLOBAL[[#Headers],[Submódulo 4.1]])-2,0)*($G327-$H327)</f>
        <v>40.25406928566111</v>
      </c>
      <c r="BD327" s="22">
        <f>VLOOKUP($A327,tabCustoUnit[],COLUMN(CUSTO_GLOBAL[[#Headers],[Intervalo para Repouso ou Alimentação]])-2,0)*($G327-$H327)</f>
        <v>0</v>
      </c>
      <c r="BE327" s="22">
        <f>VLOOKUP($A327,tabCustoUnit[],COLUMN(CUSTO_GLOBAL[[#Headers],[Submódulo 4.2]])-2,0)*($G327-$H327)</f>
        <v>0</v>
      </c>
      <c r="BF327" s="22">
        <f>VLOOKUP($A327,tabCustoUnit[],COLUMN(CUSTO_GLOBAL[[#Headers],[Suspensão Temporária do Contrato de Trabalho]])-2,0)*($G327-$H327)</f>
        <v>0</v>
      </c>
      <c r="BG327" s="22">
        <f>VLOOKUP($A327,tabCustoUnit[],COLUMN(CUSTO_GLOBAL[[#Headers],[Submódulo 4.3]])-2,0)*($G327-$H327)</f>
        <v>0</v>
      </c>
      <c r="BH327" s="22">
        <f>VLOOKUP($A327,tabCustoUnit[],COLUMN(CUSTO_GLOBAL[[#Headers],[MÓDULO 4 – CUSTO DE REPOSIÇÃO DO PROFISSIONAL AUSENTE]])-2,0)*($G327-$H327)</f>
        <v>40.25406928566111</v>
      </c>
      <c r="BI327" s="22">
        <f>VLOOKUP($A327,tabCustoUnit[],COLUMN(CUSTO_GLOBAL[[#Headers],[Uniformes e EPIs]])-2,0)*($G327-$H327)</f>
        <v>42.607550547045918</v>
      </c>
      <c r="BJ327" s="22">
        <f>VLOOKUP($A327,tabCustoUnit[],COLUMN(CUSTO_GLOBAL[[#Headers],[Materiais de Consumo]])-2,0)*($G327-$H327)</f>
        <v>0</v>
      </c>
      <c r="BK327" s="22">
        <f>VLOOKUP($A327,tabCustoUnit[],COLUMN(CUSTO_GLOBAL[[#Headers],[Máquinas e Equipamentos (depreciação)]])-2,0)*($G327-$H327)</f>
        <v>0</v>
      </c>
      <c r="BL327" s="22">
        <f>VLOOKUP($A327,tabCustoUnit[],COLUMN(CUSTO_GLOBAL[[#Headers],[Produtos de Limpeza e Materiais de Higiene Pessoal]])-2,0)*($G327-$H327)</f>
        <v>0</v>
      </c>
      <c r="BM327" s="22">
        <f>VLOOKUP($A327,tabCustoUnit[],COLUMN(CUSTO_GLOBAL[[#Headers],[Outros (especificar)]])-2,0)*($G327-$H327)</f>
        <v>0</v>
      </c>
      <c r="BN327" s="22">
        <f>VLOOKUP($A327,tabCustoUnit[],COLUMN(CUSTO_GLOBAL[[#Headers],[MÓDULO 5 – INSUMOS DIVERSOS]])-2,0)*($G327-$H327)</f>
        <v>42.607550547045918</v>
      </c>
      <c r="BO327" s="22" t="e">
        <f ca="1">VLOOKUP($A327,tabCustoUnit[],COLUMN(CUSTO_GLOBAL[[#Headers],[TOTAL MÓDULOS 1+2+3+4+5]])-2,0)*($G327-$H327)</f>
        <v>#NAME?</v>
      </c>
      <c r="BP327" s="22" t="e">
        <f ca="1">VLOOKUP($A327,tabCustoUnit[],COLUMN(CUSTO_GLOBAL[[#Headers],[Custos Indiretos]])-2,0)*($G327-$H327)</f>
        <v>#NAME?</v>
      </c>
      <c r="BQ327" s="22" t="e">
        <f ca="1">VLOOKUP($A327,tabCustoUnit[],COLUMN(CUSTO_GLOBAL[[#Headers],[Lucro]])-2,0)*($G327-$H327)</f>
        <v>#NAME?</v>
      </c>
      <c r="BR327" s="26">
        <f>VLOOKUP($A327,tabCustoUnit[],COLUMN(CUSTO_GLOBAL[[#Headers],[COFINS]])-2,0)</f>
        <v>8.5633802816901458E-2</v>
      </c>
      <c r="BS327" s="26">
        <f>VLOOKUP($A327,tabCustoUnit[],COLUMN(CUSTO_GLOBAL[[#Headers],[PIS]])-2,0)</f>
        <v>1.8591549295774657E-2</v>
      </c>
      <c r="BT327" s="28">
        <f>VLOOKUP($A327,tabCustoUnit[],COLUMN(CUSTO_GLOBAL[[#Headers],[ISS]])-2,0)</f>
        <v>0.02</v>
      </c>
      <c r="BU327" s="26">
        <f>VLOOKUP($A327,tabCustoUnit[],COLUMN(CUSTO_GLOBAL[[#Headers],[ISS (Conversão Alíquota s/ fatura)]])-2,0)</f>
        <v>2.2535211267605645E-2</v>
      </c>
      <c r="BV327" s="26">
        <f>VLOOKUP($A327,tabCustoUnit[],COLUMN(CUSTO_GLOBAL[[#Headers],[Resumo de Alíquotas (PIS+CONFINS+ISS)]])-2,0)</f>
        <v>0.1125</v>
      </c>
      <c r="BW327" s="138">
        <f>VLOOKUP($A327,tabCustoUnit[],COLUMN(CUSTO_GLOBAL[[#Headers],[PIS + COFINS + ISS (Total Conversão  Alíquota s/ Fatura)]])-2,0)</f>
        <v>0.12676056338028174</v>
      </c>
      <c r="BX327" s="22" t="e">
        <f ca="1">VLOOKUP($A327,tabCustoUnit[],COLUMN(CUSTO_GLOBAL[[#Headers],[Valor dos Tributos (ISS, PIS, CONFINS)]])-2,0)*($G327-$H327)</f>
        <v>#NAME?</v>
      </c>
      <c r="BY327" s="22" t="e">
        <f ca="1">VLOOKUP($A327,tabCustoUnit[],COLUMN(CUSTO_GLOBAL[[#Headers],[MÓDULO 6 – CUSTOS INDIRETOS, TRIBUTOS E LUCRO]])-2,0)*($G327-$H327)</f>
        <v>#NAME?</v>
      </c>
      <c r="BZ327" s="22" t="e">
        <f ca="1">VLOOKUP($A327,tabCustoUnit[],COLUMN(CUSTO_GLOBAL[[#Headers],[CUSTO TOTAL MENSAL]])-2,0)*($G327-$H327)</f>
        <v>#NAME?</v>
      </c>
      <c r="CA327" s="22" t="e">
        <f ca="1">CUSTO_GLOBAL[[#This Row],[CUSTO TOTAL MENSAL]]*12</f>
        <v>#NAME?</v>
      </c>
      <c r="CB327" s="24">
        <f>VLOOKUP($A327,tabCustoUnit[],COLUMN(CUSTO_GLOBAL[[#Headers],[ANO DA CCT]])-2,0)</f>
        <v>45292</v>
      </c>
      <c r="CC327" s="25" t="str">
        <f>VLOOKUP($A327,tabCustoUnit[],COLUMN(CUSTO_GLOBAL[[#Headers],[Nº DE PEDIDO DA CCT]])-2,0)</f>
        <v>-</v>
      </c>
      <c r="CD327" s="25" t="str">
        <f>VLOOKUP($A327,tabCustoUnit[],COLUMN(CUSTO_GLOBAL[[#Headers],[TERMO ADITIVO ALTERAÇÃO DA CCT]])-2,0)</f>
        <v>-</v>
      </c>
    </row>
    <row r="328" spans="1:82">
      <c r="A328" s="20" t="s">
        <v>1734</v>
      </c>
      <c r="B328" t="s">
        <v>1215</v>
      </c>
      <c r="C328" t="s">
        <v>314</v>
      </c>
      <c r="D328" t="s">
        <v>918</v>
      </c>
      <c r="E328" s="20" t="s">
        <v>1090</v>
      </c>
      <c r="F328" s="20" t="s">
        <v>120</v>
      </c>
      <c r="G328" s="20">
        <v>1</v>
      </c>
      <c r="H328" s="20">
        <v>0</v>
      </c>
      <c r="I328" s="21">
        <f>VLOOKUP($A328,tabCustoUnit[],COLUMN(CUSTO_GLOBAL[[#Headers],[Salário Base]])-2,0)*($G328-$H328)</f>
        <v>1963.4110000000001</v>
      </c>
      <c r="J328" s="21">
        <f>VLOOKUP($A328,tabCustoUnit[],COLUMN(CUSTO_GLOBAL[[#Headers],[Adicional Periculosidade]])-2,0)*($G328-$H328)</f>
        <v>0</v>
      </c>
      <c r="K328" s="21">
        <f>VLOOKUP($A328,tabCustoUnit[],COLUMN(CUSTO_GLOBAL[[#Headers],[Adicional Insalubridade]])-2,0)*($G328-$H328)</f>
        <v>0</v>
      </c>
      <c r="L328" s="21">
        <f>VLOOKUP($A328,tabCustoUnit[],COLUMN(CUSTO_GLOBAL[[#Headers],[Adicional Noturno]])-2,0)*($G328-$H328)</f>
        <v>0</v>
      </c>
      <c r="M328" s="21">
        <f>VLOOKUP($A328,tabCustoUnit[],COLUMN(CUSTO_GLOBAL[[#Headers],[Adicional Motorista II (Gratificação)]])-2,0)*($G328-$H328)</f>
        <v>0</v>
      </c>
      <c r="N328" s="21">
        <f>VLOOKUP($A328,tabCustoUnit[],COLUMN(CUSTO_GLOBAL[[#Headers],[Adicional de Sobreaviso]])-2,0)*($G328-$H328)</f>
        <v>0</v>
      </c>
      <c r="O328" s="21">
        <f>VLOOKUP($A328,tabCustoUnit[],COLUMN(CUSTO_GLOBAL[[#Headers],[Horas Extras TI]])-2,0)*($G328-$H328)</f>
        <v>0</v>
      </c>
      <c r="P328" s="21">
        <f>VLOOKUP($A328,tabCustoUnit[],COLUMN(CUSTO_GLOBAL[[#Headers],[Adicional de Acúmulo de função]])-2,0)*($G328-$H328)</f>
        <v>0</v>
      </c>
      <c r="Q328" s="21">
        <f>VLOOKUP($A328,tabCustoUnit[],COLUMN(CUSTO_GLOBAL[[#Headers],[MODULO 1 - REMUNERAÇÃO ]])-2,0)*($G328-$H328)</f>
        <v>1963.4110000000001</v>
      </c>
      <c r="R328" s="21">
        <f>VLOOKUP($A328,tabCustoUnit[],COLUMN(CUSTO_GLOBAL[[#Headers],[INSS]])-2,0)*($G328-$H328)</f>
        <v>392.68220000000002</v>
      </c>
      <c r="S328" s="21">
        <f>VLOOKUP($A328,tabCustoUnit[],COLUMN(CUSTO_GLOBAL[[#Headers],[SESI OU SESC]])-2,0)*($G328-$H328)</f>
        <v>29.451165</v>
      </c>
      <c r="T328" s="21">
        <f>VLOOKUP($A328,tabCustoUnit[],COLUMN(CUSTO_GLOBAL[[#Headers],[SENAI OU SENAC]])-2,0)*($G328-$H328)</f>
        <v>19.63411</v>
      </c>
      <c r="U328" s="21">
        <f>VLOOKUP($A328,tabCustoUnit[],COLUMN(CUSTO_GLOBAL[[#Headers],[INCRA]])-2,0)*($G328-$H328)</f>
        <v>3.926822</v>
      </c>
      <c r="V328" s="21">
        <f>VLOOKUP($A328,tabCustoUnit[],COLUMN(CUSTO_GLOBAL[[#Headers],[Salário Educação]])-2,0)*($G328-$H328)</f>
        <v>49.085275000000003</v>
      </c>
      <c r="W328" s="21">
        <f>VLOOKUP($A328,tabCustoUnit[],COLUMN(CUSTO_GLOBAL[[#Headers],[FGTS]])-2,0)*($G328-$H328)</f>
        <v>157.07288</v>
      </c>
      <c r="X328" s="21">
        <f>VLOOKUP($A328,tabCustoUnit[],COLUMN(CUSTO_GLOBAL[[#Headers],[RAT Ajustado]])-2,0)*($G328-$H328)</f>
        <v>78.536439999999999</v>
      </c>
      <c r="Y328" s="21">
        <f>VLOOKUP($A328,tabCustoUnit[],COLUMN(CUSTO_GLOBAL[[#Headers],[SEBRAE]])-2,0)*($G328-$H328)</f>
        <v>11.780466000000001</v>
      </c>
      <c r="Z328" s="21">
        <f>VLOOKUP($A328,tabCustoUnit[],COLUMN(CUSTO_GLOBAL[[#Headers],[Submódulo 2.1]])-2,0)*($G328-$H328)</f>
        <v>742.1693580000001</v>
      </c>
      <c r="AA328" s="21">
        <f>VLOOKUP($A328,tabCustoUnit[],COLUMN(CUSTO_GLOBAL[[#Headers],[13º salário (titular)]])-2,0)*($G328-$H328)</f>
        <v>163.61758333333333</v>
      </c>
      <c r="AB328" s="21">
        <f>VLOOKUP($A328,tabCustoUnit[],COLUMN(CUSTO_GLOBAL[[#Headers],[Férias e Adicional de Férias (titular)]])-2,0)*($G328-$H328)</f>
        <v>218.15677777777776</v>
      </c>
      <c r="AC328" s="21">
        <f>VLOOKUP($A328,tabCustoUnit[],COLUMN(CUSTO_GLOBAL[[#Headers],[Incidência do Submódulo 2.1 sobre 13º Salário, Férias e Adicional de Férias]])-2,0)*($G328-$H328)</f>
        <v>144.3107085</v>
      </c>
      <c r="AD328" s="21">
        <f>VLOOKUP($A328,tabCustoUnit[],COLUMN(CUSTO_GLOBAL[[#Headers],[Submódulo 2.2]])-2,0)*($G328-$H328)</f>
        <v>526.08506961111107</v>
      </c>
      <c r="AE328" s="22" t="e">
        <f ca="1">VLOOKUP($A328,tabCustoUnit[],COLUMN(CUSTO_GLOBAL[[#Headers],[Vale - Transporte (Descontada parcela do empregado)]])-2,0)*($G328-$H328)</f>
        <v>#NAME?</v>
      </c>
      <c r="AF328" s="22">
        <f>VLOOKUP($A328,tabCustoUnit[],COLUMN(CUSTO_GLOBAL[[#Headers],[Vale - Alimentação (Descontada parcela do empregado)]])-2,0)*($G328-$H328)</f>
        <v>582</v>
      </c>
      <c r="AG328" s="22">
        <f>VLOOKUP($A328,tabCustoUnit[],COLUMN(CUSTO_GLOBAL[[#Headers],[Cesta Básica]])-2,0)*($G328-$H328)</f>
        <v>0</v>
      </c>
      <c r="AH328" s="22">
        <f>VLOOKUP($A328,tabCustoUnit[],COLUMN(CUSTO_GLOBAL[[#Headers],[PAF]])-2,0)*($G328-$H328)</f>
        <v>0</v>
      </c>
      <c r="AI328" s="22">
        <f>VLOOKUP($A328,tabCustoUnit[],COLUMN(CUSTO_GLOBAL[[#Headers],[PQM]])-2,0)*($G328-$H328)</f>
        <v>15.07</v>
      </c>
      <c r="AJ328" s="22">
        <v>0</v>
      </c>
      <c r="AK328" s="22">
        <f>VLOOKUP($A328,tabCustoUnit[],COLUMN(CUSTO_GLOBAL[[#Headers],[Seguro de Vida]])-2,0)*($G328-$H328)</f>
        <v>3.36</v>
      </c>
      <c r="AL328" s="22">
        <f>VLOOKUP($A328,tabCustoUnit[],COLUMN(CUSTO_GLOBAL[[#Headers],[Despesas de Viagem]])-2,0)*($G328-$H328)</f>
        <v>0</v>
      </c>
      <c r="AM328" s="22" t="e">
        <f ca="1">VLOOKUP($A328,tabCustoUnit[],COLUMN(CUSTO_GLOBAL[[#Headers],[Submódulo 2.3]])-2,0)*($G328-$H328)</f>
        <v>#NAME?</v>
      </c>
      <c r="AN328" s="22" t="e">
        <f ca="1">VLOOKUP($A328,tabCustoUnit[],COLUMN(CUSTO_GLOBAL[[#Headers],[MÓDULO 2 - Total Encargos e Benefícios mensais e diários]])-2,0)*($G328-$H328)</f>
        <v>#NAME?</v>
      </c>
      <c r="AO328" s="22">
        <f>VLOOKUP($A328,tabCustoUnit[],COLUMN(CUSTO_GLOBAL[[#Headers],[Aviso Prévio Indenizado (API) e Reflexo do Aviso Prévio Indenizado]])-2,0)*($G328-$H328)</f>
        <v>13.766980408757716</v>
      </c>
      <c r="AP328" s="22">
        <f>VLOOKUP($A328,tabCustoUnit[],COLUMN(CUSTO_GLOBAL[[#Headers],[Incidência do FGTS sobre API e Reflexo do API]])-2,0)*($G328-$H328)</f>
        <v>1.1013584327006174</v>
      </c>
      <c r="AQ328" s="22">
        <f>VLOOKUP($A328,tabCustoUnit[],COLUMN(CUSTO_GLOBAL[[#Headers],[Multa Rescisória do FGTS sobre o Aviso Prévio Indenizado]])-2,0)*($G328-$H328)</f>
        <v>0.44054337308024699</v>
      </c>
      <c r="AR328" s="22">
        <f>VLOOKUP($A328,tabCustoUnit[],COLUMN(CUSTO_GLOBAL[[#Headers],[Aviso Prévio Trabalhado - APT]])-2,0)*($G328-$H328)</f>
        <v>6.8719385000000015</v>
      </c>
      <c r="AS328" s="22">
        <f>VLOOKUP($A328,tabCustoUnit[],COLUMN(CUSTO_GLOBAL[[#Headers],[Incidência dos encargos do submódulo 2.1 sobre Aviso Prévio Trabalhado]])-2,0)*($G328-$H328)</f>
        <v>2.5975927530000007</v>
      </c>
      <c r="AT328" s="22">
        <f>VLOOKUP($A328,tabCustoUnit[],COLUMN(CUSTO_GLOBAL[[#Headers],[Multa Rescisória do FGTS]])-2,0)*($G328-$H328)</f>
        <v>60.03674524444444</v>
      </c>
      <c r="AU328" s="22">
        <f>VLOOKUP($A328,tabCustoUnit[],COLUMN(CUSTO_GLOBAL[[#Headers],[Indenização Adicional (Art. 9º da Lei nº 7.238/84)]])-2,0)*($G328-$H328)</f>
        <v>1.6361758333333334</v>
      </c>
      <c r="AV328" s="22">
        <f>VLOOKUP($A328,tabCustoUnit[],COLUMN(CUSTO_GLOBAL[[#Headers],[MÓDULO 3 – PROVISÃO PARA RESCISÃO]])-2,0)*($G328-$H328)</f>
        <v>86.451334545316371</v>
      </c>
      <c r="AW328" s="22">
        <f>VLOOKUP($A328,tabCustoUnit[],COLUMN(CUSTO_GLOBAL[[#Headers],[Ausência por Doença]])-2,0)*($G328-$H328)</f>
        <v>16.579915111111109</v>
      </c>
      <c r="AX328" s="22">
        <f>VLOOKUP($A328,tabCustoUnit[],COLUMN(CUSTO_GLOBAL[[#Headers],[Ausências Legais]])-2,0)*($G328-$H328)</f>
        <v>3.9813611944444443</v>
      </c>
      <c r="AY328" s="22">
        <f>VLOOKUP($A328,tabCustoUnit[],COLUMN(CUSTO_GLOBAL[[#Headers],[Licença Paternidade]])-2,0)*($G328-$H328)</f>
        <v>0.33541604583333334</v>
      </c>
      <c r="AZ328" s="22">
        <f>VLOOKUP($A328,tabCustoUnit[],COLUMN(CUSTO_GLOBAL[[#Headers],[Ausência por Acidente de Trabalho]])-2,0)*($G328-$H328)</f>
        <v>0.40904395833333335</v>
      </c>
      <c r="BA328" s="22">
        <f>VLOOKUP($A328,tabCustoUnit[],COLUMN(CUSTO_GLOBAL[[#Headers],[Férias, Adicional de Férias e 13º  com empregada em gozo de Licença Maternidade]])-2,0)*($G328-$H328)</f>
        <v>2.5451624074074073</v>
      </c>
      <c r="BB328" s="22">
        <f>VLOOKUP($A328,tabCustoUnit[],COLUMN(CUSTO_GLOBAL[[#Headers],[Incidência do Submódulo 2.1 sobre Ausências Legais]])-2,0)*($G328-$H328)</f>
        <v>9.0156397150750021</v>
      </c>
      <c r="BC328" s="22">
        <f>VLOOKUP($A328,tabCustoUnit[],COLUMN(CUSTO_GLOBAL[[#Headers],[Submódulo 4.1]])-2,0)*($G328-$H328)</f>
        <v>32.866538432204628</v>
      </c>
      <c r="BD328" s="22">
        <f>VLOOKUP($A328,tabCustoUnit[],COLUMN(CUSTO_GLOBAL[[#Headers],[Intervalo para Repouso ou Alimentação]])-2,0)*($G328-$H328)</f>
        <v>267.73786489195959</v>
      </c>
      <c r="BE328" s="22">
        <f>VLOOKUP($A328,tabCustoUnit[],COLUMN(CUSTO_GLOBAL[[#Headers],[Submódulo 4.2]])-2,0)*($G328-$H328)</f>
        <v>267.73786489195959</v>
      </c>
      <c r="BF328" s="22">
        <f>VLOOKUP($A328,tabCustoUnit[],COLUMN(CUSTO_GLOBAL[[#Headers],[Suspensão Temporária do Contrato de Trabalho]])-2,0)*($G328-$H328)</f>
        <v>0</v>
      </c>
      <c r="BG328" s="22">
        <f>VLOOKUP($A328,tabCustoUnit[],COLUMN(CUSTO_GLOBAL[[#Headers],[Submódulo 4.3]])-2,0)*($G328-$H328)</f>
        <v>0</v>
      </c>
      <c r="BH328" s="22">
        <f>VLOOKUP($A328,tabCustoUnit[],COLUMN(CUSTO_GLOBAL[[#Headers],[MÓDULO 4 – CUSTO DE REPOSIÇÃO DO PROFISSIONAL AUSENTE]])-2,0)*($G328-$H328)</f>
        <v>300.6044033241642</v>
      </c>
      <c r="BI328" s="22">
        <f>VLOOKUP($A328,tabCustoUnit[],COLUMN(CUSTO_GLOBAL[[#Headers],[Uniformes e EPIs]])-2,0)*($G328-$H328)</f>
        <v>56.642978962543395</v>
      </c>
      <c r="BJ328" s="22">
        <f>VLOOKUP($A328,tabCustoUnit[],COLUMN(CUSTO_GLOBAL[[#Headers],[Materiais de Consumo]])-2,0)*($G328-$H328)</f>
        <v>0</v>
      </c>
      <c r="BK328" s="22">
        <f>VLOOKUP($A328,tabCustoUnit[],COLUMN(CUSTO_GLOBAL[[#Headers],[Máquinas e Equipamentos (depreciação)]])-2,0)*($G328-$H328)</f>
        <v>0</v>
      </c>
      <c r="BL328" s="22">
        <f>VLOOKUP($A328,tabCustoUnit[],COLUMN(CUSTO_GLOBAL[[#Headers],[Produtos de Limpeza e Materiais de Higiene Pessoal]])-2,0)*($G328-$H328)</f>
        <v>0</v>
      </c>
      <c r="BM328" s="22">
        <f>VLOOKUP($A328,tabCustoUnit[],COLUMN(CUSTO_GLOBAL[[#Headers],[Outros (especificar)]])-2,0)*($G328-$H328)</f>
        <v>0</v>
      </c>
      <c r="BN328" s="22">
        <f>VLOOKUP($A328,tabCustoUnit[],COLUMN(CUSTO_GLOBAL[[#Headers],[MÓDULO 5 – INSUMOS DIVERSOS]])-2,0)*($G328-$H328)</f>
        <v>56.642978962543395</v>
      </c>
      <c r="BO328" s="22" t="e">
        <f ca="1">VLOOKUP($A328,tabCustoUnit[],COLUMN(CUSTO_GLOBAL[[#Headers],[TOTAL MÓDULOS 1+2+3+4+5]])-2,0)*($G328-$H328)</f>
        <v>#NAME?</v>
      </c>
      <c r="BP328" s="22" t="e">
        <f ca="1">VLOOKUP($A328,tabCustoUnit[],COLUMN(CUSTO_GLOBAL[[#Headers],[Custos Indiretos]])-2,0)*($G328-$H328)</f>
        <v>#NAME?</v>
      </c>
      <c r="BQ328" s="22" t="e">
        <f ca="1">VLOOKUP($A328,tabCustoUnit[],COLUMN(CUSTO_GLOBAL[[#Headers],[Lucro]])-2,0)*($G328-$H328)</f>
        <v>#NAME?</v>
      </c>
      <c r="BR328" s="26">
        <f>VLOOKUP($A328,tabCustoUnit[],COLUMN(CUSTO_GLOBAL[[#Headers],[COFINS]])-2,0)</f>
        <v>8.7608069164265154E-2</v>
      </c>
      <c r="BS328" s="26">
        <f>VLOOKUP($A328,tabCustoUnit[],COLUMN(CUSTO_GLOBAL[[#Headers],[PIS]])-2,0)</f>
        <v>1.9020172910662814E-2</v>
      </c>
      <c r="BT328" s="28">
        <f>VLOOKUP($A328,tabCustoUnit[],COLUMN(CUSTO_GLOBAL[[#Headers],[ISS]])-2,0)</f>
        <v>0.04</v>
      </c>
      <c r="BU328" s="26">
        <f>VLOOKUP($A328,tabCustoUnit[],COLUMN(CUSTO_GLOBAL[[#Headers],[ISS (Conversão Alíquota s/ fatura)]])-2,0)</f>
        <v>4.6109510086455294E-2</v>
      </c>
      <c r="BV328" s="26">
        <f>VLOOKUP($A328,tabCustoUnit[],COLUMN(CUSTO_GLOBAL[[#Headers],[Resumo de Alíquotas (PIS+CONFINS+ISS)]])-2,0)</f>
        <v>0.13250000000000001</v>
      </c>
      <c r="BW328" s="138">
        <f>VLOOKUP($A328,tabCustoUnit[],COLUMN(CUSTO_GLOBAL[[#Headers],[PIS + COFINS + ISS (Total Conversão  Alíquota s/ Fatura)]])-2,0)</f>
        <v>0.15273775216138324</v>
      </c>
      <c r="BX328" s="22" t="e">
        <f ca="1">VLOOKUP($A328,tabCustoUnit[],COLUMN(CUSTO_GLOBAL[[#Headers],[Valor dos Tributos (ISS, PIS, CONFINS)]])-2,0)*($G328-$H328)</f>
        <v>#NAME?</v>
      </c>
      <c r="BY328" s="22" t="e">
        <f ca="1">VLOOKUP($A328,tabCustoUnit[],COLUMN(CUSTO_GLOBAL[[#Headers],[MÓDULO 6 – CUSTOS INDIRETOS, TRIBUTOS E LUCRO]])-2,0)*($G328-$H328)</f>
        <v>#NAME?</v>
      </c>
      <c r="BZ328" s="22" t="e">
        <f ca="1">VLOOKUP($A328,tabCustoUnit[],COLUMN(CUSTO_GLOBAL[[#Headers],[CUSTO TOTAL MENSAL]])-2,0)*($G328-$H328)</f>
        <v>#NAME?</v>
      </c>
      <c r="CA328" s="22" t="e">
        <f ca="1">CUSTO_GLOBAL[[#This Row],[CUSTO TOTAL MENSAL]]*12</f>
        <v>#NAME?</v>
      </c>
      <c r="CB328" s="24">
        <f>VLOOKUP($A328,tabCustoUnit[],COLUMN(CUSTO_GLOBAL[[#Headers],[ANO DA CCT]])-2,0)</f>
        <v>45658</v>
      </c>
      <c r="CC328" s="25" t="str">
        <f>VLOOKUP($A328,tabCustoUnit[],COLUMN(CUSTO_GLOBAL[[#Headers],[Nº DE PEDIDO DA CCT]])-2,0)</f>
        <v>-</v>
      </c>
      <c r="CD328" s="25" t="str">
        <f>VLOOKUP($A328,tabCustoUnit[],COLUMN(CUSTO_GLOBAL[[#Headers],[TERMO ADITIVO ALTERAÇÃO DA CCT]])-2,0)</f>
        <v>-</v>
      </c>
    </row>
    <row r="329" spans="1:82">
      <c r="A329" s="20" t="s">
        <v>1735</v>
      </c>
      <c r="B329" t="s">
        <v>1216</v>
      </c>
      <c r="C329" t="s">
        <v>274</v>
      </c>
      <c r="D329" t="s">
        <v>1029</v>
      </c>
      <c r="E329" s="20" t="s">
        <v>1090</v>
      </c>
      <c r="F329" s="20" t="s">
        <v>120</v>
      </c>
      <c r="G329" s="20">
        <v>1</v>
      </c>
      <c r="H329" s="20">
        <v>0</v>
      </c>
      <c r="I329" s="21">
        <f>VLOOKUP($A329,tabCustoUnit[],COLUMN(CUSTO_GLOBAL[[#Headers],[Salário Base]])-2,0)*($G329-$H329)</f>
        <v>4558.0709999999999</v>
      </c>
      <c r="J329" s="21">
        <f>VLOOKUP($A329,tabCustoUnit[],COLUMN(CUSTO_GLOBAL[[#Headers],[Adicional Periculosidade]])-2,0)*($G329-$H329)</f>
        <v>0</v>
      </c>
      <c r="K329" s="21">
        <f>VLOOKUP($A329,tabCustoUnit[],COLUMN(CUSTO_GLOBAL[[#Headers],[Adicional Insalubridade]])-2,0)*($G329-$H329)</f>
        <v>0</v>
      </c>
      <c r="L329" s="21">
        <f>VLOOKUP($A329,tabCustoUnit[],COLUMN(CUSTO_GLOBAL[[#Headers],[Adicional Noturno]])-2,0)*($G329-$H329)</f>
        <v>0</v>
      </c>
      <c r="M329" s="21">
        <f>VLOOKUP($A329,tabCustoUnit[],COLUMN(CUSTO_GLOBAL[[#Headers],[Adicional Motorista II (Gratificação)]])-2,0)*($G329-$H329)</f>
        <v>0</v>
      </c>
      <c r="N329" s="21">
        <f>VLOOKUP($A329,tabCustoUnit[],COLUMN(CUSTO_GLOBAL[[#Headers],[Adicional de Sobreaviso]])-2,0)*($G329-$H329)</f>
        <v>0</v>
      </c>
      <c r="O329" s="21">
        <f>VLOOKUP($A329,tabCustoUnit[],COLUMN(CUSTO_GLOBAL[[#Headers],[Horas Extras TI]])-2,0)*($G329-$H329)</f>
        <v>0</v>
      </c>
      <c r="P329" s="21">
        <f>VLOOKUP($A329,tabCustoUnit[],COLUMN(CUSTO_GLOBAL[[#Headers],[Adicional de Acúmulo de função]])-2,0)*($G329-$H329)</f>
        <v>0</v>
      </c>
      <c r="Q329" s="21">
        <f>VLOOKUP($A329,tabCustoUnit[],COLUMN(CUSTO_GLOBAL[[#Headers],[MODULO 1 - REMUNERAÇÃO ]])-2,0)*($G329-$H329)</f>
        <v>4558.0709999999999</v>
      </c>
      <c r="R329" s="21">
        <f>VLOOKUP($A329,tabCustoUnit[],COLUMN(CUSTO_GLOBAL[[#Headers],[INSS]])-2,0)*($G329-$H329)</f>
        <v>911.61419999999998</v>
      </c>
      <c r="S329" s="21">
        <f>VLOOKUP($A329,tabCustoUnit[],COLUMN(CUSTO_GLOBAL[[#Headers],[SESI OU SESC]])-2,0)*($G329-$H329)</f>
        <v>68.371065000000002</v>
      </c>
      <c r="T329" s="21">
        <f>VLOOKUP($A329,tabCustoUnit[],COLUMN(CUSTO_GLOBAL[[#Headers],[SENAI OU SENAC]])-2,0)*($G329-$H329)</f>
        <v>45.580710000000003</v>
      </c>
      <c r="U329" s="21">
        <f>VLOOKUP($A329,tabCustoUnit[],COLUMN(CUSTO_GLOBAL[[#Headers],[INCRA]])-2,0)*($G329-$H329)</f>
        <v>9.116142</v>
      </c>
      <c r="V329" s="21">
        <f>VLOOKUP($A329,tabCustoUnit[],COLUMN(CUSTO_GLOBAL[[#Headers],[Salário Educação]])-2,0)*($G329-$H329)</f>
        <v>113.951775</v>
      </c>
      <c r="W329" s="21">
        <f>VLOOKUP($A329,tabCustoUnit[],COLUMN(CUSTO_GLOBAL[[#Headers],[FGTS]])-2,0)*($G329-$H329)</f>
        <v>364.64568000000003</v>
      </c>
      <c r="X329" s="21">
        <f>VLOOKUP($A329,tabCustoUnit[],COLUMN(CUSTO_GLOBAL[[#Headers],[RAT Ajustado]])-2,0)*($G329-$H329)</f>
        <v>182.32284000000001</v>
      </c>
      <c r="Y329" s="21">
        <f>VLOOKUP($A329,tabCustoUnit[],COLUMN(CUSTO_GLOBAL[[#Headers],[SEBRAE]])-2,0)*($G329-$H329)</f>
        <v>27.348426</v>
      </c>
      <c r="Z329" s="21">
        <f>VLOOKUP($A329,tabCustoUnit[],COLUMN(CUSTO_GLOBAL[[#Headers],[Submódulo 2.1]])-2,0)*($G329-$H329)</f>
        <v>1722.9508380000002</v>
      </c>
      <c r="AA329" s="21">
        <f>VLOOKUP($A329,tabCustoUnit[],COLUMN(CUSTO_GLOBAL[[#Headers],[13º salário (titular)]])-2,0)*($G329-$H329)</f>
        <v>379.83924999999999</v>
      </c>
      <c r="AB329" s="21">
        <f>VLOOKUP($A329,tabCustoUnit[],COLUMN(CUSTO_GLOBAL[[#Headers],[Férias e Adicional de Férias (titular)]])-2,0)*($G329-$H329)</f>
        <v>506.45233333333329</v>
      </c>
      <c r="AC329" s="21">
        <f>VLOOKUP($A329,tabCustoUnit[],COLUMN(CUSTO_GLOBAL[[#Headers],[Incidência do Submódulo 2.1 sobre 13º Salário, Férias e Adicional de Férias]])-2,0)*($G329-$H329)</f>
        <v>335.01821850000005</v>
      </c>
      <c r="AD329" s="21">
        <f>VLOOKUP($A329,tabCustoUnit[],COLUMN(CUSTO_GLOBAL[[#Headers],[Submódulo 2.2]])-2,0)*($G329-$H329)</f>
        <v>1221.3098018333333</v>
      </c>
      <c r="AE329" s="22" t="e">
        <f ca="1">VLOOKUP($A329,tabCustoUnit[],COLUMN(CUSTO_GLOBAL[[#Headers],[Vale - Transporte (Descontada parcela do empregado)]])-2,0)*($G329-$H329)</f>
        <v>#NAME?</v>
      </c>
      <c r="AF329" s="22">
        <f>VLOOKUP($A329,tabCustoUnit[],COLUMN(CUSTO_GLOBAL[[#Headers],[Vale - Alimentação (Descontada parcela do empregado)]])-2,0)*($G329-$H329)</f>
        <v>578.4</v>
      </c>
      <c r="AG329" s="22">
        <f>VLOOKUP($A329,tabCustoUnit[],COLUMN(CUSTO_GLOBAL[[#Headers],[Cesta Básica]])-2,0)*($G329-$H329)</f>
        <v>0</v>
      </c>
      <c r="AH329" s="22">
        <f>VLOOKUP($A329,tabCustoUnit[],COLUMN(CUSTO_GLOBAL[[#Headers],[PAF]])-2,0)*($G329-$H329)</f>
        <v>0</v>
      </c>
      <c r="AI329" s="22">
        <f>VLOOKUP($A329,tabCustoUnit[],COLUMN(CUSTO_GLOBAL[[#Headers],[PQM]])-2,0)*($G329-$H329)</f>
        <v>0</v>
      </c>
      <c r="AJ329" s="22">
        <v>0</v>
      </c>
      <c r="AK329" s="22">
        <f>VLOOKUP($A329,tabCustoUnit[],COLUMN(CUSTO_GLOBAL[[#Headers],[Seguro de Vida]])-2,0)*($G329-$H329)</f>
        <v>3.36</v>
      </c>
      <c r="AL329" s="22">
        <f>VLOOKUP($A329,tabCustoUnit[],COLUMN(CUSTO_GLOBAL[[#Headers],[Despesas de Viagem]])-2,0)*($G329-$H329)</f>
        <v>662.42</v>
      </c>
      <c r="AM329" s="22" t="e">
        <f ca="1">VLOOKUP($A329,tabCustoUnit[],COLUMN(CUSTO_GLOBAL[[#Headers],[Submódulo 2.3]])-2,0)*($G329-$H329)</f>
        <v>#NAME?</v>
      </c>
      <c r="AN329" s="22" t="e">
        <f ca="1">VLOOKUP($A329,tabCustoUnit[],COLUMN(CUSTO_GLOBAL[[#Headers],[MÓDULO 2 - Total Encargos e Benefícios mensais e diários]])-2,0)*($G329-$H329)</f>
        <v>#NAME?</v>
      </c>
      <c r="AO329" s="22">
        <f>VLOOKUP($A329,tabCustoUnit[],COLUMN(CUSTO_GLOBAL[[#Headers],[Aviso Prévio Indenizado (API) e Reflexo do Aviso Prévio Indenizado]])-2,0)*($G329-$H329)</f>
        <v>31.960131708912037</v>
      </c>
      <c r="AP329" s="22">
        <f>VLOOKUP($A329,tabCustoUnit[],COLUMN(CUSTO_GLOBAL[[#Headers],[Incidência do FGTS sobre API e Reflexo do API]])-2,0)*($G329-$H329)</f>
        <v>2.556810536712963</v>
      </c>
      <c r="AQ329" s="22">
        <f>VLOOKUP($A329,tabCustoUnit[],COLUMN(CUSTO_GLOBAL[[#Headers],[Multa Rescisória do FGTS sobre o Aviso Prévio Indenizado]])-2,0)*($G329-$H329)</f>
        <v>1.0227242146851854</v>
      </c>
      <c r="AR329" s="22">
        <f>VLOOKUP($A329,tabCustoUnit[],COLUMN(CUSTO_GLOBAL[[#Headers],[Aviso Prévio Trabalhado - APT]])-2,0)*($G329-$H329)</f>
        <v>15.953248500000003</v>
      </c>
      <c r="AS329" s="22">
        <f>VLOOKUP($A329,tabCustoUnit[],COLUMN(CUSTO_GLOBAL[[#Headers],[Incidência dos encargos do submódulo 2.1 sobre Aviso Prévio Trabalhado]])-2,0)*($G329-$H329)</f>
        <v>6.0303279330000015</v>
      </c>
      <c r="AT329" s="22">
        <f>VLOOKUP($A329,tabCustoUnit[],COLUMN(CUSTO_GLOBAL[[#Headers],[Multa Rescisória do FGTS]])-2,0)*($G329-$H329)</f>
        <v>139.3756821333333</v>
      </c>
      <c r="AU329" s="22">
        <f>VLOOKUP($A329,tabCustoUnit[],COLUMN(CUSTO_GLOBAL[[#Headers],[Indenização Adicional (Art. 9º da Lei nº 7.238/84)]])-2,0)*($G329-$H329)</f>
        <v>3.7983925000000003</v>
      </c>
      <c r="AV329" s="22">
        <f>VLOOKUP($A329,tabCustoUnit[],COLUMN(CUSTO_GLOBAL[[#Headers],[MÓDULO 3 – PROVISÃO PARA RESCISÃO]])-2,0)*($G329-$H329)</f>
        <v>200.6973175266435</v>
      </c>
      <c r="AW329" s="22">
        <f>VLOOKUP($A329,tabCustoUnit[],COLUMN(CUSTO_GLOBAL[[#Headers],[Ausência por Doença]])-2,0)*($G329-$H329)</f>
        <v>38.490377333333328</v>
      </c>
      <c r="AX329" s="22">
        <f>VLOOKUP($A329,tabCustoUnit[],COLUMN(CUSTO_GLOBAL[[#Headers],[Ausências Legais]])-2,0)*($G329-$H329)</f>
        <v>9.2427550833333321</v>
      </c>
      <c r="AY329" s="22">
        <f>VLOOKUP($A329,tabCustoUnit[],COLUMN(CUSTO_GLOBAL[[#Headers],[Licença Paternidade]])-2,0)*($G329-$H329)</f>
        <v>0.77867046249999994</v>
      </c>
      <c r="AZ329" s="22">
        <f>VLOOKUP($A329,tabCustoUnit[],COLUMN(CUSTO_GLOBAL[[#Headers],[Ausência por Acidente de Trabalho]])-2,0)*($G329-$H329)</f>
        <v>0.94959812500000007</v>
      </c>
      <c r="BA329" s="22">
        <f>VLOOKUP($A329,tabCustoUnit[],COLUMN(CUSTO_GLOBAL[[#Headers],[Férias, Adicional de Férias e 13º  com empregada em gozo de Licença Maternidade]])-2,0)*($G329-$H329)</f>
        <v>5.9086105555555557</v>
      </c>
      <c r="BB329" s="22">
        <f>VLOOKUP($A329,tabCustoUnit[],COLUMN(CUSTO_GLOBAL[[#Headers],[Incidência do Submódulo 2.1 sobre Ausências Legais]])-2,0)*($G329-$H329)</f>
        <v>20.929864369575004</v>
      </c>
      <c r="BC329" s="22">
        <f>VLOOKUP($A329,tabCustoUnit[],COLUMN(CUSTO_GLOBAL[[#Headers],[Submódulo 4.1]])-2,0)*($G329-$H329)</f>
        <v>76.29987592929723</v>
      </c>
      <c r="BD329" s="22">
        <f>VLOOKUP($A329,tabCustoUnit[],COLUMN(CUSTO_GLOBAL[[#Headers],[Intervalo para Repouso ou Alimentação]])-2,0)*($G329-$H329)</f>
        <v>0</v>
      </c>
      <c r="BE329" s="22">
        <f>VLOOKUP($A329,tabCustoUnit[],COLUMN(CUSTO_GLOBAL[[#Headers],[Submódulo 4.2]])-2,0)*($G329-$H329)</f>
        <v>0</v>
      </c>
      <c r="BF329" s="22">
        <f>VLOOKUP($A329,tabCustoUnit[],COLUMN(CUSTO_GLOBAL[[#Headers],[Suspensão Temporária do Contrato de Trabalho]])-2,0)*($G329-$H329)</f>
        <v>0</v>
      </c>
      <c r="BG329" s="22">
        <f>VLOOKUP($A329,tabCustoUnit[],COLUMN(CUSTO_GLOBAL[[#Headers],[Submódulo 4.3]])-2,0)*($G329-$H329)</f>
        <v>0</v>
      </c>
      <c r="BH329" s="22">
        <f>VLOOKUP($A329,tabCustoUnit[],COLUMN(CUSTO_GLOBAL[[#Headers],[MÓDULO 4 – CUSTO DE REPOSIÇÃO DO PROFISSIONAL AUSENTE]])-2,0)*($G329-$H329)</f>
        <v>76.29987592929723</v>
      </c>
      <c r="BI329" s="22">
        <f>VLOOKUP($A329,tabCustoUnit[],COLUMN(CUSTO_GLOBAL[[#Headers],[Uniformes e EPIs]])-2,0)*($G329-$H329)</f>
        <v>92.100763771570698</v>
      </c>
      <c r="BJ329" s="22">
        <f>VLOOKUP($A329,tabCustoUnit[],COLUMN(CUSTO_GLOBAL[[#Headers],[Materiais de Consumo]])-2,0)*($G329-$H329)</f>
        <v>0</v>
      </c>
      <c r="BK329" s="22">
        <f>VLOOKUP($A329,tabCustoUnit[],COLUMN(CUSTO_GLOBAL[[#Headers],[Máquinas e Equipamentos (depreciação)]])-2,0)*($G329-$H329)</f>
        <v>0</v>
      </c>
      <c r="BL329" s="22">
        <f>VLOOKUP($A329,tabCustoUnit[],COLUMN(CUSTO_GLOBAL[[#Headers],[Produtos de Limpeza e Materiais de Higiene Pessoal]])-2,0)*($G329-$H329)</f>
        <v>0</v>
      </c>
      <c r="BM329" s="22">
        <f>VLOOKUP($A329,tabCustoUnit[],COLUMN(CUSTO_GLOBAL[[#Headers],[Outros (especificar)]])-2,0)*($G329-$H329)</f>
        <v>0</v>
      </c>
      <c r="BN329" s="22">
        <f>VLOOKUP($A329,tabCustoUnit[],COLUMN(CUSTO_GLOBAL[[#Headers],[MÓDULO 5 – INSUMOS DIVERSOS]])-2,0)*($G329-$H329)</f>
        <v>92.100763771570698</v>
      </c>
      <c r="BO329" s="22" t="e">
        <f ca="1">VLOOKUP($A329,tabCustoUnit[],COLUMN(CUSTO_GLOBAL[[#Headers],[TOTAL MÓDULOS 1+2+3+4+5]])-2,0)*($G329-$H329)</f>
        <v>#NAME?</v>
      </c>
      <c r="BP329" s="22" t="e">
        <f ca="1">VLOOKUP($A329,tabCustoUnit[],COLUMN(CUSTO_GLOBAL[[#Headers],[Custos Indiretos]])-2,0)*($G329-$H329)</f>
        <v>#NAME?</v>
      </c>
      <c r="BQ329" s="22" t="e">
        <f ca="1">VLOOKUP($A329,tabCustoUnit[],COLUMN(CUSTO_GLOBAL[[#Headers],[Lucro]])-2,0)*($G329-$H329)</f>
        <v>#NAME?</v>
      </c>
      <c r="BR329" s="26">
        <f>VLOOKUP($A329,tabCustoUnit[],COLUMN(CUSTO_GLOBAL[[#Headers],[COFINS]])-2,0)</f>
        <v>8.6609686609686695E-2</v>
      </c>
      <c r="BS329" s="26">
        <f>VLOOKUP($A329,tabCustoUnit[],COLUMN(CUSTO_GLOBAL[[#Headers],[PIS]])-2,0)</f>
        <v>1.880341880341882E-2</v>
      </c>
      <c r="BT329" s="28">
        <f>VLOOKUP($A329,tabCustoUnit[],COLUMN(CUSTO_GLOBAL[[#Headers],[ISS]])-2,0)</f>
        <v>0.03</v>
      </c>
      <c r="BU329" s="26">
        <f>VLOOKUP($A329,tabCustoUnit[],COLUMN(CUSTO_GLOBAL[[#Headers],[ISS (Conversão Alíquota s/ fatura)]])-2,0)</f>
        <v>3.4188034188034219E-2</v>
      </c>
      <c r="BV329" s="26">
        <f>VLOOKUP($A329,tabCustoUnit[],COLUMN(CUSTO_GLOBAL[[#Headers],[Resumo de Alíquotas (PIS+CONFINS+ISS)]])-2,0)</f>
        <v>0.1225</v>
      </c>
      <c r="BW329" s="138">
        <f>VLOOKUP($A329,tabCustoUnit[],COLUMN(CUSTO_GLOBAL[[#Headers],[PIS + COFINS + ISS (Total Conversão  Alíquota s/ Fatura)]])-2,0)</f>
        <v>0.13960113960113973</v>
      </c>
      <c r="BX329" s="22" t="e">
        <f ca="1">VLOOKUP($A329,tabCustoUnit[],COLUMN(CUSTO_GLOBAL[[#Headers],[Valor dos Tributos (ISS, PIS, CONFINS)]])-2,0)*($G329-$H329)</f>
        <v>#NAME?</v>
      </c>
      <c r="BY329" s="22" t="e">
        <f ca="1">VLOOKUP($A329,tabCustoUnit[],COLUMN(CUSTO_GLOBAL[[#Headers],[MÓDULO 6 – CUSTOS INDIRETOS, TRIBUTOS E LUCRO]])-2,0)*($G329-$H329)</f>
        <v>#NAME?</v>
      </c>
      <c r="BZ329" s="22" t="e">
        <f ca="1">VLOOKUP($A329,tabCustoUnit[],COLUMN(CUSTO_GLOBAL[[#Headers],[CUSTO TOTAL MENSAL]])-2,0)*($G329-$H329)</f>
        <v>#NAME?</v>
      </c>
      <c r="CA329" s="22" t="e">
        <f ca="1">CUSTO_GLOBAL[[#This Row],[CUSTO TOTAL MENSAL]]*12</f>
        <v>#NAME?</v>
      </c>
      <c r="CB329" s="24">
        <f>VLOOKUP($A329,tabCustoUnit[],COLUMN(CUSTO_GLOBAL[[#Headers],[ANO DA CCT]])-2,0)</f>
        <v>45658</v>
      </c>
      <c r="CC329" s="25" t="str">
        <f>VLOOKUP($A329,tabCustoUnit[],COLUMN(CUSTO_GLOBAL[[#Headers],[Nº DE PEDIDO DA CCT]])-2,0)</f>
        <v>-</v>
      </c>
      <c r="CD329" s="25" t="str">
        <f>VLOOKUP($A329,tabCustoUnit[],COLUMN(CUSTO_GLOBAL[[#Headers],[TERMO ADITIVO ALTERAÇÃO DA CCT]])-2,0)</f>
        <v>-</v>
      </c>
    </row>
    <row r="330" spans="1:82">
      <c r="A330" s="20" t="s">
        <v>1736</v>
      </c>
      <c r="B330" t="s">
        <v>1216</v>
      </c>
      <c r="C330" t="s">
        <v>314</v>
      </c>
      <c r="D330" t="s">
        <v>961</v>
      </c>
      <c r="E330" s="20" t="s">
        <v>1090</v>
      </c>
      <c r="F330" s="20" t="s">
        <v>120</v>
      </c>
      <c r="G330" s="20">
        <v>1</v>
      </c>
      <c r="H330" s="20">
        <v>0</v>
      </c>
      <c r="I330" s="21">
        <f>VLOOKUP($A330,tabCustoUnit[],COLUMN(CUSTO_GLOBAL[[#Headers],[Salário Base]])-2,0)*($G330-$H330)</f>
        <v>1963.405</v>
      </c>
      <c r="J330" s="21">
        <f>VLOOKUP($A330,tabCustoUnit[],COLUMN(CUSTO_GLOBAL[[#Headers],[Adicional Periculosidade]])-2,0)*($G330-$H330)</f>
        <v>0</v>
      </c>
      <c r="K330" s="21">
        <f>VLOOKUP($A330,tabCustoUnit[],COLUMN(CUSTO_GLOBAL[[#Headers],[Adicional Insalubridade]])-2,0)*($G330-$H330)</f>
        <v>0</v>
      </c>
      <c r="L330" s="21">
        <f>VLOOKUP($A330,tabCustoUnit[],COLUMN(CUSTO_GLOBAL[[#Headers],[Adicional Noturno]])-2,0)*($G330-$H330)</f>
        <v>0</v>
      </c>
      <c r="M330" s="21">
        <f>VLOOKUP($A330,tabCustoUnit[],COLUMN(CUSTO_GLOBAL[[#Headers],[Adicional Motorista II (Gratificação)]])-2,0)*($G330-$H330)</f>
        <v>0</v>
      </c>
      <c r="N330" s="21">
        <f>VLOOKUP($A330,tabCustoUnit[],COLUMN(CUSTO_GLOBAL[[#Headers],[Adicional de Sobreaviso]])-2,0)*($G330-$H330)</f>
        <v>0</v>
      </c>
      <c r="O330" s="21">
        <f>VLOOKUP($A330,tabCustoUnit[],COLUMN(CUSTO_GLOBAL[[#Headers],[Horas Extras TI]])-2,0)*($G330-$H330)</f>
        <v>0</v>
      </c>
      <c r="P330" s="21">
        <f>VLOOKUP($A330,tabCustoUnit[],COLUMN(CUSTO_GLOBAL[[#Headers],[Adicional de Acúmulo de função]])-2,0)*($G330-$H330)</f>
        <v>0</v>
      </c>
      <c r="Q330" s="21">
        <f>VLOOKUP($A330,tabCustoUnit[],COLUMN(CUSTO_GLOBAL[[#Headers],[MODULO 1 - REMUNERAÇÃO ]])-2,0)*($G330-$H330)</f>
        <v>1963.405</v>
      </c>
      <c r="R330" s="21">
        <f>VLOOKUP($A330,tabCustoUnit[],COLUMN(CUSTO_GLOBAL[[#Headers],[INSS]])-2,0)*($G330-$H330)</f>
        <v>392.68100000000004</v>
      </c>
      <c r="S330" s="21">
        <f>VLOOKUP($A330,tabCustoUnit[],COLUMN(CUSTO_GLOBAL[[#Headers],[SESI OU SESC]])-2,0)*($G330-$H330)</f>
        <v>29.451074999999999</v>
      </c>
      <c r="T330" s="21">
        <f>VLOOKUP($A330,tabCustoUnit[],COLUMN(CUSTO_GLOBAL[[#Headers],[SENAI OU SENAC]])-2,0)*($G330-$H330)</f>
        <v>19.634049999999998</v>
      </c>
      <c r="U330" s="21">
        <f>VLOOKUP($A330,tabCustoUnit[],COLUMN(CUSTO_GLOBAL[[#Headers],[INCRA]])-2,0)*($G330-$H330)</f>
        <v>3.9268100000000001</v>
      </c>
      <c r="V330" s="21">
        <f>VLOOKUP($A330,tabCustoUnit[],COLUMN(CUSTO_GLOBAL[[#Headers],[Salário Educação]])-2,0)*($G330-$H330)</f>
        <v>49.085125000000005</v>
      </c>
      <c r="W330" s="21">
        <f>VLOOKUP($A330,tabCustoUnit[],COLUMN(CUSTO_GLOBAL[[#Headers],[FGTS]])-2,0)*($G330-$H330)</f>
        <v>157.07239999999999</v>
      </c>
      <c r="X330" s="21">
        <f>VLOOKUP($A330,tabCustoUnit[],COLUMN(CUSTO_GLOBAL[[#Headers],[RAT Ajustado]])-2,0)*($G330-$H330)</f>
        <v>78.536199999999994</v>
      </c>
      <c r="Y330" s="21">
        <f>VLOOKUP($A330,tabCustoUnit[],COLUMN(CUSTO_GLOBAL[[#Headers],[SEBRAE]])-2,0)*($G330-$H330)</f>
        <v>11.780430000000001</v>
      </c>
      <c r="Z330" s="21">
        <f>VLOOKUP($A330,tabCustoUnit[],COLUMN(CUSTO_GLOBAL[[#Headers],[Submódulo 2.1]])-2,0)*($G330-$H330)</f>
        <v>742.16709000000003</v>
      </c>
      <c r="AA330" s="21">
        <f>VLOOKUP($A330,tabCustoUnit[],COLUMN(CUSTO_GLOBAL[[#Headers],[13º salário (titular)]])-2,0)*($G330-$H330)</f>
        <v>163.61708333333331</v>
      </c>
      <c r="AB330" s="21">
        <f>VLOOKUP($A330,tabCustoUnit[],COLUMN(CUSTO_GLOBAL[[#Headers],[Férias e Adicional de Férias (titular)]])-2,0)*($G330-$H330)</f>
        <v>218.1561111111111</v>
      </c>
      <c r="AC330" s="21">
        <f>VLOOKUP($A330,tabCustoUnit[],COLUMN(CUSTO_GLOBAL[[#Headers],[Incidência do Submódulo 2.1 sobre 13º Salário, Férias e Adicional de Férias]])-2,0)*($G330-$H330)</f>
        <v>144.31026749999998</v>
      </c>
      <c r="AD330" s="21">
        <f>VLOOKUP($A330,tabCustoUnit[],COLUMN(CUSTO_GLOBAL[[#Headers],[Submódulo 2.2]])-2,0)*($G330-$H330)</f>
        <v>526.08346194444437</v>
      </c>
      <c r="AE330" s="22" t="e">
        <f ca="1">VLOOKUP($A330,tabCustoUnit[],COLUMN(CUSTO_GLOBAL[[#Headers],[Vale - Transporte (Descontada parcela do empregado)]])-2,0)*($G330-$H330)</f>
        <v>#NAME?</v>
      </c>
      <c r="AF330" s="22">
        <f>VLOOKUP($A330,tabCustoUnit[],COLUMN(CUSTO_GLOBAL[[#Headers],[Vale - Alimentação (Descontada parcela do empregado)]])-2,0)*($G330-$H330)</f>
        <v>582</v>
      </c>
      <c r="AG330" s="22">
        <f>VLOOKUP($A330,tabCustoUnit[],COLUMN(CUSTO_GLOBAL[[#Headers],[Cesta Básica]])-2,0)*($G330-$H330)</f>
        <v>0</v>
      </c>
      <c r="AH330" s="22">
        <f>VLOOKUP($A330,tabCustoUnit[],COLUMN(CUSTO_GLOBAL[[#Headers],[PAF]])-2,0)*($G330-$H330)</f>
        <v>53.27</v>
      </c>
      <c r="AI330" s="22">
        <f>VLOOKUP($A330,tabCustoUnit[],COLUMN(CUSTO_GLOBAL[[#Headers],[PQM]])-2,0)*($G330-$H330)</f>
        <v>0</v>
      </c>
      <c r="AJ330" s="22">
        <v>0</v>
      </c>
      <c r="AK330" s="22">
        <f>VLOOKUP($A330,tabCustoUnit[],COLUMN(CUSTO_GLOBAL[[#Headers],[Seguro de Vida]])-2,0)*($G330-$H330)</f>
        <v>3.36</v>
      </c>
      <c r="AL330" s="22">
        <f>VLOOKUP($A330,tabCustoUnit[],COLUMN(CUSTO_GLOBAL[[#Headers],[Despesas de Viagem]])-2,0)*($G330-$H330)</f>
        <v>0</v>
      </c>
      <c r="AM330" s="22" t="e">
        <f ca="1">VLOOKUP($A330,tabCustoUnit[],COLUMN(CUSTO_GLOBAL[[#Headers],[Submódulo 2.3]])-2,0)*($G330-$H330)</f>
        <v>#NAME?</v>
      </c>
      <c r="AN330" s="22" t="e">
        <f ca="1">VLOOKUP($A330,tabCustoUnit[],COLUMN(CUSTO_GLOBAL[[#Headers],[MÓDULO 2 - Total Encargos e Benefícios mensais e diários]])-2,0)*($G330-$H330)</f>
        <v>#NAME?</v>
      </c>
      <c r="AO330" s="22">
        <f>VLOOKUP($A330,tabCustoUnit[],COLUMN(CUSTO_GLOBAL[[#Headers],[Aviso Prévio Indenizado (API) e Reflexo do Aviso Prévio Indenizado]])-2,0)*($G330-$H330)</f>
        <v>13.766938338155864</v>
      </c>
      <c r="AP330" s="22">
        <f>VLOOKUP($A330,tabCustoUnit[],COLUMN(CUSTO_GLOBAL[[#Headers],[Incidência do FGTS sobre API e Reflexo do API]])-2,0)*($G330-$H330)</f>
        <v>1.1013550670524692</v>
      </c>
      <c r="AQ330" s="22">
        <f>VLOOKUP($A330,tabCustoUnit[],COLUMN(CUSTO_GLOBAL[[#Headers],[Multa Rescisória do FGTS sobre o Aviso Prévio Indenizado]])-2,0)*($G330-$H330)</f>
        <v>0.44054202682098775</v>
      </c>
      <c r="AR330" s="22">
        <f>VLOOKUP($A330,tabCustoUnit[],COLUMN(CUSTO_GLOBAL[[#Headers],[Aviso Prévio Trabalhado - APT]])-2,0)*($G330-$H330)</f>
        <v>6.8719175000000012</v>
      </c>
      <c r="AS330" s="22">
        <f>VLOOKUP($A330,tabCustoUnit[],COLUMN(CUSTO_GLOBAL[[#Headers],[Incidência dos encargos do submódulo 2.1 sobre Aviso Prévio Trabalhado]])-2,0)*($G330-$H330)</f>
        <v>2.5975848150000007</v>
      </c>
      <c r="AT330" s="22">
        <f>VLOOKUP($A330,tabCustoUnit[],COLUMN(CUSTO_GLOBAL[[#Headers],[Multa Rescisória do FGTS]])-2,0)*($G330-$H330)</f>
        <v>60.03656177777777</v>
      </c>
      <c r="AU330" s="22">
        <f>VLOOKUP($A330,tabCustoUnit[],COLUMN(CUSTO_GLOBAL[[#Headers],[Indenização Adicional (Art. 9º da Lei nº 7.238/84)]])-2,0)*($G330-$H330)</f>
        <v>1.6361708333333334</v>
      </c>
      <c r="AV330" s="22">
        <f>VLOOKUP($A330,tabCustoUnit[],COLUMN(CUSTO_GLOBAL[[#Headers],[MÓDULO 3 – PROVISÃO PARA RESCISÃO]])-2,0)*($G330-$H330)</f>
        <v>86.451070358140427</v>
      </c>
      <c r="AW330" s="22">
        <f>VLOOKUP($A330,tabCustoUnit[],COLUMN(CUSTO_GLOBAL[[#Headers],[Ausência por Doença]])-2,0)*($G330-$H330)</f>
        <v>16.579864444444443</v>
      </c>
      <c r="AX330" s="22">
        <f>VLOOKUP($A330,tabCustoUnit[],COLUMN(CUSTO_GLOBAL[[#Headers],[Ausências Legais]])-2,0)*($G330-$H330)</f>
        <v>3.9813490277777777</v>
      </c>
      <c r="AY330" s="22">
        <f>VLOOKUP($A330,tabCustoUnit[],COLUMN(CUSTO_GLOBAL[[#Headers],[Licença Paternidade]])-2,0)*($G330-$H330)</f>
        <v>0.3354150208333333</v>
      </c>
      <c r="AZ330" s="22">
        <f>VLOOKUP($A330,tabCustoUnit[],COLUMN(CUSTO_GLOBAL[[#Headers],[Ausência por Acidente de Trabalho]])-2,0)*($G330-$H330)</f>
        <v>0.40904270833333334</v>
      </c>
      <c r="BA330" s="22">
        <f>VLOOKUP($A330,tabCustoUnit[],COLUMN(CUSTO_GLOBAL[[#Headers],[Férias, Adicional de Férias e 13º  com empregada em gozo de Licença Maternidade]])-2,0)*($G330-$H330)</f>
        <v>2.5451546296296295</v>
      </c>
      <c r="BB330" s="22">
        <f>VLOOKUP($A330,tabCustoUnit[],COLUMN(CUSTO_GLOBAL[[#Headers],[Incidência do Submódulo 2.1 sobre Ausências Legais]])-2,0)*($G330-$H330)</f>
        <v>9.0156121641250007</v>
      </c>
      <c r="BC330" s="22">
        <f>VLOOKUP($A330,tabCustoUnit[],COLUMN(CUSTO_GLOBAL[[#Headers],[Submódulo 4.1]])-2,0)*($G330-$H330)</f>
        <v>32.866437995143521</v>
      </c>
      <c r="BD330" s="22">
        <f>VLOOKUP($A330,tabCustoUnit[],COLUMN(CUSTO_GLOBAL[[#Headers],[Intervalo para Repouso ou Alimentação]])-2,0)*($G330-$H330)</f>
        <v>267.73704981301341</v>
      </c>
      <c r="BE330" s="22">
        <f>VLOOKUP($A330,tabCustoUnit[],COLUMN(CUSTO_GLOBAL[[#Headers],[Submódulo 4.2]])-2,0)*($G330-$H330)</f>
        <v>267.73704981301341</v>
      </c>
      <c r="BF330" s="22">
        <f>VLOOKUP($A330,tabCustoUnit[],COLUMN(CUSTO_GLOBAL[[#Headers],[Suspensão Temporária do Contrato de Trabalho]])-2,0)*($G330-$H330)</f>
        <v>0</v>
      </c>
      <c r="BG330" s="22">
        <f>VLOOKUP($A330,tabCustoUnit[],COLUMN(CUSTO_GLOBAL[[#Headers],[Submódulo 4.3]])-2,0)*($G330-$H330)</f>
        <v>0</v>
      </c>
      <c r="BH330" s="22">
        <f>VLOOKUP($A330,tabCustoUnit[],COLUMN(CUSTO_GLOBAL[[#Headers],[MÓDULO 4 – CUSTO DE REPOSIÇÃO DO PROFISSIONAL AUSENTE]])-2,0)*($G330-$H330)</f>
        <v>300.60348780815696</v>
      </c>
      <c r="BI330" s="22">
        <f>VLOOKUP($A330,tabCustoUnit[],COLUMN(CUSTO_GLOBAL[[#Headers],[Uniformes e EPIs]])-2,0)*($G330-$H330)</f>
        <v>56.642978962543395</v>
      </c>
      <c r="BJ330" s="22">
        <f>VLOOKUP($A330,tabCustoUnit[],COLUMN(CUSTO_GLOBAL[[#Headers],[Materiais de Consumo]])-2,0)*($G330-$H330)</f>
        <v>0</v>
      </c>
      <c r="BK330" s="22">
        <f>VLOOKUP($A330,tabCustoUnit[],COLUMN(CUSTO_GLOBAL[[#Headers],[Máquinas e Equipamentos (depreciação)]])-2,0)*($G330-$H330)</f>
        <v>0</v>
      </c>
      <c r="BL330" s="22">
        <f>VLOOKUP($A330,tabCustoUnit[],COLUMN(CUSTO_GLOBAL[[#Headers],[Produtos de Limpeza e Materiais de Higiene Pessoal]])-2,0)*($G330-$H330)</f>
        <v>0</v>
      </c>
      <c r="BM330" s="22">
        <f>VLOOKUP($A330,tabCustoUnit[],COLUMN(CUSTO_GLOBAL[[#Headers],[Outros (especificar)]])-2,0)*($G330-$H330)</f>
        <v>0</v>
      </c>
      <c r="BN330" s="22">
        <f>VLOOKUP($A330,tabCustoUnit[],COLUMN(CUSTO_GLOBAL[[#Headers],[MÓDULO 5 – INSUMOS DIVERSOS]])-2,0)*($G330-$H330)</f>
        <v>56.642978962543395</v>
      </c>
      <c r="BO330" s="22" t="e">
        <f ca="1">VLOOKUP($A330,tabCustoUnit[],COLUMN(CUSTO_GLOBAL[[#Headers],[TOTAL MÓDULOS 1+2+3+4+5]])-2,0)*($G330-$H330)</f>
        <v>#NAME?</v>
      </c>
      <c r="BP330" s="22" t="e">
        <f ca="1">VLOOKUP($A330,tabCustoUnit[],COLUMN(CUSTO_GLOBAL[[#Headers],[Custos Indiretos]])-2,0)*($G330-$H330)</f>
        <v>#NAME?</v>
      </c>
      <c r="BQ330" s="22" t="e">
        <f ca="1">VLOOKUP($A330,tabCustoUnit[],COLUMN(CUSTO_GLOBAL[[#Headers],[Lucro]])-2,0)*($G330-$H330)</f>
        <v>#NAME?</v>
      </c>
      <c r="BR330" s="26">
        <f>VLOOKUP($A330,tabCustoUnit[],COLUMN(CUSTO_GLOBAL[[#Headers],[COFINS]])-2,0)</f>
        <v>8.6609686609686695E-2</v>
      </c>
      <c r="BS330" s="26">
        <f>VLOOKUP($A330,tabCustoUnit[],COLUMN(CUSTO_GLOBAL[[#Headers],[PIS]])-2,0)</f>
        <v>1.880341880341882E-2</v>
      </c>
      <c r="BT330" s="28">
        <f>VLOOKUP($A330,tabCustoUnit[],COLUMN(CUSTO_GLOBAL[[#Headers],[ISS]])-2,0)</f>
        <v>0.03</v>
      </c>
      <c r="BU330" s="26">
        <f>VLOOKUP($A330,tabCustoUnit[],COLUMN(CUSTO_GLOBAL[[#Headers],[ISS (Conversão Alíquota s/ fatura)]])-2,0)</f>
        <v>3.4188034188034219E-2</v>
      </c>
      <c r="BV330" s="26">
        <f>VLOOKUP($A330,tabCustoUnit[],COLUMN(CUSTO_GLOBAL[[#Headers],[Resumo de Alíquotas (PIS+CONFINS+ISS)]])-2,0)</f>
        <v>0.1225</v>
      </c>
      <c r="BW330" s="138">
        <f>VLOOKUP($A330,tabCustoUnit[],COLUMN(CUSTO_GLOBAL[[#Headers],[PIS + COFINS + ISS (Total Conversão  Alíquota s/ Fatura)]])-2,0)</f>
        <v>0.13960113960113973</v>
      </c>
      <c r="BX330" s="22" t="e">
        <f ca="1">VLOOKUP($A330,tabCustoUnit[],COLUMN(CUSTO_GLOBAL[[#Headers],[Valor dos Tributos (ISS, PIS, CONFINS)]])-2,0)*($G330-$H330)</f>
        <v>#NAME?</v>
      </c>
      <c r="BY330" s="22" t="e">
        <f ca="1">VLOOKUP($A330,tabCustoUnit[],COLUMN(CUSTO_GLOBAL[[#Headers],[MÓDULO 6 – CUSTOS INDIRETOS, TRIBUTOS E LUCRO]])-2,0)*($G330-$H330)</f>
        <v>#NAME?</v>
      </c>
      <c r="BZ330" s="22" t="e">
        <f ca="1">VLOOKUP($A330,tabCustoUnit[],COLUMN(CUSTO_GLOBAL[[#Headers],[CUSTO TOTAL MENSAL]])-2,0)*($G330-$H330)</f>
        <v>#NAME?</v>
      </c>
      <c r="CA330" s="22" t="e">
        <f ca="1">CUSTO_GLOBAL[[#This Row],[CUSTO TOTAL MENSAL]]*12</f>
        <v>#NAME?</v>
      </c>
      <c r="CB330" s="24">
        <f>VLOOKUP($A330,tabCustoUnit[],COLUMN(CUSTO_GLOBAL[[#Headers],[ANO DA CCT]])-2,0)</f>
        <v>45658</v>
      </c>
      <c r="CC330" s="25" t="str">
        <f>VLOOKUP($A330,tabCustoUnit[],COLUMN(CUSTO_GLOBAL[[#Headers],[Nº DE PEDIDO DA CCT]])-2,0)</f>
        <v>-</v>
      </c>
      <c r="CD330" s="25" t="str">
        <f>VLOOKUP($A330,tabCustoUnit[],COLUMN(CUSTO_GLOBAL[[#Headers],[TERMO ADITIVO ALTERAÇÃO DA CCT]])-2,0)</f>
        <v>-</v>
      </c>
    </row>
    <row r="331" spans="1:82">
      <c r="A331" s="20" t="s">
        <v>1737</v>
      </c>
      <c r="B331" t="s">
        <v>1074</v>
      </c>
      <c r="C331" t="s">
        <v>274</v>
      </c>
      <c r="D331" t="s">
        <v>1014</v>
      </c>
      <c r="E331" s="20" t="s">
        <v>1090</v>
      </c>
      <c r="F331" s="20" t="s">
        <v>120</v>
      </c>
      <c r="G331" s="20">
        <v>1</v>
      </c>
      <c r="H331" s="20">
        <v>0</v>
      </c>
      <c r="I331" s="21">
        <f>VLOOKUP($A331,tabCustoUnit[],COLUMN(CUSTO_GLOBAL[[#Headers],[Salário Base]])-2,0)*($G331-$H331)</f>
        <v>4465.6282000000001</v>
      </c>
      <c r="J331" s="21">
        <f>VLOOKUP($A331,tabCustoUnit[],COLUMN(CUSTO_GLOBAL[[#Headers],[Adicional Periculosidade]])-2,0)*($G331-$H331)</f>
        <v>0</v>
      </c>
      <c r="K331" s="21">
        <f>VLOOKUP($A331,tabCustoUnit[],COLUMN(CUSTO_GLOBAL[[#Headers],[Adicional Insalubridade]])-2,0)*($G331-$H331)</f>
        <v>0</v>
      </c>
      <c r="L331" s="21">
        <f>VLOOKUP($A331,tabCustoUnit[],COLUMN(CUSTO_GLOBAL[[#Headers],[Adicional Noturno]])-2,0)*($G331-$H331)</f>
        <v>0</v>
      </c>
      <c r="M331" s="21">
        <f>VLOOKUP($A331,tabCustoUnit[],COLUMN(CUSTO_GLOBAL[[#Headers],[Adicional Motorista II (Gratificação)]])-2,0)*($G331-$H331)</f>
        <v>0</v>
      </c>
      <c r="N331" s="21">
        <f>VLOOKUP($A331,tabCustoUnit[],COLUMN(CUSTO_GLOBAL[[#Headers],[Adicional de Sobreaviso]])-2,0)*($G331-$H331)</f>
        <v>0</v>
      </c>
      <c r="O331" s="21">
        <f>VLOOKUP($A331,tabCustoUnit[],COLUMN(CUSTO_GLOBAL[[#Headers],[Horas Extras TI]])-2,0)*($G331-$H331)</f>
        <v>0</v>
      </c>
      <c r="P331" s="21">
        <f>VLOOKUP($A331,tabCustoUnit[],COLUMN(CUSTO_GLOBAL[[#Headers],[Adicional de Acúmulo de função]])-2,0)*($G331-$H331)</f>
        <v>0</v>
      </c>
      <c r="Q331" s="21">
        <f>VLOOKUP($A331,tabCustoUnit[],COLUMN(CUSTO_GLOBAL[[#Headers],[MODULO 1 - REMUNERAÇÃO ]])-2,0)*($G331-$H331)</f>
        <v>4465.6282000000001</v>
      </c>
      <c r="R331" s="21">
        <f>VLOOKUP($A331,tabCustoUnit[],COLUMN(CUSTO_GLOBAL[[#Headers],[INSS]])-2,0)*($G331-$H331)</f>
        <v>893.12564000000009</v>
      </c>
      <c r="S331" s="21">
        <f>VLOOKUP($A331,tabCustoUnit[],COLUMN(CUSTO_GLOBAL[[#Headers],[SESI OU SESC]])-2,0)*($G331-$H331)</f>
        <v>66.984422999999992</v>
      </c>
      <c r="T331" s="21">
        <f>VLOOKUP($A331,tabCustoUnit[],COLUMN(CUSTO_GLOBAL[[#Headers],[SENAI OU SENAC]])-2,0)*($G331-$H331)</f>
        <v>44.656282000000004</v>
      </c>
      <c r="U331" s="21">
        <f>VLOOKUP($A331,tabCustoUnit[],COLUMN(CUSTO_GLOBAL[[#Headers],[INCRA]])-2,0)*($G331-$H331)</f>
        <v>8.9312564000000005</v>
      </c>
      <c r="V331" s="21">
        <f>VLOOKUP($A331,tabCustoUnit[],COLUMN(CUSTO_GLOBAL[[#Headers],[Salário Educação]])-2,0)*($G331-$H331)</f>
        <v>111.64070500000001</v>
      </c>
      <c r="W331" s="21">
        <f>VLOOKUP($A331,tabCustoUnit[],COLUMN(CUSTO_GLOBAL[[#Headers],[FGTS]])-2,0)*($G331-$H331)</f>
        <v>357.25025600000004</v>
      </c>
      <c r="X331" s="21">
        <f>VLOOKUP($A331,tabCustoUnit[],COLUMN(CUSTO_GLOBAL[[#Headers],[RAT Ajustado]])-2,0)*($G331-$H331)</f>
        <v>178.62512800000002</v>
      </c>
      <c r="Y331" s="21">
        <f>VLOOKUP($A331,tabCustoUnit[],COLUMN(CUSTO_GLOBAL[[#Headers],[SEBRAE]])-2,0)*($G331-$H331)</f>
        <v>26.7937692</v>
      </c>
      <c r="Z331" s="21">
        <f>VLOOKUP($A331,tabCustoUnit[],COLUMN(CUSTO_GLOBAL[[#Headers],[Submódulo 2.1]])-2,0)*($G331-$H331)</f>
        <v>1688.0074596000004</v>
      </c>
      <c r="AA331" s="21">
        <f>VLOOKUP($A331,tabCustoUnit[],COLUMN(CUSTO_GLOBAL[[#Headers],[13º salário (titular)]])-2,0)*($G331-$H331)</f>
        <v>372.1356833333333</v>
      </c>
      <c r="AB331" s="21">
        <f>VLOOKUP($A331,tabCustoUnit[],COLUMN(CUSTO_GLOBAL[[#Headers],[Férias e Adicional de Férias (titular)]])-2,0)*($G331-$H331)</f>
        <v>496.18091111111107</v>
      </c>
      <c r="AC331" s="21">
        <f>VLOOKUP($A331,tabCustoUnit[],COLUMN(CUSTO_GLOBAL[[#Headers],[Incidência do Submódulo 2.1 sobre 13º Salário, Férias e Adicional de Férias]])-2,0)*($G331-$H331)</f>
        <v>328.22367270000001</v>
      </c>
      <c r="AD331" s="21">
        <f>VLOOKUP($A331,tabCustoUnit[],COLUMN(CUSTO_GLOBAL[[#Headers],[Submódulo 2.2]])-2,0)*($G331-$H331)</f>
        <v>1196.5402671444444</v>
      </c>
      <c r="AE331" s="22" t="e">
        <f ca="1">VLOOKUP($A331,tabCustoUnit[],COLUMN(CUSTO_GLOBAL[[#Headers],[Vale - Transporte (Descontada parcela do empregado)]])-2,0)*($G331-$H331)</f>
        <v>#NAME?</v>
      </c>
      <c r="AF331" s="22">
        <f>VLOOKUP($A331,tabCustoUnit[],COLUMN(CUSTO_GLOBAL[[#Headers],[Vale - Alimentação (Descontada parcela do empregado)]])-2,0)*($G331-$H331)</f>
        <v>578.4</v>
      </c>
      <c r="AG331" s="22">
        <f>VLOOKUP($A331,tabCustoUnit[],COLUMN(CUSTO_GLOBAL[[#Headers],[Cesta Básica]])-2,0)*($G331-$H331)</f>
        <v>0</v>
      </c>
      <c r="AH331" s="22">
        <f>VLOOKUP($A331,tabCustoUnit[],COLUMN(CUSTO_GLOBAL[[#Headers],[PAF]])-2,0)*($G331-$H331)</f>
        <v>22.52</v>
      </c>
      <c r="AI331" s="22">
        <f>VLOOKUP($A331,tabCustoUnit[],COLUMN(CUSTO_GLOBAL[[#Headers],[PQM]])-2,0)*($G331-$H331)</f>
        <v>0</v>
      </c>
      <c r="AJ331" s="22">
        <v>0</v>
      </c>
      <c r="AK331" s="22">
        <f>VLOOKUP($A331,tabCustoUnit[],COLUMN(CUSTO_GLOBAL[[#Headers],[Seguro de Vida]])-2,0)*($G331-$H331)</f>
        <v>3.36</v>
      </c>
      <c r="AL331" s="22">
        <f>VLOOKUP($A331,tabCustoUnit[],COLUMN(CUSTO_GLOBAL[[#Headers],[Despesas de Viagem]])-2,0)*($G331-$H331)</f>
        <v>662.42</v>
      </c>
      <c r="AM331" s="22" t="e">
        <f ca="1">VLOOKUP($A331,tabCustoUnit[],COLUMN(CUSTO_GLOBAL[[#Headers],[Submódulo 2.3]])-2,0)*($G331-$H331)</f>
        <v>#NAME?</v>
      </c>
      <c r="AN331" s="22" t="e">
        <f ca="1">VLOOKUP($A331,tabCustoUnit[],COLUMN(CUSTO_GLOBAL[[#Headers],[MÓDULO 2 - Total Encargos e Benefícios mensais e diários]])-2,0)*($G331-$H331)</f>
        <v>#NAME?</v>
      </c>
      <c r="AO331" s="22">
        <f>VLOOKUP($A331,tabCustoUnit[],COLUMN(CUSTO_GLOBAL[[#Headers],[Aviso Prévio Indenizado (API) e Reflexo do Aviso Prévio Indenizado]])-2,0)*($G331-$H331)</f>
        <v>31.311944336766977</v>
      </c>
      <c r="AP331" s="22">
        <f>VLOOKUP($A331,tabCustoUnit[],COLUMN(CUSTO_GLOBAL[[#Headers],[Incidência do FGTS sobre API e Reflexo do API]])-2,0)*($G331-$H331)</f>
        <v>2.5049555469413582</v>
      </c>
      <c r="AQ331" s="22">
        <f>VLOOKUP($A331,tabCustoUnit[],COLUMN(CUSTO_GLOBAL[[#Headers],[Multa Rescisória do FGTS sobre o Aviso Prévio Indenizado]])-2,0)*($G331-$H331)</f>
        <v>1.0019822187765435</v>
      </c>
      <c r="AR331" s="22">
        <f>VLOOKUP($A331,tabCustoUnit[],COLUMN(CUSTO_GLOBAL[[#Headers],[Aviso Prévio Trabalhado - APT]])-2,0)*($G331-$H331)</f>
        <v>15.629698700000002</v>
      </c>
      <c r="AS331" s="22">
        <f>VLOOKUP($A331,tabCustoUnit[],COLUMN(CUSTO_GLOBAL[[#Headers],[Incidência dos encargos do submódulo 2.1 sobre Aviso Prévio Trabalhado]])-2,0)*($G331-$H331)</f>
        <v>5.9080261086000023</v>
      </c>
      <c r="AT331" s="22">
        <f>VLOOKUP($A331,tabCustoUnit[],COLUMN(CUSTO_GLOBAL[[#Headers],[Multa Rescisória do FGTS]])-2,0)*($G331-$H331)</f>
        <v>136.54898673777777</v>
      </c>
      <c r="AU331" s="22">
        <f>VLOOKUP($A331,tabCustoUnit[],COLUMN(CUSTO_GLOBAL[[#Headers],[Indenização Adicional (Art. 9º da Lei nº 7.238/84)]])-2,0)*($G331-$H331)</f>
        <v>3.7213568333333336</v>
      </c>
      <c r="AV331" s="22">
        <f>VLOOKUP($A331,tabCustoUnit[],COLUMN(CUSTO_GLOBAL[[#Headers],[MÓDULO 3 – PROVISÃO PARA RESCISÃO]])-2,0)*($G331-$H331)</f>
        <v>196.62695048219601</v>
      </c>
      <c r="AW331" s="22">
        <f>VLOOKUP($A331,tabCustoUnit[],COLUMN(CUSTO_GLOBAL[[#Headers],[Ausência por Doença]])-2,0)*($G331-$H331)</f>
        <v>37.709749244444438</v>
      </c>
      <c r="AX331" s="22">
        <f>VLOOKUP($A331,tabCustoUnit[],COLUMN(CUSTO_GLOBAL[[#Headers],[Ausências Legais]])-2,0)*($G331-$H331)</f>
        <v>9.0553016277777783</v>
      </c>
      <c r="AY331" s="22">
        <f>VLOOKUP($A331,tabCustoUnit[],COLUMN(CUSTO_GLOBAL[[#Headers],[Licença Paternidade]])-2,0)*($G331-$H331)</f>
        <v>0.76287815083333332</v>
      </c>
      <c r="AZ331" s="22">
        <f>VLOOKUP($A331,tabCustoUnit[],COLUMN(CUSTO_GLOBAL[[#Headers],[Ausência por Acidente de Trabalho]])-2,0)*($G331-$H331)</f>
        <v>0.93033920833333339</v>
      </c>
      <c r="BA331" s="22">
        <f>VLOOKUP($A331,tabCustoUnit[],COLUMN(CUSTO_GLOBAL[[#Headers],[Férias, Adicional de Férias e 13º  com empregada em gozo de Licença Maternidade]])-2,0)*($G331-$H331)</f>
        <v>5.7887772962962964</v>
      </c>
      <c r="BB331" s="22">
        <f>VLOOKUP($A331,tabCustoUnit[],COLUMN(CUSTO_GLOBAL[[#Headers],[Incidência do Submódulo 2.1 sobre Ausências Legais]])-2,0)*($G331-$H331)</f>
        <v>20.505383209465005</v>
      </c>
      <c r="BC331" s="22">
        <f>VLOOKUP($A331,tabCustoUnit[],COLUMN(CUSTO_GLOBAL[[#Headers],[Submódulo 4.1]])-2,0)*($G331-$H331)</f>
        <v>74.752428737150183</v>
      </c>
      <c r="BD331" s="22">
        <f>VLOOKUP($A331,tabCustoUnit[],COLUMN(CUSTO_GLOBAL[[#Headers],[Intervalo para Repouso ou Alimentação]])-2,0)*($G331-$H331)</f>
        <v>0</v>
      </c>
      <c r="BE331" s="22">
        <f>VLOOKUP($A331,tabCustoUnit[],COLUMN(CUSTO_GLOBAL[[#Headers],[Submódulo 4.2]])-2,0)*($G331-$H331)</f>
        <v>0</v>
      </c>
      <c r="BF331" s="22">
        <f>VLOOKUP($A331,tabCustoUnit[],COLUMN(CUSTO_GLOBAL[[#Headers],[Suspensão Temporária do Contrato de Trabalho]])-2,0)*($G331-$H331)</f>
        <v>0</v>
      </c>
      <c r="BG331" s="22">
        <f>VLOOKUP($A331,tabCustoUnit[],COLUMN(CUSTO_GLOBAL[[#Headers],[Submódulo 4.3]])-2,0)*($G331-$H331)</f>
        <v>0</v>
      </c>
      <c r="BH331" s="22">
        <f>VLOOKUP($A331,tabCustoUnit[],COLUMN(CUSTO_GLOBAL[[#Headers],[MÓDULO 4 – CUSTO DE REPOSIÇÃO DO PROFISSIONAL AUSENTE]])-2,0)*($G331-$H331)</f>
        <v>74.752428737150183</v>
      </c>
      <c r="BI331" s="22">
        <f>VLOOKUP($A331,tabCustoUnit[],COLUMN(CUSTO_GLOBAL[[#Headers],[Uniformes e EPIs]])-2,0)*($G331-$H331)</f>
        <v>92.100763771570698</v>
      </c>
      <c r="BJ331" s="22">
        <f>VLOOKUP($A331,tabCustoUnit[],COLUMN(CUSTO_GLOBAL[[#Headers],[Materiais de Consumo]])-2,0)*($G331-$H331)</f>
        <v>0</v>
      </c>
      <c r="BK331" s="22">
        <f>VLOOKUP($A331,tabCustoUnit[],COLUMN(CUSTO_GLOBAL[[#Headers],[Máquinas e Equipamentos (depreciação)]])-2,0)*($G331-$H331)</f>
        <v>0</v>
      </c>
      <c r="BL331" s="22">
        <f>VLOOKUP($A331,tabCustoUnit[],COLUMN(CUSTO_GLOBAL[[#Headers],[Produtos de Limpeza e Materiais de Higiene Pessoal]])-2,0)*($G331-$H331)</f>
        <v>0</v>
      </c>
      <c r="BM331" s="22">
        <f>VLOOKUP($A331,tabCustoUnit[],COLUMN(CUSTO_GLOBAL[[#Headers],[Outros (especificar)]])-2,0)*($G331-$H331)</f>
        <v>0</v>
      </c>
      <c r="BN331" s="22">
        <f>VLOOKUP($A331,tabCustoUnit[],COLUMN(CUSTO_GLOBAL[[#Headers],[MÓDULO 5 – INSUMOS DIVERSOS]])-2,0)*($G331-$H331)</f>
        <v>92.100763771570698</v>
      </c>
      <c r="BO331" s="22" t="e">
        <f ca="1">VLOOKUP($A331,tabCustoUnit[],COLUMN(CUSTO_GLOBAL[[#Headers],[TOTAL MÓDULOS 1+2+3+4+5]])-2,0)*($G331-$H331)</f>
        <v>#NAME?</v>
      </c>
      <c r="BP331" s="22" t="e">
        <f ca="1">VLOOKUP($A331,tabCustoUnit[],COLUMN(CUSTO_GLOBAL[[#Headers],[Custos Indiretos]])-2,0)*($G331-$H331)</f>
        <v>#NAME?</v>
      </c>
      <c r="BQ331" s="22" t="e">
        <f ca="1">VLOOKUP($A331,tabCustoUnit[],COLUMN(CUSTO_GLOBAL[[#Headers],[Lucro]])-2,0)*($G331-$H331)</f>
        <v>#NAME?</v>
      </c>
      <c r="BR331" s="26">
        <f>VLOOKUP($A331,tabCustoUnit[],COLUMN(CUSTO_GLOBAL[[#Headers],[COFINS]])-2,0)</f>
        <v>8.5633802816901458E-2</v>
      </c>
      <c r="BS331" s="26">
        <f>VLOOKUP($A331,tabCustoUnit[],COLUMN(CUSTO_GLOBAL[[#Headers],[PIS]])-2,0)</f>
        <v>1.8591549295774657E-2</v>
      </c>
      <c r="BT331" s="28">
        <f>VLOOKUP($A331,tabCustoUnit[],COLUMN(CUSTO_GLOBAL[[#Headers],[ISS]])-2,0)</f>
        <v>0.02</v>
      </c>
      <c r="BU331" s="26">
        <f>VLOOKUP($A331,tabCustoUnit[],COLUMN(CUSTO_GLOBAL[[#Headers],[ISS (Conversão Alíquota s/ fatura)]])-2,0)</f>
        <v>2.2535211267605645E-2</v>
      </c>
      <c r="BV331" s="26">
        <f>VLOOKUP($A331,tabCustoUnit[],COLUMN(CUSTO_GLOBAL[[#Headers],[Resumo de Alíquotas (PIS+CONFINS+ISS)]])-2,0)</f>
        <v>0.1125</v>
      </c>
      <c r="BW331" s="138">
        <f>VLOOKUP($A331,tabCustoUnit[],COLUMN(CUSTO_GLOBAL[[#Headers],[PIS + COFINS + ISS (Total Conversão  Alíquota s/ Fatura)]])-2,0)</f>
        <v>0.12676056338028174</v>
      </c>
      <c r="BX331" s="22" t="e">
        <f ca="1">VLOOKUP($A331,tabCustoUnit[],COLUMN(CUSTO_GLOBAL[[#Headers],[Valor dos Tributos (ISS, PIS, CONFINS)]])-2,0)*($G331-$H331)</f>
        <v>#NAME?</v>
      </c>
      <c r="BY331" s="22" t="e">
        <f ca="1">VLOOKUP($A331,tabCustoUnit[],COLUMN(CUSTO_GLOBAL[[#Headers],[MÓDULO 6 – CUSTOS INDIRETOS, TRIBUTOS E LUCRO]])-2,0)*($G331-$H331)</f>
        <v>#NAME?</v>
      </c>
      <c r="BZ331" s="22" t="e">
        <f ca="1">VLOOKUP($A331,tabCustoUnit[],COLUMN(CUSTO_GLOBAL[[#Headers],[CUSTO TOTAL MENSAL]])-2,0)*($G331-$H331)</f>
        <v>#NAME?</v>
      </c>
      <c r="CA331" s="22" t="e">
        <f ca="1">CUSTO_GLOBAL[[#This Row],[CUSTO TOTAL MENSAL]]*12</f>
        <v>#NAME?</v>
      </c>
      <c r="CB331" s="24">
        <f>VLOOKUP($A331,tabCustoUnit[],COLUMN(CUSTO_GLOBAL[[#Headers],[ANO DA CCT]])-2,0)</f>
        <v>45658</v>
      </c>
      <c r="CC331" s="25" t="str">
        <f>VLOOKUP($A331,tabCustoUnit[],COLUMN(CUSTO_GLOBAL[[#Headers],[Nº DE PEDIDO DA CCT]])-2,0)</f>
        <v>-</v>
      </c>
      <c r="CD331" s="25" t="str">
        <f>VLOOKUP($A331,tabCustoUnit[],COLUMN(CUSTO_GLOBAL[[#Headers],[TERMO ADITIVO ALTERAÇÃO DA CCT]])-2,0)</f>
        <v>-</v>
      </c>
    </row>
    <row r="332" spans="1:82">
      <c r="A332" s="20" t="s">
        <v>1738</v>
      </c>
      <c r="B332" t="s">
        <v>1074</v>
      </c>
      <c r="C332" t="s">
        <v>304</v>
      </c>
      <c r="D332" t="s">
        <v>1074</v>
      </c>
      <c r="E332" s="20" t="s">
        <v>1090</v>
      </c>
      <c r="F332" s="20" t="s">
        <v>120</v>
      </c>
      <c r="G332" s="20">
        <v>2</v>
      </c>
      <c r="H332" s="20">
        <v>0</v>
      </c>
      <c r="I332" s="21">
        <f>VLOOKUP($A332,tabCustoUnit[],COLUMN(CUSTO_GLOBAL[[#Headers],[Salário Base]])-2,0)*($G332-$H332)</f>
        <v>4269.6084000000001</v>
      </c>
      <c r="J332" s="21">
        <f>VLOOKUP($A332,tabCustoUnit[],COLUMN(CUSTO_GLOBAL[[#Headers],[Adicional Periculosidade]])-2,0)*($G332-$H332)</f>
        <v>0</v>
      </c>
      <c r="K332" s="21">
        <f>VLOOKUP($A332,tabCustoUnit[],COLUMN(CUSTO_GLOBAL[[#Headers],[Adicional Insalubridade]])-2,0)*($G332-$H332)</f>
        <v>0</v>
      </c>
      <c r="L332" s="21">
        <f>VLOOKUP($A332,tabCustoUnit[],COLUMN(CUSTO_GLOBAL[[#Headers],[Adicional Noturno]])-2,0)*($G332-$H332)</f>
        <v>0</v>
      </c>
      <c r="M332" s="21">
        <f>VLOOKUP($A332,tabCustoUnit[],COLUMN(CUSTO_GLOBAL[[#Headers],[Adicional Motorista II (Gratificação)]])-2,0)*($G332-$H332)</f>
        <v>0</v>
      </c>
      <c r="N332" s="21">
        <f>VLOOKUP($A332,tabCustoUnit[],COLUMN(CUSTO_GLOBAL[[#Headers],[Adicional de Sobreaviso]])-2,0)*($G332-$H332)</f>
        <v>0</v>
      </c>
      <c r="O332" s="21">
        <f>VLOOKUP($A332,tabCustoUnit[],COLUMN(CUSTO_GLOBAL[[#Headers],[Horas Extras TI]])-2,0)*($G332-$H332)</f>
        <v>0</v>
      </c>
      <c r="P332" s="21">
        <f>VLOOKUP($A332,tabCustoUnit[],COLUMN(CUSTO_GLOBAL[[#Headers],[Adicional de Acúmulo de função]])-2,0)*($G332-$H332)</f>
        <v>0</v>
      </c>
      <c r="Q332" s="21">
        <f>VLOOKUP($A332,tabCustoUnit[],COLUMN(CUSTO_GLOBAL[[#Headers],[MODULO 1 - REMUNERAÇÃO ]])-2,0)*($G332-$H332)</f>
        <v>4269.6084000000001</v>
      </c>
      <c r="R332" s="21">
        <f>VLOOKUP($A332,tabCustoUnit[],COLUMN(CUSTO_GLOBAL[[#Headers],[INSS]])-2,0)*($G332-$H332)</f>
        <v>853.92168000000004</v>
      </c>
      <c r="S332" s="21">
        <f>VLOOKUP($A332,tabCustoUnit[],COLUMN(CUSTO_GLOBAL[[#Headers],[SESI OU SESC]])-2,0)*($G332-$H332)</f>
        <v>64.044126000000006</v>
      </c>
      <c r="T332" s="21">
        <f>VLOOKUP($A332,tabCustoUnit[],COLUMN(CUSTO_GLOBAL[[#Headers],[SENAI OU SENAC]])-2,0)*($G332-$H332)</f>
        <v>42.696083999999999</v>
      </c>
      <c r="U332" s="21">
        <f>VLOOKUP($A332,tabCustoUnit[],COLUMN(CUSTO_GLOBAL[[#Headers],[INCRA]])-2,0)*($G332-$H332)</f>
        <v>8.5392168000000002</v>
      </c>
      <c r="V332" s="21">
        <f>VLOOKUP($A332,tabCustoUnit[],COLUMN(CUSTO_GLOBAL[[#Headers],[Salário Educação]])-2,0)*($G332-$H332)</f>
        <v>106.74021</v>
      </c>
      <c r="W332" s="21">
        <f>VLOOKUP($A332,tabCustoUnit[],COLUMN(CUSTO_GLOBAL[[#Headers],[FGTS]])-2,0)*($G332-$H332)</f>
        <v>341.56867199999999</v>
      </c>
      <c r="X332" s="21">
        <f>VLOOKUP($A332,tabCustoUnit[],COLUMN(CUSTO_GLOBAL[[#Headers],[RAT Ajustado]])-2,0)*($G332-$H332)</f>
        <v>170.784336</v>
      </c>
      <c r="Y332" s="21">
        <f>VLOOKUP($A332,tabCustoUnit[],COLUMN(CUSTO_GLOBAL[[#Headers],[SEBRAE]])-2,0)*($G332-$H332)</f>
        <v>25.617650400000002</v>
      </c>
      <c r="Z332" s="21">
        <f>VLOOKUP($A332,tabCustoUnit[],COLUMN(CUSTO_GLOBAL[[#Headers],[Submódulo 2.1]])-2,0)*($G332-$H332)</f>
        <v>1613.9119751999999</v>
      </c>
      <c r="AA332" s="21">
        <f>VLOOKUP($A332,tabCustoUnit[],COLUMN(CUSTO_GLOBAL[[#Headers],[13º salário (titular)]])-2,0)*($G332-$H332)</f>
        <v>355.80070000000001</v>
      </c>
      <c r="AB332" s="21">
        <f>VLOOKUP($A332,tabCustoUnit[],COLUMN(CUSTO_GLOBAL[[#Headers],[Férias e Adicional de Férias (titular)]])-2,0)*($G332-$H332)</f>
        <v>474.40093333333334</v>
      </c>
      <c r="AC332" s="21">
        <f>VLOOKUP($A332,tabCustoUnit[],COLUMN(CUSTO_GLOBAL[[#Headers],[Incidência do Submódulo 2.1 sobre 13º Salário, Férias e Adicional de Férias]])-2,0)*($G332-$H332)</f>
        <v>313.81621739999997</v>
      </c>
      <c r="AD332" s="21">
        <f>VLOOKUP($A332,tabCustoUnit[],COLUMN(CUSTO_GLOBAL[[#Headers],[Submódulo 2.2]])-2,0)*($G332-$H332)</f>
        <v>1144.0178507333333</v>
      </c>
      <c r="AE332" s="22" t="e">
        <f ca="1">VLOOKUP($A332,tabCustoUnit[],COLUMN(CUSTO_GLOBAL[[#Headers],[Vale - Transporte (Descontada parcela do empregado)]])-2,0)*($G332-$H332)</f>
        <v>#NAME?</v>
      </c>
      <c r="AF332" s="22">
        <f>VLOOKUP($A332,tabCustoUnit[],COLUMN(CUSTO_GLOBAL[[#Headers],[Vale - Alimentação (Descontada parcela do empregado)]])-2,0)*($G332-$H332)</f>
        <v>1164</v>
      </c>
      <c r="AG332" s="22">
        <f>VLOOKUP($A332,tabCustoUnit[],COLUMN(CUSTO_GLOBAL[[#Headers],[Cesta Básica]])-2,0)*($G332-$H332)</f>
        <v>0</v>
      </c>
      <c r="AH332" s="22">
        <f>VLOOKUP($A332,tabCustoUnit[],COLUMN(CUSTO_GLOBAL[[#Headers],[PAF]])-2,0)*($G332-$H332)</f>
        <v>0</v>
      </c>
      <c r="AI332" s="22">
        <f>VLOOKUP($A332,tabCustoUnit[],COLUMN(CUSTO_GLOBAL[[#Headers],[PQM]])-2,0)*($G332-$H332)</f>
        <v>0</v>
      </c>
      <c r="AJ332" s="22">
        <v>0</v>
      </c>
      <c r="AK332" s="22">
        <f>VLOOKUP($A332,tabCustoUnit[],COLUMN(CUSTO_GLOBAL[[#Headers],[Seguro de Vida]])-2,0)*($G332-$H332)</f>
        <v>6.72</v>
      </c>
      <c r="AL332" s="22">
        <f>VLOOKUP($A332,tabCustoUnit[],COLUMN(CUSTO_GLOBAL[[#Headers],[Despesas de Viagem]])-2,0)*($G332-$H332)</f>
        <v>0</v>
      </c>
      <c r="AM332" s="22" t="e">
        <f ca="1">VLOOKUP($A332,tabCustoUnit[],COLUMN(CUSTO_GLOBAL[[#Headers],[Submódulo 2.3]])-2,0)*($G332-$H332)</f>
        <v>#NAME?</v>
      </c>
      <c r="AN332" s="22" t="e">
        <f ca="1">VLOOKUP($A332,tabCustoUnit[],COLUMN(CUSTO_GLOBAL[[#Headers],[MÓDULO 2 - Total Encargos e Benefícios mensais e diários]])-2,0)*($G332-$H332)</f>
        <v>#NAME?</v>
      </c>
      <c r="AO332" s="22">
        <f>VLOOKUP($A332,tabCustoUnit[],COLUMN(CUSTO_GLOBAL[[#Headers],[Aviso Prévio Indenizado (API) e Reflexo do Aviso Prévio Indenizado]])-2,0)*($G332-$H332)</f>
        <v>29.937499176620371</v>
      </c>
      <c r="AP332" s="22">
        <f>VLOOKUP($A332,tabCustoUnit[],COLUMN(CUSTO_GLOBAL[[#Headers],[Incidência do FGTS sobre API e Reflexo do API]])-2,0)*($G332-$H332)</f>
        <v>2.39499993412963</v>
      </c>
      <c r="AQ332" s="22">
        <f>VLOOKUP($A332,tabCustoUnit[],COLUMN(CUSTO_GLOBAL[[#Headers],[Multa Rescisória do FGTS sobre o Aviso Prévio Indenizado]])-2,0)*($G332-$H332)</f>
        <v>0.95799997365185208</v>
      </c>
      <c r="AR332" s="22">
        <f>VLOOKUP($A332,tabCustoUnit[],COLUMN(CUSTO_GLOBAL[[#Headers],[Aviso Prévio Trabalhado - APT]])-2,0)*($G332-$H332)</f>
        <v>14.943629400000003</v>
      </c>
      <c r="AS332" s="22">
        <f>VLOOKUP($A332,tabCustoUnit[],COLUMN(CUSTO_GLOBAL[[#Headers],[Incidência dos encargos do submódulo 2.1 sobre Aviso Prévio Trabalhado]])-2,0)*($G332-$H332)</f>
        <v>5.6486919132000022</v>
      </c>
      <c r="AT332" s="22">
        <f>VLOOKUP($A332,tabCustoUnit[],COLUMN(CUSTO_GLOBAL[[#Headers],[Multa Rescisória do FGTS]])-2,0)*($G332-$H332)</f>
        <v>130.55513685333332</v>
      </c>
      <c r="AU332" s="22">
        <f>VLOOKUP($A332,tabCustoUnit[],COLUMN(CUSTO_GLOBAL[[#Headers],[Indenização Adicional (Art. 9º da Lei nº 7.238/84)]])-2,0)*($G332-$H332)</f>
        <v>3.5580070000000004</v>
      </c>
      <c r="AV332" s="22">
        <f>VLOOKUP($A332,tabCustoUnit[],COLUMN(CUSTO_GLOBAL[[#Headers],[MÓDULO 3 – PROVISÃO PARA RESCISÃO]])-2,0)*($G332-$H332)</f>
        <v>187.99596425093517</v>
      </c>
      <c r="AW332" s="22">
        <f>VLOOKUP($A332,tabCustoUnit[],COLUMN(CUSTO_GLOBAL[[#Headers],[Ausência por Doença]])-2,0)*($G332-$H332)</f>
        <v>36.054470933333327</v>
      </c>
      <c r="AX332" s="22">
        <f>VLOOKUP($A332,tabCustoUnit[],COLUMN(CUSTO_GLOBAL[[#Headers],[Ausências Legais]])-2,0)*($G332-$H332)</f>
        <v>8.6578170333333322</v>
      </c>
      <c r="AY332" s="22">
        <f>VLOOKUP($A332,tabCustoUnit[],COLUMN(CUSTO_GLOBAL[[#Headers],[Licença Paternidade]])-2,0)*($G332-$H332)</f>
        <v>0.72939143500000003</v>
      </c>
      <c r="AZ332" s="22">
        <f>VLOOKUP($A332,tabCustoUnit[],COLUMN(CUSTO_GLOBAL[[#Headers],[Ausência por Acidente de Trabalho]])-2,0)*($G332-$H332)</f>
        <v>0.88950175000000009</v>
      </c>
      <c r="BA332" s="22">
        <f>VLOOKUP($A332,tabCustoUnit[],COLUMN(CUSTO_GLOBAL[[#Headers],[Férias, Adicional de Férias e 13º  com empregada em gozo de Licença Maternidade]])-2,0)*($G332-$H332)</f>
        <v>5.5346775555555556</v>
      </c>
      <c r="BB332" s="22">
        <f>VLOOKUP($A332,tabCustoUnit[],COLUMN(CUSTO_GLOBAL[[#Headers],[Incidência do Submódulo 2.1 sobre Ausências Legais]])-2,0)*($G332-$H332)</f>
        <v>19.605294591330004</v>
      </c>
      <c r="BC332" s="22">
        <f>VLOOKUP($A332,tabCustoUnit[],COLUMN(CUSTO_GLOBAL[[#Headers],[Submódulo 4.1]])-2,0)*($G332-$H332)</f>
        <v>71.47115329855221</v>
      </c>
      <c r="BD332" s="22">
        <f>VLOOKUP($A332,tabCustoUnit[],COLUMN(CUSTO_GLOBAL[[#Headers],[Intervalo para Repouso ou Alimentação]])-2,0)*($G332-$H332)</f>
        <v>472.70663576808647</v>
      </c>
      <c r="BE332" s="22">
        <f>VLOOKUP($A332,tabCustoUnit[],COLUMN(CUSTO_GLOBAL[[#Headers],[Submódulo 4.2]])-2,0)*($G332-$H332)</f>
        <v>472.70663576808647</v>
      </c>
      <c r="BF332" s="22">
        <f>VLOOKUP($A332,tabCustoUnit[],COLUMN(CUSTO_GLOBAL[[#Headers],[Suspensão Temporária do Contrato de Trabalho]])-2,0)*($G332-$H332)</f>
        <v>0</v>
      </c>
      <c r="BG332" s="22">
        <f>VLOOKUP($A332,tabCustoUnit[],COLUMN(CUSTO_GLOBAL[[#Headers],[Submódulo 4.3]])-2,0)*($G332-$H332)</f>
        <v>0</v>
      </c>
      <c r="BH332" s="22">
        <f>VLOOKUP($A332,tabCustoUnit[],COLUMN(CUSTO_GLOBAL[[#Headers],[MÓDULO 4 – CUSTO DE REPOSIÇÃO DO PROFISSIONAL AUSENTE]])-2,0)*($G332-$H332)</f>
        <v>544.17778906663864</v>
      </c>
      <c r="BI332" s="22">
        <f>VLOOKUP($A332,tabCustoUnit[],COLUMN(CUSTO_GLOBAL[[#Headers],[Uniformes e EPIs]])-2,0)*($G332-$H332)</f>
        <v>113.28595792508679</v>
      </c>
      <c r="BJ332" s="22">
        <f>VLOOKUP($A332,tabCustoUnit[],COLUMN(CUSTO_GLOBAL[[#Headers],[Materiais de Consumo]])-2,0)*($G332-$H332)</f>
        <v>0</v>
      </c>
      <c r="BK332" s="22">
        <f>VLOOKUP($A332,tabCustoUnit[],COLUMN(CUSTO_GLOBAL[[#Headers],[Máquinas e Equipamentos (depreciação)]])-2,0)*($G332-$H332)</f>
        <v>0</v>
      </c>
      <c r="BL332" s="22">
        <f>VLOOKUP($A332,tabCustoUnit[],COLUMN(CUSTO_GLOBAL[[#Headers],[Produtos de Limpeza e Materiais de Higiene Pessoal]])-2,0)*($G332-$H332)</f>
        <v>0</v>
      </c>
      <c r="BM332" s="22">
        <f>VLOOKUP($A332,tabCustoUnit[],COLUMN(CUSTO_GLOBAL[[#Headers],[Outros (especificar)]])-2,0)*($G332-$H332)</f>
        <v>0</v>
      </c>
      <c r="BN332" s="22">
        <f>VLOOKUP($A332,tabCustoUnit[],COLUMN(CUSTO_GLOBAL[[#Headers],[MÓDULO 5 – INSUMOS DIVERSOS]])-2,0)*($G332-$H332)</f>
        <v>113.28595792508679</v>
      </c>
      <c r="BO332" s="22" t="e">
        <f ca="1">VLOOKUP($A332,tabCustoUnit[],COLUMN(CUSTO_GLOBAL[[#Headers],[TOTAL MÓDULOS 1+2+3+4+5]])-2,0)*($G332-$H332)</f>
        <v>#NAME?</v>
      </c>
      <c r="BP332" s="22" t="e">
        <f ca="1">VLOOKUP($A332,tabCustoUnit[],COLUMN(CUSTO_GLOBAL[[#Headers],[Custos Indiretos]])-2,0)*($G332-$H332)</f>
        <v>#NAME?</v>
      </c>
      <c r="BQ332" s="22" t="e">
        <f ca="1">VLOOKUP($A332,tabCustoUnit[],COLUMN(CUSTO_GLOBAL[[#Headers],[Lucro]])-2,0)*($G332-$H332)</f>
        <v>#NAME?</v>
      </c>
      <c r="BR332" s="26">
        <f>VLOOKUP($A332,tabCustoUnit[],COLUMN(CUSTO_GLOBAL[[#Headers],[COFINS]])-2,0)</f>
        <v>8.5633802816901458E-2</v>
      </c>
      <c r="BS332" s="26">
        <f>VLOOKUP($A332,tabCustoUnit[],COLUMN(CUSTO_GLOBAL[[#Headers],[PIS]])-2,0)</f>
        <v>1.8591549295774657E-2</v>
      </c>
      <c r="BT332" s="28">
        <f>VLOOKUP($A332,tabCustoUnit[],COLUMN(CUSTO_GLOBAL[[#Headers],[ISS]])-2,0)</f>
        <v>0.02</v>
      </c>
      <c r="BU332" s="26">
        <f>VLOOKUP($A332,tabCustoUnit[],COLUMN(CUSTO_GLOBAL[[#Headers],[ISS (Conversão Alíquota s/ fatura)]])-2,0)</f>
        <v>2.2535211267605645E-2</v>
      </c>
      <c r="BV332" s="26">
        <f>VLOOKUP($A332,tabCustoUnit[],COLUMN(CUSTO_GLOBAL[[#Headers],[Resumo de Alíquotas (PIS+CONFINS+ISS)]])-2,0)</f>
        <v>0.1125</v>
      </c>
      <c r="BW332" s="138">
        <f>VLOOKUP($A332,tabCustoUnit[],COLUMN(CUSTO_GLOBAL[[#Headers],[PIS + COFINS + ISS (Total Conversão  Alíquota s/ Fatura)]])-2,0)</f>
        <v>0.12676056338028174</v>
      </c>
      <c r="BX332" s="22" t="e">
        <f ca="1">VLOOKUP($A332,tabCustoUnit[],COLUMN(CUSTO_GLOBAL[[#Headers],[Valor dos Tributos (ISS, PIS, CONFINS)]])-2,0)*($G332-$H332)</f>
        <v>#NAME?</v>
      </c>
      <c r="BY332" s="22" t="e">
        <f ca="1">VLOOKUP($A332,tabCustoUnit[],COLUMN(CUSTO_GLOBAL[[#Headers],[MÓDULO 6 – CUSTOS INDIRETOS, TRIBUTOS E LUCRO]])-2,0)*($G332-$H332)</f>
        <v>#NAME?</v>
      </c>
      <c r="BZ332" s="22" t="e">
        <f ca="1">VLOOKUP($A332,tabCustoUnit[],COLUMN(CUSTO_GLOBAL[[#Headers],[CUSTO TOTAL MENSAL]])-2,0)*($G332-$H332)</f>
        <v>#NAME?</v>
      </c>
      <c r="CA332" s="22" t="e">
        <f ca="1">CUSTO_GLOBAL[[#This Row],[CUSTO TOTAL MENSAL]]*12</f>
        <v>#NAME?</v>
      </c>
      <c r="CB332" s="24">
        <f>VLOOKUP($A332,tabCustoUnit[],COLUMN(CUSTO_GLOBAL[[#Headers],[ANO DA CCT]])-2,0)</f>
        <v>45658</v>
      </c>
      <c r="CC332" s="25" t="str">
        <f>VLOOKUP($A332,tabCustoUnit[],COLUMN(CUSTO_GLOBAL[[#Headers],[Nº DE PEDIDO DA CCT]])-2,0)</f>
        <v>-</v>
      </c>
      <c r="CD332" s="25" t="str">
        <f>VLOOKUP($A332,tabCustoUnit[],COLUMN(CUSTO_GLOBAL[[#Headers],[TERMO ADITIVO ALTERAÇÃO DA CCT]])-2,0)</f>
        <v>-</v>
      </c>
    </row>
    <row r="333" spans="1:82">
      <c r="A333" s="20" t="s">
        <v>1739</v>
      </c>
      <c r="B333" t="s">
        <v>1074</v>
      </c>
      <c r="C333" t="s">
        <v>309</v>
      </c>
      <c r="D333" t="s">
        <v>1074</v>
      </c>
      <c r="E333" s="20" t="s">
        <v>1090</v>
      </c>
      <c r="F333" s="20" t="s">
        <v>120</v>
      </c>
      <c r="G333" s="20">
        <v>2</v>
      </c>
      <c r="H333" s="20">
        <v>0</v>
      </c>
      <c r="I333" s="21">
        <f>VLOOKUP($A333,tabCustoUnit[],COLUMN(CUSTO_GLOBAL[[#Headers],[Salário Base]])-2,0)*($G333-$H333)</f>
        <v>4269.6084000000001</v>
      </c>
      <c r="J333" s="21">
        <f>VLOOKUP($A333,tabCustoUnit[],COLUMN(CUSTO_GLOBAL[[#Headers],[Adicional Periculosidade]])-2,0)*($G333-$H333)</f>
        <v>0</v>
      </c>
      <c r="K333" s="21">
        <f>VLOOKUP($A333,tabCustoUnit[],COLUMN(CUSTO_GLOBAL[[#Headers],[Adicional Insalubridade]])-2,0)*($G333-$H333)</f>
        <v>0</v>
      </c>
      <c r="L333" s="21">
        <f>VLOOKUP($A333,tabCustoUnit[],COLUMN(CUSTO_GLOBAL[[#Headers],[Adicional Noturno]])-2,0)*($G333-$H333)</f>
        <v>860.32600000000002</v>
      </c>
      <c r="M333" s="21">
        <f>VLOOKUP($A333,tabCustoUnit[],COLUMN(CUSTO_GLOBAL[[#Headers],[Adicional Motorista II (Gratificação)]])-2,0)*($G333-$H333)</f>
        <v>0</v>
      </c>
      <c r="N333" s="21">
        <f>VLOOKUP($A333,tabCustoUnit[],COLUMN(CUSTO_GLOBAL[[#Headers],[Adicional de Sobreaviso]])-2,0)*($G333-$H333)</f>
        <v>0</v>
      </c>
      <c r="O333" s="21">
        <f>VLOOKUP($A333,tabCustoUnit[],COLUMN(CUSTO_GLOBAL[[#Headers],[Horas Extras TI]])-2,0)*($G333-$H333)</f>
        <v>0</v>
      </c>
      <c r="P333" s="21">
        <f>VLOOKUP($A333,tabCustoUnit[],COLUMN(CUSTO_GLOBAL[[#Headers],[Adicional de Acúmulo de função]])-2,0)*($G333-$H333)</f>
        <v>0</v>
      </c>
      <c r="Q333" s="21">
        <f>VLOOKUP($A333,tabCustoUnit[],COLUMN(CUSTO_GLOBAL[[#Headers],[MODULO 1 - REMUNERAÇÃO ]])-2,0)*($G333-$H333)</f>
        <v>5129.9344000000001</v>
      </c>
      <c r="R333" s="21">
        <f>VLOOKUP($A333,tabCustoUnit[],COLUMN(CUSTO_GLOBAL[[#Headers],[INSS]])-2,0)*($G333-$H333)</f>
        <v>1025.9868800000002</v>
      </c>
      <c r="S333" s="21">
        <f>VLOOKUP($A333,tabCustoUnit[],COLUMN(CUSTO_GLOBAL[[#Headers],[SESI OU SESC]])-2,0)*($G333-$H333)</f>
        <v>76.949016</v>
      </c>
      <c r="T333" s="21">
        <f>VLOOKUP($A333,tabCustoUnit[],COLUMN(CUSTO_GLOBAL[[#Headers],[SENAI OU SENAC]])-2,0)*($G333-$H333)</f>
        <v>51.299344000000005</v>
      </c>
      <c r="U333" s="21">
        <f>VLOOKUP($A333,tabCustoUnit[],COLUMN(CUSTO_GLOBAL[[#Headers],[INCRA]])-2,0)*($G333-$H333)</f>
        <v>10.2598688</v>
      </c>
      <c r="V333" s="21">
        <f>VLOOKUP($A333,tabCustoUnit[],COLUMN(CUSTO_GLOBAL[[#Headers],[Salário Educação]])-2,0)*($G333-$H333)</f>
        <v>128.24836000000002</v>
      </c>
      <c r="W333" s="21">
        <f>VLOOKUP($A333,tabCustoUnit[],COLUMN(CUSTO_GLOBAL[[#Headers],[FGTS]])-2,0)*($G333-$H333)</f>
        <v>410.39475200000004</v>
      </c>
      <c r="X333" s="21">
        <f>VLOOKUP($A333,tabCustoUnit[],COLUMN(CUSTO_GLOBAL[[#Headers],[RAT Ajustado]])-2,0)*($G333-$H333)</f>
        <v>205.19737600000002</v>
      </c>
      <c r="Y333" s="21">
        <f>VLOOKUP($A333,tabCustoUnit[],COLUMN(CUSTO_GLOBAL[[#Headers],[SEBRAE]])-2,0)*($G333-$H333)</f>
        <v>30.779606400000002</v>
      </c>
      <c r="Z333" s="21">
        <f>VLOOKUP($A333,tabCustoUnit[],COLUMN(CUSTO_GLOBAL[[#Headers],[Submódulo 2.1]])-2,0)*($G333-$H333)</f>
        <v>1939.1152032000005</v>
      </c>
      <c r="AA333" s="21">
        <f>VLOOKUP($A333,tabCustoUnit[],COLUMN(CUSTO_GLOBAL[[#Headers],[13º salário (titular)]])-2,0)*($G333-$H333)</f>
        <v>427.49453333333332</v>
      </c>
      <c r="AB333" s="21">
        <f>VLOOKUP($A333,tabCustoUnit[],COLUMN(CUSTO_GLOBAL[[#Headers],[Férias e Adicional de Férias (titular)]])-2,0)*($G333-$H333)</f>
        <v>569.99271111111113</v>
      </c>
      <c r="AC333" s="21">
        <f>VLOOKUP($A333,tabCustoUnit[],COLUMN(CUSTO_GLOBAL[[#Headers],[Incidência do Submódulo 2.1 sobre 13º Salário, Férias e Adicional de Férias]])-2,0)*($G333-$H333)</f>
        <v>377.05017840000011</v>
      </c>
      <c r="AD333" s="21">
        <f>VLOOKUP($A333,tabCustoUnit[],COLUMN(CUSTO_GLOBAL[[#Headers],[Submódulo 2.2]])-2,0)*($G333-$H333)</f>
        <v>1374.5374228444446</v>
      </c>
      <c r="AE333" s="22" t="e">
        <f ca="1">VLOOKUP($A333,tabCustoUnit[],COLUMN(CUSTO_GLOBAL[[#Headers],[Vale - Transporte (Descontada parcela do empregado)]])-2,0)*($G333-$H333)</f>
        <v>#NAME?</v>
      </c>
      <c r="AF333" s="22">
        <f>VLOOKUP($A333,tabCustoUnit[],COLUMN(CUSTO_GLOBAL[[#Headers],[Vale - Alimentação (Descontada parcela do empregado)]])-2,0)*($G333-$H333)</f>
        <v>1164</v>
      </c>
      <c r="AG333" s="22">
        <f>VLOOKUP($A333,tabCustoUnit[],COLUMN(CUSTO_GLOBAL[[#Headers],[Cesta Básica]])-2,0)*($G333-$H333)</f>
        <v>0</v>
      </c>
      <c r="AH333" s="22">
        <f>VLOOKUP($A333,tabCustoUnit[],COLUMN(CUSTO_GLOBAL[[#Headers],[PAF]])-2,0)*($G333-$H333)</f>
        <v>0</v>
      </c>
      <c r="AI333" s="22">
        <f>VLOOKUP($A333,tabCustoUnit[],COLUMN(CUSTO_GLOBAL[[#Headers],[PQM]])-2,0)*($G333-$H333)</f>
        <v>0</v>
      </c>
      <c r="AJ333" s="22">
        <v>0</v>
      </c>
      <c r="AK333" s="22">
        <f>VLOOKUP($A333,tabCustoUnit[],COLUMN(CUSTO_GLOBAL[[#Headers],[Seguro de Vida]])-2,0)*($G333-$H333)</f>
        <v>6.72</v>
      </c>
      <c r="AL333" s="22">
        <f>VLOOKUP($A333,tabCustoUnit[],COLUMN(CUSTO_GLOBAL[[#Headers],[Despesas de Viagem]])-2,0)*($G333-$H333)</f>
        <v>0</v>
      </c>
      <c r="AM333" s="22" t="e">
        <f ca="1">VLOOKUP($A333,tabCustoUnit[],COLUMN(CUSTO_GLOBAL[[#Headers],[Submódulo 2.3]])-2,0)*($G333-$H333)</f>
        <v>#NAME?</v>
      </c>
      <c r="AN333" s="22" t="e">
        <f ca="1">VLOOKUP($A333,tabCustoUnit[],COLUMN(CUSTO_GLOBAL[[#Headers],[MÓDULO 2 - Total Encargos e Benefícios mensais e diários]])-2,0)*($G333-$H333)</f>
        <v>#NAME?</v>
      </c>
      <c r="AO333" s="22">
        <f>VLOOKUP($A333,tabCustoUnit[],COLUMN(CUSTO_GLOBAL[[#Headers],[Aviso Prévio Indenizado (API) e Reflexo do Aviso Prévio Indenizado]])-2,0)*($G333-$H333)</f>
        <v>35.969904611419757</v>
      </c>
      <c r="AP333" s="22">
        <f>VLOOKUP($A333,tabCustoUnit[],COLUMN(CUSTO_GLOBAL[[#Headers],[Incidência do FGTS sobre API e Reflexo do API]])-2,0)*($G333-$H333)</f>
        <v>2.8775923689135805</v>
      </c>
      <c r="AQ333" s="22">
        <f>VLOOKUP($A333,tabCustoUnit[],COLUMN(CUSTO_GLOBAL[[#Headers],[Multa Rescisória do FGTS sobre o Aviso Prévio Indenizado]])-2,0)*($G333-$H333)</f>
        <v>1.1510369475654323</v>
      </c>
      <c r="AR333" s="22">
        <f>VLOOKUP($A333,tabCustoUnit[],COLUMN(CUSTO_GLOBAL[[#Headers],[Aviso Prévio Trabalhado - APT]])-2,0)*($G333-$H333)</f>
        <v>17.954770400000005</v>
      </c>
      <c r="AS333" s="22">
        <f>VLOOKUP($A333,tabCustoUnit[],COLUMN(CUSTO_GLOBAL[[#Headers],[Incidência dos encargos do submódulo 2.1 sobre Aviso Prévio Trabalhado]])-2,0)*($G333-$H333)</f>
        <v>6.7869032112000021</v>
      </c>
      <c r="AT333" s="22">
        <f>VLOOKUP($A333,tabCustoUnit[],COLUMN(CUSTO_GLOBAL[[#Headers],[Multa Rescisória do FGTS]])-2,0)*($G333-$H333)</f>
        <v>156.86199409777777</v>
      </c>
      <c r="AU333" s="22">
        <f>VLOOKUP($A333,tabCustoUnit[],COLUMN(CUSTO_GLOBAL[[#Headers],[Indenização Adicional (Art. 9º da Lei nº 7.238/84)]])-2,0)*($G333-$H333)</f>
        <v>4.274945333333334</v>
      </c>
      <c r="AV333" s="22">
        <f>VLOOKUP($A333,tabCustoUnit[],COLUMN(CUSTO_GLOBAL[[#Headers],[MÓDULO 3 – PROVISÃO PARA RESCISÃO]])-2,0)*($G333-$H333)</f>
        <v>225.87714697020988</v>
      </c>
      <c r="AW333" s="22">
        <f>VLOOKUP($A333,tabCustoUnit[],COLUMN(CUSTO_GLOBAL[[#Headers],[Ausência por Doença]])-2,0)*($G333-$H333)</f>
        <v>43.31944604444444</v>
      </c>
      <c r="AX333" s="22">
        <f>VLOOKUP($A333,tabCustoUnit[],COLUMN(CUSTO_GLOBAL[[#Headers],[Ausências Legais]])-2,0)*($G333-$H333)</f>
        <v>10.402366977777778</v>
      </c>
      <c r="AY333" s="22">
        <f>VLOOKUP($A333,tabCustoUnit[],COLUMN(CUSTO_GLOBAL[[#Headers],[Licença Paternidade]])-2,0)*($G333-$H333)</f>
        <v>0.87636379333333336</v>
      </c>
      <c r="AZ333" s="22">
        <f>VLOOKUP($A333,tabCustoUnit[],COLUMN(CUSTO_GLOBAL[[#Headers],[Ausência por Acidente de Trabalho]])-2,0)*($G333-$H333)</f>
        <v>1.0687363333333335</v>
      </c>
      <c r="BA333" s="22">
        <f>VLOOKUP($A333,tabCustoUnit[],COLUMN(CUSTO_GLOBAL[[#Headers],[Férias, Adicional de Férias e 13º  com empregada em gozo de Licença Maternidade]])-2,0)*($G333-$H333)</f>
        <v>6.6499149629629626</v>
      </c>
      <c r="BB333" s="22">
        <f>VLOOKUP($A333,tabCustoUnit[],COLUMN(CUSTO_GLOBAL[[#Headers],[Incidência do Submódulo 2.1 sobre Ausências Legais]])-2,0)*($G333-$H333)</f>
        <v>23.555761026280006</v>
      </c>
      <c r="BC333" s="22">
        <f>VLOOKUP($A333,tabCustoUnit[],COLUMN(CUSTO_GLOBAL[[#Headers],[Submódulo 4.1]])-2,0)*($G333-$H333)</f>
        <v>85.872589138131858</v>
      </c>
      <c r="BD333" s="22">
        <f>VLOOKUP($A333,tabCustoUnit[],COLUMN(CUSTO_GLOBAL[[#Headers],[Intervalo para Repouso ou Alimentação]])-2,0)*($G333-$H333)</f>
        <v>567.95702287535596</v>
      </c>
      <c r="BE333" s="22">
        <f>VLOOKUP($A333,tabCustoUnit[],COLUMN(CUSTO_GLOBAL[[#Headers],[Submódulo 4.2]])-2,0)*($G333-$H333)</f>
        <v>567.95702287535596</v>
      </c>
      <c r="BF333" s="22">
        <f>VLOOKUP($A333,tabCustoUnit[],COLUMN(CUSTO_GLOBAL[[#Headers],[Suspensão Temporária do Contrato de Trabalho]])-2,0)*($G333-$H333)</f>
        <v>0</v>
      </c>
      <c r="BG333" s="22">
        <f>VLOOKUP($A333,tabCustoUnit[],COLUMN(CUSTO_GLOBAL[[#Headers],[Submódulo 4.3]])-2,0)*($G333-$H333)</f>
        <v>0</v>
      </c>
      <c r="BH333" s="22">
        <f>VLOOKUP($A333,tabCustoUnit[],COLUMN(CUSTO_GLOBAL[[#Headers],[MÓDULO 4 – CUSTO DE REPOSIÇÃO DO PROFISSIONAL AUSENTE]])-2,0)*($G333-$H333)</f>
        <v>653.8296120134878</v>
      </c>
      <c r="BI333" s="22">
        <f>VLOOKUP($A333,tabCustoUnit[],COLUMN(CUSTO_GLOBAL[[#Headers],[Uniformes e EPIs]])-2,0)*($G333-$H333)</f>
        <v>113.28595792508679</v>
      </c>
      <c r="BJ333" s="22">
        <f>VLOOKUP($A333,tabCustoUnit[],COLUMN(CUSTO_GLOBAL[[#Headers],[Materiais de Consumo]])-2,0)*($G333-$H333)</f>
        <v>0</v>
      </c>
      <c r="BK333" s="22">
        <f>VLOOKUP($A333,tabCustoUnit[],COLUMN(CUSTO_GLOBAL[[#Headers],[Máquinas e Equipamentos (depreciação)]])-2,0)*($G333-$H333)</f>
        <v>0</v>
      </c>
      <c r="BL333" s="22">
        <f>VLOOKUP($A333,tabCustoUnit[],COLUMN(CUSTO_GLOBAL[[#Headers],[Produtos de Limpeza e Materiais de Higiene Pessoal]])-2,0)*($G333-$H333)</f>
        <v>0</v>
      </c>
      <c r="BM333" s="22">
        <f>VLOOKUP($A333,tabCustoUnit[],COLUMN(CUSTO_GLOBAL[[#Headers],[Outros (especificar)]])-2,0)*($G333-$H333)</f>
        <v>0</v>
      </c>
      <c r="BN333" s="22">
        <f>VLOOKUP($A333,tabCustoUnit[],COLUMN(CUSTO_GLOBAL[[#Headers],[MÓDULO 5 – INSUMOS DIVERSOS]])-2,0)*($G333-$H333)</f>
        <v>113.28595792508679</v>
      </c>
      <c r="BO333" s="22" t="e">
        <f ca="1">VLOOKUP($A333,tabCustoUnit[],COLUMN(CUSTO_GLOBAL[[#Headers],[TOTAL MÓDULOS 1+2+3+4+5]])-2,0)*($G333-$H333)</f>
        <v>#NAME?</v>
      </c>
      <c r="BP333" s="22" t="e">
        <f ca="1">VLOOKUP($A333,tabCustoUnit[],COLUMN(CUSTO_GLOBAL[[#Headers],[Custos Indiretos]])-2,0)*($G333-$H333)</f>
        <v>#NAME?</v>
      </c>
      <c r="BQ333" s="22" t="e">
        <f ca="1">VLOOKUP($A333,tabCustoUnit[],COLUMN(CUSTO_GLOBAL[[#Headers],[Lucro]])-2,0)*($G333-$H333)</f>
        <v>#NAME?</v>
      </c>
      <c r="BR333" s="26">
        <f>VLOOKUP($A333,tabCustoUnit[],COLUMN(CUSTO_GLOBAL[[#Headers],[COFINS]])-2,0)</f>
        <v>8.5633802816901458E-2</v>
      </c>
      <c r="BS333" s="26">
        <f>VLOOKUP($A333,tabCustoUnit[],COLUMN(CUSTO_GLOBAL[[#Headers],[PIS]])-2,0)</f>
        <v>1.8591549295774657E-2</v>
      </c>
      <c r="BT333" s="28">
        <f>VLOOKUP($A333,tabCustoUnit[],COLUMN(CUSTO_GLOBAL[[#Headers],[ISS]])-2,0)</f>
        <v>0.02</v>
      </c>
      <c r="BU333" s="26">
        <f>VLOOKUP($A333,tabCustoUnit[],COLUMN(CUSTO_GLOBAL[[#Headers],[ISS (Conversão Alíquota s/ fatura)]])-2,0)</f>
        <v>2.2535211267605645E-2</v>
      </c>
      <c r="BV333" s="26">
        <f>VLOOKUP($A333,tabCustoUnit[],COLUMN(CUSTO_GLOBAL[[#Headers],[Resumo de Alíquotas (PIS+CONFINS+ISS)]])-2,0)</f>
        <v>0.1125</v>
      </c>
      <c r="BW333" s="138">
        <f>VLOOKUP($A333,tabCustoUnit[],COLUMN(CUSTO_GLOBAL[[#Headers],[PIS + COFINS + ISS (Total Conversão  Alíquota s/ Fatura)]])-2,0)</f>
        <v>0.12676056338028174</v>
      </c>
      <c r="BX333" s="22" t="e">
        <f ca="1">VLOOKUP($A333,tabCustoUnit[],COLUMN(CUSTO_GLOBAL[[#Headers],[Valor dos Tributos (ISS, PIS, CONFINS)]])-2,0)*($G333-$H333)</f>
        <v>#NAME?</v>
      </c>
      <c r="BY333" s="22" t="e">
        <f ca="1">VLOOKUP($A333,tabCustoUnit[],COLUMN(CUSTO_GLOBAL[[#Headers],[MÓDULO 6 – CUSTOS INDIRETOS, TRIBUTOS E LUCRO]])-2,0)*($G333-$H333)</f>
        <v>#NAME?</v>
      </c>
      <c r="BZ333" s="22" t="e">
        <f ca="1">VLOOKUP($A333,tabCustoUnit[],COLUMN(CUSTO_GLOBAL[[#Headers],[CUSTO TOTAL MENSAL]])-2,0)*($G333-$H333)</f>
        <v>#NAME?</v>
      </c>
      <c r="CA333" s="22" t="e">
        <f ca="1">CUSTO_GLOBAL[[#This Row],[CUSTO TOTAL MENSAL]]*12</f>
        <v>#NAME?</v>
      </c>
      <c r="CB333" s="24">
        <f>VLOOKUP($A333,tabCustoUnit[],COLUMN(CUSTO_GLOBAL[[#Headers],[ANO DA CCT]])-2,0)</f>
        <v>45658</v>
      </c>
      <c r="CC333" s="25" t="str">
        <f>VLOOKUP($A333,tabCustoUnit[],COLUMN(CUSTO_GLOBAL[[#Headers],[Nº DE PEDIDO DA CCT]])-2,0)</f>
        <v>-</v>
      </c>
      <c r="CD333" s="25" t="str">
        <f>VLOOKUP($A333,tabCustoUnit[],COLUMN(CUSTO_GLOBAL[[#Headers],[TERMO ADITIVO ALTERAÇÃO DA CCT]])-2,0)</f>
        <v>-</v>
      </c>
    </row>
    <row r="334" spans="1:82">
      <c r="A334" s="20" t="s">
        <v>1740</v>
      </c>
      <c r="B334" t="s">
        <v>1074</v>
      </c>
      <c r="C334" t="s">
        <v>324</v>
      </c>
      <c r="D334" t="s">
        <v>1074</v>
      </c>
      <c r="E334" s="20" t="s">
        <v>1090</v>
      </c>
      <c r="F334" s="20" t="s">
        <v>120</v>
      </c>
      <c r="G334" s="20">
        <v>1</v>
      </c>
      <c r="H334" s="20">
        <v>0</v>
      </c>
      <c r="I334" s="21">
        <f>VLOOKUP($A334,tabCustoUnit[],COLUMN(CUSTO_GLOBAL[[#Headers],[Salário Base]])-2,0)*($G334-$H334)</f>
        <v>3397.1305000000002</v>
      </c>
      <c r="J334" s="21">
        <f>VLOOKUP($A334,tabCustoUnit[],COLUMN(CUSTO_GLOBAL[[#Headers],[Adicional Periculosidade]])-2,0)*($G334-$H334)</f>
        <v>0</v>
      </c>
      <c r="K334" s="21">
        <f>VLOOKUP($A334,tabCustoUnit[],COLUMN(CUSTO_GLOBAL[[#Headers],[Adicional Insalubridade]])-2,0)*($G334-$H334)</f>
        <v>0</v>
      </c>
      <c r="L334" s="21">
        <f>VLOOKUP($A334,tabCustoUnit[],COLUMN(CUSTO_GLOBAL[[#Headers],[Adicional Noturno]])-2,0)*($G334-$H334)</f>
        <v>0</v>
      </c>
      <c r="M334" s="21">
        <f>VLOOKUP($A334,tabCustoUnit[],COLUMN(CUSTO_GLOBAL[[#Headers],[Adicional Motorista II (Gratificação)]])-2,0)*($G334-$H334)</f>
        <v>0</v>
      </c>
      <c r="N334" s="21">
        <f>VLOOKUP($A334,tabCustoUnit[],COLUMN(CUSTO_GLOBAL[[#Headers],[Adicional de Sobreaviso]])-2,0)*($G334-$H334)</f>
        <v>0</v>
      </c>
      <c r="O334" s="21">
        <f>VLOOKUP($A334,tabCustoUnit[],COLUMN(CUSTO_GLOBAL[[#Headers],[Horas Extras TI]])-2,0)*($G334-$H334)</f>
        <v>0</v>
      </c>
      <c r="P334" s="21">
        <f>VLOOKUP($A334,tabCustoUnit[],COLUMN(CUSTO_GLOBAL[[#Headers],[Adicional de Acúmulo de função]])-2,0)*($G334-$H334)</f>
        <v>0</v>
      </c>
      <c r="Q334" s="21">
        <f>VLOOKUP($A334,tabCustoUnit[],COLUMN(CUSTO_GLOBAL[[#Headers],[MODULO 1 - REMUNERAÇÃO ]])-2,0)*($G334-$H334)</f>
        <v>3397.1305000000002</v>
      </c>
      <c r="R334" s="21">
        <f>VLOOKUP($A334,tabCustoUnit[],COLUMN(CUSTO_GLOBAL[[#Headers],[INSS]])-2,0)*($G334-$H334)</f>
        <v>679.42610000000013</v>
      </c>
      <c r="S334" s="21">
        <f>VLOOKUP($A334,tabCustoUnit[],COLUMN(CUSTO_GLOBAL[[#Headers],[SESI OU SESC]])-2,0)*($G334-$H334)</f>
        <v>50.956957500000001</v>
      </c>
      <c r="T334" s="21">
        <f>VLOOKUP($A334,tabCustoUnit[],COLUMN(CUSTO_GLOBAL[[#Headers],[SENAI OU SENAC]])-2,0)*($G334-$H334)</f>
        <v>33.971305000000001</v>
      </c>
      <c r="U334" s="21">
        <f>VLOOKUP($A334,tabCustoUnit[],COLUMN(CUSTO_GLOBAL[[#Headers],[INCRA]])-2,0)*($G334-$H334)</f>
        <v>6.7942610000000005</v>
      </c>
      <c r="V334" s="21">
        <f>VLOOKUP($A334,tabCustoUnit[],COLUMN(CUSTO_GLOBAL[[#Headers],[Salário Educação]])-2,0)*($G334-$H334)</f>
        <v>84.928262500000017</v>
      </c>
      <c r="W334" s="21">
        <f>VLOOKUP($A334,tabCustoUnit[],COLUMN(CUSTO_GLOBAL[[#Headers],[FGTS]])-2,0)*($G334-$H334)</f>
        <v>271.77044000000001</v>
      </c>
      <c r="X334" s="21">
        <f>VLOOKUP($A334,tabCustoUnit[],COLUMN(CUSTO_GLOBAL[[#Headers],[RAT Ajustado]])-2,0)*($G334-$H334)</f>
        <v>135.88522</v>
      </c>
      <c r="Y334" s="21">
        <f>VLOOKUP($A334,tabCustoUnit[],COLUMN(CUSTO_GLOBAL[[#Headers],[SEBRAE]])-2,0)*($G334-$H334)</f>
        <v>20.382783000000003</v>
      </c>
      <c r="Z334" s="21">
        <f>VLOOKUP($A334,tabCustoUnit[],COLUMN(CUSTO_GLOBAL[[#Headers],[Submódulo 2.1]])-2,0)*($G334-$H334)</f>
        <v>1284.1153290000002</v>
      </c>
      <c r="AA334" s="21">
        <f>VLOOKUP($A334,tabCustoUnit[],COLUMN(CUSTO_GLOBAL[[#Headers],[13º salário (titular)]])-2,0)*($G334-$H334)</f>
        <v>283.09420833333331</v>
      </c>
      <c r="AB334" s="21">
        <f>VLOOKUP($A334,tabCustoUnit[],COLUMN(CUSTO_GLOBAL[[#Headers],[Férias e Adicional de Férias (titular)]])-2,0)*($G334-$H334)</f>
        <v>377.45894444444446</v>
      </c>
      <c r="AC334" s="21">
        <f>VLOOKUP($A334,tabCustoUnit[],COLUMN(CUSTO_GLOBAL[[#Headers],[Incidência do Submódulo 2.1 sobre 13º Salário, Férias e Adicional de Férias]])-2,0)*($G334-$H334)</f>
        <v>249.68909175000005</v>
      </c>
      <c r="AD334" s="21">
        <f>VLOOKUP($A334,tabCustoUnit[],COLUMN(CUSTO_GLOBAL[[#Headers],[Submódulo 2.2]])-2,0)*($G334-$H334)</f>
        <v>910.24224452777776</v>
      </c>
      <c r="AE334" s="22" t="e">
        <f ca="1">VLOOKUP($A334,tabCustoUnit[],COLUMN(CUSTO_GLOBAL[[#Headers],[Vale - Transporte (Descontada parcela do empregado)]])-2,0)*($G334-$H334)</f>
        <v>#NAME?</v>
      </c>
      <c r="AF334" s="22">
        <f>VLOOKUP($A334,tabCustoUnit[],COLUMN(CUSTO_GLOBAL[[#Headers],[Vale - Alimentação (Descontada parcela do empregado)]])-2,0)*($G334-$H334)</f>
        <v>582</v>
      </c>
      <c r="AG334" s="22">
        <f>VLOOKUP($A334,tabCustoUnit[],COLUMN(CUSTO_GLOBAL[[#Headers],[Cesta Básica]])-2,0)*($G334-$H334)</f>
        <v>0</v>
      </c>
      <c r="AH334" s="22">
        <f>VLOOKUP($A334,tabCustoUnit[],COLUMN(CUSTO_GLOBAL[[#Headers],[PAF]])-2,0)*($G334-$H334)</f>
        <v>0</v>
      </c>
      <c r="AI334" s="22">
        <f>VLOOKUP($A334,tabCustoUnit[],COLUMN(CUSTO_GLOBAL[[#Headers],[PQM]])-2,0)*($G334-$H334)</f>
        <v>0</v>
      </c>
      <c r="AJ334" s="22">
        <v>0</v>
      </c>
      <c r="AK334" s="22">
        <f>VLOOKUP($A334,tabCustoUnit[],COLUMN(CUSTO_GLOBAL[[#Headers],[Seguro de Vida]])-2,0)*($G334-$H334)</f>
        <v>3.36</v>
      </c>
      <c r="AL334" s="22">
        <f>VLOOKUP($A334,tabCustoUnit[],COLUMN(CUSTO_GLOBAL[[#Headers],[Despesas de Viagem]])-2,0)*($G334-$H334)</f>
        <v>0</v>
      </c>
      <c r="AM334" s="22" t="e">
        <f ca="1">VLOOKUP($A334,tabCustoUnit[],COLUMN(CUSTO_GLOBAL[[#Headers],[Submódulo 2.3]])-2,0)*($G334-$H334)</f>
        <v>#NAME?</v>
      </c>
      <c r="AN334" s="22" t="e">
        <f ca="1">VLOOKUP($A334,tabCustoUnit[],COLUMN(CUSTO_GLOBAL[[#Headers],[MÓDULO 2 - Total Encargos e Benefícios mensais e diários]])-2,0)*($G334-$H334)</f>
        <v>#NAME?</v>
      </c>
      <c r="AO334" s="22">
        <f>VLOOKUP($A334,tabCustoUnit[],COLUMN(CUSTO_GLOBAL[[#Headers],[Aviso Prévio Indenizado (API) e Reflexo do Aviso Prévio Indenizado]])-2,0)*($G334-$H334)</f>
        <v>23.819887450713736</v>
      </c>
      <c r="AP334" s="22">
        <f>VLOOKUP($A334,tabCustoUnit[],COLUMN(CUSTO_GLOBAL[[#Headers],[Incidência do FGTS sobre API e Reflexo do API]])-2,0)*($G334-$H334)</f>
        <v>1.9055909960570991</v>
      </c>
      <c r="AQ334" s="22">
        <f>VLOOKUP($A334,tabCustoUnit[],COLUMN(CUSTO_GLOBAL[[#Headers],[Multa Rescisória do FGTS sobre o Aviso Prévio Indenizado]])-2,0)*($G334-$H334)</f>
        <v>0.76223639842283974</v>
      </c>
      <c r="AR334" s="22">
        <f>VLOOKUP($A334,tabCustoUnit[],COLUMN(CUSTO_GLOBAL[[#Headers],[Aviso Prévio Trabalhado - APT]])-2,0)*($G334-$H334)</f>
        <v>11.889956750000003</v>
      </c>
      <c r="AS334" s="22">
        <f>VLOOKUP($A334,tabCustoUnit[],COLUMN(CUSTO_GLOBAL[[#Headers],[Incidência dos encargos do submódulo 2.1 sobre Aviso Prévio Trabalhado]])-2,0)*($G334-$H334)</f>
        <v>4.4944036515000017</v>
      </c>
      <c r="AT334" s="22">
        <f>VLOOKUP($A334,tabCustoUnit[],COLUMN(CUSTO_GLOBAL[[#Headers],[Multa Rescisória do FGTS]])-2,0)*($G334-$H334)</f>
        <v>103.87670151111111</v>
      </c>
      <c r="AU334" s="22">
        <f>VLOOKUP($A334,tabCustoUnit[],COLUMN(CUSTO_GLOBAL[[#Headers],[Indenização Adicional (Art. 9º da Lei nº 7.238/84)]])-2,0)*($G334-$H334)</f>
        <v>2.8309420833333339</v>
      </c>
      <c r="AV334" s="22">
        <f>VLOOKUP($A334,tabCustoUnit[],COLUMN(CUSTO_GLOBAL[[#Headers],[MÓDULO 3 – PROVISÃO PARA RESCISÃO]])-2,0)*($G334-$H334)</f>
        <v>149.57971884113812</v>
      </c>
      <c r="AW334" s="22">
        <f>VLOOKUP($A334,tabCustoUnit[],COLUMN(CUSTO_GLOBAL[[#Headers],[Ausência por Doença]])-2,0)*($G334-$H334)</f>
        <v>28.686879777777776</v>
      </c>
      <c r="AX334" s="22">
        <f>VLOOKUP($A334,tabCustoUnit[],COLUMN(CUSTO_GLOBAL[[#Headers],[Ausências Legais]])-2,0)*($G334-$H334)</f>
        <v>6.888625736111111</v>
      </c>
      <c r="AY334" s="22">
        <f>VLOOKUP($A334,tabCustoUnit[],COLUMN(CUSTO_GLOBAL[[#Headers],[Licença Paternidade]])-2,0)*($G334-$H334)</f>
        <v>0.58034312708333335</v>
      </c>
      <c r="AZ334" s="22">
        <f>VLOOKUP($A334,tabCustoUnit[],COLUMN(CUSTO_GLOBAL[[#Headers],[Ausência por Acidente de Trabalho]])-2,0)*($G334-$H334)</f>
        <v>0.70773552083333346</v>
      </c>
      <c r="BA334" s="22">
        <f>VLOOKUP($A334,tabCustoUnit[],COLUMN(CUSTO_GLOBAL[[#Headers],[Férias, Adicional de Férias e 13º  com empregada em gozo de Licença Maternidade]])-2,0)*($G334-$H334)</f>
        <v>4.4036876851851856</v>
      </c>
      <c r="BB334" s="22">
        <f>VLOOKUP($A334,tabCustoUnit[],COLUMN(CUSTO_GLOBAL[[#Headers],[Incidência do Submódulo 2.1 sobre Ausências Legais]])-2,0)*($G334-$H334)</f>
        <v>15.599028758162504</v>
      </c>
      <c r="BC334" s="22">
        <f>VLOOKUP($A334,tabCustoUnit[],COLUMN(CUSTO_GLOBAL[[#Headers],[Submódulo 4.1]])-2,0)*($G334-$H334)</f>
        <v>56.866300605153235</v>
      </c>
      <c r="BD334" s="22">
        <f>VLOOKUP($A334,tabCustoUnit[],COLUMN(CUSTO_GLOBAL[[#Headers],[Intervalo para Repouso ou Alimentação]])-2,0)*($G334-$H334)</f>
        <v>0</v>
      </c>
      <c r="BE334" s="22">
        <f>VLOOKUP($A334,tabCustoUnit[],COLUMN(CUSTO_GLOBAL[[#Headers],[Submódulo 4.2]])-2,0)*($G334-$H334)</f>
        <v>0</v>
      </c>
      <c r="BF334" s="22">
        <f>VLOOKUP($A334,tabCustoUnit[],COLUMN(CUSTO_GLOBAL[[#Headers],[Suspensão Temporária do Contrato de Trabalho]])-2,0)*($G334-$H334)</f>
        <v>0</v>
      </c>
      <c r="BG334" s="22">
        <f>VLOOKUP($A334,tabCustoUnit[],COLUMN(CUSTO_GLOBAL[[#Headers],[Submódulo 4.3]])-2,0)*($G334-$H334)</f>
        <v>0</v>
      </c>
      <c r="BH334" s="22">
        <f>VLOOKUP($A334,tabCustoUnit[],COLUMN(CUSTO_GLOBAL[[#Headers],[MÓDULO 4 – CUSTO DE REPOSIÇÃO DO PROFISSIONAL AUSENTE]])-2,0)*($G334-$H334)</f>
        <v>56.866300605153235</v>
      </c>
      <c r="BI334" s="22">
        <f>VLOOKUP($A334,tabCustoUnit[],COLUMN(CUSTO_GLOBAL[[#Headers],[Uniformes e EPIs]])-2,0)*($G334-$H334)</f>
        <v>56.642978962543395</v>
      </c>
      <c r="BJ334" s="22">
        <f>VLOOKUP($A334,tabCustoUnit[],COLUMN(CUSTO_GLOBAL[[#Headers],[Materiais de Consumo]])-2,0)*($G334-$H334)</f>
        <v>0</v>
      </c>
      <c r="BK334" s="22">
        <f>VLOOKUP($A334,tabCustoUnit[],COLUMN(CUSTO_GLOBAL[[#Headers],[Máquinas e Equipamentos (depreciação)]])-2,0)*($G334-$H334)</f>
        <v>0</v>
      </c>
      <c r="BL334" s="22">
        <f>VLOOKUP($A334,tabCustoUnit[],COLUMN(CUSTO_GLOBAL[[#Headers],[Produtos de Limpeza e Materiais de Higiene Pessoal]])-2,0)*($G334-$H334)</f>
        <v>0</v>
      </c>
      <c r="BM334" s="22">
        <f>VLOOKUP($A334,tabCustoUnit[],COLUMN(CUSTO_GLOBAL[[#Headers],[Outros (especificar)]])-2,0)*($G334-$H334)</f>
        <v>0</v>
      </c>
      <c r="BN334" s="22">
        <f>VLOOKUP($A334,tabCustoUnit[],COLUMN(CUSTO_GLOBAL[[#Headers],[MÓDULO 5 – INSUMOS DIVERSOS]])-2,0)*($G334-$H334)</f>
        <v>56.642978962543395</v>
      </c>
      <c r="BO334" s="22" t="e">
        <f ca="1">VLOOKUP($A334,tabCustoUnit[],COLUMN(CUSTO_GLOBAL[[#Headers],[TOTAL MÓDULOS 1+2+3+4+5]])-2,0)*($G334-$H334)</f>
        <v>#NAME?</v>
      </c>
      <c r="BP334" s="22" t="e">
        <f ca="1">VLOOKUP($A334,tabCustoUnit[],COLUMN(CUSTO_GLOBAL[[#Headers],[Custos Indiretos]])-2,0)*($G334-$H334)</f>
        <v>#NAME?</v>
      </c>
      <c r="BQ334" s="22" t="e">
        <f ca="1">VLOOKUP($A334,tabCustoUnit[],COLUMN(CUSTO_GLOBAL[[#Headers],[Lucro]])-2,0)*($G334-$H334)</f>
        <v>#NAME?</v>
      </c>
      <c r="BR334" s="26">
        <f>VLOOKUP($A334,tabCustoUnit[],COLUMN(CUSTO_GLOBAL[[#Headers],[COFINS]])-2,0)</f>
        <v>8.5633802816901458E-2</v>
      </c>
      <c r="BS334" s="26">
        <f>VLOOKUP($A334,tabCustoUnit[],COLUMN(CUSTO_GLOBAL[[#Headers],[PIS]])-2,0)</f>
        <v>1.8591549295774657E-2</v>
      </c>
      <c r="BT334" s="28">
        <f>VLOOKUP($A334,tabCustoUnit[],COLUMN(CUSTO_GLOBAL[[#Headers],[ISS]])-2,0)</f>
        <v>0.02</v>
      </c>
      <c r="BU334" s="26">
        <f>VLOOKUP($A334,tabCustoUnit[],COLUMN(CUSTO_GLOBAL[[#Headers],[ISS (Conversão Alíquota s/ fatura)]])-2,0)</f>
        <v>2.2535211267605645E-2</v>
      </c>
      <c r="BV334" s="26">
        <f>VLOOKUP($A334,tabCustoUnit[],COLUMN(CUSTO_GLOBAL[[#Headers],[Resumo de Alíquotas (PIS+CONFINS+ISS)]])-2,0)</f>
        <v>0.1125</v>
      </c>
      <c r="BW334" s="138">
        <f>VLOOKUP($A334,tabCustoUnit[],COLUMN(CUSTO_GLOBAL[[#Headers],[PIS + COFINS + ISS (Total Conversão  Alíquota s/ Fatura)]])-2,0)</f>
        <v>0.12676056338028174</v>
      </c>
      <c r="BX334" s="22" t="e">
        <f ca="1">VLOOKUP($A334,tabCustoUnit[],COLUMN(CUSTO_GLOBAL[[#Headers],[Valor dos Tributos (ISS, PIS, CONFINS)]])-2,0)*($G334-$H334)</f>
        <v>#NAME?</v>
      </c>
      <c r="BY334" s="22" t="e">
        <f ca="1">VLOOKUP($A334,tabCustoUnit[],COLUMN(CUSTO_GLOBAL[[#Headers],[MÓDULO 6 – CUSTOS INDIRETOS, TRIBUTOS E LUCRO]])-2,0)*($G334-$H334)</f>
        <v>#NAME?</v>
      </c>
      <c r="BZ334" s="22" t="e">
        <f ca="1">VLOOKUP($A334,tabCustoUnit[],COLUMN(CUSTO_GLOBAL[[#Headers],[CUSTO TOTAL MENSAL]])-2,0)*($G334-$H334)</f>
        <v>#NAME?</v>
      </c>
      <c r="CA334" s="22" t="e">
        <f ca="1">CUSTO_GLOBAL[[#This Row],[CUSTO TOTAL MENSAL]]*12</f>
        <v>#NAME?</v>
      </c>
      <c r="CB334" s="24">
        <f>VLOOKUP($A334,tabCustoUnit[],COLUMN(CUSTO_GLOBAL[[#Headers],[ANO DA CCT]])-2,0)</f>
        <v>45658</v>
      </c>
      <c r="CC334" s="25" t="str">
        <f>VLOOKUP($A334,tabCustoUnit[],COLUMN(CUSTO_GLOBAL[[#Headers],[Nº DE PEDIDO DA CCT]])-2,0)</f>
        <v>-</v>
      </c>
      <c r="CD334" s="25" t="str">
        <f>VLOOKUP($A334,tabCustoUnit[],COLUMN(CUSTO_GLOBAL[[#Headers],[TERMO ADITIVO ALTERAÇÃO DA CCT]])-2,0)</f>
        <v>-</v>
      </c>
    </row>
    <row r="335" spans="1:82">
      <c r="A335" s="20" t="s">
        <v>1517</v>
      </c>
      <c r="B335" t="s">
        <v>1217</v>
      </c>
      <c r="C335" t="s">
        <v>1367</v>
      </c>
      <c r="D335" t="s">
        <v>1077</v>
      </c>
      <c r="E335" s="20" t="s">
        <v>1090</v>
      </c>
      <c r="F335" s="20" t="s">
        <v>120</v>
      </c>
      <c r="G335" s="20">
        <v>1</v>
      </c>
      <c r="H335" s="20">
        <v>0</v>
      </c>
      <c r="I335" s="21">
        <f>VLOOKUP($A335,tabCustoUnit[],COLUMN(CUSTO_GLOBAL[[#Headers],[Salário Base]])-2,0)*($G335-$H335)</f>
        <v>2087.4324000000001</v>
      </c>
      <c r="J335" s="21">
        <f>VLOOKUP($A335,tabCustoUnit[],COLUMN(CUSTO_GLOBAL[[#Headers],[Adicional Periculosidade]])-2,0)*($G335-$H335)</f>
        <v>0</v>
      </c>
      <c r="K335" s="21">
        <f>VLOOKUP($A335,tabCustoUnit[],COLUMN(CUSTO_GLOBAL[[#Headers],[Adicional Insalubridade]])-2,0)*($G335-$H335)</f>
        <v>303.60000000000002</v>
      </c>
      <c r="L335" s="21">
        <f>VLOOKUP($A335,tabCustoUnit[],COLUMN(CUSTO_GLOBAL[[#Headers],[Adicional Noturno]])-2,0)*($G335-$H335)</f>
        <v>0</v>
      </c>
      <c r="M335" s="21">
        <f>VLOOKUP($A335,tabCustoUnit[],COLUMN(CUSTO_GLOBAL[[#Headers],[Adicional Motorista II (Gratificação)]])-2,0)*($G335-$H335)</f>
        <v>0</v>
      </c>
      <c r="N335" s="21">
        <f>VLOOKUP($A335,tabCustoUnit[],COLUMN(CUSTO_GLOBAL[[#Headers],[Adicional de Sobreaviso]])-2,0)*($G335-$H335)</f>
        <v>0</v>
      </c>
      <c r="O335" s="21">
        <f>VLOOKUP($A335,tabCustoUnit[],COLUMN(CUSTO_GLOBAL[[#Headers],[Horas Extras TI]])-2,0)*($G335-$H335)</f>
        <v>0</v>
      </c>
      <c r="P335" s="21">
        <f>VLOOKUP($A335,tabCustoUnit[],COLUMN(CUSTO_GLOBAL[[#Headers],[Adicional de Acúmulo de função]])-2,0)*($G335-$H335)</f>
        <v>0</v>
      </c>
      <c r="Q335" s="21">
        <f>VLOOKUP($A335,tabCustoUnit[],COLUMN(CUSTO_GLOBAL[[#Headers],[MODULO 1 - REMUNERAÇÃO ]])-2,0)*($G335-$H335)</f>
        <v>2391.0324000000001</v>
      </c>
      <c r="R335" s="21">
        <f>VLOOKUP($A335,tabCustoUnit[],COLUMN(CUSTO_GLOBAL[[#Headers],[INSS]])-2,0)*($G335-$H335)</f>
        <v>478.20648000000006</v>
      </c>
      <c r="S335" s="21">
        <f>VLOOKUP($A335,tabCustoUnit[],COLUMN(CUSTO_GLOBAL[[#Headers],[SESI OU SESC]])-2,0)*($G335-$H335)</f>
        <v>35.865485999999997</v>
      </c>
      <c r="T335" s="21">
        <f>VLOOKUP($A335,tabCustoUnit[],COLUMN(CUSTO_GLOBAL[[#Headers],[SENAI OU SENAC]])-2,0)*($G335-$H335)</f>
        <v>23.910324000000003</v>
      </c>
      <c r="U335" s="21">
        <f>VLOOKUP($A335,tabCustoUnit[],COLUMN(CUSTO_GLOBAL[[#Headers],[INCRA]])-2,0)*($G335-$H335)</f>
        <v>4.7820648000000006</v>
      </c>
      <c r="V335" s="21">
        <f>VLOOKUP($A335,tabCustoUnit[],COLUMN(CUSTO_GLOBAL[[#Headers],[Salário Educação]])-2,0)*($G335-$H335)</f>
        <v>59.775810000000007</v>
      </c>
      <c r="W335" s="21">
        <f>VLOOKUP($A335,tabCustoUnit[],COLUMN(CUSTO_GLOBAL[[#Headers],[FGTS]])-2,0)*($G335-$H335)</f>
        <v>191.28259200000002</v>
      </c>
      <c r="X335" s="21">
        <f>VLOOKUP($A335,tabCustoUnit[],COLUMN(CUSTO_GLOBAL[[#Headers],[RAT Ajustado]])-2,0)*($G335-$H335)</f>
        <v>95.641296000000011</v>
      </c>
      <c r="Y335" s="21">
        <f>VLOOKUP($A335,tabCustoUnit[],COLUMN(CUSTO_GLOBAL[[#Headers],[SEBRAE]])-2,0)*($G335-$H335)</f>
        <v>14.3461944</v>
      </c>
      <c r="Z335" s="21">
        <f>VLOOKUP($A335,tabCustoUnit[],COLUMN(CUSTO_GLOBAL[[#Headers],[Submódulo 2.1]])-2,0)*($G335-$H335)</f>
        <v>903.81024720000005</v>
      </c>
      <c r="AA335" s="21">
        <f>VLOOKUP($A335,tabCustoUnit[],COLUMN(CUSTO_GLOBAL[[#Headers],[13º salário (titular)]])-2,0)*($G335-$H335)</f>
        <v>199.2527</v>
      </c>
      <c r="AB335" s="21">
        <f>VLOOKUP($A335,tabCustoUnit[],COLUMN(CUSTO_GLOBAL[[#Headers],[Férias e Adicional de Férias (titular)]])-2,0)*($G335-$H335)</f>
        <v>265.67026666666663</v>
      </c>
      <c r="AC335" s="21">
        <f>VLOOKUP($A335,tabCustoUnit[],COLUMN(CUSTO_GLOBAL[[#Headers],[Incidência do Submódulo 2.1 sobre 13º Salário, Férias e Adicional de Férias]])-2,0)*($G335-$H335)</f>
        <v>175.74088139999998</v>
      </c>
      <c r="AD335" s="21">
        <f>VLOOKUP($A335,tabCustoUnit[],COLUMN(CUSTO_GLOBAL[[#Headers],[Submódulo 2.2]])-2,0)*($G335-$H335)</f>
        <v>640.66384806666656</v>
      </c>
      <c r="AE335" s="22" t="e">
        <f ca="1">VLOOKUP($A335,tabCustoUnit[],COLUMN(CUSTO_GLOBAL[[#Headers],[Vale - Transporte (Descontada parcela do empregado)]])-2,0)*($G335-$H335)</f>
        <v>#NAME?</v>
      </c>
      <c r="AF335" s="22">
        <f>VLOOKUP($A335,tabCustoUnit[],COLUMN(CUSTO_GLOBAL[[#Headers],[Vale - Alimentação (Descontada parcela do empregado)]])-2,0)*($G335-$H335)</f>
        <v>582</v>
      </c>
      <c r="AG335" s="22">
        <f>VLOOKUP($A335,tabCustoUnit[],COLUMN(CUSTO_GLOBAL[[#Headers],[Cesta Básica]])-2,0)*($G335-$H335)</f>
        <v>0</v>
      </c>
      <c r="AH335" s="22">
        <f>VLOOKUP($A335,tabCustoUnit[],COLUMN(CUSTO_GLOBAL[[#Headers],[PAF]])-2,0)*($G335-$H335)</f>
        <v>51.86</v>
      </c>
      <c r="AI335" s="22">
        <f>VLOOKUP($A335,tabCustoUnit[],COLUMN(CUSTO_GLOBAL[[#Headers],[PQM]])-2,0)*($G335-$H335)</f>
        <v>0</v>
      </c>
      <c r="AJ335" s="22">
        <v>0</v>
      </c>
      <c r="AK335" s="22">
        <f>VLOOKUP($A335,tabCustoUnit[],COLUMN(CUSTO_GLOBAL[[#Headers],[Seguro de Vida]])-2,0)*($G335-$H335)</f>
        <v>3.36</v>
      </c>
      <c r="AL335" s="22">
        <f>VLOOKUP($A335,tabCustoUnit[],COLUMN(CUSTO_GLOBAL[[#Headers],[Despesas de Viagem]])-2,0)*($G335-$H335)</f>
        <v>0</v>
      </c>
      <c r="AM335" s="22" t="e">
        <f ca="1">VLOOKUP($A335,tabCustoUnit[],COLUMN(CUSTO_GLOBAL[[#Headers],[Submódulo 2.3]])-2,0)*($G335-$H335)</f>
        <v>#NAME?</v>
      </c>
      <c r="AN335" s="22" t="e">
        <f ca="1">VLOOKUP($A335,tabCustoUnit[],COLUMN(CUSTO_GLOBAL[[#Headers],[MÓDULO 2 - Total Encargos e Benefícios mensais e diários]])-2,0)*($G335-$H335)</f>
        <v>#NAME?</v>
      </c>
      <c r="AO335" s="22">
        <f>VLOOKUP($A335,tabCustoUnit[],COLUMN(CUSTO_GLOBAL[[#Headers],[Aviso Prévio Indenizado (API) e Reflexo do Aviso Prévio Indenizado]])-2,0)*($G335-$H335)</f>
        <v>16.765362019212965</v>
      </c>
      <c r="AP335" s="22">
        <f>VLOOKUP($A335,tabCustoUnit[],COLUMN(CUSTO_GLOBAL[[#Headers],[Incidência do FGTS sobre API e Reflexo do API]])-2,0)*($G335-$H335)</f>
        <v>1.3412289615370372</v>
      </c>
      <c r="AQ335" s="22">
        <f>VLOOKUP($A335,tabCustoUnit[],COLUMN(CUSTO_GLOBAL[[#Headers],[Multa Rescisória do FGTS sobre o Aviso Prévio Indenizado]])-2,0)*($G335-$H335)</f>
        <v>0.53649158461481494</v>
      </c>
      <c r="AR335" s="22">
        <f>VLOOKUP($A335,tabCustoUnit[],COLUMN(CUSTO_GLOBAL[[#Headers],[Aviso Prévio Trabalhado - APT]])-2,0)*($G335-$H335)</f>
        <v>8.368613400000001</v>
      </c>
      <c r="AS335" s="22">
        <f>VLOOKUP($A335,tabCustoUnit[],COLUMN(CUSTO_GLOBAL[[#Headers],[Incidência dos encargos do submódulo 2.1 sobre Aviso Prévio Trabalhado]])-2,0)*($G335-$H335)</f>
        <v>3.163335865200001</v>
      </c>
      <c r="AT335" s="22">
        <f>VLOOKUP($A335,tabCustoUnit[],COLUMN(CUSTO_GLOBAL[[#Headers],[Multa Rescisória do FGTS]])-2,0)*($G335-$H335)</f>
        <v>73.112457386666662</v>
      </c>
      <c r="AU335" s="22">
        <f>VLOOKUP($A335,tabCustoUnit[],COLUMN(CUSTO_GLOBAL[[#Headers],[Indenização Adicional (Art. 9º da Lei nº 7.238/84)]])-2,0)*($G335-$H335)</f>
        <v>1.9925270000000002</v>
      </c>
      <c r="AV335" s="22">
        <f>VLOOKUP($A335,tabCustoUnit[],COLUMN(CUSTO_GLOBAL[[#Headers],[MÓDULO 3 – PROVISÃO PARA RESCISÃO]])-2,0)*($G335-$H335)</f>
        <v>105.28001621723148</v>
      </c>
      <c r="AW335" s="22">
        <f>VLOOKUP($A335,tabCustoUnit[],COLUMN(CUSTO_GLOBAL[[#Headers],[Ausência por Doença]])-2,0)*($G335-$H335)</f>
        <v>20.190940266666665</v>
      </c>
      <c r="AX335" s="22">
        <f>VLOOKUP($A335,tabCustoUnit[],COLUMN(CUSTO_GLOBAL[[#Headers],[Ausências Legais]])-2,0)*($G335-$H335)</f>
        <v>4.8484823666666665</v>
      </c>
      <c r="AY335" s="22">
        <f>VLOOKUP($A335,tabCustoUnit[],COLUMN(CUSTO_GLOBAL[[#Headers],[Licença Paternidade]])-2,0)*($G335-$H335)</f>
        <v>0.40846803500000001</v>
      </c>
      <c r="AZ335" s="22">
        <f>VLOOKUP($A335,tabCustoUnit[],COLUMN(CUSTO_GLOBAL[[#Headers],[Ausência por Acidente de Trabalho]])-2,0)*($G335-$H335)</f>
        <v>0.49813175000000004</v>
      </c>
      <c r="BA335" s="22">
        <f>VLOOKUP($A335,tabCustoUnit[],COLUMN(CUSTO_GLOBAL[[#Headers],[Férias, Adicional de Férias e 13º  com empregada em gozo de Licença Maternidade]])-2,0)*($G335-$H335)</f>
        <v>3.0994864444444445</v>
      </c>
      <c r="BB335" s="22">
        <f>VLOOKUP($A335,tabCustoUnit[],COLUMN(CUSTO_GLOBAL[[#Headers],[Incidência do Submódulo 2.1 sobre Ausências Legais]])-2,0)*($G335-$H335)</f>
        <v>10.979202350130002</v>
      </c>
      <c r="BC335" s="22">
        <f>VLOOKUP($A335,tabCustoUnit[],COLUMN(CUSTO_GLOBAL[[#Headers],[Submódulo 4.1]])-2,0)*($G335-$H335)</f>
        <v>40.024711212907775</v>
      </c>
      <c r="BD335" s="22">
        <f>VLOOKUP($A335,tabCustoUnit[],COLUMN(CUSTO_GLOBAL[[#Headers],[Intervalo para Repouso ou Alimentação]])-2,0)*($G335-$H335)</f>
        <v>0</v>
      </c>
      <c r="BE335" s="22">
        <f>VLOOKUP($A335,tabCustoUnit[],COLUMN(CUSTO_GLOBAL[[#Headers],[Submódulo 4.2]])-2,0)*($G335-$H335)</f>
        <v>0</v>
      </c>
      <c r="BF335" s="22">
        <f>VLOOKUP($A335,tabCustoUnit[],COLUMN(CUSTO_GLOBAL[[#Headers],[Suspensão Temporária do Contrato de Trabalho]])-2,0)*($G335-$H335)</f>
        <v>0</v>
      </c>
      <c r="BG335" s="22">
        <f>VLOOKUP($A335,tabCustoUnit[],COLUMN(CUSTO_GLOBAL[[#Headers],[Submódulo 4.3]])-2,0)*($G335-$H335)</f>
        <v>0</v>
      </c>
      <c r="BH335" s="22">
        <f>VLOOKUP($A335,tabCustoUnit[],COLUMN(CUSTO_GLOBAL[[#Headers],[MÓDULO 4 – CUSTO DE REPOSIÇÃO DO PROFISSIONAL AUSENTE]])-2,0)*($G335-$H335)</f>
        <v>40.024711212907775</v>
      </c>
      <c r="BI335" s="22">
        <f>VLOOKUP($A335,tabCustoUnit[],COLUMN(CUSTO_GLOBAL[[#Headers],[Uniformes e EPIs]])-2,0)*($G335-$H335)</f>
        <v>253.83572732312174</v>
      </c>
      <c r="BJ335" s="22">
        <f>VLOOKUP($A335,tabCustoUnit[],COLUMN(CUSTO_GLOBAL[[#Headers],[Materiais de Consumo]])-2,0)*($G335-$H335)</f>
        <v>441.81099462365592</v>
      </c>
      <c r="BK335" s="22">
        <f>VLOOKUP($A335,tabCustoUnit[],COLUMN(CUSTO_GLOBAL[[#Headers],[Máquinas e Equipamentos (depreciação)]])-2,0)*($G335-$H335)</f>
        <v>113.11309677419354</v>
      </c>
      <c r="BL335" s="22">
        <f>VLOOKUP($A335,tabCustoUnit[],COLUMN(CUSTO_GLOBAL[[#Headers],[Produtos de Limpeza e Materiais de Higiene Pessoal]])-2,0)*($G335-$H335)</f>
        <v>0</v>
      </c>
      <c r="BM335" s="22">
        <f>VLOOKUP($A335,tabCustoUnit[],COLUMN(CUSTO_GLOBAL[[#Headers],[Outros (especificar)]])-2,0)*($G335-$H335)</f>
        <v>0</v>
      </c>
      <c r="BN335" s="22">
        <f>VLOOKUP($A335,tabCustoUnit[],COLUMN(CUSTO_GLOBAL[[#Headers],[MÓDULO 5 – INSUMOS DIVERSOS]])-2,0)*($G335-$H335)</f>
        <v>808.75981872097123</v>
      </c>
      <c r="BO335" s="22" t="e">
        <f ca="1">VLOOKUP($A335,tabCustoUnit[],COLUMN(CUSTO_GLOBAL[[#Headers],[TOTAL MÓDULOS 1+2+3+4+5]])-2,0)*($G335-$H335)</f>
        <v>#NAME?</v>
      </c>
      <c r="BP335" s="22" t="e">
        <f ca="1">VLOOKUP($A335,tabCustoUnit[],COLUMN(CUSTO_GLOBAL[[#Headers],[Custos Indiretos]])-2,0)*($G335-$H335)</f>
        <v>#NAME?</v>
      </c>
      <c r="BQ335" s="22" t="e">
        <f ca="1">VLOOKUP($A335,tabCustoUnit[],COLUMN(CUSTO_GLOBAL[[#Headers],[Lucro]])-2,0)*($G335-$H335)</f>
        <v>#NAME?</v>
      </c>
      <c r="BR335" s="26">
        <f>VLOOKUP($A335,tabCustoUnit[],COLUMN(CUSTO_GLOBAL[[#Headers],[COFINS]])-2,0)</f>
        <v>8.6609686609686695E-2</v>
      </c>
      <c r="BS335" s="26">
        <f>VLOOKUP($A335,tabCustoUnit[],COLUMN(CUSTO_GLOBAL[[#Headers],[PIS]])-2,0)</f>
        <v>1.880341880341882E-2</v>
      </c>
      <c r="BT335" s="28">
        <f>VLOOKUP($A335,tabCustoUnit[],COLUMN(CUSTO_GLOBAL[[#Headers],[ISS]])-2,0)</f>
        <v>0.03</v>
      </c>
      <c r="BU335" s="26">
        <f>VLOOKUP($A335,tabCustoUnit[],COLUMN(CUSTO_GLOBAL[[#Headers],[ISS (Conversão Alíquota s/ fatura)]])-2,0)</f>
        <v>3.4188034188034219E-2</v>
      </c>
      <c r="BV335" s="26">
        <f>VLOOKUP($A335,tabCustoUnit[],COLUMN(CUSTO_GLOBAL[[#Headers],[Resumo de Alíquotas (PIS+CONFINS+ISS)]])-2,0)</f>
        <v>0.1225</v>
      </c>
      <c r="BW335" s="138">
        <f>VLOOKUP($A335,tabCustoUnit[],COLUMN(CUSTO_GLOBAL[[#Headers],[PIS + COFINS + ISS (Total Conversão  Alíquota s/ Fatura)]])-2,0)</f>
        <v>0.13960113960113973</v>
      </c>
      <c r="BX335" s="22" t="e">
        <f ca="1">VLOOKUP($A335,tabCustoUnit[],COLUMN(CUSTO_GLOBAL[[#Headers],[Valor dos Tributos (ISS, PIS, CONFINS)]])-2,0)*($G335-$H335)</f>
        <v>#NAME?</v>
      </c>
      <c r="BY335" s="22" t="e">
        <f ca="1">VLOOKUP($A335,tabCustoUnit[],COLUMN(CUSTO_GLOBAL[[#Headers],[MÓDULO 6 – CUSTOS INDIRETOS, TRIBUTOS E LUCRO]])-2,0)*($G335-$H335)</f>
        <v>#NAME?</v>
      </c>
      <c r="BZ335" s="22" t="e">
        <f ca="1">VLOOKUP($A335,tabCustoUnit[],COLUMN(CUSTO_GLOBAL[[#Headers],[CUSTO TOTAL MENSAL]])-2,0)*($G335-$H335)</f>
        <v>#NAME?</v>
      </c>
      <c r="CA335" s="22" t="e">
        <f ca="1">CUSTO_GLOBAL[[#This Row],[CUSTO TOTAL MENSAL]]*12</f>
        <v>#NAME?</v>
      </c>
      <c r="CB335" s="24">
        <f>VLOOKUP($A335,tabCustoUnit[],COLUMN(CUSTO_GLOBAL[[#Headers],[ANO DA CCT]])-2,0)</f>
        <v>45658</v>
      </c>
      <c r="CC335" s="25" t="str">
        <f>VLOOKUP($A335,tabCustoUnit[],COLUMN(CUSTO_GLOBAL[[#Headers],[Nº DE PEDIDO DA CCT]])-2,0)</f>
        <v>-</v>
      </c>
      <c r="CD335" s="25" t="str">
        <f>VLOOKUP($A335,tabCustoUnit[],COLUMN(CUSTO_GLOBAL[[#Headers],[TERMO ADITIVO ALTERAÇÃO DA CCT]])-2,0)</f>
        <v>-</v>
      </c>
    </row>
    <row r="336" spans="1:82">
      <c r="A336" s="20" t="s">
        <v>1741</v>
      </c>
      <c r="B336" t="s">
        <v>1217</v>
      </c>
      <c r="C336" t="s">
        <v>1368</v>
      </c>
      <c r="D336" t="s">
        <v>1077</v>
      </c>
      <c r="E336" s="20" t="s">
        <v>1090</v>
      </c>
      <c r="F336" s="20" t="s">
        <v>120</v>
      </c>
      <c r="G336" s="20">
        <v>1</v>
      </c>
      <c r="H336" s="20">
        <v>0</v>
      </c>
      <c r="I336" s="21">
        <f>VLOOKUP($A336,tabCustoUnit[],COLUMN(CUSTO_GLOBAL[[#Headers],[Salário Base]])-2,0)*($G336-$H336)</f>
        <v>2296.1756999999998</v>
      </c>
      <c r="J336" s="21">
        <f>VLOOKUP($A336,tabCustoUnit[],COLUMN(CUSTO_GLOBAL[[#Headers],[Adicional Periculosidade]])-2,0)*($G336-$H336)</f>
        <v>0</v>
      </c>
      <c r="K336" s="21">
        <f>VLOOKUP($A336,tabCustoUnit[],COLUMN(CUSTO_GLOBAL[[#Headers],[Adicional Insalubridade]])-2,0)*($G336-$H336)</f>
        <v>303.60000000000002</v>
      </c>
      <c r="L336" s="21">
        <f>VLOOKUP($A336,tabCustoUnit[],COLUMN(CUSTO_GLOBAL[[#Headers],[Adicional Noturno]])-2,0)*($G336-$H336)</f>
        <v>0</v>
      </c>
      <c r="M336" s="21">
        <f>VLOOKUP($A336,tabCustoUnit[],COLUMN(CUSTO_GLOBAL[[#Headers],[Adicional Motorista II (Gratificação)]])-2,0)*($G336-$H336)</f>
        <v>0</v>
      </c>
      <c r="N336" s="21">
        <f>VLOOKUP($A336,tabCustoUnit[],COLUMN(CUSTO_GLOBAL[[#Headers],[Adicional de Sobreaviso]])-2,0)*($G336-$H336)</f>
        <v>0</v>
      </c>
      <c r="O336" s="21">
        <f>VLOOKUP($A336,tabCustoUnit[],COLUMN(CUSTO_GLOBAL[[#Headers],[Horas Extras TI]])-2,0)*($G336-$H336)</f>
        <v>0</v>
      </c>
      <c r="P336" s="21">
        <f>VLOOKUP($A336,tabCustoUnit[],COLUMN(CUSTO_GLOBAL[[#Headers],[Adicional de Acúmulo de função]])-2,0)*($G336-$H336)</f>
        <v>0</v>
      </c>
      <c r="Q336" s="21">
        <f>VLOOKUP($A336,tabCustoUnit[],COLUMN(CUSTO_GLOBAL[[#Headers],[MODULO 1 - REMUNERAÇÃO ]])-2,0)*($G336-$H336)</f>
        <v>2599.7756999999997</v>
      </c>
      <c r="R336" s="21">
        <f>VLOOKUP($A336,tabCustoUnit[],COLUMN(CUSTO_GLOBAL[[#Headers],[INSS]])-2,0)*($G336-$H336)</f>
        <v>519.95513999999991</v>
      </c>
      <c r="S336" s="21">
        <f>VLOOKUP($A336,tabCustoUnit[],COLUMN(CUSTO_GLOBAL[[#Headers],[SESI OU SESC]])-2,0)*($G336-$H336)</f>
        <v>38.996635499999996</v>
      </c>
      <c r="T336" s="21">
        <f>VLOOKUP($A336,tabCustoUnit[],COLUMN(CUSTO_GLOBAL[[#Headers],[SENAI OU SENAC]])-2,0)*($G336-$H336)</f>
        <v>25.997756999999996</v>
      </c>
      <c r="U336" s="21">
        <f>VLOOKUP($A336,tabCustoUnit[],COLUMN(CUSTO_GLOBAL[[#Headers],[INCRA]])-2,0)*($G336-$H336)</f>
        <v>5.1995513999999998</v>
      </c>
      <c r="V336" s="21">
        <f>VLOOKUP($A336,tabCustoUnit[],COLUMN(CUSTO_GLOBAL[[#Headers],[Salário Educação]])-2,0)*($G336-$H336)</f>
        <v>64.994392499999989</v>
      </c>
      <c r="W336" s="21">
        <f>VLOOKUP($A336,tabCustoUnit[],COLUMN(CUSTO_GLOBAL[[#Headers],[FGTS]])-2,0)*($G336-$H336)</f>
        <v>207.98205599999997</v>
      </c>
      <c r="X336" s="21">
        <f>VLOOKUP($A336,tabCustoUnit[],COLUMN(CUSTO_GLOBAL[[#Headers],[RAT Ajustado]])-2,0)*($G336-$H336)</f>
        <v>103.99102799999999</v>
      </c>
      <c r="Y336" s="21">
        <f>VLOOKUP($A336,tabCustoUnit[],COLUMN(CUSTO_GLOBAL[[#Headers],[SEBRAE]])-2,0)*($G336-$H336)</f>
        <v>15.598654199999999</v>
      </c>
      <c r="Z336" s="21">
        <f>VLOOKUP($A336,tabCustoUnit[],COLUMN(CUSTO_GLOBAL[[#Headers],[Submódulo 2.1]])-2,0)*($G336-$H336)</f>
        <v>982.71521459999985</v>
      </c>
      <c r="AA336" s="21">
        <f>VLOOKUP($A336,tabCustoUnit[],COLUMN(CUSTO_GLOBAL[[#Headers],[13º salário (titular)]])-2,0)*($G336-$H336)</f>
        <v>216.64797499999997</v>
      </c>
      <c r="AB336" s="21">
        <f>VLOOKUP($A336,tabCustoUnit[],COLUMN(CUSTO_GLOBAL[[#Headers],[Férias e Adicional de Férias (titular)]])-2,0)*($G336-$H336)</f>
        <v>288.86396666666661</v>
      </c>
      <c r="AC336" s="21">
        <f>VLOOKUP($A336,tabCustoUnit[],COLUMN(CUSTO_GLOBAL[[#Headers],[Incidência do Submódulo 2.1 sobre 13º Salário, Férias e Adicional de Férias]])-2,0)*($G336-$H336)</f>
        <v>191.08351394999997</v>
      </c>
      <c r="AD336" s="21">
        <f>VLOOKUP($A336,tabCustoUnit[],COLUMN(CUSTO_GLOBAL[[#Headers],[Submódulo 2.2]])-2,0)*($G336-$H336)</f>
        <v>696.59545561666653</v>
      </c>
      <c r="AE336" s="22" t="e">
        <f ca="1">VLOOKUP($A336,tabCustoUnit[],COLUMN(CUSTO_GLOBAL[[#Headers],[Vale - Transporte (Descontada parcela do empregado)]])-2,0)*($G336-$H336)</f>
        <v>#NAME?</v>
      </c>
      <c r="AF336" s="22">
        <f>VLOOKUP($A336,tabCustoUnit[],COLUMN(CUSTO_GLOBAL[[#Headers],[Vale - Alimentação (Descontada parcela do empregado)]])-2,0)*($G336-$H336)</f>
        <v>582</v>
      </c>
      <c r="AG336" s="22">
        <f>VLOOKUP($A336,tabCustoUnit[],COLUMN(CUSTO_GLOBAL[[#Headers],[Cesta Básica]])-2,0)*($G336-$H336)</f>
        <v>0</v>
      </c>
      <c r="AH336" s="22">
        <f>VLOOKUP($A336,tabCustoUnit[],COLUMN(CUSTO_GLOBAL[[#Headers],[PAF]])-2,0)*($G336-$H336)</f>
        <v>51.86</v>
      </c>
      <c r="AI336" s="22">
        <f>VLOOKUP($A336,tabCustoUnit[],COLUMN(CUSTO_GLOBAL[[#Headers],[PQM]])-2,0)*($G336-$H336)</f>
        <v>0</v>
      </c>
      <c r="AJ336" s="22">
        <v>0</v>
      </c>
      <c r="AK336" s="22">
        <f>VLOOKUP($A336,tabCustoUnit[],COLUMN(CUSTO_GLOBAL[[#Headers],[Seguro de Vida]])-2,0)*($G336-$H336)</f>
        <v>3.36</v>
      </c>
      <c r="AL336" s="22">
        <f>VLOOKUP($A336,tabCustoUnit[],COLUMN(CUSTO_GLOBAL[[#Headers],[Despesas de Viagem]])-2,0)*($G336-$H336)</f>
        <v>0</v>
      </c>
      <c r="AM336" s="22" t="e">
        <f ca="1">VLOOKUP($A336,tabCustoUnit[],COLUMN(CUSTO_GLOBAL[[#Headers],[Submódulo 2.3]])-2,0)*($G336-$H336)</f>
        <v>#NAME?</v>
      </c>
      <c r="AN336" s="22" t="e">
        <f ca="1">VLOOKUP($A336,tabCustoUnit[],COLUMN(CUSTO_GLOBAL[[#Headers],[MÓDULO 2 - Total Encargos e Benefícios mensais e diários]])-2,0)*($G336-$H336)</f>
        <v>#NAME?</v>
      </c>
      <c r="AO336" s="22">
        <f>VLOOKUP($A336,tabCustoUnit[],COLUMN(CUSTO_GLOBAL[[#Headers],[Aviso Prévio Indenizado (API) e Reflexo do Aviso Prévio Indenizado]])-2,0)*($G336-$H336)</f>
        <v>18.229021396469907</v>
      </c>
      <c r="AP336" s="22">
        <f>VLOOKUP($A336,tabCustoUnit[],COLUMN(CUSTO_GLOBAL[[#Headers],[Incidência do FGTS sobre API e Reflexo do API]])-2,0)*($G336-$H336)</f>
        <v>1.4583217117175926</v>
      </c>
      <c r="AQ336" s="22">
        <f>VLOOKUP($A336,tabCustoUnit[],COLUMN(CUSTO_GLOBAL[[#Headers],[Multa Rescisória do FGTS sobre o Aviso Prévio Indenizado]])-2,0)*($G336-$H336)</f>
        <v>0.58332868468703702</v>
      </c>
      <c r="AR336" s="22">
        <f>VLOOKUP($A336,tabCustoUnit[],COLUMN(CUSTO_GLOBAL[[#Headers],[Aviso Prévio Trabalhado - APT]])-2,0)*($G336-$H336)</f>
        <v>9.0992149500000004</v>
      </c>
      <c r="AS336" s="22">
        <f>VLOOKUP($A336,tabCustoUnit[],COLUMN(CUSTO_GLOBAL[[#Headers],[Incidência dos encargos do submódulo 2.1 sobre Aviso Prévio Trabalhado]])-2,0)*($G336-$H336)</f>
        <v>3.4395032511000005</v>
      </c>
      <c r="AT336" s="22">
        <f>VLOOKUP($A336,tabCustoUnit[],COLUMN(CUSTO_GLOBAL[[#Headers],[Multa Rescisória do FGTS]])-2,0)*($G336-$H336)</f>
        <v>79.495363626666645</v>
      </c>
      <c r="AU336" s="22">
        <f>VLOOKUP($A336,tabCustoUnit[],COLUMN(CUSTO_GLOBAL[[#Headers],[Indenização Adicional (Art. 9º da Lei nº 7.238/84)]])-2,0)*($G336-$H336)</f>
        <v>2.1664797499999997</v>
      </c>
      <c r="AV336" s="22">
        <f>VLOOKUP($A336,tabCustoUnit[],COLUMN(CUSTO_GLOBAL[[#Headers],[MÓDULO 3 – PROVISÃO PARA RESCISÃO]])-2,0)*($G336-$H336)</f>
        <v>114.47123337064117</v>
      </c>
      <c r="AW336" s="22">
        <f>VLOOKUP($A336,tabCustoUnit[],COLUMN(CUSTO_GLOBAL[[#Headers],[Ausência por Doença]])-2,0)*($G336-$H336)</f>
        <v>21.953661466666663</v>
      </c>
      <c r="AX336" s="22">
        <f>VLOOKUP($A336,tabCustoUnit[],COLUMN(CUSTO_GLOBAL[[#Headers],[Ausências Legais]])-2,0)*($G336-$H336)</f>
        <v>5.2717673916666659</v>
      </c>
      <c r="AY336" s="22">
        <f>VLOOKUP($A336,tabCustoUnit[],COLUMN(CUSTO_GLOBAL[[#Headers],[Licença Paternidade]])-2,0)*($G336-$H336)</f>
        <v>0.44412834874999996</v>
      </c>
      <c r="AZ336" s="22">
        <f>VLOOKUP($A336,tabCustoUnit[],COLUMN(CUSTO_GLOBAL[[#Headers],[Ausência por Acidente de Trabalho]])-2,0)*($G336-$H336)</f>
        <v>0.54161993749999993</v>
      </c>
      <c r="BA336" s="22">
        <f>VLOOKUP($A336,tabCustoUnit[],COLUMN(CUSTO_GLOBAL[[#Headers],[Férias, Adicional de Férias e 13º  com empregada em gozo de Licença Maternidade]])-2,0)*($G336-$H336)</f>
        <v>3.3700796111111107</v>
      </c>
      <c r="BB336" s="22">
        <f>VLOOKUP($A336,tabCustoUnit[],COLUMN(CUSTO_GLOBAL[[#Headers],[Incidência do Submódulo 2.1 sobre Ausências Legais]])-2,0)*($G336-$H336)</f>
        <v>11.9377150536525</v>
      </c>
      <c r="BC336" s="22">
        <f>VLOOKUP($A336,tabCustoUnit[],COLUMN(CUSTO_GLOBAL[[#Headers],[Submódulo 4.1]])-2,0)*($G336-$H336)</f>
        <v>43.518971809346937</v>
      </c>
      <c r="BD336" s="22">
        <f>VLOOKUP($A336,tabCustoUnit[],COLUMN(CUSTO_GLOBAL[[#Headers],[Intervalo para Repouso ou Alimentação]])-2,0)*($G336-$H336)</f>
        <v>0</v>
      </c>
      <c r="BE336" s="22">
        <f>VLOOKUP($A336,tabCustoUnit[],COLUMN(CUSTO_GLOBAL[[#Headers],[Submódulo 4.2]])-2,0)*($G336-$H336)</f>
        <v>0</v>
      </c>
      <c r="BF336" s="22">
        <f>VLOOKUP($A336,tabCustoUnit[],COLUMN(CUSTO_GLOBAL[[#Headers],[Suspensão Temporária do Contrato de Trabalho]])-2,0)*($G336-$H336)</f>
        <v>0</v>
      </c>
      <c r="BG336" s="22">
        <f>VLOOKUP($A336,tabCustoUnit[],COLUMN(CUSTO_GLOBAL[[#Headers],[Submódulo 4.3]])-2,0)*($G336-$H336)</f>
        <v>0</v>
      </c>
      <c r="BH336" s="22">
        <f>VLOOKUP($A336,tabCustoUnit[],COLUMN(CUSTO_GLOBAL[[#Headers],[MÓDULO 4 – CUSTO DE REPOSIÇÃO DO PROFISSIONAL AUSENTE]])-2,0)*($G336-$H336)</f>
        <v>43.518971809346937</v>
      </c>
      <c r="BI336" s="22">
        <f>VLOOKUP($A336,tabCustoUnit[],COLUMN(CUSTO_GLOBAL[[#Headers],[Uniformes e EPIs]])-2,0)*($G336-$H336)</f>
        <v>196.62072732312174</v>
      </c>
      <c r="BJ336" s="22">
        <f>VLOOKUP($A336,tabCustoUnit[],COLUMN(CUSTO_GLOBAL[[#Headers],[Materiais de Consumo]])-2,0)*($G336-$H336)</f>
        <v>441.81099462365592</v>
      </c>
      <c r="BK336" s="22">
        <f>VLOOKUP($A336,tabCustoUnit[],COLUMN(CUSTO_GLOBAL[[#Headers],[Máquinas e Equipamentos (depreciação)]])-2,0)*($G336-$H336)</f>
        <v>113.11309677419354</v>
      </c>
      <c r="BL336" s="22">
        <f>VLOOKUP($A336,tabCustoUnit[],COLUMN(CUSTO_GLOBAL[[#Headers],[Produtos de Limpeza e Materiais de Higiene Pessoal]])-2,0)*($G336-$H336)</f>
        <v>0</v>
      </c>
      <c r="BM336" s="22">
        <f>VLOOKUP($A336,tabCustoUnit[],COLUMN(CUSTO_GLOBAL[[#Headers],[Outros (especificar)]])-2,0)*($G336-$H336)</f>
        <v>0</v>
      </c>
      <c r="BN336" s="22">
        <f>VLOOKUP($A336,tabCustoUnit[],COLUMN(CUSTO_GLOBAL[[#Headers],[MÓDULO 5 – INSUMOS DIVERSOS]])-2,0)*($G336-$H336)</f>
        <v>751.54481872097119</v>
      </c>
      <c r="BO336" s="22" t="e">
        <f ca="1">VLOOKUP($A336,tabCustoUnit[],COLUMN(CUSTO_GLOBAL[[#Headers],[TOTAL MÓDULOS 1+2+3+4+5]])-2,0)*($G336-$H336)</f>
        <v>#NAME?</v>
      </c>
      <c r="BP336" s="22" t="e">
        <f ca="1">VLOOKUP($A336,tabCustoUnit[],COLUMN(CUSTO_GLOBAL[[#Headers],[Custos Indiretos]])-2,0)*($G336-$H336)</f>
        <v>#NAME?</v>
      </c>
      <c r="BQ336" s="22" t="e">
        <f ca="1">VLOOKUP($A336,tabCustoUnit[],COLUMN(CUSTO_GLOBAL[[#Headers],[Lucro]])-2,0)*($G336-$H336)</f>
        <v>#NAME?</v>
      </c>
      <c r="BR336" s="26">
        <f>VLOOKUP($A336,tabCustoUnit[],COLUMN(CUSTO_GLOBAL[[#Headers],[COFINS]])-2,0)</f>
        <v>8.6609686609686695E-2</v>
      </c>
      <c r="BS336" s="26">
        <f>VLOOKUP($A336,tabCustoUnit[],COLUMN(CUSTO_GLOBAL[[#Headers],[PIS]])-2,0)</f>
        <v>1.880341880341882E-2</v>
      </c>
      <c r="BT336" s="28">
        <f>VLOOKUP($A336,tabCustoUnit[],COLUMN(CUSTO_GLOBAL[[#Headers],[ISS]])-2,0)</f>
        <v>0.03</v>
      </c>
      <c r="BU336" s="26">
        <f>VLOOKUP($A336,tabCustoUnit[],COLUMN(CUSTO_GLOBAL[[#Headers],[ISS (Conversão Alíquota s/ fatura)]])-2,0)</f>
        <v>3.4188034188034219E-2</v>
      </c>
      <c r="BV336" s="26">
        <f>VLOOKUP($A336,tabCustoUnit[],COLUMN(CUSTO_GLOBAL[[#Headers],[Resumo de Alíquotas (PIS+CONFINS+ISS)]])-2,0)</f>
        <v>0.1225</v>
      </c>
      <c r="BW336" s="138">
        <f>VLOOKUP($A336,tabCustoUnit[],COLUMN(CUSTO_GLOBAL[[#Headers],[PIS + COFINS + ISS (Total Conversão  Alíquota s/ Fatura)]])-2,0)</f>
        <v>0.13960113960113973</v>
      </c>
      <c r="BX336" s="22" t="e">
        <f ca="1">VLOOKUP($A336,tabCustoUnit[],COLUMN(CUSTO_GLOBAL[[#Headers],[Valor dos Tributos (ISS, PIS, CONFINS)]])-2,0)*($G336-$H336)</f>
        <v>#NAME?</v>
      </c>
      <c r="BY336" s="22" t="e">
        <f ca="1">VLOOKUP($A336,tabCustoUnit[],COLUMN(CUSTO_GLOBAL[[#Headers],[MÓDULO 6 – CUSTOS INDIRETOS, TRIBUTOS E LUCRO]])-2,0)*($G336-$H336)</f>
        <v>#NAME?</v>
      </c>
      <c r="BZ336" s="22" t="e">
        <f ca="1">VLOOKUP($A336,tabCustoUnit[],COLUMN(CUSTO_GLOBAL[[#Headers],[CUSTO TOTAL MENSAL]])-2,0)*($G336-$H336)</f>
        <v>#NAME?</v>
      </c>
      <c r="CA336" s="22" t="e">
        <f ca="1">CUSTO_GLOBAL[[#This Row],[CUSTO TOTAL MENSAL]]*12</f>
        <v>#NAME?</v>
      </c>
      <c r="CB336" s="24">
        <f>VLOOKUP($A336,tabCustoUnit[],COLUMN(CUSTO_GLOBAL[[#Headers],[ANO DA CCT]])-2,0)</f>
        <v>45658</v>
      </c>
      <c r="CC336" s="25" t="str">
        <f>VLOOKUP($A336,tabCustoUnit[],COLUMN(CUSTO_GLOBAL[[#Headers],[Nº DE PEDIDO DA CCT]])-2,0)</f>
        <v>-</v>
      </c>
      <c r="CD336" s="25" t="str">
        <f>VLOOKUP($A336,tabCustoUnit[],COLUMN(CUSTO_GLOBAL[[#Headers],[TERMO ADITIVO ALTERAÇÃO DA CCT]])-2,0)</f>
        <v>-</v>
      </c>
    </row>
    <row r="337" spans="1:82">
      <c r="A337" s="20" t="s">
        <v>1742</v>
      </c>
      <c r="B337" t="s">
        <v>1217</v>
      </c>
      <c r="C337" t="s">
        <v>314</v>
      </c>
      <c r="D337" t="s">
        <v>1077</v>
      </c>
      <c r="E337" s="20" t="s">
        <v>1090</v>
      </c>
      <c r="F337" s="20" t="s">
        <v>120</v>
      </c>
      <c r="G337" s="20">
        <v>1</v>
      </c>
      <c r="H337" s="20">
        <v>0</v>
      </c>
      <c r="I337" s="21">
        <f>VLOOKUP($A337,tabCustoUnit[],COLUMN(CUSTO_GLOBAL[[#Headers],[Salário Base]])-2,0)*($G337-$H337)</f>
        <v>1963.4110000000001</v>
      </c>
      <c r="J337" s="21">
        <f>VLOOKUP($A337,tabCustoUnit[],COLUMN(CUSTO_GLOBAL[[#Headers],[Adicional Periculosidade]])-2,0)*($G337-$H337)</f>
        <v>0</v>
      </c>
      <c r="K337" s="21">
        <f>VLOOKUP($A337,tabCustoUnit[],COLUMN(CUSTO_GLOBAL[[#Headers],[Adicional Insalubridade]])-2,0)*($G337-$H337)</f>
        <v>0</v>
      </c>
      <c r="L337" s="21">
        <f>VLOOKUP($A337,tabCustoUnit[],COLUMN(CUSTO_GLOBAL[[#Headers],[Adicional Noturno]])-2,0)*($G337-$H337)</f>
        <v>0</v>
      </c>
      <c r="M337" s="21">
        <f>VLOOKUP($A337,tabCustoUnit[],COLUMN(CUSTO_GLOBAL[[#Headers],[Adicional Motorista II (Gratificação)]])-2,0)*($G337-$H337)</f>
        <v>0</v>
      </c>
      <c r="N337" s="21">
        <f>VLOOKUP($A337,tabCustoUnit[],COLUMN(CUSTO_GLOBAL[[#Headers],[Adicional de Sobreaviso]])-2,0)*($G337-$H337)</f>
        <v>0</v>
      </c>
      <c r="O337" s="21">
        <f>VLOOKUP($A337,tabCustoUnit[],COLUMN(CUSTO_GLOBAL[[#Headers],[Horas Extras TI]])-2,0)*($G337-$H337)</f>
        <v>0</v>
      </c>
      <c r="P337" s="21">
        <f>VLOOKUP($A337,tabCustoUnit[],COLUMN(CUSTO_GLOBAL[[#Headers],[Adicional de Acúmulo de função]])-2,0)*($G337-$H337)</f>
        <v>0</v>
      </c>
      <c r="Q337" s="21">
        <f>VLOOKUP($A337,tabCustoUnit[],COLUMN(CUSTO_GLOBAL[[#Headers],[MODULO 1 - REMUNERAÇÃO ]])-2,0)*($G337-$H337)</f>
        <v>1963.4110000000001</v>
      </c>
      <c r="R337" s="21">
        <f>VLOOKUP($A337,tabCustoUnit[],COLUMN(CUSTO_GLOBAL[[#Headers],[INSS]])-2,0)*($G337-$H337)</f>
        <v>392.68220000000002</v>
      </c>
      <c r="S337" s="21">
        <f>VLOOKUP($A337,tabCustoUnit[],COLUMN(CUSTO_GLOBAL[[#Headers],[SESI OU SESC]])-2,0)*($G337-$H337)</f>
        <v>29.451165</v>
      </c>
      <c r="T337" s="21">
        <f>VLOOKUP($A337,tabCustoUnit[],COLUMN(CUSTO_GLOBAL[[#Headers],[SENAI OU SENAC]])-2,0)*($G337-$H337)</f>
        <v>19.63411</v>
      </c>
      <c r="U337" s="21">
        <f>VLOOKUP($A337,tabCustoUnit[],COLUMN(CUSTO_GLOBAL[[#Headers],[INCRA]])-2,0)*($G337-$H337)</f>
        <v>3.926822</v>
      </c>
      <c r="V337" s="21">
        <f>VLOOKUP($A337,tabCustoUnit[],COLUMN(CUSTO_GLOBAL[[#Headers],[Salário Educação]])-2,0)*($G337-$H337)</f>
        <v>49.085275000000003</v>
      </c>
      <c r="W337" s="21">
        <f>VLOOKUP($A337,tabCustoUnit[],COLUMN(CUSTO_GLOBAL[[#Headers],[FGTS]])-2,0)*($G337-$H337)</f>
        <v>157.07288</v>
      </c>
      <c r="X337" s="21">
        <f>VLOOKUP($A337,tabCustoUnit[],COLUMN(CUSTO_GLOBAL[[#Headers],[RAT Ajustado]])-2,0)*($G337-$H337)</f>
        <v>78.536439999999999</v>
      </c>
      <c r="Y337" s="21">
        <f>VLOOKUP($A337,tabCustoUnit[],COLUMN(CUSTO_GLOBAL[[#Headers],[SEBRAE]])-2,0)*($G337-$H337)</f>
        <v>11.780466000000001</v>
      </c>
      <c r="Z337" s="21">
        <f>VLOOKUP($A337,tabCustoUnit[],COLUMN(CUSTO_GLOBAL[[#Headers],[Submódulo 2.1]])-2,0)*($G337-$H337)</f>
        <v>742.1693580000001</v>
      </c>
      <c r="AA337" s="21">
        <f>VLOOKUP($A337,tabCustoUnit[],COLUMN(CUSTO_GLOBAL[[#Headers],[13º salário (titular)]])-2,0)*($G337-$H337)</f>
        <v>163.61758333333333</v>
      </c>
      <c r="AB337" s="21">
        <f>VLOOKUP($A337,tabCustoUnit[],COLUMN(CUSTO_GLOBAL[[#Headers],[Férias e Adicional de Férias (titular)]])-2,0)*($G337-$H337)</f>
        <v>218.15677777777776</v>
      </c>
      <c r="AC337" s="21">
        <f>VLOOKUP($A337,tabCustoUnit[],COLUMN(CUSTO_GLOBAL[[#Headers],[Incidência do Submódulo 2.1 sobre 13º Salário, Férias e Adicional de Férias]])-2,0)*($G337-$H337)</f>
        <v>144.3107085</v>
      </c>
      <c r="AD337" s="21">
        <f>VLOOKUP($A337,tabCustoUnit[],COLUMN(CUSTO_GLOBAL[[#Headers],[Submódulo 2.2]])-2,0)*($G337-$H337)</f>
        <v>526.08506961111107</v>
      </c>
      <c r="AE337" s="22" t="e">
        <f ca="1">VLOOKUP($A337,tabCustoUnit[],COLUMN(CUSTO_GLOBAL[[#Headers],[Vale - Transporte (Descontada parcela do empregado)]])-2,0)*($G337-$H337)</f>
        <v>#NAME?</v>
      </c>
      <c r="AF337" s="22">
        <f>VLOOKUP($A337,tabCustoUnit[],COLUMN(CUSTO_GLOBAL[[#Headers],[Vale - Alimentação (Descontada parcela do empregado)]])-2,0)*($G337-$H337)</f>
        <v>582</v>
      </c>
      <c r="AG337" s="22">
        <f>VLOOKUP($A337,tabCustoUnit[],COLUMN(CUSTO_GLOBAL[[#Headers],[Cesta Básica]])-2,0)*($G337-$H337)</f>
        <v>0</v>
      </c>
      <c r="AH337" s="22">
        <f>VLOOKUP($A337,tabCustoUnit[],COLUMN(CUSTO_GLOBAL[[#Headers],[PAF]])-2,0)*($G337-$H337)</f>
        <v>51.86</v>
      </c>
      <c r="AI337" s="22">
        <f>VLOOKUP($A337,tabCustoUnit[],COLUMN(CUSTO_GLOBAL[[#Headers],[PQM]])-2,0)*($G337-$H337)</f>
        <v>0</v>
      </c>
      <c r="AJ337" s="22">
        <v>0</v>
      </c>
      <c r="AK337" s="22">
        <f>VLOOKUP($A337,tabCustoUnit[],COLUMN(CUSTO_GLOBAL[[#Headers],[Seguro de Vida]])-2,0)*($G337-$H337)</f>
        <v>3.36</v>
      </c>
      <c r="AL337" s="22">
        <f>VLOOKUP($A337,tabCustoUnit[],COLUMN(CUSTO_GLOBAL[[#Headers],[Despesas de Viagem]])-2,0)*($G337-$H337)</f>
        <v>0</v>
      </c>
      <c r="AM337" s="22" t="e">
        <f ca="1">VLOOKUP($A337,tabCustoUnit[],COLUMN(CUSTO_GLOBAL[[#Headers],[Submódulo 2.3]])-2,0)*($G337-$H337)</f>
        <v>#NAME?</v>
      </c>
      <c r="AN337" s="22" t="e">
        <f ca="1">VLOOKUP($A337,tabCustoUnit[],COLUMN(CUSTO_GLOBAL[[#Headers],[MÓDULO 2 - Total Encargos e Benefícios mensais e diários]])-2,0)*($G337-$H337)</f>
        <v>#NAME?</v>
      </c>
      <c r="AO337" s="22">
        <f>VLOOKUP($A337,tabCustoUnit[],COLUMN(CUSTO_GLOBAL[[#Headers],[Aviso Prévio Indenizado (API) e Reflexo do Aviso Prévio Indenizado]])-2,0)*($G337-$H337)</f>
        <v>13.766980408757716</v>
      </c>
      <c r="AP337" s="22">
        <f>VLOOKUP($A337,tabCustoUnit[],COLUMN(CUSTO_GLOBAL[[#Headers],[Incidência do FGTS sobre API e Reflexo do API]])-2,0)*($G337-$H337)</f>
        <v>1.1013584327006174</v>
      </c>
      <c r="AQ337" s="22">
        <f>VLOOKUP($A337,tabCustoUnit[],COLUMN(CUSTO_GLOBAL[[#Headers],[Multa Rescisória do FGTS sobre o Aviso Prévio Indenizado]])-2,0)*($G337-$H337)</f>
        <v>0.44054337308024699</v>
      </c>
      <c r="AR337" s="22">
        <f>VLOOKUP($A337,tabCustoUnit[],COLUMN(CUSTO_GLOBAL[[#Headers],[Aviso Prévio Trabalhado - APT]])-2,0)*($G337-$H337)</f>
        <v>6.8719385000000015</v>
      </c>
      <c r="AS337" s="22">
        <f>VLOOKUP($A337,tabCustoUnit[],COLUMN(CUSTO_GLOBAL[[#Headers],[Incidência dos encargos do submódulo 2.1 sobre Aviso Prévio Trabalhado]])-2,0)*($G337-$H337)</f>
        <v>2.5975927530000007</v>
      </c>
      <c r="AT337" s="22">
        <f>VLOOKUP($A337,tabCustoUnit[],COLUMN(CUSTO_GLOBAL[[#Headers],[Multa Rescisória do FGTS]])-2,0)*($G337-$H337)</f>
        <v>60.03674524444444</v>
      </c>
      <c r="AU337" s="22">
        <f>VLOOKUP($A337,tabCustoUnit[],COLUMN(CUSTO_GLOBAL[[#Headers],[Indenização Adicional (Art. 9º da Lei nº 7.238/84)]])-2,0)*($G337-$H337)</f>
        <v>1.6361758333333334</v>
      </c>
      <c r="AV337" s="22">
        <f>VLOOKUP($A337,tabCustoUnit[],COLUMN(CUSTO_GLOBAL[[#Headers],[MÓDULO 3 – PROVISÃO PARA RESCISÃO]])-2,0)*($G337-$H337)</f>
        <v>86.451334545316371</v>
      </c>
      <c r="AW337" s="22">
        <f>VLOOKUP($A337,tabCustoUnit[],COLUMN(CUSTO_GLOBAL[[#Headers],[Ausência por Doença]])-2,0)*($G337-$H337)</f>
        <v>16.579915111111109</v>
      </c>
      <c r="AX337" s="22">
        <f>VLOOKUP($A337,tabCustoUnit[],COLUMN(CUSTO_GLOBAL[[#Headers],[Ausências Legais]])-2,0)*($G337-$H337)</f>
        <v>3.9813611944444443</v>
      </c>
      <c r="AY337" s="22">
        <f>VLOOKUP($A337,tabCustoUnit[],COLUMN(CUSTO_GLOBAL[[#Headers],[Licença Paternidade]])-2,0)*($G337-$H337)</f>
        <v>0.33541604583333334</v>
      </c>
      <c r="AZ337" s="22">
        <f>VLOOKUP($A337,tabCustoUnit[],COLUMN(CUSTO_GLOBAL[[#Headers],[Ausência por Acidente de Trabalho]])-2,0)*($G337-$H337)</f>
        <v>0.40904395833333335</v>
      </c>
      <c r="BA337" s="22">
        <f>VLOOKUP($A337,tabCustoUnit[],COLUMN(CUSTO_GLOBAL[[#Headers],[Férias, Adicional de Férias e 13º  com empregada em gozo de Licença Maternidade]])-2,0)*($G337-$H337)</f>
        <v>2.5451624074074073</v>
      </c>
      <c r="BB337" s="22">
        <f>VLOOKUP($A337,tabCustoUnit[],COLUMN(CUSTO_GLOBAL[[#Headers],[Incidência do Submódulo 2.1 sobre Ausências Legais]])-2,0)*($G337-$H337)</f>
        <v>9.0156397150750021</v>
      </c>
      <c r="BC337" s="22">
        <f>VLOOKUP($A337,tabCustoUnit[],COLUMN(CUSTO_GLOBAL[[#Headers],[Submódulo 4.1]])-2,0)*($G337-$H337)</f>
        <v>32.866538432204628</v>
      </c>
      <c r="BD337" s="22">
        <f>VLOOKUP($A337,tabCustoUnit[],COLUMN(CUSTO_GLOBAL[[#Headers],[Intervalo para Repouso ou Alimentação]])-2,0)*($G337-$H337)</f>
        <v>267.73786489195959</v>
      </c>
      <c r="BE337" s="22">
        <f>VLOOKUP($A337,tabCustoUnit[],COLUMN(CUSTO_GLOBAL[[#Headers],[Submódulo 4.2]])-2,0)*($G337-$H337)</f>
        <v>267.73786489195959</v>
      </c>
      <c r="BF337" s="22">
        <f>VLOOKUP($A337,tabCustoUnit[],COLUMN(CUSTO_GLOBAL[[#Headers],[Suspensão Temporária do Contrato de Trabalho]])-2,0)*($G337-$H337)</f>
        <v>0</v>
      </c>
      <c r="BG337" s="22">
        <f>VLOOKUP($A337,tabCustoUnit[],COLUMN(CUSTO_GLOBAL[[#Headers],[Submódulo 4.3]])-2,0)*($G337-$H337)</f>
        <v>0</v>
      </c>
      <c r="BH337" s="22">
        <f>VLOOKUP($A337,tabCustoUnit[],COLUMN(CUSTO_GLOBAL[[#Headers],[MÓDULO 4 – CUSTO DE REPOSIÇÃO DO PROFISSIONAL AUSENTE]])-2,0)*($G337-$H337)</f>
        <v>300.6044033241642</v>
      </c>
      <c r="BI337" s="22">
        <f>VLOOKUP($A337,tabCustoUnit[],COLUMN(CUSTO_GLOBAL[[#Headers],[Uniformes e EPIs]])-2,0)*($G337-$H337)</f>
        <v>56.642978962543395</v>
      </c>
      <c r="BJ337" s="22">
        <f>VLOOKUP($A337,tabCustoUnit[],COLUMN(CUSTO_GLOBAL[[#Headers],[Materiais de Consumo]])-2,0)*($G337-$H337)</f>
        <v>0</v>
      </c>
      <c r="BK337" s="22">
        <f>VLOOKUP($A337,tabCustoUnit[],COLUMN(CUSTO_GLOBAL[[#Headers],[Máquinas e Equipamentos (depreciação)]])-2,0)*($G337-$H337)</f>
        <v>0</v>
      </c>
      <c r="BL337" s="22">
        <f>VLOOKUP($A337,tabCustoUnit[],COLUMN(CUSTO_GLOBAL[[#Headers],[Produtos de Limpeza e Materiais de Higiene Pessoal]])-2,0)*($G337-$H337)</f>
        <v>0</v>
      </c>
      <c r="BM337" s="22">
        <f>VLOOKUP($A337,tabCustoUnit[],COLUMN(CUSTO_GLOBAL[[#Headers],[Outros (especificar)]])-2,0)*($G337-$H337)</f>
        <v>0</v>
      </c>
      <c r="BN337" s="22">
        <f>VLOOKUP($A337,tabCustoUnit[],COLUMN(CUSTO_GLOBAL[[#Headers],[MÓDULO 5 – INSUMOS DIVERSOS]])-2,0)*($G337-$H337)</f>
        <v>56.642978962543395</v>
      </c>
      <c r="BO337" s="22" t="e">
        <f ca="1">VLOOKUP($A337,tabCustoUnit[],COLUMN(CUSTO_GLOBAL[[#Headers],[TOTAL MÓDULOS 1+2+3+4+5]])-2,0)*($G337-$H337)</f>
        <v>#NAME?</v>
      </c>
      <c r="BP337" s="22" t="e">
        <f ca="1">VLOOKUP($A337,tabCustoUnit[],COLUMN(CUSTO_GLOBAL[[#Headers],[Custos Indiretos]])-2,0)*($G337-$H337)</f>
        <v>#NAME?</v>
      </c>
      <c r="BQ337" s="22" t="e">
        <f ca="1">VLOOKUP($A337,tabCustoUnit[],COLUMN(CUSTO_GLOBAL[[#Headers],[Lucro]])-2,0)*($G337-$H337)</f>
        <v>#NAME?</v>
      </c>
      <c r="BR337" s="26">
        <f>VLOOKUP($A337,tabCustoUnit[],COLUMN(CUSTO_GLOBAL[[#Headers],[COFINS]])-2,0)</f>
        <v>8.6609686609686695E-2</v>
      </c>
      <c r="BS337" s="26">
        <f>VLOOKUP($A337,tabCustoUnit[],COLUMN(CUSTO_GLOBAL[[#Headers],[PIS]])-2,0)</f>
        <v>1.880341880341882E-2</v>
      </c>
      <c r="BT337" s="28">
        <f>VLOOKUP($A337,tabCustoUnit[],COLUMN(CUSTO_GLOBAL[[#Headers],[ISS]])-2,0)</f>
        <v>0.03</v>
      </c>
      <c r="BU337" s="26">
        <f>VLOOKUP($A337,tabCustoUnit[],COLUMN(CUSTO_GLOBAL[[#Headers],[ISS (Conversão Alíquota s/ fatura)]])-2,0)</f>
        <v>3.4188034188034219E-2</v>
      </c>
      <c r="BV337" s="26">
        <f>VLOOKUP($A337,tabCustoUnit[],COLUMN(CUSTO_GLOBAL[[#Headers],[Resumo de Alíquotas (PIS+CONFINS+ISS)]])-2,0)</f>
        <v>0.1225</v>
      </c>
      <c r="BW337" s="138">
        <f>VLOOKUP($A337,tabCustoUnit[],COLUMN(CUSTO_GLOBAL[[#Headers],[PIS + COFINS + ISS (Total Conversão  Alíquota s/ Fatura)]])-2,0)</f>
        <v>0.13960113960113973</v>
      </c>
      <c r="BX337" s="22" t="e">
        <f ca="1">VLOOKUP($A337,tabCustoUnit[],COLUMN(CUSTO_GLOBAL[[#Headers],[Valor dos Tributos (ISS, PIS, CONFINS)]])-2,0)*($G337-$H337)</f>
        <v>#NAME?</v>
      </c>
      <c r="BY337" s="22" t="e">
        <f ca="1">VLOOKUP($A337,tabCustoUnit[],COLUMN(CUSTO_GLOBAL[[#Headers],[MÓDULO 6 – CUSTOS INDIRETOS, TRIBUTOS E LUCRO]])-2,0)*($G337-$H337)</f>
        <v>#NAME?</v>
      </c>
      <c r="BZ337" s="22" t="e">
        <f ca="1">VLOOKUP($A337,tabCustoUnit[],COLUMN(CUSTO_GLOBAL[[#Headers],[CUSTO TOTAL MENSAL]])-2,0)*($G337-$H337)</f>
        <v>#NAME?</v>
      </c>
      <c r="CA337" s="22" t="e">
        <f ca="1">CUSTO_GLOBAL[[#This Row],[CUSTO TOTAL MENSAL]]*12</f>
        <v>#NAME?</v>
      </c>
      <c r="CB337" s="24">
        <f>VLOOKUP($A337,tabCustoUnit[],COLUMN(CUSTO_GLOBAL[[#Headers],[ANO DA CCT]])-2,0)</f>
        <v>45658</v>
      </c>
      <c r="CC337" s="25" t="str">
        <f>VLOOKUP($A337,tabCustoUnit[],COLUMN(CUSTO_GLOBAL[[#Headers],[Nº DE PEDIDO DA CCT]])-2,0)</f>
        <v>-</v>
      </c>
      <c r="CD337" s="25" t="str">
        <f>VLOOKUP($A337,tabCustoUnit[],COLUMN(CUSTO_GLOBAL[[#Headers],[TERMO ADITIVO ALTERAÇÃO DA CCT]])-2,0)</f>
        <v>-</v>
      </c>
    </row>
    <row r="338" spans="1:82">
      <c r="A338" s="20" t="s">
        <v>1518</v>
      </c>
      <c r="B338" t="s">
        <v>1218</v>
      </c>
      <c r="C338" t="s">
        <v>200</v>
      </c>
      <c r="D338" t="s">
        <v>905</v>
      </c>
      <c r="E338" s="20" t="s">
        <v>1090</v>
      </c>
      <c r="F338" s="20" t="s">
        <v>120</v>
      </c>
      <c r="G338" s="20">
        <v>1</v>
      </c>
      <c r="H338" s="20">
        <v>0</v>
      </c>
      <c r="I338" s="21">
        <f>VLOOKUP($A338,tabCustoUnit[],COLUMN(CUSTO_GLOBAL[[#Headers],[Salário Base]])-2,0)*($G338-$H338)</f>
        <v>1596.2737999999999</v>
      </c>
      <c r="J338" s="21">
        <f>VLOOKUP($A338,tabCustoUnit[],COLUMN(CUSTO_GLOBAL[[#Headers],[Adicional Periculosidade]])-2,0)*($G338-$H338)</f>
        <v>0</v>
      </c>
      <c r="K338" s="21">
        <f>VLOOKUP($A338,tabCustoUnit[],COLUMN(CUSTO_GLOBAL[[#Headers],[Adicional Insalubridade]])-2,0)*($G338-$H338)</f>
        <v>0</v>
      </c>
      <c r="L338" s="21">
        <f>VLOOKUP($A338,tabCustoUnit[],COLUMN(CUSTO_GLOBAL[[#Headers],[Adicional Noturno]])-2,0)*($G338-$H338)</f>
        <v>0</v>
      </c>
      <c r="M338" s="21">
        <f>VLOOKUP($A338,tabCustoUnit[],COLUMN(CUSTO_GLOBAL[[#Headers],[Adicional Motorista II (Gratificação)]])-2,0)*($G338-$H338)</f>
        <v>0</v>
      </c>
      <c r="N338" s="21">
        <f>VLOOKUP($A338,tabCustoUnit[],COLUMN(CUSTO_GLOBAL[[#Headers],[Adicional de Sobreaviso]])-2,0)*($G338-$H338)</f>
        <v>0</v>
      </c>
      <c r="O338" s="21">
        <f>VLOOKUP($A338,tabCustoUnit[],COLUMN(CUSTO_GLOBAL[[#Headers],[Horas Extras TI]])-2,0)*($G338-$H338)</f>
        <v>0</v>
      </c>
      <c r="P338" s="21">
        <f>VLOOKUP($A338,tabCustoUnit[],COLUMN(CUSTO_GLOBAL[[#Headers],[Adicional de Acúmulo de função]])-2,0)*($G338-$H338)</f>
        <v>0</v>
      </c>
      <c r="Q338" s="21">
        <f>VLOOKUP($A338,tabCustoUnit[],COLUMN(CUSTO_GLOBAL[[#Headers],[MODULO 1 - REMUNERAÇÃO ]])-2,0)*($G338-$H338)</f>
        <v>1596.2737999999999</v>
      </c>
      <c r="R338" s="21">
        <f>VLOOKUP($A338,tabCustoUnit[],COLUMN(CUSTO_GLOBAL[[#Headers],[INSS]])-2,0)*($G338-$H338)</f>
        <v>319.25476000000003</v>
      </c>
      <c r="S338" s="21">
        <f>VLOOKUP($A338,tabCustoUnit[],COLUMN(CUSTO_GLOBAL[[#Headers],[SESI OU SESC]])-2,0)*($G338-$H338)</f>
        <v>23.944106999999999</v>
      </c>
      <c r="T338" s="21">
        <f>VLOOKUP($A338,tabCustoUnit[],COLUMN(CUSTO_GLOBAL[[#Headers],[SENAI OU SENAC]])-2,0)*($G338-$H338)</f>
        <v>15.962738</v>
      </c>
      <c r="U338" s="21">
        <f>VLOOKUP($A338,tabCustoUnit[],COLUMN(CUSTO_GLOBAL[[#Headers],[INCRA]])-2,0)*($G338-$H338)</f>
        <v>3.1925476000000002</v>
      </c>
      <c r="V338" s="21">
        <f>VLOOKUP($A338,tabCustoUnit[],COLUMN(CUSTO_GLOBAL[[#Headers],[Salário Educação]])-2,0)*($G338-$H338)</f>
        <v>39.906845000000004</v>
      </c>
      <c r="W338" s="21">
        <f>VLOOKUP($A338,tabCustoUnit[],COLUMN(CUSTO_GLOBAL[[#Headers],[FGTS]])-2,0)*($G338-$H338)</f>
        <v>127.701904</v>
      </c>
      <c r="X338" s="21">
        <f>VLOOKUP($A338,tabCustoUnit[],COLUMN(CUSTO_GLOBAL[[#Headers],[RAT Ajustado]])-2,0)*($G338-$H338)</f>
        <v>63.850951999999999</v>
      </c>
      <c r="Y338" s="21">
        <f>VLOOKUP($A338,tabCustoUnit[],COLUMN(CUSTO_GLOBAL[[#Headers],[SEBRAE]])-2,0)*($G338-$H338)</f>
        <v>9.5776427999999996</v>
      </c>
      <c r="Z338" s="21">
        <f>VLOOKUP($A338,tabCustoUnit[],COLUMN(CUSTO_GLOBAL[[#Headers],[Submódulo 2.1]])-2,0)*($G338-$H338)</f>
        <v>603.39149640000005</v>
      </c>
      <c r="AA338" s="21">
        <f>VLOOKUP($A338,tabCustoUnit[],COLUMN(CUSTO_GLOBAL[[#Headers],[13º salário (titular)]])-2,0)*($G338-$H338)</f>
        <v>133.02281666666664</v>
      </c>
      <c r="AB338" s="21">
        <f>VLOOKUP($A338,tabCustoUnit[],COLUMN(CUSTO_GLOBAL[[#Headers],[Férias e Adicional de Férias (titular)]])-2,0)*($G338-$H338)</f>
        <v>177.36375555555554</v>
      </c>
      <c r="AC338" s="21">
        <f>VLOOKUP($A338,tabCustoUnit[],COLUMN(CUSTO_GLOBAL[[#Headers],[Incidência do Submódulo 2.1 sobre 13º Salário, Férias e Adicional de Férias]])-2,0)*($G338-$H338)</f>
        <v>117.3261243</v>
      </c>
      <c r="AD338" s="21">
        <f>VLOOKUP($A338,tabCustoUnit[],COLUMN(CUSTO_GLOBAL[[#Headers],[Submódulo 2.2]])-2,0)*($G338-$H338)</f>
        <v>427.71269652222219</v>
      </c>
      <c r="AE338" s="22" t="e">
        <f ca="1">VLOOKUP($A338,tabCustoUnit[],COLUMN(CUSTO_GLOBAL[[#Headers],[Vale - Transporte (Descontada parcela do empregado)]])-2,0)*($G338-$H338)</f>
        <v>#NAME?</v>
      </c>
      <c r="AF338" s="22">
        <f>VLOOKUP($A338,tabCustoUnit[],COLUMN(CUSTO_GLOBAL[[#Headers],[Vale - Alimentação (Descontada parcela do empregado)]])-2,0)*($G338-$H338)</f>
        <v>582</v>
      </c>
      <c r="AG338" s="22">
        <f>VLOOKUP($A338,tabCustoUnit[],COLUMN(CUSTO_GLOBAL[[#Headers],[Cesta Básica]])-2,0)*($G338-$H338)</f>
        <v>0</v>
      </c>
      <c r="AH338" s="22">
        <f>VLOOKUP($A338,tabCustoUnit[],COLUMN(CUSTO_GLOBAL[[#Headers],[PAF]])-2,0)*($G338-$H338)</f>
        <v>57.07</v>
      </c>
      <c r="AI338" s="22">
        <f>VLOOKUP($A338,tabCustoUnit[],COLUMN(CUSTO_GLOBAL[[#Headers],[PQM]])-2,0)*($G338-$H338)</f>
        <v>0</v>
      </c>
      <c r="AJ338" s="22">
        <v>0</v>
      </c>
      <c r="AK338" s="22">
        <f>VLOOKUP($A338,tabCustoUnit[],COLUMN(CUSTO_GLOBAL[[#Headers],[Seguro de Vida]])-2,0)*($G338-$H338)</f>
        <v>3.36</v>
      </c>
      <c r="AL338" s="22">
        <f>VLOOKUP($A338,tabCustoUnit[],COLUMN(CUSTO_GLOBAL[[#Headers],[Despesas de Viagem]])-2,0)*($G338-$H338)</f>
        <v>0</v>
      </c>
      <c r="AM338" s="22" t="e">
        <f ca="1">VLOOKUP($A338,tabCustoUnit[],COLUMN(CUSTO_GLOBAL[[#Headers],[Submódulo 2.3]])-2,0)*($G338-$H338)</f>
        <v>#NAME?</v>
      </c>
      <c r="AN338" s="22" t="e">
        <f ca="1">VLOOKUP($A338,tabCustoUnit[],COLUMN(CUSTO_GLOBAL[[#Headers],[MÓDULO 2 - Total Encargos e Benefícios mensais e diários]])-2,0)*($G338-$H338)</f>
        <v>#NAME?</v>
      </c>
      <c r="AO338" s="22">
        <f>VLOOKUP($A338,tabCustoUnit[],COLUMN(CUSTO_GLOBAL[[#Headers],[Aviso Prévio Indenizado (API) e Reflexo do Aviso Prévio Indenizado]])-2,0)*($G338-$H338)</f>
        <v>11.192699914390431</v>
      </c>
      <c r="AP338" s="22">
        <f>VLOOKUP($A338,tabCustoUnit[],COLUMN(CUSTO_GLOBAL[[#Headers],[Incidência do FGTS sobre API e Reflexo do API]])-2,0)*($G338-$H338)</f>
        <v>0.89541599315123466</v>
      </c>
      <c r="AQ338" s="22">
        <f>VLOOKUP($A338,tabCustoUnit[],COLUMN(CUSTO_GLOBAL[[#Headers],[Multa Rescisória do FGTS sobre o Aviso Prévio Indenizado]])-2,0)*($G338-$H338)</f>
        <v>0.35816639726049387</v>
      </c>
      <c r="AR338" s="22">
        <f>VLOOKUP($A338,tabCustoUnit[],COLUMN(CUSTO_GLOBAL[[#Headers],[Aviso Prévio Trabalhado - APT]])-2,0)*($G338-$H338)</f>
        <v>5.5869583000000009</v>
      </c>
      <c r="AS338" s="22">
        <f>VLOOKUP($A338,tabCustoUnit[],COLUMN(CUSTO_GLOBAL[[#Headers],[Incidência dos encargos do submódulo 2.1 sobre Aviso Prévio Trabalhado]])-2,0)*($G338-$H338)</f>
        <v>2.1118702374000007</v>
      </c>
      <c r="AT338" s="22">
        <f>VLOOKUP($A338,tabCustoUnit[],COLUMN(CUSTO_GLOBAL[[#Headers],[Multa Rescisória do FGTS]])-2,0)*($G338-$H338)</f>
        <v>48.810505528888882</v>
      </c>
      <c r="AU338" s="22">
        <f>VLOOKUP($A338,tabCustoUnit[],COLUMN(CUSTO_GLOBAL[[#Headers],[Indenização Adicional (Art. 9º da Lei nº 7.238/84)]])-2,0)*($G338-$H338)</f>
        <v>1.3302281666666667</v>
      </c>
      <c r="AV338" s="22">
        <f>VLOOKUP($A338,tabCustoUnit[],COLUMN(CUSTO_GLOBAL[[#Headers],[MÓDULO 3 – PROVISÃO PARA RESCISÃO]])-2,0)*($G338-$H338)</f>
        <v>70.285844537757711</v>
      </c>
      <c r="AW338" s="22">
        <f>VLOOKUP($A338,tabCustoUnit[],COLUMN(CUSTO_GLOBAL[[#Headers],[Ausência por Doença]])-2,0)*($G338-$H338)</f>
        <v>13.479645422222221</v>
      </c>
      <c r="AX338" s="22">
        <f>VLOOKUP($A338,tabCustoUnit[],COLUMN(CUSTO_GLOBAL[[#Headers],[Ausências Legais]])-2,0)*($G338-$H338)</f>
        <v>3.2368885388888886</v>
      </c>
      <c r="AY338" s="22">
        <f>VLOOKUP($A338,tabCustoUnit[],COLUMN(CUSTO_GLOBAL[[#Headers],[Licença Paternidade]])-2,0)*($G338-$H338)</f>
        <v>0.27269677416666666</v>
      </c>
      <c r="AZ338" s="22">
        <f>VLOOKUP($A338,tabCustoUnit[],COLUMN(CUSTO_GLOBAL[[#Headers],[Ausência por Acidente de Trabalho]])-2,0)*($G338-$H338)</f>
        <v>0.33255704166666666</v>
      </c>
      <c r="BA338" s="22">
        <f>VLOOKUP($A338,tabCustoUnit[],COLUMN(CUSTO_GLOBAL[[#Headers],[Férias, Adicional de Férias e 13º  com empregada em gozo de Licença Maternidade]])-2,0)*($G338-$H338)</f>
        <v>2.0692438148148145</v>
      </c>
      <c r="BB338" s="22">
        <f>VLOOKUP($A338,tabCustoUnit[],COLUMN(CUSTO_GLOBAL[[#Headers],[Incidência do Submódulo 2.1 sobre Ausências Legais]])-2,0)*($G338-$H338)</f>
        <v>7.3298099416850011</v>
      </c>
      <c r="BC338" s="22">
        <f>VLOOKUP($A338,tabCustoUnit[],COLUMN(CUSTO_GLOBAL[[#Headers],[Submódulo 4.1]])-2,0)*($G338-$H338)</f>
        <v>26.720841533444265</v>
      </c>
      <c r="BD338" s="22">
        <f>VLOOKUP($A338,tabCustoUnit[],COLUMN(CUSTO_GLOBAL[[#Headers],[Intervalo para Repouso ou Alimentação]])-2,0)*($G338-$H338)</f>
        <v>0</v>
      </c>
      <c r="BE338" s="22">
        <f>VLOOKUP($A338,tabCustoUnit[],COLUMN(CUSTO_GLOBAL[[#Headers],[Submódulo 4.2]])-2,0)*($G338-$H338)</f>
        <v>0</v>
      </c>
      <c r="BF338" s="22">
        <f>VLOOKUP($A338,tabCustoUnit[],COLUMN(CUSTO_GLOBAL[[#Headers],[Suspensão Temporária do Contrato de Trabalho]])-2,0)*($G338-$H338)</f>
        <v>0</v>
      </c>
      <c r="BG338" s="22">
        <f>VLOOKUP($A338,tabCustoUnit[],COLUMN(CUSTO_GLOBAL[[#Headers],[Submódulo 4.3]])-2,0)*($G338-$H338)</f>
        <v>0</v>
      </c>
      <c r="BH338" s="22">
        <f>VLOOKUP($A338,tabCustoUnit[],COLUMN(CUSTO_GLOBAL[[#Headers],[MÓDULO 4 – CUSTO DE REPOSIÇÃO DO PROFISSIONAL AUSENTE]])-2,0)*($G338-$H338)</f>
        <v>26.720841533444265</v>
      </c>
      <c r="BI338" s="22">
        <f>VLOOKUP($A338,tabCustoUnit[],COLUMN(CUSTO_GLOBAL[[#Headers],[Uniformes e EPIs]])-2,0)*($G338-$H338)</f>
        <v>56.141713661989918</v>
      </c>
      <c r="BJ338" s="22">
        <f>VLOOKUP($A338,tabCustoUnit[],COLUMN(CUSTO_GLOBAL[[#Headers],[Materiais de Consumo]])-2,0)*($G338-$H338)</f>
        <v>0</v>
      </c>
      <c r="BK338" s="22">
        <f>VLOOKUP($A338,tabCustoUnit[],COLUMN(CUSTO_GLOBAL[[#Headers],[Máquinas e Equipamentos (depreciação)]])-2,0)*($G338-$H338)</f>
        <v>0</v>
      </c>
      <c r="BL338" s="22">
        <f>VLOOKUP($A338,tabCustoUnit[],COLUMN(CUSTO_GLOBAL[[#Headers],[Produtos de Limpeza e Materiais de Higiene Pessoal]])-2,0)*($G338-$H338)</f>
        <v>0</v>
      </c>
      <c r="BM338" s="22">
        <f>VLOOKUP($A338,tabCustoUnit[],COLUMN(CUSTO_GLOBAL[[#Headers],[Outros (especificar)]])-2,0)*($G338-$H338)</f>
        <v>0</v>
      </c>
      <c r="BN338" s="22">
        <f>VLOOKUP($A338,tabCustoUnit[],COLUMN(CUSTO_GLOBAL[[#Headers],[MÓDULO 5 – INSUMOS DIVERSOS]])-2,0)*($G338-$H338)</f>
        <v>56.141713661989918</v>
      </c>
      <c r="BO338" s="22" t="e">
        <f ca="1">VLOOKUP($A338,tabCustoUnit[],COLUMN(CUSTO_GLOBAL[[#Headers],[TOTAL MÓDULOS 1+2+3+4+5]])-2,0)*($G338-$H338)</f>
        <v>#NAME?</v>
      </c>
      <c r="BP338" s="22" t="e">
        <f ca="1">VLOOKUP($A338,tabCustoUnit[],COLUMN(CUSTO_GLOBAL[[#Headers],[Custos Indiretos]])-2,0)*($G338-$H338)</f>
        <v>#NAME?</v>
      </c>
      <c r="BQ338" s="22" t="e">
        <f ca="1">VLOOKUP($A338,tabCustoUnit[],COLUMN(CUSTO_GLOBAL[[#Headers],[Lucro]])-2,0)*($G338-$H338)</f>
        <v>#NAME?</v>
      </c>
      <c r="BR338" s="26">
        <f>VLOOKUP($A338,tabCustoUnit[],COLUMN(CUSTO_GLOBAL[[#Headers],[COFINS]])-2,0)</f>
        <v>8.6609686609686695E-2</v>
      </c>
      <c r="BS338" s="26">
        <f>VLOOKUP($A338,tabCustoUnit[],COLUMN(CUSTO_GLOBAL[[#Headers],[PIS]])-2,0)</f>
        <v>1.880341880341882E-2</v>
      </c>
      <c r="BT338" s="28">
        <f>VLOOKUP($A338,tabCustoUnit[],COLUMN(CUSTO_GLOBAL[[#Headers],[ISS]])-2,0)</f>
        <v>0.03</v>
      </c>
      <c r="BU338" s="26">
        <f>VLOOKUP($A338,tabCustoUnit[],COLUMN(CUSTO_GLOBAL[[#Headers],[ISS (Conversão Alíquota s/ fatura)]])-2,0)</f>
        <v>3.4188034188034219E-2</v>
      </c>
      <c r="BV338" s="26">
        <f>VLOOKUP($A338,tabCustoUnit[],COLUMN(CUSTO_GLOBAL[[#Headers],[Resumo de Alíquotas (PIS+CONFINS+ISS)]])-2,0)</f>
        <v>0.1225</v>
      </c>
      <c r="BW338" s="138">
        <f>VLOOKUP($A338,tabCustoUnit[],COLUMN(CUSTO_GLOBAL[[#Headers],[PIS + COFINS + ISS (Total Conversão  Alíquota s/ Fatura)]])-2,0)</f>
        <v>0.13960113960113973</v>
      </c>
      <c r="BX338" s="22" t="e">
        <f ca="1">VLOOKUP($A338,tabCustoUnit[],COLUMN(CUSTO_GLOBAL[[#Headers],[Valor dos Tributos (ISS, PIS, CONFINS)]])-2,0)*($G338-$H338)</f>
        <v>#NAME?</v>
      </c>
      <c r="BY338" s="22" t="e">
        <f ca="1">VLOOKUP($A338,tabCustoUnit[],COLUMN(CUSTO_GLOBAL[[#Headers],[MÓDULO 6 – CUSTOS INDIRETOS, TRIBUTOS E LUCRO]])-2,0)*($G338-$H338)</f>
        <v>#NAME?</v>
      </c>
      <c r="BZ338" s="22" t="e">
        <f ca="1">VLOOKUP($A338,tabCustoUnit[],COLUMN(CUSTO_GLOBAL[[#Headers],[CUSTO TOTAL MENSAL]])-2,0)*($G338-$H338)</f>
        <v>#NAME?</v>
      </c>
      <c r="CA338" s="22" t="e">
        <f ca="1">CUSTO_GLOBAL[[#This Row],[CUSTO TOTAL MENSAL]]*12</f>
        <v>#NAME?</v>
      </c>
      <c r="CB338" s="24">
        <f>VLOOKUP($A338,tabCustoUnit[],COLUMN(CUSTO_GLOBAL[[#Headers],[ANO DA CCT]])-2,0)</f>
        <v>45658</v>
      </c>
      <c r="CC338" s="25" t="str">
        <f>VLOOKUP($A338,tabCustoUnit[],COLUMN(CUSTO_GLOBAL[[#Headers],[Nº DE PEDIDO DA CCT]])-2,0)</f>
        <v>-</v>
      </c>
      <c r="CD338" s="25" t="str">
        <f>VLOOKUP($A338,tabCustoUnit[],COLUMN(CUSTO_GLOBAL[[#Headers],[TERMO ADITIVO ALTERAÇÃO DA CCT]])-2,0)</f>
        <v>-</v>
      </c>
    </row>
    <row r="339" spans="1:82">
      <c r="A339" s="20" t="s">
        <v>1519</v>
      </c>
      <c r="B339" t="s">
        <v>1218</v>
      </c>
      <c r="C339" t="s">
        <v>1367</v>
      </c>
      <c r="D339" t="s">
        <v>905</v>
      </c>
      <c r="E339" s="20" t="s">
        <v>1090</v>
      </c>
      <c r="F339" s="20" t="s">
        <v>120</v>
      </c>
      <c r="G339" s="20">
        <v>1</v>
      </c>
      <c r="H339" s="20">
        <v>0</v>
      </c>
      <c r="I339" s="21">
        <f>VLOOKUP($A339,tabCustoUnit[],COLUMN(CUSTO_GLOBAL[[#Headers],[Salário Base]])-2,0)*($G339-$H339)</f>
        <v>2087.4324000000001</v>
      </c>
      <c r="J339" s="21">
        <f>VLOOKUP($A339,tabCustoUnit[],COLUMN(CUSTO_GLOBAL[[#Headers],[Adicional Periculosidade]])-2,0)*($G339-$H339)</f>
        <v>0</v>
      </c>
      <c r="K339" s="21">
        <f>VLOOKUP($A339,tabCustoUnit[],COLUMN(CUSTO_GLOBAL[[#Headers],[Adicional Insalubridade]])-2,0)*($G339-$H339)</f>
        <v>303.60000000000002</v>
      </c>
      <c r="L339" s="21">
        <f>VLOOKUP($A339,tabCustoUnit[],COLUMN(CUSTO_GLOBAL[[#Headers],[Adicional Noturno]])-2,0)*($G339-$H339)</f>
        <v>0</v>
      </c>
      <c r="M339" s="21">
        <f>VLOOKUP($A339,tabCustoUnit[],COLUMN(CUSTO_GLOBAL[[#Headers],[Adicional Motorista II (Gratificação)]])-2,0)*($G339-$H339)</f>
        <v>0</v>
      </c>
      <c r="N339" s="21">
        <f>VLOOKUP($A339,tabCustoUnit[],COLUMN(CUSTO_GLOBAL[[#Headers],[Adicional de Sobreaviso]])-2,0)*($G339-$H339)</f>
        <v>0</v>
      </c>
      <c r="O339" s="21">
        <f>VLOOKUP($A339,tabCustoUnit[],COLUMN(CUSTO_GLOBAL[[#Headers],[Horas Extras TI]])-2,0)*($G339-$H339)</f>
        <v>0</v>
      </c>
      <c r="P339" s="21">
        <f>VLOOKUP($A339,tabCustoUnit[],COLUMN(CUSTO_GLOBAL[[#Headers],[Adicional de Acúmulo de função]])-2,0)*($G339-$H339)</f>
        <v>0</v>
      </c>
      <c r="Q339" s="21">
        <f>VLOOKUP($A339,tabCustoUnit[],COLUMN(CUSTO_GLOBAL[[#Headers],[MODULO 1 - REMUNERAÇÃO ]])-2,0)*($G339-$H339)</f>
        <v>2391.0324000000001</v>
      </c>
      <c r="R339" s="21">
        <f>VLOOKUP($A339,tabCustoUnit[],COLUMN(CUSTO_GLOBAL[[#Headers],[INSS]])-2,0)*($G339-$H339)</f>
        <v>478.20648000000006</v>
      </c>
      <c r="S339" s="21">
        <f>VLOOKUP($A339,tabCustoUnit[],COLUMN(CUSTO_GLOBAL[[#Headers],[SESI OU SESC]])-2,0)*($G339-$H339)</f>
        <v>35.865485999999997</v>
      </c>
      <c r="T339" s="21">
        <f>VLOOKUP($A339,tabCustoUnit[],COLUMN(CUSTO_GLOBAL[[#Headers],[SENAI OU SENAC]])-2,0)*($G339-$H339)</f>
        <v>23.910324000000003</v>
      </c>
      <c r="U339" s="21">
        <f>VLOOKUP($A339,tabCustoUnit[],COLUMN(CUSTO_GLOBAL[[#Headers],[INCRA]])-2,0)*($G339-$H339)</f>
        <v>4.7820648000000006</v>
      </c>
      <c r="V339" s="21">
        <f>VLOOKUP($A339,tabCustoUnit[],COLUMN(CUSTO_GLOBAL[[#Headers],[Salário Educação]])-2,0)*($G339-$H339)</f>
        <v>59.775810000000007</v>
      </c>
      <c r="W339" s="21">
        <f>VLOOKUP($A339,tabCustoUnit[],COLUMN(CUSTO_GLOBAL[[#Headers],[FGTS]])-2,0)*($G339-$H339)</f>
        <v>191.28259200000002</v>
      </c>
      <c r="X339" s="21">
        <f>VLOOKUP($A339,tabCustoUnit[],COLUMN(CUSTO_GLOBAL[[#Headers],[RAT Ajustado]])-2,0)*($G339-$H339)</f>
        <v>95.641296000000011</v>
      </c>
      <c r="Y339" s="21">
        <f>VLOOKUP($A339,tabCustoUnit[],COLUMN(CUSTO_GLOBAL[[#Headers],[SEBRAE]])-2,0)*($G339-$H339)</f>
        <v>14.3461944</v>
      </c>
      <c r="Z339" s="21">
        <f>VLOOKUP($A339,tabCustoUnit[],COLUMN(CUSTO_GLOBAL[[#Headers],[Submódulo 2.1]])-2,0)*($G339-$H339)</f>
        <v>903.81024720000005</v>
      </c>
      <c r="AA339" s="21">
        <f>VLOOKUP($A339,tabCustoUnit[],COLUMN(CUSTO_GLOBAL[[#Headers],[13º salário (titular)]])-2,0)*($G339-$H339)</f>
        <v>199.2527</v>
      </c>
      <c r="AB339" s="21">
        <f>VLOOKUP($A339,tabCustoUnit[],COLUMN(CUSTO_GLOBAL[[#Headers],[Férias e Adicional de Férias (titular)]])-2,0)*($G339-$H339)</f>
        <v>265.67026666666663</v>
      </c>
      <c r="AC339" s="21">
        <f>VLOOKUP($A339,tabCustoUnit[],COLUMN(CUSTO_GLOBAL[[#Headers],[Incidência do Submódulo 2.1 sobre 13º Salário, Férias e Adicional de Férias]])-2,0)*($G339-$H339)</f>
        <v>175.74088139999998</v>
      </c>
      <c r="AD339" s="21">
        <f>VLOOKUP($A339,tabCustoUnit[],COLUMN(CUSTO_GLOBAL[[#Headers],[Submódulo 2.2]])-2,0)*($G339-$H339)</f>
        <v>640.66384806666656</v>
      </c>
      <c r="AE339" s="22" t="e">
        <f ca="1">VLOOKUP($A339,tabCustoUnit[],COLUMN(CUSTO_GLOBAL[[#Headers],[Vale - Transporte (Descontada parcela do empregado)]])-2,0)*($G339-$H339)</f>
        <v>#NAME?</v>
      </c>
      <c r="AF339" s="22">
        <f>VLOOKUP($A339,tabCustoUnit[],COLUMN(CUSTO_GLOBAL[[#Headers],[Vale - Alimentação (Descontada parcela do empregado)]])-2,0)*($G339-$H339)</f>
        <v>582</v>
      </c>
      <c r="AG339" s="22">
        <f>VLOOKUP($A339,tabCustoUnit[],COLUMN(CUSTO_GLOBAL[[#Headers],[Cesta Básica]])-2,0)*($G339-$H339)</f>
        <v>0</v>
      </c>
      <c r="AH339" s="22">
        <f>VLOOKUP($A339,tabCustoUnit[],COLUMN(CUSTO_GLOBAL[[#Headers],[PAF]])-2,0)*($G339-$H339)</f>
        <v>57.07</v>
      </c>
      <c r="AI339" s="22">
        <f>VLOOKUP($A339,tabCustoUnit[],COLUMN(CUSTO_GLOBAL[[#Headers],[PQM]])-2,0)*($G339-$H339)</f>
        <v>0</v>
      </c>
      <c r="AJ339" s="22">
        <v>0</v>
      </c>
      <c r="AK339" s="22">
        <f>VLOOKUP($A339,tabCustoUnit[],COLUMN(CUSTO_GLOBAL[[#Headers],[Seguro de Vida]])-2,0)*($G339-$H339)</f>
        <v>3.36</v>
      </c>
      <c r="AL339" s="22">
        <f>VLOOKUP($A339,tabCustoUnit[],COLUMN(CUSTO_GLOBAL[[#Headers],[Despesas de Viagem]])-2,0)*($G339-$H339)</f>
        <v>0</v>
      </c>
      <c r="AM339" s="22" t="e">
        <f ca="1">VLOOKUP($A339,tabCustoUnit[],COLUMN(CUSTO_GLOBAL[[#Headers],[Submódulo 2.3]])-2,0)*($G339-$H339)</f>
        <v>#NAME?</v>
      </c>
      <c r="AN339" s="22" t="e">
        <f ca="1">VLOOKUP($A339,tabCustoUnit[],COLUMN(CUSTO_GLOBAL[[#Headers],[MÓDULO 2 - Total Encargos e Benefícios mensais e diários]])-2,0)*($G339-$H339)</f>
        <v>#NAME?</v>
      </c>
      <c r="AO339" s="22">
        <f>VLOOKUP($A339,tabCustoUnit[],COLUMN(CUSTO_GLOBAL[[#Headers],[Aviso Prévio Indenizado (API) e Reflexo do Aviso Prévio Indenizado]])-2,0)*($G339-$H339)</f>
        <v>16.765362019212965</v>
      </c>
      <c r="AP339" s="22">
        <f>VLOOKUP($A339,tabCustoUnit[],COLUMN(CUSTO_GLOBAL[[#Headers],[Incidência do FGTS sobre API e Reflexo do API]])-2,0)*($G339-$H339)</f>
        <v>1.3412289615370372</v>
      </c>
      <c r="AQ339" s="22">
        <f>VLOOKUP($A339,tabCustoUnit[],COLUMN(CUSTO_GLOBAL[[#Headers],[Multa Rescisória do FGTS sobre o Aviso Prévio Indenizado]])-2,0)*($G339-$H339)</f>
        <v>0.53649158461481494</v>
      </c>
      <c r="AR339" s="22">
        <f>VLOOKUP($A339,tabCustoUnit[],COLUMN(CUSTO_GLOBAL[[#Headers],[Aviso Prévio Trabalhado - APT]])-2,0)*($G339-$H339)</f>
        <v>8.368613400000001</v>
      </c>
      <c r="AS339" s="22">
        <f>VLOOKUP($A339,tabCustoUnit[],COLUMN(CUSTO_GLOBAL[[#Headers],[Incidência dos encargos do submódulo 2.1 sobre Aviso Prévio Trabalhado]])-2,0)*($G339-$H339)</f>
        <v>3.163335865200001</v>
      </c>
      <c r="AT339" s="22">
        <f>VLOOKUP($A339,tabCustoUnit[],COLUMN(CUSTO_GLOBAL[[#Headers],[Multa Rescisória do FGTS]])-2,0)*($G339-$H339)</f>
        <v>73.112457386666662</v>
      </c>
      <c r="AU339" s="22">
        <f>VLOOKUP($A339,tabCustoUnit[],COLUMN(CUSTO_GLOBAL[[#Headers],[Indenização Adicional (Art. 9º da Lei nº 7.238/84)]])-2,0)*($G339-$H339)</f>
        <v>1.9925270000000002</v>
      </c>
      <c r="AV339" s="22">
        <f>VLOOKUP($A339,tabCustoUnit[],COLUMN(CUSTO_GLOBAL[[#Headers],[MÓDULO 3 – PROVISÃO PARA RESCISÃO]])-2,0)*($G339-$H339)</f>
        <v>105.28001621723148</v>
      </c>
      <c r="AW339" s="22">
        <f>VLOOKUP($A339,tabCustoUnit[],COLUMN(CUSTO_GLOBAL[[#Headers],[Ausência por Doença]])-2,0)*($G339-$H339)</f>
        <v>20.190940266666665</v>
      </c>
      <c r="AX339" s="22">
        <f>VLOOKUP($A339,tabCustoUnit[],COLUMN(CUSTO_GLOBAL[[#Headers],[Ausências Legais]])-2,0)*($G339-$H339)</f>
        <v>4.8484823666666665</v>
      </c>
      <c r="AY339" s="22">
        <f>VLOOKUP($A339,tabCustoUnit[],COLUMN(CUSTO_GLOBAL[[#Headers],[Licença Paternidade]])-2,0)*($G339-$H339)</f>
        <v>0.40846803500000001</v>
      </c>
      <c r="AZ339" s="22">
        <f>VLOOKUP($A339,tabCustoUnit[],COLUMN(CUSTO_GLOBAL[[#Headers],[Ausência por Acidente de Trabalho]])-2,0)*($G339-$H339)</f>
        <v>0.49813175000000004</v>
      </c>
      <c r="BA339" s="22">
        <f>VLOOKUP($A339,tabCustoUnit[],COLUMN(CUSTO_GLOBAL[[#Headers],[Férias, Adicional de Férias e 13º  com empregada em gozo de Licença Maternidade]])-2,0)*($G339-$H339)</f>
        <v>3.0994864444444445</v>
      </c>
      <c r="BB339" s="22">
        <f>VLOOKUP($A339,tabCustoUnit[],COLUMN(CUSTO_GLOBAL[[#Headers],[Incidência do Submódulo 2.1 sobre Ausências Legais]])-2,0)*($G339-$H339)</f>
        <v>10.979202350130002</v>
      </c>
      <c r="BC339" s="22">
        <f>VLOOKUP($A339,tabCustoUnit[],COLUMN(CUSTO_GLOBAL[[#Headers],[Submódulo 4.1]])-2,0)*($G339-$H339)</f>
        <v>40.024711212907775</v>
      </c>
      <c r="BD339" s="22">
        <f>VLOOKUP($A339,tabCustoUnit[],COLUMN(CUSTO_GLOBAL[[#Headers],[Intervalo para Repouso ou Alimentação]])-2,0)*($G339-$H339)</f>
        <v>0</v>
      </c>
      <c r="BE339" s="22">
        <f>VLOOKUP($A339,tabCustoUnit[],COLUMN(CUSTO_GLOBAL[[#Headers],[Submódulo 4.2]])-2,0)*($G339-$H339)</f>
        <v>0</v>
      </c>
      <c r="BF339" s="22">
        <f>VLOOKUP($A339,tabCustoUnit[],COLUMN(CUSTO_GLOBAL[[#Headers],[Suspensão Temporária do Contrato de Trabalho]])-2,0)*($G339-$H339)</f>
        <v>0</v>
      </c>
      <c r="BG339" s="22">
        <f>VLOOKUP($A339,tabCustoUnit[],COLUMN(CUSTO_GLOBAL[[#Headers],[Submódulo 4.3]])-2,0)*($G339-$H339)</f>
        <v>0</v>
      </c>
      <c r="BH339" s="22">
        <f>VLOOKUP($A339,tabCustoUnit[],COLUMN(CUSTO_GLOBAL[[#Headers],[MÓDULO 4 – CUSTO DE REPOSIÇÃO DO PROFISSIONAL AUSENTE]])-2,0)*($G339-$H339)</f>
        <v>40.024711212907775</v>
      </c>
      <c r="BI339" s="22">
        <f>VLOOKUP($A339,tabCustoUnit[],COLUMN(CUSTO_GLOBAL[[#Headers],[Uniformes e EPIs]])-2,0)*($G339-$H339)</f>
        <v>253.83572732312174</v>
      </c>
      <c r="BJ339" s="22">
        <f>VLOOKUP($A339,tabCustoUnit[],COLUMN(CUSTO_GLOBAL[[#Headers],[Materiais de Consumo]])-2,0)*($G339-$H339)</f>
        <v>441.81099462365592</v>
      </c>
      <c r="BK339" s="22">
        <f>VLOOKUP($A339,tabCustoUnit[],COLUMN(CUSTO_GLOBAL[[#Headers],[Máquinas e Equipamentos (depreciação)]])-2,0)*($G339-$H339)</f>
        <v>113.11309677419354</v>
      </c>
      <c r="BL339" s="22">
        <f>VLOOKUP($A339,tabCustoUnit[],COLUMN(CUSTO_GLOBAL[[#Headers],[Produtos de Limpeza e Materiais de Higiene Pessoal]])-2,0)*($G339-$H339)</f>
        <v>0</v>
      </c>
      <c r="BM339" s="22">
        <f>VLOOKUP($A339,tabCustoUnit[],COLUMN(CUSTO_GLOBAL[[#Headers],[Outros (especificar)]])-2,0)*($G339-$H339)</f>
        <v>0</v>
      </c>
      <c r="BN339" s="22">
        <f>VLOOKUP($A339,tabCustoUnit[],COLUMN(CUSTO_GLOBAL[[#Headers],[MÓDULO 5 – INSUMOS DIVERSOS]])-2,0)*($G339-$H339)</f>
        <v>808.75981872097123</v>
      </c>
      <c r="BO339" s="22" t="e">
        <f ca="1">VLOOKUP($A339,tabCustoUnit[],COLUMN(CUSTO_GLOBAL[[#Headers],[TOTAL MÓDULOS 1+2+3+4+5]])-2,0)*($G339-$H339)</f>
        <v>#NAME?</v>
      </c>
      <c r="BP339" s="22" t="e">
        <f ca="1">VLOOKUP($A339,tabCustoUnit[],COLUMN(CUSTO_GLOBAL[[#Headers],[Custos Indiretos]])-2,0)*($G339-$H339)</f>
        <v>#NAME?</v>
      </c>
      <c r="BQ339" s="22" t="e">
        <f ca="1">VLOOKUP($A339,tabCustoUnit[],COLUMN(CUSTO_GLOBAL[[#Headers],[Lucro]])-2,0)*($G339-$H339)</f>
        <v>#NAME?</v>
      </c>
      <c r="BR339" s="26">
        <f>VLOOKUP($A339,tabCustoUnit[],COLUMN(CUSTO_GLOBAL[[#Headers],[COFINS]])-2,0)</f>
        <v>8.6609686609686695E-2</v>
      </c>
      <c r="BS339" s="26">
        <f>VLOOKUP($A339,tabCustoUnit[],COLUMN(CUSTO_GLOBAL[[#Headers],[PIS]])-2,0)</f>
        <v>1.880341880341882E-2</v>
      </c>
      <c r="BT339" s="28">
        <f>VLOOKUP($A339,tabCustoUnit[],COLUMN(CUSTO_GLOBAL[[#Headers],[ISS]])-2,0)</f>
        <v>0.03</v>
      </c>
      <c r="BU339" s="26">
        <f>VLOOKUP($A339,tabCustoUnit[],COLUMN(CUSTO_GLOBAL[[#Headers],[ISS (Conversão Alíquota s/ fatura)]])-2,0)</f>
        <v>3.4188034188034219E-2</v>
      </c>
      <c r="BV339" s="26">
        <f>VLOOKUP($A339,tabCustoUnit[],COLUMN(CUSTO_GLOBAL[[#Headers],[Resumo de Alíquotas (PIS+CONFINS+ISS)]])-2,0)</f>
        <v>0.1225</v>
      </c>
      <c r="BW339" s="138">
        <f>VLOOKUP($A339,tabCustoUnit[],COLUMN(CUSTO_GLOBAL[[#Headers],[PIS + COFINS + ISS (Total Conversão  Alíquota s/ Fatura)]])-2,0)</f>
        <v>0.13960113960113973</v>
      </c>
      <c r="BX339" s="22" t="e">
        <f ca="1">VLOOKUP($A339,tabCustoUnit[],COLUMN(CUSTO_GLOBAL[[#Headers],[Valor dos Tributos (ISS, PIS, CONFINS)]])-2,0)*($G339-$H339)</f>
        <v>#NAME?</v>
      </c>
      <c r="BY339" s="22" t="e">
        <f ca="1">VLOOKUP($A339,tabCustoUnit[],COLUMN(CUSTO_GLOBAL[[#Headers],[MÓDULO 6 – CUSTOS INDIRETOS, TRIBUTOS E LUCRO]])-2,0)*($G339-$H339)</f>
        <v>#NAME?</v>
      </c>
      <c r="BZ339" s="22" t="e">
        <f ca="1">VLOOKUP($A339,tabCustoUnit[],COLUMN(CUSTO_GLOBAL[[#Headers],[CUSTO TOTAL MENSAL]])-2,0)*($G339-$H339)</f>
        <v>#NAME?</v>
      </c>
      <c r="CA339" s="22" t="e">
        <f ca="1">CUSTO_GLOBAL[[#This Row],[CUSTO TOTAL MENSAL]]*12</f>
        <v>#NAME?</v>
      </c>
      <c r="CB339" s="24">
        <f>VLOOKUP($A339,tabCustoUnit[],COLUMN(CUSTO_GLOBAL[[#Headers],[ANO DA CCT]])-2,0)</f>
        <v>45658</v>
      </c>
      <c r="CC339" s="25" t="str">
        <f>VLOOKUP($A339,tabCustoUnit[],COLUMN(CUSTO_GLOBAL[[#Headers],[Nº DE PEDIDO DA CCT]])-2,0)</f>
        <v>-</v>
      </c>
      <c r="CD339" s="25" t="str">
        <f>VLOOKUP($A339,tabCustoUnit[],COLUMN(CUSTO_GLOBAL[[#Headers],[TERMO ADITIVO ALTERAÇÃO DA CCT]])-2,0)</f>
        <v>-</v>
      </c>
    </row>
    <row r="340" spans="1:82">
      <c r="A340" s="20" t="s">
        <v>1743</v>
      </c>
      <c r="B340" t="s">
        <v>1218</v>
      </c>
      <c r="C340" t="s">
        <v>1368</v>
      </c>
      <c r="D340" t="s">
        <v>905</v>
      </c>
      <c r="E340" s="20" t="s">
        <v>1090</v>
      </c>
      <c r="F340" s="20" t="s">
        <v>120</v>
      </c>
      <c r="G340" s="20">
        <v>1</v>
      </c>
      <c r="H340" s="20">
        <v>0</v>
      </c>
      <c r="I340" s="21">
        <f>VLOOKUP($A340,tabCustoUnit[],COLUMN(CUSTO_GLOBAL[[#Headers],[Salário Base]])-2,0)*($G340-$H340)</f>
        <v>2296.1756999999998</v>
      </c>
      <c r="J340" s="21">
        <f>VLOOKUP($A340,tabCustoUnit[],COLUMN(CUSTO_GLOBAL[[#Headers],[Adicional Periculosidade]])-2,0)*($G340-$H340)</f>
        <v>0</v>
      </c>
      <c r="K340" s="21">
        <f>VLOOKUP($A340,tabCustoUnit[],COLUMN(CUSTO_GLOBAL[[#Headers],[Adicional Insalubridade]])-2,0)*($G340-$H340)</f>
        <v>303.60000000000002</v>
      </c>
      <c r="L340" s="21">
        <f>VLOOKUP($A340,tabCustoUnit[],COLUMN(CUSTO_GLOBAL[[#Headers],[Adicional Noturno]])-2,0)*($G340-$H340)</f>
        <v>0</v>
      </c>
      <c r="M340" s="21">
        <f>VLOOKUP($A340,tabCustoUnit[],COLUMN(CUSTO_GLOBAL[[#Headers],[Adicional Motorista II (Gratificação)]])-2,0)*($G340-$H340)</f>
        <v>0</v>
      </c>
      <c r="N340" s="21">
        <f>VLOOKUP($A340,tabCustoUnit[],COLUMN(CUSTO_GLOBAL[[#Headers],[Adicional de Sobreaviso]])-2,0)*($G340-$H340)</f>
        <v>0</v>
      </c>
      <c r="O340" s="21">
        <f>VLOOKUP($A340,tabCustoUnit[],COLUMN(CUSTO_GLOBAL[[#Headers],[Horas Extras TI]])-2,0)*($G340-$H340)</f>
        <v>0</v>
      </c>
      <c r="P340" s="21">
        <f>VLOOKUP($A340,tabCustoUnit[],COLUMN(CUSTO_GLOBAL[[#Headers],[Adicional de Acúmulo de função]])-2,0)*($G340-$H340)</f>
        <v>0</v>
      </c>
      <c r="Q340" s="21">
        <f>VLOOKUP($A340,tabCustoUnit[],COLUMN(CUSTO_GLOBAL[[#Headers],[MODULO 1 - REMUNERAÇÃO ]])-2,0)*($G340-$H340)</f>
        <v>2599.7756999999997</v>
      </c>
      <c r="R340" s="21">
        <f>VLOOKUP($A340,tabCustoUnit[],COLUMN(CUSTO_GLOBAL[[#Headers],[INSS]])-2,0)*($G340-$H340)</f>
        <v>519.95513999999991</v>
      </c>
      <c r="S340" s="21">
        <f>VLOOKUP($A340,tabCustoUnit[],COLUMN(CUSTO_GLOBAL[[#Headers],[SESI OU SESC]])-2,0)*($G340-$H340)</f>
        <v>38.996635499999996</v>
      </c>
      <c r="T340" s="21">
        <f>VLOOKUP($A340,tabCustoUnit[],COLUMN(CUSTO_GLOBAL[[#Headers],[SENAI OU SENAC]])-2,0)*($G340-$H340)</f>
        <v>25.997756999999996</v>
      </c>
      <c r="U340" s="21">
        <f>VLOOKUP($A340,tabCustoUnit[],COLUMN(CUSTO_GLOBAL[[#Headers],[INCRA]])-2,0)*($G340-$H340)</f>
        <v>5.1995513999999998</v>
      </c>
      <c r="V340" s="21">
        <f>VLOOKUP($A340,tabCustoUnit[],COLUMN(CUSTO_GLOBAL[[#Headers],[Salário Educação]])-2,0)*($G340-$H340)</f>
        <v>64.994392499999989</v>
      </c>
      <c r="W340" s="21">
        <f>VLOOKUP($A340,tabCustoUnit[],COLUMN(CUSTO_GLOBAL[[#Headers],[FGTS]])-2,0)*($G340-$H340)</f>
        <v>207.98205599999997</v>
      </c>
      <c r="X340" s="21">
        <f>VLOOKUP($A340,tabCustoUnit[],COLUMN(CUSTO_GLOBAL[[#Headers],[RAT Ajustado]])-2,0)*($G340-$H340)</f>
        <v>103.99102799999999</v>
      </c>
      <c r="Y340" s="21">
        <f>VLOOKUP($A340,tabCustoUnit[],COLUMN(CUSTO_GLOBAL[[#Headers],[SEBRAE]])-2,0)*($G340-$H340)</f>
        <v>15.598654199999999</v>
      </c>
      <c r="Z340" s="21">
        <f>VLOOKUP($A340,tabCustoUnit[],COLUMN(CUSTO_GLOBAL[[#Headers],[Submódulo 2.1]])-2,0)*($G340-$H340)</f>
        <v>982.71521459999985</v>
      </c>
      <c r="AA340" s="21">
        <f>VLOOKUP($A340,tabCustoUnit[],COLUMN(CUSTO_GLOBAL[[#Headers],[13º salário (titular)]])-2,0)*($G340-$H340)</f>
        <v>216.64797499999997</v>
      </c>
      <c r="AB340" s="21">
        <f>VLOOKUP($A340,tabCustoUnit[],COLUMN(CUSTO_GLOBAL[[#Headers],[Férias e Adicional de Férias (titular)]])-2,0)*($G340-$H340)</f>
        <v>288.86396666666661</v>
      </c>
      <c r="AC340" s="21">
        <f>VLOOKUP($A340,tabCustoUnit[],COLUMN(CUSTO_GLOBAL[[#Headers],[Incidência do Submódulo 2.1 sobre 13º Salário, Férias e Adicional de Férias]])-2,0)*($G340-$H340)</f>
        <v>191.08351394999997</v>
      </c>
      <c r="AD340" s="21">
        <f>VLOOKUP($A340,tabCustoUnit[],COLUMN(CUSTO_GLOBAL[[#Headers],[Submódulo 2.2]])-2,0)*($G340-$H340)</f>
        <v>696.59545561666653</v>
      </c>
      <c r="AE340" s="22" t="e">
        <f ca="1">VLOOKUP($A340,tabCustoUnit[],COLUMN(CUSTO_GLOBAL[[#Headers],[Vale - Transporte (Descontada parcela do empregado)]])-2,0)*($G340-$H340)</f>
        <v>#NAME?</v>
      </c>
      <c r="AF340" s="22">
        <f>VLOOKUP($A340,tabCustoUnit[],COLUMN(CUSTO_GLOBAL[[#Headers],[Vale - Alimentação (Descontada parcela do empregado)]])-2,0)*($G340-$H340)</f>
        <v>582</v>
      </c>
      <c r="AG340" s="22">
        <f>VLOOKUP($A340,tabCustoUnit[],COLUMN(CUSTO_GLOBAL[[#Headers],[Cesta Básica]])-2,0)*($G340-$H340)</f>
        <v>0</v>
      </c>
      <c r="AH340" s="22">
        <f>VLOOKUP($A340,tabCustoUnit[],COLUMN(CUSTO_GLOBAL[[#Headers],[PAF]])-2,0)*($G340-$H340)</f>
        <v>57.07</v>
      </c>
      <c r="AI340" s="22">
        <f>VLOOKUP($A340,tabCustoUnit[],COLUMN(CUSTO_GLOBAL[[#Headers],[PQM]])-2,0)*($G340-$H340)</f>
        <v>0</v>
      </c>
      <c r="AJ340" s="22">
        <v>0</v>
      </c>
      <c r="AK340" s="22">
        <f>VLOOKUP($A340,tabCustoUnit[],COLUMN(CUSTO_GLOBAL[[#Headers],[Seguro de Vida]])-2,0)*($G340-$H340)</f>
        <v>3.36</v>
      </c>
      <c r="AL340" s="22">
        <f>VLOOKUP($A340,tabCustoUnit[],COLUMN(CUSTO_GLOBAL[[#Headers],[Despesas de Viagem]])-2,0)*($G340-$H340)</f>
        <v>0</v>
      </c>
      <c r="AM340" s="22" t="e">
        <f ca="1">VLOOKUP($A340,tabCustoUnit[],COLUMN(CUSTO_GLOBAL[[#Headers],[Submódulo 2.3]])-2,0)*($G340-$H340)</f>
        <v>#NAME?</v>
      </c>
      <c r="AN340" s="22" t="e">
        <f ca="1">VLOOKUP($A340,tabCustoUnit[],COLUMN(CUSTO_GLOBAL[[#Headers],[MÓDULO 2 - Total Encargos e Benefícios mensais e diários]])-2,0)*($G340-$H340)</f>
        <v>#NAME?</v>
      </c>
      <c r="AO340" s="22">
        <f>VLOOKUP($A340,tabCustoUnit[],COLUMN(CUSTO_GLOBAL[[#Headers],[Aviso Prévio Indenizado (API) e Reflexo do Aviso Prévio Indenizado]])-2,0)*($G340-$H340)</f>
        <v>18.229021396469907</v>
      </c>
      <c r="AP340" s="22">
        <f>VLOOKUP($A340,tabCustoUnit[],COLUMN(CUSTO_GLOBAL[[#Headers],[Incidência do FGTS sobre API e Reflexo do API]])-2,0)*($G340-$H340)</f>
        <v>1.4583217117175926</v>
      </c>
      <c r="AQ340" s="22">
        <f>VLOOKUP($A340,tabCustoUnit[],COLUMN(CUSTO_GLOBAL[[#Headers],[Multa Rescisória do FGTS sobre o Aviso Prévio Indenizado]])-2,0)*($G340-$H340)</f>
        <v>0.58332868468703702</v>
      </c>
      <c r="AR340" s="22">
        <f>VLOOKUP($A340,tabCustoUnit[],COLUMN(CUSTO_GLOBAL[[#Headers],[Aviso Prévio Trabalhado - APT]])-2,0)*($G340-$H340)</f>
        <v>9.0992149500000004</v>
      </c>
      <c r="AS340" s="22">
        <f>VLOOKUP($A340,tabCustoUnit[],COLUMN(CUSTO_GLOBAL[[#Headers],[Incidência dos encargos do submódulo 2.1 sobre Aviso Prévio Trabalhado]])-2,0)*($G340-$H340)</f>
        <v>3.4395032511000005</v>
      </c>
      <c r="AT340" s="22">
        <f>VLOOKUP($A340,tabCustoUnit[],COLUMN(CUSTO_GLOBAL[[#Headers],[Multa Rescisória do FGTS]])-2,0)*($G340-$H340)</f>
        <v>79.495363626666645</v>
      </c>
      <c r="AU340" s="22">
        <f>VLOOKUP($A340,tabCustoUnit[],COLUMN(CUSTO_GLOBAL[[#Headers],[Indenização Adicional (Art. 9º da Lei nº 7.238/84)]])-2,0)*($G340-$H340)</f>
        <v>2.1664797499999997</v>
      </c>
      <c r="AV340" s="22">
        <f>VLOOKUP($A340,tabCustoUnit[],COLUMN(CUSTO_GLOBAL[[#Headers],[MÓDULO 3 – PROVISÃO PARA RESCISÃO]])-2,0)*($G340-$H340)</f>
        <v>114.47123337064117</v>
      </c>
      <c r="AW340" s="22">
        <f>VLOOKUP($A340,tabCustoUnit[],COLUMN(CUSTO_GLOBAL[[#Headers],[Ausência por Doença]])-2,0)*($G340-$H340)</f>
        <v>21.953661466666663</v>
      </c>
      <c r="AX340" s="22">
        <f>VLOOKUP($A340,tabCustoUnit[],COLUMN(CUSTO_GLOBAL[[#Headers],[Ausências Legais]])-2,0)*($G340-$H340)</f>
        <v>5.2717673916666659</v>
      </c>
      <c r="AY340" s="22">
        <f>VLOOKUP($A340,tabCustoUnit[],COLUMN(CUSTO_GLOBAL[[#Headers],[Licença Paternidade]])-2,0)*($G340-$H340)</f>
        <v>0.44412834874999996</v>
      </c>
      <c r="AZ340" s="22">
        <f>VLOOKUP($A340,tabCustoUnit[],COLUMN(CUSTO_GLOBAL[[#Headers],[Ausência por Acidente de Trabalho]])-2,0)*($G340-$H340)</f>
        <v>0.54161993749999993</v>
      </c>
      <c r="BA340" s="22">
        <f>VLOOKUP($A340,tabCustoUnit[],COLUMN(CUSTO_GLOBAL[[#Headers],[Férias, Adicional de Férias e 13º  com empregada em gozo de Licença Maternidade]])-2,0)*($G340-$H340)</f>
        <v>3.3700796111111107</v>
      </c>
      <c r="BB340" s="22">
        <f>VLOOKUP($A340,tabCustoUnit[],COLUMN(CUSTO_GLOBAL[[#Headers],[Incidência do Submódulo 2.1 sobre Ausências Legais]])-2,0)*($G340-$H340)</f>
        <v>11.9377150536525</v>
      </c>
      <c r="BC340" s="22">
        <f>VLOOKUP($A340,tabCustoUnit[],COLUMN(CUSTO_GLOBAL[[#Headers],[Submódulo 4.1]])-2,0)*($G340-$H340)</f>
        <v>43.518971809346937</v>
      </c>
      <c r="BD340" s="22">
        <f>VLOOKUP($A340,tabCustoUnit[],COLUMN(CUSTO_GLOBAL[[#Headers],[Intervalo para Repouso ou Alimentação]])-2,0)*($G340-$H340)</f>
        <v>0</v>
      </c>
      <c r="BE340" s="22">
        <f>VLOOKUP($A340,tabCustoUnit[],COLUMN(CUSTO_GLOBAL[[#Headers],[Submódulo 4.2]])-2,0)*($G340-$H340)</f>
        <v>0</v>
      </c>
      <c r="BF340" s="22">
        <f>VLOOKUP($A340,tabCustoUnit[],COLUMN(CUSTO_GLOBAL[[#Headers],[Suspensão Temporária do Contrato de Trabalho]])-2,0)*($G340-$H340)</f>
        <v>0</v>
      </c>
      <c r="BG340" s="22">
        <f>VLOOKUP($A340,tabCustoUnit[],COLUMN(CUSTO_GLOBAL[[#Headers],[Submódulo 4.3]])-2,0)*($G340-$H340)</f>
        <v>0</v>
      </c>
      <c r="BH340" s="22">
        <f>VLOOKUP($A340,tabCustoUnit[],COLUMN(CUSTO_GLOBAL[[#Headers],[MÓDULO 4 – CUSTO DE REPOSIÇÃO DO PROFISSIONAL AUSENTE]])-2,0)*($G340-$H340)</f>
        <v>43.518971809346937</v>
      </c>
      <c r="BI340" s="22">
        <f>VLOOKUP($A340,tabCustoUnit[],COLUMN(CUSTO_GLOBAL[[#Headers],[Uniformes e EPIs]])-2,0)*($G340-$H340)</f>
        <v>196.62072732312174</v>
      </c>
      <c r="BJ340" s="22">
        <f>VLOOKUP($A340,tabCustoUnit[],COLUMN(CUSTO_GLOBAL[[#Headers],[Materiais de Consumo]])-2,0)*($G340-$H340)</f>
        <v>441.81099462365592</v>
      </c>
      <c r="BK340" s="22">
        <f>VLOOKUP($A340,tabCustoUnit[],COLUMN(CUSTO_GLOBAL[[#Headers],[Máquinas e Equipamentos (depreciação)]])-2,0)*($G340-$H340)</f>
        <v>113.11309677419354</v>
      </c>
      <c r="BL340" s="22">
        <f>VLOOKUP($A340,tabCustoUnit[],COLUMN(CUSTO_GLOBAL[[#Headers],[Produtos de Limpeza e Materiais de Higiene Pessoal]])-2,0)*($G340-$H340)</f>
        <v>0</v>
      </c>
      <c r="BM340" s="22">
        <f>VLOOKUP($A340,tabCustoUnit[],COLUMN(CUSTO_GLOBAL[[#Headers],[Outros (especificar)]])-2,0)*($G340-$H340)</f>
        <v>0</v>
      </c>
      <c r="BN340" s="22">
        <f>VLOOKUP($A340,tabCustoUnit[],COLUMN(CUSTO_GLOBAL[[#Headers],[MÓDULO 5 – INSUMOS DIVERSOS]])-2,0)*($G340-$H340)</f>
        <v>751.54481872097119</v>
      </c>
      <c r="BO340" s="22" t="e">
        <f ca="1">VLOOKUP($A340,tabCustoUnit[],COLUMN(CUSTO_GLOBAL[[#Headers],[TOTAL MÓDULOS 1+2+3+4+5]])-2,0)*($G340-$H340)</f>
        <v>#NAME?</v>
      </c>
      <c r="BP340" s="22" t="e">
        <f ca="1">VLOOKUP($A340,tabCustoUnit[],COLUMN(CUSTO_GLOBAL[[#Headers],[Custos Indiretos]])-2,0)*($G340-$H340)</f>
        <v>#NAME?</v>
      </c>
      <c r="BQ340" s="22" t="e">
        <f ca="1">VLOOKUP($A340,tabCustoUnit[],COLUMN(CUSTO_GLOBAL[[#Headers],[Lucro]])-2,0)*($G340-$H340)</f>
        <v>#NAME?</v>
      </c>
      <c r="BR340" s="26">
        <f>VLOOKUP($A340,tabCustoUnit[],COLUMN(CUSTO_GLOBAL[[#Headers],[COFINS]])-2,0)</f>
        <v>8.6609686609686695E-2</v>
      </c>
      <c r="BS340" s="26">
        <f>VLOOKUP($A340,tabCustoUnit[],COLUMN(CUSTO_GLOBAL[[#Headers],[PIS]])-2,0)</f>
        <v>1.880341880341882E-2</v>
      </c>
      <c r="BT340" s="28">
        <f>VLOOKUP($A340,tabCustoUnit[],COLUMN(CUSTO_GLOBAL[[#Headers],[ISS]])-2,0)</f>
        <v>0.03</v>
      </c>
      <c r="BU340" s="26">
        <f>VLOOKUP($A340,tabCustoUnit[],COLUMN(CUSTO_GLOBAL[[#Headers],[ISS (Conversão Alíquota s/ fatura)]])-2,0)</f>
        <v>3.4188034188034219E-2</v>
      </c>
      <c r="BV340" s="26">
        <f>VLOOKUP($A340,tabCustoUnit[],COLUMN(CUSTO_GLOBAL[[#Headers],[Resumo de Alíquotas (PIS+CONFINS+ISS)]])-2,0)</f>
        <v>0.1225</v>
      </c>
      <c r="BW340" s="138">
        <f>VLOOKUP($A340,tabCustoUnit[],COLUMN(CUSTO_GLOBAL[[#Headers],[PIS + COFINS + ISS (Total Conversão  Alíquota s/ Fatura)]])-2,0)</f>
        <v>0.13960113960113973</v>
      </c>
      <c r="BX340" s="22" t="e">
        <f ca="1">VLOOKUP($A340,tabCustoUnit[],COLUMN(CUSTO_GLOBAL[[#Headers],[Valor dos Tributos (ISS, PIS, CONFINS)]])-2,0)*($G340-$H340)</f>
        <v>#NAME?</v>
      </c>
      <c r="BY340" s="22" t="e">
        <f ca="1">VLOOKUP($A340,tabCustoUnit[],COLUMN(CUSTO_GLOBAL[[#Headers],[MÓDULO 6 – CUSTOS INDIRETOS, TRIBUTOS E LUCRO]])-2,0)*($G340-$H340)</f>
        <v>#NAME?</v>
      </c>
      <c r="BZ340" s="22" t="e">
        <f ca="1">VLOOKUP($A340,tabCustoUnit[],COLUMN(CUSTO_GLOBAL[[#Headers],[CUSTO TOTAL MENSAL]])-2,0)*($G340-$H340)</f>
        <v>#NAME?</v>
      </c>
      <c r="CA340" s="22" t="e">
        <f ca="1">CUSTO_GLOBAL[[#This Row],[CUSTO TOTAL MENSAL]]*12</f>
        <v>#NAME?</v>
      </c>
      <c r="CB340" s="24">
        <f>VLOOKUP($A340,tabCustoUnit[],COLUMN(CUSTO_GLOBAL[[#Headers],[ANO DA CCT]])-2,0)</f>
        <v>45658</v>
      </c>
      <c r="CC340" s="25" t="str">
        <f>VLOOKUP($A340,tabCustoUnit[],COLUMN(CUSTO_GLOBAL[[#Headers],[Nº DE PEDIDO DA CCT]])-2,0)</f>
        <v>-</v>
      </c>
      <c r="CD340" s="25" t="str">
        <f>VLOOKUP($A340,tabCustoUnit[],COLUMN(CUSTO_GLOBAL[[#Headers],[TERMO ADITIVO ALTERAÇÃO DA CCT]])-2,0)</f>
        <v>-</v>
      </c>
    </row>
    <row r="341" spans="1:82">
      <c r="A341" s="20" t="s">
        <v>1744</v>
      </c>
      <c r="B341" t="s">
        <v>1218</v>
      </c>
      <c r="C341" t="s">
        <v>314</v>
      </c>
      <c r="D341" t="s">
        <v>905</v>
      </c>
      <c r="E341" s="20" t="s">
        <v>1090</v>
      </c>
      <c r="F341" s="20" t="s">
        <v>120</v>
      </c>
      <c r="G341" s="20">
        <v>1</v>
      </c>
      <c r="H341" s="20">
        <v>0</v>
      </c>
      <c r="I341" s="21">
        <f>VLOOKUP($A341,tabCustoUnit[],COLUMN(CUSTO_GLOBAL[[#Headers],[Salário Base]])-2,0)*($G341-$H341)</f>
        <v>1963.4110000000001</v>
      </c>
      <c r="J341" s="21">
        <f>VLOOKUP($A341,tabCustoUnit[],COLUMN(CUSTO_GLOBAL[[#Headers],[Adicional Periculosidade]])-2,0)*($G341-$H341)</f>
        <v>0</v>
      </c>
      <c r="K341" s="21">
        <f>VLOOKUP($A341,tabCustoUnit[],COLUMN(CUSTO_GLOBAL[[#Headers],[Adicional Insalubridade]])-2,0)*($G341-$H341)</f>
        <v>0</v>
      </c>
      <c r="L341" s="21">
        <f>VLOOKUP($A341,tabCustoUnit[],COLUMN(CUSTO_GLOBAL[[#Headers],[Adicional Noturno]])-2,0)*($G341-$H341)</f>
        <v>0</v>
      </c>
      <c r="M341" s="21">
        <f>VLOOKUP($A341,tabCustoUnit[],COLUMN(CUSTO_GLOBAL[[#Headers],[Adicional Motorista II (Gratificação)]])-2,0)*($G341-$H341)</f>
        <v>0</v>
      </c>
      <c r="N341" s="21">
        <f>VLOOKUP($A341,tabCustoUnit[],COLUMN(CUSTO_GLOBAL[[#Headers],[Adicional de Sobreaviso]])-2,0)*($G341-$H341)</f>
        <v>0</v>
      </c>
      <c r="O341" s="21">
        <f>VLOOKUP($A341,tabCustoUnit[],COLUMN(CUSTO_GLOBAL[[#Headers],[Horas Extras TI]])-2,0)*($G341-$H341)</f>
        <v>0</v>
      </c>
      <c r="P341" s="21">
        <f>VLOOKUP($A341,tabCustoUnit[],COLUMN(CUSTO_GLOBAL[[#Headers],[Adicional de Acúmulo de função]])-2,0)*($G341-$H341)</f>
        <v>0</v>
      </c>
      <c r="Q341" s="21">
        <f>VLOOKUP($A341,tabCustoUnit[],COLUMN(CUSTO_GLOBAL[[#Headers],[MODULO 1 - REMUNERAÇÃO ]])-2,0)*($G341-$H341)</f>
        <v>1963.4110000000001</v>
      </c>
      <c r="R341" s="21">
        <f>VLOOKUP($A341,tabCustoUnit[],COLUMN(CUSTO_GLOBAL[[#Headers],[INSS]])-2,0)*($G341-$H341)</f>
        <v>392.68220000000002</v>
      </c>
      <c r="S341" s="21">
        <f>VLOOKUP($A341,tabCustoUnit[],COLUMN(CUSTO_GLOBAL[[#Headers],[SESI OU SESC]])-2,0)*($G341-$H341)</f>
        <v>29.451165</v>
      </c>
      <c r="T341" s="21">
        <f>VLOOKUP($A341,tabCustoUnit[],COLUMN(CUSTO_GLOBAL[[#Headers],[SENAI OU SENAC]])-2,0)*($G341-$H341)</f>
        <v>19.63411</v>
      </c>
      <c r="U341" s="21">
        <f>VLOOKUP($A341,tabCustoUnit[],COLUMN(CUSTO_GLOBAL[[#Headers],[INCRA]])-2,0)*($G341-$H341)</f>
        <v>3.926822</v>
      </c>
      <c r="V341" s="21">
        <f>VLOOKUP($A341,tabCustoUnit[],COLUMN(CUSTO_GLOBAL[[#Headers],[Salário Educação]])-2,0)*($G341-$H341)</f>
        <v>49.085275000000003</v>
      </c>
      <c r="W341" s="21">
        <f>VLOOKUP($A341,tabCustoUnit[],COLUMN(CUSTO_GLOBAL[[#Headers],[FGTS]])-2,0)*($G341-$H341)</f>
        <v>157.07288</v>
      </c>
      <c r="X341" s="21">
        <f>VLOOKUP($A341,tabCustoUnit[],COLUMN(CUSTO_GLOBAL[[#Headers],[RAT Ajustado]])-2,0)*($G341-$H341)</f>
        <v>78.536439999999999</v>
      </c>
      <c r="Y341" s="21">
        <f>VLOOKUP($A341,tabCustoUnit[],COLUMN(CUSTO_GLOBAL[[#Headers],[SEBRAE]])-2,0)*($G341-$H341)</f>
        <v>11.780466000000001</v>
      </c>
      <c r="Z341" s="21">
        <f>VLOOKUP($A341,tabCustoUnit[],COLUMN(CUSTO_GLOBAL[[#Headers],[Submódulo 2.1]])-2,0)*($G341-$H341)</f>
        <v>742.1693580000001</v>
      </c>
      <c r="AA341" s="21">
        <f>VLOOKUP($A341,tabCustoUnit[],COLUMN(CUSTO_GLOBAL[[#Headers],[13º salário (titular)]])-2,0)*($G341-$H341)</f>
        <v>163.61758333333333</v>
      </c>
      <c r="AB341" s="21">
        <f>VLOOKUP($A341,tabCustoUnit[],COLUMN(CUSTO_GLOBAL[[#Headers],[Férias e Adicional de Férias (titular)]])-2,0)*($G341-$H341)</f>
        <v>218.15677777777776</v>
      </c>
      <c r="AC341" s="21">
        <f>VLOOKUP($A341,tabCustoUnit[],COLUMN(CUSTO_GLOBAL[[#Headers],[Incidência do Submódulo 2.1 sobre 13º Salário, Férias e Adicional de Férias]])-2,0)*($G341-$H341)</f>
        <v>144.3107085</v>
      </c>
      <c r="AD341" s="21">
        <f>VLOOKUP($A341,tabCustoUnit[],COLUMN(CUSTO_GLOBAL[[#Headers],[Submódulo 2.2]])-2,0)*($G341-$H341)</f>
        <v>526.08506961111107</v>
      </c>
      <c r="AE341" s="22" t="e">
        <f ca="1">VLOOKUP($A341,tabCustoUnit[],COLUMN(CUSTO_GLOBAL[[#Headers],[Vale - Transporte (Descontada parcela do empregado)]])-2,0)*($G341-$H341)</f>
        <v>#NAME?</v>
      </c>
      <c r="AF341" s="22">
        <f>VLOOKUP($A341,tabCustoUnit[],COLUMN(CUSTO_GLOBAL[[#Headers],[Vale - Alimentação (Descontada parcela do empregado)]])-2,0)*($G341-$H341)</f>
        <v>582</v>
      </c>
      <c r="AG341" s="22">
        <f>VLOOKUP($A341,tabCustoUnit[],COLUMN(CUSTO_GLOBAL[[#Headers],[Cesta Básica]])-2,0)*($G341-$H341)</f>
        <v>0</v>
      </c>
      <c r="AH341" s="22">
        <f>VLOOKUP($A341,tabCustoUnit[],COLUMN(CUSTO_GLOBAL[[#Headers],[PAF]])-2,0)*($G341-$H341)</f>
        <v>57.07</v>
      </c>
      <c r="AI341" s="22">
        <f>VLOOKUP($A341,tabCustoUnit[],COLUMN(CUSTO_GLOBAL[[#Headers],[PQM]])-2,0)*($G341-$H341)</f>
        <v>0</v>
      </c>
      <c r="AJ341" s="22">
        <v>0</v>
      </c>
      <c r="AK341" s="22">
        <f>VLOOKUP($A341,tabCustoUnit[],COLUMN(CUSTO_GLOBAL[[#Headers],[Seguro de Vida]])-2,0)*($G341-$H341)</f>
        <v>3.36</v>
      </c>
      <c r="AL341" s="22">
        <f>VLOOKUP($A341,tabCustoUnit[],COLUMN(CUSTO_GLOBAL[[#Headers],[Despesas de Viagem]])-2,0)*($G341-$H341)</f>
        <v>0</v>
      </c>
      <c r="AM341" s="22" t="e">
        <f ca="1">VLOOKUP($A341,tabCustoUnit[],COLUMN(CUSTO_GLOBAL[[#Headers],[Submódulo 2.3]])-2,0)*($G341-$H341)</f>
        <v>#NAME?</v>
      </c>
      <c r="AN341" s="22" t="e">
        <f ca="1">VLOOKUP($A341,tabCustoUnit[],COLUMN(CUSTO_GLOBAL[[#Headers],[MÓDULO 2 - Total Encargos e Benefícios mensais e diários]])-2,0)*($G341-$H341)</f>
        <v>#NAME?</v>
      </c>
      <c r="AO341" s="22">
        <f>VLOOKUP($A341,tabCustoUnit[],COLUMN(CUSTO_GLOBAL[[#Headers],[Aviso Prévio Indenizado (API) e Reflexo do Aviso Prévio Indenizado]])-2,0)*($G341-$H341)</f>
        <v>13.766980408757716</v>
      </c>
      <c r="AP341" s="22">
        <f>VLOOKUP($A341,tabCustoUnit[],COLUMN(CUSTO_GLOBAL[[#Headers],[Incidência do FGTS sobre API e Reflexo do API]])-2,0)*($G341-$H341)</f>
        <v>1.1013584327006174</v>
      </c>
      <c r="AQ341" s="22">
        <f>VLOOKUP($A341,tabCustoUnit[],COLUMN(CUSTO_GLOBAL[[#Headers],[Multa Rescisória do FGTS sobre o Aviso Prévio Indenizado]])-2,0)*($G341-$H341)</f>
        <v>0.44054337308024699</v>
      </c>
      <c r="AR341" s="22">
        <f>VLOOKUP($A341,tabCustoUnit[],COLUMN(CUSTO_GLOBAL[[#Headers],[Aviso Prévio Trabalhado - APT]])-2,0)*($G341-$H341)</f>
        <v>6.8719385000000015</v>
      </c>
      <c r="AS341" s="22">
        <f>VLOOKUP($A341,tabCustoUnit[],COLUMN(CUSTO_GLOBAL[[#Headers],[Incidência dos encargos do submódulo 2.1 sobre Aviso Prévio Trabalhado]])-2,0)*($G341-$H341)</f>
        <v>2.5975927530000007</v>
      </c>
      <c r="AT341" s="22">
        <f>VLOOKUP($A341,tabCustoUnit[],COLUMN(CUSTO_GLOBAL[[#Headers],[Multa Rescisória do FGTS]])-2,0)*($G341-$H341)</f>
        <v>60.03674524444444</v>
      </c>
      <c r="AU341" s="22">
        <f>VLOOKUP($A341,tabCustoUnit[],COLUMN(CUSTO_GLOBAL[[#Headers],[Indenização Adicional (Art. 9º da Lei nº 7.238/84)]])-2,0)*($G341-$H341)</f>
        <v>1.6361758333333334</v>
      </c>
      <c r="AV341" s="22">
        <f>VLOOKUP($A341,tabCustoUnit[],COLUMN(CUSTO_GLOBAL[[#Headers],[MÓDULO 3 – PROVISÃO PARA RESCISÃO]])-2,0)*($G341-$H341)</f>
        <v>86.451334545316371</v>
      </c>
      <c r="AW341" s="22">
        <f>VLOOKUP($A341,tabCustoUnit[],COLUMN(CUSTO_GLOBAL[[#Headers],[Ausência por Doença]])-2,0)*($G341-$H341)</f>
        <v>16.579915111111109</v>
      </c>
      <c r="AX341" s="22">
        <f>VLOOKUP($A341,tabCustoUnit[],COLUMN(CUSTO_GLOBAL[[#Headers],[Ausências Legais]])-2,0)*($G341-$H341)</f>
        <v>3.9813611944444443</v>
      </c>
      <c r="AY341" s="22">
        <f>VLOOKUP($A341,tabCustoUnit[],COLUMN(CUSTO_GLOBAL[[#Headers],[Licença Paternidade]])-2,0)*($G341-$H341)</f>
        <v>0.33541604583333334</v>
      </c>
      <c r="AZ341" s="22">
        <f>VLOOKUP($A341,tabCustoUnit[],COLUMN(CUSTO_GLOBAL[[#Headers],[Ausência por Acidente de Trabalho]])-2,0)*($G341-$H341)</f>
        <v>0.40904395833333335</v>
      </c>
      <c r="BA341" s="22">
        <f>VLOOKUP($A341,tabCustoUnit[],COLUMN(CUSTO_GLOBAL[[#Headers],[Férias, Adicional de Férias e 13º  com empregada em gozo de Licença Maternidade]])-2,0)*($G341-$H341)</f>
        <v>2.5451624074074073</v>
      </c>
      <c r="BB341" s="22">
        <f>VLOOKUP($A341,tabCustoUnit[],COLUMN(CUSTO_GLOBAL[[#Headers],[Incidência do Submódulo 2.1 sobre Ausências Legais]])-2,0)*($G341-$H341)</f>
        <v>9.0156397150750021</v>
      </c>
      <c r="BC341" s="22">
        <f>VLOOKUP($A341,tabCustoUnit[],COLUMN(CUSTO_GLOBAL[[#Headers],[Submódulo 4.1]])-2,0)*($G341-$H341)</f>
        <v>32.866538432204628</v>
      </c>
      <c r="BD341" s="22">
        <f>VLOOKUP($A341,tabCustoUnit[],COLUMN(CUSTO_GLOBAL[[#Headers],[Intervalo para Repouso ou Alimentação]])-2,0)*($G341-$H341)</f>
        <v>267.73786489195959</v>
      </c>
      <c r="BE341" s="22">
        <f>VLOOKUP($A341,tabCustoUnit[],COLUMN(CUSTO_GLOBAL[[#Headers],[Submódulo 4.2]])-2,0)*($G341-$H341)</f>
        <v>267.73786489195959</v>
      </c>
      <c r="BF341" s="22">
        <f>VLOOKUP($A341,tabCustoUnit[],COLUMN(CUSTO_GLOBAL[[#Headers],[Suspensão Temporária do Contrato de Trabalho]])-2,0)*($G341-$H341)</f>
        <v>0</v>
      </c>
      <c r="BG341" s="22">
        <f>VLOOKUP($A341,tabCustoUnit[],COLUMN(CUSTO_GLOBAL[[#Headers],[Submódulo 4.3]])-2,0)*($G341-$H341)</f>
        <v>0</v>
      </c>
      <c r="BH341" s="22">
        <f>VLOOKUP($A341,tabCustoUnit[],COLUMN(CUSTO_GLOBAL[[#Headers],[MÓDULO 4 – CUSTO DE REPOSIÇÃO DO PROFISSIONAL AUSENTE]])-2,0)*($G341-$H341)</f>
        <v>300.6044033241642</v>
      </c>
      <c r="BI341" s="22">
        <f>VLOOKUP($A341,tabCustoUnit[],COLUMN(CUSTO_GLOBAL[[#Headers],[Uniformes e EPIs]])-2,0)*($G341-$H341)</f>
        <v>56.642978962543395</v>
      </c>
      <c r="BJ341" s="22">
        <f>VLOOKUP($A341,tabCustoUnit[],COLUMN(CUSTO_GLOBAL[[#Headers],[Materiais de Consumo]])-2,0)*($G341-$H341)</f>
        <v>0</v>
      </c>
      <c r="BK341" s="22">
        <f>VLOOKUP($A341,tabCustoUnit[],COLUMN(CUSTO_GLOBAL[[#Headers],[Máquinas e Equipamentos (depreciação)]])-2,0)*($G341-$H341)</f>
        <v>0</v>
      </c>
      <c r="BL341" s="22">
        <f>VLOOKUP($A341,tabCustoUnit[],COLUMN(CUSTO_GLOBAL[[#Headers],[Produtos de Limpeza e Materiais de Higiene Pessoal]])-2,0)*($G341-$H341)</f>
        <v>0</v>
      </c>
      <c r="BM341" s="22">
        <f>VLOOKUP($A341,tabCustoUnit[],COLUMN(CUSTO_GLOBAL[[#Headers],[Outros (especificar)]])-2,0)*($G341-$H341)</f>
        <v>0</v>
      </c>
      <c r="BN341" s="22">
        <f>VLOOKUP($A341,tabCustoUnit[],COLUMN(CUSTO_GLOBAL[[#Headers],[MÓDULO 5 – INSUMOS DIVERSOS]])-2,0)*($G341-$H341)</f>
        <v>56.642978962543395</v>
      </c>
      <c r="BO341" s="22" t="e">
        <f ca="1">VLOOKUP($A341,tabCustoUnit[],COLUMN(CUSTO_GLOBAL[[#Headers],[TOTAL MÓDULOS 1+2+3+4+5]])-2,0)*($G341-$H341)</f>
        <v>#NAME?</v>
      </c>
      <c r="BP341" s="22" t="e">
        <f ca="1">VLOOKUP($A341,tabCustoUnit[],COLUMN(CUSTO_GLOBAL[[#Headers],[Custos Indiretos]])-2,0)*($G341-$H341)</f>
        <v>#NAME?</v>
      </c>
      <c r="BQ341" s="22" t="e">
        <f ca="1">VLOOKUP($A341,tabCustoUnit[],COLUMN(CUSTO_GLOBAL[[#Headers],[Lucro]])-2,0)*($G341-$H341)</f>
        <v>#NAME?</v>
      </c>
      <c r="BR341" s="26">
        <f>VLOOKUP($A341,tabCustoUnit[],COLUMN(CUSTO_GLOBAL[[#Headers],[COFINS]])-2,0)</f>
        <v>8.6609686609686695E-2</v>
      </c>
      <c r="BS341" s="26">
        <f>VLOOKUP($A341,tabCustoUnit[],COLUMN(CUSTO_GLOBAL[[#Headers],[PIS]])-2,0)</f>
        <v>1.880341880341882E-2</v>
      </c>
      <c r="BT341" s="28">
        <f>VLOOKUP($A341,tabCustoUnit[],COLUMN(CUSTO_GLOBAL[[#Headers],[ISS]])-2,0)</f>
        <v>0.03</v>
      </c>
      <c r="BU341" s="26">
        <f>VLOOKUP($A341,tabCustoUnit[],COLUMN(CUSTO_GLOBAL[[#Headers],[ISS (Conversão Alíquota s/ fatura)]])-2,0)</f>
        <v>3.4188034188034219E-2</v>
      </c>
      <c r="BV341" s="26">
        <f>VLOOKUP($A341,tabCustoUnit[],COLUMN(CUSTO_GLOBAL[[#Headers],[Resumo de Alíquotas (PIS+CONFINS+ISS)]])-2,0)</f>
        <v>0.1225</v>
      </c>
      <c r="BW341" s="138">
        <f>VLOOKUP($A341,tabCustoUnit[],COLUMN(CUSTO_GLOBAL[[#Headers],[PIS + COFINS + ISS (Total Conversão  Alíquota s/ Fatura)]])-2,0)</f>
        <v>0.13960113960113973</v>
      </c>
      <c r="BX341" s="22" t="e">
        <f ca="1">VLOOKUP($A341,tabCustoUnit[],COLUMN(CUSTO_GLOBAL[[#Headers],[Valor dos Tributos (ISS, PIS, CONFINS)]])-2,0)*($G341-$H341)</f>
        <v>#NAME?</v>
      </c>
      <c r="BY341" s="22" t="e">
        <f ca="1">VLOOKUP($A341,tabCustoUnit[],COLUMN(CUSTO_GLOBAL[[#Headers],[MÓDULO 6 – CUSTOS INDIRETOS, TRIBUTOS E LUCRO]])-2,0)*($G341-$H341)</f>
        <v>#NAME?</v>
      </c>
      <c r="BZ341" s="22" t="e">
        <f ca="1">VLOOKUP($A341,tabCustoUnit[],COLUMN(CUSTO_GLOBAL[[#Headers],[CUSTO TOTAL MENSAL]])-2,0)*($G341-$H341)</f>
        <v>#NAME?</v>
      </c>
      <c r="CA341" s="22" t="e">
        <f ca="1">CUSTO_GLOBAL[[#This Row],[CUSTO TOTAL MENSAL]]*12</f>
        <v>#NAME?</v>
      </c>
      <c r="CB341" s="24">
        <f>VLOOKUP($A341,tabCustoUnit[],COLUMN(CUSTO_GLOBAL[[#Headers],[ANO DA CCT]])-2,0)</f>
        <v>45658</v>
      </c>
      <c r="CC341" s="25" t="str">
        <f>VLOOKUP($A341,tabCustoUnit[],COLUMN(CUSTO_GLOBAL[[#Headers],[Nº DE PEDIDO DA CCT]])-2,0)</f>
        <v>-</v>
      </c>
      <c r="CD341" s="25" t="str">
        <f>VLOOKUP($A341,tabCustoUnit[],COLUMN(CUSTO_GLOBAL[[#Headers],[TERMO ADITIVO ALTERAÇÃO DA CCT]])-2,0)</f>
        <v>-</v>
      </c>
    </row>
    <row r="342" spans="1:82">
      <c r="A342" s="20" t="s">
        <v>7</v>
      </c>
      <c r="E342" s="20"/>
      <c r="F342" s="20"/>
      <c r="G342" s="140">
        <f>SUBTOTAL(9,CUSTO_GLOBAL[Vagas contratadas])</f>
        <v>1304</v>
      </c>
      <c r="H342" s="140">
        <f>SUBTOTAL(9,CUSTO_GLOBAL[Vagas suspensas])</f>
        <v>0</v>
      </c>
      <c r="I342" s="22">
        <f>SUBTOTAL(9,CUSTO_GLOBAL[Salário Base])</f>
        <v>4780697.8007999957</v>
      </c>
      <c r="J342" s="22">
        <f>SUBTOTAL(9,CUSTO_GLOBAL[Adicional Periculosidade])</f>
        <v>19838.538</v>
      </c>
      <c r="K342" s="22">
        <f>SUBTOTAL(9,CUSTO_GLOBAL[Adicional Insalubridade])</f>
        <v>18519.599999999995</v>
      </c>
      <c r="L342" s="22">
        <f>SUBTOTAL(9,CUSTO_GLOBAL[Adicional Noturno])</f>
        <v>23647.319600000003</v>
      </c>
      <c r="M342" s="22">
        <f>SUBTOTAL(9,CUSTO_GLOBAL[Adicional Motorista II (Gratificação)])</f>
        <v>17906.838299999999</v>
      </c>
      <c r="N342" s="22">
        <f>SUBTOTAL(9,CUSTO_GLOBAL[Adicional de Sobreaviso])</f>
        <v>0</v>
      </c>
      <c r="O342" s="22">
        <f>SUBTOTAL(9,CUSTO_GLOBAL[Horas Extras TI])</f>
        <v>38722.368799999997</v>
      </c>
      <c r="P342" s="22">
        <f>SUBTOTAL(9,CUSTO_GLOBAL[Adicional de Acúmulo de função])</f>
        <v>7705.5352000000003</v>
      </c>
      <c r="Q342" s="22">
        <f>SUBTOTAL(9,CUSTO_GLOBAL[MODULO 1 - REMUNERAÇÃO ])</f>
        <v>4907038.0007000035</v>
      </c>
      <c r="R342" s="22">
        <f>SUBTOTAL(9,CUSTO_GLOBAL[INSS])</f>
        <v>981407.60014000162</v>
      </c>
      <c r="S342" s="22">
        <f>SUBTOTAL(9,CUSTO_GLOBAL[SESI OU SESC])</f>
        <v>73605.570010500276</v>
      </c>
      <c r="T342" s="22">
        <f>SUBTOTAL(9,CUSTO_GLOBAL[SENAI OU SENAC])</f>
        <v>49070.380006999978</v>
      </c>
      <c r="U342" s="22">
        <f>SUBTOTAL(9,CUSTO_GLOBAL[INCRA])</f>
        <v>9814.0760013999734</v>
      </c>
      <c r="V342" s="22">
        <f>SUBTOTAL(9,CUSTO_GLOBAL[Salário Educação])</f>
        <v>122675.9500175002</v>
      </c>
      <c r="W342" s="22">
        <f>SUBTOTAL(9,CUSTO_GLOBAL[FGTS])</f>
        <v>392563.04005599982</v>
      </c>
      <c r="X342" s="22">
        <f>SUBTOTAL(9,CUSTO_GLOBAL[RAT Ajustado])</f>
        <v>196281.52002799991</v>
      </c>
      <c r="Y342" s="22">
        <f>SUBTOTAL(9,CUSTO_GLOBAL[SEBRAE])</f>
        <v>29442.228004199926</v>
      </c>
      <c r="Z342" s="22">
        <f>SUBTOTAL(9,CUSTO_GLOBAL[Submódulo 2.1])</f>
        <v>1854860.3642645983</v>
      </c>
      <c r="AA342" s="22">
        <f>SUBTOTAL(9,CUSTO_GLOBAL[13º salário (titular)])</f>
        <v>408919.83339166781</v>
      </c>
      <c r="AB342" s="22">
        <f>SUBTOTAL(9,CUSTO_GLOBAL[Férias e Adicional de Férias (titular)])</f>
        <v>545226.44452222157</v>
      </c>
      <c r="AC342" s="22">
        <f>SUBTOTAL(9,CUSTO_GLOBAL[Incidência do Submódulo 2.1 sobre 13º Salário, Férias e Adicional de Férias])</f>
        <v>360667.29305145034</v>
      </c>
      <c r="AD342" s="22">
        <f>SUBTOTAL(9,CUSTO_GLOBAL[Submódulo 2.2])</f>
        <v>1314813.5709653434</v>
      </c>
      <c r="AE342" s="22" t="e">
        <f ca="1">SUBTOTAL(9,CUSTO_GLOBAL[Vale - Transporte (Descontada parcela do empregado)])</f>
        <v>#NAME?</v>
      </c>
      <c r="AF342" s="22">
        <f>SUBTOTAL(9,CUSTO_GLOBAL[Vale - Alimentação (Descontada parcela do empregado)])</f>
        <v>741082.80000000063</v>
      </c>
      <c r="AG342" s="22">
        <f>SUBTOTAL(9,CUSTO_GLOBAL[Cesta Básica])</f>
        <v>11245.910000000003</v>
      </c>
      <c r="AH342" s="22">
        <f>SUBTOTAL(9,CUSTO_GLOBAL[PAF])</f>
        <v>85030.770000000251</v>
      </c>
      <c r="AI342" s="22">
        <f>SUBTOTAL(9,CUSTO_GLOBAL[PQM])</f>
        <v>750.84</v>
      </c>
      <c r="AJ342" s="22">
        <f>SUBTOTAL(9,CUSTO_GLOBAL[Abono Único e Especial])</f>
        <v>0</v>
      </c>
      <c r="AK342" s="22">
        <f>SUBTOTAL(9,CUSTO_GLOBAL[Seguro de Vida])</f>
        <v>4381.4400000000041</v>
      </c>
      <c r="AL342" s="22">
        <f>SUBTOTAL(9,CUSTO_GLOBAL[Despesas de Viagem])</f>
        <v>281427.01999999996</v>
      </c>
      <c r="AM342" s="22" t="e">
        <f ca="1">SUBTOTAL(9,CUSTO_GLOBAL[Submódulo 2.3])</f>
        <v>#NAME?</v>
      </c>
      <c r="AN342" s="22" t="e">
        <f ca="1">SUBTOTAL(9,CUSTO_GLOBAL[MÓDULO 2 - Total Encargos e Benefícios mensais e diários])</f>
        <v>#NAME?</v>
      </c>
      <c r="AO342" s="22">
        <f>SUBTOTAL(9,CUSTO_GLOBAL[Aviso Prévio Indenizado (API) e Reflexo do Aviso Prévio Indenizado])</f>
        <v>34407.006999892823</v>
      </c>
      <c r="AP342" s="22">
        <f>SUBTOTAL(9,CUSTO_GLOBAL[Incidência do FGTS sobre API e Reflexo do API])</f>
        <v>2752.5605599914174</v>
      </c>
      <c r="AQ342" s="22">
        <f>SUBTOTAL(9,CUSTO_GLOBAL[Multa Rescisória do FGTS sobre o Aviso Prévio Indenizado])</f>
        <v>1101.0242239965703</v>
      </c>
      <c r="AR342" s="22">
        <f>SUBTOTAL(9,CUSTO_GLOBAL[Aviso Prévio Trabalhado - APT])</f>
        <v>17174.633002450031</v>
      </c>
      <c r="AS342" s="22">
        <f>SUBTOTAL(9,CUSTO_GLOBAL[Incidência dos encargos do submódulo 2.1 sobre Aviso Prévio Trabalhado])</f>
        <v>6492.0112749260907</v>
      </c>
      <c r="AT342" s="22">
        <f>SUBTOTAL(9,CUSTO_GLOBAL[Multa Rescisória do FGTS])</f>
        <v>150046.31753251518</v>
      </c>
      <c r="AU342" s="22">
        <f>SUBTOTAL(9,CUSTO_GLOBAL[Indenização Adicional (Art. 9º da Lei nº 7.238/84)])</f>
        <v>4089.1983339166632</v>
      </c>
      <c r="AV342" s="22">
        <f>SUBTOTAL(9,CUSTO_GLOBAL[MÓDULO 3 – PROVISÃO PARA RESCISÃO])</f>
        <v>216062.75192769038</v>
      </c>
      <c r="AW342" s="22">
        <f>SUBTOTAL(9,CUSTO_GLOBAL[Ausência por Doença])</f>
        <v>41437.209783688864</v>
      </c>
      <c r="AX342" s="22">
        <f>SUBTOTAL(9,CUSTO_GLOBAL[Ausências Legais])</f>
        <v>9950.3826125305823</v>
      </c>
      <c r="AY342" s="22">
        <f>SUBTOTAL(9,CUSTO_GLOBAL[Licença Paternidade])</f>
        <v>838.28565845291905</v>
      </c>
      <c r="AZ342" s="22">
        <f>SUBTOTAL(9,CUSTO_GLOBAL[Ausência por Acidente de Trabalho])</f>
        <v>1022.2995834791658</v>
      </c>
      <c r="BA342" s="22">
        <f>SUBTOTAL(9,CUSTO_GLOBAL[Férias, Adicional de Férias e 13º  com empregada em gozo de Licença Maternidade])</f>
        <v>6360.9751860925799</v>
      </c>
      <c r="BB342" s="22">
        <f>SUBTOTAL(9,CUSTO_GLOBAL[Incidência do Submódulo 2.1 sobre Ausências Legais])</f>
        <v>22532.259767564366</v>
      </c>
      <c r="BC342" s="22">
        <f>SUBTOTAL(9,CUSTO_GLOBAL[Submódulo 4.1])</f>
        <v>82141.412591808301</v>
      </c>
      <c r="BD342" s="22">
        <f>SUBTOTAL(9,CUSTO_GLOBAL[Intervalo para Repouso ou Alimentação])</f>
        <v>48065.938888137294</v>
      </c>
      <c r="BE342" s="22">
        <f>SUBTOTAL(9,CUSTO_GLOBAL[Submódulo 4.2])</f>
        <v>48065.938888137294</v>
      </c>
      <c r="BF342" s="22">
        <f>SUBTOTAL(9,CUSTO_GLOBAL[Suspensão Temporária do Contrato de Trabalho])</f>
        <v>0</v>
      </c>
      <c r="BG342" s="22">
        <f>SUBTOTAL(9,CUSTO_GLOBAL[Submódulo 4.3])</f>
        <v>0</v>
      </c>
      <c r="BH342" s="22">
        <f>SUBTOTAL(9,CUSTO_GLOBAL[MÓDULO 4 – CUSTO DE REPOSIÇÃO DO PROFISSIONAL AUSENTE])</f>
        <v>130207.35147994559</v>
      </c>
      <c r="BI342" s="22">
        <f>SUBTOTAL(9,CUSTO_GLOBAL[Uniformes e EPIs])</f>
        <v>142863.67811651743</v>
      </c>
      <c r="BJ342" s="22">
        <f>SUBTOTAL(9,CUSTO_GLOBAL[Materiais de Consumo])</f>
        <v>13771.340000000009</v>
      </c>
      <c r="BK342" s="22">
        <f>SUBTOTAL(9,CUSTO_GLOBAL[Máquinas e Equipamentos (depreciação)])</f>
        <v>5473.5650000000041</v>
      </c>
      <c r="BL342" s="22">
        <f>SUBTOTAL(9,CUSTO_GLOBAL[Produtos de Limpeza e Materiais de Higiene Pessoal])</f>
        <v>1012.8216666666667</v>
      </c>
      <c r="BM342" s="22">
        <f>SUBTOTAL(9,CUSTO_GLOBAL[Outros (especificar)])</f>
        <v>0</v>
      </c>
      <c r="BN342" s="22">
        <f>SUBTOTAL(9,CUSTO_GLOBAL[MÓDULO 5 – INSUMOS DIVERSOS])</f>
        <v>163121.40478318417</v>
      </c>
      <c r="BO342" s="22" t="e">
        <f ca="1">SUBTOTAL(9,CUSTO_GLOBAL[TOTAL MÓDULOS 1+2+3+4+5])</f>
        <v>#NAME?</v>
      </c>
      <c r="BP342" s="22" t="e">
        <f ca="1">SUBTOTAL(9,CUSTO_GLOBAL[Custos Indiretos])</f>
        <v>#NAME?</v>
      </c>
      <c r="BQ342" s="22" t="e">
        <f ca="1">SUBTOTAL(9,CUSTO_GLOBAL[Lucro])</f>
        <v>#NAME?</v>
      </c>
      <c r="BR342" s="138">
        <f>SUBTOTAL(101,CUSTO_GLOBAL[COFINS])</f>
        <v>8.7087900962892872E-2</v>
      </c>
      <c r="BS342" s="138">
        <f>SUBTOTAL(101,CUSTO_GLOBAL[PIS])</f>
        <v>1.8907241656417474E-2</v>
      </c>
      <c r="BT342" s="138">
        <f>SUBTOTAL(101,CUSTO_GLOBAL[ISS])</f>
        <v>3.4665680473372575E-2</v>
      </c>
      <c r="BU342" s="138">
        <f>SUBTOTAL(101,CUSTO_GLOBAL[ISS (Conversão Alíquota s/ fatura)])</f>
        <v>3.9898291102961357E-2</v>
      </c>
      <c r="BV342" s="138">
        <f>SUBTOTAL(101,CUSTO_GLOBAL[Resumo de Alíquotas (PIS+CONFINS+ISS)])</f>
        <v>0.12716568047337246</v>
      </c>
      <c r="BW342" s="138">
        <f>SUBTOTAL(101,CUSTO_GLOBAL[PIS + COFINS + ISS (Total Conversão  Alíquota s/ Fatura)])</f>
        <v>0.14589343372227143</v>
      </c>
      <c r="BX342" s="22" t="e">
        <f ca="1">SUBTOTAL(9,CUSTO_GLOBAL[Valor dos Tributos (ISS, PIS, CONFINS)])</f>
        <v>#NAME?</v>
      </c>
      <c r="BY342" s="22" t="e">
        <f ca="1">SUBTOTAL(9,CUSTO_GLOBAL[MÓDULO 6 – CUSTOS INDIRETOS, TRIBUTOS E LUCRO])</f>
        <v>#NAME?</v>
      </c>
      <c r="BZ342" s="22" t="e">
        <f ca="1">SUBTOTAL(9,CUSTO_GLOBAL[CUSTO TOTAL MENSAL])</f>
        <v>#NAME?</v>
      </c>
      <c r="CA342" s="22" t="e">
        <f ca="1">SUBTOTAL(9,CUSTO_GLOBAL[CUSTO TOTAL ANUAL])</f>
        <v>#NAME?</v>
      </c>
      <c r="CB342" s="20"/>
      <c r="CC342" s="20"/>
      <c r="CD342" s="20"/>
    </row>
    <row r="349" spans="1:82" ht="15" hidden="1">
      <c r="BY349" s="260" t="s">
        <v>1898</v>
      </c>
      <c r="BZ349" s="294" t="e">
        <f ca="1">CUSTO_GLOBAL[[#Totals],[CUSTO TOTAL MENSAL]]+[1]!CUSTO_GLOBAL[[#Totals],[CUSTO TOTAL MENSAL]]</f>
        <v>#NAME?</v>
      </c>
      <c r="CA349" s="294" t="e">
        <f ca="1">CUSTO_GLOBAL[[#Totals],[CUSTO TOTAL ANUAL]]+[1]!CUSTO_GLOBAL[[#Totals],[CUSTO TOTAL ANUAL]]</f>
        <v>#NAME?</v>
      </c>
    </row>
    <row r="351" spans="1:82">
      <c r="BZ351" s="22"/>
    </row>
    <row r="352" spans="1:82">
      <c r="BZ352" s="22"/>
    </row>
    <row r="355" spans="78:79">
      <c r="BZ355" s="22"/>
      <c r="CA355" s="22"/>
    </row>
    <row r="356" spans="78:79">
      <c r="BZ356" s="22"/>
      <c r="CA356" s="22"/>
    </row>
    <row r="357" spans="78:79">
      <c r="BZ357" s="22"/>
      <c r="CA357" s="22"/>
    </row>
  </sheetData>
  <mergeCells count="12">
    <mergeCell ref="I1:Q2"/>
    <mergeCell ref="R1:AN1"/>
    <mergeCell ref="AO1:AV2"/>
    <mergeCell ref="AW1:BH1"/>
    <mergeCell ref="BI1:BN2"/>
    <mergeCell ref="BP1:BY2"/>
    <mergeCell ref="R2:Z2"/>
    <mergeCell ref="AA2:AD2"/>
    <mergeCell ref="AE2:AM2"/>
    <mergeCell ref="AW2:BC2"/>
    <mergeCell ref="BD2:BE2"/>
    <mergeCell ref="BF2:BG2"/>
  </mergeCells>
  <phoneticPr fontId="9" type="noConversion"/>
  <pageMargins left="0.511811024" right="0.511811024" top="0.78740157499999996" bottom="0.78740157499999996" header="0.31496062000000002" footer="0.31496062000000002"/>
  <pageSetup paperSize="9"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dimension ref="A1:O131"/>
  <sheetViews>
    <sheetView topLeftCell="A72" workbookViewId="0">
      <selection activeCell="G94" sqref="G94"/>
    </sheetView>
  </sheetViews>
  <sheetFormatPr defaultColWidth="9.125" defaultRowHeight="12.75"/>
  <cols>
    <col min="1" max="1" width="10" style="11" bestFit="1" customWidth="1"/>
    <col min="2" max="2" width="60" style="11" customWidth="1"/>
    <col min="3" max="3" width="20.375" style="11" customWidth="1"/>
    <col min="4" max="4" width="18.375" style="11" customWidth="1"/>
    <col min="5" max="5" width="41.875" style="11" bestFit="1" customWidth="1"/>
    <col min="6" max="6" width="9.125" style="11"/>
    <col min="7" max="7" width="13.375" style="11" bestFit="1" customWidth="1"/>
    <col min="8" max="8" width="9.125" style="11" bestFit="1" customWidth="1"/>
    <col min="9" max="10" width="16" style="11" bestFit="1" customWidth="1"/>
    <col min="11" max="13" width="14.375" style="11" bestFit="1" customWidth="1"/>
    <col min="14" max="14" width="16" style="11" bestFit="1" customWidth="1"/>
    <col min="15" max="15" width="17" style="11" bestFit="1" customWidth="1"/>
    <col min="16" max="16384" width="9.125" style="11"/>
  </cols>
  <sheetData>
    <row r="1" spans="1:15" ht="15" customHeight="1">
      <c r="A1" s="398" t="s">
        <v>1287</v>
      </c>
      <c r="B1" s="399"/>
      <c r="C1" s="399"/>
      <c r="D1" s="399"/>
      <c r="E1" s="400"/>
      <c r="G1" s="146" t="s">
        <v>1082</v>
      </c>
      <c r="H1" t="s">
        <v>1288</v>
      </c>
    </row>
    <row r="2" spans="1:15" ht="13.5" thickBot="1">
      <c r="A2" s="401"/>
      <c r="B2" s="402"/>
      <c r="C2" s="402"/>
      <c r="D2" s="402"/>
      <c r="E2" s="403"/>
    </row>
    <row r="3" spans="1:15" ht="60">
      <c r="A3" s="378" t="s">
        <v>1289</v>
      </c>
      <c r="B3" s="379"/>
      <c r="C3" s="379"/>
      <c r="D3" s="379"/>
      <c r="E3" s="380"/>
      <c r="G3" s="293" t="s">
        <v>1290</v>
      </c>
      <c r="H3" s="139" t="s">
        <v>1291</v>
      </c>
      <c r="I3" s="139" t="s">
        <v>1292</v>
      </c>
      <c r="J3" s="139" t="s">
        <v>1293</v>
      </c>
      <c r="K3" s="139" t="s">
        <v>1294</v>
      </c>
      <c r="L3" s="139" t="s">
        <v>1295</v>
      </c>
      <c r="M3" s="139" t="s">
        <v>1296</v>
      </c>
      <c r="N3" s="139" t="s">
        <v>1297</v>
      </c>
      <c r="O3" s="19" t="s">
        <v>1298</v>
      </c>
    </row>
    <row r="4" spans="1:15" ht="12.75" customHeight="1">
      <c r="A4" s="34" t="s">
        <v>1299</v>
      </c>
      <c r="B4" s="381" t="s">
        <v>1300</v>
      </c>
      <c r="C4" s="382"/>
      <c r="D4" s="383"/>
      <c r="E4" s="137" t="s">
        <v>1103</v>
      </c>
      <c r="G4" s="27" t="s">
        <v>120</v>
      </c>
      <c r="H4" s="20">
        <v>1248</v>
      </c>
      <c r="I4" s="22">
        <v>4657899.2876999993</v>
      </c>
      <c r="J4" s="22">
        <v>4299282.0550055522</v>
      </c>
      <c r="K4" s="22">
        <v>205092.87642747533</v>
      </c>
      <c r="L4" s="22">
        <v>126036.89145615818</v>
      </c>
      <c r="M4" s="22">
        <v>157443.11503892444</v>
      </c>
      <c r="N4" s="22">
        <v>2533104.5347546451</v>
      </c>
      <c r="O4" s="22">
        <v>11978858.760382755</v>
      </c>
    </row>
    <row r="5" spans="1:15" ht="12.75" customHeight="1">
      <c r="A5" s="36" t="s">
        <v>1301</v>
      </c>
      <c r="B5" s="376" t="s">
        <v>1302</v>
      </c>
      <c r="C5" s="384"/>
      <c r="D5" s="377"/>
      <c r="E5" s="37" t="str">
        <f>IF(ISNUMBER(SEARCH("LIMP",E7,1)),"Serviço de limpeza",IF(E7="","","Apoio administrativo"))</f>
        <v>Apoio administrativo</v>
      </c>
      <c r="G5" s="27" t="s">
        <v>135</v>
      </c>
      <c r="H5" s="20">
        <v>56</v>
      </c>
      <c r="I5" s="22">
        <v>249138.71299999996</v>
      </c>
      <c r="J5" s="22">
        <v>224966.03986638883</v>
      </c>
      <c r="K5" s="22">
        <v>10969.875500214957</v>
      </c>
      <c r="L5" s="22">
        <v>4170.4600237874274</v>
      </c>
      <c r="M5" s="22">
        <v>5678.2897442597714</v>
      </c>
      <c r="N5" s="22">
        <v>125746.6054892848</v>
      </c>
      <c r="O5" s="22">
        <v>620669.98362393584</v>
      </c>
    </row>
    <row r="6" spans="1:15" ht="12.75" customHeight="1">
      <c r="A6" s="36" t="s">
        <v>1303</v>
      </c>
      <c r="B6" s="376" t="s">
        <v>1304</v>
      </c>
      <c r="C6" s="384"/>
      <c r="D6" s="377"/>
      <c r="E6" s="35" cm="1">
        <f t="array" ref="E6">IF(OR($E$4="",$E$7=""),0,_xlfn.XLOOKUP($E$4&amp;$E$7,tabParametros[Comarca]&amp;tabParametros[Função],tabParametros[Salário Base],"VERIFICAR"))</f>
        <v>2449.21</v>
      </c>
      <c r="G6" s="27" t="s">
        <v>79</v>
      </c>
      <c r="H6" s="20">
        <v>1304</v>
      </c>
      <c r="I6" s="22">
        <v>4907038.0006999988</v>
      </c>
      <c r="J6" s="22">
        <v>4524248.094871941</v>
      </c>
      <c r="K6" s="22">
        <v>216062.75192769029</v>
      </c>
      <c r="L6" s="22">
        <v>130207.3514799456</v>
      </c>
      <c r="M6" s="22">
        <v>163121.4047831842</v>
      </c>
      <c r="N6" s="22">
        <v>2658851.1402439298</v>
      </c>
      <c r="O6" s="22">
        <v>12599528.74400669</v>
      </c>
    </row>
    <row r="7" spans="1:15" ht="12.75" customHeight="1">
      <c r="A7" s="36" t="s">
        <v>1305</v>
      </c>
      <c r="B7" s="376" t="s">
        <v>1306</v>
      </c>
      <c r="C7" s="384"/>
      <c r="D7" s="377"/>
      <c r="E7" s="137" t="s">
        <v>26</v>
      </c>
      <c r="G7"/>
      <c r="H7"/>
      <c r="I7"/>
      <c r="J7"/>
      <c r="K7"/>
      <c r="L7"/>
      <c r="M7"/>
      <c r="N7"/>
      <c r="O7"/>
    </row>
    <row r="8" spans="1:15" ht="12.75" customHeight="1" thickBot="1">
      <c r="A8" s="34" t="s">
        <v>1307</v>
      </c>
      <c r="B8" s="366" t="s">
        <v>1308</v>
      </c>
      <c r="C8" s="367"/>
      <c r="D8" s="368"/>
      <c r="E8" s="127" cm="1">
        <f t="array" ref="E8">IF(OR($E$4="",$E$7=""),0,_xlfn.XLOOKUP($E$4&amp;$E$7,tabParametros[Comarca]&amp;tabParametros[Função],tabParametros[ANO DA CCT],"VERIFICAR"))</f>
        <v>45658</v>
      </c>
      <c r="G8"/>
      <c r="H8"/>
      <c r="I8"/>
      <c r="J8"/>
      <c r="K8"/>
      <c r="L8"/>
      <c r="M8"/>
      <c r="N8"/>
      <c r="O8"/>
    </row>
    <row r="9" spans="1:15" ht="14.25">
      <c r="A9" s="121"/>
      <c r="B9" s="122"/>
      <c r="C9" s="122"/>
      <c r="D9" s="122"/>
      <c r="E9" s="123"/>
      <c r="G9"/>
      <c r="H9"/>
      <c r="I9"/>
      <c r="J9"/>
      <c r="K9"/>
      <c r="L9"/>
      <c r="M9"/>
      <c r="N9"/>
      <c r="O9"/>
    </row>
    <row r="10" spans="1:15" ht="14.25">
      <c r="A10" s="369" t="s">
        <v>1257</v>
      </c>
      <c r="B10" s="370"/>
      <c r="C10" s="370"/>
      <c r="D10" s="370"/>
      <c r="E10" s="371"/>
      <c r="G10"/>
      <c r="H10"/>
      <c r="I10"/>
      <c r="J10"/>
      <c r="K10"/>
      <c r="L10"/>
      <c r="M10"/>
      <c r="N10"/>
      <c r="O10"/>
    </row>
    <row r="11" spans="1:15" ht="15" thickBot="1">
      <c r="A11" s="125"/>
      <c r="B11" s="126"/>
      <c r="C11" s="126"/>
      <c r="D11" s="126"/>
      <c r="E11" s="101"/>
      <c r="G11"/>
      <c r="H11"/>
      <c r="I11"/>
      <c r="J11"/>
      <c r="K11"/>
      <c r="L11"/>
      <c r="M11"/>
      <c r="N11"/>
      <c r="O11"/>
    </row>
    <row r="12" spans="1:15" ht="15" thickBot="1">
      <c r="A12" s="43">
        <v>1</v>
      </c>
      <c r="B12" s="372" t="s">
        <v>1309</v>
      </c>
      <c r="C12" s="373"/>
      <c r="D12" s="45" t="s">
        <v>1310</v>
      </c>
      <c r="E12" s="45" t="s">
        <v>1311</v>
      </c>
      <c r="G12"/>
      <c r="H12"/>
      <c r="I12"/>
      <c r="J12"/>
      <c r="K12"/>
      <c r="L12"/>
      <c r="M12"/>
      <c r="N12"/>
      <c r="O12"/>
    </row>
    <row r="13" spans="1:15" ht="14.25">
      <c r="A13" s="46" t="s">
        <v>1299</v>
      </c>
      <c r="B13" s="374" t="s">
        <v>1089</v>
      </c>
      <c r="C13" s="375"/>
      <c r="D13" s="37">
        <v>1</v>
      </c>
      <c r="E13" s="47">
        <f>E6*D13</f>
        <v>2449.21</v>
      </c>
      <c r="G13"/>
      <c r="H13"/>
      <c r="I13"/>
      <c r="J13"/>
      <c r="K13"/>
      <c r="L13"/>
      <c r="M13"/>
      <c r="N13"/>
      <c r="O13"/>
    </row>
    <row r="14" spans="1:15" ht="14.25">
      <c r="A14" s="36" t="s">
        <v>1301</v>
      </c>
      <c r="B14" s="376" t="s">
        <v>1219</v>
      </c>
      <c r="C14" s="377"/>
      <c r="D14" s="49">
        <f>E14/$E$13</f>
        <v>0</v>
      </c>
      <c r="E14" s="48" cm="1">
        <f t="array" ref="E14">IF(OR($E$4="",$E$7=""),0,_xlfn.XLOOKUP($E$4&amp;$E$7,tabParametros[Comarca]&amp;tabParametros[Função],tabParametros[Adicional Periculosidade],"VERIFICAR"))</f>
        <v>0</v>
      </c>
      <c r="G14"/>
      <c r="H14"/>
      <c r="I14"/>
      <c r="J14"/>
      <c r="K14"/>
      <c r="L14"/>
      <c r="M14"/>
      <c r="N14"/>
      <c r="O14"/>
    </row>
    <row r="15" spans="1:15" ht="14.25">
      <c r="A15" s="36" t="s">
        <v>1303</v>
      </c>
      <c r="B15" s="376" t="s">
        <v>1220</v>
      </c>
      <c r="C15" s="377"/>
      <c r="D15" s="49" t="e">
        <f>E15/PARAMETROS!$C$1</f>
        <v>#DIV/0!</v>
      </c>
      <c r="E15" s="48" cm="1">
        <f t="array" ref="E15">IF(OR($E$4="",$E$7=""),0,_xlfn.XLOOKUP($E$4&amp;$E$7,tabParametros[Comarca]&amp;tabParametros[Função],tabParametros[Adicional Insalubridade],"VERIFICAR"))</f>
        <v>0</v>
      </c>
      <c r="G15"/>
      <c r="H15"/>
      <c r="I15"/>
      <c r="J15"/>
      <c r="K15"/>
      <c r="L15"/>
      <c r="M15"/>
      <c r="N15"/>
      <c r="O15"/>
    </row>
    <row r="16" spans="1:15" ht="14.25">
      <c r="A16" s="36" t="s">
        <v>1305</v>
      </c>
      <c r="B16" s="385" t="s">
        <v>1221</v>
      </c>
      <c r="C16" s="386"/>
      <c r="D16" s="49">
        <f>E16/$E$13</f>
        <v>0</v>
      </c>
      <c r="E16" s="48" cm="1">
        <f t="array" ref="E16">IF(OR($E$4="",$E$7=""),0,_xlfn.XLOOKUP($E$4&amp;$E$7,tabParametros[Comarca]&amp;tabParametros[Função],tabParametros[Adicional Noturno],"VERIFICAR"))</f>
        <v>0</v>
      </c>
      <c r="G16"/>
      <c r="H16"/>
      <c r="I16"/>
      <c r="J16"/>
      <c r="K16"/>
      <c r="L16"/>
      <c r="M16"/>
      <c r="N16"/>
      <c r="O16"/>
    </row>
    <row r="17" spans="1:15" ht="14.25">
      <c r="A17" s="36" t="s">
        <v>1307</v>
      </c>
      <c r="B17" s="376" t="s">
        <v>1222</v>
      </c>
      <c r="C17" s="377"/>
      <c r="D17" s="49">
        <f>E17/$E$13</f>
        <v>0</v>
      </c>
      <c r="E17" s="48" cm="1">
        <f t="array" ref="E17">IF(OR($E$4="",$E$7=""),0,_xlfn.XLOOKUP($E$4&amp;$E$7,tabParametros[Comarca]&amp;tabParametros[Função],tabParametros[Adicional Motorista II (Gratificação)],"VERIFICAR"))</f>
        <v>0</v>
      </c>
      <c r="G17"/>
      <c r="H17"/>
      <c r="I17"/>
      <c r="J17"/>
      <c r="K17"/>
      <c r="L17"/>
      <c r="M17"/>
      <c r="N17"/>
      <c r="O17"/>
    </row>
    <row r="18" spans="1:15" ht="14.25">
      <c r="A18" s="36" t="s">
        <v>1312</v>
      </c>
      <c r="B18" s="376" t="s">
        <v>1223</v>
      </c>
      <c r="C18" s="377"/>
      <c r="D18" s="49">
        <f>E18/$E$13</f>
        <v>0</v>
      </c>
      <c r="E18" s="48" cm="1">
        <f t="array" ref="E18">IF(OR($E$4="",$E$7=""),0,_xlfn.XLOOKUP($E$4&amp;$E$7,tabParametros[Comarca]&amp;tabParametros[Função],tabParametros[Adicional de Sobreaviso],"VERIFICAR"))</f>
        <v>0</v>
      </c>
      <c r="G18"/>
      <c r="H18"/>
      <c r="I18"/>
      <c r="J18"/>
      <c r="K18"/>
      <c r="L18"/>
      <c r="M18"/>
      <c r="N18"/>
      <c r="O18"/>
    </row>
    <row r="19" spans="1:15" ht="14.25">
      <c r="A19" s="34" t="s">
        <v>1313</v>
      </c>
      <c r="B19" s="376" t="s">
        <v>1892</v>
      </c>
      <c r="C19" s="377"/>
      <c r="D19" s="49">
        <f>E19/$E$13</f>
        <v>0</v>
      </c>
      <c r="E19" s="48" cm="1">
        <f t="array" ref="E19">IF(OR($E$4="",$E$7=""),0,_xlfn.XLOOKUP($E$4&amp;$E$7,tabParametros[Comarca]&amp;tabParametros[Função],tabParametros[Horas Extras TI],"VERIFICAR"))</f>
        <v>0</v>
      </c>
      <c r="G19"/>
      <c r="H19"/>
      <c r="I19"/>
      <c r="J19"/>
      <c r="K19"/>
      <c r="L19"/>
      <c r="M19"/>
      <c r="N19"/>
      <c r="O19"/>
    </row>
    <row r="20" spans="1:15" ht="15" thickBot="1">
      <c r="A20" s="38" t="s">
        <v>1314</v>
      </c>
      <c r="B20" s="387" t="s">
        <v>1224</v>
      </c>
      <c r="C20" s="388"/>
      <c r="D20" s="49">
        <f>E20/$E$13</f>
        <v>0</v>
      </c>
      <c r="E20" s="50" cm="1">
        <f t="array" ref="E20">IF(OR($E$4="",$E$7=""),0,_xlfn.XLOOKUP($E$4&amp;$E$7,tabParametros[Comarca]&amp;tabParametros[Função],tabParametros[Adicional de Acúmulo de função],"VERIFICAR"))</f>
        <v>0</v>
      </c>
      <c r="G20"/>
      <c r="H20"/>
      <c r="I20"/>
      <c r="J20"/>
      <c r="K20"/>
      <c r="L20"/>
      <c r="M20"/>
      <c r="N20"/>
      <c r="O20"/>
    </row>
    <row r="21" spans="1:15" ht="15" thickBot="1">
      <c r="A21" s="372" t="s">
        <v>1315</v>
      </c>
      <c r="B21" s="389"/>
      <c r="C21" s="389"/>
      <c r="D21" s="373"/>
      <c r="E21" s="52">
        <f>SUM(E13:E20)</f>
        <v>2449.21</v>
      </c>
      <c r="G21"/>
      <c r="H21"/>
      <c r="I21"/>
      <c r="J21"/>
      <c r="K21"/>
      <c r="L21"/>
      <c r="M21"/>
      <c r="N21"/>
      <c r="O21"/>
    </row>
    <row r="22" spans="1:15" ht="14.25">
      <c r="A22" s="53"/>
      <c r="B22" s="132"/>
      <c r="C22" s="132"/>
      <c r="D22" s="132"/>
      <c r="E22" s="54"/>
      <c r="G22"/>
      <c r="H22"/>
      <c r="I22"/>
      <c r="J22"/>
      <c r="K22"/>
      <c r="L22"/>
      <c r="M22"/>
      <c r="N22"/>
      <c r="O22"/>
    </row>
    <row r="23" spans="1:15" ht="14.25">
      <c r="A23" s="369" t="s">
        <v>1258</v>
      </c>
      <c r="B23" s="370"/>
      <c r="C23" s="370"/>
      <c r="D23" s="370"/>
      <c r="E23" s="371"/>
      <c r="G23"/>
      <c r="H23"/>
      <c r="I23"/>
      <c r="J23"/>
      <c r="K23"/>
      <c r="L23"/>
      <c r="M23"/>
      <c r="N23"/>
      <c r="O23"/>
    </row>
    <row r="24" spans="1:15" ht="15" thickBot="1">
      <c r="A24" s="39"/>
      <c r="B24" s="124"/>
      <c r="C24" s="124"/>
      <c r="D24" s="124"/>
      <c r="E24" s="40"/>
      <c r="G24"/>
      <c r="H24"/>
      <c r="I24"/>
      <c r="J24"/>
      <c r="K24"/>
      <c r="L24"/>
      <c r="M24"/>
      <c r="N24"/>
      <c r="O24"/>
    </row>
    <row r="25" spans="1:15" ht="15" thickBot="1">
      <c r="A25" s="43" t="s">
        <v>1316</v>
      </c>
      <c r="B25" s="372" t="s">
        <v>1263</v>
      </c>
      <c r="C25" s="373"/>
      <c r="D25" s="43" t="s">
        <v>1310</v>
      </c>
      <c r="E25" s="43" t="s">
        <v>1311</v>
      </c>
      <c r="G25"/>
      <c r="H25"/>
      <c r="I25"/>
      <c r="J25"/>
      <c r="K25"/>
      <c r="L25"/>
      <c r="M25"/>
      <c r="N25"/>
      <c r="O25"/>
    </row>
    <row r="26" spans="1:15" ht="14.25">
      <c r="A26" s="46" t="s">
        <v>1299</v>
      </c>
      <c r="B26" s="381" t="s">
        <v>129</v>
      </c>
      <c r="C26" s="383"/>
      <c r="D26" s="55" cm="1">
        <f t="array" ref="D26">IF(OR($E$4="",$E$7=""),0,_xlfn.XLOOKUP($E$4&amp;$E$7,tabParametros[Comarca]&amp;tabParametros[Função],tabParametros[INSS],"VERIFICAR"))</f>
        <v>0.2</v>
      </c>
      <c r="E26" s="56">
        <f t="shared" ref="E26:E33" si="0">$E$21*D26</f>
        <v>489.84200000000004</v>
      </c>
      <c r="G26"/>
      <c r="H26"/>
      <c r="I26"/>
      <c r="J26"/>
      <c r="K26"/>
      <c r="L26"/>
      <c r="M26"/>
      <c r="N26"/>
      <c r="O26"/>
    </row>
    <row r="27" spans="1:15" ht="14.25">
      <c r="A27" s="36" t="s">
        <v>1301</v>
      </c>
      <c r="B27" s="385" t="s">
        <v>138</v>
      </c>
      <c r="C27" s="386"/>
      <c r="D27" s="57" cm="1">
        <f t="array" ref="D27">IF(OR($E$4="",$E$7=""),0,_xlfn.XLOOKUP($E$4&amp;$E$7,tabParametros[Comarca]&amp;tabParametros[Função],tabParametros[SESI OU SESC],"VERIFICAR"))</f>
        <v>1.4999999999999999E-2</v>
      </c>
      <c r="E27" s="48">
        <f t="shared" si="0"/>
        <v>36.738149999999997</v>
      </c>
      <c r="G27"/>
      <c r="H27"/>
      <c r="I27"/>
      <c r="J27"/>
      <c r="K27"/>
      <c r="L27"/>
      <c r="M27"/>
      <c r="N27"/>
      <c r="O27"/>
    </row>
    <row r="28" spans="1:15" ht="14.25">
      <c r="A28" s="36" t="s">
        <v>1303</v>
      </c>
      <c r="B28" s="366" t="s">
        <v>145</v>
      </c>
      <c r="C28" s="368"/>
      <c r="D28" s="57" cm="1">
        <f t="array" ref="D28">IF(OR($E$4="",$E$7=""),0,_xlfn.XLOOKUP($E$4&amp;$E$7,tabParametros[Comarca]&amp;tabParametros[Função],tabParametros[SENAI OU SENAC],"VERIFICAR"))</f>
        <v>0.01</v>
      </c>
      <c r="E28" s="48">
        <f t="shared" si="0"/>
        <v>24.492100000000001</v>
      </c>
      <c r="G28"/>
      <c r="H28"/>
      <c r="I28"/>
      <c r="J28"/>
      <c r="K28"/>
      <c r="L28"/>
      <c r="M28"/>
      <c r="N28"/>
      <c r="O28"/>
    </row>
    <row r="29" spans="1:15" ht="14.25">
      <c r="A29" s="36" t="s">
        <v>1305</v>
      </c>
      <c r="B29" s="376" t="s">
        <v>155</v>
      </c>
      <c r="C29" s="377"/>
      <c r="D29" s="57" cm="1">
        <f t="array" ref="D29">IF(OR($E$4="",$E$7=""),0,_xlfn.XLOOKUP($E$4&amp;$E$7,tabParametros[Comarca]&amp;tabParametros[Função],tabParametros[INCRA],"VERIFICAR"))</f>
        <v>2E-3</v>
      </c>
      <c r="E29" s="48">
        <f t="shared" si="0"/>
        <v>4.8984199999999998</v>
      </c>
      <c r="G29"/>
      <c r="H29"/>
      <c r="I29"/>
      <c r="J29"/>
      <c r="K29"/>
      <c r="L29"/>
      <c r="M29"/>
      <c r="N29"/>
      <c r="O29"/>
    </row>
    <row r="30" spans="1:15" ht="14.25">
      <c r="A30" s="36" t="s">
        <v>1307</v>
      </c>
      <c r="B30" s="376" t="s">
        <v>161</v>
      </c>
      <c r="C30" s="377"/>
      <c r="D30" s="57" cm="1">
        <f t="array" ref="D30">IF(OR($E$4="",$E$7=""),0,_xlfn.XLOOKUP($E$4&amp;$E$7,tabParametros[Comarca]&amp;tabParametros[Função],tabParametros[Salário Educação],"VERIFICAR"))</f>
        <v>2.5000000000000001E-2</v>
      </c>
      <c r="E30" s="48">
        <f t="shared" si="0"/>
        <v>61.230250000000005</v>
      </c>
      <c r="G30"/>
      <c r="H30"/>
      <c r="I30"/>
      <c r="J30"/>
      <c r="K30"/>
      <c r="L30"/>
      <c r="M30"/>
      <c r="N30"/>
      <c r="O30"/>
    </row>
    <row r="31" spans="1:15" ht="14.25">
      <c r="A31" s="36" t="s">
        <v>1312</v>
      </c>
      <c r="B31" s="376" t="s">
        <v>167</v>
      </c>
      <c r="C31" s="377"/>
      <c r="D31" s="57" cm="1">
        <f t="array" ref="D31">IF(OR($E$4="",$E$7=""),0,_xlfn.XLOOKUP($E$4&amp;$E$7,tabParametros[Comarca]&amp;tabParametros[Função],tabParametros[FGTS],"VERIFICAR"))</f>
        <v>0.08</v>
      </c>
      <c r="E31" s="48">
        <f t="shared" si="0"/>
        <v>195.93680000000001</v>
      </c>
      <c r="G31"/>
      <c r="H31"/>
      <c r="I31"/>
      <c r="J31"/>
      <c r="K31"/>
      <c r="L31"/>
      <c r="M31"/>
      <c r="N31"/>
      <c r="O31"/>
    </row>
    <row r="32" spans="1:15" ht="14.25">
      <c r="A32" s="36" t="s">
        <v>1313</v>
      </c>
      <c r="B32" s="376" t="s">
        <v>173</v>
      </c>
      <c r="C32" s="377"/>
      <c r="D32" s="57" cm="1">
        <f t="array" ref="D32">IF(OR($E$4="",$E$7=""),0,_xlfn.XLOOKUP($E$4&amp;$E$7,tabParametros[Comarca]&amp;tabParametros[Função],tabParametros[RAT Ajustado],"VERIFICAR"))</f>
        <v>0.04</v>
      </c>
      <c r="E32" s="48">
        <f t="shared" si="0"/>
        <v>97.968400000000003</v>
      </c>
      <c r="G32"/>
      <c r="H32"/>
      <c r="I32"/>
      <c r="J32"/>
      <c r="K32"/>
      <c r="L32"/>
      <c r="M32"/>
      <c r="N32"/>
      <c r="O32"/>
    </row>
    <row r="33" spans="1:15" ht="15" thickBot="1">
      <c r="A33" s="36" t="s">
        <v>1314</v>
      </c>
      <c r="B33" s="385" t="s">
        <v>179</v>
      </c>
      <c r="C33" s="386"/>
      <c r="D33" s="57" cm="1">
        <f t="array" ref="D33">IF(OR($E$4="",$E$7=""),0,_xlfn.XLOOKUP($E$4&amp;$E$7,tabParametros[Comarca]&amp;tabParametros[Função],tabParametros[SEBRAE],"VERIFICAR"))</f>
        <v>6.0000000000000001E-3</v>
      </c>
      <c r="E33" s="48">
        <f t="shared" si="0"/>
        <v>14.695260000000001</v>
      </c>
      <c r="G33"/>
      <c r="H33"/>
      <c r="I33"/>
      <c r="J33"/>
      <c r="K33"/>
      <c r="L33"/>
      <c r="M33"/>
      <c r="N33"/>
      <c r="O33"/>
    </row>
    <row r="34" spans="1:15" ht="15" thickBot="1">
      <c r="A34" s="372" t="s">
        <v>1317</v>
      </c>
      <c r="B34" s="389"/>
      <c r="C34" s="373"/>
      <c r="D34" s="58">
        <f>SUM(D26:D33)</f>
        <v>0.37800000000000006</v>
      </c>
      <c r="E34" s="52">
        <f>SUM(E26:E33)</f>
        <v>925.80137999999988</v>
      </c>
      <c r="G34"/>
      <c r="H34"/>
      <c r="I34"/>
      <c r="J34"/>
      <c r="K34"/>
      <c r="L34"/>
      <c r="M34"/>
      <c r="N34"/>
      <c r="O34"/>
    </row>
    <row r="35" spans="1:15" ht="15" thickBot="1">
      <c r="A35" s="44"/>
      <c r="B35" s="51"/>
      <c r="C35" s="51"/>
      <c r="D35" s="59"/>
      <c r="E35" s="60"/>
      <c r="G35"/>
      <c r="H35"/>
      <c r="I35"/>
      <c r="J35"/>
      <c r="K35"/>
      <c r="L35"/>
      <c r="M35"/>
      <c r="N35"/>
      <c r="O35"/>
    </row>
    <row r="36" spans="1:15" ht="15" thickBot="1">
      <c r="A36" s="43" t="s">
        <v>1318</v>
      </c>
      <c r="B36" s="372" t="s">
        <v>1264</v>
      </c>
      <c r="C36" s="373"/>
      <c r="D36" s="43" t="s">
        <v>1310</v>
      </c>
      <c r="E36" s="45" t="s">
        <v>1311</v>
      </c>
      <c r="G36"/>
      <c r="H36"/>
      <c r="I36"/>
      <c r="J36"/>
      <c r="K36"/>
      <c r="L36"/>
      <c r="M36"/>
      <c r="N36"/>
      <c r="O36"/>
    </row>
    <row r="37" spans="1:15" ht="14.25">
      <c r="A37" s="61" t="s">
        <v>1299</v>
      </c>
      <c r="B37" s="385" t="s">
        <v>1319</v>
      </c>
      <c r="C37" s="386"/>
      <c r="D37" s="62" cm="1">
        <f t="array" ref="D37">IF(OR($E$4="",$E$7=""),0,_xlfn.XLOOKUP($E$4&amp;$E$7,tabParametros[Comarca]&amp;tabParametros[Função],tabParametros[13º salário (titular)],"VERIFICAR"))</f>
        <v>8.3333333333333329E-2</v>
      </c>
      <c r="E37" s="47">
        <f>$E$21*D37</f>
        <v>204.10083333333333</v>
      </c>
      <c r="G37"/>
      <c r="H37"/>
      <c r="I37"/>
      <c r="J37"/>
      <c r="K37"/>
      <c r="L37"/>
      <c r="M37"/>
      <c r="N37"/>
      <c r="O37"/>
    </row>
    <row r="38" spans="1:15" ht="15" thickBot="1">
      <c r="A38" s="38" t="s">
        <v>1301</v>
      </c>
      <c r="B38" s="387" t="s">
        <v>1226</v>
      </c>
      <c r="C38" s="388"/>
      <c r="D38" s="63" cm="1">
        <f t="array" ref="D38">IF(OR($E$4="",$E$7=""),0,_xlfn.XLOOKUP($E$4&amp;$E$7,tabParametros[Comarca]&amp;tabParametros[Função],tabParametros[Férias e Adicional de Férias (titular)],"VERIFICAR"))</f>
        <v>0.1111111111111111</v>
      </c>
      <c r="E38" s="64">
        <f>D38*$E$21</f>
        <v>272.13444444444445</v>
      </c>
      <c r="G38"/>
      <c r="H38"/>
      <c r="I38"/>
      <c r="J38"/>
      <c r="K38"/>
      <c r="L38"/>
      <c r="M38"/>
      <c r="N38"/>
      <c r="O38"/>
    </row>
    <row r="39" spans="1:15" ht="15" thickBot="1">
      <c r="A39" s="65"/>
      <c r="B39" s="372" t="s">
        <v>1320</v>
      </c>
      <c r="C39" s="373"/>
      <c r="D39" s="66">
        <f>D37+D38</f>
        <v>0.19444444444444442</v>
      </c>
      <c r="E39" s="60">
        <f>D39*$E$21</f>
        <v>476.2352777777777</v>
      </c>
      <c r="G39"/>
      <c r="H39"/>
      <c r="I39"/>
      <c r="J39"/>
      <c r="K39"/>
      <c r="L39"/>
      <c r="M39"/>
      <c r="N39"/>
      <c r="O39"/>
    </row>
    <row r="40" spans="1:15" ht="15" thickBot="1">
      <c r="A40" s="43" t="s">
        <v>1303</v>
      </c>
      <c r="B40" s="390" t="s">
        <v>1271</v>
      </c>
      <c r="C40" s="391"/>
      <c r="D40" s="67">
        <f>D39*$D$34</f>
        <v>7.3499999999999996E-2</v>
      </c>
      <c r="E40" s="68">
        <f>D40*$E$21</f>
        <v>180.01693499999999</v>
      </c>
      <c r="G40"/>
      <c r="H40"/>
      <c r="I40"/>
      <c r="J40"/>
      <c r="K40"/>
      <c r="L40"/>
      <c r="M40"/>
      <c r="N40"/>
      <c r="O40"/>
    </row>
    <row r="41" spans="1:15" ht="15" thickBot="1">
      <c r="A41" s="372" t="s">
        <v>1321</v>
      </c>
      <c r="B41" s="389"/>
      <c r="C41" s="373"/>
      <c r="D41" s="69">
        <f>SUM(D39:D40)</f>
        <v>0.26794444444444443</v>
      </c>
      <c r="E41" s="70">
        <f>SUM(E39:E40)</f>
        <v>656.25221277777769</v>
      </c>
      <c r="G41"/>
      <c r="H41"/>
      <c r="I41"/>
      <c r="J41"/>
      <c r="K41"/>
      <c r="L41"/>
      <c r="M41"/>
      <c r="N41"/>
      <c r="O41"/>
    </row>
    <row r="42" spans="1:15" ht="15" thickBot="1">
      <c r="A42" s="71"/>
      <c r="B42" s="72"/>
      <c r="C42" s="72"/>
      <c r="D42" s="72"/>
      <c r="E42" s="73"/>
      <c r="G42"/>
      <c r="H42"/>
      <c r="I42"/>
      <c r="J42"/>
      <c r="K42"/>
      <c r="L42"/>
      <c r="M42"/>
      <c r="N42"/>
      <c r="O42"/>
    </row>
    <row r="43" spans="1:15" ht="15" thickBot="1">
      <c r="A43" s="74" t="s">
        <v>1322</v>
      </c>
      <c r="B43" s="372" t="s">
        <v>1265</v>
      </c>
      <c r="C43" s="373"/>
      <c r="D43" s="45" t="s">
        <v>1310</v>
      </c>
      <c r="E43" s="45" t="s">
        <v>1311</v>
      </c>
      <c r="G43"/>
      <c r="H43"/>
      <c r="I43"/>
      <c r="J43"/>
      <c r="K43"/>
      <c r="L43"/>
      <c r="M43"/>
      <c r="N43"/>
      <c r="O43"/>
    </row>
    <row r="44" spans="1:15" ht="14.25">
      <c r="A44" s="61" t="s">
        <v>1299</v>
      </c>
      <c r="B44" s="381" t="s">
        <v>1273</v>
      </c>
      <c r="C44" s="383"/>
      <c r="D44" s="130" cm="1">
        <f t="array" ref="D44">IF(OR($E$4="",$E$7=""),0,_xlfn.XLOOKUP($E$4&amp;$E$7,tabParametros[Comarca]&amp;tabParametros[Função],tabParametros[Vale - Transporte],"VERIFICAR"))</f>
        <v>11.25</v>
      </c>
      <c r="E44" s="131">
        <f>(2*$D$44*20*$D$13)-(IF($E$13*6%&lt;=(2*$D$44*20*$D$13),$E$13*6%,(2*$D$44*20*$D$13)))</f>
        <v>303.04740000000004</v>
      </c>
      <c r="G44"/>
      <c r="H44"/>
      <c r="I44"/>
      <c r="J44"/>
      <c r="K44"/>
      <c r="L44"/>
      <c r="M44"/>
      <c r="N44"/>
      <c r="O44"/>
    </row>
    <row r="45" spans="1:15" ht="14.25">
      <c r="A45" s="36" t="s">
        <v>1301</v>
      </c>
      <c r="B45" s="385" t="s">
        <v>1274</v>
      </c>
      <c r="C45" s="386"/>
      <c r="D45" s="76" cm="1">
        <f t="array" ref="D45">IF(OR($E$4="",$E$7=""),0,_xlfn.XLOOKUP($E$4&amp;$E$7,tabParametros[Comarca]&amp;tabParametros[Função],tabParametros[Vale - Alimentação],"VERIFICAR"))</f>
        <v>29.15</v>
      </c>
      <c r="E45" s="77">
        <f>IF((D45*20-1)*D13&lt;1,0,(D45*20-1)*D13)</f>
        <v>582</v>
      </c>
      <c r="G45"/>
      <c r="H45"/>
      <c r="I45"/>
      <c r="J45"/>
      <c r="K45"/>
      <c r="L45"/>
      <c r="M45"/>
      <c r="N45"/>
      <c r="O45"/>
    </row>
    <row r="46" spans="1:15" ht="14.25">
      <c r="A46" s="36" t="s">
        <v>1303</v>
      </c>
      <c r="B46" s="376" t="s">
        <v>892</v>
      </c>
      <c r="C46" s="377"/>
      <c r="D46" s="76" cm="1">
        <f t="array" ref="D46">IF(OR($E$4="",$E$7=""),0,_xlfn.XLOOKUP($E$4&amp;$E$7,tabParametros[Comarca]&amp;tabParametros[Função],tabParametros[Cesta Básica],"VERIFICAR"))</f>
        <v>0</v>
      </c>
      <c r="E46" s="77">
        <f>$D46*$D$13</f>
        <v>0</v>
      </c>
      <c r="G46"/>
      <c r="H46"/>
      <c r="I46"/>
      <c r="J46"/>
      <c r="K46"/>
      <c r="L46"/>
      <c r="M46"/>
      <c r="N46"/>
      <c r="O46"/>
    </row>
    <row r="47" spans="1:15" ht="14.25">
      <c r="A47" s="36" t="s">
        <v>1305</v>
      </c>
      <c r="B47" s="385" t="s">
        <v>893</v>
      </c>
      <c r="C47" s="386"/>
      <c r="D47" s="76" cm="1">
        <f t="array" ref="D47">IF(OR($E$4="",$E$7=""),0,_xlfn.XLOOKUP($E$4&amp;$E$7,tabParametros[Comarca]&amp;tabParametros[Função],tabParametros[PAF],"VERIFICAR"))</f>
        <v>95.9</v>
      </c>
      <c r="E47" s="77">
        <f>D47*$D$13</f>
        <v>95.9</v>
      </c>
      <c r="G47"/>
      <c r="H47"/>
      <c r="I47"/>
      <c r="J47"/>
      <c r="K47"/>
      <c r="L47"/>
      <c r="M47"/>
      <c r="N47"/>
      <c r="O47"/>
    </row>
    <row r="48" spans="1:15" ht="14.25">
      <c r="A48" s="36" t="s">
        <v>1307</v>
      </c>
      <c r="B48" s="376" t="s">
        <v>894</v>
      </c>
      <c r="C48" s="377"/>
      <c r="D48" s="78" cm="1">
        <f t="array" ref="D48">IF(OR($E$4="",$E$7=""),0,_xlfn.XLOOKUP($E$4&amp;$E$7,tabParametros[Comarca]&amp;tabParametros[Função],tabParametros[PQM],"VERIFICAR"))</f>
        <v>0</v>
      </c>
      <c r="E48" s="77">
        <f>D48*$D$13</f>
        <v>0</v>
      </c>
      <c r="G48"/>
      <c r="H48"/>
      <c r="I48"/>
      <c r="J48"/>
      <c r="K48"/>
      <c r="L48"/>
      <c r="M48"/>
      <c r="N48"/>
      <c r="O48"/>
    </row>
    <row r="49" spans="1:15" ht="14.25">
      <c r="A49" s="36" t="s">
        <v>1312</v>
      </c>
      <c r="B49" s="376" t="s">
        <v>1377</v>
      </c>
      <c r="C49" s="377"/>
      <c r="D49" s="78" cm="1">
        <f t="array" ref="D49">IF(OR($E$4="",$E$7=""),0,_xlfn.XLOOKUP($E$4&amp;$E$7,tabParametros[Comarca]&amp;tabParametros[Função],tabParametros[Abono Único e Especial],"VERIFICAR"))</f>
        <v>0</v>
      </c>
      <c r="E49" s="77">
        <f>D49*$D$13</f>
        <v>0</v>
      </c>
      <c r="G49"/>
      <c r="H49"/>
      <c r="I49"/>
      <c r="J49"/>
      <c r="K49"/>
      <c r="L49"/>
      <c r="M49"/>
      <c r="N49"/>
      <c r="O49"/>
    </row>
    <row r="50" spans="1:15" ht="14.25">
      <c r="A50" s="36" t="s">
        <v>1313</v>
      </c>
      <c r="B50" s="376" t="s">
        <v>1229</v>
      </c>
      <c r="C50" s="377"/>
      <c r="D50" s="78" t="e" cm="1">
        <f t="array" aca="1" ref="D50" ca="1">IF(OR($E$4="",$E$7=""),0,_xlfn.XLOOKUP($E$4&amp;$E$7,tabParametros[Comarca]&amp;tabParametros[Função],tabParametros[Seguro de Vida],"VERIFICAR"))</f>
        <v>#NAME?</v>
      </c>
      <c r="E50" s="79" t="e">
        <f ca="1">D50*$D$13</f>
        <v>#NAME?</v>
      </c>
      <c r="G50"/>
      <c r="H50"/>
      <c r="I50"/>
      <c r="J50"/>
      <c r="K50"/>
      <c r="L50"/>
      <c r="M50"/>
      <c r="N50"/>
      <c r="O50"/>
    </row>
    <row r="51" spans="1:15" ht="15" thickBot="1">
      <c r="A51" s="38" t="s">
        <v>1314</v>
      </c>
      <c r="B51" s="387" t="s">
        <v>1230</v>
      </c>
      <c r="C51" s="388"/>
      <c r="D51" s="80" cm="1">
        <f t="array" ref="D51">IF(OR($E$4="",$E$7=""),0,_xlfn.XLOOKUP($E$4&amp;$E$7,tabParametros[Comarca]&amp;tabParametros[Função],tabParametros[Despesas de Viagem],"VERIFICAR"))</f>
        <v>202.08</v>
      </c>
      <c r="E51" s="81">
        <f>D51*$D$13</f>
        <v>202.08</v>
      </c>
      <c r="G51"/>
      <c r="H51"/>
      <c r="I51"/>
      <c r="J51"/>
      <c r="K51"/>
      <c r="L51"/>
      <c r="M51"/>
      <c r="N51"/>
      <c r="O51"/>
    </row>
    <row r="52" spans="1:15" ht="15" thickBot="1">
      <c r="A52" s="392" t="s">
        <v>1323</v>
      </c>
      <c r="B52" s="393"/>
      <c r="C52" s="393"/>
      <c r="D52" s="394"/>
      <c r="E52" s="129" t="e">
        <f ca="1">SUM(E44:E51)</f>
        <v>#NAME?</v>
      </c>
      <c r="G52"/>
      <c r="H52"/>
      <c r="I52"/>
      <c r="J52"/>
      <c r="K52"/>
      <c r="L52"/>
      <c r="M52"/>
      <c r="N52"/>
      <c r="O52"/>
    </row>
    <row r="53" spans="1:15" ht="15" thickBot="1">
      <c r="A53" s="71"/>
      <c r="B53" s="72"/>
      <c r="C53" s="133"/>
      <c r="D53" s="72"/>
      <c r="E53" s="73"/>
      <c r="G53"/>
      <c r="H53"/>
      <c r="I53"/>
      <c r="J53"/>
      <c r="K53"/>
      <c r="L53"/>
      <c r="M53"/>
      <c r="N53"/>
      <c r="O53"/>
    </row>
    <row r="54" spans="1:15" ht="15" thickBot="1">
      <c r="A54" s="43" t="s">
        <v>1324</v>
      </c>
      <c r="B54" s="372" t="s">
        <v>1325</v>
      </c>
      <c r="C54" s="389"/>
      <c r="D54" s="373"/>
      <c r="E54" s="43" t="s">
        <v>1311</v>
      </c>
      <c r="G54"/>
      <c r="H54"/>
      <c r="I54"/>
      <c r="J54"/>
      <c r="K54"/>
      <c r="L54"/>
      <c r="M54"/>
      <c r="N54"/>
      <c r="O54"/>
    </row>
    <row r="55" spans="1:15" ht="14.25">
      <c r="A55" s="46" t="s">
        <v>1316</v>
      </c>
      <c r="B55" s="381" t="s">
        <v>1326</v>
      </c>
      <c r="C55" s="382"/>
      <c r="D55" s="383"/>
      <c r="E55" s="47">
        <f>E41</f>
        <v>656.25221277777769</v>
      </c>
      <c r="G55"/>
      <c r="H55"/>
      <c r="I55"/>
      <c r="J55"/>
      <c r="K55"/>
      <c r="L55"/>
      <c r="M55"/>
      <c r="N55"/>
      <c r="O55"/>
    </row>
    <row r="56" spans="1:15" ht="14.25">
      <c r="A56" s="36" t="s">
        <v>1318</v>
      </c>
      <c r="B56" s="385" t="s">
        <v>1327</v>
      </c>
      <c r="C56" s="395"/>
      <c r="D56" s="386"/>
      <c r="E56" s="48">
        <f>E34</f>
        <v>925.80137999999988</v>
      </c>
      <c r="G56"/>
      <c r="H56"/>
      <c r="I56"/>
      <c r="J56"/>
      <c r="K56"/>
      <c r="L56"/>
      <c r="M56"/>
      <c r="N56"/>
      <c r="O56"/>
    </row>
    <row r="57" spans="1:15" ht="15" thickBot="1">
      <c r="A57" s="38" t="s">
        <v>1322</v>
      </c>
      <c r="B57" s="376" t="s">
        <v>1328</v>
      </c>
      <c r="C57" s="384"/>
      <c r="D57" s="368"/>
      <c r="E57" s="50" t="e">
        <f ca="1">E52</f>
        <v>#NAME?</v>
      </c>
      <c r="G57"/>
      <c r="H57"/>
      <c r="I57"/>
      <c r="J57"/>
      <c r="K57"/>
      <c r="L57"/>
      <c r="M57"/>
      <c r="N57"/>
      <c r="O57"/>
    </row>
    <row r="58" spans="1:15" ht="15" thickBot="1">
      <c r="A58" s="372" t="s">
        <v>1329</v>
      </c>
      <c r="B58" s="389"/>
      <c r="C58" s="389"/>
      <c r="D58" s="373"/>
      <c r="E58" s="70" t="e">
        <f ca="1">SUM(E55:E57)</f>
        <v>#NAME?</v>
      </c>
      <c r="G58"/>
      <c r="H58"/>
      <c r="I58"/>
      <c r="J58"/>
      <c r="K58"/>
      <c r="L58"/>
      <c r="M58"/>
      <c r="N58"/>
      <c r="O58"/>
    </row>
    <row r="59" spans="1:15" ht="14.25">
      <c r="A59" s="84"/>
      <c r="B59" s="133"/>
      <c r="C59" s="133"/>
      <c r="D59" s="133"/>
      <c r="E59" s="85"/>
      <c r="G59"/>
      <c r="H59"/>
      <c r="I59"/>
      <c r="J59"/>
      <c r="K59"/>
      <c r="L59"/>
      <c r="M59"/>
      <c r="N59"/>
      <c r="O59"/>
    </row>
    <row r="60" spans="1:15" ht="14.25">
      <c r="A60" s="369" t="s">
        <v>1259</v>
      </c>
      <c r="B60" s="370"/>
      <c r="C60" s="370"/>
      <c r="D60" s="370"/>
      <c r="E60" s="371"/>
      <c r="G60"/>
      <c r="H60"/>
      <c r="I60"/>
      <c r="J60"/>
      <c r="K60"/>
      <c r="L60"/>
      <c r="M60"/>
      <c r="N60"/>
      <c r="O60"/>
    </row>
    <row r="61" spans="1:15" ht="15" thickBot="1">
      <c r="A61" s="41"/>
      <c r="B61" s="134"/>
      <c r="C61" s="134"/>
      <c r="D61" s="134"/>
      <c r="E61" s="42"/>
      <c r="G61"/>
      <c r="H61"/>
      <c r="I61"/>
      <c r="J61"/>
      <c r="K61"/>
      <c r="L61"/>
      <c r="M61"/>
      <c r="N61"/>
      <c r="O61"/>
    </row>
    <row r="62" spans="1:15" ht="15" thickBot="1">
      <c r="A62" s="43">
        <v>3</v>
      </c>
      <c r="B62" s="389" t="s">
        <v>1330</v>
      </c>
      <c r="C62" s="373"/>
      <c r="D62" s="43" t="s">
        <v>1310</v>
      </c>
      <c r="E62" s="45" t="s">
        <v>1311</v>
      </c>
      <c r="G62"/>
      <c r="H62"/>
      <c r="I62"/>
      <c r="J62"/>
      <c r="K62"/>
      <c r="L62"/>
      <c r="M62"/>
      <c r="N62"/>
      <c r="O62"/>
    </row>
    <row r="63" spans="1:15" ht="14.25">
      <c r="A63" s="86" t="s">
        <v>1299</v>
      </c>
      <c r="B63" s="396" t="s">
        <v>1231</v>
      </c>
      <c r="C63" s="397"/>
      <c r="D63" s="57" cm="1">
        <f t="array" ref="D63">IF(OR($E$4="",$E$7=""),0,_xlfn.XLOOKUP($E$4&amp;$E$7,tabParametros[Comarca]&amp;tabParametros[Função],tabParametros[Aviso Prévio Indenizado (API) e Reflexo do Aviso Prévio Indenizado],"VERIFICAR"))</f>
        <v>7.011766975308642E-3</v>
      </c>
      <c r="E63" s="47">
        <f t="shared" ref="E63:E69" si="1">$E$21*D63</f>
        <v>17.173289793595679</v>
      </c>
      <c r="G63"/>
      <c r="H63"/>
      <c r="I63"/>
      <c r="J63"/>
      <c r="K63"/>
      <c r="L63"/>
      <c r="M63"/>
      <c r="N63"/>
      <c r="O63"/>
    </row>
    <row r="64" spans="1:15" ht="14.25">
      <c r="A64" s="87" t="s">
        <v>1301</v>
      </c>
      <c r="B64" s="396" t="s">
        <v>1232</v>
      </c>
      <c r="C64" s="397"/>
      <c r="D64" s="57" cm="1">
        <f t="array" ref="D64">IF(OR($E$4="",$E$7=""),0,_xlfn.XLOOKUP($E$4&amp;$E$7,tabParametros[Comarca]&amp;tabParametros[Função],tabParametros[Incidência do FGTS sobre API e Reflexo do API],"VERIFICAR"))</f>
        <v>5.609413580246914E-4</v>
      </c>
      <c r="E64" s="47">
        <f t="shared" si="1"/>
        <v>1.3738631834876545</v>
      </c>
      <c r="G64"/>
      <c r="H64"/>
      <c r="I64"/>
      <c r="J64"/>
      <c r="K64"/>
      <c r="L64"/>
      <c r="M64"/>
      <c r="N64"/>
      <c r="O64"/>
    </row>
    <row r="65" spans="1:15" ht="14.25">
      <c r="A65" s="87" t="s">
        <v>1303</v>
      </c>
      <c r="B65" s="396" t="s">
        <v>1233</v>
      </c>
      <c r="C65" s="397"/>
      <c r="D65" s="57" cm="1">
        <f t="array" ref="D65">IF(OR($E$4="",$E$7=""),0,_xlfn.XLOOKUP($E$4&amp;$E$7,tabParametros[Comarca]&amp;tabParametros[Função],tabParametros[Multa Rescisória do FGTS sobre o Aviso Prévio Indenizado],"VERIFICAR"))</f>
        <v>2.2437654320987658E-4</v>
      </c>
      <c r="E65" s="47">
        <f t="shared" si="1"/>
        <v>0.54954527339506187</v>
      </c>
      <c r="G65"/>
      <c r="H65"/>
      <c r="I65"/>
      <c r="J65"/>
      <c r="K65"/>
      <c r="L65"/>
      <c r="M65"/>
      <c r="N65"/>
      <c r="O65"/>
    </row>
    <row r="66" spans="1:15" ht="14.25">
      <c r="A66" s="87" t="s">
        <v>1305</v>
      </c>
      <c r="B66" s="396" t="s">
        <v>1234</v>
      </c>
      <c r="C66" s="397"/>
      <c r="D66" s="57" cm="1">
        <f t="array" ref="D66">IF(OR($E$4="",$E$7=""),0,_xlfn.XLOOKUP($E$4&amp;$E$7,tabParametros[Comarca]&amp;tabParametros[Função],tabParametros[Aviso Prévio Trabalhado - APT],"VERIFICAR"))</f>
        <v>3.5000000000000005E-3</v>
      </c>
      <c r="E66" s="47">
        <f t="shared" si="1"/>
        <v>8.5722350000000009</v>
      </c>
      <c r="G66"/>
      <c r="H66"/>
      <c r="I66"/>
      <c r="J66"/>
      <c r="K66"/>
      <c r="L66"/>
      <c r="M66"/>
      <c r="N66"/>
      <c r="O66"/>
    </row>
    <row r="67" spans="1:15" ht="14.25">
      <c r="A67" s="87" t="s">
        <v>1307</v>
      </c>
      <c r="B67" s="396" t="s">
        <v>1235</v>
      </c>
      <c r="C67" s="397"/>
      <c r="D67" s="57" t="e" cm="1">
        <f t="array" aca="1" ref="D67" ca="1">IF(OR($E$4="",$E$7=""),0,_xlfn.XLOOKUP($E$4&amp;$E$7,tabParametros[Comarca]&amp;tabParametros[Função],tabParametros[Incidência dos encargos do submódulo 2.1 sobre Aviso Prévio Trabalhado],"VERIFICAR"))</f>
        <v>#NAME?</v>
      </c>
      <c r="E67" s="47" t="e">
        <f t="shared" ca="1" si="1"/>
        <v>#NAME?</v>
      </c>
      <c r="G67"/>
      <c r="H67"/>
      <c r="I67"/>
      <c r="J67"/>
      <c r="K67"/>
      <c r="L67"/>
      <c r="M67"/>
      <c r="N67"/>
      <c r="O67"/>
    </row>
    <row r="68" spans="1:15" ht="14.25">
      <c r="A68" s="87" t="s">
        <v>1312</v>
      </c>
      <c r="B68" s="396" t="s">
        <v>1236</v>
      </c>
      <c r="C68" s="397"/>
      <c r="D68" s="57" cm="1">
        <f t="array" ref="D68">IF(OR($E$4="",$E$7=""),0,_xlfn.XLOOKUP($E$4&amp;$E$7,tabParametros[Comarca]&amp;tabParametros[Função],tabParametros[Multa Rescisória do FGTS],"VERIFICAR"))</f>
        <v>3.0577777777777773E-2</v>
      </c>
      <c r="E68" s="47">
        <f t="shared" si="1"/>
        <v>74.891399111111099</v>
      </c>
      <c r="G68"/>
      <c r="H68"/>
      <c r="I68"/>
      <c r="J68"/>
      <c r="K68"/>
      <c r="L68"/>
      <c r="M68"/>
      <c r="N68"/>
      <c r="O68"/>
    </row>
    <row r="69" spans="1:15" ht="15" thickBot="1">
      <c r="A69" s="88" t="s">
        <v>1313</v>
      </c>
      <c r="B69" s="385" t="s">
        <v>1237</v>
      </c>
      <c r="C69" s="386"/>
      <c r="D69" s="89" cm="1">
        <f t="array" ref="D69">IF(OR($E$4="",$E$7=""),0,_xlfn.XLOOKUP($E$4&amp;$E$7,tabParametros[Comarca]&amp;tabParametros[Função],tabParametros[Indenização Adicional (Art. 9º da Lei nº 7.238/84)],"VERIFICAR"))</f>
        <v>8.3333333333333339E-4</v>
      </c>
      <c r="E69" s="90">
        <f t="shared" si="1"/>
        <v>2.0410083333333335</v>
      </c>
      <c r="G69"/>
      <c r="H69"/>
      <c r="I69"/>
      <c r="J69"/>
      <c r="K69"/>
      <c r="L69"/>
      <c r="M69"/>
      <c r="N69"/>
      <c r="O69"/>
    </row>
    <row r="70" spans="1:15" ht="15" thickBot="1">
      <c r="A70" s="372" t="s">
        <v>1331</v>
      </c>
      <c r="B70" s="389"/>
      <c r="C70" s="373"/>
      <c r="D70" s="91" t="e">
        <f ca="1">SUM(D63:D69)</f>
        <v>#NAME?</v>
      </c>
      <c r="E70" s="52" t="e">
        <f ca="1">SUM(E63:E69)</f>
        <v>#NAME?</v>
      </c>
      <c r="G70"/>
      <c r="H70"/>
      <c r="I70"/>
      <c r="J70"/>
      <c r="K70"/>
      <c r="L70"/>
      <c r="M70"/>
      <c r="N70"/>
      <c r="O70"/>
    </row>
    <row r="71" spans="1:15" ht="14.25">
      <c r="A71" s="92"/>
      <c r="B71" s="135"/>
      <c r="C71" s="135"/>
      <c r="D71" s="135"/>
      <c r="E71" s="93"/>
      <c r="G71"/>
      <c r="H71"/>
      <c r="I71"/>
      <c r="J71"/>
      <c r="K71"/>
      <c r="L71"/>
      <c r="M71"/>
      <c r="N71"/>
      <c r="O71"/>
    </row>
    <row r="72" spans="1:15" ht="14.25">
      <c r="A72" s="369" t="s">
        <v>1260</v>
      </c>
      <c r="B72" s="370"/>
      <c r="C72" s="370"/>
      <c r="D72" s="370"/>
      <c r="E72" s="371"/>
      <c r="G72"/>
      <c r="H72"/>
      <c r="I72"/>
      <c r="J72"/>
      <c r="K72"/>
      <c r="L72"/>
      <c r="M72"/>
      <c r="N72"/>
      <c r="O72"/>
    </row>
    <row r="73" spans="1:15" ht="13.5" thickBot="1">
      <c r="A73" s="41"/>
      <c r="B73" s="134"/>
      <c r="C73" s="134"/>
      <c r="D73" s="134"/>
      <c r="E73" s="42"/>
    </row>
    <row r="74" spans="1:15" ht="13.5" thickBot="1">
      <c r="A74" s="43" t="s">
        <v>1332</v>
      </c>
      <c r="B74" s="372" t="s">
        <v>1266</v>
      </c>
      <c r="C74" s="373"/>
      <c r="D74" s="45" t="s">
        <v>1310</v>
      </c>
      <c r="E74" s="45" t="s">
        <v>1311</v>
      </c>
    </row>
    <row r="75" spans="1:15" ht="14.25">
      <c r="A75" s="36" t="s">
        <v>1299</v>
      </c>
      <c r="B75" s="381" t="s">
        <v>1238</v>
      </c>
      <c r="C75" s="383"/>
      <c r="D75" s="94" cm="1">
        <f t="array" ref="D75">IF(OR($E$4="",$E$7=""),0,_xlfn.XLOOKUP($E$4&amp;$E$7,tabParametros[Comarca]&amp;tabParametros[Função],tabParametros[Ausência por Doença],"VERIFICAR"))</f>
        <v>8.4444444444444437E-3</v>
      </c>
      <c r="E75" s="48">
        <f t="shared" ref="E75:E80" si="2">$E$21*D75</f>
        <v>20.682217777777776</v>
      </c>
    </row>
    <row r="76" spans="1:15" ht="14.25">
      <c r="A76" s="36" t="s">
        <v>1301</v>
      </c>
      <c r="B76" s="376" t="s">
        <v>1239</v>
      </c>
      <c r="C76" s="377"/>
      <c r="D76" s="94" cm="1">
        <f t="array" ref="D76">IF(OR($E$4="",$E$7=""),0,_xlfn.XLOOKUP($E$4&amp;$E$7,tabParametros[Comarca]&amp;tabParametros[Função],tabParametros[Ausências Legais],"VERIFICAR"))</f>
        <v>2.0277777777777777E-3</v>
      </c>
      <c r="E76" s="48">
        <f t="shared" si="2"/>
        <v>4.9664536111111106</v>
      </c>
    </row>
    <row r="77" spans="1:15" ht="14.25">
      <c r="A77" s="36" t="s">
        <v>1303</v>
      </c>
      <c r="B77" s="376" t="s">
        <v>1240</v>
      </c>
      <c r="C77" s="377"/>
      <c r="D77" s="94" cm="1">
        <f t="array" ref="D77">IF(OR($E$4="",$E$7=""),0,_xlfn.XLOOKUP($E$4&amp;$E$7,tabParametros[Comarca]&amp;tabParametros[Função],tabParametros[Licença Paternidade],"VERIFICAR"))</f>
        <v>1.7083333333333333E-4</v>
      </c>
      <c r="E77" s="48">
        <f t="shared" si="2"/>
        <v>0.41840670833333332</v>
      </c>
    </row>
    <row r="78" spans="1:15" ht="14.25">
      <c r="A78" s="36" t="s">
        <v>1305</v>
      </c>
      <c r="B78" s="376" t="s">
        <v>1241</v>
      </c>
      <c r="C78" s="377"/>
      <c r="D78" s="94" cm="1">
        <f t="array" ref="D78">IF(OR($E$4="",$E$7=""),0,_xlfn.XLOOKUP($E$4&amp;$E$7,tabParametros[Comarca]&amp;tabParametros[Função],tabParametros[Ausência por Acidente de Trabalho],"VERIFICAR"))</f>
        <v>2.0833333333333335E-4</v>
      </c>
      <c r="E78" s="48">
        <f t="shared" si="2"/>
        <v>0.51025208333333338</v>
      </c>
    </row>
    <row r="79" spans="1:15" ht="14.25">
      <c r="A79" s="34" t="s">
        <v>1307</v>
      </c>
      <c r="B79" s="376" t="s">
        <v>1242</v>
      </c>
      <c r="C79" s="377"/>
      <c r="D79" s="63" cm="1">
        <f t="array" ref="D79">IF(OR($E$4="",$E$7=""),0,_xlfn.XLOOKUP($E$4&amp;$E$7,tabParametros[Comarca]&amp;tabParametros[Função],tabParametros[Férias, Adicional de Férias e 13º  com empregada em gozo de Licença Maternidade],"VERIFICAR"))</f>
        <v>1.2962962962962963E-3</v>
      </c>
      <c r="E79" s="48">
        <f t="shared" si="2"/>
        <v>3.1749018518518519</v>
      </c>
    </row>
    <row r="80" spans="1:15" ht="13.5" customHeight="1" thickBot="1">
      <c r="A80" s="38" t="s">
        <v>1312</v>
      </c>
      <c r="B80" s="387" t="s">
        <v>1243</v>
      </c>
      <c r="C80" s="388"/>
      <c r="D80" s="89" t="e" cm="1">
        <f t="array" aca="1" ref="D80" ca="1">IF(OR($E$4="",$E$7=""),0,_xlfn.XLOOKUP($E$4&amp;$E$7,tabParametros[Comarca]&amp;tabParametros[Função],tabParametros[Incidência do Submódulo 2.1 sobre Ausências Legais],"VERIFICAR"))</f>
        <v>#NAME?</v>
      </c>
      <c r="E80" s="64" t="e">
        <f t="shared" ca="1" si="2"/>
        <v>#NAME?</v>
      </c>
    </row>
    <row r="81" spans="1:7" ht="13.5" thickBot="1">
      <c r="A81" s="372" t="s">
        <v>1333</v>
      </c>
      <c r="B81" s="389"/>
      <c r="C81" s="373"/>
      <c r="D81" s="69" t="e">
        <f ca="1">SUM(D75:D80)</f>
        <v>#NAME?</v>
      </c>
      <c r="E81" s="52" t="e">
        <f ca="1">SUM(E75:E80)</f>
        <v>#NAME?</v>
      </c>
    </row>
    <row r="82" spans="1:7" ht="13.5" thickBot="1">
      <c r="A82" s="53"/>
      <c r="B82" s="132"/>
      <c r="C82" s="132"/>
      <c r="D82" s="136"/>
      <c r="E82" s="95"/>
    </row>
    <row r="83" spans="1:7" ht="13.5" thickBot="1">
      <c r="A83" s="43" t="s">
        <v>1334</v>
      </c>
      <c r="B83" s="372" t="s">
        <v>1267</v>
      </c>
      <c r="C83" s="389"/>
      <c r="D83" s="67" t="s">
        <v>1310</v>
      </c>
      <c r="E83" s="43" t="s">
        <v>1311</v>
      </c>
    </row>
    <row r="84" spans="1:7" ht="15" thickBot="1">
      <c r="A84" s="46" t="s">
        <v>1299</v>
      </c>
      <c r="B84" s="390" t="s">
        <v>1244</v>
      </c>
      <c r="C84" s="391"/>
      <c r="D84" s="89">
        <f>IF($E$7="Porteiro - 220 h",1/220*20*1.5,IF($E$7="Porteiro - 12 x 36 - Diurno",1/210*15.5*1.5,IF($E$7="Porteiro - 12 x 36 - Noturno",1/210*15.5*1.5,0)))</f>
        <v>0</v>
      </c>
      <c r="E84" s="64" t="e" cm="1">
        <f t="array" aca="1" ref="E84" ca="1">IF(OR($E$4="",$E$7=""),0,_xlfn.XLOOKUP($E$4&amp;$E$7,tabParametros[Comarca]&amp;tabParametros[Função],tabParametros[Intervalo para Repouso ou Alimentação],"VERIFICAR"))</f>
        <v>#NAME?</v>
      </c>
      <c r="G84" s="247"/>
    </row>
    <row r="85" spans="1:7" ht="15" thickBot="1">
      <c r="A85" s="372" t="s">
        <v>1335</v>
      </c>
      <c r="B85" s="389"/>
      <c r="C85" s="373"/>
      <c r="D85" s="69">
        <f>SUM(D84)</f>
        <v>0</v>
      </c>
      <c r="E85" s="96" t="e">
        <f ca="1">SUM(E84)</f>
        <v>#NAME?</v>
      </c>
    </row>
    <row r="86" spans="1:7" ht="13.5" thickBot="1">
      <c r="A86" s="53"/>
      <c r="B86" s="132"/>
      <c r="C86" s="132"/>
      <c r="D86" s="136"/>
      <c r="E86" s="95"/>
    </row>
    <row r="87" spans="1:7" ht="13.5" thickBot="1">
      <c r="A87" s="43" t="s">
        <v>1336</v>
      </c>
      <c r="B87" s="372" t="s">
        <v>1268</v>
      </c>
      <c r="C87" s="389"/>
      <c r="D87" s="67" t="s">
        <v>1310</v>
      </c>
      <c r="E87" s="43" t="s">
        <v>1311</v>
      </c>
    </row>
    <row r="88" spans="1:7" ht="15" thickBot="1">
      <c r="A88" s="46" t="s">
        <v>1299</v>
      </c>
      <c r="B88" s="390" t="s">
        <v>1245</v>
      </c>
      <c r="C88" s="391"/>
      <c r="D88" s="89" t="e" cm="1">
        <f t="array" aca="1" ref="D88" ca="1">IF(OR($E$4="",$E$7=""),0,_xlfn.XLOOKUP($E$4&amp;$E$7,tabParametros[Comarca]&amp;tabParametros[Função],tabParametros[Suspensão Temporária do Contrato de Trabalho],"VERIFICAR"))</f>
        <v>#NAME?</v>
      </c>
      <c r="E88" s="64">
        <v>0</v>
      </c>
    </row>
    <row r="89" spans="1:7" ht="15" thickBot="1">
      <c r="A89" s="372" t="s">
        <v>1337</v>
      </c>
      <c r="B89" s="389"/>
      <c r="C89" s="373"/>
      <c r="D89" s="69" t="e">
        <f ca="1">SUM(D88)</f>
        <v>#NAME?</v>
      </c>
      <c r="E89" s="96">
        <f>SUM(E88)</f>
        <v>0</v>
      </c>
    </row>
    <row r="90" spans="1:7" ht="13.5" thickBot="1">
      <c r="A90" s="84"/>
      <c r="B90" s="133"/>
      <c r="C90" s="133"/>
      <c r="D90" s="133"/>
      <c r="E90" s="85"/>
    </row>
    <row r="91" spans="1:7" ht="13.5" thickBot="1">
      <c r="A91" s="43" t="s">
        <v>1338</v>
      </c>
      <c r="B91" s="372" t="s">
        <v>1339</v>
      </c>
      <c r="C91" s="389"/>
      <c r="D91" s="67" t="s">
        <v>1310</v>
      </c>
      <c r="E91" s="43" t="s">
        <v>1311</v>
      </c>
    </row>
    <row r="92" spans="1:7" ht="14.25">
      <c r="A92" s="46" t="s">
        <v>1332</v>
      </c>
      <c r="B92" s="374" t="s">
        <v>1239</v>
      </c>
      <c r="C92" s="375"/>
      <c r="D92" s="55" t="e">
        <f ca="1">D81</f>
        <v>#NAME?</v>
      </c>
      <c r="E92" s="64" t="e">
        <f ca="1">E81</f>
        <v>#NAME?</v>
      </c>
    </row>
    <row r="93" spans="1:7" ht="14.25">
      <c r="A93" s="36" t="s">
        <v>1334</v>
      </c>
      <c r="B93" s="376" t="s">
        <v>1340</v>
      </c>
      <c r="C93" s="377"/>
      <c r="D93" s="97">
        <f>D85</f>
        <v>0</v>
      </c>
      <c r="E93" s="98" t="e">
        <f ca="1">E85</f>
        <v>#NAME?</v>
      </c>
    </row>
    <row r="94" spans="1:7" ht="15" thickBot="1">
      <c r="A94" s="99" t="s">
        <v>1336</v>
      </c>
      <c r="B94" s="415" t="s">
        <v>1341</v>
      </c>
      <c r="C94" s="416"/>
      <c r="D94" s="91">
        <f>D86</f>
        <v>0</v>
      </c>
      <c r="E94" s="100">
        <f>E88</f>
        <v>0</v>
      </c>
    </row>
    <row r="95" spans="1:7" ht="15" thickBot="1">
      <c r="A95" s="372" t="s">
        <v>1342</v>
      </c>
      <c r="B95" s="389"/>
      <c r="C95" s="373"/>
      <c r="D95" s="69" t="e">
        <f ca="1">SUM(D92:D94)</f>
        <v>#NAME?</v>
      </c>
      <c r="E95" s="96" t="e">
        <f ca="1">SUM(E92:E94)</f>
        <v>#NAME?</v>
      </c>
    </row>
    <row r="96" spans="1:7">
      <c r="A96" s="84"/>
      <c r="B96" s="133"/>
      <c r="C96" s="133"/>
      <c r="D96" s="133"/>
      <c r="E96" s="85"/>
    </row>
    <row r="97" spans="1:5">
      <c r="A97" s="369" t="s">
        <v>1261</v>
      </c>
      <c r="B97" s="370"/>
      <c r="C97" s="370"/>
      <c r="D97" s="370"/>
      <c r="E97" s="371"/>
    </row>
    <row r="98" spans="1:5" ht="13.5" thickBot="1">
      <c r="A98" s="41"/>
      <c r="B98" s="134"/>
      <c r="C98" s="134"/>
      <c r="D98" s="134"/>
      <c r="E98" s="101"/>
    </row>
    <row r="99" spans="1:5" ht="13.5" thickBot="1">
      <c r="A99" s="43">
        <v>5</v>
      </c>
      <c r="B99" s="372" t="s">
        <v>1343</v>
      </c>
      <c r="C99" s="373"/>
      <c r="D99" s="43" t="s">
        <v>1310</v>
      </c>
      <c r="E99" s="45" t="s">
        <v>1311</v>
      </c>
    </row>
    <row r="100" spans="1:5" ht="14.25">
      <c r="A100" s="61" t="s">
        <v>1299</v>
      </c>
      <c r="B100" s="382" t="s">
        <v>1246</v>
      </c>
      <c r="C100" s="383"/>
      <c r="D100" s="75" cm="1">
        <f t="array" ref="D100">IF(OR($E$4="",$E$7=""),0,_xlfn.XLOOKUP($E$4&amp;$E$7,tabParametros[Comarca]&amp;tabParametros[Função],tabParametros[Uniformes e EPIs],"VERIFICAR"))</f>
        <v>121.1225</v>
      </c>
      <c r="E100" s="47">
        <f>D100*$D$13</f>
        <v>121.1225</v>
      </c>
    </row>
    <row r="101" spans="1:5" ht="14.25">
      <c r="A101" s="36" t="s">
        <v>1301</v>
      </c>
      <c r="B101" s="395" t="s">
        <v>1247</v>
      </c>
      <c r="C101" s="386"/>
      <c r="D101" s="102" cm="1">
        <f t="array" ref="D101">IF(OR($E$4="",$E$7=""),0,_xlfn.XLOOKUP($E$4&amp;$E$7,tabParametros[Comarca]&amp;tabParametros[Função],tabParametros[Materiais de Consumo],"VERIFICAR"))</f>
        <v>0</v>
      </c>
      <c r="E101" s="48">
        <v>0</v>
      </c>
    </row>
    <row r="102" spans="1:5" ht="14.25">
      <c r="A102" s="103" t="s">
        <v>1303</v>
      </c>
      <c r="B102" s="384" t="s">
        <v>1248</v>
      </c>
      <c r="C102" s="377"/>
      <c r="D102" s="102" cm="1">
        <f t="array" ref="D102">IF(OR($E$4="",$E$7=""),0,_xlfn.XLOOKUP($E$4&amp;$E$7,tabParametros[Comarca]&amp;tabParametros[Função],tabParametros[Máquinas e Equipamentos (depreciação)],"VERIFICAR"))</f>
        <v>0</v>
      </c>
      <c r="E102" s="48">
        <v>0</v>
      </c>
    </row>
    <row r="103" spans="1:5" ht="14.25">
      <c r="A103" s="103" t="s">
        <v>1305</v>
      </c>
      <c r="B103" s="384" t="s">
        <v>1249</v>
      </c>
      <c r="C103" s="377"/>
      <c r="D103" s="102" cm="1">
        <f t="array" ref="D103">IF(OR($E$4="",$E$7=""),0,_xlfn.XLOOKUP($E$4&amp;$E$7,tabParametros[Comarca]&amp;tabParametros[Função],tabParametros[Produtos de Limpeza e Materiais de Higiene Pessoal],"VERIFICAR"))</f>
        <v>0</v>
      </c>
      <c r="E103" s="98">
        <f>D103*$D$13</f>
        <v>0</v>
      </c>
    </row>
    <row r="104" spans="1:5" ht="15" thickBot="1">
      <c r="A104" s="104" t="s">
        <v>1307</v>
      </c>
      <c r="B104" s="407" t="s">
        <v>1250</v>
      </c>
      <c r="C104" s="397"/>
      <c r="D104" s="75" cm="1">
        <f t="array" ref="D104">IF(OR($E$4="",$E$7=""),0,_xlfn.XLOOKUP($E$4&amp;$E$7,tabParametros[Comarca]&amp;tabParametros[Função],tabParametros[Outros (especificar)],"VERIFICAR"))</f>
        <v>0</v>
      </c>
      <c r="E104" s="105">
        <f>D104*$D$13</f>
        <v>0</v>
      </c>
    </row>
    <row r="105" spans="1:5" ht="13.5" customHeight="1" thickBot="1">
      <c r="A105" s="413" t="s">
        <v>1344</v>
      </c>
      <c r="B105" s="414"/>
      <c r="C105" s="414"/>
      <c r="D105" s="106"/>
      <c r="E105" s="70">
        <f>SUM(E100:E104)</f>
        <v>121.1225</v>
      </c>
    </row>
    <row r="106" spans="1:5">
      <c r="A106" s="84"/>
      <c r="B106" s="133"/>
      <c r="C106" s="133"/>
      <c r="D106" s="133"/>
      <c r="E106" s="85"/>
    </row>
    <row r="107" spans="1:5">
      <c r="A107" s="369" t="s">
        <v>1262</v>
      </c>
      <c r="B107" s="370"/>
      <c r="C107" s="370"/>
      <c r="D107" s="370"/>
      <c r="E107" s="371"/>
    </row>
    <row r="108" spans="1:5" ht="13.5" thickBot="1">
      <c r="A108" s="41"/>
      <c r="B108" s="134"/>
      <c r="C108" s="134"/>
      <c r="D108" s="134"/>
      <c r="E108" s="42"/>
    </row>
    <row r="109" spans="1:5" ht="13.5" thickBot="1">
      <c r="A109" s="43">
        <v>6</v>
      </c>
      <c r="B109" s="43" t="s">
        <v>1345</v>
      </c>
      <c r="C109" s="389" t="s">
        <v>1310</v>
      </c>
      <c r="D109" s="373" t="s">
        <v>1310</v>
      </c>
      <c r="E109" s="45" t="s">
        <v>1311</v>
      </c>
    </row>
    <row r="110" spans="1:5">
      <c r="A110" s="61" t="s">
        <v>1299</v>
      </c>
      <c r="B110" s="113" t="s">
        <v>137</v>
      </c>
      <c r="C110" s="128" t="e" cm="1">
        <f t="array" aca="1" ref="C110" ca="1">IF(OR($E$4="",$E$7=""),0,_xlfn.XLOOKUP($E$4&amp;$E$7,tabParametros[Comarca]&amp;tabParametros[Função],tabParametros[Custos Indiretos],"VERIFICAR"))</f>
        <v>#NAME?</v>
      </c>
      <c r="D110" s="107"/>
      <c r="E110" s="108" t="e">
        <f ca="1">$C110*$D$13</f>
        <v>#NAME?</v>
      </c>
    </row>
    <row r="111" spans="1:5">
      <c r="A111" s="36" t="s">
        <v>1301</v>
      </c>
      <c r="B111" s="113" t="s">
        <v>144</v>
      </c>
      <c r="C111" s="128" t="e" cm="1">
        <f t="array" aca="1" ref="C111" ca="1">IF(OR($E$4="",$E$7=""),0,_xlfn.XLOOKUP($E$4&amp;$E$7,tabParametros[Comarca]&amp;tabParametros[Função],tabParametros[Lucro],"VERIFICAR"))</f>
        <v>#NAME?</v>
      </c>
      <c r="D111" s="109"/>
      <c r="E111" s="110" t="e">
        <f ca="1">$C111*$D$13</f>
        <v>#NAME?</v>
      </c>
    </row>
    <row r="112" spans="1:5" ht="14.25">
      <c r="A112" s="36" t="s">
        <v>1303</v>
      </c>
      <c r="B112" s="36" t="s">
        <v>1346</v>
      </c>
      <c r="C112" s="111" t="s">
        <v>1347</v>
      </c>
      <c r="D112" s="112" t="s">
        <v>1347</v>
      </c>
      <c r="E112" s="102"/>
    </row>
    <row r="113" spans="1:5">
      <c r="A113" s="36" t="s">
        <v>1348</v>
      </c>
      <c r="B113" s="113" t="s">
        <v>185</v>
      </c>
      <c r="C113" s="244" cm="1">
        <f t="array" ref="C113">IF(OR($E$4="",$E$7=""),0,_xlfn.XLOOKUP($E$4&amp;$E$7,tabParametros[Comarca]&amp;tabParametros[Função],tabParametros[COFINS],"VERIFICAR"))</f>
        <v>7.5999999999999998E-2</v>
      </c>
      <c r="D113" s="245" t="e" cm="1">
        <f t="array" aca="1" ref="D113" ca="1">IF(OR($E$4="",$E$7=""),0,_xlfn.XLOOKUP($E$4&amp;$E$7,tabCustoUnit[Comarca]&amp;tabCustoUnit[Função],tabCustoUnit[COFINS],"VERIFICAR"))</f>
        <v>#NAME?</v>
      </c>
      <c r="E113" s="110">
        <v>0</v>
      </c>
    </row>
    <row r="114" spans="1:5">
      <c r="A114" s="36" t="s">
        <v>1349</v>
      </c>
      <c r="B114" s="113" t="s">
        <v>191</v>
      </c>
      <c r="C114" s="244" cm="1">
        <f t="array" ref="C114">IF(OR($E$4="",$E$7=""),0,_xlfn.XLOOKUP($E$4&amp;$E$7,tabParametros[Comarca]&amp;tabParametros[Função],tabParametros[PIS],"VERIFICAR"))</f>
        <v>1.6500000000000001E-2</v>
      </c>
      <c r="D114" s="245" t="e" cm="1">
        <f t="array" aca="1" ref="D114" ca="1">IF(OR($E$4="",$E$7=""),0,_xlfn.XLOOKUP($E$4&amp;$E$7,tabCustoUnit[Comarca]&amp;tabCustoUnit[Função],tabCustoUnit[PIS],"VERIFICAR"))</f>
        <v>#NAME?</v>
      </c>
      <c r="E114" s="110">
        <v>0</v>
      </c>
    </row>
    <row r="115" spans="1:5">
      <c r="A115" s="36" t="s">
        <v>1350</v>
      </c>
      <c r="B115" s="113" t="s">
        <v>101</v>
      </c>
      <c r="C115" s="244" cm="1">
        <f t="array" ref="C115">IF(OR($E$4="",$E$7=""),0,_xlfn.XLOOKUP($E$4&amp;$E$7,tabParametros[Comarca]&amp;tabParametros[Função],tabParametros[ISS],"VERIFICAR"))</f>
        <v>0.05</v>
      </c>
      <c r="D115" s="245" t="e" cm="1">
        <f t="array" aca="1" ref="D115" ca="1">IF(OR($E$4="",$E$7=""),0,_xlfn.XLOOKUP($E$4&amp;$E$7,tabCustoUnit[Comarca]&amp;tabCustoUnit[Função],tabCustoUnit[ISS (Conversão Alíquota s/ fatura)],"VERIFICAR"))</f>
        <v>#NAME?</v>
      </c>
      <c r="E115" s="115">
        <v>0</v>
      </c>
    </row>
    <row r="116" spans="1:5" ht="13.5" thickBot="1">
      <c r="A116" s="408" t="s">
        <v>1351</v>
      </c>
      <c r="B116" s="409"/>
      <c r="C116" s="246">
        <f>SUM(C113:C115)</f>
        <v>0.14250000000000002</v>
      </c>
      <c r="D116" s="246" t="e">
        <f ca="1">SUM(D113:D115)</f>
        <v>#NAME?</v>
      </c>
      <c r="E116" s="116" t="e">
        <f ca="1">((E110+E111+E105+E95+E70+E58+E21)*D116)</f>
        <v>#NAME?</v>
      </c>
    </row>
    <row r="117" spans="1:5" ht="13.5" thickBot="1">
      <c r="A117" s="372" t="s">
        <v>1352</v>
      </c>
      <c r="B117" s="389"/>
      <c r="C117" s="389"/>
      <c r="D117" s="373"/>
      <c r="E117" s="52" t="e">
        <f ca="1">SUM(E110:E116)</f>
        <v>#NAME?</v>
      </c>
    </row>
    <row r="118" spans="1:5">
      <c r="A118" s="117"/>
      <c r="B118" s="118"/>
      <c r="C118" s="118"/>
      <c r="D118" s="118"/>
      <c r="E118" s="119"/>
    </row>
    <row r="119" spans="1:5">
      <c r="A119" s="410" t="s">
        <v>1353</v>
      </c>
      <c r="B119" s="411"/>
      <c r="C119" s="411"/>
      <c r="D119" s="411"/>
      <c r="E119" s="412"/>
    </row>
    <row r="120" spans="1:5" ht="13.5" thickBot="1">
      <c r="A120" s="53"/>
      <c r="B120" s="82"/>
      <c r="C120" s="82"/>
      <c r="D120" s="82"/>
      <c r="E120" s="83"/>
    </row>
    <row r="121" spans="1:5" ht="13.5" thickBot="1">
      <c r="A121" s="372" t="s">
        <v>1354</v>
      </c>
      <c r="B121" s="389"/>
      <c r="C121" s="389"/>
      <c r="D121" s="373"/>
      <c r="E121" s="43" t="s">
        <v>1355</v>
      </c>
    </row>
    <row r="122" spans="1:5">
      <c r="A122" s="61" t="s">
        <v>1299</v>
      </c>
      <c r="B122" s="381" t="str">
        <f>A10</f>
        <v>MÓDULO 1 - COMPOSIÇÃO DA REMUNERAÇÃO</v>
      </c>
      <c r="C122" s="382"/>
      <c r="D122" s="383"/>
      <c r="E122" s="108">
        <f>E21</f>
        <v>2449.21</v>
      </c>
    </row>
    <row r="123" spans="1:5">
      <c r="A123" s="36" t="s">
        <v>1301</v>
      </c>
      <c r="B123" s="385" t="str">
        <f>A23</f>
        <v>MÓDULO 2 – ENCARGOS E BENEFÍCIOS MENSAIS E DIÁRIOS</v>
      </c>
      <c r="C123" s="395"/>
      <c r="D123" s="386"/>
      <c r="E123" s="110" t="e">
        <f ca="1">E58</f>
        <v>#NAME?</v>
      </c>
    </row>
    <row r="124" spans="1:5">
      <c r="A124" s="36" t="s">
        <v>1303</v>
      </c>
      <c r="B124" s="376" t="str">
        <f>A60</f>
        <v>MÓDULO 3 – PROVISÃO PARA RESCISÃO</v>
      </c>
      <c r="C124" s="384"/>
      <c r="D124" s="377"/>
      <c r="E124" s="114" t="e">
        <f ca="1">E70</f>
        <v>#NAME?</v>
      </c>
    </row>
    <row r="125" spans="1:5">
      <c r="A125" s="87" t="s">
        <v>1305</v>
      </c>
      <c r="B125" s="395" t="str">
        <f>A72</f>
        <v>MÓDULO 4 – CUSTO DE REPOSIÇÃO DO PROFISSIONAL AUSENTE</v>
      </c>
      <c r="C125" s="395"/>
      <c r="D125" s="386"/>
      <c r="E125" s="110" t="e">
        <f ca="1">E95</f>
        <v>#NAME?</v>
      </c>
    </row>
    <row r="126" spans="1:5">
      <c r="A126" s="36" t="s">
        <v>1307</v>
      </c>
      <c r="B126" s="366" t="str">
        <f>A97</f>
        <v>MÓDULO 5 – INSUMOS DIVERSOS</v>
      </c>
      <c r="C126" s="367"/>
      <c r="D126" s="368"/>
      <c r="E126" s="110">
        <f>E105</f>
        <v>121.1225</v>
      </c>
    </row>
    <row r="127" spans="1:5">
      <c r="A127" s="36" t="s">
        <v>948</v>
      </c>
      <c r="B127" s="404" t="s">
        <v>1356</v>
      </c>
      <c r="C127" s="405"/>
      <c r="D127" s="406"/>
      <c r="E127" s="120" t="e">
        <f ca="1">SUM(E122:E126)</f>
        <v>#NAME?</v>
      </c>
    </row>
    <row r="128" spans="1:5" ht="15" thickBot="1">
      <c r="A128" s="38" t="s">
        <v>1312</v>
      </c>
      <c r="B128" s="396" t="str">
        <f>A107</f>
        <v>MÓDULO 6 – CUSTOS INDIRETOS, TRIBUTOS E LUCRO</v>
      </c>
      <c r="C128" s="407"/>
      <c r="D128" s="397"/>
      <c r="E128" s="50" t="e">
        <f ca="1">E117</f>
        <v>#NAME?</v>
      </c>
    </row>
    <row r="129" spans="1:5" ht="13.5" thickBot="1">
      <c r="A129" s="372" t="s">
        <v>1357</v>
      </c>
      <c r="B129" s="389"/>
      <c r="C129" s="389"/>
      <c r="D129" s="373"/>
      <c r="E129" s="70" t="e">
        <f ca="1">SUM(E127:E128)</f>
        <v>#NAME?</v>
      </c>
    </row>
    <row r="130" spans="1:5" ht="12.75" customHeight="1" thickBot="1">
      <c r="A130" s="372" t="s">
        <v>1358</v>
      </c>
      <c r="B130" s="389"/>
      <c r="C130" s="389"/>
      <c r="D130" s="373"/>
      <c r="E130" s="52" t="e">
        <f ca="1">E129*12</f>
        <v>#NAME?</v>
      </c>
    </row>
    <row r="131" spans="1:5" ht="13.5" thickBot="1">
      <c r="A131" s="372" t="s">
        <v>1359</v>
      </c>
      <c r="B131" s="389"/>
      <c r="C131" s="389"/>
      <c r="D131" s="373"/>
      <c r="E131" s="52"/>
    </row>
  </sheetData>
  <protectedRanges>
    <protectedRange sqref="D110" name="Intervalo1"/>
    <protectedRange sqref="D111" name="Intervalo2"/>
    <protectedRange sqref="C110" name="Intervalo1_2"/>
    <protectedRange sqref="C111" name="Intervalo2_2"/>
  </protectedRanges>
  <mergeCells count="104">
    <mergeCell ref="A130:D130"/>
    <mergeCell ref="A131:D131"/>
    <mergeCell ref="A1:E2"/>
    <mergeCell ref="B124:D124"/>
    <mergeCell ref="B125:D125"/>
    <mergeCell ref="B126:D126"/>
    <mergeCell ref="B127:D127"/>
    <mergeCell ref="B128:D128"/>
    <mergeCell ref="A129:D129"/>
    <mergeCell ref="A116:B116"/>
    <mergeCell ref="A117:D117"/>
    <mergeCell ref="A119:E119"/>
    <mergeCell ref="A121:D121"/>
    <mergeCell ref="B122:D122"/>
    <mergeCell ref="B123:D123"/>
    <mergeCell ref="B102:C102"/>
    <mergeCell ref="B103:C103"/>
    <mergeCell ref="B104:C104"/>
    <mergeCell ref="A105:C105"/>
    <mergeCell ref="A107:E107"/>
    <mergeCell ref="C109:D109"/>
    <mergeCell ref="B94:C94"/>
    <mergeCell ref="A95:C95"/>
    <mergeCell ref="A97:E97"/>
    <mergeCell ref="B99:C99"/>
    <mergeCell ref="B100:C100"/>
    <mergeCell ref="B101:C101"/>
    <mergeCell ref="B87:C87"/>
    <mergeCell ref="B88:C88"/>
    <mergeCell ref="A89:C89"/>
    <mergeCell ref="B91:C91"/>
    <mergeCell ref="B92:C92"/>
    <mergeCell ref="B93:C93"/>
    <mergeCell ref="B79:C79"/>
    <mergeCell ref="B80:C80"/>
    <mergeCell ref="A81:C81"/>
    <mergeCell ref="B83:C83"/>
    <mergeCell ref="B84:C84"/>
    <mergeCell ref="A85:C85"/>
    <mergeCell ref="A72:E72"/>
    <mergeCell ref="B74:C74"/>
    <mergeCell ref="B75:C75"/>
    <mergeCell ref="B76:C76"/>
    <mergeCell ref="B77:C77"/>
    <mergeCell ref="B78:C78"/>
    <mergeCell ref="B65:C65"/>
    <mergeCell ref="B66:C66"/>
    <mergeCell ref="B67:C67"/>
    <mergeCell ref="B68:C68"/>
    <mergeCell ref="B69:C69"/>
    <mergeCell ref="A70:C70"/>
    <mergeCell ref="B57:D57"/>
    <mergeCell ref="A58:D58"/>
    <mergeCell ref="A60:E60"/>
    <mergeCell ref="B62:C62"/>
    <mergeCell ref="B63:C63"/>
    <mergeCell ref="B64:C64"/>
    <mergeCell ref="B50:C50"/>
    <mergeCell ref="B51:C51"/>
    <mergeCell ref="A52:D52"/>
    <mergeCell ref="B54:D54"/>
    <mergeCell ref="B55:D55"/>
    <mergeCell ref="B56:D56"/>
    <mergeCell ref="B44:C44"/>
    <mergeCell ref="B45:C45"/>
    <mergeCell ref="B46:C46"/>
    <mergeCell ref="B47:C47"/>
    <mergeCell ref="B48:C48"/>
    <mergeCell ref="B49:C49"/>
    <mergeCell ref="B37:C37"/>
    <mergeCell ref="B38:C38"/>
    <mergeCell ref="B39:C39"/>
    <mergeCell ref="B40:C40"/>
    <mergeCell ref="A41:C41"/>
    <mergeCell ref="B43:C43"/>
    <mergeCell ref="B30:C30"/>
    <mergeCell ref="B31:C31"/>
    <mergeCell ref="B32:C32"/>
    <mergeCell ref="B33:C33"/>
    <mergeCell ref="A34:C34"/>
    <mergeCell ref="B36:C36"/>
    <mergeCell ref="A23:E23"/>
    <mergeCell ref="B25:C25"/>
    <mergeCell ref="B26:C26"/>
    <mergeCell ref="B27:C27"/>
    <mergeCell ref="B28:C28"/>
    <mergeCell ref="B29:C29"/>
    <mergeCell ref="B16:C16"/>
    <mergeCell ref="B17:C17"/>
    <mergeCell ref="B18:C18"/>
    <mergeCell ref="B19:C19"/>
    <mergeCell ref="B20:C20"/>
    <mergeCell ref="A21:D21"/>
    <mergeCell ref="B8:D8"/>
    <mergeCell ref="A10:E10"/>
    <mergeCell ref="B12:C12"/>
    <mergeCell ref="B13:C13"/>
    <mergeCell ref="B14:C14"/>
    <mergeCell ref="B15:C15"/>
    <mergeCell ref="A3:E3"/>
    <mergeCell ref="B4:D4"/>
    <mergeCell ref="B5:D5"/>
    <mergeCell ref="B6:D6"/>
    <mergeCell ref="B7:D7"/>
  </mergeCells>
  <pageMargins left="0.39370078740157483" right="0.19685039370078741" top="0.59055118110236227" bottom="0.39370078740157483" header="0.15748031496062992" footer="0.15748031496062992"/>
  <pageSetup paperSize="9" scale="46" firstPageNumber="0" orientation="portrait" horizontalDpi="300" verticalDpi="300" r:id="rId2"/>
  <headerFooter alignWithMargins="0"/>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'BASE GERAL'!$G$2:$G$54</xm:f>
          </x14:formula1>
          <xm:sqref>E7</xm:sqref>
        </x14:dataValidation>
        <x14:dataValidation type="list" allowBlank="1" showInputMessage="1" showErrorMessage="1">
          <x14:formula1>
            <xm:f>PARAMETROS!$B$4:$B$343</xm:f>
          </x14:formula1>
          <xm:sqref>E4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8ADAD4D9C761B47982BB45FB1C235B5" ma:contentTypeVersion="12" ma:contentTypeDescription="Crie um novo documento." ma:contentTypeScope="" ma:versionID="8784eeb07aba592c8f594956427931e6">
  <xsd:schema xmlns:xsd="http://www.w3.org/2001/XMLSchema" xmlns:xs="http://www.w3.org/2001/XMLSchema" xmlns:p="http://schemas.microsoft.com/office/2006/metadata/properties" xmlns:ns2="5f320988-e805-41b5-bbaf-e42911cf5e11" xmlns:ns3="2a13b397-9c24-48c4-b3f4-21cba7bed082" targetNamespace="http://schemas.microsoft.com/office/2006/metadata/properties" ma:root="true" ma:fieldsID="6a6bc62d3e15e123dcdaee57649ed7d9" ns2:_="" ns3:_="">
    <xsd:import namespace="5f320988-e805-41b5-bbaf-e42911cf5e11"/>
    <xsd:import namespace="2a13b397-9c24-48c4-b3f4-21cba7bed08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LengthInSeconds"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320988-e805-41b5-bbaf-e42911cf5e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Marcações de imagem" ma:readOnly="false" ma:fieldId="{5cf76f15-5ced-4ddc-b409-7134ff3c332f}" ma:taxonomyMulti="true" ma:sspId="6905f465-c0dd-4870-bbe2-ba24a410d07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13b397-9c24-48c4-b3f4-21cba7bed08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48cc256-aa17-4f4d-9e8d-b8f7a8e33747}" ma:internalName="TaxCatchAll" ma:showField="CatchAllData" ma:web="2a13b397-9c24-48c4-b3f4-21cba7bed08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f320988-e805-41b5-bbaf-e42911cf5e11">
      <Terms xmlns="http://schemas.microsoft.com/office/infopath/2007/PartnerControls"/>
    </lcf76f155ced4ddcb4097134ff3c332f>
    <TaxCatchAll xmlns="2a13b397-9c24-48c4-b3f4-21cba7bed082" xsi:nil="true"/>
  </documentManagement>
</p:properties>
</file>

<file path=customXml/item4.xml>�� 
</file>

<file path=customXml/itemProps1.xml><?xml version="1.0" encoding="utf-8"?>
<ds:datastoreItem xmlns:ds="http://schemas.openxmlformats.org/officeDocument/2006/customXml" ds:itemID="{38E1C803-245A-4ADA-8AA0-7FFA19493561}">
  <ds:schemaRefs>
    <ds:schemaRef ds:uri="http://schemas.microsoft.com/sharepoint/v3/contenttype/forms"/>
  </ds:schemaRefs>
</ds:datastoreItem>
</file>

<file path=customXml/itemProps2.xml><?xml version="1.0" encoding="utf-8"?>
<ds:datastoreItem xmlns:ds="http://schemas.openxmlformats.org/officeDocument/2006/customXml" ds:itemID="{59F4A7F6-9AA5-4B37-ABEE-68E9A5AD12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320988-e805-41b5-bbaf-e42911cf5e11"/>
    <ds:schemaRef ds:uri="2a13b397-9c24-48c4-b3f4-21cba7bed0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8A66658-C29B-4840-A655-EB905B361B07}">
  <ds:schemaRef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purl.org/dc/dcmitype/"/>
    <ds:schemaRef ds:uri="http://purl.org/dc/elements/1.1/"/>
    <ds:schemaRef ds:uri="http://schemas.microsoft.com/office/infopath/2007/PartnerControls"/>
    <ds:schemaRef ds:uri="2a13b397-9c24-48c4-b3f4-21cba7bed082"/>
    <ds:schemaRef ds:uri="5f320988-e805-41b5-bbaf-e42911cf5e11"/>
    <ds:schemaRef ds:uri="http://www.w3.org/XML/1998/namespace"/>
  </ds:schemaRefs>
</ds:datastoreItem>
</file>

<file path=customXml/itemProps4.xml><?xml version="1.0" encoding="utf-8"?>
<ds:datastoreItem xmlns:ds="http://schemas.openxmlformats.org/officeDocument/2006/customXml" ds:itemID="{50E36EEC-0AC8-4D58-A548-496ADFB0838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11</vt:i4>
      </vt:variant>
    </vt:vector>
  </HeadingPairs>
  <TitlesOfParts>
    <vt:vector size="24" baseType="lpstr">
      <vt:lpstr>ORIENTAÇÕES PARA O LICITANTE</vt:lpstr>
      <vt:lpstr>BASE GERAL</vt:lpstr>
      <vt:lpstr>UNIFORMES</vt:lpstr>
      <vt:lpstr>INSUMOS JARDINAGEM</vt:lpstr>
      <vt:lpstr>INSUMOS LAV. VEÍCULO</vt:lpstr>
      <vt:lpstr>INSUMOS GARÇOM</vt:lpstr>
      <vt:lpstr>RELAÇÃO SINDICATOS</vt:lpstr>
      <vt:lpstr>RELAÇÃO POSTOS</vt:lpstr>
      <vt:lpstr>PARAMETROS</vt:lpstr>
      <vt:lpstr>CUSTO UNITARIO</vt:lpstr>
      <vt:lpstr>CUSTO GLOBAL1</vt:lpstr>
      <vt:lpstr>CUSTO GLOBAL</vt:lpstr>
      <vt:lpstr>COMPOSIÇÃO DE CUSTOS</vt:lpstr>
      <vt:lpstr>'COMPOSIÇÃO DE CUSTOS'!Area_de_impressao</vt:lpstr>
      <vt:lpstr>'INSUMOS GARÇOM'!CARGOS</vt:lpstr>
      <vt:lpstr>'INSUMOS LAV. VEÍCULO'!CARGOS</vt:lpstr>
      <vt:lpstr>'ORIENTAÇÕES PARA O LICITANTE'!CARGOS</vt:lpstr>
      <vt:lpstr>'RELAÇÃO POSTOS'!CARGOS</vt:lpstr>
      <vt:lpstr>CARGOS</vt:lpstr>
      <vt:lpstr>'INSUMOS GARÇOM'!COMARCAS</vt:lpstr>
      <vt:lpstr>'INSUMOS LAV. VEÍCULO'!COMARCAS</vt:lpstr>
      <vt:lpstr>'ORIENTAÇÕES PARA O LICITANTE'!COMARCAS</vt:lpstr>
      <vt:lpstr>'RELAÇÃO POSTOS'!COMARCAS</vt:lpstr>
      <vt:lpstr>COMARCAS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Wagner Gomes Nakayama</dc:creator>
  <cp:keywords/>
  <dc:description/>
  <cp:lastModifiedBy>Simone de Oliveira Capanema</cp:lastModifiedBy>
  <cp:revision/>
  <dcterms:created xsi:type="dcterms:W3CDTF">2024-12-30T11:34:43Z</dcterms:created>
  <dcterms:modified xsi:type="dcterms:W3CDTF">2026-01-06T15:54:05Z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0x010100D8ADAD4D9C761B47982BB45FB1C235B5</vt:lpwstr>
  </property>
  <property fmtid="{D5CDD505-2E9C-101B-9397-08002B2CF9AE}" pid="3" name="MediaServiceImageTags">
    <vt:lpwstr/>
  </property>
</Properties>
</file>